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Z:\WEB &amp; Publicaciones\Sitio CES\6. INFORMACIÓN ESTADÍSTICA\6.1. BASES DE DATOS\"/>
    </mc:Choice>
  </mc:AlternateContent>
  <xr:revisionPtr revIDLastSave="0" documentId="13_ncr:1_{88558D91-DCE7-49C0-9183-C3ABC5F754AC}" xr6:coauthVersionLast="47" xr6:coauthVersionMax="47" xr10:uidLastSave="{00000000-0000-0000-0000-000000000000}"/>
  <bookViews>
    <workbookView xWindow="-120" yWindow="-120" windowWidth="29040" windowHeight="15720" tabRatio="605" xr2:uid="{00000000-000D-0000-FFFF-FFFF00000000}"/>
  </bookViews>
  <sheets>
    <sheet name="INDICE" sheetId="53" r:id="rId1"/>
    <sheet name="1.1" sheetId="55" r:id="rId2"/>
    <sheet name="1.2" sheetId="129" r:id="rId3"/>
    <sheet name="1.2.b" sheetId="136" r:id="rId4"/>
    <sheet name="1.3" sheetId="64" r:id="rId5"/>
    <sheet name="1.4" sheetId="65" r:id="rId6"/>
    <sheet name="1.5" sheetId="116" r:id="rId7"/>
    <sheet name="1.6" sheetId="106" r:id="rId8"/>
    <sheet name="1.7" sheetId="126" r:id="rId9"/>
    <sheet name="2.1" sheetId="14" r:id="rId10"/>
    <sheet name="2.2" sheetId="41" r:id="rId11"/>
    <sheet name="2.2.a" sheetId="115" r:id="rId12"/>
    <sheet name="2.2.b" sheetId="122" r:id="rId13"/>
    <sheet name="2.2.c" sheetId="123" r:id="rId14"/>
    <sheet name="2.2.d" sheetId="124" r:id="rId15"/>
    <sheet name="2.2.e" sheetId="125" r:id="rId16"/>
    <sheet name="2.3" sheetId="134" r:id="rId17"/>
    <sheet name="2.4" sheetId="135" r:id="rId18"/>
    <sheet name="2.5" sheetId="95" r:id="rId19"/>
    <sheet name="2.6" sheetId="105" r:id="rId20"/>
    <sheet name="3.1" sheetId="30" r:id="rId21"/>
    <sheet name="3.2" sheetId="68" r:id="rId22"/>
    <sheet name="3.3" sheetId="100" r:id="rId23"/>
    <sheet name="3.4" sheetId="20" r:id="rId24"/>
    <sheet name="3.5" sheetId="128" r:id="rId25"/>
    <sheet name="3.6" sheetId="24" r:id="rId26"/>
    <sheet name="3.7" sheetId="114" r:id="rId27"/>
    <sheet name="3.8" sheetId="78" r:id="rId28"/>
    <sheet name="3.9" sheetId="91" r:id="rId29"/>
    <sheet name="3.10" sheetId="117" r:id="rId30"/>
    <sheet name="3.11" sheetId="119" r:id="rId31"/>
    <sheet name="4.1" sheetId="49" r:id="rId32"/>
    <sheet name="4.2" sheetId="45" r:id="rId33"/>
    <sheet name="4.3" sheetId="3" r:id="rId34"/>
    <sheet name="4.4" sheetId="1" r:id="rId35"/>
    <sheet name="4.5" sheetId="76" r:id="rId36"/>
    <sheet name="4.6" sheetId="132" r:id="rId37"/>
    <sheet name="4.7" sheetId="137" r:id="rId38"/>
    <sheet name="5.1" sheetId="17" r:id="rId39"/>
    <sheet name="5.2" sheetId="127" r:id="rId40"/>
    <sheet name="5.3" sheetId="4" r:id="rId41"/>
    <sheet name="6.1" sheetId="38" r:id="rId42"/>
    <sheet name="6.2" sheetId="51" r:id="rId43"/>
    <sheet name="6.2.b" sheetId="121" r:id="rId44"/>
    <sheet name="6.3" sheetId="90" r:id="rId45"/>
    <sheet name="6.4" sheetId="70" r:id="rId46"/>
    <sheet name="7.1" sheetId="11" r:id="rId47"/>
    <sheet name="7.2" sheetId="56" r:id="rId48"/>
    <sheet name="7.3" sheetId="89" r:id="rId49"/>
    <sheet name="7.4" sheetId="88" r:id="rId50"/>
    <sheet name="8.1" sheetId="108" r:id="rId51"/>
    <sheet name="8.2" sheetId="130" r:id="rId52"/>
    <sheet name="8.3" sheetId="112" r:id="rId53"/>
    <sheet name="8.4" sheetId="111" r:id="rId54"/>
    <sheet name="8.5" sheetId="59" r:id="rId55"/>
    <sheet name="8.6" sheetId="27" r:id="rId56"/>
    <sheet name="8.7" sheetId="107" r:id="rId57"/>
    <sheet name="8.8" sheetId="69" r:id="rId58"/>
    <sheet name="8.9" sheetId="71" r:id="rId59"/>
    <sheet name="8.10" sheetId="62" r:id="rId60"/>
    <sheet name="9.1" sheetId="52" r:id="rId61"/>
    <sheet name="9.2" sheetId="84" r:id="rId62"/>
    <sheet name="9.3" sheetId="46" r:id="rId63"/>
  </sheets>
  <definedNames>
    <definedName name="adfsd" localSheetId="24">#REF!</definedName>
    <definedName name="adfsd" localSheetId="36">#REF!</definedName>
    <definedName name="adfsd">#REF!</definedName>
    <definedName name="adsf" localSheetId="24">#REF!</definedName>
    <definedName name="adsf" localSheetId="36">#REF!</definedName>
    <definedName name="adsf">#REF!</definedName>
    <definedName name="AJESTA" localSheetId="6">#REF!</definedName>
    <definedName name="AJESTA" localSheetId="7">#REF!</definedName>
    <definedName name="AJESTA" localSheetId="14">#REF!</definedName>
    <definedName name="AJESTA" localSheetId="15">#REF!</definedName>
    <definedName name="AJESTA" localSheetId="29">#REF!</definedName>
    <definedName name="AJESTA" localSheetId="22">#REF!</definedName>
    <definedName name="AJESTA" localSheetId="36">#REF!</definedName>
    <definedName name="AJESTA" localSheetId="50">#REF!</definedName>
    <definedName name="AJESTA" localSheetId="56">#REF!</definedName>
    <definedName name="AJESTA">#REF!</definedName>
    <definedName name="ALFA" localSheetId="6">#REF!</definedName>
    <definedName name="ALFA" localSheetId="7">#REF!</definedName>
    <definedName name="ALFA" localSheetId="14">#REF!</definedName>
    <definedName name="ALFA" localSheetId="15">#REF!</definedName>
    <definedName name="ALFA" localSheetId="29">#REF!</definedName>
    <definedName name="ALFA" localSheetId="22">#REF!</definedName>
    <definedName name="ALFA" localSheetId="36">#REF!</definedName>
    <definedName name="ALFA" localSheetId="50">#REF!</definedName>
    <definedName name="ALFA" localSheetId="56">#REF!</definedName>
    <definedName name="ALFA">#REF!</definedName>
    <definedName name="_xlnm.Print_Area" localSheetId="57">'8.8'!$A$1:$K$157</definedName>
    <definedName name="_xlnm.Print_Area" localSheetId="58">'8.9'!$A$1:$F$361</definedName>
    <definedName name="CEMENTO" localSheetId="6">#REF!</definedName>
    <definedName name="CEMENTO" localSheetId="7">#REF!</definedName>
    <definedName name="CEMENTO" localSheetId="13">#REF!</definedName>
    <definedName name="CEMENTO" localSheetId="14">#REF!</definedName>
    <definedName name="CEMENTO" localSheetId="15">#REF!</definedName>
    <definedName name="CEMENTO" localSheetId="29">#REF!</definedName>
    <definedName name="CEMENTO" localSheetId="22">#REF!</definedName>
    <definedName name="CEMENTO" localSheetId="36">#REF!</definedName>
    <definedName name="CEMENTO" localSheetId="50">#REF!</definedName>
    <definedName name="CEMENTO" localSheetId="56">#REF!</definedName>
    <definedName name="CEMENTO">#REF!</definedName>
    <definedName name="CICESP" localSheetId="6">#REF!</definedName>
    <definedName name="CICESP" localSheetId="7">#REF!</definedName>
    <definedName name="CICESP" localSheetId="14">#REF!</definedName>
    <definedName name="CICESP" localSheetId="15">#REF!</definedName>
    <definedName name="CICESP" localSheetId="29">#REF!</definedName>
    <definedName name="CICESP" localSheetId="22">#REF!</definedName>
    <definedName name="CICESP" localSheetId="36">#REF!</definedName>
    <definedName name="CICESP" localSheetId="50">#REF!</definedName>
    <definedName name="CICESP" localSheetId="56">#REF!</definedName>
    <definedName name="CICESP">#REF!</definedName>
    <definedName name="CO" localSheetId="6">#REF!</definedName>
    <definedName name="CO" localSheetId="7">#REF!</definedName>
    <definedName name="CO" localSheetId="13">#REF!</definedName>
    <definedName name="CO" localSheetId="14">#REF!</definedName>
    <definedName name="CO" localSheetId="15">#REF!</definedName>
    <definedName name="CO" localSheetId="29">#REF!</definedName>
    <definedName name="CO" localSheetId="22">#REF!</definedName>
    <definedName name="CO" localSheetId="24">#REF!</definedName>
    <definedName name="CO" localSheetId="36">#REF!</definedName>
    <definedName name="CO" localSheetId="50">#REF!</definedName>
    <definedName name="CO" localSheetId="56">#REF!</definedName>
    <definedName name="CO">#REF!</definedName>
    <definedName name="COMB" localSheetId="6">#REF!</definedName>
    <definedName name="COMB" localSheetId="7">#REF!</definedName>
    <definedName name="COMB" localSheetId="14">#REF!</definedName>
    <definedName name="COMB" localSheetId="15">#REF!</definedName>
    <definedName name="COMB" localSheetId="29">#REF!</definedName>
    <definedName name="COMB" localSheetId="22">#REF!</definedName>
    <definedName name="COMB" localSheetId="36">#REF!</definedName>
    <definedName name="COMB" localSheetId="50">#REF!</definedName>
    <definedName name="COMB" localSheetId="56">#REF!</definedName>
    <definedName name="COMB">#REF!</definedName>
    <definedName name="CONSTRUC" localSheetId="6">#REF!</definedName>
    <definedName name="CONSTRUC" localSheetId="7">#REF!</definedName>
    <definedName name="CONSTRUC" localSheetId="14">#REF!</definedName>
    <definedName name="CONSTRUC" localSheetId="15">#REF!</definedName>
    <definedName name="CONSTRUC" localSheetId="29">#REF!</definedName>
    <definedName name="CONSTRUC" localSheetId="22">#REF!</definedName>
    <definedName name="CONSTRUC" localSheetId="36">#REF!</definedName>
    <definedName name="CONSTRUC" localSheetId="50">#REF!</definedName>
    <definedName name="CONSTRUC" localSheetId="56">#REF!</definedName>
    <definedName name="CONSTRUC">#REF!</definedName>
    <definedName name="DIFTA" localSheetId="6">#REF!</definedName>
    <definedName name="DIFTA" localSheetId="7">#REF!</definedName>
    <definedName name="DIFTA" localSheetId="14">#REF!</definedName>
    <definedName name="DIFTA" localSheetId="15">#REF!</definedName>
    <definedName name="DIFTA" localSheetId="29">#REF!</definedName>
    <definedName name="DIFTA" localSheetId="22">#REF!</definedName>
    <definedName name="DIFTA" localSheetId="36">#REF!</definedName>
    <definedName name="DIFTA" localSheetId="50">#REF!</definedName>
    <definedName name="DIFTA" localSheetId="56">#REF!</definedName>
    <definedName name="DIFTA">#REF!</definedName>
    <definedName name="EEI" localSheetId="6">#REF!</definedName>
    <definedName name="EEI" localSheetId="7">#REF!</definedName>
    <definedName name="EEI" localSheetId="14">#REF!</definedName>
    <definedName name="EEI" localSheetId="15">#REF!</definedName>
    <definedName name="EEI" localSheetId="29">#REF!</definedName>
    <definedName name="EEI" localSheetId="22">#REF!</definedName>
    <definedName name="EEI" localSheetId="36">#REF!</definedName>
    <definedName name="EEI" localSheetId="50">#REF!</definedName>
    <definedName name="EEI" localSheetId="56">#REF!</definedName>
    <definedName name="EEI">#REF!</definedName>
    <definedName name="EMPLEO" localSheetId="6">#REF!</definedName>
    <definedName name="EMPLEO" localSheetId="7">#REF!</definedName>
    <definedName name="EMPLEO" localSheetId="14">#REF!</definedName>
    <definedName name="EMPLEO" localSheetId="15">#REF!</definedName>
    <definedName name="EMPLEO" localSheetId="29">#REF!</definedName>
    <definedName name="EMPLEO" localSheetId="22">#REF!</definedName>
    <definedName name="EMPLEO" localSheetId="36">#REF!</definedName>
    <definedName name="EMPLEO" localSheetId="50">#REF!</definedName>
    <definedName name="EMPLEO" localSheetId="56">#REF!</definedName>
    <definedName name="EMPLEO">#REF!</definedName>
    <definedName name="EPH" localSheetId="6">#REF!</definedName>
    <definedName name="EPH" localSheetId="7">#REF!</definedName>
    <definedName name="EPH" localSheetId="14">#REF!</definedName>
    <definedName name="EPH" localSheetId="15">#REF!</definedName>
    <definedName name="EPH" localSheetId="29">#REF!</definedName>
    <definedName name="EPH" localSheetId="22">#REF!</definedName>
    <definedName name="EPH" localSheetId="36">#REF!</definedName>
    <definedName name="EPH" localSheetId="50">#REF!</definedName>
    <definedName name="EPH" localSheetId="56">#REF!</definedName>
    <definedName name="EPH">#REF!</definedName>
    <definedName name="EPH_POB" localSheetId="6">#REF!</definedName>
    <definedName name="EPH_POB" localSheetId="7">#REF!</definedName>
    <definedName name="EPH_POB" localSheetId="14">#REF!</definedName>
    <definedName name="EPH_POB" localSheetId="15">#REF!</definedName>
    <definedName name="EPH_POB" localSheetId="29">#REF!</definedName>
    <definedName name="EPH_POB" localSheetId="22">#REF!</definedName>
    <definedName name="EPH_POB" localSheetId="36">#REF!</definedName>
    <definedName name="EPH_POB" localSheetId="50">#REF!</definedName>
    <definedName name="EPH_POB" localSheetId="56">#REF!</definedName>
    <definedName name="EPH_POB">#REF!</definedName>
    <definedName name="FAE_BOVINOS" localSheetId="6">#REF!</definedName>
    <definedName name="FAE_BOVINOS" localSheetId="7">#REF!</definedName>
    <definedName name="FAE_BOVINOS" localSheetId="14">#REF!</definedName>
    <definedName name="FAE_BOVINOS" localSheetId="15">#REF!</definedName>
    <definedName name="FAE_BOVINOS" localSheetId="29">#REF!</definedName>
    <definedName name="FAE_BOVINOS" localSheetId="22">#REF!</definedName>
    <definedName name="FAE_BOVINOS" localSheetId="36">#REF!</definedName>
    <definedName name="FAE_BOVINOS" localSheetId="50">#REF!</definedName>
    <definedName name="FAE_BOVINOS" localSheetId="56">#REF!</definedName>
    <definedName name="FAE_BOVINOS">#REF!</definedName>
    <definedName name="GAS" localSheetId="6">#REF!</definedName>
    <definedName name="GAS" localSheetId="7">#REF!</definedName>
    <definedName name="GAS" localSheetId="14">#REF!</definedName>
    <definedName name="GAS" localSheetId="15">#REF!</definedName>
    <definedName name="GAS" localSheetId="29">#REF!</definedName>
    <definedName name="GAS" localSheetId="22">#REF!</definedName>
    <definedName name="GAS" localSheetId="36">#REF!</definedName>
    <definedName name="GAS" localSheetId="50">#REF!</definedName>
    <definedName name="GAS" localSheetId="56">#REF!</definedName>
    <definedName name="GAS">#REF!</definedName>
    <definedName name="ICC_FM" localSheetId="6">#REF!</definedName>
    <definedName name="ICC_FM" localSheetId="7">#REF!</definedName>
    <definedName name="ICC_FM" localSheetId="14">#REF!</definedName>
    <definedName name="ICC_FM" localSheetId="15">#REF!</definedName>
    <definedName name="ICC_FM" localSheetId="29">#REF!</definedName>
    <definedName name="ICC_FM" localSheetId="22">#REF!</definedName>
    <definedName name="ICC_FM" localSheetId="36">#REF!</definedName>
    <definedName name="ICC_FM" localSheetId="50">#REF!</definedName>
    <definedName name="ICC_FM" localSheetId="56">#REF!</definedName>
    <definedName name="ICC_FM">#REF!</definedName>
    <definedName name="IDL_UTDT" localSheetId="6">#REF!</definedName>
    <definedName name="IDL_UTDT" localSheetId="7">#REF!</definedName>
    <definedName name="IDL_UTDT" localSheetId="14">#REF!</definedName>
    <definedName name="IDL_UTDT" localSheetId="15">#REF!</definedName>
    <definedName name="IDL_UTDT" localSheetId="29">#REF!</definedName>
    <definedName name="IDL_UTDT" localSheetId="22">#REF!</definedName>
    <definedName name="IDL_UTDT" localSheetId="36">#REF!</definedName>
    <definedName name="IDL_UTDT" localSheetId="50">#REF!</definedName>
    <definedName name="IDL_UTDT" localSheetId="56">#REF!</definedName>
    <definedName name="IDL_UTDT">#REF!</definedName>
    <definedName name="IND_ACEITERA" localSheetId="6">#REF!</definedName>
    <definedName name="IND_ACEITERA" localSheetId="7">#REF!</definedName>
    <definedName name="IND_ACEITERA" localSheetId="14">#REF!</definedName>
    <definedName name="IND_ACEITERA" localSheetId="15">#REF!</definedName>
    <definedName name="IND_ACEITERA" localSheetId="29">#REF!</definedName>
    <definedName name="IND_ACEITERA" localSheetId="22">#REF!</definedName>
    <definedName name="IND_ACEITERA" localSheetId="36">#REF!</definedName>
    <definedName name="IND_ACEITERA" localSheetId="50">#REF!</definedName>
    <definedName name="IND_ACEITERA" localSheetId="56">#REF!</definedName>
    <definedName name="IND_ACEITERA">#REF!</definedName>
    <definedName name="IPC_GBA" localSheetId="6">#REF!</definedName>
    <definedName name="IPC_GBA" localSheetId="7">#REF!</definedName>
    <definedName name="IPC_GBA" localSheetId="14">#REF!</definedName>
    <definedName name="IPC_GBA" localSheetId="15">#REF!</definedName>
    <definedName name="IPC_GBA" localSheetId="29">#REF!</definedName>
    <definedName name="IPC_GBA" localSheetId="22">#REF!</definedName>
    <definedName name="IPC_GBA" localSheetId="36">#REF!</definedName>
    <definedName name="IPC_GBA" localSheetId="50">#REF!</definedName>
    <definedName name="IPC_GBA" localSheetId="56">#REF!</definedName>
    <definedName name="IPC_GBA">#REF!</definedName>
    <definedName name="IPC_NAC" localSheetId="6">#REF!</definedName>
    <definedName name="IPC_NAC" localSheetId="7">#REF!</definedName>
    <definedName name="IPC_NAC" localSheetId="14">#REF!</definedName>
    <definedName name="IPC_NAC" localSheetId="15">#REF!</definedName>
    <definedName name="IPC_NAC" localSheetId="29">#REF!</definedName>
    <definedName name="IPC_NAC" localSheetId="22">#REF!</definedName>
    <definedName name="IPC_NAC" localSheetId="36">#REF!</definedName>
    <definedName name="IPC_NAC" localSheetId="50">#REF!</definedName>
    <definedName name="IPC_NAC" localSheetId="56">#REF!</definedName>
    <definedName name="IPC_NAC">#REF!</definedName>
    <definedName name="IPC_SFE" localSheetId="6">#REF!</definedName>
    <definedName name="IPC_SFE" localSheetId="7">#REF!</definedName>
    <definedName name="IPC_SFE" localSheetId="14">#REF!</definedName>
    <definedName name="IPC_SFE" localSheetId="15">#REF!</definedName>
    <definedName name="IPC_SFE" localSheetId="29">#REF!</definedName>
    <definedName name="IPC_SFE" localSheetId="22">#REF!</definedName>
    <definedName name="IPC_SFE" localSheetId="36">#REF!</definedName>
    <definedName name="IPC_SFE" localSheetId="50">#REF!</definedName>
    <definedName name="IPC_SFE" localSheetId="56">#REF!</definedName>
    <definedName name="IPC_SFE">#REF!</definedName>
    <definedName name="IPM" localSheetId="6">#REF!</definedName>
    <definedName name="IPM" localSheetId="7">#REF!</definedName>
    <definedName name="IPM" localSheetId="14">#REF!</definedName>
    <definedName name="IPM" localSheetId="15">#REF!</definedName>
    <definedName name="IPM" localSheetId="29">#REF!</definedName>
    <definedName name="IPM" localSheetId="22">#REF!</definedName>
    <definedName name="IPM" localSheetId="36">#REF!</definedName>
    <definedName name="IPM" localSheetId="50">#REF!</definedName>
    <definedName name="IPM" localSheetId="56">#REF!</definedName>
    <definedName name="IPM">#REF!</definedName>
    <definedName name="IPMPE" localSheetId="6">#REF!</definedName>
    <definedName name="IPMPE" localSheetId="7">#REF!</definedName>
    <definedName name="IPMPE" localSheetId="14">#REF!</definedName>
    <definedName name="IPMPE" localSheetId="15">#REF!</definedName>
    <definedName name="IPMPE" localSheetId="29">#REF!</definedName>
    <definedName name="IPMPE" localSheetId="22">#REF!</definedName>
    <definedName name="IPMPE" localSheetId="36">#REF!</definedName>
    <definedName name="IPMPE" localSheetId="50">#REF!</definedName>
    <definedName name="IPMPE" localSheetId="56">#REF!</definedName>
    <definedName name="IPMPE">#REF!</definedName>
    <definedName name="IRR" localSheetId="6">#REF!</definedName>
    <definedName name="IRR" localSheetId="7">#REF!</definedName>
    <definedName name="IRR" localSheetId="14">#REF!</definedName>
    <definedName name="IRR" localSheetId="15">#REF!</definedName>
    <definedName name="IRR" localSheetId="29">#REF!</definedName>
    <definedName name="IRR" localSheetId="22">#REF!</definedName>
    <definedName name="IRR" localSheetId="36">#REF!</definedName>
    <definedName name="IRR" localSheetId="50">#REF!</definedName>
    <definedName name="IRR" localSheetId="56">#REF!</definedName>
    <definedName name="IRR">#REF!</definedName>
    <definedName name="LACTEA" localSheetId="6">#REF!</definedName>
    <definedName name="LACTEA" localSheetId="7">#REF!</definedName>
    <definedName name="LACTEA" localSheetId="14">#REF!</definedName>
    <definedName name="LACTEA" localSheetId="15">#REF!</definedName>
    <definedName name="LACTEA" localSheetId="29">#REF!</definedName>
    <definedName name="LACTEA" localSheetId="22">#REF!</definedName>
    <definedName name="LACTEA" localSheetId="36">#REF!</definedName>
    <definedName name="LACTEA" localSheetId="50">#REF!</definedName>
    <definedName name="LACTEA" localSheetId="56">#REF!</definedName>
    <definedName name="LACTEA">#REF!</definedName>
    <definedName name="MAQ_AGR" localSheetId="6">#REF!</definedName>
    <definedName name="MAQ_AGR" localSheetId="7">#REF!</definedName>
    <definedName name="MAQ_AGR" localSheetId="14">#REF!</definedName>
    <definedName name="MAQ_AGR" localSheetId="15">#REF!</definedName>
    <definedName name="MAQ_AGR" localSheetId="29">#REF!</definedName>
    <definedName name="MAQ_AGR" localSheetId="22">#REF!</definedName>
    <definedName name="MAQ_AGR" localSheetId="36">#REF!</definedName>
    <definedName name="MAQ_AGR" localSheetId="50">#REF!</definedName>
    <definedName name="MAQ_AGR" localSheetId="56">#REF!</definedName>
    <definedName name="MAQ_AGR">#REF!</definedName>
    <definedName name="NA" localSheetId="6">#REF!</definedName>
    <definedName name="NA" localSheetId="7">#REF!</definedName>
    <definedName name="NA" localSheetId="14">#REF!</definedName>
    <definedName name="NA" localSheetId="15">#REF!</definedName>
    <definedName name="NA" localSheetId="29">#REF!</definedName>
    <definedName name="NA" localSheetId="22">#REF!</definedName>
    <definedName name="NA" localSheetId="24">#REF!</definedName>
    <definedName name="NA" localSheetId="31">#REF!</definedName>
    <definedName name="NA" localSheetId="36">#REF!</definedName>
    <definedName name="NA" localSheetId="46">'7.1'!$A$4</definedName>
    <definedName name="NA" localSheetId="47">'7.2'!$A$4</definedName>
    <definedName name="NA" localSheetId="48">'7.3'!$A$4</definedName>
    <definedName name="NA" localSheetId="49">'7.4'!$A$4</definedName>
    <definedName name="NA" localSheetId="50">#REF!</definedName>
    <definedName name="NA" localSheetId="56">#REF!</definedName>
    <definedName name="NA">#REF!</definedName>
    <definedName name="OLE_LINK1" localSheetId="4">'1.3'!#REF!</definedName>
    <definedName name="OLE_LINK2" localSheetId="4">'1.3'!$D$214</definedName>
    <definedName name="PATENTES" localSheetId="6">#REF!</definedName>
    <definedName name="PATENTES" localSheetId="7">#REF!</definedName>
    <definedName name="PATENTES" localSheetId="14">#REF!</definedName>
    <definedName name="PATENTES" localSheetId="15">#REF!</definedName>
    <definedName name="PATENTES" localSheetId="29">#REF!</definedName>
    <definedName name="PATENTES" localSheetId="22">#REF!</definedName>
    <definedName name="PATENTES" localSheetId="24">#REF!</definedName>
    <definedName name="PATENTES" localSheetId="36">#REF!</definedName>
    <definedName name="PATENTES" localSheetId="50">#REF!</definedName>
    <definedName name="PATENTES" localSheetId="56">#REF!</definedName>
    <definedName name="PATENTES">#REF!</definedName>
    <definedName name="PBG" localSheetId="6">#REF!</definedName>
    <definedName name="PBG" localSheetId="7">#REF!</definedName>
    <definedName name="PBG" localSheetId="14">#REF!</definedName>
    <definedName name="PBG" localSheetId="15">#REF!</definedName>
    <definedName name="PBG" localSheetId="29">#REF!</definedName>
    <definedName name="PBG" localSheetId="22">#REF!</definedName>
    <definedName name="PBG" localSheetId="24">#REF!</definedName>
    <definedName name="PBG" localSheetId="36">#REF!</definedName>
    <definedName name="PBG" localSheetId="50">#REF!</definedName>
    <definedName name="PBG" localSheetId="56">#REF!</definedName>
    <definedName name="PBG">#REF!</definedName>
    <definedName name="PGCLAS" localSheetId="6">#REF!</definedName>
    <definedName name="PGCLAS" localSheetId="7">#REF!</definedName>
    <definedName name="PGCLAS" localSheetId="14">#REF!</definedName>
    <definedName name="PGCLAS" localSheetId="15">#REF!</definedName>
    <definedName name="PGCLAS" localSheetId="29">#REF!</definedName>
    <definedName name="PGCLAS" localSheetId="22">#REF!</definedName>
    <definedName name="PGCLAS" localSheetId="36">#REF!</definedName>
    <definedName name="PGCLAS" localSheetId="50">#REF!</definedName>
    <definedName name="PGCLAS" localSheetId="56">#REF!</definedName>
    <definedName name="PGCLAS">#REF!</definedName>
    <definedName name="PGCREC" localSheetId="6">#REF!</definedName>
    <definedName name="PGCREC" localSheetId="7">#REF!</definedName>
    <definedName name="PGCREC" localSheetId="14">#REF!</definedName>
    <definedName name="PGCREC" localSheetId="15">#REF!</definedName>
    <definedName name="PGCREC" localSheetId="29">#REF!</definedName>
    <definedName name="PGCREC" localSheetId="22">#REF!</definedName>
    <definedName name="PGCREC" localSheetId="36">#REF!</definedName>
    <definedName name="PGCREC" localSheetId="50">#REF!</definedName>
    <definedName name="PGCREC" localSheetId="56">#REF!</definedName>
    <definedName name="PGCREC">#REF!</definedName>
    <definedName name="REC" localSheetId="6">#REF!</definedName>
    <definedName name="REC" localSheetId="7">#REF!</definedName>
    <definedName name="REC" localSheetId="14">#REF!</definedName>
    <definedName name="REC" localSheetId="15">#REF!</definedName>
    <definedName name="REC" localSheetId="29">#REF!</definedName>
    <definedName name="REC" localSheetId="22">#REF!</definedName>
    <definedName name="REC" localSheetId="36">#REF!</definedName>
    <definedName name="REC" localSheetId="50">#REF!</definedName>
    <definedName name="REC" localSheetId="56">#REF!</definedName>
    <definedName name="REC">#REF!</definedName>
    <definedName name="sct" localSheetId="6">#REF!</definedName>
    <definedName name="sct" localSheetId="7">#REF!</definedName>
    <definedName name="sct" localSheetId="14">#REF!</definedName>
    <definedName name="sct" localSheetId="15">#REF!</definedName>
    <definedName name="sct" localSheetId="29">#REF!</definedName>
    <definedName name="sct" localSheetId="22">#REF!</definedName>
    <definedName name="sct" localSheetId="36">#REF!</definedName>
    <definedName name="sct" localSheetId="50">#REF!</definedName>
    <definedName name="sct" localSheetId="56">#REF!</definedName>
    <definedName name="sct">#REF!</definedName>
    <definedName name="T" localSheetId="6">#REF!</definedName>
    <definedName name="T" localSheetId="7">#REF!</definedName>
    <definedName name="T" localSheetId="13">#REF!</definedName>
    <definedName name="T" localSheetId="14">#REF!</definedName>
    <definedName name="T" localSheetId="15">#REF!</definedName>
    <definedName name="T" localSheetId="29">#REF!</definedName>
    <definedName name="T" localSheetId="22">#REF!</definedName>
    <definedName name="T" localSheetId="24">#REF!</definedName>
    <definedName name="T" localSheetId="36">#REF!</definedName>
    <definedName name="T" localSheetId="50">#REF!</definedName>
    <definedName name="T" localSheetId="56">#REF!</definedName>
    <definedName name="T">#REF!</definedName>
    <definedName name="Trigo" localSheetId="6">#REF!</definedName>
    <definedName name="Trigo" localSheetId="7">#REF!</definedName>
    <definedName name="Trigo" localSheetId="14">#REF!</definedName>
    <definedName name="Trigo" localSheetId="15">#REF!</definedName>
    <definedName name="Trigo" localSheetId="29">#REF!</definedName>
    <definedName name="Trigo" localSheetId="22">#REF!</definedName>
    <definedName name="Trigo" localSheetId="31">#REF!</definedName>
    <definedName name="Trigo" localSheetId="36">#REF!</definedName>
    <definedName name="Trigo" localSheetId="50">#REF!</definedName>
    <definedName name="Trigo" localSheetId="56">#REF!</definedName>
    <definedName name="Trigo">#REF!</definedName>
    <definedName name="VARCRI" localSheetId="6">#REF!</definedName>
    <definedName name="VARCRI" localSheetId="7">#REF!</definedName>
    <definedName name="VARCRI" localSheetId="14">#REF!</definedName>
    <definedName name="VARCRI" localSheetId="15">#REF!</definedName>
    <definedName name="VARCRI" localSheetId="29">#REF!</definedName>
    <definedName name="VARCRI" localSheetId="22">#REF!</definedName>
    <definedName name="VARCRI" localSheetId="36">#REF!</definedName>
    <definedName name="VARCRI" localSheetId="50">#REF!</definedName>
    <definedName name="VARCRI" localSheetId="56">#REF!</definedName>
    <definedName name="VARCRI">#REF!</definedName>
    <definedName name="VARTA" localSheetId="6">#REF!</definedName>
    <definedName name="VARTA" localSheetId="7">#REF!</definedName>
    <definedName name="VARTA" localSheetId="14">#REF!</definedName>
    <definedName name="VARTA" localSheetId="15">#REF!</definedName>
    <definedName name="VARTA" localSheetId="29">#REF!</definedName>
    <definedName name="VARTA" localSheetId="22">#REF!</definedName>
    <definedName name="VARTA" localSheetId="36">#REF!</definedName>
    <definedName name="VARTA" localSheetId="50">#REF!</definedName>
    <definedName name="VARTA" localSheetId="56">#REF!</definedName>
    <definedName name="VARTA">#REF!</definedName>
    <definedName name="VENTAS" localSheetId="6">#REF!</definedName>
    <definedName name="VENTAS" localSheetId="7">#REF!</definedName>
    <definedName name="VENTAS" localSheetId="14">#REF!</definedName>
    <definedName name="VENTAS" localSheetId="15">#REF!</definedName>
    <definedName name="VENTAS" localSheetId="29">#REF!</definedName>
    <definedName name="VENTAS" localSheetId="22">#REF!</definedName>
    <definedName name="VENTAS" localSheetId="24">#REF!</definedName>
    <definedName name="VENTAS" localSheetId="36">#REF!</definedName>
    <definedName name="VENTAS" localSheetId="50">#REF!</definedName>
    <definedName name="VENTAS" localSheetId="56">#REF!</definedName>
    <definedName name="VENTAS">#REF!</definedName>
    <definedName name="XCER" localSheetId="6">#REF!</definedName>
    <definedName name="XCER" localSheetId="7">#REF!</definedName>
    <definedName name="XCER" localSheetId="14">#REF!</definedName>
    <definedName name="XCER" localSheetId="15">#REF!</definedName>
    <definedName name="XCER" localSheetId="29">#REF!</definedName>
    <definedName name="XCER" localSheetId="22">#REF!</definedName>
    <definedName name="XCER" localSheetId="24">#REF!</definedName>
    <definedName name="XCER" localSheetId="36">#REF!</definedName>
    <definedName name="XCER" localSheetId="50">#REF!</definedName>
    <definedName name="XCER" localSheetId="56">#REF!</definedName>
    <definedName name="XC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94" i="11" l="1"/>
  <c r="H395" i="11"/>
  <c r="H396" i="11"/>
  <c r="B395" i="89" l="1"/>
  <c r="B396" i="89"/>
  <c r="B397" i="89"/>
  <c r="B398" i="89"/>
  <c r="B399" i="89"/>
  <c r="B400" i="89"/>
  <c r="B401" i="89"/>
  <c r="B402" i="89"/>
  <c r="B403" i="89"/>
  <c r="B404" i="89"/>
  <c r="B405" i="89"/>
  <c r="D394" i="89"/>
  <c r="B394" i="89"/>
  <c r="E73" i="84" l="1"/>
  <c r="C250" i="3" l="1"/>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G82" i="53" l="1"/>
  <c r="P344" i="84"/>
  <c r="O344" i="84"/>
  <c r="N344" i="84"/>
  <c r="M344" i="84"/>
  <c r="L344" i="84"/>
  <c r="K344" i="84"/>
  <c r="J344" i="84"/>
  <c r="I344" i="84"/>
  <c r="H344" i="84"/>
  <c r="G344" i="84"/>
  <c r="F344" i="84"/>
  <c r="E344" i="84"/>
  <c r="P331" i="84"/>
  <c r="O331" i="84"/>
  <c r="N331" i="84"/>
  <c r="M331" i="84"/>
  <c r="Q73" i="84"/>
  <c r="P73" i="84"/>
  <c r="O73" i="84"/>
  <c r="N73" i="84"/>
  <c r="M73" i="84"/>
  <c r="L73" i="84"/>
  <c r="K73" i="84"/>
  <c r="J73" i="84"/>
  <c r="I73" i="84"/>
  <c r="H73" i="84"/>
  <c r="G81" i="53" l="1"/>
  <c r="G83" i="53"/>
  <c r="I74" i="114"/>
  <c r="I75" i="114"/>
  <c r="I76" i="114"/>
  <c r="I77" i="114"/>
  <c r="I78" i="114"/>
  <c r="I79" i="114"/>
  <c r="I80" i="114"/>
  <c r="I81" i="114"/>
  <c r="I82" i="114"/>
  <c r="I83" i="114"/>
  <c r="I84" i="114"/>
  <c r="I85" i="114"/>
  <c r="I86" i="114"/>
  <c r="I87" i="114"/>
  <c r="I88" i="114"/>
  <c r="I89" i="114"/>
  <c r="I90" i="114"/>
  <c r="I91" i="114"/>
  <c r="I92" i="114"/>
  <c r="I93" i="114"/>
  <c r="I94" i="114"/>
  <c r="I95" i="114"/>
  <c r="I96" i="114"/>
  <c r="I97" i="114"/>
  <c r="M111" i="135" l="1"/>
  <c r="L394" i="108"/>
  <c r="G53" i="53"/>
  <c r="A17" i="137"/>
  <c r="A21" i="137" s="1"/>
  <c r="A25" i="137" s="1"/>
  <c r="A29" i="137" s="1"/>
  <c r="A33" i="137" s="1"/>
  <c r="A37" i="137" s="1"/>
  <c r="A41" i="137" s="1"/>
  <c r="A45" i="137" s="1"/>
  <c r="A49" i="137" s="1"/>
  <c r="A53" i="137" s="1"/>
  <c r="A57" i="137" s="1"/>
  <c r="A61" i="137" s="1"/>
  <c r="A65" i="137" s="1"/>
  <c r="A69" i="137" s="1"/>
  <c r="A73" i="137" s="1"/>
  <c r="A77" i="137" s="1"/>
  <c r="A16" i="137"/>
  <c r="A20" i="137" s="1"/>
  <c r="A24" i="137" s="1"/>
  <c r="A28" i="137" s="1"/>
  <c r="A32" i="137" s="1"/>
  <c r="A36" i="137" s="1"/>
  <c r="A40" i="137" s="1"/>
  <c r="A44" i="137" s="1"/>
  <c r="A48" i="137" s="1"/>
  <c r="A52" i="137" s="1"/>
  <c r="A56" i="137" s="1"/>
  <c r="A60" i="137" s="1"/>
  <c r="A64" i="137" s="1"/>
  <c r="A68" i="137" s="1"/>
  <c r="A72" i="137" s="1"/>
  <c r="A76" i="137" s="1"/>
  <c r="A15" i="137"/>
  <c r="A19" i="137" s="1"/>
  <c r="A23" i="137" s="1"/>
  <c r="A27" i="137" s="1"/>
  <c r="A31" i="137" s="1"/>
  <c r="A35" i="137" s="1"/>
  <c r="A39" i="137" s="1"/>
  <c r="A43" i="137" s="1"/>
  <c r="A47" i="137" s="1"/>
  <c r="A51" i="137" s="1"/>
  <c r="A55" i="137" s="1"/>
  <c r="A59" i="137" s="1"/>
  <c r="A63" i="137" s="1"/>
  <c r="A67" i="137" s="1"/>
  <c r="A71" i="137" s="1"/>
  <c r="A75" i="137" s="1"/>
  <c r="A14" i="137"/>
  <c r="A18" i="137" s="1"/>
  <c r="A22" i="137" s="1"/>
  <c r="A26" i="137" s="1"/>
  <c r="A30" i="137" s="1"/>
  <c r="A34" i="137" s="1"/>
  <c r="A38" i="137" s="1"/>
  <c r="A42" i="137" s="1"/>
  <c r="A46" i="137" s="1"/>
  <c r="A50" i="137" s="1"/>
  <c r="A54" i="137" s="1"/>
  <c r="A58" i="137" s="1"/>
  <c r="A62" i="137" s="1"/>
  <c r="A66" i="137" s="1"/>
  <c r="A70" i="137" s="1"/>
  <c r="A74" i="137" s="1"/>
  <c r="A23" i="112"/>
  <c r="A35" i="112" s="1"/>
  <c r="A47" i="112" s="1"/>
  <c r="A59" i="112" s="1"/>
  <c r="A71" i="112" s="1"/>
  <c r="A83" i="112" s="1"/>
  <c r="A95" i="112" s="1"/>
  <c r="A107" i="112" s="1"/>
  <c r="A119" i="112" s="1"/>
  <c r="A131" i="112" s="1"/>
  <c r="A143" i="112" s="1"/>
  <c r="A155" i="112" s="1"/>
  <c r="A167" i="112" s="1"/>
  <c r="A179" i="112" s="1"/>
  <c r="A24" i="112"/>
  <c r="A36" i="112" s="1"/>
  <c r="A48" i="112" s="1"/>
  <c r="A60" i="112" s="1"/>
  <c r="A72" i="112" s="1"/>
  <c r="A84" i="112" s="1"/>
  <c r="A96" i="112" s="1"/>
  <c r="A108" i="112" s="1"/>
  <c r="A120" i="112" s="1"/>
  <c r="A132" i="112" s="1"/>
  <c r="A144" i="112" s="1"/>
  <c r="A156" i="112" s="1"/>
  <c r="A168" i="112" s="1"/>
  <c r="A180" i="112" s="1"/>
  <c r="A25" i="112"/>
  <c r="A37" i="112" s="1"/>
  <c r="A49" i="112" s="1"/>
  <c r="A61" i="112" s="1"/>
  <c r="A73" i="112" s="1"/>
  <c r="A85" i="112" s="1"/>
  <c r="A97" i="112" s="1"/>
  <c r="A109" i="112" s="1"/>
  <c r="A121" i="112" s="1"/>
  <c r="A133" i="112" s="1"/>
  <c r="A145" i="112" s="1"/>
  <c r="A157" i="112" s="1"/>
  <c r="A169" i="112" s="1"/>
  <c r="A181" i="112" s="1"/>
  <c r="A26" i="112"/>
  <c r="A38" i="112" s="1"/>
  <c r="A50" i="112" s="1"/>
  <c r="A62" i="112" s="1"/>
  <c r="A74" i="112" s="1"/>
  <c r="A86" i="112" s="1"/>
  <c r="A98" i="112" s="1"/>
  <c r="A110" i="112" s="1"/>
  <c r="A122" i="112" s="1"/>
  <c r="A134" i="112" s="1"/>
  <c r="A146" i="112" s="1"/>
  <c r="A158" i="112" s="1"/>
  <c r="A170" i="112" s="1"/>
  <c r="A182" i="112" s="1"/>
  <c r="A27" i="112"/>
  <c r="A39" i="112" s="1"/>
  <c r="A51" i="112" s="1"/>
  <c r="A63" i="112" s="1"/>
  <c r="A75" i="112" s="1"/>
  <c r="A87" i="112" s="1"/>
  <c r="A99" i="112" s="1"/>
  <c r="A111" i="112" s="1"/>
  <c r="A123" i="112" s="1"/>
  <c r="A135" i="112" s="1"/>
  <c r="A147" i="112" s="1"/>
  <c r="A159" i="112" s="1"/>
  <c r="A171" i="112" s="1"/>
  <c r="A183" i="112" s="1"/>
  <c r="A22" i="112"/>
  <c r="A34" i="112" s="1"/>
  <c r="A46" i="112" s="1"/>
  <c r="A58" i="112" s="1"/>
  <c r="A70" i="112" s="1"/>
  <c r="A82" i="112" s="1"/>
  <c r="A94" i="112" s="1"/>
  <c r="A106" i="112" s="1"/>
  <c r="A118" i="112" s="1"/>
  <c r="A130" i="112" s="1"/>
  <c r="A142" i="112" s="1"/>
  <c r="A154" i="112" s="1"/>
  <c r="A166" i="112" s="1"/>
  <c r="A178" i="112" s="1"/>
  <c r="H392" i="11"/>
  <c r="H393" i="11"/>
  <c r="E369" i="100"/>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10" i="14"/>
  <c r="E358" i="100"/>
  <c r="K358" i="100"/>
  <c r="D148" i="116" l="1"/>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C12" i="136"/>
  <c r="C11" i="136"/>
  <c r="C13" i="136"/>
  <c r="C14" i="136"/>
  <c r="C15" i="136"/>
  <c r="C16" i="136"/>
  <c r="C17" i="136"/>
  <c r="C18" i="136"/>
  <c r="C19" i="136"/>
  <c r="C20" i="136"/>
  <c r="C21" i="136"/>
  <c r="C22" i="136"/>
  <c r="C23" i="136"/>
  <c r="C24" i="136"/>
  <c r="C25" i="136"/>
  <c r="C26" i="136"/>
  <c r="C27" i="136"/>
  <c r="C28" i="136"/>
  <c r="C29" i="136"/>
  <c r="C30" i="136"/>
  <c r="C31" i="136"/>
  <c r="C32" i="136"/>
  <c r="C33" i="136"/>
  <c r="C34" i="136"/>
  <c r="C35" i="136"/>
  <c r="C36" i="136"/>
  <c r="C37" i="136"/>
  <c r="C38" i="136"/>
  <c r="C39" i="136"/>
  <c r="C40" i="136"/>
  <c r="C41" i="136"/>
  <c r="C42" i="136"/>
  <c r="C43" i="136"/>
  <c r="C44" i="136"/>
  <c r="C45" i="136"/>
  <c r="C46" i="136"/>
  <c r="C47" i="136"/>
  <c r="C48" i="136"/>
  <c r="C49" i="136"/>
  <c r="C50" i="136"/>
  <c r="C51" i="136"/>
  <c r="C52" i="136"/>
  <c r="C53" i="136"/>
  <c r="C54" i="136"/>
  <c r="C55" i="136"/>
  <c r="C56" i="136"/>
  <c r="C57" i="136"/>
  <c r="C58" i="136"/>
  <c r="C59" i="136"/>
  <c r="C60" i="136"/>
  <c r="C61" i="136"/>
  <c r="C62" i="136"/>
  <c r="C63" i="136"/>
  <c r="C64" i="136"/>
  <c r="C65" i="136"/>
  <c r="C66" i="136"/>
  <c r="C67" i="136"/>
  <c r="C68" i="136"/>
  <c r="C69" i="136"/>
  <c r="C70" i="136"/>
  <c r="C71" i="136"/>
  <c r="C72" i="136"/>
  <c r="C73" i="136"/>
  <c r="C74" i="136"/>
  <c r="C75" i="136"/>
  <c r="C76" i="136"/>
  <c r="C77" i="136"/>
  <c r="C78" i="136"/>
  <c r="C79" i="136"/>
  <c r="C80" i="136"/>
  <c r="C81" i="136"/>
  <c r="C82" i="136"/>
  <c r="C83" i="136"/>
  <c r="C84" i="136"/>
  <c r="C85" i="136"/>
  <c r="C86" i="136"/>
  <c r="C87" i="136"/>
  <c r="C88" i="136"/>
  <c r="C89" i="136"/>
  <c r="C90" i="136"/>
  <c r="C91" i="136"/>
  <c r="C92" i="136"/>
  <c r="C93" i="136"/>
  <c r="C94" i="136"/>
  <c r="C95" i="136"/>
  <c r="C96" i="136"/>
  <c r="C97" i="136"/>
  <c r="C98" i="136"/>
  <c r="C99" i="136"/>
  <c r="C100" i="136"/>
  <c r="C101" i="136"/>
  <c r="C102" i="136"/>
  <c r="C103" i="136"/>
  <c r="C104" i="136"/>
  <c r="C105" i="136"/>
  <c r="C106" i="136"/>
  <c r="C107" i="136"/>
  <c r="C108" i="136"/>
  <c r="C109" i="136"/>
  <c r="C110" i="136"/>
  <c r="C111" i="136"/>
  <c r="C112" i="136"/>
  <c r="C113" i="136"/>
  <c r="C114" i="136"/>
  <c r="C115" i="136"/>
  <c r="C116" i="136"/>
  <c r="C117" i="136"/>
  <c r="C118" i="136"/>
  <c r="C119" i="136"/>
  <c r="C120" i="136"/>
  <c r="C121" i="136"/>
  <c r="C122" i="136"/>
  <c r="C123" i="136"/>
  <c r="C124" i="136"/>
  <c r="C125" i="136"/>
  <c r="C126" i="136"/>
  <c r="C127" i="136"/>
  <c r="C128" i="136"/>
  <c r="C129" i="136"/>
  <c r="C130" i="136"/>
  <c r="C131" i="136"/>
  <c r="C132" i="136"/>
  <c r="C133" i="136"/>
  <c r="C134" i="136"/>
  <c r="C135" i="136"/>
  <c r="C136" i="136"/>
  <c r="C137" i="136"/>
  <c r="C138" i="136"/>
  <c r="C139" i="136"/>
  <c r="C140" i="136"/>
  <c r="C141" i="136"/>
  <c r="C142" i="136"/>
  <c r="C143" i="136"/>
  <c r="C144" i="136"/>
  <c r="C145" i="136"/>
  <c r="C146" i="136"/>
  <c r="C147" i="136"/>
  <c r="C148" i="136"/>
  <c r="C149" i="136"/>
  <c r="C150" i="136"/>
  <c r="C151" i="136"/>
  <c r="C152" i="136"/>
  <c r="C153" i="136"/>
  <c r="C154" i="136"/>
  <c r="C155" i="136"/>
  <c r="C156" i="136"/>
  <c r="C157" i="136"/>
  <c r="C158" i="136"/>
  <c r="C159" i="136"/>
  <c r="C160" i="136"/>
  <c r="C161" i="136"/>
  <c r="C162" i="136"/>
  <c r="C163" i="136"/>
  <c r="C164" i="136"/>
  <c r="C165" i="136"/>
  <c r="C166" i="136"/>
  <c r="C167" i="136"/>
  <c r="C168" i="136"/>
  <c r="C169" i="136"/>
  <c r="C170" i="136"/>
  <c r="C171" i="136"/>
  <c r="C172" i="136"/>
  <c r="C173" i="136"/>
  <c r="C174" i="136"/>
  <c r="C175" i="136"/>
  <c r="C176" i="136"/>
  <c r="C177" i="136"/>
  <c r="C178" i="136"/>
  <c r="C179" i="136"/>
  <c r="C180" i="136"/>
  <c r="C181" i="136"/>
  <c r="C182" i="136"/>
  <c r="C183" i="136"/>
  <c r="C184" i="136"/>
  <c r="C185" i="136"/>
  <c r="C186" i="136"/>
  <c r="C187" i="136"/>
  <c r="C188" i="136"/>
  <c r="C189" i="136"/>
  <c r="C190" i="136"/>
  <c r="C191" i="136"/>
  <c r="C192" i="136"/>
  <c r="C193" i="136"/>
  <c r="C194" i="136"/>
  <c r="C195" i="136"/>
  <c r="C196" i="136"/>
  <c r="C197" i="136"/>
  <c r="C198" i="136"/>
  <c r="C199" i="136"/>
  <c r="C200" i="136"/>
  <c r="C201" i="136"/>
  <c r="C202" i="136"/>
  <c r="C203" i="136"/>
  <c r="C204" i="136"/>
  <c r="C205" i="136"/>
  <c r="C206" i="136"/>
  <c r="C207" i="136"/>
  <c r="C208" i="136"/>
  <c r="C209" i="136"/>
  <c r="C210" i="136"/>
  <c r="C211" i="136"/>
  <c r="C212" i="136"/>
  <c r="C213" i="136"/>
  <c r="C214" i="136"/>
  <c r="C215" i="136"/>
  <c r="C216" i="136"/>
  <c r="C217" i="136"/>
  <c r="C218" i="136"/>
  <c r="C219" i="136"/>
  <c r="C220" i="136"/>
  <c r="C221" i="136"/>
  <c r="C222" i="136"/>
  <c r="C223" i="136"/>
  <c r="C224" i="136"/>
  <c r="C225" i="136"/>
  <c r="C226" i="136"/>
  <c r="C227" i="136"/>
  <c r="C228" i="136"/>
  <c r="C229" i="136"/>
  <c r="C230" i="136"/>
  <c r="C231" i="136"/>
  <c r="C232" i="136"/>
  <c r="C233" i="136"/>
  <c r="C234" i="136"/>
  <c r="C235" i="136"/>
  <c r="C236" i="136"/>
  <c r="C237" i="136"/>
  <c r="C238" i="136"/>
  <c r="C239" i="136"/>
  <c r="C240" i="136"/>
  <c r="C241" i="136"/>
  <c r="C242" i="136"/>
  <c r="C243" i="136"/>
  <c r="C244" i="136"/>
  <c r="C245" i="136"/>
  <c r="C246" i="136"/>
  <c r="C247" i="136"/>
  <c r="C248" i="136"/>
  <c r="C249" i="136"/>
  <c r="C250" i="136"/>
  <c r="C251" i="136"/>
  <c r="C252" i="136"/>
  <c r="C253" i="136"/>
  <c r="C254" i="136"/>
  <c r="C255" i="136"/>
  <c r="C256" i="136"/>
  <c r="C257" i="136"/>
  <c r="C258" i="136"/>
  <c r="C259" i="136"/>
  <c r="C260" i="136"/>
  <c r="C261" i="136"/>
  <c r="C262" i="136"/>
  <c r="C263" i="136"/>
  <c r="C264" i="136"/>
  <c r="C265" i="136"/>
  <c r="C266" i="136"/>
  <c r="C267" i="136"/>
  <c r="C268" i="136"/>
  <c r="C269" i="136"/>
  <c r="C270" i="136"/>
  <c r="C271" i="136"/>
  <c r="C272" i="136"/>
  <c r="C273" i="136"/>
  <c r="C274" i="136"/>
  <c r="C275" i="136"/>
  <c r="C276" i="136"/>
  <c r="C277" i="136"/>
  <c r="C278" i="136"/>
  <c r="C279" i="136"/>
  <c r="C280" i="136"/>
  <c r="C281" i="136"/>
  <c r="C282" i="136"/>
  <c r="C283" i="136"/>
  <c r="C284" i="136"/>
  <c r="C285" i="136"/>
  <c r="C286" i="136"/>
  <c r="C287" i="136"/>
  <c r="C288" i="136"/>
  <c r="C289" i="136"/>
  <c r="C290" i="136"/>
  <c r="C291" i="136"/>
  <c r="C292" i="136"/>
  <c r="C293" i="136"/>
  <c r="C294" i="136"/>
  <c r="C295" i="136"/>
  <c r="C296" i="136"/>
  <c r="C297" i="136"/>
  <c r="C298" i="136"/>
  <c r="C299" i="136"/>
  <c r="C300" i="136"/>
  <c r="C301" i="136"/>
  <c r="C302" i="136"/>
  <c r="C303" i="136"/>
  <c r="C304" i="136"/>
  <c r="C305" i="136"/>
  <c r="C306" i="136"/>
  <c r="C307" i="136"/>
  <c r="C308" i="136"/>
  <c r="C309" i="136"/>
  <c r="C310" i="136"/>
  <c r="C311" i="136"/>
  <c r="C312" i="136"/>
  <c r="C313" i="136"/>
  <c r="C314" i="136"/>
  <c r="C315" i="136"/>
  <c r="C316" i="136"/>
  <c r="C317" i="136"/>
  <c r="C318" i="136"/>
  <c r="C319" i="136"/>
  <c r="C320" i="136"/>
  <c r="C321" i="136"/>
  <c r="C322" i="136"/>
  <c r="C323" i="136"/>
  <c r="C324" i="136"/>
  <c r="C325" i="136"/>
  <c r="C326" i="136"/>
  <c r="C327" i="136"/>
  <c r="C328" i="136"/>
  <c r="C329" i="136"/>
  <c r="C330" i="136"/>
  <c r="C331" i="136"/>
  <c r="C332" i="136"/>
  <c r="C333" i="136"/>
  <c r="G16" i="53"/>
  <c r="A69" i="136"/>
  <c r="A81" i="136" s="1"/>
  <c r="A93" i="136" s="1"/>
  <c r="A105" i="136" s="1"/>
  <c r="A117" i="136" s="1"/>
  <c r="A129" i="136" s="1"/>
  <c r="A141" i="136" s="1"/>
  <c r="A153" i="136" s="1"/>
  <c r="A165" i="136" s="1"/>
  <c r="A177" i="136" s="1"/>
  <c r="A189" i="136" s="1"/>
  <c r="A201" i="136" s="1"/>
  <c r="A213" i="136" s="1"/>
  <c r="A225" i="136" s="1"/>
  <c r="A237" i="136" s="1"/>
  <c r="A249" i="136" s="1"/>
  <c r="A261" i="136" s="1"/>
  <c r="A273" i="136" s="1"/>
  <c r="A285" i="136" s="1"/>
  <c r="A297" i="136" s="1"/>
  <c r="A309" i="136" s="1"/>
  <c r="A321" i="136" s="1"/>
  <c r="A333" i="136" s="1"/>
  <c r="A68" i="136"/>
  <c r="A80" i="136" s="1"/>
  <c r="A92" i="136" s="1"/>
  <c r="A104" i="136" s="1"/>
  <c r="A116" i="136" s="1"/>
  <c r="A128" i="136" s="1"/>
  <c r="A140" i="136" s="1"/>
  <c r="A152" i="136" s="1"/>
  <c r="A164" i="136" s="1"/>
  <c r="A176" i="136" s="1"/>
  <c r="A188" i="136" s="1"/>
  <c r="A200" i="136" s="1"/>
  <c r="A212" i="136" s="1"/>
  <c r="A224" i="136" s="1"/>
  <c r="A236" i="136" s="1"/>
  <c r="A248" i="136" s="1"/>
  <c r="A260" i="136" s="1"/>
  <c r="A272" i="136" s="1"/>
  <c r="A284" i="136" s="1"/>
  <c r="A296" i="136" s="1"/>
  <c r="A308" i="136" s="1"/>
  <c r="A320" i="136" s="1"/>
  <c r="A332" i="136" s="1"/>
  <c r="A67" i="136"/>
  <c r="A79" i="136" s="1"/>
  <c r="A91" i="136" s="1"/>
  <c r="A103" i="136" s="1"/>
  <c r="A115" i="136" s="1"/>
  <c r="A127" i="136" s="1"/>
  <c r="A139" i="136" s="1"/>
  <c r="A151" i="136" s="1"/>
  <c r="A163" i="136" s="1"/>
  <c r="A175" i="136" s="1"/>
  <c r="A187" i="136" s="1"/>
  <c r="A199" i="136" s="1"/>
  <c r="A211" i="136" s="1"/>
  <c r="A223" i="136" s="1"/>
  <c r="A235" i="136" s="1"/>
  <c r="A247" i="136" s="1"/>
  <c r="A259" i="136" s="1"/>
  <c r="A271" i="136" s="1"/>
  <c r="A283" i="136" s="1"/>
  <c r="A295" i="136" s="1"/>
  <c r="A307" i="136" s="1"/>
  <c r="A319" i="136" s="1"/>
  <c r="A331" i="136" s="1"/>
  <c r="A66" i="136"/>
  <c r="A78" i="136" s="1"/>
  <c r="A90" i="136" s="1"/>
  <c r="A102" i="136" s="1"/>
  <c r="A114" i="136" s="1"/>
  <c r="A126" i="136" s="1"/>
  <c r="A138" i="136" s="1"/>
  <c r="A150" i="136" s="1"/>
  <c r="A162" i="136" s="1"/>
  <c r="A174" i="136" s="1"/>
  <c r="A186" i="136" s="1"/>
  <c r="A198" i="136" s="1"/>
  <c r="A210" i="136" s="1"/>
  <c r="A222" i="136" s="1"/>
  <c r="A234" i="136" s="1"/>
  <c r="A246" i="136" s="1"/>
  <c r="A258" i="136" s="1"/>
  <c r="A270" i="136" s="1"/>
  <c r="A282" i="136" s="1"/>
  <c r="A294" i="136" s="1"/>
  <c r="A306" i="136" s="1"/>
  <c r="A318" i="136" s="1"/>
  <c r="A330" i="136" s="1"/>
  <c r="A65" i="136"/>
  <c r="A77" i="136" s="1"/>
  <c r="A89" i="136" s="1"/>
  <c r="A101" i="136" s="1"/>
  <c r="A113" i="136" s="1"/>
  <c r="A125" i="136" s="1"/>
  <c r="A137" i="136" s="1"/>
  <c r="A149" i="136" s="1"/>
  <c r="A161" i="136" s="1"/>
  <c r="A173" i="136" s="1"/>
  <c r="A185" i="136" s="1"/>
  <c r="A197" i="136" s="1"/>
  <c r="A209" i="136" s="1"/>
  <c r="A221" i="136" s="1"/>
  <c r="A233" i="136" s="1"/>
  <c r="A245" i="136" s="1"/>
  <c r="A257" i="136" s="1"/>
  <c r="A269" i="136" s="1"/>
  <c r="A281" i="136" s="1"/>
  <c r="A293" i="136" s="1"/>
  <c r="A305" i="136" s="1"/>
  <c r="A317" i="136" s="1"/>
  <c r="A329" i="136" s="1"/>
  <c r="A64" i="136"/>
  <c r="A76" i="136" s="1"/>
  <c r="A88" i="136" s="1"/>
  <c r="A100" i="136" s="1"/>
  <c r="A112" i="136" s="1"/>
  <c r="A124" i="136" s="1"/>
  <c r="A136" i="136" s="1"/>
  <c r="A148" i="136" s="1"/>
  <c r="A160" i="136" s="1"/>
  <c r="A172" i="136" s="1"/>
  <c r="A184" i="136" s="1"/>
  <c r="A196" i="136" s="1"/>
  <c r="A208" i="136" s="1"/>
  <c r="A220" i="136" s="1"/>
  <c r="A232" i="136" s="1"/>
  <c r="A244" i="136" s="1"/>
  <c r="A256" i="136" s="1"/>
  <c r="A268" i="136" s="1"/>
  <c r="A280" i="136" s="1"/>
  <c r="A292" i="136" s="1"/>
  <c r="A304" i="136" s="1"/>
  <c r="A316" i="136" s="1"/>
  <c r="A328" i="136" s="1"/>
  <c r="A63" i="136"/>
  <c r="A75" i="136" s="1"/>
  <c r="A87" i="136" s="1"/>
  <c r="A99" i="136" s="1"/>
  <c r="A111" i="136" s="1"/>
  <c r="A123" i="136" s="1"/>
  <c r="A135" i="136" s="1"/>
  <c r="A147" i="136" s="1"/>
  <c r="A159" i="136" s="1"/>
  <c r="A171" i="136" s="1"/>
  <c r="A183" i="136" s="1"/>
  <c r="A195" i="136" s="1"/>
  <c r="A207" i="136" s="1"/>
  <c r="A219" i="136" s="1"/>
  <c r="A231" i="136" s="1"/>
  <c r="A243" i="136" s="1"/>
  <c r="A255" i="136" s="1"/>
  <c r="A267" i="136" s="1"/>
  <c r="A279" i="136" s="1"/>
  <c r="A291" i="136" s="1"/>
  <c r="A303" i="136" s="1"/>
  <c r="A315" i="136" s="1"/>
  <c r="A327" i="136" s="1"/>
  <c r="A62" i="136"/>
  <c r="A74" i="136" s="1"/>
  <c r="A86" i="136" s="1"/>
  <c r="A98" i="136" s="1"/>
  <c r="A110" i="136" s="1"/>
  <c r="A122" i="136" s="1"/>
  <c r="A134" i="136" s="1"/>
  <c r="A146" i="136" s="1"/>
  <c r="A158" i="136" s="1"/>
  <c r="A170" i="136" s="1"/>
  <c r="A182" i="136" s="1"/>
  <c r="A194" i="136" s="1"/>
  <c r="A206" i="136" s="1"/>
  <c r="A218" i="136" s="1"/>
  <c r="A230" i="136" s="1"/>
  <c r="A242" i="136" s="1"/>
  <c r="A254" i="136" s="1"/>
  <c r="A266" i="136" s="1"/>
  <c r="A278" i="136" s="1"/>
  <c r="A290" i="136" s="1"/>
  <c r="A302" i="136" s="1"/>
  <c r="A314" i="136" s="1"/>
  <c r="A326" i="136" s="1"/>
  <c r="A61" i="136"/>
  <c r="A73" i="136" s="1"/>
  <c r="A85" i="136" s="1"/>
  <c r="A97" i="136" s="1"/>
  <c r="A109" i="136" s="1"/>
  <c r="A121" i="136" s="1"/>
  <c r="A133" i="136" s="1"/>
  <c r="A145" i="136" s="1"/>
  <c r="A157" i="136" s="1"/>
  <c r="A169" i="136" s="1"/>
  <c r="A181" i="136" s="1"/>
  <c r="A193" i="136" s="1"/>
  <c r="A205" i="136" s="1"/>
  <c r="A217" i="136" s="1"/>
  <c r="A229" i="136" s="1"/>
  <c r="A241" i="136" s="1"/>
  <c r="A253" i="136" s="1"/>
  <c r="A265" i="136" s="1"/>
  <c r="A277" i="136" s="1"/>
  <c r="A289" i="136" s="1"/>
  <c r="A301" i="136" s="1"/>
  <c r="A313" i="136" s="1"/>
  <c r="A325" i="136" s="1"/>
  <c r="A60" i="136"/>
  <c r="A72" i="136" s="1"/>
  <c r="A84" i="136" s="1"/>
  <c r="A96" i="136" s="1"/>
  <c r="A108" i="136" s="1"/>
  <c r="A120" i="136" s="1"/>
  <c r="A132" i="136" s="1"/>
  <c r="A144" i="136" s="1"/>
  <c r="A156" i="136" s="1"/>
  <c r="A168" i="136" s="1"/>
  <c r="A180" i="136" s="1"/>
  <c r="A192" i="136" s="1"/>
  <c r="A204" i="136" s="1"/>
  <c r="A216" i="136" s="1"/>
  <c r="A228" i="136" s="1"/>
  <c r="A240" i="136" s="1"/>
  <c r="A252" i="136" s="1"/>
  <c r="A264" i="136" s="1"/>
  <c r="A276" i="136" s="1"/>
  <c r="A288" i="136" s="1"/>
  <c r="A300" i="136" s="1"/>
  <c r="A312" i="136" s="1"/>
  <c r="A324" i="136" s="1"/>
  <c r="A59" i="136"/>
  <c r="A71" i="136" s="1"/>
  <c r="A83" i="136" s="1"/>
  <c r="A95" i="136" s="1"/>
  <c r="A107" i="136" s="1"/>
  <c r="A119" i="136" s="1"/>
  <c r="A131" i="136" s="1"/>
  <c r="A143" i="136" s="1"/>
  <c r="A155" i="136" s="1"/>
  <c r="A167" i="136" s="1"/>
  <c r="A179" i="136" s="1"/>
  <c r="A191" i="136" s="1"/>
  <c r="A203" i="136" s="1"/>
  <c r="A215" i="136" s="1"/>
  <c r="A227" i="136" s="1"/>
  <c r="A239" i="136" s="1"/>
  <c r="A251" i="136" s="1"/>
  <c r="A263" i="136" s="1"/>
  <c r="A275" i="136" s="1"/>
  <c r="A287" i="136" s="1"/>
  <c r="A299" i="136" s="1"/>
  <c r="A311" i="136" s="1"/>
  <c r="A323" i="136" s="1"/>
  <c r="A58" i="136"/>
  <c r="A70" i="136" s="1"/>
  <c r="A82" i="136" s="1"/>
  <c r="A94" i="136" s="1"/>
  <c r="A106" i="136" s="1"/>
  <c r="A118" i="136" s="1"/>
  <c r="A130" i="136" s="1"/>
  <c r="A142" i="136" s="1"/>
  <c r="A154" i="136" s="1"/>
  <c r="A166" i="136" s="1"/>
  <c r="A178" i="136" s="1"/>
  <c r="A190" i="136" s="1"/>
  <c r="A202" i="136" s="1"/>
  <c r="A214" i="136" s="1"/>
  <c r="A226" i="136" s="1"/>
  <c r="A238" i="136" s="1"/>
  <c r="A250" i="136" s="1"/>
  <c r="A262" i="136" s="1"/>
  <c r="A274" i="136" s="1"/>
  <c r="A286" i="136" s="1"/>
  <c r="A298" i="136" s="1"/>
  <c r="A310" i="136" s="1"/>
  <c r="A322" i="136" s="1"/>
  <c r="H387" i="11"/>
  <c r="H388" i="11"/>
  <c r="H389" i="11"/>
  <c r="H390" i="11"/>
  <c r="S19" i="3" l="1"/>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G31" i="53"/>
  <c r="G30" i="53"/>
  <c r="G29" i="53"/>
  <c r="B78" i="134" l="1"/>
  <c r="B80" i="134"/>
  <c r="C78" i="134"/>
  <c r="C80" i="134"/>
  <c r="D78" i="134"/>
  <c r="D80" i="134"/>
  <c r="E78" i="134"/>
  <c r="F78" i="134"/>
  <c r="E80" i="134"/>
  <c r="F80" i="134"/>
  <c r="B3" i="95"/>
  <c r="E79" i="134" l="1"/>
  <c r="B79" i="134"/>
  <c r="F79" i="134"/>
  <c r="C79" i="134"/>
  <c r="D79" i="134"/>
  <c r="T10" i="95"/>
  <c r="T11" i="95"/>
  <c r="T12" i="95"/>
  <c r="T13" i="95"/>
  <c r="T14" i="95"/>
  <c r="T15" i="95"/>
  <c r="T16" i="95"/>
  <c r="T17" i="95"/>
  <c r="T18" i="95"/>
  <c r="T19" i="95"/>
  <c r="T20" i="95"/>
  <c r="T21" i="95"/>
  <c r="Q10" i="95"/>
  <c r="Q11" i="95"/>
  <c r="Q12" i="95"/>
  <c r="Q13" i="95"/>
  <c r="Q14" i="95"/>
  <c r="Q15" i="95"/>
  <c r="Q16" i="95"/>
  <c r="Q17" i="95"/>
  <c r="Q18" i="95"/>
  <c r="Q19" i="95"/>
  <c r="Q20" i="95"/>
  <c r="Q21" i="95"/>
  <c r="N10" i="95"/>
  <c r="N11" i="95"/>
  <c r="N12" i="95"/>
  <c r="N13" i="95"/>
  <c r="N14" i="95"/>
  <c r="N15" i="95"/>
  <c r="N16" i="95"/>
  <c r="N17" i="95"/>
  <c r="N18" i="95"/>
  <c r="N19" i="95"/>
  <c r="N20" i="95"/>
  <c r="N21" i="95"/>
  <c r="V139" i="135" l="1"/>
  <c r="U139" i="135"/>
  <c r="T139" i="135"/>
  <c r="V138" i="135"/>
  <c r="U138" i="135"/>
  <c r="T138" i="135"/>
  <c r="V137" i="135"/>
  <c r="U137" i="135"/>
  <c r="T137" i="135"/>
  <c r="V136" i="135"/>
  <c r="U136" i="135"/>
  <c r="T136" i="135"/>
  <c r="V135" i="135"/>
  <c r="U135" i="135"/>
  <c r="T135" i="135"/>
  <c r="V134" i="135"/>
  <c r="U134" i="135"/>
  <c r="T134" i="135"/>
  <c r="V133" i="135"/>
  <c r="U133" i="135"/>
  <c r="T133" i="135"/>
  <c r="V132" i="135"/>
  <c r="U132" i="135"/>
  <c r="T132" i="135"/>
  <c r="V131" i="135"/>
  <c r="U131" i="135"/>
  <c r="T131" i="135"/>
  <c r="V130" i="135"/>
  <c r="U130" i="135"/>
  <c r="T130" i="135"/>
  <c r="V129" i="135"/>
  <c r="U129" i="135"/>
  <c r="T129" i="135"/>
  <c r="V128" i="135"/>
  <c r="U128" i="135"/>
  <c r="T128" i="135"/>
  <c r="V127" i="135"/>
  <c r="U127" i="135"/>
  <c r="T127" i="135"/>
  <c r="V126" i="135"/>
  <c r="U126" i="135"/>
  <c r="T126" i="135"/>
  <c r="V125" i="135"/>
  <c r="U125" i="135"/>
  <c r="T125" i="135"/>
  <c r="V124" i="135"/>
  <c r="U124" i="135"/>
  <c r="T124" i="135"/>
  <c r="V123" i="135"/>
  <c r="U123" i="135"/>
  <c r="T123" i="135"/>
  <c r="V122" i="135"/>
  <c r="U122" i="135"/>
  <c r="T122" i="135"/>
  <c r="V121" i="135"/>
  <c r="U121" i="135"/>
  <c r="T121" i="135"/>
  <c r="V120" i="135"/>
  <c r="U120" i="135"/>
  <c r="T120" i="135"/>
  <c r="V119" i="135"/>
  <c r="U119" i="135"/>
  <c r="T119" i="135"/>
  <c r="V118" i="135"/>
  <c r="U118" i="135"/>
  <c r="T118" i="135"/>
  <c r="V117" i="135"/>
  <c r="U117" i="135"/>
  <c r="T117" i="135"/>
  <c r="V116" i="135"/>
  <c r="U116" i="135"/>
  <c r="T116" i="135"/>
  <c r="V115" i="135"/>
  <c r="U115" i="135"/>
  <c r="T115" i="135"/>
  <c r="V114" i="135"/>
  <c r="U114" i="135"/>
  <c r="T114" i="135"/>
  <c r="V113" i="135"/>
  <c r="U113" i="135"/>
  <c r="T113" i="135"/>
  <c r="V112" i="135"/>
  <c r="U112" i="135"/>
  <c r="T112" i="135"/>
  <c r="V83" i="135"/>
  <c r="U83" i="135"/>
  <c r="T83" i="135"/>
  <c r="V82" i="135"/>
  <c r="U82" i="135"/>
  <c r="T82" i="135"/>
  <c r="V81" i="135"/>
  <c r="U81" i="135"/>
  <c r="T81" i="135"/>
  <c r="Y46" i="135"/>
  <c r="V46" i="135"/>
  <c r="U46" i="135"/>
  <c r="T46" i="135"/>
  <c r="V10" i="135"/>
  <c r="V29" i="135"/>
  <c r="V28" i="135"/>
  <c r="V27" i="135"/>
  <c r="V26" i="135"/>
  <c r="V25" i="135"/>
  <c r="V24" i="135"/>
  <c r="V23" i="135"/>
  <c r="V22" i="135"/>
  <c r="V21" i="135"/>
  <c r="V20" i="135"/>
  <c r="V19" i="135"/>
  <c r="V18" i="135"/>
  <c r="V17" i="135"/>
  <c r="V16" i="135"/>
  <c r="V15" i="135"/>
  <c r="V14" i="135"/>
  <c r="V13" i="135"/>
  <c r="V12" i="135"/>
  <c r="V11" i="135"/>
  <c r="U29" i="135"/>
  <c r="U28" i="135"/>
  <c r="U27" i="135"/>
  <c r="U26" i="135"/>
  <c r="U25" i="135"/>
  <c r="U24" i="135"/>
  <c r="U23" i="135"/>
  <c r="U22" i="135"/>
  <c r="U21" i="135"/>
  <c r="U20" i="135"/>
  <c r="U19" i="135"/>
  <c r="U18" i="135"/>
  <c r="U17" i="135"/>
  <c r="U16" i="135"/>
  <c r="U15" i="135"/>
  <c r="U14" i="135"/>
  <c r="U13" i="135"/>
  <c r="U12" i="135"/>
  <c r="U11" i="135"/>
  <c r="U10" i="135"/>
  <c r="T11" i="135"/>
  <c r="T29" i="135"/>
  <c r="T28" i="135"/>
  <c r="T27" i="135"/>
  <c r="T26" i="135"/>
  <c r="T25" i="135"/>
  <c r="T24" i="135"/>
  <c r="T23" i="135"/>
  <c r="T22" i="135"/>
  <c r="T21" i="135"/>
  <c r="T20" i="135"/>
  <c r="T19" i="135"/>
  <c r="T18" i="135"/>
  <c r="T17" i="135"/>
  <c r="T16" i="135"/>
  <c r="T15" i="135"/>
  <c r="T14" i="135"/>
  <c r="T13" i="135"/>
  <c r="T12" i="135"/>
  <c r="T10" i="135"/>
  <c r="T69" i="95" l="1"/>
  <c r="Q69" i="95"/>
  <c r="N69" i="95"/>
  <c r="T68" i="95"/>
  <c r="Q68" i="95"/>
  <c r="N68" i="95"/>
  <c r="T67" i="95"/>
  <c r="Q67" i="95"/>
  <c r="N67" i="95"/>
  <c r="T66" i="95"/>
  <c r="Q66" i="95"/>
  <c r="N66" i="95"/>
  <c r="T65" i="95"/>
  <c r="Q65" i="95"/>
  <c r="N65" i="95"/>
  <c r="T64" i="95"/>
  <c r="Q64" i="95"/>
  <c r="N64" i="95"/>
  <c r="T63" i="95"/>
  <c r="Q63" i="95"/>
  <c r="N63" i="95"/>
  <c r="T62" i="95"/>
  <c r="Q62" i="95"/>
  <c r="N62" i="95"/>
  <c r="T61" i="95"/>
  <c r="Q61" i="95"/>
  <c r="N61" i="95"/>
  <c r="T60" i="95"/>
  <c r="Q60" i="95"/>
  <c r="N60" i="95"/>
  <c r="T59" i="95"/>
  <c r="Q59" i="95"/>
  <c r="N59" i="95"/>
  <c r="T58" i="95"/>
  <c r="Q58" i="95"/>
  <c r="N58" i="95"/>
  <c r="T57" i="95"/>
  <c r="Q57" i="95"/>
  <c r="N57" i="95"/>
  <c r="T56" i="95"/>
  <c r="Q56" i="95"/>
  <c r="N56" i="95"/>
  <c r="T55" i="95"/>
  <c r="Q55" i="95"/>
  <c r="N55" i="95"/>
  <c r="T54" i="95"/>
  <c r="Q54" i="95"/>
  <c r="N54" i="95"/>
  <c r="T53" i="95"/>
  <c r="Q53" i="95"/>
  <c r="N53" i="95"/>
  <c r="T52" i="95"/>
  <c r="Q52" i="95"/>
  <c r="N52" i="95"/>
  <c r="T51" i="95"/>
  <c r="Q51" i="95"/>
  <c r="N51" i="95"/>
  <c r="T50" i="95"/>
  <c r="Q50" i="95"/>
  <c r="N50" i="95"/>
  <c r="T49" i="95"/>
  <c r="Q49" i="95"/>
  <c r="N49" i="95"/>
  <c r="T48" i="95"/>
  <c r="Q48" i="95"/>
  <c r="N48" i="95"/>
  <c r="T47" i="95"/>
  <c r="Q47" i="95"/>
  <c r="N47" i="95"/>
  <c r="T46" i="95"/>
  <c r="Q46" i="95"/>
  <c r="N46" i="95"/>
  <c r="T45" i="95"/>
  <c r="Q45" i="95"/>
  <c r="N45" i="95"/>
  <c r="T44" i="95"/>
  <c r="Q44" i="95"/>
  <c r="N44" i="95"/>
  <c r="T43" i="95"/>
  <c r="Q43" i="95"/>
  <c r="N43" i="95"/>
  <c r="T42" i="95"/>
  <c r="Q42" i="95"/>
  <c r="N42" i="95"/>
  <c r="T41" i="95"/>
  <c r="Q41" i="95"/>
  <c r="N41" i="95"/>
  <c r="T40" i="95"/>
  <c r="T39" i="95"/>
  <c r="T38" i="95"/>
  <c r="Q38" i="95"/>
  <c r="N38" i="95"/>
  <c r="T37" i="95"/>
  <c r="Q37" i="95"/>
  <c r="N37" i="95"/>
  <c r="T36" i="95"/>
  <c r="Q36" i="95"/>
  <c r="N36" i="95"/>
  <c r="T35" i="95"/>
  <c r="Q35" i="95"/>
  <c r="N35" i="95"/>
  <c r="T34" i="95"/>
  <c r="Q34" i="95"/>
  <c r="N34" i="95"/>
  <c r="T33" i="95"/>
  <c r="Q33" i="95"/>
  <c r="N33" i="95"/>
  <c r="T32" i="95"/>
  <c r="Q32" i="95"/>
  <c r="N32" i="95"/>
  <c r="T31" i="95"/>
  <c r="Q31" i="95"/>
  <c r="N31" i="95"/>
  <c r="T30" i="95"/>
  <c r="Q30" i="95"/>
  <c r="N30" i="95"/>
  <c r="T29" i="95"/>
  <c r="Q29" i="95"/>
  <c r="N29" i="95"/>
  <c r="T28" i="95"/>
  <c r="Q28" i="95"/>
  <c r="N28" i="95"/>
  <c r="T27" i="95"/>
  <c r="Q27" i="95"/>
  <c r="N27" i="95"/>
  <c r="T26" i="95"/>
  <c r="Q26" i="95"/>
  <c r="N26" i="95"/>
  <c r="T25" i="95"/>
  <c r="Q25" i="95"/>
  <c r="N25" i="95"/>
  <c r="T24" i="95"/>
  <c r="Q24" i="95"/>
  <c r="N24" i="95"/>
  <c r="T23" i="95"/>
  <c r="Q23" i="95"/>
  <c r="N23" i="95"/>
  <c r="T22" i="95"/>
  <c r="Q22" i="95"/>
  <c r="N22" i="95"/>
  <c r="Y139" i="135"/>
  <c r="R139" i="135"/>
  <c r="Q139" i="135"/>
  <c r="P139" i="135"/>
  <c r="O139" i="135"/>
  <c r="N139" i="135"/>
  <c r="M139" i="135"/>
  <c r="G139" i="135"/>
  <c r="Y138" i="135"/>
  <c r="R138" i="135"/>
  <c r="Q138" i="135"/>
  <c r="P138" i="135"/>
  <c r="O138" i="135"/>
  <c r="N138" i="135"/>
  <c r="M138" i="135"/>
  <c r="G138" i="135"/>
  <c r="Y137" i="135"/>
  <c r="R137" i="135"/>
  <c r="Q137" i="135"/>
  <c r="P137" i="135"/>
  <c r="O137" i="135"/>
  <c r="N137" i="135"/>
  <c r="M137" i="135"/>
  <c r="G137" i="135"/>
  <c r="Y136" i="135"/>
  <c r="R136" i="135"/>
  <c r="Q136" i="135"/>
  <c r="P136" i="135"/>
  <c r="O136" i="135"/>
  <c r="N136" i="135"/>
  <c r="M136" i="135"/>
  <c r="G136" i="135"/>
  <c r="Y135" i="135"/>
  <c r="R135" i="135"/>
  <c r="Q135" i="135"/>
  <c r="P135" i="135"/>
  <c r="O135" i="135"/>
  <c r="N135" i="135"/>
  <c r="M135" i="135"/>
  <c r="G135" i="135"/>
  <c r="Y134" i="135"/>
  <c r="R134" i="135"/>
  <c r="Q134" i="135"/>
  <c r="P134" i="135"/>
  <c r="O134" i="135"/>
  <c r="N134" i="135"/>
  <c r="M134" i="135"/>
  <c r="G134" i="135"/>
  <c r="Y133" i="135"/>
  <c r="R133" i="135"/>
  <c r="Q133" i="135"/>
  <c r="P133" i="135"/>
  <c r="O133" i="135"/>
  <c r="N133" i="135"/>
  <c r="M133" i="135"/>
  <c r="G133" i="135"/>
  <c r="Y132" i="135"/>
  <c r="R132" i="135"/>
  <c r="Q132" i="135"/>
  <c r="P132" i="135"/>
  <c r="O132" i="135"/>
  <c r="N132" i="135"/>
  <c r="M132" i="135"/>
  <c r="G132" i="135"/>
  <c r="Y131" i="135"/>
  <c r="R131" i="135"/>
  <c r="Q131" i="135"/>
  <c r="P131" i="135"/>
  <c r="O131" i="135"/>
  <c r="N131" i="135"/>
  <c r="M131" i="135"/>
  <c r="G131" i="135"/>
  <c r="Y130" i="135"/>
  <c r="R130" i="135"/>
  <c r="Q130" i="135"/>
  <c r="P130" i="135"/>
  <c r="O130" i="135"/>
  <c r="N130" i="135"/>
  <c r="M130" i="135"/>
  <c r="G130" i="135"/>
  <c r="Y129" i="135"/>
  <c r="R129" i="135"/>
  <c r="Q129" i="135"/>
  <c r="P129" i="135"/>
  <c r="O129" i="135"/>
  <c r="N129" i="135"/>
  <c r="M129" i="135"/>
  <c r="G129" i="135"/>
  <c r="Y128" i="135"/>
  <c r="R128" i="135"/>
  <c r="Q128" i="135"/>
  <c r="P128" i="135"/>
  <c r="O128" i="135"/>
  <c r="N128" i="135"/>
  <c r="M128" i="135"/>
  <c r="G128" i="135"/>
  <c r="Y127" i="135"/>
  <c r="R127" i="135"/>
  <c r="Q127" i="135"/>
  <c r="P127" i="135"/>
  <c r="O127" i="135"/>
  <c r="N127" i="135"/>
  <c r="M127" i="135"/>
  <c r="G127" i="135"/>
  <c r="Y126" i="135"/>
  <c r="R126" i="135"/>
  <c r="Q126" i="135"/>
  <c r="P126" i="135"/>
  <c r="O126" i="135"/>
  <c r="N126" i="135"/>
  <c r="M126" i="135"/>
  <c r="G126" i="135"/>
  <c r="Y125" i="135"/>
  <c r="R125" i="135"/>
  <c r="Q125" i="135"/>
  <c r="P125" i="135"/>
  <c r="O125" i="135"/>
  <c r="N125" i="135"/>
  <c r="M125" i="135"/>
  <c r="G125" i="135"/>
  <c r="Y124" i="135"/>
  <c r="R124" i="135"/>
  <c r="Q124" i="135"/>
  <c r="P124" i="135"/>
  <c r="O124" i="135"/>
  <c r="N124" i="135"/>
  <c r="M124" i="135"/>
  <c r="G124" i="135"/>
  <c r="Y123" i="135"/>
  <c r="R123" i="135"/>
  <c r="Q123" i="135"/>
  <c r="P123" i="135"/>
  <c r="O123" i="135"/>
  <c r="N123" i="135"/>
  <c r="M123" i="135"/>
  <c r="G123" i="135"/>
  <c r="Y122" i="135"/>
  <c r="R122" i="135"/>
  <c r="Q122" i="135"/>
  <c r="P122" i="135"/>
  <c r="O122" i="135"/>
  <c r="N122" i="135"/>
  <c r="M122" i="135"/>
  <c r="G122" i="135"/>
  <c r="Y121" i="135"/>
  <c r="R121" i="135"/>
  <c r="Q121" i="135"/>
  <c r="P121" i="135"/>
  <c r="O121" i="135"/>
  <c r="N121" i="135"/>
  <c r="M121" i="135"/>
  <c r="G121" i="135"/>
  <c r="Y120" i="135"/>
  <c r="R120" i="135"/>
  <c r="Q120" i="135"/>
  <c r="P120" i="135"/>
  <c r="O120" i="135"/>
  <c r="N120" i="135"/>
  <c r="M120" i="135"/>
  <c r="G120" i="135"/>
  <c r="Y119" i="135"/>
  <c r="R119" i="135"/>
  <c r="Q119" i="135"/>
  <c r="P119" i="135"/>
  <c r="O119" i="135"/>
  <c r="N119" i="135"/>
  <c r="M119" i="135"/>
  <c r="G119" i="135"/>
  <c r="Y118" i="135"/>
  <c r="R118" i="135"/>
  <c r="Q118" i="135"/>
  <c r="P118" i="135"/>
  <c r="O118" i="135"/>
  <c r="N118" i="135"/>
  <c r="M118" i="135"/>
  <c r="G118" i="135"/>
  <c r="Y117" i="135"/>
  <c r="R117" i="135"/>
  <c r="Q117" i="135"/>
  <c r="P117" i="135"/>
  <c r="O117" i="135"/>
  <c r="N117" i="135"/>
  <c r="M117" i="135"/>
  <c r="G117" i="135"/>
  <c r="Y116" i="135"/>
  <c r="R116" i="135"/>
  <c r="Q116" i="135"/>
  <c r="P116" i="135"/>
  <c r="O116" i="135"/>
  <c r="N116" i="135"/>
  <c r="M116" i="135"/>
  <c r="G116" i="135"/>
  <c r="Y115" i="135"/>
  <c r="R115" i="135"/>
  <c r="Q115" i="135"/>
  <c r="P115" i="135"/>
  <c r="O115" i="135"/>
  <c r="N115" i="135"/>
  <c r="M115" i="135"/>
  <c r="G115" i="135"/>
  <c r="Y114" i="135"/>
  <c r="R114" i="135"/>
  <c r="Q114" i="135"/>
  <c r="P114" i="135"/>
  <c r="O114" i="135"/>
  <c r="N114" i="135"/>
  <c r="M114" i="135"/>
  <c r="G114" i="135"/>
  <c r="Y113" i="135"/>
  <c r="R113" i="135"/>
  <c r="Q113" i="135"/>
  <c r="P113" i="135"/>
  <c r="O113" i="135"/>
  <c r="N113" i="135"/>
  <c r="M113" i="135"/>
  <c r="G113" i="135"/>
  <c r="Y112" i="135"/>
  <c r="R112" i="135"/>
  <c r="Q112" i="135"/>
  <c r="P112" i="135"/>
  <c r="O112" i="135"/>
  <c r="N112" i="135"/>
  <c r="M112" i="135"/>
  <c r="G112" i="135"/>
  <c r="Y111" i="135"/>
  <c r="R111" i="135"/>
  <c r="Q111" i="135"/>
  <c r="P111" i="135"/>
  <c r="O111" i="135"/>
  <c r="N111" i="135"/>
  <c r="G111" i="135"/>
  <c r="Y110" i="135"/>
  <c r="R110" i="135"/>
  <c r="Q110" i="135"/>
  <c r="P110" i="135"/>
  <c r="O110" i="135"/>
  <c r="N110" i="135"/>
  <c r="M110" i="135"/>
  <c r="G110" i="135"/>
  <c r="Y109" i="135"/>
  <c r="R109" i="135"/>
  <c r="Q109" i="135"/>
  <c r="P109" i="135"/>
  <c r="O109" i="135"/>
  <c r="N109" i="135"/>
  <c r="M109" i="135"/>
  <c r="G109" i="135"/>
  <c r="Y108" i="135"/>
  <c r="R108" i="135"/>
  <c r="Q108" i="135"/>
  <c r="P108" i="135"/>
  <c r="O108" i="135"/>
  <c r="N108" i="135"/>
  <c r="M108" i="135"/>
  <c r="G108" i="135"/>
  <c r="Y107" i="135"/>
  <c r="R107" i="135"/>
  <c r="Q107" i="135"/>
  <c r="P107" i="135"/>
  <c r="O107" i="135"/>
  <c r="N107" i="135"/>
  <c r="M107" i="135"/>
  <c r="G107" i="135"/>
  <c r="Y106" i="135"/>
  <c r="R106" i="135"/>
  <c r="Q106" i="135"/>
  <c r="P106" i="135"/>
  <c r="O106" i="135"/>
  <c r="N106" i="135"/>
  <c r="M106" i="135"/>
  <c r="G106" i="135"/>
  <c r="Y105" i="135"/>
  <c r="R105" i="135"/>
  <c r="Q105" i="135"/>
  <c r="P105" i="135"/>
  <c r="O105" i="135"/>
  <c r="N105" i="135"/>
  <c r="M105" i="135"/>
  <c r="G105" i="135"/>
  <c r="Y104" i="135"/>
  <c r="R104" i="135"/>
  <c r="Q104" i="135"/>
  <c r="P104" i="135"/>
  <c r="O104" i="135"/>
  <c r="N104" i="135"/>
  <c r="M104" i="135"/>
  <c r="G104" i="135"/>
  <c r="Y103" i="135"/>
  <c r="R103" i="135"/>
  <c r="Q103" i="135"/>
  <c r="P103" i="135"/>
  <c r="O103" i="135"/>
  <c r="N103" i="135"/>
  <c r="M103" i="135"/>
  <c r="G103" i="135"/>
  <c r="Y102" i="135"/>
  <c r="R102" i="135"/>
  <c r="Q102" i="135"/>
  <c r="P102" i="135"/>
  <c r="O102" i="135"/>
  <c r="N102" i="135"/>
  <c r="M102" i="135"/>
  <c r="G102" i="135"/>
  <c r="Y101" i="135"/>
  <c r="R101" i="135"/>
  <c r="Q101" i="135"/>
  <c r="P101" i="135"/>
  <c r="O101" i="135"/>
  <c r="N101" i="135"/>
  <c r="M101" i="135"/>
  <c r="G101" i="135"/>
  <c r="Y100" i="135"/>
  <c r="R100" i="135"/>
  <c r="Q100" i="135"/>
  <c r="P100" i="135"/>
  <c r="O100" i="135"/>
  <c r="N100" i="135"/>
  <c r="M100" i="135"/>
  <c r="G100" i="135"/>
  <c r="Y99" i="135"/>
  <c r="R99" i="135"/>
  <c r="Q99" i="135"/>
  <c r="P99" i="135"/>
  <c r="O99" i="135"/>
  <c r="N99" i="135"/>
  <c r="M99" i="135"/>
  <c r="G99" i="135"/>
  <c r="Y98" i="135"/>
  <c r="R98" i="135"/>
  <c r="Q98" i="135"/>
  <c r="P98" i="135"/>
  <c r="O98" i="135"/>
  <c r="N98" i="135"/>
  <c r="M98" i="135"/>
  <c r="G98" i="135"/>
  <c r="Y97" i="135"/>
  <c r="R97" i="135"/>
  <c r="Q97" i="135"/>
  <c r="P97" i="135"/>
  <c r="O97" i="135"/>
  <c r="N97" i="135"/>
  <c r="M97" i="135"/>
  <c r="G97" i="135"/>
  <c r="Y96" i="135"/>
  <c r="R96" i="135"/>
  <c r="Q96" i="135"/>
  <c r="P96" i="135"/>
  <c r="O96" i="135"/>
  <c r="N96" i="135"/>
  <c r="M96" i="135"/>
  <c r="G96" i="135"/>
  <c r="Y95" i="135"/>
  <c r="R95" i="135"/>
  <c r="Q95" i="135"/>
  <c r="P95" i="135"/>
  <c r="O95" i="135"/>
  <c r="N95" i="135"/>
  <c r="M95" i="135"/>
  <c r="G95" i="135"/>
  <c r="Y94" i="135"/>
  <c r="R94" i="135"/>
  <c r="Q94" i="135"/>
  <c r="P94" i="135"/>
  <c r="O94" i="135"/>
  <c r="N94" i="135"/>
  <c r="M94" i="135"/>
  <c r="G94" i="135"/>
  <c r="Y93" i="135"/>
  <c r="R93" i="135"/>
  <c r="Q93" i="135"/>
  <c r="P93" i="135"/>
  <c r="O93" i="135"/>
  <c r="N93" i="135"/>
  <c r="M93" i="135"/>
  <c r="G93" i="135"/>
  <c r="Y92" i="135"/>
  <c r="R92" i="135"/>
  <c r="Q92" i="135"/>
  <c r="P92" i="135"/>
  <c r="O92" i="135"/>
  <c r="N92" i="135"/>
  <c r="M92" i="135"/>
  <c r="G92" i="135"/>
  <c r="Y91" i="135"/>
  <c r="R91" i="135"/>
  <c r="Q91" i="135"/>
  <c r="P91" i="135"/>
  <c r="O91" i="135"/>
  <c r="N91" i="135"/>
  <c r="M91" i="135"/>
  <c r="G91" i="135"/>
  <c r="Y90" i="135"/>
  <c r="R90" i="135"/>
  <c r="Q90" i="135"/>
  <c r="P90" i="135"/>
  <c r="O90" i="135"/>
  <c r="N90" i="135"/>
  <c r="M90" i="135"/>
  <c r="G90" i="135"/>
  <c r="Y89" i="135"/>
  <c r="R89" i="135"/>
  <c r="Q89" i="135"/>
  <c r="P89" i="135"/>
  <c r="O89" i="135"/>
  <c r="N89" i="135"/>
  <c r="M89" i="135"/>
  <c r="G89" i="135"/>
  <c r="Y88" i="135"/>
  <c r="R88" i="135"/>
  <c r="Q88" i="135"/>
  <c r="P88" i="135"/>
  <c r="O88" i="135"/>
  <c r="N88" i="135"/>
  <c r="M88" i="135"/>
  <c r="G88" i="135"/>
  <c r="Y87" i="135"/>
  <c r="R87" i="135"/>
  <c r="Q87" i="135"/>
  <c r="P87" i="135"/>
  <c r="O87" i="135"/>
  <c r="N87" i="135"/>
  <c r="M87" i="135"/>
  <c r="G87" i="135"/>
  <c r="Y86" i="135"/>
  <c r="R86" i="135"/>
  <c r="Q86" i="135"/>
  <c r="P86" i="135"/>
  <c r="O86" i="135"/>
  <c r="N86" i="135"/>
  <c r="M86" i="135"/>
  <c r="G86" i="135"/>
  <c r="Y85" i="135"/>
  <c r="R85" i="135"/>
  <c r="Q85" i="135"/>
  <c r="P85" i="135"/>
  <c r="O85" i="135"/>
  <c r="N85" i="135"/>
  <c r="M85" i="135"/>
  <c r="G85" i="135"/>
  <c r="Y84" i="135"/>
  <c r="R84" i="135"/>
  <c r="Q84" i="135"/>
  <c r="P84" i="135"/>
  <c r="O84" i="135"/>
  <c r="N84" i="135"/>
  <c r="M84" i="135"/>
  <c r="G84" i="135"/>
  <c r="Y83" i="135"/>
  <c r="R83" i="135"/>
  <c r="Q83" i="135"/>
  <c r="P83" i="135"/>
  <c r="O83" i="135"/>
  <c r="N83" i="135"/>
  <c r="M83" i="135"/>
  <c r="G83" i="135"/>
  <c r="Y82" i="135"/>
  <c r="U80" i="135"/>
  <c r="R82" i="135"/>
  <c r="Q82" i="135"/>
  <c r="P82" i="135"/>
  <c r="O82" i="135"/>
  <c r="N82" i="135"/>
  <c r="M82" i="135"/>
  <c r="G82" i="135"/>
  <c r="Y81" i="135"/>
  <c r="R81" i="135"/>
  <c r="Q81" i="135"/>
  <c r="P81" i="135"/>
  <c r="O81" i="135"/>
  <c r="N81" i="135"/>
  <c r="M81" i="135"/>
  <c r="G81" i="135"/>
  <c r="X80" i="135"/>
  <c r="W80" i="135"/>
  <c r="L80" i="135"/>
  <c r="K80" i="135"/>
  <c r="J80" i="135"/>
  <c r="I80" i="135"/>
  <c r="H80" i="135"/>
  <c r="F80" i="135"/>
  <c r="E80" i="135"/>
  <c r="D80" i="135"/>
  <c r="C80" i="135"/>
  <c r="B80" i="135"/>
  <c r="X79" i="135"/>
  <c r="W79" i="135"/>
  <c r="V79" i="135"/>
  <c r="U79" i="135"/>
  <c r="T79" i="135"/>
  <c r="L79" i="135"/>
  <c r="K79" i="135"/>
  <c r="J79" i="135"/>
  <c r="I79" i="135"/>
  <c r="H79" i="135"/>
  <c r="F79" i="135"/>
  <c r="E79" i="135"/>
  <c r="D79" i="135"/>
  <c r="C79" i="135"/>
  <c r="B79" i="135"/>
  <c r="Y78" i="135"/>
  <c r="R78" i="135"/>
  <c r="Q78" i="135"/>
  <c r="P78" i="135"/>
  <c r="O78" i="135"/>
  <c r="N78" i="135"/>
  <c r="M78" i="135"/>
  <c r="G78" i="135"/>
  <c r="Y77" i="135"/>
  <c r="R77" i="135"/>
  <c r="Q77" i="135"/>
  <c r="P77" i="135"/>
  <c r="O77" i="135"/>
  <c r="N77" i="135"/>
  <c r="M77" i="135"/>
  <c r="G77" i="135"/>
  <c r="Y76" i="135"/>
  <c r="R76" i="135"/>
  <c r="Q76" i="135"/>
  <c r="P76" i="135"/>
  <c r="O76" i="135"/>
  <c r="N76" i="135"/>
  <c r="M76" i="135"/>
  <c r="G76" i="135"/>
  <c r="Y75" i="135"/>
  <c r="R75" i="135"/>
  <c r="Q75" i="135"/>
  <c r="P75" i="135"/>
  <c r="O75" i="135"/>
  <c r="N75" i="135"/>
  <c r="M75" i="135"/>
  <c r="G75" i="135"/>
  <c r="Y74" i="135"/>
  <c r="R74" i="135"/>
  <c r="Q74" i="135"/>
  <c r="P74" i="135"/>
  <c r="O74" i="135"/>
  <c r="N74" i="135"/>
  <c r="M74" i="135"/>
  <c r="G74" i="135"/>
  <c r="Y73" i="135"/>
  <c r="R73" i="135"/>
  <c r="Q73" i="135"/>
  <c r="P73" i="135"/>
  <c r="O73" i="135"/>
  <c r="N73" i="135"/>
  <c r="M73" i="135"/>
  <c r="G73" i="135"/>
  <c r="Y72" i="135"/>
  <c r="R72" i="135"/>
  <c r="Q72" i="135"/>
  <c r="P72" i="135"/>
  <c r="O72" i="135"/>
  <c r="N72" i="135"/>
  <c r="M72" i="135"/>
  <c r="G72" i="135"/>
  <c r="Y71" i="135"/>
  <c r="R71" i="135"/>
  <c r="Q71" i="135"/>
  <c r="P71" i="135"/>
  <c r="O71" i="135"/>
  <c r="N71" i="135"/>
  <c r="M71" i="135"/>
  <c r="G71" i="135"/>
  <c r="Y70" i="135"/>
  <c r="R70" i="135"/>
  <c r="Q70" i="135"/>
  <c r="P70" i="135"/>
  <c r="O70" i="135"/>
  <c r="N70" i="135"/>
  <c r="M70" i="135"/>
  <c r="G70" i="135"/>
  <c r="Y69" i="135"/>
  <c r="R69" i="135"/>
  <c r="Q69" i="135"/>
  <c r="P69" i="135"/>
  <c r="O69" i="135"/>
  <c r="N69" i="135"/>
  <c r="M69" i="135"/>
  <c r="G69" i="135"/>
  <c r="Y68" i="135"/>
  <c r="R68" i="135"/>
  <c r="Q68" i="135"/>
  <c r="P68" i="135"/>
  <c r="O68" i="135"/>
  <c r="N68" i="135"/>
  <c r="M68" i="135"/>
  <c r="G68" i="135"/>
  <c r="Y67" i="135"/>
  <c r="R67" i="135"/>
  <c r="Q67" i="135"/>
  <c r="P67" i="135"/>
  <c r="O67" i="135"/>
  <c r="N67" i="135"/>
  <c r="M67" i="135"/>
  <c r="G67" i="135"/>
  <c r="Y66" i="135"/>
  <c r="R66" i="135"/>
  <c r="Q66" i="135"/>
  <c r="P66" i="135"/>
  <c r="O66" i="135"/>
  <c r="N66" i="135"/>
  <c r="M66" i="135"/>
  <c r="G66" i="135"/>
  <c r="Y65" i="135"/>
  <c r="R65" i="135"/>
  <c r="Q65" i="135"/>
  <c r="P65" i="135"/>
  <c r="O65" i="135"/>
  <c r="N65" i="135"/>
  <c r="M65" i="135"/>
  <c r="G65" i="135"/>
  <c r="Y64" i="135"/>
  <c r="R64" i="135"/>
  <c r="Q64" i="135"/>
  <c r="P64" i="135"/>
  <c r="O64" i="135"/>
  <c r="N64" i="135"/>
  <c r="M64" i="135"/>
  <c r="G64" i="135"/>
  <c r="Y63" i="135"/>
  <c r="R63" i="135"/>
  <c r="Q63" i="135"/>
  <c r="P63" i="135"/>
  <c r="O63" i="135"/>
  <c r="N63" i="135"/>
  <c r="M63" i="135"/>
  <c r="G63" i="135"/>
  <c r="Y62" i="135"/>
  <c r="R62" i="135"/>
  <c r="Q62" i="135"/>
  <c r="P62" i="135"/>
  <c r="O62" i="135"/>
  <c r="N62" i="135"/>
  <c r="M62" i="135"/>
  <c r="G62" i="135"/>
  <c r="Y61" i="135"/>
  <c r="R61" i="135"/>
  <c r="Q61" i="135"/>
  <c r="P61" i="135"/>
  <c r="O61" i="135"/>
  <c r="N61" i="135"/>
  <c r="M61" i="135"/>
  <c r="G61" i="135"/>
  <c r="Y60" i="135"/>
  <c r="R60" i="135"/>
  <c r="Q60" i="135"/>
  <c r="P60" i="135"/>
  <c r="O60" i="135"/>
  <c r="N60" i="135"/>
  <c r="M60" i="135"/>
  <c r="G60" i="135"/>
  <c r="Y59" i="135"/>
  <c r="R59" i="135"/>
  <c r="Q59" i="135"/>
  <c r="P59" i="135"/>
  <c r="O59" i="135"/>
  <c r="N59" i="135"/>
  <c r="M59" i="135"/>
  <c r="G59" i="135"/>
  <c r="Y58" i="135"/>
  <c r="R58" i="135"/>
  <c r="Q58" i="135"/>
  <c r="P58" i="135"/>
  <c r="O58" i="135"/>
  <c r="N58" i="135"/>
  <c r="M58" i="135"/>
  <c r="G58" i="135"/>
  <c r="Y57" i="135"/>
  <c r="R57" i="135"/>
  <c r="Q57" i="135"/>
  <c r="P57" i="135"/>
  <c r="O57" i="135"/>
  <c r="N57" i="135"/>
  <c r="M57" i="135"/>
  <c r="G57" i="135"/>
  <c r="Y56" i="135"/>
  <c r="R56" i="135"/>
  <c r="Q56" i="135"/>
  <c r="P56" i="135"/>
  <c r="O56" i="135"/>
  <c r="N56" i="135"/>
  <c r="M56" i="135"/>
  <c r="G56" i="135"/>
  <c r="Y55" i="135"/>
  <c r="R55" i="135"/>
  <c r="Q55" i="135"/>
  <c r="P55" i="135"/>
  <c r="O55" i="135"/>
  <c r="N55" i="135"/>
  <c r="M55" i="135"/>
  <c r="G55" i="135"/>
  <c r="Y54" i="135"/>
  <c r="R54" i="135"/>
  <c r="Q54" i="135"/>
  <c r="P54" i="135"/>
  <c r="O54" i="135"/>
  <c r="N54" i="135"/>
  <c r="M54" i="135"/>
  <c r="G54" i="135"/>
  <c r="Y53" i="135"/>
  <c r="R53" i="135"/>
  <c r="Q53" i="135"/>
  <c r="P53" i="135"/>
  <c r="O53" i="135"/>
  <c r="N53" i="135"/>
  <c r="M53" i="135"/>
  <c r="G53" i="135"/>
  <c r="Y52" i="135"/>
  <c r="R52" i="135"/>
  <c r="Q52" i="135"/>
  <c r="P52" i="135"/>
  <c r="O52" i="135"/>
  <c r="N52" i="135"/>
  <c r="M52" i="135"/>
  <c r="G52" i="135"/>
  <c r="Y51" i="135"/>
  <c r="R51" i="135"/>
  <c r="Q51" i="135"/>
  <c r="P51" i="135"/>
  <c r="O51" i="135"/>
  <c r="N51" i="135"/>
  <c r="M51" i="135"/>
  <c r="G51" i="135"/>
  <c r="A51" i="135"/>
  <c r="A55" i="135" s="1"/>
  <c r="A59" i="135" s="1"/>
  <c r="A63" i="135" s="1"/>
  <c r="A67" i="135" s="1"/>
  <c r="A71" i="135" s="1"/>
  <c r="A75" i="135" s="1"/>
  <c r="A79" i="135" s="1"/>
  <c r="A83" i="135" s="1"/>
  <c r="A87" i="135" s="1"/>
  <c r="A91" i="135" s="1"/>
  <c r="A95" i="135" s="1"/>
  <c r="A99" i="135" s="1"/>
  <c r="A103" i="135" s="1"/>
  <c r="A107" i="135" s="1"/>
  <c r="A111" i="135" s="1"/>
  <c r="A115" i="135" s="1"/>
  <c r="A119" i="135" s="1"/>
  <c r="A123" i="135" s="1"/>
  <c r="A127" i="135" s="1"/>
  <c r="A131" i="135" s="1"/>
  <c r="A135" i="135" s="1"/>
  <c r="A139" i="135" s="1"/>
  <c r="Y50" i="135"/>
  <c r="R50" i="135"/>
  <c r="Q50" i="135"/>
  <c r="P50" i="135"/>
  <c r="O50" i="135"/>
  <c r="N50" i="135"/>
  <c r="M50" i="135"/>
  <c r="G50" i="135"/>
  <c r="A50" i="135"/>
  <c r="A54" i="135" s="1"/>
  <c r="A58" i="135" s="1"/>
  <c r="A62" i="135" s="1"/>
  <c r="A66" i="135" s="1"/>
  <c r="A70" i="135" s="1"/>
  <c r="A74" i="135" s="1"/>
  <c r="A78" i="135" s="1"/>
  <c r="A82" i="135" s="1"/>
  <c r="A86" i="135" s="1"/>
  <c r="A90" i="135" s="1"/>
  <c r="A94" i="135" s="1"/>
  <c r="A98" i="135" s="1"/>
  <c r="A102" i="135" s="1"/>
  <c r="A106" i="135" s="1"/>
  <c r="A110" i="135" s="1"/>
  <c r="A114" i="135" s="1"/>
  <c r="A118" i="135" s="1"/>
  <c r="A122" i="135" s="1"/>
  <c r="A126" i="135" s="1"/>
  <c r="A130" i="135" s="1"/>
  <c r="A134" i="135" s="1"/>
  <c r="A138" i="135" s="1"/>
  <c r="Y49" i="135"/>
  <c r="R49" i="135"/>
  <c r="Q49" i="135"/>
  <c r="P49" i="135"/>
  <c r="O49" i="135"/>
  <c r="N49" i="135"/>
  <c r="M49" i="135"/>
  <c r="G49" i="135"/>
  <c r="A49" i="135"/>
  <c r="A53" i="135" s="1"/>
  <c r="A57" i="135" s="1"/>
  <c r="A61" i="135" s="1"/>
  <c r="A65" i="135" s="1"/>
  <c r="A69" i="135" s="1"/>
  <c r="A73" i="135" s="1"/>
  <c r="A77" i="135" s="1"/>
  <c r="A81" i="135" s="1"/>
  <c r="A85" i="135" s="1"/>
  <c r="A89" i="135" s="1"/>
  <c r="A93" i="135" s="1"/>
  <c r="A97" i="135" s="1"/>
  <c r="A101" i="135" s="1"/>
  <c r="A105" i="135" s="1"/>
  <c r="A109" i="135" s="1"/>
  <c r="A113" i="135" s="1"/>
  <c r="A117" i="135" s="1"/>
  <c r="A121" i="135" s="1"/>
  <c r="A125" i="135" s="1"/>
  <c r="A129" i="135" s="1"/>
  <c r="A133" i="135" s="1"/>
  <c r="A137" i="135" s="1"/>
  <c r="Y48" i="135"/>
  <c r="R48" i="135"/>
  <c r="Q48" i="135"/>
  <c r="P48" i="135"/>
  <c r="O48" i="135"/>
  <c r="N48" i="135"/>
  <c r="M48" i="135"/>
  <c r="G48" i="135"/>
  <c r="A48" i="135"/>
  <c r="A52" i="135" s="1"/>
  <c r="A56" i="135" s="1"/>
  <c r="A60" i="135" s="1"/>
  <c r="A64" i="135" s="1"/>
  <c r="A68" i="135" s="1"/>
  <c r="A72" i="135" s="1"/>
  <c r="A76" i="135" s="1"/>
  <c r="A80" i="135" s="1"/>
  <c r="A84" i="135" s="1"/>
  <c r="A88" i="135" s="1"/>
  <c r="A92" i="135" s="1"/>
  <c r="A96" i="135" s="1"/>
  <c r="A100" i="135" s="1"/>
  <c r="A104" i="135" s="1"/>
  <c r="A108" i="135" s="1"/>
  <c r="A112" i="135" s="1"/>
  <c r="A116" i="135" s="1"/>
  <c r="A120" i="135" s="1"/>
  <c r="A124" i="135" s="1"/>
  <c r="A128" i="135" s="1"/>
  <c r="A132" i="135" s="1"/>
  <c r="A136" i="135" s="1"/>
  <c r="Y47" i="135"/>
  <c r="R47" i="135"/>
  <c r="Q47" i="135"/>
  <c r="P47" i="135"/>
  <c r="O47" i="135"/>
  <c r="N47" i="135"/>
  <c r="M47" i="135"/>
  <c r="G47" i="135"/>
  <c r="R46" i="135"/>
  <c r="Q46" i="135"/>
  <c r="P46" i="135"/>
  <c r="O46" i="135"/>
  <c r="N46" i="135"/>
  <c r="M46" i="135"/>
  <c r="G46" i="135"/>
  <c r="Y45" i="135"/>
  <c r="R45" i="135"/>
  <c r="Q45" i="135"/>
  <c r="P45" i="135"/>
  <c r="O45" i="135"/>
  <c r="N45" i="135"/>
  <c r="M45" i="135"/>
  <c r="G45" i="135"/>
  <c r="Y44" i="135"/>
  <c r="R44" i="135"/>
  <c r="Q44" i="135"/>
  <c r="P44" i="135"/>
  <c r="O44" i="135"/>
  <c r="N44" i="135"/>
  <c r="M44" i="135"/>
  <c r="G44" i="135"/>
  <c r="Y43" i="135"/>
  <c r="R43" i="135"/>
  <c r="Q43" i="135"/>
  <c r="P43" i="135"/>
  <c r="O43" i="135"/>
  <c r="N43" i="135"/>
  <c r="M43" i="135"/>
  <c r="G43" i="135"/>
  <c r="Y42" i="135"/>
  <c r="R42" i="135"/>
  <c r="Q42" i="135"/>
  <c r="P42" i="135"/>
  <c r="O42" i="135"/>
  <c r="N42" i="135"/>
  <c r="M42" i="135"/>
  <c r="G42" i="135"/>
  <c r="Y41" i="135"/>
  <c r="R41" i="135"/>
  <c r="Q41" i="135"/>
  <c r="P41" i="135"/>
  <c r="O41" i="135"/>
  <c r="N41" i="135"/>
  <c r="M41" i="135"/>
  <c r="G41" i="135"/>
  <c r="Y40" i="135"/>
  <c r="R40" i="135"/>
  <c r="Q40" i="135"/>
  <c r="P40" i="135"/>
  <c r="O40" i="135"/>
  <c r="N40" i="135"/>
  <c r="M40" i="135"/>
  <c r="G40" i="135"/>
  <c r="Y39" i="135"/>
  <c r="R39" i="135"/>
  <c r="Q39" i="135"/>
  <c r="P39" i="135"/>
  <c r="O39" i="135"/>
  <c r="N39" i="135"/>
  <c r="M39" i="135"/>
  <c r="G39" i="135"/>
  <c r="Y38" i="135"/>
  <c r="R38" i="135"/>
  <c r="Q38" i="135"/>
  <c r="P38" i="135"/>
  <c r="O38" i="135"/>
  <c r="N38" i="135"/>
  <c r="M38" i="135"/>
  <c r="G38" i="135"/>
  <c r="Y37" i="135"/>
  <c r="R37" i="135"/>
  <c r="Q37" i="135"/>
  <c r="P37" i="135"/>
  <c r="O37" i="135"/>
  <c r="N37" i="135"/>
  <c r="M37" i="135"/>
  <c r="G37" i="135"/>
  <c r="Y36" i="135"/>
  <c r="R36" i="135"/>
  <c r="Q36" i="135"/>
  <c r="P36" i="135"/>
  <c r="O36" i="135"/>
  <c r="N36" i="135"/>
  <c r="M36" i="135"/>
  <c r="G36" i="135"/>
  <c r="Y35" i="135"/>
  <c r="R35" i="135"/>
  <c r="Q35" i="135"/>
  <c r="P35" i="135"/>
  <c r="O35" i="135"/>
  <c r="N35" i="135"/>
  <c r="M35" i="135"/>
  <c r="G35" i="135"/>
  <c r="Y34" i="135"/>
  <c r="R34" i="135"/>
  <c r="Q34" i="135"/>
  <c r="P34" i="135"/>
  <c r="O34" i="135"/>
  <c r="N34" i="135"/>
  <c r="M34" i="135"/>
  <c r="G34" i="135"/>
  <c r="Y33" i="135"/>
  <c r="R33" i="135"/>
  <c r="Q33" i="135"/>
  <c r="P33" i="135"/>
  <c r="O33" i="135"/>
  <c r="N33" i="135"/>
  <c r="M33" i="135"/>
  <c r="G33" i="135"/>
  <c r="Y32" i="135"/>
  <c r="R32" i="135"/>
  <c r="Q32" i="135"/>
  <c r="P32" i="135"/>
  <c r="O32" i="135"/>
  <c r="N32" i="135"/>
  <c r="M32" i="135"/>
  <c r="G32" i="135"/>
  <c r="Y31" i="135"/>
  <c r="R31" i="135"/>
  <c r="Q31" i="135"/>
  <c r="P31" i="135"/>
  <c r="O31" i="135"/>
  <c r="N31" i="135"/>
  <c r="M31" i="135"/>
  <c r="G31" i="135"/>
  <c r="Y30" i="135"/>
  <c r="R30" i="135"/>
  <c r="Q30" i="135"/>
  <c r="P30" i="135"/>
  <c r="O30" i="135"/>
  <c r="N30" i="135"/>
  <c r="M30" i="135"/>
  <c r="G30" i="135"/>
  <c r="Y29" i="135"/>
  <c r="J29" i="135"/>
  <c r="I29" i="135"/>
  <c r="H29" i="135"/>
  <c r="G29" i="135"/>
  <c r="Y28" i="135"/>
  <c r="J28" i="135"/>
  <c r="I28" i="135"/>
  <c r="H28" i="135"/>
  <c r="G28" i="135"/>
  <c r="P139" i="134"/>
  <c r="O139" i="134"/>
  <c r="N139" i="134"/>
  <c r="M139" i="134"/>
  <c r="L139" i="134"/>
  <c r="P138" i="134"/>
  <c r="O138" i="134"/>
  <c r="N138" i="134"/>
  <c r="M138" i="134"/>
  <c r="L138" i="134"/>
  <c r="P137" i="134"/>
  <c r="O137" i="134"/>
  <c r="N137" i="134"/>
  <c r="M137" i="134"/>
  <c r="L137" i="134"/>
  <c r="P136" i="134"/>
  <c r="O136" i="134"/>
  <c r="N136" i="134"/>
  <c r="M136" i="134"/>
  <c r="L136" i="134"/>
  <c r="P135" i="134"/>
  <c r="O135" i="134"/>
  <c r="N135" i="134"/>
  <c r="M135" i="134"/>
  <c r="L135" i="134"/>
  <c r="P134" i="134"/>
  <c r="O134" i="134"/>
  <c r="N134" i="134"/>
  <c r="M134" i="134"/>
  <c r="L134" i="134"/>
  <c r="P133" i="134"/>
  <c r="O133" i="134"/>
  <c r="N133" i="134"/>
  <c r="M133" i="134"/>
  <c r="L133" i="134"/>
  <c r="P132" i="134"/>
  <c r="O132" i="134"/>
  <c r="N132" i="134"/>
  <c r="M132" i="134"/>
  <c r="L132" i="134"/>
  <c r="P131" i="134"/>
  <c r="O131" i="134"/>
  <c r="N131" i="134"/>
  <c r="M131" i="134"/>
  <c r="L131" i="134"/>
  <c r="P130" i="134"/>
  <c r="O130" i="134"/>
  <c r="N130" i="134"/>
  <c r="M130" i="134"/>
  <c r="L130" i="134"/>
  <c r="P129" i="134"/>
  <c r="O129" i="134"/>
  <c r="N129" i="134"/>
  <c r="M129" i="134"/>
  <c r="L129" i="134"/>
  <c r="P128" i="134"/>
  <c r="O128" i="134"/>
  <c r="N128" i="134"/>
  <c r="M128" i="134"/>
  <c r="L128" i="134"/>
  <c r="P127" i="134"/>
  <c r="O127" i="134"/>
  <c r="N127" i="134"/>
  <c r="M127" i="134"/>
  <c r="L127" i="134"/>
  <c r="P126" i="134"/>
  <c r="O126" i="134"/>
  <c r="N126" i="134"/>
  <c r="M126" i="134"/>
  <c r="L126" i="134"/>
  <c r="P125" i="134"/>
  <c r="O125" i="134"/>
  <c r="N125" i="134"/>
  <c r="M125" i="134"/>
  <c r="L125" i="134"/>
  <c r="P124" i="134"/>
  <c r="O124" i="134"/>
  <c r="N124" i="134"/>
  <c r="M124" i="134"/>
  <c r="L124" i="134"/>
  <c r="P123" i="134"/>
  <c r="O123" i="134"/>
  <c r="N123" i="134"/>
  <c r="M123" i="134"/>
  <c r="L123" i="134"/>
  <c r="P122" i="134"/>
  <c r="O122" i="134"/>
  <c r="N122" i="134"/>
  <c r="M122" i="134"/>
  <c r="L122" i="134"/>
  <c r="P121" i="134"/>
  <c r="O121" i="134"/>
  <c r="N121" i="134"/>
  <c r="M121" i="134"/>
  <c r="L121" i="134"/>
  <c r="P120" i="134"/>
  <c r="O120" i="134"/>
  <c r="N120" i="134"/>
  <c r="M120" i="134"/>
  <c r="L120" i="134"/>
  <c r="P119" i="134"/>
  <c r="O119" i="134"/>
  <c r="N119" i="134"/>
  <c r="M119" i="134"/>
  <c r="L119" i="134"/>
  <c r="P118" i="134"/>
  <c r="O118" i="134"/>
  <c r="N118" i="134"/>
  <c r="M118" i="134"/>
  <c r="L118" i="134"/>
  <c r="P117" i="134"/>
  <c r="O117" i="134"/>
  <c r="N117" i="134"/>
  <c r="M117" i="134"/>
  <c r="L117" i="134"/>
  <c r="P116" i="134"/>
  <c r="O116" i="134"/>
  <c r="N116" i="134"/>
  <c r="M116" i="134"/>
  <c r="L116" i="134"/>
  <c r="P115" i="134"/>
  <c r="O115" i="134"/>
  <c r="N115" i="134"/>
  <c r="M115" i="134"/>
  <c r="L115" i="134"/>
  <c r="P114" i="134"/>
  <c r="O114" i="134"/>
  <c r="N114" i="134"/>
  <c r="M114" i="134"/>
  <c r="L114" i="134"/>
  <c r="P113" i="134"/>
  <c r="O113" i="134"/>
  <c r="N113" i="134"/>
  <c r="M113" i="134"/>
  <c r="L113" i="134"/>
  <c r="P112" i="134"/>
  <c r="O112" i="134"/>
  <c r="N112" i="134"/>
  <c r="M112" i="134"/>
  <c r="L112" i="134"/>
  <c r="P111" i="134"/>
  <c r="O111" i="134"/>
  <c r="N111" i="134"/>
  <c r="M111" i="134"/>
  <c r="L111" i="134"/>
  <c r="P110" i="134"/>
  <c r="O110" i="134"/>
  <c r="N110" i="134"/>
  <c r="M110" i="134"/>
  <c r="L110" i="134"/>
  <c r="P109" i="134"/>
  <c r="O109" i="134"/>
  <c r="N109" i="134"/>
  <c r="M109" i="134"/>
  <c r="L109" i="134"/>
  <c r="P108" i="134"/>
  <c r="O108" i="134"/>
  <c r="N108" i="134"/>
  <c r="M108" i="134"/>
  <c r="L108" i="134"/>
  <c r="P107" i="134"/>
  <c r="O107" i="134"/>
  <c r="N107" i="134"/>
  <c r="M107" i="134"/>
  <c r="L107" i="134"/>
  <c r="P106" i="134"/>
  <c r="O106" i="134"/>
  <c r="N106" i="134"/>
  <c r="M106" i="134"/>
  <c r="L106" i="134"/>
  <c r="P105" i="134"/>
  <c r="O105" i="134"/>
  <c r="N105" i="134"/>
  <c r="M105" i="134"/>
  <c r="L105" i="134"/>
  <c r="P104" i="134"/>
  <c r="O104" i="134"/>
  <c r="N104" i="134"/>
  <c r="M104" i="134"/>
  <c r="L104" i="134"/>
  <c r="P103" i="134"/>
  <c r="O103" i="134"/>
  <c r="N103" i="134"/>
  <c r="M103" i="134"/>
  <c r="L103" i="134"/>
  <c r="P102" i="134"/>
  <c r="O102" i="134"/>
  <c r="N102" i="134"/>
  <c r="M102" i="134"/>
  <c r="L102" i="134"/>
  <c r="P101" i="134"/>
  <c r="O101" i="134"/>
  <c r="N101" i="134"/>
  <c r="M101" i="134"/>
  <c r="L101" i="134"/>
  <c r="P100" i="134"/>
  <c r="O100" i="134"/>
  <c r="N100" i="134"/>
  <c r="M100" i="134"/>
  <c r="L100" i="134"/>
  <c r="P99" i="134"/>
  <c r="O99" i="134"/>
  <c r="N99" i="134"/>
  <c r="M99" i="134"/>
  <c r="L99" i="134"/>
  <c r="P98" i="134"/>
  <c r="O98" i="134"/>
  <c r="N98" i="134"/>
  <c r="M98" i="134"/>
  <c r="L98" i="134"/>
  <c r="P97" i="134"/>
  <c r="O97" i="134"/>
  <c r="N97" i="134"/>
  <c r="M97" i="134"/>
  <c r="L97" i="134"/>
  <c r="P96" i="134"/>
  <c r="O96" i="134"/>
  <c r="N96" i="134"/>
  <c r="M96" i="134"/>
  <c r="L96" i="134"/>
  <c r="P95" i="134"/>
  <c r="O95" i="134"/>
  <c r="N95" i="134"/>
  <c r="M95" i="134"/>
  <c r="L95" i="134"/>
  <c r="P94" i="134"/>
  <c r="O94" i="134"/>
  <c r="N94" i="134"/>
  <c r="M94" i="134"/>
  <c r="L94" i="134"/>
  <c r="P93" i="134"/>
  <c r="O93" i="134"/>
  <c r="N93" i="134"/>
  <c r="M93" i="134"/>
  <c r="L93" i="134"/>
  <c r="P92" i="134"/>
  <c r="O92" i="134"/>
  <c r="N92" i="134"/>
  <c r="M92" i="134"/>
  <c r="L92" i="134"/>
  <c r="P91" i="134"/>
  <c r="O91" i="134"/>
  <c r="N91" i="134"/>
  <c r="M91" i="134"/>
  <c r="L91" i="134"/>
  <c r="P90" i="134"/>
  <c r="O90" i="134"/>
  <c r="N90" i="134"/>
  <c r="M90" i="134"/>
  <c r="L90" i="134"/>
  <c r="P89" i="134"/>
  <c r="O89" i="134"/>
  <c r="N89" i="134"/>
  <c r="M89" i="134"/>
  <c r="L89" i="134"/>
  <c r="P88" i="134"/>
  <c r="O88" i="134"/>
  <c r="N88" i="134"/>
  <c r="M88" i="134"/>
  <c r="L88" i="134"/>
  <c r="P87" i="134"/>
  <c r="O87" i="134"/>
  <c r="N87" i="134"/>
  <c r="M87" i="134"/>
  <c r="L87" i="134"/>
  <c r="P86" i="134"/>
  <c r="O86" i="134"/>
  <c r="N86" i="134"/>
  <c r="M86" i="134"/>
  <c r="L86" i="134"/>
  <c r="P85" i="134"/>
  <c r="O85" i="134"/>
  <c r="N85" i="134"/>
  <c r="M85" i="134"/>
  <c r="L85" i="134"/>
  <c r="P84" i="134"/>
  <c r="O84" i="134"/>
  <c r="N84" i="134"/>
  <c r="M84" i="134"/>
  <c r="L84" i="134"/>
  <c r="P83" i="134"/>
  <c r="O83" i="134"/>
  <c r="N83" i="134"/>
  <c r="M83" i="134"/>
  <c r="L83" i="134"/>
  <c r="P82" i="134"/>
  <c r="O82" i="134"/>
  <c r="N82" i="134"/>
  <c r="M82" i="134"/>
  <c r="L82" i="134"/>
  <c r="P81" i="134"/>
  <c r="O81" i="134"/>
  <c r="N81" i="134"/>
  <c r="M81" i="134"/>
  <c r="L81" i="134"/>
  <c r="U80" i="134"/>
  <c r="T80" i="134"/>
  <c r="S80" i="134"/>
  <c r="R80" i="134"/>
  <c r="Q80" i="134"/>
  <c r="K80" i="134"/>
  <c r="J80" i="134"/>
  <c r="I80" i="134"/>
  <c r="H80" i="134"/>
  <c r="M80" i="134" s="1"/>
  <c r="G80" i="134"/>
  <c r="N40" i="95" s="1"/>
  <c r="J79" i="134"/>
  <c r="I79" i="134"/>
  <c r="H79" i="134"/>
  <c r="G79" i="134"/>
  <c r="N39" i="95" s="1"/>
  <c r="U78" i="134"/>
  <c r="T78" i="134"/>
  <c r="S78" i="134"/>
  <c r="R78" i="134"/>
  <c r="Q78" i="134"/>
  <c r="M78" i="134"/>
  <c r="L78" i="134"/>
  <c r="K78" i="134"/>
  <c r="O78" i="134"/>
  <c r="N78" i="134"/>
  <c r="P77" i="134"/>
  <c r="O77" i="134"/>
  <c r="N77" i="134"/>
  <c r="M77" i="134"/>
  <c r="L77" i="134"/>
  <c r="P76" i="134"/>
  <c r="O76" i="134"/>
  <c r="N76" i="134"/>
  <c r="M76" i="134"/>
  <c r="L76" i="134"/>
  <c r="P75" i="134"/>
  <c r="O75" i="134"/>
  <c r="N75" i="134"/>
  <c r="M75" i="134"/>
  <c r="L75" i="134"/>
  <c r="P74" i="134"/>
  <c r="O74" i="134"/>
  <c r="N74" i="134"/>
  <c r="M74" i="134"/>
  <c r="L74" i="134"/>
  <c r="P73" i="134"/>
  <c r="O73" i="134"/>
  <c r="N73" i="134"/>
  <c r="M73" i="134"/>
  <c r="L73" i="134"/>
  <c r="P72" i="134"/>
  <c r="O72" i="134"/>
  <c r="N72" i="134"/>
  <c r="M72" i="134"/>
  <c r="L72" i="134"/>
  <c r="P71" i="134"/>
  <c r="O71" i="134"/>
  <c r="N71" i="134"/>
  <c r="M71" i="134"/>
  <c r="L71" i="134"/>
  <c r="P70" i="134"/>
  <c r="O70" i="134"/>
  <c r="N70" i="134"/>
  <c r="M70" i="134"/>
  <c r="L70" i="134"/>
  <c r="P69" i="134"/>
  <c r="O69" i="134"/>
  <c r="N69" i="134"/>
  <c r="M69" i="134"/>
  <c r="L69" i="134"/>
  <c r="P68" i="134"/>
  <c r="O68" i="134"/>
  <c r="N68" i="134"/>
  <c r="M68" i="134"/>
  <c r="L68" i="134"/>
  <c r="P67" i="134"/>
  <c r="O67" i="134"/>
  <c r="N67" i="134"/>
  <c r="M67" i="134"/>
  <c r="L67" i="134"/>
  <c r="P66" i="134"/>
  <c r="O66" i="134"/>
  <c r="N66" i="134"/>
  <c r="M66" i="134"/>
  <c r="L66" i="134"/>
  <c r="P65" i="134"/>
  <c r="O65" i="134"/>
  <c r="N65" i="134"/>
  <c r="M65" i="134"/>
  <c r="L65" i="134"/>
  <c r="P64" i="134"/>
  <c r="O64" i="134"/>
  <c r="N64" i="134"/>
  <c r="M64" i="134"/>
  <c r="L64" i="134"/>
  <c r="P63" i="134"/>
  <c r="O63" i="134"/>
  <c r="N63" i="134"/>
  <c r="M63" i="134"/>
  <c r="L63" i="134"/>
  <c r="P62" i="134"/>
  <c r="O62" i="134"/>
  <c r="N62" i="134"/>
  <c r="M62" i="134"/>
  <c r="L62" i="134"/>
  <c r="P61" i="134"/>
  <c r="O61" i="134"/>
  <c r="N61" i="134"/>
  <c r="M61" i="134"/>
  <c r="L61" i="134"/>
  <c r="P60" i="134"/>
  <c r="O60" i="134"/>
  <c r="N60" i="134"/>
  <c r="M60" i="134"/>
  <c r="L60" i="134"/>
  <c r="P59" i="134"/>
  <c r="O59" i="134"/>
  <c r="N59" i="134"/>
  <c r="M59" i="134"/>
  <c r="L59" i="134"/>
  <c r="P58" i="134"/>
  <c r="O58" i="134"/>
  <c r="N58" i="134"/>
  <c r="M58" i="134"/>
  <c r="L58" i="134"/>
  <c r="P57" i="134"/>
  <c r="O57" i="134"/>
  <c r="N57" i="134"/>
  <c r="M57" i="134"/>
  <c r="L57" i="134"/>
  <c r="P56" i="134"/>
  <c r="O56" i="134"/>
  <c r="N56" i="134"/>
  <c r="M56" i="134"/>
  <c r="L56" i="134"/>
  <c r="P55" i="134"/>
  <c r="O55" i="134"/>
  <c r="N55" i="134"/>
  <c r="M55" i="134"/>
  <c r="L55" i="134"/>
  <c r="P54" i="134"/>
  <c r="O54" i="134"/>
  <c r="N54" i="134"/>
  <c r="M54" i="134"/>
  <c r="L54" i="134"/>
  <c r="P53" i="134"/>
  <c r="O53" i="134"/>
  <c r="N53" i="134"/>
  <c r="M53" i="134"/>
  <c r="L53" i="134"/>
  <c r="P52" i="134"/>
  <c r="O52" i="134"/>
  <c r="N52" i="134"/>
  <c r="M52" i="134"/>
  <c r="L52" i="134"/>
  <c r="P51" i="134"/>
  <c r="O51" i="134"/>
  <c r="N51" i="134"/>
  <c r="M51" i="134"/>
  <c r="L51" i="134"/>
  <c r="A51" i="134"/>
  <c r="A55" i="134" s="1"/>
  <c r="A59" i="134" s="1"/>
  <c r="A63" i="134" s="1"/>
  <c r="A67" i="134" s="1"/>
  <c r="A71" i="134" s="1"/>
  <c r="A75" i="134" s="1"/>
  <c r="A79" i="134" s="1"/>
  <c r="A83" i="134" s="1"/>
  <c r="A87" i="134" s="1"/>
  <c r="A91" i="134" s="1"/>
  <c r="A95" i="134" s="1"/>
  <c r="A99" i="134" s="1"/>
  <c r="A103" i="134" s="1"/>
  <c r="A107" i="134" s="1"/>
  <c r="A111" i="134" s="1"/>
  <c r="A115" i="134" s="1"/>
  <c r="A119" i="134" s="1"/>
  <c r="A123" i="134" s="1"/>
  <c r="A127" i="134" s="1"/>
  <c r="A131" i="134" s="1"/>
  <c r="A135" i="134" s="1"/>
  <c r="A139" i="134" s="1"/>
  <c r="P50" i="134"/>
  <c r="O50" i="134"/>
  <c r="N50" i="134"/>
  <c r="M50" i="134"/>
  <c r="L50" i="134"/>
  <c r="A50" i="134"/>
  <c r="A54" i="134" s="1"/>
  <c r="A58" i="134" s="1"/>
  <c r="A62" i="134" s="1"/>
  <c r="A66" i="134" s="1"/>
  <c r="A70" i="134" s="1"/>
  <c r="A74" i="134" s="1"/>
  <c r="A78" i="134" s="1"/>
  <c r="A82" i="134" s="1"/>
  <c r="A86" i="134" s="1"/>
  <c r="A90" i="134" s="1"/>
  <c r="A94" i="134" s="1"/>
  <c r="A98" i="134" s="1"/>
  <c r="A102" i="134" s="1"/>
  <c r="A106" i="134" s="1"/>
  <c r="A110" i="134" s="1"/>
  <c r="A114" i="134" s="1"/>
  <c r="A118" i="134" s="1"/>
  <c r="A122" i="134" s="1"/>
  <c r="A126" i="134" s="1"/>
  <c r="A130" i="134" s="1"/>
  <c r="A134" i="134" s="1"/>
  <c r="A138" i="134" s="1"/>
  <c r="P49" i="134"/>
  <c r="O49" i="134"/>
  <c r="N49" i="134"/>
  <c r="M49" i="134"/>
  <c r="L49" i="134"/>
  <c r="A49" i="134"/>
  <c r="A53" i="134" s="1"/>
  <c r="A57" i="134" s="1"/>
  <c r="A61" i="134" s="1"/>
  <c r="A65" i="134" s="1"/>
  <c r="A69" i="134" s="1"/>
  <c r="A73" i="134" s="1"/>
  <c r="A77" i="134" s="1"/>
  <c r="A81" i="134" s="1"/>
  <c r="A85" i="134" s="1"/>
  <c r="A89" i="134" s="1"/>
  <c r="A93" i="134" s="1"/>
  <c r="A97" i="134" s="1"/>
  <c r="A101" i="134" s="1"/>
  <c r="A105" i="134" s="1"/>
  <c r="A109" i="134" s="1"/>
  <c r="A113" i="134" s="1"/>
  <c r="A117" i="134" s="1"/>
  <c r="A121" i="134" s="1"/>
  <c r="A125" i="134" s="1"/>
  <c r="A129" i="134" s="1"/>
  <c r="A133" i="134" s="1"/>
  <c r="A137" i="134" s="1"/>
  <c r="P48" i="134"/>
  <c r="O48" i="134"/>
  <c r="N48" i="134"/>
  <c r="M48" i="134"/>
  <c r="L48" i="134"/>
  <c r="A48" i="134"/>
  <c r="A52" i="134" s="1"/>
  <c r="A56" i="134" s="1"/>
  <c r="A60" i="134" s="1"/>
  <c r="A64" i="134" s="1"/>
  <c r="A68" i="134" s="1"/>
  <c r="A72" i="134" s="1"/>
  <c r="A76" i="134" s="1"/>
  <c r="A80" i="134" s="1"/>
  <c r="A84" i="134" s="1"/>
  <c r="A88" i="134" s="1"/>
  <c r="A92" i="134" s="1"/>
  <c r="A96" i="134" s="1"/>
  <c r="A100" i="134" s="1"/>
  <c r="A104" i="134" s="1"/>
  <c r="A108" i="134" s="1"/>
  <c r="A112" i="134" s="1"/>
  <c r="A116" i="134" s="1"/>
  <c r="A120" i="134" s="1"/>
  <c r="A124" i="134" s="1"/>
  <c r="A128" i="134" s="1"/>
  <c r="A132" i="134" s="1"/>
  <c r="A136" i="134" s="1"/>
  <c r="P47" i="134"/>
  <c r="O47" i="134"/>
  <c r="N47" i="134"/>
  <c r="M47" i="134"/>
  <c r="L47" i="134"/>
  <c r="P46" i="134"/>
  <c r="O46" i="134"/>
  <c r="N46" i="134"/>
  <c r="M46" i="134"/>
  <c r="L46" i="134"/>
  <c r="P45" i="134"/>
  <c r="O45" i="134"/>
  <c r="N45" i="134"/>
  <c r="M45" i="134"/>
  <c r="L45" i="134"/>
  <c r="P44" i="134"/>
  <c r="O44" i="134"/>
  <c r="N44" i="134"/>
  <c r="M44" i="134"/>
  <c r="L44" i="134"/>
  <c r="P43" i="134"/>
  <c r="O43" i="134"/>
  <c r="N43" i="134"/>
  <c r="M43" i="134"/>
  <c r="L43" i="134"/>
  <c r="P42" i="134"/>
  <c r="O42" i="134"/>
  <c r="N42" i="134"/>
  <c r="M42" i="134"/>
  <c r="L42" i="134"/>
  <c r="P41" i="134"/>
  <c r="O41" i="134"/>
  <c r="N41" i="134"/>
  <c r="M41" i="134"/>
  <c r="L41" i="134"/>
  <c r="P40" i="134"/>
  <c r="O40" i="134"/>
  <c r="N40" i="134"/>
  <c r="M40" i="134"/>
  <c r="L40" i="134"/>
  <c r="P39" i="134"/>
  <c r="O39" i="134"/>
  <c r="N39" i="134"/>
  <c r="M39" i="134"/>
  <c r="L39" i="134"/>
  <c r="P38" i="134"/>
  <c r="O38" i="134"/>
  <c r="N38" i="134"/>
  <c r="M38" i="134"/>
  <c r="L38" i="134"/>
  <c r="P37" i="134"/>
  <c r="O37" i="134"/>
  <c r="N37" i="134"/>
  <c r="M37" i="134"/>
  <c r="L37" i="134"/>
  <c r="P36" i="134"/>
  <c r="O36" i="134"/>
  <c r="N36" i="134"/>
  <c r="M36" i="134"/>
  <c r="L36" i="134"/>
  <c r="P35" i="134"/>
  <c r="O35" i="134"/>
  <c r="N35" i="134"/>
  <c r="M35" i="134"/>
  <c r="L35" i="134"/>
  <c r="P34" i="134"/>
  <c r="O34" i="134"/>
  <c r="N34" i="134"/>
  <c r="M34" i="134"/>
  <c r="L34" i="134"/>
  <c r="P33" i="134"/>
  <c r="O33" i="134"/>
  <c r="N33" i="134"/>
  <c r="M33" i="134"/>
  <c r="L33" i="134"/>
  <c r="P32" i="134"/>
  <c r="O32" i="134"/>
  <c r="N32" i="134"/>
  <c r="M32" i="134"/>
  <c r="L32" i="134"/>
  <c r="P31" i="134"/>
  <c r="O31" i="134"/>
  <c r="N31" i="134"/>
  <c r="M31" i="134"/>
  <c r="L31" i="134"/>
  <c r="P30" i="134"/>
  <c r="O30" i="134"/>
  <c r="N30" i="134"/>
  <c r="M30" i="134"/>
  <c r="L30" i="134"/>
  <c r="N29" i="134"/>
  <c r="M29" i="134"/>
  <c r="L29" i="134"/>
  <c r="O29" i="134"/>
  <c r="N28" i="134"/>
  <c r="M28" i="134"/>
  <c r="L28" i="134"/>
  <c r="O28" i="134"/>
  <c r="O27" i="134"/>
  <c r="N27" i="134"/>
  <c r="M27" i="134"/>
  <c r="L27" i="134"/>
  <c r="O26" i="134"/>
  <c r="N26" i="134"/>
  <c r="M26" i="134"/>
  <c r="L26" i="134"/>
  <c r="O25" i="134"/>
  <c r="N25" i="134"/>
  <c r="M25" i="134"/>
  <c r="L25" i="134"/>
  <c r="O24" i="134"/>
  <c r="N24" i="134"/>
  <c r="M24" i="134"/>
  <c r="L24" i="134"/>
  <c r="O23" i="134"/>
  <c r="N23" i="134"/>
  <c r="M23" i="134"/>
  <c r="L23" i="134"/>
  <c r="O22" i="134"/>
  <c r="N22" i="134"/>
  <c r="M22" i="134"/>
  <c r="L22" i="134"/>
  <c r="O21" i="134"/>
  <c r="N21" i="134"/>
  <c r="M21" i="134"/>
  <c r="L21" i="134"/>
  <c r="O20" i="134"/>
  <c r="N20" i="134"/>
  <c r="M20" i="134"/>
  <c r="L20" i="134"/>
  <c r="O19" i="134"/>
  <c r="N19" i="134"/>
  <c r="M19" i="134"/>
  <c r="L19" i="134"/>
  <c r="O18" i="134"/>
  <c r="N18" i="134"/>
  <c r="M18" i="134"/>
  <c r="L18" i="134"/>
  <c r="O17" i="134"/>
  <c r="N17" i="134"/>
  <c r="M17" i="134"/>
  <c r="L17" i="134"/>
  <c r="O16" i="134"/>
  <c r="N16" i="134"/>
  <c r="M16" i="134"/>
  <c r="L16" i="134"/>
  <c r="O15" i="134"/>
  <c r="N15" i="134"/>
  <c r="M15" i="134"/>
  <c r="L15" i="134"/>
  <c r="O14" i="134"/>
  <c r="N14" i="134"/>
  <c r="M14" i="134"/>
  <c r="L14" i="134"/>
  <c r="O13" i="134"/>
  <c r="N13" i="134"/>
  <c r="M13" i="134"/>
  <c r="L13" i="134"/>
  <c r="O12" i="134"/>
  <c r="N12" i="134"/>
  <c r="M12" i="134"/>
  <c r="L12" i="134"/>
  <c r="O11" i="134"/>
  <c r="N11" i="134"/>
  <c r="M11" i="134"/>
  <c r="L11" i="134"/>
  <c r="O10" i="134"/>
  <c r="N10" i="134"/>
  <c r="M10" i="134"/>
  <c r="L10" i="134"/>
  <c r="L3" i="134"/>
  <c r="L2" i="134"/>
  <c r="I378" i="38"/>
  <c r="N361" i="24"/>
  <c r="S99" i="135" l="1"/>
  <c r="Q79" i="134"/>
  <c r="S115" i="135"/>
  <c r="S118" i="135"/>
  <c r="S127" i="135"/>
  <c r="S103" i="135"/>
  <c r="S40" i="135"/>
  <c r="S42" i="135"/>
  <c r="S131" i="135"/>
  <c r="S89" i="135"/>
  <c r="S53" i="135"/>
  <c r="S56" i="135"/>
  <c r="S57" i="135"/>
  <c r="S59" i="135"/>
  <c r="S60" i="135"/>
  <c r="S63" i="135"/>
  <c r="S65" i="135"/>
  <c r="S68" i="135"/>
  <c r="S69" i="135"/>
  <c r="S71" i="135"/>
  <c r="S101" i="135"/>
  <c r="S104" i="135"/>
  <c r="S119" i="135"/>
  <c r="S125" i="135"/>
  <c r="S52" i="135"/>
  <c r="S55" i="135"/>
  <c r="S61" i="135"/>
  <c r="S64" i="135"/>
  <c r="S91" i="135"/>
  <c r="S47" i="135"/>
  <c r="S90" i="135"/>
  <c r="S44" i="135"/>
  <c r="S102" i="135"/>
  <c r="S117" i="135"/>
  <c r="S120" i="135"/>
  <c r="S123" i="135"/>
  <c r="S132" i="135"/>
  <c r="K79" i="134"/>
  <c r="P79" i="134" s="1"/>
  <c r="S92" i="135"/>
  <c r="Y80" i="135"/>
  <c r="R79" i="134"/>
  <c r="G79" i="135"/>
  <c r="S136" i="135"/>
  <c r="S81" i="135"/>
  <c r="S36" i="135"/>
  <c r="S84" i="135"/>
  <c r="S85" i="135"/>
  <c r="S93" i="135"/>
  <c r="S48" i="135"/>
  <c r="S49" i="135"/>
  <c r="P80" i="135"/>
  <c r="S112" i="135"/>
  <c r="S137" i="135"/>
  <c r="L79" i="134"/>
  <c r="S74" i="135"/>
  <c r="S78" i="135"/>
  <c r="G80" i="135"/>
  <c r="S128" i="135"/>
  <c r="S133" i="135"/>
  <c r="S134" i="135"/>
  <c r="S116" i="135"/>
  <c r="Y79" i="135"/>
  <c r="S83" i="135"/>
  <c r="S86" i="135"/>
  <c r="S87" i="135"/>
  <c r="S88" i="135"/>
  <c r="S138" i="135"/>
  <c r="S139" i="135"/>
  <c r="S32" i="135"/>
  <c r="S33" i="135"/>
  <c r="S34" i="135"/>
  <c r="S35" i="135"/>
  <c r="S38" i="135"/>
  <c r="S39" i="135"/>
  <c r="S58" i="135"/>
  <c r="S62" i="135"/>
  <c r="S66" i="135"/>
  <c r="S72" i="135"/>
  <c r="S73" i="135"/>
  <c r="S75" i="135"/>
  <c r="S76" i="135"/>
  <c r="S77" i="135"/>
  <c r="N79" i="135"/>
  <c r="M80" i="135"/>
  <c r="S94" i="135"/>
  <c r="S95" i="135"/>
  <c r="S96" i="135"/>
  <c r="S97" i="135"/>
  <c r="S98" i="135"/>
  <c r="O79" i="135"/>
  <c r="R80" i="135"/>
  <c r="S43" i="135"/>
  <c r="R79" i="135"/>
  <c r="S100" i="135"/>
  <c r="S106" i="135"/>
  <c r="S107" i="135"/>
  <c r="S109" i="135"/>
  <c r="S111" i="135"/>
  <c r="S114" i="135"/>
  <c r="T79" i="134"/>
  <c r="Q80" i="135"/>
  <c r="P79" i="135"/>
  <c r="U79" i="134"/>
  <c r="N80" i="135"/>
  <c r="S54" i="135"/>
  <c r="S70" i="135"/>
  <c r="S124" i="135"/>
  <c r="M79" i="134"/>
  <c r="N80" i="134"/>
  <c r="S37" i="135"/>
  <c r="O80" i="135"/>
  <c r="S108" i="135"/>
  <c r="O80" i="134"/>
  <c r="S30" i="135"/>
  <c r="S113" i="135"/>
  <c r="S129" i="135"/>
  <c r="S130" i="135"/>
  <c r="Q39" i="95"/>
  <c r="P78" i="134"/>
  <c r="S46" i="135"/>
  <c r="S51" i="135"/>
  <c r="S67" i="135"/>
  <c r="M79" i="135"/>
  <c r="S82" i="135"/>
  <c r="S110" i="135"/>
  <c r="S126" i="135"/>
  <c r="Q40" i="95"/>
  <c r="S45" i="135"/>
  <c r="S50" i="135"/>
  <c r="S105" i="135"/>
  <c r="S121" i="135"/>
  <c r="S122" i="135"/>
  <c r="S79" i="134"/>
  <c r="P80" i="134"/>
  <c r="S31" i="135"/>
  <c r="S41" i="135"/>
  <c r="S135" i="135"/>
  <c r="T80" i="135"/>
  <c r="V80" i="135"/>
  <c r="N79" i="134"/>
  <c r="O79" i="134"/>
  <c r="Q79" i="135"/>
  <c r="L80" i="134"/>
  <c r="S80" i="135" l="1"/>
  <c r="S79" i="135"/>
  <c r="R10" i="95"/>
  <c r="R23" i="95"/>
  <c r="R22" i="95"/>
  <c r="R21" i="95"/>
  <c r="R20" i="95"/>
  <c r="R19" i="95"/>
  <c r="R18" i="95"/>
  <c r="R17" i="95"/>
  <c r="R16" i="95"/>
  <c r="R15" i="95"/>
  <c r="R14" i="95"/>
  <c r="R13" i="95"/>
  <c r="R12" i="95"/>
  <c r="R11" i="95"/>
  <c r="S23" i="95"/>
  <c r="P23" i="95"/>
  <c r="O23" i="95"/>
  <c r="V42" i="95"/>
  <c r="U42" i="95"/>
  <c r="S42" i="95"/>
  <c r="R42" i="95"/>
  <c r="P42" i="95"/>
  <c r="O42" i="95"/>
  <c r="O54" i="95"/>
  <c r="O41" i="95"/>
  <c r="O10" i="95"/>
  <c r="I377" i="38" l="1"/>
  <c r="M376" i="17" l="1"/>
  <c r="Z146" i="106" l="1"/>
  <c r="Z147" i="106"/>
  <c r="Z148" i="106"/>
  <c r="Z149" i="106"/>
  <c r="Z150" i="106"/>
  <c r="Z151" i="106"/>
  <c r="S223" i="106"/>
  <c r="N397" i="128" l="1"/>
  <c r="L286" i="14"/>
  <c r="L287" i="14"/>
  <c r="L288" i="14"/>
  <c r="E9" i="64" l="1"/>
  <c r="E375" i="64" s="1"/>
  <c r="D400" i="30"/>
  <c r="N10" i="128" l="1"/>
  <c r="I158" i="121"/>
  <c r="G70" i="53" l="1"/>
  <c r="G60" i="53"/>
  <c r="G39" i="53"/>
  <c r="G37" i="53"/>
  <c r="N250" i="24"/>
  <c r="G40" i="53"/>
  <c r="N453" i="24" l="1"/>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A201" i="24"/>
  <c r="A213" i="24" s="1"/>
  <c r="A225" i="24" s="1"/>
  <c r="A237" i="24" s="1"/>
  <c r="A249" i="24" s="1"/>
  <c r="A261" i="24" s="1"/>
  <c r="A273" i="24" s="1"/>
  <c r="A285" i="24" s="1"/>
  <c r="A297" i="24" s="1"/>
  <c r="A309" i="24" s="1"/>
  <c r="A321" i="24" s="1"/>
  <c r="A333" i="24" s="1"/>
  <c r="A345" i="24" s="1"/>
  <c r="A357" i="24" s="1"/>
  <c r="A369" i="24" s="1"/>
  <c r="A381" i="24" s="1"/>
  <c r="A393" i="24" s="1"/>
  <c r="A405" i="24" s="1"/>
  <c r="A417" i="24" s="1"/>
  <c r="A429" i="24" s="1"/>
  <c r="A441" i="24" s="1"/>
  <c r="A453" i="24" s="1"/>
  <c r="A200" i="24"/>
  <c r="A212" i="24" s="1"/>
  <c r="A224" i="24" s="1"/>
  <c r="A236" i="24" s="1"/>
  <c r="A248" i="24" s="1"/>
  <c r="A260" i="24" s="1"/>
  <c r="A272" i="24" s="1"/>
  <c r="A284" i="24" s="1"/>
  <c r="A296" i="24" s="1"/>
  <c r="A308" i="24" s="1"/>
  <c r="A320" i="24" s="1"/>
  <c r="A332" i="24" s="1"/>
  <c r="A344" i="24" s="1"/>
  <c r="A356" i="24" s="1"/>
  <c r="A368" i="24" s="1"/>
  <c r="A380" i="24" s="1"/>
  <c r="A392" i="24" s="1"/>
  <c r="A404" i="24" s="1"/>
  <c r="A416" i="24" s="1"/>
  <c r="A428" i="24" s="1"/>
  <c r="A440" i="24" s="1"/>
  <c r="A452" i="24" s="1"/>
  <c r="A199" i="24"/>
  <c r="A211" i="24" s="1"/>
  <c r="A223" i="24" s="1"/>
  <c r="A235" i="24" s="1"/>
  <c r="A247" i="24" s="1"/>
  <c r="A259" i="24" s="1"/>
  <c r="A271" i="24" s="1"/>
  <c r="A283" i="24" s="1"/>
  <c r="A295" i="24" s="1"/>
  <c r="A307" i="24" s="1"/>
  <c r="A319" i="24" s="1"/>
  <c r="A331" i="24" s="1"/>
  <c r="A343" i="24" s="1"/>
  <c r="A355" i="24" s="1"/>
  <c r="A367" i="24" s="1"/>
  <c r="A379" i="24" s="1"/>
  <c r="A391" i="24" s="1"/>
  <c r="A403" i="24" s="1"/>
  <c r="A415" i="24" s="1"/>
  <c r="A427" i="24" s="1"/>
  <c r="A439" i="24" s="1"/>
  <c r="A451" i="24" s="1"/>
  <c r="A198" i="24"/>
  <c r="A210" i="24" s="1"/>
  <c r="A222" i="24" s="1"/>
  <c r="A234" i="24" s="1"/>
  <c r="A246" i="24" s="1"/>
  <c r="A258" i="24" s="1"/>
  <c r="A270" i="24" s="1"/>
  <c r="A282" i="24" s="1"/>
  <c r="A294" i="24" s="1"/>
  <c r="A306" i="24" s="1"/>
  <c r="A318" i="24" s="1"/>
  <c r="A330" i="24" s="1"/>
  <c r="A342" i="24" s="1"/>
  <c r="A354" i="24" s="1"/>
  <c r="A366" i="24" s="1"/>
  <c r="A378" i="24" s="1"/>
  <c r="A390" i="24" s="1"/>
  <c r="A402" i="24" s="1"/>
  <c r="A414" i="24" s="1"/>
  <c r="A426" i="24" s="1"/>
  <c r="A438" i="24" s="1"/>
  <c r="A450" i="24" s="1"/>
  <c r="A197" i="24"/>
  <c r="A209" i="24" s="1"/>
  <c r="A221" i="24" s="1"/>
  <c r="A233" i="24" s="1"/>
  <c r="A245" i="24" s="1"/>
  <c r="A257" i="24" s="1"/>
  <c r="A269" i="24" s="1"/>
  <c r="A281" i="24" s="1"/>
  <c r="A293" i="24" s="1"/>
  <c r="A305" i="24" s="1"/>
  <c r="A317" i="24" s="1"/>
  <c r="A329" i="24" s="1"/>
  <c r="A341" i="24" s="1"/>
  <c r="A353" i="24" s="1"/>
  <c r="A365" i="24" s="1"/>
  <c r="A377" i="24" s="1"/>
  <c r="A389" i="24" s="1"/>
  <c r="A401" i="24" s="1"/>
  <c r="A413" i="24" s="1"/>
  <c r="A425" i="24" s="1"/>
  <c r="A437" i="24" s="1"/>
  <c r="A449" i="24" s="1"/>
  <c r="A196" i="24"/>
  <c r="A208" i="24" s="1"/>
  <c r="A220" i="24" s="1"/>
  <c r="A232" i="24" s="1"/>
  <c r="A244" i="24" s="1"/>
  <c r="A256" i="24" s="1"/>
  <c r="A268" i="24" s="1"/>
  <c r="A280" i="24" s="1"/>
  <c r="A292" i="24" s="1"/>
  <c r="A304" i="24" s="1"/>
  <c r="A316" i="24" s="1"/>
  <c r="A328" i="24" s="1"/>
  <c r="A340" i="24" s="1"/>
  <c r="A352" i="24" s="1"/>
  <c r="A364" i="24" s="1"/>
  <c r="A376" i="24" s="1"/>
  <c r="A388" i="24" s="1"/>
  <c r="A400" i="24" s="1"/>
  <c r="A412" i="24" s="1"/>
  <c r="A424" i="24" s="1"/>
  <c r="A436" i="24" s="1"/>
  <c r="A448" i="24" s="1"/>
  <c r="A195" i="24"/>
  <c r="A207" i="24" s="1"/>
  <c r="A219" i="24" s="1"/>
  <c r="A231" i="24" s="1"/>
  <c r="A243" i="24" s="1"/>
  <c r="A255" i="24" s="1"/>
  <c r="A267" i="24" s="1"/>
  <c r="A279" i="24" s="1"/>
  <c r="A291" i="24" s="1"/>
  <c r="A303" i="24" s="1"/>
  <c r="A315" i="24" s="1"/>
  <c r="A327" i="24" s="1"/>
  <c r="A339" i="24" s="1"/>
  <c r="A351" i="24" s="1"/>
  <c r="A363" i="24" s="1"/>
  <c r="A375" i="24" s="1"/>
  <c r="A387" i="24" s="1"/>
  <c r="A399" i="24" s="1"/>
  <c r="A411" i="24" s="1"/>
  <c r="A423" i="24" s="1"/>
  <c r="A435" i="24" s="1"/>
  <c r="A447" i="24" s="1"/>
  <c r="A194" i="24"/>
  <c r="A206" i="24" s="1"/>
  <c r="A218" i="24" s="1"/>
  <c r="A230" i="24" s="1"/>
  <c r="A242" i="24" s="1"/>
  <c r="A254" i="24" s="1"/>
  <c r="A266" i="24" s="1"/>
  <c r="A278" i="24" s="1"/>
  <c r="A290" i="24" s="1"/>
  <c r="A302" i="24" s="1"/>
  <c r="A314" i="24" s="1"/>
  <c r="A326" i="24" s="1"/>
  <c r="A338" i="24" s="1"/>
  <c r="A350" i="24" s="1"/>
  <c r="A362" i="24" s="1"/>
  <c r="A374" i="24" s="1"/>
  <c r="A386" i="24" s="1"/>
  <c r="A398" i="24" s="1"/>
  <c r="A410" i="24" s="1"/>
  <c r="A422" i="24" s="1"/>
  <c r="A434" i="24" s="1"/>
  <c r="A446" i="24" s="1"/>
  <c r="A193" i="24"/>
  <c r="A205" i="24" s="1"/>
  <c r="A217" i="24" s="1"/>
  <c r="A229" i="24" s="1"/>
  <c r="A241" i="24" s="1"/>
  <c r="A253" i="24" s="1"/>
  <c r="A265" i="24" s="1"/>
  <c r="A277" i="24" s="1"/>
  <c r="A289" i="24" s="1"/>
  <c r="A301" i="24" s="1"/>
  <c r="A313" i="24" s="1"/>
  <c r="A325" i="24" s="1"/>
  <c r="A337" i="24" s="1"/>
  <c r="A349" i="24" s="1"/>
  <c r="A361" i="24" s="1"/>
  <c r="A373" i="24" s="1"/>
  <c r="A385" i="24" s="1"/>
  <c r="A397" i="24" s="1"/>
  <c r="A409" i="24" s="1"/>
  <c r="A421" i="24" s="1"/>
  <c r="A433" i="24" s="1"/>
  <c r="A445" i="24" s="1"/>
  <c r="A192" i="24"/>
  <c r="A204" i="24" s="1"/>
  <c r="A216" i="24" s="1"/>
  <c r="A228" i="24" s="1"/>
  <c r="A240" i="24" s="1"/>
  <c r="A252" i="24" s="1"/>
  <c r="A264" i="24" s="1"/>
  <c r="A276" i="24" s="1"/>
  <c r="A288" i="24" s="1"/>
  <c r="A300" i="24" s="1"/>
  <c r="A312" i="24" s="1"/>
  <c r="A324" i="24" s="1"/>
  <c r="A336" i="24" s="1"/>
  <c r="A348" i="24" s="1"/>
  <c r="A360" i="24" s="1"/>
  <c r="A372" i="24" s="1"/>
  <c r="A384" i="24" s="1"/>
  <c r="A396" i="24" s="1"/>
  <c r="A408" i="24" s="1"/>
  <c r="A420" i="24" s="1"/>
  <c r="A432" i="24" s="1"/>
  <c r="A444" i="24" s="1"/>
  <c r="A191" i="24"/>
  <c r="A203" i="24" s="1"/>
  <c r="A215" i="24" s="1"/>
  <c r="A227" i="24" s="1"/>
  <c r="A239" i="24" s="1"/>
  <c r="A251" i="24" s="1"/>
  <c r="A263" i="24" s="1"/>
  <c r="A275" i="24" s="1"/>
  <c r="A287" i="24" s="1"/>
  <c r="A299" i="24" s="1"/>
  <c r="A311" i="24" s="1"/>
  <c r="A323" i="24" s="1"/>
  <c r="A335" i="24" s="1"/>
  <c r="A347" i="24" s="1"/>
  <c r="A359" i="24" s="1"/>
  <c r="A371" i="24" s="1"/>
  <c r="A383" i="24" s="1"/>
  <c r="A395" i="24" s="1"/>
  <c r="A407" i="24" s="1"/>
  <c r="A419" i="24" s="1"/>
  <c r="A431" i="24" s="1"/>
  <c r="A443" i="24" s="1"/>
  <c r="A190" i="24"/>
  <c r="A202" i="24" s="1"/>
  <c r="A214" i="24" s="1"/>
  <c r="A226" i="24" s="1"/>
  <c r="A238" i="24" s="1"/>
  <c r="A250" i="24" s="1"/>
  <c r="A262" i="24" s="1"/>
  <c r="A274" i="24" s="1"/>
  <c r="A286" i="24" s="1"/>
  <c r="A298" i="24" s="1"/>
  <c r="A310" i="24" s="1"/>
  <c r="A322" i="24" s="1"/>
  <c r="A334" i="24" s="1"/>
  <c r="A346" i="24" s="1"/>
  <c r="A358" i="24" s="1"/>
  <c r="A370" i="24" s="1"/>
  <c r="A382" i="24" s="1"/>
  <c r="A394" i="24" s="1"/>
  <c r="A406" i="24" s="1"/>
  <c r="A418" i="24" s="1"/>
  <c r="A430" i="24" s="1"/>
  <c r="A442" i="24" s="1"/>
  <c r="K7" i="24"/>
  <c r="G24" i="53" l="1"/>
  <c r="I453" i="41"/>
  <c r="I452" i="41"/>
  <c r="I451" i="41"/>
  <c r="I450" i="41"/>
  <c r="I449" i="41"/>
  <c r="I448" i="41"/>
  <c r="I447" i="41"/>
  <c r="I446" i="41"/>
  <c r="I445" i="41"/>
  <c r="I444" i="41"/>
  <c r="I443" i="41"/>
  <c r="I442" i="41"/>
  <c r="I441" i="41"/>
  <c r="I440" i="41"/>
  <c r="I439" i="41"/>
  <c r="I438" i="41"/>
  <c r="I437" i="41"/>
  <c r="I436" i="41"/>
  <c r="I435" i="41"/>
  <c r="I434" i="41"/>
  <c r="I433" i="41"/>
  <c r="I432" i="41"/>
  <c r="I431" i="41"/>
  <c r="I430" i="41"/>
  <c r="I429" i="41"/>
  <c r="I428" i="41"/>
  <c r="I427" i="41"/>
  <c r="I426" i="41"/>
  <c r="I425" i="41"/>
  <c r="I424" i="41"/>
  <c r="I423" i="41"/>
  <c r="I422" i="41"/>
  <c r="I421" i="41"/>
  <c r="I420" i="41"/>
  <c r="I419" i="41"/>
  <c r="I418" i="41"/>
  <c r="I417" i="41"/>
  <c r="I416" i="41"/>
  <c r="I415" i="41"/>
  <c r="I414" i="41"/>
  <c r="I413" i="41"/>
  <c r="I412" i="41"/>
  <c r="I411" i="41"/>
  <c r="I410" i="41"/>
  <c r="I409" i="41"/>
  <c r="I408" i="41"/>
  <c r="I407" i="41"/>
  <c r="I406" i="41"/>
  <c r="I405" i="41"/>
  <c r="I404" i="41"/>
  <c r="I403" i="41"/>
  <c r="I402" i="41"/>
  <c r="I401" i="41"/>
  <c r="I400" i="41"/>
  <c r="I399" i="41"/>
  <c r="I398" i="41"/>
  <c r="I397" i="41"/>
  <c r="I396" i="41"/>
  <c r="I395" i="41"/>
  <c r="I394" i="41"/>
  <c r="I393" i="41"/>
  <c r="I392" i="41"/>
  <c r="I391" i="41"/>
  <c r="I390" i="41"/>
  <c r="I389" i="41"/>
  <c r="I388" i="41"/>
  <c r="I387" i="41"/>
  <c r="I386" i="41"/>
  <c r="I385" i="41"/>
  <c r="I384" i="41"/>
  <c r="I383" i="41"/>
  <c r="I382" i="41"/>
  <c r="I381" i="41"/>
  <c r="I380" i="41"/>
  <c r="I379" i="41"/>
  <c r="I378" i="41"/>
  <c r="I377" i="41"/>
  <c r="I376" i="41"/>
  <c r="I375" i="41"/>
  <c r="I374" i="41"/>
  <c r="I373" i="41"/>
  <c r="I372" i="41"/>
  <c r="I371" i="41"/>
  <c r="I370" i="41"/>
  <c r="I369" i="41"/>
  <c r="I368" i="41"/>
  <c r="I367" i="41"/>
  <c r="I366" i="41"/>
  <c r="I365" i="41"/>
  <c r="I364" i="41"/>
  <c r="I363" i="41"/>
  <c r="I362" i="41"/>
  <c r="I361" i="41"/>
  <c r="I360" i="41"/>
  <c r="I359" i="41"/>
  <c r="I358" i="41"/>
  <c r="I357" i="41"/>
  <c r="I356" i="41"/>
  <c r="I355" i="41"/>
  <c r="I354" i="41"/>
  <c r="I353" i="41"/>
  <c r="I352" i="41"/>
  <c r="I351" i="41"/>
  <c r="I350" i="41"/>
  <c r="I349" i="41"/>
  <c r="I348" i="41"/>
  <c r="I347" i="41"/>
  <c r="I346" i="41"/>
  <c r="I345" i="41"/>
  <c r="I344" i="41"/>
  <c r="I343" i="41"/>
  <c r="I342" i="41"/>
  <c r="I341" i="41"/>
  <c r="I340" i="41"/>
  <c r="I339" i="41"/>
  <c r="I338" i="41"/>
  <c r="I337" i="41"/>
  <c r="I336" i="41"/>
  <c r="I335" i="41"/>
  <c r="I334" i="41"/>
  <c r="I333" i="41"/>
  <c r="I332" i="41"/>
  <c r="I331" i="41"/>
  <c r="I330" i="41"/>
  <c r="I329" i="41"/>
  <c r="I328" i="41"/>
  <c r="I327" i="41"/>
  <c r="I326" i="41"/>
  <c r="I325" i="41"/>
  <c r="I324" i="41"/>
  <c r="I323" i="41"/>
  <c r="I322" i="41"/>
  <c r="I321" i="41"/>
  <c r="I320" i="41"/>
  <c r="I319" i="41"/>
  <c r="I318" i="41"/>
  <c r="I317" i="41"/>
  <c r="I316" i="41"/>
  <c r="I315" i="41"/>
  <c r="I314" i="41"/>
  <c r="I313" i="41"/>
  <c r="I312" i="41"/>
  <c r="I311" i="41"/>
  <c r="I310" i="41"/>
  <c r="I309" i="41"/>
  <c r="I308" i="41"/>
  <c r="I307" i="41"/>
  <c r="I306" i="41"/>
  <c r="I305" i="41"/>
  <c r="I304" i="41"/>
  <c r="I303" i="41"/>
  <c r="I302" i="41"/>
  <c r="I301" i="41"/>
  <c r="I300" i="41"/>
  <c r="I299" i="41"/>
  <c r="I298" i="41"/>
  <c r="I297" i="41"/>
  <c r="I296" i="41"/>
  <c r="I295" i="41"/>
  <c r="I294" i="41"/>
  <c r="I293" i="41"/>
  <c r="I292" i="41"/>
  <c r="I291" i="41"/>
  <c r="I290" i="41"/>
  <c r="I289" i="41"/>
  <c r="I288" i="41"/>
  <c r="I287" i="41"/>
  <c r="I286" i="41"/>
  <c r="I285" i="41"/>
  <c r="I284" i="41"/>
  <c r="I283" i="41"/>
  <c r="I282" i="41"/>
  <c r="I281" i="41"/>
  <c r="I280" i="41"/>
  <c r="I279" i="41"/>
  <c r="I278" i="41"/>
  <c r="I277" i="41"/>
  <c r="I276" i="41"/>
  <c r="I275" i="41"/>
  <c r="I274" i="41"/>
  <c r="I273" i="41"/>
  <c r="I272" i="41"/>
  <c r="I271" i="41"/>
  <c r="I270" i="41"/>
  <c r="I269" i="41"/>
  <c r="I268" i="41"/>
  <c r="I267" i="41"/>
  <c r="I266" i="41"/>
  <c r="I265" i="41"/>
  <c r="I264" i="41"/>
  <c r="I263" i="41"/>
  <c r="I262" i="41"/>
  <c r="I261" i="41"/>
  <c r="I260" i="41"/>
  <c r="I259" i="41"/>
  <c r="I258" i="41"/>
  <c r="I257" i="41"/>
  <c r="I256" i="41"/>
  <c r="I255" i="41"/>
  <c r="I254" i="41"/>
  <c r="I253" i="41"/>
  <c r="I252" i="41"/>
  <c r="I251" i="41"/>
  <c r="I250" i="41"/>
  <c r="D375" i="11" l="1"/>
  <c r="E372" i="64" l="1"/>
  <c r="I170" i="121" l="1"/>
  <c r="I171" i="121"/>
  <c r="I172" i="121"/>
  <c r="I173" i="121"/>
  <c r="I174" i="121"/>
  <c r="I175" i="121"/>
  <c r="I176" i="121"/>
  <c r="I177" i="121"/>
  <c r="I178" i="121"/>
  <c r="I179" i="121"/>
  <c r="I180" i="121"/>
  <c r="I181" i="121"/>
  <c r="I182" i="121"/>
  <c r="I183" i="121"/>
  <c r="I184" i="121"/>
  <c r="I185" i="121"/>
  <c r="I186" i="121"/>
  <c r="I187" i="121"/>
  <c r="I188" i="121"/>
  <c r="I189" i="121"/>
  <c r="J453" i="52" l="1"/>
  <c r="D453" i="52"/>
  <c r="J452" i="52"/>
  <c r="D452" i="52"/>
  <c r="J451" i="52"/>
  <c r="D451" i="52"/>
  <c r="J450" i="52"/>
  <c r="D450" i="52"/>
  <c r="J449" i="52"/>
  <c r="D449" i="52"/>
  <c r="J448" i="52"/>
  <c r="D448" i="52"/>
  <c r="J447" i="52"/>
  <c r="D447" i="52"/>
  <c r="J446" i="52"/>
  <c r="D446" i="52"/>
  <c r="J445" i="52"/>
  <c r="D445" i="52"/>
  <c r="J444" i="52"/>
  <c r="D444" i="52"/>
  <c r="J443" i="52"/>
  <c r="D443" i="52"/>
  <c r="J442" i="52"/>
  <c r="D442" i="52"/>
  <c r="J441" i="52"/>
  <c r="D441" i="52"/>
  <c r="J440" i="52"/>
  <c r="D440" i="52"/>
  <c r="J439" i="52"/>
  <c r="D439" i="52"/>
  <c r="J438" i="52"/>
  <c r="D438" i="52"/>
  <c r="J437" i="52"/>
  <c r="D437" i="52"/>
  <c r="J436" i="52"/>
  <c r="D436" i="52"/>
  <c r="J435" i="52"/>
  <c r="D435" i="52"/>
  <c r="J434" i="52"/>
  <c r="D434" i="52"/>
  <c r="J433" i="52"/>
  <c r="D433" i="52"/>
  <c r="J432" i="52"/>
  <c r="D432" i="52"/>
  <c r="J431" i="52"/>
  <c r="D431" i="52"/>
  <c r="J430" i="52"/>
  <c r="D430" i="52"/>
  <c r="J429" i="52"/>
  <c r="D429" i="52"/>
  <c r="J428" i="52"/>
  <c r="D428" i="52"/>
  <c r="J427" i="52"/>
  <c r="D427" i="52"/>
  <c r="J426" i="52"/>
  <c r="D426" i="52"/>
  <c r="J425" i="52"/>
  <c r="D425" i="52"/>
  <c r="J424" i="52"/>
  <c r="D424" i="52"/>
  <c r="J423" i="52"/>
  <c r="D423" i="52"/>
  <c r="J422" i="52"/>
  <c r="D422" i="52"/>
  <c r="J421" i="52"/>
  <c r="D421" i="52"/>
  <c r="J420" i="52"/>
  <c r="D420" i="52"/>
  <c r="J419" i="52"/>
  <c r="D419" i="52"/>
  <c r="J418" i="52"/>
  <c r="D418" i="52"/>
  <c r="J417" i="52"/>
  <c r="D417" i="52"/>
  <c r="J416" i="52"/>
  <c r="D416" i="52"/>
  <c r="J415" i="52"/>
  <c r="D415" i="52"/>
  <c r="J414" i="52"/>
  <c r="D414" i="52"/>
  <c r="J413" i="52"/>
  <c r="D413" i="52"/>
  <c r="J412" i="52"/>
  <c r="D412" i="52"/>
  <c r="J411" i="52"/>
  <c r="D411" i="52"/>
  <c r="J410" i="52"/>
  <c r="D410" i="52"/>
  <c r="J409" i="52"/>
  <c r="D409" i="52"/>
  <c r="J408" i="52"/>
  <c r="D408" i="52"/>
  <c r="J407" i="52"/>
  <c r="D407" i="52"/>
  <c r="J406" i="52"/>
  <c r="D406" i="52"/>
  <c r="J405" i="52"/>
  <c r="D405" i="52"/>
  <c r="J404" i="52"/>
  <c r="D404" i="52"/>
  <c r="J403" i="52"/>
  <c r="D403" i="52"/>
  <c r="J402" i="52"/>
  <c r="D402" i="52"/>
  <c r="J401" i="52"/>
  <c r="D401" i="52"/>
  <c r="J400" i="52"/>
  <c r="D400" i="52"/>
  <c r="J399" i="52"/>
  <c r="D399" i="52"/>
  <c r="J398" i="52"/>
  <c r="D398" i="52"/>
  <c r="J397" i="52"/>
  <c r="D397" i="52"/>
  <c r="J396" i="52"/>
  <c r="D396" i="52"/>
  <c r="J395" i="52"/>
  <c r="D395" i="52"/>
  <c r="J394" i="52"/>
  <c r="D394" i="52"/>
  <c r="E429" i="59"/>
  <c r="C429" i="59"/>
  <c r="E428" i="59"/>
  <c r="C428" i="59"/>
  <c r="E427" i="59"/>
  <c r="C427" i="59"/>
  <c r="E426" i="59"/>
  <c r="C426" i="59"/>
  <c r="E425" i="59"/>
  <c r="C425" i="59"/>
  <c r="E424" i="59"/>
  <c r="C424" i="59"/>
  <c r="E423" i="59"/>
  <c r="C423" i="59"/>
  <c r="E422" i="59"/>
  <c r="C422" i="59"/>
  <c r="E421" i="59"/>
  <c r="C421" i="59"/>
  <c r="E420" i="59"/>
  <c r="C420" i="59"/>
  <c r="E419" i="59"/>
  <c r="C419" i="59"/>
  <c r="E418" i="59"/>
  <c r="C418" i="59"/>
  <c r="E417" i="59"/>
  <c r="C417" i="59"/>
  <c r="E416" i="59"/>
  <c r="C416" i="59"/>
  <c r="E415" i="59"/>
  <c r="C415" i="59"/>
  <c r="E414" i="59"/>
  <c r="C414" i="59"/>
  <c r="E413" i="59"/>
  <c r="C413" i="59"/>
  <c r="E412" i="59"/>
  <c r="C412" i="59"/>
  <c r="E411" i="59"/>
  <c r="C411" i="59"/>
  <c r="E410" i="59"/>
  <c r="C410" i="59"/>
  <c r="E409" i="59"/>
  <c r="C409" i="59"/>
  <c r="E408" i="59"/>
  <c r="C408" i="59"/>
  <c r="E407" i="59"/>
  <c r="C407" i="59"/>
  <c r="E406" i="59"/>
  <c r="C406" i="59"/>
  <c r="E405" i="59"/>
  <c r="C405" i="59"/>
  <c r="E404" i="59"/>
  <c r="C404" i="59"/>
  <c r="E403" i="59"/>
  <c r="C403" i="59"/>
  <c r="E402" i="59"/>
  <c r="C402" i="59"/>
  <c r="E401" i="59"/>
  <c r="C401" i="59"/>
  <c r="E400" i="59"/>
  <c r="C400" i="59"/>
  <c r="E399" i="59"/>
  <c r="C399" i="59"/>
  <c r="E398" i="59"/>
  <c r="C398" i="59"/>
  <c r="E397" i="59"/>
  <c r="C397" i="59"/>
  <c r="E396" i="59"/>
  <c r="C396" i="59"/>
  <c r="E395" i="59"/>
  <c r="C395" i="59"/>
  <c r="E394" i="59"/>
  <c r="C394" i="59"/>
  <c r="E393" i="59"/>
  <c r="C393" i="59"/>
  <c r="E392" i="59"/>
  <c r="C392" i="59"/>
  <c r="E391" i="59"/>
  <c r="C391" i="59"/>
  <c r="E390" i="59"/>
  <c r="C390" i="59"/>
  <c r="E389" i="59"/>
  <c r="C389" i="59"/>
  <c r="E388" i="59"/>
  <c r="C388" i="59"/>
  <c r="E387" i="59"/>
  <c r="C387" i="59"/>
  <c r="E386" i="59"/>
  <c r="C386" i="59"/>
  <c r="E385" i="59"/>
  <c r="C385" i="59"/>
  <c r="E384" i="59"/>
  <c r="C384" i="59"/>
  <c r="E383" i="59"/>
  <c r="C383" i="59"/>
  <c r="E382" i="59"/>
  <c r="C382" i="59"/>
  <c r="E381" i="59"/>
  <c r="C381" i="59"/>
  <c r="E380" i="59"/>
  <c r="C380" i="59"/>
  <c r="E379" i="59"/>
  <c r="C379" i="59"/>
  <c r="E378" i="59"/>
  <c r="C378" i="59"/>
  <c r="E377" i="59"/>
  <c r="C377" i="59"/>
  <c r="E376" i="59"/>
  <c r="C376" i="59"/>
  <c r="E375" i="59"/>
  <c r="C375" i="59"/>
  <c r="E374" i="59"/>
  <c r="C374" i="59"/>
  <c r="E373" i="59"/>
  <c r="C373" i="59"/>
  <c r="E372" i="59"/>
  <c r="C372" i="59"/>
  <c r="E371" i="59"/>
  <c r="C371" i="59"/>
  <c r="E370" i="59"/>
  <c r="C370" i="59"/>
  <c r="L477" i="108"/>
  <c r="L476" i="108"/>
  <c r="L475" i="108"/>
  <c r="L474" i="108"/>
  <c r="L473" i="108"/>
  <c r="L472" i="108"/>
  <c r="L471" i="108"/>
  <c r="L470" i="108"/>
  <c r="L469" i="108"/>
  <c r="L468" i="108"/>
  <c r="L467" i="108"/>
  <c r="L466" i="108"/>
  <c r="L465" i="108"/>
  <c r="L464" i="108"/>
  <c r="L463" i="108"/>
  <c r="L462" i="108"/>
  <c r="L461" i="108"/>
  <c r="L460" i="108"/>
  <c r="L459" i="108"/>
  <c r="L458" i="108"/>
  <c r="L457" i="108"/>
  <c r="L456" i="108"/>
  <c r="L455" i="108"/>
  <c r="L454" i="108"/>
  <c r="L453" i="108"/>
  <c r="L452" i="108"/>
  <c r="L451" i="108"/>
  <c r="L450" i="108"/>
  <c r="L449" i="108"/>
  <c r="L448" i="108"/>
  <c r="L447" i="108"/>
  <c r="L446" i="108"/>
  <c r="L445" i="108"/>
  <c r="L444" i="108"/>
  <c r="L443" i="108"/>
  <c r="L442" i="108"/>
  <c r="L441" i="108"/>
  <c r="L440" i="108"/>
  <c r="L439" i="108"/>
  <c r="L438" i="108"/>
  <c r="L437" i="108"/>
  <c r="L436" i="108"/>
  <c r="L435" i="108"/>
  <c r="L434" i="108"/>
  <c r="L433" i="108"/>
  <c r="L432" i="108"/>
  <c r="L431" i="108"/>
  <c r="L430" i="108"/>
  <c r="L429" i="108"/>
  <c r="L428" i="108"/>
  <c r="L427" i="108"/>
  <c r="L426" i="108"/>
  <c r="L425" i="108"/>
  <c r="L424" i="108"/>
  <c r="L423" i="108"/>
  <c r="L422" i="108"/>
  <c r="L421" i="108"/>
  <c r="L420" i="108"/>
  <c r="L419" i="108"/>
  <c r="L418" i="108"/>
  <c r="D477" i="89"/>
  <c r="B477" i="89"/>
  <c r="D476" i="89"/>
  <c r="B476" i="89"/>
  <c r="D475" i="89"/>
  <c r="B475" i="89"/>
  <c r="D474" i="89"/>
  <c r="B474" i="89"/>
  <c r="D473" i="89"/>
  <c r="B473" i="89"/>
  <c r="D472" i="89"/>
  <c r="B472" i="89"/>
  <c r="D471" i="89"/>
  <c r="B471" i="89"/>
  <c r="D470" i="89"/>
  <c r="B470" i="89"/>
  <c r="D469" i="89"/>
  <c r="B469" i="89"/>
  <c r="D468" i="89"/>
  <c r="B468" i="89"/>
  <c r="D467" i="89"/>
  <c r="B467" i="89"/>
  <c r="D466" i="89"/>
  <c r="B466" i="89"/>
  <c r="D465" i="89"/>
  <c r="B465" i="89"/>
  <c r="D464" i="89"/>
  <c r="B464" i="89"/>
  <c r="D463" i="89"/>
  <c r="B463" i="89"/>
  <c r="D462" i="89"/>
  <c r="B462" i="89"/>
  <c r="D461" i="89"/>
  <c r="B461" i="89"/>
  <c r="D460" i="89"/>
  <c r="B460" i="89"/>
  <c r="D459" i="89"/>
  <c r="B459" i="89"/>
  <c r="D458" i="89"/>
  <c r="B458" i="89"/>
  <c r="D457" i="89"/>
  <c r="B457" i="89"/>
  <c r="D456" i="89"/>
  <c r="B456" i="89"/>
  <c r="D455" i="89"/>
  <c r="B455" i="89"/>
  <c r="D454" i="89"/>
  <c r="B454" i="89"/>
  <c r="D453" i="89"/>
  <c r="B453" i="89"/>
  <c r="D452" i="89"/>
  <c r="B452" i="89"/>
  <c r="D451" i="89"/>
  <c r="B451" i="89"/>
  <c r="D450" i="89"/>
  <c r="B450" i="89"/>
  <c r="D449" i="89"/>
  <c r="B449" i="89"/>
  <c r="D448" i="89"/>
  <c r="B448" i="89"/>
  <c r="D447" i="89"/>
  <c r="B447" i="89"/>
  <c r="D446" i="89"/>
  <c r="B446" i="89"/>
  <c r="D445" i="89"/>
  <c r="B445" i="89"/>
  <c r="D444" i="89"/>
  <c r="B444" i="89"/>
  <c r="D443" i="89"/>
  <c r="B443" i="89"/>
  <c r="D442" i="89"/>
  <c r="B442" i="89"/>
  <c r="D441" i="89"/>
  <c r="B441" i="89"/>
  <c r="D440" i="89"/>
  <c r="B440" i="89"/>
  <c r="D439" i="89"/>
  <c r="B439" i="89"/>
  <c r="D438" i="89"/>
  <c r="B438" i="89"/>
  <c r="D437" i="89"/>
  <c r="B437" i="89"/>
  <c r="D436" i="89"/>
  <c r="B436" i="89"/>
  <c r="D435" i="89"/>
  <c r="B435" i="89"/>
  <c r="D434" i="89"/>
  <c r="B434" i="89"/>
  <c r="D433" i="89"/>
  <c r="B433" i="89"/>
  <c r="D432" i="89"/>
  <c r="B432" i="89"/>
  <c r="D431" i="89"/>
  <c r="B431" i="89"/>
  <c r="D430" i="89"/>
  <c r="B430" i="89"/>
  <c r="D429" i="89"/>
  <c r="B429" i="89"/>
  <c r="D428" i="89"/>
  <c r="B428" i="89"/>
  <c r="D427" i="89"/>
  <c r="B427" i="89"/>
  <c r="D426" i="89"/>
  <c r="B426" i="89"/>
  <c r="D425" i="89"/>
  <c r="B425" i="89"/>
  <c r="D424" i="89"/>
  <c r="B424" i="89"/>
  <c r="D423" i="89"/>
  <c r="B423" i="89"/>
  <c r="D422" i="89"/>
  <c r="B422" i="89"/>
  <c r="D421" i="89"/>
  <c r="B421" i="89"/>
  <c r="D420" i="89"/>
  <c r="B420" i="89"/>
  <c r="D419" i="89"/>
  <c r="B419" i="89"/>
  <c r="D418" i="89"/>
  <c r="B418" i="89"/>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D500" i="51" l="1"/>
  <c r="D501" i="51"/>
  <c r="D490" i="51"/>
  <c r="D491" i="51"/>
  <c r="D492" i="51"/>
  <c r="D493" i="51"/>
  <c r="D494" i="51"/>
  <c r="D495" i="51"/>
  <c r="D496" i="51"/>
  <c r="D497" i="51"/>
  <c r="D498" i="51"/>
  <c r="D499" i="51"/>
  <c r="D478" i="51"/>
  <c r="D479" i="51"/>
  <c r="D480" i="51"/>
  <c r="D481" i="51"/>
  <c r="D482" i="51"/>
  <c r="D483" i="51"/>
  <c r="D484" i="51"/>
  <c r="D485" i="51"/>
  <c r="D486" i="51"/>
  <c r="D487" i="51"/>
  <c r="D488" i="51"/>
  <c r="D489" i="51"/>
  <c r="D465" i="51"/>
  <c r="D466" i="51"/>
  <c r="D467" i="51"/>
  <c r="D468" i="51"/>
  <c r="D469" i="51"/>
  <c r="D470" i="51"/>
  <c r="D471" i="51"/>
  <c r="D472" i="51"/>
  <c r="D473" i="51"/>
  <c r="D474" i="51"/>
  <c r="D475" i="51"/>
  <c r="D476" i="51"/>
  <c r="D477" i="51"/>
  <c r="D458" i="51"/>
  <c r="D459" i="51"/>
  <c r="D460" i="51"/>
  <c r="D461" i="51"/>
  <c r="D462" i="51"/>
  <c r="D463" i="51"/>
  <c r="D464" i="51"/>
  <c r="D442" i="51"/>
  <c r="D443" i="51"/>
  <c r="D444" i="51"/>
  <c r="D445" i="51"/>
  <c r="D446" i="51"/>
  <c r="D447" i="51"/>
  <c r="D448" i="51"/>
  <c r="D449" i="51"/>
  <c r="D450" i="51"/>
  <c r="D451" i="51"/>
  <c r="D452" i="51"/>
  <c r="D453" i="51"/>
  <c r="D454" i="51"/>
  <c r="D455" i="51"/>
  <c r="D456" i="51"/>
  <c r="D457" i="51"/>
  <c r="L433" i="38"/>
  <c r="B433" i="38" s="1"/>
  <c r="Q433" i="38"/>
  <c r="C433" i="38" s="1"/>
  <c r="L434" i="38"/>
  <c r="B434" i="38" s="1"/>
  <c r="Q434" i="38"/>
  <c r="C434" i="38" s="1"/>
  <c r="L435" i="38"/>
  <c r="B435" i="38" s="1"/>
  <c r="Q435" i="38"/>
  <c r="C435" i="38" s="1"/>
  <c r="L436" i="38"/>
  <c r="B436" i="38" s="1"/>
  <c r="Q436" i="38"/>
  <c r="C436" i="38" s="1"/>
  <c r="L437" i="38"/>
  <c r="B437" i="38" s="1"/>
  <c r="Q437" i="38"/>
  <c r="C437" i="38" s="1"/>
  <c r="L438" i="38"/>
  <c r="B438" i="38" s="1"/>
  <c r="Q438" i="38"/>
  <c r="C438" i="38" s="1"/>
  <c r="L439" i="38"/>
  <c r="B439" i="38" s="1"/>
  <c r="Q439" i="38"/>
  <c r="C439" i="38" s="1"/>
  <c r="L440" i="38"/>
  <c r="B440" i="38" s="1"/>
  <c r="Q440" i="38"/>
  <c r="C440" i="38" s="1"/>
  <c r="L441" i="38"/>
  <c r="B441" i="38" s="1"/>
  <c r="Q441" i="38"/>
  <c r="C441" i="38" s="1"/>
  <c r="L442" i="38"/>
  <c r="B442" i="38" s="1"/>
  <c r="Q442" i="38"/>
  <c r="C442" i="38" s="1"/>
  <c r="L443" i="38"/>
  <c r="B443" i="38" s="1"/>
  <c r="Q443" i="38"/>
  <c r="C443" i="38" s="1"/>
  <c r="L444" i="38"/>
  <c r="B444" i="38" s="1"/>
  <c r="Q444" i="38"/>
  <c r="C444" i="38" s="1"/>
  <c r="L445" i="38"/>
  <c r="B445" i="38" s="1"/>
  <c r="Q445" i="38"/>
  <c r="C445" i="38" s="1"/>
  <c r="L446" i="38"/>
  <c r="B446" i="38" s="1"/>
  <c r="Q446" i="38"/>
  <c r="C446" i="38" s="1"/>
  <c r="L447" i="38"/>
  <c r="B447" i="38" s="1"/>
  <c r="Q447" i="38"/>
  <c r="C447" i="38" s="1"/>
  <c r="L448" i="38"/>
  <c r="B448" i="38" s="1"/>
  <c r="Q448" i="38"/>
  <c r="C448" i="38" s="1"/>
  <c r="L449" i="38"/>
  <c r="B449" i="38" s="1"/>
  <c r="Q449" i="38"/>
  <c r="C449" i="38" s="1"/>
  <c r="L450" i="38"/>
  <c r="B450" i="38" s="1"/>
  <c r="Q450" i="38"/>
  <c r="C450" i="38" s="1"/>
  <c r="L451" i="38"/>
  <c r="B451" i="38" s="1"/>
  <c r="Q451" i="38"/>
  <c r="C451" i="38" s="1"/>
  <c r="L452" i="38"/>
  <c r="B452" i="38" s="1"/>
  <c r="Q452" i="38"/>
  <c r="C452" i="38" s="1"/>
  <c r="L453" i="38"/>
  <c r="B453" i="38" s="1"/>
  <c r="Q453" i="38"/>
  <c r="C453" i="38" s="1"/>
  <c r="L454" i="38"/>
  <c r="B454" i="38" s="1"/>
  <c r="Q454" i="38"/>
  <c r="C454" i="38" s="1"/>
  <c r="L455" i="38"/>
  <c r="B455" i="38" s="1"/>
  <c r="Q455" i="38"/>
  <c r="C455" i="38" s="1"/>
  <c r="L456" i="38"/>
  <c r="B456" i="38" s="1"/>
  <c r="Q456" i="38"/>
  <c r="C456" i="38" s="1"/>
  <c r="L457" i="38"/>
  <c r="B457" i="38" s="1"/>
  <c r="Q457" i="38"/>
  <c r="C457" i="38" s="1"/>
  <c r="L458" i="38"/>
  <c r="B458" i="38" s="1"/>
  <c r="Q458" i="38"/>
  <c r="C458" i="38" s="1"/>
  <c r="L459" i="38"/>
  <c r="B459" i="38" s="1"/>
  <c r="Q459" i="38"/>
  <c r="C459" i="38" s="1"/>
  <c r="L460" i="38"/>
  <c r="B460" i="38" s="1"/>
  <c r="Q460" i="38"/>
  <c r="C460" i="38" s="1"/>
  <c r="L461" i="38"/>
  <c r="B461" i="38" s="1"/>
  <c r="Q461" i="38"/>
  <c r="C461" i="38" s="1"/>
  <c r="L462" i="38"/>
  <c r="B462" i="38" s="1"/>
  <c r="Q462" i="38"/>
  <c r="C462" i="38" s="1"/>
  <c r="L463" i="38"/>
  <c r="B463" i="38" s="1"/>
  <c r="Q463" i="38"/>
  <c r="C463" i="38" s="1"/>
  <c r="L464" i="38"/>
  <c r="B464" i="38" s="1"/>
  <c r="Q464" i="38"/>
  <c r="C464" i="38" s="1"/>
  <c r="L465" i="38"/>
  <c r="B465" i="38" s="1"/>
  <c r="Q465" i="38"/>
  <c r="C465" i="38" s="1"/>
  <c r="L406" i="38"/>
  <c r="B406" i="38" s="1"/>
  <c r="Q406" i="38"/>
  <c r="C406" i="38" s="1"/>
  <c r="L407" i="38"/>
  <c r="B407" i="38" s="1"/>
  <c r="Q407" i="38"/>
  <c r="C407" i="38" s="1"/>
  <c r="L408" i="38"/>
  <c r="B408" i="38" s="1"/>
  <c r="Q408" i="38"/>
  <c r="C408" i="38" s="1"/>
  <c r="L409" i="38"/>
  <c r="B409" i="38" s="1"/>
  <c r="Q409" i="38"/>
  <c r="C409" i="38" s="1"/>
  <c r="L410" i="38"/>
  <c r="B410" i="38" s="1"/>
  <c r="Q410" i="38"/>
  <c r="C410" i="38" s="1"/>
  <c r="L411" i="38"/>
  <c r="B411" i="38" s="1"/>
  <c r="Q411" i="38"/>
  <c r="C411" i="38" s="1"/>
  <c r="L412" i="38"/>
  <c r="B412" i="38" s="1"/>
  <c r="Q412" i="38"/>
  <c r="C412" i="38" s="1"/>
  <c r="L413" i="38"/>
  <c r="B413" i="38" s="1"/>
  <c r="Q413" i="38"/>
  <c r="C413" i="38" s="1"/>
  <c r="L414" i="38"/>
  <c r="B414" i="38" s="1"/>
  <c r="Q414" i="38"/>
  <c r="C414" i="38" s="1"/>
  <c r="L415" i="38"/>
  <c r="B415" i="38" s="1"/>
  <c r="Q415" i="38"/>
  <c r="C415" i="38" s="1"/>
  <c r="L416" i="38"/>
  <c r="B416" i="38" s="1"/>
  <c r="Q416" i="38"/>
  <c r="C416" i="38" s="1"/>
  <c r="L417" i="38"/>
  <c r="B417" i="38" s="1"/>
  <c r="Q417" i="38"/>
  <c r="C417" i="38" s="1"/>
  <c r="L418" i="38"/>
  <c r="B418" i="38" s="1"/>
  <c r="Q418" i="38"/>
  <c r="C418" i="38" s="1"/>
  <c r="L419" i="38"/>
  <c r="B419" i="38" s="1"/>
  <c r="Q419" i="38"/>
  <c r="C419" i="38" s="1"/>
  <c r="L420" i="38"/>
  <c r="B420" i="38" s="1"/>
  <c r="Q420" i="38"/>
  <c r="C420" i="38" s="1"/>
  <c r="L421" i="38"/>
  <c r="B421" i="38" s="1"/>
  <c r="Q421" i="38"/>
  <c r="C421" i="38" s="1"/>
  <c r="L422" i="38"/>
  <c r="B422" i="38" s="1"/>
  <c r="Q422" i="38"/>
  <c r="C422" i="38" s="1"/>
  <c r="L423" i="38"/>
  <c r="B423" i="38" s="1"/>
  <c r="Q423" i="38"/>
  <c r="C423" i="38" s="1"/>
  <c r="L424" i="38"/>
  <c r="B424" i="38" s="1"/>
  <c r="Q424" i="38"/>
  <c r="C424" i="38" s="1"/>
  <c r="L425" i="38"/>
  <c r="B425" i="38" s="1"/>
  <c r="Q425" i="38"/>
  <c r="C425" i="38" s="1"/>
  <c r="L426" i="38"/>
  <c r="B426" i="38" s="1"/>
  <c r="Q426" i="38"/>
  <c r="C426" i="38" s="1"/>
  <c r="L427" i="38"/>
  <c r="B427" i="38" s="1"/>
  <c r="Q427" i="38"/>
  <c r="C427" i="38" s="1"/>
  <c r="L428" i="38"/>
  <c r="B428" i="38" s="1"/>
  <c r="Q428" i="38"/>
  <c r="C428" i="38" s="1"/>
  <c r="L429" i="38"/>
  <c r="B429" i="38" s="1"/>
  <c r="Q429" i="38"/>
  <c r="C429" i="38" s="1"/>
  <c r="L430" i="38"/>
  <c r="B430" i="38" s="1"/>
  <c r="Q430" i="38"/>
  <c r="C430" i="38" s="1"/>
  <c r="L431" i="38"/>
  <c r="B431" i="38" s="1"/>
  <c r="Q431" i="38"/>
  <c r="C431" i="38" s="1"/>
  <c r="L432" i="38"/>
  <c r="B432" i="38" s="1"/>
  <c r="Q432" i="38"/>
  <c r="C432" i="38" s="1"/>
  <c r="H446" i="4"/>
  <c r="K446" i="4"/>
  <c r="O446" i="4"/>
  <c r="V446" i="4"/>
  <c r="H447" i="4"/>
  <c r="K447" i="4"/>
  <c r="O447" i="4"/>
  <c r="V447" i="4"/>
  <c r="H448" i="4"/>
  <c r="K448" i="4"/>
  <c r="O448" i="4"/>
  <c r="V448" i="4"/>
  <c r="H449" i="4"/>
  <c r="K449" i="4"/>
  <c r="O449" i="4"/>
  <c r="V449" i="4"/>
  <c r="H450" i="4"/>
  <c r="K450" i="4"/>
  <c r="O450" i="4"/>
  <c r="V450" i="4"/>
  <c r="H451" i="4"/>
  <c r="K451" i="4"/>
  <c r="O451" i="4"/>
  <c r="V451" i="4"/>
  <c r="H452" i="4"/>
  <c r="K452" i="4"/>
  <c r="O452" i="4"/>
  <c r="V452" i="4"/>
  <c r="H453" i="4"/>
  <c r="K453" i="4"/>
  <c r="O453" i="4"/>
  <c r="V453" i="4"/>
  <c r="H437" i="4"/>
  <c r="K437" i="4"/>
  <c r="O437" i="4"/>
  <c r="V437" i="4"/>
  <c r="H438" i="4"/>
  <c r="K438" i="4"/>
  <c r="O438" i="4"/>
  <c r="V438" i="4"/>
  <c r="H439" i="4"/>
  <c r="K439" i="4"/>
  <c r="O439" i="4"/>
  <c r="V439" i="4"/>
  <c r="H440" i="4"/>
  <c r="K440" i="4"/>
  <c r="O440" i="4"/>
  <c r="V440" i="4"/>
  <c r="H441" i="4"/>
  <c r="K441" i="4"/>
  <c r="O441" i="4"/>
  <c r="V441" i="4"/>
  <c r="H442" i="4"/>
  <c r="K442" i="4"/>
  <c r="O442" i="4"/>
  <c r="V442" i="4"/>
  <c r="H443" i="4"/>
  <c r="K443" i="4"/>
  <c r="O443" i="4"/>
  <c r="V443" i="4"/>
  <c r="H444" i="4"/>
  <c r="K444" i="4"/>
  <c r="O444" i="4"/>
  <c r="V444" i="4"/>
  <c r="H445" i="4"/>
  <c r="K445" i="4"/>
  <c r="O445" i="4"/>
  <c r="V445" i="4"/>
  <c r="H425" i="4"/>
  <c r="K425" i="4"/>
  <c r="O425" i="4"/>
  <c r="V425" i="4"/>
  <c r="H426" i="4"/>
  <c r="K426" i="4"/>
  <c r="O426" i="4"/>
  <c r="V426" i="4"/>
  <c r="H427" i="4"/>
  <c r="K427" i="4"/>
  <c r="O427" i="4"/>
  <c r="V427" i="4"/>
  <c r="H428" i="4"/>
  <c r="K428" i="4"/>
  <c r="O428" i="4"/>
  <c r="V428" i="4"/>
  <c r="H429" i="4"/>
  <c r="K429" i="4"/>
  <c r="O429" i="4"/>
  <c r="V429" i="4"/>
  <c r="H430" i="4"/>
  <c r="K430" i="4"/>
  <c r="O430" i="4"/>
  <c r="V430" i="4"/>
  <c r="H431" i="4"/>
  <c r="K431" i="4"/>
  <c r="O431" i="4"/>
  <c r="V431" i="4"/>
  <c r="H432" i="4"/>
  <c r="K432" i="4"/>
  <c r="O432" i="4"/>
  <c r="V432" i="4"/>
  <c r="H433" i="4"/>
  <c r="K433" i="4"/>
  <c r="O433" i="4"/>
  <c r="V433" i="4"/>
  <c r="H434" i="4"/>
  <c r="K434" i="4"/>
  <c r="O434" i="4"/>
  <c r="V434" i="4"/>
  <c r="H435" i="4"/>
  <c r="K435" i="4"/>
  <c r="O435" i="4"/>
  <c r="V435" i="4"/>
  <c r="H436" i="4"/>
  <c r="K436" i="4"/>
  <c r="O436" i="4"/>
  <c r="V436" i="4"/>
  <c r="H410" i="4"/>
  <c r="K410" i="4"/>
  <c r="O410" i="4"/>
  <c r="V410" i="4"/>
  <c r="H411" i="4"/>
  <c r="K411" i="4"/>
  <c r="O411" i="4"/>
  <c r="V411" i="4"/>
  <c r="H412" i="4"/>
  <c r="K412" i="4"/>
  <c r="O412" i="4"/>
  <c r="V412" i="4"/>
  <c r="H413" i="4"/>
  <c r="K413" i="4"/>
  <c r="O413" i="4"/>
  <c r="V413" i="4"/>
  <c r="H414" i="4"/>
  <c r="K414" i="4"/>
  <c r="O414" i="4"/>
  <c r="V414" i="4"/>
  <c r="H415" i="4"/>
  <c r="K415" i="4"/>
  <c r="O415" i="4"/>
  <c r="V415" i="4"/>
  <c r="H416" i="4"/>
  <c r="K416" i="4"/>
  <c r="O416" i="4"/>
  <c r="V416" i="4"/>
  <c r="H417" i="4"/>
  <c r="K417" i="4"/>
  <c r="O417" i="4"/>
  <c r="V417" i="4"/>
  <c r="H418" i="4"/>
  <c r="K418" i="4"/>
  <c r="O418" i="4"/>
  <c r="V418" i="4"/>
  <c r="H419" i="4"/>
  <c r="K419" i="4"/>
  <c r="O419" i="4"/>
  <c r="V419" i="4"/>
  <c r="H420" i="4"/>
  <c r="K420" i="4"/>
  <c r="O420" i="4"/>
  <c r="V420" i="4"/>
  <c r="H421" i="4"/>
  <c r="K421" i="4"/>
  <c r="O421" i="4"/>
  <c r="V421" i="4"/>
  <c r="H422" i="4"/>
  <c r="K422" i="4"/>
  <c r="O422" i="4"/>
  <c r="V422" i="4"/>
  <c r="H423" i="4"/>
  <c r="K423" i="4"/>
  <c r="O423" i="4"/>
  <c r="V423" i="4"/>
  <c r="H424" i="4"/>
  <c r="K424" i="4"/>
  <c r="O424" i="4"/>
  <c r="V424" i="4"/>
  <c r="H394" i="4"/>
  <c r="K394" i="4"/>
  <c r="O394" i="4"/>
  <c r="V394" i="4"/>
  <c r="H395" i="4"/>
  <c r="K395" i="4"/>
  <c r="O395" i="4"/>
  <c r="V395" i="4"/>
  <c r="H396" i="4"/>
  <c r="K396" i="4"/>
  <c r="O396" i="4"/>
  <c r="V396" i="4"/>
  <c r="H397" i="4"/>
  <c r="K397" i="4"/>
  <c r="O397" i="4"/>
  <c r="V397" i="4"/>
  <c r="H398" i="4"/>
  <c r="K398" i="4"/>
  <c r="O398" i="4"/>
  <c r="V398" i="4"/>
  <c r="H399" i="4"/>
  <c r="K399" i="4"/>
  <c r="O399" i="4"/>
  <c r="V399" i="4"/>
  <c r="H400" i="4"/>
  <c r="K400" i="4"/>
  <c r="O400" i="4"/>
  <c r="V400" i="4"/>
  <c r="H401" i="4"/>
  <c r="K401" i="4"/>
  <c r="O401" i="4"/>
  <c r="V401" i="4"/>
  <c r="H402" i="4"/>
  <c r="K402" i="4"/>
  <c r="O402" i="4"/>
  <c r="V402" i="4"/>
  <c r="H403" i="4"/>
  <c r="K403" i="4"/>
  <c r="O403" i="4"/>
  <c r="V403" i="4"/>
  <c r="H404" i="4"/>
  <c r="K404" i="4"/>
  <c r="O404" i="4"/>
  <c r="V404" i="4"/>
  <c r="H405" i="4"/>
  <c r="K405" i="4"/>
  <c r="O405" i="4"/>
  <c r="V405" i="4"/>
  <c r="H406" i="4"/>
  <c r="K406" i="4"/>
  <c r="O406" i="4"/>
  <c r="V406" i="4"/>
  <c r="H407" i="4"/>
  <c r="K407" i="4"/>
  <c r="O407" i="4"/>
  <c r="V407" i="4"/>
  <c r="H408" i="4"/>
  <c r="K408" i="4"/>
  <c r="O408" i="4"/>
  <c r="V408" i="4"/>
  <c r="H409" i="4"/>
  <c r="K409" i="4"/>
  <c r="O409" i="4"/>
  <c r="V409" i="4"/>
  <c r="H464" i="17"/>
  <c r="H465" i="17"/>
  <c r="H457" i="17"/>
  <c r="H458" i="17"/>
  <c r="H459" i="17"/>
  <c r="H460" i="17"/>
  <c r="H461" i="17"/>
  <c r="H462" i="17"/>
  <c r="H463" i="17"/>
  <c r="H450" i="17"/>
  <c r="H451" i="17"/>
  <c r="H452" i="17"/>
  <c r="H453" i="17"/>
  <c r="H454" i="17"/>
  <c r="H455" i="17"/>
  <c r="H456" i="17"/>
  <c r="H440" i="17"/>
  <c r="H441" i="17"/>
  <c r="H442" i="17"/>
  <c r="H443" i="17"/>
  <c r="H444" i="17"/>
  <c r="H445" i="17"/>
  <c r="H446" i="17"/>
  <c r="H447" i="17"/>
  <c r="H448" i="17"/>
  <c r="H449" i="17"/>
  <c r="H431" i="17"/>
  <c r="H432" i="17"/>
  <c r="H433" i="17"/>
  <c r="H434" i="17"/>
  <c r="H435" i="17"/>
  <c r="H436" i="17"/>
  <c r="H437" i="17"/>
  <c r="H438" i="17"/>
  <c r="H439" i="17"/>
  <c r="H420" i="17"/>
  <c r="H421" i="17"/>
  <c r="H422" i="17"/>
  <c r="H423" i="17"/>
  <c r="H424" i="17"/>
  <c r="H425" i="17"/>
  <c r="H426" i="17"/>
  <c r="H427" i="17"/>
  <c r="H428" i="17"/>
  <c r="H429" i="17"/>
  <c r="H430" i="17"/>
  <c r="H406" i="17"/>
  <c r="H407" i="17"/>
  <c r="H408" i="17"/>
  <c r="H409" i="17"/>
  <c r="H410" i="17"/>
  <c r="H411" i="17"/>
  <c r="H412" i="17"/>
  <c r="H413" i="17"/>
  <c r="H414" i="17"/>
  <c r="H415" i="17"/>
  <c r="H416" i="17"/>
  <c r="H417" i="17"/>
  <c r="H418" i="17"/>
  <c r="H419" i="17"/>
  <c r="C413" i="3"/>
  <c r="R413" i="3"/>
  <c r="X413" i="3"/>
  <c r="C414" i="3"/>
  <c r="R414" i="3"/>
  <c r="X414" i="3"/>
  <c r="C415" i="3"/>
  <c r="R415" i="3"/>
  <c r="X415" i="3"/>
  <c r="C416" i="3"/>
  <c r="R416" i="3"/>
  <c r="X416" i="3"/>
  <c r="C417" i="3"/>
  <c r="R417" i="3"/>
  <c r="X417" i="3"/>
  <c r="C404" i="3"/>
  <c r="R404" i="3"/>
  <c r="X404" i="3"/>
  <c r="C405" i="3"/>
  <c r="R405" i="3"/>
  <c r="X405" i="3"/>
  <c r="C406" i="3"/>
  <c r="R406" i="3"/>
  <c r="X406" i="3"/>
  <c r="C407" i="3"/>
  <c r="R407" i="3"/>
  <c r="X407" i="3"/>
  <c r="C408" i="3"/>
  <c r="R408" i="3"/>
  <c r="X408" i="3"/>
  <c r="C409" i="3"/>
  <c r="R409" i="3"/>
  <c r="X409" i="3"/>
  <c r="C410" i="3"/>
  <c r="R410" i="3"/>
  <c r="X410" i="3"/>
  <c r="C411" i="3"/>
  <c r="R411" i="3"/>
  <c r="X411" i="3"/>
  <c r="C412" i="3"/>
  <c r="R412" i="3"/>
  <c r="X412" i="3"/>
  <c r="C390" i="3"/>
  <c r="R390" i="3"/>
  <c r="X390" i="3"/>
  <c r="C391" i="3"/>
  <c r="R391" i="3"/>
  <c r="X391" i="3"/>
  <c r="C392" i="3"/>
  <c r="R392" i="3"/>
  <c r="X392" i="3"/>
  <c r="C393" i="3"/>
  <c r="R393" i="3"/>
  <c r="X393" i="3"/>
  <c r="C394" i="3"/>
  <c r="R394" i="3"/>
  <c r="X394" i="3"/>
  <c r="C395" i="3"/>
  <c r="R395" i="3"/>
  <c r="X395" i="3"/>
  <c r="C396" i="3"/>
  <c r="R396" i="3"/>
  <c r="X396" i="3"/>
  <c r="C397" i="3"/>
  <c r="R397" i="3"/>
  <c r="X397" i="3"/>
  <c r="C398" i="3"/>
  <c r="R398" i="3"/>
  <c r="X398" i="3"/>
  <c r="C399" i="3"/>
  <c r="R399" i="3"/>
  <c r="X399" i="3"/>
  <c r="C400" i="3"/>
  <c r="R400" i="3"/>
  <c r="X400" i="3"/>
  <c r="C401" i="3"/>
  <c r="R401" i="3"/>
  <c r="X401" i="3"/>
  <c r="C402" i="3"/>
  <c r="R402" i="3"/>
  <c r="X402" i="3"/>
  <c r="C403" i="3"/>
  <c r="R403" i="3"/>
  <c r="X403" i="3"/>
  <c r="C375" i="3"/>
  <c r="R375" i="3"/>
  <c r="X375" i="3"/>
  <c r="C376" i="3"/>
  <c r="R376" i="3"/>
  <c r="X376" i="3"/>
  <c r="C377" i="3"/>
  <c r="R377" i="3"/>
  <c r="X377" i="3"/>
  <c r="C378" i="3"/>
  <c r="R378" i="3"/>
  <c r="X378" i="3"/>
  <c r="C379" i="3"/>
  <c r="R379" i="3"/>
  <c r="X379" i="3"/>
  <c r="C380" i="3"/>
  <c r="R380" i="3"/>
  <c r="X380" i="3"/>
  <c r="C381" i="3"/>
  <c r="R381" i="3"/>
  <c r="X381" i="3"/>
  <c r="C382" i="3"/>
  <c r="R382" i="3"/>
  <c r="X382" i="3"/>
  <c r="C383" i="3"/>
  <c r="R383" i="3"/>
  <c r="X383" i="3"/>
  <c r="C384" i="3"/>
  <c r="R384" i="3"/>
  <c r="X384" i="3"/>
  <c r="C385" i="3"/>
  <c r="R385" i="3"/>
  <c r="X385" i="3"/>
  <c r="C386" i="3"/>
  <c r="R386" i="3"/>
  <c r="X386" i="3"/>
  <c r="C387" i="3"/>
  <c r="R387" i="3"/>
  <c r="X387" i="3"/>
  <c r="C388" i="3"/>
  <c r="R388" i="3"/>
  <c r="X388" i="3"/>
  <c r="C389" i="3"/>
  <c r="R389" i="3"/>
  <c r="X389" i="3"/>
  <c r="C358" i="3"/>
  <c r="R358" i="3"/>
  <c r="X358" i="3"/>
  <c r="C359" i="3"/>
  <c r="R359" i="3"/>
  <c r="X359" i="3"/>
  <c r="C360" i="3"/>
  <c r="R360" i="3"/>
  <c r="X360" i="3"/>
  <c r="C361" i="3"/>
  <c r="R361" i="3"/>
  <c r="X361" i="3"/>
  <c r="C362" i="3"/>
  <c r="R362" i="3"/>
  <c r="X362" i="3"/>
  <c r="C363" i="3"/>
  <c r="R363" i="3"/>
  <c r="X363" i="3"/>
  <c r="C364" i="3"/>
  <c r="R364" i="3"/>
  <c r="X364" i="3"/>
  <c r="C365" i="3"/>
  <c r="R365" i="3"/>
  <c r="X365" i="3"/>
  <c r="C366" i="3"/>
  <c r="R366" i="3"/>
  <c r="X366" i="3"/>
  <c r="C367" i="3"/>
  <c r="R367" i="3"/>
  <c r="X367" i="3"/>
  <c r="C368" i="3"/>
  <c r="R368" i="3"/>
  <c r="X368" i="3"/>
  <c r="C369" i="3"/>
  <c r="R369" i="3"/>
  <c r="X369" i="3"/>
  <c r="C370" i="3"/>
  <c r="R370" i="3"/>
  <c r="X370" i="3"/>
  <c r="C371" i="3"/>
  <c r="R371" i="3"/>
  <c r="X371" i="3"/>
  <c r="C372" i="3"/>
  <c r="R372" i="3"/>
  <c r="X372" i="3"/>
  <c r="C373" i="3"/>
  <c r="R373" i="3"/>
  <c r="X373" i="3"/>
  <c r="C374" i="3"/>
  <c r="R374" i="3"/>
  <c r="X374" i="3"/>
  <c r="B162" i="49"/>
  <c r="E162" i="49"/>
  <c r="I162" i="49"/>
  <c r="L162" i="49"/>
  <c r="B163" i="49"/>
  <c r="E163" i="49"/>
  <c r="I163" i="49"/>
  <c r="L163" i="49"/>
  <c r="B164" i="49"/>
  <c r="E164" i="49"/>
  <c r="I164" i="49"/>
  <c r="L164" i="49"/>
  <c r="B165" i="49"/>
  <c r="E165" i="49"/>
  <c r="I165" i="49"/>
  <c r="L165" i="49"/>
  <c r="B166" i="49"/>
  <c r="E166" i="49"/>
  <c r="I166" i="49"/>
  <c r="L166" i="49"/>
  <c r="B167" i="49"/>
  <c r="E167" i="49"/>
  <c r="I167" i="49"/>
  <c r="L167" i="49"/>
  <c r="B168" i="49"/>
  <c r="E168" i="49"/>
  <c r="I168" i="49"/>
  <c r="L168" i="49"/>
  <c r="B169" i="49"/>
  <c r="E169" i="49"/>
  <c r="I169" i="49"/>
  <c r="L169" i="49"/>
  <c r="B150" i="49"/>
  <c r="E150" i="49"/>
  <c r="I150" i="49"/>
  <c r="L150" i="49"/>
  <c r="B151" i="49"/>
  <c r="E151" i="49"/>
  <c r="I151" i="49"/>
  <c r="L151" i="49"/>
  <c r="B152" i="49"/>
  <c r="E152" i="49"/>
  <c r="I152" i="49"/>
  <c r="L152" i="49"/>
  <c r="B153" i="49"/>
  <c r="E153" i="49"/>
  <c r="I153" i="49"/>
  <c r="L153" i="49"/>
  <c r="B154" i="49"/>
  <c r="E154" i="49"/>
  <c r="I154" i="49"/>
  <c r="L154" i="49"/>
  <c r="B155" i="49"/>
  <c r="E155" i="49"/>
  <c r="I155" i="49"/>
  <c r="L155" i="49"/>
  <c r="B156" i="49"/>
  <c r="E156" i="49"/>
  <c r="I156" i="49"/>
  <c r="L156" i="49"/>
  <c r="B157" i="49"/>
  <c r="E157" i="49"/>
  <c r="I157" i="49"/>
  <c r="L157" i="49"/>
  <c r="B158" i="49"/>
  <c r="E158" i="49"/>
  <c r="I158" i="49"/>
  <c r="L158" i="49"/>
  <c r="B159" i="49"/>
  <c r="E159" i="49"/>
  <c r="I159" i="49"/>
  <c r="L159" i="49"/>
  <c r="B160" i="49"/>
  <c r="E160" i="49"/>
  <c r="I160" i="49"/>
  <c r="L160" i="49"/>
  <c r="B161" i="49"/>
  <c r="E161" i="49"/>
  <c r="I161" i="49"/>
  <c r="L161" i="49"/>
  <c r="B122" i="114"/>
  <c r="C122" i="114" s="1"/>
  <c r="I122" i="114"/>
  <c r="B123" i="114"/>
  <c r="C123" i="114" s="1"/>
  <c r="I123" i="114"/>
  <c r="B124" i="114"/>
  <c r="C124" i="114" s="1"/>
  <c r="I124" i="114"/>
  <c r="B125" i="114"/>
  <c r="C125" i="114" s="1"/>
  <c r="I125" i="114"/>
  <c r="B119" i="114"/>
  <c r="C119" i="114" s="1"/>
  <c r="I119" i="114"/>
  <c r="B120" i="114"/>
  <c r="C120" i="114" s="1"/>
  <c r="I120" i="114"/>
  <c r="B121" i="114"/>
  <c r="C121" i="114" s="1"/>
  <c r="I121" i="114"/>
  <c r="B106" i="114"/>
  <c r="C106" i="114" s="1"/>
  <c r="I106" i="114"/>
  <c r="B107" i="114"/>
  <c r="C107" i="114" s="1"/>
  <c r="I107" i="114"/>
  <c r="B108" i="114"/>
  <c r="C108" i="114" s="1"/>
  <c r="I108" i="114"/>
  <c r="B109" i="114"/>
  <c r="C109" i="114" s="1"/>
  <c r="I109" i="114"/>
  <c r="B110" i="114"/>
  <c r="C110" i="114" s="1"/>
  <c r="I110" i="114"/>
  <c r="B111" i="114"/>
  <c r="C111" i="114" s="1"/>
  <c r="I111" i="114"/>
  <c r="B112" i="114"/>
  <c r="C112" i="114" s="1"/>
  <c r="I112" i="114"/>
  <c r="B113" i="114"/>
  <c r="C113" i="114" s="1"/>
  <c r="I113" i="114"/>
  <c r="B114" i="114"/>
  <c r="C114" i="114" s="1"/>
  <c r="I114" i="114"/>
  <c r="B115" i="114"/>
  <c r="C115" i="114" s="1"/>
  <c r="I115" i="114"/>
  <c r="B116" i="114"/>
  <c r="C116" i="114" s="1"/>
  <c r="I116" i="114"/>
  <c r="B117" i="114"/>
  <c r="C117" i="114" s="1"/>
  <c r="I117" i="114"/>
  <c r="B118" i="114"/>
  <c r="C118" i="114" s="1"/>
  <c r="I118" i="114"/>
  <c r="N479" i="128"/>
  <c r="N480" i="128"/>
  <c r="N481" i="128"/>
  <c r="N482" i="128"/>
  <c r="N483" i="128"/>
  <c r="N484" i="128"/>
  <c r="N485" i="128"/>
  <c r="N486" i="128"/>
  <c r="N487" i="128"/>
  <c r="N488" i="128"/>
  <c r="N489" i="128"/>
  <c r="N468" i="128"/>
  <c r="N469" i="128"/>
  <c r="N470" i="128"/>
  <c r="N471" i="128"/>
  <c r="N472" i="128"/>
  <c r="N473" i="128"/>
  <c r="N474" i="128"/>
  <c r="N475" i="128"/>
  <c r="N476" i="128"/>
  <c r="N477" i="128"/>
  <c r="N478" i="128"/>
  <c r="N456" i="128"/>
  <c r="N457" i="128"/>
  <c r="N458" i="128"/>
  <c r="N459" i="128"/>
  <c r="N460" i="128"/>
  <c r="N461" i="128"/>
  <c r="N462" i="128"/>
  <c r="N463" i="128"/>
  <c r="N464" i="128"/>
  <c r="N465" i="128"/>
  <c r="N466" i="128"/>
  <c r="N467" i="128"/>
  <c r="N445" i="128"/>
  <c r="N446" i="128"/>
  <c r="N447" i="128"/>
  <c r="N448" i="128"/>
  <c r="N449" i="128"/>
  <c r="N450" i="128"/>
  <c r="N451" i="128"/>
  <c r="N452" i="128"/>
  <c r="N453" i="128"/>
  <c r="N454" i="128"/>
  <c r="N455" i="128"/>
  <c r="N430" i="128"/>
  <c r="N431" i="128"/>
  <c r="N432" i="128"/>
  <c r="N433" i="128"/>
  <c r="N434" i="128"/>
  <c r="N435" i="128"/>
  <c r="N436" i="128"/>
  <c r="N437" i="128"/>
  <c r="N438" i="128"/>
  <c r="N439" i="128"/>
  <c r="N440" i="128"/>
  <c r="N441" i="128"/>
  <c r="N442" i="128"/>
  <c r="N443" i="128"/>
  <c r="N444" i="128"/>
  <c r="E394" i="100"/>
  <c r="K394" i="100"/>
  <c r="E395" i="100"/>
  <c r="K395" i="100"/>
  <c r="E396" i="100"/>
  <c r="K396" i="100"/>
  <c r="E397" i="100"/>
  <c r="K397" i="100"/>
  <c r="E398" i="100"/>
  <c r="K398" i="100"/>
  <c r="E399" i="100"/>
  <c r="K399" i="100"/>
  <c r="E400" i="100"/>
  <c r="K400" i="100"/>
  <c r="E401" i="100"/>
  <c r="K401" i="100"/>
  <c r="E402" i="100"/>
  <c r="K402" i="100"/>
  <c r="E403" i="100"/>
  <c r="K403" i="100"/>
  <c r="E404" i="100"/>
  <c r="K404" i="100"/>
  <c r="E405" i="100"/>
  <c r="K405" i="100"/>
  <c r="E406" i="100"/>
  <c r="K406" i="100"/>
  <c r="E407" i="100"/>
  <c r="K407" i="100"/>
  <c r="E408" i="100"/>
  <c r="K408" i="100"/>
  <c r="E409" i="100"/>
  <c r="K409" i="100"/>
  <c r="E410" i="100"/>
  <c r="K410" i="100"/>
  <c r="E411" i="100"/>
  <c r="K411" i="100"/>
  <c r="E412" i="100"/>
  <c r="K412" i="100"/>
  <c r="E413" i="100"/>
  <c r="K413" i="100"/>
  <c r="E414" i="100"/>
  <c r="K414" i="100"/>
  <c r="E415" i="100"/>
  <c r="K415" i="100"/>
  <c r="E416" i="100"/>
  <c r="K416" i="100"/>
  <c r="E417" i="100"/>
  <c r="K417" i="100"/>
  <c r="E418" i="100"/>
  <c r="K418" i="100"/>
  <c r="E419" i="100"/>
  <c r="K419" i="100"/>
  <c r="E420" i="100"/>
  <c r="K420" i="100"/>
  <c r="E421" i="100"/>
  <c r="K421" i="100"/>
  <c r="E422" i="100"/>
  <c r="K422" i="100"/>
  <c r="E423" i="100"/>
  <c r="K423" i="100"/>
  <c r="E424" i="100"/>
  <c r="K424" i="100"/>
  <c r="E425" i="100"/>
  <c r="K425" i="100"/>
  <c r="E426" i="100"/>
  <c r="K426" i="100"/>
  <c r="E427" i="100"/>
  <c r="K427" i="100"/>
  <c r="E428" i="100"/>
  <c r="K428" i="100"/>
  <c r="E429" i="100"/>
  <c r="K429" i="100"/>
  <c r="E430" i="100"/>
  <c r="K430" i="100"/>
  <c r="E431" i="100"/>
  <c r="K431" i="100"/>
  <c r="E432" i="100"/>
  <c r="K432" i="100"/>
  <c r="E433" i="100"/>
  <c r="K433" i="100"/>
  <c r="E434" i="100"/>
  <c r="K434" i="100"/>
  <c r="E435" i="100"/>
  <c r="K435" i="100"/>
  <c r="E436" i="100"/>
  <c r="K436" i="100"/>
  <c r="E437" i="100"/>
  <c r="K437" i="100"/>
  <c r="E438" i="100"/>
  <c r="K438" i="100"/>
  <c r="E439" i="100"/>
  <c r="K439" i="100"/>
  <c r="E440" i="100"/>
  <c r="K440" i="100"/>
  <c r="E441" i="100"/>
  <c r="K441" i="100"/>
  <c r="E442" i="100"/>
  <c r="K442" i="100"/>
  <c r="E443" i="100"/>
  <c r="K443" i="100"/>
  <c r="E444" i="100"/>
  <c r="K444" i="100"/>
  <c r="E445" i="100"/>
  <c r="K445" i="100"/>
  <c r="E446" i="100"/>
  <c r="K446" i="100"/>
  <c r="E447" i="100"/>
  <c r="K447" i="100"/>
  <c r="E448" i="100"/>
  <c r="K448" i="100"/>
  <c r="E449" i="100"/>
  <c r="K449" i="100"/>
  <c r="E450" i="100"/>
  <c r="K450" i="100"/>
  <c r="E451" i="100"/>
  <c r="K451" i="100"/>
  <c r="E452" i="100"/>
  <c r="K452" i="100"/>
  <c r="E453" i="100"/>
  <c r="K453" i="100"/>
  <c r="Z452" i="68"/>
  <c r="AF452" i="68"/>
  <c r="Z453" i="68"/>
  <c r="AF453" i="68"/>
  <c r="Z454" i="68"/>
  <c r="AF454" i="68"/>
  <c r="Z455" i="68"/>
  <c r="AF455" i="68"/>
  <c r="Z456" i="68"/>
  <c r="AF456" i="68"/>
  <c r="Z457" i="68"/>
  <c r="AF457" i="68"/>
  <c r="Z458" i="68"/>
  <c r="AF458" i="68"/>
  <c r="Z459" i="68"/>
  <c r="AF459" i="68"/>
  <c r="Z460" i="68"/>
  <c r="AF460" i="68"/>
  <c r="Z461" i="68"/>
  <c r="AF461" i="68"/>
  <c r="Z462" i="68"/>
  <c r="AF462" i="68"/>
  <c r="Z463" i="68"/>
  <c r="AF463" i="68"/>
  <c r="Z464" i="68"/>
  <c r="AF464" i="68"/>
  <c r="Z465" i="68"/>
  <c r="AF465" i="68"/>
  <c r="Z437" i="68"/>
  <c r="AF437" i="68"/>
  <c r="Z438" i="68"/>
  <c r="AF438" i="68"/>
  <c r="Z439" i="68"/>
  <c r="AF439" i="68"/>
  <c r="Z440" i="68"/>
  <c r="AF440" i="68"/>
  <c r="Z441" i="68"/>
  <c r="AF441" i="68"/>
  <c r="Z442" i="68"/>
  <c r="AF442" i="68"/>
  <c r="Z443" i="68"/>
  <c r="AF443" i="68"/>
  <c r="Z444" i="68"/>
  <c r="AF444" i="68"/>
  <c r="Z445" i="68"/>
  <c r="AF445" i="68"/>
  <c r="Z446" i="68"/>
  <c r="AF446" i="68"/>
  <c r="Z447" i="68"/>
  <c r="AF447" i="68"/>
  <c r="Z448" i="68"/>
  <c r="AF448" i="68"/>
  <c r="Z449" i="68"/>
  <c r="AF449" i="68"/>
  <c r="Z450" i="68"/>
  <c r="AF450" i="68"/>
  <c r="Z451" i="68"/>
  <c r="AF451" i="68"/>
  <c r="Z419" i="68"/>
  <c r="AF419" i="68"/>
  <c r="Z420" i="68"/>
  <c r="AF420" i="68"/>
  <c r="Z421" i="68"/>
  <c r="AF421" i="68"/>
  <c r="Z422" i="68"/>
  <c r="AF422" i="68"/>
  <c r="Z423" i="68"/>
  <c r="AF423" i="68"/>
  <c r="Z424" i="68"/>
  <c r="AF424" i="68"/>
  <c r="Z425" i="68"/>
  <c r="AF425" i="68"/>
  <c r="Z426" i="68"/>
  <c r="AF426" i="68"/>
  <c r="Z427" i="68"/>
  <c r="AF427" i="68"/>
  <c r="Z428" i="68"/>
  <c r="AF428" i="68"/>
  <c r="Z429" i="68"/>
  <c r="AF429" i="68"/>
  <c r="Z430" i="68"/>
  <c r="AF430" i="68"/>
  <c r="Z431" i="68"/>
  <c r="AF431" i="68"/>
  <c r="Z432" i="68"/>
  <c r="AF432" i="68"/>
  <c r="Z433" i="68"/>
  <c r="AF433" i="68"/>
  <c r="Z434" i="68"/>
  <c r="AF434" i="68"/>
  <c r="Z435" i="68"/>
  <c r="AF435" i="68"/>
  <c r="Z436" i="68"/>
  <c r="AF436" i="68"/>
  <c r="Z406" i="68"/>
  <c r="AF406" i="68"/>
  <c r="Z407" i="68"/>
  <c r="AF407" i="68"/>
  <c r="Z408" i="68"/>
  <c r="AF408" i="68"/>
  <c r="Z409" i="68"/>
  <c r="AF409" i="68"/>
  <c r="Z410" i="68"/>
  <c r="AF410" i="68"/>
  <c r="Z411" i="68"/>
  <c r="AF411" i="68"/>
  <c r="Z412" i="68"/>
  <c r="AF412" i="68"/>
  <c r="Z413" i="68"/>
  <c r="AF413" i="68"/>
  <c r="Z414" i="68"/>
  <c r="AF414" i="68"/>
  <c r="Z415" i="68"/>
  <c r="AF415" i="68"/>
  <c r="Z416" i="68"/>
  <c r="AF416" i="68"/>
  <c r="Z417" i="68"/>
  <c r="AF417" i="68"/>
  <c r="Z418" i="68"/>
  <c r="AF418" i="68"/>
  <c r="D478" i="30"/>
  <c r="D479" i="30"/>
  <c r="D480" i="30"/>
  <c r="D481" i="30"/>
  <c r="D482" i="30"/>
  <c r="D483" i="30"/>
  <c r="D484" i="30"/>
  <c r="D485" i="30"/>
  <c r="D486" i="30"/>
  <c r="D487" i="30"/>
  <c r="D488" i="30"/>
  <c r="D489" i="30"/>
  <c r="D461" i="30"/>
  <c r="D462" i="30"/>
  <c r="D463" i="30"/>
  <c r="D464" i="30"/>
  <c r="D465" i="30"/>
  <c r="D466" i="30"/>
  <c r="D467" i="30"/>
  <c r="D468" i="30"/>
  <c r="D469" i="30"/>
  <c r="D470" i="30"/>
  <c r="D471" i="30"/>
  <c r="D472" i="30"/>
  <c r="D473" i="30"/>
  <c r="D474" i="30"/>
  <c r="D475" i="30"/>
  <c r="D476" i="30"/>
  <c r="D477" i="30"/>
  <c r="D449" i="30"/>
  <c r="D450" i="30"/>
  <c r="D451" i="30"/>
  <c r="D452" i="30"/>
  <c r="D453" i="30"/>
  <c r="D454" i="30"/>
  <c r="D455" i="30"/>
  <c r="D456" i="30"/>
  <c r="D457" i="30"/>
  <c r="D458" i="30"/>
  <c r="D459" i="30"/>
  <c r="D460" i="30"/>
  <c r="D430" i="30"/>
  <c r="D431" i="30"/>
  <c r="D432" i="30"/>
  <c r="D433" i="30"/>
  <c r="D434" i="30"/>
  <c r="D435" i="30"/>
  <c r="D436" i="30"/>
  <c r="D437" i="30"/>
  <c r="D438" i="30"/>
  <c r="D439" i="30"/>
  <c r="D440" i="30"/>
  <c r="D441" i="30"/>
  <c r="D442" i="30"/>
  <c r="D443" i="30"/>
  <c r="D444" i="30"/>
  <c r="D445" i="30"/>
  <c r="D446" i="30"/>
  <c r="D447" i="30"/>
  <c r="D448" i="30"/>
  <c r="P66" i="95"/>
  <c r="U66" i="95"/>
  <c r="O67" i="95"/>
  <c r="S67" i="95"/>
  <c r="O68" i="95"/>
  <c r="S68" i="95"/>
  <c r="U68" i="95"/>
  <c r="O69" i="95"/>
  <c r="R69" i="95"/>
  <c r="U69" i="95"/>
  <c r="R60" i="95"/>
  <c r="P61" i="95"/>
  <c r="S61" i="95"/>
  <c r="P62" i="95"/>
  <c r="R62" i="95"/>
  <c r="U62" i="95"/>
  <c r="R63" i="95"/>
  <c r="V63" i="95"/>
  <c r="O64" i="95"/>
  <c r="R64" i="95"/>
  <c r="V64" i="95"/>
  <c r="O65" i="95"/>
  <c r="R65" i="95"/>
  <c r="U65" i="95"/>
  <c r="H378" i="14"/>
  <c r="L378" i="14"/>
  <c r="H379" i="14"/>
  <c r="L379" i="14"/>
  <c r="H380" i="14"/>
  <c r="L380" i="14"/>
  <c r="H381" i="14"/>
  <c r="L381" i="14"/>
  <c r="H374" i="14"/>
  <c r="L374" i="14"/>
  <c r="H375" i="14"/>
  <c r="L375" i="14"/>
  <c r="H376" i="14"/>
  <c r="L376" i="14"/>
  <c r="H377" i="14"/>
  <c r="L377" i="14"/>
  <c r="H367" i="14"/>
  <c r="L367" i="14"/>
  <c r="H368" i="14"/>
  <c r="L368" i="14"/>
  <c r="H369" i="14"/>
  <c r="L369" i="14"/>
  <c r="H370" i="14"/>
  <c r="L370" i="14"/>
  <c r="H371" i="14"/>
  <c r="L371" i="14"/>
  <c r="H372" i="14"/>
  <c r="L372" i="14"/>
  <c r="H373" i="14"/>
  <c r="L373" i="14"/>
  <c r="H355" i="14"/>
  <c r="L355" i="14"/>
  <c r="H356" i="14"/>
  <c r="L356" i="14"/>
  <c r="H357" i="14"/>
  <c r="L357" i="14"/>
  <c r="H358" i="14"/>
  <c r="L358" i="14"/>
  <c r="H359" i="14"/>
  <c r="L359" i="14"/>
  <c r="H360" i="14"/>
  <c r="L360" i="14"/>
  <c r="H361" i="14"/>
  <c r="L361" i="14"/>
  <c r="H362" i="14"/>
  <c r="L362" i="14"/>
  <c r="H363" i="14"/>
  <c r="L363" i="14"/>
  <c r="H364" i="14"/>
  <c r="L364" i="14"/>
  <c r="H365" i="14"/>
  <c r="L365" i="14"/>
  <c r="H366" i="14"/>
  <c r="L366" i="14"/>
  <c r="H348" i="14"/>
  <c r="L348" i="14"/>
  <c r="H349" i="14"/>
  <c r="L349" i="14"/>
  <c r="H350" i="14"/>
  <c r="L350" i="14"/>
  <c r="H351" i="14"/>
  <c r="L351" i="14"/>
  <c r="H352" i="14"/>
  <c r="L352" i="14"/>
  <c r="H353" i="14"/>
  <c r="L353" i="14"/>
  <c r="H354" i="14"/>
  <c r="L354" i="14"/>
  <c r="H335" i="14"/>
  <c r="L335" i="14"/>
  <c r="H336" i="14"/>
  <c r="L336" i="14"/>
  <c r="H337" i="14"/>
  <c r="L337" i="14"/>
  <c r="H338" i="14"/>
  <c r="L338" i="14"/>
  <c r="H339" i="14"/>
  <c r="L339" i="14"/>
  <c r="H340" i="14"/>
  <c r="L340" i="14"/>
  <c r="H341" i="14"/>
  <c r="L341" i="14"/>
  <c r="H342" i="14"/>
  <c r="L342" i="14"/>
  <c r="H343" i="14"/>
  <c r="L343" i="14"/>
  <c r="H344" i="14"/>
  <c r="L344" i="14"/>
  <c r="H345" i="14"/>
  <c r="L345" i="14"/>
  <c r="H346" i="14"/>
  <c r="L346" i="14"/>
  <c r="H347" i="14"/>
  <c r="L347" i="14"/>
  <c r="H322" i="14"/>
  <c r="L322" i="14"/>
  <c r="H323" i="14"/>
  <c r="L323" i="14"/>
  <c r="H324" i="14"/>
  <c r="L324" i="14"/>
  <c r="H325" i="14"/>
  <c r="L325" i="14"/>
  <c r="H326" i="14"/>
  <c r="L326" i="14"/>
  <c r="H327" i="14"/>
  <c r="L327" i="14"/>
  <c r="H328" i="14"/>
  <c r="L328" i="14"/>
  <c r="H329" i="14"/>
  <c r="L329" i="14"/>
  <c r="H330" i="14"/>
  <c r="L330" i="14"/>
  <c r="H331" i="14"/>
  <c r="L331" i="14"/>
  <c r="H332" i="14"/>
  <c r="L332" i="14"/>
  <c r="H333" i="14"/>
  <c r="L333" i="14"/>
  <c r="H334" i="14"/>
  <c r="L334" i="14"/>
  <c r="J248" i="106"/>
  <c r="S248" i="106"/>
  <c r="Z248" i="106"/>
  <c r="J249" i="106"/>
  <c r="S249" i="106"/>
  <c r="Z249" i="106"/>
  <c r="J250" i="106"/>
  <c r="S250" i="106"/>
  <c r="Z250" i="106"/>
  <c r="J251" i="106"/>
  <c r="S251" i="106"/>
  <c r="Z251" i="106"/>
  <c r="J252" i="106"/>
  <c r="S252" i="106"/>
  <c r="Z252" i="106"/>
  <c r="J253" i="106"/>
  <c r="S253" i="106"/>
  <c r="Z253" i="106"/>
  <c r="J243" i="106"/>
  <c r="S243" i="106"/>
  <c r="Z243" i="106"/>
  <c r="J244" i="106"/>
  <c r="S244" i="106"/>
  <c r="Z244" i="106"/>
  <c r="J245" i="106"/>
  <c r="S245" i="106"/>
  <c r="Z245" i="106"/>
  <c r="J246" i="106"/>
  <c r="S246" i="106"/>
  <c r="Z246" i="106"/>
  <c r="J247" i="106"/>
  <c r="S247" i="106"/>
  <c r="Z247" i="106"/>
  <c r="J238" i="106"/>
  <c r="S238" i="106"/>
  <c r="Z238" i="106"/>
  <c r="J239" i="106"/>
  <c r="S239" i="106"/>
  <c r="Z239" i="106"/>
  <c r="J240" i="106"/>
  <c r="S240" i="106"/>
  <c r="Z240" i="106"/>
  <c r="J241" i="106"/>
  <c r="S241" i="106"/>
  <c r="Z241" i="106"/>
  <c r="J242" i="106"/>
  <c r="S242" i="106"/>
  <c r="Z242" i="106"/>
  <c r="A234" i="106"/>
  <c r="A238" i="106" s="1"/>
  <c r="A242" i="106" s="1"/>
  <c r="A246" i="106" s="1"/>
  <c r="A250" i="106" s="1"/>
  <c r="J234" i="106"/>
  <c r="S234" i="106"/>
  <c r="Z234" i="106"/>
  <c r="A235" i="106"/>
  <c r="A239" i="106" s="1"/>
  <c r="A243" i="106" s="1"/>
  <c r="A247" i="106" s="1"/>
  <c r="A251" i="106" s="1"/>
  <c r="J235" i="106"/>
  <c r="S235" i="106"/>
  <c r="Z235" i="106"/>
  <c r="A236" i="106"/>
  <c r="A240" i="106" s="1"/>
  <c r="A244" i="106" s="1"/>
  <c r="A248" i="106" s="1"/>
  <c r="A252" i="106" s="1"/>
  <c r="J236" i="106"/>
  <c r="S236" i="106"/>
  <c r="Z236" i="106"/>
  <c r="J237" i="106"/>
  <c r="S237" i="106"/>
  <c r="Z237" i="106"/>
  <c r="A233" i="106"/>
  <c r="A237" i="106" s="1"/>
  <c r="A241" i="106" s="1"/>
  <c r="A245" i="106" s="1"/>
  <c r="A249" i="106" s="1"/>
  <c r="A253" i="106" s="1"/>
  <c r="A434" i="126"/>
  <c r="A446" i="126" s="1"/>
  <c r="A458" i="126" s="1"/>
  <c r="A470" i="126" s="1"/>
  <c r="A482" i="126" s="1"/>
  <c r="A431" i="126"/>
  <c r="A443" i="126" s="1"/>
  <c r="A455" i="126" s="1"/>
  <c r="A467" i="126" s="1"/>
  <c r="A479" i="126" s="1"/>
  <c r="A432" i="126"/>
  <c r="A444" i="126" s="1"/>
  <c r="A456" i="126" s="1"/>
  <c r="A468" i="126" s="1"/>
  <c r="A480" i="126" s="1"/>
  <c r="A433" i="126"/>
  <c r="A445" i="126" s="1"/>
  <c r="A457" i="126" s="1"/>
  <c r="A469" i="126" s="1"/>
  <c r="A481" i="126" s="1"/>
  <c r="A424" i="126"/>
  <c r="A436" i="126" s="1"/>
  <c r="A448" i="126" s="1"/>
  <c r="A460" i="126" s="1"/>
  <c r="A472" i="126" s="1"/>
  <c r="A425" i="126"/>
  <c r="A437" i="126" s="1"/>
  <c r="A449" i="126" s="1"/>
  <c r="A461" i="126" s="1"/>
  <c r="A473" i="126" s="1"/>
  <c r="A426" i="126"/>
  <c r="A438" i="126" s="1"/>
  <c r="A450" i="126" s="1"/>
  <c r="A462" i="126" s="1"/>
  <c r="A474" i="126" s="1"/>
  <c r="A427" i="126"/>
  <c r="A439" i="126" s="1"/>
  <c r="A451" i="126" s="1"/>
  <c r="A463" i="126" s="1"/>
  <c r="A475" i="126" s="1"/>
  <c r="A428" i="126"/>
  <c r="A440" i="126" s="1"/>
  <c r="A452" i="126" s="1"/>
  <c r="A464" i="126" s="1"/>
  <c r="A476" i="126" s="1"/>
  <c r="A429" i="126"/>
  <c r="A441" i="126" s="1"/>
  <c r="A453" i="126" s="1"/>
  <c r="A465" i="126" s="1"/>
  <c r="A477" i="126" s="1"/>
  <c r="A430" i="126"/>
  <c r="A442" i="126" s="1"/>
  <c r="A454" i="126" s="1"/>
  <c r="A466" i="126" s="1"/>
  <c r="A478" i="126" s="1"/>
  <c r="A423" i="126"/>
  <c r="A435" i="126" s="1"/>
  <c r="A447" i="126" s="1"/>
  <c r="A459" i="126" s="1"/>
  <c r="A471" i="126" s="1"/>
  <c r="A483" i="126" s="1"/>
  <c r="D152" i="116"/>
  <c r="D153" i="116"/>
  <c r="D154" i="116"/>
  <c r="D155" i="116"/>
  <c r="D156" i="116"/>
  <c r="Z17" i="68"/>
  <c r="Z11" i="68"/>
  <c r="E156" i="116" l="1"/>
  <c r="E155" i="116"/>
  <c r="R61" i="95"/>
  <c r="V65" i="95"/>
  <c r="R67" i="95"/>
  <c r="O61" i="95"/>
  <c r="P67" i="95"/>
  <c r="U63" i="95"/>
  <c r="V69" i="95"/>
  <c r="E153" i="116"/>
  <c r="S64" i="95"/>
  <c r="R68" i="95"/>
  <c r="S65" i="95"/>
  <c r="P64" i="95"/>
  <c r="P69" i="95"/>
  <c r="V66" i="95"/>
  <c r="O62" i="95"/>
  <c r="S60" i="95"/>
  <c r="V68" i="95"/>
  <c r="U64" i="95"/>
  <c r="O66" i="95"/>
  <c r="P60" i="95"/>
  <c r="O60" i="95"/>
  <c r="P63" i="95"/>
  <c r="O63" i="95"/>
  <c r="V60" i="95"/>
  <c r="U60" i="95"/>
  <c r="V67" i="95"/>
  <c r="U67" i="95"/>
  <c r="U61" i="95"/>
  <c r="V61" i="95"/>
  <c r="S66" i="95"/>
  <c r="R66" i="95"/>
  <c r="P68" i="95"/>
  <c r="S69" i="95"/>
  <c r="P65" i="95"/>
  <c r="V62" i="95"/>
  <c r="S63" i="95"/>
  <c r="S62" i="95"/>
  <c r="E154" i="116"/>
  <c r="J361" i="52" l="1"/>
  <c r="D12" i="52" l="1"/>
  <c r="D359" i="52" l="1"/>
  <c r="J359" i="52"/>
  <c r="N393" i="128" l="1"/>
  <c r="B136" i="49" l="1"/>
  <c r="G56" i="53"/>
  <c r="G52" i="53"/>
  <c r="A165" i="46" l="1"/>
  <c r="A177" i="46" s="1"/>
  <c r="A189" i="46" s="1"/>
  <c r="A201" i="46" s="1"/>
  <c r="A213" i="46" s="1"/>
  <c r="A225" i="46" s="1"/>
  <c r="A237" i="46" s="1"/>
  <c r="A249" i="46" s="1"/>
  <c r="A261" i="46" s="1"/>
  <c r="A273" i="46" s="1"/>
  <c r="A285" i="46" s="1"/>
  <c r="A297" i="46" s="1"/>
  <c r="A309" i="46" s="1"/>
  <c r="A321" i="46" s="1"/>
  <c r="A333" i="46" s="1"/>
  <c r="A345" i="46" s="1"/>
  <c r="A357" i="46" s="1"/>
  <c r="A369" i="46" s="1"/>
  <c r="A164" i="46"/>
  <c r="A176" i="46" s="1"/>
  <c r="A188" i="46" s="1"/>
  <c r="A200" i="46" s="1"/>
  <c r="A212" i="46" s="1"/>
  <c r="A224" i="46" s="1"/>
  <c r="A236" i="46" s="1"/>
  <c r="A248" i="46" s="1"/>
  <c r="A260" i="46" s="1"/>
  <c r="A272" i="46" s="1"/>
  <c r="A284" i="46" s="1"/>
  <c r="A296" i="46" s="1"/>
  <c r="A308" i="46" s="1"/>
  <c r="A320" i="46" s="1"/>
  <c r="A332" i="46" s="1"/>
  <c r="A344" i="46" s="1"/>
  <c r="A356" i="46" s="1"/>
  <c r="A368" i="46" s="1"/>
  <c r="A163" i="46"/>
  <c r="A175" i="46" s="1"/>
  <c r="A187" i="46" s="1"/>
  <c r="A199" i="46" s="1"/>
  <c r="A211" i="46" s="1"/>
  <c r="A223" i="46" s="1"/>
  <c r="A235" i="46" s="1"/>
  <c r="A247" i="46" s="1"/>
  <c r="A259" i="46" s="1"/>
  <c r="A271" i="46" s="1"/>
  <c r="A283" i="46" s="1"/>
  <c r="A295" i="46" s="1"/>
  <c r="A307" i="46" s="1"/>
  <c r="A319" i="46" s="1"/>
  <c r="A331" i="46" s="1"/>
  <c r="A343" i="46" s="1"/>
  <c r="A355" i="46" s="1"/>
  <c r="A367" i="46" s="1"/>
  <c r="A162" i="46"/>
  <c r="A174" i="46" s="1"/>
  <c r="A186" i="46" s="1"/>
  <c r="A198" i="46" s="1"/>
  <c r="A210" i="46" s="1"/>
  <c r="A222" i="46" s="1"/>
  <c r="A234" i="46" s="1"/>
  <c r="A246" i="46" s="1"/>
  <c r="A258" i="46" s="1"/>
  <c r="A270" i="46" s="1"/>
  <c r="A282" i="46" s="1"/>
  <c r="A294" i="46" s="1"/>
  <c r="A306" i="46" s="1"/>
  <c r="A318" i="46" s="1"/>
  <c r="A330" i="46" s="1"/>
  <c r="A342" i="46" s="1"/>
  <c r="A354" i="46" s="1"/>
  <c r="A366" i="46" s="1"/>
  <c r="A161" i="46"/>
  <c r="A173" i="46" s="1"/>
  <c r="A185" i="46" s="1"/>
  <c r="A197" i="46" s="1"/>
  <c r="A209" i="46" s="1"/>
  <c r="A221" i="46" s="1"/>
  <c r="A233" i="46" s="1"/>
  <c r="A245" i="46" s="1"/>
  <c r="A257" i="46" s="1"/>
  <c r="A269" i="46" s="1"/>
  <c r="A281" i="46" s="1"/>
  <c r="A293" i="46" s="1"/>
  <c r="A305" i="46" s="1"/>
  <c r="A317" i="46" s="1"/>
  <c r="A329" i="46" s="1"/>
  <c r="A341" i="46" s="1"/>
  <c r="A353" i="46" s="1"/>
  <c r="A365" i="46" s="1"/>
  <c r="A160" i="46"/>
  <c r="A172" i="46" s="1"/>
  <c r="A184" i="46" s="1"/>
  <c r="A196" i="46" s="1"/>
  <c r="A208" i="46" s="1"/>
  <c r="A220" i="46" s="1"/>
  <c r="A232" i="46" s="1"/>
  <c r="A244" i="46" s="1"/>
  <c r="A256" i="46" s="1"/>
  <c r="A268" i="46" s="1"/>
  <c r="A280" i="46" s="1"/>
  <c r="A292" i="46" s="1"/>
  <c r="A304" i="46" s="1"/>
  <c r="A316" i="46" s="1"/>
  <c r="A328" i="46" s="1"/>
  <c r="A340" i="46" s="1"/>
  <c r="A352" i="46" s="1"/>
  <c r="A364" i="46" s="1"/>
  <c r="A159" i="46"/>
  <c r="A171" i="46" s="1"/>
  <c r="A183" i="46" s="1"/>
  <c r="A195" i="46" s="1"/>
  <c r="A207" i="46" s="1"/>
  <c r="A219" i="46" s="1"/>
  <c r="A231" i="46" s="1"/>
  <c r="A243" i="46" s="1"/>
  <c r="A255" i="46" s="1"/>
  <c r="A267" i="46" s="1"/>
  <c r="A279" i="46" s="1"/>
  <c r="A291" i="46" s="1"/>
  <c r="A303" i="46" s="1"/>
  <c r="A315" i="46" s="1"/>
  <c r="A327" i="46" s="1"/>
  <c r="A339" i="46" s="1"/>
  <c r="A351" i="46" s="1"/>
  <c r="A363" i="46" s="1"/>
  <c r="A158" i="46"/>
  <c r="A170" i="46" s="1"/>
  <c r="A182" i="46" s="1"/>
  <c r="A194" i="46" s="1"/>
  <c r="A206" i="46" s="1"/>
  <c r="A218" i="46" s="1"/>
  <c r="A230" i="46" s="1"/>
  <c r="A242" i="46" s="1"/>
  <c r="A254" i="46" s="1"/>
  <c r="A266" i="46" s="1"/>
  <c r="A278" i="46" s="1"/>
  <c r="A290" i="46" s="1"/>
  <c r="A302" i="46" s="1"/>
  <c r="A314" i="46" s="1"/>
  <c r="A326" i="46" s="1"/>
  <c r="A338" i="46" s="1"/>
  <c r="A350" i="46" s="1"/>
  <c r="A362" i="46" s="1"/>
  <c r="A157" i="46"/>
  <c r="A169" i="46" s="1"/>
  <c r="A181" i="46" s="1"/>
  <c r="A193" i="46" s="1"/>
  <c r="A205" i="46" s="1"/>
  <c r="A217" i="46" s="1"/>
  <c r="A229" i="46" s="1"/>
  <c r="A241" i="46" s="1"/>
  <c r="A253" i="46" s="1"/>
  <c r="A265" i="46" s="1"/>
  <c r="A277" i="46" s="1"/>
  <c r="A289" i="46" s="1"/>
  <c r="A301" i="46" s="1"/>
  <c r="A313" i="46" s="1"/>
  <c r="A325" i="46" s="1"/>
  <c r="A337" i="46" s="1"/>
  <c r="A349" i="46" s="1"/>
  <c r="A361" i="46" s="1"/>
  <c r="A156" i="46"/>
  <c r="A168" i="46" s="1"/>
  <c r="A180" i="46" s="1"/>
  <c r="A192" i="46" s="1"/>
  <c r="A204" i="46" s="1"/>
  <c r="A216" i="46" s="1"/>
  <c r="A228" i="46" s="1"/>
  <c r="A240" i="46" s="1"/>
  <c r="A252" i="46" s="1"/>
  <c r="A264" i="46" s="1"/>
  <c r="A276" i="46" s="1"/>
  <c r="A288" i="46" s="1"/>
  <c r="A300" i="46" s="1"/>
  <c r="A312" i="46" s="1"/>
  <c r="A324" i="46" s="1"/>
  <c r="A336" i="46" s="1"/>
  <c r="A348" i="46" s="1"/>
  <c r="A360" i="46" s="1"/>
  <c r="A155" i="46"/>
  <c r="A167" i="46" s="1"/>
  <c r="A179" i="46" s="1"/>
  <c r="A191" i="46" s="1"/>
  <c r="A203" i="46" s="1"/>
  <c r="A215" i="46" s="1"/>
  <c r="A227" i="46" s="1"/>
  <c r="A239" i="46" s="1"/>
  <c r="A251" i="46" s="1"/>
  <c r="A263" i="46" s="1"/>
  <c r="A275" i="46" s="1"/>
  <c r="A287" i="46" s="1"/>
  <c r="A299" i="46" s="1"/>
  <c r="A311" i="46" s="1"/>
  <c r="A323" i="46" s="1"/>
  <c r="A335" i="46" s="1"/>
  <c r="A347" i="46" s="1"/>
  <c r="A359" i="46" s="1"/>
  <c r="A154" i="46"/>
  <c r="A166" i="46" s="1"/>
  <c r="A178" i="46" s="1"/>
  <c r="A190" i="46" s="1"/>
  <c r="A202" i="46" s="1"/>
  <c r="A214" i="46" s="1"/>
  <c r="A226" i="46" s="1"/>
  <c r="A238" i="46" s="1"/>
  <c r="A250" i="46" s="1"/>
  <c r="A262" i="46" s="1"/>
  <c r="A274" i="46" s="1"/>
  <c r="A286" i="46" s="1"/>
  <c r="A298" i="46" s="1"/>
  <c r="A310" i="46" s="1"/>
  <c r="A322" i="46" s="1"/>
  <c r="A334" i="46" s="1"/>
  <c r="A346" i="46" s="1"/>
  <c r="A358" i="46" s="1"/>
  <c r="A189" i="127"/>
  <c r="A201" i="127" s="1"/>
  <c r="A213" i="127" s="1"/>
  <c r="A225" i="127" s="1"/>
  <c r="A237" i="127" s="1"/>
  <c r="A249" i="127" s="1"/>
  <c r="A261" i="127" s="1"/>
  <c r="A273" i="127" s="1"/>
  <c r="A285" i="127" s="1"/>
  <c r="A297" i="127" s="1"/>
  <c r="A309" i="127" s="1"/>
  <c r="A321" i="127" s="1"/>
  <c r="A333" i="127" s="1"/>
  <c r="A345" i="127" s="1"/>
  <c r="A357" i="127" s="1"/>
  <c r="A369" i="127" s="1"/>
  <c r="A381" i="127" s="1"/>
  <c r="A393" i="127" s="1"/>
  <c r="A405" i="127" s="1"/>
  <c r="A417" i="127" s="1"/>
  <c r="A429" i="127" s="1"/>
  <c r="A441" i="127" s="1"/>
  <c r="A453" i="127" s="1"/>
  <c r="A188" i="127"/>
  <c r="A200" i="127" s="1"/>
  <c r="A212" i="127" s="1"/>
  <c r="A224" i="127" s="1"/>
  <c r="A236" i="127" s="1"/>
  <c r="A248" i="127" s="1"/>
  <c r="A260" i="127" s="1"/>
  <c r="A272" i="127" s="1"/>
  <c r="A284" i="127" s="1"/>
  <c r="A296" i="127" s="1"/>
  <c r="A308" i="127" s="1"/>
  <c r="A320" i="127" s="1"/>
  <c r="A332" i="127" s="1"/>
  <c r="A344" i="127" s="1"/>
  <c r="A356" i="127" s="1"/>
  <c r="A368" i="127" s="1"/>
  <c r="A380" i="127" s="1"/>
  <c r="A392" i="127" s="1"/>
  <c r="A404" i="127" s="1"/>
  <c r="A416" i="127" s="1"/>
  <c r="A428" i="127" s="1"/>
  <c r="A440" i="127" s="1"/>
  <c r="A452" i="127" s="1"/>
  <c r="A187" i="127"/>
  <c r="A199" i="127" s="1"/>
  <c r="A211" i="127" s="1"/>
  <c r="A223" i="127" s="1"/>
  <c r="A235" i="127" s="1"/>
  <c r="A247" i="127" s="1"/>
  <c r="A259" i="127" s="1"/>
  <c r="A271" i="127" s="1"/>
  <c r="A283" i="127" s="1"/>
  <c r="A295" i="127" s="1"/>
  <c r="A307" i="127" s="1"/>
  <c r="A319" i="127" s="1"/>
  <c r="A331" i="127" s="1"/>
  <c r="A343" i="127" s="1"/>
  <c r="A355" i="127" s="1"/>
  <c r="A367" i="127" s="1"/>
  <c r="A379" i="127" s="1"/>
  <c r="A391" i="127" s="1"/>
  <c r="A403" i="127" s="1"/>
  <c r="A415" i="127" s="1"/>
  <c r="A427" i="127" s="1"/>
  <c r="A439" i="127" s="1"/>
  <c r="A451" i="127" s="1"/>
  <c r="A186" i="127"/>
  <c r="A198" i="127" s="1"/>
  <c r="A210" i="127" s="1"/>
  <c r="A222" i="127" s="1"/>
  <c r="A234" i="127" s="1"/>
  <c r="A246" i="127" s="1"/>
  <c r="A258" i="127" s="1"/>
  <c r="A270" i="127" s="1"/>
  <c r="A282" i="127" s="1"/>
  <c r="A294" i="127" s="1"/>
  <c r="A306" i="127" s="1"/>
  <c r="A318" i="127" s="1"/>
  <c r="A330" i="127" s="1"/>
  <c r="A342" i="127" s="1"/>
  <c r="A354" i="127" s="1"/>
  <c r="A366" i="127" s="1"/>
  <c r="A378" i="127" s="1"/>
  <c r="A390" i="127" s="1"/>
  <c r="A402" i="127" s="1"/>
  <c r="A414" i="127" s="1"/>
  <c r="A426" i="127" s="1"/>
  <c r="A438" i="127" s="1"/>
  <c r="A450" i="127" s="1"/>
  <c r="A185" i="127"/>
  <c r="A197" i="127" s="1"/>
  <c r="A209" i="127" s="1"/>
  <c r="A221" i="127" s="1"/>
  <c r="A233" i="127" s="1"/>
  <c r="A245" i="127" s="1"/>
  <c r="A257" i="127" s="1"/>
  <c r="A269" i="127" s="1"/>
  <c r="A281" i="127" s="1"/>
  <c r="A293" i="127" s="1"/>
  <c r="A305" i="127" s="1"/>
  <c r="A317" i="127" s="1"/>
  <c r="A329" i="127" s="1"/>
  <c r="A341" i="127" s="1"/>
  <c r="A353" i="127" s="1"/>
  <c r="A365" i="127" s="1"/>
  <c r="A377" i="127" s="1"/>
  <c r="A389" i="127" s="1"/>
  <c r="A401" i="127" s="1"/>
  <c r="A413" i="127" s="1"/>
  <c r="A425" i="127" s="1"/>
  <c r="A437" i="127" s="1"/>
  <c r="A449" i="127" s="1"/>
  <c r="A184" i="127"/>
  <c r="A196" i="127" s="1"/>
  <c r="A208" i="127" s="1"/>
  <c r="A220" i="127" s="1"/>
  <c r="A232" i="127" s="1"/>
  <c r="A244" i="127" s="1"/>
  <c r="A256" i="127" s="1"/>
  <c r="A268" i="127" s="1"/>
  <c r="A280" i="127" s="1"/>
  <c r="A292" i="127" s="1"/>
  <c r="A304" i="127" s="1"/>
  <c r="A316" i="127" s="1"/>
  <c r="A328" i="127" s="1"/>
  <c r="A340" i="127" s="1"/>
  <c r="A352" i="127" s="1"/>
  <c r="A364" i="127" s="1"/>
  <c r="A376" i="127" s="1"/>
  <c r="A388" i="127" s="1"/>
  <c r="A400" i="127" s="1"/>
  <c r="A412" i="127" s="1"/>
  <c r="A424" i="127" s="1"/>
  <c r="A436" i="127" s="1"/>
  <c r="A448" i="127" s="1"/>
  <c r="A183" i="127"/>
  <c r="A195" i="127" s="1"/>
  <c r="A207" i="127" s="1"/>
  <c r="A219" i="127" s="1"/>
  <c r="A231" i="127" s="1"/>
  <c r="A243" i="127" s="1"/>
  <c r="A255" i="127" s="1"/>
  <c r="A267" i="127" s="1"/>
  <c r="A279" i="127" s="1"/>
  <c r="A291" i="127" s="1"/>
  <c r="A303" i="127" s="1"/>
  <c r="A315" i="127" s="1"/>
  <c r="A327" i="127" s="1"/>
  <c r="A339" i="127" s="1"/>
  <c r="A351" i="127" s="1"/>
  <c r="A363" i="127" s="1"/>
  <c r="A375" i="127" s="1"/>
  <c r="A387" i="127" s="1"/>
  <c r="A399" i="127" s="1"/>
  <c r="A411" i="127" s="1"/>
  <c r="A423" i="127" s="1"/>
  <c r="A435" i="127" s="1"/>
  <c r="A447" i="127" s="1"/>
  <c r="A182" i="127"/>
  <c r="A194" i="127" s="1"/>
  <c r="A206" i="127" s="1"/>
  <c r="A218" i="127" s="1"/>
  <c r="A230" i="127" s="1"/>
  <c r="A242" i="127" s="1"/>
  <c r="A254" i="127" s="1"/>
  <c r="A266" i="127" s="1"/>
  <c r="A278" i="127" s="1"/>
  <c r="A290" i="127" s="1"/>
  <c r="A302" i="127" s="1"/>
  <c r="A314" i="127" s="1"/>
  <c r="A326" i="127" s="1"/>
  <c r="A338" i="127" s="1"/>
  <c r="A350" i="127" s="1"/>
  <c r="A362" i="127" s="1"/>
  <c r="A374" i="127" s="1"/>
  <c r="A386" i="127" s="1"/>
  <c r="A398" i="127" s="1"/>
  <c r="A410" i="127" s="1"/>
  <c r="A422" i="127" s="1"/>
  <c r="A434" i="127" s="1"/>
  <c r="A446" i="127" s="1"/>
  <c r="A181" i="127"/>
  <c r="A193" i="127" s="1"/>
  <c r="A205" i="127" s="1"/>
  <c r="A217" i="127" s="1"/>
  <c r="A229" i="127" s="1"/>
  <c r="A241" i="127" s="1"/>
  <c r="A253" i="127" s="1"/>
  <c r="A265" i="127" s="1"/>
  <c r="A277" i="127" s="1"/>
  <c r="A289" i="127" s="1"/>
  <c r="A301" i="127" s="1"/>
  <c r="A313" i="127" s="1"/>
  <c r="A325" i="127" s="1"/>
  <c r="A337" i="127" s="1"/>
  <c r="A349" i="127" s="1"/>
  <c r="A361" i="127" s="1"/>
  <c r="A373" i="127" s="1"/>
  <c r="A385" i="127" s="1"/>
  <c r="A397" i="127" s="1"/>
  <c r="A409" i="127" s="1"/>
  <c r="A421" i="127" s="1"/>
  <c r="A433" i="127" s="1"/>
  <c r="A445" i="127" s="1"/>
  <c r="A180" i="127"/>
  <c r="A192" i="127" s="1"/>
  <c r="A204" i="127" s="1"/>
  <c r="A216" i="127" s="1"/>
  <c r="A228" i="127" s="1"/>
  <c r="A240" i="127" s="1"/>
  <c r="A252" i="127" s="1"/>
  <c r="A264" i="127" s="1"/>
  <c r="A276" i="127" s="1"/>
  <c r="A288" i="127" s="1"/>
  <c r="A300" i="127" s="1"/>
  <c r="A312" i="127" s="1"/>
  <c r="A324" i="127" s="1"/>
  <c r="A336" i="127" s="1"/>
  <c r="A348" i="127" s="1"/>
  <c r="A360" i="127" s="1"/>
  <c r="A372" i="127" s="1"/>
  <c r="A384" i="127" s="1"/>
  <c r="A396" i="127" s="1"/>
  <c r="A408" i="127" s="1"/>
  <c r="A420" i="127" s="1"/>
  <c r="A432" i="127" s="1"/>
  <c r="A444" i="127" s="1"/>
  <c r="A179" i="127"/>
  <c r="A191" i="127" s="1"/>
  <c r="A203" i="127" s="1"/>
  <c r="A215" i="127" s="1"/>
  <c r="A227" i="127" s="1"/>
  <c r="A239" i="127" s="1"/>
  <c r="A251" i="127" s="1"/>
  <c r="A263" i="127" s="1"/>
  <c r="A275" i="127" s="1"/>
  <c r="A287" i="127" s="1"/>
  <c r="A299" i="127" s="1"/>
  <c r="A311" i="127" s="1"/>
  <c r="A323" i="127" s="1"/>
  <c r="A335" i="127" s="1"/>
  <c r="A347" i="127" s="1"/>
  <c r="A359" i="127" s="1"/>
  <c r="A371" i="127" s="1"/>
  <c r="A383" i="127" s="1"/>
  <c r="A395" i="127" s="1"/>
  <c r="A407" i="127" s="1"/>
  <c r="A419" i="127" s="1"/>
  <c r="A431" i="127" s="1"/>
  <c r="A443" i="127" s="1"/>
  <c r="A178" i="127"/>
  <c r="A190" i="127" s="1"/>
  <c r="A202" i="127" s="1"/>
  <c r="A214" i="127" s="1"/>
  <c r="A226" i="127" s="1"/>
  <c r="A238" i="127" s="1"/>
  <c r="A250" i="127" s="1"/>
  <c r="A262" i="127" s="1"/>
  <c r="A274" i="127" s="1"/>
  <c r="A286" i="127" s="1"/>
  <c r="A298" i="127" s="1"/>
  <c r="A310" i="127" s="1"/>
  <c r="A322" i="127" s="1"/>
  <c r="A334" i="127" s="1"/>
  <c r="A346" i="127" s="1"/>
  <c r="A358" i="127" s="1"/>
  <c r="A370" i="127" s="1"/>
  <c r="A382" i="127" s="1"/>
  <c r="A394" i="127" s="1"/>
  <c r="A406" i="127" s="1"/>
  <c r="A418" i="127" s="1"/>
  <c r="A430" i="127" s="1"/>
  <c r="A442" i="127" s="1"/>
  <c r="A202" i="132"/>
  <c r="A214" i="132" s="1"/>
  <c r="A226" i="132" s="1"/>
  <c r="A238" i="132" s="1"/>
  <c r="A250" i="132" s="1"/>
  <c r="A262" i="132" s="1"/>
  <c r="A274" i="132" s="1"/>
  <c r="A286" i="132" s="1"/>
  <c r="A298" i="132" s="1"/>
  <c r="A310" i="132" s="1"/>
  <c r="A322" i="132" s="1"/>
  <c r="A334" i="132" s="1"/>
  <c r="A346" i="132" s="1"/>
  <c r="A358" i="132" s="1"/>
  <c r="A370" i="132" s="1"/>
  <c r="A382" i="132" s="1"/>
  <c r="A394" i="132" s="1"/>
  <c r="A406" i="132" s="1"/>
  <c r="A418" i="132" s="1"/>
  <c r="A430" i="132" s="1"/>
  <c r="A442" i="132" s="1"/>
  <c r="A454" i="132" s="1"/>
  <c r="A203" i="132"/>
  <c r="A215" i="132" s="1"/>
  <c r="A227" i="132" s="1"/>
  <c r="A239" i="132" s="1"/>
  <c r="A251" i="132" s="1"/>
  <c r="A263" i="132" s="1"/>
  <c r="A275" i="132" s="1"/>
  <c r="A287" i="132" s="1"/>
  <c r="A299" i="132" s="1"/>
  <c r="A311" i="132" s="1"/>
  <c r="A323" i="132" s="1"/>
  <c r="A335" i="132" s="1"/>
  <c r="A347" i="132" s="1"/>
  <c r="A359" i="132" s="1"/>
  <c r="A371" i="132" s="1"/>
  <c r="A383" i="132" s="1"/>
  <c r="A395" i="132" s="1"/>
  <c r="A407" i="132" s="1"/>
  <c r="A419" i="132" s="1"/>
  <c r="A431" i="132" s="1"/>
  <c r="A443" i="132" s="1"/>
  <c r="A455" i="132" s="1"/>
  <c r="A204" i="132"/>
  <c r="A216" i="132" s="1"/>
  <c r="A228" i="132" s="1"/>
  <c r="A240" i="132" s="1"/>
  <c r="A252" i="132" s="1"/>
  <c r="A264" i="132" s="1"/>
  <c r="A276" i="132" s="1"/>
  <c r="A288" i="132" s="1"/>
  <c r="A300" i="132" s="1"/>
  <c r="A312" i="132" s="1"/>
  <c r="A324" i="132" s="1"/>
  <c r="A336" i="132" s="1"/>
  <c r="A348" i="132" s="1"/>
  <c r="A360" i="132" s="1"/>
  <c r="A372" i="132" s="1"/>
  <c r="A384" i="132" s="1"/>
  <c r="A396" i="132" s="1"/>
  <c r="A408" i="132" s="1"/>
  <c r="A420" i="132" s="1"/>
  <c r="A432" i="132" s="1"/>
  <c r="A444" i="132" s="1"/>
  <c r="A456" i="132" s="1"/>
  <c r="A205" i="132"/>
  <c r="A217" i="132" s="1"/>
  <c r="A229" i="132" s="1"/>
  <c r="A241" i="132" s="1"/>
  <c r="A253" i="132" s="1"/>
  <c r="A265" i="132" s="1"/>
  <c r="A277" i="132" s="1"/>
  <c r="A289" i="132" s="1"/>
  <c r="A301" i="132" s="1"/>
  <c r="A313" i="132" s="1"/>
  <c r="A325" i="132" s="1"/>
  <c r="A337" i="132" s="1"/>
  <c r="A349" i="132" s="1"/>
  <c r="A361" i="132" s="1"/>
  <c r="A373" i="132" s="1"/>
  <c r="A385" i="132" s="1"/>
  <c r="A397" i="132" s="1"/>
  <c r="A409" i="132" s="1"/>
  <c r="A421" i="132" s="1"/>
  <c r="A433" i="132" s="1"/>
  <c r="A445" i="132" s="1"/>
  <c r="A457" i="132" s="1"/>
  <c r="A206" i="132"/>
  <c r="A218" i="132" s="1"/>
  <c r="A230" i="132" s="1"/>
  <c r="A242" i="132" s="1"/>
  <c r="A254" i="132" s="1"/>
  <c r="A266" i="132" s="1"/>
  <c r="A278" i="132" s="1"/>
  <c r="A290" i="132" s="1"/>
  <c r="A302" i="132" s="1"/>
  <c r="A314" i="132" s="1"/>
  <c r="A326" i="132" s="1"/>
  <c r="A338" i="132" s="1"/>
  <c r="A350" i="132" s="1"/>
  <c r="A362" i="132" s="1"/>
  <c r="A374" i="132" s="1"/>
  <c r="A386" i="132" s="1"/>
  <c r="A398" i="132" s="1"/>
  <c r="A410" i="132" s="1"/>
  <c r="A422" i="132" s="1"/>
  <c r="A434" i="132" s="1"/>
  <c r="A446" i="132" s="1"/>
  <c r="A458" i="132" s="1"/>
  <c r="A207" i="132"/>
  <c r="A219" i="132" s="1"/>
  <c r="A231" i="132" s="1"/>
  <c r="A243" i="132" s="1"/>
  <c r="A255" i="132" s="1"/>
  <c r="A267" i="132" s="1"/>
  <c r="A279" i="132" s="1"/>
  <c r="A291" i="132" s="1"/>
  <c r="A303" i="132" s="1"/>
  <c r="A315" i="132" s="1"/>
  <c r="A327" i="132" s="1"/>
  <c r="A339" i="132" s="1"/>
  <c r="A351" i="132" s="1"/>
  <c r="A363" i="132" s="1"/>
  <c r="A375" i="132" s="1"/>
  <c r="A387" i="132" s="1"/>
  <c r="A399" i="132" s="1"/>
  <c r="A411" i="132" s="1"/>
  <c r="A423" i="132" s="1"/>
  <c r="A435" i="132" s="1"/>
  <c r="A447" i="132" s="1"/>
  <c r="A459" i="132" s="1"/>
  <c r="A208" i="132"/>
  <c r="A220" i="132" s="1"/>
  <c r="A232" i="132" s="1"/>
  <c r="A244" i="132" s="1"/>
  <c r="A256" i="132" s="1"/>
  <c r="A268" i="132" s="1"/>
  <c r="A280" i="132" s="1"/>
  <c r="A292" i="132" s="1"/>
  <c r="A304" i="132" s="1"/>
  <c r="A316" i="132" s="1"/>
  <c r="A328" i="132" s="1"/>
  <c r="A340" i="132" s="1"/>
  <c r="A352" i="132" s="1"/>
  <c r="A364" i="132" s="1"/>
  <c r="A376" i="132" s="1"/>
  <c r="A388" i="132" s="1"/>
  <c r="A400" i="132" s="1"/>
  <c r="A412" i="132" s="1"/>
  <c r="A424" i="132" s="1"/>
  <c r="A436" i="132" s="1"/>
  <c r="A448" i="132" s="1"/>
  <c r="A460" i="132" s="1"/>
  <c r="A209" i="132"/>
  <c r="A221" i="132" s="1"/>
  <c r="A233" i="132" s="1"/>
  <c r="A245" i="132" s="1"/>
  <c r="A257" i="132" s="1"/>
  <c r="A269" i="132" s="1"/>
  <c r="A281" i="132" s="1"/>
  <c r="A293" i="132" s="1"/>
  <c r="A305" i="132" s="1"/>
  <c r="A317" i="132" s="1"/>
  <c r="A329" i="132" s="1"/>
  <c r="A341" i="132" s="1"/>
  <c r="A353" i="132" s="1"/>
  <c r="A365" i="132" s="1"/>
  <c r="A377" i="132" s="1"/>
  <c r="A389" i="132" s="1"/>
  <c r="A401" i="132" s="1"/>
  <c r="A413" i="132" s="1"/>
  <c r="A425" i="132" s="1"/>
  <c r="A437" i="132" s="1"/>
  <c r="A449" i="132" s="1"/>
  <c r="A461" i="132" s="1"/>
  <c r="A210" i="132"/>
  <c r="A222" i="132" s="1"/>
  <c r="A234" i="132" s="1"/>
  <c r="A246" i="132" s="1"/>
  <c r="A258" i="132" s="1"/>
  <c r="A270" i="132" s="1"/>
  <c r="A282" i="132" s="1"/>
  <c r="A294" i="132" s="1"/>
  <c r="A306" i="132" s="1"/>
  <c r="A318" i="132" s="1"/>
  <c r="A330" i="132" s="1"/>
  <c r="A342" i="132" s="1"/>
  <c r="A354" i="132" s="1"/>
  <c r="A366" i="132" s="1"/>
  <c r="A378" i="132" s="1"/>
  <c r="A390" i="132" s="1"/>
  <c r="A402" i="132" s="1"/>
  <c r="A414" i="132" s="1"/>
  <c r="A426" i="132" s="1"/>
  <c r="A438" i="132" s="1"/>
  <c r="A450" i="132" s="1"/>
  <c r="A462" i="132" s="1"/>
  <c r="A211" i="132"/>
  <c r="A223" i="132" s="1"/>
  <c r="A235" i="132" s="1"/>
  <c r="A247" i="132" s="1"/>
  <c r="A259" i="132" s="1"/>
  <c r="A271" i="132" s="1"/>
  <c r="A283" i="132" s="1"/>
  <c r="A295" i="132" s="1"/>
  <c r="A307" i="132" s="1"/>
  <c r="A319" i="132" s="1"/>
  <c r="A331" i="132" s="1"/>
  <c r="A343" i="132" s="1"/>
  <c r="A355" i="132" s="1"/>
  <c r="A367" i="132" s="1"/>
  <c r="A379" i="132" s="1"/>
  <c r="A391" i="132" s="1"/>
  <c r="A403" i="132" s="1"/>
  <c r="A415" i="132" s="1"/>
  <c r="A427" i="132" s="1"/>
  <c r="A439" i="132" s="1"/>
  <c r="A451" i="132" s="1"/>
  <c r="A463" i="132" s="1"/>
  <c r="A212" i="132"/>
  <c r="A224" i="132" s="1"/>
  <c r="A236" i="132" s="1"/>
  <c r="A248" i="132" s="1"/>
  <c r="A260" i="132" s="1"/>
  <c r="A272" i="132" s="1"/>
  <c r="A284" i="132" s="1"/>
  <c r="A296" i="132" s="1"/>
  <c r="A308" i="132" s="1"/>
  <c r="A320" i="132" s="1"/>
  <c r="A332" i="132" s="1"/>
  <c r="A344" i="132" s="1"/>
  <c r="A356" i="132" s="1"/>
  <c r="A368" i="132" s="1"/>
  <c r="A380" i="132" s="1"/>
  <c r="A392" i="132" s="1"/>
  <c r="A404" i="132" s="1"/>
  <c r="A416" i="132" s="1"/>
  <c r="A428" i="132" s="1"/>
  <c r="A440" i="132" s="1"/>
  <c r="A452" i="132" s="1"/>
  <c r="A464" i="132" s="1"/>
  <c r="A213" i="132"/>
  <c r="A225" i="132" s="1"/>
  <c r="A237" i="132" s="1"/>
  <c r="A249" i="132" s="1"/>
  <c r="A261" i="132" s="1"/>
  <c r="A273" i="132" s="1"/>
  <c r="A285" i="132" s="1"/>
  <c r="A297" i="132" s="1"/>
  <c r="A309" i="132" s="1"/>
  <c r="A321" i="132" s="1"/>
  <c r="A333" i="132" s="1"/>
  <c r="A345" i="132" s="1"/>
  <c r="A357" i="132" s="1"/>
  <c r="A369" i="132" s="1"/>
  <c r="A381" i="132" s="1"/>
  <c r="A393" i="132" s="1"/>
  <c r="A405" i="132" s="1"/>
  <c r="A417" i="132" s="1"/>
  <c r="A429" i="132" s="1"/>
  <c r="A441" i="132" s="1"/>
  <c r="A453" i="132" s="1"/>
  <c r="A465" i="132" s="1"/>
  <c r="L289" i="14" l="1"/>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AF371" i="68"/>
  <c r="Z152" i="106" l="1"/>
  <c r="Z153" i="106"/>
  <c r="Z154" i="106"/>
  <c r="Z155" i="106"/>
  <c r="Z156" i="106"/>
  <c r="Z157" i="106"/>
  <c r="Z158" i="106"/>
  <c r="Z159" i="106"/>
  <c r="Z160" i="106"/>
  <c r="Z161" i="106"/>
  <c r="Z162" i="106"/>
  <c r="Z163" i="106"/>
  <c r="Z164" i="106"/>
  <c r="Z165" i="106"/>
  <c r="Z166" i="106"/>
  <c r="Z167" i="106"/>
  <c r="Z168" i="106"/>
  <c r="Z169" i="106"/>
  <c r="Z170" i="106"/>
  <c r="Z171" i="106"/>
  <c r="Z172" i="106"/>
  <c r="Z173" i="106"/>
  <c r="Z174" i="106"/>
  <c r="Z175" i="106"/>
  <c r="Z176" i="106"/>
  <c r="Z177" i="106"/>
  <c r="Z178" i="106"/>
  <c r="Z179" i="106"/>
  <c r="Z180" i="106"/>
  <c r="Z181" i="106"/>
  <c r="Z182" i="106"/>
  <c r="Z183" i="106"/>
  <c r="Z184" i="106"/>
  <c r="Z185" i="106"/>
  <c r="Z186" i="106"/>
  <c r="Z187" i="106"/>
  <c r="Z188" i="106"/>
  <c r="Z189" i="106"/>
  <c r="Z190" i="106"/>
  <c r="Z191" i="106"/>
  <c r="Z192" i="106"/>
  <c r="Z193" i="106"/>
  <c r="Z194" i="106"/>
  <c r="Z195" i="106"/>
  <c r="Z196" i="106"/>
  <c r="Z197" i="106"/>
  <c r="Z198" i="106"/>
  <c r="Z199" i="106"/>
  <c r="Z200" i="106"/>
  <c r="Z201" i="106"/>
  <c r="Z202" i="106"/>
  <c r="Z203" i="106"/>
  <c r="Z204" i="106"/>
  <c r="Z205" i="106"/>
  <c r="Z206" i="106"/>
  <c r="Z207" i="106"/>
  <c r="Z208" i="106"/>
  <c r="Z209" i="106"/>
  <c r="Z210" i="106"/>
  <c r="Z211" i="106"/>
  <c r="Z212" i="106"/>
  <c r="Z213" i="106"/>
  <c r="Z214" i="106"/>
  <c r="Z215" i="106"/>
  <c r="Z216" i="106"/>
  <c r="Z217" i="106"/>
  <c r="Z218" i="106"/>
  <c r="Z219" i="106"/>
  <c r="Z220" i="106"/>
  <c r="Z221" i="106"/>
  <c r="Z222" i="106"/>
  <c r="Z370" i="68" l="1"/>
  <c r="N371" i="38" l="1"/>
  <c r="I371" i="38"/>
  <c r="L383" i="108" l="1"/>
  <c r="D382" i="89" l="1"/>
  <c r="B382" i="89"/>
  <c r="B380" i="89"/>
  <c r="B381" i="89"/>
  <c r="C223" i="105" l="1"/>
  <c r="C224" i="105" s="1"/>
  <c r="C225" i="105" s="1"/>
  <c r="C226" i="105" s="1"/>
  <c r="C227" i="105" s="1"/>
  <c r="C228" i="105" s="1"/>
  <c r="C229" i="105" s="1"/>
  <c r="C230" i="105" s="1"/>
  <c r="C231" i="105" s="1"/>
  <c r="C232" i="105" s="1"/>
  <c r="C233" i="105" s="1"/>
  <c r="C234" i="105" s="1"/>
  <c r="C235" i="105" s="1"/>
  <c r="C236" i="105" s="1"/>
  <c r="C237" i="105" s="1"/>
  <c r="C238" i="105" s="1"/>
  <c r="C239" i="105" s="1"/>
  <c r="C240" i="105" s="1"/>
  <c r="B223" i="105"/>
  <c r="B224" i="105" s="1"/>
  <c r="B225" i="105" s="1"/>
  <c r="B226" i="105" s="1"/>
  <c r="B227" i="105" s="1"/>
  <c r="B228" i="105" s="1"/>
  <c r="B229" i="105" s="1"/>
  <c r="B230" i="105" s="1"/>
  <c r="B231" i="105" s="1"/>
  <c r="B232" i="105" s="1"/>
  <c r="B233" i="105" s="1"/>
  <c r="B234" i="105" s="1"/>
  <c r="B235" i="105" s="1"/>
  <c r="B236" i="105" s="1"/>
  <c r="B237" i="105" s="1"/>
  <c r="B238" i="105" s="1"/>
  <c r="B239" i="105" s="1"/>
  <c r="B240" i="105" s="1"/>
  <c r="C202" i="105"/>
  <c r="C203" i="105" s="1"/>
  <c r="C204" i="105" s="1"/>
  <c r="C205" i="105" s="1"/>
  <c r="C206" i="105" s="1"/>
  <c r="C207" i="105" s="1"/>
  <c r="C208" i="105" s="1"/>
  <c r="C209" i="105" s="1"/>
  <c r="B202" i="105"/>
  <c r="B203" i="105" s="1"/>
  <c r="B204" i="105" s="1"/>
  <c r="B205" i="105" s="1"/>
  <c r="B206" i="105" s="1"/>
  <c r="B207" i="105" s="1"/>
  <c r="B208" i="105" s="1"/>
  <c r="B209" i="105" s="1"/>
  <c r="B211" i="105"/>
  <c r="B212" i="105" s="1"/>
  <c r="B213" i="105" s="1"/>
  <c r="B214" i="105" s="1"/>
  <c r="B215" i="105" s="1"/>
  <c r="B216" i="105" s="1"/>
  <c r="B217" i="105" s="1"/>
  <c r="B218" i="105" s="1"/>
  <c r="B219" i="105" s="1"/>
  <c r="B220" i="105" s="1"/>
  <c r="B221" i="105" s="1"/>
  <c r="C211" i="105" l="1"/>
  <c r="C212" i="105" s="1"/>
  <c r="C213" i="105" s="1"/>
  <c r="C214" i="105" s="1"/>
  <c r="C215" i="105" s="1"/>
  <c r="C216" i="105" s="1"/>
  <c r="C217" i="105" s="1"/>
  <c r="C218" i="105" s="1"/>
  <c r="C219" i="105" s="1"/>
  <c r="C220" i="105" s="1"/>
  <c r="C221" i="105" s="1"/>
  <c r="D211" i="105" l="1"/>
  <c r="L370" i="38"/>
  <c r="AA368" i="68"/>
  <c r="Y368" i="68"/>
  <c r="D146" i="116" l="1"/>
  <c r="D355" i="52" l="1"/>
  <c r="D351" i="52"/>
  <c r="D352" i="52"/>
  <c r="D353" i="52"/>
  <c r="D354" i="52"/>
  <c r="D350" i="52"/>
  <c r="N429" i="128"/>
  <c r="N428" i="128"/>
  <c r="N427" i="128"/>
  <c r="N426" i="128"/>
  <c r="N425" i="128"/>
  <c r="N424" i="128"/>
  <c r="N423" i="128"/>
  <c r="N422" i="128"/>
  <c r="N421" i="128"/>
  <c r="N420" i="128"/>
  <c r="N419" i="128"/>
  <c r="N418" i="128"/>
  <c r="N417" i="128"/>
  <c r="N416" i="128"/>
  <c r="N415" i="128"/>
  <c r="N414" i="128"/>
  <c r="N413" i="128"/>
  <c r="N412" i="128"/>
  <c r="N411" i="128"/>
  <c r="N410" i="128"/>
  <c r="N409" i="128"/>
  <c r="N408" i="128"/>
  <c r="N407" i="128"/>
  <c r="N406" i="128"/>
  <c r="N405" i="128"/>
  <c r="N404" i="128"/>
  <c r="N403" i="128"/>
  <c r="N402" i="128"/>
  <c r="N401" i="128"/>
  <c r="N400" i="128"/>
  <c r="N399" i="128"/>
  <c r="N398" i="128"/>
  <c r="N396" i="128"/>
  <c r="N395" i="128"/>
  <c r="N394" i="128"/>
  <c r="N392" i="128"/>
  <c r="N391" i="128"/>
  <c r="N390" i="128"/>
  <c r="N389" i="128"/>
  <c r="N388" i="128"/>
  <c r="N387" i="128"/>
  <c r="N386" i="128"/>
  <c r="N385" i="128"/>
  <c r="N384" i="128"/>
  <c r="N383" i="128"/>
  <c r="N382" i="128"/>
  <c r="N381" i="128"/>
  <c r="N380" i="128"/>
  <c r="N379" i="128"/>
  <c r="N378" i="128"/>
  <c r="N377" i="128"/>
  <c r="N376" i="128"/>
  <c r="N375" i="128"/>
  <c r="N374" i="128"/>
  <c r="N373" i="128"/>
  <c r="N372" i="128"/>
  <c r="N371" i="128"/>
  <c r="N370" i="128"/>
  <c r="N369" i="128"/>
  <c r="N368" i="128"/>
  <c r="N367" i="128"/>
  <c r="N366" i="128"/>
  <c r="N365" i="128"/>
  <c r="N364" i="128"/>
  <c r="N363" i="128"/>
  <c r="N362" i="128"/>
  <c r="N361" i="128"/>
  <c r="N360" i="128"/>
  <c r="N359" i="128"/>
  <c r="N358" i="128"/>
  <c r="N357" i="128"/>
  <c r="N356" i="128"/>
  <c r="N355" i="128"/>
  <c r="N354" i="128"/>
  <c r="N353" i="128"/>
  <c r="N352" i="128"/>
  <c r="N351" i="128"/>
  <c r="N350" i="128"/>
  <c r="N349" i="128"/>
  <c r="N348" i="128"/>
  <c r="N347" i="128"/>
  <c r="N346" i="128"/>
  <c r="N345" i="128"/>
  <c r="N344" i="128"/>
  <c r="N343" i="128"/>
  <c r="N342" i="128"/>
  <c r="N341" i="128"/>
  <c r="N340" i="128"/>
  <c r="N339" i="128"/>
  <c r="N338" i="128"/>
  <c r="N337" i="128"/>
  <c r="N336" i="128"/>
  <c r="N335" i="128"/>
  <c r="N334" i="128"/>
  <c r="N333" i="128"/>
  <c r="N332" i="128"/>
  <c r="N331" i="128"/>
  <c r="N330" i="128"/>
  <c r="N329" i="128"/>
  <c r="N328" i="128"/>
  <c r="N327" i="128"/>
  <c r="N326" i="128"/>
  <c r="N325" i="128"/>
  <c r="N324" i="128"/>
  <c r="N323" i="128"/>
  <c r="N322" i="128"/>
  <c r="N321" i="128"/>
  <c r="N320" i="128"/>
  <c r="N319" i="128"/>
  <c r="N318" i="128"/>
  <c r="N317" i="128"/>
  <c r="N316" i="128"/>
  <c r="N315" i="128"/>
  <c r="N314" i="128"/>
  <c r="N313" i="128"/>
  <c r="N312" i="128"/>
  <c r="N311" i="128"/>
  <c r="N310" i="128"/>
  <c r="N309" i="128"/>
  <c r="N308" i="128"/>
  <c r="N307" i="128"/>
  <c r="N306" i="128"/>
  <c r="N305" i="128"/>
  <c r="N304" i="128"/>
  <c r="N303" i="128"/>
  <c r="N302" i="128"/>
  <c r="N301" i="128"/>
  <c r="N300" i="128"/>
  <c r="N299" i="128"/>
  <c r="N298" i="128"/>
  <c r="N297" i="128"/>
  <c r="N296" i="128"/>
  <c r="N295" i="128"/>
  <c r="N294" i="128"/>
  <c r="N293" i="128"/>
  <c r="N292" i="128"/>
  <c r="N291" i="128"/>
  <c r="N290" i="128"/>
  <c r="N289" i="128"/>
  <c r="N288" i="128"/>
  <c r="N287" i="128"/>
  <c r="N286" i="128"/>
  <c r="N285" i="128"/>
  <c r="N284" i="128"/>
  <c r="N283" i="128"/>
  <c r="N282" i="128"/>
  <c r="N281" i="128"/>
  <c r="N280" i="128"/>
  <c r="N279" i="128"/>
  <c r="N278" i="128"/>
  <c r="N277" i="128"/>
  <c r="N276" i="128"/>
  <c r="N275" i="128"/>
  <c r="N274" i="128"/>
  <c r="N273" i="128"/>
  <c r="N272" i="128"/>
  <c r="N271" i="128"/>
  <c r="N270" i="128"/>
  <c r="N269" i="128"/>
  <c r="N268" i="128"/>
  <c r="N267" i="128"/>
  <c r="N266" i="128"/>
  <c r="N265" i="128"/>
  <c r="N264" i="128"/>
  <c r="N263" i="128"/>
  <c r="N262" i="128"/>
  <c r="N261" i="128"/>
  <c r="N260" i="128"/>
  <c r="N259" i="128"/>
  <c r="N258" i="128"/>
  <c r="N257" i="128"/>
  <c r="N256" i="128"/>
  <c r="N255" i="128"/>
  <c r="N254" i="128"/>
  <c r="N253" i="128"/>
  <c r="N252" i="128"/>
  <c r="N251" i="128"/>
  <c r="N250" i="128"/>
  <c r="N249" i="128"/>
  <c r="N248" i="128"/>
  <c r="N247" i="128"/>
  <c r="N246" i="128"/>
  <c r="N245" i="128"/>
  <c r="N244" i="128"/>
  <c r="N243" i="128"/>
  <c r="N242" i="128"/>
  <c r="N241" i="128"/>
  <c r="N240" i="128"/>
  <c r="N239" i="128"/>
  <c r="N238" i="128"/>
  <c r="N237" i="128"/>
  <c r="N236" i="128"/>
  <c r="N235" i="128"/>
  <c r="N234" i="128"/>
  <c r="N233" i="128"/>
  <c r="N232" i="128"/>
  <c r="N231" i="128"/>
  <c r="N230" i="128"/>
  <c r="N229" i="128"/>
  <c r="N228" i="128"/>
  <c r="N227" i="128"/>
  <c r="N226" i="128"/>
  <c r="N225" i="128"/>
  <c r="A225" i="128"/>
  <c r="A237" i="128" s="1"/>
  <c r="A249" i="128" s="1"/>
  <c r="A261" i="128" s="1"/>
  <c r="A273" i="128" s="1"/>
  <c r="A285" i="128" s="1"/>
  <c r="A297" i="128" s="1"/>
  <c r="A309" i="128" s="1"/>
  <c r="A321" i="128" s="1"/>
  <c r="A333" i="128" s="1"/>
  <c r="A345" i="128" s="1"/>
  <c r="A357" i="128" s="1"/>
  <c r="A369" i="128" s="1"/>
  <c r="A381" i="128" s="1"/>
  <c r="A393" i="128" s="1"/>
  <c r="A405" i="128" s="1"/>
  <c r="A417" i="128" s="1"/>
  <c r="A429" i="128" s="1"/>
  <c r="A441" i="128" s="1"/>
  <c r="A453" i="128" s="1"/>
  <c r="A465" i="128" s="1"/>
  <c r="A477" i="128" s="1"/>
  <c r="A489" i="128" s="1"/>
  <c r="N224" i="128"/>
  <c r="A224" i="128"/>
  <c r="A236" i="128" s="1"/>
  <c r="A248" i="128" s="1"/>
  <c r="A260" i="128" s="1"/>
  <c r="A272" i="128" s="1"/>
  <c r="A284" i="128" s="1"/>
  <c r="A296" i="128" s="1"/>
  <c r="A308" i="128" s="1"/>
  <c r="A320" i="128" s="1"/>
  <c r="A332" i="128" s="1"/>
  <c r="A344" i="128" s="1"/>
  <c r="A356" i="128" s="1"/>
  <c r="A368" i="128" s="1"/>
  <c r="A380" i="128" s="1"/>
  <c r="A392" i="128" s="1"/>
  <c r="A404" i="128" s="1"/>
  <c r="A416" i="128" s="1"/>
  <c r="A428" i="128" s="1"/>
  <c r="A440" i="128" s="1"/>
  <c r="A452" i="128" s="1"/>
  <c r="A464" i="128" s="1"/>
  <c r="A476" i="128" s="1"/>
  <c r="A488" i="128" s="1"/>
  <c r="N223" i="128"/>
  <c r="A223" i="128"/>
  <c r="A235" i="128" s="1"/>
  <c r="A247" i="128" s="1"/>
  <c r="A259" i="128" s="1"/>
  <c r="A271" i="128" s="1"/>
  <c r="A283" i="128" s="1"/>
  <c r="A295" i="128" s="1"/>
  <c r="A307" i="128" s="1"/>
  <c r="A319" i="128" s="1"/>
  <c r="A331" i="128" s="1"/>
  <c r="A343" i="128" s="1"/>
  <c r="A355" i="128" s="1"/>
  <c r="A367" i="128" s="1"/>
  <c r="A379" i="128" s="1"/>
  <c r="A391" i="128" s="1"/>
  <c r="A403" i="128" s="1"/>
  <c r="A415" i="128" s="1"/>
  <c r="A427" i="128" s="1"/>
  <c r="A439" i="128" s="1"/>
  <c r="A451" i="128" s="1"/>
  <c r="A463" i="128" s="1"/>
  <c r="A475" i="128" s="1"/>
  <c r="A487" i="128" s="1"/>
  <c r="N222" i="128"/>
  <c r="A222" i="128"/>
  <c r="A234" i="128" s="1"/>
  <c r="A246" i="128" s="1"/>
  <c r="A258" i="128" s="1"/>
  <c r="A270" i="128" s="1"/>
  <c r="A282" i="128" s="1"/>
  <c r="A294" i="128" s="1"/>
  <c r="A306" i="128" s="1"/>
  <c r="A318" i="128" s="1"/>
  <c r="A330" i="128" s="1"/>
  <c r="A342" i="128" s="1"/>
  <c r="A354" i="128" s="1"/>
  <c r="A366" i="128" s="1"/>
  <c r="A378" i="128" s="1"/>
  <c r="A390" i="128" s="1"/>
  <c r="A402" i="128" s="1"/>
  <c r="A414" i="128" s="1"/>
  <c r="A426" i="128" s="1"/>
  <c r="A438" i="128" s="1"/>
  <c r="A450" i="128" s="1"/>
  <c r="A462" i="128" s="1"/>
  <c r="A474" i="128" s="1"/>
  <c r="A486" i="128" s="1"/>
  <c r="N221" i="128"/>
  <c r="A221" i="128"/>
  <c r="A233" i="128" s="1"/>
  <c r="A245" i="128" s="1"/>
  <c r="A257" i="128" s="1"/>
  <c r="A269" i="128" s="1"/>
  <c r="A281" i="128" s="1"/>
  <c r="A293" i="128" s="1"/>
  <c r="A305" i="128" s="1"/>
  <c r="A317" i="128" s="1"/>
  <c r="A329" i="128" s="1"/>
  <c r="A341" i="128" s="1"/>
  <c r="A353" i="128" s="1"/>
  <c r="A365" i="128" s="1"/>
  <c r="A377" i="128" s="1"/>
  <c r="A389" i="128" s="1"/>
  <c r="A401" i="128" s="1"/>
  <c r="A413" i="128" s="1"/>
  <c r="A425" i="128" s="1"/>
  <c r="A437" i="128" s="1"/>
  <c r="A449" i="128" s="1"/>
  <c r="A461" i="128" s="1"/>
  <c r="A473" i="128" s="1"/>
  <c r="A485" i="128" s="1"/>
  <c r="N220" i="128"/>
  <c r="A220" i="128"/>
  <c r="A232" i="128" s="1"/>
  <c r="A244" i="128" s="1"/>
  <c r="A256" i="128" s="1"/>
  <c r="A268" i="128" s="1"/>
  <c r="A280" i="128" s="1"/>
  <c r="A292" i="128" s="1"/>
  <c r="A304" i="128" s="1"/>
  <c r="A316" i="128" s="1"/>
  <c r="A328" i="128" s="1"/>
  <c r="A340" i="128" s="1"/>
  <c r="A352" i="128" s="1"/>
  <c r="A364" i="128" s="1"/>
  <c r="A376" i="128" s="1"/>
  <c r="A388" i="128" s="1"/>
  <c r="A400" i="128" s="1"/>
  <c r="A412" i="128" s="1"/>
  <c r="A424" i="128" s="1"/>
  <c r="A436" i="128" s="1"/>
  <c r="A448" i="128" s="1"/>
  <c r="A460" i="128" s="1"/>
  <c r="A472" i="128" s="1"/>
  <c r="A484" i="128" s="1"/>
  <c r="N219" i="128"/>
  <c r="A219" i="128"/>
  <c r="A231" i="128" s="1"/>
  <c r="A243" i="128" s="1"/>
  <c r="A255" i="128" s="1"/>
  <c r="A267" i="128" s="1"/>
  <c r="A279" i="128" s="1"/>
  <c r="A291" i="128" s="1"/>
  <c r="A303" i="128" s="1"/>
  <c r="A315" i="128" s="1"/>
  <c r="A327" i="128" s="1"/>
  <c r="A339" i="128" s="1"/>
  <c r="A351" i="128" s="1"/>
  <c r="A363" i="128" s="1"/>
  <c r="A375" i="128" s="1"/>
  <c r="A387" i="128" s="1"/>
  <c r="A399" i="128" s="1"/>
  <c r="A411" i="128" s="1"/>
  <c r="A423" i="128" s="1"/>
  <c r="A435" i="128" s="1"/>
  <c r="A447" i="128" s="1"/>
  <c r="A459" i="128" s="1"/>
  <c r="A471" i="128" s="1"/>
  <c r="A483" i="128" s="1"/>
  <c r="N218" i="128"/>
  <c r="A218" i="128"/>
  <c r="A230" i="128" s="1"/>
  <c r="A242" i="128" s="1"/>
  <c r="A254" i="128" s="1"/>
  <c r="A266" i="128" s="1"/>
  <c r="A278" i="128" s="1"/>
  <c r="A290" i="128" s="1"/>
  <c r="A302" i="128" s="1"/>
  <c r="A314" i="128" s="1"/>
  <c r="A326" i="128" s="1"/>
  <c r="A338" i="128" s="1"/>
  <c r="A350" i="128" s="1"/>
  <c r="A362" i="128" s="1"/>
  <c r="A374" i="128" s="1"/>
  <c r="A386" i="128" s="1"/>
  <c r="A398" i="128" s="1"/>
  <c r="A410" i="128" s="1"/>
  <c r="A422" i="128" s="1"/>
  <c r="A434" i="128" s="1"/>
  <c r="A446" i="128" s="1"/>
  <c r="A458" i="128" s="1"/>
  <c r="A470" i="128" s="1"/>
  <c r="A482" i="128" s="1"/>
  <c r="N217" i="128"/>
  <c r="A217" i="128"/>
  <c r="A229" i="128" s="1"/>
  <c r="A241" i="128" s="1"/>
  <c r="A253" i="128" s="1"/>
  <c r="A265" i="128" s="1"/>
  <c r="A277" i="128" s="1"/>
  <c r="A289" i="128" s="1"/>
  <c r="A301" i="128" s="1"/>
  <c r="A313" i="128" s="1"/>
  <c r="A325" i="128" s="1"/>
  <c r="A337" i="128" s="1"/>
  <c r="A349" i="128" s="1"/>
  <c r="A361" i="128" s="1"/>
  <c r="A373" i="128" s="1"/>
  <c r="A385" i="128" s="1"/>
  <c r="A397" i="128" s="1"/>
  <c r="A409" i="128" s="1"/>
  <c r="A421" i="128" s="1"/>
  <c r="A433" i="128" s="1"/>
  <c r="A445" i="128" s="1"/>
  <c r="A457" i="128" s="1"/>
  <c r="A469" i="128" s="1"/>
  <c r="A481" i="128" s="1"/>
  <c r="N216" i="128"/>
  <c r="A216" i="128"/>
  <c r="A228" i="128" s="1"/>
  <c r="A240" i="128" s="1"/>
  <c r="A252" i="128" s="1"/>
  <c r="A264" i="128" s="1"/>
  <c r="A276" i="128" s="1"/>
  <c r="A288" i="128" s="1"/>
  <c r="A300" i="128" s="1"/>
  <c r="A312" i="128" s="1"/>
  <c r="A324" i="128" s="1"/>
  <c r="A336" i="128" s="1"/>
  <c r="A348" i="128" s="1"/>
  <c r="A360" i="128" s="1"/>
  <c r="A372" i="128" s="1"/>
  <c r="A384" i="128" s="1"/>
  <c r="A396" i="128" s="1"/>
  <c r="A408" i="128" s="1"/>
  <c r="A420" i="128" s="1"/>
  <c r="A432" i="128" s="1"/>
  <c r="A444" i="128" s="1"/>
  <c r="A456" i="128" s="1"/>
  <c r="A468" i="128" s="1"/>
  <c r="A480" i="128" s="1"/>
  <c r="N215" i="128"/>
  <c r="A215" i="128"/>
  <c r="A227" i="128" s="1"/>
  <c r="A239" i="128" s="1"/>
  <c r="A251" i="128" s="1"/>
  <c r="A263" i="128" s="1"/>
  <c r="A275" i="128" s="1"/>
  <c r="A287" i="128" s="1"/>
  <c r="A299" i="128" s="1"/>
  <c r="A311" i="128" s="1"/>
  <c r="A323" i="128" s="1"/>
  <c r="A335" i="128" s="1"/>
  <c r="A347" i="128" s="1"/>
  <c r="A359" i="128" s="1"/>
  <c r="A371" i="128" s="1"/>
  <c r="A383" i="128" s="1"/>
  <c r="A395" i="128" s="1"/>
  <c r="A407" i="128" s="1"/>
  <c r="A419" i="128" s="1"/>
  <c r="A431" i="128" s="1"/>
  <c r="A443" i="128" s="1"/>
  <c r="A455" i="128" s="1"/>
  <c r="A467" i="128" s="1"/>
  <c r="A479" i="128" s="1"/>
  <c r="N214" i="128"/>
  <c r="A214" i="128"/>
  <c r="A226" i="128" s="1"/>
  <c r="A238" i="128" s="1"/>
  <c r="A250" i="128" s="1"/>
  <c r="A262" i="128" s="1"/>
  <c r="A274" i="128" s="1"/>
  <c r="A286" i="128" s="1"/>
  <c r="A298" i="128" s="1"/>
  <c r="A310" i="128" s="1"/>
  <c r="A322" i="128" s="1"/>
  <c r="A334" i="128" s="1"/>
  <c r="A346" i="128" s="1"/>
  <c r="A358" i="128" s="1"/>
  <c r="A370" i="128" s="1"/>
  <c r="A382" i="128" s="1"/>
  <c r="A394" i="128" s="1"/>
  <c r="A406" i="128" s="1"/>
  <c r="A418" i="128" s="1"/>
  <c r="A430" i="128" s="1"/>
  <c r="A442" i="128" s="1"/>
  <c r="A454" i="128" s="1"/>
  <c r="A466" i="128" s="1"/>
  <c r="A478" i="128" s="1"/>
  <c r="N213" i="128"/>
  <c r="N212" i="128"/>
  <c r="N211" i="128"/>
  <c r="N210" i="128"/>
  <c r="N209" i="128"/>
  <c r="N208" i="128"/>
  <c r="N207" i="128"/>
  <c r="N206" i="128"/>
  <c r="N205" i="128"/>
  <c r="N204" i="128"/>
  <c r="N203" i="128"/>
  <c r="N202" i="128"/>
  <c r="N201" i="128"/>
  <c r="N200" i="128"/>
  <c r="N199" i="128"/>
  <c r="N198" i="128"/>
  <c r="N197" i="128"/>
  <c r="N196" i="128"/>
  <c r="N195" i="128"/>
  <c r="N194" i="128"/>
  <c r="N193" i="128"/>
  <c r="N192" i="128"/>
  <c r="N191" i="128"/>
  <c r="N190" i="128"/>
  <c r="N189" i="128"/>
  <c r="N188" i="128"/>
  <c r="N187" i="128"/>
  <c r="N186" i="128"/>
  <c r="N185" i="128"/>
  <c r="N184" i="128"/>
  <c r="N183" i="128"/>
  <c r="N182" i="128"/>
  <c r="N181" i="128"/>
  <c r="N180" i="128"/>
  <c r="N179" i="128"/>
  <c r="N178" i="128"/>
  <c r="N177" i="128"/>
  <c r="N176" i="128"/>
  <c r="N175" i="128"/>
  <c r="N174" i="128"/>
  <c r="N173" i="128"/>
  <c r="N172" i="128"/>
  <c r="N171" i="128"/>
  <c r="N170" i="128"/>
  <c r="N169" i="128"/>
  <c r="N168" i="128"/>
  <c r="N167" i="128"/>
  <c r="N166" i="128"/>
  <c r="N165" i="128"/>
  <c r="N164" i="128"/>
  <c r="N163" i="128"/>
  <c r="N162" i="128"/>
  <c r="N161" i="128"/>
  <c r="N160" i="128"/>
  <c r="N159" i="128"/>
  <c r="N158" i="128"/>
  <c r="N157" i="128"/>
  <c r="N156" i="128"/>
  <c r="N155" i="128"/>
  <c r="N154" i="128"/>
  <c r="N153" i="128"/>
  <c r="N152" i="128"/>
  <c r="N151" i="128"/>
  <c r="N150" i="128"/>
  <c r="N149" i="128"/>
  <c r="N148" i="128"/>
  <c r="N147" i="128"/>
  <c r="N146" i="128"/>
  <c r="N145" i="128"/>
  <c r="N144" i="128"/>
  <c r="N143" i="128"/>
  <c r="N142" i="128"/>
  <c r="N141" i="128"/>
  <c r="N140" i="128"/>
  <c r="N139" i="128"/>
  <c r="N138" i="128"/>
  <c r="N137" i="128"/>
  <c r="N136" i="128"/>
  <c r="N135" i="128"/>
  <c r="N134" i="128"/>
  <c r="N133" i="128"/>
  <c r="N132" i="128"/>
  <c r="N131" i="128"/>
  <c r="N130" i="128"/>
  <c r="N129" i="128"/>
  <c r="N128" i="128"/>
  <c r="N127" i="128"/>
  <c r="N126" i="128"/>
  <c r="N125" i="128"/>
  <c r="N124" i="128"/>
  <c r="N123" i="128"/>
  <c r="N122" i="128"/>
  <c r="N121" i="128"/>
  <c r="N120" i="128"/>
  <c r="N119" i="128"/>
  <c r="N118" i="128"/>
  <c r="N117" i="128"/>
  <c r="N116" i="128"/>
  <c r="N115" i="128"/>
  <c r="N114" i="128"/>
  <c r="N113" i="128"/>
  <c r="N112" i="128"/>
  <c r="N111" i="128"/>
  <c r="N110" i="128"/>
  <c r="N109" i="128"/>
  <c r="N108" i="128"/>
  <c r="N107" i="128"/>
  <c r="N106" i="128"/>
  <c r="N105" i="128"/>
  <c r="N104" i="128"/>
  <c r="N103" i="128"/>
  <c r="N102" i="128"/>
  <c r="N101" i="128"/>
  <c r="N100" i="128"/>
  <c r="N99" i="128"/>
  <c r="N98" i="128"/>
  <c r="N97" i="128"/>
  <c r="N96" i="128"/>
  <c r="N95" i="128"/>
  <c r="N94" i="128"/>
  <c r="N93" i="128"/>
  <c r="N92" i="128"/>
  <c r="N91" i="128"/>
  <c r="N90" i="128"/>
  <c r="N89" i="128"/>
  <c r="N88" i="128"/>
  <c r="N87" i="128"/>
  <c r="N86" i="128"/>
  <c r="N85" i="128"/>
  <c r="N84" i="128"/>
  <c r="N83" i="128"/>
  <c r="N82" i="128"/>
  <c r="N81" i="128"/>
  <c r="N80" i="128"/>
  <c r="N79" i="128"/>
  <c r="N78" i="128"/>
  <c r="N77" i="128"/>
  <c r="N76" i="128"/>
  <c r="N75" i="128"/>
  <c r="N74" i="128"/>
  <c r="N73" i="128"/>
  <c r="N72" i="128"/>
  <c r="N71" i="128"/>
  <c r="N70" i="128"/>
  <c r="N69" i="128"/>
  <c r="N68" i="128"/>
  <c r="N67" i="128"/>
  <c r="N66" i="128"/>
  <c r="N65" i="128"/>
  <c r="N64" i="128"/>
  <c r="N63" i="128"/>
  <c r="N62" i="128"/>
  <c r="N61" i="128"/>
  <c r="N60" i="128"/>
  <c r="N59" i="128"/>
  <c r="N58" i="128"/>
  <c r="N57" i="128"/>
  <c r="N56" i="128"/>
  <c r="N55" i="128"/>
  <c r="N54" i="128"/>
  <c r="N53" i="128"/>
  <c r="N52" i="128"/>
  <c r="N51" i="128"/>
  <c r="N50" i="128"/>
  <c r="N49" i="128"/>
  <c r="N48" i="128"/>
  <c r="N47" i="128"/>
  <c r="N46" i="128"/>
  <c r="N45" i="128"/>
  <c r="N44" i="128"/>
  <c r="N43" i="128"/>
  <c r="N42" i="128"/>
  <c r="N41" i="128"/>
  <c r="N40" i="128"/>
  <c r="N39" i="128"/>
  <c r="N38" i="128"/>
  <c r="N37" i="128"/>
  <c r="N36" i="128"/>
  <c r="N35" i="128"/>
  <c r="N34" i="128"/>
  <c r="N33" i="128"/>
  <c r="N32" i="128"/>
  <c r="N31" i="128"/>
  <c r="N30" i="128"/>
  <c r="N29" i="128"/>
  <c r="N28" i="128"/>
  <c r="N27" i="128"/>
  <c r="N26" i="128"/>
  <c r="N25" i="128"/>
  <c r="N24" i="128"/>
  <c r="N23" i="128"/>
  <c r="N22" i="128"/>
  <c r="N21" i="128"/>
  <c r="N20" i="128"/>
  <c r="N19" i="128"/>
  <c r="N18" i="128"/>
  <c r="N17" i="128"/>
  <c r="N16" i="128"/>
  <c r="N15" i="128"/>
  <c r="N14" i="128"/>
  <c r="N13" i="128"/>
  <c r="N12" i="128"/>
  <c r="N11" i="128"/>
  <c r="J163" i="76" l="1"/>
  <c r="H376" i="11"/>
  <c r="H363" i="11"/>
  <c r="AA365" i="68"/>
  <c r="Y365" i="68"/>
  <c r="X365" i="68"/>
  <c r="E310" i="100" l="1"/>
  <c r="K310" i="100"/>
  <c r="E322" i="100" l="1"/>
  <c r="K322" i="100"/>
  <c r="L376" i="108" l="1"/>
  <c r="E346" i="100" l="1"/>
  <c r="E347" i="100"/>
  <c r="E348" i="100"/>
  <c r="E349" i="100"/>
  <c r="E350" i="100"/>
  <c r="E351" i="100"/>
  <c r="E352" i="100"/>
  <c r="B374" i="89" l="1"/>
  <c r="B373" i="89"/>
  <c r="B372" i="89"/>
  <c r="B371" i="89"/>
  <c r="B370" i="89"/>
  <c r="B375" i="89"/>
  <c r="H374" i="11" l="1"/>
  <c r="H373" i="11"/>
  <c r="AA362" i="68" l="1"/>
  <c r="Q344" i="38" l="1"/>
  <c r="L374" i="108" l="1"/>
  <c r="D79" i="30" l="1"/>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78" i="30"/>
  <c r="D77" i="30"/>
  <c r="J349" i="52" l="1"/>
  <c r="AA361" i="68" l="1"/>
  <c r="O348" i="4" l="1"/>
  <c r="D372" i="89" l="1"/>
  <c r="D371" i="89"/>
  <c r="D370" i="89"/>
  <c r="B359" i="89"/>
  <c r="H370" i="11" l="1"/>
  <c r="H371" i="11"/>
  <c r="H372" i="11"/>
  <c r="G71" i="53" l="1"/>
  <c r="A189" i="130"/>
  <c r="A201" i="130" s="1"/>
  <c r="A213" i="130" s="1"/>
  <c r="A225" i="130" s="1"/>
  <c r="A237" i="130" s="1"/>
  <c r="A249" i="130" s="1"/>
  <c r="A261" i="130" s="1"/>
  <c r="A273" i="130" s="1"/>
  <c r="A285" i="130" s="1"/>
  <c r="A297" i="130" s="1"/>
  <c r="A309" i="130" s="1"/>
  <c r="A321" i="130" s="1"/>
  <c r="A333" i="130" s="1"/>
  <c r="A345" i="130" s="1"/>
  <c r="A357" i="130" s="1"/>
  <c r="A369" i="130" s="1"/>
  <c r="A381" i="130" s="1"/>
  <c r="A393" i="130" s="1"/>
  <c r="A188" i="130"/>
  <c r="A200" i="130" s="1"/>
  <c r="A212" i="130" s="1"/>
  <c r="A224" i="130" s="1"/>
  <c r="A236" i="130" s="1"/>
  <c r="A248" i="130" s="1"/>
  <c r="A260" i="130" s="1"/>
  <c r="A272" i="130" s="1"/>
  <c r="A284" i="130" s="1"/>
  <c r="A296" i="130" s="1"/>
  <c r="A308" i="130" s="1"/>
  <c r="A320" i="130" s="1"/>
  <c r="A332" i="130" s="1"/>
  <c r="A344" i="130" s="1"/>
  <c r="A356" i="130" s="1"/>
  <c r="A368" i="130" s="1"/>
  <c r="A380" i="130" s="1"/>
  <c r="A392" i="130" s="1"/>
  <c r="A187" i="130"/>
  <c r="A199" i="130" s="1"/>
  <c r="A211" i="130" s="1"/>
  <c r="A223" i="130" s="1"/>
  <c r="A235" i="130" s="1"/>
  <c r="A247" i="130" s="1"/>
  <c r="A259" i="130" s="1"/>
  <c r="A271" i="130" s="1"/>
  <c r="A283" i="130" s="1"/>
  <c r="A295" i="130" s="1"/>
  <c r="A307" i="130" s="1"/>
  <c r="A319" i="130" s="1"/>
  <c r="A331" i="130" s="1"/>
  <c r="A343" i="130" s="1"/>
  <c r="A355" i="130" s="1"/>
  <c r="A367" i="130" s="1"/>
  <c r="A379" i="130" s="1"/>
  <c r="A391" i="130" s="1"/>
  <c r="A186" i="130"/>
  <c r="A198" i="130" s="1"/>
  <c r="A210" i="130" s="1"/>
  <c r="A222" i="130" s="1"/>
  <c r="A234" i="130" s="1"/>
  <c r="A246" i="130" s="1"/>
  <c r="A258" i="130" s="1"/>
  <c r="A270" i="130" s="1"/>
  <c r="A282" i="130" s="1"/>
  <c r="A294" i="130" s="1"/>
  <c r="A306" i="130" s="1"/>
  <c r="A318" i="130" s="1"/>
  <c r="A330" i="130" s="1"/>
  <c r="A342" i="130" s="1"/>
  <c r="A354" i="130" s="1"/>
  <c r="A366" i="130" s="1"/>
  <c r="A378" i="130" s="1"/>
  <c r="A390" i="130" s="1"/>
  <c r="A185" i="130"/>
  <c r="A197" i="130" s="1"/>
  <c r="A209" i="130" s="1"/>
  <c r="A221" i="130" s="1"/>
  <c r="A233" i="130" s="1"/>
  <c r="A245" i="130" s="1"/>
  <c r="A257" i="130" s="1"/>
  <c r="A269" i="130" s="1"/>
  <c r="A281" i="130" s="1"/>
  <c r="A293" i="130" s="1"/>
  <c r="A305" i="130" s="1"/>
  <c r="A317" i="130" s="1"/>
  <c r="A329" i="130" s="1"/>
  <c r="A341" i="130" s="1"/>
  <c r="A353" i="130" s="1"/>
  <c r="A365" i="130" s="1"/>
  <c r="A377" i="130" s="1"/>
  <c r="A389" i="130" s="1"/>
  <c r="A184" i="130"/>
  <c r="A196" i="130" s="1"/>
  <c r="A208" i="130" s="1"/>
  <c r="A220" i="130" s="1"/>
  <c r="A232" i="130" s="1"/>
  <c r="A244" i="130" s="1"/>
  <c r="A256" i="130" s="1"/>
  <c r="A268" i="130" s="1"/>
  <c r="A280" i="130" s="1"/>
  <c r="A292" i="130" s="1"/>
  <c r="A304" i="130" s="1"/>
  <c r="A316" i="130" s="1"/>
  <c r="A328" i="130" s="1"/>
  <c r="A340" i="130" s="1"/>
  <c r="A352" i="130" s="1"/>
  <c r="A364" i="130" s="1"/>
  <c r="A376" i="130" s="1"/>
  <c r="A388" i="130" s="1"/>
  <c r="A183" i="130"/>
  <c r="A195" i="130" s="1"/>
  <c r="A207" i="130" s="1"/>
  <c r="A219" i="130" s="1"/>
  <c r="A231" i="130" s="1"/>
  <c r="A243" i="130" s="1"/>
  <c r="A255" i="130" s="1"/>
  <c r="A267" i="130" s="1"/>
  <c r="A279" i="130" s="1"/>
  <c r="A291" i="130" s="1"/>
  <c r="A303" i="130" s="1"/>
  <c r="A315" i="130" s="1"/>
  <c r="A327" i="130" s="1"/>
  <c r="A339" i="130" s="1"/>
  <c r="A351" i="130" s="1"/>
  <c r="A363" i="130" s="1"/>
  <c r="A375" i="130" s="1"/>
  <c r="A387" i="130" s="1"/>
  <c r="A182" i="130"/>
  <c r="A194" i="130" s="1"/>
  <c r="A206" i="130" s="1"/>
  <c r="A218" i="130" s="1"/>
  <c r="A230" i="130" s="1"/>
  <c r="A242" i="130" s="1"/>
  <c r="A254" i="130" s="1"/>
  <c r="A266" i="130" s="1"/>
  <c r="A278" i="130" s="1"/>
  <c r="A290" i="130" s="1"/>
  <c r="A302" i="130" s="1"/>
  <c r="A314" i="130" s="1"/>
  <c r="A326" i="130" s="1"/>
  <c r="A338" i="130" s="1"/>
  <c r="A350" i="130" s="1"/>
  <c r="A362" i="130" s="1"/>
  <c r="A181" i="130"/>
  <c r="A193" i="130" s="1"/>
  <c r="A205" i="130" s="1"/>
  <c r="A217" i="130" s="1"/>
  <c r="A229" i="130" s="1"/>
  <c r="A241" i="130" s="1"/>
  <c r="A253" i="130" s="1"/>
  <c r="A265" i="130" s="1"/>
  <c r="A277" i="130" s="1"/>
  <c r="A289" i="130" s="1"/>
  <c r="A301" i="130" s="1"/>
  <c r="A313" i="130" s="1"/>
  <c r="A325" i="130" s="1"/>
  <c r="A337" i="130" s="1"/>
  <c r="A349" i="130" s="1"/>
  <c r="A361" i="130" s="1"/>
  <c r="A373" i="130" s="1"/>
  <c r="A385" i="130" s="1"/>
  <c r="A180" i="130"/>
  <c r="A192" i="130" s="1"/>
  <c r="A204" i="130" s="1"/>
  <c r="A216" i="130" s="1"/>
  <c r="A228" i="130" s="1"/>
  <c r="A240" i="130" s="1"/>
  <c r="A252" i="130" s="1"/>
  <c r="A264" i="130" s="1"/>
  <c r="A276" i="130" s="1"/>
  <c r="A288" i="130" s="1"/>
  <c r="A300" i="130" s="1"/>
  <c r="A312" i="130" s="1"/>
  <c r="A324" i="130" s="1"/>
  <c r="A336" i="130" s="1"/>
  <c r="A348" i="130" s="1"/>
  <c r="A360" i="130" s="1"/>
  <c r="A372" i="130" s="1"/>
  <c r="A384" i="130" s="1"/>
  <c r="A179" i="130"/>
  <c r="A191" i="130" s="1"/>
  <c r="A203" i="130" s="1"/>
  <c r="A215" i="130" s="1"/>
  <c r="A227" i="130" s="1"/>
  <c r="A239" i="130" s="1"/>
  <c r="A251" i="130" s="1"/>
  <c r="A263" i="130" s="1"/>
  <c r="A275" i="130" s="1"/>
  <c r="A287" i="130" s="1"/>
  <c r="A299" i="130" s="1"/>
  <c r="A311" i="130" s="1"/>
  <c r="A323" i="130" s="1"/>
  <c r="A335" i="130" s="1"/>
  <c r="A347" i="130" s="1"/>
  <c r="A359" i="130" s="1"/>
  <c r="A371" i="130" s="1"/>
  <c r="A383" i="130" s="1"/>
  <c r="A178" i="130"/>
  <c r="A190" i="130" s="1"/>
  <c r="A202" i="130" s="1"/>
  <c r="A214" i="130" s="1"/>
  <c r="A226" i="130" s="1"/>
  <c r="A238" i="130" s="1"/>
  <c r="A250" i="130" s="1"/>
  <c r="A262" i="130" s="1"/>
  <c r="A274" i="130" s="1"/>
  <c r="A286" i="130" s="1"/>
  <c r="A298" i="130" s="1"/>
  <c r="A310" i="130" s="1"/>
  <c r="A322" i="130" s="1"/>
  <c r="A334" i="130" s="1"/>
  <c r="A346" i="130" s="1"/>
  <c r="A358" i="130" s="1"/>
  <c r="A370" i="130" s="1"/>
  <c r="A382" i="130" s="1"/>
  <c r="D143" i="116"/>
  <c r="A386" i="130" l="1"/>
  <c r="A374" i="130"/>
  <c r="Z360" i="68"/>
  <c r="L371" i="108" l="1"/>
  <c r="E323" i="59" l="1"/>
  <c r="L275" i="14" l="1"/>
  <c r="G15" i="53" l="1"/>
  <c r="A141" i="129" l="1"/>
  <c r="A153" i="129" s="1"/>
  <c r="A165" i="129" s="1"/>
  <c r="A177" i="129" s="1"/>
  <c r="A189" i="129" s="1"/>
  <c r="A201" i="129" s="1"/>
  <c r="A213" i="129" s="1"/>
  <c r="A225" i="129" s="1"/>
  <c r="A237" i="129" s="1"/>
  <c r="A249" i="129" s="1"/>
  <c r="A261" i="129" s="1"/>
  <c r="A273" i="129" s="1"/>
  <c r="A285" i="129" s="1"/>
  <c r="A297" i="129" s="1"/>
  <c r="A309" i="129" s="1"/>
  <c r="A321" i="129" s="1"/>
  <c r="A333" i="129" s="1"/>
  <c r="A345" i="129" s="1"/>
  <c r="A357" i="129" s="1"/>
  <c r="A369" i="129" s="1"/>
  <c r="A381" i="129" s="1"/>
  <c r="A393" i="129" s="1"/>
  <c r="A405" i="129" s="1"/>
  <c r="A140" i="129"/>
  <c r="A152" i="129" s="1"/>
  <c r="A164" i="129" s="1"/>
  <c r="A176" i="129" s="1"/>
  <c r="A188" i="129" s="1"/>
  <c r="A200" i="129" s="1"/>
  <c r="A212" i="129" s="1"/>
  <c r="A224" i="129" s="1"/>
  <c r="A236" i="129" s="1"/>
  <c r="A248" i="129" s="1"/>
  <c r="A260" i="129" s="1"/>
  <c r="A272" i="129" s="1"/>
  <c r="A284" i="129" s="1"/>
  <c r="A296" i="129" s="1"/>
  <c r="A308" i="129" s="1"/>
  <c r="A320" i="129" s="1"/>
  <c r="A332" i="129" s="1"/>
  <c r="A344" i="129" s="1"/>
  <c r="A356" i="129" s="1"/>
  <c r="A368" i="129" s="1"/>
  <c r="A380" i="129" s="1"/>
  <c r="A392" i="129" s="1"/>
  <c r="A404" i="129" s="1"/>
  <c r="A139" i="129"/>
  <c r="A151" i="129" s="1"/>
  <c r="A163" i="129" s="1"/>
  <c r="A175" i="129" s="1"/>
  <c r="A187" i="129" s="1"/>
  <c r="A199" i="129" s="1"/>
  <c r="A211" i="129" s="1"/>
  <c r="A223" i="129" s="1"/>
  <c r="A235" i="129" s="1"/>
  <c r="A247" i="129" s="1"/>
  <c r="A259" i="129" s="1"/>
  <c r="A271" i="129" s="1"/>
  <c r="A283" i="129" s="1"/>
  <c r="A295" i="129" s="1"/>
  <c r="A307" i="129" s="1"/>
  <c r="A319" i="129" s="1"/>
  <c r="A331" i="129" s="1"/>
  <c r="A343" i="129" s="1"/>
  <c r="A355" i="129" s="1"/>
  <c r="A367" i="129" s="1"/>
  <c r="A379" i="129" s="1"/>
  <c r="A391" i="129" s="1"/>
  <c r="A403" i="129" s="1"/>
  <c r="A138" i="129"/>
  <c r="A150" i="129" s="1"/>
  <c r="A162" i="129" s="1"/>
  <c r="A174" i="129" s="1"/>
  <c r="A186" i="129" s="1"/>
  <c r="A198" i="129" s="1"/>
  <c r="A210" i="129" s="1"/>
  <c r="A222" i="129" s="1"/>
  <c r="A234" i="129" s="1"/>
  <c r="A246" i="129" s="1"/>
  <c r="A258" i="129" s="1"/>
  <c r="A270" i="129" s="1"/>
  <c r="A282" i="129" s="1"/>
  <c r="A294" i="129" s="1"/>
  <c r="A306" i="129" s="1"/>
  <c r="A318" i="129" s="1"/>
  <c r="A330" i="129" s="1"/>
  <c r="A342" i="129" s="1"/>
  <c r="A354" i="129" s="1"/>
  <c r="A366" i="129" s="1"/>
  <c r="A378" i="129" s="1"/>
  <c r="A390" i="129" s="1"/>
  <c r="A402" i="129" s="1"/>
  <c r="A137" i="129"/>
  <c r="A149" i="129" s="1"/>
  <c r="A161" i="129" s="1"/>
  <c r="A173" i="129" s="1"/>
  <c r="A185" i="129" s="1"/>
  <c r="A197" i="129" s="1"/>
  <c r="A209" i="129" s="1"/>
  <c r="A221" i="129" s="1"/>
  <c r="A233" i="129" s="1"/>
  <c r="A245" i="129" s="1"/>
  <c r="A257" i="129" s="1"/>
  <c r="A269" i="129" s="1"/>
  <c r="A281" i="129" s="1"/>
  <c r="A293" i="129" s="1"/>
  <c r="A305" i="129" s="1"/>
  <c r="A317" i="129" s="1"/>
  <c r="A329" i="129" s="1"/>
  <c r="A341" i="129" s="1"/>
  <c r="A353" i="129" s="1"/>
  <c r="A365" i="129" s="1"/>
  <c r="A377" i="129" s="1"/>
  <c r="A389" i="129" s="1"/>
  <c r="A401" i="129" s="1"/>
  <c r="A136" i="129"/>
  <c r="A148" i="129" s="1"/>
  <c r="A160" i="129" s="1"/>
  <c r="A172" i="129" s="1"/>
  <c r="A184" i="129" s="1"/>
  <c r="A196" i="129" s="1"/>
  <c r="A208" i="129" s="1"/>
  <c r="A220" i="129" s="1"/>
  <c r="A232" i="129" s="1"/>
  <c r="A244" i="129" s="1"/>
  <c r="A256" i="129" s="1"/>
  <c r="A268" i="129" s="1"/>
  <c r="A280" i="129" s="1"/>
  <c r="A292" i="129" s="1"/>
  <c r="A304" i="129" s="1"/>
  <c r="A316" i="129" s="1"/>
  <c r="A328" i="129" s="1"/>
  <c r="A340" i="129" s="1"/>
  <c r="A352" i="129" s="1"/>
  <c r="A364" i="129" s="1"/>
  <c r="A376" i="129" s="1"/>
  <c r="A388" i="129" s="1"/>
  <c r="A400" i="129" s="1"/>
  <c r="A135" i="129"/>
  <c r="A147" i="129" s="1"/>
  <c r="A159" i="129" s="1"/>
  <c r="A171" i="129" s="1"/>
  <c r="A183" i="129" s="1"/>
  <c r="A195" i="129" s="1"/>
  <c r="A207" i="129" s="1"/>
  <c r="A219" i="129" s="1"/>
  <c r="A231" i="129" s="1"/>
  <c r="A243" i="129" s="1"/>
  <c r="A255" i="129" s="1"/>
  <c r="A267" i="129" s="1"/>
  <c r="A279" i="129" s="1"/>
  <c r="A291" i="129" s="1"/>
  <c r="A303" i="129" s="1"/>
  <c r="A315" i="129" s="1"/>
  <c r="A327" i="129" s="1"/>
  <c r="A339" i="129" s="1"/>
  <c r="A351" i="129" s="1"/>
  <c r="A363" i="129" s="1"/>
  <c r="A375" i="129" s="1"/>
  <c r="A387" i="129" s="1"/>
  <c r="A399" i="129" s="1"/>
  <c r="A134" i="129"/>
  <c r="A146" i="129" s="1"/>
  <c r="A158" i="129" s="1"/>
  <c r="A170" i="129" s="1"/>
  <c r="A182" i="129" s="1"/>
  <c r="A194" i="129" s="1"/>
  <c r="A206" i="129" s="1"/>
  <c r="A218" i="129" s="1"/>
  <c r="A230" i="129" s="1"/>
  <c r="A242" i="129" s="1"/>
  <c r="A254" i="129" s="1"/>
  <c r="A266" i="129" s="1"/>
  <c r="A278" i="129" s="1"/>
  <c r="A290" i="129" s="1"/>
  <c r="A302" i="129" s="1"/>
  <c r="A314" i="129" s="1"/>
  <c r="A326" i="129" s="1"/>
  <c r="A338" i="129" s="1"/>
  <c r="A350" i="129" s="1"/>
  <c r="A362" i="129" s="1"/>
  <c r="A374" i="129" s="1"/>
  <c r="A386" i="129" s="1"/>
  <c r="A398" i="129" s="1"/>
  <c r="A133" i="129"/>
  <c r="A145" i="129" s="1"/>
  <c r="A157" i="129" s="1"/>
  <c r="A169" i="129" s="1"/>
  <c r="A181" i="129" s="1"/>
  <c r="A193" i="129" s="1"/>
  <c r="A205" i="129" s="1"/>
  <c r="A217" i="129" s="1"/>
  <c r="A229" i="129" s="1"/>
  <c r="A241" i="129" s="1"/>
  <c r="A253" i="129" s="1"/>
  <c r="A265" i="129" s="1"/>
  <c r="A277" i="129" s="1"/>
  <c r="A289" i="129" s="1"/>
  <c r="A301" i="129" s="1"/>
  <c r="A313" i="129" s="1"/>
  <c r="A325" i="129" s="1"/>
  <c r="A337" i="129" s="1"/>
  <c r="A349" i="129" s="1"/>
  <c r="A361" i="129" s="1"/>
  <c r="A373" i="129" s="1"/>
  <c r="A385" i="129" s="1"/>
  <c r="A397" i="129" s="1"/>
  <c r="A132" i="129"/>
  <c r="A144" i="129" s="1"/>
  <c r="A156" i="129" s="1"/>
  <c r="A168" i="129" s="1"/>
  <c r="A180" i="129" s="1"/>
  <c r="A192" i="129" s="1"/>
  <c r="A204" i="129" s="1"/>
  <c r="A216" i="129" s="1"/>
  <c r="A228" i="129" s="1"/>
  <c r="A240" i="129" s="1"/>
  <c r="A252" i="129" s="1"/>
  <c r="A264" i="129" s="1"/>
  <c r="A276" i="129" s="1"/>
  <c r="A288" i="129" s="1"/>
  <c r="A300" i="129" s="1"/>
  <c r="A312" i="129" s="1"/>
  <c r="A324" i="129" s="1"/>
  <c r="A336" i="129" s="1"/>
  <c r="A348" i="129" s="1"/>
  <c r="A360" i="129" s="1"/>
  <c r="A372" i="129" s="1"/>
  <c r="A384" i="129" s="1"/>
  <c r="A396" i="129" s="1"/>
  <c r="A131" i="129"/>
  <c r="A143" i="129" s="1"/>
  <c r="A155" i="129" s="1"/>
  <c r="A167" i="129" s="1"/>
  <c r="A179" i="129" s="1"/>
  <c r="A191" i="129" s="1"/>
  <c r="A203" i="129" s="1"/>
  <c r="A215" i="129" s="1"/>
  <c r="A227" i="129" s="1"/>
  <c r="A239" i="129" s="1"/>
  <c r="A251" i="129" s="1"/>
  <c r="A263" i="129" s="1"/>
  <c r="A275" i="129" s="1"/>
  <c r="A287" i="129" s="1"/>
  <c r="A299" i="129" s="1"/>
  <c r="A311" i="129" s="1"/>
  <c r="A323" i="129" s="1"/>
  <c r="A335" i="129" s="1"/>
  <c r="A347" i="129" s="1"/>
  <c r="A359" i="129" s="1"/>
  <c r="A371" i="129" s="1"/>
  <c r="A383" i="129" s="1"/>
  <c r="A395" i="129" s="1"/>
  <c r="A130" i="129"/>
  <c r="A142" i="129" s="1"/>
  <c r="A154" i="129" s="1"/>
  <c r="A166" i="129" s="1"/>
  <c r="A178" i="129" s="1"/>
  <c r="A190" i="129" s="1"/>
  <c r="A202" i="129" s="1"/>
  <c r="A214" i="129" s="1"/>
  <c r="A226" i="129" s="1"/>
  <c r="A238" i="129" s="1"/>
  <c r="A250" i="129" s="1"/>
  <c r="A262" i="129" s="1"/>
  <c r="A274" i="129" s="1"/>
  <c r="A286" i="129" s="1"/>
  <c r="A298" i="129" s="1"/>
  <c r="A310" i="129" s="1"/>
  <c r="A322" i="129" s="1"/>
  <c r="A334" i="129" s="1"/>
  <c r="A346" i="129" s="1"/>
  <c r="A358" i="129" s="1"/>
  <c r="A370" i="129" s="1"/>
  <c r="A382" i="129" s="1"/>
  <c r="A394" i="129" s="1"/>
  <c r="Z357" i="68" l="1"/>
  <c r="Z356" i="68"/>
  <c r="AA349" i="68"/>
  <c r="AA321" i="68"/>
  <c r="Y321" i="68"/>
  <c r="AA320" i="68"/>
  <c r="AA319" i="68"/>
  <c r="AA318" i="68"/>
  <c r="AA317" i="68"/>
  <c r="AA316" i="68"/>
  <c r="AA315" i="68"/>
  <c r="AA314" i="68"/>
  <c r="Y314" i="68"/>
  <c r="AA313" i="68"/>
  <c r="Y313" i="68"/>
  <c r="Y312" i="68"/>
  <c r="AA312" i="68"/>
  <c r="Z311" i="68"/>
  <c r="AA357" i="68" l="1"/>
  <c r="Z358" i="68" l="1"/>
  <c r="D320" i="41" l="1"/>
  <c r="C320" i="41"/>
  <c r="B320" i="41"/>
  <c r="I152" i="121" l="1"/>
  <c r="I153" i="121"/>
  <c r="L273" i="14" l="1"/>
  <c r="H273" i="14"/>
  <c r="E344" i="100" l="1"/>
  <c r="K334" i="100" l="1"/>
  <c r="AA356" i="68" l="1"/>
  <c r="I355" i="38" l="1"/>
  <c r="AG355" i="68" l="1"/>
  <c r="AA355" i="68"/>
  <c r="Y355" i="68"/>
  <c r="B365" i="89" l="1"/>
  <c r="I354" i="38" l="1"/>
  <c r="AA354" i="68" l="1"/>
  <c r="Y354" i="68"/>
  <c r="J215" i="106" l="1"/>
  <c r="AA353" i="68" l="1"/>
  <c r="Y353" i="68"/>
  <c r="I149" i="121" l="1"/>
  <c r="I150" i="121"/>
  <c r="I151" i="121"/>
  <c r="AA352" i="68" l="1"/>
  <c r="Y352" i="68"/>
  <c r="I351" i="38" l="1"/>
  <c r="AA351" i="68" l="1"/>
  <c r="Y351" i="68"/>
  <c r="H9" i="64" l="1"/>
  <c r="H368" i="64" l="1"/>
  <c r="H464" i="64"/>
  <c r="H449" i="64"/>
  <c r="H433" i="64"/>
  <c r="H441" i="64"/>
  <c r="H412" i="64"/>
  <c r="H430" i="64"/>
  <c r="H447" i="64"/>
  <c r="H455" i="64"/>
  <c r="H459" i="64"/>
  <c r="H444" i="64"/>
  <c r="H452" i="64"/>
  <c r="H436" i="64"/>
  <c r="H407" i="64"/>
  <c r="H415" i="64"/>
  <c r="H418" i="64"/>
  <c r="H421" i="64"/>
  <c r="H424" i="64"/>
  <c r="H427" i="64"/>
  <c r="H462" i="64"/>
  <c r="H439" i="64"/>
  <c r="H410" i="64"/>
  <c r="H460" i="64"/>
  <c r="H445" i="64"/>
  <c r="H453" i="64"/>
  <c r="H437" i="64"/>
  <c r="H408" i="64"/>
  <c r="H416" i="64"/>
  <c r="H419" i="64"/>
  <c r="H422" i="64"/>
  <c r="H425" i="64"/>
  <c r="H428" i="64"/>
  <c r="H443" i="64"/>
  <c r="H435" i="64"/>
  <c r="H406" i="64"/>
  <c r="H463" i="64"/>
  <c r="H448" i="64"/>
  <c r="H456" i="64"/>
  <c r="H440" i="64"/>
  <c r="H411" i="64"/>
  <c r="H432" i="64"/>
  <c r="H458" i="64"/>
  <c r="H451" i="64"/>
  <c r="H414" i="64"/>
  <c r="H457" i="64"/>
  <c r="H446" i="64"/>
  <c r="H417" i="64"/>
  <c r="H434" i="64"/>
  <c r="H426" i="64"/>
  <c r="H420" i="64"/>
  <c r="H450" i="64"/>
  <c r="H461" i="64"/>
  <c r="H409" i="64"/>
  <c r="H438" i="64"/>
  <c r="H431" i="64"/>
  <c r="H465" i="64"/>
  <c r="H413" i="64"/>
  <c r="H423" i="64"/>
  <c r="H429" i="64"/>
  <c r="H442" i="64"/>
  <c r="H454" i="64"/>
  <c r="H334" i="64"/>
  <c r="H367" i="64"/>
  <c r="H400" i="64"/>
  <c r="H396" i="64"/>
  <c r="H384" i="64"/>
  <c r="H380" i="64"/>
  <c r="H392" i="64"/>
  <c r="H376" i="64"/>
  <c r="H404" i="64"/>
  <c r="H388" i="64"/>
  <c r="H372" i="64"/>
  <c r="H403" i="64"/>
  <c r="H399" i="64"/>
  <c r="H395" i="64"/>
  <c r="H391" i="64"/>
  <c r="H387" i="64"/>
  <c r="H383" i="64"/>
  <c r="H379" i="64"/>
  <c r="H375" i="64"/>
  <c r="H371" i="64"/>
  <c r="H363" i="64"/>
  <c r="H359" i="64"/>
  <c r="H355" i="64"/>
  <c r="H351" i="64"/>
  <c r="H347" i="64"/>
  <c r="H343" i="64"/>
  <c r="H339" i="64"/>
  <c r="H335" i="64"/>
  <c r="H330" i="64"/>
  <c r="H364" i="64"/>
  <c r="H360" i="64"/>
  <c r="H356" i="64"/>
  <c r="H352" i="64"/>
  <c r="H348" i="64"/>
  <c r="H344" i="64"/>
  <c r="H340" i="64"/>
  <c r="H336" i="64"/>
  <c r="H331" i="64"/>
  <c r="H402" i="64"/>
  <c r="H398" i="64"/>
  <c r="H394" i="64"/>
  <c r="H390" i="64"/>
  <c r="H386" i="64"/>
  <c r="H382" i="64"/>
  <c r="H378" i="64"/>
  <c r="H374" i="64"/>
  <c r="H370" i="64"/>
  <c r="H366" i="64"/>
  <c r="H362" i="64"/>
  <c r="H358" i="64"/>
  <c r="H354" i="64"/>
  <c r="H350" i="64"/>
  <c r="H346" i="64"/>
  <c r="H342" i="64"/>
  <c r="H338" i="64"/>
  <c r="H333" i="64"/>
  <c r="H329" i="64"/>
  <c r="H405" i="64"/>
  <c r="H401" i="64"/>
  <c r="H397" i="64"/>
  <c r="H393" i="64"/>
  <c r="H389" i="64"/>
  <c r="H385" i="64"/>
  <c r="H381" i="64"/>
  <c r="H377" i="64"/>
  <c r="H373" i="64"/>
  <c r="H369" i="64"/>
  <c r="H365" i="64"/>
  <c r="H361" i="64"/>
  <c r="H357" i="64"/>
  <c r="H353" i="64"/>
  <c r="H349" i="64"/>
  <c r="H345" i="64"/>
  <c r="H341" i="64"/>
  <c r="H337" i="64"/>
  <c r="H332" i="64"/>
  <c r="AA350" i="68" l="1"/>
  <c r="Y350" i="68"/>
  <c r="I350" i="38" l="1"/>
  <c r="Y349" i="68" l="1"/>
  <c r="Z349" i="68" s="1"/>
  <c r="I349" i="38" l="1"/>
  <c r="D358" i="89" l="1"/>
  <c r="B358" i="89"/>
  <c r="AA348" i="68" l="1"/>
  <c r="AA347" i="68" l="1"/>
  <c r="AG346" i="68" l="1"/>
  <c r="AA346" i="68"/>
  <c r="AA344" i="68" l="1"/>
  <c r="K344" i="38" l="1"/>
  <c r="I344" i="38"/>
  <c r="AA343" i="68" l="1"/>
  <c r="AA342" i="68" l="1"/>
  <c r="I342" i="38" l="1"/>
  <c r="D130" i="116" l="1"/>
  <c r="D131" i="116"/>
  <c r="D132" i="116"/>
  <c r="D133" i="116"/>
  <c r="D134" i="116"/>
  <c r="D135" i="116"/>
  <c r="D136" i="116"/>
  <c r="D137" i="116"/>
  <c r="D138" i="116"/>
  <c r="D139" i="116"/>
  <c r="D140" i="116"/>
  <c r="D141" i="116"/>
  <c r="D142" i="116"/>
  <c r="E143" i="116" s="1"/>
  <c r="D144" i="116"/>
  <c r="E136" i="116" l="1"/>
  <c r="E131" i="116"/>
  <c r="E133" i="116"/>
  <c r="E135" i="116"/>
  <c r="E141" i="116"/>
  <c r="E139" i="116"/>
  <c r="E144" i="116"/>
  <c r="E138" i="116"/>
  <c r="E140" i="116"/>
  <c r="E137" i="116"/>
  <c r="E132" i="116"/>
  <c r="E142" i="116"/>
  <c r="E134" i="116"/>
  <c r="H352" i="11" l="1"/>
  <c r="AA341" i="68" l="1"/>
  <c r="G23" i="53" l="1"/>
  <c r="L256" i="14"/>
  <c r="L257" i="14" l="1"/>
  <c r="L258" i="14"/>
  <c r="L259" i="14"/>
  <c r="L260" i="14"/>
  <c r="L261" i="14"/>
  <c r="L262" i="14"/>
  <c r="L263" i="14"/>
  <c r="L264" i="14"/>
  <c r="L265" i="14"/>
  <c r="L266" i="14"/>
  <c r="L267" i="14"/>
  <c r="L268" i="14"/>
  <c r="L269" i="14"/>
  <c r="L270" i="14"/>
  <c r="L271" i="14"/>
  <c r="L272" i="14"/>
  <c r="L274" i="14"/>
  <c r="L276" i="14"/>
  <c r="L277" i="14"/>
  <c r="L278" i="14"/>
  <c r="L279" i="14"/>
  <c r="L280" i="14"/>
  <c r="L281" i="14"/>
  <c r="L282" i="14"/>
  <c r="L283" i="14"/>
  <c r="L284" i="14"/>
  <c r="L285"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64"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E327" i="41" l="1"/>
  <c r="AA340" i="68" l="1"/>
  <c r="H350" i="11" l="1"/>
  <c r="AA339" i="68" l="1"/>
  <c r="H326" i="4" l="1"/>
  <c r="E326" i="41" l="1"/>
  <c r="B348" i="89" l="1"/>
  <c r="B349" i="89"/>
  <c r="S198" i="106" l="1"/>
  <c r="S199" i="106"/>
  <c r="S200" i="106"/>
  <c r="S201" i="106"/>
  <c r="AA338" i="68" l="1"/>
  <c r="V6" i="4" l="1"/>
  <c r="I338" i="38" l="1"/>
  <c r="B346" i="89" l="1"/>
  <c r="I337" i="38" l="1"/>
  <c r="AA337" i="68" l="1"/>
  <c r="G21" i="53" l="1"/>
  <c r="AA335" i="68" l="1"/>
  <c r="AA336" i="68"/>
  <c r="M81" i="114" l="1"/>
  <c r="AA333" i="68" l="1"/>
  <c r="AA334" i="68"/>
  <c r="H344" i="11" l="1"/>
  <c r="L346" i="108" l="1"/>
  <c r="AA325" i="68" l="1"/>
  <c r="AA326" i="68"/>
  <c r="AA327" i="68"/>
  <c r="AA328" i="68"/>
  <c r="AA329" i="68"/>
  <c r="AA330" i="68"/>
  <c r="AA331" i="68"/>
  <c r="AA332" i="68"/>
  <c r="Z332" i="68"/>
  <c r="H323" i="17" l="1"/>
  <c r="H322" i="17"/>
  <c r="H332" i="17"/>
  <c r="M80" i="114" l="1"/>
  <c r="S194" i="106" l="1"/>
  <c r="S195" i="106"/>
  <c r="S196" i="106"/>
  <c r="S197" i="106"/>
  <c r="J194" i="106"/>
  <c r="J195" i="106"/>
  <c r="X330" i="68" l="1"/>
  <c r="I329" i="38" l="1"/>
  <c r="A117" i="125" l="1"/>
  <c r="A129" i="125" s="1"/>
  <c r="A141" i="125" s="1"/>
  <c r="A153" i="125" s="1"/>
  <c r="A165" i="125" s="1"/>
  <c r="A177" i="125" s="1"/>
  <c r="A189" i="125" s="1"/>
  <c r="A201" i="125" s="1"/>
  <c r="A213" i="125" s="1"/>
  <c r="A225" i="125" s="1"/>
  <c r="A116" i="125"/>
  <c r="A128" i="125" s="1"/>
  <c r="A140" i="125" s="1"/>
  <c r="A152" i="125" s="1"/>
  <c r="A164" i="125" s="1"/>
  <c r="A176" i="125" s="1"/>
  <c r="A188" i="125" s="1"/>
  <c r="A200" i="125" s="1"/>
  <c r="A212" i="125" s="1"/>
  <c r="A224" i="125" s="1"/>
  <c r="A115" i="125"/>
  <c r="A127" i="125" s="1"/>
  <c r="A139" i="125" s="1"/>
  <c r="A151" i="125" s="1"/>
  <c r="A163" i="125" s="1"/>
  <c r="A175" i="125" s="1"/>
  <c r="A187" i="125" s="1"/>
  <c r="A199" i="125" s="1"/>
  <c r="A211" i="125" s="1"/>
  <c r="A223" i="125" s="1"/>
  <c r="A114" i="125"/>
  <c r="A126" i="125" s="1"/>
  <c r="A138" i="125" s="1"/>
  <c r="A150" i="125" s="1"/>
  <c r="A162" i="125" s="1"/>
  <c r="A174" i="125" s="1"/>
  <c r="A186" i="125" s="1"/>
  <c r="A198" i="125" s="1"/>
  <c r="A210" i="125" s="1"/>
  <c r="A222" i="125" s="1"/>
  <c r="A113" i="125"/>
  <c r="A125" i="125" s="1"/>
  <c r="A137" i="125" s="1"/>
  <c r="A149" i="125" s="1"/>
  <c r="A161" i="125" s="1"/>
  <c r="A173" i="125" s="1"/>
  <c r="A185" i="125" s="1"/>
  <c r="A197" i="125" s="1"/>
  <c r="A209" i="125" s="1"/>
  <c r="A221" i="125" s="1"/>
  <c r="A112" i="125"/>
  <c r="A124" i="125" s="1"/>
  <c r="A136" i="125" s="1"/>
  <c r="A148" i="125" s="1"/>
  <c r="A160" i="125" s="1"/>
  <c r="A172" i="125" s="1"/>
  <c r="A184" i="125" s="1"/>
  <c r="A196" i="125" s="1"/>
  <c r="A208" i="125" s="1"/>
  <c r="A220" i="125" s="1"/>
  <c r="A111" i="125"/>
  <c r="A123" i="125" s="1"/>
  <c r="A135" i="125" s="1"/>
  <c r="A147" i="125" s="1"/>
  <c r="A159" i="125" s="1"/>
  <c r="A171" i="125" s="1"/>
  <c r="A183" i="125" s="1"/>
  <c r="A195" i="125" s="1"/>
  <c r="A207" i="125" s="1"/>
  <c r="A219" i="125" s="1"/>
  <c r="A110" i="125"/>
  <c r="A122" i="125" s="1"/>
  <c r="A134" i="125" s="1"/>
  <c r="A146" i="125" s="1"/>
  <c r="A158" i="125" s="1"/>
  <c r="A170" i="125" s="1"/>
  <c r="A182" i="125" s="1"/>
  <c r="A194" i="125" s="1"/>
  <c r="A206" i="125" s="1"/>
  <c r="A218" i="125" s="1"/>
  <c r="A109" i="125"/>
  <c r="A121" i="125" s="1"/>
  <c r="A133" i="125" s="1"/>
  <c r="A145" i="125" s="1"/>
  <c r="A157" i="125" s="1"/>
  <c r="A169" i="125" s="1"/>
  <c r="A181" i="125" s="1"/>
  <c r="A193" i="125" s="1"/>
  <c r="A205" i="125" s="1"/>
  <c r="A217" i="125" s="1"/>
  <c r="A108" i="125"/>
  <c r="A120" i="125" s="1"/>
  <c r="A132" i="125" s="1"/>
  <c r="A144" i="125" s="1"/>
  <c r="A156" i="125" s="1"/>
  <c r="A168" i="125" s="1"/>
  <c r="A180" i="125" s="1"/>
  <c r="A192" i="125" s="1"/>
  <c r="A204" i="125" s="1"/>
  <c r="A216" i="125" s="1"/>
  <c r="A107" i="125"/>
  <c r="A119" i="125" s="1"/>
  <c r="A131" i="125" s="1"/>
  <c r="A143" i="125" s="1"/>
  <c r="A155" i="125" s="1"/>
  <c r="A167" i="125" s="1"/>
  <c r="A179" i="125" s="1"/>
  <c r="A191" i="125" s="1"/>
  <c r="A203" i="125" s="1"/>
  <c r="A215" i="125" s="1"/>
  <c r="A106" i="125"/>
  <c r="A118" i="125" s="1"/>
  <c r="A130" i="125" s="1"/>
  <c r="A142" i="125" s="1"/>
  <c r="A154" i="125" s="1"/>
  <c r="A166" i="125" s="1"/>
  <c r="A178" i="125" s="1"/>
  <c r="A190" i="125" s="1"/>
  <c r="A202" i="125" s="1"/>
  <c r="A214" i="125" s="1"/>
  <c r="G28" i="53" l="1"/>
  <c r="G27" i="53"/>
  <c r="A129" i="124" l="1"/>
  <c r="A141" i="124" s="1"/>
  <c r="A153" i="124" s="1"/>
  <c r="A165" i="124" s="1"/>
  <c r="A177" i="124" s="1"/>
  <c r="A189" i="124" s="1"/>
  <c r="A201" i="124" s="1"/>
  <c r="A213" i="124" s="1"/>
  <c r="A225" i="124" s="1"/>
  <c r="A237" i="124" s="1"/>
  <c r="A128" i="124"/>
  <c r="A140" i="124" s="1"/>
  <c r="A152" i="124" s="1"/>
  <c r="A164" i="124" s="1"/>
  <c r="A176" i="124" s="1"/>
  <c r="A188" i="124" s="1"/>
  <c r="A200" i="124" s="1"/>
  <c r="A212" i="124" s="1"/>
  <c r="A224" i="124" s="1"/>
  <c r="A236" i="124" s="1"/>
  <c r="A127" i="124"/>
  <c r="A139" i="124" s="1"/>
  <c r="A151" i="124" s="1"/>
  <c r="A163" i="124" s="1"/>
  <c r="A175" i="124" s="1"/>
  <c r="A187" i="124" s="1"/>
  <c r="A199" i="124" s="1"/>
  <c r="A211" i="124" s="1"/>
  <c r="A223" i="124" s="1"/>
  <c r="A235" i="124" s="1"/>
  <c r="A126" i="124"/>
  <c r="A138" i="124" s="1"/>
  <c r="A150" i="124" s="1"/>
  <c r="A162" i="124" s="1"/>
  <c r="A174" i="124" s="1"/>
  <c r="A186" i="124" s="1"/>
  <c r="A198" i="124" s="1"/>
  <c r="A210" i="124" s="1"/>
  <c r="A222" i="124" s="1"/>
  <c r="A234" i="124" s="1"/>
  <c r="A125" i="124"/>
  <c r="A137" i="124" s="1"/>
  <c r="A149" i="124" s="1"/>
  <c r="A161" i="124" s="1"/>
  <c r="A173" i="124" s="1"/>
  <c r="A185" i="124" s="1"/>
  <c r="A197" i="124" s="1"/>
  <c r="A209" i="124" s="1"/>
  <c r="A221" i="124" s="1"/>
  <c r="A233" i="124" s="1"/>
  <c r="A124" i="124"/>
  <c r="A136" i="124" s="1"/>
  <c r="A148" i="124" s="1"/>
  <c r="A160" i="124" s="1"/>
  <c r="A172" i="124" s="1"/>
  <c r="A184" i="124" s="1"/>
  <c r="A196" i="124" s="1"/>
  <c r="A208" i="124" s="1"/>
  <c r="A220" i="124" s="1"/>
  <c r="A232" i="124" s="1"/>
  <c r="A123" i="124"/>
  <c r="A135" i="124" s="1"/>
  <c r="A147" i="124" s="1"/>
  <c r="A159" i="124" s="1"/>
  <c r="A171" i="124" s="1"/>
  <c r="A183" i="124" s="1"/>
  <c r="A195" i="124" s="1"/>
  <c r="A207" i="124" s="1"/>
  <c r="A219" i="124" s="1"/>
  <c r="A231" i="124" s="1"/>
  <c r="A122" i="124"/>
  <c r="A134" i="124" s="1"/>
  <c r="A146" i="124" s="1"/>
  <c r="A158" i="124" s="1"/>
  <c r="A170" i="124" s="1"/>
  <c r="A182" i="124" s="1"/>
  <c r="A194" i="124" s="1"/>
  <c r="A206" i="124" s="1"/>
  <c r="A218" i="124" s="1"/>
  <c r="A230" i="124" s="1"/>
  <c r="A121" i="124"/>
  <c r="A133" i="124" s="1"/>
  <c r="A145" i="124" s="1"/>
  <c r="A157" i="124" s="1"/>
  <c r="A169" i="124" s="1"/>
  <c r="A181" i="124" s="1"/>
  <c r="A193" i="124" s="1"/>
  <c r="A205" i="124" s="1"/>
  <c r="A217" i="124" s="1"/>
  <c r="A229" i="124" s="1"/>
  <c r="A120" i="124"/>
  <c r="A132" i="124" s="1"/>
  <c r="A144" i="124" s="1"/>
  <c r="A156" i="124" s="1"/>
  <c r="A168" i="124" s="1"/>
  <c r="A180" i="124" s="1"/>
  <c r="A192" i="124" s="1"/>
  <c r="A204" i="124" s="1"/>
  <c r="A216" i="124" s="1"/>
  <c r="A228" i="124" s="1"/>
  <c r="A119" i="124"/>
  <c r="A131" i="124" s="1"/>
  <c r="A143" i="124" s="1"/>
  <c r="A155" i="124" s="1"/>
  <c r="A167" i="124" s="1"/>
  <c r="A179" i="124" s="1"/>
  <c r="A191" i="124" s="1"/>
  <c r="A203" i="124" s="1"/>
  <c r="A215" i="124" s="1"/>
  <c r="A227" i="124" s="1"/>
  <c r="A118" i="124"/>
  <c r="A130" i="124" s="1"/>
  <c r="A142" i="124" s="1"/>
  <c r="A154" i="124" s="1"/>
  <c r="A166" i="124" s="1"/>
  <c r="A178" i="124" s="1"/>
  <c r="A190" i="124" s="1"/>
  <c r="A202" i="124" s="1"/>
  <c r="A214" i="124" s="1"/>
  <c r="A226" i="124" s="1"/>
  <c r="A21" i="124"/>
  <c r="A20" i="124"/>
  <c r="A19" i="124"/>
  <c r="A18" i="124"/>
  <c r="A17" i="124"/>
  <c r="A16" i="124"/>
  <c r="A15" i="124"/>
  <c r="A14" i="124"/>
  <c r="A13" i="124"/>
  <c r="A12" i="124"/>
  <c r="A11" i="124"/>
  <c r="A10" i="124"/>
  <c r="A117" i="123"/>
  <c r="A129" i="123" s="1"/>
  <c r="A141" i="123" s="1"/>
  <c r="A153" i="123" s="1"/>
  <c r="A165" i="123" s="1"/>
  <c r="A177" i="123" s="1"/>
  <c r="A189" i="123" s="1"/>
  <c r="A201" i="123" s="1"/>
  <c r="A213" i="123" s="1"/>
  <c r="A225" i="123" s="1"/>
  <c r="A116" i="123"/>
  <c r="A128" i="123" s="1"/>
  <c r="A140" i="123" s="1"/>
  <c r="A152" i="123" s="1"/>
  <c r="A164" i="123" s="1"/>
  <c r="A176" i="123" s="1"/>
  <c r="A188" i="123" s="1"/>
  <c r="A200" i="123" s="1"/>
  <c r="A212" i="123" s="1"/>
  <c r="A224" i="123" s="1"/>
  <c r="A115" i="123"/>
  <c r="A127" i="123" s="1"/>
  <c r="A139" i="123" s="1"/>
  <c r="A151" i="123" s="1"/>
  <c r="A163" i="123" s="1"/>
  <c r="A175" i="123" s="1"/>
  <c r="A187" i="123" s="1"/>
  <c r="A199" i="123" s="1"/>
  <c r="A211" i="123" s="1"/>
  <c r="A223" i="123" s="1"/>
  <c r="A114" i="123"/>
  <c r="A126" i="123" s="1"/>
  <c r="A138" i="123" s="1"/>
  <c r="A150" i="123" s="1"/>
  <c r="A162" i="123" s="1"/>
  <c r="A174" i="123" s="1"/>
  <c r="A186" i="123" s="1"/>
  <c r="A198" i="123" s="1"/>
  <c r="A210" i="123" s="1"/>
  <c r="A222" i="123" s="1"/>
  <c r="A113" i="123"/>
  <c r="A125" i="123" s="1"/>
  <c r="A137" i="123" s="1"/>
  <c r="A149" i="123" s="1"/>
  <c r="A161" i="123" s="1"/>
  <c r="A173" i="123" s="1"/>
  <c r="A185" i="123" s="1"/>
  <c r="A197" i="123" s="1"/>
  <c r="A209" i="123" s="1"/>
  <c r="A221" i="123" s="1"/>
  <c r="A112" i="123"/>
  <c r="A124" i="123" s="1"/>
  <c r="A136" i="123" s="1"/>
  <c r="A148" i="123" s="1"/>
  <c r="A160" i="123" s="1"/>
  <c r="A172" i="123" s="1"/>
  <c r="A184" i="123" s="1"/>
  <c r="A196" i="123" s="1"/>
  <c r="A208" i="123" s="1"/>
  <c r="A220" i="123" s="1"/>
  <c r="A111" i="123"/>
  <c r="A123" i="123" s="1"/>
  <c r="A135" i="123" s="1"/>
  <c r="A147" i="123" s="1"/>
  <c r="A159" i="123" s="1"/>
  <c r="A171" i="123" s="1"/>
  <c r="A183" i="123" s="1"/>
  <c r="A195" i="123" s="1"/>
  <c r="A207" i="123" s="1"/>
  <c r="A219" i="123" s="1"/>
  <c r="A110" i="123"/>
  <c r="A122" i="123" s="1"/>
  <c r="A134" i="123" s="1"/>
  <c r="A146" i="123" s="1"/>
  <c r="A158" i="123" s="1"/>
  <c r="A170" i="123" s="1"/>
  <c r="A182" i="123" s="1"/>
  <c r="A194" i="123" s="1"/>
  <c r="A206" i="123" s="1"/>
  <c r="A218" i="123" s="1"/>
  <c r="A109" i="123"/>
  <c r="A121" i="123" s="1"/>
  <c r="A133" i="123" s="1"/>
  <c r="A145" i="123" s="1"/>
  <c r="A157" i="123" s="1"/>
  <c r="A169" i="123" s="1"/>
  <c r="A181" i="123" s="1"/>
  <c r="A193" i="123" s="1"/>
  <c r="A205" i="123" s="1"/>
  <c r="A217" i="123" s="1"/>
  <c r="A108" i="123"/>
  <c r="A120" i="123" s="1"/>
  <c r="A132" i="123" s="1"/>
  <c r="A144" i="123" s="1"/>
  <c r="A156" i="123" s="1"/>
  <c r="A168" i="123" s="1"/>
  <c r="A180" i="123" s="1"/>
  <c r="A192" i="123" s="1"/>
  <c r="A204" i="123" s="1"/>
  <c r="A216" i="123" s="1"/>
  <c r="A107" i="123"/>
  <c r="A119" i="123" s="1"/>
  <c r="A131" i="123" s="1"/>
  <c r="A143" i="123" s="1"/>
  <c r="A155" i="123" s="1"/>
  <c r="A167" i="123" s="1"/>
  <c r="A179" i="123" s="1"/>
  <c r="A191" i="123" s="1"/>
  <c r="A203" i="123" s="1"/>
  <c r="A215" i="123" s="1"/>
  <c r="A106" i="123"/>
  <c r="A118" i="123" s="1"/>
  <c r="A130" i="123" s="1"/>
  <c r="A142" i="123" s="1"/>
  <c r="A154" i="123" s="1"/>
  <c r="A166" i="123" s="1"/>
  <c r="A178" i="123" s="1"/>
  <c r="A190" i="123" s="1"/>
  <c r="A202" i="123" s="1"/>
  <c r="A214" i="123" s="1"/>
  <c r="K393" i="100" l="1"/>
  <c r="K319" i="100"/>
  <c r="K320" i="100"/>
  <c r="K321" i="100"/>
  <c r="K323" i="100"/>
  <c r="K324" i="100"/>
  <c r="K325" i="100"/>
  <c r="K326" i="100"/>
  <c r="K327" i="100"/>
  <c r="K328" i="100"/>
  <c r="K329" i="100"/>
  <c r="K330" i="100"/>
  <c r="K331" i="100"/>
  <c r="K332" i="100"/>
  <c r="K333" i="100"/>
  <c r="K335" i="100"/>
  <c r="K336" i="100"/>
  <c r="K337" i="100"/>
  <c r="K338" i="100"/>
  <c r="K339" i="100"/>
  <c r="K340" i="100"/>
  <c r="K341" i="100"/>
  <c r="K342" i="100"/>
  <c r="K343" i="100"/>
  <c r="K344" i="100"/>
  <c r="K345" i="100"/>
  <c r="K346" i="100"/>
  <c r="K347" i="100"/>
  <c r="K348" i="100"/>
  <c r="K349" i="100"/>
  <c r="K350" i="100"/>
  <c r="K351" i="100"/>
  <c r="K352" i="100"/>
  <c r="K353" i="100"/>
  <c r="K354" i="100"/>
  <c r="K355" i="100"/>
  <c r="K356" i="100"/>
  <c r="K357" i="100"/>
  <c r="K359" i="100"/>
  <c r="K360" i="100"/>
  <c r="K361" i="100"/>
  <c r="K362" i="100"/>
  <c r="K363" i="100"/>
  <c r="K364" i="100"/>
  <c r="K365" i="100"/>
  <c r="K366" i="100"/>
  <c r="K367" i="100"/>
  <c r="K368" i="100"/>
  <c r="K369" i="100"/>
  <c r="K370" i="100"/>
  <c r="K371" i="100"/>
  <c r="K372" i="100"/>
  <c r="K373" i="100"/>
  <c r="K374" i="100"/>
  <c r="K375" i="100"/>
  <c r="K376" i="100"/>
  <c r="K377" i="100"/>
  <c r="K378" i="100"/>
  <c r="K379" i="100"/>
  <c r="K380" i="100"/>
  <c r="K381" i="100"/>
  <c r="K382" i="100"/>
  <c r="K383" i="100"/>
  <c r="K384" i="100"/>
  <c r="K385" i="100"/>
  <c r="K386" i="100"/>
  <c r="K387" i="100"/>
  <c r="K388" i="100"/>
  <c r="K389" i="100"/>
  <c r="K390" i="100"/>
  <c r="K391" i="100"/>
  <c r="K392" i="100"/>
  <c r="K238" i="100"/>
  <c r="K239" i="100"/>
  <c r="K240" i="100"/>
  <c r="K241" i="100"/>
  <c r="K242" i="100"/>
  <c r="K243" i="100"/>
  <c r="K244" i="100"/>
  <c r="K245" i="100"/>
  <c r="K246" i="100"/>
  <c r="K247" i="100"/>
  <c r="K248" i="100"/>
  <c r="K249" i="100"/>
  <c r="K250" i="100"/>
  <c r="K251" i="100"/>
  <c r="K252" i="100"/>
  <c r="K253" i="100"/>
  <c r="K254" i="100"/>
  <c r="K255" i="100"/>
  <c r="K256" i="100"/>
  <c r="K257" i="100"/>
  <c r="K258" i="100"/>
  <c r="K259" i="100"/>
  <c r="K260" i="100"/>
  <c r="K261" i="100"/>
  <c r="K262" i="100"/>
  <c r="K263" i="100"/>
  <c r="K264" i="100"/>
  <c r="K265" i="100"/>
  <c r="K266" i="100"/>
  <c r="K267" i="100"/>
  <c r="K268" i="100"/>
  <c r="K269" i="100"/>
  <c r="K270" i="100"/>
  <c r="K271" i="100"/>
  <c r="K272" i="100"/>
  <c r="K273" i="100"/>
  <c r="K274" i="100"/>
  <c r="K275" i="100"/>
  <c r="K276" i="100"/>
  <c r="K277" i="100"/>
  <c r="K278" i="100"/>
  <c r="K279" i="100"/>
  <c r="K280" i="100"/>
  <c r="K281" i="100"/>
  <c r="K282" i="100"/>
  <c r="K283" i="100"/>
  <c r="K284" i="100"/>
  <c r="K285" i="100"/>
  <c r="K286" i="100"/>
  <c r="K287" i="100"/>
  <c r="K288" i="100"/>
  <c r="K289" i="100"/>
  <c r="K290" i="100"/>
  <c r="K291" i="100"/>
  <c r="K292" i="100"/>
  <c r="K293" i="100"/>
  <c r="K294" i="100"/>
  <c r="K295" i="100"/>
  <c r="K296" i="100"/>
  <c r="K297" i="100"/>
  <c r="K298" i="100"/>
  <c r="K299" i="100"/>
  <c r="K300" i="100"/>
  <c r="K301" i="100"/>
  <c r="K302" i="100"/>
  <c r="K303" i="100"/>
  <c r="K304" i="100"/>
  <c r="K305" i="100"/>
  <c r="K306" i="100"/>
  <c r="K307" i="100"/>
  <c r="K308" i="100"/>
  <c r="K309" i="100"/>
  <c r="K311" i="100"/>
  <c r="K312" i="100"/>
  <c r="K313" i="100"/>
  <c r="K314" i="100"/>
  <c r="K315" i="100"/>
  <c r="K316" i="100"/>
  <c r="K317" i="100"/>
  <c r="K318" i="100"/>
  <c r="E286" i="100" l="1"/>
  <c r="E287" i="100"/>
  <c r="E288" i="100"/>
  <c r="E289" i="100"/>
  <c r="E290" i="100"/>
  <c r="E291" i="100"/>
  <c r="E292" i="100"/>
  <c r="E293" i="100"/>
  <c r="E294" i="100"/>
  <c r="E295" i="100"/>
  <c r="E296" i="100"/>
  <c r="E297" i="100"/>
  <c r="E298" i="100"/>
  <c r="E299" i="100"/>
  <c r="E300" i="100"/>
  <c r="E301" i="100"/>
  <c r="E302" i="100"/>
  <c r="E303" i="100"/>
  <c r="E304" i="100"/>
  <c r="E305" i="100"/>
  <c r="E306" i="100"/>
  <c r="E307" i="100"/>
  <c r="E308" i="100"/>
  <c r="E309" i="100"/>
  <c r="E311" i="100"/>
  <c r="E312" i="100"/>
  <c r="E313" i="100"/>
  <c r="E314" i="100"/>
  <c r="E315" i="100"/>
  <c r="E316" i="100"/>
  <c r="E317" i="100"/>
  <c r="E319" i="100"/>
  <c r="E320" i="100"/>
  <c r="E321" i="100"/>
  <c r="E323" i="100"/>
  <c r="E324" i="100"/>
  <c r="E325" i="100"/>
  <c r="E326" i="100"/>
  <c r="E327" i="100"/>
  <c r="E328" i="100"/>
  <c r="E329" i="100"/>
  <c r="E330" i="100"/>
  <c r="E331" i="100"/>
  <c r="E332" i="100"/>
  <c r="E333" i="100"/>
  <c r="E334" i="100"/>
  <c r="E335" i="100"/>
  <c r="E336" i="100"/>
  <c r="E337" i="100"/>
  <c r="E338" i="100"/>
  <c r="E339" i="100"/>
  <c r="E340" i="100"/>
  <c r="E341" i="100"/>
  <c r="E342" i="100"/>
  <c r="E343" i="100"/>
  <c r="E345" i="100"/>
  <c r="E353" i="100"/>
  <c r="E354" i="100"/>
  <c r="E355" i="100"/>
  <c r="E356" i="100"/>
  <c r="E357" i="100"/>
  <c r="E359" i="100"/>
  <c r="E360" i="100"/>
  <c r="E361" i="100"/>
  <c r="E362" i="100"/>
  <c r="E363" i="100"/>
  <c r="E364" i="100"/>
  <c r="E365" i="100"/>
  <c r="E366" i="100"/>
  <c r="E367" i="100"/>
  <c r="E368" i="100"/>
  <c r="E370" i="100"/>
  <c r="E371" i="100"/>
  <c r="E372" i="100"/>
  <c r="E373" i="100"/>
  <c r="E374" i="100"/>
  <c r="E375" i="100"/>
  <c r="E376" i="100"/>
  <c r="E377" i="100"/>
  <c r="E378" i="100"/>
  <c r="E379" i="100"/>
  <c r="E380" i="100"/>
  <c r="E381" i="100"/>
  <c r="E382" i="100"/>
  <c r="E383" i="100"/>
  <c r="E384" i="100"/>
  <c r="E385" i="100"/>
  <c r="E386" i="100"/>
  <c r="E387" i="100"/>
  <c r="E388" i="100"/>
  <c r="E389" i="100"/>
  <c r="E390" i="100"/>
  <c r="E391" i="100"/>
  <c r="E392" i="100"/>
  <c r="E393" i="100"/>
  <c r="E318" i="100"/>
  <c r="E285" i="100" l="1"/>
  <c r="E284" i="100"/>
  <c r="E283" i="100"/>
  <c r="E282" i="100"/>
  <c r="E281" i="100"/>
  <c r="E280" i="100"/>
  <c r="E279" i="100"/>
  <c r="E278" i="100"/>
  <c r="E277" i="100"/>
  <c r="E276" i="100"/>
  <c r="E275" i="100"/>
  <c r="E274" i="100"/>
  <c r="E273" i="100"/>
  <c r="E272" i="100"/>
  <c r="E271" i="100"/>
  <c r="E270" i="100"/>
  <c r="E269" i="100"/>
  <c r="E268" i="100"/>
  <c r="E267" i="100"/>
  <c r="E266" i="100"/>
  <c r="E265" i="100"/>
  <c r="E264" i="100"/>
  <c r="E263" i="100"/>
  <c r="E262" i="100"/>
  <c r="E261" i="100"/>
  <c r="E260" i="100"/>
  <c r="E259" i="100"/>
  <c r="E258" i="100"/>
  <c r="E257" i="100"/>
  <c r="E256" i="100"/>
  <c r="E255" i="100"/>
  <c r="E254" i="100"/>
  <c r="E253" i="100"/>
  <c r="E252" i="100"/>
  <c r="E251" i="100"/>
  <c r="E250" i="100"/>
  <c r="E249" i="100"/>
  <c r="E248" i="100"/>
  <c r="E247" i="100"/>
  <c r="E246" i="100"/>
  <c r="E245" i="100"/>
  <c r="E244" i="100"/>
  <c r="E243" i="100"/>
  <c r="E242" i="100"/>
  <c r="E241" i="100"/>
  <c r="E240" i="100"/>
  <c r="E239" i="100"/>
  <c r="E238" i="100"/>
  <c r="E237" i="100"/>
  <c r="E236" i="100"/>
  <c r="K235" i="100"/>
  <c r="E235" i="100"/>
  <c r="K234" i="100"/>
  <c r="E234" i="100"/>
  <c r="K233" i="100"/>
  <c r="E233" i="100"/>
  <c r="K232" i="100"/>
  <c r="E232" i="100"/>
  <c r="K231" i="100"/>
  <c r="E231" i="100"/>
  <c r="K230" i="100"/>
  <c r="E230" i="100"/>
  <c r="K229" i="100"/>
  <c r="E229" i="100"/>
  <c r="K228" i="100"/>
  <c r="E228" i="100"/>
  <c r="K227" i="100"/>
  <c r="E227" i="100"/>
  <c r="K226" i="100"/>
  <c r="E226" i="100"/>
  <c r="K225" i="100"/>
  <c r="H237" i="100" s="1"/>
  <c r="K237" i="100" s="1"/>
  <c r="E225" i="100"/>
  <c r="K224" i="100"/>
  <c r="H236" i="100" s="1"/>
  <c r="K236" i="100" s="1"/>
  <c r="E224" i="100"/>
  <c r="K223" i="100"/>
  <c r="E223" i="100"/>
  <c r="K222" i="100"/>
  <c r="E222" i="100"/>
  <c r="K221" i="100"/>
  <c r="E221" i="100"/>
  <c r="K220" i="100"/>
  <c r="E220" i="100"/>
  <c r="K219" i="100"/>
  <c r="E219" i="100"/>
  <c r="K218" i="100"/>
  <c r="E218" i="100"/>
  <c r="K217" i="100"/>
  <c r="E217" i="100"/>
  <c r="K216" i="100"/>
  <c r="E216" i="100"/>
  <c r="K215" i="100"/>
  <c r="E215" i="100"/>
  <c r="K214" i="100"/>
  <c r="E214" i="100"/>
  <c r="K213" i="100"/>
  <c r="E213" i="100"/>
  <c r="K212" i="100"/>
  <c r="E212" i="100"/>
  <c r="K211" i="100"/>
  <c r="E211" i="100"/>
  <c r="K210" i="100"/>
  <c r="E210" i="100"/>
  <c r="K209" i="100"/>
  <c r="E209" i="100"/>
  <c r="K208" i="100"/>
  <c r="E208" i="100"/>
  <c r="K207" i="100"/>
  <c r="E207" i="100"/>
  <c r="K206" i="100"/>
  <c r="E206" i="100"/>
  <c r="K205" i="100"/>
  <c r="E205" i="100"/>
  <c r="K204" i="100"/>
  <c r="E204" i="100"/>
  <c r="K203" i="100"/>
  <c r="E203" i="100"/>
  <c r="K202" i="100"/>
  <c r="E202" i="100"/>
  <c r="K201" i="100"/>
  <c r="E201" i="100"/>
  <c r="K200" i="100"/>
  <c r="E200" i="100"/>
  <c r="K199" i="100"/>
  <c r="E199" i="100"/>
  <c r="K198" i="100"/>
  <c r="E198" i="100"/>
  <c r="K197" i="100"/>
  <c r="E197" i="100"/>
  <c r="K196" i="100"/>
  <c r="E196" i="100"/>
  <c r="K195" i="100"/>
  <c r="E195" i="100"/>
  <c r="K194" i="100"/>
  <c r="E194" i="100"/>
  <c r="K193" i="100"/>
  <c r="E193" i="100"/>
  <c r="K192" i="100"/>
  <c r="E192" i="100"/>
  <c r="K191" i="100"/>
  <c r="E191" i="100"/>
  <c r="K190" i="100"/>
  <c r="E190" i="100"/>
  <c r="K189" i="100"/>
  <c r="E189" i="100"/>
  <c r="K188" i="100"/>
  <c r="E188" i="100"/>
  <c r="K187" i="100"/>
  <c r="E187" i="100"/>
  <c r="K186" i="100"/>
  <c r="E186" i="100"/>
  <c r="K185" i="100"/>
  <c r="E185" i="100"/>
  <c r="K184" i="100"/>
  <c r="E184" i="100"/>
  <c r="K183" i="100"/>
  <c r="E183" i="100"/>
  <c r="K182" i="100"/>
  <c r="E182" i="100"/>
  <c r="K181" i="100"/>
  <c r="E181" i="100"/>
  <c r="K180" i="100"/>
  <c r="E180" i="100"/>
  <c r="K179" i="100"/>
  <c r="E179" i="100"/>
  <c r="K178" i="100"/>
  <c r="E178" i="100"/>
  <c r="K177" i="100"/>
  <c r="E177" i="100"/>
  <c r="K176" i="100"/>
  <c r="E176" i="100"/>
  <c r="K175" i="100"/>
  <c r="E175" i="100"/>
  <c r="K174" i="100"/>
  <c r="E174" i="100"/>
  <c r="K173" i="100"/>
  <c r="E173" i="100"/>
  <c r="K172" i="100"/>
  <c r="E172" i="100"/>
  <c r="K171" i="100"/>
  <c r="E171" i="100"/>
  <c r="K170" i="100"/>
  <c r="E170" i="100"/>
  <c r="K169" i="100"/>
  <c r="E169" i="100"/>
  <c r="K168" i="100"/>
  <c r="E168" i="100"/>
  <c r="K167" i="100"/>
  <c r="E167" i="100"/>
  <c r="K166" i="100"/>
  <c r="E166" i="100"/>
  <c r="K165" i="100"/>
  <c r="E165" i="100"/>
  <c r="K164" i="100"/>
  <c r="E164" i="100"/>
  <c r="K163" i="100"/>
  <c r="E163" i="100"/>
  <c r="K162" i="100"/>
  <c r="E162" i="100"/>
  <c r="K161" i="100"/>
  <c r="E161" i="100"/>
  <c r="K160" i="100"/>
  <c r="E160" i="100"/>
  <c r="K159" i="100"/>
  <c r="E159" i="100"/>
  <c r="K158" i="100"/>
  <c r="E158" i="100"/>
  <c r="K157" i="100"/>
  <c r="E157" i="100"/>
  <c r="K156" i="100"/>
  <c r="E156" i="100"/>
  <c r="K155" i="100"/>
  <c r="E155" i="100"/>
  <c r="K154" i="100"/>
  <c r="E154" i="100"/>
  <c r="K153" i="100"/>
  <c r="E153" i="100"/>
  <c r="K152" i="100"/>
  <c r="E152" i="100"/>
  <c r="K151" i="100"/>
  <c r="E151" i="100"/>
  <c r="K150" i="100"/>
  <c r="E150" i="100"/>
  <c r="K149" i="100"/>
  <c r="E149" i="100"/>
  <c r="K148" i="100"/>
  <c r="E148" i="100"/>
  <c r="K147" i="100"/>
  <c r="E147" i="100"/>
  <c r="K146" i="100"/>
  <c r="E146" i="100"/>
  <c r="K145" i="100"/>
  <c r="E145" i="100"/>
  <c r="K144" i="100"/>
  <c r="E144" i="100"/>
  <c r="K143" i="100"/>
  <c r="E143" i="100"/>
  <c r="K142" i="100"/>
  <c r="E142" i="100"/>
  <c r="K141" i="100"/>
  <c r="E141" i="100"/>
  <c r="K140" i="100"/>
  <c r="E140" i="100"/>
  <c r="K139" i="100"/>
  <c r="E139" i="100"/>
  <c r="K138" i="100"/>
  <c r="E138" i="100"/>
  <c r="K137" i="100"/>
  <c r="E137" i="100"/>
  <c r="K136" i="100"/>
  <c r="E136" i="100"/>
  <c r="K135" i="100"/>
  <c r="E135" i="100"/>
  <c r="K134" i="100"/>
  <c r="E134" i="100"/>
  <c r="K133" i="100"/>
  <c r="E133" i="100"/>
  <c r="K132" i="100"/>
  <c r="E132" i="100"/>
  <c r="K131" i="100"/>
  <c r="E131" i="100"/>
  <c r="K130" i="100"/>
  <c r="E130" i="100"/>
  <c r="K129" i="100"/>
  <c r="E129" i="100"/>
  <c r="K128" i="100"/>
  <c r="E128" i="100"/>
  <c r="K127" i="100"/>
  <c r="E127" i="100"/>
  <c r="K126" i="100"/>
  <c r="E126" i="100"/>
  <c r="K125" i="100"/>
  <c r="E125" i="100"/>
  <c r="K124" i="100"/>
  <c r="E124" i="100"/>
  <c r="K123" i="100"/>
  <c r="E123" i="100"/>
  <c r="K122" i="100"/>
  <c r="E122" i="100"/>
  <c r="K121" i="100"/>
  <c r="E121" i="100"/>
  <c r="K120" i="100"/>
  <c r="E120" i="100"/>
  <c r="K119" i="100"/>
  <c r="E119" i="100"/>
  <c r="K118" i="100"/>
  <c r="E118" i="100"/>
  <c r="K117" i="100"/>
  <c r="E117" i="100"/>
  <c r="K116" i="100"/>
  <c r="E116" i="100"/>
  <c r="K115" i="100"/>
  <c r="E115" i="100"/>
  <c r="K114" i="100"/>
  <c r="E114" i="100"/>
  <c r="K113" i="100"/>
  <c r="E113" i="100"/>
  <c r="K112" i="100"/>
  <c r="E112" i="100"/>
  <c r="K111" i="100"/>
  <c r="E111" i="100"/>
  <c r="K110" i="100"/>
  <c r="E110" i="100"/>
  <c r="K109" i="100"/>
  <c r="E109" i="100"/>
  <c r="K108" i="100"/>
  <c r="E108" i="100"/>
  <c r="K107" i="100"/>
  <c r="E107" i="100"/>
  <c r="K106" i="100"/>
  <c r="E106" i="100"/>
  <c r="K105" i="100"/>
  <c r="E105" i="100"/>
  <c r="K104" i="100"/>
  <c r="E104" i="100"/>
  <c r="K103" i="100"/>
  <c r="E103" i="100"/>
  <c r="K102" i="100"/>
  <c r="E102" i="100"/>
  <c r="K101" i="100"/>
  <c r="E101" i="100"/>
  <c r="K100" i="100"/>
  <c r="E100" i="100"/>
  <c r="K99" i="100"/>
  <c r="E99" i="100"/>
  <c r="K98" i="100"/>
  <c r="E98" i="100"/>
  <c r="K97" i="100"/>
  <c r="E97" i="100"/>
  <c r="K96" i="100"/>
  <c r="E96" i="100"/>
  <c r="K95" i="100"/>
  <c r="E95" i="100"/>
  <c r="K94" i="100"/>
  <c r="E94" i="100"/>
  <c r="K93" i="100"/>
  <c r="E93" i="100"/>
  <c r="K92" i="100"/>
  <c r="E92" i="100"/>
  <c r="K91" i="100"/>
  <c r="E91" i="100"/>
  <c r="K90" i="100"/>
  <c r="E90" i="100"/>
  <c r="K89" i="100"/>
  <c r="E89" i="100"/>
  <c r="K88" i="100"/>
  <c r="E88" i="100"/>
  <c r="K87" i="100"/>
  <c r="E87" i="100"/>
  <c r="K86" i="100"/>
  <c r="E86" i="100"/>
  <c r="K85" i="100"/>
  <c r="E85" i="100"/>
  <c r="K84" i="100"/>
  <c r="E84" i="100"/>
  <c r="K83" i="100"/>
  <c r="E83" i="100"/>
  <c r="K82" i="100"/>
  <c r="E82" i="100"/>
  <c r="K81" i="100"/>
  <c r="E81" i="100"/>
  <c r="K80" i="100"/>
  <c r="E80" i="100"/>
  <c r="K79" i="100"/>
  <c r="E79" i="100"/>
  <c r="K78" i="100"/>
  <c r="E78" i="100"/>
  <c r="K77" i="100"/>
  <c r="E77" i="100"/>
  <c r="K76" i="100"/>
  <c r="E76" i="100"/>
  <c r="K75" i="100"/>
  <c r="E75" i="100"/>
  <c r="K74" i="100"/>
  <c r="E74" i="100"/>
  <c r="K73" i="100"/>
  <c r="E73" i="100"/>
  <c r="K72" i="100"/>
  <c r="E72" i="100"/>
  <c r="K71" i="100"/>
  <c r="E71" i="100"/>
  <c r="K70" i="100"/>
  <c r="E70" i="100"/>
  <c r="E69" i="100"/>
  <c r="E68" i="100"/>
  <c r="E67" i="100"/>
  <c r="E66" i="100"/>
  <c r="E65" i="100"/>
  <c r="E64" i="100"/>
  <c r="E63" i="100"/>
  <c r="E62" i="100"/>
  <c r="E61" i="100"/>
  <c r="E60" i="100"/>
  <c r="E59" i="100"/>
  <c r="E58" i="100"/>
  <c r="E57" i="100"/>
  <c r="E56" i="100"/>
  <c r="E55" i="100"/>
  <c r="E54" i="100"/>
  <c r="E53" i="100"/>
  <c r="E52" i="100"/>
  <c r="E51" i="100"/>
  <c r="E50" i="100"/>
  <c r="E49" i="100"/>
  <c r="E48" i="100"/>
  <c r="E47" i="100"/>
  <c r="E46" i="100"/>
  <c r="E45" i="100"/>
  <c r="E44" i="100"/>
  <c r="E43" i="100"/>
  <c r="E42" i="100"/>
  <c r="E41" i="100"/>
  <c r="E40" i="100"/>
  <c r="E39" i="100"/>
  <c r="E38" i="100"/>
  <c r="E37" i="100"/>
  <c r="E36" i="100"/>
  <c r="E35" i="100"/>
  <c r="E34" i="100"/>
  <c r="E33" i="100"/>
  <c r="E32" i="100"/>
  <c r="E31" i="100"/>
  <c r="E30" i="100"/>
  <c r="E29" i="100"/>
  <c r="E28" i="100"/>
  <c r="E27" i="100"/>
  <c r="E26" i="100"/>
  <c r="E25" i="100"/>
  <c r="E24" i="100"/>
  <c r="E23" i="100"/>
  <c r="E22" i="100"/>
  <c r="E21" i="100"/>
  <c r="E20" i="100"/>
  <c r="E19" i="100"/>
  <c r="E18" i="100"/>
  <c r="E17" i="100"/>
  <c r="E16" i="100"/>
  <c r="E15" i="100"/>
  <c r="E14" i="100"/>
  <c r="E13" i="100"/>
  <c r="E12" i="100"/>
  <c r="E11" i="100"/>
  <c r="E10" i="100"/>
  <c r="M79" i="114" l="1"/>
  <c r="M78" i="114"/>
  <c r="M77" i="114"/>
  <c r="N326" i="38" l="1"/>
  <c r="G74" i="53" l="1"/>
  <c r="G43" i="53" l="1"/>
  <c r="U7" i="3" l="1"/>
  <c r="T7" i="3"/>
  <c r="G25" i="53" l="1"/>
  <c r="G78" i="53" l="1"/>
  <c r="G41" i="53" l="1"/>
  <c r="I325" i="38" l="1"/>
  <c r="G26" i="53" l="1"/>
  <c r="A45" i="122" l="1"/>
  <c r="A57" i="122" s="1"/>
  <c r="A69" i="122" s="1"/>
  <c r="A81" i="122" s="1"/>
  <c r="A93" i="122" s="1"/>
  <c r="A105" i="122" s="1"/>
  <c r="A117" i="122" s="1"/>
  <c r="A129" i="122" s="1"/>
  <c r="A141" i="122" s="1"/>
  <c r="A153" i="122" s="1"/>
  <c r="A165" i="122" s="1"/>
  <c r="A177" i="122" s="1"/>
  <c r="A189" i="122" s="1"/>
  <c r="A201" i="122" s="1"/>
  <c r="A213" i="122" s="1"/>
  <c r="A225" i="122" s="1"/>
  <c r="A237" i="122" s="1"/>
  <c r="A249" i="122" s="1"/>
  <c r="A261" i="122" s="1"/>
  <c r="A273" i="122" s="1"/>
  <c r="A285" i="122" s="1"/>
  <c r="A297" i="122" s="1"/>
  <c r="A309" i="122" s="1"/>
  <c r="A321" i="122" s="1"/>
  <c r="A333" i="122" s="1"/>
  <c r="A345" i="122" s="1"/>
  <c r="A357" i="122" s="1"/>
  <c r="A369" i="122" s="1"/>
  <c r="A44" i="122"/>
  <c r="A56" i="122" s="1"/>
  <c r="A68" i="122" s="1"/>
  <c r="A80" i="122" s="1"/>
  <c r="A92" i="122" s="1"/>
  <c r="A104" i="122" s="1"/>
  <c r="A116" i="122" s="1"/>
  <c r="A128" i="122" s="1"/>
  <c r="A140" i="122" s="1"/>
  <c r="A152" i="122" s="1"/>
  <c r="A164" i="122" s="1"/>
  <c r="A176" i="122" s="1"/>
  <c r="A188" i="122" s="1"/>
  <c r="A200" i="122" s="1"/>
  <c r="A212" i="122" s="1"/>
  <c r="A224" i="122" s="1"/>
  <c r="A236" i="122" s="1"/>
  <c r="A248" i="122" s="1"/>
  <c r="A260" i="122" s="1"/>
  <c r="A272" i="122" s="1"/>
  <c r="A284" i="122" s="1"/>
  <c r="A296" i="122" s="1"/>
  <c r="A308" i="122" s="1"/>
  <c r="A320" i="122" s="1"/>
  <c r="A332" i="122" s="1"/>
  <c r="A344" i="122" s="1"/>
  <c r="A356" i="122" s="1"/>
  <c r="A368" i="122" s="1"/>
  <c r="A43" i="122"/>
  <c r="A55" i="122" s="1"/>
  <c r="A67" i="122" s="1"/>
  <c r="A79" i="122" s="1"/>
  <c r="A91" i="122" s="1"/>
  <c r="A103" i="122" s="1"/>
  <c r="A115" i="122" s="1"/>
  <c r="A127" i="122" s="1"/>
  <c r="A139" i="122" s="1"/>
  <c r="A151" i="122" s="1"/>
  <c r="A163" i="122" s="1"/>
  <c r="A175" i="122" s="1"/>
  <c r="A187" i="122" s="1"/>
  <c r="A199" i="122" s="1"/>
  <c r="A211" i="122" s="1"/>
  <c r="A223" i="122" s="1"/>
  <c r="A235" i="122" s="1"/>
  <c r="A247" i="122" s="1"/>
  <c r="A259" i="122" s="1"/>
  <c r="A271" i="122" s="1"/>
  <c r="A283" i="122" s="1"/>
  <c r="A295" i="122" s="1"/>
  <c r="A307" i="122" s="1"/>
  <c r="A319" i="122" s="1"/>
  <c r="A331" i="122" s="1"/>
  <c r="A343" i="122" s="1"/>
  <c r="A355" i="122" s="1"/>
  <c r="A367" i="122" s="1"/>
  <c r="A42" i="122"/>
  <c r="A54" i="122" s="1"/>
  <c r="A66" i="122" s="1"/>
  <c r="A78" i="122" s="1"/>
  <c r="A90" i="122" s="1"/>
  <c r="A102" i="122" s="1"/>
  <c r="A114" i="122" s="1"/>
  <c r="A126" i="122" s="1"/>
  <c r="A138" i="122" s="1"/>
  <c r="A150" i="122" s="1"/>
  <c r="A162" i="122" s="1"/>
  <c r="A174" i="122" s="1"/>
  <c r="A186" i="122" s="1"/>
  <c r="A198" i="122" s="1"/>
  <c r="A210" i="122" s="1"/>
  <c r="A222" i="122" s="1"/>
  <c r="A234" i="122" s="1"/>
  <c r="A246" i="122" s="1"/>
  <c r="A258" i="122" s="1"/>
  <c r="A270" i="122" s="1"/>
  <c r="A282" i="122" s="1"/>
  <c r="A294" i="122" s="1"/>
  <c r="A306" i="122" s="1"/>
  <c r="A318" i="122" s="1"/>
  <c r="A330" i="122" s="1"/>
  <c r="A342" i="122" s="1"/>
  <c r="A354" i="122" s="1"/>
  <c r="A366" i="122" s="1"/>
  <c r="A41" i="122"/>
  <c r="A53" i="122" s="1"/>
  <c r="A65" i="122" s="1"/>
  <c r="A77" i="122" s="1"/>
  <c r="A89" i="122" s="1"/>
  <c r="A101" i="122" s="1"/>
  <c r="A113" i="122" s="1"/>
  <c r="A125" i="122" s="1"/>
  <c r="A137" i="122" s="1"/>
  <c r="A149" i="122" s="1"/>
  <c r="A161" i="122" s="1"/>
  <c r="A173" i="122" s="1"/>
  <c r="A185" i="122" s="1"/>
  <c r="A197" i="122" s="1"/>
  <c r="A209" i="122" s="1"/>
  <c r="A221" i="122" s="1"/>
  <c r="A233" i="122" s="1"/>
  <c r="A245" i="122" s="1"/>
  <c r="A257" i="122" s="1"/>
  <c r="A269" i="122" s="1"/>
  <c r="A281" i="122" s="1"/>
  <c r="A293" i="122" s="1"/>
  <c r="A305" i="122" s="1"/>
  <c r="A317" i="122" s="1"/>
  <c r="A329" i="122" s="1"/>
  <c r="A341" i="122" s="1"/>
  <c r="A353" i="122" s="1"/>
  <c r="A365" i="122" s="1"/>
  <c r="A40" i="122"/>
  <c r="A52" i="122" s="1"/>
  <c r="A64" i="122" s="1"/>
  <c r="A76" i="122" s="1"/>
  <c r="A88" i="122" s="1"/>
  <c r="A100" i="122" s="1"/>
  <c r="A112" i="122" s="1"/>
  <c r="A124" i="122" s="1"/>
  <c r="A136" i="122" s="1"/>
  <c r="A148" i="122" s="1"/>
  <c r="A160" i="122" s="1"/>
  <c r="A172" i="122" s="1"/>
  <c r="A184" i="122" s="1"/>
  <c r="A196" i="122" s="1"/>
  <c r="A208" i="122" s="1"/>
  <c r="A220" i="122" s="1"/>
  <c r="A232" i="122" s="1"/>
  <c r="A244" i="122" s="1"/>
  <c r="A256" i="122" s="1"/>
  <c r="A268" i="122" s="1"/>
  <c r="A280" i="122" s="1"/>
  <c r="A292" i="122" s="1"/>
  <c r="A304" i="122" s="1"/>
  <c r="A316" i="122" s="1"/>
  <c r="A328" i="122" s="1"/>
  <c r="A340" i="122" s="1"/>
  <c r="A352" i="122" s="1"/>
  <c r="A364" i="122" s="1"/>
  <c r="A39" i="122"/>
  <c r="A51" i="122" s="1"/>
  <c r="A63" i="122" s="1"/>
  <c r="A75" i="122" s="1"/>
  <c r="A87" i="122" s="1"/>
  <c r="A99" i="122" s="1"/>
  <c r="A111" i="122" s="1"/>
  <c r="A123" i="122" s="1"/>
  <c r="A135" i="122" s="1"/>
  <c r="A147" i="122" s="1"/>
  <c r="A159" i="122" s="1"/>
  <c r="A171" i="122" s="1"/>
  <c r="A183" i="122" s="1"/>
  <c r="A195" i="122" s="1"/>
  <c r="A207" i="122" s="1"/>
  <c r="A219" i="122" s="1"/>
  <c r="A231" i="122" s="1"/>
  <c r="A243" i="122" s="1"/>
  <c r="A255" i="122" s="1"/>
  <c r="A267" i="122" s="1"/>
  <c r="A279" i="122" s="1"/>
  <c r="A291" i="122" s="1"/>
  <c r="A303" i="122" s="1"/>
  <c r="A315" i="122" s="1"/>
  <c r="A327" i="122" s="1"/>
  <c r="A339" i="122" s="1"/>
  <c r="A351" i="122" s="1"/>
  <c r="A363" i="122" s="1"/>
  <c r="A38" i="122"/>
  <c r="A50" i="122" s="1"/>
  <c r="A62" i="122" s="1"/>
  <c r="A74" i="122" s="1"/>
  <c r="A86" i="122" s="1"/>
  <c r="A98" i="122" s="1"/>
  <c r="A110" i="122" s="1"/>
  <c r="A122" i="122" s="1"/>
  <c r="A134" i="122" s="1"/>
  <c r="A146" i="122" s="1"/>
  <c r="A158" i="122" s="1"/>
  <c r="A170" i="122" s="1"/>
  <c r="A182" i="122" s="1"/>
  <c r="A194" i="122" s="1"/>
  <c r="A206" i="122" s="1"/>
  <c r="A218" i="122" s="1"/>
  <c r="A230" i="122" s="1"/>
  <c r="A242" i="122" s="1"/>
  <c r="A254" i="122" s="1"/>
  <c r="A266" i="122" s="1"/>
  <c r="A278" i="122" s="1"/>
  <c r="A290" i="122" s="1"/>
  <c r="A302" i="122" s="1"/>
  <c r="A314" i="122" s="1"/>
  <c r="A326" i="122" s="1"/>
  <c r="A338" i="122" s="1"/>
  <c r="A350" i="122" s="1"/>
  <c r="A362" i="122" s="1"/>
  <c r="A37" i="122"/>
  <c r="A49" i="122" s="1"/>
  <c r="A61" i="122" s="1"/>
  <c r="A73" i="122" s="1"/>
  <c r="A85" i="122" s="1"/>
  <c r="A97" i="122" s="1"/>
  <c r="A109" i="122" s="1"/>
  <c r="A121" i="122" s="1"/>
  <c r="A133" i="122" s="1"/>
  <c r="A145" i="122" s="1"/>
  <c r="A157" i="122" s="1"/>
  <c r="A169" i="122" s="1"/>
  <c r="A181" i="122" s="1"/>
  <c r="A193" i="122" s="1"/>
  <c r="A205" i="122" s="1"/>
  <c r="A217" i="122" s="1"/>
  <c r="A229" i="122" s="1"/>
  <c r="A241" i="122" s="1"/>
  <c r="A253" i="122" s="1"/>
  <c r="A265" i="122" s="1"/>
  <c r="A277" i="122" s="1"/>
  <c r="A289" i="122" s="1"/>
  <c r="A301" i="122" s="1"/>
  <c r="A313" i="122" s="1"/>
  <c r="A325" i="122" s="1"/>
  <c r="A337" i="122" s="1"/>
  <c r="A349" i="122" s="1"/>
  <c r="A361" i="122" s="1"/>
  <c r="A36" i="122"/>
  <c r="A48" i="122" s="1"/>
  <c r="A60" i="122" s="1"/>
  <c r="A72" i="122" s="1"/>
  <c r="A84" i="122" s="1"/>
  <c r="A96" i="122" s="1"/>
  <c r="A108" i="122" s="1"/>
  <c r="A120" i="122" s="1"/>
  <c r="A132" i="122" s="1"/>
  <c r="A144" i="122" s="1"/>
  <c r="A156" i="122" s="1"/>
  <c r="A168" i="122" s="1"/>
  <c r="A180" i="122" s="1"/>
  <c r="A192" i="122" s="1"/>
  <c r="A204" i="122" s="1"/>
  <c r="A216" i="122" s="1"/>
  <c r="A228" i="122" s="1"/>
  <c r="A240" i="122" s="1"/>
  <c r="A252" i="122" s="1"/>
  <c r="A264" i="122" s="1"/>
  <c r="A276" i="122" s="1"/>
  <c r="A288" i="122" s="1"/>
  <c r="A300" i="122" s="1"/>
  <c r="A312" i="122" s="1"/>
  <c r="A324" i="122" s="1"/>
  <c r="A336" i="122" s="1"/>
  <c r="A348" i="122" s="1"/>
  <c r="A360" i="122" s="1"/>
  <c r="A35" i="122"/>
  <c r="A47" i="122" s="1"/>
  <c r="A59" i="122" s="1"/>
  <c r="A71" i="122" s="1"/>
  <c r="A83" i="122" s="1"/>
  <c r="A95" i="122" s="1"/>
  <c r="A107" i="122" s="1"/>
  <c r="A119" i="122" s="1"/>
  <c r="A131" i="122" s="1"/>
  <c r="A143" i="122" s="1"/>
  <c r="A155" i="122" s="1"/>
  <c r="A167" i="122" s="1"/>
  <c r="A179" i="122" s="1"/>
  <c r="A191" i="122" s="1"/>
  <c r="A203" i="122" s="1"/>
  <c r="A215" i="122" s="1"/>
  <c r="A227" i="122" s="1"/>
  <c r="A239" i="122" s="1"/>
  <c r="A251" i="122" s="1"/>
  <c r="A263" i="122" s="1"/>
  <c r="A275" i="122" s="1"/>
  <c r="A287" i="122" s="1"/>
  <c r="A299" i="122" s="1"/>
  <c r="A311" i="122" s="1"/>
  <c r="A323" i="122" s="1"/>
  <c r="A335" i="122" s="1"/>
  <c r="A347" i="122" s="1"/>
  <c r="A359" i="122" s="1"/>
  <c r="A34" i="122"/>
  <c r="A46" i="122" s="1"/>
  <c r="A58" i="122" s="1"/>
  <c r="A70" i="122" s="1"/>
  <c r="A82" i="122" s="1"/>
  <c r="A94" i="122" s="1"/>
  <c r="A106" i="122" s="1"/>
  <c r="A118" i="122" s="1"/>
  <c r="A130" i="122" s="1"/>
  <c r="A142" i="122" s="1"/>
  <c r="A154" i="122" s="1"/>
  <c r="A166" i="122" s="1"/>
  <c r="A178" i="122" s="1"/>
  <c r="A190" i="122" s="1"/>
  <c r="A202" i="122" s="1"/>
  <c r="A214" i="122" s="1"/>
  <c r="A226" i="122" s="1"/>
  <c r="A238" i="122" s="1"/>
  <c r="A250" i="122" s="1"/>
  <c r="A262" i="122" s="1"/>
  <c r="A274" i="122" s="1"/>
  <c r="A286" i="122" s="1"/>
  <c r="A298" i="122" s="1"/>
  <c r="A310" i="122" s="1"/>
  <c r="A322" i="122" s="1"/>
  <c r="A334" i="122" s="1"/>
  <c r="A346" i="122" s="1"/>
  <c r="A358" i="122" s="1"/>
  <c r="G48" i="53" l="1"/>
  <c r="H336" i="11" l="1"/>
  <c r="D337" i="89"/>
  <c r="G61" i="53" l="1"/>
  <c r="I169" i="121"/>
  <c r="I168" i="121"/>
  <c r="I167" i="121"/>
  <c r="I166" i="121"/>
  <c r="I165" i="121"/>
  <c r="I164" i="121"/>
  <c r="I163" i="121"/>
  <c r="I162" i="121"/>
  <c r="I161" i="121"/>
  <c r="I160" i="121"/>
  <c r="I159" i="121"/>
  <c r="I157" i="121"/>
  <c r="I156" i="121"/>
  <c r="I155" i="121"/>
  <c r="I154" i="121"/>
  <c r="I148" i="121"/>
  <c r="I147" i="121"/>
  <c r="I146" i="121"/>
  <c r="I145" i="121"/>
  <c r="I144" i="121"/>
  <c r="I143" i="121"/>
  <c r="I142" i="121"/>
  <c r="I141" i="121"/>
  <c r="I140" i="121"/>
  <c r="I139" i="121"/>
  <c r="I138" i="121"/>
  <c r="I137" i="121"/>
  <c r="I136" i="121"/>
  <c r="I135" i="121"/>
  <c r="I134" i="121"/>
  <c r="I133" i="121"/>
  <c r="I132" i="121"/>
  <c r="I131" i="121"/>
  <c r="I130" i="121"/>
  <c r="I129" i="121"/>
  <c r="I128" i="121"/>
  <c r="I127" i="121"/>
  <c r="I126" i="121"/>
  <c r="I125" i="121"/>
  <c r="I124" i="121"/>
  <c r="I123" i="121"/>
  <c r="I122" i="121"/>
  <c r="I121" i="121"/>
  <c r="I120" i="121"/>
  <c r="I119" i="121"/>
  <c r="I118" i="121"/>
  <c r="I117" i="121"/>
  <c r="I116" i="121"/>
  <c r="I115" i="121"/>
  <c r="I114" i="121"/>
  <c r="I113" i="121"/>
  <c r="I112" i="121"/>
  <c r="I111" i="121"/>
  <c r="I110" i="121"/>
  <c r="I10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A17" i="121"/>
  <c r="A21" i="121" s="1"/>
  <c r="A25" i="121" s="1"/>
  <c r="A29" i="121" s="1"/>
  <c r="A33" i="121" s="1"/>
  <c r="A37" i="121" s="1"/>
  <c r="A41" i="121" s="1"/>
  <c r="A45" i="121" s="1"/>
  <c r="A49" i="121" s="1"/>
  <c r="A53" i="121" s="1"/>
  <c r="A57" i="121" s="1"/>
  <c r="A61" i="121" s="1"/>
  <c r="A65" i="121" s="1"/>
  <c r="A69" i="121" s="1"/>
  <c r="A73" i="121" s="1"/>
  <c r="A77" i="121" s="1"/>
  <c r="A81" i="121" s="1"/>
  <c r="A85" i="121" s="1"/>
  <c r="A89" i="121" s="1"/>
  <c r="A93" i="121" s="1"/>
  <c r="A97" i="121" s="1"/>
  <c r="A101" i="121" s="1"/>
  <c r="A105" i="121" s="1"/>
  <c r="A109" i="121" s="1"/>
  <c r="A113" i="121" s="1"/>
  <c r="A117" i="121" s="1"/>
  <c r="A121" i="121" s="1"/>
  <c r="A125" i="121" s="1"/>
  <c r="A129" i="121" s="1"/>
  <c r="A133" i="121" s="1"/>
  <c r="A137" i="121" s="1"/>
  <c r="A141" i="121" s="1"/>
  <c r="A145" i="121" s="1"/>
  <c r="A149" i="121" s="1"/>
  <c r="A153" i="121" s="1"/>
  <c r="A157" i="121" s="1"/>
  <c r="A161" i="121" s="1"/>
  <c r="A165" i="121" s="1"/>
  <c r="A169" i="121" s="1"/>
  <c r="A173" i="121" s="1"/>
  <c r="A177" i="121" s="1"/>
  <c r="A181" i="121" s="1"/>
  <c r="A185" i="121" s="1"/>
  <c r="A189" i="121" s="1"/>
  <c r="I16" i="121"/>
  <c r="A16" i="121"/>
  <c r="A20" i="121" s="1"/>
  <c r="A24" i="121" s="1"/>
  <c r="A28" i="121" s="1"/>
  <c r="A32" i="121" s="1"/>
  <c r="A36" i="121" s="1"/>
  <c r="A40" i="121" s="1"/>
  <c r="A44" i="121" s="1"/>
  <c r="A48" i="121" s="1"/>
  <c r="A52" i="121" s="1"/>
  <c r="A56" i="121" s="1"/>
  <c r="A60" i="121" s="1"/>
  <c r="A64" i="121" s="1"/>
  <c r="A68" i="121" s="1"/>
  <c r="A72" i="121" s="1"/>
  <c r="A76" i="121" s="1"/>
  <c r="A80" i="121" s="1"/>
  <c r="A84" i="121" s="1"/>
  <c r="A88" i="121" s="1"/>
  <c r="A92" i="121" s="1"/>
  <c r="A96" i="121" s="1"/>
  <c r="A100" i="121" s="1"/>
  <c r="A104" i="121" s="1"/>
  <c r="A108" i="121" s="1"/>
  <c r="A112" i="121" s="1"/>
  <c r="A116" i="121" s="1"/>
  <c r="A120" i="121" s="1"/>
  <c r="A124" i="121" s="1"/>
  <c r="A128" i="121" s="1"/>
  <c r="A132" i="121" s="1"/>
  <c r="A136" i="121" s="1"/>
  <c r="A140" i="121" s="1"/>
  <c r="A144" i="121" s="1"/>
  <c r="A148" i="121" s="1"/>
  <c r="A152" i="121" s="1"/>
  <c r="A156" i="121" s="1"/>
  <c r="A160" i="121" s="1"/>
  <c r="A164" i="121" s="1"/>
  <c r="A168" i="121" s="1"/>
  <c r="A172" i="121" s="1"/>
  <c r="A176" i="121" s="1"/>
  <c r="A180" i="121" s="1"/>
  <c r="A184" i="121" s="1"/>
  <c r="A188" i="121" s="1"/>
  <c r="I15" i="121"/>
  <c r="A15" i="121"/>
  <c r="A19" i="121" s="1"/>
  <c r="A23" i="121" s="1"/>
  <c r="A27" i="121" s="1"/>
  <c r="A31" i="121" s="1"/>
  <c r="A35" i="121" s="1"/>
  <c r="A39" i="121" s="1"/>
  <c r="A43" i="121" s="1"/>
  <c r="A47" i="121" s="1"/>
  <c r="A51" i="121" s="1"/>
  <c r="A55" i="121" s="1"/>
  <c r="A59" i="121" s="1"/>
  <c r="A63" i="121" s="1"/>
  <c r="A67" i="121" s="1"/>
  <c r="A71" i="121" s="1"/>
  <c r="A75" i="121" s="1"/>
  <c r="A79" i="121" s="1"/>
  <c r="A83" i="121" s="1"/>
  <c r="A87" i="121" s="1"/>
  <c r="A91" i="121" s="1"/>
  <c r="A95" i="121" s="1"/>
  <c r="A99" i="121" s="1"/>
  <c r="A103" i="121" s="1"/>
  <c r="A107" i="121" s="1"/>
  <c r="A111" i="121" s="1"/>
  <c r="A115" i="121" s="1"/>
  <c r="A119" i="121" s="1"/>
  <c r="A123" i="121" s="1"/>
  <c r="A127" i="121" s="1"/>
  <c r="A131" i="121" s="1"/>
  <c r="A135" i="121" s="1"/>
  <c r="A139" i="121" s="1"/>
  <c r="A143" i="121" s="1"/>
  <c r="A147" i="121" s="1"/>
  <c r="A151" i="121" s="1"/>
  <c r="A155" i="121" s="1"/>
  <c r="A159" i="121" s="1"/>
  <c r="A163" i="121" s="1"/>
  <c r="A167" i="121" s="1"/>
  <c r="A171" i="121" s="1"/>
  <c r="A175" i="121" s="1"/>
  <c r="A179" i="121" s="1"/>
  <c r="A183" i="121" s="1"/>
  <c r="A187" i="121" s="1"/>
  <c r="I14" i="121"/>
  <c r="A14" i="121"/>
  <c r="A18" i="121" s="1"/>
  <c r="A22" i="121" s="1"/>
  <c r="A26" i="121" s="1"/>
  <c r="A30" i="121" s="1"/>
  <c r="A34" i="121" s="1"/>
  <c r="A38" i="121" s="1"/>
  <c r="A42" i="121" s="1"/>
  <c r="A46" i="121" s="1"/>
  <c r="A50" i="121" s="1"/>
  <c r="A54" i="121" s="1"/>
  <c r="A58" i="121" s="1"/>
  <c r="A62" i="121" s="1"/>
  <c r="A66" i="121" s="1"/>
  <c r="A70" i="121" s="1"/>
  <c r="A74" i="121" s="1"/>
  <c r="A78" i="121" s="1"/>
  <c r="A82" i="121" s="1"/>
  <c r="A86" i="121" s="1"/>
  <c r="A90" i="121" s="1"/>
  <c r="A94" i="121" s="1"/>
  <c r="A98" i="121" s="1"/>
  <c r="A102" i="121" s="1"/>
  <c r="A106" i="121" s="1"/>
  <c r="A110" i="121" s="1"/>
  <c r="A114" i="121" s="1"/>
  <c r="A118" i="121" s="1"/>
  <c r="A122" i="121" s="1"/>
  <c r="A126" i="121" s="1"/>
  <c r="A130" i="121" s="1"/>
  <c r="A134" i="121" s="1"/>
  <c r="A138" i="121" s="1"/>
  <c r="A142" i="121" s="1"/>
  <c r="A146" i="121" s="1"/>
  <c r="A150" i="121" s="1"/>
  <c r="A154" i="121" s="1"/>
  <c r="A158" i="121" s="1"/>
  <c r="A162" i="121" s="1"/>
  <c r="A166" i="121" s="1"/>
  <c r="A170" i="121" s="1"/>
  <c r="A174" i="121" s="1"/>
  <c r="A178" i="121" s="1"/>
  <c r="A182" i="121" s="1"/>
  <c r="A186" i="121" s="1"/>
  <c r="I13" i="121"/>
  <c r="I12" i="121"/>
  <c r="I11" i="121"/>
  <c r="I10" i="121"/>
  <c r="AA324" i="68" l="1"/>
  <c r="C336" i="3" l="1"/>
  <c r="C337" i="3"/>
  <c r="C338" i="3"/>
  <c r="C339" i="3"/>
  <c r="C340" i="3"/>
  <c r="C341" i="3"/>
  <c r="C342" i="3"/>
  <c r="C343" i="3"/>
  <c r="C344" i="3"/>
  <c r="C345" i="3"/>
  <c r="C346" i="3"/>
  <c r="C347" i="3"/>
  <c r="C348" i="3"/>
  <c r="C349" i="3"/>
  <c r="C350" i="3"/>
  <c r="C351" i="3"/>
  <c r="C352" i="3"/>
  <c r="C353" i="3"/>
  <c r="C354" i="3"/>
  <c r="C355" i="3"/>
  <c r="C356" i="3"/>
  <c r="C357"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R237" i="3"/>
  <c r="R238" i="3"/>
  <c r="R239" i="3"/>
  <c r="R240" i="3"/>
  <c r="R241" i="3"/>
  <c r="R242" i="3"/>
  <c r="R243" i="3"/>
  <c r="R244" i="3"/>
  <c r="R245" i="3"/>
  <c r="R246" i="3"/>
  <c r="R247" i="3"/>
  <c r="R248" i="3"/>
  <c r="R249"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C110" i="49" l="1"/>
  <c r="A201" i="27" l="1"/>
  <c r="A213" i="27" s="1"/>
  <c r="A225" i="27" s="1"/>
  <c r="A237" i="27" s="1"/>
  <c r="A249" i="27" s="1"/>
  <c r="A261" i="27" s="1"/>
  <c r="A273" i="27" s="1"/>
  <c r="A285" i="27" s="1"/>
  <c r="A200" i="27"/>
  <c r="A212" i="27" s="1"/>
  <c r="A224" i="27" s="1"/>
  <c r="A236" i="27" s="1"/>
  <c r="A248" i="27" s="1"/>
  <c r="A260" i="27" s="1"/>
  <c r="A272" i="27" s="1"/>
  <c r="A284" i="27" s="1"/>
  <c r="A199" i="27"/>
  <c r="A211" i="27" s="1"/>
  <c r="A223" i="27" s="1"/>
  <c r="A235" i="27" s="1"/>
  <c r="A247" i="27" s="1"/>
  <c r="A259" i="27" s="1"/>
  <c r="A271" i="27" s="1"/>
  <c r="A283" i="27" s="1"/>
  <c r="A198" i="27"/>
  <c r="A210" i="27" s="1"/>
  <c r="A222" i="27" s="1"/>
  <c r="A234" i="27" s="1"/>
  <c r="A246" i="27" s="1"/>
  <c r="A258" i="27" s="1"/>
  <c r="A270" i="27" s="1"/>
  <c r="A282" i="27" s="1"/>
  <c r="A197" i="27"/>
  <c r="A209" i="27" s="1"/>
  <c r="A221" i="27" s="1"/>
  <c r="A233" i="27" s="1"/>
  <c r="A245" i="27" s="1"/>
  <c r="A257" i="27" s="1"/>
  <c r="A269" i="27" s="1"/>
  <c r="A281" i="27" s="1"/>
  <c r="A196" i="27"/>
  <c r="A208" i="27" s="1"/>
  <c r="A220" i="27" s="1"/>
  <c r="A232" i="27" s="1"/>
  <c r="A244" i="27" s="1"/>
  <c r="A256" i="27" s="1"/>
  <c r="A268" i="27" s="1"/>
  <c r="A280" i="27" s="1"/>
  <c r="A195" i="27"/>
  <c r="A207" i="27" s="1"/>
  <c r="A219" i="27" s="1"/>
  <c r="A231" i="27" s="1"/>
  <c r="A243" i="27" s="1"/>
  <c r="A255" i="27" s="1"/>
  <c r="A267" i="27" s="1"/>
  <c r="A279" i="27" s="1"/>
  <c r="A194" i="27"/>
  <c r="A206" i="27" s="1"/>
  <c r="A218" i="27" s="1"/>
  <c r="A230" i="27" s="1"/>
  <c r="A242" i="27" s="1"/>
  <c r="A254" i="27" s="1"/>
  <c r="A266" i="27" s="1"/>
  <c r="A278" i="27" s="1"/>
  <c r="A193" i="27"/>
  <c r="A205" i="27" s="1"/>
  <c r="A217" i="27" s="1"/>
  <c r="A229" i="27" s="1"/>
  <c r="A241" i="27" s="1"/>
  <c r="A253" i="27" s="1"/>
  <c r="A265" i="27" s="1"/>
  <c r="A277" i="27" s="1"/>
  <c r="A192" i="27"/>
  <c r="A204" i="27" s="1"/>
  <c r="A216" i="27" s="1"/>
  <c r="A228" i="27" s="1"/>
  <c r="A240" i="27" s="1"/>
  <c r="A252" i="27" s="1"/>
  <c r="A264" i="27" s="1"/>
  <c r="A276" i="27" s="1"/>
  <c r="A191" i="27"/>
  <c r="A203" i="27" s="1"/>
  <c r="A215" i="27" s="1"/>
  <c r="A227" i="27" s="1"/>
  <c r="A239" i="27" s="1"/>
  <c r="A251" i="27" s="1"/>
  <c r="A263" i="27" s="1"/>
  <c r="A275" i="27" s="1"/>
  <c r="A190" i="27"/>
  <c r="A202" i="27" s="1"/>
  <c r="A214" i="27" s="1"/>
  <c r="A226" i="27" s="1"/>
  <c r="A238" i="27" s="1"/>
  <c r="A250" i="27" s="1"/>
  <c r="A262" i="27" s="1"/>
  <c r="A274" i="27" s="1"/>
  <c r="AA323" i="68" l="1"/>
  <c r="B334" i="89" l="1"/>
  <c r="Z322" i="68" l="1"/>
  <c r="AA322" i="68"/>
  <c r="G45" i="53" l="1"/>
  <c r="A33" i="119" l="1"/>
  <c r="A45" i="119" s="1"/>
  <c r="A57" i="119" s="1"/>
  <c r="A69" i="119" s="1"/>
  <c r="A81" i="119" s="1"/>
  <c r="A93" i="119" s="1"/>
  <c r="A105" i="119" s="1"/>
  <c r="A117" i="119" s="1"/>
  <c r="A129" i="119" s="1"/>
  <c r="A141" i="119" s="1"/>
  <c r="A153" i="119" s="1"/>
  <c r="A165" i="119" s="1"/>
  <c r="A177" i="119" s="1"/>
  <c r="A189" i="119" s="1"/>
  <c r="A201" i="119" s="1"/>
  <c r="A213" i="119" s="1"/>
  <c r="A225" i="119" s="1"/>
  <c r="A237" i="119" s="1"/>
  <c r="A249" i="119" s="1"/>
  <c r="A261" i="119" s="1"/>
  <c r="A273" i="119" s="1"/>
  <c r="A285" i="119" s="1"/>
  <c r="A297" i="119" s="1"/>
  <c r="A309" i="119" s="1"/>
  <c r="A321" i="119" s="1"/>
  <c r="A333" i="119" s="1"/>
  <c r="A32" i="119"/>
  <c r="A44" i="119" s="1"/>
  <c r="A56" i="119" s="1"/>
  <c r="A68" i="119" s="1"/>
  <c r="A80" i="119" s="1"/>
  <c r="A92" i="119" s="1"/>
  <c r="A104" i="119" s="1"/>
  <c r="A116" i="119" s="1"/>
  <c r="A128" i="119" s="1"/>
  <c r="A140" i="119" s="1"/>
  <c r="A152" i="119" s="1"/>
  <c r="A164" i="119" s="1"/>
  <c r="A176" i="119" s="1"/>
  <c r="A188" i="119" s="1"/>
  <c r="A200" i="119" s="1"/>
  <c r="A212" i="119" s="1"/>
  <c r="A224" i="119" s="1"/>
  <c r="A236" i="119" s="1"/>
  <c r="A248" i="119" s="1"/>
  <c r="A260" i="119" s="1"/>
  <c r="A272" i="119" s="1"/>
  <c r="A284" i="119" s="1"/>
  <c r="A296" i="119" s="1"/>
  <c r="A308" i="119" s="1"/>
  <c r="A320" i="119" s="1"/>
  <c r="A332" i="119" s="1"/>
  <c r="A31" i="119"/>
  <c r="A43" i="119" s="1"/>
  <c r="A55" i="119" s="1"/>
  <c r="A67" i="119" s="1"/>
  <c r="A79" i="119" s="1"/>
  <c r="A91" i="119" s="1"/>
  <c r="A103" i="119" s="1"/>
  <c r="A115" i="119" s="1"/>
  <c r="A127" i="119" s="1"/>
  <c r="A139" i="119" s="1"/>
  <c r="A151" i="119" s="1"/>
  <c r="A163" i="119" s="1"/>
  <c r="A175" i="119" s="1"/>
  <c r="A187" i="119" s="1"/>
  <c r="A199" i="119" s="1"/>
  <c r="A211" i="119" s="1"/>
  <c r="A223" i="119" s="1"/>
  <c r="A235" i="119" s="1"/>
  <c r="A247" i="119" s="1"/>
  <c r="A259" i="119" s="1"/>
  <c r="A271" i="119" s="1"/>
  <c r="A283" i="119" s="1"/>
  <c r="A295" i="119" s="1"/>
  <c r="A307" i="119" s="1"/>
  <c r="A319" i="119" s="1"/>
  <c r="A331" i="119" s="1"/>
  <c r="A30" i="119"/>
  <c r="A42" i="119" s="1"/>
  <c r="A54" i="119" s="1"/>
  <c r="A66" i="119" s="1"/>
  <c r="A78" i="119" s="1"/>
  <c r="A90" i="119" s="1"/>
  <c r="A102" i="119" s="1"/>
  <c r="A114" i="119" s="1"/>
  <c r="A126" i="119" s="1"/>
  <c r="A138" i="119" s="1"/>
  <c r="A150" i="119" s="1"/>
  <c r="A162" i="119" s="1"/>
  <c r="A174" i="119" s="1"/>
  <c r="A186" i="119" s="1"/>
  <c r="A198" i="119" s="1"/>
  <c r="A210" i="119" s="1"/>
  <c r="A222" i="119" s="1"/>
  <c r="A234" i="119" s="1"/>
  <c r="A246" i="119" s="1"/>
  <c r="A258" i="119" s="1"/>
  <c r="A270" i="119" s="1"/>
  <c r="A282" i="119" s="1"/>
  <c r="A294" i="119" s="1"/>
  <c r="A306" i="119" s="1"/>
  <c r="A318" i="119" s="1"/>
  <c r="A330" i="119" s="1"/>
  <c r="A29" i="119"/>
  <c r="A41" i="119" s="1"/>
  <c r="A53" i="119" s="1"/>
  <c r="A65" i="119" s="1"/>
  <c r="A77" i="119" s="1"/>
  <c r="A89" i="119" s="1"/>
  <c r="A101" i="119" s="1"/>
  <c r="A113" i="119" s="1"/>
  <c r="A125" i="119" s="1"/>
  <c r="A137" i="119" s="1"/>
  <c r="A149" i="119" s="1"/>
  <c r="A161" i="119" s="1"/>
  <c r="A173" i="119" s="1"/>
  <c r="A185" i="119" s="1"/>
  <c r="A197" i="119" s="1"/>
  <c r="A209" i="119" s="1"/>
  <c r="A221" i="119" s="1"/>
  <c r="A233" i="119" s="1"/>
  <c r="A245" i="119" s="1"/>
  <c r="A257" i="119" s="1"/>
  <c r="A269" i="119" s="1"/>
  <c r="A281" i="119" s="1"/>
  <c r="A293" i="119" s="1"/>
  <c r="A305" i="119" s="1"/>
  <c r="A317" i="119" s="1"/>
  <c r="A329" i="119" s="1"/>
  <c r="A28" i="119"/>
  <c r="A40" i="119" s="1"/>
  <c r="A52" i="119" s="1"/>
  <c r="A64" i="119" s="1"/>
  <c r="A76" i="119" s="1"/>
  <c r="A88" i="119" s="1"/>
  <c r="A100" i="119" s="1"/>
  <c r="A112" i="119" s="1"/>
  <c r="A124" i="119" s="1"/>
  <c r="A136" i="119" s="1"/>
  <c r="A148" i="119" s="1"/>
  <c r="A160" i="119" s="1"/>
  <c r="A172" i="119" s="1"/>
  <c r="A184" i="119" s="1"/>
  <c r="A196" i="119" s="1"/>
  <c r="A208" i="119" s="1"/>
  <c r="A220" i="119" s="1"/>
  <c r="A232" i="119" s="1"/>
  <c r="A244" i="119" s="1"/>
  <c r="A256" i="119" s="1"/>
  <c r="A268" i="119" s="1"/>
  <c r="A280" i="119" s="1"/>
  <c r="A292" i="119" s="1"/>
  <c r="A304" i="119" s="1"/>
  <c r="A316" i="119" s="1"/>
  <c r="A328" i="119" s="1"/>
  <c r="A27" i="119"/>
  <c r="A39" i="119" s="1"/>
  <c r="A51" i="119" s="1"/>
  <c r="A63" i="119" s="1"/>
  <c r="A75" i="119" s="1"/>
  <c r="A87" i="119" s="1"/>
  <c r="A99" i="119" s="1"/>
  <c r="A111" i="119" s="1"/>
  <c r="A123" i="119" s="1"/>
  <c r="A135" i="119" s="1"/>
  <c r="A147" i="119" s="1"/>
  <c r="A159" i="119" s="1"/>
  <c r="A171" i="119" s="1"/>
  <c r="A183" i="119" s="1"/>
  <c r="A195" i="119" s="1"/>
  <c r="A207" i="119" s="1"/>
  <c r="A219" i="119" s="1"/>
  <c r="A231" i="119" s="1"/>
  <c r="A243" i="119" s="1"/>
  <c r="A255" i="119" s="1"/>
  <c r="A267" i="119" s="1"/>
  <c r="A279" i="119" s="1"/>
  <c r="A291" i="119" s="1"/>
  <c r="A303" i="119" s="1"/>
  <c r="A315" i="119" s="1"/>
  <c r="A327" i="119" s="1"/>
  <c r="A26" i="119"/>
  <c r="A38" i="119" s="1"/>
  <c r="A50" i="119" s="1"/>
  <c r="A62" i="119" s="1"/>
  <c r="A74" i="119" s="1"/>
  <c r="A86" i="119" s="1"/>
  <c r="A98" i="119" s="1"/>
  <c r="A110" i="119" s="1"/>
  <c r="A122" i="119" s="1"/>
  <c r="A134" i="119" s="1"/>
  <c r="A146" i="119" s="1"/>
  <c r="A158" i="119" s="1"/>
  <c r="A170" i="119" s="1"/>
  <c r="A182" i="119" s="1"/>
  <c r="A194" i="119" s="1"/>
  <c r="A206" i="119" s="1"/>
  <c r="A218" i="119" s="1"/>
  <c r="A230" i="119" s="1"/>
  <c r="A242" i="119" s="1"/>
  <c r="A254" i="119" s="1"/>
  <c r="A266" i="119" s="1"/>
  <c r="A278" i="119" s="1"/>
  <c r="A290" i="119" s="1"/>
  <c r="A302" i="119" s="1"/>
  <c r="A314" i="119" s="1"/>
  <c r="A326" i="119" s="1"/>
  <c r="A25" i="119"/>
  <c r="A37" i="119" s="1"/>
  <c r="A49" i="119" s="1"/>
  <c r="A61" i="119" s="1"/>
  <c r="A73" i="119" s="1"/>
  <c r="A85" i="119" s="1"/>
  <c r="A97" i="119" s="1"/>
  <c r="A109" i="119" s="1"/>
  <c r="A121" i="119" s="1"/>
  <c r="A133" i="119" s="1"/>
  <c r="A145" i="119" s="1"/>
  <c r="A157" i="119" s="1"/>
  <c r="A169" i="119" s="1"/>
  <c r="A181" i="119" s="1"/>
  <c r="A193" i="119" s="1"/>
  <c r="A205" i="119" s="1"/>
  <c r="A217" i="119" s="1"/>
  <c r="A229" i="119" s="1"/>
  <c r="A241" i="119" s="1"/>
  <c r="A253" i="119" s="1"/>
  <c r="A265" i="119" s="1"/>
  <c r="A277" i="119" s="1"/>
  <c r="A289" i="119" s="1"/>
  <c r="A301" i="119" s="1"/>
  <c r="A313" i="119" s="1"/>
  <c r="A325" i="119" s="1"/>
  <c r="A24" i="119"/>
  <c r="A36" i="119" s="1"/>
  <c r="A48" i="119" s="1"/>
  <c r="A60" i="119" s="1"/>
  <c r="A72" i="119" s="1"/>
  <c r="A84" i="119" s="1"/>
  <c r="A96" i="119" s="1"/>
  <c r="A108" i="119" s="1"/>
  <c r="A120" i="119" s="1"/>
  <c r="A132" i="119" s="1"/>
  <c r="A144" i="119" s="1"/>
  <c r="A156" i="119" s="1"/>
  <c r="A168" i="119" s="1"/>
  <c r="A180" i="119" s="1"/>
  <c r="A192" i="119" s="1"/>
  <c r="A204" i="119" s="1"/>
  <c r="A216" i="119" s="1"/>
  <c r="A228" i="119" s="1"/>
  <c r="A240" i="119" s="1"/>
  <c r="A252" i="119" s="1"/>
  <c r="A264" i="119" s="1"/>
  <c r="A276" i="119" s="1"/>
  <c r="A288" i="119" s="1"/>
  <c r="A300" i="119" s="1"/>
  <c r="A312" i="119" s="1"/>
  <c r="A324" i="119" s="1"/>
  <c r="A23" i="119"/>
  <c r="A35" i="119" s="1"/>
  <c r="A47" i="119" s="1"/>
  <c r="A59" i="119" s="1"/>
  <c r="A71" i="119" s="1"/>
  <c r="A83" i="119" s="1"/>
  <c r="A95" i="119" s="1"/>
  <c r="A107" i="119" s="1"/>
  <c r="A119" i="119" s="1"/>
  <c r="A131" i="119" s="1"/>
  <c r="A143" i="119" s="1"/>
  <c r="A155" i="119" s="1"/>
  <c r="A167" i="119" s="1"/>
  <c r="A179" i="119" s="1"/>
  <c r="A191" i="119" s="1"/>
  <c r="A203" i="119" s="1"/>
  <c r="A215" i="119" s="1"/>
  <c r="A227" i="119" s="1"/>
  <c r="A239" i="119" s="1"/>
  <c r="A251" i="119" s="1"/>
  <c r="A263" i="119" s="1"/>
  <c r="A275" i="119" s="1"/>
  <c r="A287" i="119" s="1"/>
  <c r="A299" i="119" s="1"/>
  <c r="A311" i="119" s="1"/>
  <c r="A323" i="119" s="1"/>
  <c r="A22" i="119"/>
  <c r="A34" i="119" s="1"/>
  <c r="A46" i="119" s="1"/>
  <c r="A58" i="119" s="1"/>
  <c r="A70" i="119" s="1"/>
  <c r="A82" i="119" s="1"/>
  <c r="A94" i="119" s="1"/>
  <c r="A106" i="119" s="1"/>
  <c r="A118" i="119" s="1"/>
  <c r="A130" i="119" s="1"/>
  <c r="A142" i="119" s="1"/>
  <c r="A154" i="119" s="1"/>
  <c r="A166" i="119" s="1"/>
  <c r="A178" i="119" s="1"/>
  <c r="A190" i="119" s="1"/>
  <c r="A202" i="119" s="1"/>
  <c r="A214" i="119" s="1"/>
  <c r="A226" i="119" s="1"/>
  <c r="A238" i="119" s="1"/>
  <c r="A250" i="119" s="1"/>
  <c r="A262" i="119" s="1"/>
  <c r="A274" i="119" s="1"/>
  <c r="A286" i="119" s="1"/>
  <c r="A298" i="119" s="1"/>
  <c r="A310" i="119" s="1"/>
  <c r="A322" i="119" s="1"/>
  <c r="B333" i="89" l="1"/>
  <c r="L310" i="4" l="1"/>
  <c r="AF308" i="68" l="1"/>
  <c r="AF309" i="68"/>
  <c r="AF310" i="68"/>
  <c r="AF311" i="68"/>
  <c r="AF312" i="68"/>
  <c r="AF313" i="68"/>
  <c r="AF314" i="68"/>
  <c r="AF315" i="68"/>
  <c r="AF316" i="68"/>
  <c r="AF317" i="68"/>
  <c r="AF318" i="68"/>
  <c r="AF319" i="68"/>
  <c r="AF320" i="68"/>
  <c r="AF321" i="68"/>
  <c r="AF322" i="68"/>
  <c r="AF323" i="68"/>
  <c r="AF324" i="68"/>
  <c r="AF325" i="68"/>
  <c r="AF326" i="68"/>
  <c r="AF327" i="68"/>
  <c r="AF328" i="68"/>
  <c r="AF329" i="68"/>
  <c r="AF330" i="68"/>
  <c r="AF331" i="68"/>
  <c r="AF332" i="68"/>
  <c r="AF333" i="68"/>
  <c r="AF334" i="68"/>
  <c r="AF335" i="68"/>
  <c r="AF336" i="68"/>
  <c r="AF337" i="68"/>
  <c r="AF338" i="68"/>
  <c r="AF339" i="68"/>
  <c r="AF340" i="68"/>
  <c r="AF341" i="68"/>
  <c r="AF342" i="68"/>
  <c r="AF343" i="68"/>
  <c r="AF344" i="68"/>
  <c r="AF345" i="68"/>
  <c r="AF346" i="68"/>
  <c r="AF347" i="68"/>
  <c r="AF348" i="68"/>
  <c r="AF349" i="68"/>
  <c r="AF350" i="68"/>
  <c r="AF351" i="68"/>
  <c r="AF352" i="68"/>
  <c r="AF353" i="68"/>
  <c r="AF354" i="68"/>
  <c r="AF355" i="68"/>
  <c r="AF356" i="68"/>
  <c r="AF357" i="68"/>
  <c r="AF358" i="68"/>
  <c r="AF359" i="68"/>
  <c r="AF360" i="68"/>
  <c r="AF361" i="68"/>
  <c r="AF362" i="68"/>
  <c r="AF363" i="68"/>
  <c r="AF364" i="68"/>
  <c r="AF365" i="68"/>
  <c r="AF366" i="68"/>
  <c r="AF367" i="68"/>
  <c r="AF368" i="68"/>
  <c r="AF369" i="68"/>
  <c r="AF370" i="68"/>
  <c r="AF372" i="68"/>
  <c r="AF373" i="68"/>
  <c r="AF374" i="68"/>
  <c r="AF375" i="68"/>
  <c r="AF376" i="68"/>
  <c r="AF377" i="68"/>
  <c r="AF378" i="68"/>
  <c r="AF379" i="68"/>
  <c r="AF380" i="68"/>
  <c r="AF381" i="68"/>
  <c r="AF382" i="68"/>
  <c r="AF383" i="68"/>
  <c r="AF384" i="68"/>
  <c r="AF385" i="68"/>
  <c r="AF386" i="68"/>
  <c r="AF387" i="68"/>
  <c r="AF388" i="68"/>
  <c r="AF389" i="68"/>
  <c r="AF390" i="68"/>
  <c r="AF391" i="68"/>
  <c r="AF392" i="68"/>
  <c r="AF393" i="68"/>
  <c r="AF394" i="68"/>
  <c r="AF395" i="68"/>
  <c r="AF396" i="68"/>
  <c r="AF397" i="68"/>
  <c r="AF398" i="68"/>
  <c r="AF399" i="68"/>
  <c r="AF400" i="68"/>
  <c r="AF401" i="68"/>
  <c r="AF402" i="68"/>
  <c r="AF403" i="68"/>
  <c r="AF404" i="68"/>
  <c r="AF405" i="68"/>
  <c r="Z310" i="68"/>
  <c r="Z312" i="68"/>
  <c r="Z313" i="68"/>
  <c r="Z314" i="68"/>
  <c r="Z315" i="68"/>
  <c r="Z316" i="68"/>
  <c r="Z317" i="68"/>
  <c r="Z318" i="68"/>
  <c r="Z319" i="68"/>
  <c r="Z320" i="68"/>
  <c r="Z321" i="68"/>
  <c r="Z323" i="68"/>
  <c r="Z324" i="68"/>
  <c r="Z325" i="68"/>
  <c r="Z326" i="68"/>
  <c r="Z327" i="68"/>
  <c r="Z328" i="68"/>
  <c r="Z329" i="68"/>
  <c r="Z330" i="68"/>
  <c r="Z331" i="68"/>
  <c r="Z333" i="68"/>
  <c r="Z334" i="68"/>
  <c r="Z335" i="68"/>
  <c r="Z336" i="68"/>
  <c r="Z337" i="68"/>
  <c r="Z338" i="68"/>
  <c r="Z339" i="68"/>
  <c r="Z340" i="68"/>
  <c r="Z341" i="68"/>
  <c r="Z342" i="68"/>
  <c r="Z343" i="68"/>
  <c r="Z344" i="68"/>
  <c r="Z345" i="68"/>
  <c r="Z346" i="68"/>
  <c r="Z347" i="68"/>
  <c r="Z348" i="68"/>
  <c r="Z350" i="68"/>
  <c r="Z351" i="68"/>
  <c r="Z352" i="68"/>
  <c r="Z353" i="68"/>
  <c r="Z354" i="68"/>
  <c r="Z355" i="68"/>
  <c r="Z359" i="68"/>
  <c r="Z361" i="68"/>
  <c r="Z362" i="68"/>
  <c r="Z363" i="68"/>
  <c r="Z364" i="68"/>
  <c r="Z365" i="68"/>
  <c r="Z366" i="68"/>
  <c r="Z367" i="68"/>
  <c r="Z368" i="68"/>
  <c r="Z369" i="68"/>
  <c r="Z371" i="68"/>
  <c r="Z372" i="68"/>
  <c r="Z373" i="68"/>
  <c r="Z374" i="68"/>
  <c r="Z375" i="68"/>
  <c r="Z376" i="68"/>
  <c r="Z377" i="68"/>
  <c r="Z378" i="68"/>
  <c r="Z379" i="68"/>
  <c r="Z380" i="68"/>
  <c r="Z381" i="68"/>
  <c r="Z382" i="68"/>
  <c r="Z383" i="68"/>
  <c r="Z384" i="68"/>
  <c r="Z385" i="68"/>
  <c r="Z386" i="68"/>
  <c r="Z387" i="68"/>
  <c r="Z388" i="68"/>
  <c r="Z389" i="68"/>
  <c r="Z390" i="68"/>
  <c r="Z391" i="68"/>
  <c r="Z392" i="68"/>
  <c r="Z393" i="68"/>
  <c r="Z394" i="68"/>
  <c r="Z395" i="68"/>
  <c r="Z396" i="68"/>
  <c r="Z397" i="68"/>
  <c r="Z398" i="68"/>
  <c r="Z399" i="68"/>
  <c r="Z400" i="68"/>
  <c r="Z401" i="68"/>
  <c r="Z402" i="68"/>
  <c r="Z403" i="68"/>
  <c r="Z404" i="68"/>
  <c r="Z405" i="68"/>
  <c r="Z273" i="68" l="1"/>
  <c r="U9" i="117" l="1"/>
  <c r="G44" i="53" l="1"/>
  <c r="A345" i="117" l="1"/>
  <c r="A357" i="117" s="1"/>
  <c r="A369" i="117" s="1"/>
  <c r="A381" i="117" s="1"/>
  <c r="A393" i="117" s="1"/>
  <c r="A405" i="117" s="1"/>
  <c r="A417" i="117" s="1"/>
  <c r="A429" i="117" s="1"/>
  <c r="A441" i="117" s="1"/>
  <c r="A453" i="117" s="1"/>
  <c r="A344" i="117"/>
  <c r="A356" i="117" s="1"/>
  <c r="A368" i="117" s="1"/>
  <c r="A380" i="117" s="1"/>
  <c r="A392" i="117" s="1"/>
  <c r="A404" i="117" s="1"/>
  <c r="A416" i="117" s="1"/>
  <c r="A428" i="117" s="1"/>
  <c r="A440" i="117" s="1"/>
  <c r="A452" i="117" s="1"/>
  <c r="A343" i="117"/>
  <c r="A355" i="117" s="1"/>
  <c r="A367" i="117" s="1"/>
  <c r="A379" i="117" s="1"/>
  <c r="A391" i="117" s="1"/>
  <c r="A403" i="117" s="1"/>
  <c r="A415" i="117" s="1"/>
  <c r="A427" i="117" s="1"/>
  <c r="A439" i="117" s="1"/>
  <c r="A451" i="117" s="1"/>
  <c r="A342" i="117"/>
  <c r="A354" i="117" s="1"/>
  <c r="A366" i="117" s="1"/>
  <c r="A378" i="117" s="1"/>
  <c r="A390" i="117" s="1"/>
  <c r="A402" i="117" s="1"/>
  <c r="A414" i="117" s="1"/>
  <c r="A426" i="117" s="1"/>
  <c r="A438" i="117" s="1"/>
  <c r="A450" i="117" s="1"/>
  <c r="A341" i="117"/>
  <c r="A353" i="117" s="1"/>
  <c r="A365" i="117" s="1"/>
  <c r="A377" i="117" s="1"/>
  <c r="A389" i="117" s="1"/>
  <c r="A401" i="117" s="1"/>
  <c r="A413" i="117" s="1"/>
  <c r="A425" i="117" s="1"/>
  <c r="A437" i="117" s="1"/>
  <c r="A449" i="117" s="1"/>
  <c r="A340" i="117"/>
  <c r="A352" i="117" s="1"/>
  <c r="A364" i="117" s="1"/>
  <c r="A376" i="117" s="1"/>
  <c r="A388" i="117" s="1"/>
  <c r="A400" i="117" s="1"/>
  <c r="A412" i="117" s="1"/>
  <c r="A424" i="117" s="1"/>
  <c r="A436" i="117" s="1"/>
  <c r="A448" i="117" s="1"/>
  <c r="A339" i="117"/>
  <c r="A351" i="117" s="1"/>
  <c r="A363" i="117" s="1"/>
  <c r="A375" i="117" s="1"/>
  <c r="A387" i="117" s="1"/>
  <c r="A399" i="117" s="1"/>
  <c r="A411" i="117" s="1"/>
  <c r="A423" i="117" s="1"/>
  <c r="A435" i="117" s="1"/>
  <c r="A447" i="117" s="1"/>
  <c r="A338" i="117"/>
  <c r="A350" i="117" s="1"/>
  <c r="A362" i="117" s="1"/>
  <c r="A374" i="117" s="1"/>
  <c r="A386" i="117" s="1"/>
  <c r="A398" i="117" s="1"/>
  <c r="A410" i="117" s="1"/>
  <c r="A422" i="117" s="1"/>
  <c r="A434" i="117" s="1"/>
  <c r="A446" i="117" s="1"/>
  <c r="A337" i="117"/>
  <c r="A349" i="117" s="1"/>
  <c r="A361" i="117" s="1"/>
  <c r="A373" i="117" s="1"/>
  <c r="A385" i="117" s="1"/>
  <c r="A397" i="117" s="1"/>
  <c r="A409" i="117" s="1"/>
  <c r="A421" i="117" s="1"/>
  <c r="A433" i="117" s="1"/>
  <c r="A445" i="117" s="1"/>
  <c r="A336" i="117"/>
  <c r="A348" i="117" s="1"/>
  <c r="A360" i="117" s="1"/>
  <c r="A372" i="117" s="1"/>
  <c r="A384" i="117" s="1"/>
  <c r="A396" i="117" s="1"/>
  <c r="A408" i="117" s="1"/>
  <c r="A420" i="117" s="1"/>
  <c r="A432" i="117" s="1"/>
  <c r="A444" i="117" s="1"/>
  <c r="A335" i="117"/>
  <c r="A347" i="117" s="1"/>
  <c r="A359" i="117" s="1"/>
  <c r="A371" i="117" s="1"/>
  <c r="A383" i="117" s="1"/>
  <c r="A395" i="117" s="1"/>
  <c r="A407" i="117" s="1"/>
  <c r="A419" i="117" s="1"/>
  <c r="A431" i="117" s="1"/>
  <c r="A443" i="117" s="1"/>
  <c r="A334" i="117"/>
  <c r="A346" i="117" s="1"/>
  <c r="A358" i="117" s="1"/>
  <c r="A370" i="117" s="1"/>
  <c r="A382" i="117" s="1"/>
  <c r="A394" i="117" s="1"/>
  <c r="A406" i="117" s="1"/>
  <c r="A418" i="117" s="1"/>
  <c r="A430" i="117" s="1"/>
  <c r="A442" i="117" s="1"/>
  <c r="B332" i="89" l="1"/>
  <c r="Z223" i="106" l="1"/>
  <c r="Z224" i="106"/>
  <c r="Z225" i="106"/>
  <c r="Z226" i="106"/>
  <c r="Z227" i="106"/>
  <c r="Z228" i="106"/>
  <c r="Z229" i="106"/>
  <c r="Z230" i="106"/>
  <c r="Z231" i="106"/>
  <c r="Z232" i="106"/>
  <c r="Z233" i="106"/>
  <c r="D334" i="52" l="1"/>
  <c r="J334" i="52"/>
  <c r="D335" i="52"/>
  <c r="J335" i="52"/>
  <c r="D336" i="52"/>
  <c r="J336" i="52"/>
  <c r="D337" i="52"/>
  <c r="J337" i="52"/>
  <c r="D338" i="52"/>
  <c r="J338" i="52"/>
  <c r="D339" i="52"/>
  <c r="J339" i="52"/>
  <c r="D340" i="52"/>
  <c r="J340" i="52"/>
  <c r="D341" i="52"/>
  <c r="J341" i="52"/>
  <c r="D342" i="52"/>
  <c r="J342" i="52"/>
  <c r="D343" i="52"/>
  <c r="J343" i="52"/>
  <c r="D344" i="52"/>
  <c r="J344" i="52"/>
  <c r="D345" i="52"/>
  <c r="J345" i="52"/>
  <c r="D346" i="52"/>
  <c r="J346" i="52"/>
  <c r="D347" i="52"/>
  <c r="J347" i="52"/>
  <c r="D348" i="52"/>
  <c r="J348" i="52"/>
  <c r="D349" i="52"/>
  <c r="J350" i="52"/>
  <c r="J351" i="52"/>
  <c r="J352" i="52"/>
  <c r="J353" i="52"/>
  <c r="J354" i="52"/>
  <c r="J355" i="52"/>
  <c r="D356" i="52"/>
  <c r="J356" i="52"/>
  <c r="D357" i="52"/>
  <c r="J357" i="52"/>
  <c r="D358" i="52"/>
  <c r="J358" i="52"/>
  <c r="D360" i="52"/>
  <c r="J360" i="52"/>
  <c r="D361" i="52"/>
  <c r="D362" i="52"/>
  <c r="J362" i="52"/>
  <c r="D363" i="52"/>
  <c r="J363" i="52"/>
  <c r="D364" i="52"/>
  <c r="J364" i="52"/>
  <c r="D365" i="52"/>
  <c r="J365" i="52"/>
  <c r="D366" i="52"/>
  <c r="J366" i="52"/>
  <c r="D367" i="52"/>
  <c r="J367" i="52"/>
  <c r="D368" i="52"/>
  <c r="J368" i="52"/>
  <c r="D369" i="52"/>
  <c r="J369" i="52"/>
  <c r="D370" i="52"/>
  <c r="J370" i="52"/>
  <c r="D371" i="52"/>
  <c r="J371" i="52"/>
  <c r="D372" i="52"/>
  <c r="J372" i="52"/>
  <c r="D373" i="52"/>
  <c r="J373" i="52"/>
  <c r="D374" i="52"/>
  <c r="J374" i="52"/>
  <c r="D375" i="52"/>
  <c r="J375" i="52"/>
  <c r="D376" i="52"/>
  <c r="J376" i="52"/>
  <c r="D377" i="52"/>
  <c r="J377" i="52"/>
  <c r="D378" i="52"/>
  <c r="J378" i="52"/>
  <c r="D379" i="52"/>
  <c r="J379" i="52"/>
  <c r="D380" i="52"/>
  <c r="J380" i="52"/>
  <c r="D381" i="52"/>
  <c r="J381" i="52"/>
  <c r="D382" i="52"/>
  <c r="J382" i="52"/>
  <c r="D383" i="52"/>
  <c r="J383" i="52"/>
  <c r="D384" i="52"/>
  <c r="J384" i="52"/>
  <c r="D385" i="52"/>
  <c r="J385" i="52"/>
  <c r="D386" i="52"/>
  <c r="J386" i="52"/>
  <c r="D387" i="52"/>
  <c r="J387" i="52"/>
  <c r="D388" i="52"/>
  <c r="J388" i="52"/>
  <c r="D389" i="52"/>
  <c r="J389" i="52"/>
  <c r="D390" i="52"/>
  <c r="J390" i="52"/>
  <c r="D391" i="52"/>
  <c r="J391" i="52"/>
  <c r="D392" i="52"/>
  <c r="J392" i="52"/>
  <c r="D393" i="52"/>
  <c r="J393" i="52"/>
  <c r="C310" i="59"/>
  <c r="E310" i="59"/>
  <c r="C311" i="59"/>
  <c r="E311" i="59"/>
  <c r="C312" i="59"/>
  <c r="E312" i="59"/>
  <c r="C313" i="59"/>
  <c r="E313" i="59"/>
  <c r="C314" i="59"/>
  <c r="E314" i="59"/>
  <c r="C315" i="59"/>
  <c r="E315" i="59"/>
  <c r="C316" i="59"/>
  <c r="E316" i="59"/>
  <c r="C317" i="59"/>
  <c r="E317" i="59"/>
  <c r="C318" i="59"/>
  <c r="E318" i="59"/>
  <c r="C319" i="59"/>
  <c r="E319" i="59"/>
  <c r="C320" i="59"/>
  <c r="E320" i="59"/>
  <c r="C321" i="59"/>
  <c r="E321" i="59"/>
  <c r="C322" i="59"/>
  <c r="E322" i="59"/>
  <c r="C323" i="59"/>
  <c r="C324" i="59"/>
  <c r="E324" i="59"/>
  <c r="C325" i="59"/>
  <c r="E325" i="59"/>
  <c r="C326" i="59"/>
  <c r="E326" i="59"/>
  <c r="C327" i="59"/>
  <c r="E327" i="59"/>
  <c r="C328" i="59"/>
  <c r="E328" i="59"/>
  <c r="C329" i="59"/>
  <c r="E329" i="59"/>
  <c r="C330" i="59"/>
  <c r="E330" i="59"/>
  <c r="C331" i="59"/>
  <c r="E331" i="59"/>
  <c r="C332" i="59"/>
  <c r="E332" i="59"/>
  <c r="C333" i="59"/>
  <c r="E333" i="59"/>
  <c r="C334" i="59"/>
  <c r="E334" i="59"/>
  <c r="C335" i="59"/>
  <c r="E335" i="59"/>
  <c r="C336" i="59"/>
  <c r="E336" i="59"/>
  <c r="C337" i="59"/>
  <c r="E337" i="59"/>
  <c r="C338" i="59"/>
  <c r="E338" i="59"/>
  <c r="C339" i="59"/>
  <c r="E339" i="59"/>
  <c r="C340" i="59"/>
  <c r="E340" i="59"/>
  <c r="C341" i="59"/>
  <c r="E341" i="59"/>
  <c r="C342" i="59"/>
  <c r="E342" i="59"/>
  <c r="C343" i="59"/>
  <c r="E343" i="59"/>
  <c r="C344" i="59"/>
  <c r="E344" i="59"/>
  <c r="C345" i="59"/>
  <c r="E345" i="59"/>
  <c r="C346" i="59"/>
  <c r="E346" i="59"/>
  <c r="C347" i="59"/>
  <c r="E347" i="59"/>
  <c r="C348" i="59"/>
  <c r="E348" i="59"/>
  <c r="C349" i="59"/>
  <c r="E349" i="59"/>
  <c r="C350" i="59"/>
  <c r="E350" i="59"/>
  <c r="C351" i="59"/>
  <c r="E351" i="59"/>
  <c r="C352" i="59"/>
  <c r="E352" i="59"/>
  <c r="C353" i="59"/>
  <c r="E353" i="59"/>
  <c r="C354" i="59"/>
  <c r="E354" i="59"/>
  <c r="C355" i="59"/>
  <c r="E355" i="59"/>
  <c r="C356" i="59"/>
  <c r="E356" i="59"/>
  <c r="C357" i="59"/>
  <c r="E357" i="59"/>
  <c r="C358" i="59"/>
  <c r="E358" i="59"/>
  <c r="C359" i="59"/>
  <c r="E359" i="59"/>
  <c r="C360" i="59"/>
  <c r="E360" i="59"/>
  <c r="C361" i="59"/>
  <c r="E361" i="59"/>
  <c r="C362" i="59"/>
  <c r="E362" i="59"/>
  <c r="C363" i="59"/>
  <c r="E363" i="59"/>
  <c r="C364" i="59"/>
  <c r="E364" i="59"/>
  <c r="C365" i="59"/>
  <c r="E365" i="59"/>
  <c r="C366" i="59"/>
  <c r="E366" i="59"/>
  <c r="C367" i="59"/>
  <c r="E367" i="59"/>
  <c r="C368" i="59"/>
  <c r="E368" i="59"/>
  <c r="C369" i="59"/>
  <c r="E369" i="59"/>
  <c r="L358" i="108"/>
  <c r="L359" i="108"/>
  <c r="L360" i="108"/>
  <c r="L361" i="108"/>
  <c r="L362" i="108"/>
  <c r="L363" i="108"/>
  <c r="L364" i="108"/>
  <c r="L365" i="108"/>
  <c r="L366" i="108"/>
  <c r="L367" i="108"/>
  <c r="L368" i="108"/>
  <c r="L369" i="108"/>
  <c r="L370" i="108"/>
  <c r="L372" i="108"/>
  <c r="L373" i="108"/>
  <c r="L375" i="108"/>
  <c r="L377" i="108"/>
  <c r="L378" i="108"/>
  <c r="L379" i="108"/>
  <c r="L380" i="108"/>
  <c r="L381" i="108"/>
  <c r="L382" i="108"/>
  <c r="L384" i="108"/>
  <c r="L385" i="108"/>
  <c r="L386" i="108"/>
  <c r="L387" i="108"/>
  <c r="L388" i="108"/>
  <c r="L389" i="108"/>
  <c r="L390" i="108"/>
  <c r="L391" i="108"/>
  <c r="L392" i="108"/>
  <c r="L393" i="108"/>
  <c r="L395" i="108"/>
  <c r="L396" i="108"/>
  <c r="L397" i="108"/>
  <c r="L398" i="108"/>
  <c r="L399" i="108"/>
  <c r="L400" i="108"/>
  <c r="L401" i="108"/>
  <c r="L402" i="108"/>
  <c r="L403" i="108"/>
  <c r="L404" i="108"/>
  <c r="L405" i="108"/>
  <c r="L406" i="108"/>
  <c r="L407" i="108"/>
  <c r="L408" i="108"/>
  <c r="L409" i="108"/>
  <c r="L410" i="108"/>
  <c r="L411" i="108"/>
  <c r="L412" i="108"/>
  <c r="L413" i="108"/>
  <c r="L414" i="108"/>
  <c r="L415" i="108"/>
  <c r="L416" i="108"/>
  <c r="L417" i="108"/>
  <c r="D359" i="89"/>
  <c r="B360" i="89"/>
  <c r="D360" i="89"/>
  <c r="B361" i="89"/>
  <c r="D361" i="89"/>
  <c r="B362" i="89"/>
  <c r="D362" i="89"/>
  <c r="B363" i="89"/>
  <c r="D363" i="89"/>
  <c r="B364" i="89"/>
  <c r="D364" i="89"/>
  <c r="D365" i="89"/>
  <c r="B366" i="89"/>
  <c r="D366" i="89"/>
  <c r="B367" i="89"/>
  <c r="D367" i="89"/>
  <c r="B368" i="89"/>
  <c r="D368" i="89"/>
  <c r="B369" i="89"/>
  <c r="D369" i="89"/>
  <c r="D373" i="89"/>
  <c r="D374" i="89"/>
  <c r="D375" i="89"/>
  <c r="B376" i="89"/>
  <c r="D376" i="89"/>
  <c r="B377" i="89"/>
  <c r="D377" i="89"/>
  <c r="B378" i="89"/>
  <c r="D378" i="89"/>
  <c r="B379" i="89"/>
  <c r="D379" i="89"/>
  <c r="D380" i="89"/>
  <c r="D381" i="89"/>
  <c r="B383" i="89"/>
  <c r="D383" i="89"/>
  <c r="B384" i="89"/>
  <c r="D384" i="89"/>
  <c r="B385" i="89"/>
  <c r="D385" i="89"/>
  <c r="B386" i="89"/>
  <c r="D386" i="89"/>
  <c r="B387" i="89"/>
  <c r="D387" i="89"/>
  <c r="B388" i="89"/>
  <c r="D388" i="89"/>
  <c r="B389" i="89"/>
  <c r="D389" i="89"/>
  <c r="B390" i="89"/>
  <c r="D390" i="89"/>
  <c r="B391" i="89"/>
  <c r="D391" i="89"/>
  <c r="B392" i="89"/>
  <c r="D392" i="89"/>
  <c r="B393" i="89"/>
  <c r="D393" i="89"/>
  <c r="D395" i="89"/>
  <c r="D396" i="89"/>
  <c r="D397" i="89"/>
  <c r="D398" i="89"/>
  <c r="D399" i="89"/>
  <c r="D400" i="89"/>
  <c r="D401" i="89"/>
  <c r="D402" i="89"/>
  <c r="D403" i="89"/>
  <c r="D404" i="89"/>
  <c r="D405" i="89"/>
  <c r="B406" i="89"/>
  <c r="D406" i="89"/>
  <c r="B407" i="89"/>
  <c r="D407" i="89"/>
  <c r="B408" i="89"/>
  <c r="D408" i="89"/>
  <c r="B409" i="89"/>
  <c r="D409" i="89"/>
  <c r="B410" i="89"/>
  <c r="D410" i="89"/>
  <c r="B411" i="89"/>
  <c r="D411" i="89"/>
  <c r="B412" i="89"/>
  <c r="D412" i="89"/>
  <c r="B413" i="89"/>
  <c r="D413" i="89"/>
  <c r="B414" i="89"/>
  <c r="D414" i="89"/>
  <c r="B415" i="89"/>
  <c r="D415" i="89"/>
  <c r="B416" i="89"/>
  <c r="D416" i="89"/>
  <c r="B417" i="89"/>
  <c r="D417" i="89"/>
  <c r="H358" i="11"/>
  <c r="H359" i="11"/>
  <c r="H360" i="11"/>
  <c r="H361" i="11"/>
  <c r="H362" i="11"/>
  <c r="H364" i="11"/>
  <c r="H365" i="11"/>
  <c r="H366" i="11"/>
  <c r="H367" i="11"/>
  <c r="H368" i="11"/>
  <c r="H369" i="11"/>
  <c r="H377" i="11"/>
  <c r="H378" i="11"/>
  <c r="H379" i="11"/>
  <c r="H380" i="11"/>
  <c r="H381" i="11"/>
  <c r="H382" i="11"/>
  <c r="H383" i="11"/>
  <c r="H384" i="11"/>
  <c r="H385" i="11"/>
  <c r="H386" i="11"/>
  <c r="H391" i="11"/>
  <c r="H397" i="11"/>
  <c r="H398" i="11"/>
  <c r="H399" i="11"/>
  <c r="H400" i="11"/>
  <c r="H401" i="11"/>
  <c r="H402" i="11"/>
  <c r="H403" i="11"/>
  <c r="H404" i="11"/>
  <c r="H405" i="11"/>
  <c r="H406" i="11"/>
  <c r="H407" i="11"/>
  <c r="H408" i="11"/>
  <c r="H409" i="11"/>
  <c r="H410" i="11"/>
  <c r="H411" i="11"/>
  <c r="H412" i="11"/>
  <c r="H413" i="11"/>
  <c r="H414" i="11"/>
  <c r="H415" i="11"/>
  <c r="H416" i="11"/>
  <c r="H417" i="11"/>
  <c r="A37" i="90"/>
  <c r="A38" i="90" s="1"/>
  <c r="A39" i="90" s="1"/>
  <c r="A40" i="90" s="1"/>
  <c r="A41" i="90" s="1"/>
  <c r="A42" i="90" s="1"/>
  <c r="A43" i="90" s="1"/>
  <c r="A44" i="90" s="1"/>
  <c r="A45" i="90" s="1"/>
  <c r="A46" i="90" s="1"/>
  <c r="D419" i="51"/>
  <c r="D420" i="51"/>
  <c r="D421" i="51"/>
  <c r="D422" i="51"/>
  <c r="D423" i="51"/>
  <c r="D424" i="51"/>
  <c r="D425" i="51"/>
  <c r="D426" i="51"/>
  <c r="D427" i="51"/>
  <c r="D428" i="51"/>
  <c r="D429" i="51"/>
  <c r="D430" i="51"/>
  <c r="D431" i="51"/>
  <c r="D432" i="51"/>
  <c r="D433" i="51"/>
  <c r="D434" i="51"/>
  <c r="D435" i="51"/>
  <c r="D436" i="51"/>
  <c r="D437" i="51"/>
  <c r="D438" i="51"/>
  <c r="D439" i="51"/>
  <c r="D440" i="51"/>
  <c r="D441" i="51"/>
  <c r="L346" i="38"/>
  <c r="B346" i="38" s="1"/>
  <c r="Q346" i="38"/>
  <c r="C346" i="38" s="1"/>
  <c r="L347" i="38"/>
  <c r="B347" i="38" s="1"/>
  <c r="Q347" i="38"/>
  <c r="C347" i="38" s="1"/>
  <c r="L348" i="38"/>
  <c r="B348" i="38" s="1"/>
  <c r="Q348" i="38"/>
  <c r="C348" i="38" s="1"/>
  <c r="L349" i="38"/>
  <c r="B349" i="38" s="1"/>
  <c r="Q349" i="38"/>
  <c r="C349" i="38" s="1"/>
  <c r="L350" i="38"/>
  <c r="B350" i="38" s="1"/>
  <c r="Q350" i="38"/>
  <c r="C350" i="38" s="1"/>
  <c r="L351" i="38"/>
  <c r="B351" i="38" s="1"/>
  <c r="Q351" i="38"/>
  <c r="C351" i="38" s="1"/>
  <c r="L352" i="38"/>
  <c r="B352" i="38" s="1"/>
  <c r="Q352" i="38"/>
  <c r="C352" i="38" s="1"/>
  <c r="L353" i="38"/>
  <c r="B353" i="38" s="1"/>
  <c r="Q353" i="38"/>
  <c r="C353" i="38" s="1"/>
  <c r="L354" i="38"/>
  <c r="B354" i="38" s="1"/>
  <c r="Q354" i="38"/>
  <c r="C354" i="38" s="1"/>
  <c r="L355" i="38"/>
  <c r="B355" i="38" s="1"/>
  <c r="Q355" i="38"/>
  <c r="C355" i="38" s="1"/>
  <c r="L356" i="38"/>
  <c r="B356" i="38" s="1"/>
  <c r="Q356" i="38"/>
  <c r="C356" i="38" s="1"/>
  <c r="L357" i="38"/>
  <c r="B357" i="38" s="1"/>
  <c r="Q357" i="38"/>
  <c r="C357" i="38" s="1"/>
  <c r="L358" i="38"/>
  <c r="B358" i="38" s="1"/>
  <c r="Q358" i="38"/>
  <c r="C358" i="38" s="1"/>
  <c r="L359" i="38"/>
  <c r="B359" i="38" s="1"/>
  <c r="Q359" i="38"/>
  <c r="C359" i="38" s="1"/>
  <c r="L360" i="38"/>
  <c r="B360" i="38" s="1"/>
  <c r="Q360" i="38"/>
  <c r="C360" i="38" s="1"/>
  <c r="L361" i="38"/>
  <c r="B361" i="38" s="1"/>
  <c r="Q361" i="38"/>
  <c r="C361" i="38" s="1"/>
  <c r="L362" i="38"/>
  <c r="B362" i="38" s="1"/>
  <c r="Q362" i="38"/>
  <c r="C362" i="38" s="1"/>
  <c r="L363" i="38"/>
  <c r="B363" i="38" s="1"/>
  <c r="Q363" i="38"/>
  <c r="C363" i="38" s="1"/>
  <c r="L364" i="38"/>
  <c r="B364" i="38" s="1"/>
  <c r="Q364" i="38"/>
  <c r="C364" i="38" s="1"/>
  <c r="L365" i="38"/>
  <c r="B365" i="38" s="1"/>
  <c r="Q365" i="38"/>
  <c r="C365" i="38" s="1"/>
  <c r="L366" i="38"/>
  <c r="B366" i="38" s="1"/>
  <c r="Q366" i="38"/>
  <c r="C366" i="38" s="1"/>
  <c r="L367" i="38"/>
  <c r="B367" i="38" s="1"/>
  <c r="Q367" i="38"/>
  <c r="C367" i="38" s="1"/>
  <c r="L368" i="38"/>
  <c r="B368" i="38" s="1"/>
  <c r="Q368" i="38"/>
  <c r="C368" i="38" s="1"/>
  <c r="L369" i="38"/>
  <c r="B369" i="38" s="1"/>
  <c r="Q369" i="38"/>
  <c r="C369" i="38" s="1"/>
  <c r="B370" i="38"/>
  <c r="Q370" i="38"/>
  <c r="C370" i="38" s="1"/>
  <c r="L371" i="38"/>
  <c r="B371" i="38" s="1"/>
  <c r="Q371" i="38"/>
  <c r="C371" i="38" s="1"/>
  <c r="L372" i="38"/>
  <c r="B372" i="38" s="1"/>
  <c r="Q372" i="38"/>
  <c r="C372" i="38" s="1"/>
  <c r="L373" i="38"/>
  <c r="B373" i="38" s="1"/>
  <c r="Q373" i="38"/>
  <c r="C373" i="38" s="1"/>
  <c r="L374" i="38"/>
  <c r="B374" i="38" s="1"/>
  <c r="Q374" i="38"/>
  <c r="C374" i="38" s="1"/>
  <c r="L375" i="38"/>
  <c r="B375" i="38" s="1"/>
  <c r="Q375" i="38"/>
  <c r="C375" i="38" s="1"/>
  <c r="L376" i="38"/>
  <c r="B376" i="38" s="1"/>
  <c r="Q376" i="38"/>
  <c r="C376" i="38" s="1"/>
  <c r="L377" i="38"/>
  <c r="B377" i="38" s="1"/>
  <c r="Q377" i="38"/>
  <c r="C377" i="38" s="1"/>
  <c r="L378" i="38"/>
  <c r="B378" i="38" s="1"/>
  <c r="Q378" i="38"/>
  <c r="C378" i="38" s="1"/>
  <c r="L379" i="38"/>
  <c r="B379" i="38" s="1"/>
  <c r="Q379" i="38"/>
  <c r="C379" i="38" s="1"/>
  <c r="L380" i="38"/>
  <c r="B380" i="38" s="1"/>
  <c r="Q380" i="38"/>
  <c r="C380" i="38" s="1"/>
  <c r="L381" i="38"/>
  <c r="B381" i="38" s="1"/>
  <c r="Q381" i="38"/>
  <c r="C381" i="38" s="1"/>
  <c r="L382" i="38"/>
  <c r="B382" i="38" s="1"/>
  <c r="Q382" i="38"/>
  <c r="C382" i="38" s="1"/>
  <c r="L383" i="38"/>
  <c r="B383" i="38" s="1"/>
  <c r="Q383" i="38"/>
  <c r="C383" i="38" s="1"/>
  <c r="L384" i="38"/>
  <c r="B384" i="38" s="1"/>
  <c r="Q384" i="38"/>
  <c r="C384" i="38" s="1"/>
  <c r="L385" i="38"/>
  <c r="B385" i="38" s="1"/>
  <c r="Q385" i="38"/>
  <c r="C385" i="38" s="1"/>
  <c r="L386" i="38"/>
  <c r="B386" i="38" s="1"/>
  <c r="Q386" i="38"/>
  <c r="C386" i="38" s="1"/>
  <c r="L387" i="38"/>
  <c r="B387" i="38" s="1"/>
  <c r="Q387" i="38"/>
  <c r="C387" i="38" s="1"/>
  <c r="L388" i="38"/>
  <c r="B388" i="38" s="1"/>
  <c r="Q388" i="38"/>
  <c r="C388" i="38" s="1"/>
  <c r="L389" i="38"/>
  <c r="B389" i="38" s="1"/>
  <c r="Q389" i="38"/>
  <c r="C389" i="38" s="1"/>
  <c r="L390" i="38"/>
  <c r="B390" i="38" s="1"/>
  <c r="Q390" i="38"/>
  <c r="C390" i="38" s="1"/>
  <c r="L391" i="38"/>
  <c r="B391" i="38" s="1"/>
  <c r="Q391" i="38"/>
  <c r="C391" i="38" s="1"/>
  <c r="L392" i="38"/>
  <c r="B392" i="38" s="1"/>
  <c r="Q392" i="38"/>
  <c r="C392" i="38" s="1"/>
  <c r="L393" i="38"/>
  <c r="B393" i="38" s="1"/>
  <c r="Q393" i="38"/>
  <c r="C393" i="38" s="1"/>
  <c r="L394" i="38"/>
  <c r="B394" i="38" s="1"/>
  <c r="Q394" i="38"/>
  <c r="C394" i="38" s="1"/>
  <c r="L395" i="38"/>
  <c r="B395" i="38" s="1"/>
  <c r="Q395" i="38"/>
  <c r="C395" i="38" s="1"/>
  <c r="L396" i="38"/>
  <c r="B396" i="38" s="1"/>
  <c r="Q396" i="38"/>
  <c r="C396" i="38" s="1"/>
  <c r="L397" i="38"/>
  <c r="B397" i="38" s="1"/>
  <c r="Q397" i="38"/>
  <c r="C397" i="38" s="1"/>
  <c r="L398" i="38"/>
  <c r="B398" i="38" s="1"/>
  <c r="Q398" i="38"/>
  <c r="C398" i="38" s="1"/>
  <c r="L399" i="38"/>
  <c r="B399" i="38" s="1"/>
  <c r="Q399" i="38"/>
  <c r="C399" i="38" s="1"/>
  <c r="L400" i="38"/>
  <c r="B400" i="38" s="1"/>
  <c r="Q400" i="38"/>
  <c r="C400" i="38" s="1"/>
  <c r="L401" i="38"/>
  <c r="B401" i="38" s="1"/>
  <c r="Q401" i="38"/>
  <c r="C401" i="38" s="1"/>
  <c r="L402" i="38"/>
  <c r="B402" i="38" s="1"/>
  <c r="Q402" i="38"/>
  <c r="C402" i="38" s="1"/>
  <c r="L403" i="38"/>
  <c r="B403" i="38" s="1"/>
  <c r="Q403" i="38"/>
  <c r="C403" i="38" s="1"/>
  <c r="L404" i="38"/>
  <c r="B404" i="38" s="1"/>
  <c r="Q404" i="38"/>
  <c r="C404" i="38" s="1"/>
  <c r="L405" i="38"/>
  <c r="B405" i="38" s="1"/>
  <c r="Q405" i="38"/>
  <c r="C405" i="38" s="1"/>
  <c r="H334" i="4"/>
  <c r="K334" i="4"/>
  <c r="O334" i="4"/>
  <c r="V334" i="4"/>
  <c r="H335" i="4"/>
  <c r="K335" i="4"/>
  <c r="O335" i="4"/>
  <c r="V335" i="4"/>
  <c r="H336" i="4"/>
  <c r="K336" i="4"/>
  <c r="O336" i="4"/>
  <c r="V336" i="4"/>
  <c r="H337" i="4"/>
  <c r="K337" i="4"/>
  <c r="O337" i="4"/>
  <c r="V337" i="4"/>
  <c r="H338" i="4"/>
  <c r="K338" i="4"/>
  <c r="O338" i="4"/>
  <c r="V338" i="4"/>
  <c r="H339" i="4"/>
  <c r="K339" i="4"/>
  <c r="O339" i="4"/>
  <c r="V339" i="4"/>
  <c r="H340" i="4"/>
  <c r="K340" i="4"/>
  <c r="O340" i="4"/>
  <c r="V340" i="4"/>
  <c r="H341" i="4"/>
  <c r="K341" i="4"/>
  <c r="O341" i="4"/>
  <c r="V341" i="4"/>
  <c r="H342" i="4"/>
  <c r="K342" i="4"/>
  <c r="O342" i="4"/>
  <c r="V342" i="4"/>
  <c r="H343" i="4"/>
  <c r="K343" i="4"/>
  <c r="O343" i="4"/>
  <c r="V343" i="4"/>
  <c r="H344" i="4"/>
  <c r="K344" i="4"/>
  <c r="O344" i="4"/>
  <c r="V344" i="4"/>
  <c r="H345" i="4"/>
  <c r="K345" i="4"/>
  <c r="O345" i="4"/>
  <c r="V345" i="4"/>
  <c r="H346" i="4"/>
  <c r="K346" i="4"/>
  <c r="O346" i="4"/>
  <c r="V346" i="4"/>
  <c r="H347" i="4"/>
  <c r="K347" i="4"/>
  <c r="O347" i="4"/>
  <c r="V347" i="4"/>
  <c r="H348" i="4"/>
  <c r="K348" i="4"/>
  <c r="V348" i="4"/>
  <c r="H349" i="4"/>
  <c r="K349" i="4"/>
  <c r="O349" i="4"/>
  <c r="V349" i="4"/>
  <c r="H350" i="4"/>
  <c r="K350" i="4"/>
  <c r="O350" i="4"/>
  <c r="V350" i="4"/>
  <c r="H351" i="4"/>
  <c r="K351" i="4"/>
  <c r="O351" i="4"/>
  <c r="V351" i="4"/>
  <c r="H352" i="4"/>
  <c r="K352" i="4"/>
  <c r="O352" i="4"/>
  <c r="V352" i="4"/>
  <c r="H353" i="4"/>
  <c r="K353" i="4"/>
  <c r="O353" i="4"/>
  <c r="V353" i="4"/>
  <c r="H354" i="4"/>
  <c r="K354" i="4"/>
  <c r="O354" i="4"/>
  <c r="V354" i="4"/>
  <c r="H355" i="4"/>
  <c r="K355" i="4"/>
  <c r="O355" i="4"/>
  <c r="V355" i="4"/>
  <c r="H356" i="4"/>
  <c r="K356" i="4"/>
  <c r="O356" i="4"/>
  <c r="V356" i="4"/>
  <c r="H357" i="4"/>
  <c r="K357" i="4"/>
  <c r="O357" i="4"/>
  <c r="V357" i="4"/>
  <c r="H358" i="4"/>
  <c r="K358" i="4"/>
  <c r="O358" i="4"/>
  <c r="V358" i="4"/>
  <c r="H359" i="4"/>
  <c r="K359" i="4"/>
  <c r="O359" i="4"/>
  <c r="V359" i="4"/>
  <c r="H360" i="4"/>
  <c r="K360" i="4"/>
  <c r="O360" i="4"/>
  <c r="V360" i="4"/>
  <c r="H361" i="4"/>
  <c r="K361" i="4"/>
  <c r="O361" i="4"/>
  <c r="V361" i="4"/>
  <c r="H362" i="4"/>
  <c r="K362" i="4"/>
  <c r="O362" i="4"/>
  <c r="V362" i="4"/>
  <c r="H363" i="4"/>
  <c r="K363" i="4"/>
  <c r="O363" i="4"/>
  <c r="V363" i="4"/>
  <c r="H364" i="4"/>
  <c r="K364" i="4"/>
  <c r="O364" i="4"/>
  <c r="V364" i="4"/>
  <c r="H365" i="4"/>
  <c r="K365" i="4"/>
  <c r="O365" i="4"/>
  <c r="V365" i="4"/>
  <c r="H366" i="4"/>
  <c r="K366" i="4"/>
  <c r="O366" i="4"/>
  <c r="V366" i="4"/>
  <c r="H367" i="4"/>
  <c r="K367" i="4"/>
  <c r="O367" i="4"/>
  <c r="V367" i="4"/>
  <c r="H368" i="4"/>
  <c r="K368" i="4"/>
  <c r="O368" i="4"/>
  <c r="V368" i="4"/>
  <c r="H369" i="4"/>
  <c r="K369" i="4"/>
  <c r="O369" i="4"/>
  <c r="V369" i="4"/>
  <c r="H370" i="4"/>
  <c r="K370" i="4"/>
  <c r="O370" i="4"/>
  <c r="V370" i="4"/>
  <c r="H371" i="4"/>
  <c r="K371" i="4"/>
  <c r="O371" i="4"/>
  <c r="V371" i="4"/>
  <c r="H372" i="4"/>
  <c r="K372" i="4"/>
  <c r="O372" i="4"/>
  <c r="V372" i="4"/>
  <c r="H373" i="4"/>
  <c r="K373" i="4"/>
  <c r="O373" i="4"/>
  <c r="V373" i="4"/>
  <c r="H374" i="4"/>
  <c r="K374" i="4"/>
  <c r="O374" i="4"/>
  <c r="V374" i="4"/>
  <c r="H375" i="4"/>
  <c r="K375" i="4"/>
  <c r="O375" i="4"/>
  <c r="V375" i="4"/>
  <c r="H376" i="4"/>
  <c r="K376" i="4"/>
  <c r="O376" i="4"/>
  <c r="V376" i="4"/>
  <c r="H377" i="4"/>
  <c r="K377" i="4"/>
  <c r="O377" i="4"/>
  <c r="V377" i="4"/>
  <c r="H378" i="4"/>
  <c r="K378" i="4"/>
  <c r="O378" i="4"/>
  <c r="V378" i="4"/>
  <c r="H379" i="4"/>
  <c r="K379" i="4"/>
  <c r="O379" i="4"/>
  <c r="V379" i="4"/>
  <c r="H380" i="4"/>
  <c r="K380" i="4"/>
  <c r="O380" i="4"/>
  <c r="V380" i="4"/>
  <c r="H381" i="4"/>
  <c r="K381" i="4"/>
  <c r="O381" i="4"/>
  <c r="V381" i="4"/>
  <c r="H382" i="4"/>
  <c r="K382" i="4"/>
  <c r="O382" i="4"/>
  <c r="V382" i="4"/>
  <c r="H383" i="4"/>
  <c r="K383" i="4"/>
  <c r="O383" i="4"/>
  <c r="V383" i="4"/>
  <c r="H384" i="4"/>
  <c r="K384" i="4"/>
  <c r="O384" i="4"/>
  <c r="V384" i="4"/>
  <c r="H385" i="4"/>
  <c r="K385" i="4"/>
  <c r="O385" i="4"/>
  <c r="V385" i="4"/>
  <c r="H386" i="4"/>
  <c r="K386" i="4"/>
  <c r="O386" i="4"/>
  <c r="V386" i="4"/>
  <c r="H387" i="4"/>
  <c r="K387" i="4"/>
  <c r="O387" i="4"/>
  <c r="V387" i="4"/>
  <c r="H388" i="4"/>
  <c r="K388" i="4"/>
  <c r="O388" i="4"/>
  <c r="V388" i="4"/>
  <c r="H389" i="4"/>
  <c r="K389" i="4"/>
  <c r="O389" i="4"/>
  <c r="V389" i="4"/>
  <c r="H390" i="4"/>
  <c r="K390" i="4"/>
  <c r="O390" i="4"/>
  <c r="V390" i="4"/>
  <c r="H391" i="4"/>
  <c r="K391" i="4"/>
  <c r="O391" i="4"/>
  <c r="V391" i="4"/>
  <c r="H392" i="4"/>
  <c r="K392" i="4"/>
  <c r="O392" i="4"/>
  <c r="V392" i="4"/>
  <c r="H393" i="4"/>
  <c r="K393" i="4"/>
  <c r="O393" i="4"/>
  <c r="V393" i="4"/>
  <c r="H346" i="17"/>
  <c r="H347" i="17"/>
  <c r="H348" i="17"/>
  <c r="H349"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B130" i="49"/>
  <c r="E130" i="49"/>
  <c r="I130" i="49"/>
  <c r="L130" i="49"/>
  <c r="B131" i="49"/>
  <c r="E131" i="49"/>
  <c r="I131" i="49"/>
  <c r="L131" i="49"/>
  <c r="B132" i="49"/>
  <c r="E132" i="49"/>
  <c r="I132" i="49"/>
  <c r="L132" i="49"/>
  <c r="B133" i="49"/>
  <c r="E133" i="49"/>
  <c r="I133" i="49"/>
  <c r="L133" i="49"/>
  <c r="B134" i="49"/>
  <c r="E134" i="49"/>
  <c r="I134" i="49"/>
  <c r="L134" i="49"/>
  <c r="B135" i="49"/>
  <c r="E135" i="49"/>
  <c r="I135" i="49"/>
  <c r="L135" i="49"/>
  <c r="E136" i="49"/>
  <c r="I136" i="49"/>
  <c r="L136" i="49"/>
  <c r="B137" i="49"/>
  <c r="E137" i="49"/>
  <c r="I137" i="49"/>
  <c r="L137" i="49"/>
  <c r="B138" i="49"/>
  <c r="E138" i="49"/>
  <c r="I138" i="49"/>
  <c r="L138" i="49"/>
  <c r="B139" i="49"/>
  <c r="E139" i="49"/>
  <c r="I139" i="49"/>
  <c r="L139" i="49"/>
  <c r="B140" i="49"/>
  <c r="E140" i="49"/>
  <c r="I140" i="49"/>
  <c r="L140" i="49"/>
  <c r="B141" i="49"/>
  <c r="E141" i="49"/>
  <c r="I141" i="49"/>
  <c r="L141" i="49"/>
  <c r="B142" i="49"/>
  <c r="E142" i="49"/>
  <c r="I142" i="49"/>
  <c r="L142" i="49"/>
  <c r="B143" i="49"/>
  <c r="E143" i="49"/>
  <c r="I143" i="49"/>
  <c r="L143" i="49"/>
  <c r="B144" i="49"/>
  <c r="E144" i="49"/>
  <c r="I144" i="49"/>
  <c r="L144" i="49"/>
  <c r="B145" i="49"/>
  <c r="E145" i="49"/>
  <c r="I145" i="49"/>
  <c r="L145" i="49"/>
  <c r="B146" i="49"/>
  <c r="E146" i="49"/>
  <c r="I146" i="49"/>
  <c r="L146" i="49"/>
  <c r="B147" i="49"/>
  <c r="E147" i="49"/>
  <c r="I147" i="49"/>
  <c r="L147" i="49"/>
  <c r="B148" i="49"/>
  <c r="E148" i="49"/>
  <c r="I148" i="49"/>
  <c r="L148" i="49"/>
  <c r="B149" i="49"/>
  <c r="E149" i="49"/>
  <c r="I149" i="49"/>
  <c r="L149" i="49"/>
  <c r="B98" i="114"/>
  <c r="C98" i="114" s="1"/>
  <c r="I98" i="114"/>
  <c r="B99" i="114"/>
  <c r="C99" i="114" s="1"/>
  <c r="I99" i="114"/>
  <c r="B100" i="114"/>
  <c r="C100" i="114" s="1"/>
  <c r="I100" i="114"/>
  <c r="B101" i="114"/>
  <c r="C101" i="114" s="1"/>
  <c r="I101" i="114"/>
  <c r="B102" i="114"/>
  <c r="C102" i="114" s="1"/>
  <c r="I102" i="114"/>
  <c r="B103" i="114"/>
  <c r="C103" i="114" s="1"/>
  <c r="I103" i="114"/>
  <c r="B104" i="114"/>
  <c r="C104" i="114" s="1"/>
  <c r="I104" i="114"/>
  <c r="B105" i="114"/>
  <c r="C105" i="114" s="1"/>
  <c r="I105" i="114"/>
  <c r="O50" i="95"/>
  <c r="V50" i="95"/>
  <c r="U51" i="95"/>
  <c r="O52" i="95"/>
  <c r="V52" i="95"/>
  <c r="U53" i="95"/>
  <c r="V54" i="95"/>
  <c r="P55" i="95"/>
  <c r="U55" i="95"/>
  <c r="O56" i="95"/>
  <c r="V56" i="95"/>
  <c r="P57" i="95"/>
  <c r="U57" i="95"/>
  <c r="O58" i="95"/>
  <c r="V58" i="95"/>
  <c r="P59" i="95"/>
  <c r="U59" i="95"/>
  <c r="A167" i="115"/>
  <c r="A179" i="115" s="1"/>
  <c r="A191" i="115" s="1"/>
  <c r="A203" i="115" s="1"/>
  <c r="A215" i="115" s="1"/>
  <c r="A227" i="115" s="1"/>
  <c r="A239" i="115" s="1"/>
  <c r="A251" i="115" s="1"/>
  <c r="A263" i="115" s="1"/>
  <c r="A275" i="115" s="1"/>
  <c r="A168" i="115"/>
  <c r="A180" i="115" s="1"/>
  <c r="A192" i="115" s="1"/>
  <c r="A204" i="115" s="1"/>
  <c r="A216" i="115" s="1"/>
  <c r="A228" i="115" s="1"/>
  <c r="A240" i="115" s="1"/>
  <c r="A252" i="115" s="1"/>
  <c r="A264" i="115" s="1"/>
  <c r="A276" i="115" s="1"/>
  <c r="A169" i="115"/>
  <c r="A181" i="115" s="1"/>
  <c r="A193" i="115" s="1"/>
  <c r="A205" i="115" s="1"/>
  <c r="A217" i="115" s="1"/>
  <c r="A229" i="115" s="1"/>
  <c r="A241" i="115" s="1"/>
  <c r="A253" i="115" s="1"/>
  <c r="A265" i="115" s="1"/>
  <c r="A277" i="115" s="1"/>
  <c r="A170" i="115"/>
  <c r="A182" i="115" s="1"/>
  <c r="A194" i="115" s="1"/>
  <c r="A206" i="115" s="1"/>
  <c r="A218" i="115" s="1"/>
  <c r="A230" i="115" s="1"/>
  <c r="A242" i="115" s="1"/>
  <c r="A254" i="115" s="1"/>
  <c r="A266" i="115" s="1"/>
  <c r="A278" i="115" s="1"/>
  <c r="A171" i="115"/>
  <c r="A183" i="115" s="1"/>
  <c r="A195" i="115" s="1"/>
  <c r="A207" i="115" s="1"/>
  <c r="A219" i="115" s="1"/>
  <c r="A231" i="115" s="1"/>
  <c r="A243" i="115" s="1"/>
  <c r="A255" i="115" s="1"/>
  <c r="A267" i="115" s="1"/>
  <c r="A279" i="115" s="1"/>
  <c r="A172" i="115"/>
  <c r="A184" i="115" s="1"/>
  <c r="A196" i="115" s="1"/>
  <c r="A208" i="115" s="1"/>
  <c r="A220" i="115" s="1"/>
  <c r="A232" i="115" s="1"/>
  <c r="A244" i="115" s="1"/>
  <c r="A256" i="115" s="1"/>
  <c r="A268" i="115" s="1"/>
  <c r="A280" i="115" s="1"/>
  <c r="A173" i="115"/>
  <c r="A185" i="115" s="1"/>
  <c r="A197" i="115" s="1"/>
  <c r="A209" i="115" s="1"/>
  <c r="A221" i="115" s="1"/>
  <c r="A233" i="115" s="1"/>
  <c r="A245" i="115" s="1"/>
  <c r="A257" i="115" s="1"/>
  <c r="A269" i="115" s="1"/>
  <c r="A281" i="115" s="1"/>
  <c r="A174" i="115"/>
  <c r="A186" i="115" s="1"/>
  <c r="A198" i="115" s="1"/>
  <c r="A210" i="115" s="1"/>
  <c r="A222" i="115" s="1"/>
  <c r="A234" i="115" s="1"/>
  <c r="A246" i="115" s="1"/>
  <c r="A258" i="115" s="1"/>
  <c r="A270" i="115" s="1"/>
  <c r="A282" i="115" s="1"/>
  <c r="A175" i="115"/>
  <c r="A187" i="115" s="1"/>
  <c r="A199" i="115" s="1"/>
  <c r="A211" i="115" s="1"/>
  <c r="A223" i="115" s="1"/>
  <c r="A235" i="115" s="1"/>
  <c r="A247" i="115" s="1"/>
  <c r="A259" i="115" s="1"/>
  <c r="A271" i="115" s="1"/>
  <c r="A283" i="115" s="1"/>
  <c r="A176" i="115"/>
  <c r="A188" i="115" s="1"/>
  <c r="A200" i="115" s="1"/>
  <c r="A212" i="115" s="1"/>
  <c r="A224" i="115" s="1"/>
  <c r="A236" i="115" s="1"/>
  <c r="A248" i="115" s="1"/>
  <c r="A260" i="115" s="1"/>
  <c r="A272" i="115" s="1"/>
  <c r="A284" i="115" s="1"/>
  <c r="A177" i="115"/>
  <c r="A189" i="115" s="1"/>
  <c r="A201" i="115" s="1"/>
  <c r="A213" i="115" s="1"/>
  <c r="A225" i="115" s="1"/>
  <c r="A237" i="115" s="1"/>
  <c r="A249" i="115" s="1"/>
  <c r="A261" i="115" s="1"/>
  <c r="A273" i="115" s="1"/>
  <c r="A285" i="115" s="1"/>
  <c r="A166" i="115"/>
  <c r="A178" i="115" s="1"/>
  <c r="A190" i="115" s="1"/>
  <c r="A202" i="115" s="1"/>
  <c r="A214" i="115" s="1"/>
  <c r="A226" i="115" s="1"/>
  <c r="A238" i="115" s="1"/>
  <c r="A250" i="115" s="1"/>
  <c r="A262" i="115" s="1"/>
  <c r="A274" i="115" s="1"/>
  <c r="J219" i="106"/>
  <c r="S219" i="106"/>
  <c r="J220" i="106"/>
  <c r="S220" i="106"/>
  <c r="J221" i="106"/>
  <c r="S221" i="106"/>
  <c r="J222" i="106"/>
  <c r="S222" i="106"/>
  <c r="J223" i="106"/>
  <c r="J224" i="106"/>
  <c r="S224" i="106"/>
  <c r="J225" i="106"/>
  <c r="S225" i="106"/>
  <c r="J226" i="106"/>
  <c r="S226" i="106"/>
  <c r="J227" i="106"/>
  <c r="S227" i="106"/>
  <c r="J228" i="106"/>
  <c r="S228" i="106"/>
  <c r="J229" i="106"/>
  <c r="S229" i="106"/>
  <c r="J230" i="106"/>
  <c r="S230" i="106"/>
  <c r="J231" i="106"/>
  <c r="S231" i="106"/>
  <c r="J232" i="106"/>
  <c r="S232" i="106"/>
  <c r="J233" i="106"/>
  <c r="S233" i="106"/>
  <c r="S215" i="106"/>
  <c r="J216" i="106"/>
  <c r="S216" i="106"/>
  <c r="J217" i="106"/>
  <c r="S217" i="106"/>
  <c r="J218" i="106"/>
  <c r="S218" i="106"/>
  <c r="D147" i="116"/>
  <c r="E147" i="116" s="1"/>
  <c r="D149" i="116"/>
  <c r="D150" i="116"/>
  <c r="D151" i="116"/>
  <c r="E152" i="116" s="1"/>
  <c r="R53" i="95" l="1"/>
  <c r="S53" i="95"/>
  <c r="R58" i="95"/>
  <c r="S58" i="95"/>
  <c r="R50" i="95"/>
  <c r="S50" i="95"/>
  <c r="R59" i="95"/>
  <c r="S59" i="95"/>
  <c r="R55" i="95"/>
  <c r="S55" i="95"/>
  <c r="R51" i="95"/>
  <c r="S51" i="95"/>
  <c r="R57" i="95"/>
  <c r="S57" i="95"/>
  <c r="R54" i="95"/>
  <c r="S54" i="95"/>
  <c r="S56" i="95"/>
  <c r="R56" i="95"/>
  <c r="S52" i="95"/>
  <c r="R52" i="95"/>
  <c r="E148" i="116"/>
  <c r="P52" i="95"/>
  <c r="P50" i="95"/>
  <c r="P54" i="95"/>
  <c r="E150" i="116"/>
  <c r="O59" i="95"/>
  <c r="O57" i="95"/>
  <c r="O55" i="95"/>
  <c r="U54" i="95"/>
  <c r="V53" i="95"/>
  <c r="U52" i="95"/>
  <c r="V51" i="95"/>
  <c r="U50" i="95"/>
  <c r="E149" i="116"/>
  <c r="E151" i="116"/>
  <c r="V59" i="95"/>
  <c r="P58" i="95"/>
  <c r="V57" i="95"/>
  <c r="P56" i="95"/>
  <c r="V55" i="95"/>
  <c r="P53" i="95"/>
  <c r="O53" i="95"/>
  <c r="U58" i="95"/>
  <c r="U56" i="95"/>
  <c r="P51" i="95"/>
  <c r="O51" i="95"/>
  <c r="H308" i="4" l="1"/>
  <c r="G17" i="53" l="1"/>
  <c r="M76" i="114"/>
  <c r="I319" i="38"/>
  <c r="L319" i="38" s="1"/>
  <c r="B319" i="38" s="1"/>
  <c r="E285" i="59"/>
  <c r="E286" i="59"/>
  <c r="E287" i="59"/>
  <c r="E288" i="59"/>
  <c r="E289" i="59"/>
  <c r="E290" i="59"/>
  <c r="E291" i="59"/>
  <c r="E292" i="59"/>
  <c r="E293" i="59"/>
  <c r="E294" i="59"/>
  <c r="E295" i="59"/>
  <c r="E296" i="59"/>
  <c r="E297" i="59"/>
  <c r="E298" i="59"/>
  <c r="E299" i="59"/>
  <c r="E300" i="59"/>
  <c r="E301" i="59"/>
  <c r="E302" i="59"/>
  <c r="E303" i="59"/>
  <c r="E304" i="59"/>
  <c r="E305" i="59"/>
  <c r="E306" i="59"/>
  <c r="E307" i="59"/>
  <c r="E308" i="59"/>
  <c r="E309" i="59"/>
  <c r="E264" i="59"/>
  <c r="E265" i="59"/>
  <c r="E266" i="59"/>
  <c r="E267" i="59"/>
  <c r="E268" i="59"/>
  <c r="E269" i="59"/>
  <c r="E270" i="59"/>
  <c r="E271" i="59"/>
  <c r="E272" i="59"/>
  <c r="E273" i="59"/>
  <c r="E274" i="59"/>
  <c r="E275" i="59"/>
  <c r="E276" i="59"/>
  <c r="E277" i="59"/>
  <c r="E278" i="59"/>
  <c r="E279" i="59"/>
  <c r="E280" i="59"/>
  <c r="E281" i="59"/>
  <c r="E282" i="59"/>
  <c r="E283" i="59"/>
  <c r="E284" i="59"/>
  <c r="E263" i="59"/>
  <c r="G19" i="53"/>
  <c r="D127" i="116"/>
  <c r="D145" i="116"/>
  <c r="D129" i="116"/>
  <c r="E130" i="116" s="1"/>
  <c r="D126" i="116"/>
  <c r="D128" i="116"/>
  <c r="L331" i="108"/>
  <c r="D125" i="116"/>
  <c r="Q42" i="38"/>
  <c r="C42" i="38" s="1"/>
  <c r="D124" i="116"/>
  <c r="D123" i="116"/>
  <c r="Q306" i="38"/>
  <c r="C306" i="38" s="1"/>
  <c r="Q307" i="38"/>
  <c r="C307" i="38" s="1"/>
  <c r="Q308" i="38"/>
  <c r="C308" i="38" s="1"/>
  <c r="Q309" i="38"/>
  <c r="C309" i="38" s="1"/>
  <c r="Q310" i="38"/>
  <c r="C310" i="38" s="1"/>
  <c r="Q311" i="38"/>
  <c r="C311" i="38" s="1"/>
  <c r="Q312" i="38"/>
  <c r="C312" i="38" s="1"/>
  <c r="Q313" i="38"/>
  <c r="C313" i="38" s="1"/>
  <c r="Q314" i="38"/>
  <c r="C314" i="38" s="1"/>
  <c r="Q315" i="38"/>
  <c r="C315" i="38" s="1"/>
  <c r="Q316" i="38"/>
  <c r="C316" i="38" s="1"/>
  <c r="Q317" i="38"/>
  <c r="C317" i="38" s="1"/>
  <c r="Q318" i="38"/>
  <c r="C318" i="38" s="1"/>
  <c r="Q319" i="38"/>
  <c r="C319" i="38" s="1"/>
  <c r="Q320" i="38"/>
  <c r="C320" i="38" s="1"/>
  <c r="L309" i="38"/>
  <c r="B309" i="38" s="1"/>
  <c r="L310" i="38"/>
  <c r="B310" i="38" s="1"/>
  <c r="L311" i="38"/>
  <c r="B311" i="38" s="1"/>
  <c r="L312" i="38"/>
  <c r="B312" i="38" s="1"/>
  <c r="L313" i="38"/>
  <c r="B313" i="38" s="1"/>
  <c r="L314" i="38"/>
  <c r="B314" i="38" s="1"/>
  <c r="L315" i="38"/>
  <c r="B315" i="38" s="1"/>
  <c r="L316" i="38"/>
  <c r="B316" i="38" s="1"/>
  <c r="L317" i="38"/>
  <c r="B317" i="38" s="1"/>
  <c r="L318" i="38"/>
  <c r="B318" i="38" s="1"/>
  <c r="L307" i="38"/>
  <c r="B307" i="38" s="1"/>
  <c r="L308" i="38"/>
  <c r="B308" i="38" s="1"/>
  <c r="D122" i="116"/>
  <c r="L193" i="38"/>
  <c r="B193" i="38" s="1"/>
  <c r="Q195" i="38"/>
  <c r="C195" i="38" s="1"/>
  <c r="D121" i="116"/>
  <c r="Q142" i="38"/>
  <c r="C142" i="38" s="1"/>
  <c r="Q143" i="38"/>
  <c r="C143" i="38" s="1"/>
  <c r="Q144" i="38"/>
  <c r="C144" i="38" s="1"/>
  <c r="Q145" i="38"/>
  <c r="C145" i="38" s="1"/>
  <c r="Q146" i="38"/>
  <c r="C146" i="38" s="1"/>
  <c r="Q147" i="38"/>
  <c r="C147" i="38" s="1"/>
  <c r="Q148" i="38"/>
  <c r="C148" i="38" s="1"/>
  <c r="Q149" i="38"/>
  <c r="C149" i="38" s="1"/>
  <c r="Q150" i="38"/>
  <c r="C150" i="38" s="1"/>
  <c r="Q151" i="38"/>
  <c r="C151" i="38" s="1"/>
  <c r="Q152" i="38"/>
  <c r="C152" i="38" s="1"/>
  <c r="Q153" i="38"/>
  <c r="C153" i="38" s="1"/>
  <c r="Q154" i="38"/>
  <c r="C154" i="38" s="1"/>
  <c r="Q155" i="38"/>
  <c r="C155" i="38" s="1"/>
  <c r="Q156" i="38"/>
  <c r="C156" i="38" s="1"/>
  <c r="Q157" i="38"/>
  <c r="C157" i="38" s="1"/>
  <c r="Q158" i="38"/>
  <c r="C158" i="38" s="1"/>
  <c r="Q159" i="38"/>
  <c r="C159" i="38" s="1"/>
  <c r="Q160" i="38"/>
  <c r="C160" i="38" s="1"/>
  <c r="Q161" i="38"/>
  <c r="C161" i="38" s="1"/>
  <c r="Q162" i="38"/>
  <c r="C162" i="38" s="1"/>
  <c r="Q163" i="38"/>
  <c r="C163" i="38" s="1"/>
  <c r="Q164" i="38"/>
  <c r="C164" i="38" s="1"/>
  <c r="Q165" i="38"/>
  <c r="C165" i="38" s="1"/>
  <c r="Q166" i="38"/>
  <c r="C166" i="38" s="1"/>
  <c r="Q167" i="38"/>
  <c r="C167" i="38" s="1"/>
  <c r="Q168" i="38"/>
  <c r="C168" i="38" s="1"/>
  <c r="Q169" i="38"/>
  <c r="C169" i="38" s="1"/>
  <c r="Q170" i="38"/>
  <c r="C170" i="38" s="1"/>
  <c r="Q171" i="38"/>
  <c r="C171" i="38" s="1"/>
  <c r="Q172" i="38"/>
  <c r="C172" i="38" s="1"/>
  <c r="Q173" i="38"/>
  <c r="C173" i="38" s="1"/>
  <c r="Q174" i="38"/>
  <c r="C174" i="38" s="1"/>
  <c r="Q175" i="38"/>
  <c r="C175" i="38" s="1"/>
  <c r="Q176" i="38"/>
  <c r="C176" i="38" s="1"/>
  <c r="Q177" i="38"/>
  <c r="C177" i="38" s="1"/>
  <c r="Q178" i="38"/>
  <c r="C178" i="38" s="1"/>
  <c r="Q179" i="38"/>
  <c r="C179" i="38" s="1"/>
  <c r="Q180" i="38"/>
  <c r="C180" i="38" s="1"/>
  <c r="Q181" i="38"/>
  <c r="C181" i="38" s="1"/>
  <c r="Q182" i="38"/>
  <c r="C182" i="38" s="1"/>
  <c r="Q183" i="38"/>
  <c r="C183" i="38" s="1"/>
  <c r="Q184" i="38"/>
  <c r="C184" i="38" s="1"/>
  <c r="Q185" i="38"/>
  <c r="C185" i="38" s="1"/>
  <c r="Q186" i="38"/>
  <c r="C186" i="38" s="1"/>
  <c r="Q187" i="38"/>
  <c r="C187" i="38" s="1"/>
  <c r="Q188" i="38"/>
  <c r="C188" i="38" s="1"/>
  <c r="Q189" i="38"/>
  <c r="C189" i="38" s="1"/>
  <c r="Q190" i="38"/>
  <c r="C190" i="38" s="1"/>
  <c r="Q191" i="38"/>
  <c r="C191" i="38" s="1"/>
  <c r="Q192" i="38"/>
  <c r="C192" i="38" s="1"/>
  <c r="Q193" i="38"/>
  <c r="C193" i="38" s="1"/>
  <c r="Q194" i="38"/>
  <c r="C194" i="38" s="1"/>
  <c r="Q196" i="38"/>
  <c r="C196" i="38" s="1"/>
  <c r="Q197" i="38"/>
  <c r="C197" i="38" s="1"/>
  <c r="Q198" i="38"/>
  <c r="C198" i="38" s="1"/>
  <c r="Q199" i="38"/>
  <c r="C199" i="38" s="1"/>
  <c r="Q200" i="38"/>
  <c r="C200" i="38" s="1"/>
  <c r="Q201" i="38"/>
  <c r="C201" i="38" s="1"/>
  <c r="Q202" i="38"/>
  <c r="C202" i="38" s="1"/>
  <c r="Q203" i="38"/>
  <c r="C203" i="38" s="1"/>
  <c r="Q204" i="38"/>
  <c r="C204" i="38" s="1"/>
  <c r="Q205" i="38"/>
  <c r="C205" i="38" s="1"/>
  <c r="Q206" i="38"/>
  <c r="C206" i="38" s="1"/>
  <c r="Q207" i="38"/>
  <c r="C207" i="38" s="1"/>
  <c r="Q208" i="38"/>
  <c r="C208" i="38" s="1"/>
  <c r="Q209" i="38"/>
  <c r="C209" i="38" s="1"/>
  <c r="Q210" i="38"/>
  <c r="C210" i="38" s="1"/>
  <c r="Q211" i="38"/>
  <c r="C211" i="38" s="1"/>
  <c r="Q212" i="38"/>
  <c r="C212" i="38" s="1"/>
  <c r="Q213" i="38"/>
  <c r="C213" i="38" s="1"/>
  <c r="Q214" i="38"/>
  <c r="C214" i="38" s="1"/>
  <c r="Q215" i="38"/>
  <c r="C215" i="38" s="1"/>
  <c r="Q216" i="38"/>
  <c r="C216" i="38" s="1"/>
  <c r="Q217" i="38"/>
  <c r="C217" i="38" s="1"/>
  <c r="Q218" i="38"/>
  <c r="C218" i="38" s="1"/>
  <c r="Q219" i="38"/>
  <c r="C219" i="38" s="1"/>
  <c r="Q220" i="38"/>
  <c r="C220" i="38" s="1"/>
  <c r="Q221" i="38"/>
  <c r="C221" i="38" s="1"/>
  <c r="Q222" i="38"/>
  <c r="C222" i="38" s="1"/>
  <c r="Q223" i="38"/>
  <c r="C223" i="38" s="1"/>
  <c r="Q224" i="38"/>
  <c r="C224" i="38" s="1"/>
  <c r="Q225" i="38"/>
  <c r="C225" i="38" s="1"/>
  <c r="Q226" i="38"/>
  <c r="C226" i="38" s="1"/>
  <c r="Q227" i="38"/>
  <c r="C227" i="38" s="1"/>
  <c r="Q228" i="38"/>
  <c r="C228" i="38" s="1"/>
  <c r="Q229" i="38"/>
  <c r="C229" i="38" s="1"/>
  <c r="Q230" i="38"/>
  <c r="C230" i="38" s="1"/>
  <c r="Q231" i="38"/>
  <c r="C231" i="38" s="1"/>
  <c r="Q232" i="38"/>
  <c r="C232" i="38" s="1"/>
  <c r="Q233" i="38"/>
  <c r="C233" i="38" s="1"/>
  <c r="Q234" i="38"/>
  <c r="C234" i="38" s="1"/>
  <c r="Q235" i="38"/>
  <c r="C235" i="38" s="1"/>
  <c r="Q236" i="38"/>
  <c r="C236" i="38" s="1"/>
  <c r="Q237" i="38"/>
  <c r="C237" i="38" s="1"/>
  <c r="Q238" i="38"/>
  <c r="C238" i="38" s="1"/>
  <c r="Q239" i="38"/>
  <c r="C239" i="38" s="1"/>
  <c r="Q240" i="38"/>
  <c r="C240" i="38" s="1"/>
  <c r="Q241" i="38"/>
  <c r="C241" i="38" s="1"/>
  <c r="Q242" i="38"/>
  <c r="C242" i="38" s="1"/>
  <c r="Q243" i="38"/>
  <c r="C243" i="38" s="1"/>
  <c r="Q244" i="38"/>
  <c r="C244" i="38" s="1"/>
  <c r="Q245" i="38"/>
  <c r="C245" i="38" s="1"/>
  <c r="Q246" i="38"/>
  <c r="C246" i="38" s="1"/>
  <c r="Q247" i="38"/>
  <c r="C247" i="38" s="1"/>
  <c r="Q248" i="38"/>
  <c r="C248" i="38" s="1"/>
  <c r="Q249" i="38"/>
  <c r="C249" i="38" s="1"/>
  <c r="Q250" i="38"/>
  <c r="C250" i="38" s="1"/>
  <c r="Q251" i="38"/>
  <c r="C251" i="38" s="1"/>
  <c r="Q252" i="38"/>
  <c r="C252" i="38" s="1"/>
  <c r="Q253" i="38"/>
  <c r="C253" i="38" s="1"/>
  <c r="Q254" i="38"/>
  <c r="C254" i="38" s="1"/>
  <c r="Q255" i="38"/>
  <c r="C255" i="38" s="1"/>
  <c r="Q256" i="38"/>
  <c r="C256" i="38" s="1"/>
  <c r="Q257" i="38"/>
  <c r="C257" i="38" s="1"/>
  <c r="Q258" i="38"/>
  <c r="C258" i="38" s="1"/>
  <c r="Q259" i="38"/>
  <c r="C259" i="38" s="1"/>
  <c r="Q260" i="38"/>
  <c r="C260" i="38" s="1"/>
  <c r="Q261" i="38"/>
  <c r="C261" i="38" s="1"/>
  <c r="Q262" i="38"/>
  <c r="C262" i="38" s="1"/>
  <c r="Q263" i="38"/>
  <c r="C263" i="38" s="1"/>
  <c r="Q264" i="38"/>
  <c r="C264" i="38" s="1"/>
  <c r="Q265" i="38"/>
  <c r="C265" i="38" s="1"/>
  <c r="Q266" i="38"/>
  <c r="C266" i="38" s="1"/>
  <c r="Q267" i="38"/>
  <c r="C267" i="38" s="1"/>
  <c r="Q268" i="38"/>
  <c r="C268" i="38" s="1"/>
  <c r="Q269" i="38"/>
  <c r="C269" i="38" s="1"/>
  <c r="Q270" i="38"/>
  <c r="C270" i="38" s="1"/>
  <c r="Q271" i="38"/>
  <c r="C271" i="38" s="1"/>
  <c r="Q272" i="38"/>
  <c r="C272" i="38" s="1"/>
  <c r="Q273" i="38"/>
  <c r="C273" i="38" s="1"/>
  <c r="Q274" i="38"/>
  <c r="C274" i="38" s="1"/>
  <c r="Q275" i="38"/>
  <c r="C275" i="38" s="1"/>
  <c r="Q276" i="38"/>
  <c r="C276" i="38" s="1"/>
  <c r="Q277" i="38"/>
  <c r="C277" i="38" s="1"/>
  <c r="Q278" i="38"/>
  <c r="C278" i="38" s="1"/>
  <c r="Q279" i="38"/>
  <c r="C279" i="38" s="1"/>
  <c r="Q280" i="38"/>
  <c r="C280" i="38" s="1"/>
  <c r="Q281" i="38"/>
  <c r="C281" i="38" s="1"/>
  <c r="Q282" i="38"/>
  <c r="C282" i="38" s="1"/>
  <c r="Q283" i="38"/>
  <c r="C283" i="38" s="1"/>
  <c r="Q284" i="38"/>
  <c r="C284" i="38" s="1"/>
  <c r="Q285" i="38"/>
  <c r="C285" i="38" s="1"/>
  <c r="Q286" i="38"/>
  <c r="C286" i="38" s="1"/>
  <c r="Q287" i="38"/>
  <c r="C287" i="38" s="1"/>
  <c r="Q288" i="38"/>
  <c r="C288" i="38" s="1"/>
  <c r="Q289" i="38"/>
  <c r="C289" i="38" s="1"/>
  <c r="Q290" i="38"/>
  <c r="C290" i="38" s="1"/>
  <c r="Q291" i="38"/>
  <c r="C291" i="38" s="1"/>
  <c r="Q292" i="38"/>
  <c r="C292" i="38" s="1"/>
  <c r="Q293" i="38"/>
  <c r="C293" i="38" s="1"/>
  <c r="Q294" i="38"/>
  <c r="C294" i="38" s="1"/>
  <c r="Q295" i="38"/>
  <c r="C295" i="38" s="1"/>
  <c r="Q296" i="38"/>
  <c r="C296" i="38" s="1"/>
  <c r="Q297" i="38"/>
  <c r="C297" i="38" s="1"/>
  <c r="Q298" i="38"/>
  <c r="C298" i="38" s="1"/>
  <c r="Q299" i="38"/>
  <c r="C299" i="38" s="1"/>
  <c r="Q300" i="38"/>
  <c r="C300" i="38" s="1"/>
  <c r="Q301" i="38"/>
  <c r="C301" i="38" s="1"/>
  <c r="Q302" i="38"/>
  <c r="C302" i="38" s="1"/>
  <c r="Q303" i="38"/>
  <c r="C303" i="38" s="1"/>
  <c r="Q304" i="38"/>
  <c r="C304" i="38" s="1"/>
  <c r="Q305" i="38"/>
  <c r="C305" i="38" s="1"/>
  <c r="Q321" i="38"/>
  <c r="C321" i="38" s="1"/>
  <c r="Q322" i="38"/>
  <c r="C322" i="38" s="1"/>
  <c r="Q323" i="38"/>
  <c r="C323" i="38" s="1"/>
  <c r="Q324" i="38"/>
  <c r="C324" i="38" s="1"/>
  <c r="Q325" i="38"/>
  <c r="C325" i="38" s="1"/>
  <c r="Q326" i="38"/>
  <c r="C326" i="38" s="1"/>
  <c r="Q327" i="38"/>
  <c r="C327" i="38" s="1"/>
  <c r="Q328" i="38"/>
  <c r="C328" i="38" s="1"/>
  <c r="Q329" i="38"/>
  <c r="C329" i="38" s="1"/>
  <c r="Q330" i="38"/>
  <c r="C330" i="38" s="1"/>
  <c r="Q331" i="38"/>
  <c r="C331" i="38" s="1"/>
  <c r="Q332" i="38"/>
  <c r="C332" i="38" s="1"/>
  <c r="Q333" i="38"/>
  <c r="C333" i="38" s="1"/>
  <c r="Q334" i="38"/>
  <c r="C334" i="38" s="1"/>
  <c r="Q335" i="38"/>
  <c r="C335" i="38" s="1"/>
  <c r="Q336" i="38"/>
  <c r="C336" i="38" s="1"/>
  <c r="Q337" i="38"/>
  <c r="C337" i="38" s="1"/>
  <c r="Q338" i="38"/>
  <c r="C338" i="38" s="1"/>
  <c r="Q339" i="38"/>
  <c r="C339" i="38" s="1"/>
  <c r="Q340" i="38"/>
  <c r="C340" i="38" s="1"/>
  <c r="Q341" i="38"/>
  <c r="C341" i="38" s="1"/>
  <c r="Q342" i="38"/>
  <c r="C342" i="38" s="1"/>
  <c r="Q343" i="38"/>
  <c r="C343" i="38" s="1"/>
  <c r="C344" i="38"/>
  <c r="Q345" i="38"/>
  <c r="C345" i="38" s="1"/>
  <c r="L146" i="38"/>
  <c r="B146" i="38" s="1"/>
  <c r="L147" i="38"/>
  <c r="B147" i="38" s="1"/>
  <c r="L148" i="38"/>
  <c r="B148" i="38" s="1"/>
  <c r="L149" i="38"/>
  <c r="B149" i="38" s="1"/>
  <c r="L150" i="38"/>
  <c r="B150" i="38" s="1"/>
  <c r="L151" i="38"/>
  <c r="B151" i="38" s="1"/>
  <c r="L152" i="38"/>
  <c r="B152" i="38" s="1"/>
  <c r="L153" i="38"/>
  <c r="B153" i="38" s="1"/>
  <c r="L154" i="38"/>
  <c r="B154" i="38" s="1"/>
  <c r="L155" i="38"/>
  <c r="B155" i="38" s="1"/>
  <c r="L156" i="38"/>
  <c r="B156" i="38" s="1"/>
  <c r="L157" i="38"/>
  <c r="B157" i="38" s="1"/>
  <c r="L158" i="38"/>
  <c r="B158" i="38" s="1"/>
  <c r="L159" i="38"/>
  <c r="B159" i="38" s="1"/>
  <c r="L160" i="38"/>
  <c r="B160" i="38" s="1"/>
  <c r="L161" i="38"/>
  <c r="B161" i="38" s="1"/>
  <c r="L162" i="38"/>
  <c r="B162" i="38" s="1"/>
  <c r="L163" i="38"/>
  <c r="B163" i="38" s="1"/>
  <c r="L164" i="38"/>
  <c r="B164" i="38" s="1"/>
  <c r="L165" i="38"/>
  <c r="B165" i="38" s="1"/>
  <c r="L166" i="38"/>
  <c r="B166" i="38" s="1"/>
  <c r="L167" i="38"/>
  <c r="B167" i="38" s="1"/>
  <c r="L168" i="38"/>
  <c r="B168" i="38" s="1"/>
  <c r="L169" i="38"/>
  <c r="B169" i="38" s="1"/>
  <c r="L170" i="38"/>
  <c r="B170" i="38" s="1"/>
  <c r="L171" i="38"/>
  <c r="B171" i="38" s="1"/>
  <c r="L172" i="38"/>
  <c r="B172" i="38" s="1"/>
  <c r="L173" i="38"/>
  <c r="B173" i="38" s="1"/>
  <c r="L174" i="38"/>
  <c r="B174" i="38" s="1"/>
  <c r="L175" i="38"/>
  <c r="B175" i="38" s="1"/>
  <c r="L176" i="38"/>
  <c r="B176" i="38" s="1"/>
  <c r="L177" i="38"/>
  <c r="B177" i="38" s="1"/>
  <c r="L178" i="38"/>
  <c r="B178" i="38" s="1"/>
  <c r="L179" i="38"/>
  <c r="B179" i="38" s="1"/>
  <c r="L180" i="38"/>
  <c r="B180" i="38" s="1"/>
  <c r="L181" i="38"/>
  <c r="B181" i="38" s="1"/>
  <c r="L182" i="38"/>
  <c r="B182" i="38" s="1"/>
  <c r="L183" i="38"/>
  <c r="B183" i="38" s="1"/>
  <c r="L184" i="38"/>
  <c r="B184" i="38" s="1"/>
  <c r="L185" i="38"/>
  <c r="B185" i="38" s="1"/>
  <c r="L186" i="38"/>
  <c r="B186" i="38" s="1"/>
  <c r="L187" i="38"/>
  <c r="B187" i="38" s="1"/>
  <c r="L188" i="38"/>
  <c r="B188" i="38" s="1"/>
  <c r="L189" i="38"/>
  <c r="B189" i="38" s="1"/>
  <c r="L190" i="38"/>
  <c r="B190" i="38" s="1"/>
  <c r="L191" i="38"/>
  <c r="B191" i="38" s="1"/>
  <c r="L192" i="38"/>
  <c r="B192" i="38" s="1"/>
  <c r="L194" i="38"/>
  <c r="B194" i="38" s="1"/>
  <c r="L195" i="38"/>
  <c r="B195" i="38" s="1"/>
  <c r="L196" i="38"/>
  <c r="B196" i="38" s="1"/>
  <c r="L197" i="38"/>
  <c r="B197" i="38" s="1"/>
  <c r="L198" i="38"/>
  <c r="B198" i="38" s="1"/>
  <c r="L199" i="38"/>
  <c r="B199" i="38" s="1"/>
  <c r="L200" i="38"/>
  <c r="B200" i="38" s="1"/>
  <c r="L201" i="38"/>
  <c r="B201" i="38" s="1"/>
  <c r="L202" i="38"/>
  <c r="B202" i="38" s="1"/>
  <c r="L203" i="38"/>
  <c r="B203" i="38" s="1"/>
  <c r="L204" i="38"/>
  <c r="B204" i="38" s="1"/>
  <c r="L205" i="38"/>
  <c r="B205" i="38" s="1"/>
  <c r="L206" i="38"/>
  <c r="B206" i="38" s="1"/>
  <c r="L207" i="38"/>
  <c r="B207" i="38" s="1"/>
  <c r="L208" i="38"/>
  <c r="B208" i="38" s="1"/>
  <c r="L209" i="38"/>
  <c r="B209" i="38" s="1"/>
  <c r="L210" i="38"/>
  <c r="B210" i="38" s="1"/>
  <c r="L211" i="38"/>
  <c r="B211" i="38" s="1"/>
  <c r="L212" i="38"/>
  <c r="B212" i="38" s="1"/>
  <c r="L213" i="38"/>
  <c r="B213" i="38" s="1"/>
  <c r="L214" i="38"/>
  <c r="B214" i="38" s="1"/>
  <c r="L215" i="38"/>
  <c r="B215" i="38" s="1"/>
  <c r="L216" i="38"/>
  <c r="B216" i="38" s="1"/>
  <c r="L217" i="38"/>
  <c r="B217" i="38" s="1"/>
  <c r="L218" i="38"/>
  <c r="B218" i="38" s="1"/>
  <c r="L219" i="38"/>
  <c r="B219" i="38" s="1"/>
  <c r="L220" i="38"/>
  <c r="B220" i="38" s="1"/>
  <c r="L221" i="38"/>
  <c r="B221" i="38" s="1"/>
  <c r="L222" i="38"/>
  <c r="B222" i="38" s="1"/>
  <c r="L223" i="38"/>
  <c r="B223" i="38" s="1"/>
  <c r="L224" i="38"/>
  <c r="B224" i="38" s="1"/>
  <c r="L225" i="38"/>
  <c r="B225" i="38" s="1"/>
  <c r="L226" i="38"/>
  <c r="B226" i="38" s="1"/>
  <c r="L227" i="38"/>
  <c r="B227" i="38" s="1"/>
  <c r="L228" i="38"/>
  <c r="B228" i="38" s="1"/>
  <c r="L229" i="38"/>
  <c r="B229" i="38" s="1"/>
  <c r="L230" i="38"/>
  <c r="B230" i="38" s="1"/>
  <c r="L231" i="38"/>
  <c r="B231" i="38" s="1"/>
  <c r="L232" i="38"/>
  <c r="B232" i="38" s="1"/>
  <c r="L233" i="38"/>
  <c r="B233" i="38" s="1"/>
  <c r="L234" i="38"/>
  <c r="B234" i="38" s="1"/>
  <c r="L235" i="38"/>
  <c r="B235" i="38" s="1"/>
  <c r="L236" i="38"/>
  <c r="B236" i="38" s="1"/>
  <c r="L237" i="38"/>
  <c r="B237" i="38" s="1"/>
  <c r="L238" i="38"/>
  <c r="B238" i="38" s="1"/>
  <c r="L239" i="38"/>
  <c r="B239" i="38" s="1"/>
  <c r="L240" i="38"/>
  <c r="B240" i="38" s="1"/>
  <c r="L241" i="38"/>
  <c r="B241" i="38" s="1"/>
  <c r="L242" i="38"/>
  <c r="B242" i="38" s="1"/>
  <c r="L243" i="38"/>
  <c r="B243" i="38" s="1"/>
  <c r="L244" i="38"/>
  <c r="B244" i="38" s="1"/>
  <c r="L245" i="38"/>
  <c r="B245" i="38" s="1"/>
  <c r="L246" i="38"/>
  <c r="B246" i="38" s="1"/>
  <c r="L247" i="38"/>
  <c r="B247" i="38" s="1"/>
  <c r="L248" i="38"/>
  <c r="B248" i="38" s="1"/>
  <c r="L249" i="38"/>
  <c r="B249" i="38" s="1"/>
  <c r="L250" i="38"/>
  <c r="B250" i="38" s="1"/>
  <c r="L251" i="38"/>
  <c r="B251" i="38" s="1"/>
  <c r="L252" i="38"/>
  <c r="B252" i="38" s="1"/>
  <c r="L253" i="38"/>
  <c r="B253" i="38" s="1"/>
  <c r="L254" i="38"/>
  <c r="B254" i="38" s="1"/>
  <c r="L255" i="38"/>
  <c r="B255" i="38" s="1"/>
  <c r="L256" i="38"/>
  <c r="B256" i="38" s="1"/>
  <c r="L257" i="38"/>
  <c r="B257" i="38" s="1"/>
  <c r="L258" i="38"/>
  <c r="B258" i="38" s="1"/>
  <c r="L259" i="38"/>
  <c r="B259" i="38" s="1"/>
  <c r="L260" i="38"/>
  <c r="B260" i="38" s="1"/>
  <c r="L261" i="38"/>
  <c r="B261" i="38" s="1"/>
  <c r="L262" i="38"/>
  <c r="B262" i="38" s="1"/>
  <c r="L263" i="38"/>
  <c r="B263" i="38" s="1"/>
  <c r="L264" i="38"/>
  <c r="B264" i="38" s="1"/>
  <c r="L265" i="38"/>
  <c r="B265" i="38" s="1"/>
  <c r="L266" i="38"/>
  <c r="B266" i="38" s="1"/>
  <c r="L267" i="38"/>
  <c r="B267" i="38" s="1"/>
  <c r="L268" i="38"/>
  <c r="B268" i="38" s="1"/>
  <c r="L269" i="38"/>
  <c r="B269" i="38" s="1"/>
  <c r="L270" i="38"/>
  <c r="B270" i="38" s="1"/>
  <c r="L271" i="38"/>
  <c r="B271" i="38" s="1"/>
  <c r="L272" i="38"/>
  <c r="B272" i="38" s="1"/>
  <c r="L273" i="38"/>
  <c r="B273" i="38" s="1"/>
  <c r="L274" i="38"/>
  <c r="B274" i="38" s="1"/>
  <c r="L275" i="38"/>
  <c r="B275" i="38" s="1"/>
  <c r="L276" i="38"/>
  <c r="B276" i="38" s="1"/>
  <c r="L277" i="38"/>
  <c r="B277" i="38" s="1"/>
  <c r="L278" i="38"/>
  <c r="B278" i="38" s="1"/>
  <c r="L279" i="38"/>
  <c r="B279" i="38" s="1"/>
  <c r="L280" i="38"/>
  <c r="B280" i="38" s="1"/>
  <c r="L281" i="38"/>
  <c r="B281" i="38" s="1"/>
  <c r="L282" i="38"/>
  <c r="B282" i="38" s="1"/>
  <c r="L283" i="38"/>
  <c r="B283" i="38" s="1"/>
  <c r="L284" i="38"/>
  <c r="B284" i="38" s="1"/>
  <c r="L285" i="38"/>
  <c r="B285" i="38" s="1"/>
  <c r="L286" i="38"/>
  <c r="B286" i="38" s="1"/>
  <c r="L287" i="38"/>
  <c r="B287" i="38" s="1"/>
  <c r="L288" i="38"/>
  <c r="B288" i="38" s="1"/>
  <c r="L289" i="38"/>
  <c r="B289" i="38" s="1"/>
  <c r="L290" i="38"/>
  <c r="B290" i="38" s="1"/>
  <c r="L291" i="38"/>
  <c r="B291" i="38" s="1"/>
  <c r="L292" i="38"/>
  <c r="B292" i="38" s="1"/>
  <c r="L293" i="38"/>
  <c r="B293" i="38" s="1"/>
  <c r="L294" i="38"/>
  <c r="B294" i="38" s="1"/>
  <c r="L295" i="38"/>
  <c r="B295" i="38" s="1"/>
  <c r="L296" i="38"/>
  <c r="B296" i="38" s="1"/>
  <c r="L297" i="38"/>
  <c r="B297" i="38" s="1"/>
  <c r="L298" i="38"/>
  <c r="B298" i="38" s="1"/>
  <c r="L299" i="38"/>
  <c r="B299" i="38" s="1"/>
  <c r="L300" i="38"/>
  <c r="B300" i="38" s="1"/>
  <c r="L301" i="38"/>
  <c r="B301" i="38" s="1"/>
  <c r="L302" i="38"/>
  <c r="B302" i="38" s="1"/>
  <c r="L303" i="38"/>
  <c r="B303" i="38" s="1"/>
  <c r="L304" i="38"/>
  <c r="B304" i="38" s="1"/>
  <c r="L305" i="38"/>
  <c r="B305" i="38" s="1"/>
  <c r="L306" i="38"/>
  <c r="B306" i="38" s="1"/>
  <c r="L320" i="38"/>
  <c r="B320" i="38" s="1"/>
  <c r="L321" i="38"/>
  <c r="B321" i="38" s="1"/>
  <c r="L322" i="38"/>
  <c r="B322" i="38" s="1"/>
  <c r="L323" i="38"/>
  <c r="B323" i="38" s="1"/>
  <c r="L324" i="38"/>
  <c r="B324" i="38" s="1"/>
  <c r="L325" i="38"/>
  <c r="B325" i="38" s="1"/>
  <c r="L326" i="38"/>
  <c r="B326" i="38" s="1"/>
  <c r="L327" i="38"/>
  <c r="B327" i="38" s="1"/>
  <c r="L328" i="38"/>
  <c r="B328" i="38" s="1"/>
  <c r="L329" i="38"/>
  <c r="B329" i="38" s="1"/>
  <c r="L330" i="38"/>
  <c r="B330" i="38" s="1"/>
  <c r="L331" i="38"/>
  <c r="B331" i="38" s="1"/>
  <c r="L332" i="38"/>
  <c r="B332" i="38" s="1"/>
  <c r="L333" i="38"/>
  <c r="B333" i="38" s="1"/>
  <c r="L334" i="38"/>
  <c r="B334" i="38" s="1"/>
  <c r="L335" i="38"/>
  <c r="B335" i="38" s="1"/>
  <c r="L336" i="38"/>
  <c r="B336" i="38" s="1"/>
  <c r="L337" i="38"/>
  <c r="B337" i="38" s="1"/>
  <c r="L338" i="38"/>
  <c r="B338" i="38" s="1"/>
  <c r="L339" i="38"/>
  <c r="B339" i="38" s="1"/>
  <c r="L340" i="38"/>
  <c r="B340" i="38" s="1"/>
  <c r="L341" i="38"/>
  <c r="B341" i="38" s="1"/>
  <c r="L342" i="38"/>
  <c r="B342" i="38" s="1"/>
  <c r="L343" i="38"/>
  <c r="B343" i="38" s="1"/>
  <c r="L344" i="38"/>
  <c r="B344" i="38" s="1"/>
  <c r="L345" i="38"/>
  <c r="B345" i="38" s="1"/>
  <c r="D120" i="116"/>
  <c r="L330" i="108"/>
  <c r="D119" i="116"/>
  <c r="D329" i="89"/>
  <c r="AF265" i="68"/>
  <c r="M75" i="114"/>
  <c r="V304" i="4"/>
  <c r="O304" i="4"/>
  <c r="K304" i="4"/>
  <c r="H304" i="4"/>
  <c r="M119" i="49"/>
  <c r="L119" i="49" s="1"/>
  <c r="J119" i="49"/>
  <c r="I119" i="49" s="1"/>
  <c r="E119" i="49"/>
  <c r="C119" i="49"/>
  <c r="B119" i="49" s="1"/>
  <c r="L328" i="108"/>
  <c r="L327" i="108"/>
  <c r="M74" i="114"/>
  <c r="J201" i="106"/>
  <c r="L326" i="108"/>
  <c r="B313" i="89"/>
  <c r="B62" i="114"/>
  <c r="L325" i="108"/>
  <c r="B117" i="49"/>
  <c r="B324" i="89"/>
  <c r="D323" i="89"/>
  <c r="B322" i="89"/>
  <c r="H317" i="11"/>
  <c r="H320" i="11"/>
  <c r="D12" i="114"/>
  <c r="D13" i="114"/>
  <c r="D14" i="114"/>
  <c r="D15" i="114"/>
  <c r="D16" i="114"/>
  <c r="D17" i="114"/>
  <c r="D18" i="114"/>
  <c r="D19" i="114"/>
  <c r="D20" i="114"/>
  <c r="D21" i="114"/>
  <c r="D22" i="114"/>
  <c r="D23" i="114"/>
  <c r="D24" i="114"/>
  <c r="D25" i="114"/>
  <c r="D26" i="114"/>
  <c r="D27" i="114"/>
  <c r="D28" i="114"/>
  <c r="D29" i="114"/>
  <c r="D30" i="114"/>
  <c r="D31" i="114"/>
  <c r="D32" i="114"/>
  <c r="D33" i="114"/>
  <c r="D34" i="114"/>
  <c r="D35" i="114"/>
  <c r="D36" i="114"/>
  <c r="D37" i="114"/>
  <c r="D38" i="114"/>
  <c r="D39" i="114"/>
  <c r="D40" i="114"/>
  <c r="D41" i="114"/>
  <c r="D42" i="114"/>
  <c r="D43" i="114"/>
  <c r="D44" i="114"/>
  <c r="D45" i="114"/>
  <c r="D46" i="114"/>
  <c r="D47" i="114"/>
  <c r="D48" i="114"/>
  <c r="D49" i="114"/>
  <c r="D50" i="114"/>
  <c r="D51" i="114"/>
  <c r="D52" i="114"/>
  <c r="D53" i="114"/>
  <c r="D54" i="114"/>
  <c r="D55" i="114"/>
  <c r="D56" i="114"/>
  <c r="D57" i="114"/>
  <c r="D58" i="114"/>
  <c r="D59" i="114"/>
  <c r="D60" i="114"/>
  <c r="D61" i="114"/>
  <c r="D11" i="114"/>
  <c r="D10" i="114"/>
  <c r="A15" i="114"/>
  <c r="A19" i="114" s="1"/>
  <c r="A23" i="114" s="1"/>
  <c r="A27" i="114" s="1"/>
  <c r="A31" i="114" s="1"/>
  <c r="A35" i="114" s="1"/>
  <c r="A39" i="114" s="1"/>
  <c r="A43" i="114" s="1"/>
  <c r="A47" i="114" s="1"/>
  <c r="A51" i="114" s="1"/>
  <c r="A55" i="114" s="1"/>
  <c r="A59" i="114" s="1"/>
  <c r="A63" i="114" s="1"/>
  <c r="A67" i="114" s="1"/>
  <c r="A71" i="114" s="1"/>
  <c r="A75" i="114" s="1"/>
  <c r="A79" i="114" s="1"/>
  <c r="A83" i="114" s="1"/>
  <c r="A87" i="114" s="1"/>
  <c r="A91" i="114" s="1"/>
  <c r="A95" i="114" s="1"/>
  <c r="A99" i="114" s="1"/>
  <c r="A103" i="114" s="1"/>
  <c r="A107" i="114" s="1"/>
  <c r="A111" i="114" s="1"/>
  <c r="A115" i="114" s="1"/>
  <c r="A119" i="114" s="1"/>
  <c r="A123" i="114" s="1"/>
  <c r="A16" i="114"/>
  <c r="A20" i="114" s="1"/>
  <c r="A24" i="114" s="1"/>
  <c r="A28" i="114" s="1"/>
  <c r="A32" i="114" s="1"/>
  <c r="A36" i="114" s="1"/>
  <c r="A40" i="114" s="1"/>
  <c r="A44" i="114" s="1"/>
  <c r="A48" i="114" s="1"/>
  <c r="A52" i="114" s="1"/>
  <c r="A56" i="114" s="1"/>
  <c r="A60" i="114" s="1"/>
  <c r="A64" i="114" s="1"/>
  <c r="A68" i="114" s="1"/>
  <c r="A72" i="114" s="1"/>
  <c r="A76" i="114" s="1"/>
  <c r="A80" i="114" s="1"/>
  <c r="A84" i="114" s="1"/>
  <c r="A88" i="114" s="1"/>
  <c r="A92" i="114" s="1"/>
  <c r="A96" i="114" s="1"/>
  <c r="A100" i="114" s="1"/>
  <c r="A104" i="114" s="1"/>
  <c r="A108" i="114" s="1"/>
  <c r="A112" i="114" s="1"/>
  <c r="A116" i="114" s="1"/>
  <c r="A120" i="114" s="1"/>
  <c r="A124" i="114" s="1"/>
  <c r="A17" i="114"/>
  <c r="A21" i="114" s="1"/>
  <c r="A25" i="114" s="1"/>
  <c r="A29" i="114" s="1"/>
  <c r="A33" i="114" s="1"/>
  <c r="A37" i="114" s="1"/>
  <c r="A41" i="114" s="1"/>
  <c r="A45" i="114" s="1"/>
  <c r="A49" i="114" s="1"/>
  <c r="A53" i="114" s="1"/>
  <c r="A57" i="114" s="1"/>
  <c r="A61" i="114" s="1"/>
  <c r="A65" i="114" s="1"/>
  <c r="A69" i="114" s="1"/>
  <c r="A73" i="114" s="1"/>
  <c r="A77" i="114" s="1"/>
  <c r="A81" i="114" s="1"/>
  <c r="A85" i="114" s="1"/>
  <c r="A89" i="114" s="1"/>
  <c r="A93" i="114" s="1"/>
  <c r="A97" i="114" s="1"/>
  <c r="A101" i="114" s="1"/>
  <c r="A105" i="114" s="1"/>
  <c r="A109" i="114" s="1"/>
  <c r="A113" i="114" s="1"/>
  <c r="A117" i="114" s="1"/>
  <c r="A121" i="114" s="1"/>
  <c r="A125" i="114" s="1"/>
  <c r="A14" i="114"/>
  <c r="A18" i="114" s="1"/>
  <c r="A22" i="114" s="1"/>
  <c r="A26" i="114" s="1"/>
  <c r="A30" i="114" s="1"/>
  <c r="A34" i="114" s="1"/>
  <c r="A38" i="114" s="1"/>
  <c r="A42" i="114" s="1"/>
  <c r="A46" i="114" s="1"/>
  <c r="A50" i="114" s="1"/>
  <c r="A54" i="114" s="1"/>
  <c r="A58" i="114" s="1"/>
  <c r="A62" i="114" s="1"/>
  <c r="A66" i="114" s="1"/>
  <c r="A70" i="114" s="1"/>
  <c r="A74" i="114" s="1"/>
  <c r="A78" i="114" s="1"/>
  <c r="A82" i="114" s="1"/>
  <c r="A86" i="114" s="1"/>
  <c r="A90" i="114" s="1"/>
  <c r="A94" i="114" s="1"/>
  <c r="A98" i="114" s="1"/>
  <c r="A102" i="114" s="1"/>
  <c r="A106" i="114" s="1"/>
  <c r="A110" i="114" s="1"/>
  <c r="A114" i="114" s="1"/>
  <c r="A118" i="114" s="1"/>
  <c r="A122" i="114" s="1"/>
  <c r="M70" i="114"/>
  <c r="M69" i="114"/>
  <c r="M68" i="114"/>
  <c r="M67" i="114"/>
  <c r="M66" i="114"/>
  <c r="J146" i="106"/>
  <c r="S146" i="106"/>
  <c r="D91" i="1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11" i="4"/>
  <c r="V10"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7" i="4"/>
  <c r="O298" i="4"/>
  <c r="O299" i="4"/>
  <c r="O300" i="4"/>
  <c r="O301" i="4"/>
  <c r="O302" i="4"/>
  <c r="O303"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20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1" i="4"/>
  <c r="O10" i="4"/>
  <c r="L321" i="108"/>
  <c r="Q14" i="38"/>
  <c r="C14" i="38" s="1"/>
  <c r="C305" i="108"/>
  <c r="L296" i="4"/>
  <c r="O296" i="4" s="1"/>
  <c r="B296" i="4"/>
  <c r="Z307" i="68"/>
  <c r="H307" i="17"/>
  <c r="G79" i="53"/>
  <c r="K306" i="108"/>
  <c r="J306" i="108"/>
  <c r="I306" i="108"/>
  <c r="H306" i="108"/>
  <c r="G306" i="108"/>
  <c r="F306" i="108"/>
  <c r="E306" i="108"/>
  <c r="D306" i="108"/>
  <c r="C306" i="108"/>
  <c r="B116" i="49"/>
  <c r="B118" i="49"/>
  <c r="B120" i="49"/>
  <c r="B121" i="49"/>
  <c r="B122" i="49"/>
  <c r="B123" i="49"/>
  <c r="B124" i="49"/>
  <c r="B125" i="49"/>
  <c r="B126" i="49"/>
  <c r="B127" i="49"/>
  <c r="B128" i="49"/>
  <c r="B129" i="49"/>
  <c r="E116" i="49"/>
  <c r="E117" i="49"/>
  <c r="E118" i="49"/>
  <c r="E120" i="49"/>
  <c r="E121" i="49"/>
  <c r="E122" i="49"/>
  <c r="E123" i="49"/>
  <c r="E124" i="49"/>
  <c r="E125" i="49"/>
  <c r="E126" i="49"/>
  <c r="E127" i="49"/>
  <c r="E128" i="49"/>
  <c r="E129" i="49"/>
  <c r="I116" i="49"/>
  <c r="I117" i="49"/>
  <c r="I118" i="49"/>
  <c r="I120" i="49"/>
  <c r="I121" i="49"/>
  <c r="I122" i="49"/>
  <c r="I123" i="49"/>
  <c r="I124" i="49"/>
  <c r="I125" i="49"/>
  <c r="I126" i="49"/>
  <c r="I127" i="49"/>
  <c r="I128" i="49"/>
  <c r="I129" i="49"/>
  <c r="L116" i="49"/>
  <c r="L117" i="49"/>
  <c r="L118" i="49"/>
  <c r="L120" i="49"/>
  <c r="L121" i="49"/>
  <c r="L122" i="49"/>
  <c r="L123" i="49"/>
  <c r="L124" i="49"/>
  <c r="L125" i="49"/>
  <c r="L126" i="49"/>
  <c r="L127" i="49"/>
  <c r="L128" i="49"/>
  <c r="L129" i="49"/>
  <c r="Z304" i="68"/>
  <c r="H318" i="11"/>
  <c r="K302" i="108"/>
  <c r="J302" i="108"/>
  <c r="I302" i="108"/>
  <c r="H302" i="108"/>
  <c r="G302" i="108"/>
  <c r="F302" i="108"/>
  <c r="E302" i="108"/>
  <c r="D302" i="108"/>
  <c r="C302" i="108"/>
  <c r="K303" i="108"/>
  <c r="J303" i="108"/>
  <c r="I303" i="108"/>
  <c r="H303" i="108"/>
  <c r="G303" i="108"/>
  <c r="F303" i="108"/>
  <c r="E303" i="108"/>
  <c r="D303" i="108"/>
  <c r="C303" i="108"/>
  <c r="K304" i="108"/>
  <c r="J304" i="108"/>
  <c r="I304" i="108"/>
  <c r="H304" i="108"/>
  <c r="G304" i="108"/>
  <c r="F304" i="108"/>
  <c r="E304" i="108"/>
  <c r="D304" i="108"/>
  <c r="C304" i="108"/>
  <c r="K305" i="108"/>
  <c r="J305" i="108"/>
  <c r="I305" i="108"/>
  <c r="H305" i="108"/>
  <c r="G305" i="108"/>
  <c r="F305" i="108"/>
  <c r="E305" i="108"/>
  <c r="D305" i="108"/>
  <c r="B115" i="49"/>
  <c r="E115" i="49"/>
  <c r="I115" i="49"/>
  <c r="L115" i="49"/>
  <c r="AF303" i="68"/>
  <c r="Z303" i="68"/>
  <c r="C301" i="108"/>
  <c r="G76" i="53"/>
  <c r="A16" i="112"/>
  <c r="G72" i="53"/>
  <c r="G73" i="53"/>
  <c r="C518" i="111"/>
  <c r="C519" i="111" s="1"/>
  <c r="C520" i="111" s="1"/>
  <c r="C521" i="111" s="1"/>
  <c r="C522" i="111" s="1"/>
  <c r="C523" i="111" s="1"/>
  <c r="C524" i="111" s="1"/>
  <c r="C525" i="111" s="1"/>
  <c r="C526" i="111" s="1"/>
  <c r="C527" i="111" s="1"/>
  <c r="C528" i="111" s="1"/>
  <c r="C529" i="111" s="1"/>
  <c r="C530" i="111" s="1"/>
  <c r="C531" i="111" s="1"/>
  <c r="C532" i="111" s="1"/>
  <c r="C533" i="111" s="1"/>
  <c r="C534" i="111" s="1"/>
  <c r="C535" i="111" s="1"/>
  <c r="C536" i="111" s="1"/>
  <c r="C537" i="111" s="1"/>
  <c r="C538" i="111" s="1"/>
  <c r="C539" i="111" s="1"/>
  <c r="C540" i="111" s="1"/>
  <c r="C541" i="111" s="1"/>
  <c r="C542" i="111" s="1"/>
  <c r="C543" i="111" s="1"/>
  <c r="C544" i="111" s="1"/>
  <c r="C545" i="111" s="1"/>
  <c r="C546" i="111" s="1"/>
  <c r="C547" i="111" s="1"/>
  <c r="C548" i="111" s="1"/>
  <c r="C549" i="111" s="1"/>
  <c r="C550" i="111" s="1"/>
  <c r="C551" i="111" s="1"/>
  <c r="C552" i="111" s="1"/>
  <c r="C553" i="111" s="1"/>
  <c r="C554" i="111" s="1"/>
  <c r="C555" i="111" s="1"/>
  <c r="C556" i="111" s="1"/>
  <c r="C557" i="111" s="1"/>
  <c r="C558" i="111" s="1"/>
  <c r="C559" i="111" s="1"/>
  <c r="C560" i="111" s="1"/>
  <c r="C561" i="111" s="1"/>
  <c r="C562" i="111" s="1"/>
  <c r="C563" i="111" s="1"/>
  <c r="C564" i="111" s="1"/>
  <c r="C565" i="111" s="1"/>
  <c r="C566" i="111" s="1"/>
  <c r="C567" i="111" s="1"/>
  <c r="C568" i="111" s="1"/>
  <c r="C569" i="111" s="1"/>
  <c r="C570" i="111" s="1"/>
  <c r="C571" i="111" s="1"/>
  <c r="C572" i="111" s="1"/>
  <c r="C573" i="111" s="1"/>
  <c r="C574" i="111" s="1"/>
  <c r="C575" i="111" s="1"/>
  <c r="C576" i="111" s="1"/>
  <c r="C577" i="111" s="1"/>
  <c r="C578" i="111" s="1"/>
  <c r="C579" i="111" s="1"/>
  <c r="C580" i="111" s="1"/>
  <c r="C581" i="111" s="1"/>
  <c r="C582" i="111" s="1"/>
  <c r="C583" i="111" s="1"/>
  <c r="C584" i="111" s="1"/>
  <c r="C585" i="111" s="1"/>
  <c r="C586" i="111" s="1"/>
  <c r="C587" i="111" s="1"/>
  <c r="C588" i="111" s="1"/>
  <c r="C589" i="111" s="1"/>
  <c r="C590" i="111" s="1"/>
  <c r="C591" i="111" s="1"/>
  <c r="C592" i="111" s="1"/>
  <c r="C593" i="111" s="1"/>
  <c r="C594" i="111" s="1"/>
  <c r="C595" i="111" s="1"/>
  <c r="C596" i="111" s="1"/>
  <c r="C597" i="111" s="1"/>
  <c r="C310" i="111"/>
  <c r="C311" i="111"/>
  <c r="C312" i="111"/>
  <c r="C313" i="111"/>
  <c r="C314" i="111"/>
  <c r="C315" i="111"/>
  <c r="C316" i="111"/>
  <c r="C317" i="111"/>
  <c r="C318" i="111"/>
  <c r="C319" i="111"/>
  <c r="C320" i="111"/>
  <c r="C321" i="111"/>
  <c r="C322" i="111"/>
  <c r="C323" i="111"/>
  <c r="C324" i="111"/>
  <c r="C325" i="111"/>
  <c r="C326" i="111"/>
  <c r="C327" i="111"/>
  <c r="C328" i="111"/>
  <c r="C329" i="111"/>
  <c r="C330" i="111"/>
  <c r="C331" i="111"/>
  <c r="C332" i="111"/>
  <c r="C333" i="111"/>
  <c r="C334" i="111"/>
  <c r="C335" i="111"/>
  <c r="C336" i="111"/>
  <c r="C337" i="111"/>
  <c r="C338" i="111"/>
  <c r="C339" i="111"/>
  <c r="C340" i="111"/>
  <c r="C341" i="111"/>
  <c r="C342" i="111"/>
  <c r="C343" i="111"/>
  <c r="C344" i="111"/>
  <c r="C345" i="111"/>
  <c r="C346" i="111"/>
  <c r="C347" i="111"/>
  <c r="C348" i="111"/>
  <c r="C349" i="111"/>
  <c r="C350" i="111"/>
  <c r="C351" i="111"/>
  <c r="C352" i="111"/>
  <c r="C353" i="111"/>
  <c r="C354" i="111"/>
  <c r="C355" i="111"/>
  <c r="C356" i="111"/>
  <c r="C357" i="111"/>
  <c r="C358" i="111"/>
  <c r="C359" i="111"/>
  <c r="C360" i="111"/>
  <c r="C361" i="111"/>
  <c r="C362" i="111"/>
  <c r="C363" i="111"/>
  <c r="C364" i="111"/>
  <c r="C365" i="111"/>
  <c r="C366" i="111"/>
  <c r="C367" i="111"/>
  <c r="C368" i="111"/>
  <c r="C369" i="111"/>
  <c r="C370" i="111"/>
  <c r="C371" i="111"/>
  <c r="C372" i="111"/>
  <c r="C373" i="111"/>
  <c r="C374" i="111"/>
  <c r="C375" i="111"/>
  <c r="C376" i="111"/>
  <c r="C377" i="111"/>
  <c r="C378" i="111"/>
  <c r="C379" i="111"/>
  <c r="C380" i="111"/>
  <c r="C381" i="111"/>
  <c r="C382" i="111"/>
  <c r="C383" i="111"/>
  <c r="C384" i="111"/>
  <c r="C385" i="111"/>
  <c r="C386" i="111"/>
  <c r="C387" i="111"/>
  <c r="C388" i="111"/>
  <c r="C389" i="111"/>
  <c r="C390" i="111"/>
  <c r="C391" i="111"/>
  <c r="C392" i="111"/>
  <c r="C393" i="111"/>
  <c r="C394" i="111"/>
  <c r="C395" i="111"/>
  <c r="C396" i="111"/>
  <c r="C397" i="111"/>
  <c r="C398" i="111"/>
  <c r="C399" i="111"/>
  <c r="C400" i="111"/>
  <c r="C401" i="111"/>
  <c r="C402" i="111"/>
  <c r="C403" i="111"/>
  <c r="C404" i="111"/>
  <c r="C405" i="111"/>
  <c r="C406" i="111"/>
  <c r="C407" i="111"/>
  <c r="C408" i="111"/>
  <c r="C409" i="111"/>
  <c r="C410" i="111"/>
  <c r="C411" i="111"/>
  <c r="C412" i="111"/>
  <c r="C413" i="111"/>
  <c r="C414" i="111"/>
  <c r="C415" i="111"/>
  <c r="C416" i="111"/>
  <c r="C417" i="111"/>
  <c r="C418" i="111"/>
  <c r="C419" i="111"/>
  <c r="C420" i="111"/>
  <c r="C421" i="111"/>
  <c r="C422" i="111"/>
  <c r="C423" i="111"/>
  <c r="C424" i="111"/>
  <c r="C425" i="111"/>
  <c r="C426" i="111"/>
  <c r="C427" i="111"/>
  <c r="C428" i="111"/>
  <c r="C429" i="111"/>
  <c r="C430" i="111"/>
  <c r="C431" i="111"/>
  <c r="C432" i="111"/>
  <c r="C433" i="111"/>
  <c r="C434" i="111"/>
  <c r="C435" i="111"/>
  <c r="C436" i="111"/>
  <c r="C437" i="111"/>
  <c r="C438" i="111"/>
  <c r="C439" i="111"/>
  <c r="C440" i="111"/>
  <c r="C441" i="111"/>
  <c r="C442" i="111"/>
  <c r="C443" i="111"/>
  <c r="C444" i="111"/>
  <c r="C445" i="111"/>
  <c r="C446" i="111"/>
  <c r="C447" i="111"/>
  <c r="C448" i="111"/>
  <c r="C449" i="111"/>
  <c r="C450" i="111"/>
  <c r="C451" i="111"/>
  <c r="C452" i="111"/>
  <c r="C453" i="111"/>
  <c r="C454" i="111"/>
  <c r="C455" i="111"/>
  <c r="C456" i="111"/>
  <c r="C457" i="111"/>
  <c r="C458" i="111"/>
  <c r="C459" i="111"/>
  <c r="C460" i="111"/>
  <c r="C461" i="111"/>
  <c r="C462" i="111"/>
  <c r="C463" i="111" s="1"/>
  <c r="C464" i="111" s="1"/>
  <c r="C465" i="111" s="1"/>
  <c r="C466" i="111" s="1"/>
  <c r="C467" i="111" s="1"/>
  <c r="C468" i="111" s="1"/>
  <c r="C469" i="111" s="1"/>
  <c r="C470" i="111" s="1"/>
  <c r="C471" i="111" s="1"/>
  <c r="C472" i="111" s="1"/>
  <c r="C473" i="111" s="1"/>
  <c r="C474" i="111" s="1"/>
  <c r="C475" i="111" s="1"/>
  <c r="C476" i="111" s="1"/>
  <c r="C477" i="111" s="1"/>
  <c r="C478" i="111" s="1"/>
  <c r="C479" i="111" s="1"/>
  <c r="C480" i="111" s="1"/>
  <c r="C481" i="111" s="1"/>
  <c r="C482" i="111" s="1"/>
  <c r="C483" i="111" s="1"/>
  <c r="C484" i="111" s="1"/>
  <c r="C485" i="111" s="1"/>
  <c r="C486" i="111" s="1"/>
  <c r="C487" i="111" s="1"/>
  <c r="C488" i="111" s="1"/>
  <c r="C489" i="111" s="1"/>
  <c r="C490" i="111" s="1"/>
  <c r="C491" i="111" s="1"/>
  <c r="C492" i="111" s="1"/>
  <c r="C493" i="111" s="1"/>
  <c r="C494" i="111" s="1"/>
  <c r="C495" i="111" s="1"/>
  <c r="C496" i="111" s="1"/>
  <c r="C497" i="111" s="1"/>
  <c r="C498" i="111" s="1"/>
  <c r="C499" i="111" s="1"/>
  <c r="C500" i="111" s="1"/>
  <c r="C501" i="111" s="1"/>
  <c r="C502" i="111" s="1"/>
  <c r="C503" i="111" s="1"/>
  <c r="C504" i="111" s="1"/>
  <c r="C505" i="111" s="1"/>
  <c r="C506" i="111" s="1"/>
  <c r="C507" i="111" s="1"/>
  <c r="C508" i="111" s="1"/>
  <c r="C509" i="111" s="1"/>
  <c r="C510" i="111" s="1"/>
  <c r="C511" i="111" s="1"/>
  <c r="C512" i="111" s="1"/>
  <c r="C12" i="111"/>
  <c r="C13" i="111"/>
  <c r="C14" i="111"/>
  <c r="C15" i="111"/>
  <c r="C16" i="111"/>
  <c r="C17" i="111"/>
  <c r="C18" i="111"/>
  <c r="C19" i="111"/>
  <c r="C20" i="111"/>
  <c r="C21" i="111"/>
  <c r="C22" i="111"/>
  <c r="C23" i="111"/>
  <c r="C24" i="111"/>
  <c r="C25" i="111"/>
  <c r="C26" i="111"/>
  <c r="C27" i="111"/>
  <c r="C28" i="111"/>
  <c r="C29" i="111"/>
  <c r="C30" i="111"/>
  <c r="C31" i="111"/>
  <c r="C32" i="111"/>
  <c r="C33" i="111"/>
  <c r="C34" i="111"/>
  <c r="C35" i="111"/>
  <c r="C36" i="111"/>
  <c r="C37" i="111"/>
  <c r="C38" i="111"/>
  <c r="C39" i="111"/>
  <c r="C40" i="111"/>
  <c r="C41" i="111"/>
  <c r="C42" i="111"/>
  <c r="C43" i="111"/>
  <c r="C44" i="111"/>
  <c r="C45" i="111"/>
  <c r="C46" i="111"/>
  <c r="C47" i="111"/>
  <c r="C48" i="111"/>
  <c r="C49" i="111"/>
  <c r="C50" i="111"/>
  <c r="C51" i="111"/>
  <c r="C52" i="111"/>
  <c r="C53" i="111"/>
  <c r="C54" i="111"/>
  <c r="C55" i="111"/>
  <c r="C56" i="111"/>
  <c r="C57" i="111"/>
  <c r="C58" i="111"/>
  <c r="C59" i="111"/>
  <c r="C60" i="111"/>
  <c r="C61" i="111"/>
  <c r="C62" i="111"/>
  <c r="C63" i="111"/>
  <c r="C64" i="111"/>
  <c r="C65" i="111"/>
  <c r="C66" i="111"/>
  <c r="C67" i="111"/>
  <c r="C68" i="111"/>
  <c r="C69" i="111"/>
  <c r="C70" i="111"/>
  <c r="C71" i="111"/>
  <c r="C72" i="111"/>
  <c r="C73" i="111"/>
  <c r="C74" i="111"/>
  <c r="C75" i="111"/>
  <c r="C76" i="111"/>
  <c r="C77" i="111"/>
  <c r="C78" i="111"/>
  <c r="C79" i="111"/>
  <c r="C80" i="111"/>
  <c r="C81" i="111"/>
  <c r="C82" i="111"/>
  <c r="C83" i="111"/>
  <c r="C84" i="111"/>
  <c r="C85" i="111"/>
  <c r="C86" i="111"/>
  <c r="C87" i="111"/>
  <c r="C88" i="111"/>
  <c r="C89" i="111"/>
  <c r="C90" i="111"/>
  <c r="C91" i="111"/>
  <c r="C92" i="111"/>
  <c r="C93" i="111"/>
  <c r="C94" i="111"/>
  <c r="C95" i="111"/>
  <c r="C96" i="111"/>
  <c r="C97" i="111"/>
  <c r="C98" i="111"/>
  <c r="C99" i="111"/>
  <c r="C100" i="111"/>
  <c r="C101" i="111"/>
  <c r="C102" i="111"/>
  <c r="C103" i="111"/>
  <c r="C104" i="111"/>
  <c r="C105" i="111"/>
  <c r="C106" i="111"/>
  <c r="C107" i="111"/>
  <c r="C108" i="111"/>
  <c r="C109" i="111"/>
  <c r="C110" i="111"/>
  <c r="C111" i="111"/>
  <c r="C112" i="111"/>
  <c r="C113" i="111"/>
  <c r="C114" i="111"/>
  <c r="C115" i="111"/>
  <c r="C116" i="111"/>
  <c r="C117" i="111"/>
  <c r="C118" i="111"/>
  <c r="C119" i="111"/>
  <c r="C120" i="111"/>
  <c r="C121" i="111"/>
  <c r="C122" i="111"/>
  <c r="C123" i="111"/>
  <c r="C124" i="111"/>
  <c r="C125" i="111"/>
  <c r="C126" i="111"/>
  <c r="C127" i="111"/>
  <c r="C128" i="111"/>
  <c r="C129" i="111"/>
  <c r="C130" i="111"/>
  <c r="C131" i="111"/>
  <c r="C132" i="111"/>
  <c r="C133" i="111"/>
  <c r="C134" i="111"/>
  <c r="C135" i="111"/>
  <c r="C136" i="111"/>
  <c r="C137" i="111"/>
  <c r="C138" i="111"/>
  <c r="C139" i="111"/>
  <c r="C140" i="111"/>
  <c r="C141" i="111"/>
  <c r="C142" i="111"/>
  <c r="C143" i="111"/>
  <c r="C144" i="111"/>
  <c r="C145" i="111"/>
  <c r="C146" i="111"/>
  <c r="C147" i="111"/>
  <c r="C148" i="111"/>
  <c r="C149" i="111"/>
  <c r="C150" i="111"/>
  <c r="C151" i="111"/>
  <c r="C152" i="111"/>
  <c r="C153" i="111"/>
  <c r="C154" i="111"/>
  <c r="C155" i="111"/>
  <c r="C156" i="111"/>
  <c r="C157" i="111"/>
  <c r="C158" i="111"/>
  <c r="C159" i="111"/>
  <c r="C160" i="111"/>
  <c r="C161" i="111"/>
  <c r="C162" i="111"/>
  <c r="C163" i="111"/>
  <c r="C164" i="111"/>
  <c r="C165" i="111"/>
  <c r="C166" i="111"/>
  <c r="C167" i="111"/>
  <c r="C168" i="111"/>
  <c r="C169" i="111"/>
  <c r="C170" i="111"/>
  <c r="C171" i="111"/>
  <c r="C172" i="111"/>
  <c r="C173" i="111"/>
  <c r="C174" i="111"/>
  <c r="C175" i="111"/>
  <c r="C176" i="111"/>
  <c r="C177" i="111"/>
  <c r="C178" i="111"/>
  <c r="C179" i="111"/>
  <c r="C180" i="111"/>
  <c r="C181" i="111"/>
  <c r="C182" i="111"/>
  <c r="C183" i="111"/>
  <c r="C184" i="111"/>
  <c r="C185" i="111"/>
  <c r="C186" i="111"/>
  <c r="C187" i="111"/>
  <c r="C188" i="111"/>
  <c r="C189" i="111"/>
  <c r="C190" i="111"/>
  <c r="C191" i="111"/>
  <c r="C192" i="111"/>
  <c r="C193" i="111"/>
  <c r="C194" i="111"/>
  <c r="C195" i="111"/>
  <c r="C196" i="111"/>
  <c r="C197" i="111"/>
  <c r="C198" i="111"/>
  <c r="C199" i="111"/>
  <c r="C200" i="111"/>
  <c r="C201" i="111"/>
  <c r="C202" i="111"/>
  <c r="C203" i="111"/>
  <c r="C204" i="111"/>
  <c r="C205" i="111"/>
  <c r="C206" i="111"/>
  <c r="C207" i="111"/>
  <c r="C208" i="111"/>
  <c r="C209" i="111"/>
  <c r="C210" i="111"/>
  <c r="C211" i="111"/>
  <c r="C212" i="111"/>
  <c r="C213" i="111"/>
  <c r="C214" i="111"/>
  <c r="C215" i="111"/>
  <c r="C216" i="111"/>
  <c r="C217" i="111"/>
  <c r="C218" i="111"/>
  <c r="C219" i="111"/>
  <c r="C220" i="111"/>
  <c r="C221" i="111"/>
  <c r="C222" i="111"/>
  <c r="C223" i="111"/>
  <c r="C224" i="111"/>
  <c r="C225" i="111"/>
  <c r="C226" i="111"/>
  <c r="C227" i="111"/>
  <c r="C228" i="111"/>
  <c r="C229" i="111"/>
  <c r="C230" i="111"/>
  <c r="C231" i="111"/>
  <c r="C232" i="111"/>
  <c r="C233" i="111"/>
  <c r="C234" i="111"/>
  <c r="C235" i="111"/>
  <c r="C236" i="111"/>
  <c r="C237" i="111"/>
  <c r="C238" i="111"/>
  <c r="C239" i="111"/>
  <c r="C240" i="111"/>
  <c r="C241" i="111"/>
  <c r="C242" i="111"/>
  <c r="C243" i="111"/>
  <c r="C244" i="111"/>
  <c r="C245" i="111"/>
  <c r="C246" i="111"/>
  <c r="C247" i="111"/>
  <c r="C248" i="111"/>
  <c r="C249" i="111"/>
  <c r="C250" i="111"/>
  <c r="C251" i="111"/>
  <c r="C252" i="111"/>
  <c r="C253" i="111"/>
  <c r="C254" i="111"/>
  <c r="C255" i="111"/>
  <c r="C256" i="111"/>
  <c r="C257" i="111"/>
  <c r="C258" i="111"/>
  <c r="C259" i="111"/>
  <c r="C260" i="111"/>
  <c r="C261" i="111"/>
  <c r="C262" i="111"/>
  <c r="C263" i="111"/>
  <c r="C264" i="111"/>
  <c r="C265" i="111"/>
  <c r="C266" i="111"/>
  <c r="C267" i="111"/>
  <c r="C268" i="111"/>
  <c r="C269" i="111"/>
  <c r="C270" i="111"/>
  <c r="C271" i="111"/>
  <c r="C272" i="111"/>
  <c r="C273" i="111"/>
  <c r="C274" i="111"/>
  <c r="C275" i="111"/>
  <c r="C276" i="111"/>
  <c r="C277" i="111"/>
  <c r="C278" i="111"/>
  <c r="C279" i="111"/>
  <c r="C280" i="111"/>
  <c r="C281" i="111"/>
  <c r="C282" i="111"/>
  <c r="C283" i="111"/>
  <c r="C284" i="111"/>
  <c r="C285" i="111"/>
  <c r="C286" i="111"/>
  <c r="C287" i="111"/>
  <c r="C288" i="111"/>
  <c r="C289" i="111"/>
  <c r="C290" i="111"/>
  <c r="C291" i="111"/>
  <c r="C292" i="111"/>
  <c r="C293" i="111"/>
  <c r="C294" i="111"/>
  <c r="C295" i="111"/>
  <c r="C296" i="111"/>
  <c r="C297" i="111"/>
  <c r="C298" i="111"/>
  <c r="C299" i="111"/>
  <c r="C300" i="111"/>
  <c r="C301" i="111"/>
  <c r="C302" i="111"/>
  <c r="C303" i="111"/>
  <c r="C304" i="111"/>
  <c r="C305" i="111"/>
  <c r="C306" i="111"/>
  <c r="C307" i="111"/>
  <c r="C308" i="111"/>
  <c r="C309" i="111"/>
  <c r="C11" i="111"/>
  <c r="C10" i="111"/>
  <c r="A489" i="111"/>
  <c r="A501" i="111" s="1"/>
  <c r="A513" i="111" s="1"/>
  <c r="A525" i="111" s="1"/>
  <c r="A537" i="111" s="1"/>
  <c r="A549" i="111" s="1"/>
  <c r="A561" i="111" s="1"/>
  <c r="A573" i="111" s="1"/>
  <c r="A585" i="111" s="1"/>
  <c r="A597" i="111" s="1"/>
  <c r="A609" i="111" s="1"/>
  <c r="A621" i="111" s="1"/>
  <c r="A633" i="111" s="1"/>
  <c r="A645" i="111" s="1"/>
  <c r="A657" i="111" s="1"/>
  <c r="A669" i="111" s="1"/>
  <c r="A681" i="111" s="1"/>
  <c r="A693" i="111" s="1"/>
  <c r="A488" i="111"/>
  <c r="A500" i="111" s="1"/>
  <c r="A512" i="111" s="1"/>
  <c r="A524" i="111" s="1"/>
  <c r="A536" i="111" s="1"/>
  <c r="A548" i="111" s="1"/>
  <c r="A560" i="111" s="1"/>
  <c r="A572" i="111" s="1"/>
  <c r="A584" i="111" s="1"/>
  <c r="A596" i="111" s="1"/>
  <c r="A608" i="111" s="1"/>
  <c r="A620" i="111" s="1"/>
  <c r="A632" i="111" s="1"/>
  <c r="A644" i="111" s="1"/>
  <c r="A656" i="111" s="1"/>
  <c r="A668" i="111" s="1"/>
  <c r="A680" i="111" s="1"/>
  <c r="A692" i="111" s="1"/>
  <c r="A487" i="111"/>
  <c r="A499" i="111" s="1"/>
  <c r="A511" i="111" s="1"/>
  <c r="A523" i="111" s="1"/>
  <c r="A535" i="111" s="1"/>
  <c r="A547" i="111" s="1"/>
  <c r="A559" i="111" s="1"/>
  <c r="A571" i="111" s="1"/>
  <c r="A583" i="111" s="1"/>
  <c r="A595" i="111" s="1"/>
  <c r="A607" i="111" s="1"/>
  <c r="A619" i="111" s="1"/>
  <c r="A631" i="111" s="1"/>
  <c r="A643" i="111" s="1"/>
  <c r="A655" i="111" s="1"/>
  <c r="A667" i="111" s="1"/>
  <c r="A679" i="111" s="1"/>
  <c r="A691" i="111" s="1"/>
  <c r="A486" i="111"/>
  <c r="A498" i="111" s="1"/>
  <c r="A510" i="111" s="1"/>
  <c r="A522" i="111" s="1"/>
  <c r="A534" i="111" s="1"/>
  <c r="A546" i="111" s="1"/>
  <c r="A558" i="111" s="1"/>
  <c r="A570" i="111" s="1"/>
  <c r="A582" i="111" s="1"/>
  <c r="A594" i="111" s="1"/>
  <c r="A606" i="111" s="1"/>
  <c r="A618" i="111" s="1"/>
  <c r="A630" i="111" s="1"/>
  <c r="A642" i="111" s="1"/>
  <c r="A654" i="111" s="1"/>
  <c r="A666" i="111" s="1"/>
  <c r="A678" i="111" s="1"/>
  <c r="A690" i="111" s="1"/>
  <c r="A485" i="111"/>
  <c r="A497" i="111" s="1"/>
  <c r="A509" i="111" s="1"/>
  <c r="A521" i="111" s="1"/>
  <c r="A533" i="111" s="1"/>
  <c r="A545" i="111" s="1"/>
  <c r="A557" i="111" s="1"/>
  <c r="A569" i="111" s="1"/>
  <c r="A581" i="111" s="1"/>
  <c r="A593" i="111" s="1"/>
  <c r="A605" i="111" s="1"/>
  <c r="A617" i="111" s="1"/>
  <c r="A629" i="111" s="1"/>
  <c r="A641" i="111" s="1"/>
  <c r="A653" i="111" s="1"/>
  <c r="A665" i="111" s="1"/>
  <c r="A677" i="111" s="1"/>
  <c r="A689" i="111" s="1"/>
  <c r="A484" i="111"/>
  <c r="A496" i="111" s="1"/>
  <c r="A508" i="111" s="1"/>
  <c r="A520" i="111" s="1"/>
  <c r="A532" i="111" s="1"/>
  <c r="A544" i="111" s="1"/>
  <c r="A556" i="111" s="1"/>
  <c r="A568" i="111" s="1"/>
  <c r="A580" i="111" s="1"/>
  <c r="A592" i="111" s="1"/>
  <c r="A604" i="111" s="1"/>
  <c r="A616" i="111" s="1"/>
  <c r="A628" i="111" s="1"/>
  <c r="A640" i="111" s="1"/>
  <c r="A652" i="111" s="1"/>
  <c r="A664" i="111" s="1"/>
  <c r="A676" i="111" s="1"/>
  <c r="A688" i="111" s="1"/>
  <c r="A483" i="111"/>
  <c r="A495" i="111" s="1"/>
  <c r="A507" i="111" s="1"/>
  <c r="A519" i="111" s="1"/>
  <c r="A531" i="111" s="1"/>
  <c r="A543" i="111" s="1"/>
  <c r="A555" i="111" s="1"/>
  <c r="A567" i="111" s="1"/>
  <c r="A579" i="111" s="1"/>
  <c r="A591" i="111" s="1"/>
  <c r="A603" i="111" s="1"/>
  <c r="A615" i="111" s="1"/>
  <c r="A627" i="111" s="1"/>
  <c r="A639" i="111" s="1"/>
  <c r="A651" i="111" s="1"/>
  <c r="A663" i="111" s="1"/>
  <c r="A675" i="111" s="1"/>
  <c r="A687" i="111" s="1"/>
  <c r="A482" i="111"/>
  <c r="A494" i="111" s="1"/>
  <c r="A506" i="111" s="1"/>
  <c r="A518" i="111" s="1"/>
  <c r="A530" i="111" s="1"/>
  <c r="A542" i="111" s="1"/>
  <c r="A554" i="111" s="1"/>
  <c r="A566" i="111" s="1"/>
  <c r="A578" i="111" s="1"/>
  <c r="A590" i="111" s="1"/>
  <c r="A602" i="111" s="1"/>
  <c r="A614" i="111" s="1"/>
  <c r="A626" i="111" s="1"/>
  <c r="A638" i="111" s="1"/>
  <c r="A650" i="111" s="1"/>
  <c r="A662" i="111" s="1"/>
  <c r="A674" i="111" s="1"/>
  <c r="A686" i="111" s="1"/>
  <c r="A481" i="111"/>
  <c r="A493" i="111" s="1"/>
  <c r="A505" i="111" s="1"/>
  <c r="A517" i="111" s="1"/>
  <c r="A529" i="111" s="1"/>
  <c r="A541" i="111" s="1"/>
  <c r="A553" i="111" s="1"/>
  <c r="A565" i="111" s="1"/>
  <c r="A577" i="111" s="1"/>
  <c r="A589" i="111" s="1"/>
  <c r="A601" i="111" s="1"/>
  <c r="A613" i="111" s="1"/>
  <c r="A625" i="111" s="1"/>
  <c r="A637" i="111" s="1"/>
  <c r="A649" i="111" s="1"/>
  <c r="A661" i="111" s="1"/>
  <c r="A673" i="111" s="1"/>
  <c r="A685" i="111" s="1"/>
  <c r="A480" i="111"/>
  <c r="A492" i="111" s="1"/>
  <c r="A504" i="111" s="1"/>
  <c r="A516" i="111" s="1"/>
  <c r="A528" i="111" s="1"/>
  <c r="A540" i="111" s="1"/>
  <c r="A552" i="111" s="1"/>
  <c r="A564" i="111" s="1"/>
  <c r="A576" i="111" s="1"/>
  <c r="A588" i="111" s="1"/>
  <c r="A600" i="111" s="1"/>
  <c r="A612" i="111" s="1"/>
  <c r="A624" i="111" s="1"/>
  <c r="A636" i="111" s="1"/>
  <c r="A648" i="111" s="1"/>
  <c r="A660" i="111" s="1"/>
  <c r="A672" i="111" s="1"/>
  <c r="A684" i="111" s="1"/>
  <c r="A479" i="111"/>
  <c r="A491" i="111" s="1"/>
  <c r="A503" i="111" s="1"/>
  <c r="A515" i="111" s="1"/>
  <c r="A527" i="111" s="1"/>
  <c r="A539" i="111" s="1"/>
  <c r="A551" i="111" s="1"/>
  <c r="A563" i="111" s="1"/>
  <c r="A575" i="111" s="1"/>
  <c r="A587" i="111" s="1"/>
  <c r="A599" i="111" s="1"/>
  <c r="A611" i="111" s="1"/>
  <c r="A623" i="111" s="1"/>
  <c r="A635" i="111" s="1"/>
  <c r="A647" i="111" s="1"/>
  <c r="A659" i="111" s="1"/>
  <c r="A671" i="111" s="1"/>
  <c r="A683" i="111" s="1"/>
  <c r="A478" i="111"/>
  <c r="A490" i="111" s="1"/>
  <c r="A502" i="111" s="1"/>
  <c r="A514" i="111" s="1"/>
  <c r="A526" i="111" s="1"/>
  <c r="A538" i="111" s="1"/>
  <c r="A550" i="111" s="1"/>
  <c r="A562" i="111" s="1"/>
  <c r="A574" i="111" s="1"/>
  <c r="A586" i="111" s="1"/>
  <c r="A598" i="111" s="1"/>
  <c r="A610" i="111" s="1"/>
  <c r="A622" i="111" s="1"/>
  <c r="A634" i="111" s="1"/>
  <c r="A646" i="111" s="1"/>
  <c r="A658" i="111" s="1"/>
  <c r="A670" i="111" s="1"/>
  <c r="A682" i="111" s="1"/>
  <c r="Z301" i="68"/>
  <c r="B311" i="89"/>
  <c r="B312" i="89"/>
  <c r="K301" i="108"/>
  <c r="J301" i="108"/>
  <c r="I301" i="108"/>
  <c r="H301" i="108"/>
  <c r="G301" i="108"/>
  <c r="F301" i="108"/>
  <c r="E301" i="108"/>
  <c r="D301" i="108"/>
  <c r="B114" i="49"/>
  <c r="E114" i="49"/>
  <c r="I114" i="49"/>
  <c r="L114" i="49"/>
  <c r="K297" i="108"/>
  <c r="K300" i="108"/>
  <c r="J300" i="108"/>
  <c r="I300" i="108"/>
  <c r="H300" i="108"/>
  <c r="G300" i="108"/>
  <c r="F300" i="108"/>
  <c r="E300" i="108"/>
  <c r="D300" i="108"/>
  <c r="C300" i="108"/>
  <c r="D299" i="108"/>
  <c r="B310" i="89"/>
  <c r="P41" i="95"/>
  <c r="K299" i="108"/>
  <c r="J299" i="108"/>
  <c r="I299" i="108"/>
  <c r="H299" i="108"/>
  <c r="G299" i="108"/>
  <c r="F299" i="108"/>
  <c r="E299" i="108"/>
  <c r="C299" i="108"/>
  <c r="C298" i="108"/>
  <c r="E296" i="108"/>
  <c r="J112" i="49"/>
  <c r="I112" i="49" s="1"/>
  <c r="M112" i="49"/>
  <c r="L112" i="49" s="1"/>
  <c r="J113" i="49"/>
  <c r="I113" i="49" s="1"/>
  <c r="M113" i="49"/>
  <c r="L113" i="49" s="1"/>
  <c r="C112" i="49"/>
  <c r="B112" i="49" s="1"/>
  <c r="F112" i="49"/>
  <c r="E112" i="49" s="1"/>
  <c r="C113" i="49"/>
  <c r="B113" i="49" s="1"/>
  <c r="F113" i="49"/>
  <c r="E113" i="49" s="1"/>
  <c r="K298" i="108"/>
  <c r="J298" i="108"/>
  <c r="I298" i="108"/>
  <c r="H298" i="108"/>
  <c r="G298" i="108"/>
  <c r="F298" i="108"/>
  <c r="E298" i="108"/>
  <c r="D298" i="108"/>
  <c r="J297" i="108"/>
  <c r="I297" i="108"/>
  <c r="H297" i="108"/>
  <c r="G297" i="108"/>
  <c r="F297" i="108"/>
  <c r="E297" i="108"/>
  <c r="D297" i="108"/>
  <c r="C297" i="108"/>
  <c r="K296" i="108"/>
  <c r="J296" i="108"/>
  <c r="I296" i="108"/>
  <c r="H296" i="108"/>
  <c r="G296" i="108"/>
  <c r="F296" i="108"/>
  <c r="D296" i="108"/>
  <c r="L307" i="108"/>
  <c r="C296" i="108"/>
  <c r="P235" i="3"/>
  <c r="H308" i="11"/>
  <c r="Z295" i="68"/>
  <c r="B236" i="3"/>
  <c r="L308" i="108"/>
  <c r="L309" i="108"/>
  <c r="L310" i="108"/>
  <c r="L311" i="108"/>
  <c r="L312" i="108"/>
  <c r="L313" i="108"/>
  <c r="L314" i="108"/>
  <c r="L315" i="108"/>
  <c r="L316" i="108"/>
  <c r="L317" i="108"/>
  <c r="L318" i="108"/>
  <c r="L319" i="108"/>
  <c r="L320" i="108"/>
  <c r="L322" i="108"/>
  <c r="L323" i="108"/>
  <c r="L324" i="108"/>
  <c r="L329" i="108"/>
  <c r="L332" i="108"/>
  <c r="L333" i="108"/>
  <c r="L334" i="108"/>
  <c r="L335" i="108"/>
  <c r="L336" i="108"/>
  <c r="L337" i="108"/>
  <c r="L338" i="108"/>
  <c r="L339" i="108"/>
  <c r="L340" i="108"/>
  <c r="L341" i="108"/>
  <c r="L342" i="108"/>
  <c r="L343" i="108"/>
  <c r="L344" i="108"/>
  <c r="L345" i="108"/>
  <c r="L347" i="108"/>
  <c r="L348" i="108"/>
  <c r="L349" i="108"/>
  <c r="L350" i="108"/>
  <c r="L351" i="108"/>
  <c r="L352" i="108"/>
  <c r="L353" i="108"/>
  <c r="L354" i="108"/>
  <c r="L355" i="108"/>
  <c r="L356" i="108"/>
  <c r="L357" i="108"/>
  <c r="A225" i="108"/>
  <c r="A237" i="108" s="1"/>
  <c r="A249" i="108" s="1"/>
  <c r="A261" i="108" s="1"/>
  <c r="A273" i="108" s="1"/>
  <c r="A285" i="108" s="1"/>
  <c r="A297" i="108" s="1"/>
  <c r="A309" i="108" s="1"/>
  <c r="A321" i="108" s="1"/>
  <c r="A333" i="108" s="1"/>
  <c r="A345" i="108" s="1"/>
  <c r="A357" i="108" s="1"/>
  <c r="A369" i="108" s="1"/>
  <c r="A381" i="108" s="1"/>
  <c r="A393" i="108" s="1"/>
  <c r="A405" i="108" s="1"/>
  <c r="A417" i="108" s="1"/>
  <c r="A429" i="108" s="1"/>
  <c r="A441" i="108" s="1"/>
  <c r="A453" i="108" s="1"/>
  <c r="A465" i="108" s="1"/>
  <c r="A477" i="108" s="1"/>
  <c r="A224" i="108"/>
  <c r="A236" i="108" s="1"/>
  <c r="A248" i="108" s="1"/>
  <c r="A260" i="108" s="1"/>
  <c r="A272" i="108" s="1"/>
  <c r="A284" i="108" s="1"/>
  <c r="A296" i="108" s="1"/>
  <c r="A308" i="108" s="1"/>
  <c r="A320" i="108" s="1"/>
  <c r="A332" i="108" s="1"/>
  <c r="A344" i="108" s="1"/>
  <c r="A356" i="108" s="1"/>
  <c r="A368" i="108" s="1"/>
  <c r="A380" i="108" s="1"/>
  <c r="A223" i="108"/>
  <c r="A235" i="108" s="1"/>
  <c r="A247" i="108" s="1"/>
  <c r="A259" i="108" s="1"/>
  <c r="A271" i="108" s="1"/>
  <c r="A283" i="108" s="1"/>
  <c r="A295" i="108" s="1"/>
  <c r="A307" i="108" s="1"/>
  <c r="A319" i="108" s="1"/>
  <c r="A331" i="108" s="1"/>
  <c r="A343" i="108" s="1"/>
  <c r="A355" i="108" s="1"/>
  <c r="A367" i="108" s="1"/>
  <c r="A379" i="108" s="1"/>
  <c r="A391" i="108" s="1"/>
  <c r="A403" i="108" s="1"/>
  <c r="A415" i="108" s="1"/>
  <c r="A427" i="108" s="1"/>
  <c r="A439" i="108" s="1"/>
  <c r="A451" i="108" s="1"/>
  <c r="A463" i="108" s="1"/>
  <c r="A475" i="108" s="1"/>
  <c r="A222" i="108"/>
  <c r="A234" i="108" s="1"/>
  <c r="A246" i="108" s="1"/>
  <c r="A258" i="108" s="1"/>
  <c r="A270" i="108" s="1"/>
  <c r="A282" i="108" s="1"/>
  <c r="A294" i="108" s="1"/>
  <c r="A306" i="108" s="1"/>
  <c r="A318" i="108" s="1"/>
  <c r="A330" i="108" s="1"/>
  <c r="A342" i="108" s="1"/>
  <c r="A354" i="108" s="1"/>
  <c r="A366" i="108" s="1"/>
  <c r="A378" i="108" s="1"/>
  <c r="A390" i="108" s="1"/>
  <c r="A402" i="108" s="1"/>
  <c r="A414" i="108" s="1"/>
  <c r="A426" i="108" s="1"/>
  <c r="A438" i="108" s="1"/>
  <c r="A450" i="108" s="1"/>
  <c r="A462" i="108" s="1"/>
  <c r="A474" i="108" s="1"/>
  <c r="A221" i="108"/>
  <c r="A233" i="108" s="1"/>
  <c r="A245" i="108" s="1"/>
  <c r="A257" i="108" s="1"/>
  <c r="A269" i="108" s="1"/>
  <c r="A281" i="108" s="1"/>
  <c r="A293" i="108" s="1"/>
  <c r="A305" i="108" s="1"/>
  <c r="A317" i="108" s="1"/>
  <c r="A329" i="108" s="1"/>
  <c r="A341" i="108" s="1"/>
  <c r="A353" i="108" s="1"/>
  <c r="A365" i="108" s="1"/>
  <c r="A377" i="108" s="1"/>
  <c r="A389" i="108" s="1"/>
  <c r="A401" i="108" s="1"/>
  <c r="A413" i="108" s="1"/>
  <c r="A425" i="108" s="1"/>
  <c r="A437" i="108" s="1"/>
  <c r="A449" i="108" s="1"/>
  <c r="A461" i="108" s="1"/>
  <c r="A473" i="108" s="1"/>
  <c r="A220" i="108"/>
  <c r="A232" i="108" s="1"/>
  <c r="A244" i="108" s="1"/>
  <c r="A256" i="108" s="1"/>
  <c r="A268" i="108" s="1"/>
  <c r="A280" i="108" s="1"/>
  <c r="A292" i="108" s="1"/>
  <c r="A304" i="108" s="1"/>
  <c r="A316" i="108" s="1"/>
  <c r="A328" i="108" s="1"/>
  <c r="A340" i="108" s="1"/>
  <c r="A352" i="108" s="1"/>
  <c r="A364" i="108" s="1"/>
  <c r="A376" i="108" s="1"/>
  <c r="A388" i="108" s="1"/>
  <c r="A400" i="108" s="1"/>
  <c r="A412" i="108" s="1"/>
  <c r="A424" i="108" s="1"/>
  <c r="A436" i="108" s="1"/>
  <c r="A448" i="108" s="1"/>
  <c r="A460" i="108" s="1"/>
  <c r="A472" i="108" s="1"/>
  <c r="A219" i="108"/>
  <c r="A231" i="108" s="1"/>
  <c r="A243" i="108" s="1"/>
  <c r="A255" i="108" s="1"/>
  <c r="A267" i="108" s="1"/>
  <c r="A279" i="108" s="1"/>
  <c r="A291" i="108" s="1"/>
  <c r="A303" i="108" s="1"/>
  <c r="A315" i="108" s="1"/>
  <c r="A327" i="108" s="1"/>
  <c r="A339" i="108" s="1"/>
  <c r="A351" i="108" s="1"/>
  <c r="A363" i="108" s="1"/>
  <c r="A375" i="108" s="1"/>
  <c r="A387" i="108" s="1"/>
  <c r="A399" i="108" s="1"/>
  <c r="A411" i="108" s="1"/>
  <c r="A423" i="108" s="1"/>
  <c r="A435" i="108" s="1"/>
  <c r="A447" i="108" s="1"/>
  <c r="A459" i="108" s="1"/>
  <c r="A471" i="108" s="1"/>
  <c r="A218" i="108"/>
  <c r="A230" i="108" s="1"/>
  <c r="A242" i="108" s="1"/>
  <c r="A254" i="108" s="1"/>
  <c r="A266" i="108" s="1"/>
  <c r="A278" i="108" s="1"/>
  <c r="A290" i="108" s="1"/>
  <c r="A302" i="108" s="1"/>
  <c r="A314" i="108" s="1"/>
  <c r="A326" i="108" s="1"/>
  <c r="A338" i="108" s="1"/>
  <c r="A350" i="108" s="1"/>
  <c r="A362" i="108" s="1"/>
  <c r="A374" i="108" s="1"/>
  <c r="A386" i="108" s="1"/>
  <c r="A398" i="108" s="1"/>
  <c r="A410" i="108" s="1"/>
  <c r="A422" i="108" s="1"/>
  <c r="A434" i="108" s="1"/>
  <c r="A446" i="108" s="1"/>
  <c r="A458" i="108" s="1"/>
  <c r="A470" i="108" s="1"/>
  <c r="A217" i="108"/>
  <c r="A229" i="108" s="1"/>
  <c r="A241" i="108" s="1"/>
  <c r="A253" i="108" s="1"/>
  <c r="A265" i="108" s="1"/>
  <c r="A277" i="108" s="1"/>
  <c r="A289" i="108" s="1"/>
  <c r="A301" i="108" s="1"/>
  <c r="A313" i="108" s="1"/>
  <c r="A325" i="108" s="1"/>
  <c r="A337" i="108" s="1"/>
  <c r="A349" i="108" s="1"/>
  <c r="A361" i="108" s="1"/>
  <c r="A373" i="108" s="1"/>
  <c r="A385" i="108" s="1"/>
  <c r="A397" i="108" s="1"/>
  <c r="A409" i="108" s="1"/>
  <c r="A421" i="108" s="1"/>
  <c r="A433" i="108" s="1"/>
  <c r="A445" i="108" s="1"/>
  <c r="A457" i="108" s="1"/>
  <c r="A469" i="108" s="1"/>
  <c r="A216" i="108"/>
  <c r="A228" i="108" s="1"/>
  <c r="A240" i="108" s="1"/>
  <c r="A252" i="108" s="1"/>
  <c r="A264" i="108" s="1"/>
  <c r="A276" i="108" s="1"/>
  <c r="A288" i="108" s="1"/>
  <c r="A300" i="108" s="1"/>
  <c r="A312" i="108" s="1"/>
  <c r="A324" i="108" s="1"/>
  <c r="A336" i="108" s="1"/>
  <c r="A348" i="108" s="1"/>
  <c r="A360" i="108" s="1"/>
  <c r="A372" i="108" s="1"/>
  <c r="A384" i="108" s="1"/>
  <c r="A396" i="108" s="1"/>
  <c r="A408" i="108" s="1"/>
  <c r="A420" i="108" s="1"/>
  <c r="A432" i="108" s="1"/>
  <c r="A444" i="108" s="1"/>
  <c r="A456" i="108" s="1"/>
  <c r="A468" i="108" s="1"/>
  <c r="A215" i="108"/>
  <c r="A227" i="108" s="1"/>
  <c r="A239" i="108" s="1"/>
  <c r="A251" i="108" s="1"/>
  <c r="A263" i="108" s="1"/>
  <c r="A275" i="108" s="1"/>
  <c r="A287" i="108" s="1"/>
  <c r="A299" i="108" s="1"/>
  <c r="A311" i="108" s="1"/>
  <c r="A323" i="108" s="1"/>
  <c r="A335" i="108" s="1"/>
  <c r="A347" i="108" s="1"/>
  <c r="A359" i="108" s="1"/>
  <c r="A371" i="108" s="1"/>
  <c r="A383" i="108" s="1"/>
  <c r="A395" i="108" s="1"/>
  <c r="A407" i="108" s="1"/>
  <c r="A419" i="108" s="1"/>
  <c r="A431" i="108" s="1"/>
  <c r="A443" i="108" s="1"/>
  <c r="A455" i="108" s="1"/>
  <c r="A467" i="108" s="1"/>
  <c r="A214" i="108"/>
  <c r="A226" i="108" s="1"/>
  <c r="A238" i="108" s="1"/>
  <c r="A250" i="108" s="1"/>
  <c r="A262" i="108" s="1"/>
  <c r="A274" i="108" s="1"/>
  <c r="A286" i="108" s="1"/>
  <c r="A298" i="108" s="1"/>
  <c r="A310" i="108" s="1"/>
  <c r="A322" i="108" s="1"/>
  <c r="A334" i="108" s="1"/>
  <c r="A346" i="108" s="1"/>
  <c r="A358" i="108" s="1"/>
  <c r="A370" i="108" s="1"/>
  <c r="A382" i="108" s="1"/>
  <c r="A394" i="108" s="1"/>
  <c r="A406" i="108" s="1"/>
  <c r="A418" i="108" s="1"/>
  <c r="A430" i="108" s="1"/>
  <c r="A442" i="108" s="1"/>
  <c r="A454" i="108" s="1"/>
  <c r="A466" i="108" s="1"/>
  <c r="L9" i="108"/>
  <c r="B235" i="3"/>
  <c r="D235" i="3"/>
  <c r="D236" i="3" s="1"/>
  <c r="Z292" i="68"/>
  <c r="C261" i="59"/>
  <c r="C260" i="59"/>
  <c r="C262" i="59"/>
  <c r="S22" i="95"/>
  <c r="V48" i="95"/>
  <c r="V45" i="95"/>
  <c r="V44" i="95"/>
  <c r="V43" i="95"/>
  <c r="V41" i="95"/>
  <c r="P49" i="95"/>
  <c r="P48" i="95"/>
  <c r="P47" i="95"/>
  <c r="P46" i="95"/>
  <c r="P43" i="95"/>
  <c r="P44" i="95"/>
  <c r="P45" i="95"/>
  <c r="O21" i="95"/>
  <c r="O14" i="95"/>
  <c r="P236" i="3"/>
  <c r="E235" i="3"/>
  <c r="E236" i="3" s="1"/>
  <c r="F235" i="3"/>
  <c r="F236" i="3" s="1"/>
  <c r="G235" i="3"/>
  <c r="G236" i="3" s="1"/>
  <c r="H235" i="3"/>
  <c r="I235" i="3"/>
  <c r="I236" i="3" s="1"/>
  <c r="J235" i="3"/>
  <c r="J236" i="3" s="1"/>
  <c r="K235" i="3"/>
  <c r="K236" i="3" s="1"/>
  <c r="L235" i="3"/>
  <c r="L236" i="3" s="1"/>
  <c r="M235" i="3"/>
  <c r="M236" i="3" s="1"/>
  <c r="N235" i="3"/>
  <c r="N236" i="3" s="1"/>
  <c r="G20" i="53"/>
  <c r="C111" i="49"/>
  <c r="B111" i="49" s="1"/>
  <c r="F111" i="49"/>
  <c r="E111" i="49" s="1"/>
  <c r="J111" i="49"/>
  <c r="I111" i="49" s="1"/>
  <c r="M111" i="49"/>
  <c r="L111" i="49" s="1"/>
  <c r="G66" i="53"/>
  <c r="A165" i="107"/>
  <c r="A177" i="107" s="1"/>
  <c r="A189" i="107" s="1"/>
  <c r="A201" i="107" s="1"/>
  <c r="A213" i="107" s="1"/>
  <c r="A225" i="107" s="1"/>
  <c r="A237" i="107" s="1"/>
  <c r="A249" i="107" s="1"/>
  <c r="A261" i="107" s="1"/>
  <c r="A273" i="107" s="1"/>
  <c r="A285" i="107" s="1"/>
  <c r="A297" i="107" s="1"/>
  <c r="A309" i="107" s="1"/>
  <c r="A321" i="107" s="1"/>
  <c r="A333" i="107" s="1"/>
  <c r="A345" i="107" s="1"/>
  <c r="A357" i="107" s="1"/>
  <c r="A369" i="107" s="1"/>
  <c r="A164" i="107"/>
  <c r="A176" i="107" s="1"/>
  <c r="A188" i="107" s="1"/>
  <c r="A200" i="107" s="1"/>
  <c r="A212" i="107" s="1"/>
  <c r="A224" i="107" s="1"/>
  <c r="A236" i="107" s="1"/>
  <c r="A248" i="107" s="1"/>
  <c r="A260" i="107" s="1"/>
  <c r="A272" i="107" s="1"/>
  <c r="A284" i="107" s="1"/>
  <c r="A296" i="107" s="1"/>
  <c r="A308" i="107" s="1"/>
  <c r="A320" i="107" s="1"/>
  <c r="A332" i="107" s="1"/>
  <c r="A344" i="107" s="1"/>
  <c r="A356" i="107" s="1"/>
  <c r="A368" i="107" s="1"/>
  <c r="A163" i="107"/>
  <c r="A175" i="107" s="1"/>
  <c r="A187" i="107" s="1"/>
  <c r="A199" i="107" s="1"/>
  <c r="A211" i="107" s="1"/>
  <c r="A223" i="107" s="1"/>
  <c r="A235" i="107" s="1"/>
  <c r="A247" i="107" s="1"/>
  <c r="A259" i="107" s="1"/>
  <c r="A271" i="107" s="1"/>
  <c r="A283" i="107" s="1"/>
  <c r="A295" i="107" s="1"/>
  <c r="A307" i="107" s="1"/>
  <c r="A319" i="107" s="1"/>
  <c r="A331" i="107" s="1"/>
  <c r="A343" i="107" s="1"/>
  <c r="A355" i="107" s="1"/>
  <c r="A367" i="107" s="1"/>
  <c r="A162" i="107"/>
  <c r="A174" i="107" s="1"/>
  <c r="A186" i="107" s="1"/>
  <c r="A198" i="107" s="1"/>
  <c r="A210" i="107" s="1"/>
  <c r="A222" i="107" s="1"/>
  <c r="A234" i="107" s="1"/>
  <c r="A246" i="107" s="1"/>
  <c r="A258" i="107" s="1"/>
  <c r="A270" i="107" s="1"/>
  <c r="A282" i="107" s="1"/>
  <c r="A294" i="107" s="1"/>
  <c r="A306" i="107" s="1"/>
  <c r="A318" i="107" s="1"/>
  <c r="A330" i="107" s="1"/>
  <c r="A342" i="107" s="1"/>
  <c r="A354" i="107" s="1"/>
  <c r="A366" i="107" s="1"/>
  <c r="A161" i="107"/>
  <c r="A173" i="107" s="1"/>
  <c r="A185" i="107" s="1"/>
  <c r="A197" i="107" s="1"/>
  <c r="A209" i="107" s="1"/>
  <c r="A221" i="107" s="1"/>
  <c r="A233" i="107" s="1"/>
  <c r="A245" i="107" s="1"/>
  <c r="A257" i="107" s="1"/>
  <c r="A269" i="107" s="1"/>
  <c r="A281" i="107" s="1"/>
  <c r="A293" i="107" s="1"/>
  <c r="A305" i="107" s="1"/>
  <c r="A317" i="107" s="1"/>
  <c r="A329" i="107" s="1"/>
  <c r="A341" i="107" s="1"/>
  <c r="A353" i="107" s="1"/>
  <c r="A365" i="107" s="1"/>
  <c r="A160" i="107"/>
  <c r="A172" i="107" s="1"/>
  <c r="A184" i="107" s="1"/>
  <c r="A196" i="107" s="1"/>
  <c r="A208" i="107" s="1"/>
  <c r="A220" i="107" s="1"/>
  <c r="A232" i="107" s="1"/>
  <c r="A244" i="107" s="1"/>
  <c r="A256" i="107" s="1"/>
  <c r="A268" i="107" s="1"/>
  <c r="A280" i="107" s="1"/>
  <c r="A292" i="107" s="1"/>
  <c r="A304" i="107" s="1"/>
  <c r="A316" i="107" s="1"/>
  <c r="A328" i="107" s="1"/>
  <c r="A340" i="107" s="1"/>
  <c r="A352" i="107" s="1"/>
  <c r="A364" i="107" s="1"/>
  <c r="A159" i="107"/>
  <c r="A171" i="107" s="1"/>
  <c r="A183" i="107" s="1"/>
  <c r="A195" i="107" s="1"/>
  <c r="A207" i="107" s="1"/>
  <c r="A219" i="107" s="1"/>
  <c r="A231" i="107" s="1"/>
  <c r="A243" i="107" s="1"/>
  <c r="A255" i="107" s="1"/>
  <c r="A267" i="107" s="1"/>
  <c r="A279" i="107" s="1"/>
  <c r="A291" i="107" s="1"/>
  <c r="A303" i="107" s="1"/>
  <c r="A315" i="107" s="1"/>
  <c r="A327" i="107" s="1"/>
  <c r="A339" i="107" s="1"/>
  <c r="A351" i="107" s="1"/>
  <c r="A363" i="107" s="1"/>
  <c r="A158" i="107"/>
  <c r="A170" i="107" s="1"/>
  <c r="A182" i="107" s="1"/>
  <c r="A194" i="107" s="1"/>
  <c r="A206" i="107" s="1"/>
  <c r="A218" i="107" s="1"/>
  <c r="A230" i="107" s="1"/>
  <c r="A242" i="107" s="1"/>
  <c r="A254" i="107" s="1"/>
  <c r="A266" i="107" s="1"/>
  <c r="A278" i="107" s="1"/>
  <c r="A290" i="107" s="1"/>
  <c r="A302" i="107" s="1"/>
  <c r="A314" i="107" s="1"/>
  <c r="A326" i="107" s="1"/>
  <c r="A338" i="107" s="1"/>
  <c r="A350" i="107" s="1"/>
  <c r="A362" i="107" s="1"/>
  <c r="A157" i="107"/>
  <c r="A169" i="107" s="1"/>
  <c r="A181" i="107" s="1"/>
  <c r="A193" i="107" s="1"/>
  <c r="A205" i="107" s="1"/>
  <c r="A217" i="107" s="1"/>
  <c r="A229" i="107" s="1"/>
  <c r="A241" i="107" s="1"/>
  <c r="A253" i="107" s="1"/>
  <c r="A265" i="107" s="1"/>
  <c r="A277" i="107" s="1"/>
  <c r="A289" i="107" s="1"/>
  <c r="A301" i="107" s="1"/>
  <c r="A313" i="107" s="1"/>
  <c r="A325" i="107" s="1"/>
  <c r="A337" i="107" s="1"/>
  <c r="A349" i="107" s="1"/>
  <c r="A361" i="107" s="1"/>
  <c r="A156" i="107"/>
  <c r="A168" i="107" s="1"/>
  <c r="A180" i="107" s="1"/>
  <c r="A192" i="107" s="1"/>
  <c r="A204" i="107" s="1"/>
  <c r="A216" i="107" s="1"/>
  <c r="A228" i="107" s="1"/>
  <c r="A240" i="107" s="1"/>
  <c r="A252" i="107" s="1"/>
  <c r="A264" i="107" s="1"/>
  <c r="A276" i="107" s="1"/>
  <c r="A288" i="107" s="1"/>
  <c r="A300" i="107" s="1"/>
  <c r="A312" i="107" s="1"/>
  <c r="A324" i="107" s="1"/>
  <c r="A336" i="107" s="1"/>
  <c r="A348" i="107" s="1"/>
  <c r="A360" i="107" s="1"/>
  <c r="A155" i="107"/>
  <c r="A167" i="107" s="1"/>
  <c r="A179" i="107" s="1"/>
  <c r="A191" i="107" s="1"/>
  <c r="A203" i="107" s="1"/>
  <c r="A215" i="107" s="1"/>
  <c r="A227" i="107" s="1"/>
  <c r="A239" i="107" s="1"/>
  <c r="A251" i="107" s="1"/>
  <c r="A263" i="107" s="1"/>
  <c r="A275" i="107" s="1"/>
  <c r="A287" i="107" s="1"/>
  <c r="A299" i="107" s="1"/>
  <c r="A311" i="107" s="1"/>
  <c r="A323" i="107" s="1"/>
  <c r="A335" i="107" s="1"/>
  <c r="A347" i="107" s="1"/>
  <c r="A359" i="107" s="1"/>
  <c r="A154" i="107"/>
  <c r="A166" i="107" s="1"/>
  <c r="A178" i="107" s="1"/>
  <c r="A190" i="107" s="1"/>
  <c r="A202" i="107" s="1"/>
  <c r="A214" i="107" s="1"/>
  <c r="A226" i="107" s="1"/>
  <c r="A238" i="107" s="1"/>
  <c r="A250" i="107" s="1"/>
  <c r="A262" i="107" s="1"/>
  <c r="A274" i="107" s="1"/>
  <c r="A286" i="107" s="1"/>
  <c r="A298" i="107" s="1"/>
  <c r="A310" i="107" s="1"/>
  <c r="A322" i="107" s="1"/>
  <c r="A334" i="107" s="1"/>
  <c r="A346" i="107" s="1"/>
  <c r="A358" i="107" s="1"/>
  <c r="Z289" i="68"/>
  <c r="B299" i="89"/>
  <c r="J200" i="106"/>
  <c r="J199" i="106"/>
  <c r="J198" i="106"/>
  <c r="J197" i="106"/>
  <c r="J196" i="106"/>
  <c r="S193" i="106"/>
  <c r="J193" i="106"/>
  <c r="S192" i="106"/>
  <c r="J192" i="106"/>
  <c r="S191" i="106"/>
  <c r="J191" i="106"/>
  <c r="S190" i="106"/>
  <c r="J190" i="106"/>
  <c r="S189" i="106"/>
  <c r="J189" i="106"/>
  <c r="S188" i="106"/>
  <c r="J188" i="106"/>
  <c r="S187" i="106"/>
  <c r="J187" i="106"/>
  <c r="S186" i="106"/>
  <c r="J186" i="106"/>
  <c r="S185" i="106"/>
  <c r="J185" i="106"/>
  <c r="S184" i="106"/>
  <c r="J184" i="106"/>
  <c r="S183" i="106"/>
  <c r="J183" i="106"/>
  <c r="S182" i="106"/>
  <c r="J182" i="106"/>
  <c r="S181" i="106"/>
  <c r="J181" i="106"/>
  <c r="S180" i="106"/>
  <c r="J180" i="106"/>
  <c r="S179" i="106"/>
  <c r="J179" i="106"/>
  <c r="S178" i="106"/>
  <c r="J178" i="106"/>
  <c r="S177" i="106"/>
  <c r="J177" i="106"/>
  <c r="S176" i="106"/>
  <c r="J176" i="106"/>
  <c r="S175" i="106"/>
  <c r="J175" i="106"/>
  <c r="S174" i="106"/>
  <c r="J174" i="106"/>
  <c r="S173" i="106"/>
  <c r="J173" i="106"/>
  <c r="S172" i="106"/>
  <c r="J172" i="106"/>
  <c r="S171" i="106"/>
  <c r="J171" i="106"/>
  <c r="S170" i="106"/>
  <c r="J170" i="106"/>
  <c r="S169" i="106"/>
  <c r="J169" i="106"/>
  <c r="S168" i="106"/>
  <c r="J168" i="106"/>
  <c r="S167" i="106"/>
  <c r="J167" i="106"/>
  <c r="S166" i="106"/>
  <c r="J166" i="106"/>
  <c r="S165" i="106"/>
  <c r="J165" i="106"/>
  <c r="S164" i="106"/>
  <c r="J164" i="106"/>
  <c r="S163" i="106"/>
  <c r="J163" i="106"/>
  <c r="S162" i="106"/>
  <c r="J162" i="106"/>
  <c r="S161" i="106"/>
  <c r="J161" i="106"/>
  <c r="S160" i="106"/>
  <c r="J160" i="106"/>
  <c r="S159" i="106"/>
  <c r="J159" i="106"/>
  <c r="S158" i="106"/>
  <c r="J158" i="106"/>
  <c r="S157" i="106"/>
  <c r="J157" i="106"/>
  <c r="S156" i="106"/>
  <c r="J156" i="106"/>
  <c r="S155" i="106"/>
  <c r="J155" i="106"/>
  <c r="S154" i="106"/>
  <c r="J154" i="106"/>
  <c r="S153" i="106"/>
  <c r="J153" i="106"/>
  <c r="S152" i="106"/>
  <c r="J152" i="106"/>
  <c r="S151" i="106"/>
  <c r="J151" i="106"/>
  <c r="S150" i="106"/>
  <c r="J150" i="106"/>
  <c r="S149" i="106"/>
  <c r="J149" i="106"/>
  <c r="S148" i="106"/>
  <c r="J148" i="106"/>
  <c r="S147" i="106"/>
  <c r="J147" i="106"/>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117" i="14"/>
  <c r="G116"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92" i="14"/>
  <c r="B110" i="49"/>
  <c r="F110" i="49"/>
  <c r="E110" i="49" s="1"/>
  <c r="J110" i="49"/>
  <c r="I110" i="49" s="1"/>
  <c r="M110" i="49"/>
  <c r="L110" i="49" s="1"/>
  <c r="H298" i="11"/>
  <c r="H297" i="11"/>
  <c r="D287" i="89"/>
  <c r="B298" i="89"/>
  <c r="G33" i="53"/>
  <c r="G32" i="53"/>
  <c r="G89" i="53" s="1"/>
  <c r="G18" i="53"/>
  <c r="D227" i="105"/>
  <c r="D205" i="105"/>
  <c r="D206" i="105"/>
  <c r="D207" i="105"/>
  <c r="D208" i="105"/>
  <c r="D209" i="105"/>
  <c r="D210" i="105"/>
  <c r="D212" i="105"/>
  <c r="D213" i="105"/>
  <c r="D214" i="105"/>
  <c r="D215" i="105"/>
  <c r="D216" i="105"/>
  <c r="D217" i="105"/>
  <c r="D218" i="105"/>
  <c r="D219" i="105"/>
  <c r="D220" i="105"/>
  <c r="D221" i="105"/>
  <c r="D222" i="105"/>
  <c r="D223" i="105"/>
  <c r="D224" i="105"/>
  <c r="D225" i="105"/>
  <c r="D226" i="105"/>
  <c r="D228" i="105"/>
  <c r="D229" i="105"/>
  <c r="D230" i="105"/>
  <c r="D231" i="105"/>
  <c r="D232" i="105"/>
  <c r="D233" i="105"/>
  <c r="D234" i="105"/>
  <c r="D235" i="105"/>
  <c r="D236" i="105"/>
  <c r="D237" i="105"/>
  <c r="D238" i="105"/>
  <c r="D239" i="105"/>
  <c r="D240" i="105"/>
  <c r="D204" i="105"/>
  <c r="D199"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22" i="105"/>
  <c r="D123" i="105"/>
  <c r="D124" i="105"/>
  <c r="D125" i="105"/>
  <c r="D126" i="105"/>
  <c r="D127" i="105"/>
  <c r="D128" i="105"/>
  <c r="D129" i="105"/>
  <c r="D130" i="105"/>
  <c r="D131" i="105"/>
  <c r="D132" i="105"/>
  <c r="D133" i="105"/>
  <c r="D134" i="105"/>
  <c r="D135" i="105"/>
  <c r="D136" i="105"/>
  <c r="D137" i="105"/>
  <c r="D138" i="105"/>
  <c r="D139" i="105"/>
  <c r="D140" i="105"/>
  <c r="D141" i="105"/>
  <c r="D142" i="105"/>
  <c r="D143" i="105"/>
  <c r="D144" i="105"/>
  <c r="D145" i="105"/>
  <c r="D146" i="105"/>
  <c r="D147" i="105"/>
  <c r="D148" i="105"/>
  <c r="D149" i="105"/>
  <c r="D150" i="105"/>
  <c r="D151" i="105"/>
  <c r="D152" i="105"/>
  <c r="D153" i="105"/>
  <c r="D154" i="105"/>
  <c r="D155" i="105"/>
  <c r="D156" i="105"/>
  <c r="D157" i="105"/>
  <c r="D158" i="105"/>
  <c r="D159" i="105"/>
  <c r="D160" i="105"/>
  <c r="D161" i="105"/>
  <c r="D162" i="105"/>
  <c r="D163" i="105"/>
  <c r="D164" i="105"/>
  <c r="D165" i="105"/>
  <c r="D166" i="105"/>
  <c r="D167" i="105"/>
  <c r="D168" i="105"/>
  <c r="D169" i="105"/>
  <c r="D170" i="105"/>
  <c r="D171" i="105"/>
  <c r="D172" i="105"/>
  <c r="D173" i="105"/>
  <c r="D174" i="105"/>
  <c r="D175" i="105"/>
  <c r="D176" i="105"/>
  <c r="D177" i="105"/>
  <c r="D178" i="105"/>
  <c r="D179" i="105"/>
  <c r="D180" i="105"/>
  <c r="D181" i="105"/>
  <c r="D182" i="105"/>
  <c r="D183" i="105"/>
  <c r="D184" i="105"/>
  <c r="D185" i="105"/>
  <c r="D186" i="105"/>
  <c r="D187" i="105"/>
  <c r="D188" i="105"/>
  <c r="D189" i="105"/>
  <c r="D190" i="105"/>
  <c r="D191" i="105"/>
  <c r="D192" i="105"/>
  <c r="D193" i="105"/>
  <c r="D194" i="105"/>
  <c r="D195" i="105"/>
  <c r="D196" i="105"/>
  <c r="D197" i="105"/>
  <c r="D198" i="105"/>
  <c r="D200" i="105"/>
  <c r="D201" i="105"/>
  <c r="D202" i="105"/>
  <c r="D203" i="105"/>
  <c r="D70" i="105"/>
  <c r="D69" i="105"/>
  <c r="A11" i="105"/>
  <c r="A12" i="105" s="1"/>
  <c r="A13" i="105" s="1"/>
  <c r="A14" i="105" s="1"/>
  <c r="A15" i="105" s="1"/>
  <c r="A16" i="105" s="1"/>
  <c r="A17" i="105" s="1"/>
  <c r="A18" i="105" s="1"/>
  <c r="A19" i="105" s="1"/>
  <c r="A20" i="105" s="1"/>
  <c r="A21" i="105" s="1"/>
  <c r="A22" i="105" s="1"/>
  <c r="A23" i="105" s="1"/>
  <c r="A24" i="105" s="1"/>
  <c r="A25" i="105" s="1"/>
  <c r="A26" i="105" s="1"/>
  <c r="A27" i="105" s="1"/>
  <c r="A28" i="105" s="1"/>
  <c r="A29" i="105" s="1"/>
  <c r="A30" i="105" s="1"/>
  <c r="A31" i="105" s="1"/>
  <c r="A32" i="105" s="1"/>
  <c r="A33" i="105" s="1"/>
  <c r="A34" i="105" s="1"/>
  <c r="A35" i="105" s="1"/>
  <c r="A36" i="105" s="1"/>
  <c r="A37" i="105" s="1"/>
  <c r="A38" i="105" s="1"/>
  <c r="A39" i="105" s="1"/>
  <c r="A40" i="105" s="1"/>
  <c r="A41" i="105" s="1"/>
  <c r="A42" i="105" s="1"/>
  <c r="A43" i="105" s="1"/>
  <c r="A44" i="105" s="1"/>
  <c r="A45" i="105" s="1"/>
  <c r="A46" i="105" s="1"/>
  <c r="A47" i="105" s="1"/>
  <c r="A48" i="105" s="1"/>
  <c r="A49" i="105" s="1"/>
  <c r="A50" i="105" s="1"/>
  <c r="A51" i="105" s="1"/>
  <c r="A52" i="105" s="1"/>
  <c r="A53" i="105" s="1"/>
  <c r="A54" i="105" s="1"/>
  <c r="A55" i="105" s="1"/>
  <c r="A56" i="105" s="1"/>
  <c r="A57" i="105" s="1"/>
  <c r="A58" i="105" s="1"/>
  <c r="A59" i="105" s="1"/>
  <c r="A60" i="105" s="1"/>
  <c r="A61" i="105" s="1"/>
  <c r="A62" i="105" s="1"/>
  <c r="A63" i="105" s="1"/>
  <c r="A64" i="105" s="1"/>
  <c r="A65" i="105" s="1"/>
  <c r="A66" i="105" s="1"/>
  <c r="A67" i="105" s="1"/>
  <c r="A68" i="105" s="1"/>
  <c r="A69" i="105" s="1"/>
  <c r="A70" i="105" s="1"/>
  <c r="A71" i="105" s="1"/>
  <c r="A72" i="105" s="1"/>
  <c r="A73" i="105" s="1"/>
  <c r="A74" i="105" s="1"/>
  <c r="A75" i="105" s="1"/>
  <c r="A76" i="105" s="1"/>
  <c r="A77" i="105" s="1"/>
  <c r="A78" i="105" s="1"/>
  <c r="A79" i="105" s="1"/>
  <c r="A80" i="105" s="1"/>
  <c r="A81" i="105" s="1"/>
  <c r="A82" i="105" s="1"/>
  <c r="A83" i="105" s="1"/>
  <c r="A84" i="105" s="1"/>
  <c r="A85" i="105" s="1"/>
  <c r="A86" i="105" s="1"/>
  <c r="A87" i="105" s="1"/>
  <c r="A88" i="105" s="1"/>
  <c r="A89" i="105" s="1"/>
  <c r="A90" i="105" s="1"/>
  <c r="A91" i="105" s="1"/>
  <c r="A92" i="105" s="1"/>
  <c r="A93" i="105" s="1"/>
  <c r="A94" i="105" s="1"/>
  <c r="A95" i="105" s="1"/>
  <c r="A96" i="105" s="1"/>
  <c r="A97" i="105" s="1"/>
  <c r="A98" i="105" s="1"/>
  <c r="A99" i="105" s="1"/>
  <c r="A100" i="105" s="1"/>
  <c r="A101" i="105" s="1"/>
  <c r="A102" i="105" s="1"/>
  <c r="A103" i="105" s="1"/>
  <c r="A104" i="105" s="1"/>
  <c r="A105" i="105" s="1"/>
  <c r="A106" i="105" s="1"/>
  <c r="A107" i="105" s="1"/>
  <c r="A108" i="105" s="1"/>
  <c r="A109" i="105" s="1"/>
  <c r="A110" i="105" s="1"/>
  <c r="A111" i="105" s="1"/>
  <c r="A112" i="105" s="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A132" i="105" s="1"/>
  <c r="A133" i="105" s="1"/>
  <c r="A134" i="105" s="1"/>
  <c r="A135" i="105" s="1"/>
  <c r="A136" i="105" s="1"/>
  <c r="A137" i="105" s="1"/>
  <c r="A138" i="105" s="1"/>
  <c r="A139" i="105" s="1"/>
  <c r="A140" i="105" s="1"/>
  <c r="A141" i="105" s="1"/>
  <c r="A142" i="105" s="1"/>
  <c r="A143" i="105" s="1"/>
  <c r="A144" i="105" s="1"/>
  <c r="A145" i="105" s="1"/>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A165" i="105" s="1"/>
  <c r="A166" i="105" s="1"/>
  <c r="A167" i="105" s="1"/>
  <c r="A168" i="105" s="1"/>
  <c r="A169" i="105" s="1"/>
  <c r="A170" i="105" s="1"/>
  <c r="A171" i="105" s="1"/>
  <c r="A172" i="105" s="1"/>
  <c r="A173" i="105" s="1"/>
  <c r="A174" i="105" s="1"/>
  <c r="A175" i="105" s="1"/>
  <c r="A176" i="105" s="1"/>
  <c r="A177" i="105" s="1"/>
  <c r="A178" i="105" s="1"/>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98" i="105" s="1"/>
  <c r="A199" i="105" s="1"/>
  <c r="A200" i="105" s="1"/>
  <c r="A201" i="105" s="1"/>
  <c r="A202" i="105" s="1"/>
  <c r="A203" i="105" s="1"/>
  <c r="A204" i="105" s="1"/>
  <c r="A205" i="105" s="1"/>
  <c r="A206" i="105" s="1"/>
  <c r="A207" i="105" s="1"/>
  <c r="A208" i="105" s="1"/>
  <c r="A209" i="105" s="1"/>
  <c r="A210" i="105" s="1"/>
  <c r="A211" i="105" s="1"/>
  <c r="A212" i="105" s="1"/>
  <c r="A213" i="105" s="1"/>
  <c r="A214" i="105" s="1"/>
  <c r="A215" i="105" s="1"/>
  <c r="A216" i="105" s="1"/>
  <c r="A217" i="105" s="1"/>
  <c r="A218" i="105" s="1"/>
  <c r="A219" i="105" s="1"/>
  <c r="A220" i="105" s="1"/>
  <c r="A221" i="105" s="1"/>
  <c r="A222" i="105" s="1"/>
  <c r="A223" i="105" s="1"/>
  <c r="A224" i="105" s="1"/>
  <c r="A225" i="105" s="1"/>
  <c r="A226" i="105" s="1"/>
  <c r="A227" i="105" s="1"/>
  <c r="A228" i="105" s="1"/>
  <c r="A229" i="105" s="1"/>
  <c r="A230" i="105" s="1"/>
  <c r="A231" i="105" s="1"/>
  <c r="A232" i="105" s="1"/>
  <c r="A233" i="105" s="1"/>
  <c r="A234" i="105" s="1"/>
  <c r="A235" i="105" s="1"/>
  <c r="A236" i="105" s="1"/>
  <c r="A237" i="105" s="1"/>
  <c r="A238" i="105" s="1"/>
  <c r="A239" i="105" s="1"/>
  <c r="A240" i="105" s="1"/>
  <c r="A241" i="105" s="1"/>
  <c r="A242" i="105" s="1"/>
  <c r="A243" i="105" s="1"/>
  <c r="A244" i="105" s="1"/>
  <c r="A245" i="105" s="1"/>
  <c r="A246" i="105" s="1"/>
  <c r="A247" i="105" s="1"/>
  <c r="A248" i="105" s="1"/>
  <c r="A249" i="105" s="1"/>
  <c r="A250" i="105" s="1"/>
  <c r="A251" i="105" s="1"/>
  <c r="A252" i="105" s="1"/>
  <c r="A253" i="105" s="1"/>
  <c r="A254" i="105" s="1"/>
  <c r="A255" i="105" s="1"/>
  <c r="Z284" i="68"/>
  <c r="C109" i="49"/>
  <c r="B109" i="49" s="1"/>
  <c r="F109" i="49"/>
  <c r="E109" i="49" s="1"/>
  <c r="C108" i="49"/>
  <c r="B108" i="49" s="1"/>
  <c r="F108" i="49"/>
  <c r="E108" i="49" s="1"/>
  <c r="C107" i="49"/>
  <c r="B107" i="49" s="1"/>
  <c r="F107" i="49"/>
  <c r="E107" i="49" s="1"/>
  <c r="C106" i="49"/>
  <c r="B106" i="49" s="1"/>
  <c r="F106" i="49"/>
  <c r="E106" i="49" s="1"/>
  <c r="J109" i="49"/>
  <c r="I109" i="49" s="1"/>
  <c r="M109" i="49"/>
  <c r="L109" i="49" s="1"/>
  <c r="J108" i="49"/>
  <c r="I108" i="49" s="1"/>
  <c r="M108" i="49"/>
  <c r="L108" i="49" s="1"/>
  <c r="J107" i="49"/>
  <c r="I107" i="49" s="1"/>
  <c r="M107" i="49"/>
  <c r="L107" i="49" s="1"/>
  <c r="M106" i="49"/>
  <c r="L106" i="49" s="1"/>
  <c r="J106" i="49"/>
  <c r="I106" i="49" s="1"/>
  <c r="D296" i="89"/>
  <c r="H272" i="4"/>
  <c r="Z281" i="68"/>
  <c r="B293" i="89"/>
  <c r="H280" i="17"/>
  <c r="B290" i="89"/>
  <c r="G67" i="53"/>
  <c r="D357" i="89"/>
  <c r="D356" i="89"/>
  <c r="D355" i="89"/>
  <c r="D354" i="89"/>
  <c r="D353" i="89"/>
  <c r="D352" i="89"/>
  <c r="D351" i="89"/>
  <c r="D350" i="89"/>
  <c r="D349" i="89"/>
  <c r="D348" i="89"/>
  <c r="D347" i="89"/>
  <c r="D346" i="89"/>
  <c r="D345" i="89"/>
  <c r="D344" i="89"/>
  <c r="D343" i="89"/>
  <c r="D342" i="89"/>
  <c r="D341" i="89"/>
  <c r="D340" i="89"/>
  <c r="D339" i="89"/>
  <c r="D338" i="89"/>
  <c r="D336" i="89"/>
  <c r="D335" i="89"/>
  <c r="D334" i="89"/>
  <c r="D333" i="89"/>
  <c r="D332" i="89"/>
  <c r="D331" i="89"/>
  <c r="D330" i="89"/>
  <c r="D327" i="89"/>
  <c r="D326" i="89"/>
  <c r="D325" i="89"/>
  <c r="D324" i="89"/>
  <c r="D322" i="89"/>
  <c r="D321" i="89"/>
  <c r="D320" i="89"/>
  <c r="D319" i="89"/>
  <c r="D318" i="89"/>
  <c r="D317" i="89"/>
  <c r="D316" i="89"/>
  <c r="D315" i="89"/>
  <c r="D314" i="89"/>
  <c r="D313" i="89"/>
  <c r="D312" i="89"/>
  <c r="D311" i="89"/>
  <c r="D310" i="89"/>
  <c r="D309" i="89"/>
  <c r="D308" i="89"/>
  <c r="D307" i="89"/>
  <c r="D306" i="89"/>
  <c r="D305" i="89"/>
  <c r="D304" i="89"/>
  <c r="D303" i="89"/>
  <c r="D302" i="89"/>
  <c r="D301" i="89"/>
  <c r="D300" i="89"/>
  <c r="D299" i="89"/>
  <c r="D298" i="89"/>
  <c r="D297" i="89"/>
  <c r="D295" i="89"/>
  <c r="D294" i="89"/>
  <c r="D293" i="89"/>
  <c r="D292" i="89"/>
  <c r="D291" i="89"/>
  <c r="D290" i="89"/>
  <c r="D289" i="89"/>
  <c r="D288" i="89"/>
  <c r="D286" i="89"/>
  <c r="D285" i="89"/>
  <c r="D276" i="89"/>
  <c r="D277" i="89"/>
  <c r="D278" i="89"/>
  <c r="D279" i="89"/>
  <c r="D280" i="89"/>
  <c r="D281" i="89"/>
  <c r="D282" i="89"/>
  <c r="D283" i="89"/>
  <c r="D284" i="89"/>
  <c r="D275" i="89"/>
  <c r="D274" i="89"/>
  <c r="D264" i="89"/>
  <c r="D265" i="89"/>
  <c r="D266" i="89"/>
  <c r="D267" i="89"/>
  <c r="D268" i="89"/>
  <c r="D269" i="89"/>
  <c r="D270" i="89"/>
  <c r="D271" i="89"/>
  <c r="D272" i="89"/>
  <c r="D273" i="89"/>
  <c r="D263" i="89"/>
  <c r="D262" i="89"/>
  <c r="D252" i="89"/>
  <c r="D253" i="89"/>
  <c r="D254" i="89"/>
  <c r="D255" i="89"/>
  <c r="D256" i="89"/>
  <c r="D257" i="89"/>
  <c r="D258" i="89"/>
  <c r="D259" i="89"/>
  <c r="D260" i="89"/>
  <c r="D261" i="89"/>
  <c r="D251" i="89"/>
  <c r="D250" i="89"/>
  <c r="D240" i="89"/>
  <c r="D241" i="89"/>
  <c r="D242" i="89"/>
  <c r="D243" i="89"/>
  <c r="D244" i="89"/>
  <c r="D245" i="89"/>
  <c r="D246" i="89"/>
  <c r="D247" i="89"/>
  <c r="D248" i="89"/>
  <c r="D249" i="89"/>
  <c r="D239" i="89"/>
  <c r="D238" i="89"/>
  <c r="D228" i="89"/>
  <c r="D229" i="89"/>
  <c r="D230" i="89"/>
  <c r="D231" i="89"/>
  <c r="D232" i="89"/>
  <c r="D233" i="89"/>
  <c r="D234" i="89"/>
  <c r="D235" i="89"/>
  <c r="D236" i="89"/>
  <c r="D237" i="89"/>
  <c r="D227" i="89"/>
  <c r="D226" i="89"/>
  <c r="D216" i="89"/>
  <c r="D217" i="89"/>
  <c r="D218" i="89"/>
  <c r="D219" i="89"/>
  <c r="D220" i="89"/>
  <c r="D221" i="89"/>
  <c r="D222" i="89"/>
  <c r="D223" i="89"/>
  <c r="D224" i="89"/>
  <c r="D225" i="89"/>
  <c r="D215" i="89"/>
  <c r="D214" i="89"/>
  <c r="D204" i="89"/>
  <c r="D205" i="89"/>
  <c r="D206" i="89"/>
  <c r="D207" i="89"/>
  <c r="D208" i="89"/>
  <c r="D209" i="89"/>
  <c r="D210" i="89"/>
  <c r="D211" i="89"/>
  <c r="D212" i="89"/>
  <c r="D213" i="89"/>
  <c r="D203" i="89"/>
  <c r="D202" i="89"/>
  <c r="D192" i="89"/>
  <c r="D193" i="89"/>
  <c r="D194" i="89"/>
  <c r="D195" i="89"/>
  <c r="D196" i="89"/>
  <c r="D197" i="89"/>
  <c r="D198" i="89"/>
  <c r="D199" i="89"/>
  <c r="D200" i="89"/>
  <c r="D201" i="89"/>
  <c r="D191" i="89"/>
  <c r="D190" i="89"/>
  <c r="D180" i="89"/>
  <c r="D181" i="89"/>
  <c r="D182" i="89"/>
  <c r="D183" i="89"/>
  <c r="D184" i="89"/>
  <c r="D185" i="89"/>
  <c r="D186" i="89"/>
  <c r="D187" i="89"/>
  <c r="D188" i="89"/>
  <c r="D189" i="89"/>
  <c r="D179" i="89"/>
  <c r="D178" i="89"/>
  <c r="D168" i="89"/>
  <c r="D169" i="89"/>
  <c r="D170" i="89"/>
  <c r="D171" i="89"/>
  <c r="D172" i="89"/>
  <c r="D173" i="89"/>
  <c r="D174" i="89"/>
  <c r="D175" i="89"/>
  <c r="D176" i="89"/>
  <c r="D177" i="89"/>
  <c r="D167" i="89"/>
  <c r="D166" i="89"/>
  <c r="D161" i="89"/>
  <c r="D162" i="89"/>
  <c r="D163" i="89"/>
  <c r="D164" i="89"/>
  <c r="D165" i="89"/>
  <c r="D157" i="89"/>
  <c r="D158" i="89"/>
  <c r="D159" i="89"/>
  <c r="D160" i="89"/>
  <c r="D156" i="89"/>
  <c r="D155" i="89"/>
  <c r="D147" i="89"/>
  <c r="D148" i="89"/>
  <c r="D149" i="89"/>
  <c r="D150" i="89"/>
  <c r="D151" i="89"/>
  <c r="D152" i="89"/>
  <c r="D153" i="89"/>
  <c r="D144" i="89"/>
  <c r="D145" i="89"/>
  <c r="D146" i="89"/>
  <c r="D143" i="89"/>
  <c r="B285" i="89"/>
  <c r="J105" i="49"/>
  <c r="I105" i="49" s="1"/>
  <c r="M105" i="49"/>
  <c r="L105" i="49" s="1"/>
  <c r="C103" i="49"/>
  <c r="B103" i="49" s="1"/>
  <c r="F103" i="49"/>
  <c r="E103" i="49" s="1"/>
  <c r="F104" i="49"/>
  <c r="E104" i="49" s="1"/>
  <c r="C105" i="49"/>
  <c r="B105" i="49" s="1"/>
  <c r="F105" i="49"/>
  <c r="E105" i="49" s="1"/>
  <c r="G38" i="53"/>
  <c r="A201" i="100"/>
  <c r="A213" i="100" s="1"/>
  <c r="A225" i="100" s="1"/>
  <c r="A237" i="100" s="1"/>
  <c r="A249" i="100" s="1"/>
  <c r="A261" i="100" s="1"/>
  <c r="A273" i="100" s="1"/>
  <c r="A285" i="100" s="1"/>
  <c r="A297" i="100" s="1"/>
  <c r="A309" i="100" s="1"/>
  <c r="A321" i="100" s="1"/>
  <c r="A333" i="100" s="1"/>
  <c r="A345" i="100" s="1"/>
  <c r="A357" i="100" s="1"/>
  <c r="A369" i="100" s="1"/>
  <c r="A381" i="100" s="1"/>
  <c r="A393" i="100" s="1"/>
  <c r="A405" i="100" s="1"/>
  <c r="A417" i="100" s="1"/>
  <c r="A429" i="100" s="1"/>
  <c r="A441" i="100" s="1"/>
  <c r="A453" i="100" s="1"/>
  <c r="A200" i="100"/>
  <c r="A212" i="100" s="1"/>
  <c r="A224" i="100" s="1"/>
  <c r="A236" i="100" s="1"/>
  <c r="A248" i="100" s="1"/>
  <c r="A260" i="100" s="1"/>
  <c r="A272" i="100" s="1"/>
  <c r="A284" i="100" s="1"/>
  <c r="A296" i="100" s="1"/>
  <c r="A308" i="100" s="1"/>
  <c r="A320" i="100" s="1"/>
  <c r="A332" i="100" s="1"/>
  <c r="A344" i="100" s="1"/>
  <c r="A356" i="100" s="1"/>
  <c r="A368" i="100" s="1"/>
  <c r="A380" i="100" s="1"/>
  <c r="A392" i="100" s="1"/>
  <c r="A404" i="100" s="1"/>
  <c r="A416" i="100" s="1"/>
  <c r="A428" i="100" s="1"/>
  <c r="A440" i="100" s="1"/>
  <c r="A452" i="100" s="1"/>
  <c r="A199" i="100"/>
  <c r="A211" i="100" s="1"/>
  <c r="A223" i="100" s="1"/>
  <c r="A235" i="100" s="1"/>
  <c r="A247" i="100" s="1"/>
  <c r="A259" i="100" s="1"/>
  <c r="A271" i="100" s="1"/>
  <c r="A283" i="100" s="1"/>
  <c r="A295" i="100" s="1"/>
  <c r="A307" i="100" s="1"/>
  <c r="A319" i="100" s="1"/>
  <c r="A331" i="100" s="1"/>
  <c r="A343" i="100" s="1"/>
  <c r="A355" i="100" s="1"/>
  <c r="A367" i="100" s="1"/>
  <c r="A379" i="100" s="1"/>
  <c r="A391" i="100" s="1"/>
  <c r="A403" i="100" s="1"/>
  <c r="A415" i="100" s="1"/>
  <c r="A427" i="100" s="1"/>
  <c r="A439" i="100" s="1"/>
  <c r="A451" i="100" s="1"/>
  <c r="A198" i="100"/>
  <c r="A210" i="100" s="1"/>
  <c r="A222" i="100" s="1"/>
  <c r="A234" i="100" s="1"/>
  <c r="A246" i="100" s="1"/>
  <c r="A258" i="100" s="1"/>
  <c r="A270" i="100" s="1"/>
  <c r="A282" i="100" s="1"/>
  <c r="A294" i="100" s="1"/>
  <c r="A306" i="100" s="1"/>
  <c r="A318" i="100" s="1"/>
  <c r="A330" i="100" s="1"/>
  <c r="A342" i="100" s="1"/>
  <c r="A354" i="100" s="1"/>
  <c r="A366" i="100" s="1"/>
  <c r="A378" i="100" s="1"/>
  <c r="A390" i="100" s="1"/>
  <c r="A402" i="100" s="1"/>
  <c r="A414" i="100" s="1"/>
  <c r="A426" i="100" s="1"/>
  <c r="A438" i="100" s="1"/>
  <c r="A450" i="100" s="1"/>
  <c r="A197" i="100"/>
  <c r="A209" i="100" s="1"/>
  <c r="A221" i="100" s="1"/>
  <c r="A233" i="100" s="1"/>
  <c r="A245" i="100" s="1"/>
  <c r="A257" i="100" s="1"/>
  <c r="A269" i="100" s="1"/>
  <c r="A281" i="100" s="1"/>
  <c r="A293" i="100" s="1"/>
  <c r="A305" i="100" s="1"/>
  <c r="A317" i="100" s="1"/>
  <c r="A329" i="100" s="1"/>
  <c r="A341" i="100" s="1"/>
  <c r="A353" i="100" s="1"/>
  <c r="A365" i="100" s="1"/>
  <c r="A377" i="100" s="1"/>
  <c r="A389" i="100" s="1"/>
  <c r="A401" i="100" s="1"/>
  <c r="A413" i="100" s="1"/>
  <c r="A425" i="100" s="1"/>
  <c r="A437" i="100" s="1"/>
  <c r="A449" i="100" s="1"/>
  <c r="A196" i="100"/>
  <c r="A208" i="100" s="1"/>
  <c r="A220" i="100" s="1"/>
  <c r="A232" i="100" s="1"/>
  <c r="A244" i="100" s="1"/>
  <c r="A256" i="100" s="1"/>
  <c r="A268" i="100" s="1"/>
  <c r="A280" i="100" s="1"/>
  <c r="A292" i="100" s="1"/>
  <c r="A304" i="100" s="1"/>
  <c r="A316" i="100" s="1"/>
  <c r="A328" i="100" s="1"/>
  <c r="A340" i="100" s="1"/>
  <c r="A352" i="100" s="1"/>
  <c r="A364" i="100" s="1"/>
  <c r="A376" i="100" s="1"/>
  <c r="A388" i="100" s="1"/>
  <c r="A400" i="100" s="1"/>
  <c r="A412" i="100" s="1"/>
  <c r="A424" i="100" s="1"/>
  <c r="A436" i="100" s="1"/>
  <c r="A448" i="100" s="1"/>
  <c r="A195" i="100"/>
  <c r="A207" i="100" s="1"/>
  <c r="A219" i="100" s="1"/>
  <c r="A231" i="100" s="1"/>
  <c r="A243" i="100" s="1"/>
  <c r="A255" i="100" s="1"/>
  <c r="A267" i="100" s="1"/>
  <c r="A279" i="100" s="1"/>
  <c r="A291" i="100" s="1"/>
  <c r="A303" i="100" s="1"/>
  <c r="A315" i="100" s="1"/>
  <c r="A327" i="100" s="1"/>
  <c r="A339" i="100" s="1"/>
  <c r="A351" i="100" s="1"/>
  <c r="A363" i="100" s="1"/>
  <c r="A375" i="100" s="1"/>
  <c r="A387" i="100" s="1"/>
  <c r="A399" i="100" s="1"/>
  <c r="A411" i="100" s="1"/>
  <c r="A423" i="100" s="1"/>
  <c r="A435" i="100" s="1"/>
  <c r="A447" i="100" s="1"/>
  <c r="A194" i="100"/>
  <c r="A206" i="100" s="1"/>
  <c r="A218" i="100" s="1"/>
  <c r="A230" i="100" s="1"/>
  <c r="A242" i="100" s="1"/>
  <c r="A254" i="100" s="1"/>
  <c r="A266" i="100" s="1"/>
  <c r="A278" i="100" s="1"/>
  <c r="A290" i="100" s="1"/>
  <c r="A302" i="100" s="1"/>
  <c r="A314" i="100" s="1"/>
  <c r="A326" i="100" s="1"/>
  <c r="A338" i="100" s="1"/>
  <c r="A350" i="100" s="1"/>
  <c r="A362" i="100" s="1"/>
  <c r="A374" i="100" s="1"/>
  <c r="A386" i="100" s="1"/>
  <c r="A398" i="100" s="1"/>
  <c r="A410" i="100" s="1"/>
  <c r="A422" i="100" s="1"/>
  <c r="A434" i="100" s="1"/>
  <c r="A446" i="100" s="1"/>
  <c r="A193" i="100"/>
  <c r="A205" i="100" s="1"/>
  <c r="A217" i="100" s="1"/>
  <c r="A229" i="100" s="1"/>
  <c r="A241" i="100" s="1"/>
  <c r="A253" i="100" s="1"/>
  <c r="A265" i="100" s="1"/>
  <c r="A277" i="100" s="1"/>
  <c r="A289" i="100" s="1"/>
  <c r="A301" i="100" s="1"/>
  <c r="A313" i="100" s="1"/>
  <c r="A325" i="100" s="1"/>
  <c r="A337" i="100" s="1"/>
  <c r="A349" i="100" s="1"/>
  <c r="A361" i="100" s="1"/>
  <c r="A373" i="100" s="1"/>
  <c r="A385" i="100" s="1"/>
  <c r="A397" i="100" s="1"/>
  <c r="A409" i="100" s="1"/>
  <c r="A421" i="100" s="1"/>
  <c r="A433" i="100" s="1"/>
  <c r="A445" i="100" s="1"/>
  <c r="A192" i="100"/>
  <c r="A204" i="100" s="1"/>
  <c r="A216" i="100" s="1"/>
  <c r="A228" i="100" s="1"/>
  <c r="A240" i="100" s="1"/>
  <c r="A252" i="100" s="1"/>
  <c r="A264" i="100" s="1"/>
  <c r="A276" i="100" s="1"/>
  <c r="A288" i="100" s="1"/>
  <c r="A300" i="100" s="1"/>
  <c r="A312" i="100" s="1"/>
  <c r="A324" i="100" s="1"/>
  <c r="A336" i="100" s="1"/>
  <c r="A348" i="100" s="1"/>
  <c r="A360" i="100" s="1"/>
  <c r="A372" i="100" s="1"/>
  <c r="A384" i="100" s="1"/>
  <c r="A396" i="100" s="1"/>
  <c r="A408" i="100" s="1"/>
  <c r="A420" i="100" s="1"/>
  <c r="A432" i="100" s="1"/>
  <c r="A444" i="100" s="1"/>
  <c r="A191" i="100"/>
  <c r="A203" i="100" s="1"/>
  <c r="A215" i="100" s="1"/>
  <c r="A227" i="100" s="1"/>
  <c r="A239" i="100" s="1"/>
  <c r="A251" i="100" s="1"/>
  <c r="A263" i="100" s="1"/>
  <c r="A275" i="100" s="1"/>
  <c r="A287" i="100" s="1"/>
  <c r="A299" i="100" s="1"/>
  <c r="A311" i="100" s="1"/>
  <c r="A323" i="100" s="1"/>
  <c r="A335" i="100" s="1"/>
  <c r="A347" i="100" s="1"/>
  <c r="A359" i="100" s="1"/>
  <c r="A371" i="100" s="1"/>
  <c r="A383" i="100" s="1"/>
  <c r="A395" i="100" s="1"/>
  <c r="A407" i="100" s="1"/>
  <c r="A419" i="100" s="1"/>
  <c r="A431" i="100" s="1"/>
  <c r="A443" i="100" s="1"/>
  <c r="A190" i="100"/>
  <c r="A202" i="100" s="1"/>
  <c r="A214" i="100" s="1"/>
  <c r="A226" i="100" s="1"/>
  <c r="A238" i="100" s="1"/>
  <c r="A250" i="100" s="1"/>
  <c r="A262" i="100" s="1"/>
  <c r="A274" i="100" s="1"/>
  <c r="A286" i="100" s="1"/>
  <c r="A298" i="100" s="1"/>
  <c r="A310" i="100" s="1"/>
  <c r="A322" i="100" s="1"/>
  <c r="A334" i="100" s="1"/>
  <c r="A346" i="100" s="1"/>
  <c r="A358" i="100" s="1"/>
  <c r="A370" i="100" s="1"/>
  <c r="A382" i="100" s="1"/>
  <c r="A394" i="100" s="1"/>
  <c r="A406" i="100" s="1"/>
  <c r="A418" i="100" s="1"/>
  <c r="A430" i="100" s="1"/>
  <c r="A442" i="100" s="1"/>
  <c r="G63" i="53"/>
  <c r="G49" i="53"/>
  <c r="J104" i="49"/>
  <c r="I104" i="49" s="1"/>
  <c r="M104" i="49"/>
  <c r="L104" i="49" s="1"/>
  <c r="J103" i="49"/>
  <c r="I103" i="49" s="1"/>
  <c r="M103" i="49"/>
  <c r="L103" i="49" s="1"/>
  <c r="C102" i="49"/>
  <c r="B102" i="49" s="1"/>
  <c r="F102" i="49"/>
  <c r="E102" i="49" s="1"/>
  <c r="C104" i="49"/>
  <c r="B104" i="49" s="1"/>
  <c r="H273" i="17"/>
  <c r="S224" i="3"/>
  <c r="R224" i="3"/>
  <c r="AF271" i="68"/>
  <c r="Z270" i="68"/>
  <c r="B205" i="68"/>
  <c r="C221" i="3"/>
  <c r="S220" i="3"/>
  <c r="H282" i="11"/>
  <c r="B281" i="89"/>
  <c r="B282" i="89"/>
  <c r="Z268" i="68"/>
  <c r="C220" i="3"/>
  <c r="C229"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218" i="3"/>
  <c r="J102" i="49"/>
  <c r="I102" i="49" s="1"/>
  <c r="M102" i="49"/>
  <c r="L102" i="49" s="1"/>
  <c r="G77" i="53"/>
  <c r="Z266" i="68"/>
  <c r="D255" i="52"/>
  <c r="G255" i="52"/>
  <c r="J253" i="52"/>
  <c r="G253" i="52"/>
  <c r="D253" i="52"/>
  <c r="J200" i="52"/>
  <c r="G200" i="52"/>
  <c r="D200" i="52"/>
  <c r="J10" i="52"/>
  <c r="D10" i="52"/>
  <c r="B275" i="11"/>
  <c r="H275" i="11" s="1"/>
  <c r="H10" i="11"/>
  <c r="Z264" i="68"/>
  <c r="AA261" i="68"/>
  <c r="Y261" i="68"/>
  <c r="X261" i="68"/>
  <c r="AA260" i="68"/>
  <c r="Y260" i="68"/>
  <c r="X260" i="68"/>
  <c r="AA259" i="68"/>
  <c r="Y259" i="68"/>
  <c r="X259" i="68"/>
  <c r="AA258" i="68"/>
  <c r="Y258" i="68"/>
  <c r="X258" i="68"/>
  <c r="AA257" i="68"/>
  <c r="Y257" i="68"/>
  <c r="X257" i="68"/>
  <c r="AA256" i="68"/>
  <c r="Y256" i="68"/>
  <c r="Z256" i="68" s="1"/>
  <c r="AA255" i="68"/>
  <c r="AA254" i="68"/>
  <c r="AA253" i="68"/>
  <c r="AA252" i="68"/>
  <c r="AA251" i="68"/>
  <c r="Y251" i="68"/>
  <c r="Z251" i="68" s="1"/>
  <c r="AA249" i="68"/>
  <c r="AA248" i="68"/>
  <c r="AA247" i="68"/>
  <c r="AA245" i="68"/>
  <c r="X245" i="68"/>
  <c r="Z245" i="68" s="1"/>
  <c r="AA244" i="68"/>
  <c r="AA243" i="68"/>
  <c r="Y243" i="68"/>
  <c r="Z243" i="68" s="1"/>
  <c r="AA242" i="68"/>
  <c r="AA241" i="68"/>
  <c r="AA240" i="68"/>
  <c r="Y240" i="68"/>
  <c r="Z240" i="68" s="1"/>
  <c r="AA239" i="68"/>
  <c r="AA238" i="68"/>
  <c r="Y238" i="68"/>
  <c r="Z238" i="68" s="1"/>
  <c r="AA237" i="68"/>
  <c r="Y237" i="68"/>
  <c r="Z237" i="68" s="1"/>
  <c r="AG237" i="68"/>
  <c r="AA236" i="68"/>
  <c r="Y236" i="68"/>
  <c r="Z236" i="68" s="1"/>
  <c r="AA235" i="68"/>
  <c r="Y235" i="68"/>
  <c r="Z235" i="68" s="1"/>
  <c r="AA234" i="68"/>
  <c r="Y234" i="68"/>
  <c r="Z234" i="68" s="1"/>
  <c r="AA233" i="68"/>
  <c r="Y233" i="68"/>
  <c r="Z233" i="68" s="1"/>
  <c r="AA232" i="68"/>
  <c r="Y232" i="68"/>
  <c r="Z232" i="68" s="1"/>
  <c r="AA231" i="68"/>
  <c r="AA230" i="68"/>
  <c r="AA228" i="68"/>
  <c r="AA227" i="68"/>
  <c r="AA226" i="68"/>
  <c r="AA214" i="68"/>
  <c r="Y214" i="68"/>
  <c r="Z214" i="68" s="1"/>
  <c r="AA215" i="68"/>
  <c r="AA216" i="68"/>
  <c r="Y216" i="68"/>
  <c r="Z216" i="68" s="1"/>
  <c r="AA217" i="68"/>
  <c r="Y217" i="68"/>
  <c r="X217" i="68"/>
  <c r="AA218" i="68"/>
  <c r="AG218" i="68"/>
  <c r="AA219" i="68"/>
  <c r="AA220" i="68"/>
  <c r="AA221" i="68"/>
  <c r="AA222" i="68"/>
  <c r="Y222" i="68"/>
  <c r="Z222" i="68" s="1"/>
  <c r="AA223" i="68"/>
  <c r="X223" i="68"/>
  <c r="Z223" i="68" s="1"/>
  <c r="AA224" i="68"/>
  <c r="AF10" i="68"/>
  <c r="AF11" i="68"/>
  <c r="AF12" i="68"/>
  <c r="AF13" i="68"/>
  <c r="AF14" i="68"/>
  <c r="AF15" i="68"/>
  <c r="AF16" i="68"/>
  <c r="AF17" i="68"/>
  <c r="AF18" i="68"/>
  <c r="AF19" i="68"/>
  <c r="AF20" i="68"/>
  <c r="AF21" i="68"/>
  <c r="AF22" i="68"/>
  <c r="AF23" i="68"/>
  <c r="AF24" i="68"/>
  <c r="AF25" i="68"/>
  <c r="AF26" i="68"/>
  <c r="AF27" i="68"/>
  <c r="AF28" i="68"/>
  <c r="AF29" i="68"/>
  <c r="AF30" i="68"/>
  <c r="AF31" i="68"/>
  <c r="AF32" i="68"/>
  <c r="AF33" i="68"/>
  <c r="AF34" i="68"/>
  <c r="AF35" i="68"/>
  <c r="AF36" i="68"/>
  <c r="AF37" i="68"/>
  <c r="AF38" i="68"/>
  <c r="AF39" i="68"/>
  <c r="AF40" i="68"/>
  <c r="AF41" i="68"/>
  <c r="AF42" i="68"/>
  <c r="AF43" i="68"/>
  <c r="AF44" i="68"/>
  <c r="AF45" i="68"/>
  <c r="AF46" i="68"/>
  <c r="AF47" i="68"/>
  <c r="AF48" i="68"/>
  <c r="AF49" i="68"/>
  <c r="AF50" i="68"/>
  <c r="AF51" i="68"/>
  <c r="AF52" i="68"/>
  <c r="AF53" i="68"/>
  <c r="AF54" i="68"/>
  <c r="AF55" i="68"/>
  <c r="AF56" i="68"/>
  <c r="AF57" i="68"/>
  <c r="AF58" i="68"/>
  <c r="AF59" i="68"/>
  <c r="AF60" i="68"/>
  <c r="AF61" i="68"/>
  <c r="AF62" i="68"/>
  <c r="AF63" i="68"/>
  <c r="AF64" i="68"/>
  <c r="AF65" i="68"/>
  <c r="AF66" i="68"/>
  <c r="AF67" i="68"/>
  <c r="AF68" i="68"/>
  <c r="AF69" i="68"/>
  <c r="AF70" i="68"/>
  <c r="AF71" i="68"/>
  <c r="AF72" i="68"/>
  <c r="AF73" i="68"/>
  <c r="AF74" i="68"/>
  <c r="AF75" i="68"/>
  <c r="AF76" i="68"/>
  <c r="AF77" i="68"/>
  <c r="AF78" i="68"/>
  <c r="AF79" i="68"/>
  <c r="AF80" i="68"/>
  <c r="AF81" i="68"/>
  <c r="AF82" i="68"/>
  <c r="AF83" i="68"/>
  <c r="AF84" i="68"/>
  <c r="AF85" i="68"/>
  <c r="AF86" i="68"/>
  <c r="AF87" i="68"/>
  <c r="AF88" i="68"/>
  <c r="AF89" i="68"/>
  <c r="AF90" i="68"/>
  <c r="AF91" i="68"/>
  <c r="AF92" i="68"/>
  <c r="AF93" i="68"/>
  <c r="AF94" i="68"/>
  <c r="AF95" i="68"/>
  <c r="AF96" i="68"/>
  <c r="AF97" i="68"/>
  <c r="AF98" i="68"/>
  <c r="AF99" i="68"/>
  <c r="AF100" i="68"/>
  <c r="AF101" i="68"/>
  <c r="AF102" i="68"/>
  <c r="AF103" i="68"/>
  <c r="AF104" i="68"/>
  <c r="AF105" i="68"/>
  <c r="AF106" i="68"/>
  <c r="AF107" i="68"/>
  <c r="AF108" i="68"/>
  <c r="AF109" i="68"/>
  <c r="AF110" i="68"/>
  <c r="AF111" i="68"/>
  <c r="AF112" i="68"/>
  <c r="AF113" i="68"/>
  <c r="AF114" i="68"/>
  <c r="AF115" i="68"/>
  <c r="AF116" i="68"/>
  <c r="AF117" i="68"/>
  <c r="AF118" i="68"/>
  <c r="AF119" i="68"/>
  <c r="AF120" i="68"/>
  <c r="AF121" i="68"/>
  <c r="AF122" i="68"/>
  <c r="AF123" i="68"/>
  <c r="AF124" i="68"/>
  <c r="AF125" i="68"/>
  <c r="AF126" i="68"/>
  <c r="AF127" i="68"/>
  <c r="AF128" i="68"/>
  <c r="AF129" i="68"/>
  <c r="AF130" i="68"/>
  <c r="AF131" i="68"/>
  <c r="AF132" i="68"/>
  <c r="AF133" i="68"/>
  <c r="AF134" i="68"/>
  <c r="AF135" i="68"/>
  <c r="AF136" i="68"/>
  <c r="AF137" i="68"/>
  <c r="AF138" i="68"/>
  <c r="AF139" i="68"/>
  <c r="AF140" i="68"/>
  <c r="AF141" i="68"/>
  <c r="AF142" i="68"/>
  <c r="AF143" i="68"/>
  <c r="AF144" i="68"/>
  <c r="AF145" i="68"/>
  <c r="AF146" i="68"/>
  <c r="AF147" i="68"/>
  <c r="AF148" i="68"/>
  <c r="AF149" i="68"/>
  <c r="AF150" i="68"/>
  <c r="AF151" i="68"/>
  <c r="AF152" i="68"/>
  <c r="AF153" i="68"/>
  <c r="AF154" i="68"/>
  <c r="AF155" i="68"/>
  <c r="AF156" i="68"/>
  <c r="AF157" i="68"/>
  <c r="AF158" i="68"/>
  <c r="AF159" i="68"/>
  <c r="AF160" i="68"/>
  <c r="AF161" i="68"/>
  <c r="AF162" i="68"/>
  <c r="AF163" i="68"/>
  <c r="AF164" i="68"/>
  <c r="AF165" i="68"/>
  <c r="AF166" i="68"/>
  <c r="AF167" i="68"/>
  <c r="AF168" i="68"/>
  <c r="AF169" i="68"/>
  <c r="AF170" i="68"/>
  <c r="AF171" i="68"/>
  <c r="AF172" i="68"/>
  <c r="AF173" i="68"/>
  <c r="AF174" i="68"/>
  <c r="AF175" i="68"/>
  <c r="AF176" i="68"/>
  <c r="AF177" i="68"/>
  <c r="AF178" i="68"/>
  <c r="AF179" i="68"/>
  <c r="AF180" i="68"/>
  <c r="AF181" i="68"/>
  <c r="AF182" i="68"/>
  <c r="AF183" i="68"/>
  <c r="AF184" i="68"/>
  <c r="AF185" i="68"/>
  <c r="AF186" i="68"/>
  <c r="AF187" i="68"/>
  <c r="AF188" i="68"/>
  <c r="AF189" i="68"/>
  <c r="AF190" i="68"/>
  <c r="AF191" i="68"/>
  <c r="AF192" i="68"/>
  <c r="AF193" i="68"/>
  <c r="AF194" i="68"/>
  <c r="AF195" i="68"/>
  <c r="AF196" i="68"/>
  <c r="AF197" i="68"/>
  <c r="AF198" i="68"/>
  <c r="AF199" i="68"/>
  <c r="AF200" i="68"/>
  <c r="AF201" i="68"/>
  <c r="AF202" i="68"/>
  <c r="AF203" i="68"/>
  <c r="AF204" i="68"/>
  <c r="AF205" i="68"/>
  <c r="AF206" i="68"/>
  <c r="AF207" i="68"/>
  <c r="AF208" i="68"/>
  <c r="AF209" i="68"/>
  <c r="AF210" i="68"/>
  <c r="AF211" i="68"/>
  <c r="AF212" i="68"/>
  <c r="AF213" i="68"/>
  <c r="AF214" i="68"/>
  <c r="AF215" i="68"/>
  <c r="AF216" i="68"/>
  <c r="AF217" i="68"/>
  <c r="AF218" i="68"/>
  <c r="AF219" i="68"/>
  <c r="AF220" i="68"/>
  <c r="AF221" i="68"/>
  <c r="AF222" i="68"/>
  <c r="AF223" i="68"/>
  <c r="AF224" i="68"/>
  <c r="AF226" i="68"/>
  <c r="AF227" i="68"/>
  <c r="AF228" i="68"/>
  <c r="AF229" i="68"/>
  <c r="AF230" i="68"/>
  <c r="AF231" i="68"/>
  <c r="AF232" i="68"/>
  <c r="AF233" i="68"/>
  <c r="AF234" i="68"/>
  <c r="AF236" i="68"/>
  <c r="AF237" i="68"/>
  <c r="AF238" i="68"/>
  <c r="AF239" i="68"/>
  <c r="AF240" i="68"/>
  <c r="AF241" i="68"/>
  <c r="AF242" i="68"/>
  <c r="AF243" i="68"/>
  <c r="AF244" i="68"/>
  <c r="AF245" i="68"/>
  <c r="AF246" i="68"/>
  <c r="AF247" i="68"/>
  <c r="AF248" i="68"/>
  <c r="AF249" i="68"/>
  <c r="AF250" i="68"/>
  <c r="AF251" i="68"/>
  <c r="AF252" i="68"/>
  <c r="AF253" i="68"/>
  <c r="AF254" i="68"/>
  <c r="AF255" i="68"/>
  <c r="AF256" i="68"/>
  <c r="AF257" i="68"/>
  <c r="AF258" i="68"/>
  <c r="AF259" i="68"/>
  <c r="AF260" i="68"/>
  <c r="AF261" i="68"/>
  <c r="AF262" i="68"/>
  <c r="AF263" i="68"/>
  <c r="AF264" i="68"/>
  <c r="AF266" i="68"/>
  <c r="AF267" i="68"/>
  <c r="AF268" i="68"/>
  <c r="AF269" i="68"/>
  <c r="AF270" i="68"/>
  <c r="AF272" i="68"/>
  <c r="AF273" i="68"/>
  <c r="AF274" i="68"/>
  <c r="AF275" i="68"/>
  <c r="AF276" i="68"/>
  <c r="AF277" i="68"/>
  <c r="AF278" i="68"/>
  <c r="AF279" i="68"/>
  <c r="AF280" i="68"/>
  <c r="AF281" i="68"/>
  <c r="AF282" i="68"/>
  <c r="AF283" i="68"/>
  <c r="AF284" i="68"/>
  <c r="AF285" i="68"/>
  <c r="AF286" i="68"/>
  <c r="AF287" i="68"/>
  <c r="AF288" i="68"/>
  <c r="AF289" i="68"/>
  <c r="AF290" i="68"/>
  <c r="AF291" i="68"/>
  <c r="AF292" i="68"/>
  <c r="AF293" i="68"/>
  <c r="AF294" i="68"/>
  <c r="AF295" i="68"/>
  <c r="AF296" i="68"/>
  <c r="AF297" i="68"/>
  <c r="AF298" i="68"/>
  <c r="AF299" i="68"/>
  <c r="AF300" i="68"/>
  <c r="AF301" i="68"/>
  <c r="AF302" i="68"/>
  <c r="AF304" i="68"/>
  <c r="AF305" i="68"/>
  <c r="AF306" i="68"/>
  <c r="AF307" i="68"/>
  <c r="AF225" i="68"/>
  <c r="AA225" i="68"/>
  <c r="Z226" i="68"/>
  <c r="Z227" i="68"/>
  <c r="Z228" i="68"/>
  <c r="Z229" i="68"/>
  <c r="Z230" i="68"/>
  <c r="Z231" i="68"/>
  <c r="Z239" i="68"/>
  <c r="Z241" i="68"/>
  <c r="Z242" i="68"/>
  <c r="Z244" i="68"/>
  <c r="Z246" i="68"/>
  <c r="Z247" i="68"/>
  <c r="Z248" i="68"/>
  <c r="Z249" i="68"/>
  <c r="Z250" i="68"/>
  <c r="Z252" i="68"/>
  <c r="Z253" i="68"/>
  <c r="Z254" i="68"/>
  <c r="Z255" i="68"/>
  <c r="Z263" i="68"/>
  <c r="Z265" i="68"/>
  <c r="Z267" i="68"/>
  <c r="Z269" i="68"/>
  <c r="Z272" i="68"/>
  <c r="Z274" i="68"/>
  <c r="Z275" i="68"/>
  <c r="Z276" i="68"/>
  <c r="Z277" i="68"/>
  <c r="Z278" i="68"/>
  <c r="Z279" i="68"/>
  <c r="Z280" i="68"/>
  <c r="Z282" i="68"/>
  <c r="Z283" i="68"/>
  <c r="Z285" i="68"/>
  <c r="Z286" i="68"/>
  <c r="Z287" i="68"/>
  <c r="Z288" i="68"/>
  <c r="Z290" i="68"/>
  <c r="Z291" i="68"/>
  <c r="Z293" i="68"/>
  <c r="Z294" i="68"/>
  <c r="Z296" i="68"/>
  <c r="Z297" i="68"/>
  <c r="Z298" i="68"/>
  <c r="Z299" i="68"/>
  <c r="Z300" i="68"/>
  <c r="Z302" i="68"/>
  <c r="Z305" i="68"/>
  <c r="Z306" i="68"/>
  <c r="Z308" i="68"/>
  <c r="Z309" i="68"/>
  <c r="Z10" i="68"/>
  <c r="Z12" i="68"/>
  <c r="Z13" i="68"/>
  <c r="Z14" i="68"/>
  <c r="Z15" i="68"/>
  <c r="Z16" i="68"/>
  <c r="Z18" i="68"/>
  <c r="Z19" i="68"/>
  <c r="Z20" i="68"/>
  <c r="Z21" i="68"/>
  <c r="Z22" i="68"/>
  <c r="Z23" i="68"/>
  <c r="Z24" i="68"/>
  <c r="Z25" i="68"/>
  <c r="Z26" i="68"/>
  <c r="Z27" i="68"/>
  <c r="Z28" i="68"/>
  <c r="Z29" i="68"/>
  <c r="Z30" i="68"/>
  <c r="Z31" i="68"/>
  <c r="Z32" i="68"/>
  <c r="Z33" i="68"/>
  <c r="Z34" i="68"/>
  <c r="Z35" i="68"/>
  <c r="Z36" i="68"/>
  <c r="Z37" i="68"/>
  <c r="Z38" i="68"/>
  <c r="Z39" i="68"/>
  <c r="Z40" i="68"/>
  <c r="Z41" i="68"/>
  <c r="Z42" i="68"/>
  <c r="Z43" i="68"/>
  <c r="Z44" i="68"/>
  <c r="Z45" i="68"/>
  <c r="Z46" i="68"/>
  <c r="Z47" i="68"/>
  <c r="Z48" i="68"/>
  <c r="Z49" i="68"/>
  <c r="Z50" i="68"/>
  <c r="Z51" i="68"/>
  <c r="Z52" i="68"/>
  <c r="Z53" i="68"/>
  <c r="Z54" i="68"/>
  <c r="Z55" i="68"/>
  <c r="Z56" i="68"/>
  <c r="Z57" i="68"/>
  <c r="Z58" i="68"/>
  <c r="Z59" i="68"/>
  <c r="Z60" i="68"/>
  <c r="Z61" i="68"/>
  <c r="Z62" i="68"/>
  <c r="Z63" i="68"/>
  <c r="Z64" i="68"/>
  <c r="Z65" i="68"/>
  <c r="Z66" i="68"/>
  <c r="Z67" i="68"/>
  <c r="Z68" i="68"/>
  <c r="Z69" i="68"/>
  <c r="Z70" i="68"/>
  <c r="Z71" i="68"/>
  <c r="Z72" i="68"/>
  <c r="Z73" i="68"/>
  <c r="Z74" i="68"/>
  <c r="Z75" i="68"/>
  <c r="Z76" i="68"/>
  <c r="Z77" i="68"/>
  <c r="Z78" i="68"/>
  <c r="Z79" i="68"/>
  <c r="Z80" i="68"/>
  <c r="Z81" i="68"/>
  <c r="Z82" i="68"/>
  <c r="Z83" i="68"/>
  <c r="Z84" i="68"/>
  <c r="Z85" i="68"/>
  <c r="Z86" i="68"/>
  <c r="Z87" i="68"/>
  <c r="Z88" i="68"/>
  <c r="Z89" i="68"/>
  <c r="Z90" i="68"/>
  <c r="Z91" i="68"/>
  <c r="Z92" i="68"/>
  <c r="Z93" i="68"/>
  <c r="Z94" i="68"/>
  <c r="Z95" i="68"/>
  <c r="Z96" i="68"/>
  <c r="Z97" i="68"/>
  <c r="Z98" i="68"/>
  <c r="Z99" i="68"/>
  <c r="Z100" i="68"/>
  <c r="Z101" i="68"/>
  <c r="Z102" i="68"/>
  <c r="Z103" i="68"/>
  <c r="Z104" i="68"/>
  <c r="Z105" i="68"/>
  <c r="Z106" i="68"/>
  <c r="Z107" i="68"/>
  <c r="Z108" i="68"/>
  <c r="Z109" i="68"/>
  <c r="Z110" i="68"/>
  <c r="Z111" i="68"/>
  <c r="Z112" i="68"/>
  <c r="Z113" i="68"/>
  <c r="Z114" i="68"/>
  <c r="Z115" i="68"/>
  <c r="Z116" i="68"/>
  <c r="Z117" i="68"/>
  <c r="Z118" i="68"/>
  <c r="Z119" i="68"/>
  <c r="Z120" i="68"/>
  <c r="Z121" i="68"/>
  <c r="Z122" i="68"/>
  <c r="Z123" i="68"/>
  <c r="Z124" i="68"/>
  <c r="Z125" i="68"/>
  <c r="Z126" i="68"/>
  <c r="Z127" i="68"/>
  <c r="Z128" i="68"/>
  <c r="Z129" i="68"/>
  <c r="Z130" i="68"/>
  <c r="Z131" i="68"/>
  <c r="Z132" i="68"/>
  <c r="Z133" i="68"/>
  <c r="Z134" i="68"/>
  <c r="Z135" i="68"/>
  <c r="Z136" i="68"/>
  <c r="Z137" i="68"/>
  <c r="Z138" i="68"/>
  <c r="Z139" i="68"/>
  <c r="Z140" i="68"/>
  <c r="Z141" i="68"/>
  <c r="Z142" i="68"/>
  <c r="Z143" i="68"/>
  <c r="Z144" i="68"/>
  <c r="Z145" i="68"/>
  <c r="Z146" i="68"/>
  <c r="Z147" i="68"/>
  <c r="Z148" i="68"/>
  <c r="Z149" i="68"/>
  <c r="Z150" i="68"/>
  <c r="Z151" i="68"/>
  <c r="Z152" i="68"/>
  <c r="Z153" i="68"/>
  <c r="Z154" i="68"/>
  <c r="Z155" i="68"/>
  <c r="Z156" i="68"/>
  <c r="Z157" i="68"/>
  <c r="Z158" i="68"/>
  <c r="Z159" i="68"/>
  <c r="Z160" i="68"/>
  <c r="Z161" i="68"/>
  <c r="Z162" i="68"/>
  <c r="Z163" i="68"/>
  <c r="Z164" i="68"/>
  <c r="Z165" i="68"/>
  <c r="Z166" i="68"/>
  <c r="Z167" i="68"/>
  <c r="Z168" i="68"/>
  <c r="Z169" i="68"/>
  <c r="Z170" i="68"/>
  <c r="Z171" i="68"/>
  <c r="Z172" i="68"/>
  <c r="Z173" i="68"/>
  <c r="Z174" i="68"/>
  <c r="Z175" i="68"/>
  <c r="Z176" i="68"/>
  <c r="Z177" i="68"/>
  <c r="Z178" i="68"/>
  <c r="Z179" i="68"/>
  <c r="Z180" i="68"/>
  <c r="Z181" i="68"/>
  <c r="Z182" i="68"/>
  <c r="Z183" i="68"/>
  <c r="Z184" i="68"/>
  <c r="Z185" i="68"/>
  <c r="Z186" i="68"/>
  <c r="Z187" i="68"/>
  <c r="Z188" i="68"/>
  <c r="Z189" i="68"/>
  <c r="Z190" i="68"/>
  <c r="Z191" i="68"/>
  <c r="Z192" i="68"/>
  <c r="Z193" i="68"/>
  <c r="Z194" i="68"/>
  <c r="Z195" i="68"/>
  <c r="Z196" i="68"/>
  <c r="Z197" i="68"/>
  <c r="Z198" i="68"/>
  <c r="Z199" i="68"/>
  <c r="Z200" i="68"/>
  <c r="Z201" i="68"/>
  <c r="Z202" i="68"/>
  <c r="Z203" i="68"/>
  <c r="Z204" i="68"/>
  <c r="Z205" i="68"/>
  <c r="Z206" i="68"/>
  <c r="Z207" i="68"/>
  <c r="Z208" i="68"/>
  <c r="Z209" i="68"/>
  <c r="Z210" i="68"/>
  <c r="Z211" i="68"/>
  <c r="Z212" i="68"/>
  <c r="Z213" i="68"/>
  <c r="Z215" i="68"/>
  <c r="Z218" i="68"/>
  <c r="Z219" i="68"/>
  <c r="Z220" i="68"/>
  <c r="Z221" i="68"/>
  <c r="Z224" i="68"/>
  <c r="Y225" i="68"/>
  <c r="Z225" i="68" s="1"/>
  <c r="G62" i="53"/>
  <c r="Q10" i="38"/>
  <c r="C10" i="38" s="1"/>
  <c r="Q11" i="38"/>
  <c r="C11" i="38" s="1"/>
  <c r="Q12" i="38"/>
  <c r="C12" i="38" s="1"/>
  <c r="Q13" i="38"/>
  <c r="C13" i="38" s="1"/>
  <c r="Q15" i="38"/>
  <c r="C15" i="38" s="1"/>
  <c r="Q16" i="38"/>
  <c r="C16" i="38" s="1"/>
  <c r="Q17" i="38"/>
  <c r="C17" i="38" s="1"/>
  <c r="Q18" i="38"/>
  <c r="C18" i="38" s="1"/>
  <c r="Q19" i="38"/>
  <c r="C19" i="38" s="1"/>
  <c r="Q20" i="38"/>
  <c r="C20" i="38" s="1"/>
  <c r="Q21" i="38"/>
  <c r="C21" i="38" s="1"/>
  <c r="Q22" i="38"/>
  <c r="C22" i="38" s="1"/>
  <c r="Q23" i="38"/>
  <c r="C23" i="38" s="1"/>
  <c r="Q24" i="38"/>
  <c r="C24" i="38" s="1"/>
  <c r="Q25" i="38"/>
  <c r="C25" i="38" s="1"/>
  <c r="Q26" i="38"/>
  <c r="C26" i="38" s="1"/>
  <c r="Q27" i="38"/>
  <c r="C27" i="38" s="1"/>
  <c r="Q28" i="38"/>
  <c r="C28" i="38" s="1"/>
  <c r="Q29" i="38"/>
  <c r="C29" i="38" s="1"/>
  <c r="Q30" i="38"/>
  <c r="C30" i="38" s="1"/>
  <c r="Q31" i="38"/>
  <c r="C31" i="38" s="1"/>
  <c r="Q32" i="38"/>
  <c r="C32" i="38" s="1"/>
  <c r="Q33" i="38"/>
  <c r="C33" i="38" s="1"/>
  <c r="Q34" i="38"/>
  <c r="C34" i="38" s="1"/>
  <c r="Q35" i="38"/>
  <c r="C35" i="38" s="1"/>
  <c r="Q36" i="38"/>
  <c r="C36" i="38" s="1"/>
  <c r="Q37" i="38"/>
  <c r="C37" i="38" s="1"/>
  <c r="Q38" i="38"/>
  <c r="C38" i="38" s="1"/>
  <c r="Q39" i="38"/>
  <c r="C39" i="38" s="1"/>
  <c r="Q40" i="38"/>
  <c r="C40" i="38" s="1"/>
  <c r="Q41" i="38"/>
  <c r="C41" i="38" s="1"/>
  <c r="Q43" i="38"/>
  <c r="C43" i="38" s="1"/>
  <c r="Q44" i="38"/>
  <c r="C44" i="38" s="1"/>
  <c r="Q45" i="38"/>
  <c r="C45" i="38" s="1"/>
  <c r="Q46" i="38"/>
  <c r="C46" i="38" s="1"/>
  <c r="Q47" i="38"/>
  <c r="C47" i="38" s="1"/>
  <c r="Q48" i="38"/>
  <c r="C48" i="38" s="1"/>
  <c r="Q49" i="38"/>
  <c r="C49" i="38" s="1"/>
  <c r="Q50" i="38"/>
  <c r="C50" i="38" s="1"/>
  <c r="Q51" i="38"/>
  <c r="C51" i="38" s="1"/>
  <c r="Q52" i="38"/>
  <c r="C52" i="38" s="1"/>
  <c r="Q53" i="38"/>
  <c r="C53" i="38" s="1"/>
  <c r="Q54" i="38"/>
  <c r="C54" i="38" s="1"/>
  <c r="Q55" i="38"/>
  <c r="C55" i="38" s="1"/>
  <c r="Q56" i="38"/>
  <c r="C56" i="38" s="1"/>
  <c r="Q57" i="38"/>
  <c r="C57" i="38" s="1"/>
  <c r="Q58" i="38"/>
  <c r="C58" i="38" s="1"/>
  <c r="Q59" i="38"/>
  <c r="C59" i="38" s="1"/>
  <c r="Q60" i="38"/>
  <c r="C60" i="38" s="1"/>
  <c r="Q61" i="38"/>
  <c r="C61" i="38" s="1"/>
  <c r="Q62" i="38"/>
  <c r="C62" i="38" s="1"/>
  <c r="Q63" i="38"/>
  <c r="C63" i="38" s="1"/>
  <c r="Q64" i="38"/>
  <c r="C64" i="38" s="1"/>
  <c r="Q65" i="38"/>
  <c r="C65" i="38" s="1"/>
  <c r="Q66" i="38"/>
  <c r="C66" i="38" s="1"/>
  <c r="Q67" i="38"/>
  <c r="C67" i="38" s="1"/>
  <c r="Q68" i="38"/>
  <c r="C68" i="38" s="1"/>
  <c r="Q69" i="38"/>
  <c r="C69" i="38" s="1"/>
  <c r="Q70" i="38"/>
  <c r="C70" i="38" s="1"/>
  <c r="Q71" i="38"/>
  <c r="C71" i="38" s="1"/>
  <c r="Q72" i="38"/>
  <c r="C72" i="38" s="1"/>
  <c r="Q73" i="38"/>
  <c r="C73" i="38" s="1"/>
  <c r="Q74" i="38"/>
  <c r="C74" i="38" s="1"/>
  <c r="Q75" i="38"/>
  <c r="C75" i="38" s="1"/>
  <c r="Q76" i="38"/>
  <c r="C76" i="38" s="1"/>
  <c r="Q77" i="38"/>
  <c r="C77" i="38" s="1"/>
  <c r="Q78" i="38"/>
  <c r="C78" i="38" s="1"/>
  <c r="Q79" i="38"/>
  <c r="C79" i="38" s="1"/>
  <c r="Q80" i="38"/>
  <c r="C80" i="38" s="1"/>
  <c r="Q81" i="38"/>
  <c r="C81" i="38" s="1"/>
  <c r="Q82" i="38"/>
  <c r="C82" i="38" s="1"/>
  <c r="Q83" i="38"/>
  <c r="C83" i="38" s="1"/>
  <c r="Q84" i="38"/>
  <c r="C84" i="38" s="1"/>
  <c r="Q85" i="38"/>
  <c r="C85" i="38" s="1"/>
  <c r="Q86" i="38"/>
  <c r="C86" i="38" s="1"/>
  <c r="Q87" i="38"/>
  <c r="C87" i="38" s="1"/>
  <c r="Q88" i="38"/>
  <c r="C88" i="38" s="1"/>
  <c r="Q89" i="38"/>
  <c r="C89" i="38" s="1"/>
  <c r="Q90" i="38"/>
  <c r="C90" i="38" s="1"/>
  <c r="Q91" i="38"/>
  <c r="C91" i="38" s="1"/>
  <c r="Q92" i="38"/>
  <c r="C92" i="38" s="1"/>
  <c r="Q93" i="38"/>
  <c r="C93" i="38" s="1"/>
  <c r="Q94" i="38"/>
  <c r="C94" i="38" s="1"/>
  <c r="Q95" i="38"/>
  <c r="C95" i="38" s="1"/>
  <c r="Q96" i="38"/>
  <c r="C96" i="38" s="1"/>
  <c r="Q97" i="38"/>
  <c r="C97" i="38" s="1"/>
  <c r="Q98" i="38"/>
  <c r="C98" i="38" s="1"/>
  <c r="Q99" i="38"/>
  <c r="C99" i="38" s="1"/>
  <c r="Q100" i="38"/>
  <c r="C100" i="38" s="1"/>
  <c r="Q101" i="38"/>
  <c r="C101" i="38" s="1"/>
  <c r="Q102" i="38"/>
  <c r="C102" i="38" s="1"/>
  <c r="Q103" i="38"/>
  <c r="C103" i="38" s="1"/>
  <c r="Q104" i="38"/>
  <c r="C104" i="38" s="1"/>
  <c r="Q105" i="38"/>
  <c r="C105" i="38" s="1"/>
  <c r="Q106" i="38"/>
  <c r="C106" i="38" s="1"/>
  <c r="Q107" i="38"/>
  <c r="C107" i="38" s="1"/>
  <c r="Q108" i="38"/>
  <c r="C108" i="38" s="1"/>
  <c r="Q109" i="38"/>
  <c r="C109" i="38" s="1"/>
  <c r="Q110" i="38"/>
  <c r="C110" i="38" s="1"/>
  <c r="Q111" i="38"/>
  <c r="C111" i="38" s="1"/>
  <c r="Q112" i="38"/>
  <c r="C112" i="38" s="1"/>
  <c r="Q113" i="38"/>
  <c r="C113" i="38" s="1"/>
  <c r="Q114" i="38"/>
  <c r="C114" i="38" s="1"/>
  <c r="Q115" i="38"/>
  <c r="C115" i="38" s="1"/>
  <c r="Q116" i="38"/>
  <c r="C116" i="38" s="1"/>
  <c r="Q117" i="38"/>
  <c r="C117" i="38" s="1"/>
  <c r="Q118" i="38"/>
  <c r="C118" i="38" s="1"/>
  <c r="Q119" i="38"/>
  <c r="C119" i="38" s="1"/>
  <c r="Q120" i="38"/>
  <c r="C120" i="38" s="1"/>
  <c r="Q121" i="38"/>
  <c r="C121" i="38" s="1"/>
  <c r="Q122" i="38"/>
  <c r="C122" i="38" s="1"/>
  <c r="Q123" i="38"/>
  <c r="C123" i="38" s="1"/>
  <c r="Q124" i="38"/>
  <c r="C124" i="38" s="1"/>
  <c r="Q125" i="38"/>
  <c r="C125" i="38" s="1"/>
  <c r="Q126" i="38"/>
  <c r="C126" i="38" s="1"/>
  <c r="Q127" i="38"/>
  <c r="C127" i="38" s="1"/>
  <c r="Q128" i="38"/>
  <c r="C128" i="38" s="1"/>
  <c r="Q129" i="38"/>
  <c r="C129" i="38" s="1"/>
  <c r="Q130" i="38"/>
  <c r="C130" i="38" s="1"/>
  <c r="Q131" i="38"/>
  <c r="C131" i="38" s="1"/>
  <c r="Q132" i="38"/>
  <c r="C132" i="38" s="1"/>
  <c r="Q133" i="38"/>
  <c r="C133" i="38" s="1"/>
  <c r="Q134" i="38"/>
  <c r="C134" i="38" s="1"/>
  <c r="Q135" i="38"/>
  <c r="C135" i="38" s="1"/>
  <c r="Q136" i="38"/>
  <c r="C136" i="38" s="1"/>
  <c r="Q137" i="38"/>
  <c r="C137" i="38" s="1"/>
  <c r="Q138" i="38"/>
  <c r="C138" i="38" s="1"/>
  <c r="Q139" i="38"/>
  <c r="C139" i="38" s="1"/>
  <c r="Q140" i="38"/>
  <c r="C140" i="38" s="1"/>
  <c r="Q141" i="38"/>
  <c r="C141" i="38" s="1"/>
  <c r="L10" i="38"/>
  <c r="B10" i="38" s="1"/>
  <c r="L11" i="38"/>
  <c r="B11" i="38" s="1"/>
  <c r="L12" i="38"/>
  <c r="B12" i="38" s="1"/>
  <c r="L13" i="38"/>
  <c r="B13" i="38" s="1"/>
  <c r="L14" i="38"/>
  <c r="B14" i="38" s="1"/>
  <c r="L15" i="38"/>
  <c r="B15" i="38" s="1"/>
  <c r="L16" i="38"/>
  <c r="B16" i="38" s="1"/>
  <c r="L17" i="38"/>
  <c r="B17" i="38" s="1"/>
  <c r="L18" i="38"/>
  <c r="B18" i="38" s="1"/>
  <c r="L19" i="38"/>
  <c r="B19" i="38" s="1"/>
  <c r="L20" i="38"/>
  <c r="B20" i="38" s="1"/>
  <c r="L21" i="38"/>
  <c r="B21" i="38" s="1"/>
  <c r="L22" i="38"/>
  <c r="B22" i="38" s="1"/>
  <c r="L23" i="38"/>
  <c r="B23" i="38" s="1"/>
  <c r="L24" i="38"/>
  <c r="B24" i="38" s="1"/>
  <c r="L25" i="38"/>
  <c r="B25" i="38" s="1"/>
  <c r="L26" i="38"/>
  <c r="B26" i="38" s="1"/>
  <c r="L27" i="38"/>
  <c r="B27" i="38" s="1"/>
  <c r="L28" i="38"/>
  <c r="B28" i="38" s="1"/>
  <c r="L29" i="38"/>
  <c r="B29" i="38" s="1"/>
  <c r="L30" i="38"/>
  <c r="B30" i="38" s="1"/>
  <c r="L31" i="38"/>
  <c r="B31" i="38" s="1"/>
  <c r="L32" i="38"/>
  <c r="B32" i="38" s="1"/>
  <c r="L33" i="38"/>
  <c r="B33" i="38" s="1"/>
  <c r="L34" i="38"/>
  <c r="B34" i="38" s="1"/>
  <c r="L35" i="38"/>
  <c r="B35" i="38" s="1"/>
  <c r="L36" i="38"/>
  <c r="B36" i="38" s="1"/>
  <c r="L37" i="38"/>
  <c r="B37" i="38" s="1"/>
  <c r="L38" i="38"/>
  <c r="B38" i="38" s="1"/>
  <c r="L39" i="38"/>
  <c r="B39" i="38" s="1"/>
  <c r="L40" i="38"/>
  <c r="B40" i="38" s="1"/>
  <c r="L41" i="38"/>
  <c r="B41" i="38" s="1"/>
  <c r="L42" i="38"/>
  <c r="B42" i="38" s="1"/>
  <c r="L43" i="38"/>
  <c r="B43" i="38" s="1"/>
  <c r="L44" i="38"/>
  <c r="B44" i="38" s="1"/>
  <c r="L45" i="38"/>
  <c r="B45" i="38" s="1"/>
  <c r="L46" i="38"/>
  <c r="B46" i="38" s="1"/>
  <c r="L47" i="38"/>
  <c r="B47" i="38" s="1"/>
  <c r="L48" i="38"/>
  <c r="B48" i="38" s="1"/>
  <c r="L49" i="38"/>
  <c r="B49" i="38" s="1"/>
  <c r="L50" i="38"/>
  <c r="B50" i="38" s="1"/>
  <c r="L51" i="38"/>
  <c r="B51" i="38" s="1"/>
  <c r="L52" i="38"/>
  <c r="B52" i="38" s="1"/>
  <c r="L53" i="38"/>
  <c r="B53" i="38" s="1"/>
  <c r="L54" i="38"/>
  <c r="B54" i="38" s="1"/>
  <c r="L55" i="38"/>
  <c r="B55" i="38" s="1"/>
  <c r="L56" i="38"/>
  <c r="B56" i="38" s="1"/>
  <c r="L57" i="38"/>
  <c r="B57" i="38" s="1"/>
  <c r="L58" i="38"/>
  <c r="B58" i="38" s="1"/>
  <c r="L59" i="38"/>
  <c r="B59" i="38" s="1"/>
  <c r="L60" i="38"/>
  <c r="B60" i="38" s="1"/>
  <c r="L61" i="38"/>
  <c r="B61" i="38" s="1"/>
  <c r="L62" i="38"/>
  <c r="B62" i="38" s="1"/>
  <c r="L63" i="38"/>
  <c r="B63" i="38" s="1"/>
  <c r="L64" i="38"/>
  <c r="B64" i="38" s="1"/>
  <c r="L65" i="38"/>
  <c r="B65" i="38" s="1"/>
  <c r="L66" i="38"/>
  <c r="B66" i="38" s="1"/>
  <c r="L67" i="38"/>
  <c r="B67" i="38" s="1"/>
  <c r="L68" i="38"/>
  <c r="B68" i="38" s="1"/>
  <c r="L69" i="38"/>
  <c r="B69" i="38" s="1"/>
  <c r="L70" i="38"/>
  <c r="B70" i="38" s="1"/>
  <c r="L71" i="38"/>
  <c r="B71" i="38" s="1"/>
  <c r="L72" i="38"/>
  <c r="B72" i="38" s="1"/>
  <c r="L73" i="38"/>
  <c r="B73" i="38" s="1"/>
  <c r="L74" i="38"/>
  <c r="B74" i="38" s="1"/>
  <c r="L75" i="38"/>
  <c r="B75" i="38" s="1"/>
  <c r="L76" i="38"/>
  <c r="B76" i="38" s="1"/>
  <c r="L77" i="38"/>
  <c r="B77" i="38" s="1"/>
  <c r="L78" i="38"/>
  <c r="B78" i="38" s="1"/>
  <c r="L79" i="38"/>
  <c r="B79" i="38" s="1"/>
  <c r="L80" i="38"/>
  <c r="B80" i="38" s="1"/>
  <c r="L81" i="38"/>
  <c r="B81" i="38" s="1"/>
  <c r="L82" i="38"/>
  <c r="B82" i="38" s="1"/>
  <c r="L83" i="38"/>
  <c r="B83" i="38" s="1"/>
  <c r="L84" i="38"/>
  <c r="B84" i="38" s="1"/>
  <c r="L85" i="38"/>
  <c r="B85" i="38" s="1"/>
  <c r="L86" i="38"/>
  <c r="B86" i="38" s="1"/>
  <c r="L87" i="38"/>
  <c r="B87" i="38" s="1"/>
  <c r="L88" i="38"/>
  <c r="B88" i="38" s="1"/>
  <c r="L89" i="38"/>
  <c r="B89" i="38" s="1"/>
  <c r="L90" i="38"/>
  <c r="B90" i="38" s="1"/>
  <c r="L91" i="38"/>
  <c r="B91" i="38" s="1"/>
  <c r="L92" i="38"/>
  <c r="B92" i="38" s="1"/>
  <c r="L93" i="38"/>
  <c r="B93" i="38" s="1"/>
  <c r="L94" i="38"/>
  <c r="B94" i="38" s="1"/>
  <c r="L95" i="38"/>
  <c r="B95" i="38" s="1"/>
  <c r="L96" i="38"/>
  <c r="B96" i="38" s="1"/>
  <c r="L97" i="38"/>
  <c r="B97" i="38" s="1"/>
  <c r="L98" i="38"/>
  <c r="B98" i="38" s="1"/>
  <c r="L99" i="38"/>
  <c r="B99" i="38" s="1"/>
  <c r="L100" i="38"/>
  <c r="B100" i="38" s="1"/>
  <c r="L101" i="38"/>
  <c r="B101" i="38" s="1"/>
  <c r="L102" i="38"/>
  <c r="B102" i="38" s="1"/>
  <c r="L103" i="38"/>
  <c r="B103" i="38" s="1"/>
  <c r="L104" i="38"/>
  <c r="B104" i="38" s="1"/>
  <c r="L105" i="38"/>
  <c r="B105" i="38" s="1"/>
  <c r="L106" i="38"/>
  <c r="B106" i="38" s="1"/>
  <c r="L107" i="38"/>
  <c r="B107" i="38" s="1"/>
  <c r="L108" i="38"/>
  <c r="B108" i="38" s="1"/>
  <c r="L109" i="38"/>
  <c r="B109" i="38" s="1"/>
  <c r="L110" i="38"/>
  <c r="B110" i="38" s="1"/>
  <c r="L111" i="38"/>
  <c r="B111" i="38" s="1"/>
  <c r="L112" i="38"/>
  <c r="B112" i="38" s="1"/>
  <c r="L113" i="38"/>
  <c r="B113" i="38" s="1"/>
  <c r="L114" i="38"/>
  <c r="B114" i="38" s="1"/>
  <c r="L115" i="38"/>
  <c r="B115" i="38" s="1"/>
  <c r="L116" i="38"/>
  <c r="B116" i="38" s="1"/>
  <c r="L117" i="38"/>
  <c r="B117" i="38" s="1"/>
  <c r="L118" i="38"/>
  <c r="B118" i="38" s="1"/>
  <c r="L119" i="38"/>
  <c r="B119" i="38" s="1"/>
  <c r="L120" i="38"/>
  <c r="B120" i="38" s="1"/>
  <c r="L121" i="38"/>
  <c r="B121" i="38" s="1"/>
  <c r="L122" i="38"/>
  <c r="B122" i="38" s="1"/>
  <c r="L123" i="38"/>
  <c r="B123" i="38" s="1"/>
  <c r="L124" i="38"/>
  <c r="B124" i="38" s="1"/>
  <c r="L125" i="38"/>
  <c r="B125" i="38" s="1"/>
  <c r="L126" i="38"/>
  <c r="B126" i="38" s="1"/>
  <c r="L127" i="38"/>
  <c r="B127" i="38" s="1"/>
  <c r="L128" i="38"/>
  <c r="B128" i="38" s="1"/>
  <c r="L129" i="38"/>
  <c r="B129" i="38" s="1"/>
  <c r="L130" i="38"/>
  <c r="B130" i="38" s="1"/>
  <c r="L131" i="38"/>
  <c r="B131" i="38" s="1"/>
  <c r="L132" i="38"/>
  <c r="B132" i="38" s="1"/>
  <c r="L133" i="38"/>
  <c r="B133" i="38" s="1"/>
  <c r="L134" i="38"/>
  <c r="B134" i="38" s="1"/>
  <c r="L135" i="38"/>
  <c r="B135" i="38" s="1"/>
  <c r="L136" i="38"/>
  <c r="B136" i="38" s="1"/>
  <c r="L137" i="38"/>
  <c r="B137" i="38" s="1"/>
  <c r="L138" i="38"/>
  <c r="B138" i="38" s="1"/>
  <c r="L139" i="38"/>
  <c r="B139" i="38" s="1"/>
  <c r="L140" i="38"/>
  <c r="B140" i="38" s="1"/>
  <c r="L141" i="38"/>
  <c r="B141" i="38" s="1"/>
  <c r="L142" i="38"/>
  <c r="B142" i="38" s="1"/>
  <c r="L143" i="38"/>
  <c r="B143" i="38" s="1"/>
  <c r="L144" i="38"/>
  <c r="B144" i="38" s="1"/>
  <c r="L145" i="38"/>
  <c r="B145" i="38" s="1"/>
  <c r="J101" i="49"/>
  <c r="I101" i="49" s="1"/>
  <c r="C101" i="49"/>
  <c r="B101" i="49" s="1"/>
  <c r="F101" i="49"/>
  <c r="E101" i="49" s="1"/>
  <c r="C100" i="49"/>
  <c r="B100" i="49" s="1"/>
  <c r="F100" i="49"/>
  <c r="E100" i="49" s="1"/>
  <c r="M101" i="49"/>
  <c r="L101" i="49" s="1"/>
  <c r="J100" i="49"/>
  <c r="I100" i="49" s="1"/>
  <c r="M100" i="49"/>
  <c r="L100" i="49" s="1"/>
  <c r="D325" i="52"/>
  <c r="J325" i="52"/>
  <c r="D326" i="52"/>
  <c r="J326" i="52"/>
  <c r="D327" i="52"/>
  <c r="J327" i="52"/>
  <c r="D328" i="52"/>
  <c r="J328" i="52"/>
  <c r="D329" i="52"/>
  <c r="J329" i="52"/>
  <c r="D330" i="52"/>
  <c r="J330" i="52"/>
  <c r="D331" i="52"/>
  <c r="J331" i="52"/>
  <c r="D332" i="52"/>
  <c r="J332" i="52"/>
  <c r="D333" i="52"/>
  <c r="J333" i="52"/>
  <c r="D313" i="52"/>
  <c r="J313" i="52"/>
  <c r="D314" i="52"/>
  <c r="J314" i="52"/>
  <c r="D315" i="52"/>
  <c r="J315" i="52"/>
  <c r="D316" i="52"/>
  <c r="J316" i="52"/>
  <c r="D317" i="52"/>
  <c r="J317" i="52"/>
  <c r="D318" i="52"/>
  <c r="J318" i="52"/>
  <c r="D319" i="52"/>
  <c r="J319" i="52"/>
  <c r="D320" i="52"/>
  <c r="J320" i="52"/>
  <c r="D321" i="52"/>
  <c r="J321" i="52"/>
  <c r="D322" i="52"/>
  <c r="J322" i="52"/>
  <c r="D323" i="52"/>
  <c r="J323" i="52"/>
  <c r="D324" i="52"/>
  <c r="J324" i="52"/>
  <c r="D302" i="52"/>
  <c r="J302" i="52"/>
  <c r="D303" i="52"/>
  <c r="J303" i="52"/>
  <c r="D304" i="52"/>
  <c r="J304" i="52"/>
  <c r="D305" i="52"/>
  <c r="J305" i="52"/>
  <c r="D306" i="52"/>
  <c r="J306" i="52"/>
  <c r="D307" i="52"/>
  <c r="J307" i="52"/>
  <c r="D308" i="52"/>
  <c r="J308" i="52"/>
  <c r="D309" i="52"/>
  <c r="J309" i="52"/>
  <c r="D310" i="52"/>
  <c r="J310" i="52"/>
  <c r="D311" i="52"/>
  <c r="J311" i="52"/>
  <c r="D312" i="52"/>
  <c r="J312" i="52"/>
  <c r="D292" i="52"/>
  <c r="J292" i="52"/>
  <c r="D293" i="52"/>
  <c r="J293" i="52"/>
  <c r="D294" i="52"/>
  <c r="J294" i="52"/>
  <c r="D295" i="52"/>
  <c r="J295" i="52"/>
  <c r="D296" i="52"/>
  <c r="J296" i="52"/>
  <c r="D297" i="52"/>
  <c r="J297" i="52"/>
  <c r="D298" i="52"/>
  <c r="J298" i="52"/>
  <c r="D299" i="52"/>
  <c r="J299" i="52"/>
  <c r="D300" i="52"/>
  <c r="J300" i="52"/>
  <c r="D301" i="52"/>
  <c r="J301" i="52"/>
  <c r="D287" i="52"/>
  <c r="G287" i="52"/>
  <c r="J287" i="52"/>
  <c r="D288" i="52"/>
  <c r="G288" i="52"/>
  <c r="J288" i="52"/>
  <c r="D289" i="52"/>
  <c r="J289" i="52"/>
  <c r="D290" i="52"/>
  <c r="J290" i="52"/>
  <c r="D291" i="52"/>
  <c r="J291" i="52"/>
  <c r="D274" i="52"/>
  <c r="G274" i="52"/>
  <c r="J274" i="52"/>
  <c r="D275" i="52"/>
  <c r="G275" i="52"/>
  <c r="J275" i="52"/>
  <c r="D276" i="52"/>
  <c r="G276" i="52"/>
  <c r="J276" i="52"/>
  <c r="D277" i="52"/>
  <c r="G277" i="52"/>
  <c r="J277" i="52"/>
  <c r="D278" i="52"/>
  <c r="G278" i="52"/>
  <c r="J278" i="52"/>
  <c r="D279" i="52"/>
  <c r="G279" i="52"/>
  <c r="J279" i="52"/>
  <c r="D280" i="52"/>
  <c r="G280" i="52"/>
  <c r="J280" i="52"/>
  <c r="D281" i="52"/>
  <c r="G281" i="52"/>
  <c r="J281" i="52"/>
  <c r="D282" i="52"/>
  <c r="G282" i="52"/>
  <c r="J282" i="52"/>
  <c r="D283" i="52"/>
  <c r="G283" i="52"/>
  <c r="J283" i="52"/>
  <c r="D284" i="52"/>
  <c r="G284" i="52"/>
  <c r="J284" i="52"/>
  <c r="D285" i="52"/>
  <c r="G285" i="52"/>
  <c r="J285" i="52"/>
  <c r="D286" i="52"/>
  <c r="G286" i="52"/>
  <c r="J286" i="52"/>
  <c r="A137" i="62"/>
  <c r="A149" i="62" s="1"/>
  <c r="A161" i="62" s="1"/>
  <c r="A173" i="62" s="1"/>
  <c r="A185" i="62" s="1"/>
  <c r="A197" i="62" s="1"/>
  <c r="A209" i="62" s="1"/>
  <c r="A221" i="62" s="1"/>
  <c r="A233" i="62" s="1"/>
  <c r="A245" i="62" s="1"/>
  <c r="A138" i="62"/>
  <c r="A150" i="62" s="1"/>
  <c r="A162" i="62" s="1"/>
  <c r="A174" i="62" s="1"/>
  <c r="A186" i="62" s="1"/>
  <c r="A198" i="62" s="1"/>
  <c r="A210" i="62" s="1"/>
  <c r="A222" i="62" s="1"/>
  <c r="A234" i="62" s="1"/>
  <c r="A246" i="62" s="1"/>
  <c r="A139" i="62"/>
  <c r="A151" i="62" s="1"/>
  <c r="A163" i="62" s="1"/>
  <c r="A175" i="62" s="1"/>
  <c r="A187" i="62" s="1"/>
  <c r="A199" i="62" s="1"/>
  <c r="A211" i="62" s="1"/>
  <c r="A223" i="62" s="1"/>
  <c r="A235" i="62" s="1"/>
  <c r="A247" i="62" s="1"/>
  <c r="A140" i="62"/>
  <c r="A152" i="62" s="1"/>
  <c r="A164" i="62" s="1"/>
  <c r="A176" i="62" s="1"/>
  <c r="A188" i="62" s="1"/>
  <c r="A200" i="62" s="1"/>
  <c r="A212" i="62" s="1"/>
  <c r="A224" i="62" s="1"/>
  <c r="A236" i="62" s="1"/>
  <c r="A248" i="62" s="1"/>
  <c r="A141" i="62"/>
  <c r="A153" i="62" s="1"/>
  <c r="A165" i="62" s="1"/>
  <c r="A177" i="62" s="1"/>
  <c r="A189" i="62" s="1"/>
  <c r="A201" i="62" s="1"/>
  <c r="A213" i="62" s="1"/>
  <c r="A225" i="62" s="1"/>
  <c r="A237" i="62" s="1"/>
  <c r="A249" i="62" s="1"/>
  <c r="A131" i="62"/>
  <c r="A143" i="62" s="1"/>
  <c r="A155" i="62" s="1"/>
  <c r="A167" i="62" s="1"/>
  <c r="A179" i="62" s="1"/>
  <c r="A191" i="62" s="1"/>
  <c r="A203" i="62" s="1"/>
  <c r="A215" i="62" s="1"/>
  <c r="A227" i="62" s="1"/>
  <c r="A239" i="62" s="1"/>
  <c r="A132" i="62"/>
  <c r="A144" i="62" s="1"/>
  <c r="A156" i="62" s="1"/>
  <c r="A168" i="62" s="1"/>
  <c r="A180" i="62" s="1"/>
  <c r="A192" i="62" s="1"/>
  <c r="A204" i="62" s="1"/>
  <c r="A216" i="62" s="1"/>
  <c r="A228" i="62" s="1"/>
  <c r="A240" i="62" s="1"/>
  <c r="A133" i="62"/>
  <c r="A145" i="62" s="1"/>
  <c r="A157" i="62" s="1"/>
  <c r="A169" i="62" s="1"/>
  <c r="A181" i="62" s="1"/>
  <c r="A193" i="62" s="1"/>
  <c r="A205" i="62" s="1"/>
  <c r="A217" i="62" s="1"/>
  <c r="A229" i="62" s="1"/>
  <c r="A241" i="62" s="1"/>
  <c r="A134" i="62"/>
  <c r="A146" i="62" s="1"/>
  <c r="A158" i="62" s="1"/>
  <c r="A170" i="62" s="1"/>
  <c r="A182" i="62" s="1"/>
  <c r="A194" i="62" s="1"/>
  <c r="A206" i="62" s="1"/>
  <c r="A218" i="62" s="1"/>
  <c r="A230" i="62" s="1"/>
  <c r="A242" i="62" s="1"/>
  <c r="A135" i="62"/>
  <c r="A147" i="62" s="1"/>
  <c r="A159" i="62" s="1"/>
  <c r="A171" i="62" s="1"/>
  <c r="A183" i="62" s="1"/>
  <c r="A195" i="62" s="1"/>
  <c r="A207" i="62" s="1"/>
  <c r="A219" i="62" s="1"/>
  <c r="A231" i="62" s="1"/>
  <c r="A243" i="62" s="1"/>
  <c r="A136" i="62"/>
  <c r="A148" i="62" s="1"/>
  <c r="A160" i="62" s="1"/>
  <c r="A172" i="62" s="1"/>
  <c r="A184" i="62" s="1"/>
  <c r="A196" i="62" s="1"/>
  <c r="A208" i="62" s="1"/>
  <c r="A220" i="62" s="1"/>
  <c r="A232" i="62" s="1"/>
  <c r="A244" i="62" s="1"/>
  <c r="A130" i="62"/>
  <c r="A142" i="62" s="1"/>
  <c r="A154" i="62" s="1"/>
  <c r="A166" i="62" s="1"/>
  <c r="A178" i="62" s="1"/>
  <c r="A190" i="62" s="1"/>
  <c r="A202" i="62" s="1"/>
  <c r="A214" i="62" s="1"/>
  <c r="A226" i="62" s="1"/>
  <c r="A238" i="62" s="1"/>
  <c r="C308" i="59"/>
  <c r="C309" i="59"/>
  <c r="C301" i="59"/>
  <c r="C302" i="59"/>
  <c r="C303" i="59"/>
  <c r="C304" i="59"/>
  <c r="C305" i="59"/>
  <c r="C306" i="59"/>
  <c r="C307" i="59"/>
  <c r="C292" i="59"/>
  <c r="C293" i="59"/>
  <c r="C294" i="59"/>
  <c r="C295" i="59"/>
  <c r="C296" i="59"/>
  <c r="C297" i="59"/>
  <c r="C298" i="59"/>
  <c r="C299" i="59"/>
  <c r="C300" i="59"/>
  <c r="C281" i="59"/>
  <c r="C282" i="59"/>
  <c r="C283" i="59"/>
  <c r="C284" i="59"/>
  <c r="C285" i="59"/>
  <c r="C286" i="59"/>
  <c r="C287" i="59"/>
  <c r="C288" i="59"/>
  <c r="C289" i="59"/>
  <c r="C290" i="59"/>
  <c r="C291" i="59"/>
  <c r="C271" i="59"/>
  <c r="C272" i="59"/>
  <c r="C273" i="59"/>
  <c r="C274" i="59"/>
  <c r="C275" i="59"/>
  <c r="C276" i="59"/>
  <c r="C277" i="59"/>
  <c r="C278" i="59"/>
  <c r="C279" i="59"/>
  <c r="C280" i="59"/>
  <c r="C263" i="59"/>
  <c r="C264" i="59"/>
  <c r="C265" i="59"/>
  <c r="C266" i="59"/>
  <c r="C267" i="59"/>
  <c r="C268" i="59"/>
  <c r="C269" i="59"/>
  <c r="C270" i="59"/>
  <c r="C250" i="59"/>
  <c r="C251" i="59"/>
  <c r="C252" i="59"/>
  <c r="C253" i="59"/>
  <c r="C254" i="59"/>
  <c r="C255" i="59"/>
  <c r="C256" i="59"/>
  <c r="C257" i="59"/>
  <c r="C258" i="59"/>
  <c r="C259" i="59"/>
  <c r="B350" i="89"/>
  <c r="B351" i="89"/>
  <c r="B352" i="89"/>
  <c r="B353" i="89"/>
  <c r="B354" i="89"/>
  <c r="B355" i="89"/>
  <c r="B356" i="89"/>
  <c r="B357" i="89"/>
  <c r="B341" i="89"/>
  <c r="B342" i="89"/>
  <c r="B343" i="89"/>
  <c r="B344" i="89"/>
  <c r="B345" i="89"/>
  <c r="B347" i="89"/>
  <c r="B331" i="89"/>
  <c r="B335" i="89"/>
  <c r="B336" i="89"/>
  <c r="B337" i="89"/>
  <c r="B338" i="89"/>
  <c r="B339" i="89"/>
  <c r="B340" i="89"/>
  <c r="B323" i="89"/>
  <c r="B325" i="89"/>
  <c r="B326" i="89"/>
  <c r="B327" i="89"/>
  <c r="B328" i="89"/>
  <c r="B315" i="89"/>
  <c r="B316" i="89"/>
  <c r="B317" i="89"/>
  <c r="B318" i="89"/>
  <c r="B319" i="89"/>
  <c r="B320" i="89"/>
  <c r="B321" i="89"/>
  <c r="B307" i="89"/>
  <c r="B308" i="89"/>
  <c r="B309" i="89"/>
  <c r="B314" i="89"/>
  <c r="B300" i="89"/>
  <c r="B301" i="89"/>
  <c r="B302" i="89"/>
  <c r="B303" i="89"/>
  <c r="B304" i="89"/>
  <c r="B305" i="89"/>
  <c r="B306" i="89"/>
  <c r="H355" i="11"/>
  <c r="H356" i="11"/>
  <c r="H357" i="11"/>
  <c r="H347" i="11"/>
  <c r="H348" i="11"/>
  <c r="H349" i="11"/>
  <c r="H351" i="11"/>
  <c r="H353" i="11"/>
  <c r="H354" i="11"/>
  <c r="H338" i="11"/>
  <c r="H339" i="11"/>
  <c r="H340" i="11"/>
  <c r="H341" i="11"/>
  <c r="H342" i="11"/>
  <c r="H343" i="11"/>
  <c r="H345" i="11"/>
  <c r="H346" i="11"/>
  <c r="H329" i="11"/>
  <c r="H330" i="11"/>
  <c r="H331" i="11"/>
  <c r="H332" i="11"/>
  <c r="H333" i="11"/>
  <c r="H334" i="11"/>
  <c r="H335" i="11"/>
  <c r="H337" i="11"/>
  <c r="H321" i="11"/>
  <c r="H322" i="11"/>
  <c r="H323" i="11"/>
  <c r="H324" i="11"/>
  <c r="H325" i="11"/>
  <c r="H326" i="11"/>
  <c r="H327" i="11"/>
  <c r="H328" i="11"/>
  <c r="H310" i="11"/>
  <c r="H311" i="11"/>
  <c r="H312" i="11"/>
  <c r="H313" i="11"/>
  <c r="H314" i="11"/>
  <c r="H315" i="11"/>
  <c r="H316" i="11"/>
  <c r="H299" i="11"/>
  <c r="H300" i="11"/>
  <c r="H301" i="11"/>
  <c r="H302" i="11"/>
  <c r="H303" i="11"/>
  <c r="H307" i="11"/>
  <c r="A332" i="51"/>
  <c r="A344" i="51" s="1"/>
  <c r="A356" i="51" s="1"/>
  <c r="A368" i="51" s="1"/>
  <c r="A380" i="51" s="1"/>
  <c r="A392" i="51" s="1"/>
  <c r="A404" i="51" s="1"/>
  <c r="A416" i="51" s="1"/>
  <c r="A428" i="51" s="1"/>
  <c r="A440" i="51" s="1"/>
  <c r="A452" i="51" s="1"/>
  <c r="A464" i="51" s="1"/>
  <c r="A476" i="51" s="1"/>
  <c r="A488" i="51" s="1"/>
  <c r="A500" i="51" s="1"/>
  <c r="A333" i="51"/>
  <c r="A345" i="51" s="1"/>
  <c r="A357" i="51" s="1"/>
  <c r="A369" i="51" s="1"/>
  <c r="A381" i="51" s="1"/>
  <c r="A393" i="51" s="1"/>
  <c r="A405" i="51" s="1"/>
  <c r="A417" i="51" s="1"/>
  <c r="A429" i="51" s="1"/>
  <c r="A441" i="51" s="1"/>
  <c r="A453" i="51" s="1"/>
  <c r="A465" i="51" s="1"/>
  <c r="A477" i="51" s="1"/>
  <c r="A489" i="51" s="1"/>
  <c r="A501" i="51" s="1"/>
  <c r="A323" i="51"/>
  <c r="A335" i="51" s="1"/>
  <c r="A347" i="51" s="1"/>
  <c r="A359" i="51" s="1"/>
  <c r="A371" i="51" s="1"/>
  <c r="A383" i="51" s="1"/>
  <c r="A395" i="51" s="1"/>
  <c r="A407" i="51" s="1"/>
  <c r="A419" i="51" s="1"/>
  <c r="A431" i="51" s="1"/>
  <c r="A443" i="51" s="1"/>
  <c r="A455" i="51" s="1"/>
  <c r="A467" i="51" s="1"/>
  <c r="A479" i="51" s="1"/>
  <c r="A491" i="51" s="1"/>
  <c r="A324" i="51"/>
  <c r="A336" i="51" s="1"/>
  <c r="A348" i="51" s="1"/>
  <c r="A360" i="51" s="1"/>
  <c r="A372" i="51" s="1"/>
  <c r="A384" i="51" s="1"/>
  <c r="A396" i="51" s="1"/>
  <c r="A408" i="51" s="1"/>
  <c r="A420" i="51" s="1"/>
  <c r="A432" i="51" s="1"/>
  <c r="A444" i="51" s="1"/>
  <c r="A456" i="51" s="1"/>
  <c r="A468" i="51" s="1"/>
  <c r="A480" i="51" s="1"/>
  <c r="A492" i="51" s="1"/>
  <c r="A325" i="51"/>
  <c r="A337" i="51" s="1"/>
  <c r="A349" i="51" s="1"/>
  <c r="A361" i="51" s="1"/>
  <c r="A373" i="51" s="1"/>
  <c r="A385" i="51" s="1"/>
  <c r="A397" i="51" s="1"/>
  <c r="A409" i="51" s="1"/>
  <c r="A421" i="51" s="1"/>
  <c r="A433" i="51" s="1"/>
  <c r="A445" i="51" s="1"/>
  <c r="A457" i="51" s="1"/>
  <c r="A469" i="51" s="1"/>
  <c r="A481" i="51" s="1"/>
  <c r="A493" i="51" s="1"/>
  <c r="A326" i="51"/>
  <c r="A338" i="51" s="1"/>
  <c r="A350" i="51" s="1"/>
  <c r="A362" i="51" s="1"/>
  <c r="A374" i="51" s="1"/>
  <c r="A386" i="51" s="1"/>
  <c r="A398" i="51" s="1"/>
  <c r="A410" i="51" s="1"/>
  <c r="A422" i="51" s="1"/>
  <c r="A434" i="51" s="1"/>
  <c r="A446" i="51" s="1"/>
  <c r="A458" i="51" s="1"/>
  <c r="A470" i="51" s="1"/>
  <c r="A482" i="51" s="1"/>
  <c r="A494" i="51" s="1"/>
  <c r="A327" i="51"/>
  <c r="A339" i="51" s="1"/>
  <c r="A351" i="51" s="1"/>
  <c r="A363" i="51" s="1"/>
  <c r="A375" i="51" s="1"/>
  <c r="A387" i="51" s="1"/>
  <c r="A399" i="51" s="1"/>
  <c r="A411" i="51" s="1"/>
  <c r="A423" i="51" s="1"/>
  <c r="A435" i="51" s="1"/>
  <c r="A447" i="51" s="1"/>
  <c r="A459" i="51" s="1"/>
  <c r="A471" i="51" s="1"/>
  <c r="A483" i="51" s="1"/>
  <c r="A495" i="51" s="1"/>
  <c r="A328" i="51"/>
  <c r="A340" i="51" s="1"/>
  <c r="A352" i="51" s="1"/>
  <c r="A364" i="51" s="1"/>
  <c r="A376" i="51" s="1"/>
  <c r="A388" i="51" s="1"/>
  <c r="A400" i="51" s="1"/>
  <c r="A412" i="51" s="1"/>
  <c r="A424" i="51" s="1"/>
  <c r="A436" i="51" s="1"/>
  <c r="A448" i="51" s="1"/>
  <c r="A460" i="51" s="1"/>
  <c r="A472" i="51" s="1"/>
  <c r="A484" i="51" s="1"/>
  <c r="A496" i="51" s="1"/>
  <c r="A329" i="51"/>
  <c r="A341" i="51" s="1"/>
  <c r="A353" i="51" s="1"/>
  <c r="A365" i="51" s="1"/>
  <c r="A377" i="51" s="1"/>
  <c r="A389" i="51" s="1"/>
  <c r="A401" i="51" s="1"/>
  <c r="A413" i="51" s="1"/>
  <c r="A425" i="51" s="1"/>
  <c r="A437" i="51" s="1"/>
  <c r="A449" i="51" s="1"/>
  <c r="A461" i="51" s="1"/>
  <c r="A473" i="51" s="1"/>
  <c r="A485" i="51" s="1"/>
  <c r="A497" i="51" s="1"/>
  <c r="A330" i="51"/>
  <c r="A342" i="51" s="1"/>
  <c r="A354" i="51" s="1"/>
  <c r="A366" i="51" s="1"/>
  <c r="A378" i="51" s="1"/>
  <c r="A390" i="51" s="1"/>
  <c r="A402" i="51" s="1"/>
  <c r="A414" i="51" s="1"/>
  <c r="A426" i="51" s="1"/>
  <c r="A438" i="51" s="1"/>
  <c r="A450" i="51" s="1"/>
  <c r="A462" i="51" s="1"/>
  <c r="A474" i="51" s="1"/>
  <c r="A486" i="51" s="1"/>
  <c r="A498" i="51" s="1"/>
  <c r="A331" i="51"/>
  <c r="A343" i="51" s="1"/>
  <c r="A355" i="51" s="1"/>
  <c r="A367" i="51" s="1"/>
  <c r="A379" i="51" s="1"/>
  <c r="A391" i="51" s="1"/>
  <c r="A403" i="51" s="1"/>
  <c r="A415" i="51" s="1"/>
  <c r="A427" i="51" s="1"/>
  <c r="A439" i="51" s="1"/>
  <c r="A451" i="51" s="1"/>
  <c r="A463" i="51" s="1"/>
  <c r="A475" i="51" s="1"/>
  <c r="A487" i="51" s="1"/>
  <c r="A499" i="51" s="1"/>
  <c r="A322" i="51"/>
  <c r="A334" i="51" s="1"/>
  <c r="A346" i="51" s="1"/>
  <c r="A358" i="51" s="1"/>
  <c r="A370" i="51" s="1"/>
  <c r="A382" i="51" s="1"/>
  <c r="A394" i="51" s="1"/>
  <c r="A406" i="51" s="1"/>
  <c r="A418" i="51" s="1"/>
  <c r="A430" i="51" s="1"/>
  <c r="A442" i="51" s="1"/>
  <c r="A454" i="51" s="1"/>
  <c r="A466" i="51" s="1"/>
  <c r="A478" i="51" s="1"/>
  <c r="A490" i="51" s="1"/>
  <c r="A292" i="38"/>
  <c r="A304" i="38" s="1"/>
  <c r="A316" i="38" s="1"/>
  <c r="A328" i="38" s="1"/>
  <c r="A340" i="38" s="1"/>
  <c r="A352" i="38" s="1"/>
  <c r="A364" i="38" s="1"/>
  <c r="A376" i="38" s="1"/>
  <c r="A388" i="38" s="1"/>
  <c r="A400" i="38" s="1"/>
  <c r="A412" i="38" s="1"/>
  <c r="A424" i="38" s="1"/>
  <c r="A436" i="38" s="1"/>
  <c r="A448" i="38" s="1"/>
  <c r="A460" i="38" s="1"/>
  <c r="A293" i="38"/>
  <c r="A305" i="38" s="1"/>
  <c r="A317" i="38" s="1"/>
  <c r="A329" i="38" s="1"/>
  <c r="A341" i="38" s="1"/>
  <c r="A353" i="38" s="1"/>
  <c r="A365" i="38" s="1"/>
  <c r="A377" i="38" s="1"/>
  <c r="A389" i="38" s="1"/>
  <c r="A401" i="38" s="1"/>
  <c r="A413" i="38" s="1"/>
  <c r="A425" i="38" s="1"/>
  <c r="A437" i="38" s="1"/>
  <c r="A449" i="38" s="1"/>
  <c r="A461" i="38" s="1"/>
  <c r="A294" i="38"/>
  <c r="A306" i="38" s="1"/>
  <c r="A318" i="38" s="1"/>
  <c r="A330" i="38" s="1"/>
  <c r="A342" i="38" s="1"/>
  <c r="A354" i="38" s="1"/>
  <c r="A366" i="38" s="1"/>
  <c r="A378" i="38" s="1"/>
  <c r="A390" i="38" s="1"/>
  <c r="A402" i="38" s="1"/>
  <c r="A414" i="38" s="1"/>
  <c r="A426" i="38" s="1"/>
  <c r="A438" i="38" s="1"/>
  <c r="A450" i="38" s="1"/>
  <c r="A462" i="38" s="1"/>
  <c r="A295" i="38"/>
  <c r="A307" i="38" s="1"/>
  <c r="A319" i="38" s="1"/>
  <c r="A331" i="38" s="1"/>
  <c r="A343" i="38" s="1"/>
  <c r="A355" i="38" s="1"/>
  <c r="A367" i="38" s="1"/>
  <c r="A379" i="38" s="1"/>
  <c r="A391" i="38" s="1"/>
  <c r="A403" i="38" s="1"/>
  <c r="A415" i="38" s="1"/>
  <c r="A427" i="38" s="1"/>
  <c r="A439" i="38" s="1"/>
  <c r="A451" i="38" s="1"/>
  <c r="A463" i="38" s="1"/>
  <c r="A296" i="38"/>
  <c r="A308" i="38" s="1"/>
  <c r="A320" i="38" s="1"/>
  <c r="A332" i="38" s="1"/>
  <c r="A344" i="38" s="1"/>
  <c r="A356" i="38" s="1"/>
  <c r="A368" i="38" s="1"/>
  <c r="A380" i="38" s="1"/>
  <c r="A392" i="38" s="1"/>
  <c r="A404" i="38" s="1"/>
  <c r="A416" i="38" s="1"/>
  <c r="A428" i="38" s="1"/>
  <c r="A440" i="38" s="1"/>
  <c r="A452" i="38" s="1"/>
  <c r="A464" i="38" s="1"/>
  <c r="A297" i="38"/>
  <c r="A309" i="38" s="1"/>
  <c r="A321" i="38" s="1"/>
  <c r="A333" i="38" s="1"/>
  <c r="A345" i="38" s="1"/>
  <c r="A357" i="38" s="1"/>
  <c r="A369" i="38" s="1"/>
  <c r="A381" i="38" s="1"/>
  <c r="A393" i="38" s="1"/>
  <c r="A405" i="38" s="1"/>
  <c r="A417" i="38" s="1"/>
  <c r="A429" i="38" s="1"/>
  <c r="A441" i="38" s="1"/>
  <c r="A453" i="38" s="1"/>
  <c r="A465" i="38" s="1"/>
  <c r="A287" i="38"/>
  <c r="A299" i="38" s="1"/>
  <c r="A311" i="38" s="1"/>
  <c r="A323" i="38" s="1"/>
  <c r="A335" i="38" s="1"/>
  <c r="A347" i="38" s="1"/>
  <c r="A359" i="38" s="1"/>
  <c r="A371" i="38" s="1"/>
  <c r="A383" i="38" s="1"/>
  <c r="A395" i="38" s="1"/>
  <c r="A407" i="38" s="1"/>
  <c r="A419" i="38" s="1"/>
  <c r="A431" i="38" s="1"/>
  <c r="A443" i="38" s="1"/>
  <c r="A455" i="38" s="1"/>
  <c r="A288" i="38"/>
  <c r="A300" i="38" s="1"/>
  <c r="A312" i="38" s="1"/>
  <c r="A324" i="38" s="1"/>
  <c r="A336" i="38" s="1"/>
  <c r="A348" i="38" s="1"/>
  <c r="A360" i="38" s="1"/>
  <c r="A372" i="38" s="1"/>
  <c r="A384" i="38" s="1"/>
  <c r="A396" i="38" s="1"/>
  <c r="A408" i="38" s="1"/>
  <c r="A420" i="38" s="1"/>
  <c r="A432" i="38" s="1"/>
  <c r="A444" i="38" s="1"/>
  <c r="A456" i="38" s="1"/>
  <c r="A289" i="38"/>
  <c r="A301" i="38" s="1"/>
  <c r="A313" i="38" s="1"/>
  <c r="A325" i="38" s="1"/>
  <c r="A337" i="38" s="1"/>
  <c r="A349" i="38" s="1"/>
  <c r="A361" i="38" s="1"/>
  <c r="A373" i="38" s="1"/>
  <c r="A385" i="38" s="1"/>
  <c r="A397" i="38" s="1"/>
  <c r="A409" i="38" s="1"/>
  <c r="A421" i="38" s="1"/>
  <c r="A433" i="38" s="1"/>
  <c r="A445" i="38" s="1"/>
  <c r="A457" i="38" s="1"/>
  <c r="A290" i="38"/>
  <c r="A302" i="38" s="1"/>
  <c r="A314" i="38" s="1"/>
  <c r="A326" i="38" s="1"/>
  <c r="A338" i="38" s="1"/>
  <c r="A350" i="38" s="1"/>
  <c r="A362" i="38" s="1"/>
  <c r="A374" i="38" s="1"/>
  <c r="A386" i="38" s="1"/>
  <c r="A398" i="38" s="1"/>
  <c r="A410" i="38" s="1"/>
  <c r="A422" i="38" s="1"/>
  <c r="A434" i="38" s="1"/>
  <c r="A446" i="38" s="1"/>
  <c r="A458" i="38" s="1"/>
  <c r="A291" i="38"/>
  <c r="A303" i="38" s="1"/>
  <c r="A315" i="38" s="1"/>
  <c r="A327" i="38" s="1"/>
  <c r="A339" i="38" s="1"/>
  <c r="A351" i="38" s="1"/>
  <c r="A363" i="38" s="1"/>
  <c r="A375" i="38" s="1"/>
  <c r="A387" i="38" s="1"/>
  <c r="A399" i="38" s="1"/>
  <c r="A411" i="38" s="1"/>
  <c r="A423" i="38" s="1"/>
  <c r="A435" i="38" s="1"/>
  <c r="A447" i="38" s="1"/>
  <c r="A459" i="38" s="1"/>
  <c r="A286" i="38"/>
  <c r="A298" i="38" s="1"/>
  <c r="A310" i="38" s="1"/>
  <c r="A322" i="38" s="1"/>
  <c r="A334" i="38" s="1"/>
  <c r="A346" i="38" s="1"/>
  <c r="A358" i="38" s="1"/>
  <c r="A370" i="38" s="1"/>
  <c r="A382" i="38" s="1"/>
  <c r="A394" i="38" s="1"/>
  <c r="A406" i="38" s="1"/>
  <c r="A418" i="38" s="1"/>
  <c r="A430" i="38" s="1"/>
  <c r="A442" i="38" s="1"/>
  <c r="A454" i="38" s="1"/>
  <c r="H331" i="4"/>
  <c r="K331" i="4"/>
  <c r="H332" i="4"/>
  <c r="K332" i="4"/>
  <c r="H333" i="4"/>
  <c r="K333" i="4"/>
  <c r="H324" i="4"/>
  <c r="K324" i="4"/>
  <c r="H325" i="4"/>
  <c r="K325" i="4"/>
  <c r="K326" i="4"/>
  <c r="H327" i="4"/>
  <c r="K327" i="4"/>
  <c r="H328" i="4"/>
  <c r="K328" i="4"/>
  <c r="H329" i="4"/>
  <c r="K329" i="4"/>
  <c r="H330" i="4"/>
  <c r="K330" i="4"/>
  <c r="H313" i="4"/>
  <c r="K313" i="4"/>
  <c r="H314" i="4"/>
  <c r="K314" i="4"/>
  <c r="H315" i="4"/>
  <c r="K315" i="4"/>
  <c r="H316" i="4"/>
  <c r="K316" i="4"/>
  <c r="H317" i="4"/>
  <c r="K317" i="4"/>
  <c r="H318" i="4"/>
  <c r="K318" i="4"/>
  <c r="H319" i="4"/>
  <c r="K319" i="4"/>
  <c r="H320" i="4"/>
  <c r="K320" i="4"/>
  <c r="H321" i="4"/>
  <c r="K321" i="4"/>
  <c r="H322" i="4"/>
  <c r="K322" i="4"/>
  <c r="H323" i="4"/>
  <c r="K323" i="4"/>
  <c r="H306" i="4"/>
  <c r="K306" i="4"/>
  <c r="H307" i="4"/>
  <c r="K307" i="4"/>
  <c r="K308" i="4"/>
  <c r="H309" i="4"/>
  <c r="K309" i="4"/>
  <c r="H310" i="4"/>
  <c r="K310" i="4"/>
  <c r="H311" i="4"/>
  <c r="K311" i="4"/>
  <c r="H312" i="4"/>
  <c r="K312" i="4"/>
  <c r="H298" i="4"/>
  <c r="K298" i="4"/>
  <c r="H299" i="4"/>
  <c r="K299" i="4"/>
  <c r="H300" i="4"/>
  <c r="K300" i="4"/>
  <c r="H301" i="4"/>
  <c r="K301" i="4"/>
  <c r="H302" i="4"/>
  <c r="K302" i="4"/>
  <c r="H303" i="4"/>
  <c r="K303" i="4"/>
  <c r="H305" i="4"/>
  <c r="K305" i="4"/>
  <c r="H285" i="4"/>
  <c r="K285" i="4"/>
  <c r="H286" i="4"/>
  <c r="K286" i="4"/>
  <c r="H287" i="4"/>
  <c r="K287" i="4"/>
  <c r="H288" i="4"/>
  <c r="K288" i="4"/>
  <c r="H289" i="4"/>
  <c r="K289" i="4"/>
  <c r="H290" i="4"/>
  <c r="K290" i="4"/>
  <c r="H291" i="4"/>
  <c r="K291" i="4"/>
  <c r="H292" i="4"/>
  <c r="K292" i="4"/>
  <c r="H293" i="4"/>
  <c r="K293" i="4"/>
  <c r="H294" i="4"/>
  <c r="K294" i="4"/>
  <c r="H295" i="4"/>
  <c r="H296" i="4"/>
  <c r="K296" i="4"/>
  <c r="H297" i="4"/>
  <c r="K297" i="4"/>
  <c r="H274" i="4"/>
  <c r="K274" i="4"/>
  <c r="H275" i="4"/>
  <c r="K275" i="4"/>
  <c r="H276" i="4"/>
  <c r="K276" i="4"/>
  <c r="H277" i="4"/>
  <c r="K277" i="4"/>
  <c r="H278" i="4"/>
  <c r="K278" i="4"/>
  <c r="H279" i="4"/>
  <c r="K279" i="4"/>
  <c r="H280" i="4"/>
  <c r="K280" i="4"/>
  <c r="H281" i="4"/>
  <c r="K281" i="4"/>
  <c r="H282" i="4"/>
  <c r="K282" i="4"/>
  <c r="H283" i="4"/>
  <c r="K283" i="4"/>
  <c r="H284" i="4"/>
  <c r="K284" i="4"/>
  <c r="H342" i="17"/>
  <c r="H343" i="17"/>
  <c r="H344" i="17"/>
  <c r="H345" i="17"/>
  <c r="H333" i="17"/>
  <c r="H334" i="17"/>
  <c r="H335" i="17"/>
  <c r="H336" i="17"/>
  <c r="H337" i="17"/>
  <c r="H338" i="17"/>
  <c r="H339" i="17"/>
  <c r="H340" i="17"/>
  <c r="H341" i="17"/>
  <c r="H320" i="17"/>
  <c r="H321" i="17"/>
  <c r="H324" i="17"/>
  <c r="H325" i="17"/>
  <c r="H326" i="17"/>
  <c r="H327" i="17"/>
  <c r="H328" i="17"/>
  <c r="H329" i="17"/>
  <c r="H330" i="17"/>
  <c r="H331" i="17"/>
  <c r="H310" i="17"/>
  <c r="H311" i="17"/>
  <c r="H312" i="17"/>
  <c r="H313" i="17"/>
  <c r="H314" i="17"/>
  <c r="H315" i="17"/>
  <c r="H316" i="17"/>
  <c r="H317" i="17"/>
  <c r="H318" i="17"/>
  <c r="H319" i="17"/>
  <c r="H299" i="17"/>
  <c r="H300" i="17"/>
  <c r="H301" i="17"/>
  <c r="H302" i="17"/>
  <c r="H303" i="17"/>
  <c r="H304" i="17"/>
  <c r="H305" i="17"/>
  <c r="H306" i="17"/>
  <c r="H308" i="17"/>
  <c r="H309" i="17"/>
  <c r="H286" i="17"/>
  <c r="H287" i="17"/>
  <c r="H288" i="17"/>
  <c r="H289" i="17"/>
  <c r="H290" i="17"/>
  <c r="H291" i="17"/>
  <c r="H292" i="17"/>
  <c r="H293" i="17"/>
  <c r="H294" i="17"/>
  <c r="H295" i="17"/>
  <c r="H296" i="17"/>
  <c r="H297" i="17"/>
  <c r="H298" i="17"/>
  <c r="C245" i="3"/>
  <c r="C246" i="3"/>
  <c r="C247" i="3"/>
  <c r="C248" i="3"/>
  <c r="C249" i="3"/>
  <c r="C238" i="3"/>
  <c r="C239" i="3"/>
  <c r="C240" i="3"/>
  <c r="C241" i="3"/>
  <c r="C242" i="3"/>
  <c r="C243" i="3"/>
  <c r="C244" i="3"/>
  <c r="A279" i="45"/>
  <c r="A291" i="45" s="1"/>
  <c r="A303" i="45" s="1"/>
  <c r="A315" i="45" s="1"/>
  <c r="A327" i="45" s="1"/>
  <c r="A339" i="45" s="1"/>
  <c r="A351" i="45" s="1"/>
  <c r="A363" i="45" s="1"/>
  <c r="A375" i="45" s="1"/>
  <c r="A387" i="45" s="1"/>
  <c r="A399" i="45" s="1"/>
  <c r="A411" i="45" s="1"/>
  <c r="A423" i="45" s="1"/>
  <c r="A435" i="45" s="1"/>
  <c r="A447" i="45" s="1"/>
  <c r="A281" i="45"/>
  <c r="A293" i="45" s="1"/>
  <c r="A305" i="45" s="1"/>
  <c r="A317" i="45" s="1"/>
  <c r="A329" i="45" s="1"/>
  <c r="A341" i="45" s="1"/>
  <c r="A353" i="45" s="1"/>
  <c r="A365" i="45" s="1"/>
  <c r="A377" i="45" s="1"/>
  <c r="A389" i="45" s="1"/>
  <c r="A401" i="45" s="1"/>
  <c r="A413" i="45" s="1"/>
  <c r="A425" i="45" s="1"/>
  <c r="A437" i="45" s="1"/>
  <c r="A449" i="45" s="1"/>
  <c r="A275" i="45"/>
  <c r="A287" i="45" s="1"/>
  <c r="A299" i="45" s="1"/>
  <c r="A311" i="45" s="1"/>
  <c r="A323" i="45" s="1"/>
  <c r="A335" i="45" s="1"/>
  <c r="A347" i="45" s="1"/>
  <c r="A359" i="45" s="1"/>
  <c r="A371" i="45" s="1"/>
  <c r="A383" i="45" s="1"/>
  <c r="A395" i="45" s="1"/>
  <c r="A407" i="45" s="1"/>
  <c r="A419" i="45" s="1"/>
  <c r="A431" i="45" s="1"/>
  <c r="A443" i="45" s="1"/>
  <c r="A276" i="45"/>
  <c r="A288" i="45" s="1"/>
  <c r="A300" i="45" s="1"/>
  <c r="A312" i="45" s="1"/>
  <c r="A324" i="45" s="1"/>
  <c r="A336" i="45" s="1"/>
  <c r="A348" i="45" s="1"/>
  <c r="A360" i="45" s="1"/>
  <c r="A372" i="45" s="1"/>
  <c r="A384" i="45" s="1"/>
  <c r="A396" i="45" s="1"/>
  <c r="A408" i="45" s="1"/>
  <c r="A420" i="45" s="1"/>
  <c r="A432" i="45" s="1"/>
  <c r="A444" i="45" s="1"/>
  <c r="A277" i="45"/>
  <c r="A289" i="45" s="1"/>
  <c r="A301" i="45" s="1"/>
  <c r="A313" i="45" s="1"/>
  <c r="A325" i="45" s="1"/>
  <c r="A337" i="45" s="1"/>
  <c r="A349" i="45" s="1"/>
  <c r="A361" i="45" s="1"/>
  <c r="A373" i="45" s="1"/>
  <c r="A385" i="45" s="1"/>
  <c r="A397" i="45" s="1"/>
  <c r="A409" i="45" s="1"/>
  <c r="A421" i="45" s="1"/>
  <c r="A433" i="45" s="1"/>
  <c r="A445" i="45" s="1"/>
  <c r="A278" i="45"/>
  <c r="A290" i="45" s="1"/>
  <c r="A302" i="45" s="1"/>
  <c r="A314" i="45" s="1"/>
  <c r="A326" i="45" s="1"/>
  <c r="A338" i="45" s="1"/>
  <c r="A350" i="45" s="1"/>
  <c r="A362" i="45" s="1"/>
  <c r="A374" i="45" s="1"/>
  <c r="A386" i="45" s="1"/>
  <c r="A398" i="45" s="1"/>
  <c r="A410" i="45" s="1"/>
  <c r="A422" i="45" s="1"/>
  <c r="A434" i="45" s="1"/>
  <c r="A446" i="45" s="1"/>
  <c r="A280" i="45"/>
  <c r="A292" i="45" s="1"/>
  <c r="A304" i="45" s="1"/>
  <c r="A316" i="45" s="1"/>
  <c r="A328" i="45" s="1"/>
  <c r="A340" i="45" s="1"/>
  <c r="A352" i="45" s="1"/>
  <c r="A364" i="45" s="1"/>
  <c r="A376" i="45" s="1"/>
  <c r="A388" i="45" s="1"/>
  <c r="A400" i="45" s="1"/>
  <c r="A412" i="45" s="1"/>
  <c r="A424" i="45" s="1"/>
  <c r="A436" i="45" s="1"/>
  <c r="A448" i="45" s="1"/>
  <c r="A282" i="45"/>
  <c r="A294" i="45" s="1"/>
  <c r="A306" i="45" s="1"/>
  <c r="A318" i="45" s="1"/>
  <c r="A330" i="45" s="1"/>
  <c r="A342" i="45" s="1"/>
  <c r="A354" i="45" s="1"/>
  <c r="A366" i="45" s="1"/>
  <c r="A378" i="45" s="1"/>
  <c r="A390" i="45" s="1"/>
  <c r="A402" i="45" s="1"/>
  <c r="A414" i="45" s="1"/>
  <c r="A426" i="45" s="1"/>
  <c r="A438" i="45" s="1"/>
  <c r="A450" i="45" s="1"/>
  <c r="A283" i="45"/>
  <c r="A295" i="45" s="1"/>
  <c r="A307" i="45" s="1"/>
  <c r="A319" i="45" s="1"/>
  <c r="A331" i="45" s="1"/>
  <c r="A343" i="45" s="1"/>
  <c r="A355" i="45" s="1"/>
  <c r="A367" i="45" s="1"/>
  <c r="A379" i="45" s="1"/>
  <c r="A391" i="45" s="1"/>
  <c r="A403" i="45" s="1"/>
  <c r="A415" i="45" s="1"/>
  <c r="A427" i="45" s="1"/>
  <c r="A439" i="45" s="1"/>
  <c r="A451" i="45" s="1"/>
  <c r="A284" i="45"/>
  <c r="A296" i="45" s="1"/>
  <c r="A308" i="45" s="1"/>
  <c r="A320" i="45" s="1"/>
  <c r="A332" i="45" s="1"/>
  <c r="A344" i="45" s="1"/>
  <c r="A356" i="45" s="1"/>
  <c r="A368" i="45" s="1"/>
  <c r="A380" i="45" s="1"/>
  <c r="A392" i="45" s="1"/>
  <c r="A404" i="45" s="1"/>
  <c r="A416" i="45" s="1"/>
  <c r="A428" i="45" s="1"/>
  <c r="A440" i="45" s="1"/>
  <c r="A452" i="45" s="1"/>
  <c r="A285" i="45"/>
  <c r="A297" i="45" s="1"/>
  <c r="A309" i="45" s="1"/>
  <c r="A321" i="45" s="1"/>
  <c r="A333" i="45" s="1"/>
  <c r="A345" i="45" s="1"/>
  <c r="A357" i="45" s="1"/>
  <c r="A369" i="45" s="1"/>
  <c r="A381" i="45" s="1"/>
  <c r="A393" i="45" s="1"/>
  <c r="A405" i="45" s="1"/>
  <c r="A417" i="45" s="1"/>
  <c r="A429" i="45" s="1"/>
  <c r="A441" i="45" s="1"/>
  <c r="A453" i="45" s="1"/>
  <c r="A274" i="45"/>
  <c r="A286" i="45" s="1"/>
  <c r="A298" i="45" s="1"/>
  <c r="A310" i="45" s="1"/>
  <c r="A322" i="45" s="1"/>
  <c r="A334" i="45" s="1"/>
  <c r="A346" i="45" s="1"/>
  <c r="A358" i="45" s="1"/>
  <c r="A370" i="45" s="1"/>
  <c r="A382" i="45" s="1"/>
  <c r="A394" i="45" s="1"/>
  <c r="A406" i="45" s="1"/>
  <c r="A418" i="45" s="1"/>
  <c r="A430" i="45" s="1"/>
  <c r="A442" i="45" s="1"/>
  <c r="H272" i="11"/>
  <c r="R212" i="3"/>
  <c r="E297" i="69"/>
  <c r="G297" i="69"/>
  <c r="J297" i="69"/>
  <c r="F99" i="49"/>
  <c r="E99" i="49" s="1"/>
  <c r="C99" i="49"/>
  <c r="B99" i="49" s="1"/>
  <c r="C98" i="49"/>
  <c r="B98" i="49" s="1"/>
  <c r="F98" i="49"/>
  <c r="E98" i="49" s="1"/>
  <c r="J99" i="49"/>
  <c r="I99" i="49" s="1"/>
  <c r="M99" i="49"/>
  <c r="L99" i="49" s="1"/>
  <c r="S209" i="3"/>
  <c r="R209" i="3"/>
  <c r="C209" i="3"/>
  <c r="S208" i="3"/>
  <c r="R208" i="3"/>
  <c r="C208" i="3"/>
  <c r="M98" i="49"/>
  <c r="L98" i="49" s="1"/>
  <c r="J98" i="49"/>
  <c r="I98" i="49" s="1"/>
  <c r="H261" i="11"/>
  <c r="H260" i="11"/>
  <c r="G35" i="53"/>
  <c r="B262" i="89"/>
  <c r="B261" i="89"/>
  <c r="H238" i="11"/>
  <c r="H239" i="11"/>
  <c r="H240" i="11"/>
  <c r="H241" i="11"/>
  <c r="H242" i="11"/>
  <c r="H243" i="11"/>
  <c r="H244" i="11"/>
  <c r="H245" i="11"/>
  <c r="H246" i="11"/>
  <c r="H247" i="11"/>
  <c r="H248" i="11"/>
  <c r="H249" i="11"/>
  <c r="H3" i="95"/>
  <c r="N3" i="95" s="1"/>
  <c r="D7" i="95"/>
  <c r="F7" i="95"/>
  <c r="H7" i="95"/>
  <c r="J7" i="95"/>
  <c r="L7" i="95"/>
  <c r="Q7" i="95"/>
  <c r="T7" i="95"/>
  <c r="P10" i="95"/>
  <c r="S10" i="95"/>
  <c r="U10" i="95"/>
  <c r="V10" i="95"/>
  <c r="O11" i="95"/>
  <c r="P11" i="95"/>
  <c r="S11" i="95"/>
  <c r="U11" i="95"/>
  <c r="V11" i="95"/>
  <c r="O12" i="95"/>
  <c r="P12" i="95"/>
  <c r="S12" i="95"/>
  <c r="U12" i="95"/>
  <c r="V12" i="95"/>
  <c r="O13" i="95"/>
  <c r="P13" i="95"/>
  <c r="S13" i="95"/>
  <c r="U13" i="95"/>
  <c r="V13" i="95"/>
  <c r="P14" i="95"/>
  <c r="U14" i="95"/>
  <c r="O15" i="95"/>
  <c r="P15" i="95"/>
  <c r="V15" i="95"/>
  <c r="O16" i="95"/>
  <c r="P16" i="95"/>
  <c r="S16" i="95"/>
  <c r="U16" i="95"/>
  <c r="V16" i="95"/>
  <c r="O17" i="95"/>
  <c r="P17" i="95"/>
  <c r="S17" i="95"/>
  <c r="U17" i="95"/>
  <c r="V17" i="95"/>
  <c r="O18" i="95"/>
  <c r="P18" i="95"/>
  <c r="S18" i="95"/>
  <c r="U18" i="95"/>
  <c r="V18" i="95"/>
  <c r="O19" i="95"/>
  <c r="P19" i="95"/>
  <c r="S19" i="95"/>
  <c r="U19" i="95"/>
  <c r="V19" i="95"/>
  <c r="O20" i="95"/>
  <c r="P20" i="95"/>
  <c r="S20" i="95"/>
  <c r="U20" i="95"/>
  <c r="V20" i="95"/>
  <c r="P21" i="95"/>
  <c r="S21" i="95"/>
  <c r="U21" i="95"/>
  <c r="V21" i="95"/>
  <c r="P22" i="95"/>
  <c r="V22" i="95"/>
  <c r="V23" i="95"/>
  <c r="A24" i="95"/>
  <c r="A26" i="95" s="1"/>
  <c r="A28" i="95" s="1"/>
  <c r="A30" i="95" s="1"/>
  <c r="A32" i="95" s="1"/>
  <c r="A34" i="95" s="1"/>
  <c r="A36" i="95" s="1"/>
  <c r="A38" i="95" s="1"/>
  <c r="A40" i="95" s="1"/>
  <c r="A42" i="95" s="1"/>
  <c r="A44" i="95" s="1"/>
  <c r="A46" i="95" s="1"/>
  <c r="A48" i="95" s="1"/>
  <c r="A50" i="95" s="1"/>
  <c r="A52" i="95" s="1"/>
  <c r="A54" i="95" s="1"/>
  <c r="A56" i="95" s="1"/>
  <c r="A58" i="95" s="1"/>
  <c r="A60" i="95" s="1"/>
  <c r="A62" i="95" s="1"/>
  <c r="A64" i="95" s="1"/>
  <c r="A66" i="95" s="1"/>
  <c r="A68" i="95" s="1"/>
  <c r="A25" i="95"/>
  <c r="A27" i="95" s="1"/>
  <c r="A29" i="95" s="1"/>
  <c r="A31" i="95" s="1"/>
  <c r="A33" i="95" s="1"/>
  <c r="A35" i="95" s="1"/>
  <c r="A37" i="95" s="1"/>
  <c r="A39" i="95" s="1"/>
  <c r="A41" i="95" s="1"/>
  <c r="A43" i="95" s="1"/>
  <c r="A45" i="95" s="1"/>
  <c r="A47" i="95" s="1"/>
  <c r="A49" i="95" s="1"/>
  <c r="A51" i="95" s="1"/>
  <c r="A53" i="95" s="1"/>
  <c r="A55" i="95" s="1"/>
  <c r="A57" i="95" s="1"/>
  <c r="A59" i="95" s="1"/>
  <c r="A61" i="95" s="1"/>
  <c r="A63" i="95" s="1"/>
  <c r="A65" i="95" s="1"/>
  <c r="A67" i="95" s="1"/>
  <c r="A69" i="95" s="1"/>
  <c r="J97" i="49"/>
  <c r="I97" i="49" s="1"/>
  <c r="M97" i="49"/>
  <c r="L97" i="49" s="1"/>
  <c r="J96" i="49"/>
  <c r="I96" i="49" s="1"/>
  <c r="M96" i="49"/>
  <c r="L96" i="49" s="1"/>
  <c r="J95" i="49"/>
  <c r="I95" i="49" s="1"/>
  <c r="M95" i="49"/>
  <c r="L95" i="49" s="1"/>
  <c r="J94" i="49"/>
  <c r="I94" i="49" s="1"/>
  <c r="M94" i="49"/>
  <c r="L94" i="49" s="1"/>
  <c r="C97" i="49"/>
  <c r="B97" i="49" s="1"/>
  <c r="F97" i="49"/>
  <c r="E97" i="49" s="1"/>
  <c r="C96" i="49"/>
  <c r="B96" i="49" s="1"/>
  <c r="F96" i="49"/>
  <c r="E96" i="49" s="1"/>
  <c r="C95" i="49"/>
  <c r="B95" i="49" s="1"/>
  <c r="F95" i="49"/>
  <c r="E95" i="49" s="1"/>
  <c r="F94" i="49"/>
  <c r="E94" i="49" s="1"/>
  <c r="C94" i="49"/>
  <c r="B94" i="49" s="1"/>
  <c r="B249" i="89"/>
  <c r="B251" i="89"/>
  <c r="C93" i="49"/>
  <c r="B93" i="49" s="1"/>
  <c r="F93" i="49"/>
  <c r="E93" i="49" s="1"/>
  <c r="J93" i="49"/>
  <c r="I93" i="49" s="1"/>
  <c r="M93" i="49"/>
  <c r="L93" i="49" s="1"/>
  <c r="C92" i="49"/>
  <c r="B92" i="49" s="1"/>
  <c r="F92" i="49"/>
  <c r="E92" i="49" s="1"/>
  <c r="C91" i="49"/>
  <c r="B91" i="49" s="1"/>
  <c r="F91" i="49"/>
  <c r="E91" i="49" s="1"/>
  <c r="C90" i="49"/>
  <c r="B90" i="49" s="1"/>
  <c r="F90" i="49"/>
  <c r="E90" i="49" s="1"/>
  <c r="J92" i="49"/>
  <c r="I92" i="49" s="1"/>
  <c r="M92" i="49"/>
  <c r="L92" i="49" s="1"/>
  <c r="J90" i="49"/>
  <c r="I90" i="49" s="1"/>
  <c r="M90" i="49"/>
  <c r="L90" i="49" s="1"/>
  <c r="B248" i="89"/>
  <c r="AG235" i="68"/>
  <c r="AC235" i="68"/>
  <c r="AF235" i="68" s="1"/>
  <c r="J91" i="49"/>
  <c r="I91" i="49" s="1"/>
  <c r="M91" i="49"/>
  <c r="L91" i="49" s="1"/>
  <c r="G50" i="53"/>
  <c r="G36" i="53"/>
  <c r="G75" i="53"/>
  <c r="G42" i="53"/>
  <c r="G55" i="53"/>
  <c r="G65" i="53"/>
  <c r="G14" i="53"/>
  <c r="G51" i="53"/>
  <c r="G57" i="53"/>
  <c r="G68" i="53"/>
  <c r="G59" i="53"/>
  <c r="H231" i="17"/>
  <c r="F217" i="4"/>
  <c r="H217" i="4" s="1"/>
  <c r="F216" i="4"/>
  <c r="H216" i="4" s="1"/>
  <c r="H10" i="4"/>
  <c r="K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3" i="4"/>
  <c r="K195" i="4"/>
  <c r="K196" i="4"/>
  <c r="K197" i="4"/>
  <c r="K97" i="4"/>
  <c r="K98" i="4"/>
  <c r="K99" i="4"/>
  <c r="K211" i="4"/>
  <c r="K212" i="4"/>
  <c r="K213" i="4"/>
  <c r="K172" i="4"/>
  <c r="K173" i="4"/>
  <c r="K174" i="4"/>
  <c r="K114" i="4"/>
  <c r="K115" i="4"/>
  <c r="K116"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100" i="4"/>
  <c r="K101" i="4"/>
  <c r="K102" i="4"/>
  <c r="K103" i="4"/>
  <c r="K104" i="4"/>
  <c r="K105" i="4"/>
  <c r="K106" i="4"/>
  <c r="K107" i="4"/>
  <c r="K108" i="4"/>
  <c r="K109" i="4"/>
  <c r="K110" i="4"/>
  <c r="K111" i="4"/>
  <c r="K112" i="4"/>
  <c r="K113"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5" i="4"/>
  <c r="K176" i="4"/>
  <c r="K177" i="4"/>
  <c r="K178" i="4"/>
  <c r="K179" i="4"/>
  <c r="K180" i="4"/>
  <c r="K181" i="4"/>
  <c r="K182" i="4"/>
  <c r="K183" i="4"/>
  <c r="K184" i="4"/>
  <c r="K185" i="4"/>
  <c r="K186" i="4"/>
  <c r="K187" i="4"/>
  <c r="K188" i="4"/>
  <c r="K189" i="4"/>
  <c r="K190" i="4"/>
  <c r="K191" i="4"/>
  <c r="K192" i="4"/>
  <c r="K193" i="4"/>
  <c r="K194" i="4"/>
  <c r="K198" i="4"/>
  <c r="K199" i="4"/>
  <c r="K200" i="4"/>
  <c r="K201" i="4"/>
  <c r="K202" i="4"/>
  <c r="K203" i="4"/>
  <c r="K204" i="4"/>
  <c r="K205" i="4"/>
  <c r="K206" i="4"/>
  <c r="K207" i="4"/>
  <c r="K208" i="4"/>
  <c r="K209" i="4"/>
  <c r="K210" i="4"/>
  <c r="K214" i="4"/>
  <c r="K216" i="4"/>
  <c r="K217" i="4"/>
  <c r="K218" i="4"/>
  <c r="K215" i="4"/>
  <c r="K238" i="4"/>
  <c r="K237" i="4"/>
  <c r="K235" i="4"/>
  <c r="K234" i="4"/>
  <c r="K233" i="4"/>
  <c r="K232" i="4"/>
  <c r="K219" i="4"/>
  <c r="K220" i="4"/>
  <c r="K221" i="4"/>
  <c r="K222" i="4"/>
  <c r="K223" i="4"/>
  <c r="K224" i="4"/>
  <c r="K225" i="4"/>
  <c r="K226" i="4"/>
  <c r="K227" i="4"/>
  <c r="K228" i="4"/>
  <c r="K229" i="4"/>
  <c r="K230" i="4"/>
  <c r="K231" i="4"/>
  <c r="K236"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B237" i="89"/>
  <c r="A178" i="91"/>
  <c r="A190" i="91" s="1"/>
  <c r="A202" i="91" s="1"/>
  <c r="A214" i="91" s="1"/>
  <c r="A226" i="91" s="1"/>
  <c r="A238" i="91" s="1"/>
  <c r="A250" i="91" s="1"/>
  <c r="A262" i="91" s="1"/>
  <c r="A274" i="91" s="1"/>
  <c r="A286" i="91" s="1"/>
  <c r="A298" i="91" s="1"/>
  <c r="A310" i="91" s="1"/>
  <c r="A322" i="91" s="1"/>
  <c r="A334" i="91" s="1"/>
  <c r="A346" i="91" s="1"/>
  <c r="A358" i="91" s="1"/>
  <c r="A370" i="91" s="1"/>
  <c r="A382" i="91" s="1"/>
  <c r="A394" i="91" s="1"/>
  <c r="A406" i="91" s="1"/>
  <c r="A418" i="91" s="1"/>
  <c r="A430" i="91" s="1"/>
  <c r="A442" i="91" s="1"/>
  <c r="A179" i="91"/>
  <c r="A191" i="91" s="1"/>
  <c r="A203" i="91" s="1"/>
  <c r="A215" i="91" s="1"/>
  <c r="A227" i="91" s="1"/>
  <c r="A239" i="91" s="1"/>
  <c r="A251" i="91" s="1"/>
  <c r="A263" i="91" s="1"/>
  <c r="A275" i="91" s="1"/>
  <c r="A287" i="91" s="1"/>
  <c r="A299" i="91" s="1"/>
  <c r="A311" i="91" s="1"/>
  <c r="A323" i="91" s="1"/>
  <c r="A335" i="91" s="1"/>
  <c r="A347" i="91" s="1"/>
  <c r="A359" i="91" s="1"/>
  <c r="A371" i="91" s="1"/>
  <c r="A383" i="91" s="1"/>
  <c r="A395" i="91" s="1"/>
  <c r="A407" i="91" s="1"/>
  <c r="A419" i="91" s="1"/>
  <c r="A431" i="91" s="1"/>
  <c r="A443" i="91" s="1"/>
  <c r="A180" i="91"/>
  <c r="A192" i="91" s="1"/>
  <c r="A204" i="91" s="1"/>
  <c r="A216" i="91" s="1"/>
  <c r="A228" i="91" s="1"/>
  <c r="A240" i="91" s="1"/>
  <c r="A252" i="91" s="1"/>
  <c r="A264" i="91" s="1"/>
  <c r="A276" i="91" s="1"/>
  <c r="A288" i="91" s="1"/>
  <c r="A300" i="91" s="1"/>
  <c r="A312" i="91" s="1"/>
  <c r="A324" i="91" s="1"/>
  <c r="A336" i="91" s="1"/>
  <c r="A348" i="91" s="1"/>
  <c r="A360" i="91" s="1"/>
  <c r="A372" i="91" s="1"/>
  <c r="A384" i="91" s="1"/>
  <c r="A396" i="91" s="1"/>
  <c r="A408" i="91" s="1"/>
  <c r="A420" i="91" s="1"/>
  <c r="A432" i="91" s="1"/>
  <c r="A444" i="91" s="1"/>
  <c r="A181" i="91"/>
  <c r="A193" i="91" s="1"/>
  <c r="A205" i="91" s="1"/>
  <c r="A217" i="91" s="1"/>
  <c r="A229" i="91" s="1"/>
  <c r="A241" i="91" s="1"/>
  <c r="A253" i="91" s="1"/>
  <c r="A265" i="91" s="1"/>
  <c r="A277" i="91" s="1"/>
  <c r="A289" i="91" s="1"/>
  <c r="A301" i="91" s="1"/>
  <c r="A313" i="91" s="1"/>
  <c r="A325" i="91" s="1"/>
  <c r="A337" i="91" s="1"/>
  <c r="A349" i="91" s="1"/>
  <c r="A361" i="91" s="1"/>
  <c r="A373" i="91" s="1"/>
  <c r="A385" i="91" s="1"/>
  <c r="A397" i="91" s="1"/>
  <c r="A409" i="91" s="1"/>
  <c r="A421" i="91" s="1"/>
  <c r="A433" i="91" s="1"/>
  <c r="A445" i="91" s="1"/>
  <c r="A182" i="91"/>
  <c r="A194" i="91" s="1"/>
  <c r="A206" i="91" s="1"/>
  <c r="A218" i="91" s="1"/>
  <c r="A230" i="91" s="1"/>
  <c r="A242" i="91" s="1"/>
  <c r="A254" i="91" s="1"/>
  <c r="A266" i="91" s="1"/>
  <c r="A278" i="91" s="1"/>
  <c r="A290" i="91" s="1"/>
  <c r="A302" i="91" s="1"/>
  <c r="A314" i="91" s="1"/>
  <c r="A326" i="91" s="1"/>
  <c r="A338" i="91" s="1"/>
  <c r="A350" i="91" s="1"/>
  <c r="A362" i="91" s="1"/>
  <c r="A374" i="91" s="1"/>
  <c r="A386" i="91" s="1"/>
  <c r="A398" i="91" s="1"/>
  <c r="A410" i="91" s="1"/>
  <c r="A422" i="91" s="1"/>
  <c r="A434" i="91" s="1"/>
  <c r="A446" i="91" s="1"/>
  <c r="A183" i="91"/>
  <c r="A195" i="91" s="1"/>
  <c r="A207" i="91" s="1"/>
  <c r="A219" i="91" s="1"/>
  <c r="A231" i="91" s="1"/>
  <c r="A243" i="91" s="1"/>
  <c r="A255" i="91" s="1"/>
  <c r="A267" i="91" s="1"/>
  <c r="A279" i="91" s="1"/>
  <c r="A291" i="91" s="1"/>
  <c r="A303" i="91" s="1"/>
  <c r="A315" i="91" s="1"/>
  <c r="A327" i="91" s="1"/>
  <c r="A339" i="91" s="1"/>
  <c r="A351" i="91" s="1"/>
  <c r="A363" i="91" s="1"/>
  <c r="A375" i="91" s="1"/>
  <c r="A387" i="91" s="1"/>
  <c r="A399" i="91" s="1"/>
  <c r="A411" i="91" s="1"/>
  <c r="A423" i="91" s="1"/>
  <c r="A435" i="91" s="1"/>
  <c r="A447" i="91" s="1"/>
  <c r="A184" i="91"/>
  <c r="A196" i="91" s="1"/>
  <c r="A208" i="91" s="1"/>
  <c r="A220" i="91" s="1"/>
  <c r="A232" i="91" s="1"/>
  <c r="A244" i="91" s="1"/>
  <c r="A256" i="91" s="1"/>
  <c r="A268" i="91" s="1"/>
  <c r="A280" i="91" s="1"/>
  <c r="A292" i="91" s="1"/>
  <c r="A304" i="91" s="1"/>
  <c r="A316" i="91" s="1"/>
  <c r="A328" i="91" s="1"/>
  <c r="A340" i="91" s="1"/>
  <c r="A352" i="91" s="1"/>
  <c r="A364" i="91" s="1"/>
  <c r="A376" i="91" s="1"/>
  <c r="A388" i="91" s="1"/>
  <c r="A400" i="91" s="1"/>
  <c r="A412" i="91" s="1"/>
  <c r="A424" i="91" s="1"/>
  <c r="A436" i="91" s="1"/>
  <c r="A448" i="91" s="1"/>
  <c r="A185" i="91"/>
  <c r="A197" i="91" s="1"/>
  <c r="A209" i="91" s="1"/>
  <c r="A221" i="91" s="1"/>
  <c r="A233" i="91" s="1"/>
  <c r="A245" i="91" s="1"/>
  <c r="A257" i="91" s="1"/>
  <c r="A269" i="91" s="1"/>
  <c r="A281" i="91" s="1"/>
  <c r="A293" i="91" s="1"/>
  <c r="A305" i="91" s="1"/>
  <c r="A317" i="91" s="1"/>
  <c r="A329" i="91" s="1"/>
  <c r="A341" i="91" s="1"/>
  <c r="A353" i="91" s="1"/>
  <c r="A365" i="91" s="1"/>
  <c r="A377" i="91" s="1"/>
  <c r="A389" i="91" s="1"/>
  <c r="A401" i="91" s="1"/>
  <c r="A413" i="91" s="1"/>
  <c r="A425" i="91" s="1"/>
  <c r="A437" i="91" s="1"/>
  <c r="A449" i="91" s="1"/>
  <c r="A186" i="91"/>
  <c r="A198" i="91" s="1"/>
  <c r="A210" i="91" s="1"/>
  <c r="A222" i="91" s="1"/>
  <c r="A234" i="91" s="1"/>
  <c r="A246" i="91" s="1"/>
  <c r="A258" i="91" s="1"/>
  <c r="A270" i="91" s="1"/>
  <c r="A282" i="91" s="1"/>
  <c r="A294" i="91" s="1"/>
  <c r="A306" i="91" s="1"/>
  <c r="A318" i="91" s="1"/>
  <c r="A330" i="91" s="1"/>
  <c r="A342" i="91" s="1"/>
  <c r="A354" i="91" s="1"/>
  <c r="A366" i="91" s="1"/>
  <c r="A378" i="91" s="1"/>
  <c r="A390" i="91" s="1"/>
  <c r="A402" i="91" s="1"/>
  <c r="A414" i="91" s="1"/>
  <c r="A426" i="91" s="1"/>
  <c r="A438" i="91" s="1"/>
  <c r="A450" i="91" s="1"/>
  <c r="A187" i="91"/>
  <c r="A199" i="91" s="1"/>
  <c r="A211" i="91" s="1"/>
  <c r="A223" i="91" s="1"/>
  <c r="A235" i="91" s="1"/>
  <c r="A247" i="91" s="1"/>
  <c r="A259" i="91" s="1"/>
  <c r="A271" i="91" s="1"/>
  <c r="A283" i="91" s="1"/>
  <c r="A295" i="91" s="1"/>
  <c r="A307" i="91" s="1"/>
  <c r="A319" i="91" s="1"/>
  <c r="A331" i="91" s="1"/>
  <c r="A343" i="91" s="1"/>
  <c r="A355" i="91" s="1"/>
  <c r="A367" i="91" s="1"/>
  <c r="A379" i="91" s="1"/>
  <c r="A391" i="91" s="1"/>
  <c r="A403" i="91" s="1"/>
  <c r="A415" i="91" s="1"/>
  <c r="A427" i="91" s="1"/>
  <c r="A439" i="91" s="1"/>
  <c r="A451" i="91" s="1"/>
  <c r="A188" i="91"/>
  <c r="A200" i="91" s="1"/>
  <c r="A212" i="91" s="1"/>
  <c r="A224" i="91" s="1"/>
  <c r="A236" i="91" s="1"/>
  <c r="A248" i="91" s="1"/>
  <c r="A260" i="91" s="1"/>
  <c r="A272" i="91" s="1"/>
  <c r="A284" i="91" s="1"/>
  <c r="A296" i="91" s="1"/>
  <c r="A308" i="91" s="1"/>
  <c r="A320" i="91" s="1"/>
  <c r="A332" i="91" s="1"/>
  <c r="A344" i="91" s="1"/>
  <c r="A356" i="91" s="1"/>
  <c r="A368" i="91" s="1"/>
  <c r="A380" i="91" s="1"/>
  <c r="A392" i="91" s="1"/>
  <c r="A404" i="91" s="1"/>
  <c r="A416" i="91" s="1"/>
  <c r="A428" i="91" s="1"/>
  <c r="A440" i="91" s="1"/>
  <c r="A452" i="91" s="1"/>
  <c r="A189" i="91"/>
  <c r="A201" i="91" s="1"/>
  <c r="A213" i="91" s="1"/>
  <c r="A225" i="91" s="1"/>
  <c r="A237" i="91" s="1"/>
  <c r="A249" i="91" s="1"/>
  <c r="A261" i="91" s="1"/>
  <c r="A273" i="91" s="1"/>
  <c r="A285" i="91" s="1"/>
  <c r="A297" i="91" s="1"/>
  <c r="A309" i="91" s="1"/>
  <c r="A321" i="91" s="1"/>
  <c r="A333" i="91" s="1"/>
  <c r="A345" i="91" s="1"/>
  <c r="A357" i="91" s="1"/>
  <c r="A369" i="91" s="1"/>
  <c r="A381" i="91" s="1"/>
  <c r="A393" i="91" s="1"/>
  <c r="A405" i="91" s="1"/>
  <c r="A417" i="91" s="1"/>
  <c r="A429" i="91" s="1"/>
  <c r="A441" i="91" s="1"/>
  <c r="A453" i="91" s="1"/>
  <c r="R217" i="4"/>
  <c r="V217" i="4" s="1"/>
  <c r="C89" i="49"/>
  <c r="B89" i="49" s="1"/>
  <c r="J89" i="49"/>
  <c r="I89" i="49" s="1"/>
  <c r="M89" i="49"/>
  <c r="L89" i="49" s="1"/>
  <c r="G47" i="53"/>
  <c r="J88" i="49"/>
  <c r="M88" i="49"/>
  <c r="J87" i="49"/>
  <c r="I87" i="49" s="1"/>
  <c r="M87" i="49"/>
  <c r="L87" i="49" s="1"/>
  <c r="J86" i="49"/>
  <c r="I86" i="49" s="1"/>
  <c r="M86" i="49"/>
  <c r="L86" i="49" s="1"/>
  <c r="C88" i="49"/>
  <c r="B88" i="49" s="1"/>
  <c r="F88" i="49"/>
  <c r="E88" i="49" s="1"/>
  <c r="C87" i="49"/>
  <c r="B87" i="49" s="1"/>
  <c r="F87" i="49"/>
  <c r="E87" i="49" s="1"/>
  <c r="C86" i="49"/>
  <c r="B86" i="49" s="1"/>
  <c r="F86" i="49"/>
  <c r="E86" i="49" s="1"/>
  <c r="B233" i="89"/>
  <c r="H221" i="17"/>
  <c r="B297" i="89"/>
  <c r="B296" i="89"/>
  <c r="B295" i="89"/>
  <c r="B294" i="89"/>
  <c r="B292" i="89"/>
  <c r="B291" i="89"/>
  <c r="B289" i="89"/>
  <c r="B288" i="89"/>
  <c r="B287" i="89"/>
  <c r="B286" i="89"/>
  <c r="B284" i="89"/>
  <c r="B283" i="89"/>
  <c r="B280" i="89"/>
  <c r="B279" i="89"/>
  <c r="B278" i="89"/>
  <c r="B277" i="89"/>
  <c r="B276" i="89"/>
  <c r="B275" i="89"/>
  <c r="B274" i="89"/>
  <c r="B273" i="89"/>
  <c r="B272" i="89"/>
  <c r="B271" i="89"/>
  <c r="B270" i="89"/>
  <c r="B269" i="89"/>
  <c r="B268" i="89"/>
  <c r="B267" i="89"/>
  <c r="B266" i="89"/>
  <c r="B265" i="89"/>
  <c r="B264" i="89"/>
  <c r="B260" i="89"/>
  <c r="B259" i="89"/>
  <c r="B258" i="89"/>
  <c r="B257" i="89"/>
  <c r="B256" i="89"/>
  <c r="B255" i="89"/>
  <c r="B254" i="89"/>
  <c r="B253" i="89"/>
  <c r="B252" i="89"/>
  <c r="B250" i="89"/>
  <c r="B247" i="89"/>
  <c r="B246" i="89"/>
  <c r="B245" i="89"/>
  <c r="B244" i="89"/>
  <c r="B243" i="89"/>
  <c r="B242" i="89"/>
  <c r="B241" i="89"/>
  <c r="B240" i="89"/>
  <c r="B239" i="89"/>
  <c r="B238" i="89"/>
  <c r="B236" i="89"/>
  <c r="B235" i="89"/>
  <c r="B234" i="89"/>
  <c r="B232" i="89"/>
  <c r="B231" i="89"/>
  <c r="B230" i="89"/>
  <c r="B229" i="89"/>
  <c r="B228" i="89"/>
  <c r="B227" i="89"/>
  <c r="B226" i="89"/>
  <c r="B225" i="89"/>
  <c r="B224" i="89"/>
  <c r="B223" i="89"/>
  <c r="B222" i="89"/>
  <c r="B221" i="89"/>
  <c r="B220" i="89"/>
  <c r="B219" i="89"/>
  <c r="B218" i="89"/>
  <c r="B217" i="89"/>
  <c r="B216" i="89"/>
  <c r="B215" i="89"/>
  <c r="B214" i="89"/>
  <c r="B213" i="89"/>
  <c r="B212" i="89"/>
  <c r="B211" i="89"/>
  <c r="B210" i="89"/>
  <c r="B209" i="89"/>
  <c r="B208" i="89"/>
  <c r="B207" i="89"/>
  <c r="B206" i="89"/>
  <c r="B205" i="89"/>
  <c r="B204" i="89"/>
  <c r="B203" i="89"/>
  <c r="B202" i="89"/>
  <c r="B201" i="89"/>
  <c r="B200" i="89"/>
  <c r="B199" i="89"/>
  <c r="B198" i="89"/>
  <c r="B197" i="89"/>
  <c r="B196" i="89"/>
  <c r="B195" i="89"/>
  <c r="B194" i="89"/>
  <c r="B193" i="89"/>
  <c r="B192" i="89"/>
  <c r="B191" i="89"/>
  <c r="B190" i="89"/>
  <c r="B189" i="89"/>
  <c r="B188" i="89"/>
  <c r="B187" i="89"/>
  <c r="B186" i="89"/>
  <c r="B185" i="89"/>
  <c r="B184" i="89"/>
  <c r="B183" i="89"/>
  <c r="B182" i="89"/>
  <c r="B181" i="89"/>
  <c r="B180" i="89"/>
  <c r="B179" i="89"/>
  <c r="B178" i="89"/>
  <c r="B177" i="89"/>
  <c r="B176" i="89"/>
  <c r="B175" i="89"/>
  <c r="B174" i="89"/>
  <c r="B173" i="89"/>
  <c r="B172" i="89"/>
  <c r="B171" i="89"/>
  <c r="B170" i="89"/>
  <c r="B169" i="89"/>
  <c r="B168" i="89"/>
  <c r="B167" i="89"/>
  <c r="B166" i="89"/>
  <c r="B165" i="89"/>
  <c r="B164" i="89"/>
  <c r="B163" i="89"/>
  <c r="B162" i="89"/>
  <c r="B161" i="89"/>
  <c r="B160" i="89"/>
  <c r="B159" i="89"/>
  <c r="B158" i="89"/>
  <c r="B157" i="89"/>
  <c r="B156" i="89"/>
  <c r="B155" i="89"/>
  <c r="B154" i="89"/>
  <c r="B144" i="89"/>
  <c r="B145" i="89"/>
  <c r="B146" i="89"/>
  <c r="B147" i="89"/>
  <c r="B148" i="89"/>
  <c r="B149" i="89"/>
  <c r="B150" i="89"/>
  <c r="B151" i="89"/>
  <c r="B152" i="89"/>
  <c r="B153" i="89"/>
  <c r="B143" i="89"/>
  <c r="B142" i="89"/>
  <c r="D176" i="52"/>
  <c r="J176" i="52"/>
  <c r="D161" i="52"/>
  <c r="J161" i="52"/>
  <c r="D132" i="52"/>
  <c r="J132" i="52"/>
  <c r="D111" i="52"/>
  <c r="J111" i="52"/>
  <c r="D110" i="52"/>
  <c r="J110" i="52"/>
  <c r="D91" i="52"/>
  <c r="J91" i="52"/>
  <c r="D87" i="52"/>
  <c r="J87" i="52"/>
  <c r="D82" i="52"/>
  <c r="J82" i="52"/>
  <c r="D79" i="52"/>
  <c r="J79" i="52"/>
  <c r="D70" i="52"/>
  <c r="J70" i="52"/>
  <c r="D35" i="52"/>
  <c r="J35" i="52"/>
  <c r="D14" i="52"/>
  <c r="J14" i="52"/>
  <c r="D209" i="52"/>
  <c r="J209" i="52"/>
  <c r="D210" i="52"/>
  <c r="J210" i="52"/>
  <c r="D211" i="52"/>
  <c r="J211" i="52"/>
  <c r="D212" i="52"/>
  <c r="J212" i="52"/>
  <c r="D213" i="52"/>
  <c r="J213" i="52"/>
  <c r="D214" i="52"/>
  <c r="J214" i="52"/>
  <c r="D215" i="52"/>
  <c r="J215" i="52"/>
  <c r="D216" i="52"/>
  <c r="J216" i="52"/>
  <c r="D217" i="52"/>
  <c r="J217" i="52"/>
  <c r="D218" i="52"/>
  <c r="J218" i="52"/>
  <c r="D219" i="52"/>
  <c r="J219" i="52"/>
  <c r="D220" i="52"/>
  <c r="J220" i="52"/>
  <c r="D221" i="52"/>
  <c r="J221" i="52"/>
  <c r="D222" i="52"/>
  <c r="J222" i="52"/>
  <c r="D223" i="52"/>
  <c r="J223" i="52"/>
  <c r="D224" i="52"/>
  <c r="J224" i="52"/>
  <c r="D225" i="52"/>
  <c r="J225" i="52"/>
  <c r="D226" i="52"/>
  <c r="J226" i="52"/>
  <c r="D227" i="52"/>
  <c r="J227" i="52"/>
  <c r="D228" i="52"/>
  <c r="J228" i="52"/>
  <c r="D229" i="52"/>
  <c r="J229" i="52"/>
  <c r="D230" i="52"/>
  <c r="J230" i="52"/>
  <c r="D231" i="52"/>
  <c r="J231" i="52"/>
  <c r="D232" i="52"/>
  <c r="J232" i="52"/>
  <c r="D233" i="52"/>
  <c r="J233" i="52"/>
  <c r="D234" i="52"/>
  <c r="J234" i="52"/>
  <c r="D235" i="52"/>
  <c r="J235" i="52"/>
  <c r="D236" i="52"/>
  <c r="J236" i="52"/>
  <c r="D237" i="52"/>
  <c r="J237" i="52"/>
  <c r="D238" i="52"/>
  <c r="J238" i="52"/>
  <c r="D239" i="52"/>
  <c r="J239" i="52"/>
  <c r="D240" i="52"/>
  <c r="J240" i="52"/>
  <c r="D241" i="52"/>
  <c r="J241" i="52"/>
  <c r="D242" i="52"/>
  <c r="J242" i="52"/>
  <c r="D243" i="52"/>
  <c r="J243" i="52"/>
  <c r="D244" i="52"/>
  <c r="J244" i="52"/>
  <c r="D245" i="52"/>
  <c r="J245" i="52"/>
  <c r="D246" i="52"/>
  <c r="J246" i="52"/>
  <c r="D247" i="52"/>
  <c r="J247" i="52"/>
  <c r="D248" i="52"/>
  <c r="J248" i="52"/>
  <c r="D249" i="52"/>
  <c r="J249" i="52"/>
  <c r="D250" i="52"/>
  <c r="J250" i="52"/>
  <c r="D251" i="52"/>
  <c r="J251" i="52"/>
  <c r="D252" i="52"/>
  <c r="J252" i="52"/>
  <c r="D254" i="52"/>
  <c r="J254" i="52"/>
  <c r="J255" i="52"/>
  <c r="D256" i="52"/>
  <c r="J256" i="52"/>
  <c r="D257" i="52"/>
  <c r="J257" i="52"/>
  <c r="D258" i="52"/>
  <c r="J258" i="52"/>
  <c r="D259" i="52"/>
  <c r="J259" i="52"/>
  <c r="D260" i="52"/>
  <c r="J260" i="52"/>
  <c r="D261" i="52"/>
  <c r="J261" i="52"/>
  <c r="D262" i="52"/>
  <c r="J262" i="52"/>
  <c r="D263" i="52"/>
  <c r="J263" i="52"/>
  <c r="D264" i="52"/>
  <c r="J264" i="52"/>
  <c r="D265" i="52"/>
  <c r="J265" i="52"/>
  <c r="D266" i="52"/>
  <c r="J266" i="52"/>
  <c r="D267" i="52"/>
  <c r="J267" i="52"/>
  <c r="D268" i="52"/>
  <c r="J268" i="52"/>
  <c r="D269" i="52"/>
  <c r="J269" i="52"/>
  <c r="D270" i="52"/>
  <c r="J270" i="52"/>
  <c r="D271" i="52"/>
  <c r="J271" i="52"/>
  <c r="D272" i="52"/>
  <c r="J272" i="52"/>
  <c r="D273" i="52"/>
  <c r="J273" i="52"/>
  <c r="J12" i="52"/>
  <c r="D13" i="52"/>
  <c r="J13" i="52"/>
  <c r="D15" i="52"/>
  <c r="J15" i="52"/>
  <c r="D16" i="52"/>
  <c r="J16" i="52"/>
  <c r="D17" i="52"/>
  <c r="J17" i="52"/>
  <c r="D18" i="52"/>
  <c r="J18" i="52"/>
  <c r="D19" i="52"/>
  <c r="J19" i="52"/>
  <c r="D20" i="52"/>
  <c r="J20" i="52"/>
  <c r="D21" i="52"/>
  <c r="J21" i="52"/>
  <c r="D22" i="52"/>
  <c r="J22" i="52"/>
  <c r="D23" i="52"/>
  <c r="J23" i="52"/>
  <c r="D24" i="52"/>
  <c r="J24" i="52"/>
  <c r="D25" i="52"/>
  <c r="J25" i="52"/>
  <c r="D26" i="52"/>
  <c r="J26" i="52"/>
  <c r="D27" i="52"/>
  <c r="J27" i="52"/>
  <c r="D28" i="52"/>
  <c r="J28" i="52"/>
  <c r="D29" i="52"/>
  <c r="J29" i="52"/>
  <c r="D30" i="52"/>
  <c r="J30" i="52"/>
  <c r="D31" i="52"/>
  <c r="J31" i="52"/>
  <c r="D32" i="52"/>
  <c r="J32" i="52"/>
  <c r="D33" i="52"/>
  <c r="J33" i="52"/>
  <c r="D34" i="52"/>
  <c r="J34" i="52"/>
  <c r="D36" i="52"/>
  <c r="J36" i="52"/>
  <c r="D37" i="52"/>
  <c r="J37" i="52"/>
  <c r="D38" i="52"/>
  <c r="J38" i="52"/>
  <c r="D39" i="52"/>
  <c r="J39" i="52"/>
  <c r="D40" i="52"/>
  <c r="J40" i="52"/>
  <c r="D41" i="52"/>
  <c r="J41" i="52"/>
  <c r="D42" i="52"/>
  <c r="J42" i="52"/>
  <c r="D43" i="52"/>
  <c r="J43" i="52"/>
  <c r="D44" i="52"/>
  <c r="J44" i="52"/>
  <c r="D45" i="52"/>
  <c r="J45" i="52"/>
  <c r="D46" i="52"/>
  <c r="J46" i="52"/>
  <c r="D47" i="52"/>
  <c r="J47" i="52"/>
  <c r="D48" i="52"/>
  <c r="J48" i="52"/>
  <c r="D49" i="52"/>
  <c r="J49" i="52"/>
  <c r="D50" i="52"/>
  <c r="J50" i="52"/>
  <c r="D51" i="52"/>
  <c r="J51" i="52"/>
  <c r="D52" i="52"/>
  <c r="J52" i="52"/>
  <c r="D53" i="52"/>
  <c r="J53" i="52"/>
  <c r="D54" i="52"/>
  <c r="J54" i="52"/>
  <c r="D55" i="52"/>
  <c r="J55" i="52"/>
  <c r="D56" i="52"/>
  <c r="J56" i="52"/>
  <c r="D57" i="52"/>
  <c r="J57" i="52"/>
  <c r="D58" i="52"/>
  <c r="J58" i="52"/>
  <c r="D59" i="52"/>
  <c r="J59" i="52"/>
  <c r="D60" i="52"/>
  <c r="J60" i="52"/>
  <c r="D61" i="52"/>
  <c r="J61" i="52"/>
  <c r="D62" i="52"/>
  <c r="J62" i="52"/>
  <c r="D63" i="52"/>
  <c r="J63" i="52"/>
  <c r="D64" i="52"/>
  <c r="J64" i="52"/>
  <c r="D65" i="52"/>
  <c r="J65" i="52"/>
  <c r="D66" i="52"/>
  <c r="J66" i="52"/>
  <c r="D67" i="52"/>
  <c r="J67" i="52"/>
  <c r="D68" i="52"/>
  <c r="J68" i="52"/>
  <c r="D69" i="52"/>
  <c r="J69" i="52"/>
  <c r="D71" i="52"/>
  <c r="J71" i="52"/>
  <c r="D72" i="52"/>
  <c r="J72" i="52"/>
  <c r="D73" i="52"/>
  <c r="J73" i="52"/>
  <c r="D74" i="52"/>
  <c r="J74" i="52"/>
  <c r="D75" i="52"/>
  <c r="J75" i="52"/>
  <c r="D76" i="52"/>
  <c r="J76" i="52"/>
  <c r="D77" i="52"/>
  <c r="J77" i="52"/>
  <c r="D78" i="52"/>
  <c r="J78" i="52"/>
  <c r="D80" i="52"/>
  <c r="J80" i="52"/>
  <c r="D81" i="52"/>
  <c r="J81" i="52"/>
  <c r="D83" i="52"/>
  <c r="J83" i="52"/>
  <c r="D84" i="52"/>
  <c r="J84" i="52"/>
  <c r="D85" i="52"/>
  <c r="J85" i="52"/>
  <c r="D86" i="52"/>
  <c r="J86" i="52"/>
  <c r="D88" i="52"/>
  <c r="J88" i="52"/>
  <c r="D89" i="52"/>
  <c r="J89" i="52"/>
  <c r="D90" i="52"/>
  <c r="J90" i="52"/>
  <c r="D92" i="52"/>
  <c r="J92" i="52"/>
  <c r="D93" i="52"/>
  <c r="J93" i="52"/>
  <c r="D94" i="52"/>
  <c r="J94" i="52"/>
  <c r="D95" i="52"/>
  <c r="J95" i="52"/>
  <c r="D96" i="52"/>
  <c r="J96" i="52"/>
  <c r="D97" i="52"/>
  <c r="J97" i="52"/>
  <c r="D98" i="52"/>
  <c r="J98" i="52"/>
  <c r="D99" i="52"/>
  <c r="J99" i="52"/>
  <c r="D100" i="52"/>
  <c r="J100" i="52"/>
  <c r="D101" i="52"/>
  <c r="J101" i="52"/>
  <c r="D102" i="52"/>
  <c r="J102" i="52"/>
  <c r="D103" i="52"/>
  <c r="J103" i="52"/>
  <c r="D104" i="52"/>
  <c r="J104" i="52"/>
  <c r="D105" i="52"/>
  <c r="J105" i="52"/>
  <c r="D106" i="52"/>
  <c r="J106" i="52"/>
  <c r="D107" i="52"/>
  <c r="J107" i="52"/>
  <c r="D108" i="52"/>
  <c r="J108" i="52"/>
  <c r="D109" i="52"/>
  <c r="J109" i="52"/>
  <c r="D112" i="52"/>
  <c r="J112" i="52"/>
  <c r="D113" i="52"/>
  <c r="J113" i="52"/>
  <c r="D114" i="52"/>
  <c r="J114" i="52"/>
  <c r="D115" i="52"/>
  <c r="J115" i="52"/>
  <c r="D116" i="52"/>
  <c r="J116" i="52"/>
  <c r="D117" i="52"/>
  <c r="J117" i="52"/>
  <c r="D118" i="52"/>
  <c r="J118" i="52"/>
  <c r="D119" i="52"/>
  <c r="J119" i="52"/>
  <c r="D120" i="52"/>
  <c r="J120" i="52"/>
  <c r="D121" i="52"/>
  <c r="J121" i="52"/>
  <c r="D122" i="52"/>
  <c r="J122" i="52"/>
  <c r="D123" i="52"/>
  <c r="J123" i="52"/>
  <c r="D124" i="52"/>
  <c r="J124" i="52"/>
  <c r="D125" i="52"/>
  <c r="J125" i="52"/>
  <c r="D126" i="52"/>
  <c r="J126" i="52"/>
  <c r="D127" i="52"/>
  <c r="J127" i="52"/>
  <c r="D128" i="52"/>
  <c r="J128" i="52"/>
  <c r="D129" i="52"/>
  <c r="J129" i="52"/>
  <c r="D130" i="52"/>
  <c r="J130" i="52"/>
  <c r="D131" i="52"/>
  <c r="J131" i="52"/>
  <c r="D133" i="52"/>
  <c r="J133" i="52"/>
  <c r="D134" i="52"/>
  <c r="J134" i="52"/>
  <c r="D135" i="52"/>
  <c r="J135" i="52"/>
  <c r="D136" i="52"/>
  <c r="J136" i="52"/>
  <c r="D137" i="52"/>
  <c r="J137" i="52"/>
  <c r="D138" i="52"/>
  <c r="J138" i="52"/>
  <c r="D139" i="52"/>
  <c r="J139" i="52"/>
  <c r="D140" i="52"/>
  <c r="J140" i="52"/>
  <c r="D141" i="52"/>
  <c r="J141" i="52"/>
  <c r="D142" i="52"/>
  <c r="J142" i="52"/>
  <c r="D143" i="52"/>
  <c r="J143" i="52"/>
  <c r="D144" i="52"/>
  <c r="J144" i="52"/>
  <c r="D145" i="52"/>
  <c r="J145" i="52"/>
  <c r="D146" i="52"/>
  <c r="J146" i="52"/>
  <c r="D147" i="52"/>
  <c r="J147" i="52"/>
  <c r="D148" i="52"/>
  <c r="J148" i="52"/>
  <c r="D149" i="52"/>
  <c r="J149" i="52"/>
  <c r="D150" i="52"/>
  <c r="J150" i="52"/>
  <c r="D151" i="52"/>
  <c r="J151" i="52"/>
  <c r="D152" i="52"/>
  <c r="J152" i="52"/>
  <c r="D153" i="52"/>
  <c r="J153" i="52"/>
  <c r="D154" i="52"/>
  <c r="J154" i="52"/>
  <c r="D155" i="52"/>
  <c r="J155" i="52"/>
  <c r="D156" i="52"/>
  <c r="J156" i="52"/>
  <c r="D157" i="52"/>
  <c r="J157" i="52"/>
  <c r="D158" i="52"/>
  <c r="J158" i="52"/>
  <c r="D159" i="52"/>
  <c r="J159" i="52"/>
  <c r="D160" i="52"/>
  <c r="J160" i="52"/>
  <c r="D162" i="52"/>
  <c r="J162" i="52"/>
  <c r="D163" i="52"/>
  <c r="J163" i="52"/>
  <c r="D164" i="52"/>
  <c r="J164" i="52"/>
  <c r="D165" i="52"/>
  <c r="J165" i="52"/>
  <c r="D166" i="52"/>
  <c r="J166" i="52"/>
  <c r="D167" i="52"/>
  <c r="J167" i="52"/>
  <c r="D168" i="52"/>
  <c r="J168" i="52"/>
  <c r="D169" i="52"/>
  <c r="J169" i="52"/>
  <c r="D170" i="52"/>
  <c r="J170" i="52"/>
  <c r="D171" i="52"/>
  <c r="J171" i="52"/>
  <c r="D172" i="52"/>
  <c r="J172" i="52"/>
  <c r="D173" i="52"/>
  <c r="J173" i="52"/>
  <c r="D174" i="52"/>
  <c r="J174" i="52"/>
  <c r="D175" i="52"/>
  <c r="J175" i="52"/>
  <c r="D177" i="52"/>
  <c r="J177" i="52"/>
  <c r="D178" i="52"/>
  <c r="J178" i="52"/>
  <c r="D179" i="52"/>
  <c r="J179" i="52"/>
  <c r="D180" i="52"/>
  <c r="J180" i="52"/>
  <c r="D181" i="52"/>
  <c r="J181" i="52"/>
  <c r="D182" i="52"/>
  <c r="J182" i="52"/>
  <c r="D183" i="52"/>
  <c r="J183" i="52"/>
  <c r="D184" i="52"/>
  <c r="J184" i="52"/>
  <c r="D185" i="52"/>
  <c r="J185" i="52"/>
  <c r="D186" i="52"/>
  <c r="J186" i="52"/>
  <c r="D187" i="52"/>
  <c r="J187" i="52"/>
  <c r="D188" i="52"/>
  <c r="J188" i="52"/>
  <c r="D189" i="52"/>
  <c r="J189" i="52"/>
  <c r="D190" i="52"/>
  <c r="J190" i="52"/>
  <c r="D191" i="52"/>
  <c r="J191" i="52"/>
  <c r="D192" i="52"/>
  <c r="J192" i="52"/>
  <c r="D193" i="52"/>
  <c r="J193" i="52"/>
  <c r="D194" i="52"/>
  <c r="J194" i="52"/>
  <c r="D195" i="52"/>
  <c r="J195" i="52"/>
  <c r="D196" i="52"/>
  <c r="J196" i="52"/>
  <c r="D197" i="52"/>
  <c r="J197" i="52"/>
  <c r="D198" i="52"/>
  <c r="J198" i="52"/>
  <c r="D199" i="52"/>
  <c r="J199" i="52"/>
  <c r="D201" i="52"/>
  <c r="J201" i="52"/>
  <c r="D202" i="52"/>
  <c r="J202" i="52"/>
  <c r="D203" i="52"/>
  <c r="J203" i="52"/>
  <c r="D204" i="52"/>
  <c r="J204" i="52"/>
  <c r="D205" i="52"/>
  <c r="J205" i="52"/>
  <c r="D206" i="52"/>
  <c r="J206" i="52"/>
  <c r="D207" i="52"/>
  <c r="J207" i="52"/>
  <c r="D208" i="52"/>
  <c r="J208" i="52"/>
  <c r="D11" i="52"/>
  <c r="J11" i="52"/>
  <c r="H218" i="17"/>
  <c r="A202" i="89"/>
  <c r="A214" i="89" s="1"/>
  <c r="A226" i="89" s="1"/>
  <c r="A238" i="89" s="1"/>
  <c r="A250" i="89" s="1"/>
  <c r="A262" i="89" s="1"/>
  <c r="A274" i="89" s="1"/>
  <c r="A286" i="89" s="1"/>
  <c r="A298" i="89" s="1"/>
  <c r="A310" i="89" s="1"/>
  <c r="A322" i="89" s="1"/>
  <c r="A334" i="89" s="1"/>
  <c r="A346" i="89" s="1"/>
  <c r="A358" i="89" s="1"/>
  <c r="A370" i="89" s="1"/>
  <c r="A382" i="89" s="1"/>
  <c r="A394" i="89" s="1"/>
  <c r="A406" i="89" s="1"/>
  <c r="A418" i="89" s="1"/>
  <c r="A430" i="89" s="1"/>
  <c r="A442" i="89" s="1"/>
  <c r="A454" i="89" s="1"/>
  <c r="A466" i="89" s="1"/>
  <c r="A203" i="89"/>
  <c r="A215" i="89" s="1"/>
  <c r="A227" i="89" s="1"/>
  <c r="A239" i="89" s="1"/>
  <c r="A251" i="89" s="1"/>
  <c r="A263" i="89" s="1"/>
  <c r="A275" i="89" s="1"/>
  <c r="A287" i="89" s="1"/>
  <c r="A299" i="89" s="1"/>
  <c r="A311" i="89" s="1"/>
  <c r="A323" i="89" s="1"/>
  <c r="A335" i="89" s="1"/>
  <c r="A347" i="89" s="1"/>
  <c r="A359" i="89" s="1"/>
  <c r="A371" i="89" s="1"/>
  <c r="A383" i="89" s="1"/>
  <c r="A395" i="89" s="1"/>
  <c r="A407" i="89" s="1"/>
  <c r="A419" i="89" s="1"/>
  <c r="A431" i="89" s="1"/>
  <c r="A443" i="89" s="1"/>
  <c r="A455" i="89" s="1"/>
  <c r="A467" i="89" s="1"/>
  <c r="A204" i="89"/>
  <c r="A216" i="89" s="1"/>
  <c r="A228" i="89" s="1"/>
  <c r="A240" i="89" s="1"/>
  <c r="A252" i="89" s="1"/>
  <c r="A264" i="89" s="1"/>
  <c r="A276" i="89" s="1"/>
  <c r="A288" i="89" s="1"/>
  <c r="A300" i="89" s="1"/>
  <c r="A312" i="89" s="1"/>
  <c r="A324" i="89" s="1"/>
  <c r="A336" i="89" s="1"/>
  <c r="A348" i="89" s="1"/>
  <c r="A360" i="89" s="1"/>
  <c r="A372" i="89" s="1"/>
  <c r="A384" i="89" s="1"/>
  <c r="A396" i="89" s="1"/>
  <c r="A408" i="89" s="1"/>
  <c r="A420" i="89" s="1"/>
  <c r="A432" i="89" s="1"/>
  <c r="A444" i="89" s="1"/>
  <c r="A456" i="89" s="1"/>
  <c r="A468" i="89" s="1"/>
  <c r="A205" i="89"/>
  <c r="A217" i="89" s="1"/>
  <c r="A229" i="89" s="1"/>
  <c r="A241" i="89" s="1"/>
  <c r="A253" i="89" s="1"/>
  <c r="A265" i="89" s="1"/>
  <c r="A277" i="89" s="1"/>
  <c r="A289" i="89" s="1"/>
  <c r="A301" i="89" s="1"/>
  <c r="A313" i="89" s="1"/>
  <c r="A325" i="89" s="1"/>
  <c r="A337" i="89" s="1"/>
  <c r="A349" i="89" s="1"/>
  <c r="A361" i="89" s="1"/>
  <c r="A373" i="89" s="1"/>
  <c r="A385" i="89" s="1"/>
  <c r="A397" i="89" s="1"/>
  <c r="A409" i="89" s="1"/>
  <c r="A421" i="89" s="1"/>
  <c r="A433" i="89" s="1"/>
  <c r="A445" i="89" s="1"/>
  <c r="A457" i="89" s="1"/>
  <c r="A469" i="89" s="1"/>
  <c r="A206" i="89"/>
  <c r="A218" i="89" s="1"/>
  <c r="A230" i="89" s="1"/>
  <c r="A242" i="89" s="1"/>
  <c r="A254" i="89" s="1"/>
  <c r="A266" i="89" s="1"/>
  <c r="A278" i="89" s="1"/>
  <c r="A290" i="89" s="1"/>
  <c r="A302" i="89" s="1"/>
  <c r="A314" i="89" s="1"/>
  <c r="A326" i="89" s="1"/>
  <c r="A338" i="89" s="1"/>
  <c r="A350" i="89" s="1"/>
  <c r="A362" i="89" s="1"/>
  <c r="A374" i="89" s="1"/>
  <c r="A386" i="89" s="1"/>
  <c r="A398" i="89" s="1"/>
  <c r="A410" i="89" s="1"/>
  <c r="A422" i="89" s="1"/>
  <c r="A434" i="89" s="1"/>
  <c r="A446" i="89" s="1"/>
  <c r="A458" i="89" s="1"/>
  <c r="A470" i="89" s="1"/>
  <c r="A207" i="89"/>
  <c r="A219" i="89" s="1"/>
  <c r="A231" i="89" s="1"/>
  <c r="A243" i="89" s="1"/>
  <c r="A255" i="89" s="1"/>
  <c r="A267" i="89" s="1"/>
  <c r="A279" i="89" s="1"/>
  <c r="A291" i="89" s="1"/>
  <c r="A303" i="89" s="1"/>
  <c r="A315" i="89" s="1"/>
  <c r="A327" i="89" s="1"/>
  <c r="A339" i="89" s="1"/>
  <c r="A351" i="89" s="1"/>
  <c r="A363" i="89" s="1"/>
  <c r="A375" i="89" s="1"/>
  <c r="A387" i="89" s="1"/>
  <c r="A399" i="89" s="1"/>
  <c r="A411" i="89" s="1"/>
  <c r="A423" i="89" s="1"/>
  <c r="A435" i="89" s="1"/>
  <c r="A447" i="89" s="1"/>
  <c r="A459" i="89" s="1"/>
  <c r="A471" i="89" s="1"/>
  <c r="A208" i="89"/>
  <c r="A220" i="89" s="1"/>
  <c r="A232" i="89" s="1"/>
  <c r="A244" i="89" s="1"/>
  <c r="A256" i="89" s="1"/>
  <c r="A268" i="89" s="1"/>
  <c r="A280" i="89" s="1"/>
  <c r="A292" i="89" s="1"/>
  <c r="A304" i="89" s="1"/>
  <c r="A316" i="89" s="1"/>
  <c r="A328" i="89" s="1"/>
  <c r="A340" i="89" s="1"/>
  <c r="A352" i="89" s="1"/>
  <c r="A364" i="89" s="1"/>
  <c r="A376" i="89" s="1"/>
  <c r="A388" i="89" s="1"/>
  <c r="A400" i="89" s="1"/>
  <c r="A412" i="89" s="1"/>
  <c r="A424" i="89" s="1"/>
  <c r="A436" i="89" s="1"/>
  <c r="A448" i="89" s="1"/>
  <c r="A460" i="89" s="1"/>
  <c r="A472" i="89" s="1"/>
  <c r="A209" i="89"/>
  <c r="A221" i="89" s="1"/>
  <c r="A233" i="89" s="1"/>
  <c r="A245" i="89" s="1"/>
  <c r="A257" i="89" s="1"/>
  <c r="A269" i="89" s="1"/>
  <c r="A281" i="89" s="1"/>
  <c r="A293" i="89" s="1"/>
  <c r="A305" i="89" s="1"/>
  <c r="A317" i="89" s="1"/>
  <c r="A329" i="89" s="1"/>
  <c r="A341" i="89" s="1"/>
  <c r="A353" i="89" s="1"/>
  <c r="A365" i="89" s="1"/>
  <c r="A377" i="89" s="1"/>
  <c r="A389" i="89" s="1"/>
  <c r="A401" i="89" s="1"/>
  <c r="A413" i="89" s="1"/>
  <c r="A425" i="89" s="1"/>
  <c r="A437" i="89" s="1"/>
  <c r="A449" i="89" s="1"/>
  <c r="A461" i="89" s="1"/>
  <c r="A473" i="89" s="1"/>
  <c r="A210" i="89"/>
  <c r="A222" i="89" s="1"/>
  <c r="A234" i="89" s="1"/>
  <c r="A246" i="89" s="1"/>
  <c r="A258" i="89" s="1"/>
  <c r="A270" i="89" s="1"/>
  <c r="A282" i="89" s="1"/>
  <c r="A294" i="89" s="1"/>
  <c r="A306" i="89" s="1"/>
  <c r="A318" i="89" s="1"/>
  <c r="A330" i="89" s="1"/>
  <c r="A342" i="89" s="1"/>
  <c r="A354" i="89" s="1"/>
  <c r="A366" i="89" s="1"/>
  <c r="A378" i="89" s="1"/>
  <c r="A390" i="89" s="1"/>
  <c r="A402" i="89" s="1"/>
  <c r="A414" i="89" s="1"/>
  <c r="A426" i="89" s="1"/>
  <c r="A438" i="89" s="1"/>
  <c r="A450" i="89" s="1"/>
  <c r="A462" i="89" s="1"/>
  <c r="A474" i="89" s="1"/>
  <c r="A211" i="89"/>
  <c r="A223" i="89" s="1"/>
  <c r="A235" i="89" s="1"/>
  <c r="A247" i="89" s="1"/>
  <c r="A259" i="89" s="1"/>
  <c r="A271" i="89" s="1"/>
  <c r="A283" i="89" s="1"/>
  <c r="A295" i="89" s="1"/>
  <c r="A307" i="89" s="1"/>
  <c r="A319" i="89" s="1"/>
  <c r="A331" i="89" s="1"/>
  <c r="A343" i="89" s="1"/>
  <c r="A355" i="89" s="1"/>
  <c r="A367" i="89" s="1"/>
  <c r="A379" i="89" s="1"/>
  <c r="A391" i="89" s="1"/>
  <c r="A403" i="89" s="1"/>
  <c r="A415" i="89" s="1"/>
  <c r="A427" i="89" s="1"/>
  <c r="A439" i="89" s="1"/>
  <c r="A451" i="89" s="1"/>
  <c r="A463" i="89" s="1"/>
  <c r="A475" i="89" s="1"/>
  <c r="A212" i="89"/>
  <c r="A224" i="89" s="1"/>
  <c r="A236" i="89" s="1"/>
  <c r="A248" i="89" s="1"/>
  <c r="A260" i="89" s="1"/>
  <c r="A272" i="89" s="1"/>
  <c r="A284" i="89" s="1"/>
  <c r="A296" i="89" s="1"/>
  <c r="A308" i="89" s="1"/>
  <c r="A320" i="89" s="1"/>
  <c r="A332" i="89" s="1"/>
  <c r="A344" i="89" s="1"/>
  <c r="A356" i="89" s="1"/>
  <c r="A368" i="89" s="1"/>
  <c r="A380" i="89" s="1"/>
  <c r="A392" i="89" s="1"/>
  <c r="A404" i="89" s="1"/>
  <c r="A416" i="89" s="1"/>
  <c r="A428" i="89" s="1"/>
  <c r="A440" i="89" s="1"/>
  <c r="A452" i="89" s="1"/>
  <c r="A464" i="89" s="1"/>
  <c r="A476" i="89" s="1"/>
  <c r="A213" i="89"/>
  <c r="A225" i="89" s="1"/>
  <c r="A237" i="89" s="1"/>
  <c r="A249" i="89" s="1"/>
  <c r="A261" i="89" s="1"/>
  <c r="A273" i="89" s="1"/>
  <c r="A285" i="89" s="1"/>
  <c r="A297" i="89" s="1"/>
  <c r="A309" i="89" s="1"/>
  <c r="A321" i="89" s="1"/>
  <c r="A333" i="89" s="1"/>
  <c r="A345" i="89" s="1"/>
  <c r="A357" i="89" s="1"/>
  <c r="A369" i="89" s="1"/>
  <c r="A381" i="89" s="1"/>
  <c r="A393" i="89" s="1"/>
  <c r="A405" i="89" s="1"/>
  <c r="A417" i="89" s="1"/>
  <c r="A429" i="89" s="1"/>
  <c r="A441" i="89" s="1"/>
  <c r="A453" i="89" s="1"/>
  <c r="A465" i="89" s="1"/>
  <c r="A477" i="89" s="1"/>
  <c r="A178" i="88"/>
  <c r="A190" i="88" s="1"/>
  <c r="A202" i="88" s="1"/>
  <c r="A214" i="88" s="1"/>
  <c r="A226" i="88" s="1"/>
  <c r="A238" i="88" s="1"/>
  <c r="A250" i="88" s="1"/>
  <c r="A262" i="88" s="1"/>
  <c r="A274" i="88" s="1"/>
  <c r="A286" i="88" s="1"/>
  <c r="A298" i="88" s="1"/>
  <c r="A310" i="88" s="1"/>
  <c r="A322" i="88" s="1"/>
  <c r="A334" i="88" s="1"/>
  <c r="A346" i="88" s="1"/>
  <c r="A358" i="88" s="1"/>
  <c r="A370" i="88" s="1"/>
  <c r="A382" i="88" s="1"/>
  <c r="A394" i="88" s="1"/>
  <c r="A406" i="88" s="1"/>
  <c r="A418" i="88" s="1"/>
  <c r="A430" i="88" s="1"/>
  <c r="A442" i="88" s="1"/>
  <c r="A179" i="88"/>
  <c r="A191" i="88" s="1"/>
  <c r="A203" i="88" s="1"/>
  <c r="A215" i="88" s="1"/>
  <c r="A227" i="88" s="1"/>
  <c r="A239" i="88" s="1"/>
  <c r="A251" i="88" s="1"/>
  <c r="A263" i="88" s="1"/>
  <c r="A275" i="88" s="1"/>
  <c r="A287" i="88" s="1"/>
  <c r="A299" i="88" s="1"/>
  <c r="A311" i="88" s="1"/>
  <c r="A323" i="88" s="1"/>
  <c r="A335" i="88" s="1"/>
  <c r="A347" i="88" s="1"/>
  <c r="A359" i="88" s="1"/>
  <c r="A371" i="88" s="1"/>
  <c r="A383" i="88" s="1"/>
  <c r="A395" i="88" s="1"/>
  <c r="A407" i="88" s="1"/>
  <c r="A419" i="88" s="1"/>
  <c r="A431" i="88" s="1"/>
  <c r="A443" i="88" s="1"/>
  <c r="A180" i="88"/>
  <c r="A192" i="88" s="1"/>
  <c r="A204" i="88" s="1"/>
  <c r="A216" i="88" s="1"/>
  <c r="A228" i="88" s="1"/>
  <c r="A240" i="88" s="1"/>
  <c r="A252" i="88" s="1"/>
  <c r="A264" i="88" s="1"/>
  <c r="A276" i="88" s="1"/>
  <c r="A288" i="88" s="1"/>
  <c r="A300" i="88" s="1"/>
  <c r="A312" i="88" s="1"/>
  <c r="A324" i="88" s="1"/>
  <c r="A336" i="88" s="1"/>
  <c r="A348" i="88" s="1"/>
  <c r="A360" i="88" s="1"/>
  <c r="A372" i="88" s="1"/>
  <c r="A384" i="88" s="1"/>
  <c r="A396" i="88" s="1"/>
  <c r="A408" i="88" s="1"/>
  <c r="A420" i="88" s="1"/>
  <c r="A432" i="88" s="1"/>
  <c r="A444" i="88" s="1"/>
  <c r="A181" i="88"/>
  <c r="A193" i="88" s="1"/>
  <c r="A205" i="88" s="1"/>
  <c r="A217" i="88" s="1"/>
  <c r="A229" i="88" s="1"/>
  <c r="A241" i="88" s="1"/>
  <c r="A253" i="88" s="1"/>
  <c r="A265" i="88" s="1"/>
  <c r="A277" i="88" s="1"/>
  <c r="A289" i="88" s="1"/>
  <c r="A301" i="88" s="1"/>
  <c r="A313" i="88" s="1"/>
  <c r="A325" i="88" s="1"/>
  <c r="A337" i="88" s="1"/>
  <c r="A349" i="88" s="1"/>
  <c r="A361" i="88" s="1"/>
  <c r="A373" i="88" s="1"/>
  <c r="A385" i="88" s="1"/>
  <c r="A397" i="88" s="1"/>
  <c r="A409" i="88" s="1"/>
  <c r="A421" i="88" s="1"/>
  <c r="A433" i="88" s="1"/>
  <c r="A445" i="88" s="1"/>
  <c r="A182" i="88"/>
  <c r="A194" i="88" s="1"/>
  <c r="A206" i="88" s="1"/>
  <c r="A218" i="88" s="1"/>
  <c r="A230" i="88" s="1"/>
  <c r="A242" i="88" s="1"/>
  <c r="A254" i="88" s="1"/>
  <c r="A266" i="88" s="1"/>
  <c r="A278" i="88" s="1"/>
  <c r="A290" i="88" s="1"/>
  <c r="A302" i="88" s="1"/>
  <c r="A314" i="88" s="1"/>
  <c r="A326" i="88" s="1"/>
  <c r="A338" i="88" s="1"/>
  <c r="A350" i="88" s="1"/>
  <c r="A362" i="88" s="1"/>
  <c r="A374" i="88" s="1"/>
  <c r="A386" i="88" s="1"/>
  <c r="A398" i="88" s="1"/>
  <c r="A410" i="88" s="1"/>
  <c r="A422" i="88" s="1"/>
  <c r="A434" i="88" s="1"/>
  <c r="A446" i="88" s="1"/>
  <c r="A183" i="88"/>
  <c r="A195" i="88" s="1"/>
  <c r="A207" i="88" s="1"/>
  <c r="A219" i="88" s="1"/>
  <c r="A231" i="88" s="1"/>
  <c r="A243" i="88" s="1"/>
  <c r="A255" i="88" s="1"/>
  <c r="A267" i="88" s="1"/>
  <c r="A279" i="88" s="1"/>
  <c r="A291" i="88" s="1"/>
  <c r="A303" i="88" s="1"/>
  <c r="A315" i="88" s="1"/>
  <c r="A327" i="88" s="1"/>
  <c r="A339" i="88" s="1"/>
  <c r="A351" i="88" s="1"/>
  <c r="A363" i="88" s="1"/>
  <c r="A375" i="88" s="1"/>
  <c r="A387" i="88" s="1"/>
  <c r="A399" i="88" s="1"/>
  <c r="A411" i="88" s="1"/>
  <c r="A423" i="88" s="1"/>
  <c r="A435" i="88" s="1"/>
  <c r="A447" i="88" s="1"/>
  <c r="A184" i="88"/>
  <c r="A196" i="88" s="1"/>
  <c r="A208" i="88" s="1"/>
  <c r="A220" i="88" s="1"/>
  <c r="A232" i="88" s="1"/>
  <c r="A244" i="88" s="1"/>
  <c r="A256" i="88" s="1"/>
  <c r="A268" i="88" s="1"/>
  <c r="A280" i="88" s="1"/>
  <c r="A292" i="88" s="1"/>
  <c r="A304" i="88" s="1"/>
  <c r="A316" i="88" s="1"/>
  <c r="A328" i="88" s="1"/>
  <c r="A340" i="88" s="1"/>
  <c r="A352" i="88" s="1"/>
  <c r="A364" i="88" s="1"/>
  <c r="A376" i="88" s="1"/>
  <c r="A388" i="88" s="1"/>
  <c r="A400" i="88" s="1"/>
  <c r="A412" i="88" s="1"/>
  <c r="A424" i="88" s="1"/>
  <c r="A436" i="88" s="1"/>
  <c r="A448" i="88" s="1"/>
  <c r="A185" i="88"/>
  <c r="A197" i="88" s="1"/>
  <c r="A209" i="88" s="1"/>
  <c r="A221" i="88" s="1"/>
  <c r="A233" i="88" s="1"/>
  <c r="A245" i="88" s="1"/>
  <c r="A257" i="88" s="1"/>
  <c r="A269" i="88" s="1"/>
  <c r="A281" i="88" s="1"/>
  <c r="A293" i="88" s="1"/>
  <c r="A305" i="88" s="1"/>
  <c r="A317" i="88" s="1"/>
  <c r="A329" i="88" s="1"/>
  <c r="A341" i="88" s="1"/>
  <c r="A353" i="88" s="1"/>
  <c r="A365" i="88" s="1"/>
  <c r="A377" i="88" s="1"/>
  <c r="A389" i="88" s="1"/>
  <c r="A401" i="88" s="1"/>
  <c r="A413" i="88" s="1"/>
  <c r="A425" i="88" s="1"/>
  <c r="A437" i="88" s="1"/>
  <c r="A449" i="88" s="1"/>
  <c r="A186" i="88"/>
  <c r="A198" i="88" s="1"/>
  <c r="A210" i="88" s="1"/>
  <c r="A222" i="88" s="1"/>
  <c r="A234" i="88" s="1"/>
  <c r="A246" i="88" s="1"/>
  <c r="A258" i="88" s="1"/>
  <c r="A270" i="88" s="1"/>
  <c r="A282" i="88" s="1"/>
  <c r="A294" i="88" s="1"/>
  <c r="A306" i="88" s="1"/>
  <c r="A318" i="88" s="1"/>
  <c r="A330" i="88" s="1"/>
  <c r="A342" i="88" s="1"/>
  <c r="A354" i="88" s="1"/>
  <c r="A366" i="88" s="1"/>
  <c r="A378" i="88" s="1"/>
  <c r="A390" i="88" s="1"/>
  <c r="A402" i="88" s="1"/>
  <c r="A414" i="88" s="1"/>
  <c r="A426" i="88" s="1"/>
  <c r="A438" i="88" s="1"/>
  <c r="A450" i="88" s="1"/>
  <c r="A187" i="88"/>
  <c r="A199" i="88" s="1"/>
  <c r="A211" i="88" s="1"/>
  <c r="A223" i="88" s="1"/>
  <c r="A235" i="88" s="1"/>
  <c r="A247" i="88" s="1"/>
  <c r="A259" i="88" s="1"/>
  <c r="A271" i="88" s="1"/>
  <c r="A283" i="88" s="1"/>
  <c r="A295" i="88" s="1"/>
  <c r="A307" i="88" s="1"/>
  <c r="A319" i="88" s="1"/>
  <c r="A331" i="88" s="1"/>
  <c r="A343" i="88" s="1"/>
  <c r="A355" i="88" s="1"/>
  <c r="A367" i="88" s="1"/>
  <c r="A379" i="88" s="1"/>
  <c r="A391" i="88" s="1"/>
  <c r="A403" i="88" s="1"/>
  <c r="A415" i="88" s="1"/>
  <c r="A427" i="88" s="1"/>
  <c r="A439" i="88" s="1"/>
  <c r="A451" i="88" s="1"/>
  <c r="A188" i="88"/>
  <c r="A200" i="88" s="1"/>
  <c r="A212" i="88" s="1"/>
  <c r="A224" i="88" s="1"/>
  <c r="A236" i="88" s="1"/>
  <c r="A248" i="88" s="1"/>
  <c r="A260" i="88" s="1"/>
  <c r="A272" i="88" s="1"/>
  <c r="A284" i="88" s="1"/>
  <c r="A296" i="88" s="1"/>
  <c r="A308" i="88" s="1"/>
  <c r="A320" i="88" s="1"/>
  <c r="A332" i="88" s="1"/>
  <c r="A344" i="88" s="1"/>
  <c r="A356" i="88" s="1"/>
  <c r="A368" i="88" s="1"/>
  <c r="A380" i="88" s="1"/>
  <c r="A392" i="88" s="1"/>
  <c r="A404" i="88" s="1"/>
  <c r="A416" i="88" s="1"/>
  <c r="A428" i="88" s="1"/>
  <c r="A440" i="88" s="1"/>
  <c r="A452" i="88" s="1"/>
  <c r="A189" i="88"/>
  <c r="A201" i="88" s="1"/>
  <c r="A213" i="88" s="1"/>
  <c r="A225" i="88" s="1"/>
  <c r="A237" i="88" s="1"/>
  <c r="A249" i="88" s="1"/>
  <c r="A261" i="88" s="1"/>
  <c r="A273" i="88" s="1"/>
  <c r="A285" i="88" s="1"/>
  <c r="A297" i="88" s="1"/>
  <c r="A309" i="88" s="1"/>
  <c r="A321" i="88" s="1"/>
  <c r="A333" i="88" s="1"/>
  <c r="A345" i="88" s="1"/>
  <c r="A357" i="88" s="1"/>
  <c r="A369" i="88" s="1"/>
  <c r="A381" i="88" s="1"/>
  <c r="A393" i="88" s="1"/>
  <c r="A405" i="88" s="1"/>
  <c r="A417" i="88" s="1"/>
  <c r="A429" i="88" s="1"/>
  <c r="A441" i="88" s="1"/>
  <c r="A453" i="88" s="1"/>
  <c r="R169" i="3"/>
  <c r="S169" i="3"/>
  <c r="R170" i="3"/>
  <c r="S170" i="3"/>
  <c r="R171" i="3"/>
  <c r="S171" i="3"/>
  <c r="R172" i="3"/>
  <c r="S172" i="3"/>
  <c r="R173" i="3"/>
  <c r="S173" i="3"/>
  <c r="R174" i="3"/>
  <c r="S174" i="3"/>
  <c r="R175" i="3"/>
  <c r="S175" i="3"/>
  <c r="R176" i="3"/>
  <c r="S176" i="3"/>
  <c r="R177" i="3"/>
  <c r="S177" i="3"/>
  <c r="R178" i="3"/>
  <c r="S178" i="3"/>
  <c r="R179" i="3"/>
  <c r="S179" i="3"/>
  <c r="R180" i="3"/>
  <c r="S180" i="3"/>
  <c r="R181" i="3"/>
  <c r="S181" i="3"/>
  <c r="R182" i="3"/>
  <c r="S182" i="3"/>
  <c r="R183" i="3"/>
  <c r="S183" i="3"/>
  <c r="R184" i="3"/>
  <c r="S184" i="3"/>
  <c r="R185" i="3"/>
  <c r="S185" i="3"/>
  <c r="R186" i="3"/>
  <c r="S186" i="3"/>
  <c r="R187" i="3"/>
  <c r="S187" i="3"/>
  <c r="R188" i="3"/>
  <c r="S188" i="3"/>
  <c r="R189" i="3"/>
  <c r="S189" i="3"/>
  <c r="R190" i="3"/>
  <c r="S190" i="3"/>
  <c r="R191" i="3"/>
  <c r="S191" i="3"/>
  <c r="R192" i="3"/>
  <c r="S192" i="3"/>
  <c r="R193" i="3"/>
  <c r="S193" i="3"/>
  <c r="R194" i="3"/>
  <c r="S194" i="3"/>
  <c r="R195" i="3"/>
  <c r="S195" i="3"/>
  <c r="R196" i="3"/>
  <c r="S196" i="3"/>
  <c r="R197" i="3"/>
  <c r="S197" i="3"/>
  <c r="R198" i="3"/>
  <c r="S198" i="3"/>
  <c r="R199" i="3"/>
  <c r="S199" i="3"/>
  <c r="R200" i="3"/>
  <c r="S200" i="3"/>
  <c r="R201" i="3"/>
  <c r="S201" i="3"/>
  <c r="R202" i="3"/>
  <c r="S202" i="3"/>
  <c r="R203" i="3"/>
  <c r="S203" i="3"/>
  <c r="R204" i="3"/>
  <c r="S204" i="3"/>
  <c r="R205" i="3"/>
  <c r="S205" i="3"/>
  <c r="R206" i="3"/>
  <c r="S206" i="3"/>
  <c r="R207" i="3"/>
  <c r="S207" i="3"/>
  <c r="R210" i="3"/>
  <c r="S210" i="3"/>
  <c r="R211" i="3"/>
  <c r="S211" i="3"/>
  <c r="S212" i="3"/>
  <c r="R213" i="3"/>
  <c r="S213" i="3"/>
  <c r="R214" i="3"/>
  <c r="S214" i="3"/>
  <c r="R215" i="3"/>
  <c r="S215" i="3"/>
  <c r="R216" i="3"/>
  <c r="S216" i="3"/>
  <c r="R217" i="3"/>
  <c r="S217" i="3"/>
  <c r="R218" i="3"/>
  <c r="S218" i="3"/>
  <c r="R219" i="3"/>
  <c r="S219" i="3"/>
  <c r="R220" i="3"/>
  <c r="R221" i="3"/>
  <c r="S221" i="3"/>
  <c r="R222" i="3"/>
  <c r="S222" i="3"/>
  <c r="R223" i="3"/>
  <c r="S223" i="3"/>
  <c r="R225" i="3"/>
  <c r="S225" i="3"/>
  <c r="R226" i="3"/>
  <c r="S226" i="3"/>
  <c r="R227" i="3"/>
  <c r="S227" i="3"/>
  <c r="R228" i="3"/>
  <c r="S228" i="3"/>
  <c r="R229" i="3"/>
  <c r="S229" i="3"/>
  <c r="R230" i="3"/>
  <c r="S230" i="3"/>
  <c r="R231" i="3"/>
  <c r="S231" i="3"/>
  <c r="R232" i="3"/>
  <c r="S232" i="3"/>
  <c r="R233" i="3"/>
  <c r="S233" i="3"/>
  <c r="R234" i="3"/>
  <c r="S234" i="3"/>
  <c r="H217" i="17"/>
  <c r="A178" i="84"/>
  <c r="A190" i="84" s="1"/>
  <c r="A202" i="84" s="1"/>
  <c r="A214" i="84" s="1"/>
  <c r="A226" i="84" s="1"/>
  <c r="A238" i="84" s="1"/>
  <c r="A250" i="84" s="1"/>
  <c r="A262" i="84" s="1"/>
  <c r="A274" i="84" s="1"/>
  <c r="A286" i="84" s="1"/>
  <c r="A298" i="84" s="1"/>
  <c r="A310" i="84" s="1"/>
  <c r="A322" i="84" s="1"/>
  <c r="A334" i="84" s="1"/>
  <c r="A346" i="84" s="1"/>
  <c r="A358" i="84" s="1"/>
  <c r="A370" i="84" s="1"/>
  <c r="A382" i="84" s="1"/>
  <c r="A179" i="84"/>
  <c r="A191" i="84" s="1"/>
  <c r="A203" i="84" s="1"/>
  <c r="A215" i="84" s="1"/>
  <c r="A227" i="84" s="1"/>
  <c r="A239" i="84" s="1"/>
  <c r="A251" i="84" s="1"/>
  <c r="A263" i="84" s="1"/>
  <c r="A275" i="84" s="1"/>
  <c r="A287" i="84" s="1"/>
  <c r="A299" i="84" s="1"/>
  <c r="A311" i="84" s="1"/>
  <c r="A323" i="84" s="1"/>
  <c r="A335" i="84" s="1"/>
  <c r="A347" i="84" s="1"/>
  <c r="A359" i="84" s="1"/>
  <c r="A371" i="84" s="1"/>
  <c r="A383" i="84" s="1"/>
  <c r="A180" i="84"/>
  <c r="A192" i="84" s="1"/>
  <c r="A204" i="84" s="1"/>
  <c r="A216" i="84" s="1"/>
  <c r="A228" i="84" s="1"/>
  <c r="A240" i="84" s="1"/>
  <c r="A252" i="84" s="1"/>
  <c r="A264" i="84" s="1"/>
  <c r="A276" i="84" s="1"/>
  <c r="A288" i="84" s="1"/>
  <c r="A300" i="84" s="1"/>
  <c r="A312" i="84" s="1"/>
  <c r="A324" i="84" s="1"/>
  <c r="A336" i="84" s="1"/>
  <c r="A348" i="84" s="1"/>
  <c r="A360" i="84" s="1"/>
  <c r="A372" i="84" s="1"/>
  <c r="A384" i="84" s="1"/>
  <c r="A181" i="84"/>
  <c r="A193" i="84" s="1"/>
  <c r="A205" i="84" s="1"/>
  <c r="A217" i="84" s="1"/>
  <c r="A229" i="84" s="1"/>
  <c r="A241" i="84" s="1"/>
  <c r="A253" i="84" s="1"/>
  <c r="A265" i="84" s="1"/>
  <c r="A277" i="84" s="1"/>
  <c r="A289" i="84" s="1"/>
  <c r="A301" i="84" s="1"/>
  <c r="A313" i="84" s="1"/>
  <c r="A325" i="84" s="1"/>
  <c r="A337" i="84" s="1"/>
  <c r="A349" i="84" s="1"/>
  <c r="A361" i="84" s="1"/>
  <c r="A373" i="84" s="1"/>
  <c r="A385" i="84" s="1"/>
  <c r="A182" i="84"/>
  <c r="A194" i="84" s="1"/>
  <c r="A206" i="84" s="1"/>
  <c r="A218" i="84" s="1"/>
  <c r="A230" i="84" s="1"/>
  <c r="A242" i="84" s="1"/>
  <c r="A254" i="84" s="1"/>
  <c r="A266" i="84" s="1"/>
  <c r="A278" i="84" s="1"/>
  <c r="A290" i="84" s="1"/>
  <c r="A302" i="84" s="1"/>
  <c r="A314" i="84" s="1"/>
  <c r="A326" i="84" s="1"/>
  <c r="A338" i="84" s="1"/>
  <c r="A350" i="84" s="1"/>
  <c r="A362" i="84" s="1"/>
  <c r="A374" i="84" s="1"/>
  <c r="A386" i="84" s="1"/>
  <c r="A183" i="84"/>
  <c r="A195" i="84" s="1"/>
  <c r="A207" i="84" s="1"/>
  <c r="A219" i="84" s="1"/>
  <c r="A231" i="84" s="1"/>
  <c r="A243" i="84" s="1"/>
  <c r="A255" i="84" s="1"/>
  <c r="A267" i="84" s="1"/>
  <c r="A279" i="84" s="1"/>
  <c r="A291" i="84" s="1"/>
  <c r="A303" i="84" s="1"/>
  <c r="A315" i="84" s="1"/>
  <c r="A327" i="84" s="1"/>
  <c r="A339" i="84" s="1"/>
  <c r="A351" i="84" s="1"/>
  <c r="A363" i="84" s="1"/>
  <c r="A375" i="84" s="1"/>
  <c r="A387" i="84" s="1"/>
  <c r="A184" i="84"/>
  <c r="A196" i="84" s="1"/>
  <c r="A208" i="84" s="1"/>
  <c r="A220" i="84" s="1"/>
  <c r="A232" i="84" s="1"/>
  <c r="A244" i="84" s="1"/>
  <c r="A256" i="84" s="1"/>
  <c r="A268" i="84" s="1"/>
  <c r="A280" i="84" s="1"/>
  <c r="A292" i="84" s="1"/>
  <c r="A304" i="84" s="1"/>
  <c r="A316" i="84" s="1"/>
  <c r="A328" i="84" s="1"/>
  <c r="A340" i="84" s="1"/>
  <c r="A352" i="84" s="1"/>
  <c r="A364" i="84" s="1"/>
  <c r="A376" i="84" s="1"/>
  <c r="A388" i="84" s="1"/>
  <c r="A185" i="84"/>
  <c r="A197" i="84" s="1"/>
  <c r="A209" i="84" s="1"/>
  <c r="A221" i="84" s="1"/>
  <c r="A233" i="84" s="1"/>
  <c r="A245" i="84" s="1"/>
  <c r="A257" i="84" s="1"/>
  <c r="A269" i="84" s="1"/>
  <c r="A281" i="84" s="1"/>
  <c r="A293" i="84" s="1"/>
  <c r="A305" i="84" s="1"/>
  <c r="A317" i="84" s="1"/>
  <c r="A329" i="84" s="1"/>
  <c r="A341" i="84" s="1"/>
  <c r="A353" i="84" s="1"/>
  <c r="A365" i="84" s="1"/>
  <c r="A377" i="84" s="1"/>
  <c r="A389" i="84" s="1"/>
  <c r="A186" i="84"/>
  <c r="A198" i="84" s="1"/>
  <c r="A210" i="84" s="1"/>
  <c r="A222" i="84" s="1"/>
  <c r="A234" i="84" s="1"/>
  <c r="A246" i="84" s="1"/>
  <c r="A258" i="84" s="1"/>
  <c r="A270" i="84" s="1"/>
  <c r="A282" i="84" s="1"/>
  <c r="A294" i="84" s="1"/>
  <c r="A306" i="84" s="1"/>
  <c r="A318" i="84" s="1"/>
  <c r="A330" i="84" s="1"/>
  <c r="A342" i="84" s="1"/>
  <c r="A354" i="84" s="1"/>
  <c r="A366" i="84" s="1"/>
  <c r="A378" i="84" s="1"/>
  <c r="A390" i="84" s="1"/>
  <c r="A187" i="84"/>
  <c r="A199" i="84" s="1"/>
  <c r="A211" i="84" s="1"/>
  <c r="A223" i="84" s="1"/>
  <c r="A235" i="84" s="1"/>
  <c r="A247" i="84" s="1"/>
  <c r="A259" i="84" s="1"/>
  <c r="A271" i="84" s="1"/>
  <c r="A283" i="84" s="1"/>
  <c r="A295" i="84" s="1"/>
  <c r="A307" i="84" s="1"/>
  <c r="A319" i="84" s="1"/>
  <c r="A331" i="84" s="1"/>
  <c r="A343" i="84" s="1"/>
  <c r="A355" i="84" s="1"/>
  <c r="A367" i="84" s="1"/>
  <c r="A379" i="84" s="1"/>
  <c r="A391" i="84" s="1"/>
  <c r="A188" i="84"/>
  <c r="A200" i="84" s="1"/>
  <c r="A212" i="84" s="1"/>
  <c r="A224" i="84" s="1"/>
  <c r="A236" i="84" s="1"/>
  <c r="A248" i="84" s="1"/>
  <c r="A260" i="84" s="1"/>
  <c r="A272" i="84" s="1"/>
  <c r="A284" i="84" s="1"/>
  <c r="A296" i="84" s="1"/>
  <c r="A308" i="84" s="1"/>
  <c r="A320" i="84" s="1"/>
  <c r="A332" i="84" s="1"/>
  <c r="A344" i="84" s="1"/>
  <c r="A356" i="84" s="1"/>
  <c r="A368" i="84" s="1"/>
  <c r="A380" i="84" s="1"/>
  <c r="A392" i="84" s="1"/>
  <c r="A189" i="84"/>
  <c r="A201" i="84" s="1"/>
  <c r="A213" i="84" s="1"/>
  <c r="A225" i="84" s="1"/>
  <c r="A237" i="84" s="1"/>
  <c r="A249" i="84" s="1"/>
  <c r="A261" i="84" s="1"/>
  <c r="A273" i="84" s="1"/>
  <c r="A285" i="84" s="1"/>
  <c r="A297" i="84" s="1"/>
  <c r="A309" i="84" s="1"/>
  <c r="A321" i="84" s="1"/>
  <c r="A333" i="84" s="1"/>
  <c r="A345" i="84" s="1"/>
  <c r="A357" i="84" s="1"/>
  <c r="A369" i="84" s="1"/>
  <c r="A381" i="84" s="1"/>
  <c r="A393" i="84" s="1"/>
  <c r="A178" i="52"/>
  <c r="A190" i="52" s="1"/>
  <c r="A202" i="52" s="1"/>
  <c r="A214" i="52" s="1"/>
  <c r="A226" i="52" s="1"/>
  <c r="A238" i="52" s="1"/>
  <c r="A250" i="52" s="1"/>
  <c r="A262" i="52" s="1"/>
  <c r="A274" i="52" s="1"/>
  <c r="A286" i="52" s="1"/>
  <c r="A298" i="52" s="1"/>
  <c r="A310" i="52" s="1"/>
  <c r="A322" i="52" s="1"/>
  <c r="A334" i="52" s="1"/>
  <c r="A346" i="52" s="1"/>
  <c r="A358" i="52" s="1"/>
  <c r="A370" i="52" s="1"/>
  <c r="A382" i="52" s="1"/>
  <c r="A179" i="52"/>
  <c r="A191" i="52" s="1"/>
  <c r="A203" i="52" s="1"/>
  <c r="A215" i="52" s="1"/>
  <c r="A227" i="52" s="1"/>
  <c r="A239" i="52" s="1"/>
  <c r="A251" i="52" s="1"/>
  <c r="A263" i="52" s="1"/>
  <c r="A275" i="52" s="1"/>
  <c r="A287" i="52" s="1"/>
  <c r="A299" i="52" s="1"/>
  <c r="A311" i="52" s="1"/>
  <c r="A323" i="52" s="1"/>
  <c r="A335" i="52" s="1"/>
  <c r="A347" i="52" s="1"/>
  <c r="A359" i="52" s="1"/>
  <c r="A371" i="52" s="1"/>
  <c r="A383" i="52" s="1"/>
  <c r="A180" i="52"/>
  <c r="A192" i="52" s="1"/>
  <c r="A204" i="52" s="1"/>
  <c r="A216" i="52" s="1"/>
  <c r="A228" i="52" s="1"/>
  <c r="A240" i="52" s="1"/>
  <c r="A252" i="52" s="1"/>
  <c r="A264" i="52" s="1"/>
  <c r="A276" i="52" s="1"/>
  <c r="A288" i="52" s="1"/>
  <c r="A300" i="52" s="1"/>
  <c r="A312" i="52" s="1"/>
  <c r="A324" i="52" s="1"/>
  <c r="A336" i="52" s="1"/>
  <c r="A348" i="52" s="1"/>
  <c r="A360" i="52" s="1"/>
  <c r="A372" i="52" s="1"/>
  <c r="A384" i="52" s="1"/>
  <c r="A181" i="52"/>
  <c r="A193" i="52" s="1"/>
  <c r="A205" i="52" s="1"/>
  <c r="A217" i="52" s="1"/>
  <c r="A229" i="52" s="1"/>
  <c r="A241" i="52" s="1"/>
  <c r="A253" i="52" s="1"/>
  <c r="A265" i="52" s="1"/>
  <c r="A277" i="52" s="1"/>
  <c r="A289" i="52" s="1"/>
  <c r="A301" i="52" s="1"/>
  <c r="A313" i="52" s="1"/>
  <c r="A325" i="52" s="1"/>
  <c r="A337" i="52" s="1"/>
  <c r="A349" i="52" s="1"/>
  <c r="A361" i="52" s="1"/>
  <c r="A373" i="52" s="1"/>
  <c r="A385" i="52" s="1"/>
  <c r="A182" i="52"/>
  <c r="A194" i="52" s="1"/>
  <c r="A206" i="52" s="1"/>
  <c r="A218" i="52" s="1"/>
  <c r="A230" i="52" s="1"/>
  <c r="A242" i="52" s="1"/>
  <c r="A254" i="52" s="1"/>
  <c r="A266" i="52" s="1"/>
  <c r="A278" i="52" s="1"/>
  <c r="A290" i="52" s="1"/>
  <c r="A302" i="52" s="1"/>
  <c r="A314" i="52" s="1"/>
  <c r="A326" i="52" s="1"/>
  <c r="A338" i="52" s="1"/>
  <c r="A350" i="52" s="1"/>
  <c r="A362" i="52" s="1"/>
  <c r="A374" i="52" s="1"/>
  <c r="A386" i="52" s="1"/>
  <c r="A183" i="52"/>
  <c r="A195" i="52" s="1"/>
  <c r="A207" i="52" s="1"/>
  <c r="A219" i="52" s="1"/>
  <c r="A231" i="52" s="1"/>
  <c r="A243" i="52" s="1"/>
  <c r="A255" i="52" s="1"/>
  <c r="A267" i="52" s="1"/>
  <c r="A279" i="52" s="1"/>
  <c r="A291" i="52" s="1"/>
  <c r="A303" i="52" s="1"/>
  <c r="A315" i="52" s="1"/>
  <c r="A327" i="52" s="1"/>
  <c r="A339" i="52" s="1"/>
  <c r="A351" i="52" s="1"/>
  <c r="A363" i="52" s="1"/>
  <c r="A375" i="52" s="1"/>
  <c r="A387" i="52" s="1"/>
  <c r="A184" i="52"/>
  <c r="A196" i="52" s="1"/>
  <c r="A208" i="52" s="1"/>
  <c r="A220" i="52" s="1"/>
  <c r="A232" i="52" s="1"/>
  <c r="A244" i="52" s="1"/>
  <c r="A256" i="52" s="1"/>
  <c r="A268" i="52" s="1"/>
  <c r="A280" i="52" s="1"/>
  <c r="A292" i="52" s="1"/>
  <c r="A304" i="52" s="1"/>
  <c r="A316" i="52" s="1"/>
  <c r="A328" i="52" s="1"/>
  <c r="A340" i="52" s="1"/>
  <c r="A352" i="52" s="1"/>
  <c r="A364" i="52" s="1"/>
  <c r="A376" i="52" s="1"/>
  <c r="A388" i="52" s="1"/>
  <c r="A185" i="52"/>
  <c r="A197" i="52" s="1"/>
  <c r="A209" i="52" s="1"/>
  <c r="A221" i="52" s="1"/>
  <c r="A233" i="52" s="1"/>
  <c r="A245" i="52" s="1"/>
  <c r="A257" i="52" s="1"/>
  <c r="A269" i="52" s="1"/>
  <c r="A281" i="52" s="1"/>
  <c r="A293" i="52" s="1"/>
  <c r="A305" i="52" s="1"/>
  <c r="A317" i="52" s="1"/>
  <c r="A329" i="52" s="1"/>
  <c r="A341" i="52" s="1"/>
  <c r="A353" i="52" s="1"/>
  <c r="A365" i="52" s="1"/>
  <c r="A377" i="52" s="1"/>
  <c r="A389" i="52" s="1"/>
  <c r="A186" i="52"/>
  <c r="A198" i="52" s="1"/>
  <c r="A210" i="52" s="1"/>
  <c r="A222" i="52" s="1"/>
  <c r="A234" i="52" s="1"/>
  <c r="A246" i="52" s="1"/>
  <c r="A258" i="52" s="1"/>
  <c r="A270" i="52" s="1"/>
  <c r="A282" i="52" s="1"/>
  <c r="A294" i="52" s="1"/>
  <c r="A306" i="52" s="1"/>
  <c r="A318" i="52" s="1"/>
  <c r="A330" i="52" s="1"/>
  <c r="A342" i="52" s="1"/>
  <c r="A354" i="52" s="1"/>
  <c r="A366" i="52" s="1"/>
  <c r="A378" i="52" s="1"/>
  <c r="A390" i="52" s="1"/>
  <c r="A187" i="52"/>
  <c r="A199" i="52" s="1"/>
  <c r="A211" i="52" s="1"/>
  <c r="A223" i="52" s="1"/>
  <c r="A235" i="52" s="1"/>
  <c r="A247" i="52" s="1"/>
  <c r="A259" i="52" s="1"/>
  <c r="A271" i="52" s="1"/>
  <c r="A283" i="52" s="1"/>
  <c r="A295" i="52" s="1"/>
  <c r="A307" i="52" s="1"/>
  <c r="A319" i="52" s="1"/>
  <c r="A331" i="52" s="1"/>
  <c r="A343" i="52" s="1"/>
  <c r="A355" i="52" s="1"/>
  <c r="A367" i="52" s="1"/>
  <c r="A379" i="52" s="1"/>
  <c r="A391" i="52" s="1"/>
  <c r="A188" i="52"/>
  <c r="A200" i="52" s="1"/>
  <c r="A212" i="52" s="1"/>
  <c r="A224" i="52" s="1"/>
  <c r="A236" i="52" s="1"/>
  <c r="A248" i="52" s="1"/>
  <c r="A260" i="52" s="1"/>
  <c r="A272" i="52" s="1"/>
  <c r="A284" i="52" s="1"/>
  <c r="A296" i="52" s="1"/>
  <c r="A308" i="52" s="1"/>
  <c r="A320" i="52" s="1"/>
  <c r="A332" i="52" s="1"/>
  <c r="A344" i="52" s="1"/>
  <c r="A356" i="52" s="1"/>
  <c r="A368" i="52" s="1"/>
  <c r="A380" i="52" s="1"/>
  <c r="A392" i="52" s="1"/>
  <c r="A189" i="52"/>
  <c r="A201" i="52" s="1"/>
  <c r="A213" i="52" s="1"/>
  <c r="A225" i="52" s="1"/>
  <c r="A237" i="52" s="1"/>
  <c r="A249" i="52" s="1"/>
  <c r="A261" i="52" s="1"/>
  <c r="A273" i="52" s="1"/>
  <c r="A285" i="52" s="1"/>
  <c r="A297" i="52" s="1"/>
  <c r="A309" i="52" s="1"/>
  <c r="A321" i="52" s="1"/>
  <c r="A333" i="52" s="1"/>
  <c r="A345" i="52" s="1"/>
  <c r="A357" i="52" s="1"/>
  <c r="A369" i="52" s="1"/>
  <c r="A381" i="52" s="1"/>
  <c r="A393" i="52" s="1"/>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4" i="52"/>
  <c r="G256" i="52"/>
  <c r="G257" i="52"/>
  <c r="G258" i="52"/>
  <c r="G259" i="52"/>
  <c r="G260" i="52"/>
  <c r="G261" i="52"/>
  <c r="G262" i="52"/>
  <c r="G263" i="52"/>
  <c r="G264" i="52"/>
  <c r="G265" i="52"/>
  <c r="G266" i="52"/>
  <c r="G267" i="52"/>
  <c r="G268" i="52"/>
  <c r="G269" i="52"/>
  <c r="G270" i="52"/>
  <c r="G271" i="52"/>
  <c r="G272" i="52"/>
  <c r="G273" i="52"/>
  <c r="A430" i="71"/>
  <c r="A442" i="71" s="1"/>
  <c r="A454" i="71" s="1"/>
  <c r="A466" i="71" s="1"/>
  <c r="A478" i="71" s="1"/>
  <c r="A490" i="71" s="1"/>
  <c r="A502" i="71" s="1"/>
  <c r="A514" i="71" s="1"/>
  <c r="A526" i="71" s="1"/>
  <c r="A538" i="71" s="1"/>
  <c r="A550" i="71" s="1"/>
  <c r="A562" i="71" s="1"/>
  <c r="A574" i="71" s="1"/>
  <c r="A586" i="71" s="1"/>
  <c r="A598" i="71" s="1"/>
  <c r="A610" i="71" s="1"/>
  <c r="A622" i="71" s="1"/>
  <c r="A634" i="71" s="1"/>
  <c r="A431" i="71"/>
  <c r="A443" i="71" s="1"/>
  <c r="A455" i="71" s="1"/>
  <c r="A467" i="71" s="1"/>
  <c r="A479" i="71" s="1"/>
  <c r="A491" i="71" s="1"/>
  <c r="A503" i="71" s="1"/>
  <c r="A515" i="71" s="1"/>
  <c r="A527" i="71" s="1"/>
  <c r="A539" i="71" s="1"/>
  <c r="A551" i="71" s="1"/>
  <c r="A563" i="71" s="1"/>
  <c r="A575" i="71" s="1"/>
  <c r="A587" i="71" s="1"/>
  <c r="A599" i="71" s="1"/>
  <c r="A611" i="71" s="1"/>
  <c r="A623" i="71" s="1"/>
  <c r="A635" i="71" s="1"/>
  <c r="A432" i="71"/>
  <c r="A444" i="71" s="1"/>
  <c r="A456" i="71" s="1"/>
  <c r="A468" i="71" s="1"/>
  <c r="A480" i="71" s="1"/>
  <c r="A492" i="71" s="1"/>
  <c r="A504" i="71" s="1"/>
  <c r="A516" i="71" s="1"/>
  <c r="A528" i="71" s="1"/>
  <c r="A540" i="71" s="1"/>
  <c r="A552" i="71" s="1"/>
  <c r="A564" i="71" s="1"/>
  <c r="A576" i="71" s="1"/>
  <c r="A588" i="71" s="1"/>
  <c r="A600" i="71" s="1"/>
  <c r="A433" i="71"/>
  <c r="A445" i="71" s="1"/>
  <c r="A457" i="71" s="1"/>
  <c r="A469" i="71" s="1"/>
  <c r="A481" i="71" s="1"/>
  <c r="A493" i="71" s="1"/>
  <c r="A505" i="71" s="1"/>
  <c r="A517" i="71" s="1"/>
  <c r="A529" i="71" s="1"/>
  <c r="A541" i="71" s="1"/>
  <c r="A553" i="71" s="1"/>
  <c r="A565" i="71" s="1"/>
  <c r="A577" i="71" s="1"/>
  <c r="A589" i="71" s="1"/>
  <c r="A601" i="71" s="1"/>
  <c r="A613" i="71" s="1"/>
  <c r="A625" i="71" s="1"/>
  <c r="A637" i="71" s="1"/>
  <c r="A434" i="71"/>
  <c r="A446" i="71" s="1"/>
  <c r="A458" i="71" s="1"/>
  <c r="A470" i="71" s="1"/>
  <c r="A482" i="71" s="1"/>
  <c r="A494" i="71" s="1"/>
  <c r="A506" i="71" s="1"/>
  <c r="A518" i="71" s="1"/>
  <c r="A530" i="71" s="1"/>
  <c r="A542" i="71" s="1"/>
  <c r="A554" i="71" s="1"/>
  <c r="A566" i="71" s="1"/>
  <c r="A578" i="71" s="1"/>
  <c r="A590" i="71" s="1"/>
  <c r="A602" i="71" s="1"/>
  <c r="A614" i="71" s="1"/>
  <c r="A626" i="71" s="1"/>
  <c r="A638" i="71" s="1"/>
  <c r="A435" i="71"/>
  <c r="A447" i="71" s="1"/>
  <c r="A459" i="71" s="1"/>
  <c r="A471" i="71" s="1"/>
  <c r="A483" i="71" s="1"/>
  <c r="A495" i="71" s="1"/>
  <c r="A507" i="71" s="1"/>
  <c r="A519" i="71" s="1"/>
  <c r="A531" i="71" s="1"/>
  <c r="A543" i="71" s="1"/>
  <c r="A555" i="71" s="1"/>
  <c r="A567" i="71" s="1"/>
  <c r="A579" i="71" s="1"/>
  <c r="A591" i="71" s="1"/>
  <c r="A603" i="71" s="1"/>
  <c r="A615" i="71" s="1"/>
  <c r="A627" i="71" s="1"/>
  <c r="A639" i="71" s="1"/>
  <c r="A436" i="71"/>
  <c r="A448" i="71" s="1"/>
  <c r="A460" i="71" s="1"/>
  <c r="A472" i="71" s="1"/>
  <c r="A484" i="71" s="1"/>
  <c r="A496" i="71" s="1"/>
  <c r="A508" i="71" s="1"/>
  <c r="A520" i="71" s="1"/>
  <c r="A532" i="71" s="1"/>
  <c r="A544" i="71" s="1"/>
  <c r="A556" i="71" s="1"/>
  <c r="A568" i="71" s="1"/>
  <c r="A580" i="71" s="1"/>
  <c r="A592" i="71" s="1"/>
  <c r="A604" i="71" s="1"/>
  <c r="A616" i="71" s="1"/>
  <c r="A628" i="71" s="1"/>
  <c r="A640" i="71" s="1"/>
  <c r="A437" i="71"/>
  <c r="A449" i="71" s="1"/>
  <c r="A461" i="71" s="1"/>
  <c r="A473" i="71" s="1"/>
  <c r="A485" i="71" s="1"/>
  <c r="A497" i="71" s="1"/>
  <c r="A509" i="71" s="1"/>
  <c r="A521" i="71" s="1"/>
  <c r="A533" i="71" s="1"/>
  <c r="A545" i="71" s="1"/>
  <c r="A557" i="71" s="1"/>
  <c r="A569" i="71" s="1"/>
  <c r="A438" i="71"/>
  <c r="A450" i="71" s="1"/>
  <c r="A462" i="71" s="1"/>
  <c r="A474" i="71" s="1"/>
  <c r="A486" i="71" s="1"/>
  <c r="A498" i="71" s="1"/>
  <c r="A510" i="71" s="1"/>
  <c r="A522" i="71" s="1"/>
  <c r="A534" i="71" s="1"/>
  <c r="A546" i="71" s="1"/>
  <c r="A558" i="71" s="1"/>
  <c r="A570" i="71" s="1"/>
  <c r="A582" i="71" s="1"/>
  <c r="A594" i="71" s="1"/>
  <c r="A606" i="71" s="1"/>
  <c r="A618" i="71" s="1"/>
  <c r="A630" i="71" s="1"/>
  <c r="A642" i="71" s="1"/>
  <c r="A439" i="71"/>
  <c r="A451" i="71" s="1"/>
  <c r="A463" i="71" s="1"/>
  <c r="A475" i="71" s="1"/>
  <c r="A487" i="71" s="1"/>
  <c r="A499" i="71" s="1"/>
  <c r="A511" i="71" s="1"/>
  <c r="A523" i="71" s="1"/>
  <c r="A535" i="71" s="1"/>
  <c r="A547" i="71" s="1"/>
  <c r="A559" i="71" s="1"/>
  <c r="A571" i="71" s="1"/>
  <c r="A583" i="71" s="1"/>
  <c r="A595" i="71" s="1"/>
  <c r="A607" i="71" s="1"/>
  <c r="A619" i="71" s="1"/>
  <c r="A631" i="71" s="1"/>
  <c r="A643" i="71" s="1"/>
  <c r="A440" i="71"/>
  <c r="A452" i="71" s="1"/>
  <c r="A464" i="71" s="1"/>
  <c r="A476" i="71" s="1"/>
  <c r="A488" i="71" s="1"/>
  <c r="A500" i="71" s="1"/>
  <c r="A512" i="71" s="1"/>
  <c r="A524" i="71" s="1"/>
  <c r="A536" i="71" s="1"/>
  <c r="A548" i="71" s="1"/>
  <c r="A560" i="71" s="1"/>
  <c r="A572" i="71" s="1"/>
  <c r="A584" i="71" s="1"/>
  <c r="A596" i="71" s="1"/>
  <c r="A608" i="71" s="1"/>
  <c r="A620" i="71" s="1"/>
  <c r="A632" i="71" s="1"/>
  <c r="A644" i="71" s="1"/>
  <c r="A441" i="71"/>
  <c r="A453" i="71" s="1"/>
  <c r="A465" i="71" s="1"/>
  <c r="A477" i="71" s="1"/>
  <c r="A489" i="71" s="1"/>
  <c r="A501" i="71" s="1"/>
  <c r="A513" i="71" s="1"/>
  <c r="A525" i="71" s="1"/>
  <c r="A537" i="71" s="1"/>
  <c r="A549" i="71" s="1"/>
  <c r="A561" i="71" s="1"/>
  <c r="A573" i="71" s="1"/>
  <c r="A585" i="71" s="1"/>
  <c r="A597" i="71" s="1"/>
  <c r="A609" i="71" s="1"/>
  <c r="A621" i="71" s="1"/>
  <c r="A633" i="71" s="1"/>
  <c r="A645" i="71" s="1"/>
  <c r="B148" i="69"/>
  <c r="C148" i="69"/>
  <c r="C146" i="69" s="1"/>
  <c r="C147" i="69" s="1"/>
  <c r="E148" i="69"/>
  <c r="F148" i="69"/>
  <c r="F146" i="69" s="1"/>
  <c r="G148" i="69"/>
  <c r="H148" i="69"/>
  <c r="H146" i="69" s="1"/>
  <c r="J148" i="69"/>
  <c r="K148" i="69"/>
  <c r="A226" i="69"/>
  <c r="A238" i="69" s="1"/>
  <c r="A250" i="69" s="1"/>
  <c r="A262" i="69" s="1"/>
  <c r="A274" i="69" s="1"/>
  <c r="A286" i="69" s="1"/>
  <c r="A298" i="69" s="1"/>
  <c r="A310" i="69" s="1"/>
  <c r="A322" i="69" s="1"/>
  <c r="A334" i="69" s="1"/>
  <c r="A346" i="69" s="1"/>
  <c r="A358" i="69" s="1"/>
  <c r="A370" i="69" s="1"/>
  <c r="A382" i="69" s="1"/>
  <c r="A394" i="69" s="1"/>
  <c r="A406" i="69" s="1"/>
  <c r="A418" i="69" s="1"/>
  <c r="A430" i="69" s="1"/>
  <c r="A227" i="69"/>
  <c r="A239" i="69" s="1"/>
  <c r="A251" i="69" s="1"/>
  <c r="A263" i="69" s="1"/>
  <c r="A275" i="69" s="1"/>
  <c r="A287" i="69" s="1"/>
  <c r="A299" i="69" s="1"/>
  <c r="A311" i="69" s="1"/>
  <c r="A323" i="69" s="1"/>
  <c r="A335" i="69" s="1"/>
  <c r="A347" i="69" s="1"/>
  <c r="A359" i="69" s="1"/>
  <c r="A371" i="69" s="1"/>
  <c r="A383" i="69" s="1"/>
  <c r="A395" i="69" s="1"/>
  <c r="A407" i="69" s="1"/>
  <c r="A419" i="69" s="1"/>
  <c r="A431" i="69" s="1"/>
  <c r="A228" i="69"/>
  <c r="A240" i="69" s="1"/>
  <c r="A252" i="69" s="1"/>
  <c r="A264" i="69" s="1"/>
  <c r="A276" i="69" s="1"/>
  <c r="A288" i="69" s="1"/>
  <c r="A300" i="69" s="1"/>
  <c r="A312" i="69" s="1"/>
  <c r="A324" i="69" s="1"/>
  <c r="A336" i="69" s="1"/>
  <c r="A348" i="69" s="1"/>
  <c r="A360" i="69" s="1"/>
  <c r="A372" i="69" s="1"/>
  <c r="A384" i="69" s="1"/>
  <c r="A396" i="69" s="1"/>
  <c r="A408" i="69" s="1"/>
  <c r="A420" i="69" s="1"/>
  <c r="A432" i="69" s="1"/>
  <c r="A229" i="69"/>
  <c r="A241" i="69" s="1"/>
  <c r="A253" i="69" s="1"/>
  <c r="A265" i="69" s="1"/>
  <c r="A277" i="69" s="1"/>
  <c r="A289" i="69" s="1"/>
  <c r="A301" i="69" s="1"/>
  <c r="A313" i="69" s="1"/>
  <c r="A325" i="69" s="1"/>
  <c r="A337" i="69" s="1"/>
  <c r="A349" i="69" s="1"/>
  <c r="A361" i="69" s="1"/>
  <c r="A373" i="69" s="1"/>
  <c r="A385" i="69" s="1"/>
  <c r="A397" i="69" s="1"/>
  <c r="A409" i="69" s="1"/>
  <c r="A421" i="69" s="1"/>
  <c r="A433" i="69" s="1"/>
  <c r="A230" i="69"/>
  <c r="A242" i="69" s="1"/>
  <c r="A254" i="69" s="1"/>
  <c r="A266" i="69" s="1"/>
  <c r="A278" i="69" s="1"/>
  <c r="A290" i="69" s="1"/>
  <c r="A302" i="69" s="1"/>
  <c r="A314" i="69" s="1"/>
  <c r="A326" i="69" s="1"/>
  <c r="A338" i="69" s="1"/>
  <c r="A350" i="69" s="1"/>
  <c r="A362" i="69" s="1"/>
  <c r="A374" i="69" s="1"/>
  <c r="A386" i="69" s="1"/>
  <c r="A398" i="69" s="1"/>
  <c r="A410" i="69" s="1"/>
  <c r="A422" i="69" s="1"/>
  <c r="A434" i="69" s="1"/>
  <c r="A231" i="69"/>
  <c r="A243" i="69" s="1"/>
  <c r="A255" i="69" s="1"/>
  <c r="A267" i="69" s="1"/>
  <c r="A279" i="69" s="1"/>
  <c r="A291" i="69" s="1"/>
  <c r="A303" i="69" s="1"/>
  <c r="A315" i="69" s="1"/>
  <c r="A327" i="69" s="1"/>
  <c r="A339" i="69" s="1"/>
  <c r="A351" i="69" s="1"/>
  <c r="A363" i="69" s="1"/>
  <c r="A375" i="69" s="1"/>
  <c r="A387" i="69" s="1"/>
  <c r="A399" i="69" s="1"/>
  <c r="A411" i="69" s="1"/>
  <c r="A423" i="69" s="1"/>
  <c r="A435" i="69" s="1"/>
  <c r="A232" i="69"/>
  <c r="A244" i="69" s="1"/>
  <c r="A256" i="69" s="1"/>
  <c r="A268" i="69" s="1"/>
  <c r="A280" i="69" s="1"/>
  <c r="A292" i="69" s="1"/>
  <c r="A304" i="69" s="1"/>
  <c r="A316" i="69" s="1"/>
  <c r="A328" i="69" s="1"/>
  <c r="A340" i="69" s="1"/>
  <c r="A352" i="69" s="1"/>
  <c r="A364" i="69" s="1"/>
  <c r="A376" i="69" s="1"/>
  <c r="A388" i="69" s="1"/>
  <c r="A400" i="69" s="1"/>
  <c r="A412" i="69" s="1"/>
  <c r="A424" i="69" s="1"/>
  <c r="A436" i="69" s="1"/>
  <c r="A233" i="69"/>
  <c r="A245" i="69" s="1"/>
  <c r="A257" i="69" s="1"/>
  <c r="A269" i="69" s="1"/>
  <c r="A281" i="69" s="1"/>
  <c r="A293" i="69" s="1"/>
  <c r="A305" i="69" s="1"/>
  <c r="A317" i="69" s="1"/>
  <c r="A329" i="69" s="1"/>
  <c r="A341" i="69" s="1"/>
  <c r="A353" i="69" s="1"/>
  <c r="A365" i="69" s="1"/>
  <c r="A377" i="69" s="1"/>
  <c r="A389" i="69" s="1"/>
  <c r="A401" i="69" s="1"/>
  <c r="A413" i="69" s="1"/>
  <c r="A425" i="69" s="1"/>
  <c r="A437" i="69" s="1"/>
  <c r="A234" i="69"/>
  <c r="A246" i="69" s="1"/>
  <c r="A258" i="69" s="1"/>
  <c r="A270" i="69" s="1"/>
  <c r="A282" i="69" s="1"/>
  <c r="A294" i="69" s="1"/>
  <c r="A306" i="69" s="1"/>
  <c r="A318" i="69" s="1"/>
  <c r="A330" i="69" s="1"/>
  <c r="A342" i="69" s="1"/>
  <c r="A354" i="69" s="1"/>
  <c r="A366" i="69" s="1"/>
  <c r="A378" i="69" s="1"/>
  <c r="A390" i="69" s="1"/>
  <c r="A402" i="69" s="1"/>
  <c r="A414" i="69" s="1"/>
  <c r="A426" i="69" s="1"/>
  <c r="A438" i="69" s="1"/>
  <c r="A235" i="69"/>
  <c r="A247" i="69" s="1"/>
  <c r="A259" i="69" s="1"/>
  <c r="A271" i="69" s="1"/>
  <c r="A283" i="69" s="1"/>
  <c r="A295" i="69" s="1"/>
  <c r="A307" i="69" s="1"/>
  <c r="A319" i="69" s="1"/>
  <c r="A331" i="69" s="1"/>
  <c r="A343" i="69" s="1"/>
  <c r="A355" i="69" s="1"/>
  <c r="A367" i="69" s="1"/>
  <c r="A379" i="69" s="1"/>
  <c r="A391" i="69" s="1"/>
  <c r="A403" i="69" s="1"/>
  <c r="A415" i="69" s="1"/>
  <c r="A427" i="69" s="1"/>
  <c r="A439" i="69" s="1"/>
  <c r="A236" i="69"/>
  <c r="A248" i="69" s="1"/>
  <c r="A260" i="69" s="1"/>
  <c r="A272" i="69" s="1"/>
  <c r="A284" i="69" s="1"/>
  <c r="A296" i="69" s="1"/>
  <c r="A308" i="69" s="1"/>
  <c r="A320" i="69" s="1"/>
  <c r="A332" i="69" s="1"/>
  <c r="A344" i="69" s="1"/>
  <c r="A356" i="69" s="1"/>
  <c r="A368" i="69" s="1"/>
  <c r="A380" i="69" s="1"/>
  <c r="A392" i="69" s="1"/>
  <c r="A404" i="69" s="1"/>
  <c r="A416" i="69" s="1"/>
  <c r="A428" i="69" s="1"/>
  <c r="A440" i="69" s="1"/>
  <c r="A237" i="69"/>
  <c r="A249" i="69" s="1"/>
  <c r="A261" i="69" s="1"/>
  <c r="A273" i="69" s="1"/>
  <c r="A285" i="69" s="1"/>
  <c r="A297" i="69" s="1"/>
  <c r="A309" i="69" s="1"/>
  <c r="A321" i="69" s="1"/>
  <c r="A333" i="69" s="1"/>
  <c r="A345" i="69" s="1"/>
  <c r="A357" i="69" s="1"/>
  <c r="A369" i="69" s="1"/>
  <c r="A381" i="69" s="1"/>
  <c r="A393" i="69" s="1"/>
  <c r="A405" i="69" s="1"/>
  <c r="A417" i="69" s="1"/>
  <c r="A429" i="69" s="1"/>
  <c r="A441" i="69" s="1"/>
  <c r="A298" i="27"/>
  <c r="A310" i="27" s="1"/>
  <c r="A322" i="27" s="1"/>
  <c r="A334" i="27" s="1"/>
  <c r="A346" i="27" s="1"/>
  <c r="A358" i="27" s="1"/>
  <c r="A370" i="27" s="1"/>
  <c r="A382" i="27" s="1"/>
  <c r="A394" i="27" s="1"/>
  <c r="A299" i="27"/>
  <c r="A311" i="27" s="1"/>
  <c r="A323" i="27" s="1"/>
  <c r="A335" i="27" s="1"/>
  <c r="A347" i="27" s="1"/>
  <c r="A359" i="27" s="1"/>
  <c r="A371" i="27" s="1"/>
  <c r="A383" i="27" s="1"/>
  <c r="A395" i="27" s="1"/>
  <c r="A300" i="27"/>
  <c r="A312" i="27" s="1"/>
  <c r="A324" i="27" s="1"/>
  <c r="A336" i="27" s="1"/>
  <c r="A348" i="27" s="1"/>
  <c r="A360" i="27" s="1"/>
  <c r="A372" i="27" s="1"/>
  <c r="A384" i="27" s="1"/>
  <c r="A396" i="27" s="1"/>
  <c r="A301" i="27"/>
  <c r="A313" i="27" s="1"/>
  <c r="A325" i="27" s="1"/>
  <c r="A337" i="27" s="1"/>
  <c r="A349" i="27" s="1"/>
  <c r="A361" i="27" s="1"/>
  <c r="A373" i="27" s="1"/>
  <c r="A385" i="27" s="1"/>
  <c r="A397" i="27" s="1"/>
  <c r="A302" i="27"/>
  <c r="A314" i="27" s="1"/>
  <c r="A326" i="27" s="1"/>
  <c r="A338" i="27" s="1"/>
  <c r="A350" i="27" s="1"/>
  <c r="A362" i="27" s="1"/>
  <c r="A374" i="27" s="1"/>
  <c r="A386" i="27" s="1"/>
  <c r="A398" i="27" s="1"/>
  <c r="A303" i="27"/>
  <c r="A315" i="27" s="1"/>
  <c r="A327" i="27" s="1"/>
  <c r="A339" i="27" s="1"/>
  <c r="A351" i="27" s="1"/>
  <c r="A363" i="27" s="1"/>
  <c r="A375" i="27" s="1"/>
  <c r="A387" i="27" s="1"/>
  <c r="A399" i="27" s="1"/>
  <c r="A304" i="27"/>
  <c r="A316" i="27" s="1"/>
  <c r="A328" i="27" s="1"/>
  <c r="A340" i="27" s="1"/>
  <c r="A352" i="27" s="1"/>
  <c r="A364" i="27" s="1"/>
  <c r="A376" i="27" s="1"/>
  <c r="A388" i="27" s="1"/>
  <c r="A400" i="27" s="1"/>
  <c r="A305" i="27"/>
  <c r="A317" i="27" s="1"/>
  <c r="A329" i="27" s="1"/>
  <c r="A341" i="27" s="1"/>
  <c r="A353" i="27" s="1"/>
  <c r="A365" i="27" s="1"/>
  <c r="A377" i="27" s="1"/>
  <c r="A389" i="27" s="1"/>
  <c r="A401" i="27" s="1"/>
  <c r="A306" i="27"/>
  <c r="A318" i="27" s="1"/>
  <c r="A330" i="27" s="1"/>
  <c r="A342" i="27" s="1"/>
  <c r="A354" i="27" s="1"/>
  <c r="A366" i="27" s="1"/>
  <c r="A378" i="27" s="1"/>
  <c r="A390" i="27" s="1"/>
  <c r="A402" i="27" s="1"/>
  <c r="A307" i="27"/>
  <c r="A319" i="27" s="1"/>
  <c r="A331" i="27" s="1"/>
  <c r="A343" i="27" s="1"/>
  <c r="A355" i="27" s="1"/>
  <c r="A367" i="27" s="1"/>
  <c r="A379" i="27" s="1"/>
  <c r="A391" i="27" s="1"/>
  <c r="A403" i="27" s="1"/>
  <c r="A308" i="27"/>
  <c r="A320" i="27" s="1"/>
  <c r="A332" i="27" s="1"/>
  <c r="A344" i="27" s="1"/>
  <c r="A356" i="27" s="1"/>
  <c r="A368" i="27" s="1"/>
  <c r="A380" i="27" s="1"/>
  <c r="A392" i="27" s="1"/>
  <c r="A404" i="27" s="1"/>
  <c r="A309" i="27"/>
  <c r="A321" i="27" s="1"/>
  <c r="A333" i="27" s="1"/>
  <c r="A345" i="27" s="1"/>
  <c r="A357" i="27" s="1"/>
  <c r="A369" i="27" s="1"/>
  <c r="A381" i="27" s="1"/>
  <c r="A393" i="27" s="1"/>
  <c r="A405" i="27" s="1"/>
  <c r="C164" i="59"/>
  <c r="C165" i="59"/>
  <c r="A166" i="59"/>
  <c r="A178" i="59" s="1"/>
  <c r="A190" i="59" s="1"/>
  <c r="A202" i="59" s="1"/>
  <c r="A214" i="59" s="1"/>
  <c r="A226" i="59" s="1"/>
  <c r="A238" i="59" s="1"/>
  <c r="A250" i="59" s="1"/>
  <c r="A262" i="59" s="1"/>
  <c r="A274" i="59" s="1"/>
  <c r="A286" i="59" s="1"/>
  <c r="A298" i="59" s="1"/>
  <c r="A310" i="59" s="1"/>
  <c r="A322" i="59" s="1"/>
  <c r="A334" i="59" s="1"/>
  <c r="A346" i="59" s="1"/>
  <c r="A358" i="59" s="1"/>
  <c r="C166" i="59"/>
  <c r="A167" i="59"/>
  <c r="A179" i="59" s="1"/>
  <c r="A191" i="59" s="1"/>
  <c r="A203" i="59" s="1"/>
  <c r="A215" i="59" s="1"/>
  <c r="A227" i="59" s="1"/>
  <c r="A239" i="59" s="1"/>
  <c r="A251" i="59" s="1"/>
  <c r="A263" i="59" s="1"/>
  <c r="A275" i="59" s="1"/>
  <c r="A287" i="59" s="1"/>
  <c r="A299" i="59" s="1"/>
  <c r="A311" i="59" s="1"/>
  <c r="A323" i="59" s="1"/>
  <c r="A335" i="59" s="1"/>
  <c r="A347" i="59" s="1"/>
  <c r="A359" i="59" s="1"/>
  <c r="C167" i="59"/>
  <c r="A168" i="59"/>
  <c r="A180" i="59" s="1"/>
  <c r="A192" i="59" s="1"/>
  <c r="A204" i="59" s="1"/>
  <c r="A216" i="59" s="1"/>
  <c r="A228" i="59" s="1"/>
  <c r="A240" i="59" s="1"/>
  <c r="A252" i="59" s="1"/>
  <c r="A264" i="59" s="1"/>
  <c r="A276" i="59" s="1"/>
  <c r="A288" i="59" s="1"/>
  <c r="A300" i="59" s="1"/>
  <c r="A312" i="59" s="1"/>
  <c r="A324" i="59" s="1"/>
  <c r="A336" i="59" s="1"/>
  <c r="A348" i="59" s="1"/>
  <c r="A360" i="59" s="1"/>
  <c r="C168" i="59"/>
  <c r="A169" i="59"/>
  <c r="A181" i="59" s="1"/>
  <c r="A193" i="59" s="1"/>
  <c r="A205" i="59" s="1"/>
  <c r="A217" i="59" s="1"/>
  <c r="A229" i="59" s="1"/>
  <c r="A241" i="59" s="1"/>
  <c r="A253" i="59" s="1"/>
  <c r="A265" i="59" s="1"/>
  <c r="A277" i="59" s="1"/>
  <c r="A289" i="59" s="1"/>
  <c r="A301" i="59" s="1"/>
  <c r="A313" i="59" s="1"/>
  <c r="A325" i="59" s="1"/>
  <c r="A337" i="59" s="1"/>
  <c r="A349" i="59" s="1"/>
  <c r="A361" i="59" s="1"/>
  <c r="C169" i="59"/>
  <c r="A170" i="59"/>
  <c r="A182" i="59" s="1"/>
  <c r="A194" i="59" s="1"/>
  <c r="A206" i="59" s="1"/>
  <c r="A218" i="59" s="1"/>
  <c r="A230" i="59" s="1"/>
  <c r="A242" i="59" s="1"/>
  <c r="A254" i="59" s="1"/>
  <c r="A266" i="59" s="1"/>
  <c r="A278" i="59" s="1"/>
  <c r="A290" i="59" s="1"/>
  <c r="A302" i="59" s="1"/>
  <c r="A314" i="59" s="1"/>
  <c r="A326" i="59" s="1"/>
  <c r="A338" i="59" s="1"/>
  <c r="A350" i="59" s="1"/>
  <c r="A362" i="59" s="1"/>
  <c r="C170" i="59"/>
  <c r="A171" i="59"/>
  <c r="A183" i="59" s="1"/>
  <c r="A195" i="59" s="1"/>
  <c r="A207" i="59" s="1"/>
  <c r="A219" i="59" s="1"/>
  <c r="A231" i="59" s="1"/>
  <c r="A243" i="59" s="1"/>
  <c r="A255" i="59" s="1"/>
  <c r="A267" i="59" s="1"/>
  <c r="A279" i="59" s="1"/>
  <c r="A291" i="59" s="1"/>
  <c r="A303" i="59" s="1"/>
  <c r="A315" i="59" s="1"/>
  <c r="A327" i="59" s="1"/>
  <c r="A339" i="59" s="1"/>
  <c r="A351" i="59" s="1"/>
  <c r="A363" i="59" s="1"/>
  <c r="C171" i="59"/>
  <c r="A172" i="59"/>
  <c r="A184" i="59" s="1"/>
  <c r="A196" i="59" s="1"/>
  <c r="A208" i="59" s="1"/>
  <c r="A220" i="59" s="1"/>
  <c r="A232" i="59" s="1"/>
  <c r="A244" i="59" s="1"/>
  <c r="A256" i="59" s="1"/>
  <c r="A268" i="59" s="1"/>
  <c r="A280" i="59" s="1"/>
  <c r="A292" i="59" s="1"/>
  <c r="A304" i="59" s="1"/>
  <c r="A316" i="59" s="1"/>
  <c r="A328" i="59" s="1"/>
  <c r="A340" i="59" s="1"/>
  <c r="A352" i="59" s="1"/>
  <c r="A364" i="59" s="1"/>
  <c r="C172" i="59"/>
  <c r="A173" i="59"/>
  <c r="A185" i="59" s="1"/>
  <c r="A197" i="59" s="1"/>
  <c r="A209" i="59" s="1"/>
  <c r="A221" i="59" s="1"/>
  <c r="A233" i="59" s="1"/>
  <c r="A245" i="59" s="1"/>
  <c r="A257" i="59" s="1"/>
  <c r="A269" i="59" s="1"/>
  <c r="A281" i="59" s="1"/>
  <c r="A293" i="59" s="1"/>
  <c r="A305" i="59" s="1"/>
  <c r="A317" i="59" s="1"/>
  <c r="A329" i="59" s="1"/>
  <c r="A341" i="59" s="1"/>
  <c r="A353" i="59" s="1"/>
  <c r="A365" i="59" s="1"/>
  <c r="C173" i="59"/>
  <c r="A174" i="59"/>
  <c r="A186" i="59" s="1"/>
  <c r="A198" i="59" s="1"/>
  <c r="A210" i="59" s="1"/>
  <c r="A222" i="59" s="1"/>
  <c r="A234" i="59" s="1"/>
  <c r="A246" i="59" s="1"/>
  <c r="A258" i="59" s="1"/>
  <c r="A270" i="59" s="1"/>
  <c r="A282" i="59" s="1"/>
  <c r="A294" i="59" s="1"/>
  <c r="A306" i="59" s="1"/>
  <c r="A318" i="59" s="1"/>
  <c r="A330" i="59" s="1"/>
  <c r="A342" i="59" s="1"/>
  <c r="A354" i="59" s="1"/>
  <c r="A366" i="59" s="1"/>
  <c r="C174" i="59"/>
  <c r="A175" i="59"/>
  <c r="A187" i="59" s="1"/>
  <c r="A199" i="59" s="1"/>
  <c r="A211" i="59" s="1"/>
  <c r="A223" i="59" s="1"/>
  <c r="A235" i="59" s="1"/>
  <c r="A247" i="59" s="1"/>
  <c r="A259" i="59" s="1"/>
  <c r="A271" i="59" s="1"/>
  <c r="A283" i="59" s="1"/>
  <c r="A295" i="59" s="1"/>
  <c r="A307" i="59" s="1"/>
  <c r="A319" i="59" s="1"/>
  <c r="A331" i="59" s="1"/>
  <c r="A343" i="59" s="1"/>
  <c r="A355" i="59" s="1"/>
  <c r="A367" i="59" s="1"/>
  <c r="C175" i="59"/>
  <c r="A176" i="59"/>
  <c r="A188" i="59" s="1"/>
  <c r="A200" i="59" s="1"/>
  <c r="A212" i="59" s="1"/>
  <c r="A224" i="59" s="1"/>
  <c r="A236" i="59" s="1"/>
  <c r="A248" i="59" s="1"/>
  <c r="A260" i="59" s="1"/>
  <c r="A272" i="59" s="1"/>
  <c r="A284" i="59" s="1"/>
  <c r="A296" i="59" s="1"/>
  <c r="A308" i="59" s="1"/>
  <c r="A320" i="59" s="1"/>
  <c r="A332" i="59" s="1"/>
  <c r="A344" i="59" s="1"/>
  <c r="A356" i="59" s="1"/>
  <c r="A368" i="59" s="1"/>
  <c r="C176" i="59"/>
  <c r="A177" i="59"/>
  <c r="A189" i="59" s="1"/>
  <c r="A201" i="59" s="1"/>
  <c r="A213" i="59" s="1"/>
  <c r="A225" i="59" s="1"/>
  <c r="A237" i="59" s="1"/>
  <c r="A249" i="59" s="1"/>
  <c r="A261" i="59" s="1"/>
  <c r="A273" i="59" s="1"/>
  <c r="A285" i="59" s="1"/>
  <c r="A297" i="59" s="1"/>
  <c r="A309" i="59" s="1"/>
  <c r="A321" i="59" s="1"/>
  <c r="A333" i="59" s="1"/>
  <c r="A345" i="59" s="1"/>
  <c r="A357" i="59" s="1"/>
  <c r="A369" i="59" s="1"/>
  <c r="C177" i="59"/>
  <c r="C178" i="59"/>
  <c r="C179" i="59"/>
  <c r="C180" i="59"/>
  <c r="C181" i="59"/>
  <c r="C182" i="59"/>
  <c r="C183" i="59"/>
  <c r="C184" i="59"/>
  <c r="C185" i="59"/>
  <c r="C186" i="59"/>
  <c r="C187" i="59"/>
  <c r="C188" i="59"/>
  <c r="C189" i="59"/>
  <c r="C190" i="59"/>
  <c r="C191" i="59"/>
  <c r="C192" i="59"/>
  <c r="C193" i="59"/>
  <c r="C194" i="59"/>
  <c r="C195" i="59"/>
  <c r="C196" i="59"/>
  <c r="C197" i="59"/>
  <c r="C198" i="59"/>
  <c r="C199" i="59"/>
  <c r="C200" i="59"/>
  <c r="C201" i="59"/>
  <c r="C202" i="59"/>
  <c r="C203" i="59"/>
  <c r="C204" i="59"/>
  <c r="C205" i="59"/>
  <c r="C206" i="59"/>
  <c r="C207" i="59"/>
  <c r="C208" i="59"/>
  <c r="C209" i="59"/>
  <c r="C210" i="59"/>
  <c r="C211" i="59"/>
  <c r="C212" i="59"/>
  <c r="C213" i="59"/>
  <c r="C214" i="59"/>
  <c r="C215" i="59"/>
  <c r="C216" i="59"/>
  <c r="C217" i="59"/>
  <c r="C218" i="59"/>
  <c r="C219" i="59"/>
  <c r="C220" i="59"/>
  <c r="C221" i="59"/>
  <c r="C222" i="59"/>
  <c r="C223" i="59"/>
  <c r="C224" i="59"/>
  <c r="C225" i="59"/>
  <c r="C226" i="59"/>
  <c r="C227" i="59"/>
  <c r="C228" i="59"/>
  <c r="C230" i="59"/>
  <c r="C231" i="59"/>
  <c r="C232" i="59"/>
  <c r="C233" i="59"/>
  <c r="C234" i="59"/>
  <c r="C235" i="59"/>
  <c r="C236" i="59"/>
  <c r="C237" i="59"/>
  <c r="C238" i="59"/>
  <c r="C239" i="59"/>
  <c r="C240" i="59"/>
  <c r="C241" i="59"/>
  <c r="C242" i="59"/>
  <c r="C243" i="59"/>
  <c r="C244" i="59"/>
  <c r="C245" i="59"/>
  <c r="C246" i="59"/>
  <c r="C247" i="59"/>
  <c r="C248" i="59"/>
  <c r="C249" i="59"/>
  <c r="A202" i="56"/>
  <c r="A214" i="56" s="1"/>
  <c r="A226" i="56" s="1"/>
  <c r="A238" i="56" s="1"/>
  <c r="A250" i="56" s="1"/>
  <c r="A262" i="56" s="1"/>
  <c r="A274" i="56" s="1"/>
  <c r="A286" i="56" s="1"/>
  <c r="A298" i="56" s="1"/>
  <c r="A310" i="56" s="1"/>
  <c r="A322" i="56" s="1"/>
  <c r="A334" i="56" s="1"/>
  <c r="A346" i="56" s="1"/>
  <c r="A358" i="56" s="1"/>
  <c r="A370" i="56" s="1"/>
  <c r="A382" i="56" s="1"/>
  <c r="A394" i="56" s="1"/>
  <c r="A406" i="56" s="1"/>
  <c r="A418" i="56" s="1"/>
  <c r="A430" i="56" s="1"/>
  <c r="A442" i="56" s="1"/>
  <c r="A454" i="56" s="1"/>
  <c r="A466" i="56" s="1"/>
  <c r="A203" i="56"/>
  <c r="A215" i="56" s="1"/>
  <c r="A227" i="56" s="1"/>
  <c r="A239" i="56" s="1"/>
  <c r="A251" i="56" s="1"/>
  <c r="A263" i="56" s="1"/>
  <c r="A275" i="56" s="1"/>
  <c r="A287" i="56" s="1"/>
  <c r="A299" i="56" s="1"/>
  <c r="A311" i="56" s="1"/>
  <c r="A323" i="56" s="1"/>
  <c r="A335" i="56" s="1"/>
  <c r="A347" i="56" s="1"/>
  <c r="A359" i="56" s="1"/>
  <c r="A371" i="56" s="1"/>
  <c r="A383" i="56" s="1"/>
  <c r="A395" i="56" s="1"/>
  <c r="A407" i="56" s="1"/>
  <c r="A419" i="56" s="1"/>
  <c r="A431" i="56" s="1"/>
  <c r="A443" i="56" s="1"/>
  <c r="A455" i="56" s="1"/>
  <c r="A467" i="56" s="1"/>
  <c r="A204" i="56"/>
  <c r="A216" i="56" s="1"/>
  <c r="A228" i="56" s="1"/>
  <c r="A240" i="56" s="1"/>
  <c r="A252" i="56" s="1"/>
  <c r="A264" i="56" s="1"/>
  <c r="A276" i="56" s="1"/>
  <c r="A288" i="56" s="1"/>
  <c r="A300" i="56" s="1"/>
  <c r="A312" i="56" s="1"/>
  <c r="A324" i="56" s="1"/>
  <c r="A336" i="56" s="1"/>
  <c r="A348" i="56" s="1"/>
  <c r="A360" i="56" s="1"/>
  <c r="A372" i="56" s="1"/>
  <c r="A384" i="56" s="1"/>
  <c r="A396" i="56" s="1"/>
  <c r="A408" i="56" s="1"/>
  <c r="A420" i="56" s="1"/>
  <c r="A432" i="56" s="1"/>
  <c r="A444" i="56" s="1"/>
  <c r="A456" i="56" s="1"/>
  <c r="A468" i="56" s="1"/>
  <c r="A205" i="56"/>
  <c r="A217" i="56" s="1"/>
  <c r="A229" i="56" s="1"/>
  <c r="A241" i="56" s="1"/>
  <c r="A253" i="56" s="1"/>
  <c r="A265" i="56" s="1"/>
  <c r="A277" i="56" s="1"/>
  <c r="A289" i="56" s="1"/>
  <c r="A301" i="56" s="1"/>
  <c r="A313" i="56" s="1"/>
  <c r="A325" i="56" s="1"/>
  <c r="A337" i="56" s="1"/>
  <c r="A349" i="56" s="1"/>
  <c r="A361" i="56" s="1"/>
  <c r="A373" i="56" s="1"/>
  <c r="A385" i="56" s="1"/>
  <c r="A397" i="56" s="1"/>
  <c r="A409" i="56" s="1"/>
  <c r="A421" i="56" s="1"/>
  <c r="A433" i="56" s="1"/>
  <c r="A445" i="56" s="1"/>
  <c r="A457" i="56" s="1"/>
  <c r="A469" i="56" s="1"/>
  <c r="A206" i="56"/>
  <c r="A218" i="56" s="1"/>
  <c r="A230" i="56" s="1"/>
  <c r="A242" i="56" s="1"/>
  <c r="A254" i="56" s="1"/>
  <c r="A266" i="56" s="1"/>
  <c r="A278" i="56" s="1"/>
  <c r="A290" i="56" s="1"/>
  <c r="A302" i="56" s="1"/>
  <c r="A314" i="56" s="1"/>
  <c r="A326" i="56" s="1"/>
  <c r="A338" i="56" s="1"/>
  <c r="A350" i="56" s="1"/>
  <c r="A362" i="56" s="1"/>
  <c r="A374" i="56" s="1"/>
  <c r="A386" i="56" s="1"/>
  <c r="A398" i="56" s="1"/>
  <c r="A410" i="56" s="1"/>
  <c r="A422" i="56" s="1"/>
  <c r="A434" i="56" s="1"/>
  <c r="A446" i="56" s="1"/>
  <c r="A458" i="56" s="1"/>
  <c r="A470" i="56" s="1"/>
  <c r="A207" i="56"/>
  <c r="A219" i="56" s="1"/>
  <c r="A231" i="56" s="1"/>
  <c r="A243" i="56" s="1"/>
  <c r="A255" i="56" s="1"/>
  <c r="A267" i="56" s="1"/>
  <c r="A279" i="56" s="1"/>
  <c r="A291" i="56" s="1"/>
  <c r="A303" i="56" s="1"/>
  <c r="A315" i="56" s="1"/>
  <c r="A327" i="56" s="1"/>
  <c r="A339" i="56" s="1"/>
  <c r="A351" i="56" s="1"/>
  <c r="A363" i="56" s="1"/>
  <c r="A375" i="56" s="1"/>
  <c r="A387" i="56" s="1"/>
  <c r="A399" i="56" s="1"/>
  <c r="A411" i="56" s="1"/>
  <c r="A423" i="56" s="1"/>
  <c r="A435" i="56" s="1"/>
  <c r="A447" i="56" s="1"/>
  <c r="A459" i="56" s="1"/>
  <c r="A471" i="56" s="1"/>
  <c r="A208" i="56"/>
  <c r="A220" i="56" s="1"/>
  <c r="A232" i="56" s="1"/>
  <c r="A244" i="56" s="1"/>
  <c r="A256" i="56" s="1"/>
  <c r="A268" i="56" s="1"/>
  <c r="A280" i="56" s="1"/>
  <c r="A292" i="56" s="1"/>
  <c r="A304" i="56" s="1"/>
  <c r="A316" i="56" s="1"/>
  <c r="A328" i="56" s="1"/>
  <c r="A340" i="56" s="1"/>
  <c r="A352" i="56" s="1"/>
  <c r="A364" i="56" s="1"/>
  <c r="A376" i="56" s="1"/>
  <c r="A388" i="56" s="1"/>
  <c r="A400" i="56" s="1"/>
  <c r="A412" i="56" s="1"/>
  <c r="A424" i="56" s="1"/>
  <c r="A436" i="56" s="1"/>
  <c r="A448" i="56" s="1"/>
  <c r="A460" i="56" s="1"/>
  <c r="A472" i="56" s="1"/>
  <c r="A209" i="56"/>
  <c r="A221" i="56" s="1"/>
  <c r="A233" i="56" s="1"/>
  <c r="A245" i="56" s="1"/>
  <c r="A257" i="56" s="1"/>
  <c r="A269" i="56" s="1"/>
  <c r="A281" i="56" s="1"/>
  <c r="A293" i="56" s="1"/>
  <c r="A305" i="56" s="1"/>
  <c r="A317" i="56" s="1"/>
  <c r="A329" i="56" s="1"/>
  <c r="A341" i="56" s="1"/>
  <c r="A353" i="56" s="1"/>
  <c r="A365" i="56" s="1"/>
  <c r="A377" i="56" s="1"/>
  <c r="A389" i="56" s="1"/>
  <c r="A401" i="56" s="1"/>
  <c r="A413" i="56" s="1"/>
  <c r="A425" i="56" s="1"/>
  <c r="A437" i="56" s="1"/>
  <c r="A449" i="56" s="1"/>
  <c r="A461" i="56" s="1"/>
  <c r="A473" i="56" s="1"/>
  <c r="A210" i="56"/>
  <c r="A222" i="56" s="1"/>
  <c r="A234" i="56" s="1"/>
  <c r="A246" i="56" s="1"/>
  <c r="A258" i="56" s="1"/>
  <c r="A270" i="56" s="1"/>
  <c r="A282" i="56" s="1"/>
  <c r="A294" i="56" s="1"/>
  <c r="A306" i="56" s="1"/>
  <c r="A318" i="56" s="1"/>
  <c r="A330" i="56" s="1"/>
  <c r="A342" i="56" s="1"/>
  <c r="A354" i="56" s="1"/>
  <c r="A366" i="56" s="1"/>
  <c r="A378" i="56" s="1"/>
  <c r="A390" i="56" s="1"/>
  <c r="A402" i="56" s="1"/>
  <c r="A414" i="56" s="1"/>
  <c r="A426" i="56" s="1"/>
  <c r="A438" i="56" s="1"/>
  <c r="A450" i="56" s="1"/>
  <c r="A462" i="56" s="1"/>
  <c r="A474" i="56" s="1"/>
  <c r="A211" i="56"/>
  <c r="A223" i="56" s="1"/>
  <c r="A235" i="56" s="1"/>
  <c r="A247" i="56" s="1"/>
  <c r="A259" i="56" s="1"/>
  <c r="A271" i="56" s="1"/>
  <c r="A283" i="56" s="1"/>
  <c r="A295" i="56" s="1"/>
  <c r="A307" i="56" s="1"/>
  <c r="A319" i="56" s="1"/>
  <c r="A331" i="56" s="1"/>
  <c r="A343" i="56" s="1"/>
  <c r="A355" i="56" s="1"/>
  <c r="A367" i="56" s="1"/>
  <c r="A379" i="56" s="1"/>
  <c r="A391" i="56" s="1"/>
  <c r="A403" i="56" s="1"/>
  <c r="A415" i="56" s="1"/>
  <c r="A427" i="56" s="1"/>
  <c r="A439" i="56" s="1"/>
  <c r="A451" i="56" s="1"/>
  <c r="A463" i="56" s="1"/>
  <c r="A475" i="56" s="1"/>
  <c r="A212" i="56"/>
  <c r="A224" i="56" s="1"/>
  <c r="A236" i="56" s="1"/>
  <c r="A248" i="56" s="1"/>
  <c r="A260" i="56" s="1"/>
  <c r="A272" i="56" s="1"/>
  <c r="A284" i="56" s="1"/>
  <c r="A296" i="56" s="1"/>
  <c r="A308" i="56" s="1"/>
  <c r="A320" i="56" s="1"/>
  <c r="A332" i="56" s="1"/>
  <c r="A344" i="56" s="1"/>
  <c r="A356" i="56" s="1"/>
  <c r="A368" i="56" s="1"/>
  <c r="A380" i="56" s="1"/>
  <c r="A392" i="56" s="1"/>
  <c r="A404" i="56" s="1"/>
  <c r="A416" i="56" s="1"/>
  <c r="A428" i="56" s="1"/>
  <c r="A440" i="56" s="1"/>
  <c r="A452" i="56" s="1"/>
  <c r="A464" i="56" s="1"/>
  <c r="A476" i="56" s="1"/>
  <c r="A213" i="56"/>
  <c r="A225" i="56" s="1"/>
  <c r="A237" i="56" s="1"/>
  <c r="A249" i="56" s="1"/>
  <c r="A261" i="56" s="1"/>
  <c r="A273" i="56" s="1"/>
  <c r="A285" i="56" s="1"/>
  <c r="A297" i="56" s="1"/>
  <c r="A309" i="56" s="1"/>
  <c r="A321" i="56" s="1"/>
  <c r="A333" i="56" s="1"/>
  <c r="A345" i="56" s="1"/>
  <c r="A357" i="56" s="1"/>
  <c r="A369" i="56" s="1"/>
  <c r="A381" i="56" s="1"/>
  <c r="A393" i="56" s="1"/>
  <c r="A405" i="56" s="1"/>
  <c r="A417" i="56" s="1"/>
  <c r="A429" i="56" s="1"/>
  <c r="A441" i="56" s="1"/>
  <c r="A453" i="56" s="1"/>
  <c r="A465" i="56" s="1"/>
  <c r="A477" i="56" s="1"/>
  <c r="H7"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A202" i="11"/>
  <c r="A214" i="11" s="1"/>
  <c r="A226" i="11" s="1"/>
  <c r="A238" i="11" s="1"/>
  <c r="A250" i="11" s="1"/>
  <c r="A262" i="11" s="1"/>
  <c r="A274" i="11" s="1"/>
  <c r="A286" i="11" s="1"/>
  <c r="A298" i="11" s="1"/>
  <c r="A310" i="11" s="1"/>
  <c r="A322" i="11" s="1"/>
  <c r="A334" i="11" s="1"/>
  <c r="A346" i="11" s="1"/>
  <c r="A358" i="11" s="1"/>
  <c r="A370" i="11" s="1"/>
  <c r="A382" i="11" s="1"/>
  <c r="A394" i="11" s="1"/>
  <c r="A406" i="11" s="1"/>
  <c r="A418" i="11" s="1"/>
  <c r="A430" i="11" s="1"/>
  <c r="A442" i="11" s="1"/>
  <c r="A454" i="11" s="1"/>
  <c r="A466" i="11" s="1"/>
  <c r="H202" i="11"/>
  <c r="A203" i="11"/>
  <c r="A215" i="11" s="1"/>
  <c r="A227" i="11" s="1"/>
  <c r="A239" i="11" s="1"/>
  <c r="A251" i="11" s="1"/>
  <c r="A263" i="11" s="1"/>
  <c r="A275" i="11" s="1"/>
  <c r="A287" i="11" s="1"/>
  <c r="A299" i="11" s="1"/>
  <c r="A311" i="11" s="1"/>
  <c r="A323" i="11" s="1"/>
  <c r="A335" i="11" s="1"/>
  <c r="A347" i="11" s="1"/>
  <c r="A359" i="11" s="1"/>
  <c r="A371" i="11" s="1"/>
  <c r="A383" i="11" s="1"/>
  <c r="A395" i="11" s="1"/>
  <c r="A407" i="11" s="1"/>
  <c r="A419" i="11" s="1"/>
  <c r="A431" i="11" s="1"/>
  <c r="A443" i="11" s="1"/>
  <c r="A455" i="11" s="1"/>
  <c r="A467" i="11" s="1"/>
  <c r="H203" i="11"/>
  <c r="A204" i="11"/>
  <c r="A216" i="11" s="1"/>
  <c r="A228" i="11" s="1"/>
  <c r="A240" i="11" s="1"/>
  <c r="A252" i="11" s="1"/>
  <c r="A264" i="11" s="1"/>
  <c r="A276" i="11" s="1"/>
  <c r="A288" i="11" s="1"/>
  <c r="A300" i="11" s="1"/>
  <c r="A312" i="11" s="1"/>
  <c r="A324" i="11" s="1"/>
  <c r="A336" i="11" s="1"/>
  <c r="A348" i="11" s="1"/>
  <c r="A360" i="11" s="1"/>
  <c r="A372" i="11" s="1"/>
  <c r="A384" i="11" s="1"/>
  <c r="A396" i="11" s="1"/>
  <c r="A408" i="11" s="1"/>
  <c r="A420" i="11" s="1"/>
  <c r="A432" i="11" s="1"/>
  <c r="A444" i="11" s="1"/>
  <c r="A456" i="11" s="1"/>
  <c r="A468" i="11" s="1"/>
  <c r="H204" i="11"/>
  <c r="A205" i="11"/>
  <c r="A217" i="11" s="1"/>
  <c r="A229" i="11" s="1"/>
  <c r="A241" i="11" s="1"/>
  <c r="A253" i="11" s="1"/>
  <c r="A265" i="11" s="1"/>
  <c r="A277" i="11" s="1"/>
  <c r="A289" i="11" s="1"/>
  <c r="A301" i="11" s="1"/>
  <c r="A313" i="11" s="1"/>
  <c r="A325" i="11" s="1"/>
  <c r="A337" i="11" s="1"/>
  <c r="A349" i="11" s="1"/>
  <c r="A361" i="11" s="1"/>
  <c r="A373" i="11" s="1"/>
  <c r="A385" i="11" s="1"/>
  <c r="A397" i="11" s="1"/>
  <c r="A409" i="11" s="1"/>
  <c r="A421" i="11" s="1"/>
  <c r="A433" i="11" s="1"/>
  <c r="A445" i="11" s="1"/>
  <c r="A457" i="11" s="1"/>
  <c r="A469" i="11" s="1"/>
  <c r="H205" i="11"/>
  <c r="A206" i="11"/>
  <c r="A218" i="11" s="1"/>
  <c r="A230" i="11" s="1"/>
  <c r="A242" i="11" s="1"/>
  <c r="A254" i="11" s="1"/>
  <c r="A266" i="11" s="1"/>
  <c r="A278" i="11" s="1"/>
  <c r="A290" i="11" s="1"/>
  <c r="A302" i="11" s="1"/>
  <c r="A314" i="11" s="1"/>
  <c r="A326" i="11" s="1"/>
  <c r="A338" i="11" s="1"/>
  <c r="A350" i="11" s="1"/>
  <c r="A362" i="11" s="1"/>
  <c r="A374" i="11" s="1"/>
  <c r="A386" i="11" s="1"/>
  <c r="A398" i="11" s="1"/>
  <c r="A410" i="11" s="1"/>
  <c r="A422" i="11" s="1"/>
  <c r="A434" i="11" s="1"/>
  <c r="A446" i="11" s="1"/>
  <c r="A458" i="11" s="1"/>
  <c r="A470" i="11" s="1"/>
  <c r="H206" i="11"/>
  <c r="A207" i="11"/>
  <c r="A219" i="11" s="1"/>
  <c r="A231" i="11" s="1"/>
  <c r="A243" i="11" s="1"/>
  <c r="A255" i="11" s="1"/>
  <c r="A267" i="11" s="1"/>
  <c r="A279" i="11" s="1"/>
  <c r="A291" i="11" s="1"/>
  <c r="A303" i="11" s="1"/>
  <c r="A315" i="11" s="1"/>
  <c r="A327" i="11" s="1"/>
  <c r="A339" i="11" s="1"/>
  <c r="A351" i="11" s="1"/>
  <c r="A363" i="11" s="1"/>
  <c r="A375" i="11" s="1"/>
  <c r="A387" i="11" s="1"/>
  <c r="A399" i="11" s="1"/>
  <c r="A411" i="11" s="1"/>
  <c r="A423" i="11" s="1"/>
  <c r="A435" i="11" s="1"/>
  <c r="A447" i="11" s="1"/>
  <c r="A459" i="11" s="1"/>
  <c r="A471" i="11" s="1"/>
  <c r="H207" i="11"/>
  <c r="A208" i="11"/>
  <c r="A220" i="11" s="1"/>
  <c r="A232" i="11" s="1"/>
  <c r="A244" i="11" s="1"/>
  <c r="A256" i="11" s="1"/>
  <c r="A268" i="11" s="1"/>
  <c r="A280" i="11" s="1"/>
  <c r="A292" i="11" s="1"/>
  <c r="A304" i="11" s="1"/>
  <c r="A316" i="11" s="1"/>
  <c r="A328" i="11" s="1"/>
  <c r="A340" i="11" s="1"/>
  <c r="A352" i="11" s="1"/>
  <c r="A364" i="11" s="1"/>
  <c r="A376" i="11" s="1"/>
  <c r="A388" i="11" s="1"/>
  <c r="A400" i="11" s="1"/>
  <c r="A412" i="11" s="1"/>
  <c r="A424" i="11" s="1"/>
  <c r="A436" i="11" s="1"/>
  <c r="A448" i="11" s="1"/>
  <c r="A460" i="11" s="1"/>
  <c r="A472" i="11" s="1"/>
  <c r="H208" i="11"/>
  <c r="A209" i="11"/>
  <c r="A221" i="11" s="1"/>
  <c r="A233" i="11" s="1"/>
  <c r="A245" i="11" s="1"/>
  <c r="A257" i="11" s="1"/>
  <c r="A269" i="11" s="1"/>
  <c r="A281" i="11" s="1"/>
  <c r="A293" i="11" s="1"/>
  <c r="A305" i="11" s="1"/>
  <c r="A317" i="11" s="1"/>
  <c r="A329" i="11" s="1"/>
  <c r="A341" i="11" s="1"/>
  <c r="A353" i="11" s="1"/>
  <c r="A365" i="11" s="1"/>
  <c r="A377" i="11" s="1"/>
  <c r="A389" i="11" s="1"/>
  <c r="A401" i="11" s="1"/>
  <c r="A413" i="11" s="1"/>
  <c r="A425" i="11" s="1"/>
  <c r="A437" i="11" s="1"/>
  <c r="A449" i="11" s="1"/>
  <c r="A461" i="11" s="1"/>
  <c r="A473" i="11" s="1"/>
  <c r="H209" i="11"/>
  <c r="A210" i="11"/>
  <c r="A222" i="11" s="1"/>
  <c r="A234" i="11" s="1"/>
  <c r="A246" i="11" s="1"/>
  <c r="A258" i="11" s="1"/>
  <c r="A270" i="11" s="1"/>
  <c r="A282" i="11" s="1"/>
  <c r="A294" i="11" s="1"/>
  <c r="A306" i="11" s="1"/>
  <c r="A318" i="11" s="1"/>
  <c r="A330" i="11" s="1"/>
  <c r="A342" i="11" s="1"/>
  <c r="A354" i="11" s="1"/>
  <c r="A366" i="11" s="1"/>
  <c r="A378" i="11" s="1"/>
  <c r="A390" i="11" s="1"/>
  <c r="A402" i="11" s="1"/>
  <c r="A414" i="11" s="1"/>
  <c r="A426" i="11" s="1"/>
  <c r="A438" i="11" s="1"/>
  <c r="A450" i="11" s="1"/>
  <c r="A462" i="11" s="1"/>
  <c r="A474" i="11" s="1"/>
  <c r="H210" i="11"/>
  <c r="A211" i="11"/>
  <c r="A223" i="11" s="1"/>
  <c r="A235" i="11" s="1"/>
  <c r="A247" i="11" s="1"/>
  <c r="A259" i="11" s="1"/>
  <c r="A271" i="11" s="1"/>
  <c r="A283" i="11" s="1"/>
  <c r="A295" i="11" s="1"/>
  <c r="A307" i="11" s="1"/>
  <c r="A319" i="11" s="1"/>
  <c r="A331" i="11" s="1"/>
  <c r="A343" i="11" s="1"/>
  <c r="A355" i="11" s="1"/>
  <c r="A367" i="11" s="1"/>
  <c r="A379" i="11" s="1"/>
  <c r="A391" i="11" s="1"/>
  <c r="A403" i="11" s="1"/>
  <c r="A415" i="11" s="1"/>
  <c r="A427" i="11" s="1"/>
  <c r="A439" i="11" s="1"/>
  <c r="A451" i="11" s="1"/>
  <c r="A463" i="11" s="1"/>
  <c r="A475" i="11" s="1"/>
  <c r="H211" i="11"/>
  <c r="A212" i="11"/>
  <c r="A224" i="11" s="1"/>
  <c r="A236" i="11" s="1"/>
  <c r="A248" i="11" s="1"/>
  <c r="A260" i="11" s="1"/>
  <c r="A272" i="11" s="1"/>
  <c r="A284" i="11" s="1"/>
  <c r="A296" i="11" s="1"/>
  <c r="A308" i="11" s="1"/>
  <c r="A320" i="11" s="1"/>
  <c r="A332" i="11" s="1"/>
  <c r="A344" i="11" s="1"/>
  <c r="A356" i="11" s="1"/>
  <c r="A368" i="11" s="1"/>
  <c r="A380" i="11" s="1"/>
  <c r="H212" i="11"/>
  <c r="A213" i="11"/>
  <c r="A225" i="11" s="1"/>
  <c r="A237" i="11" s="1"/>
  <c r="A249" i="11" s="1"/>
  <c r="A261" i="11" s="1"/>
  <c r="A273" i="11" s="1"/>
  <c r="A285" i="11" s="1"/>
  <c r="A297" i="11" s="1"/>
  <c r="A309" i="11" s="1"/>
  <c r="A321" i="11" s="1"/>
  <c r="A333" i="11" s="1"/>
  <c r="A345" i="11" s="1"/>
  <c r="A357" i="11" s="1"/>
  <c r="A369" i="11" s="1"/>
  <c r="A381" i="11" s="1"/>
  <c r="A393" i="11" s="1"/>
  <c r="A405" i="11" s="1"/>
  <c r="A417" i="11" s="1"/>
  <c r="A429" i="11" s="1"/>
  <c r="A441" i="11" s="1"/>
  <c r="A453" i="11" s="1"/>
  <c r="A465" i="11" s="1"/>
  <c r="A477" i="11" s="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50" i="11"/>
  <c r="H251" i="11"/>
  <c r="H252" i="11"/>
  <c r="H253" i="11"/>
  <c r="H254" i="11"/>
  <c r="H255" i="11"/>
  <c r="H256" i="11"/>
  <c r="H257" i="11"/>
  <c r="H258" i="11"/>
  <c r="H259" i="11"/>
  <c r="H262" i="11"/>
  <c r="H263" i="11"/>
  <c r="H264" i="11"/>
  <c r="H265" i="11"/>
  <c r="H266" i="11"/>
  <c r="H267" i="11"/>
  <c r="H268" i="11"/>
  <c r="H269" i="11"/>
  <c r="H270" i="11"/>
  <c r="H271" i="11"/>
  <c r="H273" i="11"/>
  <c r="H274" i="11"/>
  <c r="H276" i="11"/>
  <c r="H277" i="11"/>
  <c r="H278" i="11"/>
  <c r="H279" i="11"/>
  <c r="H280" i="11"/>
  <c r="H281" i="11"/>
  <c r="H283" i="11"/>
  <c r="H284" i="11"/>
  <c r="H285" i="11"/>
  <c r="H286" i="11"/>
  <c r="H287" i="11"/>
  <c r="H288" i="11"/>
  <c r="H289" i="11"/>
  <c r="H290" i="11"/>
  <c r="H291" i="11"/>
  <c r="H292" i="11"/>
  <c r="H293" i="11"/>
  <c r="H294" i="11"/>
  <c r="H295" i="11"/>
  <c r="H296" i="11"/>
  <c r="A214" i="70"/>
  <c r="A226" i="70" s="1"/>
  <c r="A238" i="70" s="1"/>
  <c r="A250" i="70" s="1"/>
  <c r="A262" i="70" s="1"/>
  <c r="A274" i="70" s="1"/>
  <c r="A286" i="70" s="1"/>
  <c r="A298" i="70" s="1"/>
  <c r="A310" i="70" s="1"/>
  <c r="A322" i="70" s="1"/>
  <c r="A334" i="70" s="1"/>
  <c r="A346" i="70" s="1"/>
  <c r="A358" i="70" s="1"/>
  <c r="A370" i="70" s="1"/>
  <c r="A382" i="70" s="1"/>
  <c r="A394" i="70" s="1"/>
  <c r="A406" i="70" s="1"/>
  <c r="A418" i="70" s="1"/>
  <c r="A430" i="70" s="1"/>
  <c r="A442" i="70" s="1"/>
  <c r="A454" i="70" s="1"/>
  <c r="A466" i="70" s="1"/>
  <c r="A478" i="70" s="1"/>
  <c r="A215" i="70"/>
  <c r="A227" i="70" s="1"/>
  <c r="A239" i="70" s="1"/>
  <c r="A251" i="70" s="1"/>
  <c r="A263" i="70" s="1"/>
  <c r="A275" i="70" s="1"/>
  <c r="A287" i="70" s="1"/>
  <c r="A299" i="70" s="1"/>
  <c r="A311" i="70" s="1"/>
  <c r="A323" i="70" s="1"/>
  <c r="A335" i="70" s="1"/>
  <c r="A347" i="70" s="1"/>
  <c r="A359" i="70" s="1"/>
  <c r="A371" i="70" s="1"/>
  <c r="A383" i="70" s="1"/>
  <c r="A395" i="70" s="1"/>
  <c r="A407" i="70" s="1"/>
  <c r="A419" i="70" s="1"/>
  <c r="A431" i="70" s="1"/>
  <c r="A443" i="70" s="1"/>
  <c r="A455" i="70" s="1"/>
  <c r="A467" i="70" s="1"/>
  <c r="A479" i="70" s="1"/>
  <c r="A216" i="70"/>
  <c r="A228" i="70" s="1"/>
  <c r="A240" i="70" s="1"/>
  <c r="A252" i="70" s="1"/>
  <c r="A264" i="70" s="1"/>
  <c r="A276" i="70" s="1"/>
  <c r="A288" i="70" s="1"/>
  <c r="A300" i="70" s="1"/>
  <c r="A312" i="70" s="1"/>
  <c r="A324" i="70" s="1"/>
  <c r="A336" i="70" s="1"/>
  <c r="A348" i="70" s="1"/>
  <c r="A360" i="70" s="1"/>
  <c r="A372" i="70" s="1"/>
  <c r="A384" i="70" s="1"/>
  <c r="A396" i="70" s="1"/>
  <c r="A408" i="70" s="1"/>
  <c r="A420" i="70" s="1"/>
  <c r="A432" i="70" s="1"/>
  <c r="A444" i="70" s="1"/>
  <c r="A456" i="70" s="1"/>
  <c r="A468" i="70" s="1"/>
  <c r="A480" i="70" s="1"/>
  <c r="A217" i="70"/>
  <c r="A229" i="70" s="1"/>
  <c r="A241" i="70" s="1"/>
  <c r="A253" i="70" s="1"/>
  <c r="A265" i="70" s="1"/>
  <c r="A277" i="70" s="1"/>
  <c r="A289" i="70" s="1"/>
  <c r="A301" i="70" s="1"/>
  <c r="A313" i="70" s="1"/>
  <c r="A325" i="70" s="1"/>
  <c r="A337" i="70" s="1"/>
  <c r="A349" i="70" s="1"/>
  <c r="A361" i="70" s="1"/>
  <c r="A373" i="70" s="1"/>
  <c r="A385" i="70" s="1"/>
  <c r="A397" i="70" s="1"/>
  <c r="A409" i="70" s="1"/>
  <c r="A421" i="70" s="1"/>
  <c r="A433" i="70" s="1"/>
  <c r="A445" i="70" s="1"/>
  <c r="A457" i="70" s="1"/>
  <c r="A469" i="70" s="1"/>
  <c r="A481" i="70" s="1"/>
  <c r="A218" i="70"/>
  <c r="A230" i="70" s="1"/>
  <c r="A242" i="70" s="1"/>
  <c r="A254" i="70" s="1"/>
  <c r="A266" i="70" s="1"/>
  <c r="A278" i="70" s="1"/>
  <c r="A290" i="70" s="1"/>
  <c r="A302" i="70" s="1"/>
  <c r="A314" i="70" s="1"/>
  <c r="A326" i="70" s="1"/>
  <c r="A338" i="70" s="1"/>
  <c r="A350" i="70" s="1"/>
  <c r="A362" i="70" s="1"/>
  <c r="A374" i="70" s="1"/>
  <c r="A386" i="70" s="1"/>
  <c r="A398" i="70" s="1"/>
  <c r="A410" i="70" s="1"/>
  <c r="A422" i="70" s="1"/>
  <c r="A434" i="70" s="1"/>
  <c r="A446" i="70" s="1"/>
  <c r="A458" i="70" s="1"/>
  <c r="A470" i="70" s="1"/>
  <c r="A482" i="70" s="1"/>
  <c r="A219" i="70"/>
  <c r="A231" i="70" s="1"/>
  <c r="A243" i="70" s="1"/>
  <c r="A255" i="70" s="1"/>
  <c r="A267" i="70" s="1"/>
  <c r="A279" i="70" s="1"/>
  <c r="A291" i="70" s="1"/>
  <c r="A303" i="70" s="1"/>
  <c r="A315" i="70" s="1"/>
  <c r="A327" i="70" s="1"/>
  <c r="A339" i="70" s="1"/>
  <c r="A351" i="70" s="1"/>
  <c r="A363" i="70" s="1"/>
  <c r="A375" i="70" s="1"/>
  <c r="A387" i="70" s="1"/>
  <c r="A399" i="70" s="1"/>
  <c r="A411" i="70" s="1"/>
  <c r="A423" i="70" s="1"/>
  <c r="A435" i="70" s="1"/>
  <c r="A447" i="70" s="1"/>
  <c r="A459" i="70" s="1"/>
  <c r="A471" i="70" s="1"/>
  <c r="A483" i="70" s="1"/>
  <c r="A220" i="70"/>
  <c r="A232" i="70" s="1"/>
  <c r="A244" i="70" s="1"/>
  <c r="A256" i="70" s="1"/>
  <c r="A268" i="70" s="1"/>
  <c r="A280" i="70" s="1"/>
  <c r="A292" i="70" s="1"/>
  <c r="A304" i="70" s="1"/>
  <c r="A316" i="70" s="1"/>
  <c r="A328" i="70" s="1"/>
  <c r="A340" i="70" s="1"/>
  <c r="A352" i="70" s="1"/>
  <c r="A364" i="70" s="1"/>
  <c r="A376" i="70" s="1"/>
  <c r="A388" i="70" s="1"/>
  <c r="A400" i="70" s="1"/>
  <c r="A412" i="70" s="1"/>
  <c r="A424" i="70" s="1"/>
  <c r="A436" i="70" s="1"/>
  <c r="A448" i="70" s="1"/>
  <c r="A460" i="70" s="1"/>
  <c r="A472" i="70" s="1"/>
  <c r="A484" i="70" s="1"/>
  <c r="A221" i="70"/>
  <c r="A233" i="70" s="1"/>
  <c r="A245" i="70" s="1"/>
  <c r="A257" i="70" s="1"/>
  <c r="A269" i="70" s="1"/>
  <c r="A281" i="70" s="1"/>
  <c r="A293" i="70" s="1"/>
  <c r="A305" i="70" s="1"/>
  <c r="A317" i="70" s="1"/>
  <c r="A329" i="70" s="1"/>
  <c r="A341" i="70" s="1"/>
  <c r="A353" i="70" s="1"/>
  <c r="A365" i="70" s="1"/>
  <c r="A377" i="70" s="1"/>
  <c r="A389" i="70" s="1"/>
  <c r="A401" i="70" s="1"/>
  <c r="A413" i="70" s="1"/>
  <c r="A425" i="70" s="1"/>
  <c r="A437" i="70" s="1"/>
  <c r="A449" i="70" s="1"/>
  <c r="A461" i="70" s="1"/>
  <c r="A473" i="70" s="1"/>
  <c r="A485" i="70" s="1"/>
  <c r="A222" i="70"/>
  <c r="A234" i="70" s="1"/>
  <c r="A246" i="70" s="1"/>
  <c r="A258" i="70" s="1"/>
  <c r="A270" i="70" s="1"/>
  <c r="A282" i="70" s="1"/>
  <c r="A294" i="70" s="1"/>
  <c r="A306" i="70" s="1"/>
  <c r="A318" i="70" s="1"/>
  <c r="A330" i="70" s="1"/>
  <c r="A342" i="70" s="1"/>
  <c r="A354" i="70" s="1"/>
  <c r="A366" i="70" s="1"/>
  <c r="A378" i="70" s="1"/>
  <c r="A390" i="70" s="1"/>
  <c r="A402" i="70" s="1"/>
  <c r="A414" i="70" s="1"/>
  <c r="A426" i="70" s="1"/>
  <c r="A438" i="70" s="1"/>
  <c r="A450" i="70" s="1"/>
  <c r="A462" i="70" s="1"/>
  <c r="A474" i="70" s="1"/>
  <c r="A486" i="70" s="1"/>
  <c r="A223" i="70"/>
  <c r="A235" i="70" s="1"/>
  <c r="A247" i="70" s="1"/>
  <c r="A259" i="70" s="1"/>
  <c r="A271" i="70" s="1"/>
  <c r="A283" i="70" s="1"/>
  <c r="A295" i="70" s="1"/>
  <c r="A307" i="70" s="1"/>
  <c r="A319" i="70" s="1"/>
  <c r="A331" i="70" s="1"/>
  <c r="A343" i="70" s="1"/>
  <c r="A355" i="70" s="1"/>
  <c r="A367" i="70" s="1"/>
  <c r="A379" i="70" s="1"/>
  <c r="A391" i="70" s="1"/>
  <c r="A403" i="70" s="1"/>
  <c r="A415" i="70" s="1"/>
  <c r="A427" i="70" s="1"/>
  <c r="A439" i="70" s="1"/>
  <c r="A451" i="70" s="1"/>
  <c r="A463" i="70" s="1"/>
  <c r="A475" i="70" s="1"/>
  <c r="A487" i="70" s="1"/>
  <c r="A224" i="70"/>
  <c r="A236" i="70" s="1"/>
  <c r="A248" i="70" s="1"/>
  <c r="A260" i="70" s="1"/>
  <c r="A272" i="70" s="1"/>
  <c r="A284" i="70" s="1"/>
  <c r="A296" i="70" s="1"/>
  <c r="A308" i="70" s="1"/>
  <c r="A320" i="70" s="1"/>
  <c r="A332" i="70" s="1"/>
  <c r="A344" i="70" s="1"/>
  <c r="A356" i="70" s="1"/>
  <c r="A368" i="70" s="1"/>
  <c r="A380" i="70" s="1"/>
  <c r="A392" i="70" s="1"/>
  <c r="A404" i="70" s="1"/>
  <c r="A416" i="70" s="1"/>
  <c r="A428" i="70" s="1"/>
  <c r="A440" i="70" s="1"/>
  <c r="A452" i="70" s="1"/>
  <c r="A464" i="70" s="1"/>
  <c r="A476" i="70" s="1"/>
  <c r="A488" i="70" s="1"/>
  <c r="A225" i="70"/>
  <c r="A237" i="70" s="1"/>
  <c r="A249" i="70" s="1"/>
  <c r="A261" i="70" s="1"/>
  <c r="A273" i="70" s="1"/>
  <c r="A285" i="70" s="1"/>
  <c r="A297" i="70" s="1"/>
  <c r="A309" i="70" s="1"/>
  <c r="A321" i="70" s="1"/>
  <c r="A333" i="70" s="1"/>
  <c r="A345" i="70" s="1"/>
  <c r="A357" i="70" s="1"/>
  <c r="A369" i="70" s="1"/>
  <c r="A381" i="70" s="1"/>
  <c r="A393" i="70" s="1"/>
  <c r="A405" i="70" s="1"/>
  <c r="A417" i="70" s="1"/>
  <c r="A429" i="70" s="1"/>
  <c r="A441" i="70" s="1"/>
  <c r="A453" i="70" s="1"/>
  <c r="A465" i="70" s="1"/>
  <c r="A477" i="70" s="1"/>
  <c r="A489" i="70" s="1"/>
  <c r="A11" i="38"/>
  <c r="A12" i="38" s="1"/>
  <c r="A24" i="38" s="1"/>
  <c r="A36" i="38" s="1"/>
  <c r="A48" i="38" s="1"/>
  <c r="A60" i="38" s="1"/>
  <c r="A72" i="38" s="1"/>
  <c r="A84" i="38" s="1"/>
  <c r="A96" i="38" s="1"/>
  <c r="A108" i="38" s="1"/>
  <c r="A120" i="38" s="1"/>
  <c r="A132" i="38" s="1"/>
  <c r="A144" i="38" s="1"/>
  <c r="A156" i="38" s="1"/>
  <c r="A168" i="38" s="1"/>
  <c r="A180" i="38" s="1"/>
  <c r="A192" i="38" s="1"/>
  <c r="A204" i="38" s="1"/>
  <c r="A22" i="38"/>
  <c r="A34" i="38" s="1"/>
  <c r="A46" i="38" s="1"/>
  <c r="A58" i="38" s="1"/>
  <c r="A70" i="38" s="1"/>
  <c r="A82" i="38" s="1"/>
  <c r="A94" i="38" s="1"/>
  <c r="A106" i="38" s="1"/>
  <c r="A118" i="38" s="1"/>
  <c r="A130" i="38" s="1"/>
  <c r="A142" i="38" s="1"/>
  <c r="A154" i="38" s="1"/>
  <c r="A166" i="38" s="1"/>
  <c r="A178" i="38" s="1"/>
  <c r="A190" i="38" s="1"/>
  <c r="A202" i="38" s="1"/>
  <c r="A178" i="4"/>
  <c r="A190" i="4" s="1"/>
  <c r="A202" i="4" s="1"/>
  <c r="A214" i="4" s="1"/>
  <c r="A226" i="4" s="1"/>
  <c r="A238" i="4" s="1"/>
  <c r="A250" i="4" s="1"/>
  <c r="A262" i="4" s="1"/>
  <c r="A274" i="4" s="1"/>
  <c r="A286" i="4" s="1"/>
  <c r="A298" i="4" s="1"/>
  <c r="A310" i="4" s="1"/>
  <c r="A322" i="4" s="1"/>
  <c r="A334" i="4" s="1"/>
  <c r="A346" i="4" s="1"/>
  <c r="A358" i="4" s="1"/>
  <c r="A370" i="4" s="1"/>
  <c r="A382" i="4" s="1"/>
  <c r="A394" i="4" s="1"/>
  <c r="A406" i="4" s="1"/>
  <c r="A418" i="4" s="1"/>
  <c r="A430" i="4" s="1"/>
  <c r="A442" i="4" s="1"/>
  <c r="A179" i="4"/>
  <c r="A191" i="4" s="1"/>
  <c r="A203" i="4" s="1"/>
  <c r="A215" i="4" s="1"/>
  <c r="A227" i="4" s="1"/>
  <c r="A239" i="4" s="1"/>
  <c r="A251" i="4" s="1"/>
  <c r="A263" i="4" s="1"/>
  <c r="A275" i="4" s="1"/>
  <c r="A287" i="4" s="1"/>
  <c r="A299" i="4" s="1"/>
  <c r="A311" i="4" s="1"/>
  <c r="A323" i="4" s="1"/>
  <c r="A335" i="4" s="1"/>
  <c r="A347" i="4" s="1"/>
  <c r="A359" i="4" s="1"/>
  <c r="A371" i="4" s="1"/>
  <c r="A383" i="4" s="1"/>
  <c r="A395" i="4" s="1"/>
  <c r="A407" i="4" s="1"/>
  <c r="A419" i="4" s="1"/>
  <c r="A431" i="4" s="1"/>
  <c r="A443" i="4" s="1"/>
  <c r="A180" i="4"/>
  <c r="A192" i="4" s="1"/>
  <c r="A204" i="4" s="1"/>
  <c r="A216" i="4" s="1"/>
  <c r="A228" i="4" s="1"/>
  <c r="A240" i="4" s="1"/>
  <c r="A252" i="4" s="1"/>
  <c r="A264" i="4" s="1"/>
  <c r="A276" i="4" s="1"/>
  <c r="A288" i="4" s="1"/>
  <c r="A300" i="4" s="1"/>
  <c r="A312" i="4" s="1"/>
  <c r="A324" i="4" s="1"/>
  <c r="A336" i="4" s="1"/>
  <c r="A348" i="4" s="1"/>
  <c r="A360" i="4" s="1"/>
  <c r="A372" i="4" s="1"/>
  <c r="A384" i="4" s="1"/>
  <c r="A396" i="4" s="1"/>
  <c r="A408" i="4" s="1"/>
  <c r="A420" i="4" s="1"/>
  <c r="A432" i="4" s="1"/>
  <c r="A444" i="4" s="1"/>
  <c r="A181" i="4"/>
  <c r="A193" i="4" s="1"/>
  <c r="A205" i="4" s="1"/>
  <c r="A217" i="4" s="1"/>
  <c r="A229" i="4" s="1"/>
  <c r="A241" i="4" s="1"/>
  <c r="A253" i="4" s="1"/>
  <c r="A265" i="4" s="1"/>
  <c r="A277" i="4" s="1"/>
  <c r="A289" i="4" s="1"/>
  <c r="A301" i="4" s="1"/>
  <c r="A313" i="4" s="1"/>
  <c r="A325" i="4" s="1"/>
  <c r="A337" i="4" s="1"/>
  <c r="A349" i="4" s="1"/>
  <c r="A361" i="4" s="1"/>
  <c r="A373" i="4" s="1"/>
  <c r="A385" i="4" s="1"/>
  <c r="A397" i="4" s="1"/>
  <c r="A409" i="4" s="1"/>
  <c r="A421" i="4" s="1"/>
  <c r="A433" i="4" s="1"/>
  <c r="A445" i="4" s="1"/>
  <c r="A182" i="4"/>
  <c r="A194" i="4" s="1"/>
  <c r="A206" i="4" s="1"/>
  <c r="A218" i="4" s="1"/>
  <c r="A230" i="4" s="1"/>
  <c r="A242" i="4" s="1"/>
  <c r="A254" i="4" s="1"/>
  <c r="A266" i="4" s="1"/>
  <c r="A278" i="4" s="1"/>
  <c r="A290" i="4" s="1"/>
  <c r="A302" i="4" s="1"/>
  <c r="A314" i="4" s="1"/>
  <c r="A326" i="4" s="1"/>
  <c r="A338" i="4" s="1"/>
  <c r="A350" i="4" s="1"/>
  <c r="A362" i="4" s="1"/>
  <c r="A374" i="4" s="1"/>
  <c r="A386" i="4" s="1"/>
  <c r="A398" i="4" s="1"/>
  <c r="A410" i="4" s="1"/>
  <c r="A422" i="4" s="1"/>
  <c r="A434" i="4" s="1"/>
  <c r="A446" i="4" s="1"/>
  <c r="A183" i="4"/>
  <c r="A195" i="4" s="1"/>
  <c r="A207" i="4" s="1"/>
  <c r="A219" i="4" s="1"/>
  <c r="A231" i="4" s="1"/>
  <c r="A243" i="4" s="1"/>
  <c r="A255" i="4" s="1"/>
  <c r="A267" i="4" s="1"/>
  <c r="A279" i="4" s="1"/>
  <c r="A291" i="4" s="1"/>
  <c r="A303" i="4" s="1"/>
  <c r="A315" i="4" s="1"/>
  <c r="A327" i="4" s="1"/>
  <c r="A339" i="4" s="1"/>
  <c r="A351" i="4" s="1"/>
  <c r="A363" i="4" s="1"/>
  <c r="A375" i="4" s="1"/>
  <c r="A387" i="4" s="1"/>
  <c r="A399" i="4" s="1"/>
  <c r="A411" i="4" s="1"/>
  <c r="A423" i="4" s="1"/>
  <c r="A435" i="4" s="1"/>
  <c r="A447" i="4" s="1"/>
  <c r="A184" i="4"/>
  <c r="A196" i="4" s="1"/>
  <c r="A208" i="4" s="1"/>
  <c r="A220" i="4" s="1"/>
  <c r="A232" i="4" s="1"/>
  <c r="A244" i="4" s="1"/>
  <c r="A256" i="4" s="1"/>
  <c r="A268" i="4" s="1"/>
  <c r="A280" i="4" s="1"/>
  <c r="A292" i="4" s="1"/>
  <c r="A304" i="4" s="1"/>
  <c r="A316" i="4" s="1"/>
  <c r="A328" i="4" s="1"/>
  <c r="A340" i="4" s="1"/>
  <c r="A352" i="4" s="1"/>
  <c r="A364" i="4" s="1"/>
  <c r="A376" i="4" s="1"/>
  <c r="A388" i="4" s="1"/>
  <c r="A400" i="4" s="1"/>
  <c r="A412" i="4" s="1"/>
  <c r="A424" i="4" s="1"/>
  <c r="A436" i="4" s="1"/>
  <c r="A448" i="4" s="1"/>
  <c r="A185" i="4"/>
  <c r="A197" i="4" s="1"/>
  <c r="A209" i="4" s="1"/>
  <c r="A221" i="4" s="1"/>
  <c r="A233" i="4" s="1"/>
  <c r="A245" i="4" s="1"/>
  <c r="A257" i="4" s="1"/>
  <c r="A269" i="4" s="1"/>
  <c r="A281" i="4" s="1"/>
  <c r="A293" i="4" s="1"/>
  <c r="A305" i="4" s="1"/>
  <c r="A317" i="4" s="1"/>
  <c r="A329" i="4" s="1"/>
  <c r="A341" i="4" s="1"/>
  <c r="A353" i="4" s="1"/>
  <c r="A365" i="4" s="1"/>
  <c r="A377" i="4" s="1"/>
  <c r="A389" i="4" s="1"/>
  <c r="A401" i="4" s="1"/>
  <c r="A413" i="4" s="1"/>
  <c r="A425" i="4" s="1"/>
  <c r="A437" i="4" s="1"/>
  <c r="A449" i="4" s="1"/>
  <c r="A186" i="4"/>
  <c r="A198" i="4" s="1"/>
  <c r="A210" i="4" s="1"/>
  <c r="A222" i="4" s="1"/>
  <c r="A234" i="4" s="1"/>
  <c r="A246" i="4" s="1"/>
  <c r="A258" i="4" s="1"/>
  <c r="A270" i="4" s="1"/>
  <c r="A282" i="4" s="1"/>
  <c r="A294" i="4" s="1"/>
  <c r="A306" i="4" s="1"/>
  <c r="A318" i="4" s="1"/>
  <c r="A330" i="4" s="1"/>
  <c r="A342" i="4" s="1"/>
  <c r="A354" i="4" s="1"/>
  <c r="A366" i="4" s="1"/>
  <c r="A378" i="4" s="1"/>
  <c r="A390" i="4" s="1"/>
  <c r="A402" i="4" s="1"/>
  <c r="A414" i="4" s="1"/>
  <c r="A426" i="4" s="1"/>
  <c r="A438" i="4" s="1"/>
  <c r="A450" i="4" s="1"/>
  <c r="A187" i="4"/>
  <c r="A199" i="4" s="1"/>
  <c r="A211" i="4" s="1"/>
  <c r="A223" i="4" s="1"/>
  <c r="A235" i="4" s="1"/>
  <c r="A247" i="4" s="1"/>
  <c r="A259" i="4" s="1"/>
  <c r="A271" i="4" s="1"/>
  <c r="A283" i="4" s="1"/>
  <c r="A295" i="4" s="1"/>
  <c r="A307" i="4" s="1"/>
  <c r="A319" i="4" s="1"/>
  <c r="A331" i="4" s="1"/>
  <c r="A343" i="4" s="1"/>
  <c r="A355" i="4" s="1"/>
  <c r="A367" i="4" s="1"/>
  <c r="A379" i="4" s="1"/>
  <c r="A391" i="4" s="1"/>
  <c r="A403" i="4" s="1"/>
  <c r="A415" i="4" s="1"/>
  <c r="A427" i="4" s="1"/>
  <c r="A439" i="4" s="1"/>
  <c r="A451" i="4" s="1"/>
  <c r="A188" i="4"/>
  <c r="A200" i="4" s="1"/>
  <c r="A212" i="4" s="1"/>
  <c r="A224" i="4" s="1"/>
  <c r="A236" i="4" s="1"/>
  <c r="A248" i="4" s="1"/>
  <c r="A260" i="4" s="1"/>
  <c r="A272" i="4" s="1"/>
  <c r="A284" i="4" s="1"/>
  <c r="A296" i="4" s="1"/>
  <c r="A308" i="4" s="1"/>
  <c r="A320" i="4" s="1"/>
  <c r="A332" i="4" s="1"/>
  <c r="A344" i="4" s="1"/>
  <c r="A356" i="4" s="1"/>
  <c r="A368" i="4" s="1"/>
  <c r="A380" i="4" s="1"/>
  <c r="A392" i="4" s="1"/>
  <c r="A404" i="4" s="1"/>
  <c r="A416" i="4" s="1"/>
  <c r="A428" i="4" s="1"/>
  <c r="A440" i="4" s="1"/>
  <c r="A452" i="4" s="1"/>
  <c r="A189" i="4"/>
  <c r="A201" i="4" s="1"/>
  <c r="A213" i="4" s="1"/>
  <c r="A225" i="4" s="1"/>
  <c r="A237" i="4" s="1"/>
  <c r="A249" i="4" s="1"/>
  <c r="A261" i="4" s="1"/>
  <c r="A273" i="4" s="1"/>
  <c r="A285" i="4" s="1"/>
  <c r="A297" i="4" s="1"/>
  <c r="A309" i="4" s="1"/>
  <c r="A321" i="4" s="1"/>
  <c r="A333" i="4" s="1"/>
  <c r="A345" i="4" s="1"/>
  <c r="A357" i="4" s="1"/>
  <c r="A369" i="4" s="1"/>
  <c r="A381" i="4" s="1"/>
  <c r="A393" i="4" s="1"/>
  <c r="A405" i="4" s="1"/>
  <c r="A417" i="4" s="1"/>
  <c r="A429" i="4" s="1"/>
  <c r="A441" i="4" s="1"/>
  <c r="A453" i="4" s="1"/>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A190" i="17"/>
  <c r="A202" i="17" s="1"/>
  <c r="A214" i="17" s="1"/>
  <c r="A226" i="17" s="1"/>
  <c r="A238" i="17" s="1"/>
  <c r="A250" i="17" s="1"/>
  <c r="A262" i="17" s="1"/>
  <c r="A274" i="17" s="1"/>
  <c r="A286" i="17" s="1"/>
  <c r="A298" i="17" s="1"/>
  <c r="A310" i="17" s="1"/>
  <c r="A322" i="17" s="1"/>
  <c r="A334" i="17" s="1"/>
  <c r="A346" i="17" s="1"/>
  <c r="A370" i="17" s="1"/>
  <c r="A382" i="17" s="1"/>
  <c r="A394" i="17" s="1"/>
  <c r="A406" i="17" s="1"/>
  <c r="A418" i="17" s="1"/>
  <c r="A430" i="17" s="1"/>
  <c r="A442" i="17" s="1"/>
  <c r="A454" i="17" s="1"/>
  <c r="H190" i="17"/>
  <c r="A191" i="17"/>
  <c r="A203" i="17" s="1"/>
  <c r="A215" i="17" s="1"/>
  <c r="A227" i="17" s="1"/>
  <c r="A239" i="17" s="1"/>
  <c r="A251" i="17" s="1"/>
  <c r="A263" i="17" s="1"/>
  <c r="A275" i="17" s="1"/>
  <c r="A287" i="17" s="1"/>
  <c r="A299" i="17" s="1"/>
  <c r="A311" i="17" s="1"/>
  <c r="A323" i="17" s="1"/>
  <c r="A335" i="17" s="1"/>
  <c r="A347" i="17" s="1"/>
  <c r="A371" i="17" s="1"/>
  <c r="A383" i="17" s="1"/>
  <c r="A395" i="17" s="1"/>
  <c r="A407" i="17" s="1"/>
  <c r="A419" i="17" s="1"/>
  <c r="A431" i="17" s="1"/>
  <c r="A443" i="17" s="1"/>
  <c r="A455" i="17" s="1"/>
  <c r="H191" i="17"/>
  <c r="A192" i="17"/>
  <c r="A204" i="17" s="1"/>
  <c r="A216" i="17" s="1"/>
  <c r="A228" i="17" s="1"/>
  <c r="A240" i="17" s="1"/>
  <c r="A252" i="17" s="1"/>
  <c r="A264" i="17" s="1"/>
  <c r="A276" i="17" s="1"/>
  <c r="A288" i="17" s="1"/>
  <c r="A300" i="17" s="1"/>
  <c r="A312" i="17" s="1"/>
  <c r="A324" i="17" s="1"/>
  <c r="A336" i="17" s="1"/>
  <c r="A348" i="17" s="1"/>
  <c r="A372" i="17" s="1"/>
  <c r="A384" i="17" s="1"/>
  <c r="A396" i="17" s="1"/>
  <c r="A408" i="17" s="1"/>
  <c r="A420" i="17" s="1"/>
  <c r="A432" i="17" s="1"/>
  <c r="A444" i="17" s="1"/>
  <c r="A456" i="17" s="1"/>
  <c r="H192" i="17"/>
  <c r="A193" i="17"/>
  <c r="A205" i="17" s="1"/>
  <c r="A217" i="17" s="1"/>
  <c r="A229" i="17" s="1"/>
  <c r="A241" i="17" s="1"/>
  <c r="A253" i="17" s="1"/>
  <c r="A265" i="17" s="1"/>
  <c r="A277" i="17" s="1"/>
  <c r="A289" i="17" s="1"/>
  <c r="A301" i="17" s="1"/>
  <c r="A313" i="17" s="1"/>
  <c r="A325" i="17" s="1"/>
  <c r="A337" i="17" s="1"/>
  <c r="A349" i="17" s="1"/>
  <c r="A373" i="17" s="1"/>
  <c r="A385" i="17" s="1"/>
  <c r="A397" i="17" s="1"/>
  <c r="A409" i="17" s="1"/>
  <c r="A421" i="17" s="1"/>
  <c r="A433" i="17" s="1"/>
  <c r="A445" i="17" s="1"/>
  <c r="A457" i="17" s="1"/>
  <c r="H193" i="17"/>
  <c r="A194" i="17"/>
  <c r="A206" i="17" s="1"/>
  <c r="A218" i="17" s="1"/>
  <c r="A230" i="17" s="1"/>
  <c r="A242" i="17" s="1"/>
  <c r="A254" i="17" s="1"/>
  <c r="A266" i="17" s="1"/>
  <c r="A278" i="17" s="1"/>
  <c r="A290" i="17" s="1"/>
  <c r="A302" i="17" s="1"/>
  <c r="A314" i="17" s="1"/>
  <c r="A326" i="17" s="1"/>
  <c r="A338" i="17" s="1"/>
  <c r="A374" i="17" s="1"/>
  <c r="A386" i="17" s="1"/>
  <c r="A398" i="17" s="1"/>
  <c r="A410" i="17" s="1"/>
  <c r="A422" i="17" s="1"/>
  <c r="A434" i="17" s="1"/>
  <c r="A446" i="17" s="1"/>
  <c r="A458" i="17" s="1"/>
  <c r="H194" i="17"/>
  <c r="A195" i="17"/>
  <c r="A207" i="17" s="1"/>
  <c r="A219" i="17" s="1"/>
  <c r="A231" i="17" s="1"/>
  <c r="A243" i="17" s="1"/>
  <c r="A255" i="17" s="1"/>
  <c r="A267" i="17" s="1"/>
  <c r="A279" i="17" s="1"/>
  <c r="A291" i="17" s="1"/>
  <c r="A303" i="17" s="1"/>
  <c r="A315" i="17" s="1"/>
  <c r="A327" i="17" s="1"/>
  <c r="A339" i="17" s="1"/>
  <c r="A375" i="17" s="1"/>
  <c r="A387" i="17" s="1"/>
  <c r="A399" i="17" s="1"/>
  <c r="A411" i="17" s="1"/>
  <c r="A423" i="17" s="1"/>
  <c r="A435" i="17" s="1"/>
  <c r="A447" i="17" s="1"/>
  <c r="A459" i="17" s="1"/>
  <c r="H195" i="17"/>
  <c r="A196" i="17"/>
  <c r="A208" i="17" s="1"/>
  <c r="A220" i="17" s="1"/>
  <c r="A232" i="17" s="1"/>
  <c r="A244" i="17" s="1"/>
  <c r="A256" i="17" s="1"/>
  <c r="A268" i="17" s="1"/>
  <c r="A280" i="17" s="1"/>
  <c r="A292" i="17" s="1"/>
  <c r="A304" i="17" s="1"/>
  <c r="A316" i="17" s="1"/>
  <c r="A328" i="17" s="1"/>
  <c r="A340" i="17" s="1"/>
  <c r="A376" i="17" s="1"/>
  <c r="A388" i="17" s="1"/>
  <c r="A400" i="17" s="1"/>
  <c r="A412" i="17" s="1"/>
  <c r="A424" i="17" s="1"/>
  <c r="A436" i="17" s="1"/>
  <c r="A448" i="17" s="1"/>
  <c r="A460" i="17" s="1"/>
  <c r="H196" i="17"/>
  <c r="A197" i="17"/>
  <c r="A209" i="17" s="1"/>
  <c r="A221" i="17" s="1"/>
  <c r="A233" i="17" s="1"/>
  <c r="A245" i="17" s="1"/>
  <c r="A257" i="17" s="1"/>
  <c r="A269" i="17" s="1"/>
  <c r="A281" i="17" s="1"/>
  <c r="A293" i="17" s="1"/>
  <c r="A305" i="17" s="1"/>
  <c r="A317" i="17" s="1"/>
  <c r="A329" i="17" s="1"/>
  <c r="A341" i="17" s="1"/>
  <c r="A365" i="17" s="1"/>
  <c r="A377" i="17" s="1"/>
  <c r="A389" i="17" s="1"/>
  <c r="A401" i="17" s="1"/>
  <c r="A413" i="17" s="1"/>
  <c r="A425" i="17" s="1"/>
  <c r="A437" i="17" s="1"/>
  <c r="A449" i="17" s="1"/>
  <c r="A461" i="17" s="1"/>
  <c r="H197" i="17"/>
  <c r="A198" i="17"/>
  <c r="A210" i="17" s="1"/>
  <c r="A222" i="17" s="1"/>
  <c r="A234" i="17" s="1"/>
  <c r="A246" i="17" s="1"/>
  <c r="A258" i="17" s="1"/>
  <c r="A270" i="17" s="1"/>
  <c r="A282" i="17" s="1"/>
  <c r="A294" i="17" s="1"/>
  <c r="A306" i="17" s="1"/>
  <c r="A318" i="17" s="1"/>
  <c r="A330" i="17" s="1"/>
  <c r="A342" i="17" s="1"/>
  <c r="A366" i="17" s="1"/>
  <c r="A378" i="17" s="1"/>
  <c r="A390" i="17" s="1"/>
  <c r="A402" i="17" s="1"/>
  <c r="A414" i="17" s="1"/>
  <c r="A426" i="17" s="1"/>
  <c r="A438" i="17" s="1"/>
  <c r="A450" i="17" s="1"/>
  <c r="A462" i="17" s="1"/>
  <c r="H198" i="17"/>
  <c r="A199" i="17"/>
  <c r="A211" i="17" s="1"/>
  <c r="A223" i="17" s="1"/>
  <c r="A235" i="17" s="1"/>
  <c r="A247" i="17" s="1"/>
  <c r="A259" i="17" s="1"/>
  <c r="A271" i="17" s="1"/>
  <c r="A283" i="17" s="1"/>
  <c r="A295" i="17" s="1"/>
  <c r="A307" i="17" s="1"/>
  <c r="A319" i="17" s="1"/>
  <c r="A331" i="17" s="1"/>
  <c r="A343" i="17" s="1"/>
  <c r="A367" i="17" s="1"/>
  <c r="A379" i="17" s="1"/>
  <c r="A391" i="17" s="1"/>
  <c r="A403" i="17" s="1"/>
  <c r="A415" i="17" s="1"/>
  <c r="A427" i="17" s="1"/>
  <c r="A439" i="17" s="1"/>
  <c r="A451" i="17" s="1"/>
  <c r="A463" i="17" s="1"/>
  <c r="H199" i="17"/>
  <c r="A200" i="17"/>
  <c r="A212" i="17" s="1"/>
  <c r="A224" i="17" s="1"/>
  <c r="A236" i="17" s="1"/>
  <c r="A248" i="17" s="1"/>
  <c r="A260" i="17" s="1"/>
  <c r="A272" i="17" s="1"/>
  <c r="A284" i="17" s="1"/>
  <c r="A296" i="17" s="1"/>
  <c r="A308" i="17" s="1"/>
  <c r="A320" i="17" s="1"/>
  <c r="A332" i="17" s="1"/>
  <c r="A344" i="17" s="1"/>
  <c r="A368" i="17" s="1"/>
  <c r="A380" i="17" s="1"/>
  <c r="A392" i="17" s="1"/>
  <c r="A404" i="17" s="1"/>
  <c r="A416" i="17" s="1"/>
  <c r="A428" i="17" s="1"/>
  <c r="A440" i="17" s="1"/>
  <c r="A452" i="17" s="1"/>
  <c r="A464" i="17" s="1"/>
  <c r="H200" i="17"/>
  <c r="A201" i="17"/>
  <c r="A213" i="17" s="1"/>
  <c r="A225" i="17" s="1"/>
  <c r="A237" i="17" s="1"/>
  <c r="A249" i="17" s="1"/>
  <c r="A261" i="17" s="1"/>
  <c r="A273" i="17" s="1"/>
  <c r="A285" i="17" s="1"/>
  <c r="A297" i="17" s="1"/>
  <c r="A309" i="17" s="1"/>
  <c r="A321" i="17" s="1"/>
  <c r="A333" i="17" s="1"/>
  <c r="A345" i="17" s="1"/>
  <c r="A369" i="17" s="1"/>
  <c r="A381" i="17" s="1"/>
  <c r="A393" i="17" s="1"/>
  <c r="A405" i="17" s="1"/>
  <c r="A417" i="17" s="1"/>
  <c r="A429" i="17" s="1"/>
  <c r="A441" i="17" s="1"/>
  <c r="A453" i="17" s="1"/>
  <c r="A465" i="17" s="1"/>
  <c r="H201" i="17"/>
  <c r="H202" i="17"/>
  <c r="H203" i="17"/>
  <c r="H204" i="17"/>
  <c r="H205" i="17"/>
  <c r="H206" i="17"/>
  <c r="H207" i="17"/>
  <c r="H208" i="17"/>
  <c r="H209" i="17"/>
  <c r="H210" i="17"/>
  <c r="H211" i="17"/>
  <c r="H212" i="17"/>
  <c r="H213" i="17"/>
  <c r="H214" i="17"/>
  <c r="H215" i="17"/>
  <c r="H216" i="17"/>
  <c r="H219" i="17"/>
  <c r="H220" i="17"/>
  <c r="H222" i="17"/>
  <c r="H223" i="17"/>
  <c r="H224" i="17"/>
  <c r="H225" i="17"/>
  <c r="H226" i="17"/>
  <c r="H227" i="17"/>
  <c r="H228" i="17"/>
  <c r="H229" i="17"/>
  <c r="H230"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4" i="17"/>
  <c r="H275" i="17"/>
  <c r="H276" i="17"/>
  <c r="H277" i="17"/>
  <c r="H278" i="17"/>
  <c r="H279" i="17"/>
  <c r="H281" i="17"/>
  <c r="H282" i="17"/>
  <c r="H283" i="17"/>
  <c r="H284" i="17"/>
  <c r="H285" i="17"/>
  <c r="A34" i="76"/>
  <c r="A46" i="76" s="1"/>
  <c r="A58" i="76" s="1"/>
  <c r="A70" i="76" s="1"/>
  <c r="A82" i="76" s="1"/>
  <c r="A94" i="76" s="1"/>
  <c r="A106" i="76" s="1"/>
  <c r="A118" i="76" s="1"/>
  <c r="A130" i="76" s="1"/>
  <c r="A142" i="76" s="1"/>
  <c r="A154" i="76" s="1"/>
  <c r="A166" i="76" s="1"/>
  <c r="A178" i="76" s="1"/>
  <c r="A190" i="76" s="1"/>
  <c r="A202" i="76" s="1"/>
  <c r="A214" i="76" s="1"/>
  <c r="A226" i="76" s="1"/>
  <c r="A238" i="76" s="1"/>
  <c r="A250" i="76" s="1"/>
  <c r="A262" i="76" s="1"/>
  <c r="A274" i="76" s="1"/>
  <c r="A286" i="76" s="1"/>
  <c r="A298" i="76" s="1"/>
  <c r="A35" i="76"/>
  <c r="A47" i="76" s="1"/>
  <c r="A59" i="76" s="1"/>
  <c r="A71" i="76" s="1"/>
  <c r="A83" i="76" s="1"/>
  <c r="A95" i="76" s="1"/>
  <c r="A107" i="76" s="1"/>
  <c r="A119" i="76" s="1"/>
  <c r="A131" i="76" s="1"/>
  <c r="A143" i="76" s="1"/>
  <c r="A155" i="76" s="1"/>
  <c r="A167" i="76" s="1"/>
  <c r="A179" i="76" s="1"/>
  <c r="A191" i="76" s="1"/>
  <c r="A203" i="76" s="1"/>
  <c r="A215" i="76" s="1"/>
  <c r="A227" i="76" s="1"/>
  <c r="A239" i="76" s="1"/>
  <c r="A251" i="76" s="1"/>
  <c r="A263" i="76" s="1"/>
  <c r="A275" i="76" s="1"/>
  <c r="A287" i="76" s="1"/>
  <c r="A299" i="76" s="1"/>
  <c r="A36" i="76"/>
  <c r="A48" i="76" s="1"/>
  <c r="A60" i="76" s="1"/>
  <c r="A72" i="76" s="1"/>
  <c r="A84" i="76" s="1"/>
  <c r="A96" i="76" s="1"/>
  <c r="A108" i="76" s="1"/>
  <c r="A120" i="76" s="1"/>
  <c r="A132" i="76" s="1"/>
  <c r="A144" i="76" s="1"/>
  <c r="A156" i="76" s="1"/>
  <c r="A168" i="76" s="1"/>
  <c r="A180" i="76" s="1"/>
  <c r="A192" i="76" s="1"/>
  <c r="A204" i="76" s="1"/>
  <c r="A216" i="76" s="1"/>
  <c r="A228" i="76" s="1"/>
  <c r="A240" i="76" s="1"/>
  <c r="A252" i="76" s="1"/>
  <c r="A264" i="76" s="1"/>
  <c r="A276" i="76" s="1"/>
  <c r="A288" i="76" s="1"/>
  <c r="A300" i="76" s="1"/>
  <c r="A37" i="76"/>
  <c r="A49" i="76" s="1"/>
  <c r="A61" i="76" s="1"/>
  <c r="A73" i="76" s="1"/>
  <c r="A85" i="76" s="1"/>
  <c r="A97" i="76" s="1"/>
  <c r="A109" i="76" s="1"/>
  <c r="A121" i="76" s="1"/>
  <c r="A133" i="76" s="1"/>
  <c r="A145" i="76" s="1"/>
  <c r="A157" i="76" s="1"/>
  <c r="A169" i="76" s="1"/>
  <c r="A181" i="76" s="1"/>
  <c r="A193" i="76" s="1"/>
  <c r="A205" i="76" s="1"/>
  <c r="A217" i="76" s="1"/>
  <c r="A229" i="76" s="1"/>
  <c r="A241" i="76" s="1"/>
  <c r="A253" i="76" s="1"/>
  <c r="A265" i="76" s="1"/>
  <c r="A277" i="76" s="1"/>
  <c r="A289" i="76" s="1"/>
  <c r="A301" i="76" s="1"/>
  <c r="A38" i="76"/>
  <c r="A50" i="76" s="1"/>
  <c r="A62" i="76" s="1"/>
  <c r="A74" i="76" s="1"/>
  <c r="A86" i="76" s="1"/>
  <c r="A98" i="76" s="1"/>
  <c r="A110" i="76" s="1"/>
  <c r="A122" i="76" s="1"/>
  <c r="A134" i="76" s="1"/>
  <c r="A146" i="76" s="1"/>
  <c r="A158" i="76" s="1"/>
  <c r="A170" i="76" s="1"/>
  <c r="A182" i="76" s="1"/>
  <c r="A194" i="76" s="1"/>
  <c r="A206" i="76" s="1"/>
  <c r="A218" i="76" s="1"/>
  <c r="A230" i="76" s="1"/>
  <c r="A242" i="76" s="1"/>
  <c r="A254" i="76" s="1"/>
  <c r="A266" i="76" s="1"/>
  <c r="A278" i="76" s="1"/>
  <c r="A290" i="76" s="1"/>
  <c r="A302" i="76" s="1"/>
  <c r="A39" i="76"/>
  <c r="A51" i="76" s="1"/>
  <c r="A63" i="76" s="1"/>
  <c r="A75" i="76" s="1"/>
  <c r="A87" i="76" s="1"/>
  <c r="A99" i="76" s="1"/>
  <c r="A111" i="76" s="1"/>
  <c r="A123" i="76" s="1"/>
  <c r="A135" i="76" s="1"/>
  <c r="A147" i="76" s="1"/>
  <c r="A159" i="76" s="1"/>
  <c r="A171" i="76" s="1"/>
  <c r="A183" i="76" s="1"/>
  <c r="A195" i="76" s="1"/>
  <c r="A207" i="76" s="1"/>
  <c r="A219" i="76" s="1"/>
  <c r="A231" i="76" s="1"/>
  <c r="A243" i="76" s="1"/>
  <c r="A255" i="76" s="1"/>
  <c r="A267" i="76" s="1"/>
  <c r="A279" i="76" s="1"/>
  <c r="A291" i="76" s="1"/>
  <c r="A303" i="76" s="1"/>
  <c r="A40" i="76"/>
  <c r="A52" i="76" s="1"/>
  <c r="A64" i="76" s="1"/>
  <c r="A76" i="76" s="1"/>
  <c r="A88" i="76" s="1"/>
  <c r="A100" i="76" s="1"/>
  <c r="A112" i="76" s="1"/>
  <c r="A124" i="76" s="1"/>
  <c r="A136" i="76" s="1"/>
  <c r="A148" i="76" s="1"/>
  <c r="A160" i="76" s="1"/>
  <c r="A172" i="76" s="1"/>
  <c r="A184" i="76" s="1"/>
  <c r="A196" i="76" s="1"/>
  <c r="A208" i="76" s="1"/>
  <c r="A220" i="76" s="1"/>
  <c r="A232" i="76" s="1"/>
  <c r="A244" i="76" s="1"/>
  <c r="A256" i="76" s="1"/>
  <c r="A268" i="76" s="1"/>
  <c r="A280" i="76" s="1"/>
  <c r="A292" i="76" s="1"/>
  <c r="A304" i="76" s="1"/>
  <c r="A41" i="76"/>
  <c r="A53" i="76" s="1"/>
  <c r="A65" i="76" s="1"/>
  <c r="A77" i="76" s="1"/>
  <c r="A89" i="76" s="1"/>
  <c r="A101" i="76" s="1"/>
  <c r="A113" i="76" s="1"/>
  <c r="A125" i="76" s="1"/>
  <c r="A137" i="76" s="1"/>
  <c r="A149" i="76" s="1"/>
  <c r="A161" i="76" s="1"/>
  <c r="A173" i="76" s="1"/>
  <c r="A185" i="76" s="1"/>
  <c r="A197" i="76" s="1"/>
  <c r="A209" i="76" s="1"/>
  <c r="A221" i="76" s="1"/>
  <c r="A233" i="76" s="1"/>
  <c r="A245" i="76" s="1"/>
  <c r="A257" i="76" s="1"/>
  <c r="A269" i="76" s="1"/>
  <c r="A281" i="76" s="1"/>
  <c r="A293" i="76" s="1"/>
  <c r="A305" i="76" s="1"/>
  <c r="A42" i="76"/>
  <c r="A54" i="76" s="1"/>
  <c r="A66" i="76" s="1"/>
  <c r="A78" i="76" s="1"/>
  <c r="A90" i="76" s="1"/>
  <c r="A102" i="76" s="1"/>
  <c r="A114" i="76" s="1"/>
  <c r="A126" i="76" s="1"/>
  <c r="A138" i="76" s="1"/>
  <c r="A150" i="76" s="1"/>
  <c r="A162" i="76" s="1"/>
  <c r="A174" i="76" s="1"/>
  <c r="A186" i="76" s="1"/>
  <c r="A198" i="76" s="1"/>
  <c r="A210" i="76" s="1"/>
  <c r="A222" i="76" s="1"/>
  <c r="A234" i="76" s="1"/>
  <c r="A246" i="76" s="1"/>
  <c r="A258" i="76" s="1"/>
  <c r="A270" i="76" s="1"/>
  <c r="A282" i="76" s="1"/>
  <c r="A294" i="76" s="1"/>
  <c r="A306" i="76" s="1"/>
  <c r="A43" i="76"/>
  <c r="A55" i="76" s="1"/>
  <c r="A67" i="76" s="1"/>
  <c r="A79" i="76" s="1"/>
  <c r="A91" i="76" s="1"/>
  <c r="A103" i="76" s="1"/>
  <c r="A115" i="76" s="1"/>
  <c r="A127" i="76" s="1"/>
  <c r="A139" i="76" s="1"/>
  <c r="A151" i="76" s="1"/>
  <c r="A163" i="76" s="1"/>
  <c r="A175" i="76" s="1"/>
  <c r="A187" i="76" s="1"/>
  <c r="A199" i="76" s="1"/>
  <c r="A211" i="76" s="1"/>
  <c r="A223" i="76" s="1"/>
  <c r="A235" i="76" s="1"/>
  <c r="A247" i="76" s="1"/>
  <c r="A259" i="76" s="1"/>
  <c r="A271" i="76" s="1"/>
  <c r="A283" i="76" s="1"/>
  <c r="A295" i="76" s="1"/>
  <c r="A307" i="76" s="1"/>
  <c r="A44" i="76"/>
  <c r="A56" i="76" s="1"/>
  <c r="A68" i="76" s="1"/>
  <c r="A80" i="76" s="1"/>
  <c r="A92" i="76" s="1"/>
  <c r="A104" i="76" s="1"/>
  <c r="A116" i="76" s="1"/>
  <c r="A128" i="76" s="1"/>
  <c r="A140" i="76" s="1"/>
  <c r="A152" i="76" s="1"/>
  <c r="A164" i="76" s="1"/>
  <c r="A176" i="76" s="1"/>
  <c r="A188" i="76" s="1"/>
  <c r="A200" i="76" s="1"/>
  <c r="A212" i="76" s="1"/>
  <c r="A224" i="76" s="1"/>
  <c r="A236" i="76" s="1"/>
  <c r="A248" i="76" s="1"/>
  <c r="A260" i="76" s="1"/>
  <c r="A272" i="76" s="1"/>
  <c r="A284" i="76" s="1"/>
  <c r="A296" i="76" s="1"/>
  <c r="A308" i="76" s="1"/>
  <c r="A45" i="76"/>
  <c r="A57" i="76" s="1"/>
  <c r="A69" i="76" s="1"/>
  <c r="A81" i="76" s="1"/>
  <c r="A93" i="76" s="1"/>
  <c r="A105" i="76" s="1"/>
  <c r="A117" i="76" s="1"/>
  <c r="A129" i="76" s="1"/>
  <c r="A141" i="76" s="1"/>
  <c r="A153" i="76" s="1"/>
  <c r="A165" i="76" s="1"/>
  <c r="A177" i="76" s="1"/>
  <c r="A189" i="76" s="1"/>
  <c r="A201" i="76" s="1"/>
  <c r="A213" i="76" s="1"/>
  <c r="A225" i="76" s="1"/>
  <c r="A237" i="76" s="1"/>
  <c r="A249" i="76" s="1"/>
  <c r="A261" i="76" s="1"/>
  <c r="A273" i="76" s="1"/>
  <c r="A285" i="76" s="1"/>
  <c r="A297" i="76" s="1"/>
  <c r="A309" i="76" s="1"/>
  <c r="A130" i="1"/>
  <c r="A142" i="1" s="1"/>
  <c r="A154" i="1" s="1"/>
  <c r="A166" i="1" s="1"/>
  <c r="A178" i="1" s="1"/>
  <c r="A190" i="1" s="1"/>
  <c r="A202" i="1" s="1"/>
  <c r="A214" i="1" s="1"/>
  <c r="A226" i="1" s="1"/>
  <c r="A238" i="1" s="1"/>
  <c r="A250" i="1" s="1"/>
  <c r="A262" i="1" s="1"/>
  <c r="A274" i="1" s="1"/>
  <c r="A286" i="1" s="1"/>
  <c r="A298" i="1" s="1"/>
  <c r="A310" i="1" s="1"/>
  <c r="A322" i="1" s="1"/>
  <c r="A334" i="1" s="1"/>
  <c r="A346" i="1" s="1"/>
  <c r="A358" i="1" s="1"/>
  <c r="A370" i="1" s="1"/>
  <c r="A382" i="1" s="1"/>
  <c r="A394" i="1" s="1"/>
  <c r="A131" i="1"/>
  <c r="A143" i="1" s="1"/>
  <c r="A155" i="1" s="1"/>
  <c r="A167" i="1" s="1"/>
  <c r="A179" i="1" s="1"/>
  <c r="A191" i="1" s="1"/>
  <c r="A203" i="1" s="1"/>
  <c r="A215" i="1" s="1"/>
  <c r="A227" i="1" s="1"/>
  <c r="A239" i="1" s="1"/>
  <c r="A251" i="1" s="1"/>
  <c r="A263" i="1" s="1"/>
  <c r="A275" i="1" s="1"/>
  <c r="A287" i="1" s="1"/>
  <c r="A299" i="1" s="1"/>
  <c r="A311" i="1" s="1"/>
  <c r="A323" i="1" s="1"/>
  <c r="A335" i="1" s="1"/>
  <c r="A347" i="1" s="1"/>
  <c r="A359" i="1" s="1"/>
  <c r="A371" i="1" s="1"/>
  <c r="A383" i="1" s="1"/>
  <c r="A395" i="1" s="1"/>
  <c r="A132" i="1"/>
  <c r="A144" i="1" s="1"/>
  <c r="A156" i="1" s="1"/>
  <c r="A168" i="1" s="1"/>
  <c r="A180" i="1" s="1"/>
  <c r="A192" i="1" s="1"/>
  <c r="A204" i="1" s="1"/>
  <c r="A216" i="1" s="1"/>
  <c r="A228" i="1" s="1"/>
  <c r="A240" i="1" s="1"/>
  <c r="A252" i="1" s="1"/>
  <c r="A264" i="1" s="1"/>
  <c r="A276" i="1" s="1"/>
  <c r="A288" i="1" s="1"/>
  <c r="A300" i="1" s="1"/>
  <c r="A133" i="1"/>
  <c r="A145" i="1" s="1"/>
  <c r="A157" i="1" s="1"/>
  <c r="A169" i="1" s="1"/>
  <c r="A181" i="1" s="1"/>
  <c r="A193" i="1" s="1"/>
  <c r="A205" i="1" s="1"/>
  <c r="A217" i="1" s="1"/>
  <c r="A229" i="1" s="1"/>
  <c r="A241" i="1" s="1"/>
  <c r="A253" i="1" s="1"/>
  <c r="A265" i="1" s="1"/>
  <c r="A277" i="1" s="1"/>
  <c r="A289" i="1" s="1"/>
  <c r="A301" i="1" s="1"/>
  <c r="A313" i="1" s="1"/>
  <c r="A325" i="1" s="1"/>
  <c r="A337" i="1" s="1"/>
  <c r="A349" i="1" s="1"/>
  <c r="A361" i="1" s="1"/>
  <c r="A373" i="1" s="1"/>
  <c r="A385" i="1" s="1"/>
  <c r="A397" i="1" s="1"/>
  <c r="A134" i="1"/>
  <c r="A146" i="1" s="1"/>
  <c r="A158" i="1" s="1"/>
  <c r="A170" i="1" s="1"/>
  <c r="A182" i="1" s="1"/>
  <c r="A194" i="1" s="1"/>
  <c r="A206" i="1" s="1"/>
  <c r="A218" i="1" s="1"/>
  <c r="A230" i="1" s="1"/>
  <c r="A242" i="1" s="1"/>
  <c r="A254" i="1" s="1"/>
  <c r="A266" i="1" s="1"/>
  <c r="A278" i="1" s="1"/>
  <c r="A290" i="1" s="1"/>
  <c r="A302" i="1" s="1"/>
  <c r="A314" i="1" s="1"/>
  <c r="A326" i="1" s="1"/>
  <c r="A338" i="1" s="1"/>
  <c r="A350" i="1" s="1"/>
  <c r="A362" i="1" s="1"/>
  <c r="A374" i="1" s="1"/>
  <c r="A386" i="1" s="1"/>
  <c r="A398" i="1" s="1"/>
  <c r="A135" i="1"/>
  <c r="A147" i="1" s="1"/>
  <c r="A159" i="1" s="1"/>
  <c r="A171" i="1" s="1"/>
  <c r="A183" i="1" s="1"/>
  <c r="A195" i="1" s="1"/>
  <c r="A207" i="1" s="1"/>
  <c r="A219" i="1" s="1"/>
  <c r="A231" i="1" s="1"/>
  <c r="A243" i="1" s="1"/>
  <c r="A255" i="1" s="1"/>
  <c r="A267" i="1" s="1"/>
  <c r="A279" i="1" s="1"/>
  <c r="A291" i="1" s="1"/>
  <c r="A303" i="1" s="1"/>
  <c r="A315" i="1" s="1"/>
  <c r="A327" i="1" s="1"/>
  <c r="A339" i="1" s="1"/>
  <c r="A351" i="1" s="1"/>
  <c r="A363" i="1" s="1"/>
  <c r="A375" i="1" s="1"/>
  <c r="A387" i="1" s="1"/>
  <c r="A399" i="1" s="1"/>
  <c r="A136" i="1"/>
  <c r="A148" i="1" s="1"/>
  <c r="A160" i="1" s="1"/>
  <c r="A172" i="1" s="1"/>
  <c r="A184" i="1" s="1"/>
  <c r="A196" i="1" s="1"/>
  <c r="A208" i="1" s="1"/>
  <c r="A220" i="1" s="1"/>
  <c r="A232" i="1" s="1"/>
  <c r="A244" i="1" s="1"/>
  <c r="A256" i="1" s="1"/>
  <c r="A268" i="1" s="1"/>
  <c r="A280" i="1" s="1"/>
  <c r="A292" i="1" s="1"/>
  <c r="A304" i="1" s="1"/>
  <c r="A316" i="1" s="1"/>
  <c r="A328" i="1" s="1"/>
  <c r="A340" i="1" s="1"/>
  <c r="A352" i="1" s="1"/>
  <c r="A364" i="1" s="1"/>
  <c r="A376" i="1" s="1"/>
  <c r="A388" i="1" s="1"/>
  <c r="A400" i="1" s="1"/>
  <c r="A137" i="1"/>
  <c r="A149" i="1" s="1"/>
  <c r="A161" i="1" s="1"/>
  <c r="A173" i="1" s="1"/>
  <c r="A185" i="1" s="1"/>
  <c r="A197" i="1" s="1"/>
  <c r="A209" i="1" s="1"/>
  <c r="A221" i="1" s="1"/>
  <c r="A233" i="1" s="1"/>
  <c r="A245" i="1" s="1"/>
  <c r="A257" i="1" s="1"/>
  <c r="A269" i="1" s="1"/>
  <c r="A281" i="1" s="1"/>
  <c r="A293" i="1" s="1"/>
  <c r="A305" i="1" s="1"/>
  <c r="A317" i="1" s="1"/>
  <c r="A329" i="1" s="1"/>
  <c r="A341" i="1" s="1"/>
  <c r="A353" i="1" s="1"/>
  <c r="A365" i="1" s="1"/>
  <c r="A377" i="1" s="1"/>
  <c r="A389" i="1" s="1"/>
  <c r="A401" i="1" s="1"/>
  <c r="A138" i="1"/>
  <c r="A150" i="1" s="1"/>
  <c r="A162" i="1" s="1"/>
  <c r="A174" i="1" s="1"/>
  <c r="A186" i="1" s="1"/>
  <c r="A198" i="1" s="1"/>
  <c r="A210" i="1" s="1"/>
  <c r="A222" i="1" s="1"/>
  <c r="A234" i="1" s="1"/>
  <c r="A246" i="1" s="1"/>
  <c r="A258" i="1" s="1"/>
  <c r="A270" i="1" s="1"/>
  <c r="A282" i="1" s="1"/>
  <c r="A294" i="1" s="1"/>
  <c r="A306" i="1" s="1"/>
  <c r="A318" i="1" s="1"/>
  <c r="A330" i="1" s="1"/>
  <c r="A342" i="1" s="1"/>
  <c r="A354" i="1" s="1"/>
  <c r="A366" i="1" s="1"/>
  <c r="A378" i="1" s="1"/>
  <c r="A390" i="1" s="1"/>
  <c r="A402" i="1" s="1"/>
  <c r="A139" i="1"/>
  <c r="A151" i="1" s="1"/>
  <c r="A163" i="1" s="1"/>
  <c r="A175" i="1" s="1"/>
  <c r="A187" i="1" s="1"/>
  <c r="A199" i="1" s="1"/>
  <c r="A211" i="1" s="1"/>
  <c r="A223" i="1" s="1"/>
  <c r="A235" i="1" s="1"/>
  <c r="A247" i="1" s="1"/>
  <c r="A259" i="1" s="1"/>
  <c r="A271" i="1" s="1"/>
  <c r="A283" i="1" s="1"/>
  <c r="A295" i="1" s="1"/>
  <c r="A307" i="1" s="1"/>
  <c r="A319" i="1" s="1"/>
  <c r="A331" i="1" s="1"/>
  <c r="A343" i="1" s="1"/>
  <c r="A355" i="1" s="1"/>
  <c r="A367" i="1" s="1"/>
  <c r="A379" i="1" s="1"/>
  <c r="A391" i="1" s="1"/>
  <c r="A403" i="1" s="1"/>
  <c r="A140" i="1"/>
  <c r="A152" i="1" s="1"/>
  <c r="A164" i="1" s="1"/>
  <c r="A176" i="1" s="1"/>
  <c r="A188" i="1" s="1"/>
  <c r="A200" i="1" s="1"/>
  <c r="A212" i="1" s="1"/>
  <c r="A224" i="1" s="1"/>
  <c r="A236" i="1" s="1"/>
  <c r="A248" i="1" s="1"/>
  <c r="A260" i="1" s="1"/>
  <c r="A272" i="1" s="1"/>
  <c r="A284" i="1" s="1"/>
  <c r="A296" i="1" s="1"/>
  <c r="A308" i="1" s="1"/>
  <c r="A320" i="1" s="1"/>
  <c r="A332" i="1" s="1"/>
  <c r="A344" i="1" s="1"/>
  <c r="A356" i="1" s="1"/>
  <c r="A368" i="1" s="1"/>
  <c r="A380" i="1" s="1"/>
  <c r="A392" i="1" s="1"/>
  <c r="A404" i="1" s="1"/>
  <c r="A141" i="1"/>
  <c r="A153" i="1" s="1"/>
  <c r="A165" i="1" s="1"/>
  <c r="A177" i="1" s="1"/>
  <c r="A189" i="1" s="1"/>
  <c r="A201" i="1" s="1"/>
  <c r="A213" i="1" s="1"/>
  <c r="A225" i="1" s="1"/>
  <c r="A237" i="1" s="1"/>
  <c r="A249" i="1" s="1"/>
  <c r="A261" i="1" s="1"/>
  <c r="A273" i="1" s="1"/>
  <c r="A285" i="1" s="1"/>
  <c r="A297" i="1" s="1"/>
  <c r="A309" i="1" s="1"/>
  <c r="A321" i="1" s="1"/>
  <c r="A333" i="1" s="1"/>
  <c r="A345" i="1" s="1"/>
  <c r="A357" i="1" s="1"/>
  <c r="A369" i="1" s="1"/>
  <c r="A381" i="1" s="1"/>
  <c r="A393" i="1" s="1"/>
  <c r="A405" i="1" s="1"/>
  <c r="C7" i="3"/>
  <c r="D7" i="3" s="1"/>
  <c r="E7" i="3" s="1"/>
  <c r="F7" i="3" s="1"/>
  <c r="G7" i="3" s="1"/>
  <c r="H7" i="3" s="1"/>
  <c r="I7" i="3" s="1"/>
  <c r="J7" i="3" s="1"/>
  <c r="K7" i="3" s="1"/>
  <c r="L7" i="3" s="1"/>
  <c r="M7" i="3" s="1"/>
  <c r="N7" i="3" s="1"/>
  <c r="R10" i="3"/>
  <c r="S10" i="3"/>
  <c r="R11" i="3"/>
  <c r="S11" i="3"/>
  <c r="R12" i="3"/>
  <c r="S12" i="3"/>
  <c r="R13" i="3"/>
  <c r="S13" i="3"/>
  <c r="R14" i="3"/>
  <c r="S14" i="3"/>
  <c r="R15" i="3"/>
  <c r="S15" i="3"/>
  <c r="R16" i="3"/>
  <c r="S16" i="3"/>
  <c r="R17" i="3"/>
  <c r="S17" i="3"/>
  <c r="R18" i="3"/>
  <c r="S18" i="3"/>
  <c r="R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61" i="3"/>
  <c r="S61" i="3"/>
  <c r="R62" i="3"/>
  <c r="S62" i="3"/>
  <c r="R63" i="3"/>
  <c r="S63" i="3"/>
  <c r="R64" i="3"/>
  <c r="S64" i="3"/>
  <c r="R65" i="3"/>
  <c r="S65" i="3"/>
  <c r="R66" i="3"/>
  <c r="S66" i="3"/>
  <c r="R67" i="3"/>
  <c r="S67" i="3"/>
  <c r="R68" i="3"/>
  <c r="S68" i="3"/>
  <c r="R69" i="3"/>
  <c r="S69" i="3"/>
  <c r="R70" i="3"/>
  <c r="S70" i="3"/>
  <c r="R71" i="3"/>
  <c r="S71" i="3"/>
  <c r="R72" i="3"/>
  <c r="S72" i="3"/>
  <c r="R73" i="3"/>
  <c r="S73" i="3"/>
  <c r="R74" i="3"/>
  <c r="S74" i="3"/>
  <c r="R75" i="3"/>
  <c r="S75" i="3"/>
  <c r="R76" i="3"/>
  <c r="S76" i="3"/>
  <c r="R77" i="3"/>
  <c r="S77" i="3"/>
  <c r="R78" i="3"/>
  <c r="S78" i="3"/>
  <c r="R79" i="3"/>
  <c r="S79" i="3"/>
  <c r="R80" i="3"/>
  <c r="S80" i="3"/>
  <c r="R81" i="3"/>
  <c r="S81" i="3"/>
  <c r="R82" i="3"/>
  <c r="S82" i="3"/>
  <c r="R83" i="3"/>
  <c r="S83" i="3"/>
  <c r="R84" i="3"/>
  <c r="S84" i="3"/>
  <c r="R85" i="3"/>
  <c r="S85" i="3"/>
  <c r="R86" i="3"/>
  <c r="S86" i="3"/>
  <c r="R87" i="3"/>
  <c r="S87" i="3"/>
  <c r="R88" i="3"/>
  <c r="S88" i="3"/>
  <c r="R89" i="3"/>
  <c r="S89" i="3"/>
  <c r="R90" i="3"/>
  <c r="S90" i="3"/>
  <c r="R91" i="3"/>
  <c r="S91" i="3"/>
  <c r="R92" i="3"/>
  <c r="S92" i="3"/>
  <c r="R93" i="3"/>
  <c r="S93" i="3"/>
  <c r="R94" i="3"/>
  <c r="S94" i="3"/>
  <c r="R95" i="3"/>
  <c r="S95" i="3"/>
  <c r="C96" i="3"/>
  <c r="R96" i="3"/>
  <c r="S96" i="3"/>
  <c r="C97" i="3"/>
  <c r="R97" i="3"/>
  <c r="S97" i="3"/>
  <c r="C98" i="3"/>
  <c r="R98" i="3"/>
  <c r="S98" i="3"/>
  <c r="C99" i="3"/>
  <c r="R99" i="3"/>
  <c r="S99" i="3"/>
  <c r="C100" i="3"/>
  <c r="R100" i="3"/>
  <c r="S100" i="3"/>
  <c r="C101" i="3"/>
  <c r="R101" i="3"/>
  <c r="S101" i="3"/>
  <c r="C102" i="3"/>
  <c r="R102" i="3"/>
  <c r="S102" i="3"/>
  <c r="C103" i="3"/>
  <c r="R103" i="3"/>
  <c r="S103" i="3"/>
  <c r="C104" i="3"/>
  <c r="R104" i="3"/>
  <c r="S104" i="3"/>
  <c r="C105" i="3"/>
  <c r="R105" i="3"/>
  <c r="S105" i="3"/>
  <c r="C106" i="3"/>
  <c r="R106" i="3"/>
  <c r="S106" i="3"/>
  <c r="C107" i="3"/>
  <c r="R107" i="3"/>
  <c r="S107" i="3"/>
  <c r="C108" i="3"/>
  <c r="R108" i="3"/>
  <c r="S108" i="3"/>
  <c r="C109" i="3"/>
  <c r="R109" i="3"/>
  <c r="S109" i="3"/>
  <c r="C110" i="3"/>
  <c r="R110" i="3"/>
  <c r="S110" i="3"/>
  <c r="C111" i="3"/>
  <c r="R111" i="3"/>
  <c r="S111" i="3"/>
  <c r="C112" i="3"/>
  <c r="R112" i="3"/>
  <c r="S112" i="3"/>
  <c r="C113" i="3"/>
  <c r="R113" i="3"/>
  <c r="S113" i="3"/>
  <c r="C114" i="3"/>
  <c r="R114" i="3"/>
  <c r="S114" i="3"/>
  <c r="C115" i="3"/>
  <c r="R115" i="3"/>
  <c r="S115" i="3"/>
  <c r="C116" i="3"/>
  <c r="R116" i="3"/>
  <c r="S116" i="3"/>
  <c r="C117" i="3"/>
  <c r="R117" i="3"/>
  <c r="S117" i="3"/>
  <c r="C118" i="3"/>
  <c r="R118" i="3"/>
  <c r="S118" i="3"/>
  <c r="C119" i="3"/>
  <c r="R119" i="3"/>
  <c r="S119" i="3"/>
  <c r="C120" i="3"/>
  <c r="R120" i="3"/>
  <c r="S120" i="3"/>
  <c r="C121" i="3"/>
  <c r="R121" i="3"/>
  <c r="S121" i="3"/>
  <c r="C122" i="3"/>
  <c r="R122" i="3"/>
  <c r="S122" i="3"/>
  <c r="C123" i="3"/>
  <c r="R123" i="3"/>
  <c r="S123" i="3"/>
  <c r="C124" i="3"/>
  <c r="R124" i="3"/>
  <c r="S124" i="3"/>
  <c r="C125" i="3"/>
  <c r="R125" i="3"/>
  <c r="S125" i="3"/>
  <c r="C126" i="3"/>
  <c r="R126" i="3"/>
  <c r="S126" i="3"/>
  <c r="C127" i="3"/>
  <c r="R127" i="3"/>
  <c r="S127" i="3"/>
  <c r="C128" i="3"/>
  <c r="R128" i="3"/>
  <c r="S128" i="3"/>
  <c r="C129" i="3"/>
  <c r="R129" i="3"/>
  <c r="S129" i="3"/>
  <c r="C130" i="3"/>
  <c r="R130" i="3"/>
  <c r="S130" i="3"/>
  <c r="C131" i="3"/>
  <c r="R131" i="3"/>
  <c r="S131" i="3"/>
  <c r="C132" i="3"/>
  <c r="R132" i="3"/>
  <c r="S132" i="3"/>
  <c r="C133" i="3"/>
  <c r="R133" i="3"/>
  <c r="S133" i="3"/>
  <c r="C134" i="3"/>
  <c r="R134" i="3"/>
  <c r="S134" i="3"/>
  <c r="C135" i="3"/>
  <c r="R135" i="3"/>
  <c r="S135" i="3"/>
  <c r="C136" i="3"/>
  <c r="R136" i="3"/>
  <c r="S136" i="3"/>
  <c r="C137" i="3"/>
  <c r="R137" i="3"/>
  <c r="S137" i="3"/>
  <c r="C138" i="3"/>
  <c r="R138" i="3"/>
  <c r="S138" i="3"/>
  <c r="C139" i="3"/>
  <c r="R139" i="3"/>
  <c r="S139" i="3"/>
  <c r="C140" i="3"/>
  <c r="R140" i="3"/>
  <c r="S140" i="3"/>
  <c r="C141" i="3"/>
  <c r="R141" i="3"/>
  <c r="S141" i="3"/>
  <c r="A142" i="3"/>
  <c r="A154" i="3" s="1"/>
  <c r="A166" i="3" s="1"/>
  <c r="A178" i="3" s="1"/>
  <c r="A190" i="3" s="1"/>
  <c r="A202" i="3" s="1"/>
  <c r="A214" i="3" s="1"/>
  <c r="A226" i="3" s="1"/>
  <c r="A238" i="3" s="1"/>
  <c r="A250" i="3" s="1"/>
  <c r="A262" i="3" s="1"/>
  <c r="A274" i="3" s="1"/>
  <c r="A286" i="3" s="1"/>
  <c r="A298" i="3" s="1"/>
  <c r="A310" i="3" s="1"/>
  <c r="A322" i="3" s="1"/>
  <c r="A334" i="3" s="1"/>
  <c r="A346" i="3" s="1"/>
  <c r="A358" i="3" s="1"/>
  <c r="A370" i="3" s="1"/>
  <c r="A382" i="3" s="1"/>
  <c r="A394" i="3" s="1"/>
  <c r="A406" i="3" s="1"/>
  <c r="C142" i="3"/>
  <c r="R142" i="3"/>
  <c r="S142" i="3"/>
  <c r="A143" i="3"/>
  <c r="A155" i="3" s="1"/>
  <c r="A167" i="3" s="1"/>
  <c r="A179" i="3" s="1"/>
  <c r="A191" i="3" s="1"/>
  <c r="A203" i="3" s="1"/>
  <c r="A215" i="3" s="1"/>
  <c r="A227" i="3" s="1"/>
  <c r="A239" i="3" s="1"/>
  <c r="A251" i="3" s="1"/>
  <c r="A263" i="3" s="1"/>
  <c r="A275" i="3" s="1"/>
  <c r="A287" i="3" s="1"/>
  <c r="A299" i="3" s="1"/>
  <c r="A311" i="3" s="1"/>
  <c r="A323" i="3" s="1"/>
  <c r="A335" i="3" s="1"/>
  <c r="A347" i="3" s="1"/>
  <c r="A359" i="3" s="1"/>
  <c r="A371" i="3" s="1"/>
  <c r="A383" i="3" s="1"/>
  <c r="A395" i="3" s="1"/>
  <c r="A407" i="3" s="1"/>
  <c r="C143" i="3"/>
  <c r="R143" i="3"/>
  <c r="S143" i="3"/>
  <c r="A144" i="3"/>
  <c r="A156" i="3" s="1"/>
  <c r="A168" i="3" s="1"/>
  <c r="A180" i="3" s="1"/>
  <c r="A192" i="3" s="1"/>
  <c r="A204" i="3" s="1"/>
  <c r="A216" i="3" s="1"/>
  <c r="A228" i="3" s="1"/>
  <c r="A240" i="3" s="1"/>
  <c r="A252" i="3" s="1"/>
  <c r="A264" i="3" s="1"/>
  <c r="A276" i="3" s="1"/>
  <c r="A288" i="3" s="1"/>
  <c r="A300" i="3" s="1"/>
  <c r="A312" i="3" s="1"/>
  <c r="A324" i="3" s="1"/>
  <c r="A336" i="3" s="1"/>
  <c r="A348" i="3" s="1"/>
  <c r="A360" i="3" s="1"/>
  <c r="A372" i="3" s="1"/>
  <c r="A384" i="3" s="1"/>
  <c r="A396" i="3" s="1"/>
  <c r="A408" i="3" s="1"/>
  <c r="C144" i="3"/>
  <c r="R144" i="3"/>
  <c r="S144" i="3"/>
  <c r="A145" i="3"/>
  <c r="A157" i="3" s="1"/>
  <c r="A169" i="3" s="1"/>
  <c r="A181" i="3" s="1"/>
  <c r="A193" i="3" s="1"/>
  <c r="A205" i="3" s="1"/>
  <c r="A217" i="3" s="1"/>
  <c r="A229" i="3" s="1"/>
  <c r="A241" i="3" s="1"/>
  <c r="A253" i="3" s="1"/>
  <c r="A265" i="3" s="1"/>
  <c r="A277" i="3" s="1"/>
  <c r="A289" i="3" s="1"/>
  <c r="A301" i="3" s="1"/>
  <c r="A313" i="3" s="1"/>
  <c r="A325" i="3" s="1"/>
  <c r="A337" i="3" s="1"/>
  <c r="A349" i="3" s="1"/>
  <c r="A361" i="3" s="1"/>
  <c r="A373" i="3" s="1"/>
  <c r="A385" i="3" s="1"/>
  <c r="A397" i="3" s="1"/>
  <c r="A409" i="3" s="1"/>
  <c r="C145" i="3"/>
  <c r="R145" i="3"/>
  <c r="S145" i="3"/>
  <c r="A146" i="3"/>
  <c r="A158" i="3" s="1"/>
  <c r="A170" i="3" s="1"/>
  <c r="A182" i="3" s="1"/>
  <c r="A194" i="3" s="1"/>
  <c r="A206" i="3" s="1"/>
  <c r="A218" i="3" s="1"/>
  <c r="A230" i="3" s="1"/>
  <c r="A242" i="3" s="1"/>
  <c r="A254" i="3" s="1"/>
  <c r="A266" i="3" s="1"/>
  <c r="A278" i="3" s="1"/>
  <c r="A290" i="3" s="1"/>
  <c r="A302" i="3" s="1"/>
  <c r="A314" i="3" s="1"/>
  <c r="A326" i="3" s="1"/>
  <c r="A338" i="3" s="1"/>
  <c r="A350" i="3" s="1"/>
  <c r="A362" i="3" s="1"/>
  <c r="A374" i="3" s="1"/>
  <c r="A386" i="3" s="1"/>
  <c r="A398" i="3" s="1"/>
  <c r="A410" i="3" s="1"/>
  <c r="C146" i="3"/>
  <c r="R146" i="3"/>
  <c r="S146" i="3"/>
  <c r="A147" i="3"/>
  <c r="A159" i="3" s="1"/>
  <c r="A171" i="3" s="1"/>
  <c r="A183" i="3" s="1"/>
  <c r="A195" i="3" s="1"/>
  <c r="A207" i="3" s="1"/>
  <c r="A219" i="3" s="1"/>
  <c r="A231" i="3" s="1"/>
  <c r="A243" i="3" s="1"/>
  <c r="A255" i="3" s="1"/>
  <c r="A267" i="3" s="1"/>
  <c r="A279" i="3" s="1"/>
  <c r="A291" i="3" s="1"/>
  <c r="A303" i="3" s="1"/>
  <c r="A315" i="3" s="1"/>
  <c r="A327" i="3" s="1"/>
  <c r="A339" i="3" s="1"/>
  <c r="A351" i="3" s="1"/>
  <c r="A363" i="3" s="1"/>
  <c r="A375" i="3" s="1"/>
  <c r="A387" i="3" s="1"/>
  <c r="A399" i="3" s="1"/>
  <c r="A411" i="3" s="1"/>
  <c r="C147" i="3"/>
  <c r="R147" i="3"/>
  <c r="S147" i="3"/>
  <c r="A148" i="3"/>
  <c r="A160" i="3" s="1"/>
  <c r="A172" i="3" s="1"/>
  <c r="A184" i="3" s="1"/>
  <c r="A196" i="3" s="1"/>
  <c r="A208" i="3" s="1"/>
  <c r="A220" i="3" s="1"/>
  <c r="A232" i="3" s="1"/>
  <c r="A244" i="3" s="1"/>
  <c r="A256" i="3" s="1"/>
  <c r="A268" i="3" s="1"/>
  <c r="A280" i="3" s="1"/>
  <c r="A292" i="3" s="1"/>
  <c r="A304" i="3" s="1"/>
  <c r="A316" i="3" s="1"/>
  <c r="A328" i="3" s="1"/>
  <c r="A340" i="3" s="1"/>
  <c r="A352" i="3" s="1"/>
  <c r="A364" i="3" s="1"/>
  <c r="A376" i="3" s="1"/>
  <c r="A388" i="3" s="1"/>
  <c r="A400" i="3" s="1"/>
  <c r="A412" i="3" s="1"/>
  <c r="C148" i="3"/>
  <c r="R148" i="3"/>
  <c r="S148" i="3"/>
  <c r="A149" i="3"/>
  <c r="A161" i="3" s="1"/>
  <c r="A173" i="3" s="1"/>
  <c r="A185" i="3" s="1"/>
  <c r="A197" i="3" s="1"/>
  <c r="A209" i="3" s="1"/>
  <c r="A221" i="3" s="1"/>
  <c r="A233" i="3" s="1"/>
  <c r="A245" i="3" s="1"/>
  <c r="A257" i="3" s="1"/>
  <c r="A269" i="3" s="1"/>
  <c r="A281" i="3" s="1"/>
  <c r="A293" i="3" s="1"/>
  <c r="A305" i="3" s="1"/>
  <c r="A317" i="3" s="1"/>
  <c r="A329" i="3" s="1"/>
  <c r="A341" i="3" s="1"/>
  <c r="A353" i="3" s="1"/>
  <c r="A365" i="3" s="1"/>
  <c r="A377" i="3" s="1"/>
  <c r="A389" i="3" s="1"/>
  <c r="A401" i="3" s="1"/>
  <c r="A413" i="3" s="1"/>
  <c r="C149" i="3"/>
  <c r="R149" i="3"/>
  <c r="S149" i="3"/>
  <c r="A150" i="3"/>
  <c r="A162" i="3" s="1"/>
  <c r="A174" i="3" s="1"/>
  <c r="A186" i="3" s="1"/>
  <c r="A198" i="3" s="1"/>
  <c r="A210" i="3" s="1"/>
  <c r="A222" i="3" s="1"/>
  <c r="A234" i="3" s="1"/>
  <c r="A246" i="3" s="1"/>
  <c r="A258" i="3" s="1"/>
  <c r="A270" i="3" s="1"/>
  <c r="A282" i="3" s="1"/>
  <c r="A294" i="3" s="1"/>
  <c r="A306" i="3" s="1"/>
  <c r="A318" i="3" s="1"/>
  <c r="A330" i="3" s="1"/>
  <c r="A342" i="3" s="1"/>
  <c r="A354" i="3" s="1"/>
  <c r="A366" i="3" s="1"/>
  <c r="A378" i="3" s="1"/>
  <c r="A390" i="3" s="1"/>
  <c r="A402" i="3" s="1"/>
  <c r="A414" i="3" s="1"/>
  <c r="C150" i="3"/>
  <c r="R150" i="3"/>
  <c r="S150" i="3"/>
  <c r="A151" i="3"/>
  <c r="A163" i="3" s="1"/>
  <c r="A175" i="3" s="1"/>
  <c r="A187" i="3" s="1"/>
  <c r="A199" i="3" s="1"/>
  <c r="A211" i="3" s="1"/>
  <c r="A223" i="3" s="1"/>
  <c r="A235" i="3" s="1"/>
  <c r="A247" i="3" s="1"/>
  <c r="A259" i="3" s="1"/>
  <c r="A271" i="3" s="1"/>
  <c r="A283" i="3" s="1"/>
  <c r="A295" i="3" s="1"/>
  <c r="A307" i="3" s="1"/>
  <c r="A319" i="3" s="1"/>
  <c r="A331" i="3" s="1"/>
  <c r="A343" i="3" s="1"/>
  <c r="A355" i="3" s="1"/>
  <c r="A367" i="3" s="1"/>
  <c r="A379" i="3" s="1"/>
  <c r="A391" i="3" s="1"/>
  <c r="A403" i="3" s="1"/>
  <c r="A415" i="3" s="1"/>
  <c r="C151" i="3"/>
  <c r="R151" i="3"/>
  <c r="S151" i="3"/>
  <c r="A152" i="3"/>
  <c r="A164" i="3" s="1"/>
  <c r="A176" i="3" s="1"/>
  <c r="A188" i="3" s="1"/>
  <c r="A200" i="3" s="1"/>
  <c r="A212" i="3" s="1"/>
  <c r="A224" i="3" s="1"/>
  <c r="A236" i="3" s="1"/>
  <c r="A248" i="3" s="1"/>
  <c r="A260" i="3" s="1"/>
  <c r="A272" i="3" s="1"/>
  <c r="A284" i="3" s="1"/>
  <c r="A296" i="3" s="1"/>
  <c r="A308" i="3" s="1"/>
  <c r="A320" i="3" s="1"/>
  <c r="A332" i="3" s="1"/>
  <c r="A344" i="3" s="1"/>
  <c r="A356" i="3" s="1"/>
  <c r="A368" i="3" s="1"/>
  <c r="A380" i="3" s="1"/>
  <c r="A392" i="3" s="1"/>
  <c r="A404" i="3" s="1"/>
  <c r="A416" i="3" s="1"/>
  <c r="R152" i="3"/>
  <c r="S152" i="3"/>
  <c r="A153" i="3"/>
  <c r="A165" i="3" s="1"/>
  <c r="A177" i="3" s="1"/>
  <c r="A189" i="3" s="1"/>
  <c r="A201" i="3" s="1"/>
  <c r="A213" i="3" s="1"/>
  <c r="A225" i="3" s="1"/>
  <c r="A237" i="3" s="1"/>
  <c r="A249" i="3" s="1"/>
  <c r="A261" i="3" s="1"/>
  <c r="A273" i="3" s="1"/>
  <c r="A285" i="3" s="1"/>
  <c r="A297" i="3" s="1"/>
  <c r="A309" i="3" s="1"/>
  <c r="A321" i="3" s="1"/>
  <c r="A333" i="3" s="1"/>
  <c r="A345" i="3" s="1"/>
  <c r="A357" i="3" s="1"/>
  <c r="A369" i="3" s="1"/>
  <c r="A381" i="3" s="1"/>
  <c r="A393" i="3" s="1"/>
  <c r="A405" i="3" s="1"/>
  <c r="A417" i="3" s="1"/>
  <c r="R153" i="3"/>
  <c r="S153" i="3"/>
  <c r="C154" i="3"/>
  <c r="R154" i="3"/>
  <c r="S154" i="3"/>
  <c r="C155" i="3"/>
  <c r="R155" i="3"/>
  <c r="S155" i="3"/>
  <c r="C156" i="3"/>
  <c r="R156" i="3"/>
  <c r="S156" i="3"/>
  <c r="C157" i="3"/>
  <c r="R157" i="3"/>
  <c r="S157" i="3"/>
  <c r="C158" i="3"/>
  <c r="R158" i="3"/>
  <c r="S158" i="3"/>
  <c r="C159" i="3"/>
  <c r="R159" i="3"/>
  <c r="S159" i="3"/>
  <c r="C160" i="3"/>
  <c r="R160" i="3"/>
  <c r="S160" i="3"/>
  <c r="C161" i="3"/>
  <c r="R161" i="3"/>
  <c r="S161" i="3"/>
  <c r="C162" i="3"/>
  <c r="R162" i="3"/>
  <c r="S162" i="3"/>
  <c r="C163" i="3"/>
  <c r="R163" i="3"/>
  <c r="S163" i="3"/>
  <c r="C164" i="3"/>
  <c r="R164" i="3"/>
  <c r="S164" i="3"/>
  <c r="C165" i="3"/>
  <c r="R165" i="3"/>
  <c r="S165" i="3"/>
  <c r="C166" i="3"/>
  <c r="R166" i="3"/>
  <c r="S166" i="3"/>
  <c r="C167" i="3"/>
  <c r="R167" i="3"/>
  <c r="S167" i="3"/>
  <c r="C168" i="3"/>
  <c r="R168" i="3"/>
  <c r="S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10" i="3"/>
  <c r="C211" i="3"/>
  <c r="C212" i="3"/>
  <c r="C213" i="3"/>
  <c r="C214" i="3"/>
  <c r="C215" i="3"/>
  <c r="C216" i="3"/>
  <c r="C217" i="3"/>
  <c r="C219" i="3"/>
  <c r="C222" i="3"/>
  <c r="C223" i="3"/>
  <c r="C224" i="3"/>
  <c r="C225" i="3"/>
  <c r="C226" i="3"/>
  <c r="C227" i="3"/>
  <c r="C228" i="3"/>
  <c r="C229" i="3"/>
  <c r="C230" i="3"/>
  <c r="C231" i="3"/>
  <c r="C232" i="3"/>
  <c r="C233" i="3"/>
  <c r="C234" i="3"/>
  <c r="C237" i="3"/>
  <c r="A23" i="45"/>
  <c r="A35" i="45" s="1"/>
  <c r="A47" i="45" s="1"/>
  <c r="A59" i="45" s="1"/>
  <c r="A71" i="45" s="1"/>
  <c r="A83" i="45" s="1"/>
  <c r="A95" i="45" s="1"/>
  <c r="A107" i="45" s="1"/>
  <c r="A119" i="45" s="1"/>
  <c r="A131" i="45" s="1"/>
  <c r="A143" i="45" s="1"/>
  <c r="A155" i="45" s="1"/>
  <c r="A167" i="45" s="1"/>
  <c r="A179" i="45" s="1"/>
  <c r="A191" i="45" s="1"/>
  <c r="A22" i="45"/>
  <c r="A34" i="45" s="1"/>
  <c r="A46" i="45" s="1"/>
  <c r="A58" i="45" s="1"/>
  <c r="A70" i="45" s="1"/>
  <c r="A82" i="45" s="1"/>
  <c r="A94" i="45" s="1"/>
  <c r="A106" i="45" s="1"/>
  <c r="A118" i="45" s="1"/>
  <c r="A130" i="45" s="1"/>
  <c r="A142" i="45" s="1"/>
  <c r="A154" i="45" s="1"/>
  <c r="A166" i="45" s="1"/>
  <c r="A178" i="45" s="1"/>
  <c r="A190" i="45" s="1"/>
  <c r="I5" i="49"/>
  <c r="B10" i="49"/>
  <c r="E10" i="49"/>
  <c r="I10" i="49"/>
  <c r="J10" i="49"/>
  <c r="K10" i="49"/>
  <c r="L10" i="49"/>
  <c r="M10" i="49"/>
  <c r="N10" i="49"/>
  <c r="B11" i="49"/>
  <c r="E11" i="49"/>
  <c r="I11" i="49"/>
  <c r="J11" i="49"/>
  <c r="K11" i="49"/>
  <c r="L11" i="49"/>
  <c r="M11" i="49"/>
  <c r="N11" i="49"/>
  <c r="B12" i="49"/>
  <c r="E12" i="49"/>
  <c r="I12" i="49"/>
  <c r="J12" i="49"/>
  <c r="K12" i="49"/>
  <c r="L12" i="49"/>
  <c r="M12" i="49"/>
  <c r="N12" i="49"/>
  <c r="B13" i="49"/>
  <c r="E13" i="49"/>
  <c r="I13" i="49"/>
  <c r="J13" i="49"/>
  <c r="K13" i="49"/>
  <c r="L13" i="49"/>
  <c r="M13" i="49"/>
  <c r="N13" i="49"/>
  <c r="B14" i="49"/>
  <c r="B15" i="49"/>
  <c r="B16" i="49"/>
  <c r="B17" i="49"/>
  <c r="B18" i="49"/>
  <c r="B19" i="49"/>
  <c r="B20" i="49"/>
  <c r="B21" i="49"/>
  <c r="B22" i="49"/>
  <c r="B23" i="49"/>
  <c r="B24" i="49"/>
  <c r="B25" i="49"/>
  <c r="B26" i="49"/>
  <c r="B27" i="49"/>
  <c r="B28" i="49"/>
  <c r="B29" i="49"/>
  <c r="B30" i="49"/>
  <c r="B31" i="49"/>
  <c r="B32" i="49"/>
  <c r="B33" i="49"/>
  <c r="B34" i="49"/>
  <c r="B35" i="49"/>
  <c r="B36" i="49"/>
  <c r="B37" i="49"/>
  <c r="B38" i="49"/>
  <c r="B39" i="49"/>
  <c r="B40" i="49"/>
  <c r="B41" i="49"/>
  <c r="B42" i="49"/>
  <c r="B43" i="49"/>
  <c r="B44" i="49"/>
  <c r="B45" i="49"/>
  <c r="B46" i="49"/>
  <c r="E46" i="49"/>
  <c r="I46" i="49"/>
  <c r="L46" i="49"/>
  <c r="B47" i="49"/>
  <c r="E47" i="49"/>
  <c r="I47" i="49"/>
  <c r="L47" i="49"/>
  <c r="B48" i="49"/>
  <c r="E48" i="49"/>
  <c r="I48" i="49"/>
  <c r="L48" i="49"/>
  <c r="B49" i="49"/>
  <c r="E49" i="49"/>
  <c r="I49" i="49"/>
  <c r="L49" i="49"/>
  <c r="B50" i="49"/>
  <c r="E50" i="49"/>
  <c r="I50" i="49"/>
  <c r="L50" i="49"/>
  <c r="B51" i="49"/>
  <c r="E51" i="49"/>
  <c r="I51" i="49"/>
  <c r="L51" i="49"/>
  <c r="B52" i="49"/>
  <c r="E52" i="49"/>
  <c r="I52" i="49"/>
  <c r="L52" i="49"/>
  <c r="B53" i="49"/>
  <c r="E53" i="49"/>
  <c r="I53" i="49"/>
  <c r="L53" i="49"/>
  <c r="B54" i="49"/>
  <c r="E54" i="49"/>
  <c r="I54" i="49"/>
  <c r="L54" i="49"/>
  <c r="B55" i="49"/>
  <c r="E55" i="49"/>
  <c r="I55" i="49"/>
  <c r="L55" i="49"/>
  <c r="B56" i="49"/>
  <c r="E56" i="49"/>
  <c r="I56" i="49"/>
  <c r="L56" i="49"/>
  <c r="B57" i="49"/>
  <c r="E57" i="49"/>
  <c r="I57" i="49"/>
  <c r="L57" i="49"/>
  <c r="B58" i="49"/>
  <c r="E58" i="49"/>
  <c r="I58" i="49"/>
  <c r="L58" i="49"/>
  <c r="B59" i="49"/>
  <c r="E59" i="49"/>
  <c r="I59" i="49"/>
  <c r="L59" i="49"/>
  <c r="B60" i="49"/>
  <c r="E60" i="49"/>
  <c r="I60" i="49"/>
  <c r="L60" i="49"/>
  <c r="B61" i="49"/>
  <c r="E61" i="49"/>
  <c r="I61" i="49"/>
  <c r="L61" i="49"/>
  <c r="B62" i="49"/>
  <c r="E62" i="49"/>
  <c r="I62" i="49"/>
  <c r="L62" i="49"/>
  <c r="B63" i="49"/>
  <c r="E63" i="49"/>
  <c r="I63" i="49"/>
  <c r="L63" i="49"/>
  <c r="B64" i="49"/>
  <c r="E64" i="49"/>
  <c r="I64" i="49"/>
  <c r="L64" i="49"/>
  <c r="B65" i="49"/>
  <c r="E65" i="49"/>
  <c r="I65" i="49"/>
  <c r="L65" i="49"/>
  <c r="B66" i="49"/>
  <c r="E66" i="49"/>
  <c r="I66" i="49"/>
  <c r="L66" i="49"/>
  <c r="B67" i="49"/>
  <c r="E67" i="49"/>
  <c r="I67" i="49"/>
  <c r="L67" i="49"/>
  <c r="B68" i="49"/>
  <c r="E68" i="49"/>
  <c r="I68" i="49"/>
  <c r="L68" i="49"/>
  <c r="B69" i="49"/>
  <c r="E69" i="49"/>
  <c r="I69" i="49"/>
  <c r="L69" i="49"/>
  <c r="B70" i="49"/>
  <c r="E70" i="49"/>
  <c r="I70" i="49"/>
  <c r="L70" i="49"/>
  <c r="B71" i="49"/>
  <c r="E71" i="49"/>
  <c r="I71" i="49"/>
  <c r="L71" i="49"/>
  <c r="B72" i="49"/>
  <c r="E72" i="49"/>
  <c r="I72" i="49"/>
  <c r="L72" i="49"/>
  <c r="B73" i="49"/>
  <c r="E73" i="49"/>
  <c r="I73" i="49"/>
  <c r="L73" i="49"/>
  <c r="B74" i="49"/>
  <c r="E74" i="49"/>
  <c r="I74" i="49"/>
  <c r="L74" i="49"/>
  <c r="B75" i="49"/>
  <c r="E75" i="49"/>
  <c r="I75" i="49"/>
  <c r="L75" i="49"/>
  <c r="B76" i="49"/>
  <c r="E76" i="49"/>
  <c r="I76" i="49"/>
  <c r="L76" i="49"/>
  <c r="B77" i="49"/>
  <c r="E77" i="49"/>
  <c r="I77" i="49"/>
  <c r="L77" i="49"/>
  <c r="A78" i="49"/>
  <c r="A82" i="49" s="1"/>
  <c r="A86" i="49" s="1"/>
  <c r="A90" i="49" s="1"/>
  <c r="A94" i="49" s="1"/>
  <c r="A98" i="49" s="1"/>
  <c r="A102" i="49" s="1"/>
  <c r="A106" i="49" s="1"/>
  <c r="A110" i="49" s="1"/>
  <c r="A114" i="49" s="1"/>
  <c r="A118" i="49" s="1"/>
  <c r="A122" i="49" s="1"/>
  <c r="A126" i="49" s="1"/>
  <c r="A130" i="49" s="1"/>
  <c r="A134" i="49" s="1"/>
  <c r="A138" i="49" s="1"/>
  <c r="A142" i="49" s="1"/>
  <c r="A146" i="49" s="1"/>
  <c r="A150" i="49" s="1"/>
  <c r="A154" i="49" s="1"/>
  <c r="A158" i="49" s="1"/>
  <c r="A162" i="49" s="1"/>
  <c r="A166" i="49" s="1"/>
  <c r="B78" i="49"/>
  <c r="E78" i="49"/>
  <c r="I78" i="49"/>
  <c r="L78" i="49"/>
  <c r="A79" i="49"/>
  <c r="A83" i="49" s="1"/>
  <c r="A87" i="49" s="1"/>
  <c r="A91" i="49" s="1"/>
  <c r="A95" i="49" s="1"/>
  <c r="A99" i="49" s="1"/>
  <c r="A103" i="49" s="1"/>
  <c r="A107" i="49" s="1"/>
  <c r="A111" i="49" s="1"/>
  <c r="A115" i="49" s="1"/>
  <c r="A119" i="49" s="1"/>
  <c r="A123" i="49" s="1"/>
  <c r="A127" i="49" s="1"/>
  <c r="A131" i="49" s="1"/>
  <c r="A135" i="49" s="1"/>
  <c r="A139" i="49" s="1"/>
  <c r="A143" i="49" s="1"/>
  <c r="A147" i="49" s="1"/>
  <c r="A151" i="49" s="1"/>
  <c r="A155" i="49" s="1"/>
  <c r="A159" i="49" s="1"/>
  <c r="A163" i="49" s="1"/>
  <c r="A167" i="49" s="1"/>
  <c r="B79" i="49"/>
  <c r="E79" i="49"/>
  <c r="I79" i="49"/>
  <c r="L79" i="49"/>
  <c r="A80" i="49"/>
  <c r="A84" i="49" s="1"/>
  <c r="A88" i="49" s="1"/>
  <c r="A92" i="49" s="1"/>
  <c r="A96" i="49" s="1"/>
  <c r="A100" i="49" s="1"/>
  <c r="A104" i="49" s="1"/>
  <c r="A108" i="49" s="1"/>
  <c r="A112" i="49" s="1"/>
  <c r="A116" i="49" s="1"/>
  <c r="A120" i="49" s="1"/>
  <c r="A124" i="49" s="1"/>
  <c r="A128" i="49" s="1"/>
  <c r="A132" i="49" s="1"/>
  <c r="A136" i="49" s="1"/>
  <c r="A140" i="49" s="1"/>
  <c r="A144" i="49" s="1"/>
  <c r="A148" i="49" s="1"/>
  <c r="A152" i="49" s="1"/>
  <c r="A156" i="49" s="1"/>
  <c r="A160" i="49" s="1"/>
  <c r="A164" i="49" s="1"/>
  <c r="A168" i="49" s="1"/>
  <c r="B80" i="49"/>
  <c r="E80" i="49"/>
  <c r="I80" i="49"/>
  <c r="L80" i="49"/>
  <c r="A81" i="49"/>
  <c r="A85" i="49" s="1"/>
  <c r="A89" i="49" s="1"/>
  <c r="A93" i="49" s="1"/>
  <c r="A97" i="49" s="1"/>
  <c r="A101" i="49" s="1"/>
  <c r="A105" i="49" s="1"/>
  <c r="A109" i="49" s="1"/>
  <c r="A113" i="49" s="1"/>
  <c r="A117" i="49" s="1"/>
  <c r="A121" i="49" s="1"/>
  <c r="A125" i="49" s="1"/>
  <c r="A129" i="49" s="1"/>
  <c r="A133" i="49" s="1"/>
  <c r="A137" i="49" s="1"/>
  <c r="A141" i="49" s="1"/>
  <c r="A145" i="49" s="1"/>
  <c r="A149" i="49" s="1"/>
  <c r="A153" i="49" s="1"/>
  <c r="A157" i="49" s="1"/>
  <c r="A161" i="49" s="1"/>
  <c r="A165" i="49" s="1"/>
  <c r="A169" i="49" s="1"/>
  <c r="B81" i="49"/>
  <c r="E81" i="49"/>
  <c r="I81" i="49"/>
  <c r="L81" i="49"/>
  <c r="C82" i="49"/>
  <c r="B82" i="49" s="1"/>
  <c r="F82" i="49"/>
  <c r="E82" i="49" s="1"/>
  <c r="J82" i="49"/>
  <c r="I82" i="49" s="1"/>
  <c r="M82" i="49"/>
  <c r="L82" i="49" s="1"/>
  <c r="C83" i="49"/>
  <c r="B83" i="49" s="1"/>
  <c r="F83" i="49"/>
  <c r="E83" i="49" s="1"/>
  <c r="J83" i="49"/>
  <c r="I83" i="49" s="1"/>
  <c r="M83" i="49"/>
  <c r="L83" i="49" s="1"/>
  <c r="C84" i="49"/>
  <c r="B84" i="49" s="1"/>
  <c r="F84" i="49"/>
  <c r="E84" i="49" s="1"/>
  <c r="J84" i="49"/>
  <c r="I84" i="49" s="1"/>
  <c r="M84" i="49"/>
  <c r="L84" i="49" s="1"/>
  <c r="C85" i="49"/>
  <c r="B85" i="49" s="1"/>
  <c r="F85" i="49"/>
  <c r="E85" i="49" s="1"/>
  <c r="J85" i="49"/>
  <c r="I85" i="49" s="1"/>
  <c r="M85" i="49"/>
  <c r="L85" i="49" s="1"/>
  <c r="E89" i="49"/>
  <c r="A190" i="78"/>
  <c r="A202" i="78" s="1"/>
  <c r="A214" i="78" s="1"/>
  <c r="A226" i="78" s="1"/>
  <c r="A238" i="78" s="1"/>
  <c r="A250" i="78" s="1"/>
  <c r="A262" i="78" s="1"/>
  <c r="A274" i="78" s="1"/>
  <c r="A286" i="78" s="1"/>
  <c r="A298" i="78" s="1"/>
  <c r="A310" i="78" s="1"/>
  <c r="A322" i="78" s="1"/>
  <c r="A334" i="78" s="1"/>
  <c r="A346" i="78" s="1"/>
  <c r="A358" i="78" s="1"/>
  <c r="A370" i="78" s="1"/>
  <c r="A382" i="78" s="1"/>
  <c r="A394" i="78" s="1"/>
  <c r="A406" i="78" s="1"/>
  <c r="A418" i="78" s="1"/>
  <c r="A430" i="78" s="1"/>
  <c r="A442" i="78" s="1"/>
  <c r="A454" i="78" s="1"/>
  <c r="A191" i="78"/>
  <c r="A203" i="78" s="1"/>
  <c r="A215" i="78" s="1"/>
  <c r="A227" i="78" s="1"/>
  <c r="A239" i="78" s="1"/>
  <c r="A251" i="78" s="1"/>
  <c r="A263" i="78" s="1"/>
  <c r="A275" i="78" s="1"/>
  <c r="A287" i="78" s="1"/>
  <c r="A299" i="78" s="1"/>
  <c r="A311" i="78" s="1"/>
  <c r="A323" i="78" s="1"/>
  <c r="A335" i="78" s="1"/>
  <c r="A347" i="78" s="1"/>
  <c r="A359" i="78" s="1"/>
  <c r="A371" i="78" s="1"/>
  <c r="A383" i="78" s="1"/>
  <c r="A395" i="78" s="1"/>
  <c r="A407" i="78" s="1"/>
  <c r="A419" i="78" s="1"/>
  <c r="A431" i="78" s="1"/>
  <c r="A443" i="78" s="1"/>
  <c r="A455" i="78" s="1"/>
  <c r="A192" i="78"/>
  <c r="A204" i="78" s="1"/>
  <c r="A216" i="78" s="1"/>
  <c r="A228" i="78" s="1"/>
  <c r="A240" i="78" s="1"/>
  <c r="A252" i="78" s="1"/>
  <c r="A264" i="78" s="1"/>
  <c r="A276" i="78" s="1"/>
  <c r="A288" i="78" s="1"/>
  <c r="A300" i="78" s="1"/>
  <c r="A312" i="78" s="1"/>
  <c r="A324" i="78" s="1"/>
  <c r="A336" i="78" s="1"/>
  <c r="A348" i="78" s="1"/>
  <c r="A360" i="78" s="1"/>
  <c r="A372" i="78" s="1"/>
  <c r="A384" i="78" s="1"/>
  <c r="A396" i="78" s="1"/>
  <c r="A408" i="78" s="1"/>
  <c r="A420" i="78" s="1"/>
  <c r="A432" i="78" s="1"/>
  <c r="A444" i="78" s="1"/>
  <c r="A456" i="78" s="1"/>
  <c r="A193" i="78"/>
  <c r="A205" i="78" s="1"/>
  <c r="A217" i="78" s="1"/>
  <c r="A229" i="78" s="1"/>
  <c r="A241" i="78" s="1"/>
  <c r="A253" i="78" s="1"/>
  <c r="A265" i="78" s="1"/>
  <c r="A277" i="78" s="1"/>
  <c r="A289" i="78" s="1"/>
  <c r="A301" i="78" s="1"/>
  <c r="A313" i="78" s="1"/>
  <c r="A325" i="78" s="1"/>
  <c r="A337" i="78" s="1"/>
  <c r="A349" i="78" s="1"/>
  <c r="A361" i="78" s="1"/>
  <c r="A373" i="78" s="1"/>
  <c r="A385" i="78" s="1"/>
  <c r="A397" i="78" s="1"/>
  <c r="A409" i="78" s="1"/>
  <c r="A421" i="78" s="1"/>
  <c r="A433" i="78" s="1"/>
  <c r="A445" i="78" s="1"/>
  <c r="A457" i="78" s="1"/>
  <c r="A194" i="78"/>
  <c r="A206" i="78" s="1"/>
  <c r="A218" i="78" s="1"/>
  <c r="A230" i="78" s="1"/>
  <c r="A242" i="78" s="1"/>
  <c r="A254" i="78" s="1"/>
  <c r="A266" i="78" s="1"/>
  <c r="A278" i="78" s="1"/>
  <c r="A290" i="78" s="1"/>
  <c r="A302" i="78" s="1"/>
  <c r="A314" i="78" s="1"/>
  <c r="A326" i="78" s="1"/>
  <c r="A338" i="78" s="1"/>
  <c r="A350" i="78" s="1"/>
  <c r="A362" i="78" s="1"/>
  <c r="A374" i="78" s="1"/>
  <c r="A386" i="78" s="1"/>
  <c r="A398" i="78" s="1"/>
  <c r="A410" i="78" s="1"/>
  <c r="A422" i="78" s="1"/>
  <c r="A434" i="78" s="1"/>
  <c r="A446" i="78" s="1"/>
  <c r="A458" i="78" s="1"/>
  <c r="A195" i="78"/>
  <c r="A207" i="78" s="1"/>
  <c r="A219" i="78" s="1"/>
  <c r="A231" i="78" s="1"/>
  <c r="A243" i="78" s="1"/>
  <c r="A255" i="78" s="1"/>
  <c r="A267" i="78" s="1"/>
  <c r="A279" i="78" s="1"/>
  <c r="A291" i="78" s="1"/>
  <c r="A303" i="78" s="1"/>
  <c r="A315" i="78" s="1"/>
  <c r="A327" i="78" s="1"/>
  <c r="A339" i="78" s="1"/>
  <c r="A351" i="78" s="1"/>
  <c r="A363" i="78" s="1"/>
  <c r="A375" i="78" s="1"/>
  <c r="A387" i="78" s="1"/>
  <c r="A399" i="78" s="1"/>
  <c r="A411" i="78" s="1"/>
  <c r="A423" i="78" s="1"/>
  <c r="A435" i="78" s="1"/>
  <c r="A447" i="78" s="1"/>
  <c r="A459" i="78" s="1"/>
  <c r="A196" i="78"/>
  <c r="A208" i="78" s="1"/>
  <c r="A220" i="78" s="1"/>
  <c r="A232" i="78" s="1"/>
  <c r="A244" i="78" s="1"/>
  <c r="A256" i="78" s="1"/>
  <c r="A268" i="78" s="1"/>
  <c r="A280" i="78" s="1"/>
  <c r="A292" i="78" s="1"/>
  <c r="A304" i="78" s="1"/>
  <c r="A316" i="78" s="1"/>
  <c r="A328" i="78" s="1"/>
  <c r="A340" i="78" s="1"/>
  <c r="A352" i="78" s="1"/>
  <c r="A364" i="78" s="1"/>
  <c r="A376" i="78" s="1"/>
  <c r="A388" i="78" s="1"/>
  <c r="A400" i="78" s="1"/>
  <c r="A412" i="78" s="1"/>
  <c r="A424" i="78" s="1"/>
  <c r="A436" i="78" s="1"/>
  <c r="A448" i="78" s="1"/>
  <c r="A460" i="78" s="1"/>
  <c r="A197" i="78"/>
  <c r="A209" i="78" s="1"/>
  <c r="A221" i="78" s="1"/>
  <c r="A233" i="78" s="1"/>
  <c r="A245" i="78" s="1"/>
  <c r="A257" i="78" s="1"/>
  <c r="A269" i="78" s="1"/>
  <c r="A281" i="78" s="1"/>
  <c r="A293" i="78" s="1"/>
  <c r="A305" i="78" s="1"/>
  <c r="A317" i="78" s="1"/>
  <c r="A329" i="78" s="1"/>
  <c r="A341" i="78" s="1"/>
  <c r="A353" i="78" s="1"/>
  <c r="A365" i="78" s="1"/>
  <c r="A377" i="78" s="1"/>
  <c r="A389" i="78" s="1"/>
  <c r="A401" i="78" s="1"/>
  <c r="A413" i="78" s="1"/>
  <c r="A425" i="78" s="1"/>
  <c r="A437" i="78" s="1"/>
  <c r="A449" i="78" s="1"/>
  <c r="A461" i="78" s="1"/>
  <c r="A198" i="78"/>
  <c r="A210" i="78" s="1"/>
  <c r="A222" i="78" s="1"/>
  <c r="A234" i="78" s="1"/>
  <c r="A246" i="78" s="1"/>
  <c r="A258" i="78" s="1"/>
  <c r="A270" i="78" s="1"/>
  <c r="A282" i="78" s="1"/>
  <c r="A294" i="78" s="1"/>
  <c r="A306" i="78" s="1"/>
  <c r="A318" i="78" s="1"/>
  <c r="A330" i="78" s="1"/>
  <c r="A342" i="78" s="1"/>
  <c r="A354" i="78" s="1"/>
  <c r="A366" i="78" s="1"/>
  <c r="A378" i="78" s="1"/>
  <c r="A390" i="78" s="1"/>
  <c r="A402" i="78" s="1"/>
  <c r="A414" i="78" s="1"/>
  <c r="A426" i="78" s="1"/>
  <c r="A438" i="78" s="1"/>
  <c r="A450" i="78" s="1"/>
  <c r="A462" i="78" s="1"/>
  <c r="A199" i="78"/>
  <c r="A211" i="78" s="1"/>
  <c r="A223" i="78" s="1"/>
  <c r="A235" i="78" s="1"/>
  <c r="A247" i="78" s="1"/>
  <c r="A259" i="78" s="1"/>
  <c r="A271" i="78" s="1"/>
  <c r="A283" i="78" s="1"/>
  <c r="A295" i="78" s="1"/>
  <c r="A307" i="78" s="1"/>
  <c r="A319" i="78" s="1"/>
  <c r="A331" i="78" s="1"/>
  <c r="A343" i="78" s="1"/>
  <c r="A355" i="78" s="1"/>
  <c r="A367" i="78" s="1"/>
  <c r="A379" i="78" s="1"/>
  <c r="A391" i="78" s="1"/>
  <c r="A403" i="78" s="1"/>
  <c r="A415" i="78" s="1"/>
  <c r="A427" i="78" s="1"/>
  <c r="A439" i="78" s="1"/>
  <c r="A451" i="78" s="1"/>
  <c r="A463" i="78" s="1"/>
  <c r="A200" i="78"/>
  <c r="A212" i="78" s="1"/>
  <c r="A224" i="78" s="1"/>
  <c r="A236" i="78" s="1"/>
  <c r="A248" i="78" s="1"/>
  <c r="A260" i="78" s="1"/>
  <c r="A272" i="78" s="1"/>
  <c r="A284" i="78" s="1"/>
  <c r="A296" i="78" s="1"/>
  <c r="A308" i="78" s="1"/>
  <c r="A320" i="78" s="1"/>
  <c r="A332" i="78" s="1"/>
  <c r="A344" i="78" s="1"/>
  <c r="A356" i="78" s="1"/>
  <c r="A368" i="78" s="1"/>
  <c r="A380" i="78" s="1"/>
  <c r="A392" i="78" s="1"/>
  <c r="A404" i="78" s="1"/>
  <c r="A416" i="78" s="1"/>
  <c r="A428" i="78" s="1"/>
  <c r="A440" i="78" s="1"/>
  <c r="A452" i="78" s="1"/>
  <c r="A464" i="78" s="1"/>
  <c r="A201" i="78"/>
  <c r="A213" i="78" s="1"/>
  <c r="A225" i="78" s="1"/>
  <c r="A237" i="78" s="1"/>
  <c r="A249" i="78" s="1"/>
  <c r="A261" i="78" s="1"/>
  <c r="A273" i="78" s="1"/>
  <c r="A285" i="78" s="1"/>
  <c r="A297" i="78" s="1"/>
  <c r="A309" i="78" s="1"/>
  <c r="A321" i="78" s="1"/>
  <c r="A333" i="78" s="1"/>
  <c r="A345" i="78" s="1"/>
  <c r="A357" i="78" s="1"/>
  <c r="A369" i="78" s="1"/>
  <c r="A381" i="78" s="1"/>
  <c r="A393" i="78" s="1"/>
  <c r="A405" i="78" s="1"/>
  <c r="A417" i="78" s="1"/>
  <c r="A429" i="78" s="1"/>
  <c r="A441" i="78" s="1"/>
  <c r="A453" i="78" s="1"/>
  <c r="A465" i="78" s="1"/>
  <c r="A178" i="20"/>
  <c r="A190" i="20" s="1"/>
  <c r="A202" i="20" s="1"/>
  <c r="A214" i="20" s="1"/>
  <c r="A226" i="20" s="1"/>
  <c r="A238" i="20" s="1"/>
  <c r="A250" i="20" s="1"/>
  <c r="A262" i="20" s="1"/>
  <c r="A274" i="20" s="1"/>
  <c r="A286" i="20" s="1"/>
  <c r="A298" i="20" s="1"/>
  <c r="A310" i="20" s="1"/>
  <c r="A322" i="20" s="1"/>
  <c r="A334" i="20" s="1"/>
  <c r="A346" i="20" s="1"/>
  <c r="A358" i="20" s="1"/>
  <c r="A370" i="20" s="1"/>
  <c r="A382" i="20" s="1"/>
  <c r="A394" i="20" s="1"/>
  <c r="A406" i="20" s="1"/>
  <c r="A418" i="20" s="1"/>
  <c r="A430" i="20" s="1"/>
  <c r="A442" i="20" s="1"/>
  <c r="A179" i="20"/>
  <c r="A191" i="20" s="1"/>
  <c r="A203" i="20" s="1"/>
  <c r="A215" i="20" s="1"/>
  <c r="A227" i="20" s="1"/>
  <c r="A239" i="20" s="1"/>
  <c r="A251" i="20" s="1"/>
  <c r="A263" i="20" s="1"/>
  <c r="A275" i="20" s="1"/>
  <c r="A287" i="20" s="1"/>
  <c r="A299" i="20" s="1"/>
  <c r="A311" i="20" s="1"/>
  <c r="A323" i="20" s="1"/>
  <c r="A335" i="20" s="1"/>
  <c r="A347" i="20" s="1"/>
  <c r="A359" i="20" s="1"/>
  <c r="A371" i="20" s="1"/>
  <c r="A383" i="20" s="1"/>
  <c r="A395" i="20" s="1"/>
  <c r="A407" i="20" s="1"/>
  <c r="A419" i="20" s="1"/>
  <c r="A431" i="20" s="1"/>
  <c r="A443" i="20" s="1"/>
  <c r="A180" i="20"/>
  <c r="A192" i="20" s="1"/>
  <c r="A204" i="20" s="1"/>
  <c r="A216" i="20" s="1"/>
  <c r="A228" i="20" s="1"/>
  <c r="A240" i="20" s="1"/>
  <c r="A252" i="20" s="1"/>
  <c r="A264" i="20" s="1"/>
  <c r="A276" i="20" s="1"/>
  <c r="A288" i="20" s="1"/>
  <c r="A300" i="20" s="1"/>
  <c r="A312" i="20" s="1"/>
  <c r="A324" i="20" s="1"/>
  <c r="A336" i="20" s="1"/>
  <c r="A348" i="20" s="1"/>
  <c r="A360" i="20" s="1"/>
  <c r="A372" i="20" s="1"/>
  <c r="A384" i="20" s="1"/>
  <c r="A396" i="20" s="1"/>
  <c r="A408" i="20" s="1"/>
  <c r="A420" i="20" s="1"/>
  <c r="A432" i="20" s="1"/>
  <c r="A444" i="20" s="1"/>
  <c r="A181" i="20"/>
  <c r="A193" i="20" s="1"/>
  <c r="A205" i="20" s="1"/>
  <c r="A217" i="20" s="1"/>
  <c r="A229" i="20" s="1"/>
  <c r="A241" i="20" s="1"/>
  <c r="A253" i="20" s="1"/>
  <c r="A265" i="20" s="1"/>
  <c r="A277" i="20" s="1"/>
  <c r="A289" i="20" s="1"/>
  <c r="A301" i="20" s="1"/>
  <c r="A313" i="20" s="1"/>
  <c r="A325" i="20" s="1"/>
  <c r="A337" i="20" s="1"/>
  <c r="A349" i="20" s="1"/>
  <c r="A361" i="20" s="1"/>
  <c r="A373" i="20" s="1"/>
  <c r="A385" i="20" s="1"/>
  <c r="A397" i="20" s="1"/>
  <c r="A409" i="20" s="1"/>
  <c r="A421" i="20" s="1"/>
  <c r="A433" i="20" s="1"/>
  <c r="A445" i="20" s="1"/>
  <c r="A182" i="20"/>
  <c r="A194" i="20" s="1"/>
  <c r="A206" i="20" s="1"/>
  <c r="A218" i="20" s="1"/>
  <c r="A230" i="20" s="1"/>
  <c r="A242" i="20" s="1"/>
  <c r="A254" i="20" s="1"/>
  <c r="A266" i="20" s="1"/>
  <c r="A278" i="20" s="1"/>
  <c r="A290" i="20" s="1"/>
  <c r="A302" i="20" s="1"/>
  <c r="A314" i="20" s="1"/>
  <c r="A326" i="20" s="1"/>
  <c r="A338" i="20" s="1"/>
  <c r="A350" i="20" s="1"/>
  <c r="A362" i="20" s="1"/>
  <c r="A374" i="20" s="1"/>
  <c r="A386" i="20" s="1"/>
  <c r="A398" i="20" s="1"/>
  <c r="A410" i="20" s="1"/>
  <c r="A422" i="20" s="1"/>
  <c r="A434" i="20" s="1"/>
  <c r="A446" i="20" s="1"/>
  <c r="A183" i="20"/>
  <c r="A195" i="20" s="1"/>
  <c r="A207" i="20" s="1"/>
  <c r="A219" i="20" s="1"/>
  <c r="A231" i="20" s="1"/>
  <c r="A243" i="20" s="1"/>
  <c r="A255" i="20" s="1"/>
  <c r="A267" i="20" s="1"/>
  <c r="A279" i="20" s="1"/>
  <c r="A291" i="20" s="1"/>
  <c r="A303" i="20" s="1"/>
  <c r="A315" i="20" s="1"/>
  <c r="A327" i="20" s="1"/>
  <c r="A339" i="20" s="1"/>
  <c r="A351" i="20" s="1"/>
  <c r="A363" i="20" s="1"/>
  <c r="A375" i="20" s="1"/>
  <c r="A387" i="20" s="1"/>
  <c r="A399" i="20" s="1"/>
  <c r="A411" i="20" s="1"/>
  <c r="A423" i="20" s="1"/>
  <c r="A435" i="20" s="1"/>
  <c r="A447" i="20" s="1"/>
  <c r="A184" i="20"/>
  <c r="A196" i="20" s="1"/>
  <c r="A208" i="20" s="1"/>
  <c r="A220" i="20" s="1"/>
  <c r="A232" i="20" s="1"/>
  <c r="A244" i="20" s="1"/>
  <c r="A256" i="20" s="1"/>
  <c r="A268" i="20" s="1"/>
  <c r="A280" i="20" s="1"/>
  <c r="A292" i="20" s="1"/>
  <c r="A304" i="20" s="1"/>
  <c r="A316" i="20" s="1"/>
  <c r="A328" i="20" s="1"/>
  <c r="A340" i="20" s="1"/>
  <c r="A352" i="20" s="1"/>
  <c r="A364" i="20" s="1"/>
  <c r="A376" i="20" s="1"/>
  <c r="A388" i="20" s="1"/>
  <c r="A400" i="20" s="1"/>
  <c r="A412" i="20" s="1"/>
  <c r="A424" i="20" s="1"/>
  <c r="A436" i="20" s="1"/>
  <c r="A448" i="20" s="1"/>
  <c r="A185" i="20"/>
  <c r="A197" i="20" s="1"/>
  <c r="A209" i="20" s="1"/>
  <c r="A221" i="20" s="1"/>
  <c r="A233" i="20" s="1"/>
  <c r="A245" i="20" s="1"/>
  <c r="A257" i="20" s="1"/>
  <c r="A269" i="20" s="1"/>
  <c r="A281" i="20" s="1"/>
  <c r="A293" i="20" s="1"/>
  <c r="A305" i="20" s="1"/>
  <c r="A317" i="20" s="1"/>
  <c r="A329" i="20" s="1"/>
  <c r="A341" i="20" s="1"/>
  <c r="A353" i="20" s="1"/>
  <c r="A365" i="20" s="1"/>
  <c r="A377" i="20" s="1"/>
  <c r="A389" i="20" s="1"/>
  <c r="A401" i="20" s="1"/>
  <c r="A413" i="20" s="1"/>
  <c r="A425" i="20" s="1"/>
  <c r="A437" i="20" s="1"/>
  <c r="A449" i="20" s="1"/>
  <c r="A186" i="20"/>
  <c r="A198" i="20" s="1"/>
  <c r="A210" i="20" s="1"/>
  <c r="A222" i="20" s="1"/>
  <c r="A234" i="20" s="1"/>
  <c r="A246" i="20" s="1"/>
  <c r="A258" i="20" s="1"/>
  <c r="A270" i="20" s="1"/>
  <c r="A282" i="20" s="1"/>
  <c r="A294" i="20" s="1"/>
  <c r="A306" i="20" s="1"/>
  <c r="A318" i="20" s="1"/>
  <c r="A330" i="20" s="1"/>
  <c r="A342" i="20" s="1"/>
  <c r="A354" i="20" s="1"/>
  <c r="A366" i="20" s="1"/>
  <c r="A378" i="20" s="1"/>
  <c r="A390" i="20" s="1"/>
  <c r="A402" i="20" s="1"/>
  <c r="A414" i="20" s="1"/>
  <c r="A426" i="20" s="1"/>
  <c r="A438" i="20" s="1"/>
  <c r="A450" i="20" s="1"/>
  <c r="A187" i="20"/>
  <c r="A199" i="20" s="1"/>
  <c r="A211" i="20" s="1"/>
  <c r="A223" i="20" s="1"/>
  <c r="A235" i="20" s="1"/>
  <c r="A247" i="20" s="1"/>
  <c r="A259" i="20" s="1"/>
  <c r="A271" i="20" s="1"/>
  <c r="A283" i="20" s="1"/>
  <c r="A295" i="20" s="1"/>
  <c r="A307" i="20" s="1"/>
  <c r="A319" i="20" s="1"/>
  <c r="A331" i="20" s="1"/>
  <c r="A343" i="20" s="1"/>
  <c r="A355" i="20" s="1"/>
  <c r="A367" i="20" s="1"/>
  <c r="A379" i="20" s="1"/>
  <c r="A391" i="20" s="1"/>
  <c r="A403" i="20" s="1"/>
  <c r="A415" i="20" s="1"/>
  <c r="A427" i="20" s="1"/>
  <c r="A439" i="20" s="1"/>
  <c r="A451" i="20" s="1"/>
  <c r="A188" i="20"/>
  <c r="A200" i="20" s="1"/>
  <c r="A212" i="20" s="1"/>
  <c r="A224" i="20" s="1"/>
  <c r="A236" i="20" s="1"/>
  <c r="A248" i="20" s="1"/>
  <c r="A260" i="20" s="1"/>
  <c r="A272" i="20" s="1"/>
  <c r="A284" i="20" s="1"/>
  <c r="A296" i="20" s="1"/>
  <c r="A308" i="20" s="1"/>
  <c r="A320" i="20" s="1"/>
  <c r="A332" i="20" s="1"/>
  <c r="A344" i="20" s="1"/>
  <c r="A356" i="20" s="1"/>
  <c r="A368" i="20" s="1"/>
  <c r="A380" i="20" s="1"/>
  <c r="A392" i="20" s="1"/>
  <c r="A404" i="20" s="1"/>
  <c r="A416" i="20" s="1"/>
  <c r="A428" i="20" s="1"/>
  <c r="A440" i="20" s="1"/>
  <c r="A452" i="20" s="1"/>
  <c r="A189" i="20"/>
  <c r="A201" i="20" s="1"/>
  <c r="A213" i="20" s="1"/>
  <c r="A225" i="20" s="1"/>
  <c r="A237" i="20" s="1"/>
  <c r="A249" i="20" s="1"/>
  <c r="A261" i="20" s="1"/>
  <c r="A273" i="20" s="1"/>
  <c r="A285" i="20" s="1"/>
  <c r="A297" i="20" s="1"/>
  <c r="A309" i="20" s="1"/>
  <c r="A321" i="20" s="1"/>
  <c r="A333" i="20" s="1"/>
  <c r="A345" i="20" s="1"/>
  <c r="A357" i="20" s="1"/>
  <c r="A369" i="20" s="1"/>
  <c r="A381" i="20" s="1"/>
  <c r="A393" i="20" s="1"/>
  <c r="A405" i="20" s="1"/>
  <c r="A417" i="20" s="1"/>
  <c r="A429" i="20" s="1"/>
  <c r="A441" i="20" s="1"/>
  <c r="A453" i="20" s="1"/>
  <c r="A11" i="68"/>
  <c r="A12" i="68" s="1"/>
  <c r="A22" i="68"/>
  <c r="A34" i="68" s="1"/>
  <c r="A46" i="68" s="1"/>
  <c r="A58" i="68" s="1"/>
  <c r="A70" i="68" s="1"/>
  <c r="A82" i="68" s="1"/>
  <c r="A94" i="68" s="1"/>
  <c r="A106" i="68" s="1"/>
  <c r="A118" i="68" s="1"/>
  <c r="A130" i="68" s="1"/>
  <c r="A142" i="68" s="1"/>
  <c r="A154" i="68" s="1"/>
  <c r="A166" i="68" s="1"/>
  <c r="A178" i="68" s="1"/>
  <c r="A190" i="68" s="1"/>
  <c r="A202" i="68" s="1"/>
  <c r="A214" i="68" s="1"/>
  <c r="A226" i="68" s="1"/>
  <c r="A238" i="68" s="1"/>
  <c r="A250" i="68" s="1"/>
  <c r="A262" i="68" s="1"/>
  <c r="A274" i="68" s="1"/>
  <c r="A286" i="68" s="1"/>
  <c r="A298" i="68" s="1"/>
  <c r="A310" i="68" s="1"/>
  <c r="A322" i="68" s="1"/>
  <c r="A334" i="68" s="1"/>
  <c r="A346" i="68" s="1"/>
  <c r="A358" i="68" s="1"/>
  <c r="A370" i="68" s="1"/>
  <c r="A382" i="68" s="1"/>
  <c r="A394" i="68" s="1"/>
  <c r="A406" i="68" s="1"/>
  <c r="A418" i="68" s="1"/>
  <c r="A430" i="68" s="1"/>
  <c r="A442" i="68" s="1"/>
  <c r="A454" i="68" s="1"/>
  <c r="A226" i="30"/>
  <c r="A238" i="30" s="1"/>
  <c r="A250" i="30" s="1"/>
  <c r="A262" i="30" s="1"/>
  <c r="A274" i="30" s="1"/>
  <c r="A286" i="30" s="1"/>
  <c r="A298" i="30" s="1"/>
  <c r="A310" i="30" s="1"/>
  <c r="A322" i="30" s="1"/>
  <c r="A334" i="30" s="1"/>
  <c r="A346" i="30" s="1"/>
  <c r="A358" i="30" s="1"/>
  <c r="A370" i="30" s="1"/>
  <c r="A382" i="30" s="1"/>
  <c r="A394" i="30" s="1"/>
  <c r="A406" i="30" s="1"/>
  <c r="A418" i="30" s="1"/>
  <c r="A430" i="30" s="1"/>
  <c r="A442" i="30" s="1"/>
  <c r="A454" i="30" s="1"/>
  <c r="A466" i="30" s="1"/>
  <c r="A478" i="30" s="1"/>
  <c r="A227" i="30"/>
  <c r="A239" i="30" s="1"/>
  <c r="A251" i="30" s="1"/>
  <c r="A263" i="30" s="1"/>
  <c r="A275" i="30" s="1"/>
  <c r="A287" i="30" s="1"/>
  <c r="A299" i="30" s="1"/>
  <c r="A311" i="30" s="1"/>
  <c r="A323" i="30" s="1"/>
  <c r="A335" i="30" s="1"/>
  <c r="A347" i="30" s="1"/>
  <c r="A359" i="30" s="1"/>
  <c r="A371" i="30" s="1"/>
  <c r="A383" i="30" s="1"/>
  <c r="A395" i="30" s="1"/>
  <c r="A407" i="30" s="1"/>
  <c r="A419" i="30" s="1"/>
  <c r="A431" i="30" s="1"/>
  <c r="A443" i="30" s="1"/>
  <c r="A455" i="30" s="1"/>
  <c r="A467" i="30" s="1"/>
  <c r="A479" i="30" s="1"/>
  <c r="A228" i="30"/>
  <c r="A240" i="30" s="1"/>
  <c r="A252" i="30" s="1"/>
  <c r="A264" i="30" s="1"/>
  <c r="A276" i="30" s="1"/>
  <c r="A288" i="30" s="1"/>
  <c r="A300" i="30" s="1"/>
  <c r="A312" i="30" s="1"/>
  <c r="A324" i="30" s="1"/>
  <c r="A336" i="30" s="1"/>
  <c r="A348" i="30" s="1"/>
  <c r="A360" i="30" s="1"/>
  <c r="A372" i="30" s="1"/>
  <c r="A384" i="30" s="1"/>
  <c r="A396" i="30" s="1"/>
  <c r="A408" i="30" s="1"/>
  <c r="A420" i="30" s="1"/>
  <c r="A432" i="30" s="1"/>
  <c r="A444" i="30" s="1"/>
  <c r="A456" i="30" s="1"/>
  <c r="A468" i="30" s="1"/>
  <c r="A480" i="30" s="1"/>
  <c r="A229" i="30"/>
  <c r="A241" i="30" s="1"/>
  <c r="A253" i="30" s="1"/>
  <c r="A265" i="30" s="1"/>
  <c r="A277" i="30" s="1"/>
  <c r="A289" i="30" s="1"/>
  <c r="A301" i="30" s="1"/>
  <c r="A313" i="30" s="1"/>
  <c r="A325" i="30" s="1"/>
  <c r="A337" i="30" s="1"/>
  <c r="A349" i="30" s="1"/>
  <c r="A361" i="30" s="1"/>
  <c r="A373" i="30" s="1"/>
  <c r="A385" i="30" s="1"/>
  <c r="A397" i="30" s="1"/>
  <c r="A409" i="30" s="1"/>
  <c r="A421" i="30" s="1"/>
  <c r="A433" i="30" s="1"/>
  <c r="A445" i="30" s="1"/>
  <c r="A457" i="30" s="1"/>
  <c r="A469" i="30" s="1"/>
  <c r="A481" i="30" s="1"/>
  <c r="A230" i="30"/>
  <c r="A242" i="30" s="1"/>
  <c r="A254" i="30" s="1"/>
  <c r="A266" i="30" s="1"/>
  <c r="A278" i="30" s="1"/>
  <c r="A290" i="30" s="1"/>
  <c r="A302" i="30" s="1"/>
  <c r="A314" i="30" s="1"/>
  <c r="A326" i="30" s="1"/>
  <c r="A338" i="30" s="1"/>
  <c r="A350" i="30" s="1"/>
  <c r="A362" i="30" s="1"/>
  <c r="A374" i="30" s="1"/>
  <c r="A386" i="30" s="1"/>
  <c r="A398" i="30" s="1"/>
  <c r="A410" i="30" s="1"/>
  <c r="A422" i="30" s="1"/>
  <c r="A434" i="30" s="1"/>
  <c r="A446" i="30" s="1"/>
  <c r="A458" i="30" s="1"/>
  <c r="A470" i="30" s="1"/>
  <c r="A482" i="30" s="1"/>
  <c r="A231" i="30"/>
  <c r="A243" i="30" s="1"/>
  <c r="A255" i="30" s="1"/>
  <c r="A267" i="30" s="1"/>
  <c r="A279" i="30" s="1"/>
  <c r="A291" i="30" s="1"/>
  <c r="A303" i="30" s="1"/>
  <c r="A315" i="30" s="1"/>
  <c r="A327" i="30" s="1"/>
  <c r="A339" i="30" s="1"/>
  <c r="A351" i="30" s="1"/>
  <c r="A363" i="30" s="1"/>
  <c r="A375" i="30" s="1"/>
  <c r="A387" i="30" s="1"/>
  <c r="A399" i="30" s="1"/>
  <c r="A411" i="30" s="1"/>
  <c r="A423" i="30" s="1"/>
  <c r="A435" i="30" s="1"/>
  <c r="A447" i="30" s="1"/>
  <c r="A459" i="30" s="1"/>
  <c r="A471" i="30" s="1"/>
  <c r="A483" i="30" s="1"/>
  <c r="A232" i="30"/>
  <c r="A244" i="30" s="1"/>
  <c r="A256" i="30" s="1"/>
  <c r="A268" i="30" s="1"/>
  <c r="A280" i="30" s="1"/>
  <c r="A292" i="30" s="1"/>
  <c r="A304" i="30" s="1"/>
  <c r="A316" i="30" s="1"/>
  <c r="A328" i="30" s="1"/>
  <c r="A340" i="30" s="1"/>
  <c r="A352" i="30" s="1"/>
  <c r="A364" i="30" s="1"/>
  <c r="A376" i="30" s="1"/>
  <c r="A388" i="30" s="1"/>
  <c r="A400" i="30" s="1"/>
  <c r="A412" i="30" s="1"/>
  <c r="A424" i="30" s="1"/>
  <c r="A436" i="30" s="1"/>
  <c r="A448" i="30" s="1"/>
  <c r="A460" i="30" s="1"/>
  <c r="A472" i="30" s="1"/>
  <c r="A484" i="30" s="1"/>
  <c r="A233" i="30"/>
  <c r="A245" i="30" s="1"/>
  <c r="A257" i="30" s="1"/>
  <c r="A269" i="30" s="1"/>
  <c r="A281" i="30" s="1"/>
  <c r="A293" i="30" s="1"/>
  <c r="A305" i="30" s="1"/>
  <c r="A317" i="30" s="1"/>
  <c r="A329" i="30" s="1"/>
  <c r="A341" i="30" s="1"/>
  <c r="A353" i="30" s="1"/>
  <c r="A365" i="30" s="1"/>
  <c r="A377" i="30" s="1"/>
  <c r="A389" i="30" s="1"/>
  <c r="A401" i="30" s="1"/>
  <c r="A413" i="30" s="1"/>
  <c r="A425" i="30" s="1"/>
  <c r="A437" i="30" s="1"/>
  <c r="A449" i="30" s="1"/>
  <c r="A461" i="30" s="1"/>
  <c r="A473" i="30" s="1"/>
  <c r="A485" i="30" s="1"/>
  <c r="A234" i="30"/>
  <c r="A246" i="30" s="1"/>
  <c r="A258" i="30" s="1"/>
  <c r="A270" i="30" s="1"/>
  <c r="A282" i="30" s="1"/>
  <c r="A294" i="30" s="1"/>
  <c r="A306" i="30" s="1"/>
  <c r="A318" i="30" s="1"/>
  <c r="A330" i="30" s="1"/>
  <c r="A342" i="30" s="1"/>
  <c r="A354" i="30" s="1"/>
  <c r="A366" i="30" s="1"/>
  <c r="A378" i="30" s="1"/>
  <c r="A390" i="30" s="1"/>
  <c r="A402" i="30" s="1"/>
  <c r="A414" i="30" s="1"/>
  <c r="A426" i="30" s="1"/>
  <c r="A438" i="30" s="1"/>
  <c r="A450" i="30" s="1"/>
  <c r="A462" i="30" s="1"/>
  <c r="A474" i="30" s="1"/>
  <c r="A486" i="30" s="1"/>
  <c r="A235" i="30"/>
  <c r="A247" i="30" s="1"/>
  <c r="A259" i="30" s="1"/>
  <c r="A271" i="30" s="1"/>
  <c r="A283" i="30" s="1"/>
  <c r="A295" i="30" s="1"/>
  <c r="A307" i="30" s="1"/>
  <c r="A319" i="30" s="1"/>
  <c r="A331" i="30" s="1"/>
  <c r="A343" i="30" s="1"/>
  <c r="A355" i="30" s="1"/>
  <c r="A367" i="30" s="1"/>
  <c r="A379" i="30" s="1"/>
  <c r="A391" i="30" s="1"/>
  <c r="A403" i="30" s="1"/>
  <c r="A415" i="30" s="1"/>
  <c r="A427" i="30" s="1"/>
  <c r="A439" i="30" s="1"/>
  <c r="A451" i="30" s="1"/>
  <c r="A463" i="30" s="1"/>
  <c r="A475" i="30" s="1"/>
  <c r="A487" i="30" s="1"/>
  <c r="A236" i="30"/>
  <c r="A248" i="30" s="1"/>
  <c r="A260" i="30" s="1"/>
  <c r="A272" i="30" s="1"/>
  <c r="A284" i="30" s="1"/>
  <c r="A296" i="30" s="1"/>
  <c r="A308" i="30" s="1"/>
  <c r="A320" i="30" s="1"/>
  <c r="A332" i="30" s="1"/>
  <c r="A344" i="30" s="1"/>
  <c r="A356" i="30" s="1"/>
  <c r="A368" i="30" s="1"/>
  <c r="A380" i="30" s="1"/>
  <c r="A392" i="30" s="1"/>
  <c r="A404" i="30" s="1"/>
  <c r="A416" i="30" s="1"/>
  <c r="A428" i="30" s="1"/>
  <c r="A440" i="30" s="1"/>
  <c r="A452" i="30" s="1"/>
  <c r="A464" i="30" s="1"/>
  <c r="A476" i="30" s="1"/>
  <c r="A488" i="30" s="1"/>
  <c r="A237" i="30"/>
  <c r="A249" i="30" s="1"/>
  <c r="A261" i="30" s="1"/>
  <c r="A273" i="30" s="1"/>
  <c r="A285" i="30" s="1"/>
  <c r="A297" i="30" s="1"/>
  <c r="A309" i="30" s="1"/>
  <c r="A321" i="30" s="1"/>
  <c r="A333" i="30" s="1"/>
  <c r="A345" i="30" s="1"/>
  <c r="A357" i="30" s="1"/>
  <c r="A369" i="30" s="1"/>
  <c r="A381" i="30" s="1"/>
  <c r="A393" i="30" s="1"/>
  <c r="A405" i="30" s="1"/>
  <c r="A417" i="30" s="1"/>
  <c r="A429" i="30" s="1"/>
  <c r="A441" i="30" s="1"/>
  <c r="A453" i="30" s="1"/>
  <c r="A465" i="30" s="1"/>
  <c r="A477" i="30" s="1"/>
  <c r="A489" i="30" s="1"/>
  <c r="A178" i="41"/>
  <c r="A190" i="41" s="1"/>
  <c r="A202" i="41" s="1"/>
  <c r="A214" i="41" s="1"/>
  <c r="A226" i="41" s="1"/>
  <c r="A238" i="41" s="1"/>
  <c r="A250" i="41" s="1"/>
  <c r="A262" i="41" s="1"/>
  <c r="A274" i="41" s="1"/>
  <c r="A286" i="41" s="1"/>
  <c r="A298" i="41" s="1"/>
  <c r="A310" i="41" s="1"/>
  <c r="A322" i="41" s="1"/>
  <c r="A334" i="41" s="1"/>
  <c r="A346" i="41" s="1"/>
  <c r="A358" i="41" s="1"/>
  <c r="A370" i="41" s="1"/>
  <c r="A382" i="41" s="1"/>
  <c r="A394" i="41" s="1"/>
  <c r="A406" i="41" s="1"/>
  <c r="A418" i="41" s="1"/>
  <c r="A430" i="41" s="1"/>
  <c r="A442" i="41" s="1"/>
  <c r="A179" i="41"/>
  <c r="A191" i="41" s="1"/>
  <c r="A203" i="41" s="1"/>
  <c r="A215" i="41" s="1"/>
  <c r="A227" i="41" s="1"/>
  <c r="A239" i="41" s="1"/>
  <c r="A251" i="41" s="1"/>
  <c r="A263" i="41" s="1"/>
  <c r="A275" i="41" s="1"/>
  <c r="A287" i="41" s="1"/>
  <c r="A299" i="41" s="1"/>
  <c r="A311" i="41" s="1"/>
  <c r="A323" i="41" s="1"/>
  <c r="A335" i="41" s="1"/>
  <c r="A347" i="41" s="1"/>
  <c r="A359" i="41" s="1"/>
  <c r="A371" i="41" s="1"/>
  <c r="A383" i="41" s="1"/>
  <c r="A395" i="41" s="1"/>
  <c r="A407" i="41" s="1"/>
  <c r="A419" i="41" s="1"/>
  <c r="A431" i="41" s="1"/>
  <c r="A443" i="41" s="1"/>
  <c r="A180" i="41"/>
  <c r="A192" i="41" s="1"/>
  <c r="A204" i="41" s="1"/>
  <c r="A216" i="41" s="1"/>
  <c r="A228" i="41" s="1"/>
  <c r="A240" i="41" s="1"/>
  <c r="A252" i="41" s="1"/>
  <c r="A264" i="41" s="1"/>
  <c r="A276" i="41" s="1"/>
  <c r="A288" i="41" s="1"/>
  <c r="A300" i="41" s="1"/>
  <c r="A312" i="41" s="1"/>
  <c r="A324" i="41" s="1"/>
  <c r="A336" i="41" s="1"/>
  <c r="A348" i="41" s="1"/>
  <c r="A360" i="41" s="1"/>
  <c r="A372" i="41" s="1"/>
  <c r="A384" i="41" s="1"/>
  <c r="A396" i="41" s="1"/>
  <c r="A408" i="41" s="1"/>
  <c r="A420" i="41" s="1"/>
  <c r="A432" i="41" s="1"/>
  <c r="A444" i="41" s="1"/>
  <c r="A181" i="41"/>
  <c r="A193" i="41" s="1"/>
  <c r="A205" i="41" s="1"/>
  <c r="A217" i="41" s="1"/>
  <c r="A229" i="41" s="1"/>
  <c r="A241" i="41" s="1"/>
  <c r="A253" i="41" s="1"/>
  <c r="A265" i="41" s="1"/>
  <c r="A277" i="41" s="1"/>
  <c r="A289" i="41" s="1"/>
  <c r="A301" i="41" s="1"/>
  <c r="A313" i="41" s="1"/>
  <c r="A325" i="41" s="1"/>
  <c r="A337" i="41" s="1"/>
  <c r="A349" i="41" s="1"/>
  <c r="A361" i="41" s="1"/>
  <c r="A373" i="41" s="1"/>
  <c r="A385" i="41" s="1"/>
  <c r="A397" i="41" s="1"/>
  <c r="A409" i="41" s="1"/>
  <c r="A421" i="41" s="1"/>
  <c r="A433" i="41" s="1"/>
  <c r="A445" i="41" s="1"/>
  <c r="A182" i="41"/>
  <c r="A194" i="41" s="1"/>
  <c r="A206" i="41" s="1"/>
  <c r="A218" i="41" s="1"/>
  <c r="A230" i="41" s="1"/>
  <c r="A242" i="41" s="1"/>
  <c r="A254" i="41" s="1"/>
  <c r="A266" i="41" s="1"/>
  <c r="A278" i="41" s="1"/>
  <c r="A290" i="41" s="1"/>
  <c r="A302" i="41" s="1"/>
  <c r="A314" i="41" s="1"/>
  <c r="A326" i="41" s="1"/>
  <c r="A338" i="41" s="1"/>
  <c r="A350" i="41" s="1"/>
  <c r="A362" i="41" s="1"/>
  <c r="A374" i="41" s="1"/>
  <c r="A386" i="41" s="1"/>
  <c r="A398" i="41" s="1"/>
  <c r="A410" i="41" s="1"/>
  <c r="A422" i="41" s="1"/>
  <c r="A434" i="41" s="1"/>
  <c r="A446" i="41" s="1"/>
  <c r="A183" i="41"/>
  <c r="A195" i="41" s="1"/>
  <c r="A207" i="41" s="1"/>
  <c r="A219" i="41" s="1"/>
  <c r="A231" i="41" s="1"/>
  <c r="A243" i="41" s="1"/>
  <c r="A255" i="41" s="1"/>
  <c r="A267" i="41" s="1"/>
  <c r="A279" i="41" s="1"/>
  <c r="A291" i="41" s="1"/>
  <c r="A303" i="41" s="1"/>
  <c r="A315" i="41" s="1"/>
  <c r="A327" i="41" s="1"/>
  <c r="A339" i="41" s="1"/>
  <c r="A351" i="41" s="1"/>
  <c r="A363" i="41" s="1"/>
  <c r="A375" i="41" s="1"/>
  <c r="A387" i="41" s="1"/>
  <c r="A399" i="41" s="1"/>
  <c r="A411" i="41" s="1"/>
  <c r="A423" i="41" s="1"/>
  <c r="A435" i="41" s="1"/>
  <c r="A447" i="41" s="1"/>
  <c r="A184" i="41"/>
  <c r="A196" i="41" s="1"/>
  <c r="A208" i="41" s="1"/>
  <c r="A220" i="41" s="1"/>
  <c r="A232" i="41" s="1"/>
  <c r="A244" i="41" s="1"/>
  <c r="A256" i="41" s="1"/>
  <c r="A268" i="41" s="1"/>
  <c r="A280" i="41" s="1"/>
  <c r="A292" i="41" s="1"/>
  <c r="A304" i="41" s="1"/>
  <c r="A316" i="41" s="1"/>
  <c r="A328" i="41" s="1"/>
  <c r="A340" i="41" s="1"/>
  <c r="A352" i="41" s="1"/>
  <c r="A364" i="41" s="1"/>
  <c r="A376" i="41" s="1"/>
  <c r="A388" i="41" s="1"/>
  <c r="A400" i="41" s="1"/>
  <c r="A412" i="41" s="1"/>
  <c r="A424" i="41" s="1"/>
  <c r="A436" i="41" s="1"/>
  <c r="A448" i="41" s="1"/>
  <c r="A185" i="41"/>
  <c r="A197" i="41" s="1"/>
  <c r="A209" i="41" s="1"/>
  <c r="A221" i="41" s="1"/>
  <c r="A233" i="41" s="1"/>
  <c r="A245" i="41" s="1"/>
  <c r="A257" i="41" s="1"/>
  <c r="A269" i="41" s="1"/>
  <c r="A281" i="41" s="1"/>
  <c r="A293" i="41" s="1"/>
  <c r="A305" i="41" s="1"/>
  <c r="A317" i="41" s="1"/>
  <c r="A329" i="41" s="1"/>
  <c r="A341" i="41" s="1"/>
  <c r="A353" i="41" s="1"/>
  <c r="A365" i="41" s="1"/>
  <c r="A377" i="41" s="1"/>
  <c r="A389" i="41" s="1"/>
  <c r="A401" i="41" s="1"/>
  <c r="A413" i="41" s="1"/>
  <c r="A425" i="41" s="1"/>
  <c r="A437" i="41" s="1"/>
  <c r="A449" i="41" s="1"/>
  <c r="A186" i="41"/>
  <c r="A198" i="41" s="1"/>
  <c r="A210" i="41" s="1"/>
  <c r="A222" i="41" s="1"/>
  <c r="A234" i="41" s="1"/>
  <c r="A246" i="41" s="1"/>
  <c r="A258" i="41" s="1"/>
  <c r="A270" i="41" s="1"/>
  <c r="A282" i="41" s="1"/>
  <c r="A294" i="41" s="1"/>
  <c r="A306" i="41" s="1"/>
  <c r="A318" i="41" s="1"/>
  <c r="A330" i="41" s="1"/>
  <c r="A342" i="41" s="1"/>
  <c r="A354" i="41" s="1"/>
  <c r="A366" i="41" s="1"/>
  <c r="A378" i="41" s="1"/>
  <c r="A390" i="41" s="1"/>
  <c r="A402" i="41" s="1"/>
  <c r="A414" i="41" s="1"/>
  <c r="A426" i="41" s="1"/>
  <c r="A438" i="41" s="1"/>
  <c r="A450" i="41" s="1"/>
  <c r="A187" i="41"/>
  <c r="A199" i="41" s="1"/>
  <c r="A211" i="41" s="1"/>
  <c r="A223" i="41" s="1"/>
  <c r="A235" i="41" s="1"/>
  <c r="A247" i="41" s="1"/>
  <c r="A259" i="41" s="1"/>
  <c r="A271" i="41" s="1"/>
  <c r="A283" i="41" s="1"/>
  <c r="A295" i="41" s="1"/>
  <c r="A307" i="41" s="1"/>
  <c r="A319" i="41" s="1"/>
  <c r="A331" i="41" s="1"/>
  <c r="A343" i="41" s="1"/>
  <c r="A355" i="41" s="1"/>
  <c r="A367" i="41" s="1"/>
  <c r="A379" i="41" s="1"/>
  <c r="A391" i="41" s="1"/>
  <c r="A403" i="41" s="1"/>
  <c r="A415" i="41" s="1"/>
  <c r="A427" i="41" s="1"/>
  <c r="A439" i="41" s="1"/>
  <c r="A451" i="41" s="1"/>
  <c r="A188" i="41"/>
  <c r="A200" i="41" s="1"/>
  <c r="A212" i="41" s="1"/>
  <c r="A224" i="41" s="1"/>
  <c r="A236" i="41" s="1"/>
  <c r="A248" i="41" s="1"/>
  <c r="A260" i="41" s="1"/>
  <c r="A272" i="41" s="1"/>
  <c r="A284" i="41" s="1"/>
  <c r="A296" i="41" s="1"/>
  <c r="A308" i="41" s="1"/>
  <c r="A320" i="41" s="1"/>
  <c r="A332" i="41" s="1"/>
  <c r="A344" i="41" s="1"/>
  <c r="A356" i="41" s="1"/>
  <c r="A368" i="41" s="1"/>
  <c r="A380" i="41" s="1"/>
  <c r="A392" i="41" s="1"/>
  <c r="A404" i="41" s="1"/>
  <c r="A416" i="41" s="1"/>
  <c r="A428" i="41" s="1"/>
  <c r="A440" i="41" s="1"/>
  <c r="A452" i="41" s="1"/>
  <c r="A189" i="41"/>
  <c r="A201" i="41" s="1"/>
  <c r="A213" i="41" s="1"/>
  <c r="A225" i="41" s="1"/>
  <c r="A237" i="41" s="1"/>
  <c r="A249" i="41" s="1"/>
  <c r="A261" i="41" s="1"/>
  <c r="A273" i="41" s="1"/>
  <c r="A285" i="41" s="1"/>
  <c r="A297" i="41" s="1"/>
  <c r="A309" i="41" s="1"/>
  <c r="A321" i="41" s="1"/>
  <c r="A333" i="41" s="1"/>
  <c r="A345" i="41" s="1"/>
  <c r="A357" i="41" s="1"/>
  <c r="A369" i="41" s="1"/>
  <c r="A381" i="41" s="1"/>
  <c r="A393" i="41" s="1"/>
  <c r="A405" i="41" s="1"/>
  <c r="A417" i="41" s="1"/>
  <c r="A429" i="41" s="1"/>
  <c r="A441" i="41" s="1"/>
  <c r="A453" i="41" s="1"/>
  <c r="A106" i="14"/>
  <c r="A118" i="14" s="1"/>
  <c r="A130" i="14" s="1"/>
  <c r="A142" i="14" s="1"/>
  <c r="A154" i="14" s="1"/>
  <c r="A166" i="14" s="1"/>
  <c r="A178" i="14" s="1"/>
  <c r="A190" i="14" s="1"/>
  <c r="A202" i="14" s="1"/>
  <c r="A214" i="14" s="1"/>
  <c r="A226" i="14" s="1"/>
  <c r="A238" i="14" s="1"/>
  <c r="A250" i="14" s="1"/>
  <c r="A262" i="14" s="1"/>
  <c r="A274" i="14" s="1"/>
  <c r="A286" i="14" s="1"/>
  <c r="A298" i="14" s="1"/>
  <c r="A310" i="14" s="1"/>
  <c r="A322" i="14" s="1"/>
  <c r="A334" i="14" s="1"/>
  <c r="A346" i="14" s="1"/>
  <c r="A358" i="14" s="1"/>
  <c r="A370" i="14" s="1"/>
  <c r="A107" i="14"/>
  <c r="A119" i="14" s="1"/>
  <c r="A131" i="14" s="1"/>
  <c r="A143" i="14" s="1"/>
  <c r="A155" i="14" s="1"/>
  <c r="A167" i="14" s="1"/>
  <c r="A179" i="14" s="1"/>
  <c r="A191" i="14" s="1"/>
  <c r="A203" i="14" s="1"/>
  <c r="A215" i="14" s="1"/>
  <c r="A227" i="14" s="1"/>
  <c r="A239" i="14" s="1"/>
  <c r="A251" i="14" s="1"/>
  <c r="A263" i="14" s="1"/>
  <c r="A275" i="14" s="1"/>
  <c r="A287" i="14" s="1"/>
  <c r="A299" i="14" s="1"/>
  <c r="A311" i="14" s="1"/>
  <c r="A323" i="14" s="1"/>
  <c r="A335" i="14" s="1"/>
  <c r="A347" i="14" s="1"/>
  <c r="A359" i="14" s="1"/>
  <c r="A371" i="14" s="1"/>
  <c r="A108" i="14"/>
  <c r="A120" i="14" s="1"/>
  <c r="A132" i="14" s="1"/>
  <c r="A144" i="14" s="1"/>
  <c r="A156" i="14" s="1"/>
  <c r="A168" i="14" s="1"/>
  <c r="A180" i="14" s="1"/>
  <c r="A192" i="14" s="1"/>
  <c r="A204" i="14" s="1"/>
  <c r="A216" i="14" s="1"/>
  <c r="A228" i="14" s="1"/>
  <c r="A240" i="14" s="1"/>
  <c r="A252" i="14" s="1"/>
  <c r="A264" i="14" s="1"/>
  <c r="A276" i="14" s="1"/>
  <c r="A288" i="14" s="1"/>
  <c r="A300" i="14" s="1"/>
  <c r="A312" i="14" s="1"/>
  <c r="A324" i="14" s="1"/>
  <c r="A336" i="14" s="1"/>
  <c r="A348" i="14" s="1"/>
  <c r="A360" i="14" s="1"/>
  <c r="A372" i="14" s="1"/>
  <c r="A109" i="14"/>
  <c r="A121" i="14" s="1"/>
  <c r="A133" i="14" s="1"/>
  <c r="A145" i="14" s="1"/>
  <c r="A157" i="14" s="1"/>
  <c r="A169" i="14" s="1"/>
  <c r="A181" i="14" s="1"/>
  <c r="A193" i="14" s="1"/>
  <c r="A205" i="14" s="1"/>
  <c r="A217" i="14" s="1"/>
  <c r="A229" i="14" s="1"/>
  <c r="A241" i="14" s="1"/>
  <c r="A253" i="14" s="1"/>
  <c r="A265" i="14" s="1"/>
  <c r="A277" i="14" s="1"/>
  <c r="A289" i="14" s="1"/>
  <c r="A301" i="14" s="1"/>
  <c r="A313" i="14" s="1"/>
  <c r="A325" i="14" s="1"/>
  <c r="A337" i="14" s="1"/>
  <c r="A349" i="14" s="1"/>
  <c r="A361" i="14" s="1"/>
  <c r="A373" i="14" s="1"/>
  <c r="A110" i="14"/>
  <c r="A122" i="14" s="1"/>
  <c r="A134" i="14" s="1"/>
  <c r="A146" i="14" s="1"/>
  <c r="A158" i="14" s="1"/>
  <c r="A170" i="14" s="1"/>
  <c r="A182" i="14" s="1"/>
  <c r="A194" i="14" s="1"/>
  <c r="A206" i="14" s="1"/>
  <c r="A218" i="14" s="1"/>
  <c r="A230" i="14" s="1"/>
  <c r="A242" i="14" s="1"/>
  <c r="A254" i="14" s="1"/>
  <c r="A266" i="14" s="1"/>
  <c r="A278" i="14" s="1"/>
  <c r="A290" i="14" s="1"/>
  <c r="A302" i="14" s="1"/>
  <c r="A314" i="14" s="1"/>
  <c r="A326" i="14" s="1"/>
  <c r="A338" i="14" s="1"/>
  <c r="A350" i="14" s="1"/>
  <c r="A362" i="14" s="1"/>
  <c r="A374" i="14" s="1"/>
  <c r="A111" i="14"/>
  <c r="A123" i="14" s="1"/>
  <c r="A135" i="14" s="1"/>
  <c r="A147" i="14" s="1"/>
  <c r="A159" i="14" s="1"/>
  <c r="A171" i="14" s="1"/>
  <c r="A183" i="14" s="1"/>
  <c r="A195" i="14" s="1"/>
  <c r="A207" i="14" s="1"/>
  <c r="A219" i="14" s="1"/>
  <c r="A231" i="14" s="1"/>
  <c r="A243" i="14" s="1"/>
  <c r="A255" i="14" s="1"/>
  <c r="A267" i="14" s="1"/>
  <c r="A279" i="14" s="1"/>
  <c r="A291" i="14" s="1"/>
  <c r="A303" i="14" s="1"/>
  <c r="A315" i="14" s="1"/>
  <c r="A327" i="14" s="1"/>
  <c r="A339" i="14" s="1"/>
  <c r="A351" i="14" s="1"/>
  <c r="A363" i="14" s="1"/>
  <c r="A375" i="14" s="1"/>
  <c r="A112" i="14"/>
  <c r="A124" i="14" s="1"/>
  <c r="A136" i="14" s="1"/>
  <c r="A148" i="14" s="1"/>
  <c r="A160" i="14" s="1"/>
  <c r="A172" i="14" s="1"/>
  <c r="A184" i="14" s="1"/>
  <c r="A196" i="14" s="1"/>
  <c r="A208" i="14" s="1"/>
  <c r="A220" i="14" s="1"/>
  <c r="A232" i="14" s="1"/>
  <c r="A244" i="14" s="1"/>
  <c r="A256" i="14" s="1"/>
  <c r="A268" i="14" s="1"/>
  <c r="A280" i="14" s="1"/>
  <c r="A292" i="14" s="1"/>
  <c r="A304" i="14" s="1"/>
  <c r="A316" i="14" s="1"/>
  <c r="A328" i="14" s="1"/>
  <c r="A340" i="14" s="1"/>
  <c r="A352" i="14" s="1"/>
  <c r="A364" i="14" s="1"/>
  <c r="A376" i="14" s="1"/>
  <c r="A113" i="14"/>
  <c r="A125" i="14" s="1"/>
  <c r="A137" i="14" s="1"/>
  <c r="A149" i="14" s="1"/>
  <c r="A161" i="14" s="1"/>
  <c r="A173" i="14" s="1"/>
  <c r="A185" i="14" s="1"/>
  <c r="A197" i="14" s="1"/>
  <c r="A209" i="14" s="1"/>
  <c r="A221" i="14" s="1"/>
  <c r="A233" i="14" s="1"/>
  <c r="A245" i="14" s="1"/>
  <c r="A257" i="14" s="1"/>
  <c r="A269" i="14" s="1"/>
  <c r="A281" i="14" s="1"/>
  <c r="A293" i="14" s="1"/>
  <c r="A305" i="14" s="1"/>
  <c r="A317" i="14" s="1"/>
  <c r="A329" i="14" s="1"/>
  <c r="A341" i="14" s="1"/>
  <c r="A353" i="14" s="1"/>
  <c r="A365" i="14" s="1"/>
  <c r="A377" i="14" s="1"/>
  <c r="A114" i="14"/>
  <c r="A126" i="14" s="1"/>
  <c r="A138" i="14" s="1"/>
  <c r="A150" i="14" s="1"/>
  <c r="A162" i="14" s="1"/>
  <c r="A174" i="14" s="1"/>
  <c r="A186" i="14" s="1"/>
  <c r="A198" i="14" s="1"/>
  <c r="A210" i="14" s="1"/>
  <c r="A222" i="14" s="1"/>
  <c r="A234" i="14" s="1"/>
  <c r="A246" i="14" s="1"/>
  <c r="A258" i="14" s="1"/>
  <c r="A270" i="14" s="1"/>
  <c r="A282" i="14" s="1"/>
  <c r="A294" i="14" s="1"/>
  <c r="A306" i="14" s="1"/>
  <c r="A318" i="14" s="1"/>
  <c r="A330" i="14" s="1"/>
  <c r="A342" i="14" s="1"/>
  <c r="A354" i="14" s="1"/>
  <c r="A366" i="14" s="1"/>
  <c r="A378" i="14" s="1"/>
  <c r="A115" i="14"/>
  <c r="A127" i="14" s="1"/>
  <c r="A139" i="14" s="1"/>
  <c r="A151" i="14" s="1"/>
  <c r="A163" i="14" s="1"/>
  <c r="A175" i="14" s="1"/>
  <c r="A187" i="14" s="1"/>
  <c r="A199" i="14" s="1"/>
  <c r="A211" i="14" s="1"/>
  <c r="A223" i="14" s="1"/>
  <c r="A235" i="14" s="1"/>
  <c r="A247" i="14" s="1"/>
  <c r="A259" i="14" s="1"/>
  <c r="A271" i="14" s="1"/>
  <c r="A283" i="14" s="1"/>
  <c r="A295" i="14" s="1"/>
  <c r="A307" i="14" s="1"/>
  <c r="A319" i="14" s="1"/>
  <c r="A331" i="14" s="1"/>
  <c r="A343" i="14" s="1"/>
  <c r="A355" i="14" s="1"/>
  <c r="A367" i="14" s="1"/>
  <c r="A379" i="14" s="1"/>
  <c r="A116" i="14"/>
  <c r="A128" i="14" s="1"/>
  <c r="A140" i="14" s="1"/>
  <c r="A152" i="14" s="1"/>
  <c r="A164" i="14" s="1"/>
  <c r="A176" i="14" s="1"/>
  <c r="A188" i="14" s="1"/>
  <c r="A200" i="14" s="1"/>
  <c r="A212" i="14" s="1"/>
  <c r="A224" i="14" s="1"/>
  <c r="A236" i="14" s="1"/>
  <c r="A248" i="14" s="1"/>
  <c r="A260" i="14" s="1"/>
  <c r="A272" i="14" s="1"/>
  <c r="A284" i="14" s="1"/>
  <c r="A296" i="14" s="1"/>
  <c r="A308" i="14" s="1"/>
  <c r="A320" i="14" s="1"/>
  <c r="A332" i="14" s="1"/>
  <c r="A344" i="14" s="1"/>
  <c r="A356" i="14" s="1"/>
  <c r="A368" i="14" s="1"/>
  <c r="A380" i="14" s="1"/>
  <c r="A117" i="14"/>
  <c r="A129" i="14" s="1"/>
  <c r="A141" i="14" s="1"/>
  <c r="A153" i="14" s="1"/>
  <c r="A165" i="14" s="1"/>
  <c r="A177" i="14" s="1"/>
  <c r="A189" i="14" s="1"/>
  <c r="A201" i="14" s="1"/>
  <c r="A213" i="14" s="1"/>
  <c r="A225" i="14" s="1"/>
  <c r="A237" i="14" s="1"/>
  <c r="A249" i="14" s="1"/>
  <c r="A261" i="14" s="1"/>
  <c r="A273" i="14" s="1"/>
  <c r="A285" i="14" s="1"/>
  <c r="A297" i="14" s="1"/>
  <c r="A309" i="14" s="1"/>
  <c r="A321" i="14" s="1"/>
  <c r="A333" i="14" s="1"/>
  <c r="A345" i="14" s="1"/>
  <c r="A357" i="14" s="1"/>
  <c r="A369" i="14" s="1"/>
  <c r="A381" i="14" s="1"/>
  <c r="A190" i="65"/>
  <c r="A202" i="65" s="1"/>
  <c r="A214" i="65" s="1"/>
  <c r="A226" i="65" s="1"/>
  <c r="A238" i="65" s="1"/>
  <c r="A250" i="65" s="1"/>
  <c r="A262" i="65" s="1"/>
  <c r="A274" i="65" s="1"/>
  <c r="A286" i="65" s="1"/>
  <c r="A298" i="65" s="1"/>
  <c r="A310" i="65" s="1"/>
  <c r="A322" i="65" s="1"/>
  <c r="A334" i="65" s="1"/>
  <c r="A346" i="65" s="1"/>
  <c r="A358" i="65" s="1"/>
  <c r="A370" i="65" s="1"/>
  <c r="A382" i="65" s="1"/>
  <c r="A394" i="65" s="1"/>
  <c r="A406" i="65" s="1"/>
  <c r="A418" i="65" s="1"/>
  <c r="A430" i="65" s="1"/>
  <c r="A442" i="65" s="1"/>
  <c r="A454" i="65" s="1"/>
  <c r="A191" i="65"/>
  <c r="A203" i="65" s="1"/>
  <c r="A215" i="65" s="1"/>
  <c r="A227" i="65" s="1"/>
  <c r="A239" i="65" s="1"/>
  <c r="A251" i="65" s="1"/>
  <c r="A263" i="65" s="1"/>
  <c r="A275" i="65" s="1"/>
  <c r="A287" i="65" s="1"/>
  <c r="A299" i="65" s="1"/>
  <c r="A311" i="65" s="1"/>
  <c r="A323" i="65" s="1"/>
  <c r="A335" i="65" s="1"/>
  <c r="A347" i="65" s="1"/>
  <c r="A359" i="65" s="1"/>
  <c r="A371" i="65" s="1"/>
  <c r="A383" i="65" s="1"/>
  <c r="A395" i="65" s="1"/>
  <c r="A407" i="65" s="1"/>
  <c r="A419" i="65" s="1"/>
  <c r="A431" i="65" s="1"/>
  <c r="A443" i="65" s="1"/>
  <c r="A455" i="65" s="1"/>
  <c r="A192" i="65"/>
  <c r="A204" i="65" s="1"/>
  <c r="A216" i="65" s="1"/>
  <c r="A228" i="65" s="1"/>
  <c r="A240" i="65" s="1"/>
  <c r="A252" i="65" s="1"/>
  <c r="A264" i="65" s="1"/>
  <c r="A276" i="65" s="1"/>
  <c r="A288" i="65" s="1"/>
  <c r="A300" i="65" s="1"/>
  <c r="A312" i="65" s="1"/>
  <c r="A324" i="65" s="1"/>
  <c r="A336" i="65" s="1"/>
  <c r="A348" i="65" s="1"/>
  <c r="A360" i="65" s="1"/>
  <c r="A372" i="65" s="1"/>
  <c r="A384" i="65" s="1"/>
  <c r="A396" i="65" s="1"/>
  <c r="A408" i="65" s="1"/>
  <c r="A420" i="65" s="1"/>
  <c r="A432" i="65" s="1"/>
  <c r="A444" i="65" s="1"/>
  <c r="A456" i="65" s="1"/>
  <c r="A193" i="65"/>
  <c r="A205" i="65" s="1"/>
  <c r="A217" i="65" s="1"/>
  <c r="A229" i="65" s="1"/>
  <c r="A241" i="65" s="1"/>
  <c r="A253" i="65" s="1"/>
  <c r="A265" i="65" s="1"/>
  <c r="A277" i="65" s="1"/>
  <c r="A289" i="65" s="1"/>
  <c r="A301" i="65" s="1"/>
  <c r="A313" i="65" s="1"/>
  <c r="A325" i="65" s="1"/>
  <c r="A337" i="65" s="1"/>
  <c r="A349" i="65" s="1"/>
  <c r="A361" i="65" s="1"/>
  <c r="A373" i="65" s="1"/>
  <c r="A385" i="65" s="1"/>
  <c r="A397" i="65" s="1"/>
  <c r="A409" i="65" s="1"/>
  <c r="A421" i="65" s="1"/>
  <c r="A433" i="65" s="1"/>
  <c r="A445" i="65" s="1"/>
  <c r="A457" i="65" s="1"/>
  <c r="A194" i="65"/>
  <c r="A206" i="65" s="1"/>
  <c r="A218" i="65" s="1"/>
  <c r="A230" i="65" s="1"/>
  <c r="A242" i="65" s="1"/>
  <c r="A254" i="65" s="1"/>
  <c r="A266" i="65" s="1"/>
  <c r="A278" i="65" s="1"/>
  <c r="A290" i="65" s="1"/>
  <c r="A302" i="65" s="1"/>
  <c r="A314" i="65" s="1"/>
  <c r="A326" i="65" s="1"/>
  <c r="A338" i="65" s="1"/>
  <c r="A350" i="65" s="1"/>
  <c r="A362" i="65" s="1"/>
  <c r="A374" i="65" s="1"/>
  <c r="A386" i="65" s="1"/>
  <c r="A398" i="65" s="1"/>
  <c r="A410" i="65" s="1"/>
  <c r="A422" i="65" s="1"/>
  <c r="A434" i="65" s="1"/>
  <c r="A446" i="65" s="1"/>
  <c r="A458" i="65" s="1"/>
  <c r="A195" i="65"/>
  <c r="A207" i="65" s="1"/>
  <c r="A219" i="65" s="1"/>
  <c r="A231" i="65" s="1"/>
  <c r="A243" i="65" s="1"/>
  <c r="A255" i="65" s="1"/>
  <c r="A267" i="65" s="1"/>
  <c r="A279" i="65" s="1"/>
  <c r="A291" i="65" s="1"/>
  <c r="A303" i="65" s="1"/>
  <c r="A315" i="65" s="1"/>
  <c r="A327" i="65" s="1"/>
  <c r="A339" i="65" s="1"/>
  <c r="A351" i="65" s="1"/>
  <c r="A363" i="65" s="1"/>
  <c r="A375" i="65" s="1"/>
  <c r="A387" i="65" s="1"/>
  <c r="A399" i="65" s="1"/>
  <c r="A411" i="65" s="1"/>
  <c r="A423" i="65" s="1"/>
  <c r="A435" i="65" s="1"/>
  <c r="A447" i="65" s="1"/>
  <c r="A459" i="65" s="1"/>
  <c r="A196" i="65"/>
  <c r="A208" i="65" s="1"/>
  <c r="A220" i="65" s="1"/>
  <c r="A232" i="65" s="1"/>
  <c r="A244" i="65" s="1"/>
  <c r="A256" i="65" s="1"/>
  <c r="A268" i="65" s="1"/>
  <c r="A280" i="65" s="1"/>
  <c r="A292" i="65" s="1"/>
  <c r="A304" i="65" s="1"/>
  <c r="A316" i="65" s="1"/>
  <c r="A328" i="65" s="1"/>
  <c r="A340" i="65" s="1"/>
  <c r="A352" i="65" s="1"/>
  <c r="A364" i="65" s="1"/>
  <c r="A376" i="65" s="1"/>
  <c r="A388" i="65" s="1"/>
  <c r="A400" i="65" s="1"/>
  <c r="A412" i="65" s="1"/>
  <c r="A424" i="65" s="1"/>
  <c r="A436" i="65" s="1"/>
  <c r="A448" i="65" s="1"/>
  <c r="A460" i="65" s="1"/>
  <c r="A197" i="65"/>
  <c r="A209" i="65" s="1"/>
  <c r="A221" i="65" s="1"/>
  <c r="A233" i="65" s="1"/>
  <c r="A245" i="65" s="1"/>
  <c r="A257" i="65" s="1"/>
  <c r="A269" i="65" s="1"/>
  <c r="A281" i="65" s="1"/>
  <c r="A293" i="65" s="1"/>
  <c r="A305" i="65" s="1"/>
  <c r="A317" i="65" s="1"/>
  <c r="A329" i="65" s="1"/>
  <c r="A341" i="65" s="1"/>
  <c r="A353" i="65" s="1"/>
  <c r="A365" i="65" s="1"/>
  <c r="A377" i="65" s="1"/>
  <c r="A389" i="65" s="1"/>
  <c r="A401" i="65" s="1"/>
  <c r="A413" i="65" s="1"/>
  <c r="A425" i="65" s="1"/>
  <c r="A437" i="65" s="1"/>
  <c r="A449" i="65" s="1"/>
  <c r="A461" i="65" s="1"/>
  <c r="A198" i="65"/>
  <c r="A210" i="65" s="1"/>
  <c r="A222" i="65" s="1"/>
  <c r="A234" i="65" s="1"/>
  <c r="A246" i="65" s="1"/>
  <c r="A258" i="65" s="1"/>
  <c r="A270" i="65" s="1"/>
  <c r="A282" i="65" s="1"/>
  <c r="A294" i="65" s="1"/>
  <c r="A306" i="65" s="1"/>
  <c r="A318" i="65" s="1"/>
  <c r="A330" i="65" s="1"/>
  <c r="A342" i="65" s="1"/>
  <c r="A354" i="65" s="1"/>
  <c r="A366" i="65" s="1"/>
  <c r="A378" i="65" s="1"/>
  <c r="A390" i="65" s="1"/>
  <c r="A402" i="65" s="1"/>
  <c r="A414" i="65" s="1"/>
  <c r="A426" i="65" s="1"/>
  <c r="A438" i="65" s="1"/>
  <c r="A450" i="65" s="1"/>
  <c r="A462" i="65" s="1"/>
  <c r="A199" i="65"/>
  <c r="A211" i="65" s="1"/>
  <c r="A223" i="65" s="1"/>
  <c r="A235" i="65" s="1"/>
  <c r="A247" i="65" s="1"/>
  <c r="A259" i="65" s="1"/>
  <c r="A271" i="65" s="1"/>
  <c r="A283" i="65" s="1"/>
  <c r="A295" i="65" s="1"/>
  <c r="A307" i="65" s="1"/>
  <c r="A319" i="65" s="1"/>
  <c r="A331" i="65" s="1"/>
  <c r="A343" i="65" s="1"/>
  <c r="A355" i="65" s="1"/>
  <c r="A367" i="65" s="1"/>
  <c r="A379" i="65" s="1"/>
  <c r="A391" i="65" s="1"/>
  <c r="A403" i="65" s="1"/>
  <c r="A415" i="65" s="1"/>
  <c r="A427" i="65" s="1"/>
  <c r="A439" i="65" s="1"/>
  <c r="A451" i="65" s="1"/>
  <c r="A463" i="65" s="1"/>
  <c r="A200" i="65"/>
  <c r="A212" i="65" s="1"/>
  <c r="A224" i="65" s="1"/>
  <c r="A236" i="65" s="1"/>
  <c r="A248" i="65" s="1"/>
  <c r="A260" i="65" s="1"/>
  <c r="A272" i="65" s="1"/>
  <c r="A284" i="65" s="1"/>
  <c r="A296" i="65" s="1"/>
  <c r="A308" i="65" s="1"/>
  <c r="A320" i="65" s="1"/>
  <c r="A332" i="65" s="1"/>
  <c r="A344" i="65" s="1"/>
  <c r="A356" i="65" s="1"/>
  <c r="A368" i="65" s="1"/>
  <c r="A380" i="65" s="1"/>
  <c r="A392" i="65" s="1"/>
  <c r="A404" i="65" s="1"/>
  <c r="A416" i="65" s="1"/>
  <c r="A428" i="65" s="1"/>
  <c r="A440" i="65" s="1"/>
  <c r="A452" i="65" s="1"/>
  <c r="A464" i="65" s="1"/>
  <c r="A201" i="65"/>
  <c r="A213" i="65" s="1"/>
  <c r="A225" i="65" s="1"/>
  <c r="A237" i="65" s="1"/>
  <c r="A249" i="65" s="1"/>
  <c r="A261" i="65" s="1"/>
  <c r="A273" i="65" s="1"/>
  <c r="A285" i="65" s="1"/>
  <c r="A297" i="65" s="1"/>
  <c r="A309" i="65" s="1"/>
  <c r="A321" i="65" s="1"/>
  <c r="A333" i="65" s="1"/>
  <c r="A345" i="65" s="1"/>
  <c r="A357" i="65" s="1"/>
  <c r="A369" i="65" s="1"/>
  <c r="A381" i="65" s="1"/>
  <c r="A393" i="65" s="1"/>
  <c r="A405" i="65" s="1"/>
  <c r="A417" i="65" s="1"/>
  <c r="A429" i="65" s="1"/>
  <c r="A441" i="65" s="1"/>
  <c r="A453" i="65" s="1"/>
  <c r="A465" i="65" s="1"/>
  <c r="A190" i="64"/>
  <c r="A202" i="64" s="1"/>
  <c r="A214" i="64" s="1"/>
  <c r="A226" i="64" s="1"/>
  <c r="A238" i="64" s="1"/>
  <c r="A250" i="64" s="1"/>
  <c r="A262" i="64" s="1"/>
  <c r="A274" i="64" s="1"/>
  <c r="A286" i="64" s="1"/>
  <c r="A298" i="64" s="1"/>
  <c r="A310" i="64" s="1"/>
  <c r="A322" i="64" s="1"/>
  <c r="A334" i="64" s="1"/>
  <c r="A346" i="64" s="1"/>
  <c r="A358" i="64" s="1"/>
  <c r="A370" i="64" s="1"/>
  <c r="A382" i="64" s="1"/>
  <c r="A394" i="64" s="1"/>
  <c r="A406" i="64" s="1"/>
  <c r="A418" i="64" s="1"/>
  <c r="A430" i="64" s="1"/>
  <c r="A442" i="64" s="1"/>
  <c r="A454" i="64" s="1"/>
  <c r="A191" i="64"/>
  <c r="A203" i="64" s="1"/>
  <c r="A215" i="64" s="1"/>
  <c r="A227" i="64" s="1"/>
  <c r="A239" i="64" s="1"/>
  <c r="A251" i="64" s="1"/>
  <c r="A263" i="64" s="1"/>
  <c r="A275" i="64" s="1"/>
  <c r="A287" i="64" s="1"/>
  <c r="A299" i="64" s="1"/>
  <c r="A311" i="64" s="1"/>
  <c r="A323" i="64" s="1"/>
  <c r="A335" i="64" s="1"/>
  <c r="A347" i="64" s="1"/>
  <c r="A359" i="64" s="1"/>
  <c r="A371" i="64" s="1"/>
  <c r="A383" i="64" s="1"/>
  <c r="A395" i="64" s="1"/>
  <c r="A407" i="64" s="1"/>
  <c r="A419" i="64" s="1"/>
  <c r="A431" i="64" s="1"/>
  <c r="A443" i="64" s="1"/>
  <c r="A455" i="64" s="1"/>
  <c r="A192" i="64"/>
  <c r="A204" i="64" s="1"/>
  <c r="A216" i="64" s="1"/>
  <c r="A228" i="64" s="1"/>
  <c r="A240" i="64" s="1"/>
  <c r="A252" i="64" s="1"/>
  <c r="A264" i="64" s="1"/>
  <c r="A276" i="64" s="1"/>
  <c r="A288" i="64" s="1"/>
  <c r="A300" i="64" s="1"/>
  <c r="A312" i="64" s="1"/>
  <c r="A324" i="64" s="1"/>
  <c r="A336" i="64" s="1"/>
  <c r="A348" i="64" s="1"/>
  <c r="A360" i="64" s="1"/>
  <c r="A372" i="64" s="1"/>
  <c r="A384" i="64" s="1"/>
  <c r="A396" i="64" s="1"/>
  <c r="A408" i="64" s="1"/>
  <c r="A420" i="64" s="1"/>
  <c r="A432" i="64" s="1"/>
  <c r="A444" i="64" s="1"/>
  <c r="A456" i="64" s="1"/>
  <c r="A193" i="64"/>
  <c r="A205" i="64" s="1"/>
  <c r="A217" i="64" s="1"/>
  <c r="A229" i="64" s="1"/>
  <c r="A241" i="64" s="1"/>
  <c r="A253" i="64" s="1"/>
  <c r="A265" i="64" s="1"/>
  <c r="A277" i="64" s="1"/>
  <c r="A289" i="64" s="1"/>
  <c r="A301" i="64" s="1"/>
  <c r="A313" i="64" s="1"/>
  <c r="A325" i="64" s="1"/>
  <c r="A337" i="64" s="1"/>
  <c r="A349" i="64" s="1"/>
  <c r="A361" i="64" s="1"/>
  <c r="A373" i="64" s="1"/>
  <c r="A385" i="64" s="1"/>
  <c r="A397" i="64" s="1"/>
  <c r="A409" i="64" s="1"/>
  <c r="A421" i="64" s="1"/>
  <c r="A433" i="64" s="1"/>
  <c r="A445" i="64" s="1"/>
  <c r="A457" i="64" s="1"/>
  <c r="A194" i="64"/>
  <c r="A206" i="64" s="1"/>
  <c r="A218" i="64" s="1"/>
  <c r="A230" i="64" s="1"/>
  <c r="A242" i="64" s="1"/>
  <c r="A254" i="64" s="1"/>
  <c r="A266" i="64" s="1"/>
  <c r="A278" i="64" s="1"/>
  <c r="A290" i="64" s="1"/>
  <c r="A302" i="64" s="1"/>
  <c r="A314" i="64" s="1"/>
  <c r="A326" i="64" s="1"/>
  <c r="A338" i="64" s="1"/>
  <c r="A350" i="64" s="1"/>
  <c r="A362" i="64" s="1"/>
  <c r="A374" i="64" s="1"/>
  <c r="A386" i="64" s="1"/>
  <c r="A398" i="64" s="1"/>
  <c r="A410" i="64" s="1"/>
  <c r="A422" i="64" s="1"/>
  <c r="A434" i="64" s="1"/>
  <c r="A446" i="64" s="1"/>
  <c r="A458" i="64" s="1"/>
  <c r="A195" i="64"/>
  <c r="A207" i="64" s="1"/>
  <c r="A219" i="64" s="1"/>
  <c r="A231" i="64" s="1"/>
  <c r="A243" i="64" s="1"/>
  <c r="A255" i="64" s="1"/>
  <c r="A267" i="64" s="1"/>
  <c r="A279" i="64" s="1"/>
  <c r="A291" i="64" s="1"/>
  <c r="A303" i="64" s="1"/>
  <c r="A315" i="64" s="1"/>
  <c r="A327" i="64" s="1"/>
  <c r="A339" i="64" s="1"/>
  <c r="A351" i="64" s="1"/>
  <c r="A363" i="64" s="1"/>
  <c r="A375" i="64" s="1"/>
  <c r="A387" i="64" s="1"/>
  <c r="A399" i="64" s="1"/>
  <c r="A411" i="64" s="1"/>
  <c r="A423" i="64" s="1"/>
  <c r="A435" i="64" s="1"/>
  <c r="A447" i="64" s="1"/>
  <c r="A459" i="64" s="1"/>
  <c r="A196" i="64"/>
  <c r="A208" i="64" s="1"/>
  <c r="A220" i="64" s="1"/>
  <c r="A232" i="64" s="1"/>
  <c r="A244" i="64" s="1"/>
  <c r="A256" i="64" s="1"/>
  <c r="A268" i="64" s="1"/>
  <c r="A280" i="64" s="1"/>
  <c r="A292" i="64" s="1"/>
  <c r="A304" i="64" s="1"/>
  <c r="A316" i="64" s="1"/>
  <c r="A328" i="64" s="1"/>
  <c r="A340" i="64" s="1"/>
  <c r="A352" i="64" s="1"/>
  <c r="A364" i="64" s="1"/>
  <c r="A376" i="64" s="1"/>
  <c r="A388" i="64" s="1"/>
  <c r="A400" i="64" s="1"/>
  <c r="A412" i="64" s="1"/>
  <c r="A424" i="64" s="1"/>
  <c r="A436" i="64" s="1"/>
  <c r="A448" i="64" s="1"/>
  <c r="A460" i="64" s="1"/>
  <c r="A197" i="64"/>
  <c r="A209" i="64" s="1"/>
  <c r="A221" i="64" s="1"/>
  <c r="A233" i="64" s="1"/>
  <c r="A245" i="64" s="1"/>
  <c r="A257" i="64" s="1"/>
  <c r="A269" i="64" s="1"/>
  <c r="A281" i="64" s="1"/>
  <c r="A293" i="64" s="1"/>
  <c r="A305" i="64" s="1"/>
  <c r="A317" i="64" s="1"/>
  <c r="A329" i="64" s="1"/>
  <c r="A341" i="64" s="1"/>
  <c r="A353" i="64" s="1"/>
  <c r="A365" i="64" s="1"/>
  <c r="A377" i="64" s="1"/>
  <c r="A389" i="64" s="1"/>
  <c r="A401" i="64" s="1"/>
  <c r="A413" i="64" s="1"/>
  <c r="A425" i="64" s="1"/>
  <c r="A437" i="64" s="1"/>
  <c r="A449" i="64" s="1"/>
  <c r="A461" i="64" s="1"/>
  <c r="A198" i="64"/>
  <c r="A210" i="64" s="1"/>
  <c r="A222" i="64" s="1"/>
  <c r="A234" i="64" s="1"/>
  <c r="A246" i="64" s="1"/>
  <c r="A258" i="64" s="1"/>
  <c r="A270" i="64" s="1"/>
  <c r="A282" i="64" s="1"/>
  <c r="A294" i="64" s="1"/>
  <c r="A306" i="64" s="1"/>
  <c r="A318" i="64" s="1"/>
  <c r="A330" i="64" s="1"/>
  <c r="A342" i="64" s="1"/>
  <c r="A354" i="64" s="1"/>
  <c r="A366" i="64" s="1"/>
  <c r="A378" i="64" s="1"/>
  <c r="A390" i="64" s="1"/>
  <c r="A402" i="64" s="1"/>
  <c r="A414" i="64" s="1"/>
  <c r="A426" i="64" s="1"/>
  <c r="A438" i="64" s="1"/>
  <c r="A450" i="64" s="1"/>
  <c r="A462" i="64" s="1"/>
  <c r="A199" i="64"/>
  <c r="A211" i="64" s="1"/>
  <c r="A223" i="64" s="1"/>
  <c r="A235" i="64" s="1"/>
  <c r="A247" i="64" s="1"/>
  <c r="A259" i="64" s="1"/>
  <c r="A271" i="64" s="1"/>
  <c r="A283" i="64" s="1"/>
  <c r="A295" i="64" s="1"/>
  <c r="A307" i="64" s="1"/>
  <c r="A319" i="64" s="1"/>
  <c r="A331" i="64" s="1"/>
  <c r="A343" i="64" s="1"/>
  <c r="A355" i="64" s="1"/>
  <c r="A367" i="64" s="1"/>
  <c r="A379" i="64" s="1"/>
  <c r="A391" i="64" s="1"/>
  <c r="A403" i="64" s="1"/>
  <c r="A415" i="64" s="1"/>
  <c r="A427" i="64" s="1"/>
  <c r="A439" i="64" s="1"/>
  <c r="A451" i="64" s="1"/>
  <c r="A463" i="64" s="1"/>
  <c r="A200" i="64"/>
  <c r="A212" i="64" s="1"/>
  <c r="A224" i="64" s="1"/>
  <c r="A236" i="64" s="1"/>
  <c r="A248" i="64" s="1"/>
  <c r="A260" i="64" s="1"/>
  <c r="A272" i="64" s="1"/>
  <c r="A284" i="64" s="1"/>
  <c r="A296" i="64" s="1"/>
  <c r="A308" i="64" s="1"/>
  <c r="A320" i="64" s="1"/>
  <c r="A332" i="64" s="1"/>
  <c r="A344" i="64" s="1"/>
  <c r="A356" i="64" s="1"/>
  <c r="A368" i="64" s="1"/>
  <c r="A380" i="64" s="1"/>
  <c r="A392" i="64" s="1"/>
  <c r="A404" i="64" s="1"/>
  <c r="A416" i="64" s="1"/>
  <c r="A428" i="64" s="1"/>
  <c r="A440" i="64" s="1"/>
  <c r="A452" i="64" s="1"/>
  <c r="A464" i="64" s="1"/>
  <c r="A201" i="64"/>
  <c r="A213" i="64" s="1"/>
  <c r="A225" i="64" s="1"/>
  <c r="A237" i="64" s="1"/>
  <c r="A249" i="64" s="1"/>
  <c r="A261" i="64" s="1"/>
  <c r="A273" i="64" s="1"/>
  <c r="A285" i="64" s="1"/>
  <c r="A297" i="64" s="1"/>
  <c r="A309" i="64" s="1"/>
  <c r="A321" i="64" s="1"/>
  <c r="A333" i="64" s="1"/>
  <c r="A345" i="64" s="1"/>
  <c r="A357" i="64" s="1"/>
  <c r="A369" i="64" s="1"/>
  <c r="A381" i="64" s="1"/>
  <c r="A393" i="64" s="1"/>
  <c r="A405" i="64" s="1"/>
  <c r="A417" i="64" s="1"/>
  <c r="A429" i="64" s="1"/>
  <c r="A441" i="64" s="1"/>
  <c r="A453" i="64" s="1"/>
  <c r="A465" i="64" s="1"/>
  <c r="A178" i="55"/>
  <c r="A190" i="55" s="1"/>
  <c r="A202" i="55" s="1"/>
  <c r="A214" i="55" s="1"/>
  <c r="A226" i="55" s="1"/>
  <c r="A238" i="55" s="1"/>
  <c r="A250" i="55" s="1"/>
  <c r="A262" i="55" s="1"/>
  <c r="A274" i="55" s="1"/>
  <c r="A286" i="55" s="1"/>
  <c r="A298" i="55" s="1"/>
  <c r="A310" i="55" s="1"/>
  <c r="A322" i="55" s="1"/>
  <c r="A334" i="55" s="1"/>
  <c r="A346" i="55" s="1"/>
  <c r="A358" i="55" s="1"/>
  <c r="A370" i="55" s="1"/>
  <c r="A382" i="55" s="1"/>
  <c r="A394" i="55" s="1"/>
  <c r="A406" i="55" s="1"/>
  <c r="A418" i="55" s="1"/>
  <c r="A430" i="55" s="1"/>
  <c r="A442" i="55" s="1"/>
  <c r="A179" i="55"/>
  <c r="A191" i="55" s="1"/>
  <c r="A203" i="55" s="1"/>
  <c r="A215" i="55" s="1"/>
  <c r="A227" i="55" s="1"/>
  <c r="A239" i="55" s="1"/>
  <c r="A251" i="55" s="1"/>
  <c r="A263" i="55" s="1"/>
  <c r="A275" i="55" s="1"/>
  <c r="A287" i="55" s="1"/>
  <c r="A299" i="55" s="1"/>
  <c r="A311" i="55" s="1"/>
  <c r="A323" i="55" s="1"/>
  <c r="A335" i="55" s="1"/>
  <c r="A347" i="55" s="1"/>
  <c r="A359" i="55" s="1"/>
  <c r="A371" i="55" s="1"/>
  <c r="A383" i="55" s="1"/>
  <c r="A395" i="55" s="1"/>
  <c r="A407" i="55" s="1"/>
  <c r="A419" i="55" s="1"/>
  <c r="A431" i="55" s="1"/>
  <c r="A443" i="55" s="1"/>
  <c r="A180" i="55"/>
  <c r="A192" i="55" s="1"/>
  <c r="A204" i="55" s="1"/>
  <c r="A216" i="55" s="1"/>
  <c r="A228" i="55" s="1"/>
  <c r="A240" i="55" s="1"/>
  <c r="A252" i="55" s="1"/>
  <c r="A264" i="55" s="1"/>
  <c r="A276" i="55" s="1"/>
  <c r="A288" i="55" s="1"/>
  <c r="A300" i="55" s="1"/>
  <c r="A312" i="55" s="1"/>
  <c r="A324" i="55" s="1"/>
  <c r="A336" i="55" s="1"/>
  <c r="A348" i="55" s="1"/>
  <c r="A360" i="55" s="1"/>
  <c r="A372" i="55" s="1"/>
  <c r="A384" i="55" s="1"/>
  <c r="A396" i="55" s="1"/>
  <c r="A408" i="55" s="1"/>
  <c r="A420" i="55" s="1"/>
  <c r="A432" i="55" s="1"/>
  <c r="A444" i="55" s="1"/>
  <c r="A181" i="55"/>
  <c r="A193" i="55" s="1"/>
  <c r="A205" i="55" s="1"/>
  <c r="A217" i="55" s="1"/>
  <c r="A229" i="55" s="1"/>
  <c r="A241" i="55" s="1"/>
  <c r="A253" i="55" s="1"/>
  <c r="A265" i="55" s="1"/>
  <c r="A277" i="55" s="1"/>
  <c r="A289" i="55" s="1"/>
  <c r="A301" i="55" s="1"/>
  <c r="A313" i="55" s="1"/>
  <c r="A325" i="55" s="1"/>
  <c r="A337" i="55" s="1"/>
  <c r="A349" i="55" s="1"/>
  <c r="A361" i="55" s="1"/>
  <c r="A373" i="55" s="1"/>
  <c r="A385" i="55" s="1"/>
  <c r="A397" i="55" s="1"/>
  <c r="A409" i="55" s="1"/>
  <c r="A421" i="55" s="1"/>
  <c r="A433" i="55" s="1"/>
  <c r="A445" i="55" s="1"/>
  <c r="A182" i="55"/>
  <c r="A194" i="55" s="1"/>
  <c r="A206" i="55" s="1"/>
  <c r="A218" i="55" s="1"/>
  <c r="A230" i="55" s="1"/>
  <c r="A242" i="55" s="1"/>
  <c r="A254" i="55" s="1"/>
  <c r="A266" i="55" s="1"/>
  <c r="A278" i="55" s="1"/>
  <c r="A290" i="55" s="1"/>
  <c r="A302" i="55" s="1"/>
  <c r="A314" i="55" s="1"/>
  <c r="A326" i="55" s="1"/>
  <c r="A338" i="55" s="1"/>
  <c r="A350" i="55" s="1"/>
  <c r="A362" i="55" s="1"/>
  <c r="A374" i="55" s="1"/>
  <c r="A386" i="55" s="1"/>
  <c r="A398" i="55" s="1"/>
  <c r="A410" i="55" s="1"/>
  <c r="A422" i="55" s="1"/>
  <c r="A434" i="55" s="1"/>
  <c r="A446" i="55" s="1"/>
  <c r="A183" i="55"/>
  <c r="A195" i="55" s="1"/>
  <c r="A207" i="55" s="1"/>
  <c r="A219" i="55" s="1"/>
  <c r="A231" i="55" s="1"/>
  <c r="A243" i="55" s="1"/>
  <c r="A255" i="55" s="1"/>
  <c r="A267" i="55" s="1"/>
  <c r="A279" i="55" s="1"/>
  <c r="A291" i="55" s="1"/>
  <c r="A303" i="55" s="1"/>
  <c r="A315" i="55" s="1"/>
  <c r="A327" i="55" s="1"/>
  <c r="A339" i="55" s="1"/>
  <c r="A351" i="55" s="1"/>
  <c r="A363" i="55" s="1"/>
  <c r="A375" i="55" s="1"/>
  <c r="A387" i="55" s="1"/>
  <c r="A399" i="55" s="1"/>
  <c r="A411" i="55" s="1"/>
  <c r="A423" i="55" s="1"/>
  <c r="A435" i="55" s="1"/>
  <c r="A447" i="55" s="1"/>
  <c r="A184" i="55"/>
  <c r="A196" i="55" s="1"/>
  <c r="A208" i="55" s="1"/>
  <c r="A220" i="55" s="1"/>
  <c r="A232" i="55" s="1"/>
  <c r="A244" i="55" s="1"/>
  <c r="A256" i="55" s="1"/>
  <c r="A268" i="55" s="1"/>
  <c r="A280" i="55" s="1"/>
  <c r="A292" i="55" s="1"/>
  <c r="A304" i="55" s="1"/>
  <c r="A316" i="55" s="1"/>
  <c r="A328" i="55" s="1"/>
  <c r="A340" i="55" s="1"/>
  <c r="A352" i="55" s="1"/>
  <c r="A364" i="55" s="1"/>
  <c r="A376" i="55" s="1"/>
  <c r="A388" i="55" s="1"/>
  <c r="A400" i="55" s="1"/>
  <c r="A412" i="55" s="1"/>
  <c r="A424" i="55" s="1"/>
  <c r="A436" i="55" s="1"/>
  <c r="A448" i="55" s="1"/>
  <c r="A185" i="55"/>
  <c r="A197" i="55" s="1"/>
  <c r="A209" i="55" s="1"/>
  <c r="A221" i="55" s="1"/>
  <c r="A233" i="55" s="1"/>
  <c r="A245" i="55" s="1"/>
  <c r="A257" i="55" s="1"/>
  <c r="A269" i="55" s="1"/>
  <c r="A281" i="55" s="1"/>
  <c r="A293" i="55" s="1"/>
  <c r="A305" i="55" s="1"/>
  <c r="A317" i="55" s="1"/>
  <c r="A329" i="55" s="1"/>
  <c r="A341" i="55" s="1"/>
  <c r="A353" i="55" s="1"/>
  <c r="A365" i="55" s="1"/>
  <c r="A377" i="55" s="1"/>
  <c r="A389" i="55" s="1"/>
  <c r="A401" i="55" s="1"/>
  <c r="A413" i="55" s="1"/>
  <c r="A425" i="55" s="1"/>
  <c r="A437" i="55" s="1"/>
  <c r="A449" i="55" s="1"/>
  <c r="A186" i="55"/>
  <c r="A198" i="55" s="1"/>
  <c r="A210" i="55" s="1"/>
  <c r="A222" i="55" s="1"/>
  <c r="A234" i="55" s="1"/>
  <c r="A246" i="55" s="1"/>
  <c r="A258" i="55" s="1"/>
  <c r="A270" i="55" s="1"/>
  <c r="A282" i="55" s="1"/>
  <c r="A294" i="55" s="1"/>
  <c r="A306" i="55" s="1"/>
  <c r="A318" i="55" s="1"/>
  <c r="A330" i="55" s="1"/>
  <c r="A342" i="55" s="1"/>
  <c r="A354" i="55" s="1"/>
  <c r="A366" i="55" s="1"/>
  <c r="A378" i="55" s="1"/>
  <c r="A390" i="55" s="1"/>
  <c r="A402" i="55" s="1"/>
  <c r="A414" i="55" s="1"/>
  <c r="A426" i="55" s="1"/>
  <c r="A438" i="55" s="1"/>
  <c r="A450" i="55" s="1"/>
  <c r="A187" i="55"/>
  <c r="A199" i="55" s="1"/>
  <c r="A211" i="55" s="1"/>
  <c r="A223" i="55" s="1"/>
  <c r="A235" i="55" s="1"/>
  <c r="A247" i="55" s="1"/>
  <c r="A259" i="55" s="1"/>
  <c r="A271" i="55" s="1"/>
  <c r="A283" i="55" s="1"/>
  <c r="A295" i="55" s="1"/>
  <c r="A307" i="55" s="1"/>
  <c r="A319" i="55" s="1"/>
  <c r="A331" i="55" s="1"/>
  <c r="A343" i="55" s="1"/>
  <c r="A355" i="55" s="1"/>
  <c r="A367" i="55" s="1"/>
  <c r="A379" i="55" s="1"/>
  <c r="A391" i="55" s="1"/>
  <c r="A403" i="55" s="1"/>
  <c r="A415" i="55" s="1"/>
  <c r="A427" i="55" s="1"/>
  <c r="A439" i="55" s="1"/>
  <c r="A451" i="55" s="1"/>
  <c r="A188" i="55"/>
  <c r="A200" i="55" s="1"/>
  <c r="A212" i="55" s="1"/>
  <c r="A224" i="55" s="1"/>
  <c r="A236" i="55" s="1"/>
  <c r="A248" i="55" s="1"/>
  <c r="A260" i="55" s="1"/>
  <c r="A272" i="55" s="1"/>
  <c r="A284" i="55" s="1"/>
  <c r="A296" i="55" s="1"/>
  <c r="A308" i="55" s="1"/>
  <c r="A320" i="55" s="1"/>
  <c r="A332" i="55" s="1"/>
  <c r="A344" i="55" s="1"/>
  <c r="A356" i="55" s="1"/>
  <c r="A368" i="55" s="1"/>
  <c r="A380" i="55" s="1"/>
  <c r="A392" i="55" s="1"/>
  <c r="A404" i="55" s="1"/>
  <c r="A416" i="55" s="1"/>
  <c r="A428" i="55" s="1"/>
  <c r="A440" i="55" s="1"/>
  <c r="A452" i="55" s="1"/>
  <c r="A189" i="55"/>
  <c r="A201" i="55" s="1"/>
  <c r="A213" i="55" s="1"/>
  <c r="A225" i="55" s="1"/>
  <c r="A237" i="55" s="1"/>
  <c r="A249" i="55" s="1"/>
  <c r="A261" i="55" s="1"/>
  <c r="A273" i="55" s="1"/>
  <c r="A285" i="55" s="1"/>
  <c r="A297" i="55" s="1"/>
  <c r="A309" i="55" s="1"/>
  <c r="A321" i="55" s="1"/>
  <c r="A333" i="55" s="1"/>
  <c r="A345" i="55" s="1"/>
  <c r="A357" i="55" s="1"/>
  <c r="A369" i="55" s="1"/>
  <c r="A381" i="55" s="1"/>
  <c r="A393" i="55" s="1"/>
  <c r="A405" i="55" s="1"/>
  <c r="A417" i="55" s="1"/>
  <c r="A429" i="55" s="1"/>
  <c r="A441" i="55" s="1"/>
  <c r="A453" i="55" s="1"/>
  <c r="B263" i="89"/>
  <c r="H305" i="11"/>
  <c r="H304" i="11"/>
  <c r="H306" i="11"/>
  <c r="H309" i="11"/>
  <c r="Z262" i="68"/>
  <c r="Z271" i="68"/>
  <c r="O48" i="95"/>
  <c r="A24" i="45"/>
  <c r="A36" i="45" s="1"/>
  <c r="A48" i="45" s="1"/>
  <c r="A60" i="45" s="1"/>
  <c r="A72" i="45" s="1"/>
  <c r="A84" i="45" s="1"/>
  <c r="A96" i="45" s="1"/>
  <c r="A108" i="45" s="1"/>
  <c r="A120" i="45" s="1"/>
  <c r="A132" i="45" s="1"/>
  <c r="A144" i="45" s="1"/>
  <c r="A156" i="45" s="1"/>
  <c r="A168" i="45" s="1"/>
  <c r="A180" i="45" s="1"/>
  <c r="A192" i="45" s="1"/>
  <c r="H319" i="11"/>
  <c r="A25" i="45"/>
  <c r="A37" i="45" s="1"/>
  <c r="A49" i="45" s="1"/>
  <c r="A61" i="45" s="1"/>
  <c r="A73" i="45" s="1"/>
  <c r="A85" i="45" s="1"/>
  <c r="A97" i="45" s="1"/>
  <c r="A109" i="45" s="1"/>
  <c r="A121" i="45" s="1"/>
  <c r="A133" i="45" s="1"/>
  <c r="A145" i="45" s="1"/>
  <c r="A157" i="45" s="1"/>
  <c r="A169" i="45" s="1"/>
  <c r="A181" i="45" s="1"/>
  <c r="A193" i="45" s="1"/>
  <c r="A26" i="45"/>
  <c r="A38" i="45" s="1"/>
  <c r="A50" i="45" s="1"/>
  <c r="A62" i="45" s="1"/>
  <c r="A74" i="45" s="1"/>
  <c r="A86" i="45" s="1"/>
  <c r="A98" i="45" s="1"/>
  <c r="A110" i="45" s="1"/>
  <c r="A122" i="45" s="1"/>
  <c r="A134" i="45" s="1"/>
  <c r="A146" i="45" s="1"/>
  <c r="A158" i="45" s="1"/>
  <c r="A170" i="45" s="1"/>
  <c r="A182" i="45" s="1"/>
  <c r="A194" i="45" s="1"/>
  <c r="A27" i="45"/>
  <c r="A39" i="45" s="1"/>
  <c r="A51" i="45" s="1"/>
  <c r="A63" i="45" s="1"/>
  <c r="A75" i="45" s="1"/>
  <c r="A87" i="45" s="1"/>
  <c r="A99" i="45" s="1"/>
  <c r="A111" i="45" s="1"/>
  <c r="A123" i="45" s="1"/>
  <c r="A135" i="45" s="1"/>
  <c r="A147" i="45" s="1"/>
  <c r="A159" i="45" s="1"/>
  <c r="A171" i="45" s="1"/>
  <c r="A183" i="45" s="1"/>
  <c r="A195" i="45" s="1"/>
  <c r="A28" i="45"/>
  <c r="A40" i="45" s="1"/>
  <c r="A52" i="45" s="1"/>
  <c r="A64" i="45" s="1"/>
  <c r="A76" i="45" s="1"/>
  <c r="A88" i="45" s="1"/>
  <c r="A100" i="45" s="1"/>
  <c r="A112" i="45" s="1"/>
  <c r="A124" i="45" s="1"/>
  <c r="A136" i="45" s="1"/>
  <c r="A148" i="45" s="1"/>
  <c r="A160" i="45" s="1"/>
  <c r="A172" i="45" s="1"/>
  <c r="A184" i="45" s="1"/>
  <c r="A196" i="45" s="1"/>
  <c r="A29" i="45"/>
  <c r="A41" i="45" s="1"/>
  <c r="A53" i="45" s="1"/>
  <c r="A65" i="45" s="1"/>
  <c r="A77" i="45" s="1"/>
  <c r="A89" i="45" s="1"/>
  <c r="A101" i="45" s="1"/>
  <c r="A113" i="45" s="1"/>
  <c r="A125" i="45" s="1"/>
  <c r="A137" i="45" s="1"/>
  <c r="A149" i="45" s="1"/>
  <c r="A161" i="45" s="1"/>
  <c r="A173" i="45" s="1"/>
  <c r="A185" i="45" s="1"/>
  <c r="A197" i="45" s="1"/>
  <c r="A30" i="45"/>
  <c r="A42" i="45" s="1"/>
  <c r="A54" i="45" s="1"/>
  <c r="A66" i="45" s="1"/>
  <c r="A78" i="45" s="1"/>
  <c r="A90" i="45" s="1"/>
  <c r="A102" i="45" s="1"/>
  <c r="A114" i="45" s="1"/>
  <c r="A126" i="45" s="1"/>
  <c r="A138" i="45" s="1"/>
  <c r="A150" i="45" s="1"/>
  <c r="A162" i="45" s="1"/>
  <c r="A174" i="45" s="1"/>
  <c r="A186" i="45" s="1"/>
  <c r="A198" i="45" s="1"/>
  <c r="A31" i="45"/>
  <c r="A43" i="45" s="1"/>
  <c r="A55" i="45" s="1"/>
  <c r="A67" i="45" s="1"/>
  <c r="A79" i="45" s="1"/>
  <c r="A91" i="45" s="1"/>
  <c r="A103" i="45" s="1"/>
  <c r="A115" i="45" s="1"/>
  <c r="A127" i="45" s="1"/>
  <c r="A139" i="45" s="1"/>
  <c r="A151" i="45" s="1"/>
  <c r="A163" i="45" s="1"/>
  <c r="A175" i="45" s="1"/>
  <c r="A187" i="45" s="1"/>
  <c r="A199" i="45" s="1"/>
  <c r="A33" i="45"/>
  <c r="A45" i="45" s="1"/>
  <c r="A57" i="45" s="1"/>
  <c r="A69" i="45" s="1"/>
  <c r="A81" i="45" s="1"/>
  <c r="A93" i="45" s="1"/>
  <c r="A105" i="45" s="1"/>
  <c r="A117" i="45" s="1"/>
  <c r="A129" i="45" s="1"/>
  <c r="A141" i="45" s="1"/>
  <c r="A153" i="45" s="1"/>
  <c r="A165" i="45" s="1"/>
  <c r="A177" i="45" s="1"/>
  <c r="A189" i="45" s="1"/>
  <c r="A201" i="45" s="1"/>
  <c r="A32" i="45"/>
  <c r="A44" i="45" s="1"/>
  <c r="A56" i="45" s="1"/>
  <c r="A68" i="45" s="1"/>
  <c r="A80" i="45" s="1"/>
  <c r="A92" i="45" s="1"/>
  <c r="A104" i="45" s="1"/>
  <c r="A116" i="45" s="1"/>
  <c r="A128" i="45" s="1"/>
  <c r="A140" i="45" s="1"/>
  <c r="A152" i="45" s="1"/>
  <c r="A164" i="45" s="1"/>
  <c r="A176" i="45" s="1"/>
  <c r="A188" i="45" s="1"/>
  <c r="A200" i="45" s="1"/>
  <c r="D328" i="89"/>
  <c r="B329" i="89"/>
  <c r="B330" i="89"/>
  <c r="G85" i="53" l="1"/>
  <c r="A17" i="112"/>
  <c r="A28" i="112"/>
  <c r="A40" i="112" s="1"/>
  <c r="A52" i="112" s="1"/>
  <c r="A64" i="112" s="1"/>
  <c r="A76" i="112" s="1"/>
  <c r="A88" i="112" s="1"/>
  <c r="A100" i="112" s="1"/>
  <c r="A112" i="112" s="1"/>
  <c r="A124" i="112" s="1"/>
  <c r="A136" i="112" s="1"/>
  <c r="A148" i="112" s="1"/>
  <c r="A160" i="112" s="1"/>
  <c r="A172" i="112" s="1"/>
  <c r="A184" i="112" s="1"/>
  <c r="G91" i="53"/>
  <c r="G87" i="53"/>
  <c r="A392" i="11"/>
  <c r="A404" i="11" s="1"/>
  <c r="A416" i="11" s="1"/>
  <c r="A428" i="11" s="1"/>
  <c r="A440" i="11" s="1"/>
  <c r="A452" i="11" s="1"/>
  <c r="A464" i="11" s="1"/>
  <c r="A476" i="11" s="1"/>
  <c r="A392" i="108"/>
  <c r="A404" i="108" s="1"/>
  <c r="A416" i="108" s="1"/>
  <c r="A428" i="108" s="1"/>
  <c r="A440" i="108" s="1"/>
  <c r="A452" i="108" s="1"/>
  <c r="A464" i="108" s="1"/>
  <c r="A476" i="108" s="1"/>
  <c r="J146" i="69"/>
  <c r="G146" i="69"/>
  <c r="G147" i="69" s="1"/>
  <c r="E149" i="69"/>
  <c r="B146" i="69"/>
  <c r="B147" i="69" s="1"/>
  <c r="E417" i="64"/>
  <c r="E459" i="64"/>
  <c r="E444" i="64"/>
  <c r="E452" i="64"/>
  <c r="E436" i="64"/>
  <c r="E407" i="64"/>
  <c r="E415" i="64"/>
  <c r="E418" i="64"/>
  <c r="E421" i="64"/>
  <c r="E424" i="64"/>
  <c r="E427" i="64"/>
  <c r="E457" i="64"/>
  <c r="E465" i="64"/>
  <c r="E442" i="64"/>
  <c r="E413" i="64"/>
  <c r="E462" i="64"/>
  <c r="E447" i="64"/>
  <c r="E455" i="64"/>
  <c r="E439" i="64"/>
  <c r="E410" i="64"/>
  <c r="E431" i="64"/>
  <c r="E450" i="64"/>
  <c r="E434" i="64"/>
  <c r="E463" i="64"/>
  <c r="E448" i="64"/>
  <c r="E456" i="64"/>
  <c r="E440" i="64"/>
  <c r="E411" i="64"/>
  <c r="E432" i="64"/>
  <c r="E461" i="64"/>
  <c r="E454" i="64"/>
  <c r="E420" i="64"/>
  <c r="E458" i="64"/>
  <c r="E443" i="64"/>
  <c r="E451" i="64"/>
  <c r="E435" i="64"/>
  <c r="E406" i="64"/>
  <c r="E414" i="64"/>
  <c r="E423" i="64"/>
  <c r="E426" i="64"/>
  <c r="E429" i="64"/>
  <c r="E446" i="64"/>
  <c r="E438" i="64"/>
  <c r="E409" i="64"/>
  <c r="E433" i="64"/>
  <c r="E425" i="64"/>
  <c r="E460" i="64"/>
  <c r="E408" i="64"/>
  <c r="E419" i="64"/>
  <c r="E449" i="64"/>
  <c r="E437" i="64"/>
  <c r="E464" i="64"/>
  <c r="E412" i="64"/>
  <c r="E422" i="64"/>
  <c r="E428" i="64"/>
  <c r="E453" i="64"/>
  <c r="E441" i="64"/>
  <c r="E445" i="64"/>
  <c r="E430" i="64"/>
  <c r="E416" i="64"/>
  <c r="A612" i="71"/>
  <c r="A624" i="71" s="1"/>
  <c r="A636" i="71" s="1"/>
  <c r="E12" i="64"/>
  <c r="E360" i="64"/>
  <c r="S44" i="95"/>
  <c r="R44" i="95"/>
  <c r="S48" i="95"/>
  <c r="R48" i="95"/>
  <c r="S41" i="95"/>
  <c r="R41" i="95"/>
  <c r="R45" i="95"/>
  <c r="S45" i="95"/>
  <c r="R49" i="95"/>
  <c r="S49" i="95"/>
  <c r="R46" i="95"/>
  <c r="S46" i="95"/>
  <c r="R43" i="95"/>
  <c r="S43" i="95"/>
  <c r="R47" i="95"/>
  <c r="S47" i="95"/>
  <c r="A312" i="1"/>
  <c r="A324" i="1" s="1"/>
  <c r="A336" i="1" s="1"/>
  <c r="A348" i="1" s="1"/>
  <c r="A360" i="1" s="1"/>
  <c r="A372" i="1" s="1"/>
  <c r="A384" i="1" s="1"/>
  <c r="A396" i="1" s="1"/>
  <c r="E405" i="64"/>
  <c r="E131" i="64"/>
  <c r="U43" i="95"/>
  <c r="S14" i="95"/>
  <c r="E121" i="116"/>
  <c r="S15" i="95"/>
  <c r="O49" i="95"/>
  <c r="E146" i="69"/>
  <c r="F149" i="69"/>
  <c r="F150" i="69" s="1"/>
  <c r="F151" i="69" s="1"/>
  <c r="F152" i="69" s="1"/>
  <c r="F153" i="69" s="1"/>
  <c r="U44" i="95"/>
  <c r="U23" i="95"/>
  <c r="C149" i="69"/>
  <c r="C150" i="69" s="1"/>
  <c r="C151" i="69" s="1"/>
  <c r="C152" i="69" s="1"/>
  <c r="C153" i="69" s="1"/>
  <c r="O44" i="95"/>
  <c r="U22" i="95"/>
  <c r="H149" i="69"/>
  <c r="H150" i="69" s="1"/>
  <c r="H151" i="69" s="1"/>
  <c r="H152" i="69" s="1"/>
  <c r="H153" i="69" s="1"/>
  <c r="C144" i="69"/>
  <c r="C145" i="69" s="1"/>
  <c r="E123" i="116"/>
  <c r="A13" i="38"/>
  <c r="A25" i="38" s="1"/>
  <c r="A37" i="38" s="1"/>
  <c r="A49" i="38" s="1"/>
  <c r="A61" i="38" s="1"/>
  <c r="A73" i="38" s="1"/>
  <c r="A85" i="38" s="1"/>
  <c r="A97" i="38" s="1"/>
  <c r="A109" i="38" s="1"/>
  <c r="A121" i="38" s="1"/>
  <c r="A133" i="38" s="1"/>
  <c r="A145" i="38" s="1"/>
  <c r="A157" i="38" s="1"/>
  <c r="A169" i="38" s="1"/>
  <c r="A181" i="38" s="1"/>
  <c r="A193" i="38" s="1"/>
  <c r="A205" i="38" s="1"/>
  <c r="Z257" i="68"/>
  <c r="L303" i="108"/>
  <c r="O22" i="95"/>
  <c r="I88" i="49"/>
  <c r="E127" i="116"/>
  <c r="V14" i="95"/>
  <c r="L305" i="108"/>
  <c r="L304" i="108"/>
  <c r="L302" i="108"/>
  <c r="L296" i="108"/>
  <c r="L299" i="108"/>
  <c r="L300" i="108"/>
  <c r="E125" i="116"/>
  <c r="L301" i="108"/>
  <c r="E120" i="116"/>
  <c r="O45" i="95"/>
  <c r="J149" i="69"/>
  <c r="A23" i="68"/>
  <c r="A35" i="68" s="1"/>
  <c r="A47" i="68" s="1"/>
  <c r="A59" i="68" s="1"/>
  <c r="A71" i="68" s="1"/>
  <c r="A83" i="68" s="1"/>
  <c r="A95" i="68" s="1"/>
  <c r="A107" i="68" s="1"/>
  <c r="A119" i="68" s="1"/>
  <c r="A131" i="68" s="1"/>
  <c r="A143" i="68" s="1"/>
  <c r="A155" i="68" s="1"/>
  <c r="A167" i="68" s="1"/>
  <c r="A179" i="68" s="1"/>
  <c r="A191" i="68" s="1"/>
  <c r="A203" i="68" s="1"/>
  <c r="A215" i="68" s="1"/>
  <c r="A227" i="68" s="1"/>
  <c r="A239" i="68" s="1"/>
  <c r="A251" i="68" s="1"/>
  <c r="A263" i="68" s="1"/>
  <c r="A275" i="68" s="1"/>
  <c r="A287" i="68" s="1"/>
  <c r="A299" i="68" s="1"/>
  <c r="A311" i="68" s="1"/>
  <c r="A323" i="68" s="1"/>
  <c r="A335" i="68" s="1"/>
  <c r="A347" i="68" s="1"/>
  <c r="A359" i="68" s="1"/>
  <c r="A371" i="68" s="1"/>
  <c r="A383" i="68" s="1"/>
  <c r="A395" i="68" s="1"/>
  <c r="A407" i="68" s="1"/>
  <c r="A419" i="68" s="1"/>
  <c r="A431" i="68" s="1"/>
  <c r="A443" i="68" s="1"/>
  <c r="A455" i="68" s="1"/>
  <c r="U41" i="95"/>
  <c r="U15" i="95"/>
  <c r="O43" i="95"/>
  <c r="A23" i="38"/>
  <c r="A35" i="38" s="1"/>
  <c r="A47" i="38" s="1"/>
  <c r="A59" i="38" s="1"/>
  <c r="A71" i="38" s="1"/>
  <c r="A83" i="38" s="1"/>
  <c r="A95" i="38" s="1"/>
  <c r="A107" i="38" s="1"/>
  <c r="A119" i="38" s="1"/>
  <c r="A131" i="38" s="1"/>
  <c r="A143" i="38" s="1"/>
  <c r="A155" i="38" s="1"/>
  <c r="A167" i="38" s="1"/>
  <c r="A179" i="38" s="1"/>
  <c r="A191" i="38" s="1"/>
  <c r="A203" i="38" s="1"/>
  <c r="E124" i="116"/>
  <c r="E126" i="116"/>
  <c r="F147" i="69"/>
  <c r="F144" i="69"/>
  <c r="F145" i="69" s="1"/>
  <c r="H147" i="69"/>
  <c r="H144" i="69"/>
  <c r="H145" i="69" s="1"/>
  <c r="B149" i="69"/>
  <c r="E142" i="64"/>
  <c r="E143" i="64"/>
  <c r="E144" i="64"/>
  <c r="E128" i="116"/>
  <c r="L297" i="108"/>
  <c r="E146" i="116"/>
  <c r="A581" i="71"/>
  <c r="A593" i="71" s="1"/>
  <c r="A605" i="71" s="1"/>
  <c r="A617" i="71" s="1"/>
  <c r="A629" i="71" s="1"/>
  <c r="A641" i="71" s="1"/>
  <c r="R235" i="3"/>
  <c r="H142" i="64"/>
  <c r="H144" i="64"/>
  <c r="H143" i="64"/>
  <c r="Z258" i="68"/>
  <c r="Z260" i="68"/>
  <c r="L88" i="49"/>
  <c r="L306" i="108"/>
  <c r="A24" i="68"/>
  <c r="A36" i="68" s="1"/>
  <c r="A48" i="68" s="1"/>
  <c r="A60" i="68" s="1"/>
  <c r="A72" i="68" s="1"/>
  <c r="A84" i="68" s="1"/>
  <c r="A96" i="68" s="1"/>
  <c r="A108" i="68" s="1"/>
  <c r="A120" i="68" s="1"/>
  <c r="A132" i="68" s="1"/>
  <c r="A144" i="68" s="1"/>
  <c r="A156" i="68" s="1"/>
  <c r="A168" i="68" s="1"/>
  <c r="A180" i="68" s="1"/>
  <c r="A192" i="68" s="1"/>
  <c r="A204" i="68" s="1"/>
  <c r="A216" i="68" s="1"/>
  <c r="A228" i="68" s="1"/>
  <c r="A240" i="68" s="1"/>
  <c r="A252" i="68" s="1"/>
  <c r="A264" i="68" s="1"/>
  <c r="A276" i="68" s="1"/>
  <c r="A288" i="68" s="1"/>
  <c r="A300" i="68" s="1"/>
  <c r="A312" i="68" s="1"/>
  <c r="A324" i="68" s="1"/>
  <c r="A336" i="68" s="1"/>
  <c r="A348" i="68" s="1"/>
  <c r="A360" i="68" s="1"/>
  <c r="A372" i="68" s="1"/>
  <c r="A384" i="68" s="1"/>
  <c r="A396" i="68" s="1"/>
  <c r="A408" i="68" s="1"/>
  <c r="A420" i="68" s="1"/>
  <c r="A432" i="68" s="1"/>
  <c r="A444" i="68" s="1"/>
  <c r="A456" i="68" s="1"/>
  <c r="A13" i="68"/>
  <c r="G149" i="69"/>
  <c r="V49" i="95"/>
  <c r="U49" i="95"/>
  <c r="U48" i="95"/>
  <c r="Z217" i="68"/>
  <c r="Z259" i="68"/>
  <c r="Z261" i="68"/>
  <c r="E129" i="116"/>
  <c r="O47" i="95"/>
  <c r="E33" i="64"/>
  <c r="E324" i="64"/>
  <c r="E376" i="64"/>
  <c r="E380" i="64"/>
  <c r="E384" i="64"/>
  <c r="E388" i="64"/>
  <c r="E392" i="64"/>
  <c r="E396" i="64"/>
  <c r="E400" i="64"/>
  <c r="E404" i="64"/>
  <c r="E377" i="64"/>
  <c r="E381" i="64"/>
  <c r="E385" i="64"/>
  <c r="E389" i="64"/>
  <c r="E393" i="64"/>
  <c r="E397" i="64"/>
  <c r="E401" i="64"/>
  <c r="E378" i="64"/>
  <c r="E382" i="64"/>
  <c r="E386" i="64"/>
  <c r="E390" i="64"/>
  <c r="E394" i="64"/>
  <c r="E398" i="64"/>
  <c r="E402" i="64"/>
  <c r="E379" i="64"/>
  <c r="E383" i="64"/>
  <c r="E387" i="64"/>
  <c r="E391" i="64"/>
  <c r="E395" i="64"/>
  <c r="E399" i="64"/>
  <c r="E403" i="64"/>
  <c r="E147" i="64"/>
  <c r="E151" i="64"/>
  <c r="E155" i="64"/>
  <c r="E159" i="64"/>
  <c r="E163" i="64"/>
  <c r="E167" i="64"/>
  <c r="E171" i="64"/>
  <c r="E175" i="64"/>
  <c r="E179" i="64"/>
  <c r="E183" i="64"/>
  <c r="E187" i="64"/>
  <c r="E191" i="64"/>
  <c r="E195" i="64"/>
  <c r="E199" i="64"/>
  <c r="E203" i="64"/>
  <c r="E207" i="64"/>
  <c r="E211" i="64"/>
  <c r="E215" i="64"/>
  <c r="E219" i="64"/>
  <c r="E223" i="64"/>
  <c r="E227" i="64"/>
  <c r="E231" i="64"/>
  <c r="E235" i="64"/>
  <c r="E239" i="64"/>
  <c r="E243" i="64"/>
  <c r="E247" i="64"/>
  <c r="E251" i="64"/>
  <c r="E255" i="64"/>
  <c r="E259" i="64"/>
  <c r="E263" i="64"/>
  <c r="E267" i="64"/>
  <c r="E271" i="64"/>
  <c r="E275" i="64"/>
  <c r="E279" i="64"/>
  <c r="E283" i="64"/>
  <c r="E287" i="64"/>
  <c r="E291" i="64"/>
  <c r="E295" i="64"/>
  <c r="E299" i="64"/>
  <c r="E303" i="64"/>
  <c r="E307" i="64"/>
  <c r="E311" i="64"/>
  <c r="E315" i="64"/>
  <c r="E319" i="64"/>
  <c r="E323" i="64"/>
  <c r="E328" i="64"/>
  <c r="E332" i="64"/>
  <c r="E336" i="64"/>
  <c r="E340" i="64"/>
  <c r="E344" i="64"/>
  <c r="E348" i="64"/>
  <c r="E352" i="64"/>
  <c r="E356" i="64"/>
  <c r="E364" i="64"/>
  <c r="E368" i="64"/>
  <c r="E148" i="64"/>
  <c r="E152" i="64"/>
  <c r="E156" i="64"/>
  <c r="E160" i="64"/>
  <c r="E164" i="64"/>
  <c r="E168" i="64"/>
  <c r="E172" i="64"/>
  <c r="E176" i="64"/>
  <c r="E180" i="64"/>
  <c r="E184" i="64"/>
  <c r="E188" i="64"/>
  <c r="E192" i="64"/>
  <c r="E196" i="64"/>
  <c r="E200" i="64"/>
  <c r="E204" i="64"/>
  <c r="E208" i="64"/>
  <c r="E212" i="64"/>
  <c r="E216" i="64"/>
  <c r="E220" i="64"/>
  <c r="E224" i="64"/>
  <c r="E228" i="64"/>
  <c r="E232" i="64"/>
  <c r="E236" i="64"/>
  <c r="E240" i="64"/>
  <c r="E244" i="64"/>
  <c r="E248" i="64"/>
  <c r="E146" i="64"/>
  <c r="E154" i="64"/>
  <c r="E162" i="64"/>
  <c r="E170" i="64"/>
  <c r="E178" i="64"/>
  <c r="E186" i="64"/>
  <c r="E194" i="64"/>
  <c r="E202" i="64"/>
  <c r="E210" i="64"/>
  <c r="E218" i="64"/>
  <c r="E226" i="64"/>
  <c r="E234" i="64"/>
  <c r="E242" i="64"/>
  <c r="E250" i="64"/>
  <c r="E256" i="64"/>
  <c r="E261" i="64"/>
  <c r="E266" i="64"/>
  <c r="E272" i="64"/>
  <c r="E277" i="64"/>
  <c r="E282" i="64"/>
  <c r="E288" i="64"/>
  <c r="E293" i="64"/>
  <c r="E298" i="64"/>
  <c r="E304" i="64"/>
  <c r="E309" i="64"/>
  <c r="E314" i="64"/>
  <c r="E320" i="64"/>
  <c r="E326" i="64"/>
  <c r="E331" i="64"/>
  <c r="E337" i="64"/>
  <c r="E342" i="64"/>
  <c r="E347" i="64"/>
  <c r="E353" i="64"/>
  <c r="E358" i="64"/>
  <c r="E363" i="64"/>
  <c r="E369" i="64"/>
  <c r="E374" i="64"/>
  <c r="E149" i="64"/>
  <c r="E157" i="64"/>
  <c r="E165" i="64"/>
  <c r="E173" i="64"/>
  <c r="E181" i="64"/>
  <c r="E189" i="64"/>
  <c r="E197" i="64"/>
  <c r="E205" i="64"/>
  <c r="E213" i="64"/>
  <c r="E221" i="64"/>
  <c r="E229" i="64"/>
  <c r="E237" i="64"/>
  <c r="E245" i="64"/>
  <c r="E252" i="64"/>
  <c r="E257" i="64"/>
  <c r="E262" i="64"/>
  <c r="E268" i="64"/>
  <c r="E273" i="64"/>
  <c r="E278" i="64"/>
  <c r="E284" i="64"/>
  <c r="E289" i="64"/>
  <c r="E294" i="64"/>
  <c r="E300" i="64"/>
  <c r="E305" i="64"/>
  <c r="E310" i="64"/>
  <c r="E316" i="64"/>
  <c r="E321" i="64"/>
  <c r="E327" i="64"/>
  <c r="E333" i="64"/>
  <c r="E338" i="64"/>
  <c r="E343" i="64"/>
  <c r="E349" i="64"/>
  <c r="E354" i="64"/>
  <c r="E359" i="64"/>
  <c r="E365" i="64"/>
  <c r="E370" i="64"/>
  <c r="E150" i="64"/>
  <c r="E158" i="64"/>
  <c r="E166" i="64"/>
  <c r="E174" i="64"/>
  <c r="E182" i="64"/>
  <c r="E190" i="64"/>
  <c r="E198" i="64"/>
  <c r="E206" i="64"/>
  <c r="E214" i="64"/>
  <c r="E222" i="64"/>
  <c r="E230" i="64"/>
  <c r="E145" i="64"/>
  <c r="E177" i="64"/>
  <c r="E209" i="64"/>
  <c r="E238" i="64"/>
  <c r="E253" i="64"/>
  <c r="E264" i="64"/>
  <c r="E274" i="64"/>
  <c r="E285" i="64"/>
  <c r="E296" i="64"/>
  <c r="E306" i="64"/>
  <c r="E317" i="64"/>
  <c r="E329" i="64"/>
  <c r="E339" i="64"/>
  <c r="E350" i="64"/>
  <c r="E361" i="64"/>
  <c r="E371" i="64"/>
  <c r="E153" i="64"/>
  <c r="E185" i="64"/>
  <c r="E217" i="64"/>
  <c r="E241" i="64"/>
  <c r="E254" i="64"/>
  <c r="E265" i="64"/>
  <c r="E276" i="64"/>
  <c r="E286" i="64"/>
  <c r="E297" i="64"/>
  <c r="E308" i="64"/>
  <c r="E318" i="64"/>
  <c r="E330" i="64"/>
  <c r="E341" i="64"/>
  <c r="E351" i="64"/>
  <c r="E362" i="64"/>
  <c r="E373" i="64"/>
  <c r="E161" i="64"/>
  <c r="E193" i="64"/>
  <c r="E225" i="64"/>
  <c r="E246" i="64"/>
  <c r="E258" i="64"/>
  <c r="E269" i="64"/>
  <c r="E280" i="64"/>
  <c r="E290" i="64"/>
  <c r="E301" i="64"/>
  <c r="E312" i="64"/>
  <c r="E322" i="64"/>
  <c r="E334" i="64"/>
  <c r="E345" i="64"/>
  <c r="E355" i="64"/>
  <c r="E366" i="64"/>
  <c r="E169" i="64"/>
  <c r="E201" i="64"/>
  <c r="E233" i="64"/>
  <c r="E249" i="64"/>
  <c r="E260" i="64"/>
  <c r="E270" i="64"/>
  <c r="E281" i="64"/>
  <c r="E292" i="64"/>
  <c r="E302" i="64"/>
  <c r="E313" i="64"/>
  <c r="E325" i="64"/>
  <c r="E335" i="64"/>
  <c r="E346" i="64"/>
  <c r="E357" i="64"/>
  <c r="E367" i="64"/>
  <c r="O46" i="95"/>
  <c r="R236" i="3"/>
  <c r="H300" i="64"/>
  <c r="H324" i="64"/>
  <c r="H111" i="64"/>
  <c r="H227" i="64"/>
  <c r="H243" i="64"/>
  <c r="H110" i="64"/>
  <c r="H90" i="64"/>
  <c r="H256" i="64"/>
  <c r="H270" i="64"/>
  <c r="H228" i="64"/>
  <c r="H253" i="64"/>
  <c r="H201" i="64"/>
  <c r="H80" i="64"/>
  <c r="H154" i="64"/>
  <c r="H30" i="64"/>
  <c r="H38" i="64"/>
  <c r="H221" i="64"/>
  <c r="H279" i="64"/>
  <c r="H189" i="64"/>
  <c r="H254" i="64"/>
  <c r="E82" i="64"/>
  <c r="H224" i="64"/>
  <c r="H222" i="64"/>
  <c r="H12" i="64"/>
  <c r="H29" i="64"/>
  <c r="H180" i="64"/>
  <c r="H184" i="64"/>
  <c r="H23" i="64"/>
  <c r="H287" i="64"/>
  <c r="H271" i="64"/>
  <c r="E104" i="64"/>
  <c r="H226" i="64"/>
  <c r="H108" i="64"/>
  <c r="H113" i="64"/>
  <c r="H209" i="64"/>
  <c r="H314" i="64"/>
  <c r="H115" i="64"/>
  <c r="H21" i="64"/>
  <c r="H85" i="64"/>
  <c r="E70" i="64"/>
  <c r="E45" i="64"/>
  <c r="E140" i="64"/>
  <c r="H269" i="64"/>
  <c r="H16" i="64"/>
  <c r="H264" i="64"/>
  <c r="H64" i="64"/>
  <c r="H179" i="64"/>
  <c r="H148" i="64"/>
  <c r="H145" i="64"/>
  <c r="H40" i="64"/>
  <c r="H202" i="64"/>
  <c r="H175" i="64"/>
  <c r="H296" i="64"/>
  <c r="H17" i="64"/>
  <c r="H262" i="64"/>
  <c r="H25" i="64"/>
  <c r="H140" i="64"/>
  <c r="H56" i="64"/>
  <c r="H288" i="64"/>
  <c r="H176" i="64"/>
  <c r="H297" i="64"/>
  <c r="H265" i="64"/>
  <c r="H232" i="64"/>
  <c r="H93" i="64"/>
  <c r="E18" i="64"/>
  <c r="H76" i="64"/>
  <c r="E37" i="64"/>
  <c r="E49" i="64"/>
  <c r="E52" i="64"/>
  <c r="E105" i="64"/>
  <c r="H196" i="64"/>
  <c r="H210" i="64"/>
  <c r="H168" i="64"/>
  <c r="H155" i="64"/>
  <c r="H28" i="64"/>
  <c r="H244" i="64"/>
  <c r="H251" i="64"/>
  <c r="H166" i="64"/>
  <c r="H74" i="64"/>
  <c r="H158" i="64"/>
  <c r="H103" i="64"/>
  <c r="H263" i="64"/>
  <c r="H194" i="64"/>
  <c r="H252" i="64"/>
  <c r="H303" i="64"/>
  <c r="H105" i="64"/>
  <c r="H311" i="64"/>
  <c r="H97" i="64"/>
  <c r="E130" i="64"/>
  <c r="E69" i="64"/>
  <c r="E101" i="64"/>
  <c r="E25" i="64"/>
  <c r="E64" i="64"/>
  <c r="E127" i="64"/>
  <c r="E67" i="64"/>
  <c r="E47" i="64"/>
  <c r="E39" i="64"/>
  <c r="E80" i="64"/>
  <c r="E42" i="64"/>
  <c r="E86" i="64"/>
  <c r="E85" i="64"/>
  <c r="E132" i="64"/>
  <c r="E88" i="64"/>
  <c r="E114" i="64"/>
  <c r="E50" i="64"/>
  <c r="E121" i="64"/>
  <c r="E123" i="64"/>
  <c r="E95" i="64"/>
  <c r="E40" i="64"/>
  <c r="E103" i="64"/>
  <c r="H127" i="64"/>
  <c r="H306" i="64"/>
  <c r="H235" i="64"/>
  <c r="H99" i="64"/>
  <c r="H33" i="64"/>
  <c r="H233" i="64"/>
  <c r="H147" i="64"/>
  <c r="H88" i="64"/>
  <c r="H304" i="64"/>
  <c r="H325" i="64"/>
  <c r="H133" i="64"/>
  <c r="H240" i="64"/>
  <c r="H165" i="64"/>
  <c r="H70" i="64"/>
  <c r="H119" i="64"/>
  <c r="H132" i="64"/>
  <c r="H14" i="64"/>
  <c r="H258" i="64"/>
  <c r="H220" i="64"/>
  <c r="H18" i="64"/>
  <c r="H299" i="64"/>
  <c r="H94" i="64"/>
  <c r="H47" i="64"/>
  <c r="H245" i="64"/>
  <c r="H218" i="64"/>
  <c r="H295" i="64"/>
  <c r="H310" i="64"/>
  <c r="H160" i="64"/>
  <c r="H247" i="64"/>
  <c r="H246" i="64"/>
  <c r="H185" i="64"/>
  <c r="H71" i="64"/>
  <c r="H118" i="64"/>
  <c r="H182" i="64"/>
  <c r="H320" i="64"/>
  <c r="H326" i="64"/>
  <c r="H116" i="64"/>
  <c r="H284" i="64"/>
  <c r="H34" i="64"/>
  <c r="H35" i="64"/>
  <c r="H63" i="64"/>
  <c r="H128" i="64"/>
  <c r="H135" i="64"/>
  <c r="H281" i="64"/>
  <c r="H11" i="64"/>
  <c r="H241" i="64"/>
  <c r="H292" i="64"/>
  <c r="H138" i="64"/>
  <c r="H280" i="64"/>
  <c r="H273" i="64"/>
  <c r="H121" i="64"/>
  <c r="H286" i="64"/>
  <c r="H37" i="64"/>
  <c r="H31" i="64"/>
  <c r="H207" i="64"/>
  <c r="H183" i="64"/>
  <c r="H177" i="64"/>
  <c r="H22" i="64"/>
  <c r="H212" i="64"/>
  <c r="H255" i="64"/>
  <c r="H315" i="64"/>
  <c r="H15" i="64"/>
  <c r="H156" i="64"/>
  <c r="H52" i="64"/>
  <c r="H250" i="64"/>
  <c r="H59" i="64"/>
  <c r="H219" i="64"/>
  <c r="E106" i="64"/>
  <c r="E26" i="64"/>
  <c r="E135" i="64"/>
  <c r="E17" i="64"/>
  <c r="E84" i="64"/>
  <c r="E115" i="64"/>
  <c r="E44" i="64"/>
  <c r="H162" i="64"/>
  <c r="H157" i="64"/>
  <c r="H43" i="64"/>
  <c r="H272" i="64"/>
  <c r="H294" i="64"/>
  <c r="H146" i="64"/>
  <c r="H190" i="64"/>
  <c r="H172" i="64"/>
  <c r="H318" i="64"/>
  <c r="H163" i="64"/>
  <c r="H92" i="64"/>
  <c r="H69" i="64"/>
  <c r="H290" i="64"/>
  <c r="H84" i="64"/>
  <c r="H249" i="64"/>
  <c r="H122" i="64"/>
  <c r="H200" i="64"/>
  <c r="H308" i="64"/>
  <c r="H291" i="64"/>
  <c r="H237" i="64"/>
  <c r="H242" i="64"/>
  <c r="H259" i="64"/>
  <c r="H136" i="64"/>
  <c r="H26" i="64"/>
  <c r="H173" i="64"/>
  <c r="H39" i="64"/>
  <c r="H151" i="64"/>
  <c r="H89" i="64"/>
  <c r="H211" i="64"/>
  <c r="H126" i="64"/>
  <c r="H139" i="64"/>
  <c r="H257" i="64"/>
  <c r="H217" i="64"/>
  <c r="H150" i="64"/>
  <c r="H104" i="64"/>
  <c r="H208" i="64"/>
  <c r="H327" i="64"/>
  <c r="E21" i="64"/>
  <c r="E55" i="64"/>
  <c r="E87" i="64"/>
  <c r="E119" i="64"/>
  <c r="E19" i="64"/>
  <c r="E61" i="64"/>
  <c r="E93" i="64"/>
  <c r="E41" i="64"/>
  <c r="E73" i="64"/>
  <c r="E129" i="64"/>
  <c r="E81" i="64"/>
  <c r="E91" i="64"/>
  <c r="E27" i="64"/>
  <c r="E38" i="64"/>
  <c r="E66" i="64"/>
  <c r="E90" i="64"/>
  <c r="E122" i="64"/>
  <c r="H149" i="64"/>
  <c r="H137" i="64"/>
  <c r="H266" i="64"/>
  <c r="H267" i="64"/>
  <c r="H117" i="64"/>
  <c r="H206" i="64"/>
  <c r="H305" i="64"/>
  <c r="H268" i="64"/>
  <c r="H124" i="64"/>
  <c r="H153" i="64"/>
  <c r="H95" i="64"/>
  <c r="H114" i="64"/>
  <c r="H67" i="64"/>
  <c r="H101" i="64"/>
  <c r="H301" i="64"/>
  <c r="H309" i="64"/>
  <c r="H42" i="64"/>
  <c r="H213" i="64"/>
  <c r="H65" i="64"/>
  <c r="H54" i="64"/>
  <c r="H60" i="64"/>
  <c r="H91" i="64"/>
  <c r="H283" i="64"/>
  <c r="H223" i="64"/>
  <c r="H319" i="64"/>
  <c r="H205" i="64"/>
  <c r="H72" i="64"/>
  <c r="H234" i="64"/>
  <c r="H75" i="64"/>
  <c r="H41" i="64"/>
  <c r="H195" i="64"/>
  <c r="H278" i="64"/>
  <c r="H55" i="64"/>
  <c r="H238" i="64"/>
  <c r="H236" i="64"/>
  <c r="H274" i="64"/>
  <c r="H61" i="64"/>
  <c r="H323" i="64"/>
  <c r="H328" i="64"/>
  <c r="H96" i="64"/>
  <c r="H82" i="64"/>
  <c r="H191" i="64"/>
  <c r="H66" i="64"/>
  <c r="H204" i="64"/>
  <c r="H79" i="64"/>
  <c r="H307" i="64"/>
  <c r="H285" i="64"/>
  <c r="H230" i="64"/>
  <c r="H49" i="64"/>
  <c r="H24" i="64"/>
  <c r="H20" i="64"/>
  <c r="H225" i="64"/>
  <c r="E134" i="64"/>
  <c r="E102" i="64"/>
  <c r="E58" i="64"/>
  <c r="E22" i="64"/>
  <c r="E113" i="64"/>
  <c r="E92" i="64"/>
  <c r="E68" i="64"/>
  <c r="E20" i="64"/>
  <c r="E125" i="64"/>
  <c r="E72" i="64"/>
  <c r="E29" i="64"/>
  <c r="E112" i="64"/>
  <c r="E76" i="64"/>
  <c r="E23" i="64"/>
  <c r="E11" i="64"/>
  <c r="E32" i="64"/>
  <c r="E53" i="64"/>
  <c r="E75" i="64"/>
  <c r="E96" i="64"/>
  <c r="E111" i="64"/>
  <c r="E124" i="64"/>
  <c r="E139" i="64"/>
  <c r="E13" i="64"/>
  <c r="E35" i="64"/>
  <c r="E56" i="64"/>
  <c r="E77" i="64"/>
  <c r="E99" i="64"/>
  <c r="E120" i="64"/>
  <c r="E141" i="64"/>
  <c r="E15" i="64"/>
  <c r="E36" i="64"/>
  <c r="E57" i="64"/>
  <c r="E79" i="64"/>
  <c r="E137" i="64"/>
  <c r="E108" i="64"/>
  <c r="E71" i="64"/>
  <c r="E28" i="64"/>
  <c r="E128" i="64"/>
  <c r="E100" i="64"/>
  <c r="E59" i="64"/>
  <c r="E16" i="64"/>
  <c r="E14" i="64"/>
  <c r="E30" i="64"/>
  <c r="E46" i="64"/>
  <c r="E62" i="64"/>
  <c r="E78" i="64"/>
  <c r="E94" i="64"/>
  <c r="E110" i="64"/>
  <c r="E126" i="64"/>
  <c r="H57" i="64"/>
  <c r="H98" i="64"/>
  <c r="H78" i="64"/>
  <c r="H215" i="64"/>
  <c r="H129" i="64"/>
  <c r="H239" i="64"/>
  <c r="H198" i="64"/>
  <c r="H316" i="64"/>
  <c r="H125" i="64"/>
  <c r="H214" i="64"/>
  <c r="H277" i="64"/>
  <c r="H68" i="64"/>
  <c r="H73" i="64"/>
  <c r="H109" i="64"/>
  <c r="H13" i="64"/>
  <c r="H302" i="64"/>
  <c r="H36" i="64"/>
  <c r="H197" i="64"/>
  <c r="H32" i="64"/>
  <c r="H289" i="64"/>
  <c r="H322" i="64"/>
  <c r="H312" i="64"/>
  <c r="H152" i="64"/>
  <c r="H141" i="64"/>
  <c r="H260" i="64"/>
  <c r="H178" i="64"/>
  <c r="H112" i="64"/>
  <c r="H134" i="64"/>
  <c r="H27" i="64"/>
  <c r="H131" i="64"/>
  <c r="H62" i="64"/>
  <c r="H203" i="64"/>
  <c r="H293" i="64"/>
  <c r="H81" i="64"/>
  <c r="H106" i="64"/>
  <c r="H275" i="64"/>
  <c r="H186" i="64"/>
  <c r="H120" i="64"/>
  <c r="H48" i="64"/>
  <c r="H51" i="64"/>
  <c r="H159" i="64"/>
  <c r="H100" i="64"/>
  <c r="H231" i="64"/>
  <c r="H174" i="64"/>
  <c r="H46" i="64"/>
  <c r="H167" i="64"/>
  <c r="H87" i="64"/>
  <c r="H261" i="64"/>
  <c r="H216" i="64"/>
  <c r="H102" i="64"/>
  <c r="H193" i="64"/>
  <c r="H50" i="64"/>
  <c r="H53" i="64"/>
  <c r="H192" i="64"/>
  <c r="H248" i="64"/>
  <c r="H298" i="64"/>
  <c r="H19" i="64"/>
  <c r="H321" i="64"/>
  <c r="H276" i="64"/>
  <c r="H44" i="64"/>
  <c r="H188" i="64"/>
  <c r="H107" i="64"/>
  <c r="H199" i="64"/>
  <c r="H77" i="64"/>
  <c r="H58" i="64"/>
  <c r="H161" i="64"/>
  <c r="H123" i="64"/>
  <c r="H164" i="64"/>
  <c r="H181" i="64"/>
  <c r="H45" i="64"/>
  <c r="H187" i="64"/>
  <c r="H86" i="64"/>
  <c r="H171" i="64"/>
  <c r="H229" i="64"/>
  <c r="H83" i="64"/>
  <c r="H130" i="64"/>
  <c r="H169" i="64"/>
  <c r="H282" i="64"/>
  <c r="E138" i="64"/>
  <c r="E118" i="64"/>
  <c r="E98" i="64"/>
  <c r="E74" i="64"/>
  <c r="E54" i="64"/>
  <c r="E34" i="64"/>
  <c r="E10" i="64"/>
  <c r="H170" i="64"/>
  <c r="E48" i="64"/>
  <c r="E107" i="64"/>
  <c r="E60" i="64"/>
  <c r="E116" i="64"/>
  <c r="E89" i="64"/>
  <c r="E63" i="64"/>
  <c r="E31" i="64"/>
  <c r="E136" i="64"/>
  <c r="E109" i="64"/>
  <c r="E83" i="64"/>
  <c r="E51" i="64"/>
  <c r="E24" i="64"/>
  <c r="E133" i="64"/>
  <c r="E117" i="64"/>
  <c r="E97" i="64"/>
  <c r="E65" i="64"/>
  <c r="E43" i="64"/>
  <c r="H236" i="3"/>
  <c r="C236" i="3" s="1"/>
  <c r="C235" i="3"/>
  <c r="K146" i="69"/>
  <c r="K149" i="69"/>
  <c r="K150" i="69" s="1"/>
  <c r="K151" i="69" s="1"/>
  <c r="K152" i="69" s="1"/>
  <c r="K153" i="69" s="1"/>
  <c r="U46" i="95"/>
  <c r="V46" i="95"/>
  <c r="U47" i="95"/>
  <c r="V47" i="95"/>
  <c r="L298" i="108"/>
  <c r="H10" i="64"/>
  <c r="H317" i="64"/>
  <c r="H313" i="64"/>
  <c r="E122" i="116"/>
  <c r="E145" i="116"/>
  <c r="U45" i="95"/>
  <c r="J147" i="69" l="1"/>
  <c r="J144" i="69"/>
  <c r="A18" i="112"/>
  <c r="A29" i="112"/>
  <c r="A41" i="112" s="1"/>
  <c r="A53" i="112" s="1"/>
  <c r="A65" i="112" s="1"/>
  <c r="A77" i="112" s="1"/>
  <c r="A89" i="112" s="1"/>
  <c r="A101" i="112" s="1"/>
  <c r="A113" i="112" s="1"/>
  <c r="A125" i="112" s="1"/>
  <c r="A137" i="112" s="1"/>
  <c r="A149" i="112" s="1"/>
  <c r="A161" i="112" s="1"/>
  <c r="A173" i="112" s="1"/>
  <c r="A185" i="112" s="1"/>
  <c r="J150" i="69"/>
  <c r="E147" i="69"/>
  <c r="G150" i="69"/>
  <c r="E150" i="69"/>
  <c r="G144" i="69"/>
  <c r="J145" i="69"/>
  <c r="B150" i="69"/>
  <c r="B144" i="69"/>
  <c r="A14" i="38"/>
  <c r="A26" i="38" s="1"/>
  <c r="A38" i="38" s="1"/>
  <c r="A50" i="38" s="1"/>
  <c r="A62" i="38" s="1"/>
  <c r="A74" i="38" s="1"/>
  <c r="A86" i="38" s="1"/>
  <c r="A98" i="38" s="1"/>
  <c r="A110" i="38" s="1"/>
  <c r="A122" i="38" s="1"/>
  <c r="A134" i="38" s="1"/>
  <c r="A146" i="38" s="1"/>
  <c r="A158" i="38" s="1"/>
  <c r="A170" i="38" s="1"/>
  <c r="A182" i="38" s="1"/>
  <c r="A194" i="38" s="1"/>
  <c r="A206" i="38" s="1"/>
  <c r="E144" i="69"/>
  <c r="A14" i="68"/>
  <c r="A25" i="68"/>
  <c r="A37" i="68" s="1"/>
  <c r="A49" i="68" s="1"/>
  <c r="A61" i="68" s="1"/>
  <c r="A73" i="68" s="1"/>
  <c r="A85" i="68" s="1"/>
  <c r="A97" i="68" s="1"/>
  <c r="A109" i="68" s="1"/>
  <c r="A121" i="68" s="1"/>
  <c r="A133" i="68" s="1"/>
  <c r="A145" i="68" s="1"/>
  <c r="A157" i="68" s="1"/>
  <c r="A169" i="68" s="1"/>
  <c r="A181" i="68" s="1"/>
  <c r="A193" i="68" s="1"/>
  <c r="A205" i="68" s="1"/>
  <c r="A217" i="68" s="1"/>
  <c r="A229" i="68" s="1"/>
  <c r="A241" i="68" s="1"/>
  <c r="A253" i="68" s="1"/>
  <c r="A265" i="68" s="1"/>
  <c r="A277" i="68" s="1"/>
  <c r="A289" i="68" s="1"/>
  <c r="A301" i="68" s="1"/>
  <c r="A313" i="68" s="1"/>
  <c r="A325" i="68" s="1"/>
  <c r="A337" i="68" s="1"/>
  <c r="A349" i="68" s="1"/>
  <c r="A361" i="68" s="1"/>
  <c r="A373" i="68" s="1"/>
  <c r="A385" i="68" s="1"/>
  <c r="A397" i="68" s="1"/>
  <c r="A409" i="68" s="1"/>
  <c r="A421" i="68" s="1"/>
  <c r="A433" i="68" s="1"/>
  <c r="A445" i="68" s="1"/>
  <c r="A457" i="68" s="1"/>
  <c r="K144" i="69"/>
  <c r="K145" i="69" s="1"/>
  <c r="K147" i="69"/>
  <c r="A19" i="112" l="1"/>
  <c r="A30" i="112"/>
  <c r="A42" i="112" s="1"/>
  <c r="A54" i="112" s="1"/>
  <c r="A66" i="112" s="1"/>
  <c r="A78" i="112" s="1"/>
  <c r="A90" i="112" s="1"/>
  <c r="A102" i="112" s="1"/>
  <c r="A114" i="112" s="1"/>
  <c r="A126" i="112" s="1"/>
  <c r="A138" i="112" s="1"/>
  <c r="A150" i="112" s="1"/>
  <c r="A162" i="112" s="1"/>
  <c r="A174" i="112" s="1"/>
  <c r="A186" i="112" s="1"/>
  <c r="E151" i="69"/>
  <c r="G151" i="69"/>
  <c r="E145" i="69"/>
  <c r="G145" i="69"/>
  <c r="J151" i="69"/>
  <c r="B145" i="69"/>
  <c r="B151" i="69"/>
  <c r="A15" i="38"/>
  <c r="A27" i="38" s="1"/>
  <c r="A39" i="38" s="1"/>
  <c r="A51" i="38" s="1"/>
  <c r="A63" i="38" s="1"/>
  <c r="A75" i="38" s="1"/>
  <c r="A87" i="38" s="1"/>
  <c r="A99" i="38" s="1"/>
  <c r="A111" i="38" s="1"/>
  <c r="A123" i="38" s="1"/>
  <c r="A135" i="38" s="1"/>
  <c r="A147" i="38" s="1"/>
  <c r="A159" i="38" s="1"/>
  <c r="A171" i="38" s="1"/>
  <c r="A183" i="38" s="1"/>
  <c r="A195" i="38" s="1"/>
  <c r="A207" i="38" s="1"/>
  <c r="A26" i="68"/>
  <c r="A38" i="68" s="1"/>
  <c r="A50" i="68" s="1"/>
  <c r="A62" i="68" s="1"/>
  <c r="A74" i="68" s="1"/>
  <c r="A86" i="68" s="1"/>
  <c r="A98" i="68" s="1"/>
  <c r="A110" i="68" s="1"/>
  <c r="A122" i="68" s="1"/>
  <c r="A134" i="68" s="1"/>
  <c r="A146" i="68" s="1"/>
  <c r="A158" i="68" s="1"/>
  <c r="A170" i="68" s="1"/>
  <c r="A182" i="68" s="1"/>
  <c r="A194" i="68" s="1"/>
  <c r="A206" i="68" s="1"/>
  <c r="A218" i="68" s="1"/>
  <c r="A230" i="68" s="1"/>
  <c r="A242" i="68" s="1"/>
  <c r="A254" i="68" s="1"/>
  <c r="A266" i="68" s="1"/>
  <c r="A278" i="68" s="1"/>
  <c r="A290" i="68" s="1"/>
  <c r="A302" i="68" s="1"/>
  <c r="A314" i="68" s="1"/>
  <c r="A326" i="68" s="1"/>
  <c r="A338" i="68" s="1"/>
  <c r="A350" i="68" s="1"/>
  <c r="A362" i="68" s="1"/>
  <c r="A374" i="68" s="1"/>
  <c r="A386" i="68" s="1"/>
  <c r="A398" i="68" s="1"/>
  <c r="A410" i="68" s="1"/>
  <c r="A422" i="68" s="1"/>
  <c r="A434" i="68" s="1"/>
  <c r="A446" i="68" s="1"/>
  <c r="A458" i="68" s="1"/>
  <c r="A15" i="68"/>
  <c r="A20" i="112" l="1"/>
  <c r="A31" i="112"/>
  <c r="A43" i="112" s="1"/>
  <c r="A55" i="112" s="1"/>
  <c r="A67" i="112" s="1"/>
  <c r="A79" i="112" s="1"/>
  <c r="A91" i="112" s="1"/>
  <c r="A103" i="112" s="1"/>
  <c r="A115" i="112" s="1"/>
  <c r="A127" i="112" s="1"/>
  <c r="A139" i="112" s="1"/>
  <c r="A151" i="112" s="1"/>
  <c r="A163" i="112" s="1"/>
  <c r="A175" i="112" s="1"/>
  <c r="A187" i="112" s="1"/>
  <c r="G152" i="69"/>
  <c r="J152" i="69"/>
  <c r="E152" i="69"/>
  <c r="B152" i="69"/>
  <c r="A16" i="38"/>
  <c r="A17" i="38" s="1"/>
  <c r="A18" i="38" s="1"/>
  <c r="A27" i="68"/>
  <c r="A39" i="68" s="1"/>
  <c r="A51" i="68" s="1"/>
  <c r="A63" i="68" s="1"/>
  <c r="A75" i="68" s="1"/>
  <c r="A87" i="68" s="1"/>
  <c r="A99" i="68" s="1"/>
  <c r="A111" i="68" s="1"/>
  <c r="A123" i="68" s="1"/>
  <c r="A135" i="68" s="1"/>
  <c r="A147" i="68" s="1"/>
  <c r="A159" i="68" s="1"/>
  <c r="A171" i="68" s="1"/>
  <c r="A183" i="68" s="1"/>
  <c r="A195" i="68" s="1"/>
  <c r="A207" i="68" s="1"/>
  <c r="A219" i="68" s="1"/>
  <c r="A231" i="68" s="1"/>
  <c r="A243" i="68" s="1"/>
  <c r="A255" i="68" s="1"/>
  <c r="A267" i="68" s="1"/>
  <c r="A279" i="68" s="1"/>
  <c r="A291" i="68" s="1"/>
  <c r="A303" i="68" s="1"/>
  <c r="A315" i="68" s="1"/>
  <c r="A327" i="68" s="1"/>
  <c r="A339" i="68" s="1"/>
  <c r="A351" i="68" s="1"/>
  <c r="A363" i="68" s="1"/>
  <c r="A375" i="68" s="1"/>
  <c r="A387" i="68" s="1"/>
  <c r="A399" i="68" s="1"/>
  <c r="A411" i="68" s="1"/>
  <c r="A423" i="68" s="1"/>
  <c r="A435" i="68" s="1"/>
  <c r="A447" i="68" s="1"/>
  <c r="A459" i="68" s="1"/>
  <c r="A16" i="68"/>
  <c r="A21" i="112" l="1"/>
  <c r="A33" i="112" s="1"/>
  <c r="A45" i="112" s="1"/>
  <c r="A57" i="112" s="1"/>
  <c r="A69" i="112" s="1"/>
  <c r="A81" i="112" s="1"/>
  <c r="A93" i="112" s="1"/>
  <c r="A105" i="112" s="1"/>
  <c r="A117" i="112" s="1"/>
  <c r="A129" i="112" s="1"/>
  <c r="A141" i="112" s="1"/>
  <c r="A153" i="112" s="1"/>
  <c r="A165" i="112" s="1"/>
  <c r="A177" i="112" s="1"/>
  <c r="A189" i="112" s="1"/>
  <c r="A32" i="112"/>
  <c r="A44" i="112" s="1"/>
  <c r="A56" i="112" s="1"/>
  <c r="A68" i="112" s="1"/>
  <c r="A80" i="112" s="1"/>
  <c r="A92" i="112" s="1"/>
  <c r="A104" i="112" s="1"/>
  <c r="A116" i="112" s="1"/>
  <c r="A128" i="112" s="1"/>
  <c r="A140" i="112" s="1"/>
  <c r="A152" i="112" s="1"/>
  <c r="A164" i="112" s="1"/>
  <c r="A176" i="112" s="1"/>
  <c r="A188" i="112" s="1"/>
  <c r="E153" i="69"/>
  <c r="J153" i="69"/>
  <c r="G153" i="69"/>
  <c r="B153" i="69"/>
  <c r="A28" i="38"/>
  <c r="A40" i="38" s="1"/>
  <c r="A52" i="38" s="1"/>
  <c r="A64" i="38" s="1"/>
  <c r="A76" i="38" s="1"/>
  <c r="A88" i="38" s="1"/>
  <c r="A100" i="38" s="1"/>
  <c r="A112" i="38" s="1"/>
  <c r="A124" i="38" s="1"/>
  <c r="A136" i="38" s="1"/>
  <c r="A148" i="38" s="1"/>
  <c r="A160" i="38" s="1"/>
  <c r="A172" i="38" s="1"/>
  <c r="A184" i="38" s="1"/>
  <c r="A196" i="38" s="1"/>
  <c r="A208" i="38" s="1"/>
  <c r="A29" i="38"/>
  <c r="A41" i="38" s="1"/>
  <c r="A53" i="38" s="1"/>
  <c r="A65" i="38" s="1"/>
  <c r="A77" i="38" s="1"/>
  <c r="A89" i="38" s="1"/>
  <c r="A101" i="38" s="1"/>
  <c r="A113" i="38" s="1"/>
  <c r="A125" i="38" s="1"/>
  <c r="A137" i="38" s="1"/>
  <c r="A149" i="38" s="1"/>
  <c r="A161" i="38" s="1"/>
  <c r="A173" i="38" s="1"/>
  <c r="A185" i="38" s="1"/>
  <c r="A197" i="38" s="1"/>
  <c r="A209" i="38" s="1"/>
  <c r="A28" i="68"/>
  <c r="A40" i="68" s="1"/>
  <c r="A52" i="68" s="1"/>
  <c r="A64" i="68" s="1"/>
  <c r="A76" i="68" s="1"/>
  <c r="A88" i="68" s="1"/>
  <c r="A100" i="68" s="1"/>
  <c r="A112" i="68" s="1"/>
  <c r="A124" i="68" s="1"/>
  <c r="A136" i="68" s="1"/>
  <c r="A148" i="68" s="1"/>
  <c r="A160" i="68" s="1"/>
  <c r="A172" i="68" s="1"/>
  <c r="A184" i="68" s="1"/>
  <c r="A196" i="68" s="1"/>
  <c r="A208" i="68" s="1"/>
  <c r="A220" i="68" s="1"/>
  <c r="A232" i="68" s="1"/>
  <c r="A244" i="68" s="1"/>
  <c r="A256" i="68" s="1"/>
  <c r="A268" i="68" s="1"/>
  <c r="A280" i="68" s="1"/>
  <c r="A292" i="68" s="1"/>
  <c r="A304" i="68" s="1"/>
  <c r="A316" i="68" s="1"/>
  <c r="A328" i="68" s="1"/>
  <c r="A340" i="68" s="1"/>
  <c r="A352" i="68" s="1"/>
  <c r="A364" i="68" s="1"/>
  <c r="A376" i="68" s="1"/>
  <c r="A388" i="68" s="1"/>
  <c r="A400" i="68" s="1"/>
  <c r="A412" i="68" s="1"/>
  <c r="A424" i="68" s="1"/>
  <c r="A436" i="68" s="1"/>
  <c r="A448" i="68" s="1"/>
  <c r="A460" i="68" s="1"/>
  <c r="A17" i="68"/>
  <c r="A19" i="38"/>
  <c r="A30" i="38"/>
  <c r="A42" i="38" s="1"/>
  <c r="A54" i="38" s="1"/>
  <c r="A66" i="38" s="1"/>
  <c r="A78" i="38" s="1"/>
  <c r="A90" i="38" s="1"/>
  <c r="A102" i="38" s="1"/>
  <c r="A114" i="38" s="1"/>
  <c r="A126" i="38" s="1"/>
  <c r="A138" i="38" s="1"/>
  <c r="A150" i="38" s="1"/>
  <c r="A162" i="38" s="1"/>
  <c r="A174" i="38" s="1"/>
  <c r="A186" i="38" s="1"/>
  <c r="A198" i="38" s="1"/>
  <c r="A210" i="38" s="1"/>
  <c r="A29" i="68" l="1"/>
  <c r="A41" i="68" s="1"/>
  <c r="A53" i="68" s="1"/>
  <c r="A65" i="68" s="1"/>
  <c r="A77" i="68" s="1"/>
  <c r="A89" i="68" s="1"/>
  <c r="A101" i="68" s="1"/>
  <c r="A113" i="68" s="1"/>
  <c r="A125" i="68" s="1"/>
  <c r="A137" i="68" s="1"/>
  <c r="A149" i="68" s="1"/>
  <c r="A161" i="68" s="1"/>
  <c r="A173" i="68" s="1"/>
  <c r="A185" i="68" s="1"/>
  <c r="A197" i="68" s="1"/>
  <c r="A209" i="68" s="1"/>
  <c r="A221" i="68" s="1"/>
  <c r="A233" i="68" s="1"/>
  <c r="A245" i="68" s="1"/>
  <c r="A257" i="68" s="1"/>
  <c r="A269" i="68" s="1"/>
  <c r="A281" i="68" s="1"/>
  <c r="A293" i="68" s="1"/>
  <c r="A305" i="68" s="1"/>
  <c r="A317" i="68" s="1"/>
  <c r="A329" i="68" s="1"/>
  <c r="A341" i="68" s="1"/>
  <c r="A353" i="68" s="1"/>
  <c r="A365" i="68" s="1"/>
  <c r="A377" i="68" s="1"/>
  <c r="A389" i="68" s="1"/>
  <c r="A401" i="68" s="1"/>
  <c r="A413" i="68" s="1"/>
  <c r="A425" i="68" s="1"/>
  <c r="A437" i="68" s="1"/>
  <c r="A449" i="68" s="1"/>
  <c r="A461" i="68" s="1"/>
  <c r="A18" i="68"/>
  <c r="A20" i="38"/>
  <c r="A31" i="38"/>
  <c r="A43" i="38" s="1"/>
  <c r="A55" i="38" s="1"/>
  <c r="A67" i="38" s="1"/>
  <c r="A79" i="38" s="1"/>
  <c r="A91" i="38" s="1"/>
  <c r="A103" i="38" s="1"/>
  <c r="A115" i="38" s="1"/>
  <c r="A127" i="38" s="1"/>
  <c r="A139" i="38" s="1"/>
  <c r="A151" i="38" s="1"/>
  <c r="A163" i="38" s="1"/>
  <c r="A175" i="38" s="1"/>
  <c r="A187" i="38" s="1"/>
  <c r="A199" i="38" s="1"/>
  <c r="A211" i="38" s="1"/>
  <c r="A30" i="68" l="1"/>
  <c r="A42" i="68" s="1"/>
  <c r="A54" i="68" s="1"/>
  <c r="A66" i="68" s="1"/>
  <c r="A78" i="68" s="1"/>
  <c r="A90" i="68" s="1"/>
  <c r="A102" i="68" s="1"/>
  <c r="A114" i="68" s="1"/>
  <c r="A126" i="68" s="1"/>
  <c r="A138" i="68" s="1"/>
  <c r="A150" i="68" s="1"/>
  <c r="A162" i="68" s="1"/>
  <c r="A174" i="68" s="1"/>
  <c r="A186" i="68" s="1"/>
  <c r="A198" i="68" s="1"/>
  <c r="A210" i="68" s="1"/>
  <c r="A222" i="68" s="1"/>
  <c r="A234" i="68" s="1"/>
  <c r="A246" i="68" s="1"/>
  <c r="A258" i="68" s="1"/>
  <c r="A270" i="68" s="1"/>
  <c r="A282" i="68" s="1"/>
  <c r="A294" i="68" s="1"/>
  <c r="A306" i="68" s="1"/>
  <c r="A318" i="68" s="1"/>
  <c r="A330" i="68" s="1"/>
  <c r="A342" i="68" s="1"/>
  <c r="A354" i="68" s="1"/>
  <c r="A366" i="68" s="1"/>
  <c r="A378" i="68" s="1"/>
  <c r="A390" i="68" s="1"/>
  <c r="A402" i="68" s="1"/>
  <c r="A414" i="68" s="1"/>
  <c r="A426" i="68" s="1"/>
  <c r="A438" i="68" s="1"/>
  <c r="A450" i="68" s="1"/>
  <c r="A462" i="68" s="1"/>
  <c r="A19" i="68"/>
  <c r="A21" i="38"/>
  <c r="A33" i="38" s="1"/>
  <c r="A45" i="38" s="1"/>
  <c r="A57" i="38" s="1"/>
  <c r="A69" i="38" s="1"/>
  <c r="A81" i="38" s="1"/>
  <c r="A93" i="38" s="1"/>
  <c r="A105" i="38" s="1"/>
  <c r="A117" i="38" s="1"/>
  <c r="A129" i="38" s="1"/>
  <c r="A141" i="38" s="1"/>
  <c r="A153" i="38" s="1"/>
  <c r="A165" i="38" s="1"/>
  <c r="A177" i="38" s="1"/>
  <c r="A189" i="38" s="1"/>
  <c r="A201" i="38" s="1"/>
  <c r="A213" i="38" s="1"/>
  <c r="A32" i="38"/>
  <c r="A44" i="38" s="1"/>
  <c r="A56" i="38" s="1"/>
  <c r="A68" i="38" s="1"/>
  <c r="A80" i="38" s="1"/>
  <c r="A92" i="38" s="1"/>
  <c r="A104" i="38" s="1"/>
  <c r="A116" i="38" s="1"/>
  <c r="A128" i="38" s="1"/>
  <c r="A140" i="38" s="1"/>
  <c r="A152" i="38" s="1"/>
  <c r="A164" i="38" s="1"/>
  <c r="A176" i="38" s="1"/>
  <c r="A188" i="38" s="1"/>
  <c r="A200" i="38" s="1"/>
  <c r="A212" i="38" s="1"/>
  <c r="A20" i="68" l="1"/>
  <c r="A31" i="68"/>
  <c r="A43" i="68" s="1"/>
  <c r="A55" i="68" s="1"/>
  <c r="A67" i="68" s="1"/>
  <c r="A79" i="68" s="1"/>
  <c r="A91" i="68" s="1"/>
  <c r="A103" i="68" s="1"/>
  <c r="A115" i="68" s="1"/>
  <c r="A127" i="68" s="1"/>
  <c r="A139" i="68" s="1"/>
  <c r="A151" i="68" s="1"/>
  <c r="A163" i="68" s="1"/>
  <c r="A175" i="68" s="1"/>
  <c r="A187" i="68" s="1"/>
  <c r="A199" i="68" s="1"/>
  <c r="A211" i="68" s="1"/>
  <c r="A223" i="68" s="1"/>
  <c r="A235" i="68" s="1"/>
  <c r="A247" i="68" s="1"/>
  <c r="A259" i="68" s="1"/>
  <c r="A271" i="68" s="1"/>
  <c r="A283" i="68" s="1"/>
  <c r="A295" i="68" s="1"/>
  <c r="A307" i="68" s="1"/>
  <c r="A319" i="68" s="1"/>
  <c r="A331" i="68" s="1"/>
  <c r="A343" i="68" s="1"/>
  <c r="A355" i="68" s="1"/>
  <c r="A367" i="68" s="1"/>
  <c r="A379" i="68" s="1"/>
  <c r="A391" i="68" s="1"/>
  <c r="A403" i="68" s="1"/>
  <c r="A415" i="68" s="1"/>
  <c r="A427" i="68" s="1"/>
  <c r="A439" i="68" s="1"/>
  <c r="A451" i="68" s="1"/>
  <c r="A463" i="68" s="1"/>
  <c r="A21" i="68" l="1"/>
  <c r="A33" i="68" s="1"/>
  <c r="A45" i="68" s="1"/>
  <c r="A57" i="68" s="1"/>
  <c r="A69" i="68" s="1"/>
  <c r="A81" i="68" s="1"/>
  <c r="A93" i="68" s="1"/>
  <c r="A105" i="68" s="1"/>
  <c r="A117" i="68" s="1"/>
  <c r="A129" i="68" s="1"/>
  <c r="A141" i="68" s="1"/>
  <c r="A153" i="68" s="1"/>
  <c r="A165" i="68" s="1"/>
  <c r="A177" i="68" s="1"/>
  <c r="A189" i="68" s="1"/>
  <c r="A201" i="68" s="1"/>
  <c r="A213" i="68" s="1"/>
  <c r="A225" i="68" s="1"/>
  <c r="A237" i="68" s="1"/>
  <c r="A249" i="68" s="1"/>
  <c r="A261" i="68" s="1"/>
  <c r="A273" i="68" s="1"/>
  <c r="A285" i="68" s="1"/>
  <c r="A297" i="68" s="1"/>
  <c r="A309" i="68" s="1"/>
  <c r="A321" i="68" s="1"/>
  <c r="A333" i="68" s="1"/>
  <c r="A345" i="68" s="1"/>
  <c r="A357" i="68" s="1"/>
  <c r="A369" i="68" s="1"/>
  <c r="A381" i="68" s="1"/>
  <c r="A393" i="68" s="1"/>
  <c r="A405" i="68" s="1"/>
  <c r="A417" i="68" s="1"/>
  <c r="A429" i="68" s="1"/>
  <c r="A441" i="68" s="1"/>
  <c r="A453" i="68" s="1"/>
  <c r="A465" i="68" s="1"/>
  <c r="A32" i="68"/>
  <c r="A44" i="68" s="1"/>
  <c r="A56" i="68" s="1"/>
  <c r="A68" i="68" s="1"/>
  <c r="A80" i="68" s="1"/>
  <c r="A92" i="68" s="1"/>
  <c r="A104" i="68" s="1"/>
  <c r="A116" i="68" s="1"/>
  <c r="A128" i="68" s="1"/>
  <c r="A140" i="68" s="1"/>
  <c r="A152" i="68" s="1"/>
  <c r="A164" i="68" s="1"/>
  <c r="A176" i="68" s="1"/>
  <c r="A188" i="68" s="1"/>
  <c r="A200" i="68" s="1"/>
  <c r="A212" i="68" s="1"/>
  <c r="A224" i="68" s="1"/>
  <c r="A236" i="68" s="1"/>
  <c r="A248" i="68" s="1"/>
  <c r="A260" i="68" s="1"/>
  <c r="A272" i="68" s="1"/>
  <c r="A284" i="68" s="1"/>
  <c r="A296" i="68" s="1"/>
  <c r="A308" i="68" s="1"/>
  <c r="A320" i="68" s="1"/>
  <c r="A332" i="68" s="1"/>
  <c r="A344" i="68" s="1"/>
  <c r="A356" i="68" s="1"/>
  <c r="A368" i="68" s="1"/>
  <c r="A380" i="68" s="1"/>
  <c r="A392" i="68" s="1"/>
  <c r="A404" i="68" s="1"/>
  <c r="A416" i="68" s="1"/>
  <c r="A428" i="68" s="1"/>
  <c r="A440" i="68" s="1"/>
  <c r="A452" i="68" s="1"/>
  <c r="A464" i="68" s="1"/>
  <c r="H37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C9" authorId="0" shapeId="0" xr:uid="{00000000-0006-0000-0400-000001000000}">
      <text>
        <r>
          <rPr>
            <sz val="9"/>
            <color indexed="81"/>
            <rFont val="Tahoma"/>
            <family val="2"/>
          </rPr>
          <t xml:space="preserve">Los datos desde 2003.12 a 1993.01 se estiman con las tasas de cambio del indicador base 1993=100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pcohan</author>
  </authors>
  <commentList>
    <comment ref="A14" authorId="0" shapeId="0" xr:uid="{00000000-0006-0000-1300-000001000000}">
      <text>
        <r>
          <rPr>
            <b/>
            <sz val="8"/>
            <color indexed="81"/>
            <rFont val="Tahoma"/>
            <family val="2"/>
          </rPr>
          <t>Comienza la EPH Contínua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ces11</author>
    <author>Lautaro Zanini</author>
    <author>Pedro Pablo Cohan</author>
    <author>Martina Mas</author>
  </authors>
  <commentList>
    <comment ref="A10" authorId="0" shapeId="0" xr:uid="{00000000-0006-0000-1400-000001000000}">
      <text>
        <r>
          <rPr>
            <b/>
            <sz val="9"/>
            <color indexed="81"/>
            <rFont val="Tahoma"/>
            <family val="2"/>
          </rPr>
          <t>Para el período 1810-2004 los datos corresponden a estimaciones realizadas por la Fundación Norte y Sur
(bajo la dirección de Orlando J. Ferreres)</t>
        </r>
      </text>
    </comment>
    <comment ref="B202" authorId="1" shapeId="0" xr:uid="{00000000-0006-0000-1400-000002000000}">
      <text>
        <r>
          <rPr>
            <b/>
            <sz val="9"/>
            <color indexed="81"/>
            <rFont val="Tahoma"/>
            <family val="2"/>
          </rPr>
          <t>Anualizando la tasa intercensal a 0.013161</t>
        </r>
      </text>
    </comment>
    <comment ref="C202" authorId="1" shapeId="0" xr:uid="{00000000-0006-0000-1400-000003000000}">
      <text>
        <r>
          <rPr>
            <b/>
            <sz val="9"/>
            <color indexed="81"/>
            <rFont val="Tahoma"/>
            <family val="2"/>
          </rPr>
          <t>Anualizando la tasa intercensal a 0.009180</t>
        </r>
      </text>
    </comment>
    <comment ref="A210" authorId="0" shapeId="0" xr:uid="{00000000-0006-0000-1400-000004000000}">
      <text>
        <r>
          <rPr>
            <b/>
            <sz val="9"/>
            <color indexed="81"/>
            <rFont val="Tahoma"/>
            <family val="2"/>
          </rPr>
          <t>Población del Censo 2010 evaluada y corregida. Definida como población base de las siguientes proyecciones al 2040 realizada por INDEC</t>
        </r>
      </text>
    </comment>
    <comment ref="B211" authorId="2" shapeId="0" xr:uid="{00000000-0006-0000-1400-000005000000}">
      <text>
        <r>
          <rPr>
            <b/>
            <sz val="9"/>
            <color indexed="81"/>
            <rFont val="Tahoma"/>
            <family val="2"/>
          </rPr>
          <t>Anualizando la tasa intercensal (2022/2010) a 0.010156</t>
        </r>
      </text>
    </comment>
    <comment ref="C211" authorId="2" shapeId="0" xr:uid="{00000000-0006-0000-1400-000006000000}">
      <text>
        <r>
          <rPr>
            <b/>
            <sz val="9"/>
            <color indexed="81"/>
            <rFont val="Tahoma"/>
            <family val="2"/>
          </rPr>
          <t>Anualizando la tasa intercensal (2022/2010) a 0.007355</t>
        </r>
      </text>
    </comment>
    <comment ref="A222" authorId="3" shapeId="0" xr:uid="{00000000-0006-0000-1400-000007000000}">
      <text>
        <r>
          <rPr>
            <b/>
            <sz val="9"/>
            <color indexed="81"/>
            <rFont val="Tahoma"/>
            <family val="2"/>
          </rPr>
          <t>Población del Censo Nacional 2022: resultados provisionales a enero 2023.</t>
        </r>
      </text>
    </comment>
    <comment ref="B223" authorId="2" shapeId="0" xr:uid="{00000000-0006-0000-1400-000008000000}">
      <text>
        <r>
          <rPr>
            <b/>
            <sz val="9"/>
            <color indexed="81"/>
            <rFont val="Tahoma"/>
            <family val="2"/>
          </rPr>
          <t>Anualizando la tasa intercensal (2022/2010) a 0.010156</t>
        </r>
      </text>
    </comment>
    <comment ref="C223" authorId="2" shapeId="0" xr:uid="{00000000-0006-0000-1400-000009000000}">
      <text>
        <r>
          <rPr>
            <b/>
            <sz val="9"/>
            <color indexed="81"/>
            <rFont val="Tahoma"/>
            <family val="2"/>
          </rPr>
          <t>Anualizando la tasa intercensal (2022/2010) a 0.007355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Pedro Pablo Cohan</author>
  </authors>
  <commentList>
    <comment ref="B2" authorId="0" shapeId="0" xr:uid="{00000000-0006-0000-1500-000001000000}">
      <text>
        <r>
          <rPr>
            <sz val="9"/>
            <color indexed="81"/>
            <rFont val="Tahoma"/>
            <family val="2"/>
          </rPr>
          <t>S/ Ministerio de la Producción, 78,13% de la producción tota</t>
        </r>
        <r>
          <rPr>
            <b/>
            <sz val="9"/>
            <color indexed="81"/>
            <rFont val="Tahoma"/>
            <family val="2"/>
          </rPr>
          <t>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Florencia Camusso</author>
    <author>Ailén Bianchi</author>
  </authors>
  <commentList>
    <comment ref="AG3" authorId="0" shapeId="0" xr:uid="{00000000-0006-0000-1600-000001000000}">
      <text>
        <r>
          <rPr>
            <sz val="9"/>
            <color indexed="81"/>
            <rFont val="Tahoma"/>
            <family val="2"/>
          </rPr>
          <t xml:space="preserve">En base a declaraciones juradas de empresas exportadoras. </t>
        </r>
      </text>
    </comment>
    <comment ref="Z9" authorId="1" shapeId="0" xr:uid="{00000000-0006-0000-1600-000002000000}">
      <text>
        <r>
          <rPr>
            <sz val="9"/>
            <color indexed="81"/>
            <rFont val="Tahoma"/>
            <family val="2"/>
          </rPr>
          <t xml:space="preserve">Revisión de datos desde 2014.01 hasta 2018.06, corrigiendo diferencias entre publicaciones mensuales y datos acumulados (septiembre 2018) 
</t>
        </r>
      </text>
    </comment>
    <comment ref="AF9" authorId="1" shapeId="0" xr:uid="{00000000-0006-0000-1600-000003000000}">
      <text>
        <r>
          <rPr>
            <sz val="9"/>
            <color indexed="81"/>
            <rFont val="Tahoma"/>
            <family val="2"/>
          </rPr>
          <t xml:space="preserve">Revisión de datos desde 2014.01 hasta 2018.06, corrigiendo diferencias entre publicaciones mensuales y datos acumulados (septiembre 2018)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Pedro</author>
    <author>Lautaro Zanini</author>
    <author>ces14</author>
  </authors>
  <commentList>
    <comment ref="B5" authorId="0" shapeId="0" xr:uid="{00000000-0006-0000-1700-000001000000}">
      <text>
        <r>
          <rPr>
            <sz val="9"/>
            <color indexed="81"/>
            <rFont val="Tahoma"/>
            <family val="2"/>
          </rPr>
          <t xml:space="preserve">2017,01 en adelante:
Los datos  surgen de lo informado en concepto de Declaración Jurada por establecimientos faenadores inscriptos en el Registro Único de Operadores de la Cadena Agroindustrial (RUCA) a través del Sistema SIF/SIGICA. </t>
        </r>
      </text>
    </comment>
    <comment ref="C5" authorId="0" shapeId="0" xr:uid="{00000000-0006-0000-1700-000002000000}">
      <text>
        <r>
          <rPr>
            <sz val="9"/>
            <color indexed="81"/>
            <rFont val="Tahoma"/>
            <family val="2"/>
          </rPr>
          <t xml:space="preserve">2017,01 en adelante:
Los datos  surgen de lo informado en concepto de Declaración Jurada por establecimientos faenadores inscriptos en el Registro Único de Operadores de la Cadena Agroindustrial (RUCA) a través del Sistema SIF/SIGICA. </t>
        </r>
      </text>
    </comment>
    <comment ref="F5" authorId="0" shapeId="0" xr:uid="{00000000-0006-0000-1700-000003000000}">
      <text>
        <r>
          <rPr>
            <sz val="9"/>
            <color indexed="81"/>
            <rFont val="Tahoma"/>
            <family val="2"/>
          </rPr>
          <t xml:space="preserve">Promedio ponderado de cabezas faenadas por categoría: datos nacionales. En Kg de res con hueso
</t>
        </r>
      </text>
    </comment>
    <comment ref="G5" authorId="1" shapeId="0" xr:uid="{00000000-0006-0000-1700-000004000000}">
      <text>
        <r>
          <rPr>
            <sz val="9"/>
            <color indexed="81"/>
            <rFont val="Tahoma"/>
            <family val="2"/>
          </rPr>
          <t>Precio promedio ponderado por kilo vivo de ganado bovino en el mercado de Liniers</t>
        </r>
      </text>
    </comment>
    <comment ref="H5" authorId="0" shapeId="0" xr:uid="{00000000-0006-0000-1700-000005000000}">
      <text>
        <r>
          <rPr>
            <sz val="9"/>
            <color indexed="81"/>
            <rFont val="Tahoma"/>
            <family val="2"/>
          </rPr>
          <t xml:space="preserve">2013.01 en adelante:
Los datos  surgen de lo informado en concepto de Declaración Jurada por establecimientos faenadores inscriptos en el Registro Único de Operadores de la Cadena Agroindustrial (RUCA) a través del Sistema SIF/SIGICA. </t>
        </r>
      </text>
    </comment>
    <comment ref="I5" authorId="0" shapeId="0" xr:uid="{00000000-0006-0000-1700-000006000000}">
      <text>
        <r>
          <rPr>
            <sz val="9"/>
            <color indexed="81"/>
            <rFont val="Tahoma"/>
            <family val="2"/>
          </rPr>
          <t xml:space="preserve">2013.01 en adelante:
Los datos  surgen de lo informado en concepto de Declaración Jurada por establecimientos faenadores inscriptos en el Registro Único de Operadores de la Cadena Agroindustrial (RUCA) a través del Sistema SIF/SIGICA. </t>
        </r>
      </text>
    </comment>
    <comment ref="L5" authorId="0" shapeId="0" xr:uid="{00000000-0006-0000-1700-000007000000}">
      <text>
        <r>
          <rPr>
            <sz val="9"/>
            <color indexed="81"/>
            <rFont val="Tahoma"/>
            <family val="2"/>
          </rPr>
          <t>Promedio ponderado de cabezas faenadas por categoría: datos nacionales. En Kg de res con hueso.</t>
        </r>
      </text>
    </comment>
    <comment ref="M5" authorId="1" shapeId="0" xr:uid="{00000000-0006-0000-1700-000008000000}">
      <text>
        <r>
          <rPr>
            <sz val="9"/>
            <color indexed="81"/>
            <rFont val="Tahoma"/>
            <family val="2"/>
          </rPr>
          <t>Precios promedios de categoría "capón general", en pesos ($) por kilos vivos, según Resolución ONCCA 1797/05</t>
        </r>
      </text>
    </comment>
    <comment ref="B10" authorId="2" shapeId="0" xr:uid="{00000000-0006-0000-1700-000009000000}">
      <text>
        <r>
          <rPr>
            <sz val="9"/>
            <color indexed="81"/>
            <rFont val="Tahoma"/>
            <family val="2"/>
          </rPr>
          <t xml:space="preserve">SENASA y estimaciones propias (1994,01-1998,12) </t>
        </r>
      </text>
    </comment>
    <comment ref="D10" authorId="2" shapeId="0" xr:uid="{00000000-0006-0000-1700-00000A000000}">
      <text>
        <r>
          <rPr>
            <sz val="9"/>
            <color indexed="81"/>
            <rFont val="Tahoma"/>
            <family val="2"/>
          </rPr>
          <t xml:space="preserve">SENASA y estimaciones propias (1994,01-1998,12) </t>
        </r>
      </text>
    </comment>
    <comment ref="H10" authorId="2" shapeId="0" xr:uid="{00000000-0006-0000-1700-00000B000000}">
      <text>
        <r>
          <rPr>
            <sz val="9"/>
            <color indexed="81"/>
            <rFont val="Tahoma"/>
            <family val="2"/>
          </rPr>
          <t>SENASA y estimaciones propias (1994,01-1998,12)</t>
        </r>
        <r>
          <rPr>
            <b/>
            <sz val="9"/>
            <color indexed="81"/>
            <rFont val="Tahoma"/>
            <family val="2"/>
          </rPr>
          <t xml:space="preserve"> </t>
        </r>
      </text>
    </comment>
    <comment ref="B70" authorId="2" shapeId="0" xr:uid="{00000000-0006-0000-1700-00000C000000}">
      <text>
        <r>
          <rPr>
            <sz val="9"/>
            <color indexed="81"/>
            <rFont val="Tahoma"/>
            <family val="2"/>
          </rPr>
          <t xml:space="preserve">ONCCA (1991,01 - 2012,02)
</t>
        </r>
      </text>
    </comment>
    <comment ref="D70" authorId="2" shapeId="0" xr:uid="{00000000-0006-0000-1700-00000D000000}">
      <text>
        <r>
          <rPr>
            <b/>
            <sz val="9"/>
            <color indexed="81"/>
            <rFont val="Tahoma"/>
            <family val="2"/>
          </rPr>
          <t>ONCCA (1991,01 - 2012,02)</t>
        </r>
      </text>
    </comment>
    <comment ref="H70" authorId="2" shapeId="0" xr:uid="{00000000-0006-0000-1700-00000E000000}">
      <text>
        <r>
          <rPr>
            <sz val="9"/>
            <color indexed="81"/>
            <rFont val="Tahoma"/>
            <family val="2"/>
          </rPr>
          <t>ONCCA (1991,01 - 2012,10)</t>
        </r>
      </text>
    </comment>
    <comment ref="J70" authorId="2" shapeId="0" xr:uid="{00000000-0006-0000-1700-00000F000000}">
      <text>
        <r>
          <rPr>
            <sz val="9"/>
            <color indexed="81"/>
            <rFont val="Tahoma"/>
            <family val="2"/>
          </rPr>
          <t>SENASA - DNMF (MINAGRI)</t>
        </r>
      </text>
    </comment>
    <comment ref="B228" authorId="2" shapeId="0" xr:uid="{00000000-0006-0000-1700-000010000000}">
      <text>
        <r>
          <rPr>
            <sz val="9"/>
            <color indexed="81"/>
            <rFont val="Tahoma"/>
            <family val="2"/>
          </rPr>
          <t>Datos estimados como proporción de la provincia de Santa Fe (DNMF) sobre el total nacional en base a proporción promedio de año previo y año siguiente para cada mes</t>
        </r>
      </text>
    </comment>
    <comment ref="H235" authorId="1" shapeId="0" xr:uid="{00000000-0006-0000-1700-000011000000}">
      <text>
        <r>
          <rPr>
            <sz val="9"/>
            <color indexed="81"/>
            <rFont val="Tahoma"/>
            <family val="2"/>
          </rPr>
          <t xml:space="preserve">
No se publica más
</t>
        </r>
      </text>
    </comment>
    <comment ref="H238" authorId="2" shapeId="0" xr:uid="{00000000-0006-0000-1700-000012000000}">
      <text>
        <r>
          <rPr>
            <sz val="9"/>
            <color indexed="81"/>
            <rFont val="Tahoma"/>
            <family val="2"/>
          </rPr>
          <t>(RUCA) a través del Sistema SIF/SIGICA.</t>
        </r>
      </text>
    </comment>
    <comment ref="I238" authorId="2" shapeId="0" xr:uid="{00000000-0006-0000-1700-000013000000}">
      <text>
        <r>
          <rPr>
            <sz val="9"/>
            <color indexed="81"/>
            <rFont val="Tahoma"/>
            <family val="2"/>
          </rPr>
          <t>(RUCA) a través del Sistema SIF/SIGICA.</t>
        </r>
      </text>
    </comment>
    <comment ref="L238" authorId="1" shapeId="0" xr:uid="{00000000-0006-0000-1700-000014000000}">
      <text>
        <r>
          <rPr>
            <sz val="9"/>
            <color indexed="81"/>
            <rFont val="Tahoma"/>
            <family val="2"/>
          </rPr>
          <t>Promedio ponderado de cabezas faenadas por categoría: datos nacionales</t>
        </r>
      </text>
    </comment>
    <comment ref="B259" authorId="2" shapeId="0" xr:uid="{00000000-0006-0000-1700-000015000000}">
      <text>
        <r>
          <rPr>
            <sz val="9"/>
            <color indexed="81"/>
            <rFont val="Tahoma"/>
            <family val="2"/>
          </rPr>
          <t>Datos estimados como proporción de la provincia de Santa Fe (DNMF) sobre el total nacional en base a MINAGRI (2014,10 - 2016,12)</t>
        </r>
      </text>
    </comment>
    <comment ref="B286" authorId="2" shapeId="0" xr:uid="{00000000-0006-0000-1700-000016000000}">
      <text>
        <r>
          <rPr>
            <sz val="9"/>
            <color indexed="81"/>
            <rFont val="Tahoma"/>
            <family val="2"/>
          </rPr>
          <t>(RUCA) a través del Sistema SIF/SIGICA.</t>
        </r>
      </text>
    </comment>
    <comment ref="C286" authorId="0" shapeId="0" xr:uid="{00000000-0006-0000-1700-000017000000}">
      <text>
        <r>
          <rPr>
            <sz val="9"/>
            <color indexed="81"/>
            <rFont val="Tahoma"/>
            <family val="2"/>
          </rPr>
          <t>(RUCA) a través del Sistema SIF/SIGICA.</t>
        </r>
      </text>
    </comment>
    <comment ref="F286" authorId="1" shapeId="0" xr:uid="{00000000-0006-0000-1700-000018000000}">
      <text>
        <r>
          <rPr>
            <sz val="9"/>
            <color indexed="81"/>
            <rFont val="Tahoma"/>
            <family val="2"/>
          </rPr>
          <t xml:space="preserve">
Dato de peso promedio de faena publicado por MAGyP</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Agustin Rodríguez</author>
    <author>Martina Mas</author>
  </authors>
  <commentList>
    <comment ref="D3" authorId="0" shapeId="0" xr:uid="{00000000-0006-0000-1800-000001000000}">
      <text>
        <r>
          <rPr>
            <sz val="7"/>
            <color indexed="81"/>
            <rFont val="Tahoma"/>
            <family val="2"/>
          </rPr>
          <t xml:space="preserve">Por disposición nacional en mayo de 2022, la información desagregada por provincias se comienza a publicar con un rezago de 12 meses.
</t>
        </r>
      </text>
    </comment>
    <comment ref="E5" authorId="1" shapeId="0" xr:uid="{00000000-0006-0000-1800-000002000000}">
      <text>
        <r>
          <rPr>
            <b/>
            <sz val="9"/>
            <color indexed="81"/>
            <rFont val="Tahoma"/>
            <family val="2"/>
          </rPr>
          <t xml:space="preserve">Incluye el despacho al mercado interno (despacho nacional) más las importaciones.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Agustin Rodríguez</author>
  </authors>
  <commentList>
    <comment ref="Q5" authorId="0" shapeId="0" xr:uid="{00000000-0006-0000-1900-000001000000}">
      <text>
        <r>
          <rPr>
            <sz val="8"/>
            <color indexed="81"/>
            <rFont val="Tahoma"/>
            <family val="2"/>
          </rPr>
          <t xml:space="preserve">Incluye la sumatoria de las municipalidades, quedando excluídas las comunas.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Ailén Bianchi</author>
  </authors>
  <commentList>
    <comment ref="D7" authorId="0" shapeId="0" xr:uid="{00000000-0006-0000-1A00-000002000000}">
      <text>
        <r>
          <rPr>
            <sz val="9"/>
            <color indexed="81"/>
            <rFont val="Tahoma"/>
            <family val="2"/>
          </rPr>
          <t>Incluye maquinaria vial, agrícola e industrial. Según Disposición 948/97 de DNRPA, se compone de: 
Tractor, cosechadora, pulverizadora, sembradora, fumigadora, enfardadora, rotoenfardadora, pavimentadora, aplanadora, pala mecánica, grúa, excavadora, carretón, motoniveladora, cargadora, mototrailla, máquina compactadora, máquina para tratamiento de suelo, autoelevador, motovehículo con dispositivo de enganche y otros.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D2" authorId="0" shapeId="0" xr:uid="{00000000-0006-0000-1B00-000001000000}">
      <text>
        <r>
          <rPr>
            <u/>
            <sz val="9"/>
            <color indexed="81"/>
            <rFont val="Tahoma"/>
            <family val="2"/>
          </rPr>
          <t>Implementos</t>
        </r>
        <r>
          <rPr>
            <sz val="9"/>
            <color indexed="81"/>
            <rFont val="Tahoma"/>
            <family val="2"/>
          </rPr>
          <t xml:space="preserve">
Pulverizadoras autopropulsadas y de arrastre
Acarreo y almacenaje de granos 
Otros Implementos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A270" authorId="0" shapeId="0" xr:uid="{00000000-0006-0000-1D00-000001000000}">
      <text>
        <r>
          <rPr>
            <sz val="9"/>
            <color indexed="81"/>
            <rFont val="Tahoma"/>
            <family val="2"/>
          </rPr>
          <t>Hacia atrás usando niveles de capacidad instalada según EMI base 2006=100</t>
        </r>
      </text>
    </comment>
    <comment ref="A271" authorId="0" shapeId="0" xr:uid="{00000000-0006-0000-1D00-000002000000}">
      <text>
        <r>
          <rPr>
            <sz val="9"/>
            <color indexed="81"/>
            <rFont val="Tahoma"/>
            <family val="2"/>
          </rPr>
          <t xml:space="preserve">Estimados con la tasa de cambio del mismo mes del año 2014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Florencia Camusso</author>
    <author>pcohan</author>
  </authors>
  <commentList>
    <comment ref="D5" authorId="0" shapeId="0" xr:uid="{00000000-0006-0000-0600-000001000000}">
      <text>
        <r>
          <rPr>
            <sz val="9"/>
            <color indexed="81"/>
            <rFont val="Tahoma"/>
            <family val="2"/>
          </rPr>
          <t>Precios implícitos = (PGB Corriente / PBG Constante) * 100</t>
        </r>
      </text>
    </comment>
    <comment ref="C10" authorId="1" shapeId="0" xr:uid="{00000000-0006-0000-0600-000002000000}">
      <text>
        <r>
          <rPr>
            <b/>
            <sz val="8"/>
            <color indexed="81"/>
            <rFont val="Tahoma"/>
            <family val="2"/>
          </rPr>
          <t xml:space="preserve">El tramo 1884 - 2003 ha sido estimado por economistas del CES, utilizando datos históricos de distintas fuentes bibliográficas.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A273" authorId="0" shapeId="0" xr:uid="{00000000-0006-0000-1E00-000001000000}">
      <text>
        <r>
          <rPr>
            <sz val="9"/>
            <color indexed="81"/>
            <rFont val="Tahoma"/>
            <family val="2"/>
          </rPr>
          <t xml:space="preserve">Serie empalmada con la tasa de cambio mensual del EMI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pc2</author>
    <author>pcohan</author>
    <author>ces11</author>
  </authors>
  <commentList>
    <comment ref="C6" authorId="0" shapeId="0" xr:uid="{00000000-0006-0000-2000-000001000000}">
      <text>
        <r>
          <rPr>
            <sz val="8"/>
            <color indexed="81"/>
            <rFont val="Tahoma"/>
            <family val="2"/>
          </rPr>
          <t>Depositos Privados= depositos privados con residentes en el pais + depositos privados con residentes en el exterior</t>
        </r>
      </text>
    </comment>
    <comment ref="H6" authorId="1" shapeId="0" xr:uid="{00000000-0006-0000-2000-000002000000}">
      <text>
        <r>
          <rPr>
            <sz val="8"/>
            <color indexed="81"/>
            <rFont val="Tahoma"/>
            <family val="2"/>
          </rPr>
          <t xml:space="preserve">billetes, monedas y oro ya sea en caja en custodia o en tránsito.
</t>
        </r>
      </text>
    </comment>
    <comment ref="J6" authorId="0" shapeId="0" xr:uid="{00000000-0006-0000-2000-000003000000}">
      <text>
        <r>
          <rPr>
            <sz val="8"/>
            <color indexed="81"/>
            <rFont val="Tahoma"/>
            <family val="2"/>
          </rPr>
          <t>Depositos Privados= depositos privados con residentes en el pais + depositos privados con residentes en el exterior.</t>
        </r>
      </text>
    </comment>
    <comment ref="M6" authorId="2" shapeId="0" xr:uid="{00000000-0006-0000-2000-000004000000}">
      <text>
        <r>
          <rPr>
            <sz val="9"/>
            <color indexed="81"/>
            <rFont val="Tahoma"/>
            <family val="2"/>
          </rPr>
          <t xml:space="preserve">Prestamos Privados= prestamos privados con residentes en el pais + prestamos privados con residentes en el exterior
</t>
        </r>
      </text>
    </comment>
    <comment ref="O6" authorId="1" shapeId="0" xr:uid="{00000000-0006-0000-2000-000005000000}">
      <text>
        <r>
          <rPr>
            <sz val="8"/>
            <color indexed="81"/>
            <rFont val="Tahoma"/>
            <family val="2"/>
          </rPr>
          <t xml:space="preserve">billetes, monedas y oro ya sea en caja en custodia o en tránsito.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Pedro</author>
    <author>Florencia Camusso</author>
  </authors>
  <commentList>
    <comment ref="B2" authorId="0" shapeId="0" xr:uid="{00000000-0006-0000-2100-000001000000}">
      <text>
        <r>
          <rPr>
            <sz val="9"/>
            <color indexed="81"/>
            <rFont val="Tahoma"/>
            <family val="2"/>
          </rPr>
          <t>Empalme: los datos de 1994.01 a 2019.01 refieren al índice Merval que publicaba la Bolsa de Comercio de Buenso Aires antes de adoptar la metodología propuesta por S&amp;P.
Actualmente son 20 componentes.</t>
        </r>
      </text>
    </comment>
    <comment ref="C2" authorId="1" shapeId="0" xr:uid="{00000000-0006-0000-2100-000002000000}">
      <text>
        <r>
          <rPr>
            <sz val="9"/>
            <color indexed="81"/>
            <rFont val="Tahoma"/>
            <family val="2"/>
          </rPr>
          <t>Empalme: los datos de 2009.02 a 2019.03 refieren al índice Byma que publicaba Bolsas y Mercados Argentinos antes de adoptar la metodología propuesta por S&amp;P.
El índice mide el desempeño de todas las acciones que han registrado actividad en al menos el 20% de las sesiones de negociación en Bolsa durante los últimos seis meses.
Compuesto por 56 componentes, de los cuales 10 se ponderan en 78.0%.</t>
        </r>
      </text>
    </comment>
    <comment ref="B7" authorId="1" shapeId="0" xr:uid="{00000000-0006-0000-2100-000003000000}">
      <text>
        <r>
          <rPr>
            <sz val="9"/>
            <color indexed="81"/>
            <rFont val="Tahoma"/>
            <family val="2"/>
          </rPr>
          <t>Valor de cierre del último día habil de cada mes.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Pedro</author>
    <author>ces11</author>
    <author>Agustin Rodríguez</author>
  </authors>
  <commentList>
    <comment ref="B235" authorId="0" shapeId="0" xr:uid="{00000000-0006-0000-2200-000001000000}">
      <text>
        <r>
          <rPr>
            <b/>
            <sz val="9"/>
            <color indexed="81"/>
            <rFont val="Tahoma"/>
            <family val="2"/>
          </rPr>
          <t>Calculado sobre la base de la publicación interanual de octubre de 2016 (20,0%)</t>
        </r>
      </text>
    </comment>
    <comment ref="B236" authorId="1" shapeId="0" xr:uid="{00000000-0006-0000-2200-000002000000}">
      <text>
        <r>
          <rPr>
            <sz val="9"/>
            <color indexed="81"/>
            <rFont val="Tahoma"/>
            <family val="2"/>
          </rPr>
          <t xml:space="preserve">Calculado sobre la base de la publicación interanual de octubre de 2016 (19,2%)
</t>
        </r>
      </text>
    </comment>
    <comment ref="Y315" authorId="2" shapeId="0" xr:uid="{00000000-0006-0000-2200-000003000000}">
      <text>
        <r>
          <rPr>
            <sz val="7"/>
            <color indexed="81"/>
            <rFont val="Tahoma"/>
            <family val="2"/>
          </rPr>
          <t xml:space="preserve">Debido a que no han publicado el informe correspondiente al mes de Junio, dicho dato se obtuvo por diferencia respecto al promedio acumulado de crecimiento de ventas para los primeros 7 meses del año respecto al mismo período de 2021. Éste último se encuentra en el informe de Julio 2022.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Mercedes Buich</author>
  </authors>
  <commentList>
    <comment ref="C5" authorId="0" shapeId="0" xr:uid="{8D6B2289-FEB9-4453-8231-A565BDDCB405}">
      <text>
        <r>
          <rPr>
            <b/>
            <sz val="9"/>
            <color indexed="81"/>
            <rFont val="Tahoma"/>
            <family val="2"/>
          </rPr>
          <t xml:space="preserve">Incluye principalmente los puertos de Santa Fe y Rosario. 
</t>
        </r>
        <r>
          <rPr>
            <u/>
            <sz val="9"/>
            <color indexed="81"/>
            <rFont val="Tahoma"/>
            <family val="2"/>
          </rPr>
          <t>No obstante, también se consideran los siguientes muelles:</t>
        </r>
        <r>
          <rPr>
            <sz val="9"/>
            <color indexed="81"/>
            <rFont val="Tahoma"/>
            <family val="2"/>
          </rPr>
          <t xml:space="preserve">
ACA (San Lorenzo), Acindar (Villa Constitución), ADM AGRO - Muelle El Tránsito, ADM AGRO (Arroyo Seco), Bunge (Dempa y Pampa), Cargill - Muelle Quebracho, Cargill (Punta Alvear), Cargill (Villa Gobernador Gálvez), Cofco International Argentina S.A. (PGSM), Dreyfus (Gral Lagos), Dreyfus (Timbúes), Minera Alumbrera, Molinos San Benito, Pampa Energía, Pan American Energy (San Lorenzo), Profertil, Renova, Shell (Arroyo Seco), Terminal 6, Terminal de Fertilizantes Argentinos, Termoeléctrica San Martín, Vicentín, Aceitera General Deheza, Nouryon (Ex Akzo Nobel), Planta fluvial YPF, San Lorenzo - San Martín - Muelle YPF.</t>
        </r>
      </text>
    </comment>
    <comment ref="K5" authorId="0" shapeId="0" xr:uid="{6371BF72-5510-4250-B62C-F8D1A360A2FE}">
      <text>
        <r>
          <rPr>
            <b/>
            <sz val="9"/>
            <color indexed="81"/>
            <rFont val="Tahoma"/>
            <family val="2"/>
          </rPr>
          <t>Incluye principalmente los puertos de San Lorenzo, Villa Constitución, Puerto Gral. San Martín, Arroyo Seco, Alvear, Villa Gobernador Gálvez, Timbúes, Rosario y Santa Fe.</t>
        </r>
      </text>
    </comment>
    <comment ref="B6" authorId="0" shapeId="0" xr:uid="{CECE7793-DF7D-4A13-BE80-2BF277FB2634}">
      <text>
        <r>
          <rPr>
            <b/>
            <sz val="9"/>
            <color indexed="81"/>
            <rFont val="Tahoma"/>
            <family val="2"/>
          </rPr>
          <t>Embarque o carga:</t>
        </r>
        <r>
          <rPr>
            <sz val="9"/>
            <color indexed="81"/>
            <rFont val="Tahoma"/>
            <family val="2"/>
          </rPr>
          <t xml:space="preserve"> Tipo de operación portuaria en la que se introducen contenedores en una embarcación.</t>
        </r>
      </text>
    </comment>
    <comment ref="C6" authorId="0" shapeId="0" xr:uid="{2710BE96-5FA5-4ACB-963C-3F9790BAE170}">
      <text>
        <r>
          <rPr>
            <b/>
            <sz val="9"/>
            <color indexed="81"/>
            <rFont val="Tahoma"/>
            <family val="2"/>
          </rPr>
          <t>Desembarque o descarga:</t>
        </r>
        <r>
          <rPr>
            <sz val="9"/>
            <color indexed="81"/>
            <rFont val="Tahoma"/>
            <family val="2"/>
          </rPr>
          <t xml:space="preserve"> Tipo de operación portuaria en la que se sacan contenedores de una embarcación y se ponen en tierra.</t>
        </r>
      </text>
    </comment>
    <comment ref="F6" authorId="0" shapeId="0" xr:uid="{4177C35F-7543-49AC-95A2-05C4C66B3B47}">
      <text>
        <r>
          <rPr>
            <sz val="9"/>
            <color indexed="81"/>
            <rFont val="Tahoma"/>
            <family val="2"/>
          </rPr>
          <t>Entrada de bienes o mercancías en el país desde el extranjero, a través de un puerto nacional.</t>
        </r>
      </text>
    </comment>
    <comment ref="G6" authorId="0" shapeId="0" xr:uid="{9FBF087E-D20B-43FB-A78F-1D1BC745138B}">
      <text>
        <r>
          <rPr>
            <sz val="9"/>
            <color indexed="81"/>
            <rFont val="Tahoma"/>
            <family val="2"/>
          </rPr>
          <t>Envío de bienes o mercancías fuera del país, a través de un puerto nacional.</t>
        </r>
      </text>
    </comment>
    <comment ref="H6" authorId="0" shapeId="0" xr:uid="{C1120E33-B8E0-408D-B4FA-FF65203C3CFD}">
      <text>
        <r>
          <rPr>
            <sz val="9"/>
            <color indexed="81"/>
            <rFont val="Tahoma"/>
            <family val="2"/>
          </rPr>
          <t>Se refiere al movimiento de bienes o mercancías entre puertos dentro del mismo país. En particular, serían los movimientos de carga que llegan a los puertos de la provincia desde otros puertos nacionales.</t>
        </r>
      </text>
    </comment>
    <comment ref="I6" authorId="0" shapeId="0" xr:uid="{440DE9E0-00C5-4CAF-842F-8B0FB5D50901}">
      <text>
        <r>
          <rPr>
            <sz val="9"/>
            <color indexed="81"/>
            <rFont val="Tahoma"/>
            <family val="2"/>
          </rPr>
          <t>Implica el transporte de mercancías desde los puertos de la provincia hacia otros puertos nacionales.</t>
        </r>
      </text>
    </comment>
    <comment ref="J6" authorId="0" shapeId="0" xr:uid="{CD7EF6C6-FED5-460F-B766-817B012CC386}">
      <text>
        <r>
          <rPr>
            <sz val="9"/>
            <color indexed="81"/>
            <rFont val="Tahoma"/>
            <family val="2"/>
          </rPr>
          <t>Indica que las mercancías están en tránsito hacia otro destino final, ya sea dentro del país o internacionalmente.</t>
        </r>
      </text>
    </comment>
    <comment ref="K6" authorId="0" shapeId="0" xr:uid="{87BE9B9F-8425-4486-A278-17DFA51DFE08}">
      <text>
        <r>
          <rPr>
            <sz val="9"/>
            <color indexed="81"/>
            <rFont val="Tahoma"/>
            <family val="2"/>
          </rPr>
          <t>Las mercancías salen del puerto con destino a otro puerto nacional o internacional.</t>
        </r>
      </text>
    </comment>
    <comment ref="B7" authorId="0" shapeId="0" xr:uid="{FE067D71-AC9B-4745-B732-97F3395D9731}">
      <text>
        <r>
          <rPr>
            <b/>
            <sz val="9"/>
            <color indexed="81"/>
            <rFont val="Tahoma"/>
            <family val="2"/>
          </rPr>
          <t xml:space="preserve">TEU: </t>
        </r>
        <r>
          <rPr>
            <sz val="9"/>
            <color indexed="81"/>
            <rFont val="Tahoma"/>
            <family val="2"/>
          </rPr>
          <t>Twenty-foot Equivalent Unit (unidad equivalente a veinte pies).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pcohan</author>
    <author>euro03</author>
    <author>Melisa</author>
  </authors>
  <commentList>
    <comment ref="L5" authorId="0" shapeId="0" xr:uid="{00000000-0006-0000-2600-000001000000}">
      <text>
        <r>
          <rPr>
            <sz val="8"/>
            <color indexed="81"/>
            <rFont val="Tahoma"/>
            <family val="2"/>
          </rPr>
          <t xml:space="preserve">Servicio general: usos no domésticos sin contratación de entrega mínima
</t>
        </r>
      </text>
    </comment>
    <comment ref="M5" authorId="0" shapeId="0" xr:uid="{00000000-0006-0000-2600-000002000000}">
      <text>
        <r>
          <rPr>
            <sz val="8"/>
            <color indexed="81"/>
            <rFont val="Tahoma"/>
            <family val="2"/>
          </rPr>
          <t>Servicio general: usos no domésticos con contratación de entrega mínima</t>
        </r>
      </text>
    </comment>
    <comment ref="N5" authorId="0" shapeId="0" xr:uid="{00000000-0006-0000-2600-000003000000}">
      <text>
        <r>
          <rPr>
            <sz val="8"/>
            <color indexed="81"/>
            <rFont val="Tahoma"/>
            <family val="2"/>
          </rPr>
          <t xml:space="preserve">Servicios grandes usuarios:
ID = Grandes usuarios no domésticos, ni estaciones, ni GNC, ni subdistribuidor. </t>
        </r>
        <r>
          <rPr>
            <b/>
            <sz val="8"/>
            <color indexed="81"/>
            <rFont val="Tahoma"/>
            <family val="2"/>
          </rPr>
          <t>Ininterrumpible</t>
        </r>
        <r>
          <rPr>
            <sz val="8"/>
            <color indexed="81"/>
            <rFont val="Tahoma"/>
            <family val="2"/>
          </rPr>
          <t>. Mínimo de 3 millones de m3 por año.
IT = idem ID pero</t>
        </r>
        <r>
          <rPr>
            <b/>
            <sz val="8"/>
            <color indexed="81"/>
            <rFont val="Tahoma"/>
            <family val="2"/>
          </rPr>
          <t xml:space="preserve"> Interrumpible</t>
        </r>
        <r>
          <rPr>
            <sz val="8"/>
            <color indexed="81"/>
            <rFont val="Tahoma"/>
            <family val="2"/>
          </rPr>
          <t xml:space="preserve">. 
FD = grandes usuarios no domesticos, ni estaciones, ni GNC, ni subdistribuidor.Mínimo de 10 mil m3 diarios.
FT = idem FD pero a través de una distribuidora.
</t>
        </r>
      </text>
    </comment>
    <comment ref="B9" authorId="1" shapeId="0" xr:uid="{00000000-0006-0000-2600-000004000000}">
      <text>
        <r>
          <rPr>
            <b/>
            <sz val="8"/>
            <color indexed="81"/>
            <rFont val="Tahoma"/>
            <family val="2"/>
          </rPr>
          <t xml:space="preserve">I.10. Gas entregado: total
I.06. Gas entregado: total
</t>
        </r>
      </text>
    </comment>
    <comment ref="C9" authorId="1" shapeId="0" xr:uid="{00000000-0006-0000-2600-000005000000}">
      <text>
        <r>
          <rPr>
            <b/>
            <sz val="8"/>
            <color indexed="81"/>
            <rFont val="Tahoma"/>
            <family val="2"/>
          </rPr>
          <t>I.10. Gas entregado: residencial
I.06. Gas entregado: residencial</t>
        </r>
      </text>
    </comment>
    <comment ref="D9" authorId="1" shapeId="0" xr:uid="{00000000-0006-0000-2600-000006000000}">
      <text>
        <r>
          <rPr>
            <b/>
            <sz val="8"/>
            <color indexed="81"/>
            <rFont val="Tahoma"/>
            <family val="2"/>
          </rPr>
          <t>I.10. Gas entregado: comercial</t>
        </r>
        <r>
          <rPr>
            <sz val="8"/>
            <color indexed="81"/>
            <rFont val="Tahoma"/>
            <family val="2"/>
          </rPr>
          <t xml:space="preserve">
</t>
        </r>
      </text>
    </comment>
    <comment ref="E9" authorId="2" shapeId="0" xr:uid="{00000000-0006-0000-2600-000007000000}">
      <text>
        <r>
          <rPr>
            <b/>
            <sz val="8"/>
            <color indexed="81"/>
            <rFont val="Tahoma"/>
            <family val="2"/>
          </rPr>
          <t>I.10. Gas entregado: total: entes oficiales</t>
        </r>
        <r>
          <rPr>
            <sz val="9"/>
            <color indexed="81"/>
            <rFont val="Tahoma"/>
            <family val="2"/>
          </rPr>
          <t xml:space="preserve">
</t>
        </r>
      </text>
    </comment>
    <comment ref="F9" authorId="1" shapeId="0" xr:uid="{00000000-0006-0000-2600-000008000000}">
      <text>
        <r>
          <rPr>
            <b/>
            <sz val="8"/>
            <color indexed="81"/>
            <rFont val="Tahoma"/>
            <family val="2"/>
          </rPr>
          <t>I.10. Gas entregado: centrales eléctricas</t>
        </r>
      </text>
    </comment>
    <comment ref="G9" authorId="1" shapeId="0" xr:uid="{00000000-0006-0000-2600-000009000000}">
      <text>
        <r>
          <rPr>
            <b/>
            <sz val="8"/>
            <color indexed="81"/>
            <rFont val="Tahoma"/>
            <family val="2"/>
          </rPr>
          <t>I.10. Gas entregado: industrias</t>
        </r>
      </text>
    </comment>
    <comment ref="I9" authorId="2" shapeId="0" xr:uid="{00000000-0006-0000-2600-00000A000000}">
      <text>
        <r>
          <rPr>
            <b/>
            <sz val="8"/>
            <color indexed="81"/>
            <rFont val="Tahoma"/>
            <family val="2"/>
          </rPr>
          <t>I.10. Gas entregado: SDB</t>
        </r>
        <r>
          <rPr>
            <sz val="9"/>
            <color indexed="81"/>
            <rFont val="Tahoma"/>
            <family val="2"/>
          </rPr>
          <t xml:space="preserve">
</t>
        </r>
      </text>
    </comment>
    <comment ref="J9" authorId="2" shapeId="0" xr:uid="{00000000-0006-0000-2600-00000B000000}">
      <text>
        <r>
          <rPr>
            <b/>
            <sz val="8"/>
            <color indexed="81"/>
            <rFont val="Tahoma"/>
            <family val="2"/>
          </rPr>
          <t>I.10. Gas entregado: GNC</t>
        </r>
        <r>
          <rPr>
            <sz val="9"/>
            <color indexed="81"/>
            <rFont val="Tahoma"/>
            <family val="2"/>
          </rPr>
          <t xml:space="preserve">
</t>
        </r>
      </text>
    </comment>
    <comment ref="K9" authorId="1" shapeId="0" xr:uid="{00000000-0006-0000-2600-00000C000000}">
      <text>
        <r>
          <rPr>
            <b/>
            <sz val="8"/>
            <color indexed="81"/>
            <rFont val="Tahoma"/>
            <family val="2"/>
          </rPr>
          <t>I.13. Total</t>
        </r>
        <r>
          <rPr>
            <sz val="8"/>
            <color indexed="81"/>
            <rFont val="Tahoma"/>
            <family val="2"/>
          </rPr>
          <t xml:space="preserve">
</t>
        </r>
      </text>
    </comment>
    <comment ref="L9" authorId="1" shapeId="0" xr:uid="{00000000-0006-0000-2600-00000D000000}">
      <text>
        <r>
          <rPr>
            <sz val="8"/>
            <color indexed="81"/>
            <rFont val="Tahoma"/>
            <family val="2"/>
          </rPr>
          <t>I.06 (Serv. General P) + (SGP por cuenta de 3ros)</t>
        </r>
      </text>
    </comment>
    <comment ref="M9" authorId="1" shapeId="0" xr:uid="{00000000-0006-0000-2600-00000E000000}">
      <text>
        <r>
          <rPr>
            <sz val="8"/>
            <color indexed="81"/>
            <rFont val="Tahoma"/>
            <family val="2"/>
          </rPr>
          <t>I.06 (Serv. Generales G) + (SG-G por cuenta de 3ros)</t>
        </r>
        <r>
          <rPr>
            <sz val="8"/>
            <color indexed="81"/>
            <rFont val="Tahoma"/>
            <family val="2"/>
          </rPr>
          <t xml:space="preserve">
</t>
        </r>
      </text>
    </comment>
    <comment ref="N9" authorId="1" shapeId="0" xr:uid="{00000000-0006-0000-2600-00000F000000}">
      <text>
        <r>
          <rPr>
            <sz val="8"/>
            <color indexed="81"/>
            <rFont val="Tahoma"/>
            <family val="2"/>
          </rPr>
          <t>I.06 (</t>
        </r>
        <r>
          <rPr>
            <sz val="8"/>
            <color indexed="10"/>
            <rFont val="Tahoma"/>
            <family val="2"/>
          </rPr>
          <t>ID+IT+FD+FT</t>
        </r>
        <r>
          <rPr>
            <sz val="8"/>
            <color indexed="81"/>
            <rFont val="Tahoma"/>
            <family val="2"/>
          </rPr>
          <t>+FD/FT+ID/IT)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6" authorId="0" shapeId="0" xr:uid="{00000000-0006-0000-2800-000001000000}">
      <text>
        <r>
          <rPr>
            <sz val="9"/>
            <color indexed="81"/>
            <rFont val="Tahoma"/>
            <family val="2"/>
          </rPr>
          <t>Considerando la suma empresas del sector y otras</t>
        </r>
      </text>
    </comment>
    <comment ref="C6" authorId="0" shapeId="0" xr:uid="{00000000-0006-0000-2800-000002000000}">
      <text>
        <r>
          <rPr>
            <sz val="9"/>
            <color indexed="81"/>
            <rFont val="Tahoma"/>
            <family val="2"/>
          </rPr>
          <t>Considerando la suma empresas del sector y otras</t>
        </r>
      </text>
    </comment>
    <comment ref="D6" authorId="0" shapeId="0" xr:uid="{00000000-0006-0000-2800-000003000000}">
      <text>
        <r>
          <rPr>
            <sz val="9"/>
            <color indexed="81"/>
            <rFont val="Tahoma"/>
            <family val="2"/>
          </rPr>
          <t>Considerando la suma empresas del sector y otras</t>
        </r>
      </text>
    </comment>
    <comment ref="E6" authorId="0" shapeId="0" xr:uid="{00000000-0006-0000-2800-000004000000}">
      <text>
        <r>
          <rPr>
            <sz val="9"/>
            <color indexed="81"/>
            <rFont val="Tahoma"/>
            <family val="2"/>
          </rPr>
          <t>Considerando la suma empresas del sector y otras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Franco Riottini</author>
    <author>Ailén Bianchi</author>
    <author>Pedro</author>
  </authors>
  <commentList>
    <comment ref="L2" authorId="0" shapeId="0" xr:uid="{00000000-0006-0000-2900-000001000000}">
      <text>
        <r>
          <rPr>
            <sz val="9"/>
            <color indexed="81"/>
            <rFont val="Tahoma"/>
            <family val="2"/>
          </rPr>
          <t>Clasificadas por puerto de salida</t>
        </r>
        <r>
          <rPr>
            <sz val="9"/>
            <color indexed="81"/>
            <rFont val="Tahoma"/>
            <family val="2"/>
          </rPr>
          <t xml:space="preserve">
</t>
        </r>
      </text>
    </comment>
    <comment ref="Q2" authorId="0" shapeId="0" xr:uid="{00000000-0006-0000-2900-000002000000}">
      <text>
        <r>
          <rPr>
            <sz val="9"/>
            <color indexed="81"/>
            <rFont val="Tahoma"/>
            <family val="2"/>
          </rPr>
          <t xml:space="preserve">Clasificación por puerto de salida
</t>
        </r>
      </text>
    </comment>
    <comment ref="B5" authorId="1" shapeId="0" xr:uid="{00000000-0006-0000-2900-000003000000}">
      <text>
        <r>
          <rPr>
            <sz val="9"/>
            <color indexed="81"/>
            <rFont val="Tahoma"/>
            <family val="2"/>
          </rPr>
          <t xml:space="preserve">Revisión de datos desde 2005.01 hasta 2018.08, corrigiendo diferencias entre publicaciones mensuales y datos acumulados (noviembre 2018) 
</t>
        </r>
      </text>
    </comment>
    <comment ref="H233" authorId="2" shapeId="0" xr:uid="{00000000-0006-0000-2900-000004000000}">
      <text>
        <r>
          <rPr>
            <b/>
            <sz val="8"/>
            <color indexed="81"/>
            <rFont val="Tahoma"/>
            <family val="2"/>
          </rPr>
          <t>+ Arroyo Seco</t>
        </r>
        <r>
          <rPr>
            <sz val="8"/>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Pedro</author>
    <author>Franco Riottini</author>
  </authors>
  <commentList>
    <comment ref="B5" authorId="0" shapeId="0" xr:uid="{00000000-0006-0000-2B00-000001000000}">
      <text>
        <r>
          <rPr>
            <sz val="9"/>
            <color indexed="81"/>
            <rFont val="Tahoma"/>
            <family val="2"/>
          </rPr>
          <t>Mide la evolución del valor corriente de las exportaciones del período considerado respecto al valor corriente de las exportaciones del año base</t>
        </r>
      </text>
    </comment>
    <comment ref="C5" authorId="1" shapeId="0" xr:uid="{00000000-0006-0000-2B00-000002000000}">
      <text>
        <r>
          <rPr>
            <sz val="9"/>
            <color indexed="81"/>
            <rFont val="Tahoma"/>
            <family val="2"/>
          </rPr>
          <t>Mide la evolución de los precios de las exportaciones del período considerado respecto al año base.</t>
        </r>
      </text>
    </comment>
    <comment ref="D5" authorId="1" shapeId="0" xr:uid="{00000000-0006-0000-2B00-000003000000}">
      <text>
        <r>
          <rPr>
            <sz val="9"/>
            <color indexed="81"/>
            <rFont val="Tahoma"/>
            <family val="2"/>
          </rPr>
          <t>Resulta de dividir el índice de valor de las exportaciones del período considerado por el índice de precios de las exportaciones del mismo período. Mide la evolución de las cantidades físicas exportadas en el período considerado, expresadas a precios del año base.</t>
        </r>
      </text>
    </comment>
    <comment ref="E5" authorId="1" shapeId="0" xr:uid="{00000000-0006-0000-2B00-000004000000}">
      <text>
        <r>
          <rPr>
            <sz val="9"/>
            <color indexed="81"/>
            <rFont val="Tahoma"/>
            <family val="2"/>
          </rPr>
          <t>Mide la evolución del valor corriente de las importaciones del período considerado respecto al valor corriente de las importaciones del año base</t>
        </r>
      </text>
    </comment>
    <comment ref="F5" authorId="1" shapeId="0" xr:uid="{00000000-0006-0000-2B00-000005000000}">
      <text>
        <r>
          <rPr>
            <sz val="9"/>
            <color indexed="81"/>
            <rFont val="Tahoma"/>
            <family val="2"/>
          </rPr>
          <t>Mide la evolución de los precios de las importaciones del período considerado respecto al año base.</t>
        </r>
      </text>
    </comment>
    <comment ref="G5" authorId="1" shapeId="0" xr:uid="{00000000-0006-0000-2B00-000006000000}">
      <text>
        <r>
          <rPr>
            <sz val="9"/>
            <color indexed="81"/>
            <rFont val="Tahoma"/>
            <family val="2"/>
          </rPr>
          <t>Resulta de dividir el índice de valor de las exportaciones del período considerado por el índice de precios de las exportaciones del mismo período. Mide la evolución de las cantidades físicas exportadas en el período considerado, expresadas a precios del año base.</t>
        </r>
      </text>
    </comment>
    <comment ref="H5" authorId="1" shapeId="0" xr:uid="{00000000-0006-0000-2B00-000007000000}">
      <text>
        <r>
          <rPr>
            <sz val="9"/>
            <color indexed="81"/>
            <rFont val="Tahoma"/>
            <family val="2"/>
          </rPr>
          <t>Mide la evolución del poder de compra de una unidad física de exportación en términos de importaciones. Representa las variaciones en los precios relativos.</t>
        </r>
      </text>
    </comment>
    <comment ref="I5" authorId="1" shapeId="0" xr:uid="{00000000-0006-0000-2B00-000008000000}">
      <text>
        <r>
          <rPr>
            <sz val="9"/>
            <color indexed="81"/>
            <rFont val="Tahoma"/>
            <family val="2"/>
          </rPr>
          <t>Mide el valor de las unidades físicas de importación, a precios del año base, que se pueden comprar con las exportaciones del período.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10" authorId="0" shapeId="0" xr:uid="{00000000-0006-0000-2D00-000001000000}">
      <text>
        <r>
          <rPr>
            <sz val="9"/>
            <color indexed="81"/>
            <rFont val="Tahoma"/>
            <family val="2"/>
          </rPr>
          <t>Datos calculados con las tasas de cambio del indicador que se publicó hasta noviembre de 2015 utlizando de punto de empalme 1997.01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Pedro</author>
    <author>ces11</author>
  </authors>
  <commentList>
    <comment ref="J3" authorId="0" shapeId="0" xr:uid="{00000000-0006-0000-0700-000001000000}">
      <text>
        <r>
          <rPr>
            <sz val="8"/>
            <color indexed="81"/>
            <rFont val="Tahoma"/>
            <family val="2"/>
          </rPr>
          <t>La matedología base 2004 genera un aumento fundamentalmente en los sub componentes de consumo (en principio se corrige la sub estimación de gastos que informan individuos y familias)</t>
        </r>
        <r>
          <rPr>
            <sz val="11"/>
            <color indexed="81"/>
            <rFont val="Tahoma"/>
            <family val="2"/>
          </rPr>
          <t xml:space="preserve">
</t>
        </r>
      </text>
    </comment>
    <comment ref="S3" authorId="0" shapeId="0" xr:uid="{00000000-0006-0000-0700-000002000000}">
      <text>
        <r>
          <rPr>
            <sz val="8"/>
            <color indexed="81"/>
            <rFont val="Tahoma"/>
            <family val="2"/>
          </rPr>
          <t>La matedología base 2004 genera un aumento fundamentalmente en los sub componentes de consumo (en principio se corrige la sub estimación de gastos que informan individuos y familias)</t>
        </r>
        <r>
          <rPr>
            <sz val="11"/>
            <color indexed="81"/>
            <rFont val="Tahoma"/>
            <family val="2"/>
          </rPr>
          <t xml:space="preserve">
</t>
        </r>
      </text>
    </comment>
    <comment ref="H5" authorId="1" shapeId="0" xr:uid="{00000000-0006-0000-0700-000003000000}">
      <text>
        <r>
          <rPr>
            <sz val="9"/>
            <color indexed="81"/>
            <rFont val="Tahoma"/>
            <family val="2"/>
          </rPr>
          <t>Hasta el 2015 incluye: variación de existencias de productos agrícolas e industriales nacionales y variación de existencias de productos industriales importados más discrepancia estadistica neta.</t>
        </r>
      </text>
    </comment>
    <comment ref="Q5" authorId="1" shapeId="0" xr:uid="{00000000-0006-0000-0700-000004000000}">
      <text>
        <r>
          <rPr>
            <sz val="9"/>
            <color indexed="81"/>
            <rFont val="Tahoma"/>
            <family val="2"/>
          </rPr>
          <t xml:space="preserve">Hasta el 2015 incluye: variación de existencias de productos agrícolas e industriales nacionales y variación de existencias de productos industriales importados más discrepancia estadistica neta.
</t>
        </r>
      </text>
    </comment>
    <comment ref="Z5" authorId="1" shapeId="0" xr:uid="{00000000-0006-0000-0700-000005000000}">
      <text>
        <r>
          <rPr>
            <sz val="9"/>
            <color indexed="81"/>
            <rFont val="Tahoma"/>
            <family val="2"/>
          </rPr>
          <t>Incluye: variación de existencias de productos agrícolas e industriales nacionales y variación de existencias de productos industriales importados más discrepancia estadística neta.</t>
        </r>
      </text>
    </comment>
    <comment ref="A102" authorId="0" shapeId="0" xr:uid="{00000000-0006-0000-0700-000006000000}">
      <text>
        <r>
          <rPr>
            <sz val="8"/>
            <color indexed="81"/>
            <rFont val="Tahoma"/>
            <family val="2"/>
          </rPr>
          <t>Las estimaciones se hicieron tomando tasas de cambio de los sub-componentes en la metodología base 1993</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Martina Mas</author>
    <author>pcohan</author>
  </authors>
  <commentList>
    <comment ref="D5" authorId="0" shapeId="0" xr:uid="{00000000-0006-0000-2E00-000001000000}">
      <text>
        <r>
          <rPr>
            <sz val="9"/>
            <color indexed="81"/>
            <rFont val="Tahoma"/>
            <family val="2"/>
          </rPr>
          <t>part. en el mismo mes del año anterior = (Aportes sociales mes anterior / (Remuneración total mes anterior - Aportes sociales mes anterior))
part. * suma del resto de componentes mes objetivo</t>
        </r>
      </text>
    </comment>
    <comment ref="F5" authorId="1" shapeId="0" xr:uid="{00000000-0006-0000-2E00-000002000000}">
      <text>
        <r>
          <rPr>
            <b/>
            <sz val="8"/>
            <color indexed="81"/>
            <rFont val="Tahoma"/>
            <family val="2"/>
          </rPr>
          <t>el 95 % de lo recaudado se coparticipa a municipios y comunas
Calculo: 5% de provincia (total que se muestra en la tabla: RECURSOS DE LA ADMINISTRACIÓN PROVINCIAL del mes) + (acumulado coparticipacion actual - acumulado coparticipacion mes anterior)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272" authorId="0" shapeId="0" xr:uid="{00000000-0006-0000-3200-000001000000}">
      <text>
        <r>
          <rPr>
            <b/>
            <sz val="9"/>
            <color indexed="81"/>
            <rFont val="Tahoma"/>
            <family val="2"/>
          </rPr>
          <t>tasas de cambio del IPC de la provincia de Santa Fe base 2003 = 100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Martina Mas</author>
  </authors>
  <commentList>
    <comment ref="B7" authorId="0" shapeId="0" xr:uid="{00000000-0006-0000-3300-000001000000}">
      <text>
        <r>
          <rPr>
            <sz val="9"/>
            <color indexed="81"/>
            <rFont val="Tahoma"/>
            <family val="2"/>
          </rPr>
          <t>Los niveles correspondientes al año 2021 no se encuentran publicados. Por tal motivo, las cifras con nueva base, se estiman en función de datos históricos, con eje en las ponderaciones previas al cambio de base.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W5" authorId="0" shapeId="0" xr:uid="{00000000-0006-0000-3400-000001000000}">
      <text>
        <r>
          <rPr>
            <sz val="9"/>
            <color indexed="81"/>
            <rFont val="Tahoma"/>
            <family val="2"/>
          </rPr>
          <t xml:space="preserve">Partidas no incluídas en "Regulados" ni en "Estacionales". Representan el 69,9% de la canasta total del IPC
</t>
        </r>
      </text>
    </comment>
    <comment ref="X5" authorId="0" shapeId="0" xr:uid="{00000000-0006-0000-3400-000002000000}">
      <text>
        <r>
          <rPr>
            <sz val="9"/>
            <color indexed="81"/>
            <rFont val="Tahoma"/>
            <family val="2"/>
          </rPr>
          <t>Bienes y servicios cuyos precios están sujetos a regulación o tienen un alto componente impositivo: combustibles para la vivienda, electricidad, agua y servicios sanitarios, sistemas de salud y servicios auxiliares, transporte público de pasajeros, funcionamiento y mantenimiento de vehículos, correo, teléfono, educación formal y cigarrillos y accesorios. Esta categoría representa el 19,4% de la canasta total del IPC.</t>
        </r>
      </text>
    </comment>
    <comment ref="Y5" authorId="0" shapeId="0" xr:uid="{00000000-0006-0000-3400-000003000000}">
      <text>
        <r>
          <rPr>
            <sz val="9"/>
            <color indexed="81"/>
            <rFont val="Tahoma"/>
            <family val="2"/>
          </rPr>
          <t>Bienes y servicios con comportamiento estacional: frutas, verduras, ropa exterior, transporte por turismo y alojamiento y excursiones. Esta categoría representa el 10,8% de la canasta total del IPC</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Florencia Camusso</author>
    <author>Pedro</author>
  </authors>
  <commentList>
    <comment ref="B2" authorId="0" shapeId="0" xr:uid="{00000000-0006-0000-3500-000001000000}">
      <text>
        <r>
          <rPr>
            <b/>
            <sz val="9"/>
            <color indexed="81"/>
            <rFont val="Tahoma"/>
            <family val="2"/>
          </rPr>
          <t>1969.01 a 2013.12.</t>
        </r>
      </text>
    </comment>
    <comment ref="C2" authorId="0" shapeId="0" xr:uid="{00000000-0006-0000-3500-000002000000}">
      <text>
        <r>
          <rPr>
            <sz val="9"/>
            <color indexed="81"/>
            <rFont val="Tahoma"/>
            <family val="2"/>
          </rPr>
          <t>Datos corregidos por fuentes alternativas</t>
        </r>
      </text>
    </comment>
    <comment ref="C3" authorId="1" shapeId="0" xr:uid="{00000000-0006-0000-3500-000003000000}">
      <text>
        <r>
          <rPr>
            <b/>
            <u/>
            <sz val="9"/>
            <color indexed="81"/>
            <rFont val="Tahoma"/>
            <family val="2"/>
          </rPr>
          <t xml:space="preserve">
Empalmes
</t>
        </r>
        <r>
          <rPr>
            <sz val="9"/>
            <color indexed="81"/>
            <rFont val="Tahoma"/>
            <family val="2"/>
          </rPr>
          <t xml:space="preserve">2006.10 con IPC Buenos Aires City
2010.12 con IPC Santa Fe
2011.05 con IPC Congreso
</t>
        </r>
      </text>
    </comment>
    <comment ref="E3" authorId="1" shapeId="0" xr:uid="{00000000-0006-0000-3500-000004000000}">
      <text>
        <r>
          <rPr>
            <sz val="9"/>
            <color indexed="81"/>
            <rFont val="Tahoma"/>
            <family val="2"/>
          </rPr>
          <t xml:space="preserve">Promedio de mediciones privadas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E5" authorId="0" shapeId="0" xr:uid="{00000000-0006-0000-3600-000001000000}">
      <text>
        <r>
          <rPr>
            <sz val="8"/>
            <color indexed="81"/>
            <rFont val="Tahoma"/>
            <family val="2"/>
          </rPr>
          <t xml:space="preserve">Nueva canasta en línea con lo que propone el INDEC.
Canasta Básica: Canasta alimentaria + bienes y servicios. Delimita la línea de pobreza.
Familia tipo de 4 personas; un matrimonio y dos hijos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Ignacio Falco</author>
    <author>Franco Riottini</author>
  </authors>
  <commentList>
    <comment ref="B5" authorId="0" shapeId="0" xr:uid="{00000000-0006-0000-3700-000001000000}">
      <text>
        <r>
          <rPr>
            <b/>
            <sz val="9"/>
            <color indexed="81"/>
            <rFont val="Tahoma"/>
            <family val="2"/>
          </rPr>
          <t xml:space="preserve">Mide la evolución promedio de los precios de los productos de orígenes nacional e importado ofrecidos en el mercado interno. Se incluyen el IVA, los impuestos internos y los impuestos a los combustibles netos de los subsidios explícitos. Se excluye el valor de las exportaciones en el cálculo del peso relativo de cada actividad. </t>
        </r>
      </text>
    </comment>
    <comment ref="G5" authorId="0" shapeId="0" xr:uid="{00000000-0006-0000-3700-000002000000}">
      <text>
        <r>
          <rPr>
            <b/>
            <sz val="9"/>
            <color indexed="81"/>
            <rFont val="Tahoma"/>
            <family val="2"/>
          </rPr>
          <t>Igual cobertura que el IPIM, pero los precios no incluyen el efecto impositivo mencionado en el IPIM.</t>
        </r>
        <r>
          <rPr>
            <sz val="9"/>
            <color indexed="81"/>
            <rFont val="Tahoma"/>
            <family val="2"/>
          </rPr>
          <t xml:space="preserve">
</t>
        </r>
      </text>
    </comment>
    <comment ref="L5" authorId="0" shapeId="0" xr:uid="{00000000-0006-0000-3700-000003000000}">
      <text>
        <r>
          <rPr>
            <b/>
            <sz val="9"/>
            <color indexed="81"/>
            <rFont val="Tahoma"/>
            <family val="2"/>
          </rPr>
          <t>Mide la variación promedio de los precios percibidos por el productor local; por lo tanto se excluyen los bienes importados y en la ponderación de cada actividad se incluyen las exportaciones.</t>
        </r>
        <r>
          <rPr>
            <sz val="9"/>
            <color indexed="81"/>
            <rFont val="Tahoma"/>
            <family val="2"/>
          </rPr>
          <t xml:space="preserve">
</t>
        </r>
      </text>
    </comment>
    <comment ref="A284" authorId="1" shapeId="0" xr:uid="{00000000-0006-0000-3700-000004000000}">
      <text>
        <r>
          <rPr>
            <sz val="9"/>
            <color indexed="81"/>
            <rFont val="Tahoma"/>
            <family val="2"/>
          </rPr>
          <t>Estimación: tasa de cambio del  IPC-NACIONAL (INDEC) + 0,03% de factor de corrección. Diferencia media entre IPC e IPIM durante 2014.03-2015.10</t>
        </r>
      </text>
    </comment>
    <comment ref="A285" authorId="1" shapeId="0" xr:uid="{00000000-0006-0000-3700-000005000000}">
      <text>
        <r>
          <rPr>
            <sz val="9"/>
            <color indexed="81"/>
            <rFont val="Tahoma"/>
            <family val="2"/>
          </rPr>
          <t>Estimación: tasa de cambio del  IPC-NACIONAL (INDEC) + 0,03% de factor de corrección. Diferencia media entre IPC e IPIM durante 2014.03-2015.10</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pcohan</author>
  </authors>
  <commentList>
    <comment ref="D5" authorId="0" shapeId="0" xr:uid="{00000000-0006-0000-3900-000001000000}">
      <text>
        <r>
          <rPr>
            <b/>
            <sz val="8"/>
            <color indexed="81"/>
            <rFont val="Tahoma"/>
            <family val="2"/>
          </rPr>
          <t>Referencia: Pergamino, Rojas, Colón (Bs. As.)</t>
        </r>
      </text>
    </comment>
    <comment ref="F5" authorId="0" shapeId="0" xr:uid="{00000000-0006-0000-3900-000002000000}">
      <text>
        <r>
          <rPr>
            <b/>
            <sz val="8"/>
            <color indexed="81"/>
            <rFont val="Tahoma"/>
            <family val="2"/>
          </rPr>
          <t>Referencia: Tres Arroyos, Necochea, Lobería (Bs. As.)</t>
        </r>
      </text>
    </comment>
    <comment ref="I5" authorId="0" shapeId="0" xr:uid="{00000000-0006-0000-3900-000003000000}">
      <text>
        <r>
          <rPr>
            <b/>
            <sz val="8"/>
            <color indexed="81"/>
            <rFont val="Tahoma"/>
            <family val="2"/>
          </rPr>
          <t>Referencia: Partidos de Trenque Lauquen, Rivadavia, Villegas (Bs. As.)</t>
        </r>
      </text>
    </comment>
    <comment ref="K5" authorId="0" shapeId="0" xr:uid="{00000000-0006-0000-3900-000004000000}">
      <text>
        <r>
          <rPr>
            <b/>
            <sz val="8"/>
            <color indexed="81"/>
            <rFont val="Tahoma"/>
            <family val="2"/>
          </rPr>
          <t>Referencia: Partidos de Ayacucho, Rauch, Las Flores (Bs. As.)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Franco Riottini</author>
    <author>Francisco Leiva</author>
  </authors>
  <commentList>
    <comment ref="K2" authorId="0" shapeId="0" xr:uid="{00000000-0006-0000-3A00-000001000000}">
      <text>
        <r>
          <rPr>
            <sz val="9"/>
            <color indexed="81"/>
            <rFont val="Tahoma"/>
            <family val="2"/>
          </rPr>
          <t>El dólar MEP (o dólar bolsa) surge a partir de la compraventa de bonos y acciones que coticen en el mercado local y en el extranjero. A diferencia del dólar CCL, la compra se realiza en pesos y estos se venden en el mercado local en su variante "D". En este sentido, la cotización es el resultado de la división de la cantidad de pesos gastados en la compra de los bonos o acciones, por los dólares recibidos al venderlos.</t>
        </r>
      </text>
    </comment>
    <comment ref="L2" authorId="0" shapeId="0" xr:uid="{00000000-0006-0000-3A00-000002000000}">
      <text>
        <r>
          <rPr>
            <sz val="9"/>
            <color indexed="81"/>
            <rFont val="Tahoma"/>
            <family val="2"/>
          </rPr>
          <t>El dólar CCL (contado con liquidación) surge a partir de la compraventa de bonos y acciones que coticen en el mercado local y en el extranjero. A diferencia del dólar MEP, la compra se realiza en pesos y estos se venden en el mercado local en su variante "C", y estas especies liquidan luego en cuentas de EE. UU. En este sentido, la cotización es el resultado de la división de la cantidad de pesos gastados en la compra de los bonos o acciones, por los dólares recibidos al venderlos. El plazo de permanencia (parking) es de dos días hábiles. Y entre las restricciones existentes para obtener dólar CCL, si se utilizó el cupo mensual de los US$200 para obtener dólar turista, no se puede operar en dólar CCL sin que hayan transcurrido 90 días, y viceversa.</t>
        </r>
      </text>
    </comment>
    <comment ref="B5" authorId="1" shapeId="0" xr:uid="{00000000-0006-0000-3A00-000003000000}">
      <text>
        <r>
          <rPr>
            <sz val="9"/>
            <color indexed="81"/>
            <rFont val="Tahoma"/>
            <family val="2"/>
          </rPr>
          <t>No es necesario copiar toda la serie dado que no se ha visto que se modifiquen los datos hacia atrás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G3" authorId="0" shapeId="0" xr:uid="{00000000-0006-0000-3B00-000001000000}">
      <text>
        <r>
          <rPr>
            <b/>
            <sz val="9"/>
            <color indexed="81"/>
            <rFont val="Tahoma"/>
            <family val="2"/>
          </rPr>
          <t>Resultados del Relevamiento de Expectativas de Mercado (REM)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K2" authorId="0" shapeId="0" xr:uid="{00000000-0006-0000-0900-000001000000}">
      <text>
        <r>
          <rPr>
            <sz val="9"/>
            <color indexed="81"/>
            <rFont val="Tahoma"/>
            <family val="2"/>
          </rPr>
          <t>Refiere a las expectativas y/o decisiones planificadas o por planificar por parte de la empresa, respecto de la evolución neta de la dotación de las firmas para los siguientes tres meses al mes del relevamiento.</t>
        </r>
      </text>
    </comment>
    <comment ref="O2" authorId="0" shapeId="0" xr:uid="{00000000-0006-0000-0900-000002000000}">
      <text>
        <r>
          <rPr>
            <sz val="9"/>
            <color indexed="81"/>
            <rFont val="Tahoma"/>
            <family val="2"/>
          </rPr>
          <t>Refiere a las expectativas y/o decisiones planificadas o por planificar por parte de la empresa, respecto de la evolución neta de la dotación de las firmas para los siguientes tres meses al mes del relevamiento.</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5" authorId="0" shapeId="0" xr:uid="{00000000-0006-0000-3D00-000001000000}">
      <text>
        <r>
          <rPr>
            <b/>
            <sz val="9"/>
            <color indexed="81"/>
            <rFont val="Tahoma"/>
            <family val="2"/>
          </rPr>
          <t>total país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Mercedes Buich</author>
  </authors>
  <commentList>
    <comment ref="M5" authorId="0" shapeId="0" xr:uid="{4AE183F7-2305-4845-B3E3-604A7D2C7048}">
      <text>
        <r>
          <rPr>
            <sz val="9"/>
            <color indexed="81"/>
            <rFont val="Tahoma"/>
            <family val="2"/>
          </rPr>
          <t>- Comercio al por mayor y al por menor; reparación.
- Servicios de alojamiento y servicios de comida.</t>
        </r>
      </text>
    </comment>
    <comment ref="N5" authorId="0" shapeId="0" xr:uid="{6797999D-2644-41ED-A69F-84CC406E306F}">
      <text>
        <r>
          <rPr>
            <sz val="9"/>
            <color indexed="81"/>
            <rFont val="Tahoma"/>
            <family val="2"/>
          </rPr>
          <t>- Servicio de transporte y almacenamiento.
- Información y comunicaciones.</t>
        </r>
      </text>
    </comment>
    <comment ref="O5" authorId="0" shapeId="0" xr:uid="{5A814CBD-423F-4A48-A53F-0FC592BCA6BD}">
      <text>
        <r>
          <rPr>
            <sz val="9"/>
            <color indexed="81"/>
            <rFont val="Tahoma"/>
            <family val="2"/>
          </rPr>
          <t>- Intermediación financiera y servicios de seguros.
- Servicios inmobiliarios.</t>
        </r>
      </text>
    </comment>
    <comment ref="P5" authorId="0" shapeId="0" xr:uid="{606C3833-1E2D-4EAF-B4E0-6DA56427D018}">
      <text>
        <r>
          <rPr>
            <sz val="9"/>
            <color indexed="81"/>
            <rFont val="Tahoma"/>
            <family val="2"/>
          </rPr>
          <t>- Suministro de agua, cloacas, gestión de residuos.
- Servicios profesionales, científicos y técnicos.
- Actividades administrativas y servicios de apoyo.
- Administración publica, defensa y seguridad social.
- Enseñanza.
- Salud humana y servicios sociales.
- Servicios artísticos, culturales, deportivos y de esparcimiento. 
- Servicios de asociaciones y servicios personales.
- Servicios de organizaciones y órganos extraterritoriales.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Florencia Camusso</author>
    <author>Franco Riottini</author>
    <author>Pedro Pablo Cohan</author>
    <author>pcohan</author>
  </authors>
  <commentList>
    <comment ref="E2" authorId="0" shapeId="0" xr:uid="{00000000-0006-0000-0B00-000001000000}">
      <text>
        <r>
          <rPr>
            <sz val="9"/>
            <color indexed="81"/>
            <rFont val="Tahoma"/>
            <family val="2"/>
          </rPr>
          <t>Valores acumulados desde enero a diciembre. Los datos provienen del informe denominado Análisis de las finanzas provinciales.</t>
        </r>
      </text>
    </comment>
    <comment ref="F2" authorId="1" shapeId="0" xr:uid="{00000000-0006-0000-0B00-000002000000}">
      <text>
        <r>
          <rPr>
            <sz val="9"/>
            <color indexed="81"/>
            <rFont val="Tahoma"/>
            <family val="2"/>
          </rPr>
          <t>No incluye asalariados del sector publico, ni asalariados de casas particulares, tampoco monostributistas ni autonomos</t>
        </r>
      </text>
    </comment>
    <comment ref="G2" authorId="2" shapeId="0" xr:uid="{00000000-0006-0000-0B00-000003000000}">
      <text>
        <r>
          <rPr>
            <sz val="9"/>
            <color indexed="81"/>
            <rFont val="Tahoma"/>
            <family val="2"/>
          </rPr>
          <t>1. Son puestos y no cantidad de personas en actividad
2. Incluye puestos de todas las jurisdicciones (niveles de gobierno)</t>
        </r>
      </text>
    </comment>
    <comment ref="E5" authorId="0" shapeId="0" xr:uid="{00000000-0006-0000-0B00-000004000000}">
      <text>
        <r>
          <rPr>
            <sz val="9"/>
            <color indexed="81"/>
            <rFont val="Tahoma"/>
            <family val="2"/>
          </rPr>
          <t>Incluye egresos destinados a pagos de: Emergencia Salud y Promoción Comunitaria / Desarrollo Social / Reemplazos docentes y no docentes.
Datos sacados del Informe: Análisis de las Finanzas Provinciales.</t>
        </r>
      </text>
    </comment>
    <comment ref="E10" authorId="3" shapeId="0" xr:uid="{00000000-0006-0000-0B00-000005000000}">
      <text>
        <r>
          <rPr>
            <sz val="8"/>
            <color indexed="81"/>
            <rFont val="Tahoma"/>
            <family val="2"/>
          </rPr>
          <t xml:space="preserve">Estimados utilizando los valores publicados para diciembre de cada año desde 1994 a 2001 en el Presupuesto Provincial y los pesos estacionales de la serie publicada de 2001 en adelante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Franco Riottini</author>
    <author>Florencia Camusso</author>
  </authors>
  <commentList>
    <comment ref="F3" authorId="0" shapeId="0" xr:uid="{00000000-0006-0000-0C00-000001000000}">
      <text>
        <r>
          <rPr>
            <sz val="9"/>
            <color indexed="81"/>
            <rFont val="Tahoma"/>
            <family val="2"/>
          </rPr>
          <t>Informes trimestrales de recaudación.Ver cuadros del anexo estadistico</t>
        </r>
      </text>
    </comment>
    <comment ref="H3" authorId="1" shapeId="0" xr:uid="{00000000-0006-0000-0C00-000002000000}">
      <text>
        <r>
          <rPr>
            <sz val="9"/>
            <color indexed="81"/>
            <rFont val="Tahoma"/>
            <family val="2"/>
          </rPr>
          <t>Sobre la base de registros administrativos de los sistemas de la seguridad social (AFIP).</t>
        </r>
      </text>
    </comment>
    <comment ref="B5" authorId="0" shapeId="0" xr:uid="{00000000-0006-0000-0C00-000003000000}">
      <text>
        <r>
          <rPr>
            <sz val="9"/>
            <color indexed="81"/>
            <rFont val="Tahoma"/>
            <family val="2"/>
          </rPr>
          <t xml:space="preserve">La asignación corresponde al lugar en el cual desarrolla su tarea el individuo informado. Los datos fueron relevados de los formularios ingresados en el mes de vencimiento de la obligación. Al no incluir a los empleados informados con posterioridad al mes de vencimiento de la obligación, las cantidades
pueden presentar diferencias con sistemas administrativos de registración abiertos en el tiempo.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Florencia Camusso</author>
  </authors>
  <commentList>
    <comment ref="H3" authorId="0" shapeId="0" xr:uid="{00000000-0006-0000-0F00-000001000000}">
      <text>
        <r>
          <rPr>
            <sz val="9"/>
            <color indexed="81"/>
            <rFont val="Tahoma"/>
            <family val="2"/>
          </rPr>
          <t xml:space="preserve">Sobre la base de registros administrativos de los sistemas de la seguridad social (AFIP).
</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D5" authorId="0" shapeId="0" xr:uid="{00000000-0006-0000-1000-000001000000}">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 ref="E5" authorId="0" shapeId="0" xr:uid="{00000000-0006-0000-1000-000002000000}">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Florencia Camusso</author>
    <author>pcohan</author>
  </authors>
  <commentList>
    <comment ref="G3" authorId="0" shapeId="0" xr:uid="{F388F10B-40B3-4ACE-A12E-191A984234E5}">
      <text>
        <r>
          <rPr>
            <sz val="9"/>
            <color indexed="81"/>
            <rFont val="Tahoma"/>
            <family val="2"/>
          </rPr>
          <t xml:space="preserve">EPH continua y empalmes con la EPH puntual.
</t>
        </r>
        <r>
          <rPr>
            <u/>
            <sz val="9"/>
            <color indexed="81"/>
            <rFont val="Tahoma"/>
            <family val="2"/>
          </rPr>
          <t>Período 2003.1 a 2015.3</t>
        </r>
        <r>
          <rPr>
            <sz val="9"/>
            <color indexed="81"/>
            <rFont val="Tahoma"/>
            <family val="2"/>
          </rPr>
          <t xml:space="preserve">: Se utiliza la reconstrucción publicada por IPEC. 
</t>
        </r>
      </text>
    </comment>
    <comment ref="M3" authorId="0" shapeId="0" xr:uid="{AB8F00B4-A3A4-45C7-AC24-DCAE4E8A010A}">
      <text>
        <r>
          <rPr>
            <sz val="9"/>
            <color indexed="81"/>
            <rFont val="Tahoma"/>
            <family val="2"/>
          </rPr>
          <t xml:space="preserve">EPH continua y empalmes con la EPH puntual.
</t>
        </r>
        <r>
          <rPr>
            <u/>
            <sz val="9"/>
            <color indexed="81"/>
            <rFont val="Tahoma"/>
            <family val="2"/>
          </rPr>
          <t>Período 2006.3 a 2015.3</t>
        </r>
        <r>
          <rPr>
            <sz val="9"/>
            <color indexed="81"/>
            <rFont val="Tahoma"/>
            <family val="2"/>
          </rPr>
          <t>: Se utiliza la reconstrucción publicada por IPEC.</t>
        </r>
      </text>
    </comment>
    <comment ref="S3" authorId="0" shapeId="0" xr:uid="{6FE892B7-00E6-4ACA-977F-5CA1C2B5A446}">
      <text>
        <r>
          <rPr>
            <sz val="9"/>
            <color indexed="81"/>
            <rFont val="Tahoma"/>
            <family val="2"/>
          </rPr>
          <t>EPH continua y empalmes con la EPH puntual.</t>
        </r>
      </text>
    </comment>
    <comment ref="Y3" authorId="0" shapeId="0" xr:uid="{9B67E778-07C6-4C7F-9666-74BDEF70DF41}">
      <text>
        <r>
          <rPr>
            <sz val="9"/>
            <color indexed="81"/>
            <rFont val="Tahoma"/>
            <family val="2"/>
          </rPr>
          <t>EPH continua y empalmes con la EPH puntual.</t>
        </r>
      </text>
    </comment>
    <comment ref="A28" authorId="1" shapeId="0" xr:uid="{9B3B0BC8-37FB-4FD7-A2A0-387AFAFA99C9}">
      <text>
        <r>
          <rPr>
            <b/>
            <sz val="8"/>
            <color indexed="81"/>
            <rFont val="Tahoma"/>
            <family val="2"/>
          </rPr>
          <t>Comienza la EPH Contínua</t>
        </r>
      </text>
    </comment>
    <comment ref="H29" authorId="1" shapeId="0" xr:uid="{EB746901-3A6B-4B0A-B9C6-1CA9E9C464A8}">
      <text>
        <r>
          <rPr>
            <b/>
            <sz val="8"/>
            <color indexed="81"/>
            <rFont val="Tahoma"/>
            <family val="2"/>
          </rPr>
          <t>Se postergó por inundaciones...</t>
        </r>
      </text>
    </comment>
  </commentList>
</comments>
</file>

<file path=xl/sharedStrings.xml><?xml version="1.0" encoding="utf-8"?>
<sst xmlns="http://schemas.openxmlformats.org/spreadsheetml/2006/main" count="3018" uniqueCount="1674">
  <si>
    <t>Ventas por operación</t>
  </si>
  <si>
    <t>Pesos corrientes / Operación</t>
  </si>
  <si>
    <t>GAS Total Entregado</t>
  </si>
  <si>
    <t>GAS Residencial</t>
  </si>
  <si>
    <t>GAS Comercial</t>
  </si>
  <si>
    <t>GAS Centrales Eléctricas</t>
  </si>
  <si>
    <t>GAS Industrial</t>
  </si>
  <si>
    <t>Servicio SGP</t>
  </si>
  <si>
    <t>Servicio SGG</t>
  </si>
  <si>
    <t>Servicios ID+IT+FD+FT</t>
  </si>
  <si>
    <t>Patentamientos</t>
  </si>
  <si>
    <t>Transferencias</t>
  </si>
  <si>
    <t>Total</t>
  </si>
  <si>
    <t>5.1.12</t>
  </si>
  <si>
    <t>5.1.13</t>
  </si>
  <si>
    <t>ROS-DES</t>
  </si>
  <si>
    <t>ROS-SUB</t>
  </si>
  <si>
    <t>Tasa de Subocupación Demandante</t>
  </si>
  <si>
    <t>Tasa de Subocupación No Demandante</t>
  </si>
  <si>
    <t>Tasa de Subocupación</t>
  </si>
  <si>
    <t>GSFE-ACT</t>
  </si>
  <si>
    <t>GSFE-EMP</t>
  </si>
  <si>
    <t>GSFE-DES</t>
  </si>
  <si>
    <t>GSFE-SUBD</t>
  </si>
  <si>
    <t>GSFE-SUBN</t>
  </si>
  <si>
    <t>GSFE-SUB</t>
  </si>
  <si>
    <t>Mercado de Trabajo: Principales Indicadores Región SANTA FE
Integrada por Gran Santa Fe y Rosario</t>
  </si>
  <si>
    <t>Aglomerado:
GRAN SANTA FE</t>
  </si>
  <si>
    <t>Aglomerado: 
GRAN ROSARIO</t>
  </si>
  <si>
    <t>ROS-Total</t>
  </si>
  <si>
    <t>ROS-PEA</t>
  </si>
  <si>
    <t>ROS-POC</t>
  </si>
  <si>
    <t>SFE-Total</t>
  </si>
  <si>
    <t>SFE-PEA</t>
  </si>
  <si>
    <t>SFE-POC</t>
  </si>
  <si>
    <t>SFE-DES</t>
  </si>
  <si>
    <t>SFE-SUB</t>
  </si>
  <si>
    <t>PSF-Total</t>
  </si>
  <si>
    <t>PSF-PEA</t>
  </si>
  <si>
    <t>PSF-POC</t>
  </si>
  <si>
    <t>PSF-DES</t>
  </si>
  <si>
    <t>PSF-SUB</t>
  </si>
  <si>
    <t>Nivel General</t>
  </si>
  <si>
    <t>Habitantes</t>
  </si>
  <si>
    <t>Pobres</t>
  </si>
  <si>
    <t>Indigentes</t>
  </si>
  <si>
    <t>4.6. Transferencias de inmuebles y estadísticas afines</t>
  </si>
  <si>
    <t>IPIM - Productos Nacionales</t>
  </si>
  <si>
    <t>IPIB - Productos Nacionales</t>
  </si>
  <si>
    <t>SFE-ACT</t>
  </si>
  <si>
    <t>SFE-EMP</t>
  </si>
  <si>
    <t>SFE-SUBD</t>
  </si>
  <si>
    <t>SFE-SUBN</t>
  </si>
  <si>
    <t>Cosechadoras</t>
  </si>
  <si>
    <t>Tractores</t>
  </si>
  <si>
    <t>Casilda</t>
  </si>
  <si>
    <t>Ciudad de Santa Fe</t>
  </si>
  <si>
    <t>Esperanza</t>
  </si>
  <si>
    <t>Rafaela</t>
  </si>
  <si>
    <t>Reconquista</t>
  </si>
  <si>
    <t>Santo Tomé</t>
  </si>
  <si>
    <t>Sunchales</t>
  </si>
  <si>
    <t>%</t>
  </si>
  <si>
    <t>Venado Tuerto</t>
  </si>
  <si>
    <t>Villa Constitución</t>
  </si>
  <si>
    <t>Cabezas</t>
  </si>
  <si>
    <t>Girasol</t>
  </si>
  <si>
    <t>Lino</t>
  </si>
  <si>
    <t>Soja</t>
  </si>
  <si>
    <t>Indice General de Actividad (IGA) de Argentina.</t>
  </si>
  <si>
    <t>Desestacionalizada con cambio de base</t>
  </si>
  <si>
    <t>Provincia de Santa Fe</t>
  </si>
  <si>
    <t>Toneladas</t>
  </si>
  <si>
    <t>Otros</t>
  </si>
  <si>
    <t xml:space="preserve"> </t>
  </si>
  <si>
    <t xml:space="preserve">Índ. de Precios al Consumidor en la Provincia de Santa Fe </t>
  </si>
  <si>
    <t>Control</t>
  </si>
  <si>
    <t>SFE-IPC</t>
  </si>
  <si>
    <t>IPC Nivel General (IPEC)</t>
  </si>
  <si>
    <t>Trigo</t>
  </si>
  <si>
    <t>tn</t>
  </si>
  <si>
    <t>Rosario</t>
  </si>
  <si>
    <t xml:space="preserve">Precio del litro de leche abonada al productor </t>
  </si>
  <si>
    <t>Precio por litro</t>
  </si>
  <si>
    <t>A</t>
  </si>
  <si>
    <t>B</t>
  </si>
  <si>
    <t>C</t>
  </si>
  <si>
    <t>D</t>
  </si>
  <si>
    <t>E</t>
  </si>
  <si>
    <t>F</t>
  </si>
  <si>
    <t>G</t>
  </si>
  <si>
    <t>H</t>
  </si>
  <si>
    <t>I</t>
  </si>
  <si>
    <t>Productores de Bienes</t>
  </si>
  <si>
    <t>Pesca</t>
  </si>
  <si>
    <t>Industria manufacturera</t>
  </si>
  <si>
    <t>Electricidad, gas y agua</t>
  </si>
  <si>
    <t>Construcciones</t>
  </si>
  <si>
    <t>Comercio</t>
  </si>
  <si>
    <t>Restaurantes y hoteles</t>
  </si>
  <si>
    <t>Transporte, almacenamiento y comunicaciones</t>
  </si>
  <si>
    <t>Intermediación financiera</t>
  </si>
  <si>
    <t>Servicios inmobiliarios, empresariales y de alquiler</t>
  </si>
  <si>
    <t>Administración pública y Seguridad Social</t>
  </si>
  <si>
    <t>Enseñanza</t>
  </si>
  <si>
    <t>Servicios sociales y de salud</t>
  </si>
  <si>
    <t>Servicios comunitarios, sociales y personales</t>
  </si>
  <si>
    <t>Servicio doméstico</t>
  </si>
  <si>
    <t>J</t>
  </si>
  <si>
    <t>K</t>
  </si>
  <si>
    <t>L</t>
  </si>
  <si>
    <t>M</t>
  </si>
  <si>
    <t>N</t>
  </si>
  <si>
    <t xml:space="preserve">O </t>
  </si>
  <si>
    <t>P</t>
  </si>
  <si>
    <t>Productores de Servicios</t>
  </si>
  <si>
    <t>Precios</t>
  </si>
  <si>
    <t>Impuesto al Valor Agregado (IVA)</t>
  </si>
  <si>
    <t>Toneladas de cereales exportadas por puertos de todo el país (total Argentina)</t>
  </si>
  <si>
    <t>Índice Base abril 2008=100</t>
  </si>
  <si>
    <t>Disponibilidades</t>
  </si>
  <si>
    <t>Email: ces@bolcomsf.com.ar</t>
  </si>
  <si>
    <t>Población según condición de pobreza e indigencia</t>
  </si>
  <si>
    <t>Aglomerado:
TOTAL PAÍS</t>
  </si>
  <si>
    <t>Mercado de Trabajo: Principales Indicadores Total de Aglomerados</t>
  </si>
  <si>
    <t>Provincia de Santa Fe (total = granel + bolsas)</t>
  </si>
  <si>
    <t>Provincia de Santa Fe. Consumo a granel.</t>
  </si>
  <si>
    <t>Provincia de Santa Fe. Consumo en bolsa.</t>
  </si>
  <si>
    <t>3.4.8</t>
  </si>
  <si>
    <t>3.4.13</t>
  </si>
  <si>
    <t>3.4.14</t>
  </si>
  <si>
    <t>mayo.01</t>
  </si>
  <si>
    <t>mayo.94</t>
  </si>
  <si>
    <t>mayo.95</t>
  </si>
  <si>
    <t>mayo.96</t>
  </si>
  <si>
    <t>mayo.97</t>
  </si>
  <si>
    <t>mayo.98</t>
  </si>
  <si>
    <t>mayo.99</t>
  </si>
  <si>
    <t>mayo.00</t>
  </si>
  <si>
    <t>mayo.02</t>
  </si>
  <si>
    <t>octubre.02</t>
  </si>
  <si>
    <t>octubre.94</t>
  </si>
  <si>
    <t>IERIC en base a datos de OSPECON y Seguro de Vida Obligatorio (SIJyP)</t>
  </si>
  <si>
    <t>Puestos de trabajo registrados en el sector construcción (consolidado)</t>
  </si>
  <si>
    <t>3.4.9</t>
  </si>
  <si>
    <t>3.4.10</t>
  </si>
  <si>
    <t>Salario promedio mensual de los trabajadores registrados en el sector construcción (consolidado)</t>
  </si>
  <si>
    <t>3.4.11</t>
  </si>
  <si>
    <t>3.4.12</t>
  </si>
  <si>
    <t>octubre.95</t>
  </si>
  <si>
    <t>octubre.96</t>
  </si>
  <si>
    <t>octubre.97</t>
  </si>
  <si>
    <t>octubre.98</t>
  </si>
  <si>
    <t>octubre.99</t>
  </si>
  <si>
    <t>octubre.00</t>
  </si>
  <si>
    <t>octubre.01</t>
  </si>
  <si>
    <t>Hogares según condición de pobreza e indigencia</t>
  </si>
  <si>
    <t>Exportaciones Argentina</t>
  </si>
  <si>
    <t>Importaciones Argentinas</t>
  </si>
  <si>
    <t>Millones de dólares</t>
  </si>
  <si>
    <t>SFE-ALI</t>
  </si>
  <si>
    <t>Bebidas</t>
  </si>
  <si>
    <t>Almacén</t>
  </si>
  <si>
    <t xml:space="preserve">Panadería </t>
  </si>
  <si>
    <t>Lácteos</t>
  </si>
  <si>
    <t>Carnes</t>
  </si>
  <si>
    <t>Alimentos preparados y rotisería</t>
  </si>
  <si>
    <t>Artículos de limpieza y perfumería</t>
  </si>
  <si>
    <t>Indumentaria, calzado y textiles para el hogar</t>
  </si>
  <si>
    <t>Electrónicos y artículos para el hogar</t>
  </si>
  <si>
    <t>Nº de ejemplares</t>
  </si>
  <si>
    <t>GROS-ACT</t>
  </si>
  <si>
    <t>GROS-EMP</t>
  </si>
  <si>
    <t>GROS-DES</t>
  </si>
  <si>
    <t>GROS-SUBD</t>
  </si>
  <si>
    <t>GROS-SUBN</t>
  </si>
  <si>
    <t>GROS-SUB</t>
  </si>
  <si>
    <t>ARG-ACT</t>
  </si>
  <si>
    <t>ARG-EMP</t>
  </si>
  <si>
    <t>ARG-DES</t>
  </si>
  <si>
    <t>ARG-SUBD</t>
  </si>
  <si>
    <t>ARG-SUBN</t>
  </si>
  <si>
    <t>ARG-SUB</t>
  </si>
  <si>
    <t>ARG-Total</t>
  </si>
  <si>
    <t>ARG-PEA</t>
  </si>
  <si>
    <t>ARG-POC</t>
  </si>
  <si>
    <t>Centro de Estudios y Servicios - Bolsa de Comercio de Santa Fe -</t>
  </si>
  <si>
    <t>BASE DE DATOS ESTADÍSTICOS DE LA PROVINCIA DE SANTA FE</t>
  </si>
  <si>
    <t>Mensual</t>
  </si>
  <si>
    <t>Anual</t>
  </si>
  <si>
    <t>Trimestral</t>
  </si>
  <si>
    <t>2.3. PEA, empleo, desocupación y subocupación (EPH)</t>
  </si>
  <si>
    <t>2.4. Tasas de actividad, empleo, desocupación y subempleo (EPH)</t>
  </si>
  <si>
    <t>3.3. Faena bovina y porcina</t>
  </si>
  <si>
    <t>3.6. Patentamientos, transferencias y producción vehicular</t>
  </si>
  <si>
    <t>Actividad económica y valor agregado</t>
  </si>
  <si>
    <t>Población y mercado laboral</t>
  </si>
  <si>
    <t>Indicadores del sector primario y secundario</t>
  </si>
  <si>
    <t>Indicadores del sector terciario</t>
  </si>
  <si>
    <t>4.1. Mercado financiero bancario</t>
  </si>
  <si>
    <t>4.4. Índice de Confianza del Consumidor (ICC)</t>
  </si>
  <si>
    <t>Nº de series</t>
  </si>
  <si>
    <t>Indicadores del sector energético</t>
  </si>
  <si>
    <t>5.1. Consumo de gas</t>
  </si>
  <si>
    <t>5.3. Ventas de combustibles</t>
  </si>
  <si>
    <t>Frecuencia</t>
  </si>
  <si>
    <t>Sector externo</t>
  </si>
  <si>
    <t>2.5. Pobreza e indigencia (EPH)</t>
  </si>
  <si>
    <t>Otros indicadores</t>
  </si>
  <si>
    <t>8.1. IPC Santa Fe</t>
  </si>
  <si>
    <t>Unidad de Medida</t>
  </si>
  <si>
    <t>Fuentes</t>
  </si>
  <si>
    <t>Título</t>
  </si>
  <si>
    <t>VOLVER AL INDICE</t>
  </si>
  <si>
    <t>PBG Total</t>
  </si>
  <si>
    <t>Miles de pesos corrientes</t>
  </si>
  <si>
    <t>Consumo total de cemento Pórtland en la provincia Santa Fe</t>
  </si>
  <si>
    <t>Serie</t>
  </si>
  <si>
    <r>
      <t>M</t>
    </r>
    <r>
      <rPr>
        <vertAlign val="superscript"/>
        <sz val="8"/>
        <rFont val="Arial"/>
        <family val="2"/>
      </rPr>
      <t>3</t>
    </r>
  </si>
  <si>
    <t>Instituto Nacional de Estadísticas y Censos (INDEC)</t>
  </si>
  <si>
    <t>Fecha de inicio</t>
  </si>
  <si>
    <t>Asociación de Fabricantes de Cemento Pórtland (AFCP)</t>
  </si>
  <si>
    <t>INDEC</t>
  </si>
  <si>
    <r>
      <t>m</t>
    </r>
    <r>
      <rPr>
        <vertAlign val="superscript"/>
        <sz val="8"/>
        <rFont val="Arial"/>
        <family val="2"/>
      </rPr>
      <t>2</t>
    </r>
  </si>
  <si>
    <t>Instituto Verificador de Circulares (IVC)</t>
  </si>
  <si>
    <t>Circulación neta pagada (ventas) del Diario El Litoral</t>
  </si>
  <si>
    <t>Circulación neta pagada (ventas) del Diario La Capital</t>
  </si>
  <si>
    <t>Millones de pesos corrientes</t>
  </si>
  <si>
    <t>Miles de asalariados</t>
  </si>
  <si>
    <t>Pesos corrientes</t>
  </si>
  <si>
    <t>no se publica más</t>
  </si>
  <si>
    <t>Toneladas de cereales exportadas por puertos de la provincia de Santa Fe</t>
  </si>
  <si>
    <t>Gas entregado por tipo de usuario en la provincia de Santa Fe</t>
  </si>
  <si>
    <t>ENARGAS</t>
  </si>
  <si>
    <t>Gas entregado a grandes usuarios industriales en la provincia de Santa Fe</t>
  </si>
  <si>
    <t>Gas entregado a pequeños, medianos y grandes usuarios en la provincia de Santa Fe</t>
  </si>
  <si>
    <t>Semillas de oleaginosas para molienda en la provincia de Santa Fe</t>
  </si>
  <si>
    <t>Producción de aceites de oleaginosas en la provincia de Santa Fe</t>
  </si>
  <si>
    <t>Producción de pellets de oleaginosas en la provincia de Santa Fe</t>
  </si>
  <si>
    <t>Semillas de oleaginosas para molienda en Argentina</t>
  </si>
  <si>
    <t>Producción de expellers de oleaginosas en la provincia de Santa Fe</t>
  </si>
  <si>
    <t>Nivel general</t>
  </si>
  <si>
    <t>Alimentos y bebidas</t>
  </si>
  <si>
    <t>Equip. y mant. del hogar</t>
  </si>
  <si>
    <t>Otros bs. y serv.</t>
  </si>
  <si>
    <t>Total de series mensuales</t>
  </si>
  <si>
    <t>Total de series anuales</t>
  </si>
  <si>
    <t>Total de series trimestrales</t>
  </si>
  <si>
    <t>Instituto Provincial de Estadística y Censos, Provincia de Santa Fe</t>
  </si>
  <si>
    <t>Índice de Precios Internos Mayoristas (IPIM)</t>
  </si>
  <si>
    <t>Banco Central de la República Argentina (BCRA)</t>
  </si>
  <si>
    <t>En dólares estadounidenses</t>
  </si>
  <si>
    <t>Comisión Nacional de Valores (CNV)</t>
  </si>
  <si>
    <t>Gasto público ejecutado en la provincia de Santa Fe</t>
  </si>
  <si>
    <t>Producción láctea industrial</t>
  </si>
  <si>
    <t>Excluye empresas del sector</t>
  </si>
  <si>
    <t>Naftas Grado 1, 2 y 3.</t>
  </si>
  <si>
    <t>Nafta Grado 1 (Común)</t>
  </si>
  <si>
    <t>Aerokerosene (jet)</t>
  </si>
  <si>
    <t>Gas Oil (grados 1, 2 y 3)</t>
  </si>
  <si>
    <t>Nafta Grado 2 (Super)</t>
  </si>
  <si>
    <t>Nafta Grado 3 (Ultra)</t>
  </si>
  <si>
    <t>5.3.15</t>
  </si>
  <si>
    <t>5.3.16</t>
  </si>
  <si>
    <t>5.3.17</t>
  </si>
  <si>
    <t>Dirección Nacional de Registro de la Propiedad Automotor de Argentina (DNRPA)</t>
  </si>
  <si>
    <t>Administración Provincial de Impuestos (API)</t>
  </si>
  <si>
    <t>Administración Federal de Ingresos Públicos (AFIP)</t>
  </si>
  <si>
    <t>Recaudación de IVA. Contribuyentes con domicilio fiscal en la provincia de Santa Fe.</t>
  </si>
  <si>
    <t>Patente única sobre vehículos</t>
  </si>
  <si>
    <t>Impuesto de sellos</t>
  </si>
  <si>
    <t>GNC (Gas Natural Comprimido)</t>
  </si>
  <si>
    <t>Categorías</t>
  </si>
  <si>
    <t>Tipo de servicio tarifario</t>
  </si>
  <si>
    <t>Aportes sociales</t>
  </si>
  <si>
    <t>Ingresos brutos</t>
  </si>
  <si>
    <t>Impuesto inmobiliario</t>
  </si>
  <si>
    <t xml:space="preserve">Ventas de supermercados de la provincia Santa Fe, grandes superficies. </t>
  </si>
  <si>
    <t>Verdulería y frutería</t>
  </si>
  <si>
    <t>Ventas totales</t>
  </si>
  <si>
    <t>Nº</t>
  </si>
  <si>
    <r>
      <t>M</t>
    </r>
    <r>
      <rPr>
        <vertAlign val="superscript"/>
        <sz val="8"/>
        <rFont val="Arial"/>
        <family val="2"/>
      </rPr>
      <t>2</t>
    </r>
  </si>
  <si>
    <r>
      <t>Ventas por m</t>
    </r>
    <r>
      <rPr>
        <vertAlign val="superscript"/>
        <sz val="8"/>
        <rFont val="Arial"/>
        <family val="2"/>
      </rPr>
      <t>2</t>
    </r>
  </si>
  <si>
    <t>Exportaciones, importaciones y saldo de balanza comercial argentina</t>
  </si>
  <si>
    <t>Balanza comercial argentina</t>
  </si>
  <si>
    <t>Índice Compuesto Coincidente de Actividad Económica de la provincia de Santa Fe (ICASFe)</t>
  </si>
  <si>
    <t>Nivel</t>
  </si>
  <si>
    <t>Tasas</t>
  </si>
  <si>
    <t>Variaciones interanuales</t>
  </si>
  <si>
    <t>Instituto Provincial de Estadísticas y Censos (IPEC), CEPAL y Consejo Federal de Inversiones (CFI). La estimación de largo plazo (1884-1992) fue realizada por el CES.</t>
  </si>
  <si>
    <t>Sistema financiero bancario de la provincia de Santa Fe</t>
  </si>
  <si>
    <t>Banco Central de la Republica Argentina (BCRA)</t>
  </si>
  <si>
    <t>Sistema financiero bancario de Argentina</t>
  </si>
  <si>
    <t>Depósitos Totales</t>
  </si>
  <si>
    <t>Depósitos sector privado</t>
  </si>
  <si>
    <t>Préstamos Totales</t>
  </si>
  <si>
    <t>Depósitos sector público</t>
  </si>
  <si>
    <t>Empresas sector privado</t>
  </si>
  <si>
    <t>Mercado de trabajo: principales indicadores. Aglomerado:
GRAN ROSARIO</t>
  </si>
  <si>
    <t>EPH Poblacional. PEA, Población ocupada, desocupada y subocupada; por aglomerado.</t>
  </si>
  <si>
    <t>Total de aglomerados relevados en Argentina</t>
  </si>
  <si>
    <t>Provincia de Santa Fe: Integrada por Gran Santa Fe y Rosario</t>
  </si>
  <si>
    <t>Semestral</t>
  </si>
  <si>
    <t>Total de series semestrales</t>
  </si>
  <si>
    <t>Tasa de cambio mensual</t>
  </si>
  <si>
    <t>8.10. Expectativas inflacionarias para 12 meses</t>
  </si>
  <si>
    <t>Total Naftas</t>
  </si>
  <si>
    <t>Total Fuel Oil</t>
  </si>
  <si>
    <t>7.4.1</t>
  </si>
  <si>
    <t>7.4.2</t>
  </si>
  <si>
    <t>7.3.1</t>
  </si>
  <si>
    <t>Índice de precios de materias primas de exportación</t>
  </si>
  <si>
    <t>Expectativas de Inflación para los próximos 12 meses</t>
  </si>
  <si>
    <t>Universidad Torcuato Di Tella (UTDT)</t>
  </si>
  <si>
    <t>SDB (subdistribuidores)</t>
  </si>
  <si>
    <t xml:space="preserve"> Estimador Mensual de Actividad Económica (EMAE) en Argentina.</t>
  </si>
  <si>
    <t>Índice base 1993=100</t>
  </si>
  <si>
    <t>Índice base 1994=100</t>
  </si>
  <si>
    <t>Serie Original</t>
  </si>
  <si>
    <t>Serie desestacionalizada</t>
  </si>
  <si>
    <t>Tendencia con cambio de base</t>
  </si>
  <si>
    <t>Índice líder de actividad económica de Argentina</t>
  </si>
  <si>
    <t>3.8. Índice de Producción Industrial (IPI) - Argentina -</t>
  </si>
  <si>
    <t>Fundación de Investigaciones Económicas Latinoamericanas (FIEL)</t>
  </si>
  <si>
    <t>Pobreza</t>
  </si>
  <si>
    <t>Indigencia</t>
  </si>
  <si>
    <t>SL/SM</t>
  </si>
  <si>
    <t>Prov. Sta. Fe</t>
  </si>
  <si>
    <t>3.2. Molienda y exportaciones de oleaginosas</t>
  </si>
  <si>
    <t>Valor de la tierra agrícola y ganadera en la pradera pampeana. Valuación de la tierra libre de mejoras.</t>
  </si>
  <si>
    <t>Fuente</t>
  </si>
  <si>
    <t>Revista Márgenes Agropecuarios</t>
  </si>
  <si>
    <t>Zona maicera</t>
  </si>
  <si>
    <t>Zona triguera</t>
  </si>
  <si>
    <t>Finanzas Públicas</t>
  </si>
  <si>
    <t>7.3. Gasto público provincial</t>
  </si>
  <si>
    <t>7.4. Recaudación de IVA</t>
  </si>
  <si>
    <t>Zona de invernada</t>
  </si>
  <si>
    <t>Zona de cría</t>
  </si>
  <si>
    <t>US$ / hectárea</t>
  </si>
  <si>
    <t>ton. maíz / hectárea</t>
  </si>
  <si>
    <t>ton. soja / hectárea</t>
  </si>
  <si>
    <t>ton. trigo / hectárea</t>
  </si>
  <si>
    <t>Kg. novillo / hectárea</t>
  </si>
  <si>
    <t>Kg. ternera / hectárea</t>
  </si>
  <si>
    <t>SFE-DLIT</t>
  </si>
  <si>
    <t>SFE-DLCA</t>
  </si>
  <si>
    <t xml:space="preserve">Websites: http://ces.bcsf.com.ar o bien http://www.bcsf.com.ar </t>
  </si>
  <si>
    <t>San Martín 2231 - 3000 - Santa Fe - Argentina</t>
  </si>
  <si>
    <t>(p)</t>
  </si>
  <si>
    <t xml:space="preserve"> Índice de Precios al Consumidor de la Ciudad de Buenos Aires (IPCBA) </t>
  </si>
  <si>
    <t>Gobierno de la Ciudad de Buenos Aires</t>
  </si>
  <si>
    <t xml:space="preserve"> (p) datos provisorios sujetos a revisión</t>
  </si>
  <si>
    <t>Recaudación de IVA total en Argentina.</t>
  </si>
  <si>
    <t>Superficie cubierta autorizada para obras privadas nuevas y ampliaciones en Argentina</t>
  </si>
  <si>
    <t>3.5. Permisos de edificación y superficie cubierta autorizada</t>
  </si>
  <si>
    <t>Índice de Tipo de Cambio Real Multilateral (ITCRM)</t>
  </si>
  <si>
    <t>Entes Oficiales</t>
  </si>
  <si>
    <t>Nº de motos</t>
  </si>
  <si>
    <t>BCRA</t>
  </si>
  <si>
    <t>Pesos corrientes por dólar norteamericano</t>
  </si>
  <si>
    <t>Tipo de cambio</t>
  </si>
  <si>
    <t xml:space="preserve">Tipo de cambio de referencia </t>
  </si>
  <si>
    <t>GAS Industrial y Centrales Eléctricas</t>
  </si>
  <si>
    <t>4.5. Encuesta de Ocupación Hotelera (EOH)</t>
  </si>
  <si>
    <t>Encuesta de Ocupación Hotelera (EOH). Oferta y demanda. Santa Fe, Rosario y Rafaela.</t>
  </si>
  <si>
    <t>Plaza disponibles</t>
  </si>
  <si>
    <t>Plazas ocupadas por residentes</t>
  </si>
  <si>
    <t>Plazas ocupadas por no residentes</t>
  </si>
  <si>
    <t>Productos alimenticios y bebidas</t>
  </si>
  <si>
    <t>Productos del tabaco</t>
  </si>
  <si>
    <t>Papel y cartón</t>
  </si>
  <si>
    <t>Edición e impresión</t>
  </si>
  <si>
    <t>Sustancias y
productos químicos</t>
  </si>
  <si>
    <t>Caucho 
y 
plástico</t>
  </si>
  <si>
    <t>Minerales no metálicos</t>
  </si>
  <si>
    <t>Industrias metálicas básicas</t>
  </si>
  <si>
    <t>Metalmecánica excluida industria automotriz</t>
  </si>
  <si>
    <t xml:space="preserve">BEBIDAS </t>
  </si>
  <si>
    <t>PLASTICOS</t>
  </si>
  <si>
    <t>METALICOS</t>
  </si>
  <si>
    <t>Productos textiles</t>
  </si>
  <si>
    <t>Circulación neta pagada (ventas) del Diario Uno de Santa Fe</t>
  </si>
  <si>
    <t>Mediana nacional</t>
  </si>
  <si>
    <t>Mediana interior</t>
  </si>
  <si>
    <t>Promedio interior</t>
  </si>
  <si>
    <t>Promedio nacional</t>
  </si>
  <si>
    <t>3.1. Producción de la industria láctea y precios de referencia</t>
  </si>
  <si>
    <t>Nº de empleos privados registrados en la provincia de Santa Fe (directo)</t>
  </si>
  <si>
    <t>7.1. Recursos tributarios de origen provincial</t>
  </si>
  <si>
    <t>Nº de empresas</t>
  </si>
  <si>
    <t>Nº de empleos privados registrados en la provincia de Santa Fe</t>
  </si>
  <si>
    <t>Remuneración bruta promedio. Sector privado.</t>
  </si>
  <si>
    <t>Nº de personas</t>
  </si>
  <si>
    <t>Variaciones mensuales</t>
  </si>
  <si>
    <t>7.3.2</t>
  </si>
  <si>
    <t>Empresas del sector</t>
  </si>
  <si>
    <t>$ / USD</t>
  </si>
  <si>
    <t>Tipo de cambio nominal</t>
  </si>
  <si>
    <t>$ / USD Paralelo</t>
  </si>
  <si>
    <t>No se publican por secreto estadístico</t>
  </si>
  <si>
    <t>Cantidad de empresas constructoras, contratistas y subcontratistas en actividad (asociadas a IERIC)</t>
  </si>
  <si>
    <t>Instituto de Estadística y Registro de la Industria de la Construcción (IERIC)</t>
  </si>
  <si>
    <t xml:space="preserve">Obra Social del Personal de la Construcción (OSPECON - SIJyP) </t>
  </si>
  <si>
    <t>Puestos de trabajo registrados en el sector construcción</t>
  </si>
  <si>
    <t>Nº de puestos</t>
  </si>
  <si>
    <t>Salario promedio mensual de los trabajadores registrados en el sector construcción</t>
  </si>
  <si>
    <t>1.1.1</t>
  </si>
  <si>
    <t>1.1.2</t>
  </si>
  <si>
    <t>1.1.3</t>
  </si>
  <si>
    <t>Recaudación provincial total</t>
  </si>
  <si>
    <t>1.2.1</t>
  </si>
  <si>
    <t>CODIGO</t>
  </si>
  <si>
    <t>1.2.2</t>
  </si>
  <si>
    <t>1.2.3</t>
  </si>
  <si>
    <t>1.3.1</t>
  </si>
  <si>
    <t>1.4.1</t>
  </si>
  <si>
    <t>2.1.1</t>
  </si>
  <si>
    <t>Ministerio de Economía de la provincia de Santa Fe</t>
  </si>
  <si>
    <t>Ministerio de agricultura, ganadería y pesca (MINAGRI) en base a información de elevadores de terminales portuarias.</t>
  </si>
  <si>
    <t>2.2.1</t>
  </si>
  <si>
    <t>2.2.2</t>
  </si>
  <si>
    <t>2.2.3</t>
  </si>
  <si>
    <t>2.2.4</t>
  </si>
  <si>
    <t>2.2.a.1</t>
  </si>
  <si>
    <t>2.2.a.2</t>
  </si>
  <si>
    <t>2.2.a.3</t>
  </si>
  <si>
    <t>2.2.a.4</t>
  </si>
  <si>
    <t>2.2.a.5</t>
  </si>
  <si>
    <t>2.2.a.6</t>
  </si>
  <si>
    <t>2.3.1</t>
  </si>
  <si>
    <t>2.3.2</t>
  </si>
  <si>
    <t>2.3.3</t>
  </si>
  <si>
    <t>2.3.4</t>
  </si>
  <si>
    <t>2.3.5</t>
  </si>
  <si>
    <t>2.3.6</t>
  </si>
  <si>
    <t>2.3.7</t>
  </si>
  <si>
    <t>2.3.8</t>
  </si>
  <si>
    <t>2.3.9</t>
  </si>
  <si>
    <t>2.3.10</t>
  </si>
  <si>
    <t>2.3.11</t>
  </si>
  <si>
    <t>2.3.12</t>
  </si>
  <si>
    <t>2.3.13</t>
  </si>
  <si>
    <t>2.3.14</t>
  </si>
  <si>
    <t>2.3.15</t>
  </si>
  <si>
    <t>2.3.16</t>
  </si>
  <si>
    <t>2.3.17</t>
  </si>
  <si>
    <t>2.3.18</t>
  </si>
  <si>
    <t>2.3.19</t>
  </si>
  <si>
    <t>2.3.20</t>
  </si>
  <si>
    <t>2.4.1</t>
  </si>
  <si>
    <t>2.4.2</t>
  </si>
  <si>
    <t>2.4.3</t>
  </si>
  <si>
    <t>2.4.4</t>
  </si>
  <si>
    <t>2.4.5</t>
  </si>
  <si>
    <t>2.4.6</t>
  </si>
  <si>
    <t>2.4.7</t>
  </si>
  <si>
    <t>Dólares por tonelada (último precio disponible del mes: valor promedio)</t>
  </si>
  <si>
    <t>Precio internacional de leche entera en polvo con 26% de contenido graso (Oceanía)</t>
  </si>
  <si>
    <t>2.4.8</t>
  </si>
  <si>
    <t>2.4.9</t>
  </si>
  <si>
    <t>Exportaciones nacionales.</t>
  </si>
  <si>
    <t>Instituto Nacional de Estadísticas y Censos (INDEC).</t>
  </si>
  <si>
    <t>2.4.10</t>
  </si>
  <si>
    <t>2.4.11</t>
  </si>
  <si>
    <t>2.4.12</t>
  </si>
  <si>
    <t>2.4.13</t>
  </si>
  <si>
    <t>2.4.14</t>
  </si>
  <si>
    <t>2.4.15</t>
  </si>
  <si>
    <t>2.4.16</t>
  </si>
  <si>
    <t>2.4.17</t>
  </si>
  <si>
    <t>2.4.18</t>
  </si>
  <si>
    <t>2.4.19</t>
  </si>
  <si>
    <t>2.4.20</t>
  </si>
  <si>
    <t>Algodón</t>
  </si>
  <si>
    <t>3.2.24</t>
  </si>
  <si>
    <t>3.2.25</t>
  </si>
  <si>
    <t>3.2.26</t>
  </si>
  <si>
    <t>3.2.27</t>
  </si>
  <si>
    <t>3.2.28</t>
  </si>
  <si>
    <t>2.4.21</t>
  </si>
  <si>
    <t>2.4.22</t>
  </si>
  <si>
    <t>2.4.23</t>
  </si>
  <si>
    <t>2.4.24</t>
  </si>
  <si>
    <t>2.5.1</t>
  </si>
  <si>
    <t>2.5.2</t>
  </si>
  <si>
    <t>2.5.3</t>
  </si>
  <si>
    <t>2.5.4</t>
  </si>
  <si>
    <t>2.5.5</t>
  </si>
  <si>
    <t>2.5.6</t>
  </si>
  <si>
    <t>2.5.7</t>
  </si>
  <si>
    <t>2.5.8</t>
  </si>
  <si>
    <t>2.5.9</t>
  </si>
  <si>
    <t>2.5.10</t>
  </si>
  <si>
    <t>2.5.11</t>
  </si>
  <si>
    <t>2.5.12</t>
  </si>
  <si>
    <t>2.5.13</t>
  </si>
  <si>
    <t>2.5.14</t>
  </si>
  <si>
    <t>2.5.15</t>
  </si>
  <si>
    <t>2.5.16</t>
  </si>
  <si>
    <t>2.5.17</t>
  </si>
  <si>
    <t>2.5.18</t>
  </si>
  <si>
    <t>2.5.19</t>
  </si>
  <si>
    <t>2.5.20</t>
  </si>
  <si>
    <t>2.5.21</t>
  </si>
  <si>
    <t>3.1.1</t>
  </si>
  <si>
    <t>3.1.2</t>
  </si>
  <si>
    <t>3.2.1</t>
  </si>
  <si>
    <t>3.2.2</t>
  </si>
  <si>
    <t>3.2.3</t>
  </si>
  <si>
    <t>3.2.4</t>
  </si>
  <si>
    <t>3.2.5</t>
  </si>
  <si>
    <t>U$S</t>
  </si>
  <si>
    <t>3.1.3</t>
  </si>
  <si>
    <t>3.2.6</t>
  </si>
  <si>
    <t>3.2.7</t>
  </si>
  <si>
    <t>3.2.8</t>
  </si>
  <si>
    <t>3.2.9</t>
  </si>
  <si>
    <t>3.2.10</t>
  </si>
  <si>
    <t>3.2.11</t>
  </si>
  <si>
    <t>3.2.12</t>
  </si>
  <si>
    <t>3.2.13</t>
  </si>
  <si>
    <t>3.2.14</t>
  </si>
  <si>
    <t>3.2.15</t>
  </si>
  <si>
    <t>3.2.16</t>
  </si>
  <si>
    <t>3.2.17</t>
  </si>
  <si>
    <t>3.2.18</t>
  </si>
  <si>
    <t>3.2.19</t>
  </si>
  <si>
    <t>3.2.20</t>
  </si>
  <si>
    <t>3.2.21</t>
  </si>
  <si>
    <t>3.2.22</t>
  </si>
  <si>
    <t>3.2.23</t>
  </si>
  <si>
    <t>3.3.1</t>
  </si>
  <si>
    <t>3.3.2</t>
  </si>
  <si>
    <t>3.3.3</t>
  </si>
  <si>
    <t>3.3.4</t>
  </si>
  <si>
    <t>3.4.1</t>
  </si>
  <si>
    <t>3.4.2</t>
  </si>
  <si>
    <t>3.4.3</t>
  </si>
  <si>
    <t>3.4.4</t>
  </si>
  <si>
    <t>3.4.5</t>
  </si>
  <si>
    <t>3.4.6</t>
  </si>
  <si>
    <t>3.4.7</t>
  </si>
  <si>
    <t>3.6.1</t>
  </si>
  <si>
    <t>3.6.2</t>
  </si>
  <si>
    <t>3.6.3</t>
  </si>
  <si>
    <t>3.6.4</t>
  </si>
  <si>
    <t>3.6.5</t>
  </si>
  <si>
    <t>3.6.6</t>
  </si>
  <si>
    <t>3.6.7</t>
  </si>
  <si>
    <t>3.6.8</t>
  </si>
  <si>
    <t>3.6.9</t>
  </si>
  <si>
    <t>3.6.10</t>
  </si>
  <si>
    <t>3.6.11</t>
  </si>
  <si>
    <t>3.8.1</t>
  </si>
  <si>
    <t>3.8.2</t>
  </si>
  <si>
    <t>3.8.3</t>
  </si>
  <si>
    <t>3.8.4</t>
  </si>
  <si>
    <t>3.8.5</t>
  </si>
  <si>
    <t>3.8.6</t>
  </si>
  <si>
    <t>3.8.7</t>
  </si>
  <si>
    <t>3.8.8</t>
  </si>
  <si>
    <t>3.8.9</t>
  </si>
  <si>
    <t>3.8.10</t>
  </si>
  <si>
    <t>3.8.11</t>
  </si>
  <si>
    <t>3.8.12</t>
  </si>
  <si>
    <t>3.8.13</t>
  </si>
  <si>
    <t>3.8.14</t>
  </si>
  <si>
    <t>3.8.15</t>
  </si>
  <si>
    <t>3.8.16</t>
  </si>
  <si>
    <t>3.9.1</t>
  </si>
  <si>
    <t>3.9.2</t>
  </si>
  <si>
    <t>3.9.3</t>
  </si>
  <si>
    <t>3.9.4</t>
  </si>
  <si>
    <t>3.9.5</t>
  </si>
  <si>
    <t>3.9.6</t>
  </si>
  <si>
    <t>3.9.7</t>
  </si>
  <si>
    <t>3.9.8</t>
  </si>
  <si>
    <t>3.9.9</t>
  </si>
  <si>
    <t>3.9.10</t>
  </si>
  <si>
    <t>3.9.11</t>
  </si>
  <si>
    <t>3.9.12</t>
  </si>
  <si>
    <t>3.9.13</t>
  </si>
  <si>
    <t>4.1.1</t>
  </si>
  <si>
    <t>4.1.2</t>
  </si>
  <si>
    <t>4.1.3</t>
  </si>
  <si>
    <t>4.1.4</t>
  </si>
  <si>
    <t>4.1.5</t>
  </si>
  <si>
    <t>4.1.6</t>
  </si>
  <si>
    <t>4.1.7</t>
  </si>
  <si>
    <t>4.1.8</t>
  </si>
  <si>
    <t>4.1.9</t>
  </si>
  <si>
    <t>4.1.10</t>
  </si>
  <si>
    <t>4.1.11</t>
  </si>
  <si>
    <t>4.1.12</t>
  </si>
  <si>
    <t>4.1.13</t>
  </si>
  <si>
    <t>4.1.14</t>
  </si>
  <si>
    <t>4.1.15</t>
  </si>
  <si>
    <t>4.3.1</t>
  </si>
  <si>
    <t>4.3.2</t>
  </si>
  <si>
    <t>4.3.3</t>
  </si>
  <si>
    <t>4.3.4</t>
  </si>
  <si>
    <t>4.3.5</t>
  </si>
  <si>
    <t>4.3.6</t>
  </si>
  <si>
    <t>4.3.7</t>
  </si>
  <si>
    <t>4.3.8</t>
  </si>
  <si>
    <t>4.3.9</t>
  </si>
  <si>
    <t>4.3.10</t>
  </si>
  <si>
    <t>4.3.11</t>
  </si>
  <si>
    <t>4.3.12</t>
  </si>
  <si>
    <t>4.3.13</t>
  </si>
  <si>
    <t>4.3.14</t>
  </si>
  <si>
    <t>4.3.15</t>
  </si>
  <si>
    <t>4.3.16</t>
  </si>
  <si>
    <t>4.3.17</t>
  </si>
  <si>
    <t>4.3.18</t>
  </si>
  <si>
    <t>4.3.19</t>
  </si>
  <si>
    <t>4.4.1</t>
  </si>
  <si>
    <t>4.4.2</t>
  </si>
  <si>
    <t>4.4.3</t>
  </si>
  <si>
    <t>4.5.1</t>
  </si>
  <si>
    <t>4.5.2</t>
  </si>
  <si>
    <t>4.5.3</t>
  </si>
  <si>
    <t>4.5.4</t>
  </si>
  <si>
    <t>4.5.5</t>
  </si>
  <si>
    <t>4.5.6</t>
  </si>
  <si>
    <t>4.5.7</t>
  </si>
  <si>
    <t>4.5.8</t>
  </si>
  <si>
    <t>4.5.9</t>
  </si>
  <si>
    <t>5.1.1</t>
  </si>
  <si>
    <t>5.1.2</t>
  </si>
  <si>
    <t>5.1.3</t>
  </si>
  <si>
    <t>5.1.4</t>
  </si>
  <si>
    <t>5.1.5</t>
  </si>
  <si>
    <t>5.1.6</t>
  </si>
  <si>
    <t>5.1.7</t>
  </si>
  <si>
    <t>5.1.8</t>
  </si>
  <si>
    <t>5.1.9</t>
  </si>
  <si>
    <t>5.1.10</t>
  </si>
  <si>
    <t>5.1.11</t>
  </si>
  <si>
    <t>5.3.1</t>
  </si>
  <si>
    <t>5.3.2</t>
  </si>
  <si>
    <t>5.3.3</t>
  </si>
  <si>
    <t>5.3.4</t>
  </si>
  <si>
    <t>5.3.5</t>
  </si>
  <si>
    <t>5.3.6</t>
  </si>
  <si>
    <t>5.3.7</t>
  </si>
  <si>
    <t>5.3.8</t>
  </si>
  <si>
    <t>5.3.9</t>
  </si>
  <si>
    <t>5.3.10</t>
  </si>
  <si>
    <t>5.3.11</t>
  </si>
  <si>
    <t>5.3.12</t>
  </si>
  <si>
    <t>5.3.13</t>
  </si>
  <si>
    <t>5.3.14</t>
  </si>
  <si>
    <t>6.1.1</t>
  </si>
  <si>
    <t>6.1.2</t>
  </si>
  <si>
    <t>6.1.3</t>
  </si>
  <si>
    <t>6.1.4</t>
  </si>
  <si>
    <t>6.1.5</t>
  </si>
  <si>
    <t>6.1.6</t>
  </si>
  <si>
    <t>6.1.7</t>
  </si>
  <si>
    <t>6.1.8</t>
  </si>
  <si>
    <t>6.1.9</t>
  </si>
  <si>
    <t>6.1.10</t>
  </si>
  <si>
    <t>6.2.1</t>
  </si>
  <si>
    <t>6.2.2</t>
  </si>
  <si>
    <t>6.2.3</t>
  </si>
  <si>
    <t>6.3.1</t>
  </si>
  <si>
    <t>7.1.1</t>
  </si>
  <si>
    <t>7.1.2</t>
  </si>
  <si>
    <t>7.1.3</t>
  </si>
  <si>
    <t>7.1.4</t>
  </si>
  <si>
    <t>7.1.5</t>
  </si>
  <si>
    <t>7.1.6</t>
  </si>
  <si>
    <t>7.1.7</t>
  </si>
  <si>
    <t>7.2.1</t>
  </si>
  <si>
    <t>8.1.7</t>
  </si>
  <si>
    <t>8.1.8</t>
  </si>
  <si>
    <t>8.1.9</t>
  </si>
  <si>
    <t>8.1.10</t>
  </si>
  <si>
    <t>8.1.11</t>
  </si>
  <si>
    <t>Peso neto</t>
  </si>
  <si>
    <t>8.2.1</t>
  </si>
  <si>
    <t>8.2.2</t>
  </si>
  <si>
    <t>8.3.1</t>
  </si>
  <si>
    <t>8.3.2</t>
  </si>
  <si>
    <t>8.3.3</t>
  </si>
  <si>
    <t>8.3.4</t>
  </si>
  <si>
    <t>8.3.5</t>
  </si>
  <si>
    <t>8.3.6</t>
  </si>
  <si>
    <t>8.3.7</t>
  </si>
  <si>
    <t>8.3.8</t>
  </si>
  <si>
    <t>8.3.9</t>
  </si>
  <si>
    <t>8.3.10</t>
  </si>
  <si>
    <t>8.3.11</t>
  </si>
  <si>
    <t>8.4.1</t>
  </si>
  <si>
    <t>8.4.2</t>
  </si>
  <si>
    <t>8.4.3</t>
  </si>
  <si>
    <t>8.4.4</t>
  </si>
  <si>
    <t>8.5.1</t>
  </si>
  <si>
    <t>8.5.2</t>
  </si>
  <si>
    <t>8.5.3</t>
  </si>
  <si>
    <t>8.5.4</t>
  </si>
  <si>
    <t>8.7.1</t>
  </si>
  <si>
    <t>1.1. Índice de Actividad Económica (ICASFe) - provincia de Santa Fe -</t>
  </si>
  <si>
    <t>8.8.1</t>
  </si>
  <si>
    <t>8.8.2</t>
  </si>
  <si>
    <t>8.10.1</t>
  </si>
  <si>
    <t>8.10.2</t>
  </si>
  <si>
    <t>8.10.3</t>
  </si>
  <si>
    <t>8.10.4</t>
  </si>
  <si>
    <t>9.2.1</t>
  </si>
  <si>
    <t>9.2.2</t>
  </si>
  <si>
    <t>9.2.3</t>
  </si>
  <si>
    <t>Valor del dólar respecto a otras monedas</t>
  </si>
  <si>
    <t>Mercado de trabajo: principales indicadores. Aglomerado:
GRAN SANTA FE</t>
  </si>
  <si>
    <t>Aglomerado Gran Santa Fe y Aglomerado Gran Rosario</t>
  </si>
  <si>
    <t>Argentina</t>
  </si>
  <si>
    <t>6.1. Exportación de cereales por puertos santafesinos</t>
  </si>
  <si>
    <t>Índice</t>
  </si>
  <si>
    <t>Indumentaria</t>
  </si>
  <si>
    <t>Pond.</t>
  </si>
  <si>
    <t>Miles de m3 de 9300 kcal</t>
  </si>
  <si>
    <t>Alimentos y Bebidas</t>
  </si>
  <si>
    <t>Vivienda y Servicios Básicos</t>
  </si>
  <si>
    <t>Equip. y Mant. del Hogar</t>
  </si>
  <si>
    <t>Atención Médica y Gtos. de Salud</t>
  </si>
  <si>
    <t>Transporte y Comunicaciones</t>
  </si>
  <si>
    <t>Esparcimiento</t>
  </si>
  <si>
    <t>Educación</t>
  </si>
  <si>
    <t>Otros Bs. y Serv.</t>
  </si>
  <si>
    <t>Tn.</t>
  </si>
  <si>
    <t>Tasa de Actividad</t>
  </si>
  <si>
    <t>Tasa de Empleo</t>
  </si>
  <si>
    <t>Tasa de Desocupación</t>
  </si>
  <si>
    <t>TACT = PEA / Pob.Tot.</t>
  </si>
  <si>
    <t>Cargos permanentes</t>
  </si>
  <si>
    <t>TEMP =
Pob.Ocu. /  Pob.Tot.
= (1-TDES) * TACT</t>
  </si>
  <si>
    <t>TDES = Pob.Desoc. / PEA</t>
  </si>
  <si>
    <t>TSUB = Pob.Suboc. / PEA</t>
  </si>
  <si>
    <t>Miles de personas</t>
  </si>
  <si>
    <t>Ministerio Economía de la Nación (MECON)</t>
  </si>
  <si>
    <t>Aeronaftas</t>
  </si>
  <si>
    <t>Kerosene</t>
  </si>
  <si>
    <t>6.3. Exportaciones con origen en la provincia de SantaFe</t>
  </si>
  <si>
    <t>Instituto Provincial de Estadísticas y Censos (IPEC).</t>
  </si>
  <si>
    <t>Valor Free On Board (FOB)</t>
  </si>
  <si>
    <t>Exportaciones con origen en la provincia de SantaFe.</t>
  </si>
  <si>
    <t>6.4.1</t>
  </si>
  <si>
    <t>6.3.2</t>
  </si>
  <si>
    <t>Diesel Oil</t>
  </si>
  <si>
    <t>Fuel Oil</t>
  </si>
  <si>
    <t>Otros Impuestos</t>
  </si>
  <si>
    <t>5.2. Consumo de energía eléctrica</t>
  </si>
  <si>
    <t>Equipamiento y mantenimiento del hogar</t>
  </si>
  <si>
    <t>Toneladas de maíz exportadas por puertos de la provincia de Santa Fe</t>
  </si>
  <si>
    <t>6.1.11</t>
  </si>
  <si>
    <t>6.1.12</t>
  </si>
  <si>
    <t>Maíz paraguayo</t>
  </si>
  <si>
    <t>Maíz nacional</t>
  </si>
  <si>
    <t>Maíz total</t>
  </si>
  <si>
    <t>Trigo nacional</t>
  </si>
  <si>
    <t>Trigo paraguayo</t>
  </si>
  <si>
    <t>Trigo total</t>
  </si>
  <si>
    <t>6.1.13</t>
  </si>
  <si>
    <t>6.1.14</t>
  </si>
  <si>
    <t>6.1.15</t>
  </si>
  <si>
    <t>6.1.16</t>
  </si>
  <si>
    <t>Toneladas de trigo exportadas por puertos de la provincia de Santa Fe</t>
  </si>
  <si>
    <t>Exportaciones de aceites oleaginosos por puertos de Santa Fe</t>
  </si>
  <si>
    <t>Aceite de soja nacional</t>
  </si>
  <si>
    <t>Aceite de soja total</t>
  </si>
  <si>
    <t>3.2.29</t>
  </si>
  <si>
    <t>3.2.30</t>
  </si>
  <si>
    <t>3.2.31</t>
  </si>
  <si>
    <t>3.2.32</t>
  </si>
  <si>
    <t>Aceite de girasol nacional</t>
  </si>
  <si>
    <t>Aceite de girasol total</t>
  </si>
  <si>
    <t>Aceite de soja extranjera (Paraguay y Bolivia)</t>
  </si>
  <si>
    <t>Índices de Confianza del Consumidor (ICC)</t>
  </si>
  <si>
    <t>Desagregado por regiones</t>
  </si>
  <si>
    <t>Desagregado por subíndices</t>
  </si>
  <si>
    <t>ICC Nacional</t>
  </si>
  <si>
    <t>4.4.4</t>
  </si>
  <si>
    <t>4.4.5</t>
  </si>
  <si>
    <t>4.4.6</t>
  </si>
  <si>
    <t>4.4.7</t>
  </si>
  <si>
    <t>Capital</t>
  </si>
  <si>
    <t>Interior</t>
  </si>
  <si>
    <t>GBA</t>
  </si>
  <si>
    <t>Situación personal</t>
  </si>
  <si>
    <t>Situación macro</t>
  </si>
  <si>
    <t>Bienes durables e inmuebles</t>
  </si>
  <si>
    <t>Porcentaje</t>
  </si>
  <si>
    <t>Depósitos y préstamos. Sector privado y público no financiero. Total de residentes en el país y extranjeros.</t>
  </si>
  <si>
    <t>Préstamos sector privado</t>
  </si>
  <si>
    <t>Préstamos Sector Público</t>
  </si>
  <si>
    <t>Centro Regional de Estudios Económicos de Bahía Blanca (CREEBBA)</t>
  </si>
  <si>
    <r>
      <t>Pesos Ctes. / m</t>
    </r>
    <r>
      <rPr>
        <vertAlign val="superscript"/>
        <sz val="8"/>
        <color rgb="FF002060"/>
        <rFont val="Arial"/>
        <family val="2"/>
      </rPr>
      <t>2</t>
    </r>
  </si>
  <si>
    <t>San Lorenzo / San Martín / Villa Constitución</t>
  </si>
  <si>
    <t>Ventas de combustibles en la provincia de Santa Fe</t>
  </si>
  <si>
    <t>Índice de Producción Industrial (IPI) por tipo de bienes</t>
  </si>
  <si>
    <t>Bienes Consumo No Durable (BCND)</t>
  </si>
  <si>
    <t>Bienes Consumo Durable (BCD)</t>
  </si>
  <si>
    <t>Bienes de Uso Intermedio (BUI)</t>
  </si>
  <si>
    <t>Bienes de Capital (BK)</t>
  </si>
  <si>
    <t>Ventas de supermercados en Argentina</t>
  </si>
  <si>
    <t>8.2.13</t>
  </si>
  <si>
    <t>8.2.12</t>
  </si>
  <si>
    <t>8.2.11</t>
  </si>
  <si>
    <t>8.2.10</t>
  </si>
  <si>
    <t>8.2.9</t>
  </si>
  <si>
    <t>8.2.8</t>
  </si>
  <si>
    <t>8.2.7</t>
  </si>
  <si>
    <t>8.2.6</t>
  </si>
  <si>
    <t>8.2.5</t>
  </si>
  <si>
    <t>8.2.4</t>
  </si>
  <si>
    <t>8.2.3</t>
  </si>
  <si>
    <t>Alimentos y bebidas no alcohólicas</t>
  </si>
  <si>
    <t>Bebidas alcohólicas y tabaco</t>
  </si>
  <si>
    <t>Prendas de vestir y calzado</t>
  </si>
  <si>
    <t>Salud</t>
  </si>
  <si>
    <t>Transporte</t>
  </si>
  <si>
    <t>Comunicaciones</t>
  </si>
  <si>
    <t>Recreación y cultura</t>
  </si>
  <si>
    <t>8.8.3</t>
  </si>
  <si>
    <t>8.8.4</t>
  </si>
  <si>
    <t>8.8.5</t>
  </si>
  <si>
    <t>8.8.6</t>
  </si>
  <si>
    <t>8.8.7</t>
  </si>
  <si>
    <t>8.8.8</t>
  </si>
  <si>
    <t>8.8.9</t>
  </si>
  <si>
    <t>8.8.10</t>
  </si>
  <si>
    <t xml:space="preserve">8.8. Valor de la tierra destinada a la explotación agrícola y ganadera </t>
  </si>
  <si>
    <t>8.9.1</t>
  </si>
  <si>
    <t>8.9.2</t>
  </si>
  <si>
    <t>8.9.3</t>
  </si>
  <si>
    <t>8.9.4</t>
  </si>
  <si>
    <t>8.9.5</t>
  </si>
  <si>
    <t>8.9.6</t>
  </si>
  <si>
    <t>8.9. Valor del dólar norteamericano respecto al peso y a otras monedas</t>
  </si>
  <si>
    <t>Ponderadores</t>
  </si>
  <si>
    <t>Divisiones</t>
  </si>
  <si>
    <t xml:space="preserve">IPC ciudad de Bahía Blanca </t>
  </si>
  <si>
    <t xml:space="preserve"> Costo de vida en Bahía Blanca</t>
  </si>
  <si>
    <t>8.5. Precios minoristas y costo de vida en Bahía Blanca</t>
  </si>
  <si>
    <t>Algunos datos no se publican por secreto estadístico</t>
  </si>
  <si>
    <t>6.2. Balanza comercial y reservas - Argentina -</t>
  </si>
  <si>
    <t>6.2.4</t>
  </si>
  <si>
    <t>Reservas del BCRA</t>
  </si>
  <si>
    <t>Banco Central República Argentina (BCRA)</t>
  </si>
  <si>
    <t>Saldos al cierre de mes</t>
  </si>
  <si>
    <t>Dólares</t>
  </si>
  <si>
    <t>4.2.1</t>
  </si>
  <si>
    <t>4.2.2</t>
  </si>
  <si>
    <t>Mercado Abierto Electrónico (MAE)</t>
  </si>
  <si>
    <t>2.2.5</t>
  </si>
  <si>
    <t>Ministerio de Trabajo y Seguridad Social en base a SIJP</t>
  </si>
  <si>
    <t>Nº de empresas con empleados registrados</t>
  </si>
  <si>
    <t>Cigarrillos</t>
  </si>
  <si>
    <t>Insumos textiles</t>
  </si>
  <si>
    <t>Pastas y papel</t>
  </si>
  <si>
    <t>Combustibles</t>
  </si>
  <si>
    <t>Quimicos y plásticos</t>
  </si>
  <si>
    <t>Metalmecánica</t>
  </si>
  <si>
    <t>Siderurgia</t>
  </si>
  <si>
    <t>Automóviles</t>
  </si>
  <si>
    <t>1970:T1</t>
  </si>
  <si>
    <t>1994:T2</t>
  </si>
  <si>
    <t>2001:S1</t>
  </si>
  <si>
    <t>1991:T1</t>
  </si>
  <si>
    <t>Discrepancia Estadística y Variación de Existencias</t>
  </si>
  <si>
    <t>Discrepancia Estadística</t>
  </si>
  <si>
    <t>Variación de Existencias</t>
  </si>
  <si>
    <t>Formación Bruta de Capital</t>
  </si>
  <si>
    <t>Exportaciones</t>
  </si>
  <si>
    <t>Consumo Público</t>
  </si>
  <si>
    <t>Consumo Privado</t>
  </si>
  <si>
    <t>Importaciones</t>
  </si>
  <si>
    <t>Producto Interno Bruto a precios de mercado</t>
  </si>
  <si>
    <t>Demanda Agregada</t>
  </si>
  <si>
    <t>Oferta Agregada</t>
  </si>
  <si>
    <t>Oferta y Demanda agregada: Producto Bruto Interno (PBI) y otros sub-componentes, a precios de mercado. Precios Corrientes.</t>
  </si>
  <si>
    <t>1.5.1</t>
  </si>
  <si>
    <t>1.5.2</t>
  </si>
  <si>
    <t>1.5.3</t>
  </si>
  <si>
    <t>1.5.4</t>
  </si>
  <si>
    <t>1.5.5</t>
  </si>
  <si>
    <t>1.5.6</t>
  </si>
  <si>
    <t>1.5.7</t>
  </si>
  <si>
    <t>1.5.8</t>
  </si>
  <si>
    <t>1.5.9</t>
  </si>
  <si>
    <t>1.5.10</t>
  </si>
  <si>
    <t>1.5.11</t>
  </si>
  <si>
    <t>1.5.12</t>
  </si>
  <si>
    <t>1.5.13</t>
  </si>
  <si>
    <t>1.5.14</t>
  </si>
  <si>
    <t>1.5.15</t>
  </si>
  <si>
    <t>1.5.16</t>
  </si>
  <si>
    <t>1.5.17</t>
  </si>
  <si>
    <t>1.5.18</t>
  </si>
  <si>
    <t>Ventas minoristas en Argentina</t>
  </si>
  <si>
    <t>Confederación Argentina de la Mediana Empresa (CAME)</t>
  </si>
  <si>
    <t>4.3.20</t>
  </si>
  <si>
    <t>Variaciones inter-anuales</t>
  </si>
  <si>
    <t>4.3. Ventas de supermercados e indicadores de consumo minorista</t>
  </si>
  <si>
    <t>6.4.2</t>
  </si>
  <si>
    <t>6.4.3</t>
  </si>
  <si>
    <t>6.4.4</t>
  </si>
  <si>
    <t>6.4.5</t>
  </si>
  <si>
    <t>3.3.5</t>
  </si>
  <si>
    <t>3.3.6</t>
  </si>
  <si>
    <t>Gasto total ejecutado</t>
  </si>
  <si>
    <t>Gasto en capital ejecutado</t>
  </si>
  <si>
    <t xml:space="preserve">  </t>
  </si>
  <si>
    <t>7.3.3</t>
  </si>
  <si>
    <t>7.3.4</t>
  </si>
  <si>
    <t>2.6. Población provincial y nacional</t>
  </si>
  <si>
    <t>2.6.1</t>
  </si>
  <si>
    <t>2.6.2</t>
  </si>
  <si>
    <t>2.6.3</t>
  </si>
  <si>
    <t>Población provincial y nacional</t>
  </si>
  <si>
    <t>Participación de la población provincial en la población nacional</t>
  </si>
  <si>
    <t>Población de Argentina</t>
  </si>
  <si>
    <t>Población provincia de Santa Fe</t>
  </si>
  <si>
    <t xml:space="preserve">Fundación Norte y Sur (con la colaboración de la UCA); Director Orlando J. Ferreres y proyecciones de INDEC desde 2010 </t>
  </si>
  <si>
    <t>Índices con base 17-12-15=100</t>
  </si>
  <si>
    <t>Índices de tipo de cambio real bilateral con los principales socios comerciales</t>
  </si>
  <si>
    <t>6.4. Tipo de Cambio Real Multilateral y Bilaterales de principales socios comerciales</t>
  </si>
  <si>
    <t>No realizaron búsquedas de personal</t>
  </si>
  <si>
    <t>Realizaron búsquedas de personal</t>
  </si>
  <si>
    <t>Expectativas de los empresarios: demanda laboral en Gran Rosario</t>
  </si>
  <si>
    <t>Expectativas de los empresarios: demanda laboral en Gran Santa Fe</t>
  </si>
  <si>
    <t>2.1.2</t>
  </si>
  <si>
    <t>2.1.3</t>
  </si>
  <si>
    <t>2.1.4</t>
  </si>
  <si>
    <t>2.1.5</t>
  </si>
  <si>
    <t>2.1.6</t>
  </si>
  <si>
    <t>8.3.12</t>
  </si>
  <si>
    <t>Millones de pesos constantes de 2004</t>
  </si>
  <si>
    <t>Valor real del peso argentino en relación a las monedas de sus principales socios
comerciales; promedios mensuales</t>
  </si>
  <si>
    <r>
      <t xml:space="preserve">Valor real del peso argentino en relación al </t>
    </r>
    <r>
      <rPr>
        <b/>
        <sz val="8"/>
        <rFont val="Arial"/>
        <family val="2"/>
      </rPr>
      <t>real</t>
    </r>
    <r>
      <rPr>
        <sz val="8"/>
        <rFont val="Arial"/>
        <family val="2"/>
      </rPr>
      <t>; promedios mensuales</t>
    </r>
  </si>
  <si>
    <r>
      <t xml:space="preserve">Valor real del peso argentino en relación al </t>
    </r>
    <r>
      <rPr>
        <b/>
        <sz val="8"/>
        <rFont val="Arial"/>
        <family val="2"/>
      </rPr>
      <t>dólar norteamericano</t>
    </r>
    <r>
      <rPr>
        <sz val="8"/>
        <rFont val="Arial"/>
        <family val="2"/>
      </rPr>
      <t>; promedios mensuales</t>
    </r>
  </si>
  <si>
    <r>
      <t xml:space="preserve">Valor real del peso argentino en relación al </t>
    </r>
    <r>
      <rPr>
        <b/>
        <sz val="8"/>
        <rFont val="Arial"/>
        <family val="2"/>
      </rPr>
      <t>yuan</t>
    </r>
    <r>
      <rPr>
        <sz val="8"/>
        <rFont val="Arial"/>
        <family val="2"/>
      </rPr>
      <t>; promedios mensuales</t>
    </r>
  </si>
  <si>
    <r>
      <t xml:space="preserve">Valor real del peso argentino en relación al </t>
    </r>
    <r>
      <rPr>
        <b/>
        <sz val="8"/>
        <rFont val="Arial"/>
        <family val="2"/>
      </rPr>
      <t>euro</t>
    </r>
    <r>
      <rPr>
        <sz val="8"/>
        <rFont val="Arial"/>
        <family val="2"/>
      </rPr>
      <t>; promedios mensuales</t>
    </r>
  </si>
  <si>
    <t>8.3.13</t>
  </si>
  <si>
    <t>8.3.14</t>
  </si>
  <si>
    <t>8.3.15</t>
  </si>
  <si>
    <t>8.3.16</t>
  </si>
  <si>
    <t>Bienes</t>
  </si>
  <si>
    <t>Servicios</t>
  </si>
  <si>
    <t>IPC Núcleo</t>
  </si>
  <si>
    <t>Regulados</t>
  </si>
  <si>
    <t>Estacionales</t>
  </si>
  <si>
    <t>Índice Base 2001.12=100</t>
  </si>
  <si>
    <t>Índice base 2004=100</t>
  </si>
  <si>
    <t>Base 2004=100</t>
  </si>
  <si>
    <t>Oferta y Demanda Globales: series desestacionalizadas en millones de pesos, a precios de 2004.</t>
  </si>
  <si>
    <t>1.5.19</t>
  </si>
  <si>
    <t>1.5.20</t>
  </si>
  <si>
    <t>}</t>
  </si>
  <si>
    <t>Índice Base 2014=100</t>
  </si>
  <si>
    <t>Ámbito Financiero</t>
  </si>
  <si>
    <t>Agrofy  News</t>
  </si>
  <si>
    <t>8.9.7</t>
  </si>
  <si>
    <t>acumulado</t>
  </si>
  <si>
    <t>del mes</t>
  </si>
  <si>
    <t>Remuneración mediana. Sector privado. Total país.</t>
  </si>
  <si>
    <t>Remuneración promedio. Sector privado. Total país.</t>
  </si>
  <si>
    <t>no se edita más</t>
  </si>
  <si>
    <t>Asfaltos</t>
  </si>
  <si>
    <t>5.3.18</t>
  </si>
  <si>
    <t xml:space="preserve">8.3. IPC Nacional y regiones  - oficial - </t>
  </si>
  <si>
    <t>8.4. Precios minoristas  - serie histórica GBA y fuentes alternativas -</t>
  </si>
  <si>
    <t xml:space="preserve">IPC Congreso </t>
  </si>
  <si>
    <t>INDEC y otras fuentes</t>
  </si>
  <si>
    <t>Sin base</t>
  </si>
  <si>
    <t xml:space="preserve">Índice de precios al consumidor - IPC NACIONAL - </t>
  </si>
  <si>
    <t>Nivel general y regiones</t>
  </si>
  <si>
    <t>Componentes desagregados del IPC Nacional</t>
  </si>
  <si>
    <t>Pampeana</t>
  </si>
  <si>
    <t>Noreste</t>
  </si>
  <si>
    <t>Noroeste</t>
  </si>
  <si>
    <t>Cuyo</t>
  </si>
  <si>
    <t>Patagonia</t>
  </si>
  <si>
    <t>Alimentos y bebidas no alchólicos</t>
  </si>
  <si>
    <t>Bebidas alchólicas y tabaco</t>
  </si>
  <si>
    <t>Vivienda, agua, electricidad, gas y
otros combustibles</t>
  </si>
  <si>
    <t>8.3.17</t>
  </si>
  <si>
    <t>8.3.18</t>
  </si>
  <si>
    <t>8.3.19</t>
  </si>
  <si>
    <t>8.3.20</t>
  </si>
  <si>
    <t>8.3.21</t>
  </si>
  <si>
    <t>8.3.22</t>
  </si>
  <si>
    <t>8.3.23</t>
  </si>
  <si>
    <t>8.3.24</t>
  </si>
  <si>
    <t>Nacional (Nivel general)</t>
  </si>
  <si>
    <t>8.6.1</t>
  </si>
  <si>
    <t>8.6.2</t>
  </si>
  <si>
    <t>8.6.3</t>
  </si>
  <si>
    <t>8.6.4</t>
  </si>
  <si>
    <t>8.6.5</t>
  </si>
  <si>
    <t>8.6.6</t>
  </si>
  <si>
    <t>8.6.7</t>
  </si>
  <si>
    <t>8.6.8</t>
  </si>
  <si>
    <t>8.6.9</t>
  </si>
  <si>
    <t>8.6.10</t>
  </si>
  <si>
    <t>8.6.11</t>
  </si>
  <si>
    <t>8.6.12</t>
  </si>
  <si>
    <t>8.6.13</t>
  </si>
  <si>
    <t>8.7. Índice de precios de las materias primas de exportación</t>
  </si>
  <si>
    <r>
      <t xml:space="preserve">Promedio valor de compra / venta a </t>
    </r>
    <r>
      <rPr>
        <b/>
        <sz val="8"/>
        <rFont val="Arial"/>
        <family val="2"/>
      </rPr>
      <t>fin de cada mes</t>
    </r>
  </si>
  <si>
    <r>
      <rPr>
        <b/>
        <sz val="8"/>
        <rFont val="Arial"/>
        <family val="2"/>
      </rPr>
      <t>Promedio mensual</t>
    </r>
    <r>
      <rPr>
        <sz val="8"/>
        <rFont val="Arial"/>
        <family val="2"/>
      </rPr>
      <t xml:space="preserve"> de valores diarios considerando el promedio entre puntas compradora / vendedora de dólar minorista Banco Nación</t>
    </r>
  </si>
  <si>
    <r>
      <rPr>
        <b/>
        <sz val="8"/>
        <rFont val="Arial"/>
        <family val="2"/>
      </rPr>
      <t>Promedio mensual</t>
    </r>
    <r>
      <rPr>
        <sz val="8"/>
        <rFont val="Arial"/>
        <family val="2"/>
      </rPr>
      <t xml:space="preserve"> de valores diarios considerando el promedio entre puntas compradora / vendedora</t>
    </r>
  </si>
  <si>
    <t xml:space="preserve">Mediana </t>
  </si>
  <si>
    <t xml:space="preserve">Promedio </t>
  </si>
  <si>
    <t>8.10.5</t>
  </si>
  <si>
    <t>8.10.6</t>
  </si>
  <si>
    <t>$ / USD  a 12 meses</t>
  </si>
  <si>
    <t>8.9.8</t>
  </si>
  <si>
    <r>
      <t xml:space="preserve">Tipo de cambio </t>
    </r>
    <r>
      <rPr>
        <b/>
        <sz val="8"/>
        <rFont val="Arial"/>
        <family val="2"/>
      </rPr>
      <t>promedio</t>
    </r>
    <r>
      <rPr>
        <sz val="8"/>
        <rFont val="Arial"/>
        <family val="2"/>
      </rPr>
      <t xml:space="preserve"> nominal esperado: $/US$: Próx. 12 meses</t>
    </r>
  </si>
  <si>
    <t>3.4. Despacho de cemento y otras estadísticas del sector construcción</t>
  </si>
  <si>
    <r>
      <t xml:space="preserve">Tipo de cambio </t>
    </r>
    <r>
      <rPr>
        <b/>
        <sz val="8"/>
        <rFont val="Arial"/>
        <family val="2"/>
      </rPr>
      <t>mediano</t>
    </r>
    <r>
      <rPr>
        <sz val="8"/>
        <rFont val="Arial"/>
        <family val="2"/>
      </rPr>
      <t xml:space="preserve"> nominal  esperado: $/US$: Próx. 12 meses</t>
    </r>
  </si>
  <si>
    <t>Otro tipo de gasoil</t>
  </si>
  <si>
    <t>M3</t>
  </si>
  <si>
    <t>5.3.19</t>
  </si>
  <si>
    <t>5.3.20</t>
  </si>
  <si>
    <t>5.3.21</t>
  </si>
  <si>
    <t>3.5.1</t>
  </si>
  <si>
    <t>3.5.2</t>
  </si>
  <si>
    <t>3.5.3</t>
  </si>
  <si>
    <t>3.5.4</t>
  </si>
  <si>
    <t>3.5.5</t>
  </si>
  <si>
    <t>3.5.6</t>
  </si>
  <si>
    <t>3.5.7</t>
  </si>
  <si>
    <t>3.5.8</t>
  </si>
  <si>
    <t>3.5.9</t>
  </si>
  <si>
    <t>3.5.10</t>
  </si>
  <si>
    <t>3.5.11</t>
  </si>
  <si>
    <t>Producción de maquinaria agrícola en Argentina</t>
  </si>
  <si>
    <t>Ventas nacionales</t>
  </si>
  <si>
    <t>Ventas importadas</t>
  </si>
  <si>
    <t>Sembradoras</t>
  </si>
  <si>
    <t>Implementos</t>
  </si>
  <si>
    <t>Unidades físicas</t>
  </si>
  <si>
    <t>Estadísticas de Productos Industriales (EPI) - INDEC</t>
  </si>
  <si>
    <t>Aceite de girasol extranjera (Paraguay y Bolivia)</t>
  </si>
  <si>
    <t>8.1.2</t>
  </si>
  <si>
    <t>8.1.1</t>
  </si>
  <si>
    <t>8.1.3</t>
  </si>
  <si>
    <t>8.1.4</t>
  </si>
  <si>
    <t>8.1.5</t>
  </si>
  <si>
    <t>8.1.6</t>
  </si>
  <si>
    <t>Venta de maquinarias agrícolas en Argentina: incluye cosechadores, tractores, sembradoras e implementos</t>
  </si>
  <si>
    <t>Facturación por ventas de maquinaría agrícola en Argentina: incluye cosechadores, tractores, sembradoras e implementos</t>
  </si>
  <si>
    <t>Instituto Nacional de Estadísticas y Censos (INDEC): informe técnico de maquinaria agrícola</t>
  </si>
  <si>
    <t>N° de empleos privados registrados en Argentina</t>
  </si>
  <si>
    <t>N° de personas</t>
  </si>
  <si>
    <t>2.2.b.1</t>
  </si>
  <si>
    <t>2.2.b.2</t>
  </si>
  <si>
    <t>2.2.b.3</t>
  </si>
  <si>
    <t>2.2.b.4</t>
  </si>
  <si>
    <t>2.2.b.5</t>
  </si>
  <si>
    <t>8.6. Sistema de Índices de Precios Mayoristas (SIPM)</t>
  </si>
  <si>
    <t>3.6.12</t>
  </si>
  <si>
    <t>Nº de maquinarias</t>
  </si>
  <si>
    <t>3.5.12</t>
  </si>
  <si>
    <t>Vivienda. agua. electricidad y otros combustibles</t>
  </si>
  <si>
    <t>Secretaría de Energía de la Nación</t>
  </si>
  <si>
    <t>N° de empleos registrados en Argentina</t>
  </si>
  <si>
    <t>N° de empleos totales registrados en SIPA en Argentina</t>
  </si>
  <si>
    <t>N° de empleos públicos registrados en SIPA en Argentina</t>
  </si>
  <si>
    <t>Agricultura, ganadería, caza y silvicultura</t>
  </si>
  <si>
    <t>Miles de pesos de 2004</t>
  </si>
  <si>
    <t>Industria automotriz</t>
  </si>
  <si>
    <t>Refinación del petróleo</t>
  </si>
  <si>
    <t>Valor de la canasta de básica familiar (familia tipo 2)</t>
  </si>
  <si>
    <t>Producción nacional</t>
  </si>
  <si>
    <t>Millones de litros</t>
  </si>
  <si>
    <t>3.1.4</t>
  </si>
  <si>
    <t>3.10.1</t>
  </si>
  <si>
    <t>3.10.2</t>
  </si>
  <si>
    <t>3.10.3</t>
  </si>
  <si>
    <t>3.10.4</t>
  </si>
  <si>
    <t>3.10.5</t>
  </si>
  <si>
    <t>3.10.6</t>
  </si>
  <si>
    <t>3.10.7</t>
  </si>
  <si>
    <t>3.10.8</t>
  </si>
  <si>
    <t>3.10.9</t>
  </si>
  <si>
    <t>3.10.10</t>
  </si>
  <si>
    <t>3.10.11</t>
  </si>
  <si>
    <t>3.10.12</t>
  </si>
  <si>
    <t>3.10.13</t>
  </si>
  <si>
    <t>3.10.14</t>
  </si>
  <si>
    <t>3.10.15</t>
  </si>
  <si>
    <t>3.10.16</t>
  </si>
  <si>
    <t>3.10.17</t>
  </si>
  <si>
    <t>3.10.18</t>
  </si>
  <si>
    <t>3.10.19</t>
  </si>
  <si>
    <t>Índice de Producción Industrial Manufacturero (IPIM)</t>
  </si>
  <si>
    <t>Ramas del Índice de Producción Industrial Manufacturero (IPIM)</t>
  </si>
  <si>
    <t>Productos de tabaco</t>
  </si>
  <si>
    <t>Prendas de vestir, cuero y calzado</t>
  </si>
  <si>
    <t>Madera, papel, edición e impresión</t>
  </si>
  <si>
    <t>Refinación del petróleo, coque y combustible nuclear</t>
  </si>
  <si>
    <t>Sustancias y productos químicos</t>
  </si>
  <si>
    <t>Productos de caucho y plástico</t>
  </si>
  <si>
    <t>Productos minerales no metálicos</t>
  </si>
  <si>
    <t>Productos de metal</t>
  </si>
  <si>
    <t>Maquinaria y equipo</t>
  </si>
  <si>
    <t>Otros equipos, aparatos e instrumentos</t>
  </si>
  <si>
    <t>Vehículos automotores, carrocerías, remolques y autopartes</t>
  </si>
  <si>
    <t>Otro equipo de transporte</t>
  </si>
  <si>
    <t>Muebles y colchones, y otras industrias manufactureras</t>
  </si>
  <si>
    <t>Ponderador</t>
  </si>
  <si>
    <t>3.10. Índice de Producción Industrial Manufacturera (IPIM) - Argentina -</t>
  </si>
  <si>
    <t>Serie original</t>
  </si>
  <si>
    <t>Serie tendencia-ciclo</t>
  </si>
  <si>
    <t>Facturación tipo "A"</t>
  </si>
  <si>
    <t>Millones de pesos</t>
  </si>
  <si>
    <t>Facturación tipo "B"</t>
  </si>
  <si>
    <t>Facturación
"A" y "B"</t>
  </si>
  <si>
    <t>4.3.21</t>
  </si>
  <si>
    <t>4.3.22</t>
  </si>
  <si>
    <t>4.3.23</t>
  </si>
  <si>
    <t>Federal Reserve Board</t>
  </si>
  <si>
    <t>Nominal dollar indexes</t>
  </si>
  <si>
    <t>Real dollar indexes</t>
  </si>
  <si>
    <t>Broad dollar index</t>
  </si>
  <si>
    <t>Emerging market economies (EME)</t>
  </si>
  <si>
    <t>Base Enero 2006=100</t>
  </si>
  <si>
    <t>8.9.10</t>
  </si>
  <si>
    <t>8.9.11</t>
  </si>
  <si>
    <t>8.9.12</t>
  </si>
  <si>
    <t>Advanced Foreign Economies (AFE)</t>
  </si>
  <si>
    <t>Advanced Foreign economies (AFE)</t>
  </si>
  <si>
    <t>Instituto Provincial de Estadísticas y Censo (IPEC)</t>
  </si>
  <si>
    <t>Procesamiento de carne y pescado</t>
  </si>
  <si>
    <t>Aceites y grasas de origen vegetal</t>
  </si>
  <si>
    <t>Productos textiles y de cuero</t>
  </si>
  <si>
    <t>Madera, papel y productos derivados, excepto muebles</t>
  </si>
  <si>
    <t>Productos de caucho, plástico y minerales no metálicos</t>
  </si>
  <si>
    <t>Productos elaborados de metal, excepto maquinaria y equipo</t>
  </si>
  <si>
    <t>Maquinaria agrícola y equipos de uso general</t>
  </si>
  <si>
    <t>Equipos de oficina, electrónicos y medicinales</t>
  </si>
  <si>
    <t>Vehículos automotores y transporte</t>
  </si>
  <si>
    <t>Muebles y colchones</t>
  </si>
  <si>
    <t>Reciclamiento y reparación de maquinarias</t>
  </si>
  <si>
    <t>Coque y productos de la refinación del petróleo</t>
  </si>
  <si>
    <t>Metales comunes</t>
  </si>
  <si>
    <t>Ponderaciones</t>
  </si>
  <si>
    <t>3.11.1</t>
  </si>
  <si>
    <t>3.11.2</t>
  </si>
  <si>
    <t>3.11.3</t>
  </si>
  <si>
    <t>3.11.4</t>
  </si>
  <si>
    <t>3.11.5</t>
  </si>
  <si>
    <t>3.11.6</t>
  </si>
  <si>
    <t>3.11.7</t>
  </si>
  <si>
    <t>3.11.8</t>
  </si>
  <si>
    <t>3.11.9</t>
  </si>
  <si>
    <t>3.11.10</t>
  </si>
  <si>
    <t>3.11.11</t>
  </si>
  <si>
    <t>3.11.12</t>
  </si>
  <si>
    <t>3.11.13</t>
  </si>
  <si>
    <t>3.11.14</t>
  </si>
  <si>
    <t>3.11.15</t>
  </si>
  <si>
    <t>3.11.16</t>
  </si>
  <si>
    <t>3.11.17</t>
  </si>
  <si>
    <t>3.11.18</t>
  </si>
  <si>
    <t>3.11. Índice Provincial de Actividad Industrial (IPAI)</t>
  </si>
  <si>
    <t>Índice Provincial de Actividad Industrial (IPAI)</t>
  </si>
  <si>
    <t>Bloques industriales del Índice Provincial de Actividad Industrial (IPAI)</t>
  </si>
  <si>
    <t>S&amp;P Dow Jones Indices</t>
  </si>
  <si>
    <t>4.2.3</t>
  </si>
  <si>
    <t>Financiamiento total en el mercado de capitales</t>
  </si>
  <si>
    <t>4.2.4</t>
  </si>
  <si>
    <t>6.2.b. Terminos de Intercambio comercial</t>
  </si>
  <si>
    <t>Terminos de intercambio</t>
  </si>
  <si>
    <t>Instituto Nacional de Estadisticas y Censos (INDEC)</t>
  </si>
  <si>
    <t>Indice de valor de las exportaciones (VX)</t>
  </si>
  <si>
    <t>Indice de precio de las exportaciones (PX)</t>
  </si>
  <si>
    <t>Indice de cantidad de las exportaciones (QX)</t>
  </si>
  <si>
    <t>Indice de valor de las importaciones (VM)</t>
  </si>
  <si>
    <t>Indice de precio de las importaciones (PM)</t>
  </si>
  <si>
    <t>Indice de cantidad de las importaciones (QM)</t>
  </si>
  <si>
    <t>6.2.b.1</t>
  </si>
  <si>
    <t>6.2.b.2</t>
  </si>
  <si>
    <t>6.2.b.3</t>
  </si>
  <si>
    <t>6.2.b.4</t>
  </si>
  <si>
    <t>6.2.b.5</t>
  </si>
  <si>
    <t>6.2.b.6</t>
  </si>
  <si>
    <t>6.2.b.7</t>
  </si>
  <si>
    <t>6.2.b.8</t>
  </si>
  <si>
    <t>Understanding dairy markets 1995.01/2017.12. CLAL 2018.01/</t>
  </si>
  <si>
    <t>Volúmenes captados</t>
  </si>
  <si>
    <t>4.2. Mercado de capitales</t>
  </si>
  <si>
    <t>1986:T1</t>
  </si>
  <si>
    <t>Índice de términos de intercambio (NBTT = PX/PM*100)</t>
  </si>
  <si>
    <t>Indice de poder de compra de las exportaciones (ITT=Qx*PX/PM*100)</t>
  </si>
  <si>
    <t>Federal Reserve of St. Louis</t>
  </si>
  <si>
    <t>All items</t>
  </si>
  <si>
    <t>Base 1982-1984=100</t>
  </si>
  <si>
    <t>8.9.13</t>
  </si>
  <si>
    <t>Index for all urban consumers, not seasonally adjusted</t>
  </si>
  <si>
    <t>Índice de precios al consumidor de USA</t>
  </si>
  <si>
    <t>S&amp;P 500 Index</t>
  </si>
  <si>
    <t>4.2.5</t>
  </si>
  <si>
    <t>Sector registrado</t>
  </si>
  <si>
    <t>Sector privado no registrado</t>
  </si>
  <si>
    <t>Total índice de salarios</t>
  </si>
  <si>
    <t>Sector privado registrado</t>
  </si>
  <si>
    <t>Sector público</t>
  </si>
  <si>
    <t>Indice de salarios</t>
  </si>
  <si>
    <t>Total registrado</t>
  </si>
  <si>
    <t>2.2.b. Indice de salarios</t>
  </si>
  <si>
    <t>2.2.a.7</t>
  </si>
  <si>
    <t>3.7.1</t>
  </si>
  <si>
    <t>3.7.2</t>
  </si>
  <si>
    <t>3.7.3</t>
  </si>
  <si>
    <t>3.7.4</t>
  </si>
  <si>
    <t>3.7.5</t>
  </si>
  <si>
    <t>3.7.6</t>
  </si>
  <si>
    <t>3.7.7</t>
  </si>
  <si>
    <t>3.7.8</t>
  </si>
  <si>
    <t>3.7.9</t>
  </si>
  <si>
    <t>3.7.10</t>
  </si>
  <si>
    <t>3.7.11</t>
  </si>
  <si>
    <t>3.7.12</t>
  </si>
  <si>
    <t>3.7. Maquinaria agrícola (INDEC)</t>
  </si>
  <si>
    <t>All commodities</t>
  </si>
  <si>
    <t>Index, not seasonally adjusted</t>
  </si>
  <si>
    <t>Base 1982=100</t>
  </si>
  <si>
    <t>Índice de precios al productor de USA</t>
  </si>
  <si>
    <t>2002:T1</t>
  </si>
  <si>
    <t>Ventas nacionales totales</t>
  </si>
  <si>
    <t>Ventas por canales On-line</t>
  </si>
  <si>
    <t>4.3.24</t>
  </si>
  <si>
    <t>3.9. Utilización de la capacidad instalada en la industria</t>
  </si>
  <si>
    <t>Utilización de la capacidad instalada en la industria según bloques del Estimador Mensual Industrial (EMI) base 2004=100</t>
  </si>
  <si>
    <t>Ventas de autoservicios mayoristas</t>
  </si>
  <si>
    <t>Índice de precios implícitos</t>
  </si>
  <si>
    <t>Base 2017=100</t>
  </si>
  <si>
    <t>Volumen negociado mercado renta fija</t>
  </si>
  <si>
    <t>Ventas totales más cartera propia</t>
  </si>
  <si>
    <t>S&amp;P BYMA Argentina General Index</t>
  </si>
  <si>
    <t>S&amp;P MERVAL Index</t>
  </si>
  <si>
    <t>Producto Bruto Geográfico (PBG) de la provincia de Santa Fe, a precios constantes de 2004, sin IVA, según categoría</t>
  </si>
  <si>
    <t>Superficie del área de ventas</t>
  </si>
  <si>
    <t>Cantidad de operaciones</t>
  </si>
  <si>
    <t>Aclaración general: los datos subrayados implican estimaciones propias y los datos en azul la existencia de una fórmula. Los datos en marrón indican información provisoria.</t>
  </si>
  <si>
    <t xml:space="preserve">Tel Fax: (0342) 4845800 </t>
  </si>
  <si>
    <t>Numero de empleados. Serie con estacionalidad.</t>
  </si>
  <si>
    <t>Faena de bovinos</t>
  </si>
  <si>
    <t>Faena de porcinos</t>
  </si>
  <si>
    <t>Servicio Nacional de Sanidad y Calidad Agroalimentaria (SENASA) - Oficina Nacional de Control Comercial Agropecuario (ONCCA) - Ministerio de Agricultura, Ganadería y Pesca de la Nación (MAGyP)</t>
  </si>
  <si>
    <t>Participación relativa Santa Fe</t>
  </si>
  <si>
    <t>Peso de referencia de una cabeza tipo</t>
  </si>
  <si>
    <t>Precio de referencia por kilogramo. Promedio mensual.</t>
  </si>
  <si>
    <t>Participación Relativa Santa Fe</t>
  </si>
  <si>
    <t>3.3.7</t>
  </si>
  <si>
    <t>3.3.8</t>
  </si>
  <si>
    <t>3.3.9</t>
  </si>
  <si>
    <t>3.3.10</t>
  </si>
  <si>
    <t>3.3.11</t>
  </si>
  <si>
    <t>3.3.12</t>
  </si>
  <si>
    <r>
      <t xml:space="preserve">Asalariados registrados del </t>
    </r>
    <r>
      <rPr>
        <b/>
        <i/>
        <sz val="8"/>
        <rFont val="Arial"/>
        <family val="2"/>
      </rPr>
      <t>sector privado</t>
    </r>
    <r>
      <rPr>
        <b/>
        <sz val="8"/>
        <rFont val="Arial"/>
        <family val="2"/>
      </rPr>
      <t xml:space="preserve"> en el SIPA de la provincia de Santa Fe</t>
    </r>
  </si>
  <si>
    <t>Administración Nacional de la Seguridad Social (ANSES)</t>
  </si>
  <si>
    <t>Cantidad de jubiados y pensionados de Argentina</t>
  </si>
  <si>
    <t>Jubilados</t>
  </si>
  <si>
    <t>Pensionados</t>
  </si>
  <si>
    <t>Trabajadores registrados según modalidad ocupacional principal. Serie bruta. Total país.</t>
  </si>
  <si>
    <t>Asalariados privados</t>
  </si>
  <si>
    <t>Asalariados públicos</t>
  </si>
  <si>
    <t xml:space="preserve">Asalariados de casas particulares </t>
  </si>
  <si>
    <t xml:space="preserve">Independientes Autónomos </t>
  </si>
  <si>
    <t>Independientes Monotributo</t>
  </si>
  <si>
    <t xml:space="preserve">Independientes Monotributo
Social </t>
  </si>
  <si>
    <t xml:space="preserve">Total </t>
  </si>
  <si>
    <t>2.2.d. Trabajadores registrados según modalidad ocupacional principal</t>
  </si>
  <si>
    <t>2.2.c. Jubilaciones y pensiones por tipo de prestación</t>
  </si>
  <si>
    <t>Jubilaciones y pensiones por tipo de prestación. Total país.</t>
  </si>
  <si>
    <t>2.2.c.1</t>
  </si>
  <si>
    <t>2.2.c.2</t>
  </si>
  <si>
    <t>2.2.c.3</t>
  </si>
  <si>
    <t>2.2.d.1</t>
  </si>
  <si>
    <t>2.2.d.2</t>
  </si>
  <si>
    <t>2.2.d.3</t>
  </si>
  <si>
    <t>2.2.d.4</t>
  </si>
  <si>
    <t>2.2.d.5</t>
  </si>
  <si>
    <t>2.2.d.6</t>
  </si>
  <si>
    <t>2.2.d.7</t>
  </si>
  <si>
    <t>Titulares de derecho de la Asignacion Universal por Hijo (AUH) y por Hijo Discapacitado (AUHD)</t>
  </si>
  <si>
    <t>AUH</t>
  </si>
  <si>
    <t>AUHD</t>
  </si>
  <si>
    <t>N° de titulares</t>
  </si>
  <si>
    <t>2.2.e.1</t>
  </si>
  <si>
    <t>2.2.e.2</t>
  </si>
  <si>
    <t>2.2.e.3</t>
  </si>
  <si>
    <t>2.2.e.4</t>
  </si>
  <si>
    <t>2.2.e. Titulares de derecho de la Asignacion Universal por Hijo (AUH)</t>
  </si>
  <si>
    <t>Explotación de minas y canteras</t>
  </si>
  <si>
    <t>Recursos tributarios de origen nacional transferidos a la provincia de Santa Fe (Coparticipación y otros)</t>
  </si>
  <si>
    <t>7.2. Recursos tributarios de origen nacional</t>
  </si>
  <si>
    <t>6.3.3</t>
  </si>
  <si>
    <t>6.3.4</t>
  </si>
  <si>
    <t>Actividad económica global (Global Economic Barometers)</t>
  </si>
  <si>
    <t>KOF Swiss Economic Institute and Fundação Getúlio Vargas (FGV)</t>
  </si>
  <si>
    <t>Global economic barometer (Coincident)</t>
  </si>
  <si>
    <t>Globnal economic barometer (Leading)</t>
  </si>
  <si>
    <t>1.6.1</t>
  </si>
  <si>
    <t>1.6.2</t>
  </si>
  <si>
    <t>Índice. Promedio de largo plazo = 100</t>
  </si>
  <si>
    <t>Nº de automotores</t>
  </si>
  <si>
    <t>Ente Nacional Regulador del Gas (ENARGAS)</t>
  </si>
  <si>
    <t>Total Gasoil</t>
  </si>
  <si>
    <t>8.9.9</t>
  </si>
  <si>
    <t xml:space="preserve"> Orlando J. Ferreres &amp; Asociados S.A. (OJF)</t>
  </si>
  <si>
    <t>Centro de Estudios y Servicios (CES) - Bolsa de Comercio de Santa Fe (BCSF)</t>
  </si>
  <si>
    <t>Inflación implicita anual</t>
  </si>
  <si>
    <t>Miles de pesos constantes de 2004</t>
  </si>
  <si>
    <t xml:space="preserve">Dirección General de Ingresos Públicos - Ministerio de Economía. </t>
  </si>
  <si>
    <t>Observatorio de Empleo y Dinámica Empresarial (OEDE) - MTEySS</t>
  </si>
  <si>
    <t>Planta de personal del sector público provincial</t>
  </si>
  <si>
    <t>Monto destinado a remuneraciones</t>
  </si>
  <si>
    <t>Precios implícitos</t>
  </si>
  <si>
    <t>Oferta y Demanda agregada: Producto Bruto Interno (PBI) y otros sub-componentes, a precios de mercado. Pesos constantes de 2004</t>
  </si>
  <si>
    <t>Cuentas Nacionales - Instituto Nacional de Estadísticas y Censos (INDEC). Metodología revisión base 2004.</t>
  </si>
  <si>
    <t>Total de la planta de personal del sector público provincial</t>
  </si>
  <si>
    <t>Índice base 2016.10=100</t>
  </si>
  <si>
    <t>Encuesta Permanente de Hogares (EPH) - INDEC</t>
  </si>
  <si>
    <t>Miles personas</t>
  </si>
  <si>
    <t>Departamento de Lechería - Dirección de Sanidad Animal - Ministerio de la Producción</t>
  </si>
  <si>
    <t>Litros</t>
  </si>
  <si>
    <t>Ministerio de Agricultura, Ganadería y Pesca (MAGyP)</t>
  </si>
  <si>
    <t>Kg</t>
  </si>
  <si>
    <t>Índice base 08-03-2019 = 14333042.31</t>
  </si>
  <si>
    <t>Índice base 11-01-2019 = 33884.60</t>
  </si>
  <si>
    <t>Plaza</t>
  </si>
  <si>
    <t>Total General</t>
  </si>
  <si>
    <t>IPC-GBA (serie histórica)</t>
  </si>
  <si>
    <t>IPC-GBA (corregida)</t>
  </si>
  <si>
    <t>Precios minoristas GBA (fuentes alternativas)</t>
  </si>
  <si>
    <t>Centro de investigacions Buenos Aires City - UBA</t>
  </si>
  <si>
    <t>Expectativas empresarias y puestos vacantes: Aglomerado Gran Rosario</t>
  </si>
  <si>
    <t>Expectativas empresarias y puestos vacantes: Aglomerado Gran Santa Fe</t>
  </si>
  <si>
    <t>La dotación se mantendrá</t>
  </si>
  <si>
    <t>La dotación aumentará</t>
  </si>
  <si>
    <t>La dotación disminuirá</t>
  </si>
  <si>
    <t>2.1. Demanda laboral, expectativas empresarias y puestos vacantes</t>
  </si>
  <si>
    <t>2.1.7</t>
  </si>
  <si>
    <t>2.1.8</t>
  </si>
  <si>
    <t>2.1.9</t>
  </si>
  <si>
    <t>2.1.10</t>
  </si>
  <si>
    <t>2.1.11</t>
  </si>
  <si>
    <t>2.1.12</t>
  </si>
  <si>
    <t>2.1.13</t>
  </si>
  <si>
    <t>2.1.14</t>
  </si>
  <si>
    <t>Índice base 2020.12=100</t>
  </si>
  <si>
    <t>3.5.13</t>
  </si>
  <si>
    <t>3.5.14</t>
  </si>
  <si>
    <t>San Lorenzo</t>
  </si>
  <si>
    <t xml:space="preserve">8.2. Índice de Precios al Consumidor de la Ciudad de Buenos Aires (IPC-BA) </t>
  </si>
  <si>
    <t>$ / USD MEP</t>
  </si>
  <si>
    <t>Rava Bursatil</t>
  </si>
  <si>
    <t>$ / USD CCL</t>
  </si>
  <si>
    <t>8.9.14</t>
  </si>
  <si>
    <t>8.9.15</t>
  </si>
  <si>
    <r>
      <t xml:space="preserve">Valor de </t>
    </r>
    <r>
      <rPr>
        <b/>
        <sz val="8"/>
        <rFont val="Arial"/>
        <family val="2"/>
      </rPr>
      <t>cierre</t>
    </r>
    <r>
      <rPr>
        <sz val="8"/>
        <rFont val="Arial"/>
        <family val="2"/>
      </rPr>
      <t xml:space="preserve"> al último día del mes.</t>
    </r>
  </si>
  <si>
    <t>Sistema Integrado Previsional Argentino (SIPA)</t>
  </si>
  <si>
    <t xml:space="preserve">Instituto Nacional de Estadísticas y Censos (INDEC) - Instituto Provincial de Estadísticas y Censos (IPEC) </t>
  </si>
  <si>
    <t>41 municipios de Argentina</t>
  </si>
  <si>
    <t>60 municipios de Argentina</t>
  </si>
  <si>
    <t>Total provincia de Santa Fe</t>
  </si>
  <si>
    <t>3.5.15</t>
  </si>
  <si>
    <t>Remuneración mediana de los asalariados registrados del sector privado. Total país.</t>
  </si>
  <si>
    <t>Remuneración promedio de los asalariados registrados del sector privado. Total país.</t>
  </si>
  <si>
    <t>1.3. Actividad económica coincidente - Argentina -</t>
  </si>
  <si>
    <t>1.4. Actividad económica líder - Argentina -</t>
  </si>
  <si>
    <t>1.5. Producto Bruto Geográfico de Santa Fe (PBG)</t>
  </si>
  <si>
    <t>1.6. Producto Bruto Interno (PBI) de Argentina y subcomponentes</t>
  </si>
  <si>
    <t>1.7. Actividad económica global</t>
  </si>
  <si>
    <t>Índice Sintético de Actividad Económica de la provincia de Santa Fe (ISAE)</t>
  </si>
  <si>
    <t>Instituto Provincial de Estadísticas y Censos (IPEC)</t>
  </si>
  <si>
    <t>1.3.2</t>
  </si>
  <si>
    <t>1.3.3</t>
  </si>
  <si>
    <t>1.3.4</t>
  </si>
  <si>
    <t>1.3.5</t>
  </si>
  <si>
    <t>1.3.6</t>
  </si>
  <si>
    <t>1.3.7</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</si>
  <si>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</si>
  <si>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</si>
  <si>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</si>
  <si>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</si>
  <si>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</si>
  <si>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</si>
  <si>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</si>
  <si>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</si>
  <si>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</si>
  <si>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</si>
  <si>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</si>
  <si>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</si>
  <si>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</si>
  <si>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</si>
  <si>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</si>
  <si>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</si>
  <si>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</si>
  <si>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</si>
  <si>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</si>
  <si>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</si>
  <si>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</si>
  <si>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</si>
  <si>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</si>
  <si>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1.7.1</t>
  </si>
  <si>
    <t>1.7.2</t>
  </si>
  <si>
    <t>1.2. Indicador Sintético de Actividad Económica (ISAE) - provincia de Santa Fe -</t>
  </si>
  <si>
    <t>Empleo</t>
  </si>
  <si>
    <t>Energía</t>
  </si>
  <si>
    <t>Gasoil</t>
  </si>
  <si>
    <t>Gas industrial</t>
  </si>
  <si>
    <t>Ingresos 
Brutos</t>
  </si>
  <si>
    <t>Patentamiento y transferencias de autos</t>
  </si>
  <si>
    <t>1.2.4</t>
  </si>
  <si>
    <t>1.2.5</t>
  </si>
  <si>
    <t>Componentes del Índice Sintético de Actividad Económica de la provincia de Santa Fe (ISAE)</t>
  </si>
  <si>
    <t>Variaciones mensuales desestacionalizadas</t>
  </si>
  <si>
    <t>Variaciones interanuales desestacionalizadas</t>
  </si>
  <si>
    <t>1.2.6</t>
  </si>
  <si>
    <t>1.2.7</t>
  </si>
  <si>
    <t>1.2.8</t>
  </si>
  <si>
    <t>1.2.9</t>
  </si>
  <si>
    <t>1.2.10</t>
  </si>
  <si>
    <t>1.2.11</t>
  </si>
  <si>
    <t>1.2.12</t>
  </si>
  <si>
    <t>1.2.13</t>
  </si>
  <si>
    <t>1.2.14</t>
  </si>
  <si>
    <t>1.2.15</t>
  </si>
  <si>
    <t>Serie Tendencia- Ciclo</t>
  </si>
  <si>
    <t>Información y comunicación</t>
  </si>
  <si>
    <t>Seguros y servicios financieros</t>
  </si>
  <si>
    <t>Cuidado personal. proteccion social y otros productos</t>
  </si>
  <si>
    <t>Índice base 2021 ≈ 100</t>
  </si>
  <si>
    <t>8.2.14</t>
  </si>
  <si>
    <t>IPIM - Total</t>
  </si>
  <si>
    <t>IPIM - Productos primarios</t>
  </si>
  <si>
    <t>IPIM - Productos manufacturados y energía eléctrica</t>
  </si>
  <si>
    <t>IPIB - Total</t>
  </si>
  <si>
    <t>IPIB - Productos primarios</t>
  </si>
  <si>
    <t>IPIB - Productos manufacturados y energía eléctrica</t>
  </si>
  <si>
    <t>IPP - Productos primarios</t>
  </si>
  <si>
    <t>IPP - Productos manufacturados y energía eléctrica</t>
  </si>
  <si>
    <t>Índice de Precios del Productor (IPP)</t>
  </si>
  <si>
    <t>IPIM - Productos importados</t>
  </si>
  <si>
    <t>IPIB - Productos importados</t>
  </si>
  <si>
    <t>IPP - Productos nacionales</t>
  </si>
  <si>
    <t>IPP - Nivel general</t>
  </si>
  <si>
    <t>IPIB - Nivel general</t>
  </si>
  <si>
    <t>IPIM - Nivel general</t>
  </si>
  <si>
    <t>Índice de Precios Internos Básicos (IPIB)</t>
  </si>
  <si>
    <t>Recursos tributarios de origen provincial, provincia de Santa Fe</t>
  </si>
  <si>
    <t>Dirección Nacional Láctea - MAGyP</t>
  </si>
  <si>
    <t>Santa Fe</t>
  </si>
  <si>
    <t>Producción nacional de leche cruda</t>
  </si>
  <si>
    <t>Producción láctea de once (11) empresas de la provincia de Santa Fe</t>
  </si>
  <si>
    <t>Pesos constantes</t>
  </si>
  <si>
    <t>Consumo del Mercado Interno (Despacho Nacional + Importaciones)</t>
  </si>
  <si>
    <t xml:space="preserve">Consumo interno de cemento Pórtland en Argentina </t>
  </si>
  <si>
    <t>Superficie cubierta autorizada de permisos de edificación en la provincia de Santa Fe</t>
  </si>
  <si>
    <t>Índice de Producción Industrial (IPI) de Argentina</t>
  </si>
  <si>
    <t>Loading PDF 45% ...</t>
  </si>
  <si>
    <t>176 municipios de Argentina</t>
  </si>
  <si>
    <t>3.5.16</t>
  </si>
  <si>
    <t>Ramas del Índice de Producción Industrial (IPI) de Argentina</t>
  </si>
  <si>
    <t>Otro tipo de naftas + nafta virgen</t>
  </si>
  <si>
    <t>3.6.13</t>
  </si>
  <si>
    <t>3.6.14</t>
  </si>
  <si>
    <t>3.6.15</t>
  </si>
  <si>
    <t>9.1.1</t>
  </si>
  <si>
    <t>9.1.2</t>
  </si>
  <si>
    <t>9.1.3</t>
  </si>
  <si>
    <t>9.1.4</t>
  </si>
  <si>
    <t>9.1.5</t>
  </si>
  <si>
    <t>9.1.6</t>
  </si>
  <si>
    <t>9.1.7</t>
  </si>
  <si>
    <t>9.1.8</t>
  </si>
  <si>
    <t>9.1.9</t>
  </si>
  <si>
    <t>Cargos transitorios/ no permanentes</t>
  </si>
  <si>
    <t>Circulación total de lunes a domingos</t>
  </si>
  <si>
    <t>Circulación total de los domingos</t>
  </si>
  <si>
    <t>Circulación total total del mes</t>
  </si>
  <si>
    <t>Circulación total del mes</t>
  </si>
  <si>
    <t>Patentamientos nuevos y transferencias de usados en la provincia de Santa Fe</t>
  </si>
  <si>
    <t>Patentamientos nuevos y transferencias de usados en Argentina</t>
  </si>
  <si>
    <t>2.2. Nivel de empleo y remuneraciones (Santa Fe)</t>
  </si>
  <si>
    <t>2.2.a. Nivel de empleo y remuneraciones (Argentina)</t>
  </si>
  <si>
    <t>Puestos de trabajo asalariados registrados en el sector público</t>
  </si>
  <si>
    <t>Puestos de trabajo asalariados registrados en el sector privado</t>
  </si>
  <si>
    <t>Total de puestos de trabajo asalariados registrados</t>
  </si>
  <si>
    <t>Salario promedio del sector público</t>
  </si>
  <si>
    <t>Salario promedio del sector privado</t>
  </si>
  <si>
    <t>Salario mediano del sector público</t>
  </si>
  <si>
    <t>Salario mediano del sector privado</t>
  </si>
  <si>
    <t>Puestos de trabajo por sector de actividad. Públicos y privados.</t>
  </si>
  <si>
    <t>Ministerio de Desarrollo Productivo. Unidad Gabinete de Asesores. Dirección Nacional de Estudios para la Producción.</t>
  </si>
  <si>
    <t>Nivel de empleo</t>
  </si>
  <si>
    <t>Remuneraciones</t>
  </si>
  <si>
    <t>O</t>
  </si>
  <si>
    <t>Q</t>
  </si>
  <si>
    <t>R</t>
  </si>
  <si>
    <t>S</t>
  </si>
  <si>
    <t>Z</t>
  </si>
  <si>
    <t>Puestos de trabajo asalariados registrados. Suma de los dptos. de la provincia de Santa Fe (no se publica el total provincial)</t>
  </si>
  <si>
    <t>Salario promedio - promedio de los dptos. de la provincia de Santa Fe (no se publica el total provincial)</t>
  </si>
  <si>
    <t>Salario mediano - mediana de los dptos. de la provincia de Santa Fe (no se publica el total provincial)</t>
  </si>
  <si>
    <t>Agricultura, ganadería, caza, silvicultura y pesca</t>
  </si>
  <si>
    <t>Suministro de electricidad, gas, vapor y aire acondicionado</t>
  </si>
  <si>
    <t>Suministro de agua</t>
  </si>
  <si>
    <t>Construcción</t>
  </si>
  <si>
    <t>Comercio al por mayor y al por menor</t>
  </si>
  <si>
    <t>Servicio de transporte y almacenamiento</t>
  </si>
  <si>
    <t>Servicios de alojamiento y servicios de comida</t>
  </si>
  <si>
    <t>Información y comunicaciones</t>
  </si>
  <si>
    <t>Intermediación financiera y servicios de seguros</t>
  </si>
  <si>
    <t>Servicios inmobiliarios</t>
  </si>
  <si>
    <t>Servicios profesionales, científicos y técnicos</t>
  </si>
  <si>
    <t>Actividades administrativas y servicios de apoyo</t>
  </si>
  <si>
    <t xml:space="preserve"> Administracion publica,defensa y seguridad social obligatoria</t>
  </si>
  <si>
    <t>Salud humana y servicios sociales</t>
  </si>
  <si>
    <t>Servicios artísticos, culturales, deportivos y de esparcimiento</t>
  </si>
  <si>
    <t>Servicios de asociaciones y servicios personales</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</si>
  <si>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</si>
  <si>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</si>
  <si>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</si>
  <si>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</si>
  <si>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</si>
  <si>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</si>
  <si>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</si>
  <si>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</si>
  <si>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</si>
  <si>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</si>
  <si>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</si>
  <si>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</si>
  <si>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</si>
  <si>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</si>
  <si>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</si>
  <si>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</si>
  <si>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</si>
  <si>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</si>
  <si>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</si>
  <si>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</si>
  <si>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</si>
  <si>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</si>
  <si>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</si>
  <si>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</si>
  <si>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</si>
  <si>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</si>
  <si>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</si>
  <si>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Patentamientos de automotores nuevos en la provincia de Santa Fe, desagregados por categoría</t>
  </si>
  <si>
    <t>Patentamientos de automotores</t>
  </si>
  <si>
    <t xml:space="preserve">Automóviles </t>
  </si>
  <si>
    <t>Transporte y carga</t>
  </si>
  <si>
    <t>Acoplados</t>
  </si>
  <si>
    <t>3.6.16</t>
  </si>
  <si>
    <t>3.1.5</t>
  </si>
  <si>
    <t>---</t>
  </si>
  <si>
    <t>Indicador Mensual de Actividad Económica de la provincia de Santa Fe (IMAE)</t>
  </si>
  <si>
    <t xml:space="preserve">Agricultura, ganadería, caza y silvicultura </t>
  </si>
  <si>
    <t xml:space="preserve"> Pesca</t>
  </si>
  <si>
    <t>Comercio mayorista, minorista y reparaciones</t>
  </si>
  <si>
    <t>Hoteles y restaurantes</t>
  </si>
  <si>
    <t>Transporte y comunicaciones</t>
  </si>
  <si>
    <t>Actividades inmobiliarias, empresariales y de alquiler</t>
  </si>
  <si>
    <t xml:space="preserve"> Administración pública y defensa; planes de seguridad social de afiliación obligatoria</t>
  </si>
  <si>
    <t>Otras actividades de servicios comunitarios, sociales y personales</t>
  </si>
  <si>
    <t>Nivel - con estacionalidad -</t>
  </si>
  <si>
    <t>Series con estacionalidad</t>
  </si>
  <si>
    <t>Índice base 1941-1943=10</t>
  </si>
  <si>
    <t>Componentes del Indicador Mensual de Actividad Económica de la provincia de Santa Fe (IMAE)</t>
  </si>
  <si>
    <t>1.2.b.  Indicador Mensual de la Actividad Económica (IMAE) - provincia de Santa Fe -</t>
  </si>
  <si>
    <t>1.2.b.2</t>
  </si>
  <si>
    <t>1.2.b.3</t>
  </si>
  <si>
    <t>1.2.b.4</t>
  </si>
  <si>
    <t>1.2.b.5</t>
  </si>
  <si>
    <t>1.2.b.6</t>
  </si>
  <si>
    <t>1.2.b.7</t>
  </si>
  <si>
    <t>1.2.b.8</t>
  </si>
  <si>
    <t>1.2.b.9</t>
  </si>
  <si>
    <t>1.2.b.10</t>
  </si>
  <si>
    <t>1.2.b.11</t>
  </si>
  <si>
    <t>1.2.b.12</t>
  </si>
  <si>
    <t>1.2.b.13</t>
  </si>
  <si>
    <t>1.2.b.14</t>
  </si>
  <si>
    <t>1.2.b.15</t>
  </si>
  <si>
    <t>1.2.b.16</t>
  </si>
  <si>
    <t>1.2.b.17</t>
  </si>
  <si>
    <t>1.2.b.18</t>
  </si>
  <si>
    <t>1.2.b.19</t>
  </si>
  <si>
    <t>1.2.b.1</t>
  </si>
  <si>
    <r>
      <t>Advertencia sobre el uso de series estadísticas (comunicado oficial de INDEC)</t>
    </r>
    <r>
      <rPr>
        <b/>
        <sz val="8"/>
        <rFont val="Arial"/>
        <family val="2"/>
      </rPr>
      <t xml:space="preserve">: </t>
    </r>
    <r>
      <rPr>
        <sz val="8"/>
        <rFont val="Arial"/>
        <family val="2"/>
      </rPr>
      <t xml:space="preserve">Los datos subrayados indican que las estadísticas publicadas entre enero 2007 y hasta diciembre 2015 deben ser consideradas con reservas, excepto las que ya hayan sido revisadas en 2016 y su difusión lo consigne expresamente. </t>
    </r>
  </si>
  <si>
    <t>Encuesta de Indicadores Laborales (EIL) - Ministerio de Trabajo, Empleo y Seguridad Social de la Nación (MTEySS)</t>
  </si>
  <si>
    <t xml:space="preserve">   ---</t>
  </si>
  <si>
    <t>Estadísticas de carga en base a los puertos comerciales e industriales del país</t>
  </si>
  <si>
    <t xml:space="preserve">Ministerio de Transporte de la Nación </t>
  </si>
  <si>
    <t>Carga containerizada</t>
  </si>
  <si>
    <t xml:space="preserve">Carga no containerizada </t>
  </si>
  <si>
    <t>Total puertos registrados a nivel nacional</t>
  </si>
  <si>
    <t>Tipo de operación</t>
  </si>
  <si>
    <t>Carga</t>
  </si>
  <si>
    <t>Descarga</t>
  </si>
  <si>
    <t xml:space="preserve">Importación </t>
  </si>
  <si>
    <t xml:space="preserve">Exportación </t>
  </si>
  <si>
    <t xml:space="preserve">Cabotaje entrado </t>
  </si>
  <si>
    <t xml:space="preserve">Cabotaje salido </t>
  </si>
  <si>
    <t>Transbordo / Tránsito Entrado</t>
  </si>
  <si>
    <t>Transbordo / Tránsito Salido</t>
  </si>
  <si>
    <t>TEU</t>
  </si>
  <si>
    <t>4.7.1</t>
  </si>
  <si>
    <t>4.7.2</t>
  </si>
  <si>
    <t>4.7.3</t>
  </si>
  <si>
    <t>4.7.4</t>
  </si>
  <si>
    <t>4.7.5</t>
  </si>
  <si>
    <t>4.7.6</t>
  </si>
  <si>
    <t>4.7.7</t>
  </si>
  <si>
    <t>4.7.8</t>
  </si>
  <si>
    <t>4.7.9</t>
  </si>
  <si>
    <t>4.7.10</t>
  </si>
  <si>
    <t>4.7.11</t>
  </si>
  <si>
    <t>4.7.12</t>
  </si>
  <si>
    <t>4.7.13</t>
  </si>
  <si>
    <t>4.7.14</t>
  </si>
  <si>
    <t>4.7.15</t>
  </si>
  <si>
    <t>4.7.16</t>
  </si>
  <si>
    <t>2014:T1</t>
  </si>
  <si>
    <t>4.7. Movimientos de carga de puertos de la provincia</t>
  </si>
  <si>
    <t>9.1. Circulación de periódicos</t>
  </si>
  <si>
    <t>Empleadores asegurados con trabajadores en unidades productivas según sector económico - Provincia de Santa Fe</t>
  </si>
  <si>
    <t xml:space="preserve">Ministerio de Capital Humano - Secretaría de Trabajo, Empleo y Seguridad Social de la Nación </t>
  </si>
  <si>
    <t xml:space="preserve">Agricultura </t>
  </si>
  <si>
    <t xml:space="preserve">Mineria </t>
  </si>
  <si>
    <t xml:space="preserve">Manufacturas </t>
  </si>
  <si>
    <t xml:space="preserve">Electricidad </t>
  </si>
  <si>
    <t xml:space="preserve">Construcción </t>
  </si>
  <si>
    <t xml:space="preserve">Comercio </t>
  </si>
  <si>
    <t xml:space="preserve">Transporte </t>
  </si>
  <si>
    <t xml:space="preserve">Sin clasificar </t>
  </si>
  <si>
    <t>N° de empresas</t>
  </si>
  <si>
    <t>9.2.4</t>
  </si>
  <si>
    <t>9.2.5</t>
  </si>
  <si>
    <t>9.2.6</t>
  </si>
  <si>
    <t>9.2.7</t>
  </si>
  <si>
    <t>9.2.8</t>
  </si>
  <si>
    <t>9.2.9</t>
  </si>
  <si>
    <t>9.2.10</t>
  </si>
  <si>
    <t>9.2.11</t>
  </si>
  <si>
    <t>9.2.12</t>
  </si>
  <si>
    <t>9.2.13</t>
  </si>
  <si>
    <t>9.2.14</t>
  </si>
  <si>
    <t>9.2.15</t>
  </si>
  <si>
    <t>9.2.16</t>
  </si>
  <si>
    <t>Aglomerado 
Gran Santa Fe</t>
  </si>
  <si>
    <t>Aglomerado 
Gran Rosario</t>
  </si>
  <si>
    <t>Empleadores asegurados sólo con trabajadores de casas particulares</t>
  </si>
  <si>
    <t>Empleadores asegurados con trabajadores en unidades productivas</t>
  </si>
  <si>
    <t xml:space="preserve">Servicios sociales </t>
  </si>
  <si>
    <t xml:space="preserve">Servicios financieros </t>
  </si>
  <si>
    <t>Número total de empleadores afiliados en la provincia de Santa Fe</t>
  </si>
  <si>
    <t>Total de empleadores afiliados</t>
  </si>
  <si>
    <t>9.2. Empledores afiliados</t>
  </si>
  <si>
    <t>9.3. Tránsito vehicular autopista AP-01</t>
  </si>
  <si>
    <t>Número total de empleadores afiliados en Argentina</t>
  </si>
  <si>
    <t>9.2.17</t>
  </si>
  <si>
    <t>9.2.18</t>
  </si>
  <si>
    <t>9.2.19</t>
  </si>
  <si>
    <t>Última actualización:  15/05/2024</t>
  </si>
  <si>
    <t>Próxima fecha de publicación: 12/06/2024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</si>
</sst>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4" formatCode="_-&quot;$&quot;\ * #,##0.00_-;\-&quot;$&quot;\ * #,##0.00_-;_-&quot;$&quot;\ * &quot;-&quot;??_-;_-@_-"/>
    <numFmt numFmtId="43" formatCode="_-* #,##0.00_-;\-* #,##0.00_-;_-* &quot;-&quot;??_-;_-@_-"/>
    <numFmt numFmtId="164" formatCode="_ &quot;$&quot;\ * #,##0_ ;_ &quot;$&quot;\ * \-#,##0_ ;_ &quot;$&quot;\ * &quot;-&quot;_ ;_ @_ "/>
    <numFmt numFmtId="165" formatCode="_ &quot;$&quot;\ * #,##0.00_ ;_ &quot;$&quot;\ * \-#,##0.00_ ;_ &quot;$&quot;\ * &quot;-&quot;??_ ;_ @_ "/>
    <numFmt numFmtId="166" formatCode="_ * #,##0.00_ ;_ * \-#,##0.00_ ;_ * &quot;-&quot;??_ ;_ @_ "/>
    <numFmt numFmtId="167" formatCode="_(* #,##0.00_);_(* \(#,##0.00\);_(* &quot;-&quot;??_);_(@_)"/>
    <numFmt numFmtId="168" formatCode="_-* #,##0.00\ &quot;€&quot;_-;\-* #,##0.00\ &quot;€&quot;_-;_-* &quot;-&quot;??\ &quot;€&quot;_-;_-@_-"/>
    <numFmt numFmtId="169" formatCode="_-* #,##0.00\ _€_-;\-* #,##0.00\ _€_-;_-* &quot;-&quot;??\ _€_-;_-@_-"/>
    <numFmt numFmtId="170" formatCode="#,##0_);[Red]\-#,##0_)"/>
    <numFmt numFmtId="171" formatCode="#,##0.0_);[Red]\-#,##0.0_)"/>
    <numFmt numFmtId="172" formatCode="#,##0.00_);[Red]\-#,##0.00_)"/>
    <numFmt numFmtId="173" formatCode="0.00_);[Red]\-0.00_)"/>
    <numFmt numFmtId="174" formatCode="#,##0.000_);[Red]\-#,##0.000_)"/>
    <numFmt numFmtId="175" formatCode="#,##0_)"/>
    <numFmt numFmtId="176" formatCode="0.000"/>
    <numFmt numFmtId="177" formatCode="#,##0.00_)"/>
    <numFmt numFmtId="178" formatCode="0.00%_);[Red]\-0.00%_)"/>
    <numFmt numFmtId="179" formatCode="0.0%"/>
    <numFmt numFmtId="180" formatCode="0.0%_);[Red]\-0.0%_)"/>
    <numFmt numFmtId="181" formatCode="#,##0.0_)"/>
    <numFmt numFmtId="182" formatCode="0.0000"/>
    <numFmt numFmtId="183" formatCode="#,##0.000"/>
    <numFmt numFmtId="184" formatCode="#,##0.0"/>
    <numFmt numFmtId="185" formatCode="0.0"/>
    <numFmt numFmtId="186" formatCode="0.00000"/>
    <numFmt numFmtId="187" formatCode="General_)"/>
    <numFmt numFmtId="188" formatCode="_ [$€-2]\ * #,##0.00_ ;_ [$€-2]\ * \-#,##0.00_ ;_ [$€-2]\ * &quot;-&quot;??_ "/>
    <numFmt numFmtId="189" formatCode="0.0_)"/>
    <numFmt numFmtId="190" formatCode="#.00"/>
    <numFmt numFmtId="191" formatCode="\$#.00"/>
    <numFmt numFmtId="192" formatCode="#,"/>
    <numFmt numFmtId="193" formatCode="0.0000000%"/>
    <numFmt numFmtId="194" formatCode="_-* #,##0.00\ [$€]_-;\-* #,##0.00\ [$€]_-;_-* &quot;-&quot;??\ [$€]_-;_-@_-"/>
    <numFmt numFmtId="195" formatCode="_ * #,##0.0_ ;_ * \-#,##0.0_ ;_ * &quot;-&quot;??_ ;_ @_ "/>
    <numFmt numFmtId="196" formatCode="_ * #,##0_ ;_ * \-#,##0_ ;_ * &quot;-&quot;??_ ;_ @_ "/>
    <numFmt numFmtId="197" formatCode="#,000,000"/>
    <numFmt numFmtId="198" formatCode="0.0_);[Red]\-0.0_)"/>
    <numFmt numFmtId="199" formatCode="#,##0.0_ ;[Red]\-#,##0.0\ "/>
    <numFmt numFmtId="200" formatCode="#.##000"/>
    <numFmt numFmtId="201" formatCode="\$#,#00"/>
    <numFmt numFmtId="202" formatCode="#,#00"/>
    <numFmt numFmtId="203" formatCode="#.##0,"/>
    <numFmt numFmtId="204" formatCode="\$#,"/>
    <numFmt numFmtId="205" formatCode="0.00000000000000%"/>
    <numFmt numFmtId="206" formatCode="&quot;$&quot;\ #,##0.00_);[Red]\(&quot;$&quot;\ #,##0.00\)"/>
    <numFmt numFmtId="207" formatCode="_-* #,##0.00\ _P_t_s_-;\-* #,##0.00\ _P_t_s_-;_-* &quot;-&quot;??\ _P_t_s_-;_-@_-"/>
    <numFmt numFmtId="208" formatCode="0.0\ \ "/>
    <numFmt numFmtId="209" formatCode="0.00_ ;[Red]\-0.00\ "/>
    <numFmt numFmtId="210" formatCode="##.###.###.##00"/>
    <numFmt numFmtId="211" formatCode="0.00000%"/>
    <numFmt numFmtId="212" formatCode="0.000000%"/>
    <numFmt numFmtId="213" formatCode="0.0000%"/>
    <numFmt numFmtId="214" formatCode="0.000000000000%"/>
    <numFmt numFmtId="215" formatCode="#,##0_ ;[Red]\-#,##0\ "/>
    <numFmt numFmtId="216" formatCode="0.000%"/>
    <numFmt numFmtId="217" formatCode="#,##0.0000_);[Red]\-#,##0.0000_)"/>
    <numFmt numFmtId="218" formatCode="#,##0.00000_);[Red]\-#,##0.00000_)"/>
    <numFmt numFmtId="219" formatCode="#,##0.0000_ ;[Red]\-#,##0.0000\ "/>
    <numFmt numFmtId="220" formatCode="0.000000000000000%"/>
    <numFmt numFmtId="221" formatCode="_-* #,##0_-;\-* #,##0_-;_-* &quot;-&quot;??_-;_-@_-"/>
    <numFmt numFmtId="223" formatCode="_(* #,##0_);_(* \(#,##0\);_(* &quot;-&quot;??_);_(@_)"/>
  </numFmts>
  <fonts count="2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
      <color indexed="8"/>
      <name val="Courier"/>
    </font>
    <font>
      <sz val="10"/>
      <name val="Arial"/>
      <family val="2"/>
    </font>
    <font>
      <b/>
      <sz val="1"/>
      <color indexed="8"/>
      <name val="Courier"/>
    </font>
    <font>
      <u/>
      <sz val="10"/>
      <color indexed="12"/>
      <name val="Arial"/>
      <family val="2"/>
    </font>
    <font>
      <b/>
      <sz val="10"/>
      <name val="Arial"/>
      <family val="2"/>
    </font>
    <font>
      <sz val="10"/>
      <name val="Arial"/>
      <family val="2"/>
    </font>
    <font>
      <sz val="8"/>
      <name val="Arial"/>
      <family val="2"/>
    </font>
    <font>
      <sz val="10"/>
      <color indexed="9"/>
      <name val="Arial"/>
      <family val="2"/>
    </font>
    <font>
      <sz val="1"/>
      <color indexed="18"/>
      <name val="Courier"/>
    </font>
    <font>
      <sz val="10"/>
      <name val="Univers"/>
      <family val="2"/>
    </font>
    <font>
      <sz val="8"/>
      <name val="Univers"/>
      <family val="2"/>
    </font>
    <font>
      <sz val="10"/>
      <name val="MS Sans Serif"/>
    </font>
    <font>
      <sz val="10"/>
      <name val="Courier"/>
    </font>
    <font>
      <sz val="10"/>
      <name val="Verdana"/>
      <family val="2"/>
    </font>
    <font>
      <b/>
      <sz val="10"/>
      <color indexed="9"/>
      <name val="Arial"/>
      <family val="2"/>
    </font>
    <font>
      <sz val="10"/>
      <color indexed="10"/>
      <name val="Arial"/>
      <family val="2"/>
    </font>
    <font>
      <b/>
      <sz val="8"/>
      <color indexed="81"/>
      <name val="Tahoma"/>
      <family val="2"/>
    </font>
    <font>
      <sz val="8"/>
      <color indexed="81"/>
      <name val="Tahoma"/>
      <family val="2"/>
    </font>
    <font>
      <sz val="8"/>
      <color indexed="9"/>
      <name val="Arial"/>
      <family val="2"/>
    </font>
    <font>
      <b/>
      <sz val="8"/>
      <name val="Arial"/>
      <family val="2"/>
    </font>
    <font>
      <b/>
      <sz val="8"/>
      <name val="Arial"/>
      <family val="2"/>
    </font>
    <font>
      <b/>
      <sz val="8"/>
      <color indexed="16"/>
      <name val="Arial"/>
      <family val="2"/>
    </font>
    <font>
      <b/>
      <i/>
      <sz val="8"/>
      <name val="Arial"/>
      <family val="2"/>
    </font>
    <font>
      <b/>
      <sz val="8"/>
      <color indexed="10"/>
      <name val="Arial"/>
      <family val="2"/>
    </font>
    <font>
      <sz val="8"/>
      <name val="Arial"/>
      <family val="2"/>
    </font>
    <font>
      <b/>
      <sz val="8"/>
      <color indexed="12"/>
      <name val="Arial"/>
      <family val="2"/>
    </font>
    <font>
      <b/>
      <sz val="8"/>
      <color indexed="8"/>
      <name val="Arial"/>
      <family val="2"/>
    </font>
    <font>
      <sz val="8"/>
      <color indexed="12"/>
      <name val="Arial"/>
      <family val="2"/>
    </font>
    <font>
      <b/>
      <i/>
      <sz val="8"/>
      <color indexed="9"/>
      <name val="Arial"/>
      <family val="2"/>
    </font>
    <font>
      <b/>
      <sz val="8"/>
      <color indexed="20"/>
      <name val="Arial"/>
      <family val="2"/>
    </font>
    <font>
      <b/>
      <i/>
      <sz val="8"/>
      <color indexed="20"/>
      <name val="Arial"/>
      <family val="2"/>
    </font>
    <font>
      <sz val="9"/>
      <name val="Arial"/>
      <family val="2"/>
    </font>
    <font>
      <sz val="8"/>
      <color indexed="10"/>
      <name val="Arial"/>
      <family val="2"/>
    </font>
    <font>
      <b/>
      <sz val="10"/>
      <color indexed="18"/>
      <name val="Arial"/>
      <family val="2"/>
    </font>
    <font>
      <b/>
      <sz val="11"/>
      <color indexed="9"/>
      <name val="Arial"/>
      <family val="2"/>
    </font>
    <font>
      <b/>
      <sz val="10"/>
      <color indexed="62"/>
      <name val="Arial"/>
      <family val="2"/>
    </font>
    <font>
      <b/>
      <sz val="10"/>
      <color indexed="17"/>
      <name val="Arial"/>
      <family val="2"/>
    </font>
    <font>
      <sz val="10"/>
      <color indexed="17"/>
      <name val="Arial"/>
      <family val="2"/>
    </font>
    <font>
      <sz val="10"/>
      <color indexed="62"/>
      <name val="Arial"/>
      <family val="2"/>
    </font>
    <font>
      <i/>
      <sz val="8"/>
      <color indexed="9"/>
      <name val="Arial"/>
      <family val="2"/>
    </font>
    <font>
      <b/>
      <sz val="8"/>
      <color indexed="9"/>
      <name val="Arial"/>
      <family val="2"/>
    </font>
    <font>
      <sz val="8"/>
      <color indexed="22"/>
      <name val="Arial"/>
      <family val="2"/>
    </font>
    <font>
      <b/>
      <sz val="8"/>
      <color indexed="41"/>
      <name val="Arial"/>
      <family val="2"/>
    </font>
    <font>
      <vertAlign val="superscript"/>
      <sz val="8"/>
      <name val="Arial"/>
      <family val="2"/>
    </font>
    <font>
      <b/>
      <u/>
      <sz val="8"/>
      <color indexed="12"/>
      <name val="Arial"/>
      <family val="2"/>
    </font>
    <font>
      <i/>
      <sz val="8"/>
      <name val="Arial"/>
      <family val="2"/>
    </font>
    <font>
      <u/>
      <sz val="8"/>
      <name val="Arial"/>
      <family val="2"/>
    </font>
    <font>
      <sz val="8"/>
      <color indexed="8"/>
      <name val="Arial"/>
      <family val="2"/>
    </font>
    <font>
      <sz val="8"/>
      <color indexed="9"/>
      <name val="Arial"/>
      <family val="2"/>
    </font>
    <font>
      <sz val="8"/>
      <color indexed="12"/>
      <name val="Arial"/>
      <family val="2"/>
    </font>
    <font>
      <b/>
      <sz val="8"/>
      <color indexed="9"/>
      <name val="Arial"/>
      <family val="2"/>
    </font>
    <font>
      <b/>
      <sz val="8"/>
      <color indexed="56"/>
      <name val="Arial"/>
      <family val="2"/>
    </font>
    <font>
      <u/>
      <sz val="8"/>
      <name val="Arial"/>
      <family val="2"/>
    </font>
    <font>
      <b/>
      <sz val="11"/>
      <name val="Arial"/>
      <family val="2"/>
    </font>
    <font>
      <sz val="8"/>
      <color indexed="55"/>
      <name val="Arial"/>
      <family val="2"/>
    </font>
    <font>
      <b/>
      <u/>
      <sz val="8"/>
      <color indexed="9"/>
      <name val="Arial"/>
      <family val="2"/>
    </font>
    <font>
      <sz val="8"/>
      <color indexed="53"/>
      <name val="Arial"/>
      <family val="2"/>
    </font>
    <font>
      <sz val="8"/>
      <color indexed="56"/>
      <name val="Arial"/>
      <family val="2"/>
    </font>
    <font>
      <sz val="8"/>
      <color indexed="41"/>
      <name val="Arial"/>
      <family val="2"/>
    </font>
    <font>
      <sz val="8"/>
      <color indexed="10"/>
      <name val="Tahoma"/>
      <family val="2"/>
    </font>
    <font>
      <u/>
      <sz val="8"/>
      <color indexed="12"/>
      <name val="Arial"/>
      <family val="2"/>
    </font>
    <font>
      <sz val="10"/>
      <color indexed="12"/>
      <name val="Arial"/>
      <family val="2"/>
    </font>
    <font>
      <b/>
      <sz val="10"/>
      <color indexed="10"/>
      <name val="Arial"/>
      <family val="2"/>
    </font>
    <font>
      <b/>
      <sz val="7"/>
      <color indexed="8"/>
      <name val="Verdana"/>
      <family val="2"/>
    </font>
    <font>
      <sz val="7"/>
      <name val="Arial"/>
      <family val="2"/>
    </font>
    <font>
      <sz val="12"/>
      <name val="Courier"/>
      <family val="3"/>
    </font>
    <font>
      <sz val="1"/>
      <color indexed="8"/>
      <name val="Courier"/>
      <family val="3"/>
    </font>
    <font>
      <i/>
      <sz val="1"/>
      <color indexed="8"/>
      <name val="Courier"/>
      <family val="3"/>
    </font>
    <font>
      <u/>
      <sz val="8"/>
      <color indexed="8"/>
      <name val="Arial"/>
      <family val="2"/>
    </font>
    <font>
      <b/>
      <sz val="8"/>
      <color theme="0"/>
      <name val="Arial"/>
      <family val="2"/>
    </font>
    <font>
      <b/>
      <sz val="9"/>
      <color indexed="81"/>
      <name val="Tahoma"/>
      <family val="2"/>
    </font>
    <font>
      <sz val="8"/>
      <color rgb="FF002060"/>
      <name val="Arial"/>
      <family val="2"/>
    </font>
    <font>
      <b/>
      <sz val="8"/>
      <color theme="4" tint="-0.249977111117893"/>
      <name val="Arial"/>
      <family val="2"/>
    </font>
    <font>
      <b/>
      <sz val="8"/>
      <color theme="4"/>
      <name val="Arial"/>
      <family val="2"/>
    </font>
    <font>
      <sz val="9"/>
      <color indexed="81"/>
      <name val="Tahoma"/>
      <family val="2"/>
    </font>
    <font>
      <b/>
      <sz val="11"/>
      <color rgb="FF002060"/>
      <name val="Arial"/>
      <family val="2"/>
    </font>
    <font>
      <b/>
      <sz val="10"/>
      <color rgb="FF002060"/>
      <name val="Arial"/>
      <family val="2"/>
    </font>
    <font>
      <b/>
      <sz val="8"/>
      <color rgb="FF0070C0"/>
      <name val="Arial"/>
      <family val="2"/>
    </font>
    <font>
      <sz val="8"/>
      <color theme="1"/>
      <name val="Arial"/>
      <family val="2"/>
    </font>
    <font>
      <b/>
      <sz val="8"/>
      <color rgb="FF002060"/>
      <name val="Arial"/>
      <family val="2"/>
    </font>
    <font>
      <vertAlign val="superscript"/>
      <sz val="8"/>
      <color rgb="FF002060"/>
      <name val="Arial"/>
      <family val="2"/>
    </font>
    <font>
      <u/>
      <sz val="8"/>
      <color rgb="FF002060"/>
      <name val="Arial"/>
      <family val="2"/>
    </font>
    <font>
      <b/>
      <sz val="10"/>
      <color rgb="FFFF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theme="1"/>
      <name val="Calibri"/>
      <family val="2"/>
      <scheme val="minor"/>
    </font>
    <font>
      <b/>
      <sz val="1"/>
      <color indexed="8"/>
      <name val="Courier"/>
      <family val="3"/>
    </font>
    <font>
      <sz val="10"/>
      <color theme="1"/>
      <name val="Calibri"/>
      <family val="2"/>
    </font>
    <font>
      <sz val="1"/>
      <color indexed="16"/>
      <name val="Courier"/>
      <family val="3"/>
    </font>
    <font>
      <b/>
      <sz val="1"/>
      <color indexed="16"/>
      <name val="Courier"/>
      <family val="3"/>
    </font>
    <font>
      <u/>
      <sz val="11"/>
      <color indexed="12"/>
      <name val="Arial"/>
      <family val="2"/>
    </font>
    <font>
      <sz val="11"/>
      <name val="Arial"/>
      <family val="2"/>
    </font>
    <font>
      <sz val="12"/>
      <name val="Times New Roman"/>
      <family val="1"/>
    </font>
    <font>
      <b/>
      <i/>
      <sz val="10"/>
      <color indexed="8"/>
      <name val="Arial"/>
      <family val="2"/>
    </font>
    <font>
      <b/>
      <sz val="11"/>
      <color indexed="21"/>
      <name val="Arial"/>
      <family val="2"/>
    </font>
    <font>
      <b/>
      <sz val="22"/>
      <color indexed="21"/>
      <name val="Times New Roman"/>
      <family val="1"/>
    </font>
    <font>
      <sz val="11"/>
      <color indexed="8"/>
      <name val="Calibri"/>
      <family val="2"/>
    </font>
    <font>
      <b/>
      <sz val="8"/>
      <color rgb="FF00B0F0"/>
      <name val="Arial"/>
      <family val="2"/>
    </font>
    <font>
      <sz val="10"/>
      <name val="Times New Roman"/>
      <family val="1"/>
    </font>
    <font>
      <sz val="11"/>
      <color indexed="81"/>
      <name val="Tahoma"/>
      <family val="2"/>
    </font>
    <font>
      <sz val="10"/>
      <color rgb="FFFF0000"/>
      <name val="Arial"/>
      <family val="2"/>
    </font>
    <font>
      <sz val="10"/>
      <name val="Arial"/>
      <family val="2"/>
    </font>
    <font>
      <sz val="8"/>
      <color theme="0"/>
      <name val="Arial"/>
      <family val="2"/>
    </font>
    <font>
      <sz val="8"/>
      <color rgb="FFFF0000"/>
      <name val="Arial"/>
      <family val="2"/>
    </font>
    <font>
      <sz val="10"/>
      <name val="Arial"/>
      <family val="2"/>
    </font>
    <font>
      <sz val="12"/>
      <name val="Helv"/>
    </font>
    <font>
      <sz val="8"/>
      <color theme="0" tint="-0.249977111117893"/>
      <name val="Arial"/>
      <family val="2"/>
    </font>
    <font>
      <u/>
      <sz val="8"/>
      <color theme="0" tint="-0.249977111117893"/>
      <name val="Arial"/>
      <family val="2"/>
    </font>
    <font>
      <sz val="9"/>
      <name val="Calibri"/>
      <family val="2"/>
    </font>
    <font>
      <u/>
      <sz val="9"/>
      <name val="Calibri"/>
      <family val="2"/>
    </font>
    <font>
      <b/>
      <u/>
      <sz val="9"/>
      <color indexed="81"/>
      <name val="Tahoma"/>
      <family val="2"/>
    </font>
    <font>
      <b/>
      <u/>
      <sz val="8"/>
      <color theme="0"/>
      <name val="Arial"/>
      <family val="2"/>
    </font>
    <font>
      <u/>
      <sz val="9"/>
      <color indexed="81"/>
      <name val="Tahoma"/>
      <family val="2"/>
    </font>
    <font>
      <b/>
      <u/>
      <sz val="9"/>
      <color theme="0"/>
      <name val="Calibri"/>
      <family val="2"/>
    </font>
    <font>
      <sz val="10"/>
      <name val="Arial"/>
      <family val="2"/>
    </font>
    <font>
      <b/>
      <sz val="10"/>
      <name val="Times New Roman"/>
      <family val="1"/>
    </font>
    <font>
      <sz val="6"/>
      <name val="Arial"/>
      <family val="2"/>
    </font>
    <font>
      <sz val="10"/>
      <name val="Arial"/>
      <family val="2"/>
    </font>
    <font>
      <sz val="10"/>
      <color theme="0"/>
      <name val="Arial"/>
      <family val="2"/>
    </font>
    <font>
      <b/>
      <sz val="8"/>
      <color theme="1"/>
      <name val="Arial"/>
      <family val="2"/>
    </font>
    <font>
      <b/>
      <sz val="8"/>
      <color rgb="FFFF0000"/>
      <name val="Arial"/>
      <family val="2"/>
    </font>
    <font>
      <sz val="11"/>
      <color rgb="FF000000"/>
      <name val="Calibri"/>
      <family val="2"/>
    </font>
    <font>
      <b/>
      <sz val="11"/>
      <name val="Calibri"/>
      <family val="2"/>
      <scheme val="minor"/>
    </font>
    <font>
      <sz val="8"/>
      <color theme="1"/>
      <name val="Calibri"/>
      <family val="2"/>
      <scheme val="minor"/>
    </font>
    <font>
      <sz val="8"/>
      <color theme="4" tint="-0.249977111117893"/>
      <name val="Arial"/>
      <family val="2"/>
    </font>
    <font>
      <sz val="10"/>
      <color theme="1"/>
      <name val="Arial"/>
      <family val="2"/>
    </font>
    <font>
      <b/>
      <sz val="10"/>
      <color theme="1"/>
      <name val="Arial"/>
      <family val="2"/>
    </font>
    <font>
      <u/>
      <sz val="11"/>
      <color theme="10"/>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5"/>
      <color indexed="54"/>
      <name val="Calibri"/>
      <family val="2"/>
    </font>
    <font>
      <u/>
      <sz val="9.35"/>
      <color theme="10"/>
      <name val="Calibri"/>
      <family val="2"/>
    </font>
    <font>
      <sz val="8"/>
      <color rgb="FF543904"/>
      <name val="Arial"/>
      <family val="2"/>
    </font>
    <font>
      <sz val="10"/>
      <name val="Arial"/>
      <family val="2"/>
    </font>
    <font>
      <b/>
      <u/>
      <sz val="8"/>
      <color theme="8" tint="0.39997558519241921"/>
      <name val="Arial"/>
      <family val="2"/>
    </font>
    <font>
      <u/>
      <sz val="8"/>
      <color theme="0"/>
      <name val="Arial"/>
      <family val="2"/>
    </font>
    <font>
      <u/>
      <sz val="8"/>
      <color theme="1"/>
      <name val="Arial"/>
      <family val="2"/>
    </font>
    <font>
      <sz val="8"/>
      <color theme="8" tint="0.39997558519241921"/>
      <name val="Arial"/>
      <family val="2"/>
    </font>
    <font>
      <u/>
      <sz val="8"/>
      <color theme="8" tint="-0.499984740745262"/>
      <name val="Arial"/>
      <family val="2"/>
    </font>
    <font>
      <b/>
      <sz val="8"/>
      <color theme="8" tint="0.39997558519241921"/>
      <name val="Arial"/>
      <family val="2"/>
    </font>
    <font>
      <b/>
      <sz val="8"/>
      <color theme="1"/>
      <name val="Calibri"/>
      <family val="2"/>
      <scheme val="minor"/>
    </font>
    <font>
      <sz val="10"/>
      <color rgb="FF000000"/>
      <name val="Calibri"/>
      <family val="2"/>
      <charset val="1"/>
    </font>
    <font>
      <sz val="12"/>
      <name val="Arial"/>
      <family val="2"/>
    </font>
    <font>
      <u/>
      <sz val="10.45"/>
      <color indexed="12"/>
      <name val="Arial"/>
      <family val="2"/>
    </font>
    <font>
      <b/>
      <sz val="8"/>
      <color theme="8"/>
      <name val="Arial"/>
      <family val="2"/>
    </font>
    <font>
      <sz val="8"/>
      <color theme="8"/>
      <name val="Arial"/>
      <family val="2"/>
    </font>
    <font>
      <u/>
      <sz val="9"/>
      <color indexed="12"/>
      <name val="Arial"/>
      <family val="2"/>
    </font>
    <font>
      <sz val="10"/>
      <name val="Arial"/>
      <family val="2"/>
    </font>
    <font>
      <sz val="10"/>
      <name val="Arial"/>
      <family val="2"/>
    </font>
    <font>
      <sz val="10"/>
      <name val="Arial"/>
      <family val="2"/>
    </font>
    <font>
      <u/>
      <sz val="10"/>
      <color theme="10"/>
      <name val="Arial"/>
      <family val="2"/>
    </font>
    <font>
      <u/>
      <sz val="11"/>
      <color theme="10"/>
      <name val="Calibri"/>
      <family val="2"/>
      <scheme val="minor"/>
    </font>
    <font>
      <b/>
      <sz val="7"/>
      <color indexed="10"/>
      <name val="Arial"/>
      <family val="2"/>
    </font>
    <font>
      <b/>
      <sz val="7"/>
      <color theme="0"/>
      <name val="Arial"/>
      <family val="2"/>
    </font>
    <font>
      <sz val="8"/>
      <color theme="7" tint="-0.499984740745262"/>
      <name val="Arial"/>
      <family val="2"/>
    </font>
    <font>
      <sz val="7"/>
      <color indexed="81"/>
      <name val="Tahoma"/>
      <family val="2"/>
    </font>
    <font>
      <i/>
      <sz val="8"/>
      <color rgb="FFFFFFFF"/>
      <name val="Inherit"/>
    </font>
    <font>
      <b/>
      <sz val="12"/>
      <name val="Arial"/>
      <family val="2"/>
    </font>
    <font>
      <b/>
      <sz val="7"/>
      <color indexed="56"/>
      <name val="Arial"/>
      <family val="2"/>
    </font>
    <font>
      <sz val="7"/>
      <color rgb="FF002060"/>
      <name val="Arial"/>
      <family val="2"/>
    </font>
    <font>
      <b/>
      <sz val="8"/>
      <color rgb="FFFFFFFF"/>
      <name val="Arial"/>
      <family val="2"/>
    </font>
    <font>
      <b/>
      <sz val="8"/>
      <color rgb="FF800080"/>
      <name val="Arial"/>
      <family val="2"/>
    </font>
    <font>
      <b/>
      <i/>
      <sz val="8"/>
      <color rgb="FFFFFFFF"/>
      <name val="Arial"/>
      <family val="2"/>
    </font>
    <font>
      <b/>
      <sz val="8"/>
      <color rgb="FF003366"/>
      <name val="Arial"/>
      <family val="2"/>
    </font>
    <font>
      <sz val="12"/>
      <name val="Arial"/>
      <family val="2"/>
    </font>
    <font>
      <b/>
      <u/>
      <sz val="8"/>
      <color rgb="FF00B0F0"/>
      <name val="Arial"/>
      <family val="2"/>
    </font>
    <font>
      <u/>
      <sz val="8"/>
      <color rgb="FF0070C0"/>
      <name val="Arial"/>
      <family val="2"/>
    </font>
    <font>
      <sz val="8"/>
      <color theme="7" tint="-0.249977111117893"/>
      <name val="Arial"/>
      <family val="2"/>
    </font>
    <font>
      <sz val="8"/>
      <color rgb="FF996600"/>
      <name val="Arial"/>
      <family val="2"/>
    </font>
    <font>
      <b/>
      <u/>
      <sz val="8"/>
      <color rgb="FFFF0000"/>
      <name val="Arial"/>
      <family val="2"/>
    </font>
    <font>
      <i/>
      <sz val="8"/>
      <color rgb="FFFF0000"/>
      <name val="Arial"/>
      <family val="2"/>
    </font>
    <font>
      <sz val="8"/>
      <color theme="8" tint="-0.249977111117893"/>
      <name val="Arial"/>
      <family val="2"/>
    </font>
    <font>
      <b/>
      <u/>
      <sz val="8"/>
      <name val="Arial"/>
      <family val="2"/>
    </font>
    <font>
      <b/>
      <sz val="7"/>
      <name val="Arial"/>
      <family val="2"/>
    </font>
    <font>
      <b/>
      <u/>
      <sz val="10"/>
      <color rgb="FFFF0000"/>
      <name val="Arial"/>
      <family val="2"/>
    </font>
  </fonts>
  <fills count="81">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indexed="8"/>
        <bgColor indexed="64"/>
      </patternFill>
    </fill>
    <fill>
      <patternFill patternType="solid">
        <fgColor indexed="22"/>
        <bgColor indexed="64"/>
      </patternFill>
    </fill>
    <fill>
      <patternFill patternType="solid">
        <fgColor indexed="9"/>
        <bgColor indexed="26"/>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1"/>
        <bgColor indexed="64"/>
      </patternFill>
    </fill>
    <fill>
      <patternFill patternType="solid">
        <fgColor theme="2" tint="-9.9978637043366805E-2"/>
        <bgColor indexed="64"/>
      </patternFill>
    </fill>
    <fill>
      <patternFill patternType="solid">
        <fgColor rgb="FF003366"/>
        <bgColor indexed="64"/>
      </patternFill>
    </fill>
    <fill>
      <patternFill patternType="solid">
        <fgColor rgb="FFA6A6A6"/>
        <bgColor rgb="FF000000"/>
      </patternFill>
    </fill>
    <fill>
      <patternFill patternType="solid">
        <fgColor theme="2"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theme="4" tint="0.79998168889431442"/>
        <bgColor indexed="64"/>
      </patternFill>
    </fill>
    <fill>
      <patternFill patternType="solid">
        <fgColor rgb="FFFFFFFF"/>
        <bgColor rgb="FF000000"/>
      </patternFill>
    </fill>
    <fill>
      <patternFill patternType="solid">
        <fgColor rgb="FF000000"/>
        <bgColor rgb="FF000000"/>
      </patternFill>
    </fill>
    <fill>
      <patternFill patternType="solid">
        <fgColor rgb="FF003366"/>
        <bgColor rgb="FF000000"/>
      </patternFill>
    </fill>
    <fill>
      <patternFill patternType="solid">
        <fgColor theme="1" tint="0.499984740745262"/>
        <bgColor indexed="64"/>
      </patternFill>
    </fill>
    <fill>
      <patternFill patternType="solid">
        <fgColor rgb="FFFFFF00"/>
        <bgColor indexed="64"/>
      </patternFill>
    </fill>
    <fill>
      <patternFill patternType="solid">
        <fgColor rgb="FFFF99CC"/>
        <bgColor indexed="64"/>
      </patternFill>
    </fill>
    <fill>
      <patternFill patternType="solid">
        <fgColor theme="6" tint="0.59999389629810485"/>
        <bgColor indexed="64"/>
      </patternFill>
    </fill>
  </fills>
  <borders count="197">
    <border>
      <left/>
      <right/>
      <top/>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dotted">
        <color indexed="18"/>
      </left>
      <right style="dotted">
        <color indexed="18"/>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dotted">
        <color indexed="56"/>
      </left>
      <right style="thin">
        <color indexed="64"/>
      </right>
      <top style="thin">
        <color indexed="64"/>
      </top>
      <bottom style="thin">
        <color indexed="64"/>
      </bottom>
      <diagonal/>
    </border>
    <border>
      <left/>
      <right/>
      <top style="medium">
        <color indexed="64"/>
      </top>
      <bottom/>
      <diagonal/>
    </border>
    <border>
      <left style="dotted">
        <color indexed="18"/>
      </left>
      <right/>
      <top style="thin">
        <color indexed="64"/>
      </top>
      <bottom/>
      <diagonal/>
    </border>
    <border>
      <left style="dotted">
        <color indexed="18"/>
      </left>
      <right/>
      <top/>
      <bottom/>
      <diagonal/>
    </border>
    <border>
      <left style="thin">
        <color theme="0"/>
      </left>
      <right style="thin">
        <color theme="0"/>
      </right>
      <top/>
      <bottom/>
      <diagonal/>
    </border>
    <border>
      <left style="thin">
        <color theme="0"/>
      </left>
      <right style="thin">
        <color indexed="64"/>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thin">
        <color indexed="64"/>
      </right>
      <top style="thin">
        <color indexed="64"/>
      </top>
      <bottom style="thin">
        <color indexed="64"/>
      </bottom>
      <diagonal/>
    </border>
    <border>
      <left style="thin">
        <color theme="0"/>
      </left>
      <right/>
      <top/>
      <bottom/>
      <diagonal/>
    </border>
    <border>
      <left style="thin">
        <color theme="0"/>
      </left>
      <right style="thin">
        <color indexed="64"/>
      </right>
      <top style="medium">
        <color indexed="64"/>
      </top>
      <bottom/>
      <diagonal/>
    </border>
    <border>
      <left style="thin">
        <color indexed="64"/>
      </left>
      <right style="thin">
        <color theme="0"/>
      </right>
      <top style="medium">
        <color indexed="64"/>
      </top>
      <bottom/>
      <diagonal/>
    </border>
    <border>
      <left style="dotted">
        <color theme="0"/>
      </left>
      <right style="medium">
        <color indexed="64"/>
      </right>
      <top/>
      <bottom/>
      <diagonal/>
    </border>
    <border>
      <left style="thin">
        <color theme="0"/>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thin">
        <color auto="1"/>
      </left>
      <right style="thin">
        <color indexed="64"/>
      </right>
      <top/>
      <bottom/>
      <diagonal/>
    </border>
    <border>
      <left style="thin">
        <color auto="1"/>
      </left>
      <right style="medium">
        <color auto="1"/>
      </right>
      <top/>
      <bottom/>
      <diagonal/>
    </border>
    <border>
      <left style="thin">
        <color theme="0"/>
      </left>
      <right style="medium">
        <color auto="1"/>
      </right>
      <top/>
      <bottom/>
      <diagonal/>
    </border>
    <border>
      <left style="thin">
        <color auto="1"/>
      </left>
      <right style="thin">
        <color theme="0"/>
      </right>
      <top/>
      <bottom/>
      <diagonal/>
    </border>
    <border>
      <left style="medium">
        <color indexed="64"/>
      </left>
      <right style="medium">
        <color indexed="64"/>
      </right>
      <top/>
      <bottom/>
      <diagonal/>
    </border>
    <border>
      <left style="dashed">
        <color indexed="64"/>
      </left>
      <right/>
      <top style="thin">
        <color indexed="64"/>
      </top>
      <bottom style="thin">
        <color indexed="64"/>
      </bottom>
      <diagonal/>
    </border>
    <border>
      <left style="dotted">
        <color indexed="18"/>
      </left>
      <right style="dotted">
        <color indexed="18"/>
      </right>
      <top/>
      <bottom/>
      <diagonal/>
    </border>
    <border>
      <left/>
      <right/>
      <top style="double">
        <color indexed="64"/>
      </top>
      <bottom/>
      <diagonal/>
    </border>
    <border>
      <left/>
      <right style="dotted">
        <color theme="0"/>
      </right>
      <top/>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theme="0"/>
      </right>
      <top style="thin">
        <color indexed="64"/>
      </top>
      <bottom/>
      <diagonal/>
    </border>
    <border>
      <left style="dashed">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dotted">
        <color indexed="64"/>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bottom/>
      <diagonal/>
    </border>
    <border>
      <left style="dotted">
        <color indexed="64"/>
      </left>
      <right style="medium">
        <color indexed="64"/>
      </right>
      <top/>
      <bottom/>
      <diagonal/>
    </border>
    <border>
      <left style="thin">
        <color theme="0"/>
      </left>
      <right/>
      <top style="thin">
        <color indexed="64"/>
      </top>
      <bottom/>
      <diagonal/>
    </border>
    <border>
      <left style="dotted">
        <color indexed="64"/>
      </left>
      <right style="medium">
        <color indexed="64"/>
      </right>
      <top style="thin">
        <color indexed="64"/>
      </top>
      <bottom/>
      <diagonal/>
    </border>
    <border>
      <left style="dotted">
        <color auto="1"/>
      </left>
      <right style="dotted">
        <color auto="1"/>
      </right>
      <top style="medium">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diagonal/>
    </border>
    <border>
      <left style="dotted">
        <color indexed="64"/>
      </left>
      <right style="thin">
        <color theme="0"/>
      </right>
      <top style="medium">
        <color indexed="64"/>
      </top>
      <bottom/>
      <diagonal/>
    </border>
    <border>
      <left style="dotted">
        <color indexed="64"/>
      </left>
      <right style="medium">
        <color indexed="64"/>
      </right>
      <top style="thin">
        <color indexed="64"/>
      </top>
      <bottom style="medium">
        <color indexed="64"/>
      </bottom>
      <diagonal/>
    </border>
    <border>
      <left style="dotted">
        <color auto="1"/>
      </left>
      <right style="dotted">
        <color auto="1"/>
      </right>
      <top style="thin">
        <color indexed="64"/>
      </top>
      <bottom style="medium">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thin">
        <color indexed="64"/>
      </left>
      <right style="dotted">
        <color indexed="64"/>
      </right>
      <top/>
      <bottom/>
      <diagonal/>
    </border>
    <border>
      <left style="thin">
        <color theme="0"/>
      </left>
      <right style="dotted">
        <color indexed="64"/>
      </right>
      <top/>
      <bottom/>
      <diagonal/>
    </border>
    <border>
      <left/>
      <right style="dotted">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thin">
        <color indexed="64"/>
      </top>
      <bottom/>
      <diagonal/>
    </border>
    <border>
      <left style="thin">
        <color theme="1"/>
      </left>
      <right style="dotted">
        <color indexed="64"/>
      </right>
      <top/>
      <bottom/>
      <diagonal/>
    </border>
    <border>
      <left style="dotted">
        <color indexed="64"/>
      </left>
      <right style="dotted">
        <color indexed="64"/>
      </right>
      <top/>
      <bottom style="thin">
        <color indexed="64"/>
      </bottom>
      <diagonal/>
    </border>
    <border>
      <left/>
      <right style="thin">
        <color theme="0"/>
      </right>
      <top style="thin">
        <color indexed="64"/>
      </top>
      <bottom/>
      <diagonal/>
    </border>
    <border>
      <left style="thin">
        <color theme="0"/>
      </left>
      <right style="dotted">
        <color indexed="64"/>
      </right>
      <top style="thin">
        <color indexed="64"/>
      </top>
      <bottom/>
      <diagonal/>
    </border>
    <border>
      <left style="dotted">
        <color indexed="64"/>
      </left>
      <right/>
      <top style="thin">
        <color indexed="64"/>
      </top>
      <bottom style="medium">
        <color indexed="64"/>
      </bottom>
      <diagonal/>
    </border>
    <border>
      <left style="dotted">
        <color indexed="64"/>
      </left>
      <right/>
      <top/>
      <bottom/>
      <diagonal/>
    </border>
    <border>
      <left style="dotted">
        <color indexed="64"/>
      </left>
      <right style="medium">
        <color auto="1"/>
      </right>
      <top style="medium">
        <color indexed="64"/>
      </top>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tted">
        <color indexed="64"/>
      </left>
      <right style="thin">
        <color indexed="64"/>
      </right>
      <top style="thin">
        <color indexed="64"/>
      </top>
      <bottom/>
      <diagonal/>
    </border>
    <border>
      <left style="medium">
        <color indexed="64"/>
      </left>
      <right style="dotted">
        <color indexed="64"/>
      </right>
      <top style="thin">
        <color indexed="64"/>
      </top>
      <bottom style="medium">
        <color indexed="64"/>
      </bottom>
      <diagonal/>
    </border>
    <border>
      <left style="medium">
        <color indexed="64"/>
      </left>
      <right style="dotted">
        <color indexed="64"/>
      </right>
      <top/>
      <bottom/>
      <diagonal/>
    </border>
    <border>
      <left style="thin">
        <color theme="0"/>
      </left>
      <right style="dotted">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thin">
        <color theme="0"/>
      </right>
      <top/>
      <bottom/>
      <diagonal/>
    </border>
    <border>
      <left style="dotted">
        <color indexed="64"/>
      </left>
      <right style="dotted">
        <color indexed="64"/>
      </right>
      <top/>
      <bottom style="medium">
        <color indexed="64"/>
      </bottom>
      <diagonal/>
    </border>
    <border>
      <left style="thin">
        <color indexed="64"/>
      </left>
      <right style="dotted">
        <color indexed="64"/>
      </right>
      <top style="medium">
        <color indexed="64"/>
      </top>
      <bottom/>
      <diagonal/>
    </border>
    <border>
      <left style="medium">
        <color indexed="64"/>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style="medium">
        <color indexed="64"/>
      </top>
      <bottom/>
      <diagonal/>
    </border>
    <border>
      <left/>
      <right style="dotted">
        <color indexed="64"/>
      </right>
      <top style="medium">
        <color indexed="64"/>
      </top>
      <bottom/>
      <diagonal/>
    </border>
    <border>
      <left style="dotted">
        <color indexed="64"/>
      </left>
      <right style="dotted">
        <color theme="0"/>
      </right>
      <top/>
      <bottom/>
      <diagonal/>
    </border>
    <border>
      <left style="dotted">
        <color theme="0"/>
      </left>
      <right/>
      <top/>
      <bottom/>
      <diagonal/>
    </border>
    <border>
      <left style="dotted">
        <color indexed="64"/>
      </left>
      <right style="thin">
        <color indexed="64"/>
      </right>
      <top/>
      <bottom style="thin">
        <color indexed="64"/>
      </bottom>
      <diagonal/>
    </border>
    <border>
      <left/>
      <right style="dashed">
        <color indexed="64"/>
      </right>
      <top style="thin">
        <color indexed="64"/>
      </top>
      <bottom style="thin">
        <color indexed="64"/>
      </bottom>
      <diagonal/>
    </border>
    <border>
      <left/>
      <right style="dashed">
        <color indexed="64"/>
      </right>
      <top/>
      <bottom/>
      <diagonal/>
    </border>
    <border>
      <left/>
      <right style="dashed">
        <color indexed="64"/>
      </right>
      <top style="thin">
        <color indexed="64"/>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dotted">
        <color indexed="64"/>
      </left>
      <right style="dashed">
        <color indexed="64"/>
      </right>
      <top/>
      <bottom/>
      <diagonal/>
    </border>
    <border>
      <left style="thin">
        <color auto="1"/>
      </left>
      <right style="hair">
        <color auto="1"/>
      </right>
      <top/>
      <bottom/>
      <diagonal/>
    </border>
    <border>
      <left style="medium">
        <color indexed="64"/>
      </left>
      <right style="dotted">
        <color indexed="64"/>
      </right>
      <top style="medium">
        <color indexed="64"/>
      </top>
      <bottom/>
      <diagonal/>
    </border>
    <border>
      <left style="dotted">
        <color indexed="64"/>
      </left>
      <right style="medium">
        <color indexed="64"/>
      </right>
      <top/>
      <bottom style="thin">
        <color indexed="64"/>
      </bottom>
      <diagonal/>
    </border>
    <border>
      <left style="thin">
        <color auto="1"/>
      </left>
      <right style="dotted">
        <color indexed="64"/>
      </right>
      <top/>
      <bottom style="thin">
        <color indexed="64"/>
      </bottom>
      <diagonal/>
    </border>
    <border>
      <left style="hair">
        <color auto="1"/>
      </left>
      <right style="medium">
        <color auto="1"/>
      </right>
      <top style="thin">
        <color indexed="64"/>
      </top>
      <bottom style="thin">
        <color indexed="64"/>
      </bottom>
      <diagonal/>
    </border>
    <border>
      <left style="hair">
        <color auto="1"/>
      </left>
      <right style="dotted">
        <color auto="1"/>
      </right>
      <top style="thin">
        <color indexed="64"/>
      </top>
      <bottom style="thin">
        <color indexed="64"/>
      </bottom>
      <diagonal/>
    </border>
    <border>
      <left style="hair">
        <color auto="1"/>
      </left>
      <right/>
      <top style="thin">
        <color indexed="64"/>
      </top>
      <bottom style="thin">
        <color indexed="64"/>
      </bottom>
      <diagonal/>
    </border>
    <border>
      <left style="hair">
        <color auto="1"/>
      </left>
      <right style="dotted">
        <color auto="1"/>
      </right>
      <top style="thin">
        <color indexed="64"/>
      </top>
      <bottom style="medium">
        <color indexed="64"/>
      </bottom>
      <diagonal/>
    </border>
    <border>
      <left style="hair">
        <color auto="1"/>
      </left>
      <right style="dotted">
        <color auto="1"/>
      </right>
      <top/>
      <bottom/>
      <diagonal/>
    </border>
    <border>
      <left style="hair">
        <color auto="1"/>
      </left>
      <right style="medium">
        <color auto="1"/>
      </right>
      <top/>
      <bottom/>
      <diagonal/>
    </border>
    <border>
      <left style="dashed">
        <color theme="0"/>
      </left>
      <right style="dotted">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thin">
        <color auto="1"/>
      </left>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bottom style="thin">
        <color indexed="64"/>
      </bottom>
      <diagonal/>
    </border>
    <border>
      <left style="dotted">
        <color indexed="64"/>
      </left>
      <right style="dashed">
        <color indexed="64"/>
      </right>
      <top style="thin">
        <color indexed="64"/>
      </top>
      <bottom style="thin">
        <color indexed="64"/>
      </bottom>
      <diagonal/>
    </border>
    <border>
      <left style="dotted">
        <color indexed="64"/>
      </left>
      <right style="dashed">
        <color indexed="64"/>
      </right>
      <top style="medium">
        <color indexed="64"/>
      </top>
      <bottom/>
      <diagonal/>
    </border>
    <border>
      <left style="dotted">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style="dashed">
        <color indexed="64"/>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thin">
        <color theme="0"/>
      </left>
      <right style="dashed">
        <color indexed="64"/>
      </right>
      <top/>
      <bottom/>
      <diagonal/>
    </border>
    <border>
      <left style="dotted">
        <color indexed="18"/>
      </left>
      <right style="dotted">
        <color auto="1"/>
      </right>
      <top/>
      <bottom/>
      <diagonal/>
    </border>
    <border>
      <left/>
      <right style="dotted">
        <color indexed="64"/>
      </right>
      <top/>
      <bottom style="thin">
        <color indexed="64"/>
      </bottom>
      <diagonal/>
    </border>
    <border>
      <left style="medium">
        <color indexed="64"/>
      </left>
      <right style="dotted">
        <color indexed="64"/>
      </right>
      <top style="thin">
        <color indexed="64"/>
      </top>
      <bottom/>
      <diagonal/>
    </border>
  </borders>
  <cellStyleXfs count="12414">
    <xf numFmtId="0" fontId="0" fillId="0" borderId="0"/>
    <xf numFmtId="0" fontId="52" fillId="0" borderId="0">
      <protection locked="0"/>
    </xf>
    <xf numFmtId="0" fontId="60" fillId="0" borderId="0">
      <protection locked="0"/>
    </xf>
    <xf numFmtId="0" fontId="60" fillId="0" borderId="0">
      <protection locked="0"/>
    </xf>
    <xf numFmtId="0" fontId="52" fillId="0" borderId="0">
      <protection locked="0"/>
    </xf>
    <xf numFmtId="0" fontId="60" fillId="0" borderId="0">
      <protection locked="0"/>
    </xf>
    <xf numFmtId="0" fontId="60" fillId="0" borderId="0">
      <protection locked="0"/>
    </xf>
    <xf numFmtId="0" fontId="52" fillId="0" borderId="0">
      <protection locked="0"/>
    </xf>
    <xf numFmtId="0" fontId="53" fillId="0" borderId="0" applyFont="0" applyFill="0" applyBorder="0" applyAlignment="0" applyProtection="0"/>
    <xf numFmtId="0" fontId="52" fillId="0" borderId="0">
      <protection locked="0"/>
    </xf>
    <xf numFmtId="0" fontId="54" fillId="0" borderId="0">
      <protection locked="0"/>
    </xf>
    <xf numFmtId="0" fontId="54" fillId="0" borderId="0">
      <protection locked="0"/>
    </xf>
    <xf numFmtId="0" fontId="55" fillId="0" borderId="0" applyNumberFormat="0" applyFill="0" applyBorder="0" applyAlignment="0" applyProtection="0">
      <alignment vertical="top"/>
      <protection locked="0"/>
    </xf>
    <xf numFmtId="0" fontId="61" fillId="0" borderId="0"/>
    <xf numFmtId="0" fontId="53" fillId="0" borderId="0"/>
    <xf numFmtId="0" fontId="64" fillId="0" borderId="0"/>
    <xf numFmtId="0" fontId="63" fillId="0" borderId="0"/>
    <xf numFmtId="0" fontId="65" fillId="0" borderId="0"/>
    <xf numFmtId="0" fontId="52" fillId="0" borderId="0">
      <protection locked="0"/>
    </xf>
    <xf numFmtId="9" fontId="53" fillId="0" borderId="0" applyFont="0" applyFill="0" applyBorder="0" applyAlignment="0" applyProtection="0"/>
    <xf numFmtId="0" fontId="52" fillId="0" borderId="1">
      <protection locked="0"/>
    </xf>
    <xf numFmtId="0" fontId="53" fillId="0" borderId="0"/>
    <xf numFmtId="187" fontId="117" fillId="0" borderId="0"/>
    <xf numFmtId="188" fontId="53" fillId="0" borderId="0" applyFont="0" applyFill="0" applyBorder="0" applyAlignment="0" applyProtection="0"/>
    <xf numFmtId="0" fontId="118" fillId="0" borderId="0">
      <protection locked="0"/>
    </xf>
    <xf numFmtId="0" fontId="118" fillId="0" borderId="0">
      <protection locked="0"/>
    </xf>
    <xf numFmtId="0" fontId="119" fillId="0" borderId="0">
      <protection locked="0"/>
    </xf>
    <xf numFmtId="0" fontId="118" fillId="0" borderId="0">
      <protection locked="0"/>
    </xf>
    <xf numFmtId="0" fontId="118" fillId="0" borderId="0">
      <protection locked="0"/>
    </xf>
    <xf numFmtId="0" fontId="118" fillId="0" borderId="0">
      <protection locked="0"/>
    </xf>
    <xf numFmtId="0" fontId="119" fillId="0" borderId="0">
      <protection locked="0"/>
    </xf>
    <xf numFmtId="166" fontId="51" fillId="0" borderId="0" applyFont="0" applyFill="0" applyBorder="0" applyAlignment="0" applyProtection="0"/>
    <xf numFmtId="9" fontId="53" fillId="0" borderId="0" applyFont="0" applyFill="0" applyBorder="0" applyAlignment="0" applyProtection="0"/>
    <xf numFmtId="166" fontId="50" fillId="0" borderId="0" applyFont="0" applyFill="0" applyBorder="0" applyAlignment="0" applyProtection="0"/>
    <xf numFmtId="189" fontId="117" fillId="0" borderId="0"/>
    <xf numFmtId="0" fontId="135" fillId="0" borderId="0" applyNumberFormat="0" applyFill="0" applyBorder="0" applyAlignment="0" applyProtection="0"/>
    <xf numFmtId="0" fontId="136" fillId="0" borderId="72" applyNumberFormat="0" applyFill="0" applyAlignment="0" applyProtection="0"/>
    <xf numFmtId="0" fontId="137" fillId="0" borderId="73" applyNumberFormat="0" applyFill="0" applyAlignment="0" applyProtection="0"/>
    <xf numFmtId="0" fontId="138" fillId="0" borderId="74" applyNumberFormat="0" applyFill="0" applyAlignment="0" applyProtection="0"/>
    <xf numFmtId="0" fontId="138" fillId="0" borderId="0" applyNumberFormat="0" applyFill="0" applyBorder="0" applyAlignment="0" applyProtection="0"/>
    <xf numFmtId="0" fontId="139" fillId="13" borderId="0" applyNumberFormat="0" applyBorder="0" applyAlignment="0" applyProtection="0"/>
    <xf numFmtId="0" fontId="140" fillId="14" borderId="0" applyNumberFormat="0" applyBorder="0" applyAlignment="0" applyProtection="0"/>
    <xf numFmtId="0" fontId="141" fillId="15" borderId="0" applyNumberFormat="0" applyBorder="0" applyAlignment="0" applyProtection="0"/>
    <xf numFmtId="0" fontId="142" fillId="16" borderId="75" applyNumberFormat="0" applyAlignment="0" applyProtection="0"/>
    <xf numFmtId="0" fontId="143" fillId="17" borderId="76" applyNumberFormat="0" applyAlignment="0" applyProtection="0"/>
    <xf numFmtId="0" fontId="144" fillId="17" borderId="75" applyNumberFormat="0" applyAlignment="0" applyProtection="0"/>
    <xf numFmtId="0" fontId="145" fillId="0" borderId="77" applyNumberFormat="0" applyFill="0" applyAlignment="0" applyProtection="0"/>
    <xf numFmtId="0" fontId="146" fillId="18" borderId="78" applyNumberFormat="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149" fillId="23" borderId="0" applyNumberFormat="0" applyBorder="0" applyAlignment="0" applyProtection="0"/>
    <xf numFmtId="0" fontId="1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149" fillId="27" borderId="0" applyNumberFormat="0" applyBorder="0" applyAlignment="0" applyProtection="0"/>
    <xf numFmtId="0" fontId="1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149" fillId="31" borderId="0" applyNumberFormat="0" applyBorder="0" applyAlignment="0" applyProtection="0"/>
    <xf numFmtId="0" fontId="149"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149" fillId="35" borderId="0" applyNumberFormat="0" applyBorder="0" applyAlignment="0" applyProtection="0"/>
    <xf numFmtId="0" fontId="149" fillId="36" borderId="0" applyNumberFormat="0" applyBorder="0" applyAlignment="0" applyProtection="0"/>
    <xf numFmtId="0" fontId="49" fillId="37" borderId="0" applyNumberFormat="0" applyBorder="0" applyAlignment="0" applyProtection="0"/>
    <xf numFmtId="0" fontId="49" fillId="38" borderId="0" applyNumberFormat="0" applyBorder="0" applyAlignment="0" applyProtection="0"/>
    <xf numFmtId="0" fontId="149" fillId="39" borderId="0" applyNumberFormat="0" applyBorder="0" applyAlignment="0" applyProtection="0"/>
    <xf numFmtId="0" fontId="149" fillId="40"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149" fillId="43" borderId="0" applyNumberFormat="0" applyBorder="0" applyAlignment="0" applyProtection="0"/>
    <xf numFmtId="0" fontId="49" fillId="0" borderId="0"/>
    <xf numFmtId="0" fontId="49" fillId="19" borderId="79" applyNumberFormat="0" applyFont="0" applyAlignment="0" applyProtection="0"/>
    <xf numFmtId="0" fontId="150" fillId="0" borderId="80" applyNumberFormat="0" applyFill="0" applyAlignment="0" applyProtection="0"/>
    <xf numFmtId="0" fontId="118" fillId="0" borderId="0">
      <protection locked="0"/>
    </xf>
    <xf numFmtId="0" fontId="151" fillId="0" borderId="0">
      <protection locked="0"/>
    </xf>
    <xf numFmtId="0" fontId="151" fillId="0" borderId="0">
      <protection locked="0"/>
    </xf>
    <xf numFmtId="190" fontId="118" fillId="0" borderId="0">
      <protection locked="0"/>
    </xf>
    <xf numFmtId="4" fontId="118" fillId="0" borderId="0">
      <protection locked="0"/>
    </xf>
    <xf numFmtId="191" fontId="118" fillId="0" borderId="0">
      <protection locked="0"/>
    </xf>
    <xf numFmtId="0" fontId="117" fillId="0" borderId="0"/>
    <xf numFmtId="0" fontId="48" fillId="0" borderId="0"/>
    <xf numFmtId="0" fontId="118" fillId="0" borderId="1">
      <protection locked="0"/>
    </xf>
    <xf numFmtId="166" fontId="53" fillId="0" borderId="0" applyFont="0" applyFill="0" applyBorder="0" applyAlignment="0" applyProtection="0"/>
    <xf numFmtId="0" fontId="152" fillId="0" borderId="0"/>
    <xf numFmtId="192" fontId="153" fillId="0" borderId="0">
      <protection locked="0"/>
    </xf>
    <xf numFmtId="192" fontId="153" fillId="0" borderId="0">
      <protection locked="0"/>
    </xf>
    <xf numFmtId="192" fontId="153" fillId="0" borderId="0">
      <protection locked="0"/>
    </xf>
    <xf numFmtId="192" fontId="154" fillId="0" borderId="0">
      <protection locked="0"/>
    </xf>
    <xf numFmtId="192" fontId="154" fillId="0" borderId="0">
      <protection locked="0"/>
    </xf>
    <xf numFmtId="192" fontId="154" fillId="0" borderId="0">
      <protection locked="0"/>
    </xf>
    <xf numFmtId="192" fontId="154" fillId="0" borderId="0">
      <protection locked="0"/>
    </xf>
    <xf numFmtId="192" fontId="154" fillId="0" borderId="0">
      <protection locked="0"/>
    </xf>
    <xf numFmtId="192" fontId="154" fillId="0" borderId="0">
      <protection locked="0"/>
    </xf>
    <xf numFmtId="192" fontId="154" fillId="0" borderId="0">
      <protection locked="0"/>
    </xf>
    <xf numFmtId="2" fontId="55" fillId="0" borderId="0" applyFont="0" applyFill="0" applyBorder="0" applyAlignment="0" applyProtection="0"/>
    <xf numFmtId="192" fontId="153" fillId="0" borderId="0">
      <protection locked="0"/>
    </xf>
    <xf numFmtId="0" fontId="155" fillId="0" borderId="0" applyNumberFormat="0" applyFill="0" applyBorder="0" applyAlignment="0" applyProtection="0">
      <alignment vertical="top"/>
      <protection locked="0"/>
    </xf>
    <xf numFmtId="166" fontId="53" fillId="0" borderId="0" applyFont="0" applyFill="0" applyBorder="0" applyAlignment="0" applyProtection="0"/>
    <xf numFmtId="193" fontId="53" fillId="0" borderId="0" applyFont="0" applyFill="0" applyBorder="0" applyAlignment="0" applyProtection="0"/>
    <xf numFmtId="43" fontId="47"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4" fontId="47" fillId="0" borderId="0" applyFont="0" applyFill="0" applyBorder="0" applyAlignment="0" applyProtection="0"/>
    <xf numFmtId="165" fontId="53" fillId="0" borderId="0" applyFont="0" applyFill="0" applyBorder="0" applyAlignment="0" applyProtection="0"/>
    <xf numFmtId="192" fontId="153" fillId="0" borderId="0">
      <protection locked="0"/>
    </xf>
    <xf numFmtId="0" fontId="156" fillId="0" borderId="0"/>
    <xf numFmtId="0" fontId="47" fillId="0" borderId="0"/>
    <xf numFmtId="0" fontId="47" fillId="0" borderId="0"/>
    <xf numFmtId="0" fontId="53" fillId="0" borderId="0"/>
    <xf numFmtId="0" fontId="53" fillId="0" borderId="0"/>
    <xf numFmtId="0" fontId="157" fillId="0" borderId="0"/>
    <xf numFmtId="0" fontId="53" fillId="0" borderId="0"/>
    <xf numFmtId="0" fontId="53" fillId="0" borderId="0"/>
    <xf numFmtId="0" fontId="47" fillId="0" borderId="0"/>
    <xf numFmtId="0" fontId="47" fillId="0" borderId="0"/>
    <xf numFmtId="0" fontId="158" fillId="44" borderId="0">
      <alignment horizontal="center"/>
    </xf>
    <xf numFmtId="0" fontId="66" fillId="45" borderId="32"/>
    <xf numFmtId="0" fontId="159" fillId="0" borderId="0" applyBorder="0">
      <alignment horizontal="centerContinuous"/>
    </xf>
    <xf numFmtId="0" fontId="160" fillId="0" borderId="0" applyBorder="0">
      <alignment horizontal="centerContinuous"/>
    </xf>
    <xf numFmtId="9" fontId="47" fillId="0" borderId="0" applyFont="0" applyFill="0" applyBorder="0" applyAlignment="0" applyProtection="0"/>
    <xf numFmtId="9" fontId="47"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 fontId="53" fillId="0" borderId="0" applyFont="0" applyFill="0" applyBorder="0" applyAlignment="0" applyProtection="0"/>
    <xf numFmtId="0" fontId="163" fillId="0" borderId="0"/>
    <xf numFmtId="166" fontId="46" fillId="0" borderId="0" applyFont="0" applyFill="0" applyBorder="0" applyAlignment="0" applyProtection="0"/>
    <xf numFmtId="0" fontId="65" fillId="0" borderId="0"/>
    <xf numFmtId="166" fontId="45" fillId="0" borderId="0" applyFont="0" applyFill="0" applyBorder="0" applyAlignment="0" applyProtection="0"/>
    <xf numFmtId="0" fontId="53" fillId="0" borderId="0"/>
    <xf numFmtId="9" fontId="166" fillId="0" borderId="0" applyFont="0" applyFill="0" applyBorder="0" applyAlignment="0" applyProtection="0"/>
    <xf numFmtId="194" fontId="53" fillId="0" borderId="0" applyFont="0" applyFill="0" applyBorder="0" applyAlignment="0" applyProtection="0"/>
    <xf numFmtId="0" fontId="53" fillId="0" borderId="0" applyNumberFormat="0" applyFill="0" applyBorder="0" applyAlignment="0" applyProtection="0"/>
    <xf numFmtId="187" fontId="64" fillId="0" borderId="0"/>
    <xf numFmtId="0" fontId="169" fillId="0" borderId="0" applyNumberFormat="0" applyFill="0" applyBorder="0" applyAlignment="0" applyProtection="0"/>
    <xf numFmtId="187" fontId="170" fillId="0" borderId="0"/>
    <xf numFmtId="0" fontId="65" fillId="0" borderId="0"/>
    <xf numFmtId="166" fontId="53" fillId="0" borderId="0" applyFont="0" applyFill="0" applyBorder="0" applyAlignment="0" applyProtection="0"/>
    <xf numFmtId="9" fontId="53" fillId="0" borderId="0" applyFont="0" applyFill="0" applyBorder="0" applyAlignment="0" applyProtection="0"/>
    <xf numFmtId="0" fontId="44" fillId="0" borderId="0"/>
    <xf numFmtId="197" fontId="52" fillId="0" borderId="0">
      <protection locked="0"/>
    </xf>
    <xf numFmtId="197" fontId="52" fillId="0" borderId="0">
      <protection locked="0"/>
    </xf>
    <xf numFmtId="197" fontId="52" fillId="0" borderId="0">
      <protection locked="0"/>
    </xf>
    <xf numFmtId="197" fontId="52" fillId="0" borderId="0">
      <protection locked="0"/>
    </xf>
    <xf numFmtId="197" fontId="52" fillId="0" borderId="0">
      <protection locked="0"/>
    </xf>
    <xf numFmtId="197" fontId="52" fillId="0" borderId="0">
      <protection locked="0"/>
    </xf>
    <xf numFmtId="197" fontId="52" fillId="0" borderId="0">
      <protection locked="0"/>
    </xf>
    <xf numFmtId="0" fontId="43" fillId="0" borderId="0"/>
    <xf numFmtId="0" fontId="43" fillId="19" borderId="79" applyNumberFormat="0" applyFont="0" applyAlignment="0" applyProtection="0"/>
    <xf numFmtId="0" fontId="43" fillId="21" borderId="0" applyNumberFormat="0" applyBorder="0" applyAlignment="0" applyProtection="0"/>
    <xf numFmtId="0" fontId="43" fillId="22"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0" borderId="0"/>
    <xf numFmtId="0" fontId="42" fillId="19" borderId="79" applyNumberFormat="0" applyFont="0" applyAlignment="0" applyProtection="0"/>
    <xf numFmtId="0" fontId="42" fillId="21"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2" fillId="26"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1" fillId="0" borderId="0"/>
    <xf numFmtId="0" fontId="41" fillId="19" borderId="79" applyNumberFormat="0" applyFont="0" applyAlignment="0" applyProtection="0"/>
    <xf numFmtId="0" fontId="41" fillId="21" borderId="0" applyNumberFormat="0" applyBorder="0" applyAlignment="0" applyProtection="0"/>
    <xf numFmtId="0" fontId="41" fillId="22"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3" borderId="0" applyNumberFormat="0" applyBorder="0" applyAlignment="0" applyProtection="0"/>
    <xf numFmtId="0" fontId="41" fillId="34" borderId="0" applyNumberFormat="0" applyBorder="0" applyAlignment="0" applyProtection="0"/>
    <xf numFmtId="0" fontId="41" fillId="37" borderId="0" applyNumberFormat="0" applyBorder="0" applyAlignment="0" applyProtection="0"/>
    <xf numFmtId="0" fontId="41" fillId="38"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0" fillId="0" borderId="0"/>
    <xf numFmtId="166" fontId="40" fillId="0" borderId="0" applyFont="0" applyFill="0" applyBorder="0" applyAlignment="0" applyProtection="0"/>
    <xf numFmtId="0" fontId="39" fillId="19" borderId="79" applyNumberFormat="0" applyFont="0" applyAlignment="0" applyProtection="0"/>
    <xf numFmtId="0" fontId="39" fillId="21" borderId="0" applyNumberFormat="0" applyBorder="0" applyAlignment="0" applyProtection="0"/>
    <xf numFmtId="0" fontId="39" fillId="22"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8" fillId="0" borderId="0"/>
    <xf numFmtId="0" fontId="38" fillId="19" borderId="79" applyNumberFormat="0" applyFont="0" applyAlignment="0" applyProtection="0"/>
    <xf numFmtId="0" fontId="38" fillId="21" borderId="0" applyNumberFormat="0" applyBorder="0" applyAlignment="0" applyProtection="0"/>
    <xf numFmtId="0" fontId="38" fillId="22"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7" fillId="0" borderId="0"/>
    <xf numFmtId="0" fontId="151" fillId="0" borderId="0">
      <protection locked="0"/>
    </xf>
    <xf numFmtId="0" fontId="151" fillId="0" borderId="0">
      <protection locked="0"/>
    </xf>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0" fontId="118" fillId="0" borderId="0">
      <protection locked="0"/>
    </xf>
    <xf numFmtId="202" fontId="118" fillId="0" borderId="0">
      <protection locked="0"/>
    </xf>
    <xf numFmtId="0" fontId="180" fillId="0" borderId="0" applyNumberFormat="0" applyFill="0" applyBorder="0" applyAlignment="0" applyProtection="0">
      <alignment vertical="top"/>
      <protection locked="0"/>
    </xf>
    <xf numFmtId="166"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16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16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166" fontId="53"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166" fontId="53"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166" fontId="53"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5"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6" fontId="55" fillId="0" borderId="0" applyFont="0" applyFill="0" applyBorder="0" applyAlignment="0" applyProtection="0"/>
    <xf numFmtId="201" fontId="118" fillId="0" borderId="0">
      <protection locked="0"/>
    </xf>
    <xf numFmtId="204" fontId="118" fillId="0" borderId="0">
      <protection locked="0"/>
    </xf>
    <xf numFmtId="0" fontId="161"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200" fontId="118" fillId="0" borderId="0">
      <protection locked="0"/>
    </xf>
    <xf numFmtId="203" fontId="118" fillId="0" borderId="0">
      <protection locked="0"/>
    </xf>
    <xf numFmtId="0" fontId="118" fillId="0" borderId="89">
      <protection locked="0"/>
    </xf>
    <xf numFmtId="0" fontId="163" fillId="0" borderId="89">
      <protection locked="0"/>
    </xf>
    <xf numFmtId="0" fontId="53" fillId="0" borderId="0"/>
    <xf numFmtId="0" fontId="36" fillId="0" borderId="0"/>
    <xf numFmtId="0" fontId="36" fillId="0" borderId="0"/>
    <xf numFmtId="0" fontId="36" fillId="0" borderId="0"/>
    <xf numFmtId="168" fontId="53" fillId="0" borderId="0" applyFont="0" applyFill="0" applyBorder="0" applyAlignment="0" applyProtection="0"/>
    <xf numFmtId="0" fontId="53" fillId="0" borderId="0"/>
    <xf numFmtId="0" fontId="36" fillId="0" borderId="0"/>
    <xf numFmtId="0" fontId="53" fillId="0" borderId="0"/>
    <xf numFmtId="0" fontId="36" fillId="0" borderId="0"/>
    <xf numFmtId="0" fontId="36" fillId="0" borderId="0"/>
    <xf numFmtId="0" fontId="36" fillId="0" borderId="0"/>
    <xf numFmtId="0" fontId="36" fillId="0" borderId="0"/>
    <xf numFmtId="0" fontId="36" fillId="0" borderId="0"/>
    <xf numFmtId="0" fontId="36" fillId="0" borderId="0"/>
    <xf numFmtId="0" fontId="53" fillId="0" borderId="0"/>
    <xf numFmtId="166"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36" fillId="0" borderId="0"/>
    <xf numFmtId="9" fontId="53" fillId="0" borderId="0" applyFont="0" applyFill="0" applyBorder="0" applyAlignment="0" applyProtection="0"/>
    <xf numFmtId="9" fontId="36" fillId="0" borderId="0" applyFont="0" applyFill="0" applyBorder="0" applyAlignment="0" applyProtection="0"/>
    <xf numFmtId="0" fontId="118" fillId="0" borderId="89">
      <protection locked="0"/>
    </xf>
    <xf numFmtId="188" fontId="53" fillId="0" borderId="0" applyFont="0" applyFill="0" applyBorder="0" applyAlignment="0" applyProtection="0"/>
    <xf numFmtId="188"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53" fillId="0" borderId="0"/>
    <xf numFmtId="0" fontId="36" fillId="0" borderId="0"/>
    <xf numFmtId="9" fontId="36" fillId="0" borderId="0" applyFont="0" applyFill="0" applyBorder="0" applyAlignment="0" applyProtection="0"/>
    <xf numFmtId="0" fontId="118" fillId="0" borderId="89">
      <protection locked="0"/>
    </xf>
    <xf numFmtId="0" fontId="36" fillId="0" borderId="0"/>
    <xf numFmtId="0" fontId="53" fillId="0" borderId="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0" fontId="53" fillId="0" borderId="0"/>
    <xf numFmtId="0" fontId="36" fillId="0" borderId="0"/>
    <xf numFmtId="0" fontId="53" fillId="0" borderId="0"/>
    <xf numFmtId="0" fontId="36" fillId="0" borderId="0"/>
    <xf numFmtId="0" fontId="53" fillId="0" borderId="0"/>
    <xf numFmtId="0" fontId="36" fillId="0" borderId="0"/>
    <xf numFmtId="188" fontId="53" fillId="0" borderId="0" applyFont="0" applyFill="0" applyBorder="0" applyAlignment="0" applyProtection="0"/>
    <xf numFmtId="0" fontId="36" fillId="0" borderId="0"/>
    <xf numFmtId="0" fontId="53" fillId="0" borderId="0"/>
    <xf numFmtId="0" fontId="36" fillId="0" borderId="0"/>
    <xf numFmtId="0" fontId="53"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88" fontId="53" fillId="0" borderId="0" applyFont="0" applyFill="0" applyBorder="0" applyAlignment="0" applyProtection="0"/>
    <xf numFmtId="188"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53" fillId="0" borderId="0"/>
    <xf numFmtId="0" fontId="36" fillId="0" borderId="0"/>
    <xf numFmtId="9" fontId="36" fillId="0" borderId="0" applyFont="0" applyFill="0" applyBorder="0" applyAlignment="0" applyProtection="0"/>
    <xf numFmtId="0" fontId="36" fillId="0" borderId="0"/>
    <xf numFmtId="0" fontId="53" fillId="0" borderId="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0" fontId="53" fillId="0" borderId="0"/>
    <xf numFmtId="0" fontId="36" fillId="0" borderId="0"/>
    <xf numFmtId="0" fontId="53" fillId="0" borderId="0"/>
    <xf numFmtId="0" fontId="36" fillId="0" borderId="0"/>
    <xf numFmtId="0" fontId="53" fillId="0" borderId="0"/>
    <xf numFmtId="0" fontId="36" fillId="0" borderId="0"/>
    <xf numFmtId="188" fontId="53" fillId="0" borderId="0" applyFont="0" applyFill="0" applyBorder="0" applyAlignment="0" applyProtection="0"/>
    <xf numFmtId="0" fontId="36" fillId="0" borderId="0"/>
    <xf numFmtId="0" fontId="53" fillId="0" borderId="0"/>
    <xf numFmtId="0" fontId="36" fillId="0" borderId="0"/>
    <xf numFmtId="0" fontId="53"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55" fillId="0" borderId="0" applyNumberFormat="0" applyFill="0" applyBorder="0" applyAlignment="0" applyProtection="0">
      <alignment vertical="top"/>
      <protection locked="0"/>
    </xf>
    <xf numFmtId="166"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36" fillId="0" borderId="0"/>
    <xf numFmtId="9" fontId="53" fillId="0" borderId="0" applyFont="0" applyFill="0" applyBorder="0" applyAlignment="0" applyProtection="0"/>
    <xf numFmtId="9" fontId="36" fillId="0" borderId="0" applyFont="0" applyFill="0" applyBorder="0" applyAlignment="0" applyProtection="0"/>
    <xf numFmtId="0" fontId="118" fillId="0" borderId="89">
      <protection locked="0"/>
    </xf>
    <xf numFmtId="0" fontId="53" fillId="0" borderId="0"/>
    <xf numFmtId="188" fontId="53" fillId="0" borderId="0" applyFont="0" applyFill="0" applyBorder="0" applyAlignment="0" applyProtection="0"/>
    <xf numFmtId="188"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53" fillId="0" borderId="0"/>
    <xf numFmtId="0" fontId="36" fillId="0" borderId="0"/>
    <xf numFmtId="9" fontId="36" fillId="0" borderId="0" applyFont="0" applyFill="0" applyBorder="0" applyAlignment="0" applyProtection="0"/>
    <xf numFmtId="0" fontId="36" fillId="0" borderId="0"/>
    <xf numFmtId="0" fontId="53" fillId="0" borderId="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0" fontId="53" fillId="0" borderId="0"/>
    <xf numFmtId="0" fontId="36" fillId="0" borderId="0"/>
    <xf numFmtId="0" fontId="53" fillId="0" borderId="0"/>
    <xf numFmtId="0" fontId="36" fillId="0" borderId="0"/>
    <xf numFmtId="0" fontId="53" fillId="0" borderId="0"/>
    <xf numFmtId="0" fontId="36" fillId="0" borderId="0"/>
    <xf numFmtId="188" fontId="53" fillId="0" borderId="0" applyFont="0" applyFill="0" applyBorder="0" applyAlignment="0" applyProtection="0"/>
    <xf numFmtId="0" fontId="36" fillId="0" borderId="0"/>
    <xf numFmtId="0" fontId="53" fillId="0" borderId="0"/>
    <xf numFmtId="0" fontId="36" fillId="0" borderId="0"/>
    <xf numFmtId="0" fontId="53"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0" fontId="36" fillId="0" borderId="0"/>
    <xf numFmtId="0" fontId="53" fillId="0" borderId="0"/>
    <xf numFmtId="166" fontId="53" fillId="0" borderId="0" applyFont="0" applyFill="0" applyBorder="0" applyAlignment="0" applyProtection="0"/>
    <xf numFmtId="166" fontId="36" fillId="0" borderId="0" applyFont="0" applyFill="0" applyBorder="0" applyAlignment="0" applyProtection="0"/>
    <xf numFmtId="165" fontId="53" fillId="0" borderId="0" applyFont="0" applyFill="0" applyBorder="0" applyAlignment="0" applyProtection="0"/>
    <xf numFmtId="0" fontId="36" fillId="0" borderId="0"/>
    <xf numFmtId="9" fontId="53" fillId="0" borderId="0" applyFont="0" applyFill="0" applyBorder="0" applyAlignment="0" applyProtection="0"/>
    <xf numFmtId="9" fontId="36" fillId="0" borderId="0" applyFont="0" applyFill="0" applyBorder="0" applyAlignment="0" applyProtection="0"/>
    <xf numFmtId="0" fontId="118" fillId="0" borderId="89">
      <protection locked="0"/>
    </xf>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53"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66" fontId="53" fillId="0" borderId="0" applyFont="0" applyFill="0" applyBorder="0" applyAlignment="0" applyProtection="0"/>
    <xf numFmtId="166" fontId="36" fillId="0" borderId="0" applyFont="0" applyFill="0" applyBorder="0" applyAlignment="0" applyProtection="0"/>
    <xf numFmtId="0" fontId="36" fillId="0" borderId="0"/>
    <xf numFmtId="9" fontId="53" fillId="0" borderId="0" applyFont="0" applyFill="0" applyBorder="0" applyAlignment="0" applyProtection="0"/>
    <xf numFmtId="9" fontId="36"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36"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53" fillId="0" borderId="0"/>
    <xf numFmtId="166" fontId="53" fillId="0" borderId="0" applyFont="0" applyFill="0" applyBorder="0" applyAlignment="0" applyProtection="0"/>
    <xf numFmtId="166" fontId="53"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66" fontId="53"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53"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53" fillId="0" borderId="0" applyFont="0" applyFill="0" applyBorder="0" applyAlignment="0" applyProtection="0"/>
    <xf numFmtId="166" fontId="53"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53" fillId="0" borderId="0" applyFont="0" applyFill="0" applyBorder="0" applyAlignment="0" applyProtection="0"/>
    <xf numFmtId="166" fontId="53" fillId="0" borderId="0" applyFont="0" applyFill="0" applyBorder="0" applyAlignment="0" applyProtection="0"/>
    <xf numFmtId="0" fontId="36" fillId="0" borderId="0"/>
    <xf numFmtId="166" fontId="53"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88" fontId="53"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53"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53" fillId="0" borderId="0"/>
    <xf numFmtId="0" fontId="36" fillId="0" borderId="0"/>
    <xf numFmtId="166" fontId="53" fillId="0" borderId="0" applyFont="0" applyFill="0" applyBorder="0" applyAlignment="0" applyProtection="0"/>
    <xf numFmtId="166" fontId="53"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18" fillId="0" borderId="89">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0" fontId="53" fillId="0" borderId="0"/>
    <xf numFmtId="166"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19" borderId="79" applyNumberFormat="0" applyFont="0" applyAlignment="0" applyProtection="0"/>
    <xf numFmtId="0" fontId="35" fillId="21" borderId="0" applyNumberFormat="0" applyBorder="0" applyAlignment="0" applyProtection="0"/>
    <xf numFmtId="0" fontId="35" fillId="22"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207" fontId="182" fillId="0" borderId="0" applyFont="0" applyFill="0" applyBorder="0" applyAlignment="0" applyProtection="0"/>
    <xf numFmtId="9" fontId="182" fillId="0" borderId="0" applyFont="0" applyFill="0" applyBorder="0" applyAlignment="0" applyProtection="0"/>
    <xf numFmtId="207" fontId="53"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0" fontId="33" fillId="19" borderId="79" applyNumberFormat="0" applyFont="0" applyAlignment="0" applyProtection="0"/>
    <xf numFmtId="0" fontId="33" fillId="21" borderId="0" applyNumberFormat="0" applyBorder="0" applyAlignment="0" applyProtection="0"/>
    <xf numFmtId="0" fontId="33" fillId="22"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2" fillId="0" borderId="0"/>
    <xf numFmtId="166" fontId="31"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0" fontId="192" fillId="0" borderId="0" applyNumberFormat="0" applyFill="0" applyBorder="0" applyAlignment="0" applyProtection="0">
      <alignment vertical="top"/>
      <protection locked="0"/>
    </xf>
    <xf numFmtId="9" fontId="30" fillId="0" borderId="0" applyFont="0" applyFill="0" applyBorder="0" applyAlignment="0" applyProtection="0"/>
    <xf numFmtId="0" fontId="161" fillId="50" borderId="0" applyNumberFormat="0" applyBorder="0" applyAlignment="0" applyProtection="0"/>
    <xf numFmtId="0" fontId="161" fillId="51" borderId="0" applyNumberFormat="0" applyBorder="0" applyAlignment="0" applyProtection="0"/>
    <xf numFmtId="0" fontId="161" fillId="52" borderId="0" applyNumberFormat="0" applyBorder="0" applyAlignment="0" applyProtection="0"/>
    <xf numFmtId="0" fontId="161" fillId="53" borderId="0" applyNumberFormat="0" applyBorder="0" applyAlignment="0" applyProtection="0"/>
    <xf numFmtId="0" fontId="161" fillId="54" borderId="0" applyNumberFormat="0" applyBorder="0" applyAlignment="0" applyProtection="0"/>
    <xf numFmtId="0" fontId="161" fillId="55" borderId="0" applyNumberFormat="0" applyBorder="0" applyAlignment="0" applyProtection="0"/>
    <xf numFmtId="0" fontId="161" fillId="56" borderId="0" applyNumberFormat="0" applyBorder="0" applyAlignment="0" applyProtection="0"/>
    <xf numFmtId="0" fontId="161" fillId="57" borderId="0" applyNumberFormat="0" applyBorder="0" applyAlignment="0" applyProtection="0"/>
    <xf numFmtId="0" fontId="161" fillId="58" borderId="0" applyNumberFormat="0" applyBorder="0" applyAlignment="0" applyProtection="0"/>
    <xf numFmtId="0" fontId="161" fillId="53" borderId="0" applyNumberFormat="0" applyBorder="0" applyAlignment="0" applyProtection="0"/>
    <xf numFmtId="0" fontId="161" fillId="56" borderId="0" applyNumberFormat="0" applyBorder="0" applyAlignment="0" applyProtection="0"/>
    <xf numFmtId="0" fontId="161" fillId="59" borderId="0" applyNumberFormat="0" applyBorder="0" applyAlignment="0" applyProtection="0"/>
    <xf numFmtId="0" fontId="193" fillId="60" borderId="0" applyNumberFormat="0" applyBorder="0" applyAlignment="0" applyProtection="0"/>
    <xf numFmtId="0" fontId="193" fillId="57" borderId="0" applyNumberFormat="0" applyBorder="0" applyAlignment="0" applyProtection="0"/>
    <xf numFmtId="0" fontId="193" fillId="58"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193" fillId="63" borderId="0" applyNumberFormat="0" applyBorder="0" applyAlignment="0" applyProtection="0"/>
    <xf numFmtId="0" fontId="194" fillId="64" borderId="98" applyNumberFormat="0" applyAlignment="0" applyProtection="0"/>
    <xf numFmtId="0" fontId="195" fillId="65" borderId="99" applyNumberFormat="0" applyAlignment="0" applyProtection="0"/>
    <xf numFmtId="0" fontId="196" fillId="0" borderId="100" applyNumberFormat="0" applyFill="0" applyAlignment="0" applyProtection="0"/>
    <xf numFmtId="0" fontId="208" fillId="0" borderId="101" applyNumberFormat="0" applyFill="0" applyAlignment="0" applyProtection="0"/>
    <xf numFmtId="0" fontId="197" fillId="0" borderId="0" applyNumberFormat="0" applyFill="0" applyBorder="0" applyAlignment="0" applyProtection="0"/>
    <xf numFmtId="0" fontId="193" fillId="66" borderId="0" applyNumberFormat="0" applyBorder="0" applyAlignment="0" applyProtection="0"/>
    <xf numFmtId="0" fontId="193" fillId="67" borderId="0" applyNumberFormat="0" applyBorder="0" applyAlignment="0" applyProtection="0"/>
    <xf numFmtId="0" fontId="193" fillId="68"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193" fillId="69" borderId="0" applyNumberFormat="0" applyBorder="0" applyAlignment="0" applyProtection="0"/>
    <xf numFmtId="0" fontId="198" fillId="55" borderId="98" applyNumberFormat="0" applyAlignment="0" applyProtection="0"/>
    <xf numFmtId="0" fontId="20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9" fillId="51" borderId="0" applyNumberFormat="0" applyBorder="0" applyAlignment="0" applyProtection="0"/>
    <xf numFmtId="169" fontId="53" fillId="0" borderId="0" applyFont="0" applyFill="0" applyBorder="0" applyAlignment="0" applyProtection="0"/>
    <xf numFmtId="166" fontId="161" fillId="0" borderId="0" applyFont="0" applyFill="0" applyBorder="0" applyAlignment="0" applyProtection="0"/>
    <xf numFmtId="0" fontId="200" fillId="70" borderId="0" applyNumberFormat="0" applyBorder="0" applyAlignment="0" applyProtection="0"/>
    <xf numFmtId="0" fontId="29" fillId="0" borderId="0"/>
    <xf numFmtId="3" fontId="53" fillId="0" borderId="0">
      <alignment vertical="center"/>
    </xf>
    <xf numFmtId="0" fontId="53" fillId="0" borderId="0"/>
    <xf numFmtId="0" fontId="53" fillId="0" borderId="0"/>
    <xf numFmtId="0" fontId="53" fillId="71" borderId="102" applyNumberFormat="0" applyFont="0" applyAlignment="0" applyProtection="0"/>
    <xf numFmtId="0" fontId="201" fillId="64" borderId="103"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5" fillId="0" borderId="104" applyNumberFormat="0" applyFill="0" applyAlignment="0" applyProtection="0"/>
    <xf numFmtId="0" fontId="206" fillId="0" borderId="105" applyNumberFormat="0" applyFill="0" applyAlignment="0" applyProtection="0"/>
    <xf numFmtId="0" fontId="197" fillId="0" borderId="106" applyNumberFormat="0" applyFill="0" applyAlignment="0" applyProtection="0"/>
    <xf numFmtId="0" fontId="207" fillId="0" borderId="107" applyNumberFormat="0" applyFill="0" applyAlignment="0" applyProtection="0"/>
    <xf numFmtId="0" fontId="28" fillId="0" borderId="0"/>
    <xf numFmtId="0" fontId="28" fillId="19" borderId="79" applyNumberFormat="0" applyFont="0" applyAlignment="0" applyProtection="0"/>
    <xf numFmtId="0" fontId="28" fillId="21" borderId="0" applyNumberFormat="0" applyBorder="0" applyAlignment="0" applyProtection="0"/>
    <xf numFmtId="0" fontId="28" fillId="22"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7" fillId="0" borderId="0"/>
    <xf numFmtId="0" fontId="26" fillId="0" borderId="0"/>
    <xf numFmtId="0" fontId="190" fillId="0" borderId="0"/>
    <xf numFmtId="166" fontId="211" fillId="0" borderId="0" applyFont="0" applyFill="0" applyBorder="0" applyAlignment="0" applyProtection="0"/>
    <xf numFmtId="0" fontId="25" fillId="0" borderId="0"/>
    <xf numFmtId="0" fontId="24" fillId="0" borderId="0"/>
    <xf numFmtId="0" fontId="23" fillId="29" borderId="0" applyNumberFormat="0" applyBorder="0" applyAlignment="0" applyProtection="0"/>
    <xf numFmtId="9"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9" fontId="2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23" fillId="30" borderId="0" applyNumberFormat="0" applyBorder="0" applyAlignment="0" applyProtection="0"/>
    <xf numFmtId="0" fontId="23" fillId="37" borderId="0" applyNumberFormat="0" applyBorder="0" applyAlignment="0" applyProtection="0"/>
    <xf numFmtId="0" fontId="23" fillId="0" borderId="0"/>
    <xf numFmtId="166" fontId="23" fillId="0" borderId="0" applyFont="0" applyFill="0" applyBorder="0" applyAlignment="0" applyProtection="0"/>
    <xf numFmtId="0" fontId="23" fillId="2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3" fillId="0" borderId="0" applyFont="0" applyFill="0" applyBorder="0" applyAlignment="0" applyProtection="0"/>
    <xf numFmtId="0" fontId="23" fillId="0" borderId="0"/>
    <xf numFmtId="166" fontId="5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19" borderId="7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25" borderId="0" applyNumberFormat="0" applyBorder="0" applyAlignment="0" applyProtection="0"/>
    <xf numFmtId="0" fontId="23" fillId="22" borderId="0" applyNumberFormat="0" applyBorder="0" applyAlignment="0" applyProtection="0"/>
    <xf numFmtId="166" fontId="5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166" fontId="53" fillId="0" borderId="0" applyFont="0" applyFill="0" applyBorder="0" applyAlignment="0" applyProtection="0"/>
    <xf numFmtId="166" fontId="5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166" fontId="53" fillId="0" borderId="0" applyFont="0" applyFill="0" applyBorder="0" applyAlignment="0" applyProtection="0"/>
    <xf numFmtId="166" fontId="53" fillId="0" borderId="0" applyFont="0" applyFill="0" applyBorder="0" applyAlignment="0" applyProtection="0"/>
    <xf numFmtId="0" fontId="23" fillId="0" borderId="0"/>
    <xf numFmtId="0" fontId="23" fillId="0" borderId="0"/>
    <xf numFmtId="0" fontId="23" fillId="0" borderId="0"/>
    <xf numFmtId="0" fontId="23" fillId="38" borderId="0" applyNumberFormat="0" applyBorder="0" applyAlignment="0" applyProtection="0"/>
    <xf numFmtId="0" fontId="23" fillId="2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166" fontId="23" fillId="0" borderId="0" applyFont="0" applyFill="0" applyBorder="0" applyAlignment="0" applyProtection="0"/>
    <xf numFmtId="0" fontId="22" fillId="0" borderId="0"/>
    <xf numFmtId="0" fontId="22" fillId="19" borderId="79" applyNumberFormat="0" applyFont="0" applyAlignment="0" applyProtection="0"/>
    <xf numFmtId="0" fontId="22" fillId="21"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1" fillId="0" borderId="0"/>
    <xf numFmtId="0" fontId="21" fillId="0" borderId="0"/>
    <xf numFmtId="0" fontId="21" fillId="0" borderId="0"/>
    <xf numFmtId="0" fontId="21" fillId="0" borderId="0"/>
    <xf numFmtId="166" fontId="53" fillId="0" borderId="0" applyFont="0" applyFill="0" applyBorder="0" applyAlignment="0" applyProtection="0"/>
    <xf numFmtId="0" fontId="21" fillId="0" borderId="0"/>
    <xf numFmtId="166" fontId="53"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166" fontId="21" fillId="0" borderId="0" applyFont="0" applyFill="0" applyBorder="0" applyAlignment="0" applyProtection="0"/>
    <xf numFmtId="166" fontId="53"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166" fontId="21" fillId="0" borderId="0" applyFont="0" applyFill="0" applyBorder="0" applyAlignment="0" applyProtection="0"/>
    <xf numFmtId="0" fontId="20" fillId="0" borderId="0"/>
    <xf numFmtId="0" fontId="219" fillId="0" borderId="0"/>
    <xf numFmtId="1" fontId="219" fillId="0" borderId="0" applyBorder="0" applyProtection="0"/>
    <xf numFmtId="0" fontId="19" fillId="0" borderId="0"/>
    <xf numFmtId="0" fontId="18" fillId="0" borderId="0"/>
    <xf numFmtId="0" fontId="17" fillId="0" borderId="0"/>
    <xf numFmtId="0" fontId="17" fillId="19" borderId="79" applyNumberFormat="0" applyFont="0" applyAlignment="0" applyProtection="0"/>
    <xf numFmtId="0" fontId="17" fillId="21"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6" fillId="0" borderId="0"/>
    <xf numFmtId="0" fontId="220" fillId="72" borderId="0"/>
    <xf numFmtId="0" fontId="63" fillId="0" borderId="0"/>
    <xf numFmtId="0" fontId="221" fillId="0" borderId="0" applyNumberFormat="0" applyFill="0" applyBorder="0" applyAlignment="0" applyProtection="0">
      <alignment vertical="top"/>
      <protection locked="0"/>
    </xf>
    <xf numFmtId="0" fontId="53" fillId="0" borderId="0"/>
    <xf numFmtId="0" fontId="15" fillId="0" borderId="0"/>
    <xf numFmtId="0" fontId="14" fillId="0" borderId="0"/>
    <xf numFmtId="0" fontId="14" fillId="19" borderId="79" applyNumberFormat="0" applyFont="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3" fillId="0" borderId="0"/>
    <xf numFmtId="0" fontId="12" fillId="0" borderId="0"/>
    <xf numFmtId="3" fontId="53" fillId="0" borderId="0" applyFill="0" applyBorder="0" applyAlignment="0" applyProtection="0"/>
    <xf numFmtId="0" fontId="224" fillId="0" borderId="0" applyNumberFormat="0" applyFill="0" applyBorder="0" applyAlignment="0" applyProtection="0">
      <alignment vertical="top"/>
      <protection locked="0"/>
    </xf>
    <xf numFmtId="166" fontId="53" fillId="0" borderId="0" applyFont="0" applyFill="0" applyBorder="0" applyAlignment="0" applyProtection="0"/>
    <xf numFmtId="0" fontId="11" fillId="0" borderId="0"/>
    <xf numFmtId="0" fontId="53" fillId="0" borderId="0"/>
    <xf numFmtId="0" fontId="10" fillId="0" borderId="0"/>
    <xf numFmtId="9"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225" fillId="0" borderId="0"/>
    <xf numFmtId="9" fontId="53" fillId="0" borderId="0" applyFont="0" applyFill="0" applyBorder="0" applyAlignment="0" applyProtection="0"/>
    <xf numFmtId="0" fontId="52" fillId="0" borderId="1">
      <protection locked="0"/>
    </xf>
    <xf numFmtId="166" fontId="10" fillId="0" borderId="0" applyFont="0" applyFill="0" applyBorder="0" applyAlignment="0" applyProtection="0"/>
    <xf numFmtId="166" fontId="10" fillId="0" borderId="0" applyFont="0" applyFill="0" applyBorder="0" applyAlignment="0" applyProtection="0"/>
    <xf numFmtId="0" fontId="141" fillId="15" borderId="0" applyNumberFormat="0" applyBorder="0" applyAlignment="0" applyProtection="0"/>
    <xf numFmtId="0" fontId="149" fillId="23" borderId="0" applyNumberFormat="0" applyBorder="0" applyAlignment="0" applyProtection="0"/>
    <xf numFmtId="0" fontId="149" fillId="27" borderId="0" applyNumberFormat="0" applyBorder="0" applyAlignment="0" applyProtection="0"/>
    <xf numFmtId="0" fontId="149" fillId="31" borderId="0" applyNumberFormat="0" applyBorder="0" applyAlignment="0" applyProtection="0"/>
    <xf numFmtId="0" fontId="149" fillId="35" borderId="0" applyNumberFormat="0" applyBorder="0" applyAlignment="0" applyProtection="0"/>
    <xf numFmtId="0" fontId="149" fillId="39" borderId="0" applyNumberFormat="0" applyBorder="0" applyAlignment="0" applyProtection="0"/>
    <xf numFmtId="0" fontId="149" fillId="43" borderId="0" applyNumberFormat="0" applyBorder="0" applyAlignment="0" applyProtection="0"/>
    <xf numFmtId="0" fontId="10" fillId="0" borderId="0"/>
    <xf numFmtId="0" fontId="10" fillId="19" borderId="79" applyNumberFormat="0" applyFont="0" applyAlignment="0" applyProtection="0"/>
    <xf numFmtId="0" fontId="10" fillId="0" borderId="0"/>
    <xf numFmtId="166" fontId="53" fillId="0" borderId="0" applyFont="0" applyFill="0" applyBorder="0" applyAlignment="0" applyProtection="0"/>
    <xf numFmtId="166" fontId="53" fillId="0" borderId="0" applyFont="0" applyFill="0" applyBorder="0" applyAlignment="0" applyProtection="0"/>
    <xf numFmtId="43" fontId="10"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4" fontId="10" fillId="0" borderId="0" applyFont="0" applyFill="0" applyBorder="0" applyAlignment="0" applyProtection="0"/>
    <xf numFmtId="165" fontId="53"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53" fillId="0" borderId="0" applyNumberFormat="0" applyFill="0" applyBorder="0" applyAlignment="0" applyProtection="0"/>
    <xf numFmtId="166" fontId="53" fillId="0" borderId="0" applyFont="0" applyFill="0" applyBorder="0" applyAlignment="0" applyProtection="0"/>
    <xf numFmtId="0" fontId="10" fillId="0" borderId="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166" fontId="10" fillId="0" borderId="0" applyFont="0" applyFill="0" applyBorder="0" applyAlignment="0" applyProtection="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16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16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5" fontId="5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53"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0" fontId="10" fillId="0" borderId="0"/>
    <xf numFmtId="166" fontId="53" fillId="0" borderId="0" applyFont="0" applyFill="0" applyBorder="0" applyAlignment="0" applyProtection="0"/>
    <xf numFmtId="166" fontId="10" fillId="0" borderId="0" applyFont="0" applyFill="0" applyBorder="0" applyAlignment="0" applyProtection="0"/>
    <xf numFmtId="165" fontId="53"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53" fillId="0" borderId="0" applyFont="0" applyFill="0" applyBorder="0" applyAlignment="0" applyProtection="0"/>
    <xf numFmtId="0" fontId="10" fillId="0" borderId="0"/>
    <xf numFmtId="9" fontId="10" fillId="0" borderId="0" applyFont="0" applyFill="0" applyBorder="0" applyAlignment="0" applyProtection="0"/>
    <xf numFmtId="166" fontId="53"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0" borderId="0"/>
    <xf numFmtId="9" fontId="10" fillId="0" borderId="0" applyFont="0" applyFill="0" applyBorder="0" applyAlignment="0" applyProtection="0"/>
    <xf numFmtId="166" fontId="53"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166" fontId="53"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0" fontId="10" fillId="0" borderId="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6" fontId="53"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207" fontId="53" fillId="0" borderId="0" applyFont="0" applyFill="0" applyBorder="0" applyAlignment="0" applyProtection="0"/>
    <xf numFmtId="9" fontId="5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61" fillId="0" borderId="0" applyFont="0" applyFill="0" applyBorder="0" applyAlignment="0" applyProtection="0"/>
    <xf numFmtId="0" fontId="10" fillId="0" borderId="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0" borderId="0"/>
    <xf numFmtId="166" fontId="53" fillId="0" borderId="0" applyFont="0" applyFill="0" applyBorder="0" applyAlignment="0" applyProtection="0"/>
    <xf numFmtId="0" fontId="10" fillId="0" borderId="0"/>
    <xf numFmtId="0" fontId="10" fillId="0" borderId="0"/>
    <xf numFmtId="0" fontId="10" fillId="29" borderId="0" applyNumberFormat="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9" fontId="10"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0" borderId="0"/>
    <xf numFmtId="166" fontId="10" fillId="0" borderId="0" applyFont="0" applyFill="0" applyBorder="0" applyAlignment="0" applyProtection="0"/>
    <xf numFmtId="0" fontId="10" fillId="2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0" fontId="10" fillId="0" borderId="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19" borderId="7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2" borderId="0" applyNumberFormat="0" applyBorder="0" applyAlignment="0" applyProtection="0"/>
    <xf numFmtId="166" fontId="53"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6" fontId="53"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38"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166" fontId="10" fillId="0" borderId="0" applyFont="0" applyFill="0" applyBorder="0" applyAlignment="0" applyProtection="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0" borderId="0"/>
    <xf numFmtId="0" fontId="10" fillId="0" borderId="0"/>
    <xf numFmtId="0" fontId="10" fillId="0" borderId="0"/>
    <xf numFmtId="166" fontId="53" fillId="0" borderId="0" applyFont="0" applyFill="0" applyBorder="0" applyAlignment="0" applyProtection="0"/>
    <xf numFmtId="0" fontId="10" fillId="0" borderId="0"/>
    <xf numFmtId="166" fontId="5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0" borderId="0"/>
    <xf numFmtId="0" fontId="10" fillId="0" borderId="0"/>
    <xf numFmtId="0" fontId="10" fillId="19" borderId="79" applyNumberFormat="0" applyFont="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0" fontId="10" fillId="0" borderId="0"/>
    <xf numFmtId="166" fontId="53" fillId="0" borderId="0" applyFont="0" applyFill="0" applyBorder="0" applyAlignment="0" applyProtection="0"/>
    <xf numFmtId="0" fontId="10" fillId="0" borderId="0"/>
    <xf numFmtId="0" fontId="201" fillId="64" borderId="103" applyNumberFormat="0" applyAlignment="0" applyProtection="0"/>
    <xf numFmtId="0" fontId="194" fillId="64" borderId="98" applyNumberFormat="0" applyAlignment="0" applyProtection="0"/>
    <xf numFmtId="0" fontId="198" fillId="55" borderId="98" applyNumberFormat="0" applyAlignment="0" applyProtection="0"/>
    <xf numFmtId="0" fontId="207" fillId="0" borderId="107" applyNumberFormat="0" applyFill="0" applyAlignment="0" applyProtection="0"/>
    <xf numFmtId="0" fontId="53" fillId="71" borderId="102" applyNumberFormat="0" applyFont="0" applyAlignment="0" applyProtection="0"/>
    <xf numFmtId="0" fontId="194" fillId="64" borderId="98" applyNumberFormat="0" applyAlignment="0" applyProtection="0"/>
    <xf numFmtId="0" fontId="198" fillId="55" borderId="98" applyNumberFormat="0" applyAlignment="0" applyProtection="0"/>
    <xf numFmtId="0" fontId="53" fillId="71" borderId="102" applyNumberFormat="0" applyFont="0" applyAlignment="0" applyProtection="0"/>
    <xf numFmtId="0" fontId="201" fillId="64" borderId="103" applyNumberFormat="0" applyAlignment="0" applyProtection="0"/>
    <xf numFmtId="0" fontId="207" fillId="0" borderId="107" applyNumberFormat="0" applyFill="0" applyAlignment="0" applyProtection="0"/>
    <xf numFmtId="0" fontId="9" fillId="0" borderId="0"/>
    <xf numFmtId="166" fontId="53" fillId="0" borderId="0" applyFont="0" applyFill="0" applyBorder="0" applyAlignment="0" applyProtection="0"/>
    <xf numFmtId="194" fontId="226" fillId="0" borderId="0" applyFont="0" applyFill="0" applyBorder="0" applyAlignment="0" applyProtection="0"/>
    <xf numFmtId="0" fontId="8" fillId="0" borderId="0"/>
    <xf numFmtId="166" fontId="53" fillId="0" borderId="0" applyFont="0" applyFill="0" applyBorder="0" applyAlignment="0" applyProtection="0"/>
    <xf numFmtId="0" fontId="7" fillId="0" borderId="0"/>
    <xf numFmtId="0" fontId="7" fillId="19" borderId="79" applyNumberFormat="0" applyFont="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194" fontId="227" fillId="0" borderId="0" applyFont="0" applyFill="0" applyBorder="0" applyAlignment="0" applyProtection="0"/>
    <xf numFmtId="0" fontId="6" fillId="0" borderId="0"/>
    <xf numFmtId="0" fontId="6" fillId="19" borderId="79" applyNumberFormat="0" applyFont="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53" fillId="0" borderId="0" applyFont="0" applyFill="0" applyBorder="0" applyAlignment="0" applyProtection="0"/>
    <xf numFmtId="0" fontId="228" fillId="0" borderId="0" applyNumberFormat="0" applyFill="0" applyBorder="0" applyAlignment="0" applyProtection="0"/>
    <xf numFmtId="0" fontId="5" fillId="0" borderId="0"/>
    <xf numFmtId="166" fontId="53" fillId="0" borderId="0" applyFont="0" applyFill="0" applyBorder="0" applyAlignment="0" applyProtection="0"/>
    <xf numFmtId="0" fontId="4" fillId="0" borderId="0"/>
    <xf numFmtId="0" fontId="229" fillId="0" borderId="0" applyNumberFormat="0" applyFill="0" applyBorder="0" applyAlignment="0" applyProtection="0"/>
    <xf numFmtId="9" fontId="3" fillId="0" borderId="0" applyFont="0" applyFill="0" applyBorder="0" applyAlignment="0" applyProtection="0"/>
    <xf numFmtId="0" fontId="228"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67" fontId="53" fillId="0" borderId="0" applyFont="0" applyFill="0" applyBorder="0" applyAlignment="0" applyProtection="0"/>
    <xf numFmtId="0" fontId="2" fillId="0" borderId="0"/>
    <xf numFmtId="0" fontId="2" fillId="0" borderId="0"/>
    <xf numFmtId="0" fontId="242" fillId="72" borderId="0"/>
    <xf numFmtId="0" fontId="1" fillId="0" borderId="0"/>
  </cellStyleXfs>
  <cellXfs count="3421">
    <xf numFmtId="0" fontId="0" fillId="0" borderId="0" xfId="0"/>
    <xf numFmtId="0" fontId="57" fillId="2" borderId="0" xfId="0" applyFont="1" applyFill="1"/>
    <xf numFmtId="0" fontId="0" fillId="2" borderId="0" xfId="0" applyFill="1"/>
    <xf numFmtId="0" fontId="0" fillId="2" borderId="2" xfId="0" applyFill="1" applyBorder="1"/>
    <xf numFmtId="0" fontId="72" fillId="2" borderId="2" xfId="0" applyFont="1" applyFill="1" applyBorder="1" applyAlignment="1">
      <alignment horizontal="centerContinuous" vertical="center" wrapText="1"/>
    </xf>
    <xf numFmtId="0" fontId="72" fillId="2" borderId="0" xfId="0" applyFont="1" applyFill="1" applyAlignment="1">
      <alignment horizontal="centerContinuous" vertical="center" wrapText="1"/>
    </xf>
    <xf numFmtId="0" fontId="76" fillId="2" borderId="0" xfId="0" applyFont="1" applyFill="1" applyAlignment="1">
      <alignment horizontal="centerContinuous" vertical="center" wrapText="1"/>
    </xf>
    <xf numFmtId="0" fontId="79" fillId="2" borderId="3" xfId="0" applyFont="1" applyFill="1" applyBorder="1"/>
    <xf numFmtId="0" fontId="57" fillId="2" borderId="0" xfId="0" applyFont="1" applyFill="1" applyAlignment="1">
      <alignment vertical="center"/>
    </xf>
    <xf numFmtId="0" fontId="57" fillId="2" borderId="0" xfId="0" applyFont="1" applyFill="1" applyAlignment="1">
      <alignment vertical="center" wrapText="1"/>
    </xf>
    <xf numFmtId="0" fontId="79" fillId="2" borderId="0" xfId="0" applyFont="1" applyFill="1"/>
    <xf numFmtId="0" fontId="57" fillId="2" borderId="0" xfId="16" applyFont="1" applyFill="1" applyAlignment="1">
      <alignment vertical="center"/>
    </xf>
    <xf numFmtId="0" fontId="57" fillId="2" borderId="0" xfId="16" applyFont="1" applyFill="1" applyAlignment="1">
      <alignment vertical="center" wrapText="1"/>
    </xf>
    <xf numFmtId="0" fontId="57" fillId="2" borderId="0" xfId="16" applyFont="1" applyFill="1"/>
    <xf numFmtId="0" fontId="57" fillId="2" borderId="0" xfId="15" applyFont="1" applyFill="1" applyAlignment="1">
      <alignment vertical="center"/>
    </xf>
    <xf numFmtId="0" fontId="57" fillId="2" borderId="0" xfId="15" applyFont="1" applyFill="1" applyAlignment="1">
      <alignment vertical="center" wrapText="1"/>
    </xf>
    <xf numFmtId="0" fontId="57" fillId="2" borderId="0" xfId="15" applyFont="1" applyFill="1"/>
    <xf numFmtId="0" fontId="59" fillId="2" borderId="0" xfId="0" applyFont="1" applyFill="1"/>
    <xf numFmtId="0" fontId="56" fillId="2" borderId="0" xfId="0" applyFont="1" applyFill="1"/>
    <xf numFmtId="0" fontId="76" fillId="2" borderId="0" xfId="0" applyFont="1" applyFill="1"/>
    <xf numFmtId="0" fontId="76" fillId="2" borderId="3" xfId="0" applyFont="1" applyFill="1" applyBorder="1"/>
    <xf numFmtId="0" fontId="76" fillId="2" borderId="7" xfId="0" applyFont="1" applyFill="1" applyBorder="1" applyAlignment="1">
      <alignment horizontal="center" vertical="center"/>
    </xf>
    <xf numFmtId="0" fontId="76" fillId="2" borderId="8" xfId="0" applyFont="1" applyFill="1" applyBorder="1" applyAlignment="1">
      <alignment horizontal="center" vertical="center"/>
    </xf>
    <xf numFmtId="0" fontId="66" fillId="2" borderId="0" xfId="0" applyFont="1" applyFill="1" applyAlignment="1">
      <alignment vertical="center"/>
    </xf>
    <xf numFmtId="0" fontId="87" fillId="2" borderId="0" xfId="0" applyFont="1" applyFill="1" applyAlignment="1">
      <alignment horizontal="center" vertical="center"/>
    </xf>
    <xf numFmtId="0" fontId="85" fillId="2" borderId="0" xfId="0" applyFont="1" applyFill="1" applyAlignment="1">
      <alignment horizontal="left" vertical="center"/>
    </xf>
    <xf numFmtId="0" fontId="88" fillId="2" borderId="0" xfId="0" applyFont="1" applyFill="1" applyAlignment="1">
      <alignment horizontal="center" vertical="center"/>
    </xf>
    <xf numFmtId="0" fontId="89" fillId="2" borderId="0" xfId="0" applyFont="1" applyFill="1" applyAlignment="1">
      <alignment horizontal="center" vertical="center"/>
    </xf>
    <xf numFmtId="0" fontId="57" fillId="2" borderId="2" xfId="16" applyFont="1" applyFill="1" applyBorder="1" applyAlignment="1">
      <alignment vertical="center"/>
    </xf>
    <xf numFmtId="0" fontId="76" fillId="2" borderId="2" xfId="16" applyFont="1" applyFill="1" applyBorder="1" applyAlignment="1">
      <alignment vertical="center"/>
    </xf>
    <xf numFmtId="0" fontId="76" fillId="2" borderId="0" xfId="16" applyFont="1" applyFill="1" applyAlignment="1">
      <alignment vertical="center"/>
    </xf>
    <xf numFmtId="180" fontId="81" fillId="2" borderId="2" xfId="19" applyNumberFormat="1" applyFont="1" applyFill="1" applyBorder="1" applyAlignment="1">
      <alignment horizontal="center" vertical="center"/>
    </xf>
    <xf numFmtId="0" fontId="76" fillId="2" borderId="0" xfId="16" applyFont="1" applyFill="1" applyAlignment="1">
      <alignment vertical="center" wrapText="1"/>
    </xf>
    <xf numFmtId="0" fontId="57" fillId="2" borderId="2" xfId="16" applyFont="1" applyFill="1" applyBorder="1" applyAlignment="1">
      <alignment vertical="center" wrapText="1"/>
    </xf>
    <xf numFmtId="0" fontId="0" fillId="2" borderId="0" xfId="0" applyFill="1" applyAlignment="1">
      <alignment wrapText="1"/>
    </xf>
    <xf numFmtId="9" fontId="57" fillId="2" borderId="0" xfId="19" applyFont="1" applyFill="1"/>
    <xf numFmtId="1" fontId="80" fillId="3" borderId="0" xfId="16" quotePrefix="1" applyNumberFormat="1" applyFont="1" applyFill="1" applyAlignment="1">
      <alignment horizontal="center" vertical="center"/>
    </xf>
    <xf numFmtId="1" fontId="81" fillId="3" borderId="0" xfId="16" applyNumberFormat="1" applyFont="1" applyFill="1" applyAlignment="1">
      <alignment horizontal="center" vertical="center"/>
    </xf>
    <xf numFmtId="1" fontId="81" fillId="3" borderId="13" xfId="16" applyNumberFormat="1" applyFont="1" applyFill="1" applyBorder="1" applyAlignment="1">
      <alignment horizontal="center" vertical="center"/>
    </xf>
    <xf numFmtId="1" fontId="92" fillId="3" borderId="13" xfId="12" applyNumberFormat="1" applyFont="1" applyFill="1" applyBorder="1" applyAlignment="1" applyProtection="1">
      <alignment horizontal="center" vertical="center" wrapText="1"/>
    </xf>
    <xf numFmtId="0" fontId="72" fillId="2" borderId="7" xfId="0" applyFont="1" applyFill="1" applyBorder="1" applyAlignment="1">
      <alignment horizontal="centerContinuous" vertical="center" wrapText="1"/>
    </xf>
    <xf numFmtId="0" fontId="72" fillId="2" borderId="15" xfId="0" applyFont="1" applyFill="1" applyBorder="1" applyAlignment="1">
      <alignment horizontal="centerContinuous" vertical="center" wrapText="1"/>
    </xf>
    <xf numFmtId="1" fontId="92" fillId="3" borderId="0" xfId="12" applyNumberFormat="1" applyFont="1" applyFill="1" applyBorder="1" applyAlignment="1" applyProtection="1">
      <alignment horizontal="center" vertical="center" wrapText="1"/>
    </xf>
    <xf numFmtId="0" fontId="76" fillId="2" borderId="7" xfId="0" applyFont="1" applyFill="1" applyBorder="1"/>
    <xf numFmtId="0" fontId="76" fillId="2" borderId="15" xfId="0" applyFont="1" applyFill="1" applyBorder="1"/>
    <xf numFmtId="1" fontId="92" fillId="4" borderId="14" xfId="12" applyNumberFormat="1" applyFont="1" applyFill="1" applyBorder="1" applyAlignment="1" applyProtection="1">
      <alignment horizontal="center" vertical="center" wrapText="1"/>
    </xf>
    <xf numFmtId="0" fontId="76" fillId="2" borderId="2" xfId="0" applyFont="1" applyFill="1" applyBorder="1"/>
    <xf numFmtId="1" fontId="92" fillId="3" borderId="14" xfId="12" applyNumberFormat="1" applyFont="1" applyFill="1" applyBorder="1" applyAlignment="1" applyProtection="1">
      <alignment horizontal="center" vertical="center" wrapText="1"/>
    </xf>
    <xf numFmtId="0" fontId="72" fillId="2" borderId="16" xfId="0" quotePrefix="1" applyFont="1" applyFill="1" applyBorder="1" applyAlignment="1">
      <alignment horizontal="center"/>
    </xf>
    <xf numFmtId="2" fontId="76" fillId="0" borderId="3" xfId="0" applyNumberFormat="1" applyFont="1" applyBorder="1" applyAlignment="1">
      <alignment horizontal="center"/>
    </xf>
    <xf numFmtId="170" fontId="76" fillId="0" borderId="2" xfId="0" applyNumberFormat="1" applyFont="1" applyBorder="1"/>
    <xf numFmtId="2" fontId="76" fillId="0" borderId="3" xfId="0" quotePrefix="1" applyNumberFormat="1" applyFont="1" applyBorder="1" applyAlignment="1">
      <alignment horizontal="center"/>
    </xf>
    <xf numFmtId="1" fontId="92" fillId="3" borderId="12" xfId="12" applyNumberFormat="1" applyFont="1" applyFill="1" applyBorder="1" applyAlignment="1" applyProtection="1">
      <alignment horizontal="center" vertical="center" wrapText="1"/>
    </xf>
    <xf numFmtId="2" fontId="76" fillId="0" borderId="18" xfId="0" applyNumberFormat="1" applyFont="1" applyBorder="1" applyAlignment="1">
      <alignment horizontal="center"/>
    </xf>
    <xf numFmtId="170" fontId="92" fillId="4" borderId="2" xfId="0" applyNumberFormat="1" applyFont="1" applyFill="1" applyBorder="1"/>
    <xf numFmtId="0" fontId="74" fillId="2" borderId="9" xfId="16" applyFont="1" applyFill="1" applyBorder="1" applyAlignment="1">
      <alignment horizontal="centerContinuous" vertical="center" wrapText="1"/>
    </xf>
    <xf numFmtId="0" fontId="74" fillId="2" borderId="19" xfId="16" applyFont="1" applyFill="1" applyBorder="1" applyAlignment="1">
      <alignment horizontal="centerContinuous" vertical="center" wrapText="1"/>
    </xf>
    <xf numFmtId="1" fontId="72" fillId="2" borderId="19" xfId="16" applyNumberFormat="1" applyFont="1" applyFill="1" applyBorder="1" applyAlignment="1">
      <alignment horizontal="centerContinuous" vertical="center" wrapText="1"/>
    </xf>
    <xf numFmtId="1" fontId="72" fillId="2" borderId="20" xfId="16" applyNumberFormat="1" applyFont="1" applyFill="1" applyBorder="1" applyAlignment="1">
      <alignment horizontal="centerContinuous" vertical="center" wrapText="1"/>
    </xf>
    <xf numFmtId="170" fontId="93" fillId="5" borderId="23" xfId="0" applyNumberFormat="1" applyFont="1" applyFill="1" applyBorder="1"/>
    <xf numFmtId="0" fontId="76" fillId="0" borderId="0" xfId="0" applyFont="1" applyAlignment="1">
      <alignment horizontal="center"/>
    </xf>
    <xf numFmtId="170" fontId="76" fillId="0" borderId="25" xfId="0" applyNumberFormat="1" applyFont="1" applyBorder="1"/>
    <xf numFmtId="0" fontId="76" fillId="2" borderId="2" xfId="16" applyFont="1" applyFill="1" applyBorder="1" applyAlignment="1">
      <alignment horizontal="centerContinuous" vertical="center" wrapText="1"/>
    </xf>
    <xf numFmtId="0" fontId="76" fillId="2" borderId="0" xfId="16" applyFont="1" applyFill="1" applyAlignment="1">
      <alignment horizontal="centerContinuous" vertical="center" wrapText="1"/>
    </xf>
    <xf numFmtId="0" fontId="76" fillId="0" borderId="8" xfId="16" applyFont="1" applyBorder="1" applyAlignment="1">
      <alignment horizontal="center" vertical="center" wrapText="1"/>
    </xf>
    <xf numFmtId="179" fontId="91" fillId="2" borderId="8" xfId="19" applyNumberFormat="1" applyFont="1" applyFill="1" applyBorder="1" applyAlignment="1">
      <alignment horizontal="center" vertical="center"/>
    </xf>
    <xf numFmtId="0" fontId="72" fillId="2" borderId="30" xfId="16" applyFont="1" applyFill="1" applyBorder="1" applyAlignment="1">
      <alignment horizontal="center" vertical="center" wrapText="1"/>
    </xf>
    <xf numFmtId="0" fontId="72" fillId="0" borderId="8" xfId="16" applyFont="1" applyBorder="1" applyAlignment="1">
      <alignment horizontal="center" vertical="center" wrapText="1"/>
    </xf>
    <xf numFmtId="170" fontId="93" fillId="5" borderId="2" xfId="0" applyNumberFormat="1" applyFont="1" applyFill="1" applyBorder="1"/>
    <xf numFmtId="170" fontId="93" fillId="5" borderId="31" xfId="0" applyNumberFormat="1" applyFont="1" applyFill="1" applyBorder="1"/>
    <xf numFmtId="170" fontId="93" fillId="5" borderId="32" xfId="0" applyNumberFormat="1" applyFont="1" applyFill="1" applyBorder="1"/>
    <xf numFmtId="0" fontId="70" fillId="2" borderId="0" xfId="0" applyFont="1" applyFill="1"/>
    <xf numFmtId="0" fontId="72" fillId="2" borderId="4" xfId="0" applyFont="1" applyFill="1" applyBorder="1" applyAlignment="1">
      <alignment horizontal="centerContinuous" vertical="center" wrapText="1"/>
    </xf>
    <xf numFmtId="170" fontId="76" fillId="0" borderId="0" xfId="0" applyNumberFormat="1" applyFont="1"/>
    <xf numFmtId="170" fontId="76" fillId="0" borderId="4" xfId="0" applyNumberFormat="1" applyFont="1" applyBorder="1"/>
    <xf numFmtId="0" fontId="79" fillId="2" borderId="9" xfId="0" applyFont="1" applyFill="1" applyBorder="1" applyAlignment="1">
      <alignment horizontal="centerContinuous" vertical="center" wrapText="1"/>
    </xf>
    <xf numFmtId="0" fontId="76" fillId="2" borderId="9" xfId="0" applyFont="1" applyFill="1" applyBorder="1" applyAlignment="1">
      <alignment horizontal="centerContinuous" vertical="center" wrapText="1"/>
    </xf>
    <xf numFmtId="0" fontId="72" fillId="2" borderId="9" xfId="0" applyFont="1" applyFill="1" applyBorder="1" applyAlignment="1">
      <alignment horizontal="centerContinuous" vertical="center" wrapText="1"/>
    </xf>
    <xf numFmtId="0" fontId="76" fillId="2" borderId="13" xfId="0" applyFont="1" applyFill="1" applyBorder="1" applyAlignment="1">
      <alignment horizontal="centerContinuous" vertical="center" wrapText="1"/>
    </xf>
    <xf numFmtId="0" fontId="74" fillId="2" borderId="9" xfId="0" applyFont="1" applyFill="1" applyBorder="1" applyAlignment="1">
      <alignment horizontal="centerContinuous" vertical="center" wrapText="1"/>
    </xf>
    <xf numFmtId="0" fontId="76" fillId="2" borderId="7" xfId="0" applyFont="1" applyFill="1" applyBorder="1" applyAlignment="1">
      <alignment horizontal="center" vertical="center" wrapText="1"/>
    </xf>
    <xf numFmtId="0" fontId="76" fillId="2" borderId="15" xfId="0" quotePrefix="1" applyFont="1" applyFill="1" applyBorder="1" applyAlignment="1">
      <alignment horizontal="center" vertical="center" wrapText="1"/>
    </xf>
    <xf numFmtId="0" fontId="76" fillId="2" borderId="15" xfId="0" applyFont="1" applyFill="1" applyBorder="1" applyAlignment="1">
      <alignment horizontal="center" vertical="center" wrapText="1"/>
    </xf>
    <xf numFmtId="0" fontId="76" fillId="2" borderId="8" xfId="0" applyFont="1" applyFill="1" applyBorder="1" applyAlignment="1">
      <alignment horizontal="center" vertical="center" wrapText="1"/>
    </xf>
    <xf numFmtId="0" fontId="76" fillId="2" borderId="8" xfId="0" applyFont="1" applyFill="1" applyBorder="1" applyAlignment="1">
      <alignment horizontal="centerContinuous" vertical="center" wrapText="1"/>
    </xf>
    <xf numFmtId="173" fontId="76" fillId="0" borderId="3" xfId="0" applyNumberFormat="1" applyFont="1" applyBorder="1" applyAlignment="1">
      <alignment horizontal="center"/>
    </xf>
    <xf numFmtId="0" fontId="76" fillId="0" borderId="11" xfId="0" applyFont="1" applyBorder="1" applyAlignment="1">
      <alignment horizontal="center" vertical="center" wrapText="1"/>
    </xf>
    <xf numFmtId="0" fontId="76" fillId="0" borderId="11" xfId="0" quotePrefix="1" applyFont="1" applyBorder="1" applyAlignment="1">
      <alignment horizontal="center" vertical="center" wrapText="1"/>
    </xf>
    <xf numFmtId="170" fontId="92" fillId="4" borderId="22" xfId="0" applyNumberFormat="1" applyFont="1" applyFill="1" applyBorder="1"/>
    <xf numFmtId="0" fontId="76" fillId="2" borderId="11" xfId="0" applyFont="1" applyFill="1" applyBorder="1" applyAlignment="1">
      <alignment horizontal="center" vertical="center" wrapText="1"/>
    </xf>
    <xf numFmtId="0" fontId="76" fillId="2" borderId="15" xfId="0" applyFont="1" applyFill="1" applyBorder="1" applyAlignment="1">
      <alignment horizontal="centerContinuous" vertical="center" wrapText="1"/>
    </xf>
    <xf numFmtId="1" fontId="96" fillId="2" borderId="0" xfId="12" applyNumberFormat="1" applyFont="1" applyFill="1" applyBorder="1" applyAlignment="1" applyProtection="1">
      <alignment horizontal="center" vertical="center"/>
    </xf>
    <xf numFmtId="0" fontId="76" fillId="2" borderId="4" xfId="0" applyFont="1" applyFill="1" applyBorder="1"/>
    <xf numFmtId="170" fontId="76" fillId="0" borderId="26" xfId="0" applyNumberFormat="1" applyFont="1" applyBorder="1"/>
    <xf numFmtId="0" fontId="72" fillId="2" borderId="8" xfId="0" applyFont="1" applyFill="1" applyBorder="1" applyAlignment="1">
      <alignment horizontal="centerContinuous" vertical="center" wrapText="1"/>
    </xf>
    <xf numFmtId="0" fontId="76" fillId="2" borderId="9" xfId="0" applyFont="1" applyFill="1" applyBorder="1"/>
    <xf numFmtId="0" fontId="76" fillId="2" borderId="14" xfId="0" applyFont="1" applyFill="1" applyBorder="1"/>
    <xf numFmtId="0" fontId="76" fillId="2" borderId="13" xfId="0" applyFont="1" applyFill="1" applyBorder="1"/>
    <xf numFmtId="0" fontId="82" fillId="2" borderId="7" xfId="16" applyFont="1" applyFill="1" applyBorder="1" applyAlignment="1">
      <alignment horizontal="center" vertical="center"/>
    </xf>
    <xf numFmtId="0" fontId="82" fillId="2" borderId="9" xfId="16" applyFont="1" applyFill="1" applyBorder="1" applyAlignment="1">
      <alignment horizontal="center" vertical="center"/>
    </xf>
    <xf numFmtId="0" fontId="82" fillId="2" borderId="34" xfId="16" applyFont="1" applyFill="1" applyBorder="1" applyAlignment="1">
      <alignment horizontal="center" vertical="center"/>
    </xf>
    <xf numFmtId="180" fontId="81" fillId="2" borderId="34" xfId="19" applyNumberFormat="1" applyFont="1" applyFill="1" applyBorder="1" applyAlignment="1">
      <alignment horizontal="center" vertical="center"/>
    </xf>
    <xf numFmtId="180" fontId="81" fillId="2" borderId="9" xfId="19" applyNumberFormat="1" applyFont="1" applyFill="1" applyBorder="1" applyAlignment="1">
      <alignment horizontal="center" vertical="center"/>
    </xf>
    <xf numFmtId="180" fontId="81" fillId="2" borderId="35" xfId="19" applyNumberFormat="1" applyFont="1" applyFill="1" applyBorder="1" applyAlignment="1">
      <alignment horizontal="center" vertical="center"/>
    </xf>
    <xf numFmtId="0" fontId="76" fillId="2" borderId="14" xfId="0" applyFont="1" applyFill="1" applyBorder="1" applyAlignment="1">
      <alignment horizontal="center" vertical="center" wrapText="1"/>
    </xf>
    <xf numFmtId="0" fontId="76" fillId="2" borderId="8" xfId="0" quotePrefix="1" applyFont="1" applyFill="1" applyBorder="1" applyAlignment="1">
      <alignment horizontal="center" vertical="center" wrapText="1"/>
    </xf>
    <xf numFmtId="0" fontId="76" fillId="2" borderId="9" xfId="0" applyFont="1" applyFill="1" applyBorder="1" applyAlignment="1">
      <alignment horizontal="center" vertical="center" wrapText="1"/>
    </xf>
    <xf numFmtId="170" fontId="92" fillId="4" borderId="23" xfId="0" applyNumberFormat="1" applyFont="1" applyFill="1" applyBorder="1"/>
    <xf numFmtId="170" fontId="98" fillId="0" borderId="4" xfId="0" applyNumberFormat="1" applyFont="1" applyBorder="1"/>
    <xf numFmtId="0" fontId="72" fillId="2" borderId="13" xfId="0" applyFont="1" applyFill="1" applyBorder="1" applyAlignment="1">
      <alignment horizontal="centerContinuous" vertical="center" wrapText="1"/>
    </xf>
    <xf numFmtId="0" fontId="74" fillId="2" borderId="13" xfId="0" applyFont="1" applyFill="1" applyBorder="1" applyAlignment="1">
      <alignment horizontal="centerContinuous" vertical="center" wrapText="1"/>
    </xf>
    <xf numFmtId="0" fontId="72" fillId="2" borderId="36" xfId="0" applyFont="1" applyFill="1" applyBorder="1" applyAlignment="1">
      <alignment horizont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4" xfId="0" applyFont="1" applyFill="1" applyBorder="1" applyAlignment="1">
      <alignment horizontal="centerContinuous" vertical="center" wrapText="1"/>
    </xf>
    <xf numFmtId="0" fontId="72" fillId="2" borderId="29" xfId="0" applyFont="1" applyFill="1" applyBorder="1" applyAlignment="1">
      <alignment horizontal="center" vertical="center" wrapText="1"/>
    </xf>
    <xf numFmtId="0" fontId="72" fillId="2" borderId="37" xfId="0" applyFont="1" applyFill="1" applyBorder="1" applyAlignment="1">
      <alignment horizontal="center" vertical="center" wrapText="1"/>
    </xf>
    <xf numFmtId="0" fontId="72" fillId="2" borderId="30" xfId="0" applyFont="1" applyFill="1" applyBorder="1" applyAlignment="1">
      <alignment horizontal="center" vertical="center" wrapText="1"/>
    </xf>
    <xf numFmtId="1" fontId="81" fillId="3" borderId="9" xfId="16" applyNumberFormat="1" applyFont="1" applyFill="1" applyBorder="1" applyAlignment="1">
      <alignment horizontal="center" vertical="center"/>
    </xf>
    <xf numFmtId="170" fontId="99" fillId="0" borderId="2" xfId="0" applyNumberFormat="1" applyFont="1" applyBorder="1"/>
    <xf numFmtId="1" fontId="92" fillId="3" borderId="9" xfId="12" applyNumberFormat="1" applyFont="1" applyFill="1" applyBorder="1" applyAlignment="1" applyProtection="1">
      <alignment horizontal="center" vertical="center" wrapText="1"/>
    </xf>
    <xf numFmtId="0" fontId="72" fillId="2" borderId="34" xfId="0" applyFont="1" applyFill="1" applyBorder="1" applyAlignment="1">
      <alignment horizontal="centerContinuous" vertical="center" wrapText="1"/>
    </xf>
    <xf numFmtId="0" fontId="72" fillId="2" borderId="40" xfId="0" applyFont="1" applyFill="1" applyBorder="1" applyAlignment="1">
      <alignment horizontal="centerContinuous" vertical="center" wrapText="1"/>
    </xf>
    <xf numFmtId="0" fontId="76" fillId="2" borderId="7" xfId="0" applyFont="1" applyFill="1" applyBorder="1" applyAlignment="1">
      <alignment horizontal="centerContinuous" vertical="center" wrapText="1"/>
    </xf>
    <xf numFmtId="0" fontId="76" fillId="2" borderId="42" xfId="0" applyFont="1" applyFill="1" applyBorder="1" applyAlignment="1">
      <alignment horizontal="centerContinuous" vertical="center" wrapText="1"/>
    </xf>
    <xf numFmtId="170" fontId="92" fillId="4" borderId="0" xfId="0" applyNumberFormat="1" applyFont="1" applyFill="1"/>
    <xf numFmtId="0" fontId="76" fillId="2" borderId="14" xfId="0" applyFont="1" applyFill="1" applyBorder="1" applyAlignment="1">
      <alignment horizontal="centerContinuous" vertical="center" wrapText="1"/>
    </xf>
    <xf numFmtId="0" fontId="77" fillId="2" borderId="37" xfId="0" applyFont="1" applyFill="1" applyBorder="1" applyAlignment="1">
      <alignment horizontal="center" vertical="center" wrapText="1"/>
    </xf>
    <xf numFmtId="0" fontId="76" fillId="2" borderId="35" xfId="0" applyFont="1" applyFill="1" applyBorder="1" applyAlignment="1">
      <alignment horizontal="centerContinuous" vertical="center" wrapText="1"/>
    </xf>
    <xf numFmtId="0" fontId="76" fillId="2" borderId="8" xfId="0" applyFont="1" applyFill="1" applyBorder="1" applyAlignment="1">
      <alignment vertical="center"/>
    </xf>
    <xf numFmtId="0" fontId="72" fillId="2" borderId="8" xfId="0" applyFont="1" applyFill="1" applyBorder="1" applyAlignment="1">
      <alignment horizontal="centerContinuous" vertical="center"/>
    </xf>
    <xf numFmtId="170" fontId="92" fillId="4" borderId="26" xfId="0" applyNumberFormat="1" applyFont="1" applyFill="1" applyBorder="1"/>
    <xf numFmtId="0" fontId="58" fillId="2" borderId="0" xfId="0" applyFont="1" applyFill="1"/>
    <xf numFmtId="2" fontId="58" fillId="0" borderId="3" xfId="0" applyNumberFormat="1" applyFont="1" applyBorder="1" applyAlignment="1">
      <alignment horizontal="center"/>
    </xf>
    <xf numFmtId="0" fontId="75" fillId="2" borderId="8" xfId="0" applyFont="1" applyFill="1" applyBorder="1" applyAlignment="1">
      <alignment horizontal="centerContinuous"/>
    </xf>
    <xf numFmtId="0" fontId="58" fillId="2" borderId="8" xfId="0" applyFont="1" applyFill="1" applyBorder="1" applyAlignment="1">
      <alignment horizontal="centerContinuous" vertical="center"/>
    </xf>
    <xf numFmtId="0" fontId="71" fillId="2" borderId="8" xfId="0" applyFont="1" applyFill="1" applyBorder="1" applyAlignment="1">
      <alignment horizontal="centerContinuous" vertical="center" wrapText="1"/>
    </xf>
    <xf numFmtId="0" fontId="58" fillId="2" borderId="8" xfId="0" applyFont="1" applyFill="1" applyBorder="1" applyAlignment="1">
      <alignment horizontal="centerContinuous" vertical="center" wrapText="1"/>
    </xf>
    <xf numFmtId="0" fontId="71" fillId="2" borderId="8" xfId="0" applyFont="1" applyFill="1" applyBorder="1" applyAlignment="1">
      <alignment horizontal="centerContinuous" vertical="center"/>
    </xf>
    <xf numFmtId="0" fontId="58" fillId="2" borderId="14" xfId="0" applyFont="1" applyFill="1" applyBorder="1"/>
    <xf numFmtId="0" fontId="58" fillId="2" borderId="42" xfId="0" applyFont="1" applyFill="1" applyBorder="1"/>
    <xf numFmtId="0" fontId="58" fillId="2" borderId="11" xfId="0" applyFont="1" applyFill="1" applyBorder="1" applyAlignment="1">
      <alignment horizontal="centerContinuous" vertical="center" wrapText="1"/>
    </xf>
    <xf numFmtId="0" fontId="58" fillId="2" borderId="7" xfId="0" applyFont="1" applyFill="1" applyBorder="1"/>
    <xf numFmtId="0" fontId="71" fillId="2" borderId="28" xfId="0" applyFont="1" applyFill="1" applyBorder="1" applyAlignment="1">
      <alignment horizontal="centerContinuous" vertical="center" wrapText="1"/>
    </xf>
    <xf numFmtId="2" fontId="58" fillId="0" borderId="18" xfId="0" applyNumberFormat="1" applyFont="1" applyBorder="1" applyAlignment="1">
      <alignment horizontal="center"/>
    </xf>
    <xf numFmtId="0" fontId="58" fillId="2" borderId="15" xfId="0" applyFont="1" applyFill="1" applyBorder="1" applyAlignment="1">
      <alignment horizontal="centerContinuous" vertical="center"/>
    </xf>
    <xf numFmtId="0" fontId="58" fillId="2" borderId="41" xfId="0" applyFont="1" applyFill="1" applyBorder="1"/>
    <xf numFmtId="0" fontId="58" fillId="2" borderId="37" xfId="0" applyFont="1" applyFill="1" applyBorder="1"/>
    <xf numFmtId="0" fontId="58" fillId="2" borderId="9" xfId="0" applyFont="1" applyFill="1" applyBorder="1"/>
    <xf numFmtId="0" fontId="58" fillId="2" borderId="13" xfId="0" applyFont="1" applyFill="1" applyBorder="1"/>
    <xf numFmtId="0" fontId="76" fillId="2" borderId="15" xfId="0" applyFont="1" applyFill="1" applyBorder="1" applyAlignment="1">
      <alignment horizontal="centerContinuous" vertical="center"/>
    </xf>
    <xf numFmtId="1" fontId="92" fillId="3" borderId="37" xfId="12" applyNumberFormat="1" applyFont="1" applyFill="1" applyBorder="1" applyAlignment="1" applyProtection="1">
      <alignment horizontal="center" vertical="center" wrapText="1"/>
    </xf>
    <xf numFmtId="0" fontId="72" fillId="2" borderId="30" xfId="0" quotePrefix="1" applyFont="1" applyFill="1" applyBorder="1" applyAlignment="1">
      <alignment horizontal="center" vertical="center" wrapText="1"/>
    </xf>
    <xf numFmtId="0" fontId="79" fillId="2" borderId="2" xfId="0" applyFont="1" applyFill="1" applyBorder="1" applyAlignment="1">
      <alignment horizontal="centerContinuous" vertical="center" wrapText="1"/>
    </xf>
    <xf numFmtId="0" fontId="79" fillId="2" borderId="0" xfId="0" applyFont="1" applyFill="1" applyAlignment="1">
      <alignment horizontal="centerContinuous" vertical="center" wrapText="1"/>
    </xf>
    <xf numFmtId="0" fontId="72" fillId="2" borderId="28" xfId="0" applyFont="1" applyFill="1" applyBorder="1" applyAlignment="1">
      <alignment horizontal="centerContinuous" vertical="center" wrapText="1"/>
    </xf>
    <xf numFmtId="0" fontId="79" fillId="2" borderId="46" xfId="0" applyFont="1" applyFill="1" applyBorder="1" applyAlignment="1">
      <alignment horizontal="centerContinuous" vertical="center" wrapText="1"/>
    </xf>
    <xf numFmtId="0" fontId="76" fillId="2" borderId="28" xfId="0" applyFont="1" applyFill="1" applyBorder="1" applyAlignment="1">
      <alignment horizontal="center" vertical="center" wrapText="1"/>
    </xf>
    <xf numFmtId="0" fontId="76" fillId="2" borderId="28" xfId="0" applyFont="1" applyFill="1" applyBorder="1" applyAlignment="1">
      <alignment horizontal="centerContinuous" vertical="center" wrapText="1"/>
    </xf>
    <xf numFmtId="0" fontId="70" fillId="3" borderId="9" xfId="0" quotePrefix="1" applyFont="1" applyFill="1" applyBorder="1" applyAlignment="1">
      <alignment horizontal="center" vertical="center" wrapText="1"/>
    </xf>
    <xf numFmtId="0" fontId="72" fillId="2" borderId="45" xfId="0" applyFont="1" applyFill="1" applyBorder="1" applyAlignment="1">
      <alignment horizontal="center" vertical="center" wrapText="1"/>
    </xf>
    <xf numFmtId="170" fontId="76" fillId="0" borderId="3" xfId="0" quotePrefix="1" applyNumberFormat="1" applyFont="1" applyBorder="1" applyAlignment="1">
      <alignment vertical="center" wrapText="1"/>
    </xf>
    <xf numFmtId="170" fontId="76" fillId="0" borderId="3" xfId="0" applyNumberFormat="1" applyFont="1" applyBorder="1"/>
    <xf numFmtId="170" fontId="72" fillId="5" borderId="31" xfId="0" applyNumberFormat="1" applyFont="1" applyFill="1" applyBorder="1"/>
    <xf numFmtId="170" fontId="76" fillId="5" borderId="0" xfId="0" applyNumberFormat="1" applyFont="1" applyFill="1"/>
    <xf numFmtId="171" fontId="76" fillId="0" borderId="26" xfId="0" applyNumberFormat="1" applyFont="1" applyBorder="1"/>
    <xf numFmtId="0" fontId="72" fillId="2" borderId="45" xfId="0" quotePrefix="1" applyFont="1" applyFill="1" applyBorder="1" applyAlignment="1">
      <alignment horizontal="center" vertical="center" wrapText="1"/>
    </xf>
    <xf numFmtId="1" fontId="75" fillId="2" borderId="7" xfId="0" applyNumberFormat="1" applyFont="1" applyFill="1" applyBorder="1" applyAlignment="1">
      <alignment horizontal="center"/>
    </xf>
    <xf numFmtId="1" fontId="75" fillId="2" borderId="9" xfId="0" applyNumberFormat="1" applyFont="1" applyFill="1" applyBorder="1" applyAlignment="1">
      <alignment horizontal="center"/>
    </xf>
    <xf numFmtId="1" fontId="75" fillId="2" borderId="13" xfId="0" applyNumberFormat="1" applyFont="1" applyFill="1" applyBorder="1" applyAlignment="1">
      <alignment horizontal="center"/>
    </xf>
    <xf numFmtId="1" fontId="103" fillId="3" borderId="0" xfId="16" applyNumberFormat="1" applyFont="1" applyFill="1" applyAlignment="1">
      <alignment horizontal="center" vertical="center"/>
    </xf>
    <xf numFmtId="0" fontId="58" fillId="2" borderId="2" xfId="0" applyFont="1" applyFill="1" applyBorder="1" applyAlignment="1">
      <alignment vertical="center"/>
    </xf>
    <xf numFmtId="0" fontId="58" fillId="2" borderId="0" xfId="0" applyFont="1" applyFill="1" applyAlignment="1">
      <alignment vertical="center"/>
    </xf>
    <xf numFmtId="0" fontId="58" fillId="2" borderId="3" xfId="0" applyFont="1" applyFill="1" applyBorder="1" applyAlignment="1">
      <alignment vertical="center"/>
    </xf>
    <xf numFmtId="2" fontId="92" fillId="4" borderId="3" xfId="0" applyNumberFormat="1" applyFont="1" applyFill="1" applyBorder="1" applyAlignment="1">
      <alignment horizontal="center"/>
    </xf>
    <xf numFmtId="0" fontId="58" fillId="2" borderId="9" xfId="0" applyFont="1" applyFill="1" applyBorder="1" applyAlignment="1">
      <alignment horizontal="centerContinuous" vertical="center" wrapText="1"/>
    </xf>
    <xf numFmtId="0" fontId="58" fillId="2" borderId="13" xfId="0" applyFont="1" applyFill="1" applyBorder="1" applyAlignment="1">
      <alignment horizontal="centerContinuous" vertical="center" wrapText="1"/>
    </xf>
    <xf numFmtId="0" fontId="76" fillId="2" borderId="14" xfId="0" applyFont="1" applyFill="1" applyBorder="1" applyAlignment="1">
      <alignment vertical="center"/>
    </xf>
    <xf numFmtId="0" fontId="58" fillId="2" borderId="14" xfId="0" applyFont="1" applyFill="1" applyBorder="1" applyAlignment="1">
      <alignment vertical="center"/>
    </xf>
    <xf numFmtId="175" fontId="58" fillId="0" borderId="32" xfId="0" applyNumberFormat="1" applyFont="1" applyBorder="1"/>
    <xf numFmtId="0" fontId="58" fillId="2" borderId="34" xfId="0" applyFont="1" applyFill="1" applyBorder="1" applyAlignment="1">
      <alignment vertical="center"/>
    </xf>
    <xf numFmtId="0" fontId="58" fillId="2" borderId="9" xfId="0" applyFont="1" applyFill="1" applyBorder="1" applyAlignment="1">
      <alignment vertical="center"/>
    </xf>
    <xf numFmtId="0" fontId="76" fillId="2" borderId="7" xfId="0" applyFont="1" applyFill="1" applyBorder="1" applyAlignment="1">
      <alignment vertical="center"/>
    </xf>
    <xf numFmtId="0" fontId="76" fillId="2" borderId="9" xfId="0" applyFont="1" applyFill="1" applyBorder="1" applyAlignment="1">
      <alignment vertical="center"/>
    </xf>
    <xf numFmtId="0" fontId="76" fillId="2" borderId="42" xfId="0" applyFont="1" applyFill="1" applyBorder="1" applyAlignment="1">
      <alignment vertical="center"/>
    </xf>
    <xf numFmtId="0" fontId="58" fillId="2" borderId="13" xfId="0" applyFont="1" applyFill="1" applyBorder="1" applyAlignment="1">
      <alignment vertical="center"/>
    </xf>
    <xf numFmtId="0" fontId="86" fillId="2" borderId="0" xfId="0" applyFont="1" applyFill="1" applyAlignment="1">
      <alignment vertical="center"/>
    </xf>
    <xf numFmtId="0" fontId="105" fillId="2" borderId="0" xfId="0" applyFont="1" applyFill="1" applyAlignment="1">
      <alignment vertical="center"/>
    </xf>
    <xf numFmtId="0" fontId="57" fillId="2" borderId="49" xfId="0" applyFont="1" applyFill="1" applyBorder="1" applyAlignment="1">
      <alignment horizontal="center" vertical="center"/>
    </xf>
    <xf numFmtId="0" fontId="57" fillId="2" borderId="0" xfId="0" applyFont="1" applyFill="1" applyAlignment="1">
      <alignment horizontal="center" vertical="center"/>
    </xf>
    <xf numFmtId="0" fontId="90" fillId="2" borderId="0" xfId="0" applyFont="1" applyFill="1" applyAlignment="1">
      <alignment horizontal="center" vertical="center"/>
    </xf>
    <xf numFmtId="0" fontId="56" fillId="2" borderId="14" xfId="0" applyFont="1" applyFill="1" applyBorder="1" applyAlignment="1">
      <alignment vertical="center"/>
    </xf>
    <xf numFmtId="0" fontId="57" fillId="2" borderId="9" xfId="0" applyFont="1" applyFill="1" applyBorder="1" applyAlignment="1">
      <alignment horizontal="center" vertical="center"/>
    </xf>
    <xf numFmtId="1" fontId="92" fillId="3" borderId="6" xfId="12" applyNumberFormat="1" applyFont="1" applyFill="1" applyBorder="1" applyAlignment="1" applyProtection="1">
      <alignment horizontal="center" vertical="center" wrapText="1"/>
    </xf>
    <xf numFmtId="1" fontId="92" fillId="3" borderId="42" xfId="12" applyNumberFormat="1" applyFont="1" applyFill="1" applyBorder="1" applyAlignment="1" applyProtection="1">
      <alignment horizontal="center" vertical="center" wrapText="1"/>
    </xf>
    <xf numFmtId="1" fontId="103" fillId="3" borderId="42" xfId="16" applyNumberFormat="1" applyFont="1" applyFill="1" applyBorder="1" applyAlignment="1">
      <alignment horizontal="center" vertical="center"/>
    </xf>
    <xf numFmtId="1" fontId="92" fillId="3" borderId="8" xfId="12" applyNumberFormat="1" applyFont="1" applyFill="1" applyBorder="1" applyAlignment="1" applyProtection="1">
      <alignment horizontal="center" vertical="center" wrapText="1"/>
    </xf>
    <xf numFmtId="0" fontId="72" fillId="2" borderId="2" xfId="16" quotePrefix="1" applyFont="1" applyFill="1" applyBorder="1" applyAlignment="1">
      <alignment horizontal="centerContinuous" vertical="center" wrapText="1"/>
    </xf>
    <xf numFmtId="0" fontId="72" fillId="2" borderId="0" xfId="16" quotePrefix="1" applyFont="1" applyFill="1" applyAlignment="1">
      <alignment horizontal="centerContinuous" vertical="center" wrapText="1"/>
    </xf>
    <xf numFmtId="0" fontId="76" fillId="2" borderId="9" xfId="16" applyFont="1" applyFill="1" applyBorder="1" applyAlignment="1">
      <alignment horizontal="centerContinuous" vertical="center" wrapText="1"/>
    </xf>
    <xf numFmtId="2" fontId="76" fillId="0" borderId="3" xfId="16" applyNumberFormat="1" applyFont="1" applyBorder="1" applyAlignment="1">
      <alignment horizontal="center"/>
    </xf>
    <xf numFmtId="1" fontId="76" fillId="2" borderId="0" xfId="16" applyNumberFormat="1" applyFont="1" applyFill="1"/>
    <xf numFmtId="0" fontId="76" fillId="2" borderId="0" xfId="16" applyFont="1" applyFill="1"/>
    <xf numFmtId="0" fontId="76" fillId="2" borderId="2" xfId="0" applyFont="1" applyFill="1" applyBorder="1" applyAlignment="1">
      <alignment vertical="center"/>
    </xf>
    <xf numFmtId="0" fontId="76" fillId="2" borderId="0" xfId="0" applyFont="1" applyFill="1" applyAlignment="1">
      <alignment vertical="center"/>
    </xf>
    <xf numFmtId="0" fontId="76" fillId="2" borderId="3" xfId="0" applyFont="1" applyFill="1" applyBorder="1" applyAlignment="1">
      <alignment vertical="center"/>
    </xf>
    <xf numFmtId="0" fontId="84" fillId="2" borderId="0" xfId="0" applyFont="1" applyFill="1" applyAlignment="1">
      <alignment horizontal="center" vertical="center"/>
    </xf>
    <xf numFmtId="0" fontId="76" fillId="2" borderId="3" xfId="0" applyFont="1" applyFill="1" applyBorder="1" applyAlignment="1">
      <alignment horizontal="centerContinuous" vertical="center" wrapText="1"/>
    </xf>
    <xf numFmtId="2" fontId="99" fillId="0" borderId="3" xfId="0" applyNumberFormat="1" applyFont="1" applyBorder="1" applyAlignment="1">
      <alignment horizontal="center"/>
    </xf>
    <xf numFmtId="1" fontId="92" fillId="3" borderId="42" xfId="16" applyNumberFormat="1" applyFont="1" applyFill="1" applyBorder="1" applyAlignment="1">
      <alignment horizontal="center" vertical="center"/>
    </xf>
    <xf numFmtId="0" fontId="72" fillId="2" borderId="8" xfId="0" quotePrefix="1" applyFont="1" applyFill="1" applyBorder="1" applyAlignment="1">
      <alignment horizontal="centerContinuous" vertical="center"/>
    </xf>
    <xf numFmtId="0" fontId="70" fillId="2" borderId="40" xfId="0" applyFont="1" applyFill="1" applyBorder="1"/>
    <xf numFmtId="0" fontId="75" fillId="2" borderId="9" xfId="0" applyFont="1" applyFill="1" applyBorder="1" applyAlignment="1">
      <alignment horizontal="centerContinuous" vertical="center" wrapText="1"/>
    </xf>
    <xf numFmtId="0" fontId="76" fillId="2" borderId="9" xfId="0" applyFont="1" applyFill="1" applyBorder="1" applyAlignment="1">
      <alignment horizontal="centerContinuous" vertical="center"/>
    </xf>
    <xf numFmtId="0" fontId="72" fillId="2" borderId="0" xfId="15" applyFont="1" applyFill="1" applyAlignment="1">
      <alignment horizontal="centerContinuous" vertical="center"/>
    </xf>
    <xf numFmtId="0" fontId="72" fillId="2" borderId="0" xfId="15" applyFont="1" applyFill="1" applyAlignment="1">
      <alignment horizontal="centerContinuous" vertical="center" wrapText="1"/>
    </xf>
    <xf numFmtId="0" fontId="72" fillId="2" borderId="0" xfId="15" quotePrefix="1" applyFont="1" applyFill="1" applyAlignment="1">
      <alignment horizontal="centerContinuous" vertical="center" wrapText="1"/>
    </xf>
    <xf numFmtId="0" fontId="72" fillId="2" borderId="8" xfId="15" applyFont="1" applyFill="1" applyBorder="1" applyAlignment="1">
      <alignment horizontal="centerContinuous" vertical="center" wrapText="1"/>
    </xf>
    <xf numFmtId="2" fontId="76" fillId="0" borderId="3" xfId="15" applyNumberFormat="1" applyFont="1" applyBorder="1" applyAlignment="1">
      <alignment horizontal="center"/>
    </xf>
    <xf numFmtId="0" fontId="72" fillId="2" borderId="3" xfId="15" applyFont="1" applyFill="1" applyBorder="1" applyAlignment="1">
      <alignment horizontal="centerContinuous" vertical="center"/>
    </xf>
    <xf numFmtId="0" fontId="72" fillId="2" borderId="3" xfId="15" applyFont="1" applyFill="1" applyBorder="1" applyAlignment="1">
      <alignment horizontal="centerContinuous" vertical="center" wrapText="1"/>
    </xf>
    <xf numFmtId="0" fontId="76" fillId="2" borderId="0" xfId="15" applyFont="1" applyFill="1"/>
    <xf numFmtId="0" fontId="76" fillId="2" borderId="8" xfId="15" applyFont="1" applyFill="1" applyBorder="1" applyAlignment="1">
      <alignment horizontal="centerContinuous" vertical="center" wrapText="1"/>
    </xf>
    <xf numFmtId="1" fontId="103" fillId="3" borderId="9" xfId="16" applyNumberFormat="1" applyFont="1" applyFill="1" applyBorder="1" applyAlignment="1">
      <alignment horizontal="center" vertical="center"/>
    </xf>
    <xf numFmtId="1" fontId="92" fillId="3" borderId="9" xfId="16" applyNumberFormat="1" applyFont="1" applyFill="1" applyBorder="1" applyAlignment="1">
      <alignment horizontal="center" vertical="center"/>
    </xf>
    <xf numFmtId="0" fontId="72" fillId="2" borderId="2" xfId="15" applyFont="1" applyFill="1" applyBorder="1" applyAlignment="1">
      <alignment horizontal="centerContinuous" vertical="center"/>
    </xf>
    <xf numFmtId="0" fontId="72" fillId="2" borderId="28" xfId="15" applyFont="1" applyFill="1" applyBorder="1" applyAlignment="1">
      <alignment horizontal="centerContinuous" vertical="center" wrapText="1"/>
    </xf>
    <xf numFmtId="0" fontId="72" fillId="2" borderId="8" xfId="15" quotePrefix="1" applyFont="1" applyFill="1" applyBorder="1" applyAlignment="1">
      <alignment horizontal="centerContinuous" vertical="center" wrapText="1"/>
    </xf>
    <xf numFmtId="0" fontId="72" fillId="2" borderId="15" xfId="15" applyFont="1" applyFill="1" applyBorder="1" applyAlignment="1">
      <alignment horizontal="centerContinuous" vertical="center" wrapText="1"/>
    </xf>
    <xf numFmtId="0" fontId="74" fillId="2" borderId="8" xfId="15" applyFont="1" applyFill="1" applyBorder="1" applyAlignment="1">
      <alignment horizontal="centerContinuous" vertical="center" wrapText="1"/>
    </xf>
    <xf numFmtId="0" fontId="74" fillId="2" borderId="15" xfId="15" applyFont="1" applyFill="1" applyBorder="1" applyAlignment="1">
      <alignment horizontal="centerContinuous" vertical="center" wrapText="1"/>
    </xf>
    <xf numFmtId="0" fontId="72" fillId="2" borderId="40" xfId="15" applyFont="1" applyFill="1" applyBorder="1" applyAlignment="1">
      <alignment horizontal="centerContinuous" vertical="center"/>
    </xf>
    <xf numFmtId="0" fontId="72" fillId="2" borderId="2" xfId="15" quotePrefix="1" applyFont="1" applyFill="1" applyBorder="1" applyAlignment="1">
      <alignment horizontal="centerContinuous" vertical="center" wrapText="1"/>
    </xf>
    <xf numFmtId="0" fontId="72" fillId="2" borderId="12" xfId="15" applyFont="1" applyFill="1" applyBorder="1" applyAlignment="1">
      <alignment horizontal="centerContinuous" vertical="center" wrapText="1"/>
    </xf>
    <xf numFmtId="0" fontId="76" fillId="2" borderId="8" xfId="15" quotePrefix="1" applyFont="1" applyFill="1" applyBorder="1" applyAlignment="1">
      <alignment horizontal="centerContinuous" vertical="center" wrapText="1"/>
    </xf>
    <xf numFmtId="0" fontId="76" fillId="0" borderId="15" xfId="15" applyFont="1" applyBorder="1" applyAlignment="1">
      <alignment horizontal="centerContinuous" vertical="center" wrapText="1"/>
    </xf>
    <xf numFmtId="0" fontId="72" fillId="2" borderId="36" xfId="15" applyFont="1" applyFill="1" applyBorder="1" applyAlignment="1">
      <alignment horizontal="centerContinuous" vertical="center" wrapText="1"/>
    </xf>
    <xf numFmtId="0" fontId="72" fillId="2" borderId="19" xfId="15" quotePrefix="1" applyFont="1" applyFill="1" applyBorder="1" applyAlignment="1">
      <alignment horizontal="centerContinuous" vertical="center" wrapText="1"/>
    </xf>
    <xf numFmtId="0" fontId="72" fillId="2" borderId="7" xfId="15" applyFont="1" applyFill="1" applyBorder="1" applyAlignment="1">
      <alignment horizontal="centerContinuous" vertical="center" wrapText="1"/>
    </xf>
    <xf numFmtId="0" fontId="74" fillId="2" borderId="9" xfId="15" applyFont="1" applyFill="1" applyBorder="1" applyAlignment="1">
      <alignment horizontal="centerContinuous" vertical="center" wrapText="1"/>
    </xf>
    <xf numFmtId="0" fontId="72" fillId="2" borderId="20" xfId="15" quotePrefix="1" applyFont="1" applyFill="1" applyBorder="1" applyAlignment="1">
      <alignment horizontal="centerContinuous" vertical="center" wrapText="1"/>
    </xf>
    <xf numFmtId="0" fontId="76" fillId="2" borderId="7" xfId="15" applyFont="1" applyFill="1" applyBorder="1" applyAlignment="1">
      <alignment horizontal="centerContinuous" vertical="center" wrapText="1"/>
    </xf>
    <xf numFmtId="0" fontId="76" fillId="2" borderId="9" xfId="15" quotePrefix="1" applyFont="1" applyFill="1" applyBorder="1" applyAlignment="1">
      <alignment horizontal="centerContinuous" vertical="center" wrapText="1"/>
    </xf>
    <xf numFmtId="0" fontId="76" fillId="2" borderId="51" xfId="15" applyFont="1" applyFill="1" applyBorder="1" applyAlignment="1">
      <alignment horizontal="center" vertical="center" wrapText="1"/>
    </xf>
    <xf numFmtId="0" fontId="76" fillId="2" borderId="28" xfId="15" applyFont="1" applyFill="1" applyBorder="1" applyAlignment="1">
      <alignment horizontal="centerContinuous" vertical="center" wrapText="1"/>
    </xf>
    <xf numFmtId="0" fontId="76" fillId="2" borderId="14" xfId="15" applyFont="1" applyFill="1" applyBorder="1" applyAlignment="1">
      <alignment horizontal="centerContinuous" vertical="center" wrapText="1"/>
    </xf>
    <xf numFmtId="0" fontId="72" fillId="2" borderId="37" xfId="15" applyFont="1" applyFill="1" applyBorder="1" applyAlignment="1">
      <alignment horizontal="centerContinuous" vertical="center" wrapText="1"/>
    </xf>
    <xf numFmtId="1" fontId="79" fillId="2" borderId="7" xfId="15" quotePrefix="1" applyNumberFormat="1" applyFont="1" applyFill="1" applyBorder="1" applyAlignment="1">
      <alignment horizontal="center" vertical="center"/>
    </xf>
    <xf numFmtId="1" fontId="79" fillId="2" borderId="14" xfId="15" quotePrefix="1" applyNumberFormat="1" applyFont="1" applyFill="1" applyBorder="1" applyAlignment="1">
      <alignment horizontal="center" vertical="center"/>
    </xf>
    <xf numFmtId="1" fontId="79" fillId="2" borderId="13" xfId="15" quotePrefix="1" applyNumberFormat="1" applyFont="1" applyFill="1" applyBorder="1" applyAlignment="1">
      <alignment horizontal="center" vertical="center"/>
    </xf>
    <xf numFmtId="0" fontId="76" fillId="2" borderId="7" xfId="16" applyFont="1" applyFill="1" applyBorder="1" applyAlignment="1">
      <alignment horizontal="centerContinuous" vertical="center" wrapText="1"/>
    </xf>
    <xf numFmtId="2" fontId="76" fillId="0" borderId="0" xfId="16" applyNumberFormat="1" applyFont="1" applyAlignment="1">
      <alignment horizontal="center"/>
    </xf>
    <xf numFmtId="0" fontId="72" fillId="2" borderId="48" xfId="0" applyFont="1" applyFill="1" applyBorder="1" applyAlignment="1">
      <alignment horizontal="center" vertical="center" wrapText="1"/>
    </xf>
    <xf numFmtId="170" fontId="99" fillId="0" borderId="33" xfId="0" applyNumberFormat="1" applyFont="1" applyBorder="1"/>
    <xf numFmtId="170" fontId="99" fillId="0" borderId="32" xfId="0" applyNumberFormat="1" applyFont="1" applyBorder="1"/>
    <xf numFmtId="0" fontId="72" fillId="2" borderId="36" xfId="0" applyFont="1" applyFill="1" applyBorder="1" applyAlignment="1">
      <alignment horizontal="centerContinuous" vertical="center" wrapText="1"/>
    </xf>
    <xf numFmtId="0" fontId="72" fillId="2" borderId="19" xfId="0" applyFont="1" applyFill="1" applyBorder="1" applyAlignment="1">
      <alignment horizontal="centerContinuous" vertical="center" wrapText="1"/>
    </xf>
    <xf numFmtId="0" fontId="72" fillId="2" borderId="47" xfId="0" applyFont="1" applyFill="1" applyBorder="1" applyAlignment="1">
      <alignment horizontal="centerContinuous" vertical="center" wrapText="1"/>
    </xf>
    <xf numFmtId="0" fontId="79" fillId="2" borderId="2" xfId="0" applyFont="1" applyFill="1" applyBorder="1"/>
    <xf numFmtId="0" fontId="99" fillId="2" borderId="28" xfId="0" applyFont="1" applyFill="1" applyBorder="1" applyAlignment="1">
      <alignment horizontal="centerContinuous" vertical="center" wrapText="1"/>
    </xf>
    <xf numFmtId="0" fontId="72" fillId="2" borderId="12" xfId="0" applyFont="1" applyFill="1" applyBorder="1" applyAlignment="1">
      <alignment horizontal="centerContinuous" vertical="center" wrapText="1"/>
    </xf>
    <xf numFmtId="0" fontId="99" fillId="2" borderId="14" xfId="0" applyFont="1" applyFill="1" applyBorder="1" applyAlignment="1">
      <alignment horizontal="centerContinuous" vertical="center" wrapText="1"/>
    </xf>
    <xf numFmtId="0" fontId="77" fillId="2" borderId="30" xfId="0" quotePrefix="1" applyFont="1" applyFill="1" applyBorder="1" applyAlignment="1">
      <alignment horizontal="center" vertical="center" wrapText="1"/>
    </xf>
    <xf numFmtId="0" fontId="83" fillId="2" borderId="0" xfId="0" applyFont="1" applyFill="1"/>
    <xf numFmtId="0" fontId="76" fillId="2" borderId="9" xfId="0" applyFont="1" applyFill="1" applyBorder="1" applyAlignment="1">
      <alignment horizontal="center"/>
    </xf>
    <xf numFmtId="0" fontId="76" fillId="2" borderId="54" xfId="0" applyFont="1" applyFill="1" applyBorder="1" applyAlignment="1">
      <alignment vertical="center"/>
    </xf>
    <xf numFmtId="0" fontId="72" fillId="2" borderId="16" xfId="0" applyFont="1" applyFill="1" applyBorder="1" applyAlignment="1">
      <alignment horizontal="center" vertical="center" wrapText="1"/>
    </xf>
    <xf numFmtId="170" fontId="99" fillId="5" borderId="3" xfId="0" applyNumberFormat="1" applyFont="1" applyFill="1" applyBorder="1"/>
    <xf numFmtId="0" fontId="97" fillId="2" borderId="7" xfId="0" applyFont="1" applyFill="1" applyBorder="1" applyAlignment="1">
      <alignment horizontal="centerContinuous" vertical="center" wrapText="1"/>
    </xf>
    <xf numFmtId="0" fontId="97" fillId="2" borderId="9" xfId="0" applyFont="1" applyFill="1" applyBorder="1" applyAlignment="1">
      <alignment horizontal="centerContinuous" vertical="center" wrapText="1"/>
    </xf>
    <xf numFmtId="176" fontId="76" fillId="2" borderId="13" xfId="0" applyNumberFormat="1" applyFont="1" applyFill="1" applyBorder="1" applyAlignment="1">
      <alignment horizontal="center" vertical="center" wrapText="1"/>
    </xf>
    <xf numFmtId="0" fontId="57" fillId="2" borderId="2" xfId="0" applyFont="1" applyFill="1" applyBorder="1"/>
    <xf numFmtId="170" fontId="57" fillId="2" borderId="2" xfId="0" applyNumberFormat="1" applyFont="1" applyFill="1" applyBorder="1"/>
    <xf numFmtId="170" fontId="107" fillId="4" borderId="4" xfId="0" applyNumberFormat="1" applyFont="1" applyFill="1" applyBorder="1"/>
    <xf numFmtId="0" fontId="75" fillId="2" borderId="2" xfId="0" applyFont="1" applyFill="1" applyBorder="1" applyAlignment="1">
      <alignment horizontal="centerContinuous" vertical="center"/>
    </xf>
    <xf numFmtId="0" fontId="76" fillId="2" borderId="9" xfId="0" quotePrefix="1" applyFont="1" applyFill="1" applyBorder="1" applyAlignment="1">
      <alignment horizontal="center" vertical="center" wrapText="1"/>
    </xf>
    <xf numFmtId="0" fontId="74" fillId="2" borderId="14" xfId="0" applyFont="1" applyFill="1" applyBorder="1" applyAlignment="1">
      <alignment horizontal="centerContinuous" vertical="center" wrapText="1"/>
    </xf>
    <xf numFmtId="0" fontId="72" fillId="2" borderId="9" xfId="0" quotePrefix="1" applyFont="1" applyFill="1" applyBorder="1" applyAlignment="1">
      <alignment horizontal="centerContinuous" vertical="center" wrapText="1"/>
    </xf>
    <xf numFmtId="0" fontId="76" fillId="2" borderId="8" xfId="0" quotePrefix="1" applyFont="1" applyFill="1" applyBorder="1" applyAlignment="1">
      <alignment horizontal="centerContinuous" vertical="center" wrapText="1"/>
    </xf>
    <xf numFmtId="0" fontId="76" fillId="2" borderId="9" xfId="0" quotePrefix="1" applyFont="1" applyFill="1" applyBorder="1" applyAlignment="1">
      <alignment horizontal="centerContinuous" vertical="center" wrapText="1"/>
    </xf>
    <xf numFmtId="0" fontId="78" fillId="2" borderId="0" xfId="0" applyFont="1" applyFill="1" applyAlignment="1">
      <alignment horizontal="centerContinuous" vertical="center" wrapText="1"/>
    </xf>
    <xf numFmtId="0" fontId="72" fillId="2" borderId="53" xfId="0" quotePrefix="1" applyFont="1" applyFill="1" applyBorder="1" applyAlignment="1">
      <alignment horizontal="center" vertical="center" wrapText="1"/>
    </xf>
    <xf numFmtId="0" fontId="76" fillId="2" borderId="42" xfId="0" quotePrefix="1" applyFont="1" applyFill="1" applyBorder="1" applyAlignment="1">
      <alignment horizontal="centerContinuous" vertical="center" wrapText="1"/>
    </xf>
    <xf numFmtId="0" fontId="76" fillId="2" borderId="42" xfId="0" applyFont="1" applyFill="1" applyBorder="1" applyAlignment="1">
      <alignment horizontal="center" vertical="center" wrapText="1"/>
    </xf>
    <xf numFmtId="10" fontId="75" fillId="2" borderId="13" xfId="0" applyNumberFormat="1" applyFont="1" applyFill="1" applyBorder="1" applyAlignment="1">
      <alignment horizontal="center"/>
    </xf>
    <xf numFmtId="10" fontId="72" fillId="2" borderId="15" xfId="0" applyNumberFormat="1" applyFont="1" applyFill="1" applyBorder="1" applyAlignment="1">
      <alignment horizontal="centerContinuous" vertical="center" wrapText="1"/>
    </xf>
    <xf numFmtId="10" fontId="76" fillId="2" borderId="15" xfId="0" applyNumberFormat="1" applyFont="1" applyFill="1" applyBorder="1" applyAlignment="1">
      <alignment horizontal="center" vertical="center"/>
    </xf>
    <xf numFmtId="10" fontId="76" fillId="0" borderId="26" xfId="0" applyNumberFormat="1" applyFont="1" applyBorder="1"/>
    <xf numFmtId="10" fontId="76" fillId="2" borderId="0" xfId="0" applyNumberFormat="1" applyFont="1" applyFill="1"/>
    <xf numFmtId="10" fontId="76" fillId="2" borderId="15" xfId="0" applyNumberFormat="1" applyFont="1" applyFill="1" applyBorder="1" applyAlignment="1">
      <alignment horizontal="center" vertical="center" wrapText="1"/>
    </xf>
    <xf numFmtId="0" fontId="73" fillId="2" borderId="9" xfId="0" applyFont="1" applyFill="1" applyBorder="1" applyAlignment="1">
      <alignment horizontal="centerContinuous" vertical="center" wrapText="1"/>
    </xf>
    <xf numFmtId="0" fontId="73" fillId="2" borderId="13" xfId="0" applyFont="1" applyFill="1" applyBorder="1" applyAlignment="1">
      <alignment horizontal="centerContinuous" vertical="center" wrapText="1"/>
    </xf>
    <xf numFmtId="0" fontId="75" fillId="2" borderId="13" xfId="0" applyFont="1" applyFill="1" applyBorder="1" applyAlignment="1">
      <alignment horizontal="centerContinuous" vertical="center" wrapText="1"/>
    </xf>
    <xf numFmtId="3" fontId="76" fillId="0" borderId="0" xfId="0" applyNumberFormat="1" applyFont="1"/>
    <xf numFmtId="3" fontId="76" fillId="0" borderId="32" xfId="0" applyNumberFormat="1" applyFont="1" applyBorder="1"/>
    <xf numFmtId="0" fontId="76" fillId="0" borderId="3" xfId="0" applyFont="1" applyBorder="1" applyAlignment="1">
      <alignment horizontal="center"/>
    </xf>
    <xf numFmtId="0" fontId="72" fillId="0" borderId="3" xfId="0" applyFont="1" applyBorder="1" applyAlignment="1">
      <alignment horizontal="center"/>
    </xf>
    <xf numFmtId="0" fontId="75" fillId="2" borderId="34" xfId="0" applyFont="1" applyFill="1" applyBorder="1" applyAlignment="1">
      <alignment horizontal="centerContinuous" vertical="center" wrapText="1"/>
    </xf>
    <xf numFmtId="0" fontId="72" fillId="0" borderId="37" xfId="0" quotePrefix="1" applyFont="1" applyBorder="1" applyAlignment="1">
      <alignment horizontal="center" vertical="center" wrapText="1"/>
    </xf>
    <xf numFmtId="0" fontId="76" fillId="0" borderId="14" xfId="0" applyFont="1" applyBorder="1" applyAlignment="1">
      <alignment horizontal="center" vertical="center" wrapText="1"/>
    </xf>
    <xf numFmtId="0" fontId="72" fillId="0" borderId="38" xfId="0" applyFont="1" applyBorder="1" applyAlignment="1">
      <alignment horizontal="center" vertical="center" wrapText="1"/>
    </xf>
    <xf numFmtId="0" fontId="109" fillId="0" borderId="3" xfId="0" applyFont="1" applyBorder="1" applyAlignment="1">
      <alignment horizontal="center"/>
    </xf>
    <xf numFmtId="0" fontId="72" fillId="2" borderId="42" xfId="0" applyFont="1" applyFill="1" applyBorder="1" applyAlignment="1">
      <alignment horizontal="centerContinuous" vertical="center" wrapText="1"/>
    </xf>
    <xf numFmtId="0" fontId="66" fillId="0" borderId="0" xfId="0" applyFont="1" applyAlignment="1">
      <alignment vertical="center"/>
    </xf>
    <xf numFmtId="0" fontId="67" fillId="2" borderId="49" xfId="0" applyFont="1" applyFill="1" applyBorder="1" applyAlignment="1">
      <alignment horizontal="center" vertical="center"/>
    </xf>
    <xf numFmtId="0" fontId="67" fillId="2" borderId="0" xfId="0" applyFont="1" applyFill="1" applyAlignment="1">
      <alignment vertical="center"/>
    </xf>
    <xf numFmtId="0" fontId="72" fillId="2" borderId="41" xfId="0" applyFont="1" applyFill="1" applyBorder="1" applyAlignment="1">
      <alignment horizontal="center" vertical="center" wrapText="1"/>
    </xf>
    <xf numFmtId="0" fontId="72" fillId="2" borderId="38" xfId="0" applyFont="1" applyFill="1" applyBorder="1" applyAlignment="1">
      <alignment horizontal="center" vertical="center" wrapText="1"/>
    </xf>
    <xf numFmtId="0" fontId="72" fillId="2" borderId="39" xfId="0" applyFont="1" applyFill="1" applyBorder="1" applyAlignment="1">
      <alignment horizontal="center" vertical="center" wrapText="1"/>
    </xf>
    <xf numFmtId="170" fontId="79" fillId="5" borderId="0" xfId="0" applyNumberFormat="1" applyFont="1" applyFill="1"/>
    <xf numFmtId="171" fontId="76" fillId="0" borderId="0" xfId="0" applyNumberFormat="1" applyFont="1"/>
    <xf numFmtId="0" fontId="72" fillId="2" borderId="9" xfId="0" applyFont="1" applyFill="1" applyBorder="1" applyAlignment="1">
      <alignment vertical="center" wrapText="1"/>
    </xf>
    <xf numFmtId="0" fontId="84" fillId="2" borderId="9" xfId="0" applyFont="1" applyFill="1" applyBorder="1" applyAlignment="1">
      <alignment horizontal="centerContinuous" vertical="center" wrapText="1"/>
    </xf>
    <xf numFmtId="0" fontId="72" fillId="2" borderId="7" xfId="0" applyFont="1" applyFill="1" applyBorder="1" applyAlignment="1">
      <alignment vertical="center" wrapText="1"/>
    </xf>
    <xf numFmtId="0" fontId="74" fillId="2" borderId="9" xfId="0" applyFont="1" applyFill="1" applyBorder="1" applyAlignment="1">
      <alignment vertical="center" wrapText="1"/>
    </xf>
    <xf numFmtId="0" fontId="74" fillId="2" borderId="13" xfId="0" applyFont="1" applyFill="1" applyBorder="1" applyAlignment="1">
      <alignment vertical="center" wrapText="1"/>
    </xf>
    <xf numFmtId="0" fontId="72" fillId="2" borderId="20" xfId="0" applyFont="1" applyFill="1" applyBorder="1" applyAlignment="1">
      <alignment horizontal="centerContinuous" vertical="center" wrapText="1"/>
    </xf>
    <xf numFmtId="0" fontId="74" fillId="2" borderId="14" xfId="0" applyFont="1" applyFill="1" applyBorder="1" applyAlignment="1">
      <alignment vertical="center" wrapText="1"/>
    </xf>
    <xf numFmtId="171" fontId="76" fillId="0" borderId="2" xfId="0" applyNumberFormat="1" applyFont="1" applyBorder="1"/>
    <xf numFmtId="0" fontId="72" fillId="2" borderId="37" xfId="0" applyFont="1" applyFill="1" applyBorder="1" applyAlignment="1">
      <alignment horizontal="center" vertical="center"/>
    </xf>
    <xf numFmtId="0" fontId="76" fillId="2" borderId="28" xfId="0" applyFont="1" applyFill="1" applyBorder="1" applyAlignment="1">
      <alignment horizontal="centerContinuous" vertical="center"/>
    </xf>
    <xf numFmtId="173" fontId="76" fillId="0" borderId="2" xfId="17" applyNumberFormat="1" applyFont="1" applyBorder="1"/>
    <xf numFmtId="1" fontId="79" fillId="2" borderId="9" xfId="15" quotePrefix="1" applyNumberFormat="1" applyFont="1" applyFill="1" applyBorder="1" applyAlignment="1">
      <alignment horizontal="center" vertical="center"/>
    </xf>
    <xf numFmtId="0" fontId="72" fillId="2" borderId="9" xfId="15" applyFont="1" applyFill="1" applyBorder="1" applyAlignment="1">
      <alignment horizontal="centerContinuous" vertical="center" wrapText="1"/>
    </xf>
    <xf numFmtId="0" fontId="74" fillId="2" borderId="13" xfId="15" applyFont="1" applyFill="1" applyBorder="1" applyAlignment="1">
      <alignment horizontal="centerContinuous" vertical="center" wrapText="1"/>
    </xf>
    <xf numFmtId="0" fontId="72" fillId="2" borderId="54" xfId="15" applyFont="1" applyFill="1" applyBorder="1" applyAlignment="1">
      <alignment horizontal="centerContinuous" vertical="center"/>
    </xf>
    <xf numFmtId="0" fontId="72" fillId="2" borderId="34" xfId="15" applyFont="1" applyFill="1" applyBorder="1" applyAlignment="1">
      <alignment horizontal="centerContinuous" vertical="center"/>
    </xf>
    <xf numFmtId="0" fontId="72" fillId="2" borderId="35" xfId="15" applyFont="1" applyFill="1" applyBorder="1" applyAlignment="1">
      <alignment horizontal="centerContinuous" vertical="center"/>
    </xf>
    <xf numFmtId="2" fontId="76" fillId="0" borderId="0" xfId="0" applyNumberFormat="1" applyFont="1" applyAlignment="1">
      <alignment horizontal="center"/>
    </xf>
    <xf numFmtId="0" fontId="72" fillId="2" borderId="37" xfId="0" quotePrefix="1" applyFont="1" applyFill="1" applyBorder="1" applyAlignment="1">
      <alignment horizontal="center" vertical="center" wrapText="1"/>
    </xf>
    <xf numFmtId="10" fontId="72" fillId="2" borderId="45" xfId="0" applyNumberFormat="1" applyFont="1" applyFill="1" applyBorder="1" applyAlignment="1">
      <alignment horizontal="center" vertical="center" wrapText="1"/>
    </xf>
    <xf numFmtId="0" fontId="76" fillId="0" borderId="37" xfId="0" applyFont="1" applyBorder="1" applyAlignment="1">
      <alignment horizontal="center" vertical="center" wrapText="1"/>
    </xf>
    <xf numFmtId="0" fontId="76" fillId="0" borderId="44" xfId="0" applyFont="1" applyBorder="1" applyAlignment="1">
      <alignment horizontal="center" vertical="center" wrapText="1"/>
    </xf>
    <xf numFmtId="175" fontId="58" fillId="0" borderId="0" xfId="0" applyNumberFormat="1" applyFont="1"/>
    <xf numFmtId="0" fontId="57" fillId="2" borderId="2" xfId="15" applyFont="1" applyFill="1" applyBorder="1" applyAlignment="1">
      <alignment vertical="center"/>
    </xf>
    <xf numFmtId="0" fontId="57" fillId="2" borderId="2" xfId="15" applyFont="1" applyFill="1" applyBorder="1" applyAlignment="1">
      <alignment vertical="center" wrapText="1"/>
    </xf>
    <xf numFmtId="0" fontId="57" fillId="2" borderId="2" xfId="15" applyFont="1" applyFill="1" applyBorder="1"/>
    <xf numFmtId="0" fontId="72" fillId="2" borderId="19" xfId="15" applyFont="1" applyFill="1" applyBorder="1" applyAlignment="1">
      <alignment horizontal="centerContinuous" vertical="center" wrapText="1"/>
    </xf>
    <xf numFmtId="0" fontId="72" fillId="2" borderId="14" xfId="15" applyFont="1" applyFill="1" applyBorder="1" applyAlignment="1">
      <alignment horizontal="centerContinuous" vertical="center" wrapText="1"/>
    </xf>
    <xf numFmtId="0" fontId="76" fillId="2" borderId="9" xfId="15" applyFont="1" applyFill="1" applyBorder="1" applyAlignment="1">
      <alignment horizontal="centerContinuous" vertical="center" wrapText="1"/>
    </xf>
    <xf numFmtId="2" fontId="76" fillId="0" borderId="0" xfId="15" applyNumberFormat="1" applyFont="1" applyAlignment="1">
      <alignment horizontal="center"/>
    </xf>
    <xf numFmtId="184" fontId="76" fillId="0" borderId="0" xfId="17" applyNumberFormat="1" applyFont="1"/>
    <xf numFmtId="3" fontId="98" fillId="0" borderId="2" xfId="17" applyNumberFormat="1" applyFont="1" applyBorder="1"/>
    <xf numFmtId="0" fontId="72" fillId="2" borderId="0" xfId="0" applyFont="1" applyFill="1" applyAlignment="1">
      <alignment horizontal="center" vertical="center" wrapText="1"/>
    </xf>
    <xf numFmtId="170" fontId="99" fillId="5" borderId="32" xfId="0" applyNumberFormat="1" applyFont="1" applyFill="1" applyBorder="1"/>
    <xf numFmtId="0" fontId="97" fillId="2" borderId="0" xfId="0" applyFont="1" applyFill="1" applyAlignment="1">
      <alignment horizontal="centerContinuous" vertical="center" wrapText="1"/>
    </xf>
    <xf numFmtId="0" fontId="72" fillId="2" borderId="0" xfId="0" applyFont="1" applyFill="1" applyAlignment="1">
      <alignment horizontal="center"/>
    </xf>
    <xf numFmtId="170" fontId="98" fillId="0" borderId="0" xfId="0" applyNumberFormat="1" applyFont="1"/>
    <xf numFmtId="0" fontId="72" fillId="2" borderId="44" xfId="0" applyFont="1" applyFill="1" applyBorder="1" applyAlignment="1">
      <alignment horizontal="center" vertical="center" wrapText="1"/>
    </xf>
    <xf numFmtId="170" fontId="76" fillId="5" borderId="32" xfId="0" applyNumberFormat="1" applyFont="1" applyFill="1" applyBorder="1"/>
    <xf numFmtId="0" fontId="76" fillId="2" borderId="54" xfId="15" applyFont="1" applyFill="1" applyBorder="1" applyAlignment="1">
      <alignment horizontal="centerContinuous" vertical="center" wrapText="1"/>
    </xf>
    <xf numFmtId="0" fontId="72" fillId="2" borderId="41" xfId="15" applyFont="1" applyFill="1" applyBorder="1" applyAlignment="1">
      <alignment horizontal="centerContinuous" vertical="center" wrapText="1"/>
    </xf>
    <xf numFmtId="4" fontId="92" fillId="4" borderId="4" xfId="17" applyNumberFormat="1" applyFont="1" applyFill="1" applyBorder="1"/>
    <xf numFmtId="4" fontId="76" fillId="0" borderId="4" xfId="17" applyNumberFormat="1" applyFont="1" applyBorder="1"/>
    <xf numFmtId="170" fontId="92" fillId="5" borderId="32" xfId="0" applyNumberFormat="1" applyFont="1" applyFill="1" applyBorder="1"/>
    <xf numFmtId="183" fontId="76" fillId="0" borderId="3" xfId="0" applyNumberFormat="1" applyFont="1" applyBorder="1"/>
    <xf numFmtId="0" fontId="57" fillId="2" borderId="26" xfId="0" applyFont="1" applyFill="1" applyBorder="1"/>
    <xf numFmtId="0" fontId="57" fillId="2" borderId="15" xfId="0" applyFont="1" applyFill="1" applyBorder="1"/>
    <xf numFmtId="183" fontId="76" fillId="2" borderId="45" xfId="0" applyNumberFormat="1" applyFont="1" applyFill="1" applyBorder="1"/>
    <xf numFmtId="3" fontId="92" fillId="4" borderId="0" xfId="0" applyNumberFormat="1" applyFont="1" applyFill="1"/>
    <xf numFmtId="183" fontId="92" fillId="4" borderId="3" xfId="0" applyNumberFormat="1" applyFont="1" applyFill="1" applyBorder="1"/>
    <xf numFmtId="3" fontId="76" fillId="5" borderId="32" xfId="0" applyNumberFormat="1" applyFont="1" applyFill="1" applyBorder="1"/>
    <xf numFmtId="3" fontId="92" fillId="4" borderId="32" xfId="0" applyNumberFormat="1" applyFont="1" applyFill="1" applyBorder="1"/>
    <xf numFmtId="3" fontId="76" fillId="5" borderId="0" xfId="0" applyNumberFormat="1" applyFont="1" applyFill="1"/>
    <xf numFmtId="0" fontId="110" fillId="2" borderId="8" xfId="0" quotePrefix="1" applyFont="1" applyFill="1" applyBorder="1" applyAlignment="1">
      <alignment horizontal="center"/>
    </xf>
    <xf numFmtId="0" fontId="76" fillId="2" borderId="15" xfId="0" quotePrefix="1" applyFont="1" applyFill="1" applyBorder="1" applyAlignment="1">
      <alignment horizontal="centerContinuous" vertical="center" wrapText="1"/>
    </xf>
    <xf numFmtId="0" fontId="76" fillId="2" borderId="14" xfId="0" quotePrefix="1" applyFont="1" applyFill="1" applyBorder="1" applyAlignment="1">
      <alignment horizontal="centerContinuous" vertical="center" wrapText="1"/>
    </xf>
    <xf numFmtId="1" fontId="75" fillId="2" borderId="14" xfId="0" applyNumberFormat="1" applyFont="1" applyFill="1" applyBorder="1" applyAlignment="1">
      <alignment horizontal="center"/>
    </xf>
    <xf numFmtId="1" fontId="75" fillId="2" borderId="42" xfId="0" applyNumberFormat="1" applyFont="1" applyFill="1" applyBorder="1" applyAlignment="1">
      <alignment horizontal="center"/>
    </xf>
    <xf numFmtId="1" fontId="75" fillId="2" borderId="0" xfId="0" applyNumberFormat="1" applyFont="1" applyFill="1" applyAlignment="1">
      <alignment horizontal="center"/>
    </xf>
    <xf numFmtId="1" fontId="75" fillId="2" borderId="3" xfId="0" applyNumberFormat="1" applyFont="1" applyFill="1" applyBorder="1" applyAlignment="1">
      <alignment horizontal="center"/>
    </xf>
    <xf numFmtId="1" fontId="75" fillId="2" borderId="4" xfId="0" applyNumberFormat="1" applyFont="1" applyFill="1" applyBorder="1" applyAlignment="1">
      <alignment horizontal="center"/>
    </xf>
    <xf numFmtId="173" fontId="76" fillId="5" borderId="0" xfId="17" applyNumberFormat="1" applyFont="1" applyFill="1"/>
    <xf numFmtId="0" fontId="76" fillId="2" borderId="32" xfId="0" applyFont="1" applyFill="1" applyBorder="1"/>
    <xf numFmtId="171" fontId="76" fillId="0" borderId="32" xfId="0" applyNumberFormat="1" applyFont="1" applyBorder="1"/>
    <xf numFmtId="186" fontId="92" fillId="2" borderId="9" xfId="0" applyNumberFormat="1" applyFont="1" applyFill="1" applyBorder="1" applyAlignment="1">
      <alignment horizontal="center"/>
    </xf>
    <xf numFmtId="186" fontId="92" fillId="2" borderId="13" xfId="0" applyNumberFormat="1" applyFont="1" applyFill="1" applyBorder="1" applyAlignment="1">
      <alignment horizontal="center"/>
    </xf>
    <xf numFmtId="0" fontId="72" fillId="2" borderId="42"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57" fillId="0" borderId="49" xfId="0" applyFont="1" applyBorder="1" applyAlignment="1">
      <alignment horizontal="center" vertical="center"/>
    </xf>
    <xf numFmtId="0" fontId="72" fillId="2" borderId="38" xfId="15" applyFont="1" applyFill="1" applyBorder="1" applyAlignment="1">
      <alignment horizontal="centerContinuous" vertical="center" wrapText="1"/>
    </xf>
    <xf numFmtId="3" fontId="76" fillId="0" borderId="4" xfId="17" applyNumberFormat="1" applyFont="1" applyBorder="1"/>
    <xf numFmtId="0" fontId="67" fillId="2" borderId="58" xfId="0" applyFont="1" applyFill="1" applyBorder="1" applyAlignment="1">
      <alignment horizontal="left" vertical="center"/>
    </xf>
    <xf numFmtId="0" fontId="67" fillId="2" borderId="19" xfId="0" applyFont="1" applyFill="1" applyBorder="1" applyAlignment="1">
      <alignment horizontal="left" vertical="center"/>
    </xf>
    <xf numFmtId="0" fontId="67" fillId="2" borderId="59" xfId="0" applyFont="1" applyFill="1" applyBorder="1" applyAlignment="1">
      <alignment horizontal="left" vertical="center"/>
    </xf>
    <xf numFmtId="175" fontId="92" fillId="4" borderId="4" xfId="0" applyNumberFormat="1" applyFont="1" applyFill="1" applyBorder="1"/>
    <xf numFmtId="175" fontId="76" fillId="0" borderId="4" xfId="0" applyNumberFormat="1" applyFont="1" applyBorder="1"/>
    <xf numFmtId="0" fontId="72" fillId="2" borderId="37" xfId="0" applyFont="1" applyFill="1" applyBorder="1" applyAlignment="1">
      <alignment horizontal="center"/>
    </xf>
    <xf numFmtId="0" fontId="72" fillId="2" borderId="44" xfId="0" applyFont="1" applyFill="1" applyBorder="1" applyAlignment="1">
      <alignment horizontal="center"/>
    </xf>
    <xf numFmtId="1" fontId="92" fillId="3" borderId="0" xfId="16" applyNumberFormat="1" applyFont="1" applyFill="1" applyAlignment="1">
      <alignment horizontal="center" vertical="center"/>
    </xf>
    <xf numFmtId="0" fontId="75" fillId="2" borderId="13" xfId="0" applyFont="1" applyFill="1" applyBorder="1" applyAlignment="1">
      <alignment horizontal="center" vertical="center"/>
    </xf>
    <xf numFmtId="1" fontId="75" fillId="2" borderId="8" xfId="0" applyNumberFormat="1" applyFont="1" applyFill="1" applyBorder="1" applyAlignment="1">
      <alignment horizontal="center" vertical="center"/>
    </xf>
    <xf numFmtId="1" fontId="75" fillId="2" borderId="15" xfId="0" applyNumberFormat="1" applyFont="1" applyFill="1" applyBorder="1" applyAlignment="1">
      <alignment horizontal="center" vertical="center"/>
    </xf>
    <xf numFmtId="0" fontId="75" fillId="2" borderId="8"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42" xfId="0" applyFont="1" applyFill="1" applyBorder="1" applyAlignment="1">
      <alignment horizontal="center" vertical="center"/>
    </xf>
    <xf numFmtId="0" fontId="75" fillId="2" borderId="9" xfId="0" applyFont="1" applyFill="1" applyBorder="1" applyAlignment="1">
      <alignment horizontal="center" vertical="center"/>
    </xf>
    <xf numFmtId="0" fontId="75" fillId="2" borderId="14" xfId="0" applyFont="1" applyFill="1" applyBorder="1" applyAlignment="1">
      <alignment horizontal="center" vertical="center"/>
    </xf>
    <xf numFmtId="170" fontId="92" fillId="4" borderId="3" xfId="0" applyNumberFormat="1" applyFont="1" applyFill="1" applyBorder="1"/>
    <xf numFmtId="0" fontId="72" fillId="2" borderId="20" xfId="15" applyFont="1" applyFill="1" applyBorder="1" applyAlignment="1">
      <alignment horizontal="centerContinuous" vertical="center" wrapText="1"/>
    </xf>
    <xf numFmtId="0" fontId="72" fillId="2" borderId="13" xfId="15" applyFont="1" applyFill="1" applyBorder="1" applyAlignment="1">
      <alignment horizontal="centerContinuous" vertical="center" wrapText="1"/>
    </xf>
    <xf numFmtId="0" fontId="76" fillId="2" borderId="13" xfId="15" applyFont="1" applyFill="1" applyBorder="1" applyAlignment="1">
      <alignment horizontal="centerContinuous" vertical="center" wrapText="1"/>
    </xf>
    <xf numFmtId="179" fontId="79" fillId="2" borderId="7" xfId="19" quotePrefix="1" applyNumberFormat="1" applyFont="1" applyFill="1" applyBorder="1" applyAlignment="1" applyProtection="1">
      <alignment horizontal="center" vertical="center"/>
    </xf>
    <xf numFmtId="179" fontId="79" fillId="2" borderId="9" xfId="19" quotePrefix="1" applyNumberFormat="1" applyFont="1" applyFill="1" applyBorder="1" applyAlignment="1" applyProtection="1">
      <alignment horizontal="center" vertical="center"/>
    </xf>
    <xf numFmtId="179" fontId="79" fillId="2" borderId="14" xfId="19" applyNumberFormat="1" applyFont="1" applyFill="1" applyBorder="1" applyAlignment="1">
      <alignment horizontal="center" vertical="center"/>
    </xf>
    <xf numFmtId="179" fontId="79" fillId="2" borderId="13" xfId="19" applyNumberFormat="1" applyFont="1" applyFill="1" applyBorder="1" applyAlignment="1">
      <alignment horizontal="center" vertical="center"/>
    </xf>
    <xf numFmtId="179" fontId="79" fillId="2" borderId="9" xfId="19" applyNumberFormat="1" applyFont="1" applyFill="1" applyBorder="1" applyAlignment="1">
      <alignment horizontal="centerContinuous" vertical="center"/>
    </xf>
    <xf numFmtId="179" fontId="79" fillId="2" borderId="13" xfId="19" applyNumberFormat="1" applyFont="1" applyFill="1" applyBorder="1" applyAlignment="1">
      <alignment horizontal="centerContinuous" vertical="center"/>
    </xf>
    <xf numFmtId="179" fontId="76" fillId="2" borderId="14" xfId="19" applyNumberFormat="1" applyFont="1" applyFill="1" applyBorder="1" applyAlignment="1">
      <alignment horizontal="centerContinuous" vertical="center"/>
    </xf>
    <xf numFmtId="1" fontId="75" fillId="2" borderId="15" xfId="0" applyNumberFormat="1" applyFont="1" applyFill="1" applyBorder="1" applyAlignment="1">
      <alignment horizontal="center"/>
    </xf>
    <xf numFmtId="170" fontId="98" fillId="0" borderId="26" xfId="0" applyNumberFormat="1" applyFont="1" applyBorder="1"/>
    <xf numFmtId="170" fontId="107" fillId="4" borderId="26" xfId="0" applyNumberFormat="1" applyFont="1" applyFill="1" applyBorder="1"/>
    <xf numFmtId="185" fontId="75" fillId="2" borderId="15" xfId="0" applyNumberFormat="1" applyFont="1" applyFill="1" applyBorder="1" applyAlignment="1">
      <alignment horizontal="center" vertical="center"/>
    </xf>
    <xf numFmtId="170" fontId="57" fillId="2" borderId="0" xfId="0" applyNumberFormat="1" applyFont="1" applyFill="1"/>
    <xf numFmtId="0" fontId="76" fillId="2" borderId="47" xfId="0" applyFont="1" applyFill="1" applyBorder="1" applyAlignment="1">
      <alignment horizontal="centerContinuous" vertical="center" wrapText="1"/>
    </xf>
    <xf numFmtId="170" fontId="107" fillId="5" borderId="26" xfId="0" applyNumberFormat="1" applyFont="1" applyFill="1" applyBorder="1"/>
    <xf numFmtId="170" fontId="98" fillId="5" borderId="26" xfId="0" applyNumberFormat="1" applyFont="1" applyFill="1" applyBorder="1"/>
    <xf numFmtId="170" fontId="92" fillId="5" borderId="22" xfId="0" applyNumberFormat="1" applyFont="1" applyFill="1" applyBorder="1"/>
    <xf numFmtId="170" fontId="76" fillId="5" borderId="25" xfId="0" applyNumberFormat="1" applyFont="1" applyFill="1" applyBorder="1"/>
    <xf numFmtId="0" fontId="58" fillId="2" borderId="14" xfId="0" applyFont="1" applyFill="1" applyBorder="1" applyAlignment="1">
      <alignment horizontal="centerContinuous" vertical="center" wrapText="1"/>
    </xf>
    <xf numFmtId="0" fontId="58" fillId="2" borderId="42" xfId="0" applyFont="1" applyFill="1" applyBorder="1" applyAlignment="1">
      <alignment horizontal="centerContinuous" vertical="center" wrapText="1"/>
    </xf>
    <xf numFmtId="0" fontId="82" fillId="2" borderId="13" xfId="16" applyFont="1" applyFill="1" applyBorder="1" applyAlignment="1">
      <alignment horizontal="center" vertical="center"/>
    </xf>
    <xf numFmtId="0" fontId="72" fillId="2" borderId="13" xfId="16" applyFont="1" applyFill="1" applyBorder="1" applyAlignment="1">
      <alignment horizontal="centerContinuous" vertical="center" wrapText="1"/>
    </xf>
    <xf numFmtId="0" fontId="74" fillId="2" borderId="13" xfId="16" applyFont="1" applyFill="1" applyBorder="1" applyAlignment="1">
      <alignment horizontal="centerContinuous" vertical="center" wrapText="1"/>
    </xf>
    <xf numFmtId="0" fontId="72" fillId="2" borderId="38" xfId="0" applyFont="1" applyFill="1" applyBorder="1" applyAlignment="1">
      <alignment horizontal="center"/>
    </xf>
    <xf numFmtId="175" fontId="76" fillId="0" borderId="0" xfId="0" applyNumberFormat="1" applyFont="1"/>
    <xf numFmtId="171" fontId="98" fillId="5" borderId="3" xfId="0" applyNumberFormat="1" applyFont="1" applyFill="1" applyBorder="1"/>
    <xf numFmtId="0" fontId="114" fillId="2" borderId="0" xfId="0" applyFont="1" applyFill="1" applyAlignment="1">
      <alignment horizontal="left" vertical="center"/>
    </xf>
    <xf numFmtId="0" fontId="114" fillId="2" borderId="0" xfId="0" applyFont="1" applyFill="1" applyAlignment="1">
      <alignment vertical="center"/>
    </xf>
    <xf numFmtId="170" fontId="76" fillId="0" borderId="32" xfId="0" applyNumberFormat="1" applyFont="1" applyBorder="1"/>
    <xf numFmtId="175" fontId="57" fillId="2" borderId="0" xfId="0" applyNumberFormat="1" applyFont="1" applyFill="1"/>
    <xf numFmtId="0" fontId="72" fillId="2" borderId="14" xfId="16" applyFont="1" applyFill="1" applyBorder="1" applyAlignment="1">
      <alignment horizontal="centerContinuous" vertical="center" wrapText="1"/>
    </xf>
    <xf numFmtId="0" fontId="76" fillId="0" borderId="14" xfId="16" applyFont="1" applyBorder="1" applyAlignment="1">
      <alignment horizontal="center" vertical="center" wrapText="1"/>
    </xf>
    <xf numFmtId="171" fontId="92" fillId="4" borderId="3" xfId="0" applyNumberFormat="1" applyFont="1" applyFill="1" applyBorder="1"/>
    <xf numFmtId="0" fontId="76" fillId="2" borderId="14" xfId="16" applyFont="1" applyFill="1" applyBorder="1" applyAlignment="1">
      <alignment horizontal="center" vertical="center" wrapText="1"/>
    </xf>
    <xf numFmtId="0" fontId="82" fillId="2" borderId="14" xfId="16" applyFont="1" applyFill="1" applyBorder="1" applyAlignment="1">
      <alignment horizontal="center" vertical="center"/>
    </xf>
    <xf numFmtId="0" fontId="76" fillId="2" borderId="12" xfId="16" applyFont="1" applyFill="1" applyBorder="1" applyAlignment="1">
      <alignment horizontal="centerContinuous" vertical="center" wrapText="1"/>
    </xf>
    <xf numFmtId="0" fontId="76" fillId="2" borderId="20" xfId="16" applyFont="1" applyFill="1" applyBorder="1" applyAlignment="1">
      <alignment horizontal="centerContinuous" vertical="center" wrapText="1"/>
    </xf>
    <xf numFmtId="0" fontId="115" fillId="0" borderId="0" xfId="0" applyFont="1"/>
    <xf numFmtId="0" fontId="72" fillId="2" borderId="53" xfId="0" quotePrefix="1" applyFont="1" applyFill="1" applyBorder="1" applyAlignment="1">
      <alignment horizontal="center"/>
    </xf>
    <xf numFmtId="170" fontId="92" fillId="5" borderId="0" xfId="0" applyNumberFormat="1" applyFont="1" applyFill="1"/>
    <xf numFmtId="0" fontId="76" fillId="0" borderId="2" xfId="0" applyFont="1" applyBorder="1" applyAlignment="1">
      <alignment horizontal="center"/>
    </xf>
    <xf numFmtId="0" fontId="76" fillId="2" borderId="0" xfId="0" applyFont="1" applyFill="1" applyAlignment="1">
      <alignment horizontal="centerContinuous" vertical="center"/>
    </xf>
    <xf numFmtId="0" fontId="76" fillId="2" borderId="3" xfId="0" applyFont="1" applyFill="1" applyBorder="1" applyAlignment="1">
      <alignment horizontal="centerContinuous" vertical="center"/>
    </xf>
    <xf numFmtId="1" fontId="72" fillId="2" borderId="8" xfId="0" quotePrefix="1" applyNumberFormat="1" applyFont="1" applyFill="1" applyBorder="1" applyAlignment="1">
      <alignment horizontal="centerContinuous" vertical="center" wrapText="1"/>
    </xf>
    <xf numFmtId="1" fontId="72" fillId="2" borderId="14" xfId="0" quotePrefix="1" applyNumberFormat="1" applyFont="1" applyFill="1" applyBorder="1" applyAlignment="1">
      <alignment horizontal="centerContinuous" vertical="center" wrapText="1"/>
    </xf>
    <xf numFmtId="185" fontId="113" fillId="0" borderId="9" xfId="0" applyNumberFormat="1" applyFont="1" applyBorder="1"/>
    <xf numFmtId="0" fontId="57" fillId="2" borderId="4" xfId="15" applyFont="1" applyFill="1" applyBorder="1" applyAlignment="1">
      <alignment vertical="center"/>
    </xf>
    <xf numFmtId="0" fontId="76" fillId="2" borderId="4" xfId="15" applyFont="1" applyFill="1" applyBorder="1" applyAlignment="1">
      <alignment horizontal="center" vertical="center"/>
    </xf>
    <xf numFmtId="0" fontId="57" fillId="2" borderId="4" xfId="15" applyFont="1" applyFill="1" applyBorder="1" applyAlignment="1">
      <alignment vertical="center" wrapText="1"/>
    </xf>
    <xf numFmtId="0" fontId="57" fillId="5" borderId="4" xfId="15" applyFont="1" applyFill="1" applyBorder="1" applyAlignment="1">
      <alignment vertical="center" wrapText="1"/>
    </xf>
    <xf numFmtId="0" fontId="57" fillId="5" borderId="4" xfId="15" applyFont="1" applyFill="1" applyBorder="1"/>
    <xf numFmtId="10" fontId="75" fillId="2" borderId="9" xfId="0" applyNumberFormat="1" applyFont="1" applyFill="1" applyBorder="1" applyAlignment="1">
      <alignment horizontal="center"/>
    </xf>
    <xf numFmtId="10" fontId="72" fillId="2" borderId="14" xfId="0" applyNumberFormat="1" applyFont="1" applyFill="1" applyBorder="1" applyAlignment="1">
      <alignment horizontal="centerContinuous" vertical="center" wrapText="1"/>
    </xf>
    <xf numFmtId="1" fontId="75" fillId="2" borderId="14" xfId="0" applyNumberFormat="1" applyFont="1" applyFill="1" applyBorder="1" applyAlignment="1">
      <alignment horizontal="center" vertical="center"/>
    </xf>
    <xf numFmtId="0" fontId="74" fillId="2" borderId="15" xfId="0" applyFont="1" applyFill="1" applyBorder="1" applyAlignment="1">
      <alignment horizontal="centerContinuous" vertical="center" wrapText="1"/>
    </xf>
    <xf numFmtId="170" fontId="58" fillId="0" borderId="0" xfId="0" applyNumberFormat="1" applyFont="1"/>
    <xf numFmtId="170" fontId="58" fillId="0" borderId="25" xfId="0" applyNumberFormat="1" applyFont="1" applyBorder="1"/>
    <xf numFmtId="1" fontId="121" fillId="2" borderId="0" xfId="0" applyNumberFormat="1" applyFont="1" applyFill="1" applyAlignment="1">
      <alignment horizontal="center"/>
    </xf>
    <xf numFmtId="1" fontId="121" fillId="2" borderId="3" xfId="0" applyNumberFormat="1" applyFont="1" applyFill="1" applyBorder="1" applyAlignment="1">
      <alignment horizontal="center"/>
    </xf>
    <xf numFmtId="170" fontId="121" fillId="7" borderId="32" xfId="0" applyNumberFormat="1" applyFont="1" applyFill="1" applyBorder="1"/>
    <xf numFmtId="0" fontId="72" fillId="2" borderId="38" xfId="16" quotePrefix="1" applyFont="1" applyFill="1" applyBorder="1" applyAlignment="1">
      <alignment horizontal="center" vertical="center" wrapText="1"/>
    </xf>
    <xf numFmtId="1" fontId="72" fillId="2" borderId="38" xfId="16" quotePrefix="1" applyNumberFormat="1" applyFont="1" applyFill="1" applyBorder="1" applyAlignment="1">
      <alignment horizontal="center" vertical="center" wrapText="1"/>
    </xf>
    <xf numFmtId="0" fontId="72" fillId="2" borderId="38" xfId="0" quotePrefix="1" applyFont="1" applyFill="1" applyBorder="1" applyAlignment="1">
      <alignment horizontal="center" vertical="center" wrapText="1"/>
    </xf>
    <xf numFmtId="0" fontId="72" fillId="2" borderId="39" xfId="0" quotePrefix="1" applyFont="1" applyFill="1" applyBorder="1" applyAlignment="1">
      <alignment horizontal="center" vertical="center" wrapText="1"/>
    </xf>
    <xf numFmtId="0" fontId="72" fillId="2" borderId="41" xfId="0" quotePrefix="1" applyFont="1" applyFill="1" applyBorder="1" applyAlignment="1">
      <alignment horizontal="center" vertical="center" wrapText="1"/>
    </xf>
    <xf numFmtId="0" fontId="71" fillId="2" borderId="9" xfId="16" applyFont="1" applyFill="1" applyBorder="1" applyAlignment="1">
      <alignment horizontal="centerContinuous" vertical="center" wrapText="1"/>
    </xf>
    <xf numFmtId="0" fontId="71" fillId="0" borderId="0" xfId="0" applyFont="1" applyAlignment="1">
      <alignment horizontal="centerContinuous" vertical="center"/>
    </xf>
    <xf numFmtId="0" fontId="71" fillId="0" borderId="4" xfId="0" applyFont="1" applyBorder="1" applyAlignment="1">
      <alignment horizontal="centerContinuous" vertical="center"/>
    </xf>
    <xf numFmtId="0" fontId="72" fillId="2" borderId="7" xfId="16" applyFont="1" applyFill="1" applyBorder="1" applyAlignment="1">
      <alignment horizontal="centerContinuous" vertical="center"/>
    </xf>
    <xf numFmtId="0" fontId="72" fillId="2" borderId="14" xfId="16" applyFont="1" applyFill="1" applyBorder="1" applyAlignment="1">
      <alignment horizontal="centerContinuous" vertical="center"/>
    </xf>
    <xf numFmtId="0" fontId="58" fillId="2" borderId="28" xfId="0" applyFont="1" applyFill="1" applyBorder="1" applyAlignment="1">
      <alignment horizontal="centerContinuous" vertical="center" wrapText="1"/>
    </xf>
    <xf numFmtId="0" fontId="58" fillId="2" borderId="7" xfId="0" applyFont="1" applyFill="1" applyBorder="1" applyAlignment="1">
      <alignment horizontal="centerContinuous" vertical="center" wrapText="1"/>
    </xf>
    <xf numFmtId="2" fontId="76" fillId="0" borderId="18" xfId="15" applyNumberFormat="1" applyFont="1" applyBorder="1" applyAlignment="1">
      <alignment horizontal="center"/>
    </xf>
    <xf numFmtId="2" fontId="57" fillId="2" borderId="0" xfId="0" applyNumberFormat="1" applyFont="1" applyFill="1"/>
    <xf numFmtId="3" fontId="92" fillId="9" borderId="0" xfId="0" applyNumberFormat="1" applyFont="1" applyFill="1"/>
    <xf numFmtId="0" fontId="58" fillId="2" borderId="38" xfId="0" applyFont="1" applyFill="1" applyBorder="1"/>
    <xf numFmtId="3" fontId="92" fillId="4" borderId="57" xfId="0" applyNumberFormat="1" applyFont="1" applyFill="1" applyBorder="1"/>
    <xf numFmtId="3" fontId="58" fillId="0" borderId="0" xfId="0" applyNumberFormat="1" applyFont="1"/>
    <xf numFmtId="3" fontId="123" fillId="0" borderId="0" xfId="0" applyNumberFormat="1" applyFont="1"/>
    <xf numFmtId="0" fontId="58" fillId="2" borderId="14" xfId="0" applyFont="1" applyFill="1" applyBorder="1" applyAlignment="1">
      <alignment horizontal="centerContinuous" vertical="center"/>
    </xf>
    <xf numFmtId="0" fontId="76" fillId="2" borderId="14" xfId="0" applyFont="1" applyFill="1" applyBorder="1" applyAlignment="1">
      <alignment horizontal="centerContinuous" vertical="center"/>
    </xf>
    <xf numFmtId="3" fontId="92" fillId="4" borderId="64" xfId="0" applyNumberFormat="1" applyFont="1" applyFill="1" applyBorder="1"/>
    <xf numFmtId="0" fontId="72" fillId="2" borderId="41" xfId="0" applyFont="1" applyFill="1" applyBorder="1" applyAlignment="1">
      <alignment horizontal="center" vertical="center"/>
    </xf>
    <xf numFmtId="0" fontId="72" fillId="2" borderId="38" xfId="0" applyFont="1" applyFill="1" applyBorder="1" applyAlignment="1">
      <alignment horizontal="center" vertical="center"/>
    </xf>
    <xf numFmtId="175" fontId="92" fillId="4" borderId="2" xfId="0" applyNumberFormat="1" applyFont="1" applyFill="1" applyBorder="1"/>
    <xf numFmtId="0" fontId="86" fillId="10" borderId="9" xfId="0" applyFont="1" applyFill="1" applyBorder="1" applyAlignment="1">
      <alignment vertical="center"/>
    </xf>
    <xf numFmtId="0" fontId="86" fillId="10" borderId="10" xfId="0" applyFont="1" applyFill="1" applyBorder="1" applyAlignment="1">
      <alignment horizontal="center" vertical="center"/>
    </xf>
    <xf numFmtId="0" fontId="127" fillId="2" borderId="0" xfId="0" applyFont="1" applyFill="1" applyAlignment="1">
      <alignment vertical="center"/>
    </xf>
    <xf numFmtId="0" fontId="128" fillId="2" borderId="0" xfId="0" applyFont="1" applyFill="1" applyAlignment="1">
      <alignment vertical="center"/>
    </xf>
    <xf numFmtId="0" fontId="128" fillId="2" borderId="0" xfId="0" applyFont="1" applyFill="1" applyAlignment="1">
      <alignment horizontal="left" vertical="center"/>
    </xf>
    <xf numFmtId="0" fontId="127" fillId="11" borderId="9" xfId="0" applyFont="1" applyFill="1" applyBorder="1" applyAlignment="1">
      <alignment vertical="center"/>
    </xf>
    <xf numFmtId="0" fontId="72" fillId="8" borderId="0" xfId="0" quotePrefix="1" applyFont="1" applyFill="1" applyAlignment="1">
      <alignment horizontal="center" vertical="center" wrapText="1"/>
    </xf>
    <xf numFmtId="0" fontId="72" fillId="8" borderId="26" xfId="0" quotePrefix="1" applyFont="1" applyFill="1" applyBorder="1" applyAlignment="1">
      <alignment horizontal="center" vertical="center" wrapText="1"/>
    </xf>
    <xf numFmtId="171" fontId="92" fillId="8" borderId="32" xfId="0" applyNumberFormat="1" applyFont="1" applyFill="1" applyBorder="1"/>
    <xf numFmtId="171" fontId="92" fillId="8" borderId="26" xfId="0" applyNumberFormat="1" applyFont="1" applyFill="1" applyBorder="1"/>
    <xf numFmtId="171" fontId="76" fillId="8" borderId="32" xfId="0" applyNumberFormat="1" applyFont="1" applyFill="1" applyBorder="1"/>
    <xf numFmtId="171" fontId="76" fillId="8" borderId="26" xfId="0" applyNumberFormat="1" applyFont="1" applyFill="1" applyBorder="1"/>
    <xf numFmtId="1" fontId="58" fillId="2" borderId="9" xfId="0" applyNumberFormat="1" applyFont="1" applyFill="1" applyBorder="1" applyAlignment="1">
      <alignment horizontal="center" vertical="center" wrapText="1"/>
    </xf>
    <xf numFmtId="171" fontId="121" fillId="7" borderId="70" xfId="0" applyNumberFormat="1" applyFont="1" applyFill="1" applyBorder="1"/>
    <xf numFmtId="170" fontId="92" fillId="4" borderId="63" xfId="0" applyNumberFormat="1" applyFont="1" applyFill="1" applyBorder="1"/>
    <xf numFmtId="3" fontId="92" fillId="4" borderId="2" xfId="17" applyNumberFormat="1" applyFont="1" applyFill="1" applyBorder="1"/>
    <xf numFmtId="3" fontId="92" fillId="4" borderId="60" xfId="17" applyNumberFormat="1" applyFont="1" applyFill="1" applyBorder="1"/>
    <xf numFmtId="170" fontId="92" fillId="4" borderId="52" xfId="0" applyNumberFormat="1" applyFont="1" applyFill="1" applyBorder="1"/>
    <xf numFmtId="170" fontId="123" fillId="0" borderId="25" xfId="0" applyNumberFormat="1" applyFont="1" applyBorder="1"/>
    <xf numFmtId="170" fontId="123" fillId="0" borderId="0" xfId="0" applyNumberFormat="1" applyFont="1"/>
    <xf numFmtId="171" fontId="123" fillId="0" borderId="3" xfId="0" applyNumberFormat="1" applyFont="1" applyBorder="1"/>
    <xf numFmtId="170" fontId="123" fillId="0" borderId="32" xfId="0" applyNumberFormat="1" applyFont="1" applyBorder="1"/>
    <xf numFmtId="170" fontId="99" fillId="5" borderId="23" xfId="0" applyNumberFormat="1" applyFont="1" applyFill="1" applyBorder="1"/>
    <xf numFmtId="170" fontId="129" fillId="7" borderId="0" xfId="0" applyNumberFormat="1" applyFont="1" applyFill="1"/>
    <xf numFmtId="0" fontId="123" fillId="2" borderId="8" xfId="0" applyFont="1" applyFill="1" applyBorder="1" applyAlignment="1">
      <alignment horizontal="centerContinuous" vertical="center" wrapText="1"/>
    </xf>
    <xf numFmtId="179" fontId="57" fillId="2" borderId="0" xfId="19" applyNumberFormat="1" applyFont="1" applyFill="1"/>
    <xf numFmtId="170" fontId="92" fillId="4" borderId="0" xfId="0" quotePrefix="1" applyNumberFormat="1" applyFont="1" applyFill="1" applyAlignment="1">
      <alignment vertical="center" wrapText="1"/>
    </xf>
    <xf numFmtId="170" fontId="92" fillId="4" borderId="3" xfId="0" quotePrefix="1" applyNumberFormat="1" applyFont="1" applyFill="1" applyBorder="1" applyAlignment="1">
      <alignment vertical="center" wrapText="1"/>
    </xf>
    <xf numFmtId="170" fontId="129" fillId="4" borderId="18" xfId="0" applyNumberFormat="1" applyFont="1" applyFill="1" applyBorder="1"/>
    <xf numFmtId="0" fontId="53" fillId="2" borderId="0" xfId="0" applyFont="1" applyFill="1"/>
    <xf numFmtId="2" fontId="58" fillId="0" borderId="3" xfId="0" quotePrefix="1" applyNumberFormat="1" applyFont="1" applyBorder="1" applyAlignment="1">
      <alignment horizontal="center"/>
    </xf>
    <xf numFmtId="171" fontId="123" fillId="0" borderId="0" xfId="0" applyNumberFormat="1" applyFont="1"/>
    <xf numFmtId="0" fontId="78" fillId="2" borderId="50" xfId="0" applyFont="1" applyFill="1" applyBorder="1" applyAlignment="1">
      <alignment horizontal="centerContinuous" vertical="center" wrapText="1"/>
    </xf>
    <xf numFmtId="170" fontId="92" fillId="4" borderId="31" xfId="0" applyNumberFormat="1" applyFont="1" applyFill="1" applyBorder="1"/>
    <xf numFmtId="0" fontId="123" fillId="0" borderId="11" xfId="0" applyFont="1" applyBorder="1" applyAlignment="1">
      <alignment horizontal="center" vertical="center" wrapText="1"/>
    </xf>
    <xf numFmtId="0" fontId="123" fillId="0" borderId="11" xfId="0" quotePrefix="1" applyFont="1" applyBorder="1" applyAlignment="1">
      <alignment horizontal="center" vertical="center" wrapText="1"/>
    </xf>
    <xf numFmtId="0" fontId="123" fillId="2" borderId="15" xfId="0" applyFont="1" applyFill="1" applyBorder="1" applyAlignment="1">
      <alignment horizontal="center" vertical="center" wrapText="1"/>
    </xf>
    <xf numFmtId="0" fontId="123" fillId="0" borderId="21" xfId="0" applyFont="1" applyBorder="1" applyAlignment="1">
      <alignment horizontal="center" vertical="center" wrapText="1"/>
    </xf>
    <xf numFmtId="175" fontId="123" fillId="0" borderId="25" xfId="0" applyNumberFormat="1" applyFont="1" applyBorder="1"/>
    <xf numFmtId="170" fontId="123" fillId="0" borderId="3" xfId="0" applyNumberFormat="1" applyFont="1" applyBorder="1"/>
    <xf numFmtId="0" fontId="76" fillId="0" borderId="38" xfId="0" applyFont="1" applyBorder="1" applyAlignment="1">
      <alignment horizontal="center" vertical="center" wrapText="1"/>
    </xf>
    <xf numFmtId="0" fontId="76" fillId="2" borderId="38" xfId="0" applyFont="1" applyFill="1" applyBorder="1" applyAlignment="1">
      <alignment horizontal="center" vertical="center" wrapText="1"/>
    </xf>
    <xf numFmtId="0" fontId="76" fillId="0" borderId="38" xfId="0" quotePrefix="1" applyFont="1" applyBorder="1" applyAlignment="1">
      <alignment horizontal="center" vertical="center" wrapText="1"/>
    </xf>
    <xf numFmtId="0" fontId="123" fillId="0" borderId="38" xfId="0" applyFont="1" applyBorder="1" applyAlignment="1">
      <alignment horizontal="center" vertical="center" wrapText="1"/>
    </xf>
    <xf numFmtId="0" fontId="72" fillId="2" borderId="41" xfId="16" applyFont="1" applyFill="1" applyBorder="1" applyAlignment="1">
      <alignment horizontal="center" vertical="center" wrapText="1"/>
    </xf>
    <xf numFmtId="1" fontId="72" fillId="2" borderId="39" xfId="16" quotePrefix="1" applyNumberFormat="1" applyFont="1" applyFill="1" applyBorder="1" applyAlignment="1">
      <alignment horizontal="center" vertical="center" wrapText="1"/>
    </xf>
    <xf numFmtId="0" fontId="72" fillId="0" borderId="14" xfId="16" applyFont="1" applyBorder="1" applyAlignment="1">
      <alignment horizontal="centerContinuous" vertical="center" wrapText="1"/>
    </xf>
    <xf numFmtId="0" fontId="76" fillId="0" borderId="9" xfId="16" applyFont="1" applyBorder="1" applyAlignment="1">
      <alignment horizontal="centerContinuous" vertical="center" wrapText="1"/>
    </xf>
    <xf numFmtId="0" fontId="76" fillId="0" borderId="9" xfId="16" quotePrefix="1" applyFont="1" applyBorder="1" applyAlignment="1">
      <alignment horizontal="centerContinuous" vertical="center" wrapText="1"/>
    </xf>
    <xf numFmtId="0" fontId="76" fillId="0" borderId="13" xfId="16" quotePrefix="1" applyFont="1" applyBorder="1" applyAlignment="1">
      <alignment horizontal="centerContinuous" vertical="center" wrapText="1"/>
    </xf>
    <xf numFmtId="173" fontId="92" fillId="4" borderId="52" xfId="17" applyNumberFormat="1" applyFont="1" applyFill="1" applyBorder="1"/>
    <xf numFmtId="173" fontId="76" fillId="5" borderId="57" xfId="17" applyNumberFormat="1" applyFont="1" applyFill="1" applyBorder="1"/>
    <xf numFmtId="173" fontId="76" fillId="5" borderId="4" xfId="17" applyNumberFormat="1" applyFont="1" applyFill="1" applyBorder="1"/>
    <xf numFmtId="171" fontId="92" fillId="12" borderId="3" xfId="0" applyNumberFormat="1" applyFont="1" applyFill="1" applyBorder="1"/>
    <xf numFmtId="171" fontId="92" fillId="4" borderId="64" xfId="0" applyNumberFormat="1" applyFont="1" applyFill="1" applyBorder="1"/>
    <xf numFmtId="2" fontId="92" fillId="4" borderId="24" xfId="0" applyNumberFormat="1" applyFont="1" applyFill="1" applyBorder="1"/>
    <xf numFmtId="2" fontId="76" fillId="0" borderId="26" xfId="0" applyNumberFormat="1" applyFont="1" applyBorder="1"/>
    <xf numFmtId="170" fontId="76" fillId="11" borderId="25" xfId="0" applyNumberFormat="1" applyFont="1" applyFill="1" applyBorder="1"/>
    <xf numFmtId="0" fontId="53" fillId="2" borderId="0" xfId="16" applyFont="1" applyFill="1"/>
    <xf numFmtId="0" fontId="58" fillId="2" borderId="0" xfId="16" applyFont="1" applyFill="1"/>
    <xf numFmtId="1" fontId="58" fillId="2" borderId="0" xfId="16" applyNumberFormat="1" applyFont="1" applyFill="1"/>
    <xf numFmtId="0" fontId="53" fillId="2" borderId="0" xfId="16" applyFont="1" applyFill="1" applyAlignment="1">
      <alignment vertical="center" wrapText="1"/>
    </xf>
    <xf numFmtId="0" fontId="71" fillId="2" borderId="37" xfId="16" quotePrefix="1" applyFont="1" applyFill="1" applyBorder="1" applyAlignment="1">
      <alignment horizontal="center" vertical="center" wrapText="1"/>
    </xf>
    <xf numFmtId="0" fontId="53" fillId="2" borderId="0" xfId="16" applyFont="1" applyFill="1" applyAlignment="1">
      <alignment vertical="center"/>
    </xf>
    <xf numFmtId="0" fontId="58" fillId="2" borderId="14" xfId="16" applyFont="1" applyFill="1" applyBorder="1" applyAlignment="1">
      <alignment horizontal="centerContinuous" vertical="center" wrapText="1"/>
    </xf>
    <xf numFmtId="0" fontId="58" fillId="0" borderId="14" xfId="16" applyFont="1" applyBorder="1" applyAlignment="1">
      <alignment horizontal="center" vertical="center" wrapText="1"/>
    </xf>
    <xf numFmtId="0" fontId="58" fillId="0" borderId="8" xfId="16" applyFont="1" applyBorder="1" applyAlignment="1">
      <alignment horizontal="center" vertical="center" wrapText="1"/>
    </xf>
    <xf numFmtId="0" fontId="58" fillId="0" borderId="14" xfId="21" applyFont="1" applyBorder="1" applyAlignment="1">
      <alignment horizontal="centerContinuous" vertical="center" wrapText="1"/>
    </xf>
    <xf numFmtId="0" fontId="71" fillId="2" borderId="14" xfId="16" applyFont="1" applyFill="1" applyBorder="1" applyAlignment="1">
      <alignment horizontal="centerContinuous" vertical="center" wrapText="1"/>
    </xf>
    <xf numFmtId="0" fontId="71" fillId="2" borderId="0" xfId="16" quotePrefix="1" applyFont="1" applyFill="1" applyAlignment="1">
      <alignment horizontal="centerContinuous" vertical="center" wrapText="1"/>
    </xf>
    <xf numFmtId="0" fontId="71" fillId="2" borderId="40" xfId="16" quotePrefix="1" applyFont="1" applyFill="1" applyBorder="1" applyAlignment="1">
      <alignment horizontal="centerContinuous" vertical="center" wrapText="1"/>
    </xf>
    <xf numFmtId="0" fontId="53" fillId="11" borderId="49" xfId="0" applyFont="1" applyFill="1" applyBorder="1" applyAlignment="1">
      <alignment horizontal="center" vertical="center"/>
    </xf>
    <xf numFmtId="0" fontId="71" fillId="2" borderId="3" xfId="16" quotePrefix="1" applyFont="1" applyFill="1" applyBorder="1" applyAlignment="1">
      <alignment horizontal="centerContinuous" vertical="center" wrapText="1"/>
    </xf>
    <xf numFmtId="0" fontId="71" fillId="2" borderId="15" xfId="16" applyFont="1" applyFill="1" applyBorder="1" applyAlignment="1">
      <alignment horizontal="centerContinuous" vertical="center" wrapText="1"/>
    </xf>
    <xf numFmtId="0" fontId="58" fillId="2" borderId="15" xfId="16" applyFont="1" applyFill="1" applyBorder="1" applyAlignment="1">
      <alignment horizontal="centerContinuous" vertical="center" wrapText="1"/>
    </xf>
    <xf numFmtId="0" fontId="72" fillId="2" borderId="15" xfId="0" quotePrefix="1" applyFont="1" applyFill="1" applyBorder="1" applyAlignment="1">
      <alignment horizontal="centerContinuous" vertical="center" wrapText="1"/>
    </xf>
    <xf numFmtId="0" fontId="72" fillId="2" borderId="17" xfId="0" quotePrefix="1" applyFont="1" applyFill="1" applyBorder="1" applyAlignment="1">
      <alignment horizontal="center" vertical="center" wrapText="1"/>
    </xf>
    <xf numFmtId="170" fontId="92" fillId="4" borderId="71" xfId="0" applyNumberFormat="1" applyFont="1" applyFill="1" applyBorder="1"/>
    <xf numFmtId="0" fontId="72" fillId="0" borderId="14" xfId="0" applyFont="1" applyBorder="1" applyAlignment="1">
      <alignment horizontal="centerContinuous" vertical="center" wrapText="1"/>
    </xf>
    <xf numFmtId="0" fontId="72" fillId="2" borderId="53" xfId="0" applyFont="1" applyFill="1" applyBorder="1" applyAlignment="1">
      <alignment horizontal="center"/>
    </xf>
    <xf numFmtId="3" fontId="121" fillId="7" borderId="82" xfId="0" applyNumberFormat="1" applyFont="1" applyFill="1" applyBorder="1"/>
    <xf numFmtId="170" fontId="76" fillId="0" borderId="82" xfId="0" applyNumberFormat="1" applyFont="1" applyBorder="1"/>
    <xf numFmtId="173" fontId="76" fillId="5" borderId="24" xfId="17" applyNumberFormat="1" applyFont="1" applyFill="1" applyBorder="1"/>
    <xf numFmtId="170" fontId="76" fillId="0" borderId="83" xfId="0" applyNumberFormat="1" applyFont="1" applyBorder="1"/>
    <xf numFmtId="170" fontId="98" fillId="0" borderId="81" xfId="0" applyNumberFormat="1" applyFont="1" applyBorder="1"/>
    <xf numFmtId="170" fontId="92" fillId="4" borderId="81" xfId="0" applyNumberFormat="1" applyFont="1" applyFill="1" applyBorder="1"/>
    <xf numFmtId="170" fontId="76" fillId="0" borderId="81" xfId="0" applyNumberFormat="1" applyFont="1" applyBorder="1"/>
    <xf numFmtId="0" fontId="72" fillId="11" borderId="14" xfId="0" applyFont="1" applyFill="1" applyBorder="1" applyAlignment="1">
      <alignment horizontal="centerContinuous" vertical="center" wrapText="1"/>
    </xf>
    <xf numFmtId="0" fontId="72" fillId="11" borderId="9" xfId="15" applyFont="1" applyFill="1" applyBorder="1" applyAlignment="1">
      <alignment horizontal="centerContinuous" vertical="center" wrapText="1"/>
    </xf>
    <xf numFmtId="0" fontId="72" fillId="11" borderId="19" xfId="15" applyFont="1" applyFill="1" applyBorder="1" applyAlignment="1">
      <alignment horizontal="centerContinuous" vertical="center" wrapText="1"/>
    </xf>
    <xf numFmtId="0" fontId="71" fillId="2" borderId="7" xfId="15" applyFont="1" applyFill="1" applyBorder="1" applyAlignment="1">
      <alignment horizontal="centerContinuous" vertical="center" wrapText="1"/>
    </xf>
    <xf numFmtId="170" fontId="58" fillId="0" borderId="32" xfId="0" applyNumberFormat="1" applyFont="1" applyBorder="1"/>
    <xf numFmtId="1" fontId="75" fillId="2" borderId="40" xfId="0" applyNumberFormat="1" applyFont="1" applyFill="1" applyBorder="1" applyAlignment="1">
      <alignment horizontal="center"/>
    </xf>
    <xf numFmtId="0" fontId="53" fillId="2" borderId="0" xfId="21" applyFill="1"/>
    <xf numFmtId="0" fontId="58" fillId="2" borderId="0" xfId="21" applyFont="1" applyFill="1"/>
    <xf numFmtId="3" fontId="58" fillId="0" borderId="81" xfId="21" applyNumberFormat="1" applyFont="1" applyBorder="1"/>
    <xf numFmtId="0" fontId="58" fillId="0" borderId="2" xfId="21" applyFont="1" applyBorder="1" applyAlignment="1">
      <alignment horizontal="center"/>
    </xf>
    <xf numFmtId="0" fontId="58" fillId="0" borderId="0" xfId="21" applyFont="1" applyAlignment="1">
      <alignment horizontal="center"/>
    </xf>
    <xf numFmtId="1" fontId="71" fillId="2" borderId="38" xfId="16" quotePrefix="1" applyNumberFormat="1" applyFont="1" applyFill="1" applyBorder="1" applyAlignment="1">
      <alignment horizontal="center" vertical="center" wrapText="1"/>
    </xf>
    <xf numFmtId="0" fontId="71" fillId="2" borderId="38" xfId="16" quotePrefix="1" applyFont="1" applyFill="1" applyBorder="1" applyAlignment="1">
      <alignment horizontal="center" vertical="center" wrapText="1"/>
    </xf>
    <xf numFmtId="0" fontId="71" fillId="2" borderId="38" xfId="16" applyFont="1" applyFill="1" applyBorder="1" applyAlignment="1">
      <alignment horizontal="center" vertical="center" wrapText="1"/>
    </xf>
    <xf numFmtId="0" fontId="58" fillId="2" borderId="0" xfId="16" applyFont="1" applyFill="1" applyAlignment="1">
      <alignment vertical="center"/>
    </xf>
    <xf numFmtId="0" fontId="58" fillId="11" borderId="42" xfId="16" applyFont="1" applyFill="1" applyBorder="1" applyAlignment="1">
      <alignment horizontal="center" vertical="center" wrapText="1"/>
    </xf>
    <xf numFmtId="180" fontId="58" fillId="0" borderId="9" xfId="19" applyNumberFormat="1" applyFont="1" applyFill="1" applyBorder="1" applyAlignment="1">
      <alignment horizontal="center" vertical="center"/>
    </xf>
    <xf numFmtId="0" fontId="58" fillId="0" borderId="9" xfId="16" applyFont="1" applyBorder="1" applyAlignment="1">
      <alignment horizontal="center" vertical="center"/>
    </xf>
    <xf numFmtId="0" fontId="58" fillId="2" borderId="9" xfId="16" applyFont="1" applyFill="1" applyBorder="1" applyAlignment="1">
      <alignment vertical="center"/>
    </xf>
    <xf numFmtId="179" fontId="91" fillId="2" borderId="42" xfId="19" applyNumberFormat="1" applyFont="1" applyFill="1" applyBorder="1" applyAlignment="1">
      <alignment horizontal="center" vertical="center"/>
    </xf>
    <xf numFmtId="0" fontId="58" fillId="0" borderId="9" xfId="16" quotePrefix="1" applyFont="1" applyBorder="1" applyAlignment="1">
      <alignment horizontal="center" vertical="center" wrapText="1"/>
    </xf>
    <xf numFmtId="0" fontId="58" fillId="0" borderId="42" xfId="16" applyFont="1" applyBorder="1" applyAlignment="1">
      <alignment horizontal="center" vertical="center" wrapText="1"/>
    </xf>
    <xf numFmtId="0" fontId="58" fillId="11" borderId="14" xfId="16" applyFont="1" applyFill="1" applyBorder="1" applyAlignment="1">
      <alignment horizontal="centerContinuous" vertical="center" wrapText="1"/>
    </xf>
    <xf numFmtId="0" fontId="58" fillId="11" borderId="9" xfId="16" quotePrefix="1" applyFont="1" applyFill="1" applyBorder="1" applyAlignment="1">
      <alignment horizontal="centerContinuous" vertical="center" wrapText="1"/>
    </xf>
    <xf numFmtId="0" fontId="58" fillId="11" borderId="9" xfId="16" applyFont="1" applyFill="1" applyBorder="1" applyAlignment="1">
      <alignment horizontal="centerContinuous" vertical="center" wrapText="1"/>
    </xf>
    <xf numFmtId="0" fontId="58" fillId="11" borderId="42" xfId="16" applyFont="1" applyFill="1" applyBorder="1" applyAlignment="1">
      <alignment horizontal="centerContinuous" vertical="center" wrapText="1"/>
    </xf>
    <xf numFmtId="0" fontId="58" fillId="11" borderId="7" xfId="16" applyFont="1" applyFill="1" applyBorder="1" applyAlignment="1">
      <alignment horizontal="centerContinuous" vertical="center" wrapText="1"/>
    </xf>
    <xf numFmtId="0" fontId="74" fillId="11" borderId="19" xfId="16" applyFont="1" applyFill="1" applyBorder="1" applyAlignment="1">
      <alignment horizontal="centerContinuous" vertical="center" wrapText="1"/>
    </xf>
    <xf numFmtId="1" fontId="71" fillId="11" borderId="19" xfId="16" applyNumberFormat="1" applyFont="1" applyFill="1" applyBorder="1" applyAlignment="1">
      <alignment horizontal="centerContinuous" vertical="center" wrapText="1"/>
    </xf>
    <xf numFmtId="0" fontId="71" fillId="0" borderId="19" xfId="16" applyFont="1" applyBorder="1" applyAlignment="1">
      <alignment horizontal="centerContinuous" vertical="center" wrapText="1"/>
    </xf>
    <xf numFmtId="0" fontId="71" fillId="0" borderId="19" xfId="16" quotePrefix="1" applyFont="1" applyBorder="1" applyAlignment="1">
      <alignment horizontal="centerContinuous" vertical="center" wrapText="1"/>
    </xf>
    <xf numFmtId="0" fontId="76" fillId="2" borderId="14" xfId="16" applyFont="1" applyFill="1" applyBorder="1" applyAlignment="1">
      <alignment horizontal="centerContinuous" vertical="center" wrapText="1"/>
    </xf>
    <xf numFmtId="0" fontId="128" fillId="11" borderId="0" xfId="0" applyFont="1" applyFill="1" applyAlignment="1">
      <alignment vertical="center"/>
    </xf>
    <xf numFmtId="0" fontId="66" fillId="11" borderId="0" xfId="0" applyFont="1" applyFill="1" applyAlignment="1">
      <alignment vertical="center"/>
    </xf>
    <xf numFmtId="0" fontId="57" fillId="11" borderId="49" xfId="0" applyFont="1" applyFill="1" applyBorder="1" applyAlignment="1">
      <alignment horizontal="center" vertical="center"/>
    </xf>
    <xf numFmtId="0" fontId="165" fillId="2" borderId="49" xfId="0" applyFont="1" applyFill="1" applyBorder="1" applyAlignment="1">
      <alignment horizontal="center" vertical="center"/>
    </xf>
    <xf numFmtId="0" fontId="134" fillId="2" borderId="0" xfId="0" applyFont="1" applyFill="1" applyAlignment="1">
      <alignment vertical="center"/>
    </xf>
    <xf numFmtId="175" fontId="58" fillId="0" borderId="2" xfId="0" applyNumberFormat="1" applyFont="1" applyBorder="1"/>
    <xf numFmtId="175" fontId="58" fillId="0" borderId="82" xfId="0" applyNumberFormat="1" applyFont="1" applyBorder="1"/>
    <xf numFmtId="170" fontId="58" fillId="0" borderId="2" xfId="0" applyNumberFormat="1" applyFont="1" applyBorder="1"/>
    <xf numFmtId="173" fontId="76" fillId="0" borderId="0" xfId="0" applyNumberFormat="1" applyFont="1" applyAlignment="1">
      <alignment horizontal="center"/>
    </xf>
    <xf numFmtId="0" fontId="78" fillId="2" borderId="40" xfId="0" applyFont="1" applyFill="1" applyBorder="1" applyAlignment="1">
      <alignment horizontal="centerContinuous" vertical="center" wrapText="1"/>
    </xf>
    <xf numFmtId="0" fontId="72" fillId="2" borderId="15" xfId="0" applyFont="1" applyFill="1" applyBorder="1" applyAlignment="1">
      <alignment vertical="center"/>
    </xf>
    <xf numFmtId="171" fontId="76" fillId="0" borderId="83" xfId="0" applyNumberFormat="1" applyFont="1" applyBorder="1"/>
    <xf numFmtId="171" fontId="58" fillId="0" borderId="83" xfId="0" applyNumberFormat="1" applyFont="1" applyBorder="1"/>
    <xf numFmtId="171" fontId="130" fillId="0" borderId="83" xfId="0" applyNumberFormat="1" applyFont="1" applyBorder="1"/>
    <xf numFmtId="0" fontId="53" fillId="0" borderId="0" xfId="0" applyFont="1"/>
    <xf numFmtId="179" fontId="0" fillId="2" borderId="0" xfId="19" applyNumberFormat="1" applyFont="1" applyFill="1"/>
    <xf numFmtId="0" fontId="72" fillId="2" borderId="81" xfId="15" applyFont="1" applyFill="1" applyBorder="1" applyAlignment="1">
      <alignment horizontal="centerContinuous" vertical="center"/>
    </xf>
    <xf numFmtId="1" fontId="79" fillId="2" borderId="81" xfId="15" quotePrefix="1" applyNumberFormat="1" applyFont="1" applyFill="1" applyBorder="1" applyAlignment="1">
      <alignment horizontal="center" vertical="center"/>
    </xf>
    <xf numFmtId="0" fontId="76" fillId="2" borderId="81" xfId="15" applyFont="1" applyFill="1" applyBorder="1" applyAlignment="1">
      <alignment horizontal="centerContinuous" vertical="center" wrapText="1"/>
    </xf>
    <xf numFmtId="173" fontId="76" fillId="0" borderId="81" xfId="17" applyNumberFormat="1" applyFont="1" applyBorder="1"/>
    <xf numFmtId="1" fontId="79" fillId="2" borderId="0" xfId="15" quotePrefix="1" applyNumberFormat="1" applyFont="1" applyFill="1" applyAlignment="1">
      <alignment horizontal="center" vertical="center"/>
    </xf>
    <xf numFmtId="173" fontId="76" fillId="0" borderId="0" xfId="17" applyNumberFormat="1" applyFont="1"/>
    <xf numFmtId="173" fontId="76" fillId="0" borderId="32" xfId="17" applyNumberFormat="1" applyFont="1" applyBorder="1"/>
    <xf numFmtId="1" fontId="79" fillId="2" borderId="3" xfId="15" quotePrefix="1" applyNumberFormat="1" applyFont="1" applyFill="1" applyBorder="1" applyAlignment="1">
      <alignment horizontal="center" vertical="center"/>
    </xf>
    <xf numFmtId="0" fontId="76" fillId="2" borderId="3" xfId="15" applyFont="1" applyFill="1" applyBorder="1" applyAlignment="1">
      <alignment horizontal="centerContinuous" vertical="center" wrapText="1"/>
    </xf>
    <xf numFmtId="170" fontId="58" fillId="0" borderId="81" xfId="0" applyNumberFormat="1" applyFont="1" applyBorder="1"/>
    <xf numFmtId="0" fontId="72" fillId="11" borderId="9" xfId="0" applyFont="1" applyFill="1" applyBorder="1" applyAlignment="1">
      <alignment horizontal="centerContinuous" vertical="center" wrapText="1"/>
    </xf>
    <xf numFmtId="0" fontId="72" fillId="11" borderId="13" xfId="0" applyFont="1" applyFill="1" applyBorder="1" applyAlignment="1">
      <alignment horizontal="centerContinuous" vertical="center" wrapText="1"/>
    </xf>
    <xf numFmtId="1" fontId="75" fillId="11" borderId="14" xfId="0" applyNumberFormat="1" applyFont="1" applyFill="1" applyBorder="1" applyAlignment="1">
      <alignment horizontal="center"/>
    </xf>
    <xf numFmtId="1" fontId="75" fillId="11" borderId="9" xfId="0" applyNumberFormat="1" applyFont="1" applyFill="1" applyBorder="1" applyAlignment="1">
      <alignment horizontal="center"/>
    </xf>
    <xf numFmtId="1" fontId="75" fillId="11" borderId="13" xfId="0" applyNumberFormat="1" applyFont="1" applyFill="1" applyBorder="1" applyAlignment="1">
      <alignment horizontal="center"/>
    </xf>
    <xf numFmtId="170" fontId="123" fillId="0" borderId="82" xfId="0" applyNumberFormat="1" applyFont="1" applyBorder="1"/>
    <xf numFmtId="0" fontId="165" fillId="2" borderId="0" xfId="0" applyFont="1" applyFill="1" applyAlignment="1">
      <alignment vertical="center"/>
    </xf>
    <xf numFmtId="171" fontId="76" fillId="9" borderId="3" xfId="0" applyNumberFormat="1" applyFont="1" applyFill="1" applyBorder="1"/>
    <xf numFmtId="0" fontId="57" fillId="11" borderId="0" xfId="0" applyFont="1" applyFill="1"/>
    <xf numFmtId="10" fontId="57" fillId="11" borderId="0" xfId="19" applyNumberFormat="1" applyFont="1" applyFill="1"/>
    <xf numFmtId="170" fontId="76" fillId="11" borderId="0" xfId="0" applyNumberFormat="1" applyFont="1" applyFill="1"/>
    <xf numFmtId="170" fontId="57" fillId="11" borderId="0" xfId="0" applyNumberFormat="1" applyFont="1" applyFill="1"/>
    <xf numFmtId="170" fontId="168" fillId="11" borderId="0" xfId="0" applyNumberFormat="1" applyFont="1" applyFill="1"/>
    <xf numFmtId="10" fontId="57" fillId="2" borderId="2" xfId="19" applyNumberFormat="1" applyFont="1" applyFill="1" applyBorder="1"/>
    <xf numFmtId="171" fontId="76" fillId="9" borderId="82" xfId="0" applyNumberFormat="1" applyFont="1" applyFill="1" applyBorder="1"/>
    <xf numFmtId="10" fontId="76" fillId="9" borderId="25" xfId="0" applyNumberFormat="1" applyFont="1" applyFill="1" applyBorder="1"/>
    <xf numFmtId="171" fontId="92" fillId="9" borderId="3" xfId="0" applyNumberFormat="1" applyFont="1" applyFill="1" applyBorder="1"/>
    <xf numFmtId="10" fontId="76" fillId="9" borderId="26" xfId="0" applyNumberFormat="1" applyFont="1" applyFill="1" applyBorder="1"/>
    <xf numFmtId="196" fontId="58" fillId="0" borderId="0" xfId="101" applyNumberFormat="1" applyFont="1" applyFill="1" applyAlignment="1">
      <alignment horizontal="center"/>
    </xf>
    <xf numFmtId="10" fontId="121" fillId="7" borderId="3" xfId="0" applyNumberFormat="1" applyFont="1" applyFill="1" applyBorder="1"/>
    <xf numFmtId="196" fontId="121" fillId="7" borderId="85" xfId="101" applyNumberFormat="1" applyFont="1" applyFill="1" applyBorder="1" applyAlignment="1">
      <alignment horizontal="center"/>
    </xf>
    <xf numFmtId="173" fontId="98" fillId="0" borderId="2" xfId="17" applyNumberFormat="1" applyFont="1" applyBorder="1"/>
    <xf numFmtId="173" fontId="98" fillId="0" borderId="0" xfId="17" applyNumberFormat="1" applyFont="1"/>
    <xf numFmtId="173" fontId="92" fillId="4" borderId="57" xfId="17" applyNumberFormat="1" applyFont="1" applyFill="1" applyBorder="1"/>
    <xf numFmtId="173" fontId="98" fillId="0" borderId="23" xfId="17" applyNumberFormat="1" applyFont="1" applyBorder="1"/>
    <xf numFmtId="173" fontId="98" fillId="0" borderId="81" xfId="17" applyNumberFormat="1" applyFont="1" applyBorder="1"/>
    <xf numFmtId="171" fontId="167" fillId="7" borderId="83" xfId="0" applyNumberFormat="1" applyFont="1" applyFill="1" applyBorder="1"/>
    <xf numFmtId="0" fontId="71" fillId="2" borderId="14" xfId="13" applyFont="1" applyFill="1" applyBorder="1" applyAlignment="1">
      <alignment horizontal="centerContinuous" vertical="center" wrapText="1"/>
    </xf>
    <xf numFmtId="0" fontId="53" fillId="2" borderId="81" xfId="13" applyFont="1" applyFill="1" applyBorder="1"/>
    <xf numFmtId="0" fontId="53" fillId="2" borderId="0" xfId="13" applyFont="1" applyFill="1"/>
    <xf numFmtId="0" fontId="53" fillId="2" borderId="9" xfId="13" applyFont="1" applyFill="1" applyBorder="1" applyAlignment="1">
      <alignment horizontal="centerContinuous" vertical="center"/>
    </xf>
    <xf numFmtId="2" fontId="58" fillId="0" borderId="3" xfId="13" applyNumberFormat="1" applyFont="1" applyBorder="1" applyAlignment="1">
      <alignment horizontal="center"/>
    </xf>
    <xf numFmtId="0" fontId="58" fillId="2" borderId="0" xfId="13" applyFont="1" applyFill="1"/>
    <xf numFmtId="0" fontId="58" fillId="2" borderId="14" xfId="13" applyFont="1" applyFill="1" applyBorder="1" applyAlignment="1">
      <alignment horizontal="centerContinuous" vertical="center" wrapText="1"/>
    </xf>
    <xf numFmtId="0" fontId="53" fillId="2" borderId="12" xfId="13" applyFont="1" applyFill="1" applyBorder="1"/>
    <xf numFmtId="0" fontId="71" fillId="2" borderId="37" xfId="13" applyFont="1" applyFill="1" applyBorder="1" applyAlignment="1">
      <alignment horizontal="centerContinuous" vertical="center" wrapText="1"/>
    </xf>
    <xf numFmtId="0" fontId="71" fillId="2" borderId="38" xfId="13" applyFont="1" applyFill="1" applyBorder="1" applyAlignment="1">
      <alignment horizontal="centerContinuous" vertical="center" wrapText="1"/>
    </xf>
    <xf numFmtId="0" fontId="71" fillId="2" borderId="44" xfId="13" applyFont="1" applyFill="1" applyBorder="1" applyAlignment="1">
      <alignment horizontal="centerContinuous" vertical="center" wrapText="1"/>
    </xf>
    <xf numFmtId="0" fontId="53" fillId="2" borderId="3" xfId="13" applyFont="1" applyFill="1" applyBorder="1"/>
    <xf numFmtId="0" fontId="71" fillId="2" borderId="39" xfId="13" applyFont="1" applyFill="1" applyBorder="1" applyAlignment="1">
      <alignment horizontal="centerContinuous" vertical="center" wrapText="1"/>
    </xf>
    <xf numFmtId="0" fontId="58" fillId="2" borderId="9" xfId="15" applyFont="1" applyFill="1" applyBorder="1" applyAlignment="1">
      <alignment horizontal="centerContinuous" vertical="center" wrapText="1"/>
    </xf>
    <xf numFmtId="0" fontId="76" fillId="2" borderId="0" xfId="15" applyFont="1" applyFill="1" applyAlignment="1">
      <alignment horizontal="centerContinuous" vertical="center" wrapText="1"/>
    </xf>
    <xf numFmtId="198" fontId="76" fillId="0" borderId="33" xfId="17" applyNumberFormat="1" applyFont="1" applyBorder="1"/>
    <xf numFmtId="198" fontId="76" fillId="0" borderId="86" xfId="17" applyNumberFormat="1" applyFont="1" applyBorder="1"/>
    <xf numFmtId="198" fontId="121" fillId="7" borderId="33" xfId="17" applyNumberFormat="1" applyFont="1" applyFill="1" applyBorder="1"/>
    <xf numFmtId="198" fontId="98" fillId="0" borderId="33" xfId="17" applyNumberFormat="1" applyFont="1" applyBorder="1"/>
    <xf numFmtId="171" fontId="133" fillId="0" borderId="0" xfId="0" applyNumberFormat="1" applyFont="1"/>
    <xf numFmtId="171" fontId="98" fillId="8" borderId="2" xfId="0" applyNumberFormat="1" applyFont="1" applyFill="1" applyBorder="1"/>
    <xf numFmtId="171" fontId="121" fillId="7" borderId="2" xfId="0" applyNumberFormat="1" applyFont="1" applyFill="1" applyBorder="1" applyAlignment="1">
      <alignment horizontal="right" vertical="center"/>
    </xf>
    <xf numFmtId="1" fontId="75" fillId="2" borderId="42" xfId="21" applyNumberFormat="1" applyFont="1" applyFill="1" applyBorder="1" applyAlignment="1">
      <alignment horizontal="center" vertical="center"/>
    </xf>
    <xf numFmtId="3" fontId="98" fillId="8" borderId="32" xfId="21" applyNumberFormat="1" applyFont="1" applyFill="1" applyBorder="1"/>
    <xf numFmtId="3" fontId="98" fillId="0" borderId="32" xfId="21" applyNumberFormat="1" applyFont="1" applyBorder="1"/>
    <xf numFmtId="3" fontId="121" fillId="4" borderId="62" xfId="21" applyNumberFormat="1" applyFont="1" applyFill="1" applyBorder="1"/>
    <xf numFmtId="3" fontId="58" fillId="0" borderId="32" xfId="21" applyNumberFormat="1" applyFont="1" applyBorder="1"/>
    <xf numFmtId="0" fontId="58" fillId="11" borderId="13" xfId="16" applyFont="1" applyFill="1" applyBorder="1" applyAlignment="1">
      <alignment horizontal="center" vertical="center" wrapText="1"/>
    </xf>
    <xf numFmtId="0" fontId="71" fillId="0" borderId="20" xfId="16" quotePrefix="1" applyFont="1" applyBorder="1" applyAlignment="1">
      <alignment horizontal="centerContinuous" vertical="center" wrapText="1"/>
    </xf>
    <xf numFmtId="1" fontId="71" fillId="11" borderId="20" xfId="16" applyNumberFormat="1" applyFont="1" applyFill="1" applyBorder="1" applyAlignment="1">
      <alignment horizontal="centerContinuous" vertical="center" wrapText="1"/>
    </xf>
    <xf numFmtId="0" fontId="58" fillId="11" borderId="13" xfId="16" quotePrefix="1" applyFont="1" applyFill="1" applyBorder="1" applyAlignment="1">
      <alignment horizontal="centerContinuous" vertical="center" wrapText="1"/>
    </xf>
    <xf numFmtId="0" fontId="58" fillId="0" borderId="13" xfId="16" quotePrefix="1" applyFont="1" applyBorder="1" applyAlignment="1">
      <alignment horizontal="center" vertical="center" wrapText="1"/>
    </xf>
    <xf numFmtId="180" fontId="58" fillId="0" borderId="13" xfId="19" applyNumberFormat="1" applyFont="1" applyFill="1" applyBorder="1" applyAlignment="1">
      <alignment horizontal="center" vertical="center"/>
    </xf>
    <xf numFmtId="1" fontId="71" fillId="2" borderId="39" xfId="16" quotePrefix="1" applyNumberFormat="1" applyFont="1" applyFill="1" applyBorder="1" applyAlignment="1">
      <alignment horizontal="center" vertical="center" wrapText="1"/>
    </xf>
    <xf numFmtId="0" fontId="57" fillId="0" borderId="0" xfId="0" applyFont="1"/>
    <xf numFmtId="3" fontId="98" fillId="0" borderId="4" xfId="0" applyNumberFormat="1" applyFont="1" applyBorder="1"/>
    <xf numFmtId="171" fontId="76" fillId="8" borderId="25" xfId="0" applyNumberFormat="1" applyFont="1" applyFill="1" applyBorder="1"/>
    <xf numFmtId="170" fontId="123" fillId="8" borderId="0" xfId="0" applyNumberFormat="1" applyFont="1" applyFill="1"/>
    <xf numFmtId="171" fontId="121" fillId="7" borderId="3" xfId="0" applyNumberFormat="1" applyFont="1" applyFill="1" applyBorder="1" applyAlignment="1">
      <alignment horizontal="right"/>
    </xf>
    <xf numFmtId="171" fontId="171" fillId="8" borderId="25" xfId="0" applyNumberFormat="1" applyFont="1" applyFill="1" applyBorder="1"/>
    <xf numFmtId="3" fontId="172" fillId="8" borderId="4" xfId="0" applyNumberFormat="1" applyFont="1" applyFill="1" applyBorder="1"/>
    <xf numFmtId="170" fontId="171" fillId="8" borderId="25" xfId="0" applyNumberFormat="1" applyFont="1" applyFill="1" applyBorder="1"/>
    <xf numFmtId="171" fontId="171" fillId="8" borderId="0" xfId="0" applyNumberFormat="1" applyFont="1" applyFill="1"/>
    <xf numFmtId="186" fontId="92" fillId="2" borderId="14" xfId="0" applyNumberFormat="1" applyFont="1" applyFill="1" applyBorder="1" applyAlignment="1">
      <alignment horizontal="center"/>
    </xf>
    <xf numFmtId="171" fontId="76" fillId="8" borderId="81" xfId="0" applyNumberFormat="1" applyFont="1" applyFill="1" applyBorder="1"/>
    <xf numFmtId="1" fontId="75" fillId="2" borderId="81" xfId="0" applyNumberFormat="1" applyFont="1" applyFill="1" applyBorder="1" applyAlignment="1">
      <alignment horizontal="center"/>
    </xf>
    <xf numFmtId="1" fontId="121" fillId="2" borderId="81" xfId="0" applyNumberFormat="1" applyFont="1" applyFill="1" applyBorder="1" applyAlignment="1">
      <alignment horizontal="center"/>
    </xf>
    <xf numFmtId="171" fontId="76" fillId="8" borderId="3" xfId="0" applyNumberFormat="1" applyFont="1" applyFill="1" applyBorder="1"/>
    <xf numFmtId="0" fontId="173" fillId="0" borderId="0" xfId="0" applyFont="1" applyAlignment="1">
      <alignment horizontal="right" vertical="center" wrapText="1"/>
    </xf>
    <xf numFmtId="0" fontId="76" fillId="2" borderId="13" xfId="0" applyFont="1" applyFill="1" applyBorder="1" applyAlignment="1">
      <alignment horizontal="centerContinuous" vertical="center"/>
    </xf>
    <xf numFmtId="178" fontId="76" fillId="6" borderId="15" xfId="19" applyNumberFormat="1" applyFont="1" applyFill="1" applyBorder="1" applyAlignment="1">
      <alignment horizontal="center" vertical="center"/>
    </xf>
    <xf numFmtId="0" fontId="106" fillId="5" borderId="83" xfId="0" applyFont="1" applyFill="1" applyBorder="1"/>
    <xf numFmtId="0" fontId="76" fillId="5" borderId="83" xfId="0" applyFont="1" applyFill="1" applyBorder="1"/>
    <xf numFmtId="10" fontId="123" fillId="0" borderId="83" xfId="19" applyNumberFormat="1" applyFont="1" applyBorder="1"/>
    <xf numFmtId="10" fontId="131" fillId="8" borderId="83" xfId="19" applyNumberFormat="1" applyFont="1" applyFill="1" applyBorder="1"/>
    <xf numFmtId="4" fontId="76" fillId="0" borderId="82" xfId="17" applyNumberFormat="1" applyFont="1" applyBorder="1"/>
    <xf numFmtId="0" fontId="53" fillId="5" borderId="81" xfId="15" applyFont="1" applyFill="1" applyBorder="1" applyAlignment="1">
      <alignment horizontal="center" vertical="center" wrapText="1"/>
    </xf>
    <xf numFmtId="0" fontId="53" fillId="5" borderId="81" xfId="15" applyFont="1" applyFill="1" applyBorder="1" applyAlignment="1">
      <alignment horizontal="center"/>
    </xf>
    <xf numFmtId="0" fontId="76" fillId="2" borderId="81" xfId="15" applyFont="1" applyFill="1" applyBorder="1" applyAlignment="1">
      <alignment horizontal="center" vertical="center"/>
    </xf>
    <xf numFmtId="0" fontId="57" fillId="2" borderId="81" xfId="15" applyFont="1" applyFill="1" applyBorder="1" applyAlignment="1">
      <alignment vertical="center" wrapText="1"/>
    </xf>
    <xf numFmtId="0" fontId="53" fillId="5" borderId="12" xfId="15" applyFont="1" applyFill="1" applyBorder="1" applyAlignment="1">
      <alignment horizontal="center" vertical="center" wrapText="1"/>
    </xf>
    <xf numFmtId="4" fontId="92" fillId="4" borderId="83" xfId="17" applyNumberFormat="1" applyFont="1" applyFill="1" applyBorder="1" applyAlignment="1">
      <alignment horizontal="right"/>
    </xf>
    <xf numFmtId="4" fontId="58" fillId="0" borderId="81" xfId="17" applyNumberFormat="1" applyFont="1" applyBorder="1" applyAlignment="1">
      <alignment horizontal="right"/>
    </xf>
    <xf numFmtId="4" fontId="76" fillId="0" borderId="81" xfId="17" applyNumberFormat="1" applyFont="1" applyBorder="1" applyAlignment="1">
      <alignment horizontal="center"/>
    </xf>
    <xf numFmtId="0" fontId="57" fillId="11" borderId="0" xfId="15" applyFont="1" applyFill="1"/>
    <xf numFmtId="0" fontId="57" fillId="2" borderId="0" xfId="19" applyNumberFormat="1" applyFont="1" applyFill="1"/>
    <xf numFmtId="170" fontId="76" fillId="0" borderId="3" xfId="0" applyNumberFormat="1" applyFont="1" applyBorder="1" applyAlignment="1">
      <alignment wrapText="1"/>
    </xf>
    <xf numFmtId="0" fontId="72" fillId="2" borderId="7" xfId="0" applyFont="1" applyFill="1" applyBorder="1" applyAlignment="1">
      <alignment horizontal="centerContinuous" vertical="center"/>
    </xf>
    <xf numFmtId="170" fontId="76" fillId="8" borderId="82" xfId="0" applyNumberFormat="1" applyFont="1" applyFill="1" applyBorder="1"/>
    <xf numFmtId="0" fontId="72" fillId="2" borderId="7" xfId="16" applyFont="1" applyFill="1" applyBorder="1" applyAlignment="1">
      <alignment horizontal="center" vertical="center" wrapText="1"/>
    </xf>
    <xf numFmtId="0" fontId="72" fillId="2" borderId="14" xfId="16" applyFont="1" applyFill="1" applyBorder="1" applyAlignment="1">
      <alignment horizontal="center" vertical="center" wrapText="1"/>
    </xf>
    <xf numFmtId="0" fontId="76" fillId="0" borderId="7" xfId="16" applyFont="1" applyBorder="1" applyAlignment="1">
      <alignment horizontal="center" vertical="center" wrapText="1"/>
    </xf>
    <xf numFmtId="0" fontId="72" fillId="2" borderId="30" xfId="16" quotePrefix="1" applyFont="1" applyFill="1" applyBorder="1" applyAlignment="1">
      <alignment horizontal="center" vertical="center" wrapText="1"/>
    </xf>
    <xf numFmtId="0" fontId="71" fillId="2" borderId="34" xfId="16" quotePrefix="1" applyFont="1" applyFill="1" applyBorder="1" applyAlignment="1">
      <alignment horizontal="centerContinuous" vertical="center" wrapText="1"/>
    </xf>
    <xf numFmtId="0" fontId="71" fillId="2" borderId="7" xfId="16" applyFont="1" applyFill="1" applyBorder="1" applyAlignment="1">
      <alignment horizontal="centerContinuous" vertical="center" wrapText="1"/>
    </xf>
    <xf numFmtId="0" fontId="58" fillId="2" borderId="9" xfId="16" applyFont="1" applyFill="1" applyBorder="1" applyAlignment="1">
      <alignment horizontal="centerContinuous" vertical="center" wrapText="1"/>
    </xf>
    <xf numFmtId="0" fontId="71" fillId="2" borderId="9" xfId="16" quotePrefix="1" applyFont="1" applyFill="1" applyBorder="1" applyAlignment="1">
      <alignment horizontal="centerContinuous" vertical="center" wrapText="1"/>
    </xf>
    <xf numFmtId="0" fontId="71" fillId="2" borderId="7" xfId="16" quotePrefix="1" applyFont="1" applyFill="1" applyBorder="1" applyAlignment="1">
      <alignment horizontal="centerContinuous" vertical="center" wrapText="1"/>
    </xf>
    <xf numFmtId="9" fontId="77" fillId="2" borderId="14" xfId="19" applyFont="1" applyFill="1" applyBorder="1" applyAlignment="1">
      <alignment horizontal="centerContinuous" vertical="center" wrapText="1"/>
    </xf>
    <xf numFmtId="0" fontId="58" fillId="2" borderId="14" xfId="16" applyFont="1" applyFill="1" applyBorder="1" applyAlignment="1">
      <alignment horizontal="center" vertical="center" wrapText="1"/>
    </xf>
    <xf numFmtId="0" fontId="58" fillId="2" borderId="9" xfId="16" applyFont="1" applyFill="1" applyBorder="1" applyAlignment="1">
      <alignment horizontal="center" vertical="center" wrapText="1"/>
    </xf>
    <xf numFmtId="0" fontId="71" fillId="2" borderId="13" xfId="16" quotePrefix="1" applyFont="1" applyFill="1" applyBorder="1" applyAlignment="1">
      <alignment horizontal="centerContinuous" vertical="center" wrapText="1"/>
    </xf>
    <xf numFmtId="0" fontId="58" fillId="2" borderId="9" xfId="16" quotePrefix="1" applyFont="1" applyFill="1" applyBorder="1" applyAlignment="1">
      <alignment horizontal="centerContinuous" vertical="center" wrapText="1"/>
    </xf>
    <xf numFmtId="0" fontId="58" fillId="2" borderId="13" xfId="16" quotePrefix="1" applyFont="1" applyFill="1" applyBorder="1" applyAlignment="1">
      <alignment horizontal="centerContinuous" vertical="center" wrapText="1"/>
    </xf>
    <xf numFmtId="0" fontId="58" fillId="2" borderId="87" xfId="16" quotePrefix="1" applyFont="1" applyFill="1" applyBorder="1" applyAlignment="1">
      <alignment horizontal="centerContinuous" vertical="center" wrapText="1"/>
    </xf>
    <xf numFmtId="0" fontId="75" fillId="2" borderId="9" xfId="138" applyFont="1" applyFill="1" applyBorder="1" applyAlignment="1">
      <alignment horizontal="center" vertical="center"/>
    </xf>
    <xf numFmtId="2" fontId="58" fillId="0" borderId="3" xfId="16" applyNumberFormat="1" applyFont="1" applyBorder="1" applyAlignment="1">
      <alignment horizontal="center"/>
    </xf>
    <xf numFmtId="0" fontId="53" fillId="2" borderId="0" xfId="19" applyNumberFormat="1" applyFont="1" applyFill="1"/>
    <xf numFmtId="0" fontId="58" fillId="2" borderId="14" xfId="16" quotePrefix="1" applyFont="1" applyFill="1" applyBorder="1" applyAlignment="1">
      <alignment horizontal="centerContinuous" vertical="center" wrapText="1"/>
    </xf>
    <xf numFmtId="0" fontId="58" fillId="0" borderId="9" xfId="16" applyFont="1" applyBorder="1" applyAlignment="1">
      <alignment horizontal="center" vertical="center" wrapText="1"/>
    </xf>
    <xf numFmtId="0" fontId="75" fillId="2" borderId="14" xfId="138" applyFont="1" applyFill="1" applyBorder="1" applyAlignment="1">
      <alignment horizontal="center" vertical="center"/>
    </xf>
    <xf numFmtId="1" fontId="71" fillId="2" borderId="38" xfId="16" applyNumberFormat="1" applyFont="1" applyFill="1" applyBorder="1" applyAlignment="1">
      <alignment horizontal="center" vertical="center" wrapText="1"/>
    </xf>
    <xf numFmtId="1" fontId="71" fillId="2" borderId="37" xfId="16" quotePrefix="1" applyNumberFormat="1" applyFont="1" applyFill="1" applyBorder="1" applyAlignment="1">
      <alignment horizontal="center" vertical="center" wrapText="1"/>
    </xf>
    <xf numFmtId="0" fontId="71" fillId="2" borderId="14" xfId="16" quotePrefix="1" applyFont="1" applyFill="1" applyBorder="1" applyAlignment="1">
      <alignment horizontal="centerContinuous" vertical="center" wrapText="1"/>
    </xf>
    <xf numFmtId="1" fontId="58" fillId="2" borderId="34" xfId="16" applyNumberFormat="1" applyFont="1" applyFill="1" applyBorder="1" applyAlignment="1">
      <alignment horizontal="centerContinuous" vertical="center" wrapText="1"/>
    </xf>
    <xf numFmtId="0" fontId="71" fillId="2" borderId="13" xfId="16" applyFont="1" applyFill="1" applyBorder="1" applyAlignment="1">
      <alignment horizontal="centerContinuous" vertical="center" wrapText="1"/>
    </xf>
    <xf numFmtId="0" fontId="58" fillId="2" borderId="14" xfId="15" applyFont="1" applyFill="1" applyBorder="1" applyAlignment="1">
      <alignment horizontal="centerContinuous" vertical="center" wrapText="1"/>
    </xf>
    <xf numFmtId="0" fontId="76" fillId="2" borderId="42" xfId="15" applyFont="1" applyFill="1" applyBorder="1" applyAlignment="1">
      <alignment horizontal="centerContinuous" vertical="center" wrapText="1"/>
    </xf>
    <xf numFmtId="0" fontId="72" fillId="2" borderId="44" xfId="15" applyFont="1" applyFill="1" applyBorder="1" applyAlignment="1">
      <alignment horizontal="center" vertical="center" wrapText="1"/>
    </xf>
    <xf numFmtId="173" fontId="92" fillId="4" borderId="32" xfId="17" applyNumberFormat="1" applyFont="1" applyFill="1" applyBorder="1"/>
    <xf numFmtId="1" fontId="79" fillId="2" borderId="42" xfId="15" quotePrefix="1" applyNumberFormat="1" applyFont="1" applyFill="1" applyBorder="1" applyAlignment="1">
      <alignment horizontal="center" vertical="center"/>
    </xf>
    <xf numFmtId="0" fontId="74" fillId="2" borderId="42" xfId="15" applyFont="1" applyFill="1" applyBorder="1" applyAlignment="1">
      <alignment horizontal="centerContinuous" vertical="center" wrapText="1"/>
    </xf>
    <xf numFmtId="0" fontId="58" fillId="2" borderId="13" xfId="15" applyFont="1" applyFill="1" applyBorder="1" applyAlignment="1">
      <alignment horizontal="center" vertical="center" wrapText="1"/>
    </xf>
    <xf numFmtId="0" fontId="53" fillId="2" borderId="82" xfId="15" applyFont="1" applyFill="1" applyBorder="1" applyAlignment="1">
      <alignment horizontal="center" vertical="center"/>
    </xf>
    <xf numFmtId="0" fontId="71" fillId="2" borderId="8" xfId="15" applyFont="1" applyFill="1" applyBorder="1" applyAlignment="1">
      <alignment horizontal="center" vertical="center" wrapText="1"/>
    </xf>
    <xf numFmtId="0" fontId="58" fillId="2" borderId="8" xfId="15" applyFont="1" applyFill="1" applyBorder="1" applyAlignment="1">
      <alignment horizontal="center" vertical="center" wrapText="1"/>
    </xf>
    <xf numFmtId="0" fontId="58" fillId="2" borderId="82" xfId="15" applyFont="1" applyFill="1" applyBorder="1" applyAlignment="1">
      <alignment horizontal="center" vertical="center"/>
    </xf>
    <xf numFmtId="0" fontId="53" fillId="2" borderId="82" xfId="15" applyFont="1" applyFill="1" applyBorder="1" applyAlignment="1">
      <alignment horizontal="center" vertical="center" wrapText="1"/>
    </xf>
    <xf numFmtId="0" fontId="53" fillId="5" borderId="82" xfId="15" applyFont="1" applyFill="1" applyBorder="1" applyAlignment="1">
      <alignment horizontal="center" vertical="center" wrapText="1"/>
    </xf>
    <xf numFmtId="4" fontId="92" fillId="4" borderId="82" xfId="17" applyNumberFormat="1" applyFont="1" applyFill="1" applyBorder="1" applyAlignment="1">
      <alignment horizontal="right"/>
    </xf>
    <xf numFmtId="4" fontId="58" fillId="0" borderId="82" xfId="17" applyNumberFormat="1" applyFont="1" applyBorder="1" applyAlignment="1">
      <alignment horizontal="right"/>
    </xf>
    <xf numFmtId="4" fontId="76" fillId="0" borderId="82" xfId="17" applyNumberFormat="1" applyFont="1" applyBorder="1" applyAlignment="1">
      <alignment horizontal="center"/>
    </xf>
    <xf numFmtId="0" fontId="53" fillId="2" borderId="0" xfId="15" applyFont="1" applyFill="1" applyAlignment="1">
      <alignment horizontal="center" vertical="center"/>
    </xf>
    <xf numFmtId="0" fontId="53" fillId="5" borderId="0" xfId="15" applyFont="1" applyFill="1" applyAlignment="1">
      <alignment horizontal="center" vertical="center" wrapText="1"/>
    </xf>
    <xf numFmtId="4" fontId="92" fillId="4" borderId="32" xfId="17" applyNumberFormat="1" applyFont="1" applyFill="1" applyBorder="1" applyAlignment="1">
      <alignment horizontal="right"/>
    </xf>
    <xf numFmtId="0" fontId="58" fillId="2" borderId="13" xfId="15" applyFont="1" applyFill="1" applyBorder="1" applyAlignment="1">
      <alignment horizontal="center" vertical="center"/>
    </xf>
    <xf numFmtId="0" fontId="71" fillId="2" borderId="14" xfId="15" applyFont="1" applyFill="1" applyBorder="1" applyAlignment="1">
      <alignment horizontal="centerContinuous" vertical="center" wrapText="1"/>
    </xf>
    <xf numFmtId="0" fontId="71" fillId="2" borderId="13" xfId="15" applyFont="1" applyFill="1" applyBorder="1" applyAlignment="1">
      <alignment horizontal="centerContinuous" vertical="center" wrapText="1"/>
    </xf>
    <xf numFmtId="2" fontId="76" fillId="0" borderId="0" xfId="0" quotePrefix="1" applyNumberFormat="1" applyFont="1" applyAlignment="1">
      <alignment horizontal="center"/>
    </xf>
    <xf numFmtId="3" fontId="57" fillId="2" borderId="0" xfId="0" applyNumberFormat="1" applyFont="1" applyFill="1"/>
    <xf numFmtId="0" fontId="53" fillId="2" borderId="0" xfId="138" applyFill="1"/>
    <xf numFmtId="2" fontId="58" fillId="0" borderId="0" xfId="138" applyNumberFormat="1" applyFont="1" applyAlignment="1">
      <alignment horizontal="center"/>
    </xf>
    <xf numFmtId="0" fontId="58" fillId="2" borderId="0" xfId="138" applyFont="1" applyFill="1"/>
    <xf numFmtId="171" fontId="92" fillId="4" borderId="83" xfId="0" applyNumberFormat="1" applyFont="1" applyFill="1" applyBorder="1"/>
    <xf numFmtId="0" fontId="72" fillId="0" borderId="8" xfId="0" applyFont="1" applyBorder="1" applyAlignment="1">
      <alignment horizontal="centerContinuous" vertical="center" wrapText="1"/>
    </xf>
    <xf numFmtId="0" fontId="0" fillId="11" borderId="0" xfId="0" applyFill="1"/>
    <xf numFmtId="175" fontId="176" fillId="7" borderId="81" xfId="0" applyNumberFormat="1" applyFont="1" applyFill="1" applyBorder="1"/>
    <xf numFmtId="175" fontId="121" fillId="7" borderId="67" xfId="0" applyNumberFormat="1" applyFont="1" applyFill="1" applyBorder="1"/>
    <xf numFmtId="0" fontId="71" fillId="0" borderId="8" xfId="0" applyFont="1" applyBorder="1" applyAlignment="1">
      <alignment horizontal="centerContinuous" vertical="center"/>
    </xf>
    <xf numFmtId="0" fontId="71" fillId="0" borderId="8" xfId="0" applyFont="1" applyBorder="1" applyAlignment="1">
      <alignment horizontal="centerContinuous"/>
    </xf>
    <xf numFmtId="0" fontId="58" fillId="0" borderId="8" xfId="0" applyFont="1" applyBorder="1" applyAlignment="1">
      <alignment horizontal="centerContinuous"/>
    </xf>
    <xf numFmtId="0" fontId="71" fillId="0" borderId="15" xfId="0" applyFont="1" applyBorder="1" applyAlignment="1">
      <alignment horizontal="centerContinuous" vertical="center"/>
    </xf>
    <xf numFmtId="0" fontId="58" fillId="0" borderId="8" xfId="0" applyFont="1" applyBorder="1" applyAlignment="1">
      <alignment horizontal="centerContinuous" vertical="center"/>
    </xf>
    <xf numFmtId="0" fontId="58" fillId="0" borderId="15" xfId="0" applyFont="1" applyBorder="1" applyAlignment="1">
      <alignment horizontal="centerContinuous" vertical="center"/>
    </xf>
    <xf numFmtId="0" fontId="58" fillId="0" borderId="9" xfId="0" applyFont="1" applyBorder="1"/>
    <xf numFmtId="0" fontId="58" fillId="0" borderId="13" xfId="0" applyFont="1" applyBorder="1"/>
    <xf numFmtId="0" fontId="71" fillId="0" borderId="42" xfId="0" applyFont="1" applyBorder="1" applyAlignment="1">
      <alignment horizontal="centerContinuous" vertical="center"/>
    </xf>
    <xf numFmtId="0" fontId="58" fillId="0" borderId="42" xfId="0" applyFont="1" applyBorder="1" applyAlignment="1">
      <alignment horizontal="center" vertical="center" wrapText="1"/>
    </xf>
    <xf numFmtId="0" fontId="0" fillId="0" borderId="42" xfId="0" applyBorder="1"/>
    <xf numFmtId="0" fontId="58" fillId="0" borderId="32" xfId="0" applyFont="1" applyBorder="1"/>
    <xf numFmtId="2" fontId="76" fillId="11" borderId="0" xfId="0" applyNumberFormat="1" applyFont="1" applyFill="1" applyAlignment="1">
      <alignment horizontal="center"/>
    </xf>
    <xf numFmtId="185" fontId="76" fillId="0" borderId="32" xfId="0" applyNumberFormat="1" applyFont="1" applyBorder="1" applyAlignment="1">
      <alignment horizontal="center"/>
    </xf>
    <xf numFmtId="0" fontId="53" fillId="2" borderId="88" xfId="0" applyFont="1" applyFill="1" applyBorder="1" applyAlignment="1">
      <alignment horizontal="center" vertical="center"/>
    </xf>
    <xf numFmtId="0" fontId="77" fillId="2" borderId="39" xfId="0" applyFont="1" applyFill="1" applyBorder="1" applyAlignment="1">
      <alignment horizontal="center" vertical="center" wrapText="1"/>
    </xf>
    <xf numFmtId="0" fontId="71" fillId="2" borderId="14" xfId="0" applyFont="1" applyFill="1" applyBorder="1" applyAlignment="1">
      <alignment horizontal="centerContinuous" vertical="center" wrapText="1"/>
    </xf>
    <xf numFmtId="0" fontId="0" fillId="11" borderId="3" xfId="0" applyFill="1" applyBorder="1"/>
    <xf numFmtId="0" fontId="71" fillId="0" borderId="8" xfId="0" applyFont="1" applyBorder="1" applyAlignment="1">
      <alignment horizontal="centerContinuous" vertical="center" wrapText="1"/>
    </xf>
    <xf numFmtId="0" fontId="58" fillId="11" borderId="9" xfId="0" applyFont="1" applyFill="1" applyBorder="1" applyAlignment="1">
      <alignment wrapText="1"/>
    </xf>
    <xf numFmtId="0" fontId="58" fillId="11" borderId="9" xfId="0" applyFont="1" applyFill="1" applyBorder="1"/>
    <xf numFmtId="0" fontId="0" fillId="11" borderId="9" xfId="0" applyFill="1" applyBorder="1"/>
    <xf numFmtId="0" fontId="58" fillId="11" borderId="13" xfId="0" applyFont="1" applyFill="1" applyBorder="1"/>
    <xf numFmtId="0" fontId="71" fillId="0" borderId="14" xfId="0" applyFont="1" applyBorder="1" applyAlignment="1">
      <alignment horizontal="centerContinuous"/>
    </xf>
    <xf numFmtId="0" fontId="58" fillId="0" borderId="14" xfId="0" applyFont="1" applyBorder="1" applyAlignment="1">
      <alignment horizontal="center" vertical="center" wrapText="1"/>
    </xf>
    <xf numFmtId="0" fontId="0" fillId="0" borderId="14" xfId="0" applyBorder="1"/>
    <xf numFmtId="0" fontId="0" fillId="11" borderId="4" xfId="0" applyFill="1" applyBorder="1"/>
    <xf numFmtId="0" fontId="0" fillId="11" borderId="32" xfId="0" applyFill="1" applyBorder="1"/>
    <xf numFmtId="0" fontId="58" fillId="11" borderId="14" xfId="0" applyFont="1" applyFill="1" applyBorder="1"/>
    <xf numFmtId="0" fontId="58" fillId="11" borderId="42" xfId="0" applyFont="1" applyFill="1" applyBorder="1"/>
    <xf numFmtId="0" fontId="58" fillId="0" borderId="14" xfId="0" applyFont="1" applyBorder="1"/>
    <xf numFmtId="0" fontId="58" fillId="0" borderId="42" xfId="0" applyFont="1" applyBorder="1"/>
    <xf numFmtId="3" fontId="92" fillId="4" borderId="3" xfId="0" applyNumberFormat="1" applyFont="1" applyFill="1" applyBorder="1"/>
    <xf numFmtId="0" fontId="71" fillId="0" borderId="42" xfId="0" applyFont="1" applyBorder="1" applyAlignment="1">
      <alignment horizontal="centerContinuous" vertical="center" wrapText="1"/>
    </xf>
    <xf numFmtId="181" fontId="121" fillId="4" borderId="3" xfId="0" applyNumberFormat="1" applyFont="1" applyFill="1" applyBorder="1"/>
    <xf numFmtId="184" fontId="58" fillId="0" borderId="32" xfId="0" applyNumberFormat="1" applyFont="1" applyBorder="1"/>
    <xf numFmtId="0" fontId="71" fillId="2" borderId="40" xfId="227" applyFont="1" applyFill="1" applyBorder="1" applyAlignment="1">
      <alignment horizontal="centerContinuous" vertical="center" wrapText="1"/>
    </xf>
    <xf numFmtId="0" fontId="71" fillId="2" borderId="35" xfId="227" applyFont="1" applyFill="1" applyBorder="1" applyAlignment="1">
      <alignment horizontal="centerContinuous" vertical="center" wrapText="1"/>
    </xf>
    <xf numFmtId="1" fontId="71" fillId="2" borderId="8" xfId="227" applyNumberFormat="1" applyFont="1" applyFill="1" applyBorder="1" applyAlignment="1">
      <alignment horizontal="center" vertical="center" wrapText="1"/>
    </xf>
    <xf numFmtId="1" fontId="71" fillId="2" borderId="14" xfId="227" applyNumberFormat="1" applyFont="1" applyFill="1" applyBorder="1" applyAlignment="1">
      <alignment horizontal="centerContinuous" vertical="center" wrapText="1"/>
    </xf>
    <xf numFmtId="1" fontId="71" fillId="2" borderId="13" xfId="227" applyNumberFormat="1" applyFont="1" applyFill="1" applyBorder="1" applyAlignment="1">
      <alignment horizontal="centerContinuous" vertical="center" wrapText="1"/>
    </xf>
    <xf numFmtId="0" fontId="71" fillId="2" borderId="14" xfId="227" applyFont="1" applyFill="1" applyBorder="1" applyAlignment="1">
      <alignment horizontal="centerContinuous" vertical="center" wrapText="1"/>
    </xf>
    <xf numFmtId="0" fontId="71" fillId="2" borderId="13" xfId="227" applyFont="1" applyFill="1" applyBorder="1" applyAlignment="1">
      <alignment horizontal="centerContinuous" vertical="center" wrapText="1"/>
    </xf>
    <xf numFmtId="1" fontId="58" fillId="0" borderId="8" xfId="227" applyNumberFormat="1" applyFont="1" applyBorder="1" applyAlignment="1">
      <alignment horizontal="center" vertical="center" wrapText="1"/>
    </xf>
    <xf numFmtId="0" fontId="71" fillId="2" borderId="9" xfId="227" applyFont="1" applyFill="1" applyBorder="1" applyAlignment="1">
      <alignment horizontal="centerContinuous" vertical="center" wrapText="1"/>
    </xf>
    <xf numFmtId="0" fontId="58" fillId="2" borderId="8" xfId="227" applyFont="1" applyFill="1" applyBorder="1" applyAlignment="1">
      <alignment horizontal="center" vertical="center" wrapText="1"/>
    </xf>
    <xf numFmtId="0" fontId="75" fillId="2" borderId="8" xfId="227" applyFont="1" applyFill="1" applyBorder="1" applyAlignment="1">
      <alignment horizontal="center" vertical="center"/>
    </xf>
    <xf numFmtId="0" fontId="71" fillId="2" borderId="13" xfId="227" applyFont="1" applyFill="1" applyBorder="1" applyAlignment="1">
      <alignment horizontal="center" vertical="center" wrapText="1"/>
    </xf>
    <xf numFmtId="2" fontId="58" fillId="0" borderId="3" xfId="227" applyNumberFormat="1" applyFont="1" applyBorder="1" applyAlignment="1">
      <alignment horizontal="center"/>
    </xf>
    <xf numFmtId="174" fontId="58" fillId="5" borderId="3" xfId="227" applyNumberFormat="1" applyFont="1" applyFill="1" applyBorder="1"/>
    <xf numFmtId="170" fontId="58" fillId="0" borderId="25" xfId="227" applyNumberFormat="1" applyFont="1" applyBorder="1"/>
    <xf numFmtId="170" fontId="58" fillId="0" borderId="0" xfId="227" applyNumberFormat="1" applyFont="1"/>
    <xf numFmtId="170" fontId="58" fillId="0" borderId="3" xfId="227" applyNumberFormat="1" applyFont="1" applyBorder="1"/>
    <xf numFmtId="0" fontId="58" fillId="2" borderId="0" xfId="227" applyFont="1" applyFill="1"/>
    <xf numFmtId="0" fontId="57" fillId="2" borderId="88" xfId="0" applyFont="1" applyFill="1" applyBorder="1" applyAlignment="1">
      <alignment horizontal="center" vertical="center"/>
    </xf>
    <xf numFmtId="0" fontId="71" fillId="2" borderId="13" xfId="0" applyFont="1" applyFill="1" applyBorder="1" applyAlignment="1">
      <alignment horizontal="centerContinuous" vertical="center" wrapText="1"/>
    </xf>
    <xf numFmtId="10" fontId="162" fillId="7" borderId="83" xfId="19" applyNumberFormat="1" applyFont="1" applyFill="1" applyBorder="1"/>
    <xf numFmtId="170" fontId="58" fillId="0" borderId="3" xfId="0" applyNumberFormat="1" applyFont="1" applyBorder="1"/>
    <xf numFmtId="0" fontId="71" fillId="2" borderId="6" xfId="0" applyFont="1" applyFill="1" applyBorder="1" applyAlignment="1">
      <alignment horizontal="center" vertical="center" wrapText="1"/>
    </xf>
    <xf numFmtId="0" fontId="71" fillId="2" borderId="5" xfId="0" quotePrefix="1" applyFont="1" applyFill="1" applyBorder="1" applyAlignment="1">
      <alignment horizontal="center" vertical="center" wrapText="1"/>
    </xf>
    <xf numFmtId="0" fontId="71" fillId="2" borderId="53" xfId="0" quotePrefix="1" applyFont="1" applyFill="1" applyBorder="1" applyAlignment="1">
      <alignment horizontal="center" vertical="center" wrapText="1"/>
    </xf>
    <xf numFmtId="0" fontId="71" fillId="2" borderId="9" xfId="0" applyFont="1" applyFill="1" applyBorder="1" applyAlignment="1">
      <alignment horizontal="centerContinuous" vertical="center" wrapText="1"/>
    </xf>
    <xf numFmtId="0" fontId="71" fillId="2" borderId="7" xfId="0" applyFont="1" applyFill="1" applyBorder="1" applyAlignment="1">
      <alignment horizontal="centerContinuous" vertical="center" wrapText="1"/>
    </xf>
    <xf numFmtId="2" fontId="0" fillId="11" borderId="0" xfId="0" applyNumberFormat="1" applyFill="1"/>
    <xf numFmtId="0" fontId="76" fillId="0" borderId="8" xfId="0" applyFont="1" applyBorder="1" applyAlignment="1">
      <alignment horizontal="centerContinuous" vertical="center" wrapText="1"/>
    </xf>
    <xf numFmtId="0" fontId="76" fillId="0" borderId="8" xfId="0" applyFont="1" applyBorder="1" applyAlignment="1">
      <alignment horizontal="center" vertical="center" wrapText="1"/>
    </xf>
    <xf numFmtId="171" fontId="57" fillId="2" borderId="0" xfId="0" applyNumberFormat="1" applyFont="1" applyFill="1"/>
    <xf numFmtId="179" fontId="0" fillId="11" borderId="0" xfId="19" applyNumberFormat="1" applyFont="1" applyFill="1"/>
    <xf numFmtId="0" fontId="71" fillId="2" borderId="34" xfId="227" applyFont="1" applyFill="1" applyBorder="1" applyAlignment="1">
      <alignment horizontal="centerContinuous" vertical="center" wrapText="1"/>
    </xf>
    <xf numFmtId="1" fontId="71" fillId="2" borderId="8" xfId="227" applyNumberFormat="1" applyFont="1" applyFill="1" applyBorder="1" applyAlignment="1">
      <alignment horizontal="centerContinuous" vertical="center" wrapText="1"/>
    </xf>
    <xf numFmtId="0" fontId="58" fillId="2" borderId="0" xfId="227" applyFont="1" applyFill="1" applyAlignment="1">
      <alignment horizontal="centerContinuous"/>
    </xf>
    <xf numFmtId="1" fontId="58" fillId="0" borderId="14" xfId="227" applyNumberFormat="1" applyFont="1" applyBorder="1" applyAlignment="1">
      <alignment horizontal="center" vertical="center" wrapText="1"/>
    </xf>
    <xf numFmtId="170" fontId="92" fillId="4" borderId="4" xfId="227" applyNumberFormat="1" applyFont="1" applyFill="1" applyBorder="1"/>
    <xf numFmtId="170" fontId="92" fillId="4" borderId="62" xfId="227" applyNumberFormat="1" applyFont="1" applyFill="1" applyBorder="1"/>
    <xf numFmtId="170" fontId="58" fillId="0" borderId="32" xfId="227" applyNumberFormat="1" applyFont="1" applyBorder="1"/>
    <xf numFmtId="173" fontId="58" fillId="0" borderId="2" xfId="17" applyNumberFormat="1" applyFont="1" applyBorder="1"/>
    <xf numFmtId="173" fontId="58" fillId="0" borderId="81" xfId="17" applyNumberFormat="1" applyFont="1" applyBorder="1"/>
    <xf numFmtId="173" fontId="58" fillId="0" borderId="0" xfId="17" applyNumberFormat="1" applyFont="1"/>
    <xf numFmtId="170" fontId="107" fillId="4" borderId="32" xfId="0" applyNumberFormat="1" applyFont="1" applyFill="1" applyBorder="1"/>
    <xf numFmtId="0" fontId="76" fillId="2" borderId="13" xfId="0" applyFont="1" applyFill="1" applyBorder="1" applyAlignment="1">
      <alignment horizontal="center" vertical="center" wrapText="1"/>
    </xf>
    <xf numFmtId="0" fontId="82" fillId="2" borderId="43" xfId="16" applyFont="1" applyFill="1" applyBorder="1" applyAlignment="1">
      <alignment horizontal="center" vertical="center"/>
    </xf>
    <xf numFmtId="0" fontId="71" fillId="0" borderId="27" xfId="16" applyFont="1" applyBorder="1" applyAlignment="1">
      <alignment horizontal="centerContinuous" vertical="center" wrapText="1"/>
    </xf>
    <xf numFmtId="1" fontId="71" fillId="11" borderId="42" xfId="16" applyNumberFormat="1" applyFont="1" applyFill="1" applyBorder="1" applyAlignment="1">
      <alignment horizontal="centerContinuous" vertical="center" wrapText="1"/>
    </xf>
    <xf numFmtId="1" fontId="75" fillId="2" borderId="9" xfId="21" applyNumberFormat="1" applyFont="1" applyFill="1" applyBorder="1" applyAlignment="1">
      <alignment horizontal="center" vertical="center"/>
    </xf>
    <xf numFmtId="0" fontId="37" fillId="11" borderId="0" xfId="227" applyFill="1"/>
    <xf numFmtId="0" fontId="72" fillId="2" borderId="7" xfId="16" applyFont="1" applyFill="1" applyBorder="1" applyAlignment="1">
      <alignment horizontal="centerContinuous" vertical="center" readingOrder="1"/>
    </xf>
    <xf numFmtId="0" fontId="72" fillId="2" borderId="9" xfId="16" applyFont="1" applyFill="1" applyBorder="1" applyAlignment="1">
      <alignment horizontal="centerContinuous" vertical="center" wrapText="1" readingOrder="1"/>
    </xf>
    <xf numFmtId="0" fontId="72" fillId="2" borderId="9" xfId="16" quotePrefix="1" applyFont="1" applyFill="1" applyBorder="1" applyAlignment="1">
      <alignment horizontal="centerContinuous" vertical="center" wrapText="1" readingOrder="1"/>
    </xf>
    <xf numFmtId="0" fontId="72" fillId="2" borderId="13" xfId="16" quotePrefix="1" applyFont="1" applyFill="1" applyBorder="1" applyAlignment="1">
      <alignment horizontal="centerContinuous" vertical="center" wrapText="1" readingOrder="1"/>
    </xf>
    <xf numFmtId="0" fontId="72" fillId="2" borderId="11" xfId="0" applyFont="1" applyFill="1" applyBorder="1" applyAlignment="1">
      <alignment horizontal="centerContinuous" vertical="center" wrapText="1"/>
    </xf>
    <xf numFmtId="0" fontId="76" fillId="2" borderId="42" xfId="0" quotePrefix="1" applyFont="1" applyFill="1" applyBorder="1" applyAlignment="1">
      <alignment horizontal="center" vertical="center" wrapText="1"/>
    </xf>
    <xf numFmtId="0" fontId="71" fillId="2" borderId="43" xfId="227" applyFont="1" applyFill="1" applyBorder="1" applyAlignment="1">
      <alignment horizontal="centerContinuous" vertical="center" wrapText="1"/>
    </xf>
    <xf numFmtId="0" fontId="71" fillId="2" borderId="42" xfId="227" applyFont="1" applyFill="1" applyBorder="1" applyAlignment="1">
      <alignment horizontal="center" vertical="center" wrapText="1"/>
    </xf>
    <xf numFmtId="1" fontId="58" fillId="0" borderId="9" xfId="227" applyNumberFormat="1" applyFont="1" applyBorder="1" applyAlignment="1">
      <alignment horizontal="center" vertical="center" wrapText="1"/>
    </xf>
    <xf numFmtId="0" fontId="58" fillId="2" borderId="9" xfId="227" applyFont="1" applyFill="1" applyBorder="1" applyAlignment="1">
      <alignment horizontal="center" vertical="center" wrapText="1"/>
    </xf>
    <xf numFmtId="0" fontId="75" fillId="2" borderId="9" xfId="227" applyFont="1" applyFill="1" applyBorder="1" applyAlignment="1">
      <alignment horizontal="center" vertical="center"/>
    </xf>
    <xf numFmtId="1" fontId="58" fillId="0" borderId="13" xfId="227" applyNumberFormat="1" applyFont="1" applyBorder="1" applyAlignment="1">
      <alignment horizontal="center" vertical="center" wrapText="1"/>
    </xf>
    <xf numFmtId="0" fontId="58" fillId="2" borderId="13" xfId="227" applyFont="1" applyFill="1" applyBorder="1" applyAlignment="1">
      <alignment horizontal="center" vertical="center" wrapText="1"/>
    </xf>
    <xf numFmtId="0" fontId="75" fillId="2" borderId="13" xfId="227" applyFont="1" applyFill="1" applyBorder="1" applyAlignment="1">
      <alignment horizontal="center" vertical="center"/>
    </xf>
    <xf numFmtId="0" fontId="71" fillId="2" borderId="42" xfId="227" applyFont="1" applyFill="1" applyBorder="1" applyAlignment="1">
      <alignment horizontal="centerContinuous" vertical="center" wrapText="1"/>
    </xf>
    <xf numFmtId="0" fontId="71" fillId="2" borderId="14" xfId="227" applyFont="1" applyFill="1" applyBorder="1" applyAlignment="1">
      <alignment horizontal="center" vertical="center" wrapText="1"/>
    </xf>
    <xf numFmtId="195" fontId="83" fillId="11" borderId="0" xfId="101" applyNumberFormat="1" applyFont="1" applyFill="1" applyAlignment="1">
      <alignment horizontal="center"/>
    </xf>
    <xf numFmtId="10" fontId="72" fillId="2" borderId="39" xfId="0" quotePrefix="1" applyNumberFormat="1" applyFont="1" applyFill="1" applyBorder="1" applyAlignment="1">
      <alignment horizontal="center" vertical="center" wrapText="1"/>
    </xf>
    <xf numFmtId="0" fontId="76" fillId="2" borderId="13" xfId="0" applyFont="1" applyFill="1" applyBorder="1" applyAlignment="1">
      <alignment vertical="center"/>
    </xf>
    <xf numFmtId="0" fontId="99" fillId="2" borderId="13" xfId="0" applyFont="1" applyFill="1" applyBorder="1" applyAlignment="1">
      <alignment horizontal="centerContinuous" vertical="center" wrapText="1"/>
    </xf>
    <xf numFmtId="175" fontId="92" fillId="4" borderId="65" xfId="0" applyNumberFormat="1" applyFont="1" applyFill="1" applyBorder="1"/>
    <xf numFmtId="0" fontId="58" fillId="2" borderId="32" xfId="0" applyFont="1" applyFill="1" applyBorder="1" applyAlignment="1">
      <alignment vertical="center"/>
    </xf>
    <xf numFmtId="0" fontId="58" fillId="2" borderId="42" xfId="0" applyFont="1" applyFill="1" applyBorder="1" applyAlignment="1">
      <alignment vertical="center"/>
    </xf>
    <xf numFmtId="0" fontId="72" fillId="2" borderId="44" xfId="0" applyFont="1" applyFill="1" applyBorder="1" applyAlignment="1">
      <alignment horizontal="center" vertical="center"/>
    </xf>
    <xf numFmtId="175" fontId="92" fillId="4" borderId="32" xfId="0" applyNumberFormat="1" applyFont="1" applyFill="1" applyBorder="1"/>
    <xf numFmtId="1" fontId="92" fillId="3" borderId="27" xfId="12" applyNumberFormat="1" applyFont="1" applyFill="1" applyBorder="1" applyAlignment="1" applyProtection="1">
      <alignment horizontal="center" vertical="center" wrapText="1"/>
    </xf>
    <xf numFmtId="3" fontId="162" fillId="4" borderId="0" xfId="0" applyNumberFormat="1" applyFont="1" applyFill="1"/>
    <xf numFmtId="171" fontId="121" fillId="7" borderId="90" xfId="0" applyNumberFormat="1" applyFont="1" applyFill="1" applyBorder="1"/>
    <xf numFmtId="0" fontId="76" fillId="2" borderId="42" xfId="0" applyFont="1" applyFill="1" applyBorder="1"/>
    <xf numFmtId="0" fontId="72" fillId="0" borderId="13" xfId="0" applyFont="1" applyBorder="1" applyAlignment="1">
      <alignment horizontal="centerContinuous" vertical="center"/>
    </xf>
    <xf numFmtId="170" fontId="162" fillId="4" borderId="3" xfId="0" applyNumberFormat="1" applyFont="1" applyFill="1" applyBorder="1"/>
    <xf numFmtId="175" fontId="162" fillId="4" borderId="23" xfId="0" applyNumberFormat="1" applyFont="1" applyFill="1" applyBorder="1"/>
    <xf numFmtId="175" fontId="162" fillId="4" borderId="63" xfId="0" applyNumberFormat="1" applyFont="1" applyFill="1" applyBorder="1"/>
    <xf numFmtId="175" fontId="162" fillId="4" borderId="18" xfId="0" applyNumberFormat="1" applyFont="1" applyFill="1" applyBorder="1"/>
    <xf numFmtId="0" fontId="102" fillId="11" borderId="8" xfId="0" applyFont="1" applyFill="1" applyBorder="1" applyAlignment="1">
      <alignment horizontal="centerContinuous" vertical="center"/>
    </xf>
    <xf numFmtId="0" fontId="100" fillId="11" borderId="8" xfId="0" applyFont="1" applyFill="1" applyBorder="1" applyAlignment="1">
      <alignment horizontal="centerContinuous" vertical="center"/>
    </xf>
    <xf numFmtId="0" fontId="100" fillId="11" borderId="14" xfId="0" applyFont="1" applyFill="1" applyBorder="1" applyAlignment="1">
      <alignment horizontal="centerContinuous" vertical="center"/>
    </xf>
    <xf numFmtId="0" fontId="102" fillId="11" borderId="66" xfId="0" applyFont="1" applyFill="1" applyBorder="1" applyAlignment="1">
      <alignment horizontal="centerContinuous" vertical="center"/>
    </xf>
    <xf numFmtId="0" fontId="100" fillId="11" borderId="15" xfId="0" applyFont="1" applyFill="1" applyBorder="1" applyAlignment="1">
      <alignment horizontal="centerContinuous" vertical="center"/>
    </xf>
    <xf numFmtId="3" fontId="58" fillId="0" borderId="82" xfId="0" applyNumberFormat="1" applyFont="1" applyBorder="1"/>
    <xf numFmtId="3" fontId="162" fillId="4" borderId="64" xfId="0" applyNumberFormat="1" applyFont="1" applyFill="1" applyBorder="1"/>
    <xf numFmtId="0" fontId="75" fillId="2" borderId="13" xfId="138" applyFont="1" applyFill="1" applyBorder="1" applyAlignment="1">
      <alignment horizontal="center" vertical="center"/>
    </xf>
    <xf numFmtId="172" fontId="76" fillId="0" borderId="33" xfId="16" applyNumberFormat="1" applyFont="1" applyBorder="1"/>
    <xf numFmtId="172" fontId="123" fillId="0" borderId="82" xfId="16" applyNumberFormat="1" applyFont="1" applyBorder="1"/>
    <xf numFmtId="172" fontId="129" fillId="4" borderId="82" xfId="16" applyNumberFormat="1" applyFont="1" applyFill="1" applyBorder="1"/>
    <xf numFmtId="172" fontId="98" fillId="0" borderId="82" xfId="16" applyNumberFormat="1" applyFont="1" applyBorder="1"/>
    <xf numFmtId="174" fontId="84" fillId="5" borderId="33" xfId="0" applyNumberFormat="1" applyFont="1" applyFill="1" applyBorder="1" applyAlignment="1">
      <alignment horizontal="center"/>
    </xf>
    <xf numFmtId="181" fontId="84" fillId="5" borderId="33" xfId="0" applyNumberFormat="1" applyFont="1" applyFill="1" applyBorder="1" applyAlignment="1">
      <alignment horizontal="center"/>
    </xf>
    <xf numFmtId="181" fontId="84" fillId="5" borderId="82" xfId="0" applyNumberFormat="1" applyFont="1" applyFill="1" applyBorder="1" applyAlignment="1">
      <alignment horizontal="center"/>
    </xf>
    <xf numFmtId="170" fontId="162" fillId="4" borderId="57" xfId="0" applyNumberFormat="1" applyFont="1" applyFill="1" applyBorder="1"/>
    <xf numFmtId="170" fontId="162" fillId="4" borderId="18" xfId="0" applyNumberFormat="1" applyFont="1" applyFill="1" applyBorder="1"/>
    <xf numFmtId="185" fontId="57" fillId="2" borderId="0" xfId="0" applyNumberFormat="1" applyFont="1" applyFill="1" applyAlignment="1">
      <alignment vertical="center" wrapText="1"/>
    </xf>
    <xf numFmtId="185" fontId="57" fillId="2" borderId="0" xfId="0" applyNumberFormat="1" applyFont="1" applyFill="1"/>
    <xf numFmtId="185" fontId="57" fillId="2" borderId="0" xfId="19" applyNumberFormat="1" applyFont="1" applyFill="1"/>
    <xf numFmtId="208" fontId="156" fillId="0" borderId="0" xfId="0" applyNumberFormat="1" applyFont="1"/>
    <xf numFmtId="208" fontId="156" fillId="11" borderId="0" xfId="0" applyNumberFormat="1" applyFont="1" applyFill="1"/>
    <xf numFmtId="207" fontId="156" fillId="11" borderId="0" xfId="9853" applyFont="1" applyFill="1" applyBorder="1"/>
    <xf numFmtId="170" fontId="99" fillId="5" borderId="81" xfId="0" applyNumberFormat="1" applyFont="1" applyFill="1" applyBorder="1"/>
    <xf numFmtId="170" fontId="76" fillId="5" borderId="81" xfId="0" applyNumberFormat="1" applyFont="1" applyFill="1" applyBorder="1"/>
    <xf numFmtId="176" fontId="92" fillId="4" borderId="81" xfId="0" applyNumberFormat="1" applyFont="1" applyFill="1" applyBorder="1"/>
    <xf numFmtId="176" fontId="99" fillId="0" borderId="81" xfId="0" applyNumberFormat="1" applyFont="1" applyBorder="1"/>
    <xf numFmtId="0" fontId="76" fillId="2" borderId="35" xfId="0" applyFont="1" applyFill="1" applyBorder="1" applyAlignment="1">
      <alignment vertical="center"/>
    </xf>
    <xf numFmtId="170" fontId="99" fillId="5" borderId="18" xfId="0" applyNumberFormat="1" applyFont="1" applyFill="1" applyBorder="1"/>
    <xf numFmtId="3" fontId="99" fillId="0" borderId="3" xfId="0" applyNumberFormat="1" applyFont="1" applyBorder="1"/>
    <xf numFmtId="0" fontId="76" fillId="2" borderId="46" xfId="0" applyFont="1" applyFill="1" applyBorder="1" applyAlignment="1">
      <alignment vertical="center"/>
    </xf>
    <xf numFmtId="170" fontId="99" fillId="5" borderId="22" xfId="0" applyNumberFormat="1" applyFont="1" applyFill="1" applyBorder="1"/>
    <xf numFmtId="170" fontId="99" fillId="5" borderId="82" xfId="0" applyNumberFormat="1" applyFont="1" applyFill="1" applyBorder="1"/>
    <xf numFmtId="170" fontId="76" fillId="5" borderId="82" xfId="0" applyNumberFormat="1" applyFont="1" applyFill="1" applyBorder="1"/>
    <xf numFmtId="171" fontId="92" fillId="4" borderId="82" xfId="0" applyNumberFormat="1" applyFont="1" applyFill="1" applyBorder="1"/>
    <xf numFmtId="171" fontId="99" fillId="0" borderId="82" xfId="0" applyNumberFormat="1" applyFont="1" applyBorder="1"/>
    <xf numFmtId="0" fontId="76" fillId="2" borderId="43" xfId="0" applyFont="1" applyFill="1" applyBorder="1" applyAlignment="1">
      <alignment vertical="center"/>
    </xf>
    <xf numFmtId="171" fontId="58" fillId="0" borderId="32" xfId="0" applyNumberFormat="1" applyFont="1" applyBorder="1"/>
    <xf numFmtId="171" fontId="76" fillId="8" borderId="0" xfId="0" applyNumberFormat="1" applyFont="1" applyFill="1"/>
    <xf numFmtId="171" fontId="98" fillId="8" borderId="23" xfId="0" applyNumberFormat="1" applyFont="1" applyFill="1" applyBorder="1"/>
    <xf numFmtId="171" fontId="98" fillId="8" borderId="0" xfId="0" applyNumberFormat="1" applyFont="1" applyFill="1"/>
    <xf numFmtId="171" fontId="98" fillId="8" borderId="81" xfId="0" applyNumberFormat="1" applyFont="1" applyFill="1" applyBorder="1"/>
    <xf numFmtId="0" fontId="121" fillId="2" borderId="38" xfId="0" applyFont="1" applyFill="1" applyBorder="1" applyAlignment="1">
      <alignment horizontal="center" vertical="center" wrapText="1"/>
    </xf>
    <xf numFmtId="0" fontId="183" fillId="2" borderId="0" xfId="0" applyFont="1" applyFill="1" applyAlignment="1">
      <alignment vertical="center" wrapText="1"/>
    </xf>
    <xf numFmtId="0" fontId="56" fillId="0" borderId="56" xfId="0" applyFont="1" applyBorder="1" applyAlignment="1">
      <alignment horizontal="center" vertical="center"/>
    </xf>
    <xf numFmtId="1" fontId="81" fillId="3" borderId="32" xfId="16" applyNumberFormat="1" applyFont="1" applyFill="1" applyBorder="1" applyAlignment="1">
      <alignment horizontal="center" vertical="center"/>
    </xf>
    <xf numFmtId="1" fontId="92" fillId="4" borderId="8" xfId="12" applyNumberFormat="1" applyFont="1" applyFill="1" applyBorder="1" applyAlignment="1" applyProtection="1">
      <alignment horizontal="center" vertical="center" wrapText="1"/>
    </xf>
    <xf numFmtId="1" fontId="92" fillId="3" borderId="32" xfId="16" applyNumberFormat="1" applyFont="1" applyFill="1" applyBorder="1" applyAlignment="1">
      <alignment horizontal="center" vertical="center"/>
    </xf>
    <xf numFmtId="1" fontId="92" fillId="3" borderId="30" xfId="12" applyNumberFormat="1" applyFont="1" applyFill="1" applyBorder="1" applyAlignment="1" applyProtection="1">
      <alignment horizontal="center" vertical="center" wrapText="1"/>
    </xf>
    <xf numFmtId="2" fontId="57" fillId="2" borderId="0" xfId="19" applyNumberFormat="1" applyFont="1" applyFill="1"/>
    <xf numFmtId="182" fontId="0" fillId="2" borderId="0" xfId="0" applyNumberFormat="1" applyFill="1" applyAlignment="1">
      <alignment horizontal="center" vertical="center"/>
    </xf>
    <xf numFmtId="182" fontId="0" fillId="11" borderId="0" xfId="0" applyNumberFormat="1" applyFill="1" applyAlignment="1">
      <alignment horizontal="center" vertical="center"/>
    </xf>
    <xf numFmtId="182" fontId="53" fillId="11" borderId="0" xfId="0" applyNumberFormat="1" applyFont="1" applyFill="1" applyAlignment="1">
      <alignment horizontal="center" vertical="center"/>
    </xf>
    <xf numFmtId="0" fontId="0" fillId="11" borderId="0" xfId="0" applyFill="1" applyAlignment="1">
      <alignment horizontal="center" vertical="center"/>
    </xf>
    <xf numFmtId="1" fontId="0" fillId="2" borderId="0" xfId="0" applyNumberFormat="1" applyFill="1"/>
    <xf numFmtId="179" fontId="76" fillId="2" borderId="0" xfId="19" applyNumberFormat="1" applyFont="1" applyFill="1" applyAlignment="1">
      <alignment vertical="center"/>
    </xf>
    <xf numFmtId="3" fontId="0" fillId="2" borderId="0" xfId="0" applyNumberFormat="1" applyFill="1"/>
    <xf numFmtId="9" fontId="0" fillId="2" borderId="0" xfId="19" applyFont="1" applyFill="1"/>
    <xf numFmtId="1" fontId="75" fillId="2" borderId="42" xfId="0" applyNumberFormat="1" applyFont="1" applyFill="1" applyBorder="1" applyAlignment="1">
      <alignment horizontal="center" vertical="center"/>
    </xf>
    <xf numFmtId="170" fontId="98" fillId="0" borderId="32" xfId="0" applyNumberFormat="1" applyFont="1" applyBorder="1"/>
    <xf numFmtId="1" fontId="81" fillId="3" borderId="3" xfId="16" applyNumberFormat="1" applyFont="1" applyFill="1" applyBorder="1" applyAlignment="1">
      <alignment horizontal="center" vertical="center"/>
    </xf>
    <xf numFmtId="172" fontId="79" fillId="3" borderId="15" xfId="0" applyNumberFormat="1" applyFont="1" applyFill="1" applyBorder="1"/>
    <xf numFmtId="1" fontId="92" fillId="3" borderId="15" xfId="12" applyNumberFormat="1" applyFont="1" applyFill="1" applyBorder="1" applyAlignment="1" applyProtection="1">
      <alignment horizontal="center" vertical="center" wrapText="1"/>
    </xf>
    <xf numFmtId="1" fontId="92" fillId="3" borderId="3" xfId="16" applyNumberFormat="1" applyFont="1" applyFill="1" applyBorder="1" applyAlignment="1">
      <alignment horizontal="center" vertical="center"/>
    </xf>
    <xf numFmtId="1" fontId="92" fillId="3" borderId="45" xfId="12" applyNumberFormat="1" applyFont="1" applyFill="1" applyBorder="1" applyAlignment="1" applyProtection="1">
      <alignment horizontal="center" vertical="center" wrapText="1"/>
    </xf>
    <xf numFmtId="1" fontId="71" fillId="0" borderId="3" xfId="0" applyNumberFormat="1" applyFont="1" applyBorder="1" applyAlignment="1">
      <alignment horizontal="center"/>
    </xf>
    <xf numFmtId="0" fontId="76" fillId="11" borderId="0" xfId="0" applyFont="1" applyFill="1"/>
    <xf numFmtId="0" fontId="0" fillId="2" borderId="0" xfId="0" applyFill="1" applyAlignment="1">
      <alignment vertical="center" wrapText="1"/>
    </xf>
    <xf numFmtId="2" fontId="57" fillId="2" borderId="0" xfId="15" applyNumberFormat="1" applyFont="1" applyFill="1"/>
    <xf numFmtId="209" fontId="57" fillId="2" borderId="0" xfId="15" applyNumberFormat="1" applyFont="1" applyFill="1"/>
    <xf numFmtId="170" fontId="162" fillId="4" borderId="63" xfId="0" applyNumberFormat="1" applyFont="1" applyFill="1" applyBorder="1"/>
    <xf numFmtId="0" fontId="78" fillId="2" borderId="34" xfId="0" applyFont="1" applyFill="1" applyBorder="1" applyAlignment="1">
      <alignment horizontal="centerContinuous" vertical="center" wrapText="1"/>
    </xf>
    <xf numFmtId="0" fontId="78" fillId="2" borderId="43" xfId="0" applyFont="1" applyFill="1" applyBorder="1" applyAlignment="1">
      <alignment horizontal="centerContinuous" vertical="center" wrapText="1"/>
    </xf>
    <xf numFmtId="0" fontId="72" fillId="2" borderId="14" xfId="0" applyFont="1" applyFill="1" applyBorder="1" applyAlignment="1">
      <alignment vertical="center"/>
    </xf>
    <xf numFmtId="0" fontId="72" fillId="2" borderId="9" xfId="0" applyFont="1" applyFill="1" applyBorder="1" applyAlignment="1">
      <alignment vertical="center"/>
    </xf>
    <xf numFmtId="0" fontId="72" fillId="2" borderId="42" xfId="0" applyFont="1" applyFill="1" applyBorder="1" applyAlignment="1">
      <alignment vertical="center"/>
    </xf>
    <xf numFmtId="0" fontId="57" fillId="5" borderId="0" xfId="15" applyFont="1" applyFill="1" applyAlignment="1">
      <alignment vertical="center" wrapText="1"/>
    </xf>
    <xf numFmtId="4" fontId="121" fillId="7" borderId="2" xfId="17" applyNumberFormat="1" applyFont="1" applyFill="1" applyBorder="1"/>
    <xf numFmtId="4" fontId="121" fillId="7" borderId="32" xfId="17" applyNumberFormat="1" applyFont="1" applyFill="1" applyBorder="1"/>
    <xf numFmtId="0" fontId="58" fillId="2" borderId="7" xfId="15" applyFont="1" applyFill="1" applyBorder="1" applyAlignment="1">
      <alignment horizontal="centerContinuous" vertical="center" wrapText="1"/>
    </xf>
    <xf numFmtId="2" fontId="92" fillId="3" borderId="8" xfId="12" applyNumberFormat="1" applyFont="1" applyFill="1" applyBorder="1" applyAlignment="1" applyProtection="1">
      <alignment horizontal="center" vertical="center" wrapText="1"/>
    </xf>
    <xf numFmtId="2" fontId="130" fillId="47" borderId="0" xfId="9854" applyNumberFormat="1" applyFont="1" applyFill="1" applyAlignment="1">
      <alignment horizontal="center"/>
    </xf>
    <xf numFmtId="0" fontId="130" fillId="11" borderId="0" xfId="9854" applyFont="1" applyFill="1"/>
    <xf numFmtId="0" fontId="130" fillId="11" borderId="3" xfId="9854" applyFont="1" applyFill="1" applyBorder="1"/>
    <xf numFmtId="0" fontId="184" fillId="0" borderId="8" xfId="9854" applyFont="1" applyBorder="1" applyAlignment="1">
      <alignment horizontal="centerContinuous" vertical="center"/>
    </xf>
    <xf numFmtId="0" fontId="184" fillId="0" borderId="8" xfId="9854" applyFont="1" applyBorder="1" applyAlignment="1">
      <alignment horizontal="centerContinuous"/>
    </xf>
    <xf numFmtId="0" fontId="184" fillId="0" borderId="8" xfId="9854" applyFont="1" applyBorder="1" applyAlignment="1">
      <alignment horizontal="centerContinuous" vertical="center" wrapText="1"/>
    </xf>
    <xf numFmtId="0" fontId="130" fillId="11" borderId="0" xfId="9854" applyFont="1" applyFill="1" applyAlignment="1">
      <alignment vertical="center"/>
    </xf>
    <xf numFmtId="2" fontId="92" fillId="3" borderId="8" xfId="12" applyNumberFormat="1" applyFont="1" applyFill="1" applyBorder="1" applyAlignment="1" applyProtection="1">
      <alignment horizontal="center" vertical="center"/>
    </xf>
    <xf numFmtId="2" fontId="130" fillId="11" borderId="0" xfId="9854" applyNumberFormat="1" applyFont="1" applyFill="1" applyAlignment="1">
      <alignment horizontal="center"/>
    </xf>
    <xf numFmtId="0" fontId="130" fillId="0" borderId="8" xfId="9854" applyFont="1" applyBorder="1" applyAlignment="1">
      <alignment horizontal="center" vertical="center" wrapText="1"/>
    </xf>
    <xf numFmtId="0" fontId="130" fillId="11" borderId="0" xfId="9854" applyFont="1" applyFill="1" applyAlignment="1">
      <alignment horizontal="center" vertical="center" wrapText="1"/>
    </xf>
    <xf numFmtId="0" fontId="130" fillId="47" borderId="0" xfId="9854" applyFont="1" applyFill="1"/>
    <xf numFmtId="0" fontId="185" fillId="0" borderId="8" xfId="9854" applyFont="1" applyBorder="1" applyAlignment="1">
      <alignment horizontal="center" vertical="center" wrapText="1"/>
    </xf>
    <xf numFmtId="2" fontId="121" fillId="47" borderId="0" xfId="9854" applyNumberFormat="1" applyFont="1" applyFill="1" applyAlignment="1">
      <alignment horizontal="center" vertical="center"/>
    </xf>
    <xf numFmtId="2" fontId="130" fillId="0" borderId="82" xfId="9854" applyNumberFormat="1" applyFont="1" applyBorder="1" applyAlignment="1">
      <alignment horizontal="center"/>
    </xf>
    <xf numFmtId="171" fontId="121" fillId="7" borderId="85" xfId="9854" applyNumberFormat="1" applyFont="1" applyFill="1" applyBorder="1"/>
    <xf numFmtId="171" fontId="58" fillId="0" borderId="82" xfId="9854" applyNumberFormat="1" applyFont="1" applyBorder="1"/>
    <xf numFmtId="2" fontId="130" fillId="0" borderId="81" xfId="9854" applyNumberFormat="1" applyFont="1" applyBorder="1" applyAlignment="1">
      <alignment horizontal="center"/>
    </xf>
    <xf numFmtId="0" fontId="184" fillId="0" borderId="15" xfId="9854" applyFont="1" applyBorder="1" applyAlignment="1">
      <alignment horizontal="centerContinuous"/>
    </xf>
    <xf numFmtId="171" fontId="58" fillId="0" borderId="3" xfId="9854" applyNumberFormat="1" applyFont="1" applyBorder="1"/>
    <xf numFmtId="3" fontId="58" fillId="0" borderId="81" xfId="0" applyNumberFormat="1" applyFont="1" applyBorder="1"/>
    <xf numFmtId="3" fontId="76" fillId="0" borderId="81" xfId="0" applyNumberFormat="1" applyFont="1" applyBorder="1"/>
    <xf numFmtId="3" fontId="76" fillId="0" borderId="81" xfId="0" applyNumberFormat="1" applyFont="1" applyBorder="1" applyAlignment="1">
      <alignment horizontal="right"/>
    </xf>
    <xf numFmtId="179" fontId="57" fillId="11" borderId="0" xfId="19" applyNumberFormat="1" applyFont="1" applyFill="1"/>
    <xf numFmtId="10" fontId="156" fillId="11" borderId="0" xfId="19" applyNumberFormat="1" applyFont="1" applyFill="1" applyBorder="1"/>
    <xf numFmtId="2" fontId="58" fillId="0" borderId="0" xfId="0" applyNumberFormat="1" applyFont="1" applyAlignment="1">
      <alignment horizontal="center"/>
    </xf>
    <xf numFmtId="10" fontId="58" fillId="5" borderId="3" xfId="0" applyNumberFormat="1" applyFont="1" applyFill="1" applyBorder="1"/>
    <xf numFmtId="2" fontId="76" fillId="0" borderId="82" xfId="0" applyNumberFormat="1" applyFont="1" applyBorder="1" applyAlignment="1">
      <alignment horizontal="center"/>
    </xf>
    <xf numFmtId="179" fontId="58" fillId="0" borderId="32" xfId="19" applyNumberFormat="1" applyFont="1" applyFill="1" applyBorder="1"/>
    <xf numFmtId="0" fontId="72" fillId="2" borderId="5" xfId="0" applyFont="1" applyFill="1" applyBorder="1" applyAlignment="1">
      <alignment horizontal="center"/>
    </xf>
    <xf numFmtId="3" fontId="76" fillId="5" borderId="82" xfId="0" applyNumberFormat="1" applyFont="1" applyFill="1" applyBorder="1"/>
    <xf numFmtId="3" fontId="58" fillId="0" borderId="82" xfId="0" quotePrefix="1" applyNumberFormat="1" applyFont="1" applyBorder="1" applyAlignment="1">
      <alignment horizontal="center"/>
    </xf>
    <xf numFmtId="3" fontId="76" fillId="0" borderId="82" xfId="0" applyNumberFormat="1" applyFont="1" applyBorder="1"/>
    <xf numFmtId="183" fontId="76" fillId="0" borderId="82" xfId="0" applyNumberFormat="1" applyFont="1" applyBorder="1"/>
    <xf numFmtId="0" fontId="76" fillId="11" borderId="15" xfId="0" applyFont="1" applyFill="1" applyBorder="1" applyAlignment="1">
      <alignment horizontal="center" vertical="center" wrapText="1"/>
    </xf>
    <xf numFmtId="173" fontId="58" fillId="0" borderId="33" xfId="17" applyNumberFormat="1" applyFont="1" applyBorder="1"/>
    <xf numFmtId="1" fontId="81" fillId="0" borderId="0" xfId="16" applyNumberFormat="1" applyFont="1" applyAlignment="1">
      <alignment horizontal="center" vertical="center"/>
    </xf>
    <xf numFmtId="0" fontId="32" fillId="11" borderId="0" xfId="9870" applyFill="1"/>
    <xf numFmtId="0" fontId="71" fillId="0" borderId="14" xfId="138" applyFont="1" applyBorder="1" applyAlignment="1">
      <alignment horizontal="centerContinuous" vertical="center" wrapText="1" readingOrder="1"/>
    </xf>
    <xf numFmtId="0" fontId="71" fillId="0" borderId="91" xfId="138" applyFont="1" applyBorder="1" applyAlignment="1">
      <alignment horizontal="centerContinuous" vertical="center" wrapText="1" readingOrder="1"/>
    </xf>
    <xf numFmtId="0" fontId="71" fillId="0" borderId="42" xfId="138" applyFont="1" applyBorder="1" applyAlignment="1">
      <alignment horizontal="centerContinuous" vertical="center" wrapText="1" readingOrder="1"/>
    </xf>
    <xf numFmtId="0" fontId="71" fillId="0" borderId="15" xfId="138" applyFont="1" applyBorder="1" applyAlignment="1">
      <alignment horizontal="centerContinuous" vertical="center" wrapText="1" readingOrder="1"/>
    </xf>
    <xf numFmtId="1" fontId="81" fillId="3" borderId="43" xfId="16" applyNumberFormat="1" applyFont="1" applyFill="1" applyBorder="1" applyAlignment="1">
      <alignment horizontal="center" vertical="center"/>
    </xf>
    <xf numFmtId="0" fontId="185" fillId="0" borderId="92" xfId="9870" applyFont="1" applyBorder="1" applyAlignment="1">
      <alignment horizontal="center" vertical="center"/>
    </xf>
    <xf numFmtId="0" fontId="185" fillId="0" borderId="91" xfId="9870" applyFont="1" applyBorder="1" applyAlignment="1">
      <alignment horizontal="center" vertical="center"/>
    </xf>
    <xf numFmtId="0" fontId="185" fillId="0" borderId="93" xfId="9870" applyFont="1" applyBorder="1" applyAlignment="1">
      <alignment horizontal="center" vertical="center"/>
    </xf>
    <xf numFmtId="0" fontId="32" fillId="0" borderId="12" xfId="9870" applyBorder="1"/>
    <xf numFmtId="0" fontId="32" fillId="0" borderId="91" xfId="9870" applyBorder="1"/>
    <xf numFmtId="0" fontId="32" fillId="0" borderId="42" xfId="9870" applyBorder="1"/>
    <xf numFmtId="0" fontId="32" fillId="0" borderId="14" xfId="9870" applyBorder="1"/>
    <xf numFmtId="185" fontId="130" fillId="0" borderId="0" xfId="9870" applyNumberFormat="1" applyFont="1" applyAlignment="1">
      <alignment horizontal="center"/>
    </xf>
    <xf numFmtId="184" fontId="121" fillId="7" borderId="0" xfId="9870" applyNumberFormat="1" applyFont="1" applyFill="1"/>
    <xf numFmtId="184" fontId="121" fillId="7" borderId="94" xfId="9870" applyNumberFormat="1" applyFont="1" applyFill="1" applyBorder="1"/>
    <xf numFmtId="184" fontId="121" fillId="7" borderId="19" xfId="9870" applyNumberFormat="1" applyFont="1" applyFill="1" applyBorder="1"/>
    <xf numFmtId="184" fontId="58" fillId="0" borderId="0" xfId="9870" applyNumberFormat="1" applyFont="1"/>
    <xf numFmtId="184" fontId="58" fillId="0" borderId="95" xfId="9870" applyNumberFormat="1" applyFont="1" applyBorder="1"/>
    <xf numFmtId="184" fontId="58" fillId="0" borderId="81" xfId="9870" applyNumberFormat="1" applyFont="1" applyBorder="1"/>
    <xf numFmtId="184" fontId="58" fillId="0" borderId="32" xfId="9870" applyNumberFormat="1" applyFont="1" applyBorder="1"/>
    <xf numFmtId="185" fontId="58" fillId="0" borderId="0" xfId="9870" applyNumberFormat="1" applyFont="1"/>
    <xf numFmtId="185" fontId="58" fillId="0" borderId="95" xfId="9870" applyNumberFormat="1" applyFont="1" applyBorder="1"/>
    <xf numFmtId="185" fontId="58" fillId="0" borderId="81" xfId="9870" applyNumberFormat="1" applyFont="1" applyBorder="1"/>
    <xf numFmtId="185" fontId="58" fillId="0" borderId="32" xfId="9870" applyNumberFormat="1" applyFont="1" applyBorder="1"/>
    <xf numFmtId="2" fontId="130" fillId="11" borderId="0" xfId="9870" applyNumberFormat="1" applyFont="1" applyFill="1" applyAlignment="1">
      <alignment horizontal="center"/>
    </xf>
    <xf numFmtId="2" fontId="32" fillId="11" borderId="0" xfId="9870" applyNumberFormat="1" applyFill="1"/>
    <xf numFmtId="184" fontId="121" fillId="7" borderId="96" xfId="9870" applyNumberFormat="1" applyFont="1" applyFill="1" applyBorder="1"/>
    <xf numFmtId="210" fontId="58" fillId="0" borderId="9" xfId="138" quotePrefix="1" applyNumberFormat="1" applyFont="1" applyBorder="1" applyAlignment="1">
      <alignment horizontal="center" vertical="center" wrapText="1" readingOrder="1"/>
    </xf>
    <xf numFmtId="210" fontId="58" fillId="0" borderId="91" xfId="138" quotePrefix="1" applyNumberFormat="1" applyFont="1" applyBorder="1" applyAlignment="1">
      <alignment horizontal="center" vertical="center" wrapText="1" readingOrder="1"/>
    </xf>
    <xf numFmtId="210" fontId="58" fillId="0" borderId="42" xfId="138" quotePrefix="1" applyNumberFormat="1" applyFont="1" applyBorder="1" applyAlignment="1">
      <alignment horizontal="center" vertical="center" wrapText="1" readingOrder="1"/>
    </xf>
    <xf numFmtId="210" fontId="58" fillId="0" borderId="14" xfId="138" quotePrefix="1" applyNumberFormat="1" applyFont="1" applyBorder="1" applyAlignment="1">
      <alignment horizontal="center" vertical="center" wrapText="1" readingOrder="1"/>
    </xf>
    <xf numFmtId="0" fontId="71" fillId="0" borderId="42" xfId="9870" applyFont="1" applyBorder="1" applyAlignment="1">
      <alignment horizontal="centerContinuous" vertical="center"/>
    </xf>
    <xf numFmtId="0" fontId="71" fillId="0" borderId="8" xfId="9870" applyFont="1" applyBorder="1" applyAlignment="1">
      <alignment horizontal="centerContinuous" vertical="center"/>
    </xf>
    <xf numFmtId="0" fontId="71" fillId="0" borderId="14" xfId="9870" applyFont="1" applyBorder="1" applyAlignment="1">
      <alignment horizontal="centerContinuous" vertical="center" wrapText="1"/>
    </xf>
    <xf numFmtId="0" fontId="71" fillId="0" borderId="13" xfId="9870" applyFont="1" applyBorder="1" applyAlignment="1">
      <alignment horizontal="centerContinuous" vertical="center" wrapText="1"/>
    </xf>
    <xf numFmtId="210" fontId="58" fillId="11" borderId="9" xfId="138" quotePrefix="1" applyNumberFormat="1" applyFont="1" applyFill="1" applyBorder="1" applyAlignment="1">
      <alignment horizontal="center" vertical="center" wrapText="1" readingOrder="1"/>
    </xf>
    <xf numFmtId="210" fontId="58" fillId="11" borderId="13" xfId="138" quotePrefix="1" applyNumberFormat="1" applyFont="1" applyFill="1" applyBorder="1" applyAlignment="1">
      <alignment horizontal="center" vertical="center" wrapText="1" readingOrder="1"/>
    </xf>
    <xf numFmtId="0" fontId="187" fillId="11" borderId="14" xfId="9870" applyFont="1" applyFill="1" applyBorder="1" applyAlignment="1">
      <alignment horizontal="center" vertical="center" wrapText="1"/>
    </xf>
    <xf numFmtId="0" fontId="187" fillId="11" borderId="9" xfId="9870" applyFont="1" applyFill="1" applyBorder="1" applyAlignment="1">
      <alignment horizontal="center" vertical="center" wrapText="1"/>
    </xf>
    <xf numFmtId="2" fontId="58" fillId="0" borderId="14" xfId="9870" applyNumberFormat="1" applyFont="1" applyBorder="1" applyAlignment="1">
      <alignment horizontal="center" vertical="center" wrapText="1"/>
    </xf>
    <xf numFmtId="2" fontId="58" fillId="0" borderId="91" xfId="9870" applyNumberFormat="1" applyFont="1" applyBorder="1" applyAlignment="1">
      <alignment horizontal="center" vertical="center" wrapText="1"/>
    </xf>
    <xf numFmtId="2" fontId="58" fillId="0" borderId="42" xfId="9870" applyNumberFormat="1" applyFont="1" applyBorder="1" applyAlignment="1">
      <alignment horizontal="center" vertical="center" wrapText="1"/>
    </xf>
    <xf numFmtId="211" fontId="57" fillId="2" borderId="0" xfId="19" applyNumberFormat="1" applyFont="1" applyFill="1"/>
    <xf numFmtId="0" fontId="53" fillId="2" borderId="3" xfId="15" applyFont="1" applyFill="1" applyBorder="1" applyAlignment="1">
      <alignment horizontal="center" vertical="center" wrapText="1"/>
    </xf>
    <xf numFmtId="0" fontId="71" fillId="2" borderId="42" xfId="15" applyFont="1" applyFill="1" applyBorder="1" applyAlignment="1">
      <alignment horizontal="centerContinuous" vertical="center" wrapText="1"/>
    </xf>
    <xf numFmtId="0" fontId="58" fillId="2" borderId="42" xfId="15" applyFont="1" applyFill="1" applyBorder="1" applyAlignment="1">
      <alignment horizontal="center" vertical="center" wrapText="1"/>
    </xf>
    <xf numFmtId="0" fontId="58" fillId="2" borderId="42" xfId="15" applyFont="1" applyFill="1" applyBorder="1" applyAlignment="1">
      <alignment horizontal="center" vertical="center"/>
    </xf>
    <xf numFmtId="3" fontId="121" fillId="8" borderId="0" xfId="0" applyNumberFormat="1" applyFont="1" applyFill="1"/>
    <xf numFmtId="3" fontId="58" fillId="8" borderId="0" xfId="0" applyNumberFormat="1" applyFont="1" applyFill="1"/>
    <xf numFmtId="3" fontId="121" fillId="7" borderId="0" xfId="0" applyNumberFormat="1" applyFont="1" applyFill="1"/>
    <xf numFmtId="3" fontId="76" fillId="0" borderId="0" xfId="0" applyNumberFormat="1" applyFont="1" applyAlignment="1">
      <alignment horizontal="right"/>
    </xf>
    <xf numFmtId="3" fontId="58" fillId="0" borderId="83" xfId="0" applyNumberFormat="1" applyFont="1" applyBorder="1"/>
    <xf numFmtId="3" fontId="76" fillId="0" borderId="83" xfId="0" applyNumberFormat="1" applyFont="1" applyBorder="1"/>
    <xf numFmtId="3" fontId="76" fillId="0" borderId="83" xfId="0" applyNumberFormat="1" applyFont="1" applyBorder="1" applyAlignment="1">
      <alignment horizontal="right"/>
    </xf>
    <xf numFmtId="0" fontId="76" fillId="11" borderId="14" xfId="0" applyFont="1" applyFill="1" applyBorder="1" applyAlignment="1">
      <alignment horizontal="center" vertical="center" wrapText="1"/>
    </xf>
    <xf numFmtId="0" fontId="76" fillId="2" borderId="15" xfId="0" applyFont="1" applyFill="1" applyBorder="1" applyAlignment="1">
      <alignment horizontal="center"/>
    </xf>
    <xf numFmtId="195" fontId="71" fillId="11" borderId="14" xfId="9871" applyNumberFormat="1" applyFont="1" applyFill="1" applyBorder="1" applyAlignment="1">
      <alignment horizontal="centerContinuous" vertical="center" wrapText="1"/>
    </xf>
    <xf numFmtId="0" fontId="58" fillId="11" borderId="9" xfId="9872" applyFont="1" applyFill="1" applyBorder="1" applyAlignment="1">
      <alignment horizontal="centerContinuous" vertical="center" wrapText="1"/>
    </xf>
    <xf numFmtId="0" fontId="58" fillId="11" borderId="34" xfId="9872" applyFont="1" applyFill="1" applyBorder="1" applyAlignment="1">
      <alignment horizontal="centerContinuous" vertical="center" wrapText="1"/>
    </xf>
    <xf numFmtId="0" fontId="58" fillId="11" borderId="35" xfId="9872" applyFont="1" applyFill="1" applyBorder="1" applyAlignment="1">
      <alignment horizontal="centerContinuous" vertical="center" wrapText="1"/>
    </xf>
    <xf numFmtId="0" fontId="31" fillId="11" borderId="0" xfId="9872" applyFill="1"/>
    <xf numFmtId="0" fontId="99" fillId="11" borderId="0" xfId="9872" applyFont="1" applyFill="1" applyAlignment="1">
      <alignment horizontal="center" vertical="center" wrapText="1"/>
    </xf>
    <xf numFmtId="0" fontId="58" fillId="11" borderId="42" xfId="9872" applyFont="1" applyFill="1" applyBorder="1" applyAlignment="1">
      <alignment horizontal="centerContinuous" vertical="center" wrapText="1"/>
    </xf>
    <xf numFmtId="0" fontId="58" fillId="11" borderId="46" xfId="9872" applyFont="1" applyFill="1" applyBorder="1" applyAlignment="1">
      <alignment horizontal="centerContinuous" vertical="center" wrapText="1"/>
    </xf>
    <xf numFmtId="0" fontId="188" fillId="11" borderId="0" xfId="9872" applyFont="1" applyFill="1"/>
    <xf numFmtId="0" fontId="99" fillId="11" borderId="0" xfId="9872" applyFont="1" applyFill="1" applyAlignment="1">
      <alignment horizontal="center"/>
    </xf>
    <xf numFmtId="0" fontId="71" fillId="0" borderId="34" xfId="138" applyFont="1" applyBorder="1" applyAlignment="1">
      <alignment horizontal="centerContinuous" vertical="center" wrapText="1" readingOrder="1"/>
    </xf>
    <xf numFmtId="0" fontId="58" fillId="2" borderId="46" xfId="9872" applyFont="1" applyFill="1" applyBorder="1" applyAlignment="1">
      <alignment horizontal="centerContinuous" vertical="center" wrapText="1"/>
    </xf>
    <xf numFmtId="0" fontId="58" fillId="0" borderId="46" xfId="9872" applyFont="1" applyBorder="1" applyAlignment="1">
      <alignment horizontal="centerContinuous" wrapText="1"/>
    </xf>
    <xf numFmtId="0" fontId="58" fillId="0" borderId="35" xfId="9872" applyFont="1" applyBorder="1" applyAlignment="1">
      <alignment horizontal="centerContinuous" wrapText="1"/>
    </xf>
    <xf numFmtId="0" fontId="78" fillId="11" borderId="0" xfId="9872" applyFont="1" applyFill="1"/>
    <xf numFmtId="2" fontId="78" fillId="11" borderId="0" xfId="9872" applyNumberFormat="1" applyFont="1" applyFill="1" applyAlignment="1">
      <alignment horizontal="center"/>
    </xf>
    <xf numFmtId="195" fontId="58" fillId="2" borderId="34" xfId="9871" applyNumberFormat="1" applyFont="1" applyFill="1" applyBorder="1" applyAlignment="1">
      <alignment horizontal="centerContinuous" vertical="center" wrapText="1"/>
    </xf>
    <xf numFmtId="0" fontId="58" fillId="0" borderId="34" xfId="9872" applyFont="1" applyBorder="1" applyAlignment="1">
      <alignment horizontal="centerContinuous" vertical="center" wrapText="1"/>
    </xf>
    <xf numFmtId="0" fontId="58" fillId="0" borderId="43" xfId="9872" applyFont="1" applyBorder="1" applyAlignment="1">
      <alignment horizontal="centerContinuous" vertical="center" wrapText="1"/>
    </xf>
    <xf numFmtId="0" fontId="58" fillId="2" borderId="11" xfId="9872" applyFont="1" applyFill="1" applyBorder="1" applyAlignment="1">
      <alignment horizontal="center" vertical="center" wrapText="1"/>
    </xf>
    <xf numFmtId="0" fontId="58" fillId="2" borderId="20" xfId="9872" applyFont="1" applyFill="1" applyBorder="1" applyAlignment="1">
      <alignment horizontal="center" vertical="center" wrapText="1"/>
    </xf>
    <xf numFmtId="0" fontId="58" fillId="2" borderId="42" xfId="9872" applyFont="1" applyFill="1" applyBorder="1" applyAlignment="1">
      <alignment horizontal="center" vertical="center" wrapText="1"/>
    </xf>
    <xf numFmtId="166" fontId="58" fillId="2" borderId="46" xfId="9871" applyFont="1" applyFill="1" applyBorder="1" applyAlignment="1">
      <alignment horizontal="center" vertical="center"/>
    </xf>
    <xf numFmtId="166" fontId="58" fillId="2" borderId="35" xfId="9871" applyFont="1" applyFill="1" applyBorder="1" applyAlignment="1">
      <alignment horizontal="center" vertical="center"/>
    </xf>
    <xf numFmtId="0" fontId="99" fillId="11" borderId="0" xfId="9872" applyFont="1" applyFill="1"/>
    <xf numFmtId="166" fontId="58" fillId="2" borderId="42" xfId="9871" applyFont="1" applyFill="1" applyBorder="1" applyAlignment="1">
      <alignment horizontal="center" vertical="center"/>
    </xf>
    <xf numFmtId="166" fontId="58" fillId="2" borderId="13" xfId="9871" applyFont="1" applyFill="1" applyBorder="1" applyAlignment="1">
      <alignment horizontal="center" vertical="center"/>
    </xf>
    <xf numFmtId="0" fontId="130" fillId="11" borderId="0" xfId="9872" applyFont="1" applyFill="1" applyAlignment="1">
      <alignment horizontal="center"/>
    </xf>
    <xf numFmtId="1" fontId="92" fillId="3" borderId="82" xfId="16" applyNumberFormat="1" applyFont="1" applyFill="1" applyBorder="1" applyAlignment="1">
      <alignment horizontal="center" vertical="center"/>
    </xf>
    <xf numFmtId="1" fontId="92" fillId="3" borderId="11" xfId="12" applyNumberFormat="1" applyFont="1" applyFill="1" applyBorder="1" applyAlignment="1" applyProtection="1">
      <alignment horizontal="center" vertical="center" wrapText="1"/>
    </xf>
    <xf numFmtId="166" fontId="58" fillId="2" borderId="8" xfId="9871" applyFont="1" applyFill="1" applyBorder="1" applyAlignment="1">
      <alignment horizontal="center" vertical="center" wrapText="1"/>
    </xf>
    <xf numFmtId="166" fontId="58" fillId="9" borderId="11" xfId="9871" applyFont="1" applyFill="1" applyBorder="1" applyAlignment="1">
      <alignment horizontal="center" vertical="center" wrapText="1"/>
    </xf>
    <xf numFmtId="166" fontId="58" fillId="9" borderId="20" xfId="9871" applyFont="1" applyFill="1" applyBorder="1" applyAlignment="1">
      <alignment horizontal="center" vertical="center"/>
    </xf>
    <xf numFmtId="166" fontId="58" fillId="9" borderId="82" xfId="9871" applyFont="1" applyFill="1" applyBorder="1" applyAlignment="1">
      <alignment horizontal="center" vertical="center" wrapText="1"/>
    </xf>
    <xf numFmtId="166" fontId="58" fillId="9" borderId="3" xfId="9871" applyFont="1" applyFill="1" applyBorder="1" applyAlignment="1">
      <alignment horizontal="center" vertical="center"/>
    </xf>
    <xf numFmtId="185" fontId="121" fillId="7" borderId="81" xfId="9871" applyNumberFormat="1" applyFont="1" applyFill="1" applyBorder="1" applyAlignment="1">
      <alignment horizontal="right"/>
    </xf>
    <xf numFmtId="179" fontId="0" fillId="11" borderId="0" xfId="9873" applyNumberFormat="1" applyFont="1" applyFill="1"/>
    <xf numFmtId="166" fontId="185" fillId="2" borderId="43" xfId="9871" applyFont="1" applyFill="1" applyBorder="1" applyAlignment="1">
      <alignment horizontal="center" vertical="center"/>
    </xf>
    <xf numFmtId="166" fontId="185" fillId="2" borderId="15" xfId="9871" applyFont="1" applyFill="1" applyBorder="1" applyAlignment="1">
      <alignment horizontal="center" vertical="center"/>
    </xf>
    <xf numFmtId="2" fontId="57" fillId="2" borderId="88" xfId="0" applyNumberFormat="1" applyFont="1" applyFill="1" applyBorder="1" applyAlignment="1">
      <alignment horizontal="center" vertical="center"/>
    </xf>
    <xf numFmtId="0" fontId="99" fillId="0" borderId="8" xfId="9872" applyFont="1" applyBorder="1" applyAlignment="1">
      <alignment horizontal="center" vertical="center"/>
    </xf>
    <xf numFmtId="0" fontId="99" fillId="0" borderId="15" xfId="9872" applyFont="1" applyBorder="1" applyAlignment="1">
      <alignment horizontal="center" vertical="center"/>
    </xf>
    <xf numFmtId="185" fontId="58" fillId="0" borderId="82" xfId="9871" applyNumberFormat="1" applyFont="1" applyFill="1" applyBorder="1" applyAlignment="1">
      <alignment horizontal="right"/>
    </xf>
    <xf numFmtId="185" fontId="98" fillId="0" borderId="82" xfId="9871" applyNumberFormat="1" applyFont="1" applyFill="1" applyBorder="1" applyAlignment="1">
      <alignment horizontal="right"/>
    </xf>
    <xf numFmtId="185" fontId="98" fillId="0" borderId="3" xfId="9871" applyNumberFormat="1" applyFont="1" applyFill="1" applyBorder="1" applyAlignment="1">
      <alignment horizontal="right"/>
    </xf>
    <xf numFmtId="185" fontId="58" fillId="0" borderId="3" xfId="9871" applyNumberFormat="1" applyFont="1" applyFill="1" applyBorder="1" applyAlignment="1">
      <alignment horizontal="right"/>
    </xf>
    <xf numFmtId="185" fontId="121" fillId="7" borderId="84" xfId="9871" applyNumberFormat="1" applyFont="1" applyFill="1" applyBorder="1" applyAlignment="1">
      <alignment horizontal="right"/>
    </xf>
    <xf numFmtId="2" fontId="57" fillId="2" borderId="49" xfId="0" applyNumberFormat="1" applyFont="1" applyFill="1" applyBorder="1" applyAlignment="1">
      <alignment horizontal="center" vertical="center"/>
    </xf>
    <xf numFmtId="0" fontId="191" fillId="2" borderId="0" xfId="0" applyFont="1" applyFill="1" applyAlignment="1">
      <alignment vertical="center"/>
    </xf>
    <xf numFmtId="0" fontId="190" fillId="2" borderId="49" xfId="0" applyFont="1" applyFill="1" applyBorder="1" applyAlignment="1">
      <alignment horizontal="center" vertical="center"/>
    </xf>
    <xf numFmtId="0" fontId="190" fillId="2" borderId="59" xfId="0" applyFont="1" applyFill="1" applyBorder="1" applyAlignment="1">
      <alignment horizontal="left" vertical="center"/>
    </xf>
    <xf numFmtId="0" fontId="53" fillId="2" borderId="46" xfId="15" applyFont="1" applyFill="1" applyBorder="1" applyAlignment="1">
      <alignment horizontal="center" vertical="center"/>
    </xf>
    <xf numFmtId="0" fontId="71" fillId="2" borderId="8" xfId="15" applyFont="1" applyFill="1" applyBorder="1" applyAlignment="1">
      <alignment horizontal="centerContinuous" vertical="center" wrapText="1"/>
    </xf>
    <xf numFmtId="4" fontId="76" fillId="0" borderId="3" xfId="17" applyNumberFormat="1" applyFont="1" applyBorder="1" applyAlignment="1">
      <alignment horizontal="center"/>
    </xf>
    <xf numFmtId="171" fontId="162" fillId="4" borderId="64" xfId="0" applyNumberFormat="1" applyFont="1" applyFill="1" applyBorder="1"/>
    <xf numFmtId="171" fontId="76" fillId="0" borderId="3" xfId="0" applyNumberFormat="1" applyFont="1" applyBorder="1"/>
    <xf numFmtId="0" fontId="123" fillId="2" borderId="14" xfId="0" applyFont="1" applyFill="1" applyBorder="1" applyAlignment="1">
      <alignment horizontal="centerContinuous" vertical="center" wrapText="1"/>
    </xf>
    <xf numFmtId="0" fontId="78" fillId="2" borderId="81" xfId="0" applyFont="1" applyFill="1" applyBorder="1" applyAlignment="1">
      <alignment horizontal="centerContinuous" vertical="center" wrapText="1"/>
    </xf>
    <xf numFmtId="171" fontId="171" fillId="8" borderId="83" xfId="0" applyNumberFormat="1" applyFont="1" applyFill="1" applyBorder="1"/>
    <xf numFmtId="171" fontId="98" fillId="8" borderId="25" xfId="0" applyNumberFormat="1" applyFont="1" applyFill="1" applyBorder="1"/>
    <xf numFmtId="184" fontId="92" fillId="4" borderId="22" xfId="0" applyNumberFormat="1" applyFont="1" applyFill="1" applyBorder="1"/>
    <xf numFmtId="184" fontId="76" fillId="0" borderId="4" xfId="0" applyNumberFormat="1" applyFont="1" applyBorder="1"/>
    <xf numFmtId="184" fontId="76" fillId="0" borderId="25" xfId="0" applyNumberFormat="1" applyFont="1" applyBorder="1"/>
    <xf numFmtId="0" fontId="72" fillId="2" borderId="45" xfId="0" applyFont="1" applyFill="1" applyBorder="1" applyAlignment="1">
      <alignment horizontal="center"/>
    </xf>
    <xf numFmtId="3" fontId="121" fillId="7" borderId="24" xfId="0" applyNumberFormat="1" applyFont="1" applyFill="1" applyBorder="1"/>
    <xf numFmtId="3" fontId="121" fillId="7" borderId="81" xfId="0" applyNumberFormat="1" applyFont="1" applyFill="1" applyBorder="1"/>
    <xf numFmtId="3" fontId="121" fillId="7" borderId="68" xfId="0" applyNumberFormat="1" applyFont="1" applyFill="1" applyBorder="1"/>
    <xf numFmtId="0" fontId="72" fillId="0" borderId="9" xfId="0" applyFont="1" applyBorder="1" applyAlignment="1">
      <alignment horizontal="centerContinuous" vertical="center" wrapText="1"/>
    </xf>
    <xf numFmtId="0" fontId="76" fillId="11" borderId="9" xfId="0" applyFont="1" applyFill="1" applyBorder="1" applyAlignment="1">
      <alignment horizontal="center" vertical="center" wrapText="1"/>
    </xf>
    <xf numFmtId="0" fontId="76" fillId="2" borderId="8" xfId="0" applyFont="1" applyFill="1" applyBorder="1" applyAlignment="1">
      <alignment horizontal="center"/>
    </xf>
    <xf numFmtId="0" fontId="72" fillId="0" borderId="11" xfId="0" applyFont="1" applyBorder="1" applyAlignment="1">
      <alignment horizontal="centerContinuous" vertical="center" wrapText="1"/>
    </xf>
    <xf numFmtId="3" fontId="58" fillId="0" borderId="97" xfId="0" applyNumberFormat="1" applyFont="1" applyBorder="1"/>
    <xf numFmtId="3" fontId="76" fillId="0" borderId="97" xfId="0" applyNumberFormat="1" applyFont="1" applyBorder="1"/>
    <xf numFmtId="3" fontId="76" fillId="0" borderId="97" xfId="0" applyNumberFormat="1" applyFont="1" applyBorder="1" applyAlignment="1">
      <alignment horizontal="right"/>
    </xf>
    <xf numFmtId="0" fontId="76" fillId="11" borderId="93" xfId="0" applyFont="1" applyFill="1" applyBorder="1" applyAlignment="1">
      <alignment horizontal="center" vertical="center" wrapText="1"/>
    </xf>
    <xf numFmtId="0" fontId="75" fillId="2" borderId="93" xfId="0" applyFont="1" applyFill="1" applyBorder="1" applyAlignment="1">
      <alignment horizontal="center" vertical="center"/>
    </xf>
    <xf numFmtId="0" fontId="58" fillId="2" borderId="7" xfId="16" quotePrefix="1" applyFont="1" applyFill="1" applyBorder="1" applyAlignment="1">
      <alignment horizontal="center" vertical="center" wrapText="1"/>
    </xf>
    <xf numFmtId="173" fontId="130" fillId="0" borderId="2" xfId="17" applyNumberFormat="1" applyFont="1" applyBorder="1"/>
    <xf numFmtId="173" fontId="130" fillId="0" borderId="81" xfId="17" applyNumberFormat="1" applyFont="1" applyBorder="1"/>
    <xf numFmtId="179" fontId="121" fillId="7" borderId="3" xfId="19" applyNumberFormat="1" applyFont="1" applyFill="1" applyBorder="1"/>
    <xf numFmtId="0" fontId="76" fillId="0" borderId="14" xfId="0" applyFont="1" applyBorder="1" applyAlignment="1">
      <alignment horizontal="centerContinuous" vertical="center" wrapText="1"/>
    </xf>
    <xf numFmtId="0" fontId="79" fillId="0" borderId="8" xfId="0" applyFont="1" applyBorder="1" applyAlignment="1">
      <alignment horizontal="centerContinuous" vertical="center" wrapText="1"/>
    </xf>
    <xf numFmtId="0" fontId="76" fillId="0" borderId="42" xfId="0" applyFont="1" applyBorder="1" applyAlignment="1">
      <alignment horizontal="centerContinuous" vertical="center" wrapText="1"/>
    </xf>
    <xf numFmtId="171" fontId="58" fillId="11" borderId="2" xfId="9854" applyNumberFormat="1" applyFont="1" applyFill="1" applyBorder="1"/>
    <xf numFmtId="171" fontId="58" fillId="11" borderId="0" xfId="9854" applyNumberFormat="1" applyFont="1" applyFill="1"/>
    <xf numFmtId="0" fontId="72" fillId="0" borderId="14" xfId="15" applyFont="1" applyBorder="1" applyAlignment="1">
      <alignment horizontal="centerContinuous" vertical="center" wrapText="1"/>
    </xf>
    <xf numFmtId="17" fontId="57" fillId="2" borderId="0" xfId="15" applyNumberFormat="1" applyFont="1" applyFill="1"/>
    <xf numFmtId="0" fontId="72" fillId="0" borderId="7" xfId="0" applyFont="1" applyBorder="1" applyAlignment="1">
      <alignment horizontal="centerContinuous" vertical="center" wrapText="1"/>
    </xf>
    <xf numFmtId="0" fontId="72" fillId="0" borderId="9" xfId="0" applyFont="1" applyBorder="1" applyAlignment="1">
      <alignment horizontal="centerContinuous" vertical="center"/>
    </xf>
    <xf numFmtId="0" fontId="72" fillId="0" borderId="14" xfId="0" applyFont="1" applyBorder="1" applyAlignment="1">
      <alignment horizontal="centerContinuous" vertical="center"/>
    </xf>
    <xf numFmtId="0" fontId="71" fillId="0" borderId="14" xfId="0" applyFont="1" applyBorder="1" applyAlignment="1">
      <alignment horizontal="centerContinuous" vertical="center" wrapText="1"/>
    </xf>
    <xf numFmtId="0" fontId="76" fillId="0" borderId="7" xfId="15" applyFont="1" applyBorder="1" applyAlignment="1">
      <alignment horizontal="centerContinuous" vertical="center" wrapText="1"/>
    </xf>
    <xf numFmtId="184" fontId="58" fillId="0" borderId="0" xfId="0" applyNumberFormat="1" applyFont="1"/>
    <xf numFmtId="185" fontId="58" fillId="0" borderId="0" xfId="0" applyNumberFormat="1" applyFont="1"/>
    <xf numFmtId="184" fontId="58" fillId="0" borderId="81" xfId="0" applyNumberFormat="1" applyFont="1" applyBorder="1"/>
    <xf numFmtId="185" fontId="58" fillId="0" borderId="81" xfId="0" applyNumberFormat="1" applyFont="1" applyBorder="1"/>
    <xf numFmtId="185" fontId="58" fillId="0" borderId="32" xfId="0" applyNumberFormat="1" applyFont="1" applyBorder="1"/>
    <xf numFmtId="184" fontId="58" fillId="0" borderId="95" xfId="0" applyNumberFormat="1" applyFont="1" applyBorder="1"/>
    <xf numFmtId="185" fontId="58" fillId="0" borderId="95" xfId="0" applyNumberFormat="1" applyFont="1" applyBorder="1"/>
    <xf numFmtId="175" fontId="121" fillId="7" borderId="81" xfId="0" applyNumberFormat="1" applyFont="1" applyFill="1" applyBorder="1"/>
    <xf numFmtId="175" fontId="58" fillId="0" borderId="81" xfId="0" applyNumberFormat="1" applyFont="1" applyBorder="1"/>
    <xf numFmtId="0" fontId="58" fillId="2" borderId="34" xfId="0" applyFont="1" applyFill="1" applyBorder="1"/>
    <xf numFmtId="0" fontId="58" fillId="2" borderId="40" xfId="0" applyFont="1" applyFill="1" applyBorder="1"/>
    <xf numFmtId="0" fontId="58" fillId="2" borderId="35" xfId="0" applyFont="1" applyFill="1" applyBorder="1"/>
    <xf numFmtId="0" fontId="71" fillId="0" borderId="13" xfId="0" applyFont="1" applyBorder="1" applyAlignment="1">
      <alignment horizontal="centerContinuous" vertical="center" wrapText="1"/>
    </xf>
    <xf numFmtId="0" fontId="71" fillId="2" borderId="14" xfId="0" quotePrefix="1" applyFont="1" applyFill="1" applyBorder="1" applyAlignment="1">
      <alignment horizontal="center" vertical="center" wrapText="1"/>
    </xf>
    <xf numFmtId="0" fontId="71" fillId="2" borderId="9" xfId="0" quotePrefix="1" applyFont="1" applyFill="1" applyBorder="1" applyAlignment="1">
      <alignment horizontal="center" vertical="center" wrapText="1"/>
    </xf>
    <xf numFmtId="0" fontId="71" fillId="2" borderId="13" xfId="0" quotePrefix="1" applyFont="1" applyFill="1" applyBorder="1" applyAlignment="1">
      <alignment horizontal="center" vertical="center" wrapText="1"/>
    </xf>
    <xf numFmtId="0" fontId="58" fillId="2" borderId="108"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58" fillId="2" borderId="13" xfId="0" applyFont="1" applyFill="1" applyBorder="1" applyAlignment="1">
      <alignment horizontal="center" vertical="center" wrapText="1"/>
    </xf>
    <xf numFmtId="0" fontId="71" fillId="2" borderId="6" xfId="0" quotePrefix="1" applyFont="1" applyFill="1" applyBorder="1" applyAlignment="1">
      <alignment horizontal="center" vertical="center" wrapText="1"/>
    </xf>
    <xf numFmtId="0" fontId="71" fillId="2" borderId="38" xfId="0" quotePrefix="1" applyFont="1" applyFill="1" applyBorder="1" applyAlignment="1">
      <alignment horizontal="center" vertical="center" wrapText="1"/>
    </xf>
    <xf numFmtId="0" fontId="71" fillId="2" borderId="55" xfId="0" quotePrefix="1" applyFont="1" applyFill="1" applyBorder="1" applyAlignment="1">
      <alignment horizontal="center" vertical="center" wrapText="1"/>
    </xf>
    <xf numFmtId="175" fontId="107" fillId="4" borderId="81" xfId="0" applyNumberFormat="1" applyFont="1" applyFill="1" applyBorder="1"/>
    <xf numFmtId="175" fontId="58" fillId="12" borderId="81" xfId="0" applyNumberFormat="1" applyFont="1" applyFill="1" applyBorder="1"/>
    <xf numFmtId="0" fontId="71" fillId="12" borderId="82" xfId="0" quotePrefix="1" applyFont="1" applyFill="1" applyBorder="1" applyAlignment="1">
      <alignment horizontal="center" vertical="center" wrapText="1"/>
    </xf>
    <xf numFmtId="175" fontId="213" fillId="7" borderId="82" xfId="0" applyNumberFormat="1" applyFont="1" applyFill="1" applyBorder="1"/>
    <xf numFmtId="179" fontId="133" fillId="0" borderId="82" xfId="19" applyNumberFormat="1" applyFont="1" applyBorder="1"/>
    <xf numFmtId="175" fontId="214" fillId="0" borderId="82" xfId="0" applyNumberFormat="1" applyFont="1" applyBorder="1"/>
    <xf numFmtId="177" fontId="58" fillId="0" borderId="32" xfId="0" applyNumberFormat="1" applyFont="1" applyBorder="1"/>
    <xf numFmtId="175" fontId="98" fillId="0" borderId="82" xfId="0" applyNumberFormat="1" applyFont="1" applyBorder="1"/>
    <xf numFmtId="166" fontId="58" fillId="0" borderId="3" xfId="9943" quotePrefix="1" applyFont="1" applyFill="1" applyBorder="1" applyAlignment="1">
      <alignment horizontal="center" vertical="center" wrapText="1"/>
    </xf>
    <xf numFmtId="175" fontId="92" fillId="12" borderId="81" xfId="0" applyNumberFormat="1" applyFont="1" applyFill="1" applyBorder="1"/>
    <xf numFmtId="179" fontId="123" fillId="0" borderId="82" xfId="19" applyNumberFormat="1" applyFont="1" applyBorder="1"/>
    <xf numFmtId="179" fontId="215" fillId="7" borderId="82" xfId="19" applyNumberFormat="1" applyFont="1" applyFill="1" applyBorder="1"/>
    <xf numFmtId="179" fontId="123" fillId="0" borderId="82" xfId="19" applyNumberFormat="1" applyFont="1" applyFill="1" applyBorder="1"/>
    <xf numFmtId="175" fontId="216" fillId="0" borderId="81" xfId="0" applyNumberFormat="1" applyFont="1" applyBorder="1" applyAlignment="1">
      <alignment horizontal="right"/>
    </xf>
    <xf numFmtId="175" fontId="130" fillId="0" borderId="82" xfId="0" applyNumberFormat="1" applyFont="1" applyBorder="1"/>
    <xf numFmtId="166" fontId="58" fillId="0" borderId="82" xfId="9943" applyFont="1" applyBorder="1"/>
    <xf numFmtId="175" fontId="167" fillId="7" borderId="61" xfId="0" applyNumberFormat="1" applyFont="1" applyFill="1" applyBorder="1"/>
    <xf numFmtId="175" fontId="213" fillId="7" borderId="69" xfId="0" applyNumberFormat="1" applyFont="1" applyFill="1" applyBorder="1"/>
    <xf numFmtId="166" fontId="121" fillId="7" borderId="71" xfId="9943" quotePrefix="1" applyFont="1" applyFill="1" applyBorder="1" applyAlignment="1">
      <alignment horizontal="center" vertical="center" wrapText="1"/>
    </xf>
    <xf numFmtId="175" fontId="213" fillId="7" borderId="63" xfId="0" applyNumberFormat="1" applyFont="1" applyFill="1" applyBorder="1"/>
    <xf numFmtId="177" fontId="167" fillId="7" borderId="63" xfId="0" applyNumberFormat="1" applyFont="1" applyFill="1" applyBorder="1"/>
    <xf numFmtId="175" fontId="107" fillId="4" borderId="68" xfId="0" applyNumberFormat="1" applyFont="1" applyFill="1" applyBorder="1"/>
    <xf numFmtId="179" fontId="215" fillId="7" borderId="61" xfId="19" applyNumberFormat="1" applyFont="1" applyFill="1" applyBorder="1"/>
    <xf numFmtId="1" fontId="76" fillId="0" borderId="9" xfId="0" applyNumberFormat="1" applyFont="1" applyBorder="1" applyAlignment="1">
      <alignment horizontal="center" vertical="center" wrapText="1"/>
    </xf>
    <xf numFmtId="0" fontId="57" fillId="0" borderId="83" xfId="0" applyFont="1" applyBorder="1"/>
    <xf numFmtId="0" fontId="71" fillId="0" borderId="21" xfId="0" applyFont="1" applyBorder="1" applyAlignment="1">
      <alignment horizontal="center" vertical="center" wrapText="1"/>
    </xf>
    <xf numFmtId="0" fontId="58" fillId="11" borderId="40" xfId="138" applyFont="1" applyFill="1" applyBorder="1"/>
    <xf numFmtId="0" fontId="58" fillId="11" borderId="34" xfId="138" applyFont="1" applyFill="1" applyBorder="1"/>
    <xf numFmtId="0" fontId="58" fillId="11" borderId="0" xfId="138" applyFont="1" applyFill="1"/>
    <xf numFmtId="1" fontId="71" fillId="11" borderId="8" xfId="9944" applyNumberFormat="1" applyFont="1" applyFill="1" applyBorder="1" applyAlignment="1">
      <alignment horizontal="centerContinuous" vertical="center" wrapText="1"/>
    </xf>
    <xf numFmtId="0" fontId="58" fillId="11" borderId="8" xfId="138" applyFont="1" applyFill="1" applyBorder="1" applyAlignment="1">
      <alignment horizontal="centerContinuous"/>
    </xf>
    <xf numFmtId="0" fontId="218" fillId="11" borderId="0" xfId="138" applyFont="1" applyFill="1" applyAlignment="1">
      <alignment vertical="center"/>
    </xf>
    <xf numFmtId="0" fontId="112" fillId="11" borderId="0" xfId="12" applyFont="1" applyFill="1" applyAlignment="1" applyProtection="1">
      <alignment vertical="center"/>
    </xf>
    <xf numFmtId="0" fontId="218" fillId="11" borderId="0" xfId="138" applyFont="1" applyFill="1" applyAlignment="1">
      <alignment horizontal="left" vertical="top" wrapText="1"/>
    </xf>
    <xf numFmtId="3" fontId="58" fillId="11" borderId="0" xfId="138" applyNumberFormat="1" applyFont="1" applyFill="1"/>
    <xf numFmtId="0" fontId="58" fillId="11" borderId="14" xfId="138" applyFont="1" applyFill="1" applyBorder="1"/>
    <xf numFmtId="0" fontId="58" fillId="11" borderId="9" xfId="138" applyFont="1" applyFill="1" applyBorder="1"/>
    <xf numFmtId="2" fontId="58" fillId="0" borderId="3" xfId="9944" applyNumberFormat="1" applyFont="1" applyBorder="1" applyAlignment="1">
      <alignment horizontal="center"/>
    </xf>
    <xf numFmtId="0" fontId="53" fillId="11" borderId="0" xfId="138" applyFill="1"/>
    <xf numFmtId="0" fontId="25" fillId="11" borderId="0" xfId="9944" applyFill="1"/>
    <xf numFmtId="0" fontId="218" fillId="11" borderId="0" xfId="138" applyFont="1" applyFill="1" applyAlignment="1">
      <alignment vertical="top"/>
    </xf>
    <xf numFmtId="17" fontId="218" fillId="11" borderId="0" xfId="138" applyNumberFormat="1" applyFont="1" applyFill="1"/>
    <xf numFmtId="0" fontId="58" fillId="11" borderId="35" xfId="138" applyFont="1" applyFill="1" applyBorder="1"/>
    <xf numFmtId="1" fontId="71" fillId="11" borderId="15" xfId="9944" applyNumberFormat="1" applyFont="1" applyFill="1" applyBorder="1" applyAlignment="1">
      <alignment horizontal="centerContinuous" vertical="center" wrapText="1"/>
    </xf>
    <xf numFmtId="0" fontId="58" fillId="11" borderId="15" xfId="138" applyFont="1" applyFill="1" applyBorder="1" applyAlignment="1">
      <alignment horizontal="centerContinuous"/>
    </xf>
    <xf numFmtId="0" fontId="58" fillId="2" borderId="15" xfId="9944" applyFont="1" applyFill="1" applyBorder="1" applyAlignment="1">
      <alignment horizontal="center" vertical="center" wrapText="1"/>
    </xf>
    <xf numFmtId="0" fontId="58" fillId="11" borderId="13" xfId="138" applyFont="1" applyFill="1" applyBorder="1"/>
    <xf numFmtId="0" fontId="58" fillId="11" borderId="15" xfId="138" applyFont="1" applyFill="1" applyBorder="1"/>
    <xf numFmtId="170" fontId="121" fillId="7" borderId="81" xfId="9944" applyNumberFormat="1" applyFont="1" applyFill="1" applyBorder="1" applyAlignment="1">
      <alignment horizontal="right" vertical="center"/>
    </xf>
    <xf numFmtId="170" fontId="121" fillId="7" borderId="3" xfId="9944" applyNumberFormat="1" applyFont="1" applyFill="1" applyBorder="1" applyAlignment="1">
      <alignment horizontal="right" vertical="center"/>
    </xf>
    <xf numFmtId="1" fontId="71" fillId="11" borderId="14" xfId="9944" applyNumberFormat="1" applyFont="1" applyFill="1" applyBorder="1" applyAlignment="1">
      <alignment horizontal="centerContinuous" vertical="center" wrapText="1"/>
    </xf>
    <xf numFmtId="1" fontId="71" fillId="11" borderId="9" xfId="9944" applyNumberFormat="1" applyFont="1" applyFill="1" applyBorder="1" applyAlignment="1">
      <alignment horizontal="centerContinuous" vertical="center" wrapText="1"/>
    </xf>
    <xf numFmtId="0" fontId="58" fillId="11" borderId="9" xfId="138" applyFont="1" applyFill="1" applyBorder="1" applyAlignment="1">
      <alignment horizontal="centerContinuous"/>
    </xf>
    <xf numFmtId="0" fontId="58" fillId="11" borderId="13" xfId="138" applyFont="1" applyFill="1" applyBorder="1" applyAlignment="1">
      <alignment horizontal="centerContinuous"/>
    </xf>
    <xf numFmtId="0" fontId="71" fillId="11" borderId="19" xfId="138" applyFont="1" applyFill="1" applyBorder="1" applyAlignment="1">
      <alignment horizontal="centerContinuous" vertical="center" wrapText="1"/>
    </xf>
    <xf numFmtId="0" fontId="58" fillId="11" borderId="14" xfId="138" applyFont="1" applyFill="1" applyBorder="1" applyAlignment="1">
      <alignment horizontal="centerContinuous"/>
    </xf>
    <xf numFmtId="1" fontId="71" fillId="11" borderId="15" xfId="9944" applyNumberFormat="1" applyFont="1" applyFill="1" applyBorder="1" applyAlignment="1">
      <alignment horizontal="center" vertical="center" wrapText="1"/>
    </xf>
    <xf numFmtId="171" fontId="121" fillId="7" borderId="81" xfId="9944" applyNumberFormat="1" applyFont="1" applyFill="1" applyBorder="1" applyAlignment="1">
      <alignment horizontal="right" vertical="center"/>
    </xf>
    <xf numFmtId="171" fontId="121" fillId="7" borderId="3" xfId="9944" applyNumberFormat="1" applyFont="1" applyFill="1" applyBorder="1" applyAlignment="1">
      <alignment horizontal="right" vertical="center"/>
    </xf>
    <xf numFmtId="171" fontId="58" fillId="0" borderId="83" xfId="9944" applyNumberFormat="1" applyFont="1" applyBorder="1" applyAlignment="1">
      <alignment horizontal="right" vertical="center"/>
    </xf>
    <xf numFmtId="0" fontId="218" fillId="11" borderId="0" xfId="138" applyFont="1" applyFill="1" applyAlignment="1">
      <alignment wrapText="1"/>
    </xf>
    <xf numFmtId="166" fontId="185" fillId="2" borderId="35" xfId="9871" applyFont="1" applyFill="1" applyBorder="1" applyAlignment="1">
      <alignment horizontal="center" vertical="center"/>
    </xf>
    <xf numFmtId="0" fontId="71" fillId="2" borderId="9" xfId="9945" applyFont="1" applyFill="1" applyBorder="1" applyAlignment="1">
      <alignment horizontal="centerContinuous" vertical="center" wrapText="1"/>
    </xf>
    <xf numFmtId="0" fontId="71" fillId="2" borderId="13" xfId="9945" applyFont="1" applyFill="1" applyBorder="1" applyAlignment="1">
      <alignment horizontal="centerContinuous" vertical="center" wrapText="1"/>
    </xf>
    <xf numFmtId="0" fontId="188" fillId="11" borderId="0" xfId="9945" applyFont="1" applyFill="1"/>
    <xf numFmtId="1" fontId="71" fillId="2" borderId="8" xfId="9945" applyNumberFormat="1" applyFont="1" applyFill="1" applyBorder="1" applyAlignment="1">
      <alignment horizontal="centerContinuous" vertical="center" wrapText="1"/>
    </xf>
    <xf numFmtId="1" fontId="71" fillId="2" borderId="15" xfId="9945" applyNumberFormat="1" applyFont="1" applyFill="1" applyBorder="1" applyAlignment="1">
      <alignment horizontal="centerContinuous" vertical="center" wrapText="1"/>
    </xf>
    <xf numFmtId="0" fontId="112" fillId="0" borderId="0" xfId="12" applyFont="1" applyAlignment="1" applyProtection="1"/>
    <xf numFmtId="0" fontId="71" fillId="2" borderId="14" xfId="9945" applyFont="1" applyFill="1" applyBorder="1" applyAlignment="1">
      <alignment horizontal="centerContinuous" vertical="center" wrapText="1"/>
    </xf>
    <xf numFmtId="0" fontId="58" fillId="2" borderId="14" xfId="9945" applyFont="1" applyFill="1" applyBorder="1" applyAlignment="1">
      <alignment horizontal="center" vertical="center" wrapText="1"/>
    </xf>
    <xf numFmtId="0" fontId="58" fillId="2" borderId="93" xfId="9945" applyFont="1" applyFill="1" applyBorder="1" applyAlignment="1">
      <alignment horizontal="center" vertical="center" wrapText="1"/>
    </xf>
    <xf numFmtId="0" fontId="58" fillId="2" borderId="109" xfId="9945" applyFont="1" applyFill="1" applyBorder="1" applyAlignment="1">
      <alignment horizontal="center" vertical="center" wrapText="1"/>
    </xf>
    <xf numFmtId="0" fontId="218" fillId="11" borderId="0" xfId="9945" applyFont="1" applyFill="1"/>
    <xf numFmtId="0" fontId="58" fillId="2" borderId="14" xfId="9945" applyFont="1" applyFill="1" applyBorder="1" applyAlignment="1">
      <alignment horizontal="centerContinuous" vertical="center" wrapText="1"/>
    </xf>
    <xf numFmtId="0" fontId="58" fillId="2" borderId="109" xfId="9945" applyFont="1" applyFill="1" applyBorder="1" applyAlignment="1">
      <alignment horizontal="centerContinuous" vertical="center" wrapText="1"/>
    </xf>
    <xf numFmtId="0" fontId="58" fillId="2" borderId="9" xfId="9945" applyFont="1" applyFill="1" applyBorder="1" applyAlignment="1">
      <alignment horizontal="center" vertical="center" wrapText="1"/>
    </xf>
    <xf numFmtId="0" fontId="58" fillId="2" borderId="110" xfId="9945" applyFont="1" applyFill="1" applyBorder="1" applyAlignment="1">
      <alignment horizontal="center" vertical="center" wrapText="1"/>
    </xf>
    <xf numFmtId="0" fontId="188" fillId="11" borderId="9" xfId="9945" applyFont="1" applyFill="1" applyBorder="1"/>
    <xf numFmtId="0" fontId="188" fillId="11" borderId="109" xfId="9945" applyFont="1" applyFill="1" applyBorder="1"/>
    <xf numFmtId="0" fontId="75" fillId="2" borderId="93" xfId="138" applyFont="1" applyFill="1" applyBorder="1" applyAlignment="1">
      <alignment horizontal="center" vertical="center"/>
    </xf>
    <xf numFmtId="0" fontId="75" fillId="2" borderId="109" xfId="138" applyFont="1" applyFill="1" applyBorder="1" applyAlignment="1">
      <alignment horizontal="center" vertical="center"/>
    </xf>
    <xf numFmtId="0" fontId="218" fillId="0" borderId="0" xfId="138" applyFont="1" applyAlignment="1">
      <alignment horizontal="centerContinuous"/>
    </xf>
    <xf numFmtId="0" fontId="218" fillId="0" borderId="111" xfId="138" applyFont="1" applyBorder="1" applyAlignment="1">
      <alignment horizontal="centerContinuous" vertical="center" wrapText="1"/>
    </xf>
    <xf numFmtId="0" fontId="188" fillId="11" borderId="112" xfId="9945" applyFont="1" applyFill="1" applyBorder="1"/>
    <xf numFmtId="2" fontId="58" fillId="0" borderId="3" xfId="9945" applyNumberFormat="1" applyFont="1" applyBorder="1" applyAlignment="1">
      <alignment horizontal="center"/>
    </xf>
    <xf numFmtId="170" fontId="121" fillId="7" borderId="36" xfId="9945" applyNumberFormat="1" applyFont="1" applyFill="1" applyBorder="1"/>
    <xf numFmtId="170" fontId="121" fillId="7" borderId="96" xfId="9945" applyNumberFormat="1" applyFont="1" applyFill="1" applyBorder="1"/>
    <xf numFmtId="170" fontId="121" fillId="7" borderId="113" xfId="9945" applyNumberFormat="1" applyFont="1" applyFill="1" applyBorder="1"/>
    <xf numFmtId="170" fontId="121" fillId="7" borderId="114" xfId="9945" applyNumberFormat="1" applyFont="1" applyFill="1" applyBorder="1"/>
    <xf numFmtId="0" fontId="24" fillId="11" borderId="0" xfId="9945" applyFill="1"/>
    <xf numFmtId="170" fontId="58" fillId="0" borderId="81" xfId="9945" applyNumberFormat="1" applyFont="1" applyBorder="1"/>
    <xf numFmtId="170" fontId="58" fillId="0" borderId="111" xfId="9945" applyNumberFormat="1" applyFont="1" applyBorder="1"/>
    <xf numFmtId="170" fontId="58" fillId="0" borderId="112" xfId="9945" applyNumberFormat="1" applyFont="1" applyBorder="1"/>
    <xf numFmtId="175" fontId="101" fillId="0" borderId="2" xfId="0" applyNumberFormat="1" applyFont="1" applyBorder="1"/>
    <xf numFmtId="0" fontId="76" fillId="2" borderId="91" xfId="0" applyFont="1" applyFill="1" applyBorder="1" applyAlignment="1">
      <alignment horizontal="center" vertical="center"/>
    </xf>
    <xf numFmtId="0" fontId="75" fillId="2" borderId="91" xfId="0" applyFont="1" applyFill="1" applyBorder="1" applyAlignment="1">
      <alignment horizontal="center" vertical="center"/>
    </xf>
    <xf numFmtId="175" fontId="58" fillId="0" borderId="95" xfId="0" applyNumberFormat="1" applyFont="1" applyBorder="1"/>
    <xf numFmtId="175" fontId="92" fillId="4" borderId="115" xfId="0" applyNumberFormat="1" applyFont="1" applyFill="1" applyBorder="1"/>
    <xf numFmtId="175" fontId="92" fillId="4" borderId="64" xfId="0" applyNumberFormat="1" applyFont="1" applyFill="1" applyBorder="1"/>
    <xf numFmtId="0" fontId="76" fillId="2" borderId="42" xfId="0" applyFont="1" applyFill="1" applyBorder="1" applyAlignment="1">
      <alignment horizontal="center" vertical="center"/>
    </xf>
    <xf numFmtId="0" fontId="58" fillId="0" borderId="95" xfId="0" applyFont="1" applyBorder="1"/>
    <xf numFmtId="0" fontId="72" fillId="2" borderId="9" xfId="0" applyFont="1" applyFill="1" applyBorder="1" applyAlignment="1">
      <alignment horizontal="center" vertical="center"/>
    </xf>
    <xf numFmtId="0" fontId="72" fillId="0" borderId="53" xfId="0" applyFont="1" applyBorder="1" applyAlignment="1">
      <alignment horizontal="center" vertical="center"/>
    </xf>
    <xf numFmtId="175" fontId="92" fillId="4" borderId="57" xfId="0" applyNumberFormat="1" applyFont="1" applyFill="1" applyBorder="1"/>
    <xf numFmtId="0" fontId="72" fillId="2" borderId="93" xfId="0" applyFont="1" applyFill="1" applyBorder="1" applyAlignment="1">
      <alignment horizontal="center" vertical="center"/>
    </xf>
    <xf numFmtId="0" fontId="72" fillId="0" borderId="116" xfId="0" applyFont="1" applyBorder="1" applyAlignment="1">
      <alignment horizontal="center" vertical="center"/>
    </xf>
    <xf numFmtId="175" fontId="92" fillId="4" borderId="117" xfId="0" applyNumberFormat="1" applyFont="1" applyFill="1" applyBorder="1"/>
    <xf numFmtId="175" fontId="58" fillId="0" borderId="111" xfId="0" applyNumberFormat="1" applyFont="1" applyBorder="1"/>
    <xf numFmtId="0" fontId="72" fillId="2" borderId="14" xfId="0" applyFont="1" applyFill="1" applyBorder="1" applyAlignment="1">
      <alignment horizontal="center" vertical="center"/>
    </xf>
    <xf numFmtId="0" fontId="72" fillId="0" borderId="6" xfId="0" applyFont="1" applyBorder="1" applyAlignment="1">
      <alignment horizontal="center" vertical="center"/>
    </xf>
    <xf numFmtId="175" fontId="92" fillId="8" borderId="81" xfId="0" applyNumberFormat="1" applyFont="1" applyFill="1" applyBorder="1"/>
    <xf numFmtId="175" fontId="58" fillId="8" borderId="81" xfId="0" applyNumberFormat="1" applyFont="1" applyFill="1" applyBorder="1"/>
    <xf numFmtId="175" fontId="92" fillId="8" borderId="111" xfId="0" applyNumberFormat="1" applyFont="1" applyFill="1" applyBorder="1"/>
    <xf numFmtId="175" fontId="58" fillId="8" borderId="111" xfId="0" applyNumberFormat="1" applyFont="1" applyFill="1" applyBorder="1"/>
    <xf numFmtId="0" fontId="72" fillId="2" borderId="6" xfId="0" applyFont="1" applyFill="1" applyBorder="1" applyAlignment="1">
      <alignment horizontal="center" vertical="center"/>
    </xf>
    <xf numFmtId="175" fontId="125" fillId="4" borderId="81" xfId="0" applyNumberFormat="1" applyFont="1" applyFill="1" applyBorder="1"/>
    <xf numFmtId="175" fontId="123" fillId="0" borderId="81" xfId="0" applyNumberFormat="1" applyFont="1" applyBorder="1"/>
    <xf numFmtId="0" fontId="72" fillId="2" borderId="116" xfId="0" applyFont="1" applyFill="1" applyBorder="1" applyAlignment="1">
      <alignment horizontal="center" vertical="center"/>
    </xf>
    <xf numFmtId="175" fontId="92" fillId="4" borderId="118" xfId="0" applyNumberFormat="1" applyFont="1" applyFill="1" applyBorder="1"/>
    <xf numFmtId="175" fontId="92" fillId="4" borderId="111" xfId="0" applyNumberFormat="1" applyFont="1" applyFill="1" applyBorder="1"/>
    <xf numFmtId="175" fontId="104" fillId="5" borderId="81" xfId="0" applyNumberFormat="1" applyFont="1" applyFill="1" applyBorder="1"/>
    <xf numFmtId="175" fontId="104" fillId="5" borderId="111" xfId="0" applyNumberFormat="1" applyFont="1" applyFill="1" applyBorder="1"/>
    <xf numFmtId="175" fontId="125" fillId="4" borderId="23" xfId="0" applyNumberFormat="1" applyFont="1" applyFill="1" applyBorder="1"/>
    <xf numFmtId="0" fontId="72" fillId="2" borderId="109" xfId="0" applyFont="1" applyFill="1" applyBorder="1" applyAlignment="1">
      <alignment horizontal="center" vertical="center"/>
    </xf>
    <xf numFmtId="0" fontId="75" fillId="2" borderId="109" xfId="0" applyFont="1" applyFill="1" applyBorder="1" applyAlignment="1">
      <alignment horizontal="center" vertical="center"/>
    </xf>
    <xf numFmtId="0" fontId="72" fillId="2" borderId="119" xfId="0" applyFont="1" applyFill="1" applyBorder="1" applyAlignment="1">
      <alignment horizontal="center" vertical="center"/>
    </xf>
    <xf numFmtId="175" fontId="92" fillId="4" borderId="112" xfId="0" applyNumberFormat="1" applyFont="1" applyFill="1" applyBorder="1"/>
    <xf numFmtId="175" fontId="58" fillId="0" borderId="112" xfId="0" applyNumberFormat="1" applyFont="1" applyBorder="1"/>
    <xf numFmtId="171" fontId="58" fillId="0" borderId="2" xfId="0" applyNumberFormat="1" applyFont="1" applyBorder="1"/>
    <xf numFmtId="171" fontId="92" fillId="4" borderId="2" xfId="0" applyNumberFormat="1" applyFont="1" applyFill="1" applyBorder="1"/>
    <xf numFmtId="10" fontId="92" fillId="4" borderId="3" xfId="0" applyNumberFormat="1" applyFont="1" applyFill="1" applyBorder="1"/>
    <xf numFmtId="10" fontId="58" fillId="0" borderId="3" xfId="0" applyNumberFormat="1" applyFont="1" applyBorder="1"/>
    <xf numFmtId="10" fontId="76" fillId="0" borderId="3" xfId="0" applyNumberFormat="1" applyFont="1" applyBorder="1"/>
    <xf numFmtId="10" fontId="76" fillId="2" borderId="13" xfId="0" applyNumberFormat="1" applyFont="1" applyFill="1" applyBorder="1" applyAlignment="1">
      <alignment horizontal="center" vertical="center"/>
    </xf>
    <xf numFmtId="49" fontId="75" fillId="2" borderId="13" xfId="0" applyNumberFormat="1" applyFont="1" applyFill="1" applyBorder="1" applyAlignment="1">
      <alignment horizontal="center" vertical="center"/>
    </xf>
    <xf numFmtId="10" fontId="70" fillId="5" borderId="3" xfId="0" applyNumberFormat="1" applyFont="1" applyFill="1" applyBorder="1"/>
    <xf numFmtId="10" fontId="76" fillId="2" borderId="13" xfId="0" applyNumberFormat="1" applyFont="1" applyFill="1" applyBorder="1" applyAlignment="1">
      <alignment horizontal="center" vertical="center" wrapText="1"/>
    </xf>
    <xf numFmtId="10" fontId="92" fillId="4" borderId="95" xfId="0" applyNumberFormat="1" applyFont="1" applyFill="1" applyBorder="1"/>
    <xf numFmtId="10" fontId="58" fillId="0" borderId="95" xfId="0" applyNumberFormat="1" applyFont="1" applyBorder="1"/>
    <xf numFmtId="10" fontId="76" fillId="0" borderId="95" xfId="0" applyNumberFormat="1" applyFont="1" applyBorder="1"/>
    <xf numFmtId="10" fontId="76" fillId="2" borderId="91" xfId="0" applyNumberFormat="1" applyFont="1" applyFill="1" applyBorder="1" applyAlignment="1">
      <alignment horizontal="center" vertical="center"/>
    </xf>
    <xf numFmtId="1" fontId="75" fillId="2" borderId="91" xfId="0" applyNumberFormat="1" applyFont="1" applyFill="1" applyBorder="1" applyAlignment="1">
      <alignment horizontal="center" vertical="center"/>
    </xf>
    <xf numFmtId="0" fontId="72" fillId="2" borderId="120" xfId="0" quotePrefix="1" applyFont="1" applyFill="1" applyBorder="1" applyAlignment="1">
      <alignment horizontal="center" vertical="center" wrapText="1"/>
    </xf>
    <xf numFmtId="171" fontId="92" fillId="5" borderId="95" xfId="0" applyNumberFormat="1" applyFont="1" applyFill="1" applyBorder="1"/>
    <xf numFmtId="0" fontId="76" fillId="2" borderId="91" xfId="0" applyFont="1" applyFill="1" applyBorder="1" applyAlignment="1">
      <alignment horizontal="center" vertical="center" wrapText="1"/>
    </xf>
    <xf numFmtId="171" fontId="162" fillId="4" borderId="18" xfId="0" applyNumberFormat="1" applyFont="1" applyFill="1" applyBorder="1"/>
    <xf numFmtId="171" fontId="58" fillId="0" borderId="2" xfId="0" applyNumberFormat="1" applyFont="1" applyBorder="1" applyAlignment="1">
      <alignment horizontal="right" vertical="center"/>
    </xf>
    <xf numFmtId="1" fontId="75" fillId="2" borderId="91" xfId="0" applyNumberFormat="1" applyFont="1" applyFill="1" applyBorder="1" applyAlignment="1">
      <alignment horizontal="center"/>
    </xf>
    <xf numFmtId="171" fontId="98" fillId="0" borderId="115" xfId="0" applyNumberFormat="1" applyFont="1" applyBorder="1"/>
    <xf numFmtId="171" fontId="98" fillId="0" borderId="95" xfId="0" applyNumberFormat="1" applyFont="1" applyBorder="1"/>
    <xf numFmtId="171" fontId="121" fillId="7" borderId="95" xfId="0" applyNumberFormat="1" applyFont="1" applyFill="1" applyBorder="1" applyAlignment="1">
      <alignment horizontal="right" vertical="center"/>
    </xf>
    <xf numFmtId="171" fontId="58" fillId="0" borderId="95" xfId="0" applyNumberFormat="1" applyFont="1" applyBorder="1" applyAlignment="1">
      <alignment horizontal="right" vertical="center"/>
    </xf>
    <xf numFmtId="171" fontId="76" fillId="0" borderId="95" xfId="0" applyNumberFormat="1" applyFont="1" applyBorder="1"/>
    <xf numFmtId="10" fontId="76" fillId="2" borderId="9" xfId="0" applyNumberFormat="1" applyFont="1" applyFill="1" applyBorder="1" applyAlignment="1">
      <alignment horizontal="center" vertical="center" wrapText="1"/>
    </xf>
    <xf numFmtId="10" fontId="92" fillId="2" borderId="38" xfId="0" applyNumberFormat="1" applyFont="1" applyFill="1" applyBorder="1" applyAlignment="1">
      <alignment horizontal="center"/>
    </xf>
    <xf numFmtId="171" fontId="76" fillId="0" borderId="81" xfId="0" applyNumberFormat="1" applyFont="1" applyBorder="1"/>
    <xf numFmtId="10" fontId="92" fillId="2" borderId="39" xfId="0" applyNumberFormat="1" applyFont="1" applyFill="1" applyBorder="1" applyAlignment="1">
      <alignment horizontal="center"/>
    </xf>
    <xf numFmtId="171" fontId="92" fillId="4" borderId="115" xfId="0" applyNumberFormat="1" applyFont="1" applyFill="1" applyBorder="1"/>
    <xf numFmtId="171" fontId="58" fillId="0" borderId="95" xfId="0" applyNumberFormat="1" applyFont="1" applyBorder="1" applyAlignment="1">
      <alignment horizontal="right"/>
    </xf>
    <xf numFmtId="171" fontId="58" fillId="0" borderId="95" xfId="0" applyNumberFormat="1" applyFont="1" applyBorder="1"/>
    <xf numFmtId="0" fontId="72" fillId="0" borderId="7" xfId="16" quotePrefix="1" applyFont="1" applyBorder="1" applyAlignment="1">
      <alignment horizontal="center" vertical="center" wrapText="1"/>
    </xf>
    <xf numFmtId="179" fontId="91" fillId="2" borderId="7" xfId="19" applyNumberFormat="1" applyFont="1" applyFill="1" applyBorder="1" applyAlignment="1">
      <alignment horizontal="center" vertical="center"/>
    </xf>
    <xf numFmtId="0" fontId="76" fillId="2" borderId="7" xfId="16" applyFont="1" applyFill="1" applyBorder="1" applyAlignment="1">
      <alignment horizontal="center" vertical="center" wrapText="1"/>
    </xf>
    <xf numFmtId="0" fontId="72" fillId="0" borderId="42" xfId="16" applyFont="1" applyBorder="1" applyAlignment="1">
      <alignment horizontal="center" vertical="center" wrapText="1"/>
    </xf>
    <xf numFmtId="0" fontId="76" fillId="0" borderId="42" xfId="16" applyFont="1" applyBorder="1" applyAlignment="1">
      <alignment horizontal="center" vertical="center" wrapText="1"/>
    </xf>
    <xf numFmtId="179" fontId="162" fillId="4" borderId="62" xfId="19" applyNumberFormat="1" applyFont="1" applyFill="1" applyBorder="1" applyAlignment="1">
      <alignment horizontal="right"/>
    </xf>
    <xf numFmtId="179" fontId="123" fillId="0" borderId="32" xfId="19" applyNumberFormat="1" applyFont="1" applyBorder="1"/>
    <xf numFmtId="0" fontId="76" fillId="2" borderId="91" xfId="16" applyFont="1" applyFill="1" applyBorder="1" applyAlignment="1">
      <alignment horizontal="center" vertical="center" wrapText="1"/>
    </xf>
    <xf numFmtId="170" fontId="98" fillId="0" borderId="95" xfId="0" applyNumberFormat="1" applyFont="1" applyBorder="1"/>
    <xf numFmtId="170" fontId="107" fillId="4" borderId="95" xfId="0" applyNumberFormat="1" applyFont="1" applyFill="1" applyBorder="1"/>
    <xf numFmtId="170" fontId="76" fillId="0" borderId="95" xfId="0" applyNumberFormat="1" applyFont="1" applyBorder="1"/>
    <xf numFmtId="0" fontId="76" fillId="0" borderId="34" xfId="16" quotePrefix="1" applyFont="1" applyBorder="1" applyAlignment="1">
      <alignment horizontal="center" vertical="center" wrapText="1"/>
    </xf>
    <xf numFmtId="0" fontId="76" fillId="0" borderId="19" xfId="16" applyFont="1" applyBorder="1" applyAlignment="1">
      <alignment horizontal="center" vertical="center"/>
    </xf>
    <xf numFmtId="170" fontId="93" fillId="5" borderId="57" xfId="0" applyNumberFormat="1" applyFont="1" applyFill="1" applyBorder="1"/>
    <xf numFmtId="170" fontId="93" fillId="5" borderId="0" xfId="0" applyNumberFormat="1" applyFont="1" applyFill="1"/>
    <xf numFmtId="170" fontId="107" fillId="4" borderId="67" xfId="0" applyNumberFormat="1" applyFont="1" applyFill="1" applyBorder="1"/>
    <xf numFmtId="0" fontId="76" fillId="2" borderId="42" xfId="16" applyFont="1" applyFill="1" applyBorder="1" applyAlignment="1">
      <alignment horizontal="center" vertical="center" wrapText="1"/>
    </xf>
    <xf numFmtId="170" fontId="107" fillId="4" borderId="62" xfId="0" applyNumberFormat="1" applyFont="1" applyFill="1" applyBorder="1"/>
    <xf numFmtId="0" fontId="76" fillId="0" borderId="91" xfId="16" applyFont="1" applyBorder="1" applyAlignment="1">
      <alignment horizontal="center" vertical="center" wrapText="1"/>
    </xf>
    <xf numFmtId="0" fontId="76" fillId="0" borderId="94" xfId="16" applyFont="1" applyBorder="1" applyAlignment="1">
      <alignment horizontal="center" vertical="center"/>
    </xf>
    <xf numFmtId="0" fontId="72" fillId="2" borderId="120" xfId="16" quotePrefix="1" applyFont="1" applyFill="1" applyBorder="1" applyAlignment="1">
      <alignment horizontal="center" vertical="center" wrapText="1"/>
    </xf>
    <xf numFmtId="170" fontId="93" fillId="5" borderId="115" xfId="0" applyNumberFormat="1" applyFont="1" applyFill="1" applyBorder="1"/>
    <xf numFmtId="170" fontId="93" fillId="5" borderId="95" xfId="0" applyNumberFormat="1" applyFont="1" applyFill="1" applyBorder="1"/>
    <xf numFmtId="0" fontId="76" fillId="0" borderId="34" xfId="16" applyFont="1" applyBorder="1" applyAlignment="1">
      <alignment horizontal="center" vertical="center" wrapText="1"/>
    </xf>
    <xf numFmtId="0" fontId="76" fillId="2" borderId="9" xfId="16" applyFont="1" applyFill="1" applyBorder="1" applyAlignment="1">
      <alignment horizontal="center" vertical="center" wrapText="1"/>
    </xf>
    <xf numFmtId="170" fontId="107" fillId="4" borderId="0" xfId="0" applyNumberFormat="1" applyFont="1" applyFill="1"/>
    <xf numFmtId="180" fontId="76" fillId="0" borderId="19" xfId="19" applyNumberFormat="1" applyFont="1" applyFill="1" applyBorder="1" applyAlignment="1">
      <alignment horizontal="center" vertical="center"/>
    </xf>
    <xf numFmtId="0" fontId="76" fillId="0" borderId="40" xfId="16" quotePrefix="1" applyFont="1" applyBorder="1" applyAlignment="1">
      <alignment horizontal="center" vertical="center" wrapText="1"/>
    </xf>
    <xf numFmtId="180" fontId="76" fillId="2" borderId="14" xfId="19" applyNumberFormat="1" applyFont="1" applyFill="1" applyBorder="1" applyAlignment="1">
      <alignment horizontal="center" vertical="center"/>
    </xf>
    <xf numFmtId="170" fontId="93" fillId="5" borderId="81" xfId="0" applyNumberFormat="1" applyFont="1" applyFill="1" applyBorder="1"/>
    <xf numFmtId="0" fontId="76" fillId="0" borderId="91" xfId="16" quotePrefix="1" applyFont="1" applyBorder="1" applyAlignment="1">
      <alignment horizontal="center" vertical="center" wrapText="1"/>
    </xf>
    <xf numFmtId="180" fontId="76" fillId="2" borderId="91" xfId="19" applyNumberFormat="1" applyFont="1" applyFill="1" applyBorder="1" applyAlignment="1">
      <alignment horizontal="center" vertical="center"/>
    </xf>
    <xf numFmtId="1" fontId="72" fillId="2" borderId="120" xfId="16" quotePrefix="1" applyNumberFormat="1" applyFont="1" applyFill="1" applyBorder="1" applyAlignment="1">
      <alignment horizontal="center" vertical="center" wrapText="1"/>
    </xf>
    <xf numFmtId="180" fontId="76" fillId="2" borderId="9" xfId="19" applyNumberFormat="1" applyFont="1" applyFill="1" applyBorder="1" applyAlignment="1">
      <alignment horizontal="center" vertical="center"/>
    </xf>
    <xf numFmtId="0" fontId="76" fillId="0" borderId="35" xfId="16" quotePrefix="1" applyFont="1" applyBorder="1" applyAlignment="1">
      <alignment horizontal="center" vertical="center" wrapText="1"/>
    </xf>
    <xf numFmtId="180" fontId="76" fillId="2" borderId="19" xfId="19" applyNumberFormat="1" applyFont="1" applyFill="1" applyBorder="1" applyAlignment="1">
      <alignment horizontal="center" vertical="center"/>
    </xf>
    <xf numFmtId="170" fontId="93" fillId="5" borderId="18" xfId="0" applyNumberFormat="1" applyFont="1" applyFill="1" applyBorder="1"/>
    <xf numFmtId="170" fontId="93" fillId="5" borderId="3" xfId="0" applyNumberFormat="1" applyFont="1" applyFill="1" applyBorder="1"/>
    <xf numFmtId="0" fontId="58" fillId="0" borderId="121" xfId="16" applyFont="1" applyBorder="1" applyAlignment="1">
      <alignment horizontal="center" vertical="center" wrapText="1"/>
    </xf>
    <xf numFmtId="179" fontId="91" fillId="2" borderId="126" xfId="19" applyNumberFormat="1" applyFont="1" applyFill="1" applyBorder="1" applyAlignment="1">
      <alignment horizontal="center" vertical="center"/>
    </xf>
    <xf numFmtId="0" fontId="58" fillId="11" borderId="121" xfId="16" applyFont="1" applyFill="1" applyBorder="1" applyAlignment="1">
      <alignment horizontal="center" vertical="center" wrapText="1"/>
    </xf>
    <xf numFmtId="1" fontId="75" fillId="2" borderId="121" xfId="21" applyNumberFormat="1" applyFont="1" applyFill="1" applyBorder="1" applyAlignment="1">
      <alignment horizontal="center" vertical="center"/>
    </xf>
    <xf numFmtId="0" fontId="71" fillId="2" borderId="122" xfId="16" applyFont="1" applyFill="1" applyBorder="1" applyAlignment="1">
      <alignment horizontal="center" vertical="center" wrapText="1"/>
    </xf>
    <xf numFmtId="3" fontId="98" fillId="8" borderId="125" xfId="21" applyNumberFormat="1" applyFont="1" applyFill="1" applyBorder="1"/>
    <xf numFmtId="3" fontId="121" fillId="4" borderId="125" xfId="21" applyNumberFormat="1" applyFont="1" applyFill="1" applyBorder="1"/>
    <xf numFmtId="3" fontId="58" fillId="0" borderId="125" xfId="21" applyNumberFormat="1" applyFont="1" applyBorder="1"/>
    <xf numFmtId="0" fontId="58" fillId="0" borderId="92" xfId="16" applyFont="1" applyBorder="1" applyAlignment="1">
      <alignment horizontal="center" vertical="center" wrapText="1"/>
    </xf>
    <xf numFmtId="0" fontId="58" fillId="2" borderId="125" xfId="16" applyFont="1" applyFill="1" applyBorder="1" applyAlignment="1">
      <alignment vertical="center"/>
    </xf>
    <xf numFmtId="1" fontId="75" fillId="2" borderId="92" xfId="21" applyNumberFormat="1" applyFont="1" applyFill="1" applyBorder="1" applyAlignment="1">
      <alignment horizontal="center" vertical="center"/>
    </xf>
    <xf numFmtId="0" fontId="71" fillId="2" borderId="127" xfId="16" quotePrefix="1" applyFont="1" applyFill="1" applyBorder="1" applyAlignment="1">
      <alignment horizontal="center" vertical="center" wrapText="1"/>
    </xf>
    <xf numFmtId="3" fontId="98" fillId="8" borderId="123" xfId="21" applyNumberFormat="1" applyFont="1" applyFill="1" applyBorder="1"/>
    <xf numFmtId="3" fontId="121" fillId="4" borderId="124" xfId="21" applyNumberFormat="1" applyFont="1" applyFill="1" applyBorder="1"/>
    <xf numFmtId="3" fontId="58" fillId="0" borderId="123" xfId="21" applyNumberFormat="1" applyFont="1" applyBorder="1"/>
    <xf numFmtId="0" fontId="58" fillId="11" borderId="9" xfId="16" applyFont="1" applyFill="1" applyBorder="1" applyAlignment="1">
      <alignment horizontal="center" vertical="center" wrapText="1"/>
    </xf>
    <xf numFmtId="3" fontId="98" fillId="8" borderId="0" xfId="21" applyNumberFormat="1" applyFont="1" applyFill="1"/>
    <xf numFmtId="3" fontId="121" fillId="4" borderId="0" xfId="21" applyNumberFormat="1" applyFont="1" applyFill="1"/>
    <xf numFmtId="3" fontId="58" fillId="0" borderId="0" xfId="21" applyNumberFormat="1" applyFont="1"/>
    <xf numFmtId="0" fontId="58" fillId="11" borderId="91" xfId="16" quotePrefix="1" applyFont="1" applyFill="1" applyBorder="1" applyAlignment="1">
      <alignment horizontal="center" vertical="center" wrapText="1"/>
    </xf>
    <xf numFmtId="0" fontId="58" fillId="0" borderId="91" xfId="16" applyFont="1" applyBorder="1" applyAlignment="1">
      <alignment horizontal="center" vertical="center"/>
    </xf>
    <xf numFmtId="0" fontId="58" fillId="11" borderId="91" xfId="16" applyFont="1" applyFill="1" applyBorder="1" applyAlignment="1">
      <alignment horizontal="center" vertical="center" wrapText="1"/>
    </xf>
    <xf numFmtId="1" fontId="75" fillId="2" borderId="91" xfId="21" applyNumberFormat="1" applyFont="1" applyFill="1" applyBorder="1" applyAlignment="1">
      <alignment horizontal="center" vertical="center"/>
    </xf>
    <xf numFmtId="0" fontId="71" fillId="2" borderId="120" xfId="16" quotePrefix="1" applyFont="1" applyFill="1" applyBorder="1" applyAlignment="1">
      <alignment horizontal="center" vertical="center" wrapText="1"/>
    </xf>
    <xf numFmtId="3" fontId="98" fillId="8" borderId="95" xfId="21" applyNumberFormat="1" applyFont="1" applyFill="1" applyBorder="1"/>
    <xf numFmtId="3" fontId="121" fillId="4" borderId="95" xfId="21" applyNumberFormat="1" applyFont="1" applyFill="1" applyBorder="1"/>
    <xf numFmtId="3" fontId="58" fillId="0" borderId="95" xfId="21" applyNumberFormat="1" applyFont="1" applyBorder="1"/>
    <xf numFmtId="1" fontId="75" fillId="2" borderId="13" xfId="21" applyNumberFormat="1" applyFont="1" applyFill="1" applyBorder="1" applyAlignment="1">
      <alignment horizontal="center" vertical="center"/>
    </xf>
    <xf numFmtId="3" fontId="58" fillId="8" borderId="3" xfId="21" applyNumberFormat="1" applyFont="1" applyFill="1" applyBorder="1"/>
    <xf numFmtId="3" fontId="98" fillId="8" borderId="3" xfId="21" applyNumberFormat="1" applyFont="1" applyFill="1" applyBorder="1"/>
    <xf numFmtId="3" fontId="162" fillId="4" borderId="3" xfId="21" applyNumberFormat="1" applyFont="1" applyFill="1" applyBorder="1"/>
    <xf numFmtId="3" fontId="123" fillId="0" borderId="3" xfId="21" applyNumberFormat="1" applyFont="1" applyBorder="1"/>
    <xf numFmtId="0" fontId="71" fillId="2" borderId="120" xfId="16" applyFont="1" applyFill="1" applyBorder="1" applyAlignment="1">
      <alignment horizontal="center" vertical="center" wrapText="1"/>
    </xf>
    <xf numFmtId="3" fontId="98" fillId="0" borderId="95" xfId="21" applyNumberFormat="1" applyFont="1" applyBorder="1"/>
    <xf numFmtId="1" fontId="75" fillId="2" borderId="14" xfId="21" applyNumberFormat="1" applyFont="1" applyFill="1" applyBorder="1" applyAlignment="1">
      <alignment horizontal="center" vertical="center"/>
    </xf>
    <xf numFmtId="3" fontId="98" fillId="8" borderId="81" xfId="21" applyNumberFormat="1" applyFont="1" applyFill="1" applyBorder="1"/>
    <xf numFmtId="3" fontId="98" fillId="0" borderId="81" xfId="21" applyNumberFormat="1" applyFont="1" applyBorder="1"/>
    <xf numFmtId="3" fontId="121" fillId="4" borderId="67" xfId="21" applyNumberFormat="1" applyFont="1" applyFill="1" applyBorder="1"/>
    <xf numFmtId="0" fontId="58" fillId="0" borderId="91" xfId="16" applyFont="1" applyBorder="1" applyAlignment="1">
      <alignment horizontal="center" vertical="center" wrapText="1"/>
    </xf>
    <xf numFmtId="0" fontId="58" fillId="2" borderId="91" xfId="16" applyFont="1" applyFill="1" applyBorder="1" applyAlignment="1">
      <alignment vertical="center"/>
    </xf>
    <xf numFmtId="3" fontId="98" fillId="0" borderId="0" xfId="21" applyNumberFormat="1" applyFont="1"/>
    <xf numFmtId="3" fontId="58" fillId="8" borderId="0" xfId="21" applyNumberFormat="1" applyFont="1" applyFill="1"/>
    <xf numFmtId="3" fontId="121" fillId="4" borderId="32" xfId="21" applyNumberFormat="1" applyFont="1" applyFill="1" applyBorder="1"/>
    <xf numFmtId="0" fontId="123" fillId="0" borderId="42" xfId="16" applyFont="1" applyBorder="1" applyAlignment="1">
      <alignment horizontal="center" vertical="center" wrapText="1"/>
    </xf>
    <xf numFmtId="0" fontId="58" fillId="0" borderId="42" xfId="16" applyFont="1" applyBorder="1" applyAlignment="1">
      <alignment horizontal="center" vertical="center"/>
    </xf>
    <xf numFmtId="0" fontId="71" fillId="2" borderId="44" xfId="16" quotePrefix="1" applyFont="1" applyFill="1" applyBorder="1" applyAlignment="1">
      <alignment horizontal="center" vertical="center" wrapText="1"/>
    </xf>
    <xf numFmtId="3" fontId="162" fillId="4" borderId="62" xfId="21" applyNumberFormat="1" applyFont="1" applyFill="1" applyBorder="1"/>
    <xf numFmtId="3" fontId="123" fillId="0" borderId="32" xfId="21" applyNumberFormat="1" applyFont="1" applyBorder="1"/>
    <xf numFmtId="0" fontId="58" fillId="0" borderId="128" xfId="16" applyFont="1" applyBorder="1" applyAlignment="1">
      <alignment horizontal="center" vertical="center"/>
    </xf>
    <xf numFmtId="3" fontId="121" fillId="4" borderId="129" xfId="21" applyNumberFormat="1" applyFont="1" applyFill="1" applyBorder="1"/>
    <xf numFmtId="3" fontId="98" fillId="0" borderId="125" xfId="21" applyNumberFormat="1" applyFont="1" applyBorder="1"/>
    <xf numFmtId="0" fontId="123" fillId="2" borderId="42" xfId="16" applyFont="1" applyFill="1" applyBorder="1" applyAlignment="1">
      <alignment horizontal="center" vertical="center" wrapText="1"/>
    </xf>
    <xf numFmtId="0" fontId="58" fillId="11" borderId="92" xfId="16" applyFont="1" applyFill="1" applyBorder="1" applyAlignment="1">
      <alignment horizontal="center" vertical="center" wrapText="1"/>
    </xf>
    <xf numFmtId="3" fontId="121" fillId="4" borderId="123" xfId="21" applyNumberFormat="1" applyFont="1" applyFill="1" applyBorder="1"/>
    <xf numFmtId="0" fontId="58" fillId="2" borderId="9" xfId="13" applyFont="1" applyFill="1" applyBorder="1" applyAlignment="1">
      <alignment horizontal="centerContinuous" vertical="center" wrapText="1"/>
    </xf>
    <xf numFmtId="172" fontId="58" fillId="8" borderId="23" xfId="14" applyNumberFormat="1" applyFont="1" applyFill="1" applyBorder="1"/>
    <xf numFmtId="172" fontId="58" fillId="8" borderId="81" xfId="14" applyNumberFormat="1" applyFont="1" applyFill="1" applyBorder="1"/>
    <xf numFmtId="172" fontId="58" fillId="8" borderId="31" xfId="14" applyNumberFormat="1" applyFont="1" applyFill="1" applyBorder="1"/>
    <xf numFmtId="172" fontId="58" fillId="8" borderId="32" xfId="14" applyNumberFormat="1" applyFont="1" applyFill="1" applyBorder="1"/>
    <xf numFmtId="0" fontId="71" fillId="2" borderId="120" xfId="13" applyFont="1" applyFill="1" applyBorder="1" applyAlignment="1">
      <alignment horizontal="centerContinuous" vertical="center" wrapText="1"/>
    </xf>
    <xf numFmtId="172" fontId="58" fillId="8" borderId="115" xfId="14" applyNumberFormat="1" applyFont="1" applyFill="1" applyBorder="1"/>
    <xf numFmtId="172" fontId="58" fillId="8" borderId="95" xfId="14" applyNumberFormat="1" applyFont="1" applyFill="1" applyBorder="1"/>
    <xf numFmtId="0" fontId="58" fillId="2" borderId="91" xfId="13" applyFont="1" applyFill="1" applyBorder="1" applyAlignment="1">
      <alignment horizontal="centerContinuous" vertical="center" wrapText="1"/>
    </xf>
    <xf numFmtId="0" fontId="58" fillId="2" borderId="13" xfId="13" applyFont="1" applyFill="1" applyBorder="1" applyAlignment="1">
      <alignment horizontal="centerContinuous" vertical="center" wrapText="1"/>
    </xf>
    <xf numFmtId="170" fontId="92" fillId="4" borderId="32" xfId="0" applyNumberFormat="1" applyFont="1" applyFill="1" applyBorder="1"/>
    <xf numFmtId="0" fontId="72" fillId="2" borderId="91" xfId="0" applyFont="1" applyFill="1" applyBorder="1" applyAlignment="1">
      <alignment horizontal="centerContinuous" vertical="center" wrapText="1"/>
    </xf>
    <xf numFmtId="0" fontId="72" fillId="2" borderId="91" xfId="0" applyFont="1" applyFill="1" applyBorder="1" applyAlignment="1">
      <alignment horizontal="center" vertical="center" wrapText="1"/>
    </xf>
    <xf numFmtId="170" fontId="76" fillId="5" borderId="95" xfId="0" applyNumberFormat="1" applyFont="1" applyFill="1" applyBorder="1"/>
    <xf numFmtId="170" fontId="92" fillId="5" borderId="95" xfId="0" applyNumberFormat="1" applyFont="1" applyFill="1" applyBorder="1"/>
    <xf numFmtId="170" fontId="92" fillId="4" borderId="95" xfId="0" applyNumberFormat="1" applyFont="1" applyFill="1" applyBorder="1"/>
    <xf numFmtId="0" fontId="58" fillId="2" borderId="14" xfId="0" quotePrefix="1" applyFont="1" applyFill="1" applyBorder="1" applyAlignment="1">
      <alignment horizontal="center" vertical="center" wrapText="1"/>
    </xf>
    <xf numFmtId="0" fontId="58" fillId="2" borderId="14" xfId="227" applyFont="1" applyFill="1" applyBorder="1" applyAlignment="1">
      <alignment horizontal="center" vertical="center" wrapText="1"/>
    </xf>
    <xf numFmtId="0" fontId="75" fillId="2" borderId="14" xfId="227" applyFont="1" applyFill="1" applyBorder="1" applyAlignment="1">
      <alignment horizontal="center" vertical="center"/>
    </xf>
    <xf numFmtId="170" fontId="92" fillId="4" borderId="113" xfId="227" applyNumberFormat="1" applyFont="1" applyFill="1" applyBorder="1"/>
    <xf numFmtId="170" fontId="58" fillId="0" borderId="81" xfId="227" applyNumberFormat="1" applyFont="1" applyBorder="1"/>
    <xf numFmtId="170" fontId="92" fillId="4" borderId="131" xfId="227" applyNumberFormat="1" applyFont="1" applyFill="1" applyBorder="1"/>
    <xf numFmtId="1" fontId="58" fillId="0" borderId="91" xfId="227" applyNumberFormat="1" applyFont="1" applyBorder="1" applyAlignment="1">
      <alignment horizontal="center" vertical="center" wrapText="1"/>
    </xf>
    <xf numFmtId="0" fontId="71" fillId="2" borderId="91" xfId="227" applyFont="1" applyFill="1" applyBorder="1" applyAlignment="1">
      <alignment horizontal="centerContinuous" vertical="center" wrapText="1"/>
    </xf>
    <xf numFmtId="0" fontId="58" fillId="2" borderId="91" xfId="227" applyFont="1" applyFill="1" applyBorder="1" applyAlignment="1">
      <alignment horizontal="center" vertical="center" wrapText="1"/>
    </xf>
    <xf numFmtId="0" fontId="75" fillId="2" borderId="91" xfId="227" applyFont="1" applyFill="1" applyBorder="1" applyAlignment="1">
      <alignment horizontal="center" vertical="center"/>
    </xf>
    <xf numFmtId="170" fontId="92" fillId="4" borderId="94" xfId="227" applyNumberFormat="1" applyFont="1" applyFill="1" applyBorder="1"/>
    <xf numFmtId="170" fontId="58" fillId="0" borderId="95" xfId="227" applyNumberFormat="1" applyFont="1" applyBorder="1"/>
    <xf numFmtId="0" fontId="185" fillId="0" borderId="14" xfId="9870" applyFont="1" applyBorder="1" applyAlignment="1">
      <alignment horizontal="center" vertical="center"/>
    </xf>
    <xf numFmtId="184" fontId="121" fillId="7" borderId="113" xfId="9870" applyNumberFormat="1" applyFont="1" applyFill="1" applyBorder="1"/>
    <xf numFmtId="210" fontId="58" fillId="0" borderId="109" xfId="138" quotePrefix="1" applyNumberFormat="1" applyFont="1" applyBorder="1" applyAlignment="1">
      <alignment horizontal="center" vertical="center" wrapText="1" readingOrder="1"/>
    </xf>
    <xf numFmtId="0" fontId="187" fillId="11" borderId="109" xfId="9870" applyFont="1" applyFill="1" applyBorder="1" applyAlignment="1">
      <alignment horizontal="center" vertical="center" wrapText="1"/>
    </xf>
    <xf numFmtId="2" fontId="58" fillId="0" borderId="109" xfId="9870" applyNumberFormat="1" applyFont="1" applyBorder="1" applyAlignment="1">
      <alignment horizontal="center" vertical="center" wrapText="1"/>
    </xf>
    <xf numFmtId="0" fontId="185" fillId="0" borderId="109" xfId="9870" applyFont="1" applyBorder="1" applyAlignment="1">
      <alignment horizontal="center" vertical="center"/>
    </xf>
    <xf numFmtId="0" fontId="32" fillId="0" borderId="109" xfId="9870" applyBorder="1"/>
    <xf numFmtId="184" fontId="162" fillId="7" borderId="114" xfId="9870" applyNumberFormat="1" applyFont="1" applyFill="1" applyBorder="1"/>
    <xf numFmtId="184" fontId="123" fillId="0" borderId="112" xfId="9870" applyNumberFormat="1" applyFont="1" applyBorder="1"/>
    <xf numFmtId="4" fontId="123" fillId="0" borderId="112" xfId="9870" applyNumberFormat="1" applyFont="1" applyBorder="1"/>
    <xf numFmtId="184" fontId="121" fillId="7" borderId="132" xfId="9870" applyNumberFormat="1" applyFont="1" applyFill="1" applyBorder="1"/>
    <xf numFmtId="0" fontId="150" fillId="11" borderId="0" xfId="9870" applyFont="1" applyFill="1" applyAlignment="1">
      <alignment horizontal="centerContinuous"/>
    </xf>
    <xf numFmtId="0" fontId="32" fillId="11" borderId="0" xfId="9870" applyFill="1" applyAlignment="1">
      <alignment horizontal="centerContinuous"/>
    </xf>
    <xf numFmtId="0" fontId="32" fillId="11" borderId="3" xfId="9870" applyFill="1" applyBorder="1"/>
    <xf numFmtId="181" fontId="76" fillId="0" borderId="2" xfId="0" applyNumberFormat="1" applyFont="1" applyBorder="1"/>
    <xf numFmtId="0" fontId="72" fillId="2" borderId="133" xfId="0" applyFont="1" applyFill="1" applyBorder="1" applyAlignment="1">
      <alignment horizontal="center" vertical="center"/>
    </xf>
    <xf numFmtId="177" fontId="76" fillId="5" borderId="134" xfId="0" applyNumberFormat="1" applyFont="1" applyFill="1" applyBorder="1"/>
    <xf numFmtId="179" fontId="162" fillId="7" borderId="134" xfId="0" applyNumberFormat="1" applyFont="1" applyFill="1" applyBorder="1"/>
    <xf numFmtId="179" fontId="123" fillId="0" borderId="134" xfId="0" applyNumberFormat="1" applyFont="1" applyBorder="1"/>
    <xf numFmtId="0" fontId="76" fillId="2" borderId="110" xfId="0" applyFont="1" applyFill="1" applyBorder="1" applyAlignment="1">
      <alignment horizontal="center" vertical="center" wrapText="1"/>
    </xf>
    <xf numFmtId="0" fontId="75" fillId="2" borderId="110" xfId="0" applyFont="1" applyFill="1" applyBorder="1" applyAlignment="1">
      <alignment horizontal="center" vertical="center"/>
    </xf>
    <xf numFmtId="0" fontId="76" fillId="2" borderId="81" xfId="0" applyFont="1" applyFill="1" applyBorder="1" applyAlignment="1">
      <alignment vertical="center"/>
    </xf>
    <xf numFmtId="0" fontId="76" fillId="2" borderId="81" xfId="0" applyFont="1" applyFill="1" applyBorder="1" applyAlignment="1">
      <alignment horizontal="centerContinuous" vertical="center"/>
    </xf>
    <xf numFmtId="177" fontId="76" fillId="5" borderId="81" xfId="0" applyNumberFormat="1" applyFont="1" applyFill="1" applyBorder="1"/>
    <xf numFmtId="175" fontId="121" fillId="7" borderId="81" xfId="0" applyNumberFormat="1" applyFont="1" applyFill="1" applyBorder="1" applyAlignment="1">
      <alignment horizontal="right"/>
    </xf>
    <xf numFmtId="175" fontId="76" fillId="0" borderId="81" xfId="0" applyNumberFormat="1" applyFont="1" applyBorder="1" applyAlignment="1">
      <alignment horizontal="right"/>
    </xf>
    <xf numFmtId="175" fontId="76" fillId="0" borderId="81" xfId="0" applyNumberFormat="1" applyFont="1" applyBorder="1" applyAlignment="1">
      <alignment horizontal="center"/>
    </xf>
    <xf numFmtId="0" fontId="76" fillId="2" borderId="109" xfId="0" applyFont="1" applyFill="1" applyBorder="1" applyAlignment="1">
      <alignment horizontal="center" vertical="center" wrapText="1"/>
    </xf>
    <xf numFmtId="0" fontId="72" fillId="2" borderId="119" xfId="0" quotePrefix="1" applyFont="1" applyFill="1" applyBorder="1" applyAlignment="1">
      <alignment horizontal="center" vertical="center"/>
    </xf>
    <xf numFmtId="177" fontId="76" fillId="5" borderId="135" xfId="0" applyNumberFormat="1" applyFont="1" applyFill="1" applyBorder="1"/>
    <xf numFmtId="177" fontId="76" fillId="5" borderId="112" xfId="0" applyNumberFormat="1" applyFont="1" applyFill="1" applyBorder="1"/>
    <xf numFmtId="179" fontId="125" fillId="7" borderId="112" xfId="0" applyNumberFormat="1" applyFont="1" applyFill="1" applyBorder="1"/>
    <xf numFmtId="179" fontId="123" fillId="0" borderId="112" xfId="0" applyNumberFormat="1" applyFont="1" applyBorder="1"/>
    <xf numFmtId="0" fontId="76" fillId="2" borderId="40" xfId="0" applyFont="1" applyFill="1" applyBorder="1" applyAlignment="1">
      <alignment vertical="center"/>
    </xf>
    <xf numFmtId="0" fontId="72" fillId="2" borderId="46" xfId="16" quotePrefix="1" applyFont="1" applyFill="1" applyBorder="1" applyAlignment="1">
      <alignment horizontal="centerContinuous" vertical="center" wrapText="1"/>
    </xf>
    <xf numFmtId="0" fontId="72" fillId="2" borderId="8" xfId="16" applyFont="1" applyFill="1" applyBorder="1" applyAlignment="1">
      <alignment horizontal="center" vertical="center" wrapText="1"/>
    </xf>
    <xf numFmtId="0" fontId="76" fillId="2" borderId="14" xfId="16" quotePrefix="1" applyFont="1" applyFill="1" applyBorder="1" applyAlignment="1">
      <alignment horizontal="center" vertical="center" wrapText="1"/>
    </xf>
    <xf numFmtId="0" fontId="72" fillId="2" borderId="37" xfId="16" quotePrefix="1" applyFont="1" applyFill="1" applyBorder="1" applyAlignment="1">
      <alignment horizontal="center" vertical="center" wrapText="1"/>
    </xf>
    <xf numFmtId="0" fontId="74" fillId="2" borderId="14" xfId="16" applyFont="1" applyFill="1" applyBorder="1" applyAlignment="1">
      <alignment horizontal="centerContinuous" vertical="center" wrapText="1"/>
    </xf>
    <xf numFmtId="172" fontId="92" fillId="4" borderId="52" xfId="16" applyNumberFormat="1" applyFont="1" applyFill="1" applyBorder="1"/>
    <xf numFmtId="172" fontId="162" fillId="4" borderId="68" xfId="16" applyNumberFormat="1" applyFont="1" applyFill="1" applyBorder="1"/>
    <xf numFmtId="10" fontId="76" fillId="5" borderId="23" xfId="16" applyNumberFormat="1" applyFont="1" applyFill="1" applyBorder="1"/>
    <xf numFmtId="10" fontId="76" fillId="5" borderId="81" xfId="16" applyNumberFormat="1" applyFont="1" applyFill="1" applyBorder="1"/>
    <xf numFmtId="10" fontId="92" fillId="4" borderId="81" xfId="16" applyNumberFormat="1" applyFont="1" applyFill="1" applyBorder="1"/>
    <xf numFmtId="10" fontId="76" fillId="0" borderId="81" xfId="16" applyNumberFormat="1" applyFont="1" applyBorder="1"/>
    <xf numFmtId="174" fontId="84" fillId="5" borderId="81" xfId="0" applyNumberFormat="1" applyFont="1" applyFill="1" applyBorder="1" applyAlignment="1">
      <alignment horizontal="center"/>
    </xf>
    <xf numFmtId="174" fontId="70" fillId="5" borderId="81" xfId="0" applyNumberFormat="1" applyFont="1" applyFill="1" applyBorder="1" applyAlignment="1">
      <alignment vertical="center" wrapText="1"/>
    </xf>
    <xf numFmtId="181" fontId="84" fillId="5" borderId="81" xfId="0" applyNumberFormat="1" applyFont="1" applyFill="1" applyBorder="1" applyAlignment="1">
      <alignment horizontal="center"/>
    </xf>
    <xf numFmtId="179" fontId="58" fillId="0" borderId="3" xfId="19" applyNumberFormat="1" applyFont="1" applyFill="1" applyBorder="1"/>
    <xf numFmtId="1" fontId="72" fillId="2" borderId="136" xfId="16" quotePrefix="1" applyNumberFormat="1" applyFont="1" applyFill="1" applyBorder="1" applyAlignment="1">
      <alignment horizontal="center" vertical="center" wrapText="1"/>
    </xf>
    <xf numFmtId="0" fontId="72" fillId="0" borderId="110" xfId="16" quotePrefix="1" applyFont="1" applyBorder="1" applyAlignment="1">
      <alignment horizontal="center" vertical="center" wrapText="1"/>
    </xf>
    <xf numFmtId="179" fontId="91" fillId="2" borderId="110" xfId="19" applyNumberFormat="1" applyFont="1" applyFill="1" applyBorder="1" applyAlignment="1">
      <alignment horizontal="center" vertical="center"/>
    </xf>
    <xf numFmtId="0" fontId="76" fillId="2" borderId="110" xfId="16" applyFont="1" applyFill="1" applyBorder="1" applyAlignment="1">
      <alignment horizontal="center" vertical="center" wrapText="1"/>
    </xf>
    <xf numFmtId="0" fontId="72" fillId="2" borderId="133" xfId="16" applyFont="1" applyFill="1" applyBorder="1" applyAlignment="1">
      <alignment horizontal="center" vertical="center" wrapText="1"/>
    </xf>
    <xf numFmtId="170" fontId="98" fillId="0" borderId="134" xfId="0" applyNumberFormat="1" applyFont="1" applyBorder="1"/>
    <xf numFmtId="170" fontId="107" fillId="4" borderId="134" xfId="0" applyNumberFormat="1" applyFont="1" applyFill="1" applyBorder="1"/>
    <xf numFmtId="170" fontId="76" fillId="0" borderId="134" xfId="0" applyNumberFormat="1" applyFont="1" applyBorder="1"/>
    <xf numFmtId="179" fontId="91" fillId="2" borderId="137" xfId="19" applyNumberFormat="1" applyFont="1" applyFill="1" applyBorder="1" applyAlignment="1">
      <alignment horizontal="center" vertical="center"/>
    </xf>
    <xf numFmtId="0" fontId="72" fillId="2" borderId="44" xfId="16" applyFont="1" applyFill="1" applyBorder="1" applyAlignment="1">
      <alignment horizontal="center" vertical="center" wrapText="1"/>
    </xf>
    <xf numFmtId="170" fontId="93" fillId="5" borderId="22" xfId="0" applyNumberFormat="1" applyFont="1" applyFill="1" applyBorder="1"/>
    <xf numFmtId="170" fontId="93" fillId="5" borderId="82" xfId="0" applyNumberFormat="1" applyFont="1" applyFill="1" applyBorder="1"/>
    <xf numFmtId="172" fontId="162" fillId="4" borderId="82" xfId="0" applyNumberFormat="1" applyFont="1" applyFill="1" applyBorder="1"/>
    <xf numFmtId="172" fontId="123" fillId="0" borderId="82" xfId="0" applyNumberFormat="1" applyFont="1" applyBorder="1"/>
    <xf numFmtId="0" fontId="72" fillId="2" borderId="15" xfId="0" applyFont="1" applyFill="1" applyBorder="1" applyAlignment="1">
      <alignment horizontal="center" vertical="center" wrapText="1"/>
    </xf>
    <xf numFmtId="0" fontId="71" fillId="2" borderId="92" xfId="227" applyFont="1" applyFill="1" applyBorder="1" applyAlignment="1">
      <alignment horizontal="center" vertical="center" wrapText="1"/>
    </xf>
    <xf numFmtId="0" fontId="71" fillId="2" borderId="91" xfId="227" applyFont="1" applyFill="1" applyBorder="1" applyAlignment="1">
      <alignment horizontal="center" vertical="center" wrapText="1"/>
    </xf>
    <xf numFmtId="0" fontId="71" fillId="2" borderId="93" xfId="227" applyFont="1" applyFill="1" applyBorder="1" applyAlignment="1">
      <alignment horizontal="center" vertical="center" wrapText="1"/>
    </xf>
    <xf numFmtId="170" fontId="92" fillId="4" borderId="3" xfId="227" applyNumberFormat="1" applyFont="1" applyFill="1" applyBorder="1"/>
    <xf numFmtId="1" fontId="58" fillId="0" borderId="92" xfId="227" applyNumberFormat="1" applyFont="1" applyBorder="1" applyAlignment="1">
      <alignment horizontal="center" vertical="center" wrapText="1"/>
    </xf>
    <xf numFmtId="0" fontId="71" fillId="2" borderId="92" xfId="227" applyFont="1" applyFill="1" applyBorder="1" applyAlignment="1">
      <alignment horizontal="centerContinuous" vertical="center" wrapText="1"/>
    </xf>
    <xf numFmtId="0" fontId="58" fillId="2" borderId="92" xfId="227" applyFont="1" applyFill="1" applyBorder="1" applyAlignment="1">
      <alignment horizontal="center" vertical="center" wrapText="1"/>
    </xf>
    <xf numFmtId="0" fontId="75" fillId="2" borderId="92" xfId="227" applyFont="1" applyFill="1" applyBorder="1" applyAlignment="1">
      <alignment horizontal="center" vertical="center"/>
    </xf>
    <xf numFmtId="174" fontId="58" fillId="5" borderId="123" xfId="227" applyNumberFormat="1" applyFont="1" applyFill="1" applyBorder="1"/>
    <xf numFmtId="170" fontId="92" fillId="4" borderId="123" xfId="227" applyNumberFormat="1" applyFont="1" applyFill="1" applyBorder="1"/>
    <xf numFmtId="170" fontId="58" fillId="0" borderId="123" xfId="227" applyNumberFormat="1" applyFont="1" applyBorder="1"/>
    <xf numFmtId="0" fontId="58" fillId="2" borderId="9" xfId="9872" applyFont="1" applyFill="1" applyBorder="1" applyAlignment="1">
      <alignment horizontal="center" vertical="center" wrapText="1"/>
    </xf>
    <xf numFmtId="166" fontId="58" fillId="2" borderId="9" xfId="9871" applyFont="1" applyFill="1" applyBorder="1" applyAlignment="1">
      <alignment horizontal="center" vertical="center"/>
    </xf>
    <xf numFmtId="0" fontId="99" fillId="0" borderId="14" xfId="9872" applyFont="1" applyBorder="1" applyAlignment="1">
      <alignment horizontal="center" vertical="center"/>
    </xf>
    <xf numFmtId="166" fontId="185" fillId="2" borderId="34" xfId="9871" applyFont="1" applyFill="1" applyBorder="1" applyAlignment="1">
      <alignment horizontal="center" vertical="center"/>
    </xf>
    <xf numFmtId="166" fontId="58" fillId="9" borderId="138" xfId="9871" applyFont="1" applyFill="1" applyBorder="1" applyAlignment="1">
      <alignment horizontal="center" vertical="center"/>
    </xf>
    <xf numFmtId="166" fontId="58" fillId="9" borderId="81" xfId="9871" applyFont="1" applyFill="1" applyBorder="1" applyAlignment="1">
      <alignment horizontal="center" vertical="center"/>
    </xf>
    <xf numFmtId="185" fontId="58" fillId="0" borderId="81" xfId="9871" applyNumberFormat="1" applyFont="1" applyFill="1" applyBorder="1" applyAlignment="1">
      <alignment horizontal="right"/>
    </xf>
    <xf numFmtId="166" fontId="58" fillId="49" borderId="42" xfId="9871" applyFont="1" applyFill="1" applyBorder="1" applyAlignment="1">
      <alignment horizontal="center" vertical="center"/>
    </xf>
    <xf numFmtId="166" fontId="189" fillId="9" borderId="137" xfId="9871" applyFont="1" applyFill="1" applyBorder="1" applyAlignment="1">
      <alignment horizontal="center" vertical="center"/>
    </xf>
    <xf numFmtId="166" fontId="189" fillId="9" borderId="32" xfId="9871" applyFont="1" applyFill="1" applyBorder="1" applyAlignment="1">
      <alignment horizontal="center" vertical="center"/>
    </xf>
    <xf numFmtId="185" fontId="98" fillId="0" borderId="32" xfId="9871" applyNumberFormat="1" applyFont="1" applyFill="1" applyBorder="1" applyAlignment="1">
      <alignment horizontal="right"/>
    </xf>
    <xf numFmtId="185" fontId="121" fillId="7" borderId="62" xfId="9871" applyNumberFormat="1" applyFont="1" applyFill="1" applyBorder="1" applyAlignment="1">
      <alignment horizontal="right"/>
    </xf>
    <xf numFmtId="185" fontId="58" fillId="0" borderId="32" xfId="9871" applyNumberFormat="1" applyFont="1" applyFill="1" applyBorder="1" applyAlignment="1">
      <alignment horizontal="right"/>
    </xf>
    <xf numFmtId="0" fontId="58" fillId="2" borderId="91" xfId="9872" applyFont="1" applyFill="1" applyBorder="1" applyAlignment="1">
      <alignment horizontal="center" vertical="center" wrapText="1"/>
    </xf>
    <xf numFmtId="166" fontId="58" fillId="2" borderId="91" xfId="9871" applyFont="1" applyFill="1" applyBorder="1" applyAlignment="1">
      <alignment horizontal="center" vertical="center"/>
    </xf>
    <xf numFmtId="0" fontId="99" fillId="0" borderId="91" xfId="9872" applyFont="1" applyBorder="1" applyAlignment="1">
      <alignment horizontal="center" vertical="center"/>
    </xf>
    <xf numFmtId="166" fontId="185" fillId="2" borderId="130" xfId="9871" applyFont="1" applyFill="1" applyBorder="1" applyAlignment="1">
      <alignment horizontal="center" vertical="center"/>
    </xf>
    <xf numFmtId="166" fontId="58" fillId="9" borderId="94" xfId="9871" applyFont="1" applyFill="1" applyBorder="1" applyAlignment="1">
      <alignment horizontal="center" vertical="center"/>
    </xf>
    <xf numFmtId="166" fontId="58" fillId="9" borderId="95" xfId="9871" applyFont="1" applyFill="1" applyBorder="1" applyAlignment="1">
      <alignment horizontal="center" vertical="center"/>
    </xf>
    <xf numFmtId="185" fontId="121" fillId="7" borderId="95" xfId="9871" applyNumberFormat="1" applyFont="1" applyFill="1" applyBorder="1" applyAlignment="1">
      <alignment horizontal="right"/>
    </xf>
    <xf numFmtId="185" fontId="58" fillId="0" borderId="95" xfId="9871" applyNumberFormat="1" applyFont="1" applyFill="1" applyBorder="1" applyAlignment="1">
      <alignment horizontal="right"/>
    </xf>
    <xf numFmtId="0" fontId="72" fillId="2" borderId="120" xfId="0" applyFont="1" applyFill="1" applyBorder="1" applyAlignment="1">
      <alignment horizontal="center" vertical="center" wrapText="1"/>
    </xf>
    <xf numFmtId="170" fontId="92" fillId="4" borderId="115" xfId="0" applyNumberFormat="1" applyFont="1" applyFill="1" applyBorder="1"/>
    <xf numFmtId="170" fontId="76" fillId="8" borderId="95" xfId="0" applyNumberFormat="1" applyFont="1" applyFill="1" applyBorder="1"/>
    <xf numFmtId="170" fontId="92" fillId="4" borderId="57" xfId="0" applyNumberFormat="1" applyFont="1" applyFill="1" applyBorder="1"/>
    <xf numFmtId="170" fontId="76" fillId="8" borderId="81" xfId="0" applyNumberFormat="1" applyFont="1" applyFill="1" applyBorder="1"/>
    <xf numFmtId="170" fontId="123" fillId="0" borderId="81" xfId="0" applyNumberFormat="1" applyFont="1" applyBorder="1"/>
    <xf numFmtId="170" fontId="123" fillId="0" borderId="95" xfId="0" applyNumberFormat="1" applyFont="1" applyBorder="1"/>
    <xf numFmtId="170" fontId="76" fillId="5" borderId="3" xfId="0" applyNumberFormat="1" applyFont="1" applyFill="1" applyBorder="1"/>
    <xf numFmtId="171" fontId="92" fillId="4" borderId="81" xfId="0" applyNumberFormat="1" applyFont="1" applyFill="1" applyBorder="1"/>
    <xf numFmtId="0" fontId="72" fillId="0" borderId="120" xfId="0" quotePrefix="1" applyFont="1" applyBorder="1" applyAlignment="1">
      <alignment horizontal="center" vertical="center" wrapText="1"/>
    </xf>
    <xf numFmtId="171" fontId="76" fillId="8" borderId="95" xfId="0" applyNumberFormat="1" applyFont="1" applyFill="1" applyBorder="1"/>
    <xf numFmtId="0" fontId="72" fillId="0" borderId="38" xfId="0" quotePrefix="1" applyFont="1" applyBorder="1" applyAlignment="1">
      <alignment horizontal="center" vertical="center" wrapText="1"/>
    </xf>
    <xf numFmtId="171" fontId="92" fillId="4" borderId="57" xfId="0" applyNumberFormat="1" applyFont="1" applyFill="1" applyBorder="1"/>
    <xf numFmtId="171" fontId="92" fillId="4" borderId="95" xfId="0" applyNumberFormat="1" applyFont="1" applyFill="1" applyBorder="1"/>
    <xf numFmtId="171" fontId="92" fillId="4" borderId="65" xfId="0" applyNumberFormat="1" applyFont="1" applyFill="1" applyBorder="1"/>
    <xf numFmtId="0" fontId="76" fillId="2" borderId="93" xfId="0" applyFont="1" applyFill="1" applyBorder="1" applyAlignment="1">
      <alignment horizontal="center" vertical="center" wrapText="1"/>
    </xf>
    <xf numFmtId="171" fontId="76" fillId="0" borderId="111" xfId="0" applyNumberFormat="1" applyFont="1" applyBorder="1"/>
    <xf numFmtId="0" fontId="75" fillId="2" borderId="92" xfId="0" applyFont="1" applyFill="1" applyBorder="1" applyAlignment="1">
      <alignment horizontal="center" vertical="center"/>
    </xf>
    <xf numFmtId="0" fontId="76" fillId="0" borderId="142" xfId="0" applyFont="1" applyBorder="1" applyAlignment="1">
      <alignment horizontal="center" vertical="center" wrapText="1"/>
    </xf>
    <xf numFmtId="171" fontId="92" fillId="4" borderId="125" xfId="0" applyNumberFormat="1" applyFont="1" applyFill="1" applyBorder="1"/>
    <xf numFmtId="171" fontId="76" fillId="0" borderId="143" xfId="0" applyNumberFormat="1" applyFont="1" applyBorder="1"/>
    <xf numFmtId="171" fontId="76" fillId="0" borderId="125" xfId="0" applyNumberFormat="1" applyFont="1" applyBorder="1"/>
    <xf numFmtId="0" fontId="76" fillId="0" borderId="127" xfId="0" applyFont="1" applyBorder="1" applyAlignment="1">
      <alignment horizontal="center" vertical="center" wrapText="1"/>
    </xf>
    <xf numFmtId="171" fontId="92" fillId="4" borderId="144" xfId="0" applyNumberFormat="1" applyFont="1" applyFill="1" applyBorder="1"/>
    <xf numFmtId="171" fontId="76" fillId="0" borderId="123" xfId="0" applyNumberFormat="1" applyFont="1" applyBorder="1"/>
    <xf numFmtId="0" fontId="76" fillId="0" borderId="122" xfId="0" applyFont="1" applyBorder="1" applyAlignment="1">
      <alignment horizontal="center" vertical="center" wrapText="1"/>
    </xf>
    <xf numFmtId="170" fontId="92" fillId="4" borderId="64" xfId="0" applyNumberFormat="1" applyFont="1" applyFill="1" applyBorder="1"/>
    <xf numFmtId="170" fontId="129" fillId="4" borderId="65" xfId="0" applyNumberFormat="1" applyFont="1" applyFill="1" applyBorder="1"/>
    <xf numFmtId="0" fontId="76" fillId="0" borderId="120" xfId="0" applyFont="1" applyBorder="1" applyAlignment="1">
      <alignment horizontal="center" vertical="center" wrapText="1"/>
    </xf>
    <xf numFmtId="170" fontId="129" fillId="4" borderId="115" xfId="0" applyNumberFormat="1" applyFont="1" applyFill="1" applyBorder="1"/>
    <xf numFmtId="0" fontId="76" fillId="0" borderId="39" xfId="0" applyFont="1" applyBorder="1" applyAlignment="1">
      <alignment horizontal="center" vertical="center" wrapText="1"/>
    </xf>
    <xf numFmtId="0" fontId="58" fillId="2" borderId="138" xfId="0" applyFont="1" applyFill="1" applyBorder="1" applyAlignment="1">
      <alignment horizontal="center" vertical="center" wrapText="1"/>
    </xf>
    <xf numFmtId="0" fontId="58" fillId="2" borderId="93" xfId="0" applyFont="1" applyFill="1" applyBorder="1" applyAlignment="1">
      <alignment horizontal="centerContinuous" vertical="center" wrapText="1"/>
    </xf>
    <xf numFmtId="0" fontId="58" fillId="2" borderId="141" xfId="0" applyFont="1" applyFill="1" applyBorder="1" applyAlignment="1">
      <alignment horizontal="center" vertical="center" wrapText="1"/>
    </xf>
    <xf numFmtId="175" fontId="98" fillId="0" borderId="2" xfId="0" applyNumberFormat="1" applyFont="1" applyBorder="1"/>
    <xf numFmtId="175" fontId="121" fillId="7" borderId="2" xfId="0" applyNumberFormat="1" applyFont="1" applyFill="1" applyBorder="1"/>
    <xf numFmtId="0" fontId="58" fillId="2" borderId="92" xfId="0" applyFont="1" applyFill="1" applyBorder="1" applyAlignment="1">
      <alignment horizontal="centerContinuous" vertical="center" wrapText="1"/>
    </xf>
    <xf numFmtId="0" fontId="58" fillId="2" borderId="92" xfId="0" applyFont="1" applyFill="1" applyBorder="1"/>
    <xf numFmtId="0" fontId="58" fillId="2" borderId="128" xfId="0" applyFont="1" applyFill="1" applyBorder="1" applyAlignment="1">
      <alignment horizontal="center" vertical="center" wrapText="1"/>
    </xf>
    <xf numFmtId="0" fontId="71" fillId="2" borderId="145" xfId="0" quotePrefix="1" applyFont="1" applyFill="1" applyBorder="1" applyAlignment="1">
      <alignment horizontal="center" vertical="center" wrapText="1"/>
    </xf>
    <xf numFmtId="175" fontId="58" fillId="12" borderId="123" xfId="0" applyNumberFormat="1" applyFont="1" applyFill="1" applyBorder="1"/>
    <xf numFmtId="175" fontId="92" fillId="12" borderId="123" xfId="0" applyNumberFormat="1" applyFont="1" applyFill="1" applyBorder="1"/>
    <xf numFmtId="175" fontId="121" fillId="7" borderId="123" xfId="0" applyNumberFormat="1" applyFont="1" applyFill="1" applyBorder="1"/>
    <xf numFmtId="175" fontId="58" fillId="0" borderId="123" xfId="0" applyNumberFormat="1" applyFont="1" applyBorder="1"/>
    <xf numFmtId="0" fontId="58" fillId="2" borderId="137" xfId="0" applyFont="1" applyFill="1" applyBorder="1" applyAlignment="1">
      <alignment horizontal="center" vertical="center" wrapText="1"/>
    </xf>
    <xf numFmtId="179" fontId="133" fillId="0" borderId="32" xfId="19" applyNumberFormat="1" applyFont="1" applyBorder="1"/>
    <xf numFmtId="179" fontId="123" fillId="0" borderId="32" xfId="19" applyNumberFormat="1" applyFont="1" applyFill="1" applyBorder="1"/>
    <xf numFmtId="179" fontId="212" fillId="7" borderId="32" xfId="19" applyNumberFormat="1" applyFont="1" applyFill="1" applyBorder="1"/>
    <xf numFmtId="179" fontId="133" fillId="0" borderId="32" xfId="19" applyNumberFormat="1" applyFont="1" applyFill="1" applyBorder="1"/>
    <xf numFmtId="179" fontId="217" fillId="7" borderId="62" xfId="19" applyNumberFormat="1" applyFont="1" applyFill="1" applyBorder="1"/>
    <xf numFmtId="0" fontId="71" fillId="2" borderId="93" xfId="0" quotePrefix="1" applyFont="1" applyFill="1" applyBorder="1" applyAlignment="1">
      <alignment horizontal="center" vertical="center" wrapText="1"/>
    </xf>
    <xf numFmtId="0" fontId="71" fillId="2" borderId="116" xfId="0" quotePrefix="1" applyFont="1" applyFill="1" applyBorder="1" applyAlignment="1">
      <alignment horizontal="center" vertical="center" wrapText="1"/>
    </xf>
    <xf numFmtId="175" fontId="98" fillId="0" borderId="111" xfId="0" applyNumberFormat="1" applyFont="1" applyBorder="1"/>
    <xf numFmtId="0" fontId="58" fillId="2" borderId="139" xfId="0" applyFont="1" applyFill="1" applyBorder="1" applyAlignment="1">
      <alignment horizontal="center" vertical="center" wrapText="1"/>
    </xf>
    <xf numFmtId="0" fontId="71" fillId="2" borderId="37" xfId="0" quotePrefix="1" applyFont="1" applyFill="1" applyBorder="1" applyAlignment="1">
      <alignment horizontal="center" vertical="center" wrapText="1"/>
    </xf>
    <xf numFmtId="0" fontId="58" fillId="2" borderId="8" xfId="0" applyFont="1" applyFill="1" applyBorder="1"/>
    <xf numFmtId="0" fontId="58" fillId="2" borderId="93" xfId="0" applyFont="1" applyFill="1" applyBorder="1"/>
    <xf numFmtId="0" fontId="58" fillId="2" borderId="93" xfId="0" applyFont="1" applyFill="1" applyBorder="1" applyAlignment="1">
      <alignment horizontal="center" vertical="center" wrapText="1"/>
    </xf>
    <xf numFmtId="175" fontId="58" fillId="12" borderId="111" xfId="0" applyNumberFormat="1" applyFont="1" applyFill="1" applyBorder="1"/>
    <xf numFmtId="175" fontId="92" fillId="4" borderId="146" xfId="0" applyNumberFormat="1" applyFont="1" applyFill="1" applyBorder="1"/>
    <xf numFmtId="0" fontId="72" fillId="5" borderId="52" xfId="0" applyFont="1" applyFill="1" applyBorder="1" applyAlignment="1">
      <alignment horizontal="center"/>
    </xf>
    <xf numFmtId="0" fontId="72" fillId="5" borderId="2" xfId="0" applyFont="1" applyFill="1" applyBorder="1" applyAlignment="1">
      <alignment horizontal="center"/>
    </xf>
    <xf numFmtId="0" fontId="72" fillId="5" borderId="31" xfId="0" applyFont="1" applyFill="1" applyBorder="1" applyAlignment="1">
      <alignment horizontal="center"/>
    </xf>
    <xf numFmtId="0" fontId="72" fillId="5" borderId="32" xfId="0" applyFont="1" applyFill="1" applyBorder="1" applyAlignment="1">
      <alignment horizontal="center"/>
    </xf>
    <xf numFmtId="0" fontId="76" fillId="2" borderId="91" xfId="0" applyFont="1" applyFill="1" applyBorder="1"/>
    <xf numFmtId="0" fontId="72" fillId="2" borderId="147" xfId="0" quotePrefix="1" applyFont="1" applyFill="1" applyBorder="1" applyAlignment="1">
      <alignment horizontal="center"/>
    </xf>
    <xf numFmtId="0" fontId="72" fillId="5" borderId="115" xfId="0" applyFont="1" applyFill="1" applyBorder="1" applyAlignment="1">
      <alignment horizontal="center"/>
    </xf>
    <xf numFmtId="0" fontId="72" fillId="5" borderId="95" xfId="0" applyFont="1" applyFill="1" applyBorder="1" applyAlignment="1">
      <alignment horizontal="center"/>
    </xf>
    <xf numFmtId="170" fontId="58" fillId="0" borderId="95" xfId="0" applyNumberFormat="1" applyFont="1" applyBorder="1"/>
    <xf numFmtId="170" fontId="58" fillId="0" borderId="95" xfId="0" applyNumberFormat="1" applyFont="1" applyBorder="1" applyAlignment="1">
      <alignment horizontal="right"/>
    </xf>
    <xf numFmtId="175" fontId="92" fillId="5" borderId="31" xfId="0" applyNumberFormat="1" applyFont="1" applyFill="1" applyBorder="1"/>
    <xf numFmtId="175" fontId="76" fillId="5" borderId="32" xfId="0" applyNumberFormat="1" applyFont="1" applyFill="1" applyBorder="1"/>
    <xf numFmtId="175" fontId="76" fillId="0" borderId="32" xfId="0" applyNumberFormat="1" applyFont="1" applyBorder="1"/>
    <xf numFmtId="0" fontId="76" fillId="2" borderId="92" xfId="0" applyFont="1" applyFill="1" applyBorder="1" applyAlignment="1">
      <alignment horizontal="center" vertical="center" wrapText="1"/>
    </xf>
    <xf numFmtId="0" fontId="76" fillId="2" borderId="92" xfId="0" applyFont="1" applyFill="1" applyBorder="1"/>
    <xf numFmtId="0" fontId="72" fillId="2" borderId="127" xfId="0" applyFont="1" applyFill="1" applyBorder="1" applyAlignment="1">
      <alignment horizontal="center"/>
    </xf>
    <xf numFmtId="175" fontId="92" fillId="5" borderId="148" xfId="0" applyNumberFormat="1" applyFont="1" applyFill="1" applyBorder="1"/>
    <xf numFmtId="175" fontId="76" fillId="5" borderId="123" xfId="0" applyNumberFormat="1" applyFont="1" applyFill="1" applyBorder="1"/>
    <xf numFmtId="175" fontId="92" fillId="4" borderId="123" xfId="0" applyNumberFormat="1" applyFont="1" applyFill="1" applyBorder="1"/>
    <xf numFmtId="175" fontId="76" fillId="0" borderId="123" xfId="0" applyNumberFormat="1" applyFont="1" applyBorder="1"/>
    <xf numFmtId="175" fontId="76" fillId="0" borderId="81" xfId="0" applyNumberFormat="1" applyFont="1" applyBorder="1"/>
    <xf numFmtId="175" fontId="84" fillId="5" borderId="81" xfId="0" applyNumberFormat="1" applyFont="1" applyFill="1" applyBorder="1" applyAlignment="1">
      <alignment horizontal="center"/>
    </xf>
    <xf numFmtId="175" fontId="84" fillId="5" borderId="81" xfId="0" applyNumberFormat="1" applyFont="1" applyFill="1" applyBorder="1"/>
    <xf numFmtId="175" fontId="76" fillId="5" borderId="81" xfId="0" applyNumberFormat="1" applyFont="1" applyFill="1" applyBorder="1"/>
    <xf numFmtId="175" fontId="76" fillId="0" borderId="111" xfId="0" applyNumberFormat="1" applyFont="1" applyBorder="1"/>
    <xf numFmtId="175" fontId="84" fillId="5" borderId="111" xfId="0" applyNumberFormat="1" applyFont="1" applyFill="1" applyBorder="1" applyAlignment="1">
      <alignment horizontal="center"/>
    </xf>
    <xf numFmtId="175" fontId="84" fillId="5" borderId="111" xfId="0" applyNumberFormat="1" applyFont="1" applyFill="1" applyBorder="1"/>
    <xf numFmtId="175" fontId="76" fillId="5" borderId="111" xfId="0" applyNumberFormat="1" applyFont="1" applyFill="1" applyBorder="1"/>
    <xf numFmtId="175" fontId="92" fillId="5" borderId="23" xfId="0" applyNumberFormat="1" applyFont="1" applyFill="1" applyBorder="1"/>
    <xf numFmtId="175" fontId="92" fillId="4" borderId="81" xfId="0" applyNumberFormat="1" applyFont="1" applyFill="1" applyBorder="1"/>
    <xf numFmtId="0" fontId="76" fillId="2" borderId="93" xfId="0" applyFont="1" applyFill="1" applyBorder="1"/>
    <xf numFmtId="0" fontId="72" fillId="2" borderId="136" xfId="0" applyFont="1" applyFill="1" applyBorder="1" applyAlignment="1">
      <alignment horizontal="center"/>
    </xf>
    <xf numFmtId="175" fontId="92" fillId="5" borderId="117" xfId="0" applyNumberFormat="1" applyFont="1" applyFill="1" applyBorder="1"/>
    <xf numFmtId="175" fontId="121" fillId="4" borderId="81" xfId="0" applyNumberFormat="1" applyFont="1" applyFill="1" applyBorder="1"/>
    <xf numFmtId="175" fontId="130" fillId="0" borderId="81" xfId="0" applyNumberFormat="1" applyFont="1" applyBorder="1"/>
    <xf numFmtId="0" fontId="76" fillId="2" borderId="110" xfId="0" applyFont="1" applyFill="1" applyBorder="1"/>
    <xf numFmtId="0" fontId="72" fillId="2" borderId="133" xfId="0" applyFont="1" applyFill="1" applyBorder="1" applyAlignment="1">
      <alignment horizontal="center"/>
    </xf>
    <xf numFmtId="175" fontId="92" fillId="5" borderId="112" xfId="0" applyNumberFormat="1" applyFont="1" applyFill="1" applyBorder="1"/>
    <xf numFmtId="175" fontId="76" fillId="5" borderId="112" xfId="0" applyNumberFormat="1" applyFont="1" applyFill="1" applyBorder="1"/>
    <xf numFmtId="175" fontId="121" fillId="4" borderId="111" xfId="0" applyNumberFormat="1" applyFont="1" applyFill="1" applyBorder="1"/>
    <xf numFmtId="175" fontId="130" fillId="0" borderId="112" xfId="0" applyNumberFormat="1" applyFont="1" applyBorder="1"/>
    <xf numFmtId="175" fontId="76" fillId="0" borderId="112" xfId="0" applyNumberFormat="1" applyFont="1" applyBorder="1"/>
    <xf numFmtId="0" fontId="76" fillId="0" borderId="92" xfId="0" applyFont="1" applyBorder="1" applyAlignment="1">
      <alignment horizontal="centerContinuous" vertical="center" wrapText="1"/>
    </xf>
    <xf numFmtId="0" fontId="72" fillId="2" borderId="127" xfId="0" applyFont="1" applyFill="1" applyBorder="1" applyAlignment="1">
      <alignment horizontal="center" vertical="center" wrapText="1"/>
    </xf>
    <xf numFmtId="170" fontId="76" fillId="0" borderId="123" xfId="0" applyNumberFormat="1" applyFont="1" applyBorder="1"/>
    <xf numFmtId="0" fontId="58" fillId="0" borderId="7" xfId="0" applyFont="1" applyBorder="1" applyAlignment="1">
      <alignment horizontal="centerContinuous" vertical="center" wrapText="1"/>
    </xf>
    <xf numFmtId="0" fontId="71" fillId="2" borderId="16" xfId="0" quotePrefix="1" applyFont="1" applyFill="1" applyBorder="1" applyAlignment="1">
      <alignment horizontal="center" vertical="center" wrapText="1"/>
    </xf>
    <xf numFmtId="0" fontId="58" fillId="0" borderId="42" xfId="0" applyFont="1" applyBorder="1" applyAlignment="1">
      <alignment horizontal="centerContinuous" vertical="center" wrapText="1"/>
    </xf>
    <xf numFmtId="170" fontId="99" fillId="8" borderId="32" xfId="0" applyNumberFormat="1" applyFont="1" applyFill="1" applyBorder="1"/>
    <xf numFmtId="0" fontId="58" fillId="0" borderId="91" xfId="0" applyFont="1" applyBorder="1" applyAlignment="1">
      <alignment horizontal="centerContinuous" vertical="center" wrapText="1"/>
    </xf>
    <xf numFmtId="0" fontId="71" fillId="2" borderId="147" xfId="0" quotePrefix="1" applyFont="1" applyFill="1" applyBorder="1" applyAlignment="1">
      <alignment horizontal="center" vertical="center" wrapText="1"/>
    </xf>
    <xf numFmtId="170" fontId="99" fillId="5" borderId="95" xfId="0" applyNumberFormat="1" applyFont="1" applyFill="1" applyBorder="1"/>
    <xf numFmtId="170" fontId="121" fillId="7" borderId="95" xfId="0" applyNumberFormat="1" applyFont="1" applyFill="1" applyBorder="1"/>
    <xf numFmtId="170" fontId="99" fillId="0" borderId="95" xfId="0" applyNumberFormat="1" applyFont="1" applyBorder="1"/>
    <xf numFmtId="0" fontId="58" fillId="0" borderId="14" xfId="0" applyFont="1" applyBorder="1" applyAlignment="1">
      <alignment horizontal="centerContinuous" vertical="center" wrapText="1"/>
    </xf>
    <xf numFmtId="170" fontId="99" fillId="0" borderId="81" xfId="0" applyNumberFormat="1" applyFont="1" applyBorder="1"/>
    <xf numFmtId="0" fontId="71" fillId="2" borderId="53" xfId="0" applyFont="1" applyFill="1" applyBorder="1" applyAlignment="1">
      <alignment horizontal="center" vertical="center" wrapText="1"/>
    </xf>
    <xf numFmtId="170" fontId="92" fillId="8" borderId="31" xfId="0" applyNumberFormat="1" applyFont="1" applyFill="1" applyBorder="1"/>
    <xf numFmtId="170" fontId="58" fillId="8" borderId="32" xfId="0" applyNumberFormat="1" applyFont="1" applyFill="1" applyBorder="1"/>
    <xf numFmtId="0" fontId="71" fillId="2" borderId="147" xfId="0" applyFont="1" applyFill="1" applyBorder="1" applyAlignment="1">
      <alignment horizontal="center" vertical="center" wrapText="1"/>
    </xf>
    <xf numFmtId="170" fontId="92" fillId="8" borderId="115" xfId="0" applyNumberFormat="1" applyFont="1" applyFill="1" applyBorder="1"/>
    <xf numFmtId="170" fontId="99" fillId="8" borderId="95" xfId="0" applyNumberFormat="1" applyFont="1" applyFill="1" applyBorder="1"/>
    <xf numFmtId="170" fontId="58" fillId="8" borderId="95" xfId="0" applyNumberFormat="1" applyFont="1" applyFill="1" applyBorder="1"/>
    <xf numFmtId="170" fontId="58" fillId="8" borderId="0" xfId="0" applyNumberFormat="1" applyFont="1" applyFill="1"/>
    <xf numFmtId="0" fontId="58" fillId="0" borderId="9" xfId="0" applyFont="1" applyBorder="1" applyAlignment="1">
      <alignment horizontal="center" vertical="center" wrapText="1"/>
    </xf>
    <xf numFmtId="0" fontId="0" fillId="0" borderId="9" xfId="0" applyBorder="1"/>
    <xf numFmtId="175" fontId="162" fillId="4" borderId="131" xfId="0" applyNumberFormat="1" applyFont="1" applyFill="1" applyBorder="1"/>
    <xf numFmtId="175" fontId="123" fillId="0" borderId="32" xfId="0" applyNumberFormat="1" applyFont="1" applyBorder="1" applyAlignment="1">
      <alignment horizontal="right"/>
    </xf>
    <xf numFmtId="175" fontId="58" fillId="0" borderId="32" xfId="0" applyNumberFormat="1" applyFont="1" applyBorder="1" applyAlignment="1">
      <alignment horizontal="right"/>
    </xf>
    <xf numFmtId="0" fontId="58" fillId="0" borderId="91" xfId="0" applyFont="1" applyBorder="1" applyAlignment="1">
      <alignment horizontal="center" vertical="center" wrapText="1"/>
    </xf>
    <xf numFmtId="0" fontId="58" fillId="0" borderId="91" xfId="0" applyFont="1" applyBorder="1"/>
    <xf numFmtId="0" fontId="0" fillId="0" borderId="91" xfId="0" applyBorder="1"/>
    <xf numFmtId="3" fontId="92" fillId="4" borderId="94" xfId="0" applyNumberFormat="1" applyFont="1" applyFill="1" applyBorder="1"/>
    <xf numFmtId="3" fontId="58" fillId="0" borderId="95" xfId="0" applyNumberFormat="1" applyFont="1" applyBorder="1"/>
    <xf numFmtId="199" fontId="92" fillId="4" borderId="113" xfId="0" applyNumberFormat="1" applyFont="1" applyFill="1" applyBorder="1"/>
    <xf numFmtId="0" fontId="58" fillId="0" borderId="0" xfId="0" applyFont="1"/>
    <xf numFmtId="199" fontId="92" fillId="4" borderId="94" xfId="0" applyNumberFormat="1" applyFont="1" applyFill="1" applyBorder="1"/>
    <xf numFmtId="199" fontId="92" fillId="4" borderId="139" xfId="0" applyNumberFormat="1" applyFont="1" applyFill="1" applyBorder="1"/>
    <xf numFmtId="181" fontId="58" fillId="0" borderId="32" xfId="0" applyNumberFormat="1" applyFont="1" applyBorder="1" applyAlignment="1">
      <alignment horizontal="right"/>
    </xf>
    <xf numFmtId="181" fontId="123" fillId="0" borderId="32" xfId="0" applyNumberFormat="1" applyFont="1" applyBorder="1" applyAlignment="1">
      <alignment horizontal="right"/>
    </xf>
    <xf numFmtId="0" fontId="58" fillId="0" borderId="9" xfId="0" applyFont="1" applyBorder="1" applyAlignment="1">
      <alignment horizontal="center" vertical="center"/>
    </xf>
    <xf numFmtId="175" fontId="58" fillId="5" borderId="0" xfId="0" applyNumberFormat="1" applyFont="1" applyFill="1"/>
    <xf numFmtId="3" fontId="58" fillId="0" borderId="0" xfId="16" applyNumberFormat="1" applyFont="1"/>
    <xf numFmtId="0" fontId="58" fillId="0" borderId="91" xfId="0" applyFont="1" applyBorder="1" applyAlignment="1">
      <alignment horizontal="center" vertical="center"/>
    </xf>
    <xf numFmtId="175" fontId="58" fillId="5" borderId="95" xfId="0" applyNumberFormat="1" applyFont="1" applyFill="1" applyBorder="1"/>
    <xf numFmtId="3" fontId="92" fillId="4" borderId="95" xfId="0" applyNumberFormat="1" applyFont="1" applyFill="1" applyBorder="1"/>
    <xf numFmtId="3" fontId="58" fillId="0" borderId="95" xfId="16" applyNumberFormat="1" applyFont="1" applyBorder="1"/>
    <xf numFmtId="0" fontId="58" fillId="0" borderId="13" xfId="0" applyFont="1" applyBorder="1" applyAlignment="1">
      <alignment horizontal="center" vertical="center"/>
    </xf>
    <xf numFmtId="0" fontId="58" fillId="0" borderId="13" xfId="0" applyFont="1" applyBorder="1" applyAlignment="1">
      <alignment horizontal="center" vertical="center" wrapText="1"/>
    </xf>
    <xf numFmtId="0" fontId="0" fillId="0" borderId="13" xfId="0" applyBorder="1"/>
    <xf numFmtId="175" fontId="58" fillId="5" borderId="3" xfId="0" applyNumberFormat="1" applyFont="1" applyFill="1" applyBorder="1"/>
    <xf numFmtId="3" fontId="58" fillId="0" borderId="3" xfId="16" applyNumberFormat="1" applyFont="1" applyBorder="1"/>
    <xf numFmtId="3" fontId="58" fillId="0" borderId="3" xfId="0" applyNumberFormat="1" applyFont="1" applyBorder="1"/>
    <xf numFmtId="0" fontId="58" fillId="0" borderId="3" xfId="0" applyFont="1" applyBorder="1"/>
    <xf numFmtId="0" fontId="76" fillId="2" borderId="149" xfId="0" applyFont="1" applyFill="1" applyBorder="1" applyAlignment="1">
      <alignment horizontal="center" vertical="center" wrapText="1"/>
    </xf>
    <xf numFmtId="1" fontId="75" fillId="2" borderId="149" xfId="0" applyNumberFormat="1" applyFont="1" applyFill="1" applyBorder="1" applyAlignment="1">
      <alignment horizontal="center"/>
    </xf>
    <xf numFmtId="0" fontId="72" fillId="2" borderId="142" xfId="0" applyFont="1" applyFill="1" applyBorder="1" applyAlignment="1">
      <alignment horizontal="center" vertical="center" wrapText="1"/>
    </xf>
    <xf numFmtId="171" fontId="92" fillId="4" borderId="123" xfId="0" applyNumberFormat="1" applyFont="1" applyFill="1" applyBorder="1"/>
    <xf numFmtId="1" fontId="121" fillId="2" borderId="95" xfId="0" applyNumberFormat="1" applyFont="1" applyFill="1" applyBorder="1" applyAlignment="1">
      <alignment horizontal="center"/>
    </xf>
    <xf numFmtId="1" fontId="121" fillId="2" borderId="111" xfId="0" applyNumberFormat="1" applyFont="1" applyFill="1" applyBorder="1" applyAlignment="1">
      <alignment horizontal="center"/>
    </xf>
    <xf numFmtId="0" fontId="72" fillId="2" borderId="136" xfId="0" applyFont="1" applyFill="1" applyBorder="1" applyAlignment="1">
      <alignment horizontal="center" vertical="center" wrapText="1"/>
    </xf>
    <xf numFmtId="171" fontId="92" fillId="4" borderId="117" xfId="0" applyNumberFormat="1" applyFont="1" applyFill="1" applyBorder="1"/>
    <xf numFmtId="171" fontId="92" fillId="12" borderId="23" xfId="0" applyNumberFormat="1" applyFont="1" applyFill="1" applyBorder="1"/>
    <xf numFmtId="171" fontId="76" fillId="12" borderId="81" xfId="0" applyNumberFormat="1" applyFont="1" applyFill="1" applyBorder="1"/>
    <xf numFmtId="1" fontId="75" fillId="2" borderId="95" xfId="0" applyNumberFormat="1" applyFont="1" applyFill="1" applyBorder="1" applyAlignment="1">
      <alignment horizontal="center"/>
    </xf>
    <xf numFmtId="171" fontId="92" fillId="12" borderId="115" xfId="0" applyNumberFormat="1" applyFont="1" applyFill="1" applyBorder="1"/>
    <xf numFmtId="171" fontId="76" fillId="12" borderId="95" xfId="0" applyNumberFormat="1" applyFont="1" applyFill="1" applyBorder="1"/>
    <xf numFmtId="171" fontId="76" fillId="12" borderId="3" xfId="0" applyNumberFormat="1" applyFont="1" applyFill="1" applyBorder="1"/>
    <xf numFmtId="171" fontId="107" fillId="5" borderId="23" xfId="0" applyNumberFormat="1" applyFont="1" applyFill="1" applyBorder="1"/>
    <xf numFmtId="171" fontId="98" fillId="5" borderId="81" xfId="0" applyNumberFormat="1" applyFont="1" applyFill="1" applyBorder="1"/>
    <xf numFmtId="171" fontId="98" fillId="0" borderId="81" xfId="0" applyNumberFormat="1" applyFont="1" applyBorder="1"/>
    <xf numFmtId="171" fontId="121" fillId="7" borderId="81" xfId="0" applyNumberFormat="1" applyFont="1" applyFill="1" applyBorder="1"/>
    <xf numFmtId="0" fontId="76" fillId="0" borderId="91" xfId="0" applyFont="1" applyBorder="1" applyAlignment="1">
      <alignment horizontal="center" vertical="center" wrapText="1"/>
    </xf>
    <xf numFmtId="171" fontId="107" fillId="5" borderId="115" xfId="0" applyNumberFormat="1" applyFont="1" applyFill="1" applyBorder="1"/>
    <xf numFmtId="171" fontId="98" fillId="5" borderId="95" xfId="0" applyNumberFormat="1" applyFont="1" applyFill="1" applyBorder="1"/>
    <xf numFmtId="171" fontId="121" fillId="7" borderId="95" xfId="0" applyNumberFormat="1" applyFont="1" applyFill="1" applyBorder="1" applyAlignment="1">
      <alignment horizontal="right"/>
    </xf>
    <xf numFmtId="171" fontId="76" fillId="0" borderId="95" xfId="0" applyNumberFormat="1" applyFont="1" applyBorder="1" applyAlignment="1">
      <alignment horizontal="right"/>
    </xf>
    <xf numFmtId="0" fontId="76" fillId="0" borderId="9" xfId="0" applyFont="1" applyBorder="1" applyAlignment="1">
      <alignment horizontal="center" vertical="center" wrapText="1"/>
    </xf>
    <xf numFmtId="171" fontId="107" fillId="5" borderId="57" xfId="0" applyNumberFormat="1" applyFont="1" applyFill="1" applyBorder="1"/>
    <xf numFmtId="171" fontId="98" fillId="5" borderId="0" xfId="0" applyNumberFormat="1" applyFont="1" applyFill="1"/>
    <xf numFmtId="171" fontId="98" fillId="0" borderId="0" xfId="0" applyNumberFormat="1" applyFont="1"/>
    <xf numFmtId="171" fontId="121" fillId="7" borderId="0" xfId="0" applyNumberFormat="1" applyFont="1" applyFill="1" applyAlignment="1">
      <alignment horizontal="right"/>
    </xf>
    <xf numFmtId="171" fontId="76" fillId="0" borderId="0" xfId="0" applyNumberFormat="1" applyFont="1" applyAlignment="1">
      <alignment horizontal="right"/>
    </xf>
    <xf numFmtId="0" fontId="76" fillId="0" borderId="13" xfId="0" applyFont="1" applyBorder="1" applyAlignment="1">
      <alignment horizontal="center" vertical="center" wrapText="1"/>
    </xf>
    <xf numFmtId="171" fontId="107" fillId="5" borderId="18" xfId="0" applyNumberFormat="1" applyFont="1" applyFill="1" applyBorder="1"/>
    <xf numFmtId="171" fontId="98" fillId="0" borderId="3" xfId="0" applyNumberFormat="1" applyFont="1" applyBorder="1"/>
    <xf numFmtId="171" fontId="76" fillId="0" borderId="3" xfId="0" applyNumberFormat="1" applyFont="1" applyBorder="1" applyAlignment="1">
      <alignment horizontal="right"/>
    </xf>
    <xf numFmtId="171" fontId="58" fillId="0" borderId="0" xfId="0" applyNumberFormat="1" applyFont="1"/>
    <xf numFmtId="171" fontId="98" fillId="8" borderId="57" xfId="0" applyNumberFormat="1" applyFont="1" applyFill="1" applyBorder="1"/>
    <xf numFmtId="171" fontId="107" fillId="8" borderId="0" xfId="0" applyNumberFormat="1" applyFont="1" applyFill="1"/>
    <xf numFmtId="1" fontId="121" fillId="2" borderId="138" xfId="0" applyNumberFormat="1" applyFont="1" applyFill="1" applyBorder="1" applyAlignment="1">
      <alignment horizontal="center"/>
    </xf>
    <xf numFmtId="2" fontId="76" fillId="0" borderId="14" xfId="0" applyNumberFormat="1" applyFont="1" applyBorder="1" applyAlignment="1">
      <alignment horizontal="center" vertical="center"/>
    </xf>
    <xf numFmtId="0" fontId="121" fillId="2" borderId="139" xfId="0" applyFont="1" applyFill="1" applyBorder="1" applyAlignment="1">
      <alignment horizontal="center" vertical="center" wrapText="1"/>
    </xf>
    <xf numFmtId="1" fontId="121" fillId="2" borderId="94" xfId="0" applyNumberFormat="1" applyFont="1" applyFill="1" applyBorder="1" applyAlignment="1">
      <alignment horizontal="center"/>
    </xf>
    <xf numFmtId="2" fontId="76" fillId="2" borderId="91" xfId="0" applyNumberFormat="1" applyFont="1" applyFill="1" applyBorder="1" applyAlignment="1">
      <alignment horizontal="center" vertical="center"/>
    </xf>
    <xf numFmtId="0" fontId="121" fillId="2" borderId="120" xfId="0" applyFont="1" applyFill="1" applyBorder="1" applyAlignment="1">
      <alignment horizontal="center" vertical="center" wrapText="1"/>
    </xf>
    <xf numFmtId="171" fontId="98" fillId="8" borderId="95" xfId="0" applyNumberFormat="1" applyFont="1" applyFill="1" applyBorder="1"/>
    <xf numFmtId="1" fontId="121" fillId="2" borderId="139" xfId="0" applyNumberFormat="1" applyFont="1" applyFill="1" applyBorder="1" applyAlignment="1">
      <alignment horizontal="center"/>
    </xf>
    <xf numFmtId="2" fontId="76" fillId="2" borderId="9" xfId="0" applyNumberFormat="1" applyFont="1" applyFill="1" applyBorder="1" applyAlignment="1">
      <alignment horizontal="center" vertical="center"/>
    </xf>
    <xf numFmtId="0" fontId="130" fillId="0" borderId="9" xfId="0" applyFont="1" applyBorder="1" applyAlignment="1">
      <alignment horizontal="center" vertical="center" wrapText="1"/>
    </xf>
    <xf numFmtId="171" fontId="98" fillId="8" borderId="115" xfId="0" applyNumberFormat="1" applyFont="1" applyFill="1" applyBorder="1"/>
    <xf numFmtId="0" fontId="76" fillId="0" borderId="109" xfId="0" applyFont="1" applyBorder="1" applyAlignment="1">
      <alignment horizontal="center" vertical="center" wrapText="1"/>
    </xf>
    <xf numFmtId="1" fontId="121" fillId="2" borderId="114" xfId="0" applyNumberFormat="1" applyFont="1" applyFill="1" applyBorder="1" applyAlignment="1">
      <alignment horizontal="center"/>
    </xf>
    <xf numFmtId="2" fontId="76" fillId="2" borderId="109" xfId="0" applyNumberFormat="1" applyFont="1" applyFill="1" applyBorder="1" applyAlignment="1">
      <alignment horizontal="center" vertical="center"/>
    </xf>
    <xf numFmtId="0" fontId="121" fillId="2" borderId="119" xfId="0" applyFont="1" applyFill="1" applyBorder="1" applyAlignment="1">
      <alignment horizontal="center" vertical="center" wrapText="1"/>
    </xf>
    <xf numFmtId="171" fontId="76" fillId="8" borderId="112" xfId="0" applyNumberFormat="1" applyFont="1" applyFill="1" applyBorder="1"/>
    <xf numFmtId="171" fontId="92" fillId="4" borderId="135" xfId="0" applyNumberFormat="1" applyFont="1" applyFill="1" applyBorder="1"/>
    <xf numFmtId="171" fontId="58" fillId="0" borderId="112" xfId="0" applyNumberFormat="1" applyFont="1" applyBorder="1"/>
    <xf numFmtId="0" fontId="184" fillId="0" borderId="42" xfId="9854" applyFont="1" applyBorder="1" applyAlignment="1">
      <alignment horizontal="centerContinuous" vertical="center"/>
    </xf>
    <xf numFmtId="0" fontId="130" fillId="11" borderId="32" xfId="9854" applyFont="1" applyFill="1" applyBorder="1"/>
    <xf numFmtId="0" fontId="130" fillId="0" borderId="9" xfId="9854" applyFont="1" applyBorder="1" applyAlignment="1">
      <alignment horizontal="center" vertical="center" wrapText="1"/>
    </xf>
    <xf numFmtId="0" fontId="185" fillId="0" borderId="9" xfId="9854" applyFont="1" applyBorder="1" applyAlignment="1">
      <alignment horizontal="center" vertical="center" wrapText="1"/>
    </xf>
    <xf numFmtId="9" fontId="58" fillId="11" borderId="14" xfId="9854" applyNumberFormat="1" applyFont="1" applyFill="1" applyBorder="1" applyAlignment="1">
      <alignment horizontal="center" vertical="center"/>
    </xf>
    <xf numFmtId="171" fontId="121" fillId="7" borderId="67" xfId="9854" applyNumberFormat="1" applyFont="1" applyFill="1" applyBorder="1"/>
    <xf numFmtId="171" fontId="58" fillId="0" borderId="81" xfId="9854" applyNumberFormat="1" applyFont="1" applyBorder="1"/>
    <xf numFmtId="0" fontId="130" fillId="0" borderId="91" xfId="9854" applyFont="1" applyBorder="1" applyAlignment="1">
      <alignment horizontal="center" vertical="center" wrapText="1"/>
    </xf>
    <xf numFmtId="0" fontId="130" fillId="11" borderId="95" xfId="9854" applyFont="1" applyFill="1" applyBorder="1"/>
    <xf numFmtId="0" fontId="185" fillId="0" borderId="91" xfId="9854" applyFont="1" applyBorder="1" applyAlignment="1">
      <alignment horizontal="center" vertical="center" wrapText="1"/>
    </xf>
    <xf numFmtId="9" fontId="58" fillId="11" borderId="91" xfId="9854" applyNumberFormat="1" applyFont="1" applyFill="1" applyBorder="1" applyAlignment="1">
      <alignment horizontal="center" vertical="center"/>
    </xf>
    <xf numFmtId="171" fontId="121" fillId="7" borderId="95" xfId="9854" applyNumberFormat="1" applyFont="1" applyFill="1" applyBorder="1"/>
    <xf numFmtId="171" fontId="58" fillId="0" borderId="95" xfId="9854" applyNumberFormat="1" applyFont="1" applyBorder="1"/>
    <xf numFmtId="9" fontId="58" fillId="11" borderId="9" xfId="9854" applyNumberFormat="1" applyFont="1" applyFill="1" applyBorder="1" applyAlignment="1">
      <alignment horizontal="center" vertical="center"/>
    </xf>
    <xf numFmtId="171" fontId="121" fillId="7" borderId="0" xfId="9854" applyNumberFormat="1" applyFont="1" applyFill="1"/>
    <xf numFmtId="171" fontId="58" fillId="0" borderId="0" xfId="9854" applyNumberFormat="1" applyFont="1"/>
    <xf numFmtId="0" fontId="130" fillId="0" borderId="13" xfId="9854" applyFont="1" applyBorder="1" applyAlignment="1">
      <alignment horizontal="center" vertical="center" wrapText="1"/>
    </xf>
    <xf numFmtId="0" fontId="185" fillId="0" borderId="13" xfId="9854" applyFont="1" applyBorder="1" applyAlignment="1">
      <alignment horizontal="center" vertical="center" wrapText="1"/>
    </xf>
    <xf numFmtId="9" fontId="58" fillId="0" borderId="13" xfId="9855" applyFont="1" applyFill="1" applyBorder="1" applyAlignment="1">
      <alignment horizontal="center" vertical="center"/>
    </xf>
    <xf numFmtId="171" fontId="121" fillId="7" borderId="3" xfId="9854" applyNumberFormat="1" applyFont="1" applyFill="1" applyBorder="1"/>
    <xf numFmtId="0" fontId="130" fillId="46" borderId="95" xfId="9854" applyFont="1" applyFill="1" applyBorder="1" applyAlignment="1">
      <alignment horizontal="center"/>
    </xf>
    <xf numFmtId="0" fontId="76" fillId="5" borderId="9" xfId="0" applyFont="1" applyFill="1" applyBorder="1" applyAlignment="1">
      <alignment horizontal="centerContinuous" vertical="center" wrapText="1"/>
    </xf>
    <xf numFmtId="0" fontId="76" fillId="2" borderId="91" xfId="0" applyFont="1" applyFill="1" applyBorder="1" applyAlignment="1">
      <alignment horizontal="centerContinuous" vertical="center" wrapText="1"/>
    </xf>
    <xf numFmtId="0" fontId="76" fillId="5" borderId="91" xfId="0" applyFont="1" applyFill="1" applyBorder="1" applyAlignment="1">
      <alignment horizontal="centerContinuous" vertical="center" wrapText="1"/>
    </xf>
    <xf numFmtId="3" fontId="92" fillId="4" borderId="115" xfId="0" applyNumberFormat="1" applyFont="1" applyFill="1" applyBorder="1" applyAlignment="1">
      <alignment vertical="center" wrapText="1"/>
    </xf>
    <xf numFmtId="3" fontId="76" fillId="0" borderId="95" xfId="0" applyNumberFormat="1" applyFont="1" applyBorder="1"/>
    <xf numFmtId="3" fontId="92" fillId="4" borderId="57" xfId="0" applyNumberFormat="1" applyFont="1" applyFill="1" applyBorder="1" applyAlignment="1">
      <alignment vertical="center" wrapText="1"/>
    </xf>
    <xf numFmtId="3" fontId="162" fillId="4" borderId="115" xfId="0" applyNumberFormat="1" applyFont="1" applyFill="1" applyBorder="1" applyAlignment="1">
      <alignment vertical="center" wrapText="1"/>
    </xf>
    <xf numFmtId="3" fontId="123" fillId="0" borderId="95" xfId="0" applyNumberFormat="1" applyFont="1" applyBorder="1" applyAlignment="1">
      <alignment vertical="center" wrapText="1"/>
    </xf>
    <xf numFmtId="3" fontId="76" fillId="5" borderId="57" xfId="0" applyNumberFormat="1" applyFont="1" applyFill="1" applyBorder="1" applyAlignment="1">
      <alignment vertical="center" wrapText="1"/>
    </xf>
    <xf numFmtId="3" fontId="92" fillId="4" borderId="95" xfId="0" applyNumberFormat="1" applyFont="1" applyFill="1" applyBorder="1" applyAlignment="1">
      <alignment vertical="center" wrapText="1"/>
    </xf>
    <xf numFmtId="3" fontId="162" fillId="4" borderId="81" xfId="0" applyNumberFormat="1" applyFont="1" applyFill="1" applyBorder="1" applyAlignment="1">
      <alignment vertical="center" wrapText="1"/>
    </xf>
    <xf numFmtId="3" fontId="123" fillId="0" borderId="81" xfId="0" applyNumberFormat="1" applyFont="1" applyBorder="1" applyAlignment="1">
      <alignment vertical="center" wrapText="1"/>
    </xf>
    <xf numFmtId="3" fontId="76" fillId="2" borderId="95" xfId="0" applyNumberFormat="1" applyFont="1" applyFill="1" applyBorder="1"/>
    <xf numFmtId="3" fontId="99" fillId="5" borderId="57" xfId="0" applyNumberFormat="1" applyFont="1" applyFill="1" applyBorder="1" applyAlignment="1">
      <alignment vertical="center" wrapText="1"/>
    </xf>
    <xf numFmtId="170" fontId="76" fillId="5" borderId="2" xfId="0" applyNumberFormat="1" applyFont="1" applyFill="1" applyBorder="1"/>
    <xf numFmtId="170" fontId="92" fillId="5" borderId="23" xfId="0" applyNumberFormat="1" applyFont="1" applyFill="1" applyBorder="1"/>
    <xf numFmtId="170" fontId="92" fillId="5" borderId="3" xfId="0" applyNumberFormat="1" applyFont="1" applyFill="1" applyBorder="1"/>
    <xf numFmtId="0" fontId="76" fillId="2" borderId="36" xfId="0" applyFont="1" applyFill="1" applyBorder="1" applyAlignment="1">
      <alignment horizontal="center" vertical="center"/>
    </xf>
    <xf numFmtId="3" fontId="123" fillId="0" borderId="2" xfId="0" applyNumberFormat="1" applyFont="1" applyBorder="1"/>
    <xf numFmtId="0" fontId="76" fillId="2" borderId="141" xfId="0" applyFont="1" applyFill="1" applyBorder="1" applyAlignment="1">
      <alignment horizontal="center" vertical="center"/>
    </xf>
    <xf numFmtId="0" fontId="58" fillId="2" borderId="136" xfId="0" applyFont="1" applyFill="1" applyBorder="1"/>
    <xf numFmtId="3" fontId="162" fillId="4" borderId="151" xfId="0" applyNumberFormat="1" applyFont="1" applyFill="1" applyBorder="1"/>
    <xf numFmtId="3" fontId="123" fillId="0" borderId="134" xfId="0" applyNumberFormat="1" applyFont="1" applyBorder="1"/>
    <xf numFmtId="3" fontId="58" fillId="0" borderId="81" xfId="0" applyNumberFormat="1" applyFont="1" applyBorder="1" applyAlignment="1">
      <alignment horizontal="right"/>
    </xf>
    <xf numFmtId="0" fontId="58" fillId="2" borderId="91" xfId="0" applyFont="1" applyFill="1" applyBorder="1"/>
    <xf numFmtId="0" fontId="58" fillId="2" borderId="120" xfId="0" applyFont="1" applyFill="1" applyBorder="1"/>
    <xf numFmtId="3" fontId="92" fillId="9" borderId="115" xfId="0" applyNumberFormat="1" applyFont="1" applyFill="1" applyBorder="1"/>
    <xf numFmtId="3" fontId="58" fillId="9" borderId="95" xfId="0" applyNumberFormat="1" applyFont="1" applyFill="1" applyBorder="1"/>
    <xf numFmtId="3" fontId="124" fillId="7" borderId="95" xfId="0" applyNumberFormat="1" applyFont="1" applyFill="1" applyBorder="1"/>
    <xf numFmtId="3" fontId="58" fillId="0" borderId="0" xfId="0" applyNumberFormat="1" applyFont="1" applyAlignment="1">
      <alignment horizontal="right"/>
    </xf>
    <xf numFmtId="0" fontId="58" fillId="2" borderId="110" xfId="0" applyFont="1" applyFill="1" applyBorder="1"/>
    <xf numFmtId="0" fontId="76" fillId="2" borderId="93" xfId="0" applyFont="1" applyFill="1" applyBorder="1" applyAlignment="1">
      <alignment horizontal="center" vertical="center"/>
    </xf>
    <xf numFmtId="3" fontId="92" fillId="9" borderId="151" xfId="0" applyNumberFormat="1" applyFont="1" applyFill="1" applyBorder="1"/>
    <xf numFmtId="3" fontId="58" fillId="9" borderId="111" xfId="0" applyNumberFormat="1" applyFont="1" applyFill="1" applyBorder="1"/>
    <xf numFmtId="3" fontId="124" fillId="7" borderId="111" xfId="0" applyNumberFormat="1" applyFont="1" applyFill="1" applyBorder="1"/>
    <xf numFmtId="3" fontId="58" fillId="0" borderId="111" xfId="0" applyNumberFormat="1" applyFont="1" applyBorder="1"/>
    <xf numFmtId="0" fontId="181" fillId="2" borderId="127" xfId="0" applyFont="1" applyFill="1" applyBorder="1" applyAlignment="1">
      <alignment horizontal="center" vertical="center" wrapText="1"/>
    </xf>
    <xf numFmtId="3" fontId="92" fillId="4" borderId="152" xfId="0" applyNumberFormat="1" applyFont="1" applyFill="1" applyBorder="1"/>
    <xf numFmtId="3" fontId="58" fillId="0" borderId="123" xfId="0" applyNumberFormat="1" applyFont="1" applyBorder="1"/>
    <xf numFmtId="3" fontId="92" fillId="9" borderId="152" xfId="0" applyNumberFormat="1" applyFont="1" applyFill="1" applyBorder="1"/>
    <xf numFmtId="3" fontId="92" fillId="4" borderId="144" xfId="0" applyNumberFormat="1" applyFont="1" applyFill="1" applyBorder="1"/>
    <xf numFmtId="0" fontId="58" fillId="0" borderId="123" xfId="0" applyFont="1" applyBorder="1"/>
    <xf numFmtId="0" fontId="75" fillId="2" borderId="121" xfId="0" applyFont="1" applyFill="1" applyBorder="1" applyAlignment="1">
      <alignment horizontal="center" vertical="center"/>
    </xf>
    <xf numFmtId="0" fontId="181" fillId="2" borderId="122" xfId="0" applyFont="1" applyFill="1" applyBorder="1" applyAlignment="1">
      <alignment horizontal="center" vertical="center" wrapText="1"/>
    </xf>
    <xf numFmtId="3" fontId="58" fillId="9" borderId="125" xfId="0" applyNumberFormat="1" applyFont="1" applyFill="1" applyBorder="1"/>
    <xf numFmtId="3" fontId="124" fillId="7" borderId="125" xfId="0" applyNumberFormat="1" applyFont="1" applyFill="1" applyBorder="1"/>
    <xf numFmtId="3" fontId="58" fillId="0" borderId="125" xfId="0" applyNumberFormat="1" applyFont="1" applyBorder="1"/>
    <xf numFmtId="0" fontId="181" fillId="2" borderId="120" xfId="0" quotePrefix="1" applyFont="1" applyFill="1" applyBorder="1" applyAlignment="1">
      <alignment horizontal="center" vertical="center" wrapText="1"/>
    </xf>
    <xf numFmtId="0" fontId="181" fillId="2" borderId="38" xfId="0" quotePrefix="1" applyFont="1" applyFill="1" applyBorder="1" applyAlignment="1">
      <alignment horizontal="center" vertical="center" wrapText="1"/>
    </xf>
    <xf numFmtId="0" fontId="181" fillId="2" borderId="120" xfId="0" applyFont="1" applyFill="1" applyBorder="1" applyAlignment="1">
      <alignment horizontal="center" vertical="center" wrapText="1"/>
    </xf>
    <xf numFmtId="2" fontId="76" fillId="0" borderId="0" xfId="0" applyNumberFormat="1" applyFont="1"/>
    <xf numFmtId="0" fontId="76" fillId="2" borderId="92" xfId="0" quotePrefix="1" applyFont="1" applyFill="1" applyBorder="1" applyAlignment="1">
      <alignment horizontal="center" vertical="center" wrapText="1"/>
    </xf>
    <xf numFmtId="2" fontId="173" fillId="0" borderId="123" xfId="0" applyNumberFormat="1" applyFont="1" applyBorder="1" applyAlignment="1">
      <alignment horizontal="right" vertical="center" wrapText="1"/>
    </xf>
    <xf numFmtId="2" fontId="76" fillId="0" borderId="123" xfId="0" applyNumberFormat="1" applyFont="1" applyBorder="1"/>
    <xf numFmtId="0" fontId="76" fillId="0" borderId="9" xfId="16" applyFont="1" applyBorder="1" applyAlignment="1">
      <alignment horizontal="center" vertical="center" wrapText="1"/>
    </xf>
    <xf numFmtId="10" fontId="76" fillId="2" borderId="9" xfId="19" applyNumberFormat="1" applyFont="1" applyFill="1" applyBorder="1" applyAlignment="1">
      <alignment horizontal="center" vertical="center"/>
    </xf>
    <xf numFmtId="177" fontId="106" fillId="5" borderId="0" xfId="0" applyNumberFormat="1" applyFont="1" applyFill="1"/>
    <xf numFmtId="177" fontId="76" fillId="5" borderId="0" xfId="0" applyNumberFormat="1" applyFont="1" applyFill="1"/>
    <xf numFmtId="177" fontId="76" fillId="8" borderId="0" xfId="0" applyNumberFormat="1" applyFont="1" applyFill="1"/>
    <xf numFmtId="2" fontId="178" fillId="7" borderId="0" xfId="0" applyNumberFormat="1" applyFont="1" applyFill="1" applyAlignment="1">
      <alignment horizontal="right" vertical="center" wrapText="1"/>
    </xf>
    <xf numFmtId="2" fontId="174" fillId="0" borderId="0" xfId="0" applyNumberFormat="1" applyFont="1" applyAlignment="1">
      <alignment horizontal="right" vertical="center" wrapText="1"/>
    </xf>
    <xf numFmtId="2" fontId="173" fillId="0" borderId="0" xfId="0" applyNumberFormat="1" applyFont="1" applyAlignment="1">
      <alignment horizontal="right" vertical="center" wrapText="1"/>
    </xf>
    <xf numFmtId="10" fontId="76" fillId="2" borderId="91" xfId="19" applyNumberFormat="1" applyFont="1" applyFill="1" applyBorder="1" applyAlignment="1">
      <alignment horizontal="center" vertical="center"/>
    </xf>
    <xf numFmtId="0" fontId="76" fillId="2" borderId="91" xfId="0" quotePrefix="1" applyFont="1" applyFill="1" applyBorder="1" applyAlignment="1">
      <alignment horizontal="center" vertical="center" wrapText="1"/>
    </xf>
    <xf numFmtId="177" fontId="106" fillId="5" borderId="95" xfId="0" applyNumberFormat="1" applyFont="1" applyFill="1" applyBorder="1"/>
    <xf numFmtId="177" fontId="76" fillId="5" borderId="95" xfId="0" applyNumberFormat="1" applyFont="1" applyFill="1" applyBorder="1"/>
    <xf numFmtId="177" fontId="76" fillId="8" borderId="95" xfId="0" applyNumberFormat="1" applyFont="1" applyFill="1" applyBorder="1"/>
    <xf numFmtId="2" fontId="178" fillId="7" borderId="95" xfId="0" applyNumberFormat="1" applyFont="1" applyFill="1" applyBorder="1" applyAlignment="1">
      <alignment horizontal="right" vertical="center" wrapText="1"/>
    </xf>
    <xf numFmtId="2" fontId="174" fillId="0" borderId="95" xfId="0" applyNumberFormat="1" applyFont="1" applyBorder="1" applyAlignment="1">
      <alignment horizontal="right" vertical="center" wrapText="1"/>
    </xf>
    <xf numFmtId="0" fontId="173" fillId="0" borderId="95" xfId="0" applyFont="1" applyBorder="1" applyAlignment="1">
      <alignment horizontal="right" vertical="center" wrapText="1"/>
    </xf>
    <xf numFmtId="2" fontId="76" fillId="0" borderId="95" xfId="0" applyNumberFormat="1" applyFont="1" applyBorder="1"/>
    <xf numFmtId="2" fontId="173" fillId="0" borderId="95" xfId="0" applyNumberFormat="1" applyFont="1" applyBorder="1" applyAlignment="1">
      <alignment horizontal="right" vertical="center" wrapText="1"/>
    </xf>
    <xf numFmtId="0" fontId="76" fillId="2" borderId="13" xfId="0" applyFont="1" applyFill="1" applyBorder="1" applyAlignment="1">
      <alignment horizontal="center" vertical="center"/>
    </xf>
    <xf numFmtId="10" fontId="76" fillId="2" borderId="110" xfId="19" applyNumberFormat="1" applyFont="1" applyFill="1" applyBorder="1" applyAlignment="1">
      <alignment horizontal="center" vertical="center"/>
    </xf>
    <xf numFmtId="0" fontId="76" fillId="2" borderId="110" xfId="0" quotePrefix="1" applyFont="1" applyFill="1" applyBorder="1" applyAlignment="1">
      <alignment horizontal="center" vertical="center" wrapText="1"/>
    </xf>
    <xf numFmtId="0" fontId="76" fillId="2" borderId="133" xfId="0" applyFont="1" applyFill="1" applyBorder="1"/>
    <xf numFmtId="177" fontId="106" fillId="5" borderId="134" xfId="0" applyNumberFormat="1" applyFont="1" applyFill="1" applyBorder="1"/>
    <xf numFmtId="177" fontId="76" fillId="8" borderId="134" xfId="0" applyNumberFormat="1" applyFont="1" applyFill="1" applyBorder="1"/>
    <xf numFmtId="2" fontId="178" fillId="7" borderId="134" xfId="0" applyNumberFormat="1" applyFont="1" applyFill="1" applyBorder="1" applyAlignment="1">
      <alignment horizontal="right" vertical="center" wrapText="1"/>
    </xf>
    <xf numFmtId="2" fontId="174" fillId="0" borderId="134" xfId="0" applyNumberFormat="1" applyFont="1" applyBorder="1" applyAlignment="1">
      <alignment horizontal="right" vertical="center" wrapText="1"/>
    </xf>
    <xf numFmtId="2" fontId="173" fillId="0" borderId="134" xfId="0" applyNumberFormat="1" applyFont="1" applyBorder="1" applyAlignment="1">
      <alignment horizontal="right" vertical="center" wrapText="1"/>
    </xf>
    <xf numFmtId="2" fontId="76" fillId="0" borderId="134" xfId="0" applyNumberFormat="1" applyFont="1" applyBorder="1"/>
    <xf numFmtId="3" fontId="123" fillId="0" borderId="81" xfId="0" applyNumberFormat="1" applyFont="1" applyBorder="1"/>
    <xf numFmtId="3" fontId="98" fillId="0" borderId="0" xfId="0" applyNumberFormat="1" applyFont="1"/>
    <xf numFmtId="0" fontId="74" fillId="2" borderId="91" xfId="0" applyFont="1" applyFill="1" applyBorder="1" applyAlignment="1">
      <alignment horizontal="centerContinuous" vertical="center" wrapText="1"/>
    </xf>
    <xf numFmtId="0" fontId="76" fillId="2" borderId="91" xfId="0" quotePrefix="1" applyFont="1" applyFill="1" applyBorder="1" applyAlignment="1">
      <alignment horizontal="centerContinuous" vertical="center" wrapText="1"/>
    </xf>
    <xf numFmtId="3" fontId="92" fillId="4" borderId="115" xfId="0" applyNumberFormat="1" applyFont="1" applyFill="1" applyBorder="1"/>
    <xf numFmtId="3" fontId="98" fillId="0" borderId="95" xfId="0" applyNumberFormat="1" applyFont="1" applyBorder="1"/>
    <xf numFmtId="3" fontId="76" fillId="11" borderId="95" xfId="0" applyNumberFormat="1" applyFont="1" applyFill="1" applyBorder="1"/>
    <xf numFmtId="0" fontId="74" fillId="2" borderId="110" xfId="0" applyFont="1" applyFill="1" applyBorder="1" applyAlignment="1">
      <alignment horizontal="centerContinuous" vertical="center" wrapText="1"/>
    </xf>
    <xf numFmtId="0" fontId="76" fillId="2" borderId="93" xfId="0" quotePrefix="1" applyFont="1" applyFill="1" applyBorder="1" applyAlignment="1">
      <alignment horizontal="centerContinuous" vertical="center" wrapText="1"/>
    </xf>
    <xf numFmtId="0" fontId="72" fillId="2" borderId="136" xfId="0" quotePrefix="1" applyFont="1" applyFill="1" applyBorder="1" applyAlignment="1">
      <alignment horizontal="center" vertical="center" wrapText="1"/>
    </xf>
    <xf numFmtId="3" fontId="76" fillId="0" borderId="134" xfId="0" applyNumberFormat="1" applyFont="1" applyBorder="1"/>
    <xf numFmtId="3" fontId="58" fillId="0" borderId="134" xfId="0" applyNumberFormat="1" applyFont="1" applyBorder="1"/>
    <xf numFmtId="3" fontId="98" fillId="0" borderId="134" xfId="0" applyNumberFormat="1" applyFont="1" applyBorder="1"/>
    <xf numFmtId="170" fontId="99" fillId="0" borderId="0" xfId="0" applyNumberFormat="1" applyFont="1"/>
    <xf numFmtId="0" fontId="99" fillId="11" borderId="92" xfId="0" applyFont="1" applyFill="1" applyBorder="1" applyAlignment="1">
      <alignment horizontal="center" vertical="center" wrapText="1"/>
    </xf>
    <xf numFmtId="0" fontId="74" fillId="2" borderId="92" xfId="0" applyFont="1" applyFill="1" applyBorder="1" applyAlignment="1">
      <alignment horizontal="centerContinuous" vertical="center" wrapText="1"/>
    </xf>
    <xf numFmtId="0" fontId="77" fillId="2" borderId="145" xfId="0" applyFont="1" applyFill="1" applyBorder="1" applyAlignment="1">
      <alignment horizontal="center" vertical="center" wrapText="1"/>
    </xf>
    <xf numFmtId="171" fontId="162" fillId="8" borderId="144" xfId="0" applyNumberFormat="1" applyFont="1" applyFill="1" applyBorder="1"/>
    <xf numFmtId="171" fontId="123" fillId="8" borderId="123" xfId="0" applyNumberFormat="1" applyFont="1" applyFill="1" applyBorder="1"/>
    <xf numFmtId="171" fontId="171" fillId="8" borderId="123" xfId="0" applyNumberFormat="1" applyFont="1" applyFill="1" applyBorder="1"/>
    <xf numFmtId="170" fontId="92" fillId="4" borderId="148" xfId="0" applyNumberFormat="1" applyFont="1" applyFill="1" applyBorder="1"/>
    <xf numFmtId="0" fontId="76" fillId="2" borderId="92" xfId="0" applyFont="1" applyFill="1" applyBorder="1" applyAlignment="1">
      <alignment horizontal="centerContinuous" vertical="center" wrapText="1"/>
    </xf>
    <xf numFmtId="0" fontId="72" fillId="2" borderId="92" xfId="0" applyFont="1" applyFill="1" applyBorder="1" applyAlignment="1">
      <alignment vertical="center"/>
    </xf>
    <xf numFmtId="0" fontId="72" fillId="2" borderId="145" xfId="0" applyFont="1" applyFill="1" applyBorder="1" applyAlignment="1">
      <alignment horizontal="center" vertical="center" wrapText="1"/>
    </xf>
    <xf numFmtId="0" fontId="72" fillId="2" borderId="53" xfId="0" applyFont="1" applyFill="1" applyBorder="1" applyAlignment="1">
      <alignment horizontal="center" vertical="center" wrapText="1"/>
    </xf>
    <xf numFmtId="0" fontId="76" fillId="2" borderId="93" xfId="0" applyFont="1" applyFill="1" applyBorder="1" applyAlignment="1">
      <alignment horizontal="centerContinuous" vertical="center" wrapText="1"/>
    </xf>
    <xf numFmtId="0" fontId="72" fillId="2" borderId="93" xfId="0" applyFont="1" applyFill="1" applyBorder="1" applyAlignment="1">
      <alignment vertical="center"/>
    </xf>
    <xf numFmtId="0" fontId="72" fillId="2" borderId="116" xfId="0" applyFont="1" applyFill="1" applyBorder="1" applyAlignment="1">
      <alignment horizontal="center" vertical="center" wrapText="1"/>
    </xf>
    <xf numFmtId="171" fontId="171" fillId="8" borderId="111" xfId="0" applyNumberFormat="1" applyFont="1" applyFill="1" applyBorder="1"/>
    <xf numFmtId="170" fontId="123" fillId="0" borderId="111" xfId="0" applyNumberFormat="1" applyFont="1" applyBorder="1"/>
    <xf numFmtId="1" fontId="58" fillId="2" borderId="149" xfId="0" applyNumberFormat="1" applyFont="1" applyFill="1" applyBorder="1" applyAlignment="1">
      <alignment horizontal="center" vertical="center"/>
    </xf>
    <xf numFmtId="0" fontId="76" fillId="2" borderId="149" xfId="0" applyFont="1" applyFill="1" applyBorder="1" applyAlignment="1">
      <alignment horizontal="center" vertical="center"/>
    </xf>
    <xf numFmtId="0" fontId="72" fillId="2" borderId="142" xfId="0" quotePrefix="1" applyFont="1" applyFill="1" applyBorder="1" applyAlignment="1">
      <alignment horizontal="center" vertical="center" wrapText="1"/>
    </xf>
    <xf numFmtId="171" fontId="92" fillId="8" borderId="143" xfId="0" applyNumberFormat="1" applyFont="1" applyFill="1" applyBorder="1"/>
    <xf numFmtId="171" fontId="76" fillId="8" borderId="143" xfId="0" applyNumberFormat="1" applyFont="1" applyFill="1" applyBorder="1"/>
    <xf numFmtId="171" fontId="92" fillId="4" borderId="143" xfId="0" applyNumberFormat="1" applyFont="1" applyFill="1" applyBorder="1"/>
    <xf numFmtId="0" fontId="58" fillId="2" borderId="9" xfId="0" applyFont="1" applyFill="1" applyBorder="1" applyAlignment="1">
      <alignment horizontal="center" vertical="center"/>
    </xf>
    <xf numFmtId="171" fontId="92" fillId="8" borderId="0" xfId="0" applyNumberFormat="1" applyFont="1" applyFill="1"/>
    <xf numFmtId="171" fontId="121" fillId="7" borderId="0" xfId="0" applyNumberFormat="1" applyFont="1" applyFill="1"/>
    <xf numFmtId="1" fontId="58" fillId="2" borderId="110" xfId="0" applyNumberFormat="1" applyFont="1" applyFill="1" applyBorder="1" applyAlignment="1">
      <alignment horizontal="center" vertical="center"/>
    </xf>
    <xf numFmtId="0" fontId="76" fillId="2" borderId="110" xfId="0" applyFont="1" applyFill="1" applyBorder="1" applyAlignment="1">
      <alignment horizontal="center" vertical="center"/>
    </xf>
    <xf numFmtId="0" fontId="72" fillId="2" borderId="133" xfId="0" quotePrefix="1" applyFont="1" applyFill="1" applyBorder="1" applyAlignment="1">
      <alignment horizontal="center" vertical="center" wrapText="1"/>
    </xf>
    <xf numFmtId="0" fontId="72" fillId="8" borderId="134" xfId="0" quotePrefix="1" applyFont="1" applyFill="1" applyBorder="1" applyAlignment="1">
      <alignment horizontal="center" vertical="center" wrapText="1"/>
    </xf>
    <xf numFmtId="171" fontId="92" fillId="8" borderId="111" xfId="0" applyNumberFormat="1" applyFont="1" applyFill="1" applyBorder="1"/>
    <xf numFmtId="171" fontId="76" fillId="8" borderId="111" xfId="0" applyNumberFormat="1" applyFont="1" applyFill="1" applyBorder="1"/>
    <xf numFmtId="171" fontId="121" fillId="7" borderId="153" xfId="0" applyNumberFormat="1" applyFont="1" applyFill="1" applyBorder="1"/>
    <xf numFmtId="1" fontId="58" fillId="2" borderId="14" xfId="0" applyNumberFormat="1" applyFont="1" applyFill="1" applyBorder="1" applyAlignment="1">
      <alignment horizontal="center" vertical="center"/>
    </xf>
    <xf numFmtId="0" fontId="72" fillId="8" borderId="23" xfId="0" quotePrefix="1" applyFont="1" applyFill="1" applyBorder="1" applyAlignment="1">
      <alignment horizontal="center" vertical="center" wrapText="1"/>
    </xf>
    <xf numFmtId="0" fontId="72" fillId="8" borderId="81" xfId="0" quotePrefix="1" applyFont="1" applyFill="1" applyBorder="1" applyAlignment="1">
      <alignment horizontal="center" vertical="center" wrapText="1"/>
    </xf>
    <xf numFmtId="171" fontId="121" fillId="7" borderId="154" xfId="0" applyNumberFormat="1" applyFont="1" applyFill="1" applyBorder="1"/>
    <xf numFmtId="0" fontId="58" fillId="2" borderId="91" xfId="0" applyFont="1" applyFill="1" applyBorder="1" applyAlignment="1">
      <alignment horizontal="center" vertical="center"/>
    </xf>
    <xf numFmtId="0" fontId="72" fillId="8" borderId="95" xfId="0" quotePrefix="1" applyFont="1" applyFill="1" applyBorder="1" applyAlignment="1">
      <alignment horizontal="center" vertical="center" wrapText="1"/>
    </xf>
    <xf numFmtId="171" fontId="92" fillId="8" borderId="95" xfId="0" applyNumberFormat="1" applyFont="1" applyFill="1" applyBorder="1"/>
    <xf numFmtId="171" fontId="121" fillId="7" borderId="95" xfId="0" applyNumberFormat="1" applyFont="1" applyFill="1" applyBorder="1"/>
    <xf numFmtId="0" fontId="75" fillId="2" borderId="92" xfId="138" applyFont="1" applyFill="1" applyBorder="1" applyAlignment="1">
      <alignment horizontal="center" vertical="center"/>
    </xf>
    <xf numFmtId="170" fontId="92" fillId="4" borderId="57" xfId="0" quotePrefix="1" applyNumberFormat="1" applyFont="1" applyFill="1" applyBorder="1" applyAlignment="1">
      <alignment vertical="center" wrapText="1"/>
    </xf>
    <xf numFmtId="170" fontId="76" fillId="0" borderId="0" xfId="0" quotePrefix="1" applyNumberFormat="1" applyFont="1" applyAlignment="1">
      <alignment vertical="center" wrapText="1"/>
    </xf>
    <xf numFmtId="179" fontId="79" fillId="2" borderId="91" xfId="19" quotePrefix="1" applyNumberFormat="1" applyFont="1" applyFill="1" applyBorder="1" applyAlignment="1" applyProtection="1">
      <alignment horizontal="center" vertical="center"/>
    </xf>
    <xf numFmtId="170" fontId="92" fillId="4" borderId="115" xfId="0" quotePrefix="1" applyNumberFormat="1" applyFont="1" applyFill="1" applyBorder="1" applyAlignment="1">
      <alignment vertical="center" wrapText="1"/>
    </xf>
    <xf numFmtId="170" fontId="76" fillId="0" borderId="95" xfId="0" quotePrefix="1" applyNumberFormat="1" applyFont="1" applyBorder="1" applyAlignment="1">
      <alignment vertical="center" wrapText="1"/>
    </xf>
    <xf numFmtId="179" fontId="79" fillId="2" borderId="92" xfId="19" quotePrefix="1" applyNumberFormat="1" applyFont="1" applyFill="1" applyBorder="1" applyAlignment="1" applyProtection="1">
      <alignment horizontal="center" vertical="center"/>
    </xf>
    <xf numFmtId="170" fontId="92" fillId="4" borderId="148" xfId="0" quotePrefix="1" applyNumberFormat="1" applyFont="1" applyFill="1" applyBorder="1" applyAlignment="1">
      <alignment vertical="center" wrapText="1"/>
    </xf>
    <xf numFmtId="170" fontId="76" fillId="0" borderId="123" xfId="0" quotePrefix="1" applyNumberFormat="1" applyFont="1" applyBorder="1" applyAlignment="1">
      <alignment vertical="center" wrapText="1"/>
    </xf>
    <xf numFmtId="170" fontId="162" fillId="4" borderId="115" xfId="0" quotePrefix="1" applyNumberFormat="1" applyFont="1" applyFill="1" applyBorder="1" applyAlignment="1">
      <alignment vertical="center" wrapText="1"/>
    </xf>
    <xf numFmtId="170" fontId="123" fillId="0" borderId="95" xfId="0" quotePrefix="1" applyNumberFormat="1" applyFont="1" applyBorder="1" applyAlignment="1">
      <alignment vertical="center" wrapText="1"/>
    </xf>
    <xf numFmtId="179" fontId="70" fillId="2" borderId="93" xfId="19" quotePrefix="1" applyNumberFormat="1" applyFont="1" applyFill="1" applyBorder="1" applyAlignment="1" applyProtection="1">
      <alignment horizontal="center" vertical="center"/>
    </xf>
    <xf numFmtId="170" fontId="92" fillId="4" borderId="117" xfId="0" quotePrefix="1" applyNumberFormat="1" applyFont="1" applyFill="1" applyBorder="1" applyAlignment="1">
      <alignment vertical="center" wrapText="1"/>
    </xf>
    <xf numFmtId="170" fontId="76" fillId="0" borderId="111" xfId="0" quotePrefix="1" applyNumberFormat="1" applyFont="1" applyBorder="1" applyAlignment="1">
      <alignment vertical="center" wrapText="1"/>
    </xf>
    <xf numFmtId="170" fontId="76" fillId="0" borderId="111" xfId="0" applyNumberFormat="1" applyFont="1" applyBorder="1"/>
    <xf numFmtId="170" fontId="76" fillId="0" borderId="81" xfId="0" quotePrefix="1" applyNumberFormat="1" applyFont="1" applyBorder="1" applyAlignment="1">
      <alignment vertical="center" wrapText="1"/>
    </xf>
    <xf numFmtId="170" fontId="76" fillId="0" borderId="81" xfId="0" applyNumberFormat="1" applyFont="1" applyBorder="1" applyAlignment="1">
      <alignment wrapText="1"/>
    </xf>
    <xf numFmtId="179" fontId="79" fillId="2" borderId="91" xfId="19" applyNumberFormat="1" applyFont="1" applyFill="1" applyBorder="1" applyAlignment="1">
      <alignment horizontal="center" vertical="center"/>
    </xf>
    <xf numFmtId="0" fontId="76" fillId="0" borderId="7" xfId="0" applyFont="1" applyBorder="1" applyAlignment="1">
      <alignment horizontal="centerContinuous" vertical="center" wrapText="1"/>
    </xf>
    <xf numFmtId="170" fontId="92" fillId="4" borderId="65" xfId="0" applyNumberFormat="1" applyFont="1" applyFill="1" applyBorder="1"/>
    <xf numFmtId="0" fontId="76" fillId="0" borderId="91" xfId="0" applyFont="1" applyBorder="1" applyAlignment="1">
      <alignment horizontal="centerContinuous" vertical="center" wrapText="1"/>
    </xf>
    <xf numFmtId="0" fontId="76" fillId="0" borderId="9" xfId="0" applyFont="1" applyBorder="1" applyAlignment="1">
      <alignment horizontal="centerContinuous" vertical="center" wrapText="1"/>
    </xf>
    <xf numFmtId="170" fontId="92" fillId="5" borderId="115" xfId="0" applyNumberFormat="1" applyFont="1" applyFill="1" applyBorder="1"/>
    <xf numFmtId="0" fontId="76" fillId="0" borderId="138" xfId="0" applyFont="1" applyBorder="1" applyAlignment="1">
      <alignment horizontal="center" vertical="center" wrapText="1"/>
    </xf>
    <xf numFmtId="0" fontId="123" fillId="0" borderId="137" xfId="0" applyFont="1" applyBorder="1" applyAlignment="1">
      <alignment horizontal="center" vertical="center" wrapText="1"/>
    </xf>
    <xf numFmtId="175" fontId="162" fillId="4" borderId="57" xfId="0" applyNumberFormat="1" applyFont="1" applyFill="1" applyBorder="1"/>
    <xf numFmtId="0" fontId="76" fillId="0" borderId="94" xfId="0" quotePrefix="1" applyFont="1" applyBorder="1" applyAlignment="1">
      <alignment horizontal="center" vertical="center" wrapText="1"/>
    </xf>
    <xf numFmtId="0" fontId="76" fillId="0" borderId="120" xfId="0" quotePrefix="1" applyFont="1" applyBorder="1" applyAlignment="1">
      <alignment horizontal="center" vertical="center" wrapText="1"/>
    </xf>
    <xf numFmtId="0" fontId="76" fillId="0" borderId="150" xfId="0" quotePrefix="1" applyFont="1" applyBorder="1" applyAlignment="1">
      <alignment horizontal="center" vertical="center" wrapText="1"/>
    </xf>
    <xf numFmtId="0" fontId="76" fillId="2" borderId="110" xfId="0" applyFont="1" applyFill="1" applyBorder="1" applyAlignment="1">
      <alignment horizontal="centerContinuous" vertical="center" wrapText="1"/>
    </xf>
    <xf numFmtId="0" fontId="76" fillId="0" borderId="133" xfId="0" quotePrefix="1" applyFont="1" applyBorder="1" applyAlignment="1">
      <alignment horizontal="center" vertical="center" wrapText="1"/>
    </xf>
    <xf numFmtId="170" fontId="92" fillId="5" borderId="151" xfId="0" applyNumberFormat="1" applyFont="1" applyFill="1" applyBorder="1"/>
    <xf numFmtId="170" fontId="76" fillId="5" borderId="134" xfId="0" applyNumberFormat="1" applyFont="1" applyFill="1" applyBorder="1"/>
    <xf numFmtId="170" fontId="92" fillId="4" borderId="151" xfId="0" applyNumberFormat="1" applyFont="1" applyFill="1" applyBorder="1"/>
    <xf numFmtId="0" fontId="123" fillId="0" borderId="37" xfId="0" applyFont="1" applyBorder="1" applyAlignment="1">
      <alignment horizontal="center" vertical="center" wrapText="1"/>
    </xf>
    <xf numFmtId="0" fontId="76" fillId="0" borderId="137" xfId="0" quotePrefix="1" applyFont="1" applyBorder="1" applyAlignment="1">
      <alignment horizontal="center" vertical="center" wrapText="1"/>
    </xf>
    <xf numFmtId="0" fontId="76" fillId="0" borderId="128" xfId="0" applyFont="1" applyBorder="1" applyAlignment="1">
      <alignment horizontal="center" vertical="center" wrapText="1"/>
    </xf>
    <xf numFmtId="170" fontId="92" fillId="4" borderId="144" xfId="0" applyNumberFormat="1" applyFont="1" applyFill="1" applyBorder="1"/>
    <xf numFmtId="0" fontId="76" fillId="0" borderId="139" xfId="0" quotePrefix="1" applyFont="1" applyBorder="1" applyAlignment="1">
      <alignment horizontal="center" vertical="center" wrapText="1"/>
    </xf>
    <xf numFmtId="170" fontId="92" fillId="5" borderId="31" xfId="0" applyNumberFormat="1" applyFont="1" applyFill="1" applyBorder="1"/>
    <xf numFmtId="0" fontId="76" fillId="2" borderId="126" xfId="0" applyFont="1" applyFill="1" applyBorder="1" applyAlignment="1">
      <alignment horizontal="center" vertical="center" wrapText="1"/>
    </xf>
    <xf numFmtId="170" fontId="92" fillId="5" borderId="148" xfId="0" applyNumberFormat="1" applyFont="1" applyFill="1" applyBorder="1"/>
    <xf numFmtId="170" fontId="92" fillId="5" borderId="123" xfId="0" applyNumberFormat="1" applyFont="1" applyFill="1" applyBorder="1"/>
    <xf numFmtId="3" fontId="58" fillId="9" borderId="0" xfId="0" applyNumberFormat="1" applyFont="1" applyFill="1"/>
    <xf numFmtId="3" fontId="124" fillId="4" borderId="0" xfId="0" applyNumberFormat="1" applyFont="1" applyFill="1"/>
    <xf numFmtId="0" fontId="181" fillId="2" borderId="136" xfId="0" applyFont="1" applyFill="1" applyBorder="1" applyAlignment="1">
      <alignment horizontal="center" vertical="center" wrapText="1"/>
    </xf>
    <xf numFmtId="3" fontId="123" fillId="0" borderId="111" xfId="0" applyNumberFormat="1" applyFont="1" applyBorder="1"/>
    <xf numFmtId="3" fontId="124" fillId="7" borderId="0" xfId="0" applyNumberFormat="1" applyFont="1" applyFill="1"/>
    <xf numFmtId="0" fontId="181" fillId="2" borderId="119" xfId="0" applyFont="1" applyFill="1" applyBorder="1" applyAlignment="1">
      <alignment horizontal="center" vertical="center" wrapText="1"/>
    </xf>
    <xf numFmtId="3" fontId="162" fillId="7" borderId="112" xfId="0" applyNumberFormat="1" applyFont="1" applyFill="1" applyBorder="1"/>
    <xf numFmtId="3" fontId="123" fillId="0" borderId="112" xfId="0" applyNumberFormat="1" applyFont="1" applyBorder="1"/>
    <xf numFmtId="0" fontId="72" fillId="0" borderId="9" xfId="16" applyFont="1" applyBorder="1" applyAlignment="1">
      <alignment horizontal="center" vertical="center" wrapText="1"/>
    </xf>
    <xf numFmtId="179" fontId="91" fillId="2" borderId="9" xfId="19" applyNumberFormat="1" applyFont="1" applyFill="1" applyBorder="1" applyAlignment="1">
      <alignment horizontal="center" vertical="center"/>
    </xf>
    <xf numFmtId="0" fontId="72" fillId="2" borderId="38" xfId="16" applyFont="1" applyFill="1" applyBorder="1" applyAlignment="1">
      <alignment horizontal="center" vertical="center" wrapText="1"/>
    </xf>
    <xf numFmtId="0" fontId="72" fillId="0" borderId="149" xfId="16" applyFont="1" applyBorder="1" applyAlignment="1">
      <alignment horizontal="center" vertical="center" wrapText="1"/>
    </xf>
    <xf numFmtId="179" fontId="91" fillId="2" borderId="149" xfId="19" applyNumberFormat="1" applyFont="1" applyFill="1" applyBorder="1" applyAlignment="1">
      <alignment horizontal="center" vertical="center"/>
    </xf>
    <xf numFmtId="0" fontId="76" fillId="2" borderId="149" xfId="16" applyFont="1" applyFill="1" applyBorder="1" applyAlignment="1">
      <alignment horizontal="center" vertical="center" wrapText="1"/>
    </xf>
    <xf numFmtId="0" fontId="72" fillId="2" borderId="142" xfId="16" applyFont="1" applyFill="1" applyBorder="1" applyAlignment="1">
      <alignment horizontal="center" vertical="center" wrapText="1"/>
    </xf>
    <xf numFmtId="170" fontId="92" fillId="4" borderId="143" xfId="0" applyNumberFormat="1" applyFont="1" applyFill="1" applyBorder="1"/>
    <xf numFmtId="170" fontId="76" fillId="0" borderId="143" xfId="0" applyNumberFormat="1" applyFont="1" applyBorder="1"/>
    <xf numFmtId="0" fontId="72" fillId="0" borderId="13" xfId="16" applyFont="1" applyBorder="1" applyAlignment="1">
      <alignment horizontal="center" vertical="center" wrapText="1"/>
    </xf>
    <xf numFmtId="179" fontId="91" fillId="2" borderId="13" xfId="19" applyNumberFormat="1" applyFont="1" applyFill="1" applyBorder="1" applyAlignment="1">
      <alignment horizontal="center" vertical="center"/>
    </xf>
    <xf numFmtId="0" fontId="76" fillId="2" borderId="13" xfId="16" applyFont="1" applyFill="1" applyBorder="1" applyAlignment="1">
      <alignment horizontal="center" vertical="center" wrapText="1"/>
    </xf>
    <xf numFmtId="0" fontId="72" fillId="2" borderId="39" xfId="16" applyFont="1" applyFill="1" applyBorder="1" applyAlignment="1">
      <alignment horizontal="center" vertical="center" wrapText="1"/>
    </xf>
    <xf numFmtId="0" fontId="72" fillId="0" borderId="92" xfId="16" applyFont="1" applyBorder="1" applyAlignment="1">
      <alignment horizontal="center" vertical="center" wrapText="1"/>
    </xf>
    <xf numFmtId="179" fontId="91" fillId="2" borderId="92" xfId="19" applyNumberFormat="1" applyFont="1" applyFill="1" applyBorder="1" applyAlignment="1">
      <alignment horizontal="center" vertical="center"/>
    </xf>
    <xf numFmtId="0" fontId="76" fillId="2" borderId="92" xfId="16" applyFont="1" applyFill="1" applyBorder="1" applyAlignment="1">
      <alignment horizontal="center" vertical="center" wrapText="1"/>
    </xf>
    <xf numFmtId="0" fontId="72" fillId="2" borderId="127" xfId="16" applyFont="1" applyFill="1" applyBorder="1" applyAlignment="1">
      <alignment horizontal="center" vertical="center" wrapText="1"/>
    </xf>
    <xf numFmtId="170" fontId="76" fillId="5" borderId="123" xfId="0" applyNumberFormat="1" applyFont="1" applyFill="1" applyBorder="1"/>
    <xf numFmtId="170" fontId="92" fillId="4" borderId="124" xfId="0" applyNumberFormat="1" applyFont="1" applyFill="1" applyBorder="1"/>
    <xf numFmtId="173" fontId="92" fillId="4" borderId="64" xfId="17" applyNumberFormat="1" applyFont="1" applyFill="1" applyBorder="1"/>
    <xf numFmtId="0" fontId="76" fillId="2" borderId="95" xfId="15" applyFont="1" applyFill="1" applyBorder="1" applyAlignment="1">
      <alignment horizontal="centerContinuous" vertical="center" wrapText="1"/>
    </xf>
    <xf numFmtId="173" fontId="98" fillId="0" borderId="95" xfId="17" applyNumberFormat="1" applyFont="1" applyBorder="1"/>
    <xf numFmtId="173" fontId="76" fillId="0" borderId="95" xfId="17" applyNumberFormat="1" applyFont="1" applyBorder="1"/>
    <xf numFmtId="173" fontId="58" fillId="0" borderId="95" xfId="17" applyNumberFormat="1" applyFont="1" applyBorder="1"/>
    <xf numFmtId="173" fontId="130" fillId="0" borderId="95" xfId="17" applyNumberFormat="1" applyFont="1" applyBorder="1"/>
    <xf numFmtId="0" fontId="58" fillId="2" borderId="91" xfId="15" applyFont="1" applyFill="1" applyBorder="1" applyAlignment="1">
      <alignment horizontal="centerContinuous" vertical="center" wrapText="1"/>
    </xf>
    <xf numFmtId="0" fontId="76" fillId="2" borderId="91" xfId="15" applyFont="1" applyFill="1" applyBorder="1" applyAlignment="1">
      <alignment horizontal="centerContinuous" vertical="center" wrapText="1"/>
    </xf>
    <xf numFmtId="0" fontId="72" fillId="2" borderId="120" xfId="15" applyFont="1" applyFill="1" applyBorder="1" applyAlignment="1">
      <alignment horizontal="centerContinuous" vertical="center" wrapText="1"/>
    </xf>
    <xf numFmtId="173" fontId="98" fillId="0" borderId="115" xfId="17" applyNumberFormat="1" applyFont="1" applyBorder="1"/>
    <xf numFmtId="173" fontId="92" fillId="4" borderId="115" xfId="17" applyNumberFormat="1" applyFont="1" applyFill="1" applyBorder="1"/>
    <xf numFmtId="0" fontId="58" fillId="2" borderId="42" xfId="15" applyFont="1" applyFill="1" applyBorder="1" applyAlignment="1">
      <alignment horizontal="centerContinuous" vertical="center" wrapText="1"/>
    </xf>
    <xf numFmtId="0" fontId="72" fillId="2" borderId="39" xfId="15" applyFont="1" applyFill="1" applyBorder="1" applyAlignment="1">
      <alignment horizontal="centerContinuous" vertical="center" wrapText="1"/>
    </xf>
    <xf numFmtId="173" fontId="58" fillId="0" borderId="3" xfId="17" applyNumberFormat="1" applyFont="1" applyBorder="1"/>
    <xf numFmtId="173" fontId="130" fillId="0" borderId="3" xfId="17" applyNumberFormat="1" applyFont="1" applyBorder="1"/>
    <xf numFmtId="173" fontId="76" fillId="0" borderId="3" xfId="17" applyNumberFormat="1" applyFont="1" applyBorder="1"/>
    <xf numFmtId="0" fontId="72" fillId="2" borderId="16" xfId="0" quotePrefix="1" applyFont="1" applyFill="1" applyBorder="1" applyAlignment="1">
      <alignment horizontal="center" vertical="center" wrapText="1"/>
    </xf>
    <xf numFmtId="170" fontId="130" fillId="0" borderId="81" xfId="0" applyNumberFormat="1" applyFont="1" applyBorder="1"/>
    <xf numFmtId="170" fontId="130" fillId="0" borderId="2" xfId="0" applyNumberFormat="1" applyFont="1" applyBorder="1"/>
    <xf numFmtId="0" fontId="97" fillId="2" borderId="91" xfId="0" applyFont="1" applyFill="1" applyBorder="1" applyAlignment="1">
      <alignment horizontal="centerContinuous" vertical="center" wrapText="1"/>
    </xf>
    <xf numFmtId="0" fontId="72" fillId="2" borderId="147" xfId="0" applyFont="1" applyFill="1" applyBorder="1" applyAlignment="1">
      <alignment horizontal="center" vertical="center" wrapText="1"/>
    </xf>
    <xf numFmtId="170" fontId="130" fillId="0" borderId="95" xfId="0" applyNumberFormat="1" applyFont="1" applyBorder="1"/>
    <xf numFmtId="170" fontId="130" fillId="0" borderId="0" xfId="0" applyNumberFormat="1" applyFont="1"/>
    <xf numFmtId="185" fontId="75" fillId="2" borderId="9" xfId="0" applyNumberFormat="1" applyFont="1" applyFill="1" applyBorder="1" applyAlignment="1">
      <alignment horizontal="center" vertical="center"/>
    </xf>
    <xf numFmtId="0" fontId="58" fillId="2" borderId="38" xfId="0" applyFont="1" applyFill="1" applyBorder="1" applyAlignment="1">
      <alignment horizontal="center" vertical="center" wrapText="1"/>
    </xf>
    <xf numFmtId="170" fontId="107" fillId="8" borderId="0" xfId="0" applyNumberFormat="1" applyFont="1" applyFill="1"/>
    <xf numFmtId="170" fontId="98" fillId="8" borderId="0" xfId="0" applyNumberFormat="1" applyFont="1" applyFill="1"/>
    <xf numFmtId="185" fontId="75" fillId="2" borderId="92" xfId="0" applyNumberFormat="1" applyFont="1" applyFill="1" applyBorder="1" applyAlignment="1">
      <alignment horizontal="center" vertical="center"/>
    </xf>
    <xf numFmtId="0" fontId="58" fillId="2" borderId="127" xfId="0" applyFont="1" applyFill="1" applyBorder="1" applyAlignment="1">
      <alignment horizontal="center" vertical="center" wrapText="1"/>
    </xf>
    <xf numFmtId="170" fontId="107" fillId="4" borderId="123" xfId="0" applyNumberFormat="1" applyFont="1" applyFill="1" applyBorder="1"/>
    <xf numFmtId="170" fontId="98" fillId="0" borderId="123" xfId="0" applyNumberFormat="1" applyFont="1" applyBorder="1"/>
    <xf numFmtId="170" fontId="123" fillId="0" borderId="123" xfId="0" applyNumberFormat="1" applyFont="1" applyBorder="1"/>
    <xf numFmtId="185" fontId="75" fillId="2" borderId="13" xfId="0" applyNumberFormat="1" applyFont="1" applyFill="1" applyBorder="1" applyAlignment="1">
      <alignment horizontal="center" vertical="center"/>
    </xf>
    <xf numFmtId="170" fontId="58" fillId="0" borderId="39" xfId="0" applyNumberFormat="1" applyFont="1" applyBorder="1" applyAlignment="1">
      <alignment horizontal="center" vertical="center"/>
    </xf>
    <xf numFmtId="170" fontId="107" fillId="5" borderId="3" xfId="0" applyNumberFormat="1" applyFont="1" applyFill="1" applyBorder="1"/>
    <xf numFmtId="170" fontId="98" fillId="5" borderId="3" xfId="0" applyNumberFormat="1" applyFont="1" applyFill="1" applyBorder="1"/>
    <xf numFmtId="170" fontId="107" fillId="8" borderId="123" xfId="0" applyNumberFormat="1" applyFont="1" applyFill="1" applyBorder="1"/>
    <xf numFmtId="170" fontId="98" fillId="8" borderId="123" xfId="0" applyNumberFormat="1" applyFont="1" applyFill="1" applyBorder="1"/>
    <xf numFmtId="170" fontId="162" fillId="4" borderId="124" xfId="0" applyNumberFormat="1" applyFont="1" applyFill="1" applyBorder="1"/>
    <xf numFmtId="0" fontId="76" fillId="0" borderId="121" xfId="16" applyFont="1" applyBorder="1" applyAlignment="1">
      <alignment horizontal="center" vertical="center" wrapText="1"/>
    </xf>
    <xf numFmtId="0" fontId="76" fillId="2" borderId="121" xfId="0" applyFont="1" applyFill="1" applyBorder="1"/>
    <xf numFmtId="10" fontId="76" fillId="2" borderId="121" xfId="19" applyNumberFormat="1" applyFont="1" applyFill="1" applyBorder="1" applyAlignment="1">
      <alignment horizontal="center" vertical="center"/>
    </xf>
    <xf numFmtId="0" fontId="76" fillId="2" borderId="121" xfId="0" quotePrefix="1" applyFont="1" applyFill="1" applyBorder="1" applyAlignment="1">
      <alignment horizontal="center" vertical="center" wrapText="1"/>
    </xf>
    <xf numFmtId="0" fontId="72" fillId="2" borderId="122" xfId="0" applyFont="1" applyFill="1" applyBorder="1" applyAlignment="1">
      <alignment horizontal="center" vertical="center" wrapText="1"/>
    </xf>
    <xf numFmtId="177" fontId="106" fillId="5" borderId="125" xfId="0" applyNumberFormat="1" applyFont="1" applyFill="1" applyBorder="1"/>
    <xf numFmtId="177" fontId="76" fillId="5" borderId="125" xfId="0" applyNumberFormat="1" applyFont="1" applyFill="1" applyBorder="1"/>
    <xf numFmtId="177" fontId="76" fillId="8" borderId="125" xfId="0" applyNumberFormat="1" applyFont="1" applyFill="1" applyBorder="1"/>
    <xf numFmtId="2" fontId="178" fillId="7" borderId="125" xfId="0" applyNumberFormat="1" applyFont="1" applyFill="1" applyBorder="1" applyAlignment="1">
      <alignment horizontal="right" vertical="center" wrapText="1"/>
    </xf>
    <xf numFmtId="2" fontId="174" fillId="0" borderId="125" xfId="0" applyNumberFormat="1" applyFont="1" applyBorder="1" applyAlignment="1">
      <alignment horizontal="right" vertical="center" wrapText="1"/>
    </xf>
    <xf numFmtId="0" fontId="173" fillId="0" borderId="125" xfId="0" applyFont="1" applyBorder="1" applyAlignment="1">
      <alignment horizontal="right" vertical="center" wrapText="1"/>
    </xf>
    <xf numFmtId="2" fontId="173" fillId="0" borderId="125" xfId="0" applyNumberFormat="1" applyFont="1" applyBorder="1" applyAlignment="1">
      <alignment horizontal="right" vertical="center" wrapText="1"/>
    </xf>
    <xf numFmtId="2" fontId="76" fillId="0" borderId="125" xfId="0" applyNumberFormat="1" applyFont="1" applyBorder="1"/>
    <xf numFmtId="170" fontId="76" fillId="0" borderId="125" xfId="0" applyNumberFormat="1" applyFont="1" applyBorder="1"/>
    <xf numFmtId="0" fontId="84" fillId="2" borderId="92" xfId="0" applyFont="1" applyFill="1" applyBorder="1" applyAlignment="1">
      <alignment horizontal="center" vertical="center"/>
    </xf>
    <xf numFmtId="0" fontId="58" fillId="2" borderId="92" xfId="0" quotePrefix="1" applyFont="1" applyFill="1" applyBorder="1" applyAlignment="1">
      <alignment horizontal="center" vertical="center" wrapText="1"/>
    </xf>
    <xf numFmtId="0" fontId="72" fillId="2" borderId="127" xfId="0" quotePrefix="1" applyFont="1" applyFill="1" applyBorder="1" applyAlignment="1">
      <alignment horizontal="center" vertical="center"/>
    </xf>
    <xf numFmtId="177" fontId="98" fillId="0" borderId="123" xfId="0" applyNumberFormat="1" applyFont="1" applyBorder="1"/>
    <xf numFmtId="177" fontId="121" fillId="7" borderId="123" xfId="0" applyNumberFormat="1" applyFont="1" applyFill="1" applyBorder="1" applyAlignment="1">
      <alignment horizontal="right"/>
    </xf>
    <xf numFmtId="0" fontId="173" fillId="0" borderId="143" xfId="0" applyFont="1" applyBorder="1" applyAlignment="1">
      <alignment horizontal="right" vertical="center" wrapText="1"/>
    </xf>
    <xf numFmtId="0" fontId="71" fillId="2" borderId="8" xfId="16" applyFont="1" applyFill="1" applyBorder="1" applyAlignment="1">
      <alignment horizontal="centerContinuous" vertical="center" wrapText="1"/>
    </xf>
    <xf numFmtId="179" fontId="58" fillId="12" borderId="52" xfId="19" applyNumberFormat="1" applyFont="1" applyFill="1" applyBorder="1"/>
    <xf numFmtId="179" fontId="58" fillId="12" borderId="2" xfId="19" applyNumberFormat="1" applyFont="1" applyFill="1" applyBorder="1"/>
    <xf numFmtId="179" fontId="121" fillId="7" borderId="2" xfId="19" applyNumberFormat="1" applyFont="1" applyFill="1" applyBorder="1" applyAlignment="1">
      <alignment vertical="center"/>
    </xf>
    <xf numFmtId="179" fontId="58" fillId="0" borderId="2" xfId="19" applyNumberFormat="1" applyFont="1" applyFill="1" applyBorder="1"/>
    <xf numFmtId="179" fontId="58" fillId="12" borderId="31" xfId="19" applyNumberFormat="1" applyFont="1" applyFill="1" applyBorder="1"/>
    <xf numFmtId="179" fontId="58" fillId="12" borderId="32" xfId="19" applyNumberFormat="1" applyFont="1" applyFill="1" applyBorder="1"/>
    <xf numFmtId="179" fontId="121" fillId="7" borderId="0" xfId="19" applyNumberFormat="1" applyFont="1" applyFill="1" applyBorder="1" applyAlignment="1">
      <alignment vertical="center"/>
    </xf>
    <xf numFmtId="0" fontId="58" fillId="2" borderId="91" xfId="16" applyFont="1" applyFill="1" applyBorder="1" applyAlignment="1">
      <alignment horizontal="centerContinuous" vertical="center" wrapText="1"/>
    </xf>
    <xf numFmtId="0" fontId="58" fillId="2" borderId="91" xfId="16" quotePrefix="1" applyFont="1" applyFill="1" applyBorder="1" applyAlignment="1">
      <alignment horizontal="centerContinuous" vertical="center" wrapText="1"/>
    </xf>
    <xf numFmtId="0" fontId="75" fillId="2" borderId="91" xfId="138" applyFont="1" applyFill="1" applyBorder="1" applyAlignment="1">
      <alignment horizontal="center" vertical="center"/>
    </xf>
    <xf numFmtId="179" fontId="58" fillId="12" borderId="115" xfId="19" applyNumberFormat="1" applyFont="1" applyFill="1" applyBorder="1"/>
    <xf numFmtId="179" fontId="58" fillId="12" borderId="95" xfId="19" applyNumberFormat="1" applyFont="1" applyFill="1" applyBorder="1"/>
    <xf numFmtId="179" fontId="121" fillId="7" borderId="95" xfId="19" applyNumberFormat="1" applyFont="1" applyFill="1" applyBorder="1" applyAlignment="1">
      <alignment vertical="center"/>
    </xf>
    <xf numFmtId="179" fontId="58" fillId="0" borderId="95" xfId="19" applyNumberFormat="1" applyFont="1" applyFill="1" applyBorder="1"/>
    <xf numFmtId="179" fontId="58" fillId="12" borderId="57" xfId="19" applyNumberFormat="1" applyFont="1" applyFill="1" applyBorder="1"/>
    <xf numFmtId="179" fontId="58" fillId="12" borderId="0" xfId="19" applyNumberFormat="1" applyFont="1" applyFill="1" applyBorder="1"/>
    <xf numFmtId="179" fontId="58" fillId="0" borderId="0" xfId="19" applyNumberFormat="1" applyFont="1" applyFill="1" applyBorder="1"/>
    <xf numFmtId="179" fontId="121" fillId="7" borderId="62" xfId="19" applyNumberFormat="1" applyFont="1" applyFill="1" applyBorder="1" applyAlignment="1">
      <alignment vertical="center"/>
    </xf>
    <xf numFmtId="179" fontId="58" fillId="12" borderId="23" xfId="19" applyNumberFormat="1" applyFont="1" applyFill="1" applyBorder="1"/>
    <xf numFmtId="179" fontId="58" fillId="12" borderId="81" xfId="19" applyNumberFormat="1" applyFont="1" applyFill="1" applyBorder="1"/>
    <xf numFmtId="179" fontId="121" fillId="7" borderId="67" xfId="19" applyNumberFormat="1" applyFont="1" applyFill="1" applyBorder="1"/>
    <xf numFmtId="179" fontId="58" fillId="0" borderId="81" xfId="19" applyNumberFormat="1" applyFont="1" applyFill="1" applyBorder="1"/>
    <xf numFmtId="179" fontId="121" fillId="7" borderId="95" xfId="19" applyNumberFormat="1" applyFont="1" applyFill="1" applyBorder="1"/>
    <xf numFmtId="179" fontId="121" fillId="7" borderId="0" xfId="19" applyNumberFormat="1" applyFont="1" applyFill="1" applyBorder="1"/>
    <xf numFmtId="0" fontId="58" fillId="2" borderId="91" xfId="16" applyFont="1" applyFill="1" applyBorder="1" applyAlignment="1">
      <alignment horizontal="center" vertical="center" wrapText="1"/>
    </xf>
    <xf numFmtId="0" fontId="71" fillId="2" borderId="91" xfId="16" quotePrefix="1" applyFont="1" applyFill="1" applyBorder="1" applyAlignment="1">
      <alignment horizontal="centerContinuous" vertical="center" wrapText="1"/>
    </xf>
    <xf numFmtId="1" fontId="71" fillId="2" borderId="120" xfId="16" quotePrefix="1" applyNumberFormat="1" applyFont="1" applyFill="1" applyBorder="1" applyAlignment="1">
      <alignment horizontal="center" vertical="center" wrapText="1"/>
    </xf>
    <xf numFmtId="0" fontId="58" fillId="2" borderId="110" xfId="16" applyFont="1" applyFill="1" applyBorder="1" applyAlignment="1">
      <alignment horizontal="center" vertical="center" wrapText="1"/>
    </xf>
    <xf numFmtId="0" fontId="71" fillId="2" borderId="110" xfId="16" quotePrefix="1" applyFont="1" applyFill="1" applyBorder="1" applyAlignment="1">
      <alignment horizontal="centerContinuous" vertical="center" wrapText="1"/>
    </xf>
    <xf numFmtId="0" fontId="58" fillId="2" borderId="110" xfId="16" quotePrefix="1" applyFont="1" applyFill="1" applyBorder="1" applyAlignment="1">
      <alignment horizontal="centerContinuous" vertical="center" wrapText="1"/>
    </xf>
    <xf numFmtId="0" fontId="75" fillId="2" borderId="110" xfId="138" applyFont="1" applyFill="1" applyBorder="1" applyAlignment="1">
      <alignment horizontal="center" vertical="center"/>
    </xf>
    <xf numFmtId="1" fontId="71" fillId="2" borderId="133" xfId="16" quotePrefix="1" applyNumberFormat="1" applyFont="1" applyFill="1" applyBorder="1" applyAlignment="1">
      <alignment horizontal="center" vertical="center" wrapText="1"/>
    </xf>
    <xf numFmtId="179" fontId="58" fillId="12" borderId="151" xfId="19" applyNumberFormat="1" applyFont="1" applyFill="1" applyBorder="1"/>
    <xf numFmtId="179" fontId="58" fillId="12" borderId="134" xfId="19" applyNumberFormat="1" applyFont="1" applyFill="1" applyBorder="1"/>
    <xf numFmtId="179" fontId="121" fillId="7" borderId="134" xfId="19" applyNumberFormat="1" applyFont="1" applyFill="1" applyBorder="1"/>
    <xf numFmtId="179" fontId="58" fillId="0" borderId="134" xfId="19" applyNumberFormat="1" applyFont="1" applyFill="1" applyBorder="1"/>
    <xf numFmtId="0" fontId="58" fillId="2" borderId="92" xfId="16" applyFont="1" applyFill="1" applyBorder="1" applyAlignment="1">
      <alignment horizontal="center" vertical="center" wrapText="1"/>
    </xf>
    <xf numFmtId="0" fontId="71" fillId="2" borderId="92" xfId="16" quotePrefix="1" applyFont="1" applyFill="1" applyBorder="1" applyAlignment="1">
      <alignment horizontal="centerContinuous" vertical="center" wrapText="1"/>
    </xf>
    <xf numFmtId="0" fontId="58" fillId="2" borderId="92" xfId="16" quotePrefix="1" applyFont="1" applyFill="1" applyBorder="1" applyAlignment="1">
      <alignment horizontal="centerContinuous" vertical="center" wrapText="1"/>
    </xf>
    <xf numFmtId="0" fontId="71" fillId="2" borderId="127" xfId="16" applyFont="1" applyFill="1" applyBorder="1" applyAlignment="1">
      <alignment horizontal="center" vertical="center" wrapText="1"/>
    </xf>
    <xf numFmtId="179" fontId="58" fillId="12" borderId="148" xfId="19" applyNumberFormat="1" applyFont="1" applyFill="1" applyBorder="1"/>
    <xf numFmtId="179" fontId="58" fillId="12" borderId="123" xfId="19" applyNumberFormat="1" applyFont="1" applyFill="1" applyBorder="1"/>
    <xf numFmtId="179" fontId="121" fillId="7" borderId="123" xfId="19" applyNumberFormat="1" applyFont="1" applyFill="1" applyBorder="1"/>
    <xf numFmtId="179" fontId="58" fillId="0" borderId="123" xfId="19" applyNumberFormat="1" applyFont="1" applyFill="1" applyBorder="1"/>
    <xf numFmtId="0" fontId="58" fillId="2" borderId="110" xfId="16" applyFont="1" applyFill="1" applyBorder="1" applyAlignment="1">
      <alignment horizontal="center" vertical="center"/>
    </xf>
    <xf numFmtId="9" fontId="77" fillId="2" borderId="110" xfId="19" applyFont="1" applyFill="1" applyBorder="1" applyAlignment="1">
      <alignment horizontal="centerContinuous" vertical="center" wrapText="1"/>
    </xf>
    <xf numFmtId="0" fontId="71" fillId="2" borderId="133" xfId="16" applyFont="1" applyFill="1" applyBorder="1" applyAlignment="1">
      <alignment horizontal="center" vertical="center" wrapText="1"/>
    </xf>
    <xf numFmtId="179" fontId="121" fillId="7" borderId="81" xfId="19" applyNumberFormat="1" applyFont="1" applyFill="1" applyBorder="1"/>
    <xf numFmtId="0" fontId="58" fillId="2" borderId="13" xfId="16" applyFont="1" applyFill="1" applyBorder="1" applyAlignment="1">
      <alignment horizontal="center" vertical="center" wrapText="1"/>
    </xf>
    <xf numFmtId="179" fontId="58" fillId="12" borderId="18" xfId="19" applyNumberFormat="1" applyFont="1" applyFill="1" applyBorder="1"/>
    <xf numFmtId="179" fontId="58" fillId="12" borderId="3" xfId="19" applyNumberFormat="1" applyFont="1" applyFill="1" applyBorder="1"/>
    <xf numFmtId="179" fontId="99" fillId="0" borderId="0" xfId="19" applyNumberFormat="1" applyFont="1" applyBorder="1" applyAlignment="1"/>
    <xf numFmtId="0" fontId="76" fillId="2" borderId="91" xfId="15" quotePrefix="1" applyFont="1" applyFill="1" applyBorder="1" applyAlignment="1">
      <alignment horizontal="center" vertical="center" wrapText="1"/>
    </xf>
    <xf numFmtId="0" fontId="75" fillId="2" borderId="91" xfId="0" applyFont="1" applyFill="1" applyBorder="1" applyAlignment="1">
      <alignment horizontal="center"/>
    </xf>
    <xf numFmtId="0" fontId="186" fillId="48" borderId="115" xfId="0" applyFont="1" applyFill="1" applyBorder="1"/>
    <xf numFmtId="179" fontId="98" fillId="0" borderId="95" xfId="0" applyNumberFormat="1" applyFont="1" applyBorder="1" applyAlignment="1">
      <alignment horizontal="right"/>
    </xf>
    <xf numFmtId="179" fontId="121" fillId="7" borderId="95" xfId="19" applyNumberFormat="1" applyFont="1" applyFill="1" applyBorder="1" applyAlignment="1"/>
    <xf numFmtId="179" fontId="99" fillId="0" borderId="95" xfId="19" applyNumberFormat="1" applyFont="1" applyBorder="1" applyAlignment="1"/>
    <xf numFmtId="179" fontId="99" fillId="0" borderId="95" xfId="15" applyNumberFormat="1" applyFont="1" applyBorder="1"/>
    <xf numFmtId="0" fontId="76" fillId="0" borderId="14" xfId="15" applyFont="1" applyBorder="1" applyAlignment="1">
      <alignment horizontal="centerContinuous" vertical="center"/>
    </xf>
    <xf numFmtId="0" fontId="76" fillId="2" borderId="9" xfId="15" quotePrefix="1" applyFont="1" applyFill="1" applyBorder="1" applyAlignment="1">
      <alignment horizontal="center" vertical="center" wrapText="1"/>
    </xf>
    <xf numFmtId="0" fontId="75" fillId="2" borderId="9" xfId="0" applyFont="1" applyFill="1" applyBorder="1" applyAlignment="1">
      <alignment horizontal="center"/>
    </xf>
    <xf numFmtId="0" fontId="186" fillId="48" borderId="57" xfId="0" applyFont="1" applyFill="1" applyBorder="1"/>
    <xf numFmtId="179" fontId="98" fillId="0" borderId="0" xfId="0" applyNumberFormat="1" applyFont="1" applyAlignment="1">
      <alignment horizontal="right"/>
    </xf>
    <xf numFmtId="179" fontId="121" fillId="7" borderId="0" xfId="19" applyNumberFormat="1" applyFont="1" applyFill="1" applyBorder="1" applyAlignment="1"/>
    <xf numFmtId="179" fontId="99" fillId="0" borderId="0" xfId="15" applyNumberFormat="1" applyFont="1"/>
    <xf numFmtId="0" fontId="76" fillId="2" borderId="93" xfId="15" quotePrefix="1" applyFont="1" applyFill="1" applyBorder="1" applyAlignment="1">
      <alignment horizontal="center" vertical="center" wrapText="1"/>
    </xf>
    <xf numFmtId="0" fontId="75" fillId="2" borderId="93" xfId="0" applyFont="1" applyFill="1" applyBorder="1" applyAlignment="1">
      <alignment horizontal="center"/>
    </xf>
    <xf numFmtId="0" fontId="186" fillId="48" borderId="117" xfId="0" applyFont="1" applyFill="1" applyBorder="1"/>
    <xf numFmtId="179" fontId="58" fillId="0" borderId="111" xfId="19" applyNumberFormat="1" applyFont="1" applyFill="1" applyBorder="1"/>
    <xf numFmtId="179" fontId="98" fillId="0" borderId="111" xfId="0" applyNumberFormat="1" applyFont="1" applyBorder="1" applyAlignment="1">
      <alignment horizontal="right"/>
    </xf>
    <xf numFmtId="179" fontId="121" fillId="7" borderId="146" xfId="19" applyNumberFormat="1" applyFont="1" applyFill="1" applyBorder="1" applyAlignment="1"/>
    <xf numFmtId="179" fontId="99" fillId="0" borderId="111" xfId="19" applyNumberFormat="1" applyFont="1" applyBorder="1" applyAlignment="1"/>
    <xf numFmtId="179" fontId="120" fillId="0" borderId="111" xfId="19" applyNumberFormat="1" applyFont="1" applyBorder="1" applyAlignment="1">
      <alignment horizontal="right"/>
    </xf>
    <xf numFmtId="179" fontId="99" fillId="0" borderId="134" xfId="19" applyNumberFormat="1" applyFont="1" applyBorder="1" applyAlignment="1"/>
    <xf numFmtId="179" fontId="99" fillId="0" borderId="111" xfId="15" applyNumberFormat="1" applyFont="1" applyBorder="1"/>
    <xf numFmtId="0" fontId="76" fillId="2" borderId="92" xfId="15" quotePrefix="1" applyFont="1" applyFill="1" applyBorder="1" applyAlignment="1">
      <alignment horizontal="center" vertical="center" wrapText="1"/>
    </xf>
    <xf numFmtId="0" fontId="75" fillId="2" borderId="92" xfId="0" applyFont="1" applyFill="1" applyBorder="1" applyAlignment="1">
      <alignment horizontal="center"/>
    </xf>
    <xf numFmtId="0" fontId="186" fillId="48" borderId="148" xfId="0" applyFont="1" applyFill="1" applyBorder="1"/>
    <xf numFmtId="179" fontId="58" fillId="0" borderId="125" xfId="19" applyNumberFormat="1" applyFont="1" applyFill="1" applyBorder="1"/>
    <xf numFmtId="179" fontId="98" fillId="0" borderId="123" xfId="0" applyNumberFormat="1" applyFont="1" applyBorder="1" applyAlignment="1">
      <alignment horizontal="right"/>
    </xf>
    <xf numFmtId="179" fontId="121" fillId="7" borderId="143" xfId="19" applyNumberFormat="1" applyFont="1" applyFill="1" applyBorder="1" applyAlignment="1"/>
    <xf numFmtId="179" fontId="99" fillId="0" borderId="143" xfId="19" applyNumberFormat="1" applyFont="1" applyBorder="1" applyAlignment="1"/>
    <xf numFmtId="179" fontId="99" fillId="0" borderId="143" xfId="15" applyNumberFormat="1" applyFont="1" applyBorder="1"/>
    <xf numFmtId="0" fontId="186" fillId="48" borderId="95" xfId="0" applyFont="1" applyFill="1" applyBorder="1"/>
    <xf numFmtId="0" fontId="76" fillId="2" borderId="9" xfId="15" applyFont="1" applyFill="1" applyBorder="1" applyAlignment="1">
      <alignment horizontal="center" vertical="center" wrapText="1"/>
    </xf>
    <xf numFmtId="0" fontId="186" fillId="48" borderId="0" xfId="0" applyFont="1" applyFill="1"/>
    <xf numFmtId="0" fontId="186" fillId="48" borderId="123" xfId="0" applyFont="1" applyFill="1" applyBorder="1"/>
    <xf numFmtId="179" fontId="121" fillId="7" borderId="124" xfId="19" applyNumberFormat="1" applyFont="1" applyFill="1" applyBorder="1" applyAlignment="1"/>
    <xf numFmtId="179" fontId="99" fillId="0" borderId="123" xfId="19" applyNumberFormat="1" applyFont="1" applyBorder="1" applyAlignment="1"/>
    <xf numFmtId="179" fontId="99" fillId="0" borderId="123" xfId="15" applyNumberFormat="1" applyFont="1" applyBorder="1"/>
    <xf numFmtId="0" fontId="76" fillId="0" borderId="14" xfId="15" applyFont="1" applyBorder="1" applyAlignment="1">
      <alignment horizontal="centerContinuous" vertical="center" wrapText="1"/>
    </xf>
    <xf numFmtId="0" fontId="186" fillId="48" borderId="111" xfId="0" applyFont="1" applyFill="1" applyBorder="1"/>
    <xf numFmtId="0" fontId="76" fillId="2" borderId="109" xfId="15" applyFont="1" applyFill="1" applyBorder="1" applyAlignment="1">
      <alignment horizontal="center" vertical="center" wrapText="1"/>
    </xf>
    <xf numFmtId="0" fontId="75" fillId="2" borderId="109" xfId="0" applyFont="1" applyFill="1" applyBorder="1" applyAlignment="1">
      <alignment horizontal="center"/>
    </xf>
    <xf numFmtId="0" fontId="186" fillId="48" borderId="112" xfId="0" applyFont="1" applyFill="1" applyBorder="1"/>
    <xf numFmtId="179" fontId="121" fillId="7" borderId="112" xfId="19" applyNumberFormat="1" applyFont="1" applyFill="1" applyBorder="1" applyAlignment="1"/>
    <xf numFmtId="179" fontId="99" fillId="0" borderId="112" xfId="19" applyNumberFormat="1" applyFont="1" applyBorder="1" applyAlignment="1"/>
    <xf numFmtId="179" fontId="99" fillId="0" borderId="112" xfId="15" applyNumberFormat="1" applyFont="1" applyBorder="1"/>
    <xf numFmtId="3" fontId="76" fillId="0" borderId="2" xfId="17" applyNumberFormat="1" applyFont="1" applyBorder="1"/>
    <xf numFmtId="0" fontId="72" fillId="2" borderId="137" xfId="15" applyFont="1" applyFill="1" applyBorder="1" applyAlignment="1">
      <alignment horizontal="centerContinuous" vertical="center" wrapText="1"/>
    </xf>
    <xf numFmtId="3" fontId="76" fillId="5" borderId="0" xfId="17" applyNumberFormat="1" applyFont="1" applyFill="1"/>
    <xf numFmtId="3" fontId="98" fillId="5" borderId="0" xfId="17" applyNumberFormat="1" applyFont="1" applyFill="1"/>
    <xf numFmtId="184" fontId="92" fillId="4" borderId="0" xfId="17" applyNumberFormat="1" applyFont="1" applyFill="1"/>
    <xf numFmtId="0" fontId="72" fillId="2" borderId="94" xfId="15" applyFont="1" applyFill="1" applyBorder="1" applyAlignment="1">
      <alignment horizontal="centerContinuous" vertical="center" wrapText="1"/>
    </xf>
    <xf numFmtId="184" fontId="92" fillId="4" borderId="95" xfId="17" applyNumberFormat="1" applyFont="1" applyFill="1" applyBorder="1"/>
    <xf numFmtId="184" fontId="76" fillId="0" borderId="95" xfId="17" applyNumberFormat="1" applyFont="1" applyBorder="1"/>
    <xf numFmtId="184" fontId="98" fillId="0" borderId="95" xfId="17" applyNumberFormat="1" applyFont="1" applyBorder="1"/>
    <xf numFmtId="0" fontId="72" fillId="2" borderId="138" xfId="15" applyFont="1" applyFill="1" applyBorder="1" applyAlignment="1">
      <alignment horizontal="centerContinuous" vertical="center" wrapText="1"/>
    </xf>
    <xf numFmtId="3" fontId="92" fillId="4" borderId="81" xfId="17" applyNumberFormat="1" applyFont="1" applyFill="1" applyBorder="1"/>
    <xf numFmtId="3" fontId="76" fillId="0" borderId="81" xfId="17" applyNumberFormat="1" applyFont="1" applyBorder="1"/>
    <xf numFmtId="3" fontId="98" fillId="0" borderId="81" xfId="17" applyNumberFormat="1" applyFont="1" applyBorder="1"/>
    <xf numFmtId="0" fontId="76" fillId="2" borderId="110" xfId="15" applyFont="1" applyFill="1" applyBorder="1" applyAlignment="1">
      <alignment horizontal="centerContinuous" vertical="center" wrapText="1"/>
    </xf>
    <xf numFmtId="0" fontId="72" fillId="2" borderId="150" xfId="15" applyFont="1" applyFill="1" applyBorder="1" applyAlignment="1">
      <alignment horizontal="centerContinuous" vertical="center" wrapText="1"/>
    </xf>
    <xf numFmtId="184" fontId="92" fillId="4" borderId="146" xfId="17" applyNumberFormat="1" applyFont="1" applyFill="1" applyBorder="1"/>
    <xf numFmtId="184" fontId="76" fillId="0" borderId="134" xfId="17" applyNumberFormat="1" applyFont="1" applyBorder="1"/>
    <xf numFmtId="184" fontId="98" fillId="0" borderId="111" xfId="17" applyNumberFormat="1" applyFont="1" applyBorder="1"/>
    <xf numFmtId="3" fontId="92" fillId="4" borderId="67" xfId="17" applyNumberFormat="1" applyFont="1" applyFill="1" applyBorder="1"/>
    <xf numFmtId="3" fontId="98" fillId="5" borderId="32" xfId="17" applyNumberFormat="1" applyFont="1" applyFill="1" applyBorder="1"/>
    <xf numFmtId="3" fontId="92" fillId="4" borderId="95" xfId="17" applyNumberFormat="1" applyFont="1" applyFill="1" applyBorder="1"/>
    <xf numFmtId="3" fontId="76" fillId="0" borderId="95" xfId="17" applyNumberFormat="1" applyFont="1" applyBorder="1"/>
    <xf numFmtId="3" fontId="98" fillId="0" borderId="95" xfId="17" applyNumberFormat="1" applyFont="1" applyBorder="1"/>
    <xf numFmtId="3" fontId="70" fillId="4" borderId="81" xfId="17" applyNumberFormat="1" applyFont="1" applyFill="1" applyBorder="1"/>
    <xf numFmtId="0" fontId="76" fillId="2" borderId="109" xfId="15" applyFont="1" applyFill="1" applyBorder="1" applyAlignment="1">
      <alignment horizontal="centerContinuous" vertical="center" wrapText="1"/>
    </xf>
    <xf numFmtId="0" fontId="72" fillId="2" borderId="114" xfId="15" applyFont="1" applyFill="1" applyBorder="1" applyAlignment="1">
      <alignment horizontal="centerContinuous" vertical="center" wrapText="1"/>
    </xf>
    <xf numFmtId="3" fontId="92" fillId="4" borderId="112" xfId="17" applyNumberFormat="1" applyFont="1" applyFill="1" applyBorder="1"/>
    <xf numFmtId="3" fontId="76" fillId="0" borderId="112" xfId="17" applyNumberFormat="1" applyFont="1" applyBorder="1"/>
    <xf numFmtId="3" fontId="98" fillId="0" borderId="112" xfId="17" applyNumberFormat="1" applyFont="1" applyBorder="1"/>
    <xf numFmtId="0" fontId="57" fillId="5" borderId="81" xfId="15" applyFont="1" applyFill="1" applyBorder="1" applyAlignment="1">
      <alignment vertical="center" wrapText="1"/>
    </xf>
    <xf numFmtId="4" fontId="76" fillId="0" borderId="2" xfId="17" applyNumberFormat="1" applyFont="1" applyBorder="1"/>
    <xf numFmtId="0" fontId="76" fillId="0" borderId="9" xfId="15" applyFont="1" applyBorder="1" applyAlignment="1">
      <alignment horizontal="centerContinuous" vertical="center" wrapText="1"/>
    </xf>
    <xf numFmtId="0" fontId="72" fillId="2" borderId="139" xfId="15" applyFont="1" applyFill="1" applyBorder="1" applyAlignment="1">
      <alignment horizontal="centerContinuous" vertical="center" wrapText="1"/>
    </xf>
    <xf numFmtId="0" fontId="53" fillId="5" borderId="32" xfId="15" applyFont="1" applyFill="1" applyBorder="1" applyAlignment="1">
      <alignment horizontal="center" vertical="center" wrapText="1"/>
    </xf>
    <xf numFmtId="4" fontId="121" fillId="7" borderId="62" xfId="17" applyNumberFormat="1" applyFont="1" applyFill="1" applyBorder="1"/>
    <xf numFmtId="4" fontId="76" fillId="0" borderId="32" xfId="17" applyNumberFormat="1" applyFont="1" applyBorder="1"/>
    <xf numFmtId="0" fontId="76" fillId="0" borderId="91" xfId="15" applyFont="1" applyBorder="1" applyAlignment="1">
      <alignment horizontal="centerContinuous" vertical="center" wrapText="1"/>
    </xf>
    <xf numFmtId="0" fontId="53" fillId="5" borderId="94" xfId="15" applyFont="1" applyFill="1" applyBorder="1" applyAlignment="1">
      <alignment horizontal="center" vertical="center" wrapText="1"/>
    </xf>
    <xf numFmtId="0" fontId="53" fillId="5" borderId="95" xfId="15" applyFont="1" applyFill="1" applyBorder="1" applyAlignment="1">
      <alignment horizontal="center" vertical="center" wrapText="1"/>
    </xf>
    <xf numFmtId="4" fontId="121" fillId="7" borderId="95" xfId="17" applyNumberFormat="1" applyFont="1" applyFill="1" applyBorder="1"/>
    <xf numFmtId="4" fontId="76" fillId="0" borderId="95" xfId="17" applyNumberFormat="1" applyFont="1" applyBorder="1"/>
    <xf numFmtId="4" fontId="121" fillId="7" borderId="67" xfId="17" applyNumberFormat="1" applyFont="1" applyFill="1" applyBorder="1"/>
    <xf numFmtId="4" fontId="76" fillId="0" borderId="81" xfId="17" applyNumberFormat="1" applyFont="1" applyBorder="1"/>
    <xf numFmtId="0" fontId="58" fillId="2" borderId="0" xfId="15" applyFont="1" applyFill="1" applyAlignment="1">
      <alignment horizontal="centerContinuous" vertical="center" wrapText="1"/>
    </xf>
    <xf numFmtId="0" fontId="58" fillId="2" borderId="92" xfId="15" applyFont="1" applyFill="1" applyBorder="1" applyAlignment="1">
      <alignment horizontal="center" vertical="center" wrapText="1"/>
    </xf>
    <xf numFmtId="0" fontId="58" fillId="2" borderId="92" xfId="15" applyFont="1" applyFill="1" applyBorder="1" applyAlignment="1">
      <alignment horizontal="center" vertical="center"/>
    </xf>
    <xf numFmtId="0" fontId="53" fillId="2" borderId="123" xfId="15" applyFont="1" applyFill="1" applyBorder="1" applyAlignment="1">
      <alignment horizontal="center" vertical="center" wrapText="1"/>
    </xf>
    <xf numFmtId="4" fontId="76" fillId="0" borderId="123" xfId="17" applyNumberFormat="1" applyFont="1" applyBorder="1" applyAlignment="1">
      <alignment horizontal="right"/>
    </xf>
    <xf numFmtId="4" fontId="76" fillId="0" borderId="123" xfId="17" applyNumberFormat="1" applyFont="1" applyBorder="1" applyAlignment="1">
      <alignment horizontal="center"/>
    </xf>
    <xf numFmtId="0" fontId="53" fillId="2" borderId="32" xfId="15" applyFont="1" applyFill="1" applyBorder="1" applyAlignment="1">
      <alignment horizontal="center" vertical="center" wrapText="1"/>
    </xf>
    <xf numFmtId="4" fontId="58" fillId="0" borderId="32" xfId="17" applyNumberFormat="1" applyFont="1" applyBorder="1" applyAlignment="1">
      <alignment horizontal="right"/>
    </xf>
    <xf numFmtId="4" fontId="76" fillId="0" borderId="32" xfId="17" applyNumberFormat="1" applyFont="1" applyBorder="1" applyAlignment="1">
      <alignment horizontal="right"/>
    </xf>
    <xf numFmtId="4" fontId="76" fillId="0" borderId="32" xfId="17" applyNumberFormat="1" applyFont="1" applyBorder="1" applyAlignment="1">
      <alignment horizontal="center"/>
    </xf>
    <xf numFmtId="0" fontId="53" fillId="5" borderId="123" xfId="15" applyFont="1" applyFill="1" applyBorder="1" applyAlignment="1">
      <alignment horizontal="center" vertical="center" wrapText="1"/>
    </xf>
    <xf numFmtId="4" fontId="92" fillId="4" borderId="123" xfId="17" applyNumberFormat="1" applyFont="1" applyFill="1" applyBorder="1" applyAlignment="1">
      <alignment horizontal="right"/>
    </xf>
    <xf numFmtId="4" fontId="58" fillId="0" borderId="123" xfId="17" applyNumberFormat="1" applyFont="1" applyBorder="1" applyAlignment="1">
      <alignment horizontal="right"/>
    </xf>
    <xf numFmtId="0" fontId="72" fillId="2" borderId="39" xfId="15" applyFont="1" applyFill="1" applyBorder="1" applyAlignment="1">
      <alignment horizontal="center" vertical="center" wrapText="1"/>
    </xf>
    <xf numFmtId="0" fontId="72" fillId="5" borderId="3" xfId="15" applyFont="1" applyFill="1" applyBorder="1" applyAlignment="1">
      <alignment horizontal="centerContinuous" vertical="center" wrapText="1"/>
    </xf>
    <xf numFmtId="0" fontId="76" fillId="2" borderId="92" xfId="16" applyFont="1" applyFill="1" applyBorder="1" applyAlignment="1">
      <alignment horizontal="centerContinuous" vertical="center" wrapText="1"/>
    </xf>
    <xf numFmtId="1" fontId="79" fillId="2" borderId="92" xfId="15" quotePrefix="1" applyNumberFormat="1" applyFont="1" applyFill="1" applyBorder="1" applyAlignment="1">
      <alignment horizontal="center" vertical="center"/>
    </xf>
    <xf numFmtId="0" fontId="76" fillId="2" borderId="92" xfId="15" applyFont="1" applyFill="1" applyBorder="1" applyAlignment="1">
      <alignment horizontal="centerContinuous" vertical="center" wrapText="1"/>
    </xf>
    <xf numFmtId="0" fontId="72" fillId="2" borderId="127" xfId="15" applyFont="1" applyFill="1" applyBorder="1" applyAlignment="1">
      <alignment horizontal="center" vertical="center" wrapText="1"/>
    </xf>
    <xf numFmtId="0" fontId="72" fillId="5" borderId="123" xfId="15" applyFont="1" applyFill="1" applyBorder="1" applyAlignment="1">
      <alignment horizontal="center" vertical="center" wrapText="1"/>
    </xf>
    <xf numFmtId="173" fontId="92" fillId="5" borderId="123" xfId="17" applyNumberFormat="1" applyFont="1" applyFill="1" applyBorder="1"/>
    <xf numFmtId="173" fontId="76" fillId="5" borderId="123" xfId="17" applyNumberFormat="1" applyFont="1" applyFill="1" applyBorder="1"/>
    <xf numFmtId="173" fontId="92" fillId="4" borderId="123" xfId="17" applyNumberFormat="1" applyFont="1" applyFill="1" applyBorder="1"/>
    <xf numFmtId="173" fontId="76" fillId="0" borderId="123" xfId="17" applyNumberFormat="1" applyFont="1" applyBorder="1"/>
    <xf numFmtId="0" fontId="72" fillId="5" borderId="0" xfId="15" applyFont="1" applyFill="1" applyAlignment="1">
      <alignment horizontal="centerContinuous" vertical="center" wrapText="1"/>
    </xf>
    <xf numFmtId="0" fontId="76" fillId="2" borderId="149" xfId="16" applyFont="1" applyFill="1" applyBorder="1" applyAlignment="1">
      <alignment horizontal="centerContinuous" vertical="center" wrapText="1"/>
    </xf>
    <xf numFmtId="1" fontId="79" fillId="2" borderId="149" xfId="15" quotePrefix="1" applyNumberFormat="1" applyFont="1" applyFill="1" applyBorder="1" applyAlignment="1">
      <alignment horizontal="center" vertical="center"/>
    </xf>
    <xf numFmtId="0" fontId="76" fillId="2" borderId="149" xfId="15" applyFont="1" applyFill="1" applyBorder="1" applyAlignment="1">
      <alignment horizontal="centerContinuous" vertical="center" wrapText="1"/>
    </xf>
    <xf numFmtId="0" fontId="72" fillId="2" borderId="142" xfId="15" applyFont="1" applyFill="1" applyBorder="1" applyAlignment="1">
      <alignment horizontal="center" vertical="center" wrapText="1"/>
    </xf>
    <xf numFmtId="0" fontId="72" fillId="5" borderId="143" xfId="15" applyFont="1" applyFill="1" applyBorder="1" applyAlignment="1">
      <alignment horizontal="center" vertical="center" wrapText="1"/>
    </xf>
    <xf numFmtId="173" fontId="76" fillId="0" borderId="143" xfId="17" applyNumberFormat="1" applyFont="1" applyBorder="1"/>
    <xf numFmtId="0" fontId="72" fillId="5" borderId="32" xfId="15" applyFont="1" applyFill="1" applyBorder="1" applyAlignment="1">
      <alignment horizontal="centerContinuous" vertical="center" wrapText="1"/>
    </xf>
    <xf numFmtId="1" fontId="79" fillId="2" borderId="121" xfId="15" quotePrefix="1" applyNumberFormat="1" applyFont="1" applyFill="1" applyBorder="1" applyAlignment="1">
      <alignment horizontal="center" vertical="center"/>
    </xf>
    <xf numFmtId="173" fontId="92" fillId="5" borderId="125" xfId="17" applyNumberFormat="1" applyFont="1" applyFill="1" applyBorder="1"/>
    <xf numFmtId="173" fontId="76" fillId="5" borderId="125" xfId="17" applyNumberFormat="1" applyFont="1" applyFill="1" applyBorder="1"/>
    <xf numFmtId="0" fontId="72" fillId="2" borderId="139" xfId="0" applyFont="1" applyFill="1" applyBorder="1" applyAlignment="1">
      <alignment horizontal="center"/>
    </xf>
    <xf numFmtId="0" fontId="72" fillId="2" borderId="94" xfId="0" applyFont="1" applyFill="1" applyBorder="1" applyAlignment="1">
      <alignment horizontal="center"/>
    </xf>
    <xf numFmtId="0" fontId="72" fillId="2" borderId="138" xfId="0" applyFont="1" applyFill="1" applyBorder="1" applyAlignment="1">
      <alignment horizontal="center"/>
    </xf>
    <xf numFmtId="170" fontId="121" fillId="7" borderId="81" xfId="0" applyNumberFormat="1" applyFont="1" applyFill="1" applyBorder="1"/>
    <xf numFmtId="170" fontId="168" fillId="8" borderId="81" xfId="0" applyNumberFormat="1" applyFont="1" applyFill="1" applyBorder="1" applyAlignment="1">
      <alignment horizontal="center"/>
    </xf>
    <xf numFmtId="170" fontId="94" fillId="5" borderId="57" xfId="0" applyNumberFormat="1" applyFont="1" applyFill="1" applyBorder="1"/>
    <xf numFmtId="170" fontId="168" fillId="8" borderId="0" xfId="0" applyNumberFormat="1" applyFont="1" applyFill="1" applyAlignment="1">
      <alignment horizontal="center"/>
    </xf>
    <xf numFmtId="170" fontId="168" fillId="8" borderId="95" xfId="0" applyNumberFormat="1" applyFont="1" applyFill="1" applyBorder="1" applyAlignment="1">
      <alignment horizontal="center"/>
    </xf>
    <xf numFmtId="0" fontId="72" fillId="2" borderId="140" xfId="0" applyFont="1" applyFill="1" applyBorder="1" applyAlignment="1">
      <alignment horizontal="center"/>
    </xf>
    <xf numFmtId="1" fontId="58" fillId="11" borderId="14" xfId="9944" applyNumberFormat="1" applyFont="1" applyFill="1" applyBorder="1" applyAlignment="1">
      <alignment horizontal="centerContinuous" vertical="center" wrapText="1"/>
    </xf>
    <xf numFmtId="0" fontId="58" fillId="2" borderId="14" xfId="9944" applyFont="1" applyFill="1" applyBorder="1" applyAlignment="1">
      <alignment horizontal="center" vertical="center" wrapText="1"/>
    </xf>
    <xf numFmtId="170" fontId="58" fillId="0" borderId="81" xfId="9944" applyNumberFormat="1" applyFont="1" applyBorder="1" applyAlignment="1">
      <alignment horizontal="right" vertical="center"/>
    </xf>
    <xf numFmtId="1" fontId="58" fillId="11" borderId="13" xfId="9944" applyNumberFormat="1" applyFont="1" applyFill="1" applyBorder="1" applyAlignment="1">
      <alignment horizontal="centerContinuous" vertical="center" wrapText="1"/>
    </xf>
    <xf numFmtId="0" fontId="58" fillId="2" borderId="13" xfId="9944" applyFont="1" applyFill="1" applyBorder="1" applyAlignment="1">
      <alignment horizontal="center" vertical="center" wrapText="1"/>
    </xf>
    <xf numFmtId="170" fontId="58" fillId="0" borderId="3" xfId="9944" applyNumberFormat="1" applyFont="1" applyBorder="1" applyAlignment="1">
      <alignment horizontal="right" vertical="center"/>
    </xf>
    <xf numFmtId="1" fontId="58" fillId="11" borderId="91" xfId="9944" applyNumberFormat="1" applyFont="1" applyFill="1" applyBorder="1" applyAlignment="1">
      <alignment horizontal="centerContinuous" vertical="center" wrapText="1"/>
    </xf>
    <xf numFmtId="0" fontId="58" fillId="2" borderId="91" xfId="9944" applyFont="1" applyFill="1" applyBorder="1" applyAlignment="1">
      <alignment horizontal="center" vertical="center" wrapText="1"/>
    </xf>
    <xf numFmtId="0" fontId="58" fillId="11" borderId="91" xfId="138" applyFont="1" applyFill="1" applyBorder="1"/>
    <xf numFmtId="170" fontId="121" fillId="7" borderId="94" xfId="9944" applyNumberFormat="1" applyFont="1" applyFill="1" applyBorder="1" applyAlignment="1">
      <alignment horizontal="right" vertical="center"/>
    </xf>
    <xf numFmtId="170" fontId="58" fillId="0" borderId="95" xfId="9944" applyNumberFormat="1" applyFont="1" applyBorder="1" applyAlignment="1">
      <alignment horizontal="right" vertical="center"/>
    </xf>
    <xf numFmtId="1" fontId="71" fillId="11" borderId="14" xfId="9944" applyNumberFormat="1" applyFont="1" applyFill="1" applyBorder="1" applyAlignment="1">
      <alignment horizontal="center" vertical="center" wrapText="1"/>
    </xf>
    <xf numFmtId="171" fontId="58" fillId="0" borderId="81" xfId="9944" applyNumberFormat="1" applyFont="1" applyBorder="1" applyAlignment="1">
      <alignment horizontal="right" vertical="center"/>
    </xf>
    <xf numFmtId="1" fontId="71" fillId="11" borderId="91" xfId="9944" applyNumberFormat="1" applyFont="1" applyFill="1" applyBorder="1" applyAlignment="1">
      <alignment horizontal="center" vertical="center" wrapText="1"/>
    </xf>
    <xf numFmtId="171" fontId="121" fillId="7" borderId="94" xfId="9944" applyNumberFormat="1" applyFont="1" applyFill="1" applyBorder="1" applyAlignment="1">
      <alignment horizontal="right" vertical="center"/>
    </xf>
    <xf numFmtId="171" fontId="58" fillId="0" borderId="95" xfId="9944" applyNumberFormat="1" applyFont="1" applyBorder="1" applyAlignment="1">
      <alignment horizontal="right" vertical="center"/>
    </xf>
    <xf numFmtId="1" fontId="71" fillId="11" borderId="9" xfId="9944" applyNumberFormat="1" applyFont="1" applyFill="1" applyBorder="1" applyAlignment="1">
      <alignment horizontal="center" vertical="center" wrapText="1"/>
    </xf>
    <xf numFmtId="0" fontId="58" fillId="2" borderId="9" xfId="9944" applyFont="1" applyFill="1" applyBorder="1" applyAlignment="1">
      <alignment horizontal="center" vertical="center" wrapText="1"/>
    </xf>
    <xf numFmtId="171" fontId="121" fillId="7" borderId="139" xfId="9944" applyNumberFormat="1" applyFont="1" applyFill="1" applyBorder="1" applyAlignment="1">
      <alignment horizontal="right" vertical="center"/>
    </xf>
    <xf numFmtId="171" fontId="58" fillId="0" borderId="0" xfId="9944" applyNumberFormat="1" applyFont="1" applyAlignment="1">
      <alignment horizontal="right" vertical="center"/>
    </xf>
    <xf numFmtId="1" fontId="71" fillId="11" borderId="93" xfId="9944" applyNumberFormat="1" applyFont="1" applyFill="1" applyBorder="1" applyAlignment="1">
      <alignment horizontal="center" vertical="center" wrapText="1"/>
    </xf>
    <xf numFmtId="0" fontId="58" fillId="2" borderId="93" xfId="9944" applyFont="1" applyFill="1" applyBorder="1" applyAlignment="1">
      <alignment horizontal="center" vertical="center" wrapText="1"/>
    </xf>
    <xf numFmtId="0" fontId="58" fillId="11" borderId="93" xfId="138" applyFont="1" applyFill="1" applyBorder="1"/>
    <xf numFmtId="166" fontId="185" fillId="2" borderId="155" xfId="9871" applyFont="1" applyFill="1" applyBorder="1" applyAlignment="1">
      <alignment horizontal="center" vertical="center"/>
    </xf>
    <xf numFmtId="171" fontId="121" fillId="7" borderId="96" xfId="9944" applyNumberFormat="1" applyFont="1" applyFill="1" applyBorder="1" applyAlignment="1">
      <alignment horizontal="right" vertical="center"/>
    </xf>
    <xf numFmtId="171" fontId="58" fillId="0" borderId="111" xfId="9944" applyNumberFormat="1" applyFont="1" applyBorder="1" applyAlignment="1">
      <alignment horizontal="right" vertical="center"/>
    </xf>
    <xf numFmtId="175" fontId="130" fillId="0" borderId="32" xfId="0" applyNumberFormat="1" applyFont="1" applyBorder="1"/>
    <xf numFmtId="175" fontId="130" fillId="0" borderId="123" xfId="0" applyNumberFormat="1" applyFont="1" applyBorder="1"/>
    <xf numFmtId="175" fontId="107" fillId="4" borderId="151" xfId="0" applyNumberFormat="1" applyFont="1" applyFill="1" applyBorder="1"/>
    <xf numFmtId="179" fontId="212" fillId="4" borderId="63" xfId="19" applyNumberFormat="1" applyFont="1" applyFill="1" applyBorder="1"/>
    <xf numFmtId="171" fontId="130" fillId="0" borderId="81" xfId="0" applyNumberFormat="1" applyFont="1" applyBorder="1"/>
    <xf numFmtId="171" fontId="130" fillId="0" borderId="95" xfId="0" applyNumberFormat="1" applyFont="1" applyBorder="1"/>
    <xf numFmtId="1" fontId="72" fillId="0" borderId="14" xfId="0" applyNumberFormat="1" applyFont="1" applyBorder="1" applyAlignment="1">
      <alignment horizontal="center" vertical="center" wrapText="1"/>
    </xf>
    <xf numFmtId="1" fontId="76" fillId="0" borderId="14" xfId="0" applyNumberFormat="1" applyFont="1" applyBorder="1" applyAlignment="1">
      <alignment horizontal="center" vertical="center" wrapText="1"/>
    </xf>
    <xf numFmtId="1" fontId="76" fillId="0" borderId="91" xfId="0" applyNumberFormat="1" applyFont="1" applyBorder="1" applyAlignment="1">
      <alignment horizontal="center" vertical="center" wrapText="1"/>
    </xf>
    <xf numFmtId="1" fontId="76" fillId="0" borderId="42" xfId="0" applyNumberFormat="1" applyFont="1" applyBorder="1" applyAlignment="1">
      <alignment horizontal="center" vertical="center" wrapText="1"/>
    </xf>
    <xf numFmtId="0" fontId="58" fillId="0" borderId="138" xfId="0" applyFont="1" applyBorder="1" applyAlignment="1">
      <alignment horizontal="center" vertical="center" wrapText="1"/>
    </xf>
    <xf numFmtId="0" fontId="58" fillId="0" borderId="8" xfId="0" applyFont="1" applyBorder="1" applyAlignment="1">
      <alignment horizontal="centerContinuous" vertical="center" wrapText="1"/>
    </xf>
    <xf numFmtId="0" fontId="58" fillId="0" borderId="8" xfId="0" applyFont="1" applyBorder="1" applyAlignment="1">
      <alignment horizontal="center" vertical="center" wrapText="1"/>
    </xf>
    <xf numFmtId="0" fontId="58" fillId="0" borderId="13" xfId="0" applyFont="1" applyBorder="1" applyAlignment="1">
      <alignment horizontal="centerContinuous" vertical="center" wrapText="1"/>
    </xf>
    <xf numFmtId="175" fontId="58" fillId="0" borderId="134" xfId="0" applyNumberFormat="1" applyFont="1" applyBorder="1"/>
    <xf numFmtId="0" fontId="76" fillId="0" borderId="93" xfId="0" applyFont="1" applyBorder="1" applyAlignment="1">
      <alignment horizontal="centerContinuous" vertical="center" wrapText="1"/>
    </xf>
    <xf numFmtId="1" fontId="92" fillId="3" borderId="9" xfId="12" applyNumberFormat="1" applyFont="1" applyFill="1" applyBorder="1" applyAlignment="1" applyProtection="1">
      <alignment horizontal="centerContinuous" vertical="center" wrapText="1"/>
    </xf>
    <xf numFmtId="1" fontId="92" fillId="3" borderId="13" xfId="12" applyNumberFormat="1" applyFont="1" applyFill="1" applyBorder="1" applyAlignment="1" applyProtection="1">
      <alignment horizontal="centerContinuous" vertical="center" wrapText="1"/>
    </xf>
    <xf numFmtId="1" fontId="81" fillId="3" borderId="0" xfId="16" applyNumberFormat="1" applyFont="1" applyFill="1" applyAlignment="1">
      <alignment horizontal="centerContinuous" vertical="center"/>
    </xf>
    <xf numFmtId="1" fontId="92" fillId="4" borderId="14" xfId="12" applyNumberFormat="1" applyFont="1" applyFill="1" applyBorder="1" applyAlignment="1" applyProtection="1">
      <alignment horizontal="centerContinuous" vertical="center" wrapText="1"/>
    </xf>
    <xf numFmtId="1" fontId="92" fillId="4" borderId="9" xfId="12" applyNumberFormat="1" applyFont="1" applyFill="1" applyBorder="1" applyAlignment="1" applyProtection="1">
      <alignment horizontal="centerContinuous" vertical="center" wrapText="1"/>
    </xf>
    <xf numFmtId="172" fontId="79" fillId="3" borderId="14" xfId="0" applyNumberFormat="1" applyFont="1" applyFill="1" applyBorder="1" applyAlignment="1">
      <alignment horizontal="centerContinuous"/>
    </xf>
    <xf numFmtId="1" fontId="92" fillId="3" borderId="14" xfId="12" applyNumberFormat="1" applyFont="1" applyFill="1" applyBorder="1" applyAlignment="1" applyProtection="1">
      <alignment horizontal="centerContinuous" vertical="center" wrapText="1"/>
    </xf>
    <xf numFmtId="1" fontId="92" fillId="3" borderId="0" xfId="16" applyNumberFormat="1" applyFont="1" applyFill="1" applyAlignment="1">
      <alignment horizontal="centerContinuous" vertical="center"/>
    </xf>
    <xf numFmtId="1" fontId="92" fillId="3" borderId="37" xfId="12" applyNumberFormat="1" applyFont="1" applyFill="1" applyBorder="1" applyAlignment="1" applyProtection="1">
      <alignment horizontal="centerContinuous" vertical="center" wrapText="1"/>
    </xf>
    <xf numFmtId="1" fontId="92" fillId="3" borderId="38" xfId="12" applyNumberFormat="1" applyFont="1" applyFill="1" applyBorder="1" applyAlignment="1" applyProtection="1">
      <alignment horizontal="centerContinuous" vertical="center" wrapText="1"/>
    </xf>
    <xf numFmtId="0" fontId="71" fillId="11" borderId="15" xfId="0" applyFont="1" applyFill="1" applyBorder="1" applyAlignment="1">
      <alignment horizontal="center" vertical="center" wrapText="1"/>
    </xf>
    <xf numFmtId="1" fontId="71" fillId="11" borderId="8" xfId="227" applyNumberFormat="1" applyFont="1" applyFill="1" applyBorder="1" applyAlignment="1">
      <alignment horizontal="center" vertical="center" wrapText="1"/>
    </xf>
    <xf numFmtId="1" fontId="71" fillId="11" borderId="15" xfId="227" applyNumberFormat="1" applyFont="1" applyFill="1" applyBorder="1" applyAlignment="1">
      <alignment horizontal="center" vertical="center" wrapText="1"/>
    </xf>
    <xf numFmtId="0" fontId="71" fillId="0" borderId="9" xfId="0" applyFont="1" applyBorder="1" applyAlignment="1">
      <alignment horizontal="centerContinuous" vertical="center" wrapText="1"/>
    </xf>
    <xf numFmtId="0" fontId="71" fillId="0" borderId="93" xfId="0" applyFont="1" applyBorder="1" applyAlignment="1">
      <alignment horizontal="centerContinuous" vertical="center" wrapText="1"/>
    </xf>
    <xf numFmtId="0" fontId="71" fillId="0" borderId="15" xfId="0" applyFont="1" applyBorder="1" applyAlignment="1">
      <alignment horizontal="centerContinuous" vertical="center" wrapText="1"/>
    </xf>
    <xf numFmtId="212" fontId="57" fillId="2" borderId="0" xfId="19" applyNumberFormat="1" applyFont="1" applyFill="1"/>
    <xf numFmtId="10" fontId="75" fillId="11" borderId="7" xfId="10607" applyNumberFormat="1" applyFont="1" applyFill="1" applyBorder="1" applyAlignment="1">
      <alignment horizontal="center"/>
    </xf>
    <xf numFmtId="10" fontId="75" fillId="11" borderId="13" xfId="10607" applyNumberFormat="1" applyFont="1" applyFill="1" applyBorder="1" applyAlignment="1">
      <alignment horizontal="center"/>
    </xf>
    <xf numFmtId="10" fontId="71" fillId="2" borderId="28" xfId="10607" applyNumberFormat="1" applyFont="1" applyFill="1" applyBorder="1" applyAlignment="1">
      <alignment horizontal="centerContinuous" vertical="center" wrapText="1"/>
    </xf>
    <xf numFmtId="10" fontId="71" fillId="2" borderId="15" xfId="10607" applyNumberFormat="1" applyFont="1" applyFill="1" applyBorder="1" applyAlignment="1">
      <alignment horizontal="centerContinuous" vertical="center" wrapText="1"/>
    </xf>
    <xf numFmtId="0" fontId="15" fillId="11" borderId="7" xfId="10608" applyFill="1" applyBorder="1"/>
    <xf numFmtId="0" fontId="15" fillId="11" borderId="13" xfId="10608" applyFill="1" applyBorder="1"/>
    <xf numFmtId="10" fontId="58" fillId="2" borderId="28" xfId="10607" applyNumberFormat="1" applyFont="1" applyFill="1" applyBorder="1" applyAlignment="1">
      <alignment horizontal="center" vertical="center" wrapText="1"/>
    </xf>
    <xf numFmtId="10" fontId="58" fillId="2" borderId="15" xfId="10607" applyNumberFormat="1" applyFont="1" applyFill="1" applyBorder="1" applyAlignment="1">
      <alignment horizontal="center" vertical="center" wrapText="1"/>
    </xf>
    <xf numFmtId="0" fontId="75" fillId="2" borderId="28" xfId="10607" applyFont="1" applyFill="1" applyBorder="1" applyAlignment="1">
      <alignment horizontal="center" vertical="center"/>
    </xf>
    <xf numFmtId="0" fontId="75" fillId="2" borderId="15" xfId="10607" applyFont="1" applyFill="1" applyBorder="1" applyAlignment="1">
      <alignment horizontal="center" vertical="center"/>
    </xf>
    <xf numFmtId="10" fontId="71" fillId="2" borderId="7" xfId="10607" applyNumberFormat="1" applyFont="1" applyFill="1" applyBorder="1" applyAlignment="1">
      <alignment horizontal="center" vertical="center" wrapText="1"/>
    </xf>
    <xf numFmtId="10" fontId="71" fillId="2" borderId="13" xfId="10607" applyNumberFormat="1" applyFont="1" applyFill="1" applyBorder="1" applyAlignment="1">
      <alignment horizontal="center" vertical="center" wrapText="1"/>
    </xf>
    <xf numFmtId="2" fontId="58" fillId="0" borderId="3" xfId="10607" applyNumberFormat="1" applyFont="1" applyBorder="1" applyAlignment="1">
      <alignment horizontal="center"/>
    </xf>
    <xf numFmtId="172" fontId="58" fillId="0" borderId="95" xfId="138" applyNumberFormat="1" applyFont="1" applyBorder="1"/>
    <xf numFmtId="172" fontId="58" fillId="0" borderId="112" xfId="138" applyNumberFormat="1" applyFont="1" applyBorder="1"/>
    <xf numFmtId="170" fontId="58" fillId="0" borderId="95" xfId="138" applyNumberFormat="1" applyFont="1" applyBorder="1"/>
    <xf numFmtId="170" fontId="58" fillId="0" borderId="112" xfId="138" applyNumberFormat="1" applyFont="1" applyBorder="1"/>
    <xf numFmtId="3" fontId="57" fillId="2" borderId="0" xfId="19" applyNumberFormat="1" applyFont="1" applyFill="1"/>
    <xf numFmtId="213" fontId="57" fillId="2" borderId="0" xfId="19" applyNumberFormat="1" applyFont="1" applyFill="1"/>
    <xf numFmtId="170" fontId="222" fillId="4" borderId="65" xfId="0" applyNumberFormat="1" applyFont="1" applyFill="1" applyBorder="1"/>
    <xf numFmtId="170" fontId="223" fillId="0" borderId="32" xfId="0" applyNumberFormat="1" applyFont="1" applyBorder="1"/>
    <xf numFmtId="170" fontId="210" fillId="0" borderId="0" xfId="0" applyNumberFormat="1" applyFont="1"/>
    <xf numFmtId="170" fontId="210" fillId="0" borderId="95" xfId="0" applyNumberFormat="1" applyFont="1" applyBorder="1"/>
    <xf numFmtId="0" fontId="58" fillId="2" borderId="0" xfId="0" applyFont="1" applyFill="1" applyAlignment="1">
      <alignment horizontal="center" vertical="center"/>
    </xf>
    <xf numFmtId="0" fontId="58" fillId="2" borderId="109" xfId="0" applyFont="1" applyFill="1" applyBorder="1" applyAlignment="1">
      <alignment horizontal="center" vertical="center"/>
    </xf>
    <xf numFmtId="0" fontId="15" fillId="11" borderId="0" xfId="10608" applyFill="1"/>
    <xf numFmtId="172" fontId="121" fillId="7" borderId="95" xfId="138" applyNumberFormat="1" applyFont="1" applyFill="1" applyBorder="1"/>
    <xf numFmtId="172" fontId="121" fillId="7" borderId="112" xfId="138" applyNumberFormat="1" applyFont="1" applyFill="1" applyBorder="1"/>
    <xf numFmtId="166" fontId="58" fillId="2" borderId="9" xfId="9871" applyFont="1" applyFill="1" applyBorder="1" applyAlignment="1">
      <alignment horizontal="center" vertical="center" wrapText="1"/>
    </xf>
    <xf numFmtId="166" fontId="58" fillId="2" borderId="91" xfId="9871" applyFont="1" applyFill="1" applyBorder="1" applyAlignment="1">
      <alignment horizontal="center" vertical="center" wrapText="1"/>
    </xf>
    <xf numFmtId="166" fontId="58" fillId="2" borderId="42" xfId="9871" applyFont="1" applyFill="1" applyBorder="1" applyAlignment="1">
      <alignment horizontal="center" vertical="center" wrapText="1"/>
    </xf>
    <xf numFmtId="166" fontId="58" fillId="2" borderId="13" xfId="9871" applyFont="1" applyFill="1" applyBorder="1" applyAlignment="1">
      <alignment horizontal="center" vertical="center" wrapText="1"/>
    </xf>
    <xf numFmtId="0" fontId="75" fillId="2" borderId="130" xfId="0" applyFont="1" applyFill="1" applyBorder="1" applyAlignment="1">
      <alignment horizontal="center" vertical="center"/>
    </xf>
    <xf numFmtId="0" fontId="75" fillId="2" borderId="43" xfId="0" applyFont="1" applyFill="1" applyBorder="1" applyAlignment="1">
      <alignment horizontal="center" vertical="center"/>
    </xf>
    <xf numFmtId="0" fontId="75" fillId="2" borderId="40" xfId="0" applyFont="1" applyFill="1" applyBorder="1" applyAlignment="1">
      <alignment horizontal="center" vertical="center"/>
    </xf>
    <xf numFmtId="0" fontId="75" fillId="2" borderId="35" xfId="0" applyFont="1" applyFill="1" applyBorder="1" applyAlignment="1">
      <alignment horizontal="center" vertical="center"/>
    </xf>
    <xf numFmtId="0" fontId="58" fillId="2" borderId="91" xfId="0" quotePrefix="1" applyFont="1" applyFill="1" applyBorder="1" applyAlignment="1">
      <alignment horizontal="center" vertical="center" wrapText="1"/>
    </xf>
    <xf numFmtId="0" fontId="58" fillId="2" borderId="9" xfId="0" quotePrefix="1" applyFont="1" applyFill="1" applyBorder="1" applyAlignment="1">
      <alignment horizontal="center" vertical="center" wrapText="1"/>
    </xf>
    <xf numFmtId="0" fontId="58" fillId="2" borderId="13" xfId="0" quotePrefix="1" applyFont="1" applyFill="1" applyBorder="1" applyAlignment="1">
      <alignment horizontal="center" vertical="center" wrapText="1"/>
    </xf>
    <xf numFmtId="0" fontId="75" fillId="2" borderId="34" xfId="0" applyFont="1" applyFill="1" applyBorder="1" applyAlignment="1">
      <alignment horizontal="center" vertical="center"/>
    </xf>
    <xf numFmtId="0" fontId="58" fillId="2" borderId="149" xfId="0" quotePrefix="1" applyFont="1" applyFill="1" applyBorder="1" applyAlignment="1">
      <alignment horizontal="center" vertical="center" wrapText="1"/>
    </xf>
    <xf numFmtId="0" fontId="58" fillId="2" borderId="9" xfId="13" applyFont="1" applyFill="1" applyBorder="1" applyAlignment="1">
      <alignment horizontal="center" vertical="center"/>
    </xf>
    <xf numFmtId="0" fontId="58" fillId="2" borderId="121" xfId="13" applyFont="1" applyFill="1" applyBorder="1" applyAlignment="1">
      <alignment horizontal="center" vertical="center"/>
    </xf>
    <xf numFmtId="0" fontId="58" fillId="2" borderId="92" xfId="13" applyFont="1" applyFill="1" applyBorder="1" applyAlignment="1">
      <alignment horizontal="centerContinuous" vertical="center" wrapText="1"/>
    </xf>
    <xf numFmtId="9" fontId="92" fillId="4" borderId="52" xfId="19" applyFont="1" applyFill="1" applyBorder="1" applyAlignment="1"/>
    <xf numFmtId="9" fontId="92" fillId="4" borderId="115" xfId="19" applyFont="1" applyFill="1" applyBorder="1" applyAlignment="1"/>
    <xf numFmtId="9" fontId="58" fillId="0" borderId="81" xfId="19" applyFont="1" applyFill="1" applyBorder="1" applyAlignment="1"/>
    <xf numFmtId="9" fontId="58" fillId="0" borderId="95" xfId="19" applyFont="1" applyFill="1" applyBorder="1" applyAlignment="1"/>
    <xf numFmtId="9" fontId="162" fillId="4" borderId="57" xfId="19" applyFont="1" applyFill="1" applyBorder="1" applyAlignment="1"/>
    <xf numFmtId="9" fontId="123" fillId="0" borderId="32" xfId="19" applyFont="1" applyFill="1" applyBorder="1" applyAlignment="1"/>
    <xf numFmtId="9" fontId="58" fillId="0" borderId="81" xfId="19" applyFont="1" applyFill="1" applyBorder="1"/>
    <xf numFmtId="9" fontId="58" fillId="0" borderId="95" xfId="19" applyFont="1" applyFill="1" applyBorder="1"/>
    <xf numFmtId="10" fontId="15" fillId="11" borderId="0" xfId="19" applyNumberFormat="1" applyFont="1" applyFill="1"/>
    <xf numFmtId="214" fontId="57" fillId="2" borderId="0" xfId="19" applyNumberFormat="1" applyFont="1" applyFill="1"/>
    <xf numFmtId="0" fontId="53" fillId="11" borderId="0" xfId="10629" applyFill="1"/>
    <xf numFmtId="0" fontId="53" fillId="11" borderId="34" xfId="13" applyFont="1" applyFill="1" applyBorder="1"/>
    <xf numFmtId="0" fontId="53" fillId="11" borderId="32" xfId="13" applyFont="1" applyFill="1" applyBorder="1"/>
    <xf numFmtId="0" fontId="53" fillId="11" borderId="81" xfId="13" applyFont="1" applyFill="1" applyBorder="1"/>
    <xf numFmtId="0" fontId="53" fillId="2" borderId="156" xfId="13" applyFont="1" applyFill="1" applyBorder="1" applyAlignment="1">
      <alignment horizontal="centerContinuous" vertical="center"/>
    </xf>
    <xf numFmtId="0" fontId="71" fillId="2" borderId="42" xfId="13" applyFont="1" applyFill="1" applyBorder="1" applyAlignment="1">
      <alignment horizontal="centerContinuous" vertical="center" wrapText="1"/>
    </xf>
    <xf numFmtId="0" fontId="53" fillId="11" borderId="9" xfId="13" applyFont="1" applyFill="1" applyBorder="1" applyAlignment="1">
      <alignment horizontal="centerContinuous" vertical="center"/>
    </xf>
    <xf numFmtId="0" fontId="53" fillId="11" borderId="42" xfId="13" applyFont="1" applyFill="1" applyBorder="1" applyAlignment="1">
      <alignment horizontal="centerContinuous" vertical="center"/>
    </xf>
    <xf numFmtId="0" fontId="53" fillId="11" borderId="14" xfId="13" applyFont="1" applyFill="1" applyBorder="1" applyAlignment="1">
      <alignment horizontal="centerContinuous" vertical="center"/>
    </xf>
    <xf numFmtId="0" fontId="53" fillId="11" borderId="34" xfId="10629" applyFill="1" applyBorder="1"/>
    <xf numFmtId="0" fontId="53" fillId="11" borderId="9" xfId="13" applyFont="1" applyFill="1" applyBorder="1"/>
    <xf numFmtId="0" fontId="53" fillId="11" borderId="42" xfId="13" applyFont="1" applyFill="1" applyBorder="1"/>
    <xf numFmtId="0" fontId="53" fillId="11" borderId="14" xfId="13" applyFont="1" applyFill="1" applyBorder="1"/>
    <xf numFmtId="0" fontId="58" fillId="2" borderId="156" xfId="13" applyFont="1" applyFill="1" applyBorder="1" applyAlignment="1">
      <alignment horizontal="centerContinuous" vertical="center" wrapText="1"/>
    </xf>
    <xf numFmtId="0" fontId="58" fillId="2" borderId="42" xfId="13" applyFont="1" applyFill="1" applyBorder="1" applyAlignment="1">
      <alignment horizontal="centerContinuous" vertical="center" wrapText="1"/>
    </xf>
    <xf numFmtId="0" fontId="53" fillId="0" borderId="0" xfId="10629"/>
    <xf numFmtId="0" fontId="53" fillId="2" borderId="157" xfId="13" applyFont="1" applyFill="1" applyBorder="1"/>
    <xf numFmtId="0" fontId="53" fillId="2" borderId="32" xfId="13" applyFont="1" applyFill="1" applyBorder="1"/>
    <xf numFmtId="0" fontId="58" fillId="2" borderId="156" xfId="13" applyFont="1" applyFill="1" applyBorder="1" applyAlignment="1">
      <alignment horizontal="centerContinuous" vertical="center"/>
    </xf>
    <xf numFmtId="0" fontId="71" fillId="2" borderId="158" xfId="13" applyFont="1" applyFill="1" applyBorder="1" applyAlignment="1">
      <alignment horizontal="centerContinuous" vertical="center" wrapText="1"/>
    </xf>
    <xf numFmtId="0" fontId="53" fillId="11" borderId="0" xfId="13" applyFont="1" applyFill="1"/>
    <xf numFmtId="0" fontId="71" fillId="2" borderId="9" xfId="13" applyFont="1" applyFill="1" applyBorder="1" applyAlignment="1">
      <alignment horizontal="centerContinuous" vertical="center" wrapText="1"/>
    </xf>
    <xf numFmtId="0" fontId="58" fillId="2" borderId="121" xfId="13" applyFont="1" applyFill="1" applyBorder="1" applyAlignment="1">
      <alignment horizontal="centerContinuous" vertical="center" wrapText="1"/>
    </xf>
    <xf numFmtId="0" fontId="53" fillId="2" borderId="43" xfId="13" applyFont="1" applyFill="1" applyBorder="1"/>
    <xf numFmtId="0" fontId="53" fillId="2" borderId="42" xfId="13" applyFont="1" applyFill="1" applyBorder="1" applyAlignment="1">
      <alignment horizontal="centerContinuous" vertical="center"/>
    </xf>
    <xf numFmtId="0" fontId="53" fillId="2" borderId="137" xfId="13" applyFont="1" applyFill="1" applyBorder="1"/>
    <xf numFmtId="0" fontId="58" fillId="2" borderId="42" xfId="13" applyFont="1" applyFill="1" applyBorder="1" applyAlignment="1">
      <alignment horizontal="centerContinuous" vertical="center"/>
    </xf>
    <xf numFmtId="9" fontId="92" fillId="4" borderId="152" xfId="1483" applyFont="1" applyFill="1" applyBorder="1" applyAlignment="1"/>
    <xf numFmtId="9" fontId="92" fillId="4" borderId="115" xfId="1483" applyFont="1" applyFill="1" applyBorder="1" applyAlignment="1"/>
    <xf numFmtId="9" fontId="92" fillId="4" borderId="117" xfId="1483" applyFont="1" applyFill="1" applyBorder="1" applyAlignment="1"/>
    <xf numFmtId="172" fontId="58" fillId="8" borderId="0" xfId="14" applyNumberFormat="1" applyFont="1" applyFill="1"/>
    <xf numFmtId="9" fontId="58" fillId="0" borderId="125" xfId="1483" applyFont="1" applyFill="1" applyBorder="1" applyAlignment="1"/>
    <xf numFmtId="9" fontId="58" fillId="0" borderId="95" xfId="1483" applyFont="1" applyFill="1" applyBorder="1" applyAlignment="1"/>
    <xf numFmtId="9" fontId="58" fillId="0" borderId="111" xfId="1483" applyFont="1" applyFill="1" applyBorder="1" applyAlignment="1"/>
    <xf numFmtId="172" fontId="58" fillId="8" borderId="147" xfId="14" applyNumberFormat="1" applyFont="1" applyFill="1" applyBorder="1"/>
    <xf numFmtId="9" fontId="162" fillId="4" borderId="159" xfId="1483" applyFont="1" applyFill="1" applyBorder="1" applyAlignment="1"/>
    <xf numFmtId="9" fontId="123" fillId="0" borderId="160" xfId="1483" applyFont="1" applyFill="1" applyBorder="1" applyAlignment="1"/>
    <xf numFmtId="9" fontId="58" fillId="0" borderId="95" xfId="1483" applyFont="1" applyFill="1" applyBorder="1"/>
    <xf numFmtId="9" fontId="123" fillId="0" borderId="0" xfId="19" applyFont="1" applyFill="1" applyBorder="1"/>
    <xf numFmtId="172" fontId="58" fillId="8" borderId="125" xfId="14" applyNumberFormat="1" applyFont="1" applyFill="1" applyBorder="1"/>
    <xf numFmtId="0" fontId="53" fillId="11" borderId="3" xfId="13" applyFont="1" applyFill="1" applyBorder="1"/>
    <xf numFmtId="0" fontId="71" fillId="2" borderId="13" xfId="13" applyFont="1" applyFill="1" applyBorder="1" applyAlignment="1">
      <alignment horizontal="centerContinuous" vertical="center" wrapText="1"/>
    </xf>
    <xf numFmtId="0" fontId="53" fillId="11" borderId="13" xfId="13" applyFont="1" applyFill="1" applyBorder="1" applyAlignment="1">
      <alignment horizontal="centerContinuous" vertical="center"/>
    </xf>
    <xf numFmtId="0" fontId="53" fillId="11" borderId="13" xfId="13" applyFont="1" applyFill="1" applyBorder="1"/>
    <xf numFmtId="172" fontId="58" fillId="8" borderId="112" xfId="14" applyNumberFormat="1" applyFont="1" applyFill="1" applyBorder="1"/>
    <xf numFmtId="9" fontId="92" fillId="4" borderId="135" xfId="1483" applyFont="1" applyFill="1" applyBorder="1" applyAlignment="1"/>
    <xf numFmtId="9" fontId="58" fillId="0" borderId="112" xfId="1483" applyFont="1" applyFill="1" applyBorder="1" applyAlignment="1"/>
    <xf numFmtId="9" fontId="162" fillId="4" borderId="152" xfId="1483" applyFont="1" applyFill="1" applyBorder="1" applyAlignment="1"/>
    <xf numFmtId="0" fontId="75" fillId="2" borderId="161" xfId="0" applyFont="1" applyFill="1" applyBorder="1" applyAlignment="1">
      <alignment horizontal="center" vertical="center"/>
    </xf>
    <xf numFmtId="0" fontId="75" fillId="2" borderId="162" xfId="0" applyFont="1" applyFill="1" applyBorder="1" applyAlignment="1">
      <alignment horizontal="center" vertical="center"/>
    </xf>
    <xf numFmtId="0" fontId="75" fillId="2" borderId="163" xfId="0" applyFont="1" applyFill="1" applyBorder="1" applyAlignment="1">
      <alignment horizontal="center" vertical="center"/>
    </xf>
    <xf numFmtId="0" fontId="75" fillId="2" borderId="164" xfId="0" applyFont="1" applyFill="1" applyBorder="1" applyAlignment="1">
      <alignment horizontal="center" vertical="center"/>
    </xf>
    <xf numFmtId="9" fontId="58" fillId="0" borderId="112" xfId="19" applyFont="1" applyFill="1" applyBorder="1" applyAlignment="1"/>
    <xf numFmtId="179" fontId="53" fillId="2" borderId="0" xfId="19" applyNumberFormat="1" applyFont="1" applyFill="1"/>
    <xf numFmtId="215" fontId="58" fillId="0" borderId="2" xfId="0" applyNumberFormat="1" applyFont="1" applyBorder="1"/>
    <xf numFmtId="181" fontId="107" fillId="4" borderId="2" xfId="0" applyNumberFormat="1" applyFont="1" applyFill="1" applyBorder="1"/>
    <xf numFmtId="181" fontId="98" fillId="0" borderId="2" xfId="0" applyNumberFormat="1" applyFont="1" applyBorder="1"/>
    <xf numFmtId="0" fontId="165" fillId="11" borderId="0" xfId="0" applyFont="1" applyFill="1"/>
    <xf numFmtId="173" fontId="130" fillId="0" borderId="0" xfId="17" applyNumberFormat="1" applyFont="1"/>
    <xf numFmtId="0" fontId="72" fillId="2" borderId="8" xfId="0" applyFont="1" applyFill="1" applyBorder="1" applyAlignment="1">
      <alignment horizontal="center" vertical="center" wrapText="1"/>
    </xf>
    <xf numFmtId="174" fontId="84" fillId="5" borderId="2" xfId="0" applyNumberFormat="1" applyFont="1" applyFill="1" applyBorder="1" applyAlignment="1">
      <alignment horizontal="center"/>
    </xf>
    <xf numFmtId="174" fontId="84" fillId="5" borderId="125" xfId="0" applyNumberFormat="1" applyFont="1" applyFill="1" applyBorder="1" applyAlignment="1">
      <alignment horizontal="center"/>
    </xf>
    <xf numFmtId="174" fontId="84" fillId="8" borderId="95" xfId="0" applyNumberFormat="1" applyFont="1" applyFill="1" applyBorder="1" applyAlignment="1">
      <alignment horizontal="center"/>
    </xf>
    <xf numFmtId="9" fontId="58" fillId="8" borderId="81" xfId="19" applyFont="1" applyFill="1" applyBorder="1" applyAlignment="1"/>
    <xf numFmtId="9" fontId="58" fillId="8" borderId="95" xfId="19" applyFont="1" applyFill="1" applyBorder="1" applyAlignment="1"/>
    <xf numFmtId="9" fontId="123" fillId="8" borderId="32" xfId="19" applyFont="1" applyFill="1" applyBorder="1" applyAlignment="1"/>
    <xf numFmtId="3" fontId="53" fillId="2" borderId="0" xfId="138" applyNumberFormat="1" applyFill="1"/>
    <xf numFmtId="0" fontId="71" fillId="2" borderId="14" xfId="15" applyFont="1" applyFill="1" applyBorder="1" applyAlignment="1">
      <alignment horizontal="center" vertical="center" wrapText="1"/>
    </xf>
    <xf numFmtId="0" fontId="58" fillId="2" borderId="14" xfId="15" applyFont="1" applyFill="1" applyBorder="1" applyAlignment="1">
      <alignment horizontal="center" vertical="center" wrapText="1"/>
    </xf>
    <xf numFmtId="0" fontId="53" fillId="2" borderId="81" xfId="15" applyFont="1" applyFill="1" applyBorder="1" applyAlignment="1">
      <alignment horizontal="center" vertical="center" wrapText="1"/>
    </xf>
    <xf numFmtId="0" fontId="57" fillId="2" borderId="50" xfId="15" applyFont="1" applyFill="1" applyBorder="1" applyAlignment="1">
      <alignment vertical="center"/>
    </xf>
    <xf numFmtId="4" fontId="58" fillId="0" borderId="4" xfId="17" applyNumberFormat="1" applyFont="1" applyBorder="1"/>
    <xf numFmtId="171" fontId="58" fillId="0" borderId="82" xfId="9854" applyNumberFormat="1" applyFont="1" applyBorder="1" applyAlignment="1">
      <alignment horizontal="right"/>
    </xf>
    <xf numFmtId="0" fontId="53" fillId="2" borderId="3" xfId="21" applyFill="1" applyBorder="1"/>
    <xf numFmtId="0" fontId="71" fillId="2" borderId="28" xfId="21" applyFont="1" applyFill="1" applyBorder="1" applyAlignment="1">
      <alignment horizontal="centerContinuous" vertical="center" wrapText="1"/>
    </xf>
    <xf numFmtId="0" fontId="71" fillId="2" borderId="8" xfId="21" applyFont="1" applyFill="1" applyBorder="1" applyAlignment="1">
      <alignment horizontal="centerContinuous" vertical="center" wrapText="1"/>
    </xf>
    <xf numFmtId="1" fontId="71" fillId="2" borderId="9" xfId="12" applyNumberFormat="1" applyFont="1" applyFill="1" applyBorder="1" applyAlignment="1" applyProtection="1">
      <alignment horizontal="centerContinuous" vertical="center" wrapText="1"/>
    </xf>
    <xf numFmtId="1" fontId="71" fillId="2" borderId="13" xfId="12" applyNumberFormat="1" applyFont="1" applyFill="1" applyBorder="1" applyAlignment="1" applyProtection="1">
      <alignment horizontal="centerContinuous" vertical="center" wrapText="1"/>
    </xf>
    <xf numFmtId="1" fontId="71" fillId="0" borderId="9" xfId="12" applyNumberFormat="1" applyFont="1" applyFill="1" applyBorder="1" applyAlignment="1" applyProtection="1">
      <alignment horizontal="centerContinuous" vertical="center" wrapText="1"/>
    </xf>
    <xf numFmtId="1" fontId="74" fillId="0" borderId="9" xfId="12" applyNumberFormat="1" applyFont="1" applyFill="1" applyBorder="1" applyAlignment="1" applyProtection="1">
      <alignment horizontal="centerContinuous" vertical="center" wrapText="1"/>
    </xf>
    <xf numFmtId="0" fontId="71" fillId="0" borderId="9" xfId="21" applyFont="1" applyBorder="1" applyAlignment="1">
      <alignment horizontal="centerContinuous" vertical="center" wrapText="1"/>
    </xf>
    <xf numFmtId="0" fontId="71" fillId="0" borderId="13" xfId="21" applyFont="1" applyBorder="1" applyAlignment="1">
      <alignment horizontal="centerContinuous" vertical="center" wrapText="1"/>
    </xf>
    <xf numFmtId="1" fontId="96" fillId="11" borderId="0" xfId="12" applyNumberFormat="1" applyFont="1" applyFill="1" applyBorder="1" applyAlignment="1" applyProtection="1">
      <alignment horizontal="center" vertical="center"/>
    </xf>
    <xf numFmtId="1" fontId="97" fillId="11" borderId="42" xfId="12" applyNumberFormat="1" applyFont="1" applyFill="1" applyBorder="1" applyAlignment="1" applyProtection="1">
      <alignment horizontal="center" vertical="center" wrapText="1"/>
    </xf>
    <xf numFmtId="1" fontId="96" fillId="11" borderId="3" xfId="12" applyNumberFormat="1" applyFont="1" applyFill="1" applyBorder="1" applyAlignment="1" applyProtection="1">
      <alignment horizontal="center" vertical="center"/>
    </xf>
    <xf numFmtId="0" fontId="58" fillId="0" borderId="92" xfId="21" applyFont="1" applyBorder="1" applyAlignment="1">
      <alignment horizontal="centerContinuous" vertical="center" wrapText="1"/>
    </xf>
    <xf numFmtId="0" fontId="58" fillId="0" borderId="92" xfId="21" applyFont="1" applyBorder="1" applyAlignment="1">
      <alignment horizontal="center" vertical="center" wrapText="1"/>
    </xf>
    <xf numFmtId="0" fontId="58" fillId="0" borderId="9" xfId="21" applyFont="1" applyBorder="1" applyAlignment="1">
      <alignment horizontal="center" vertical="center" wrapText="1"/>
    </xf>
    <xf numFmtId="0" fontId="58" fillId="0" borderId="14" xfId="21" applyFont="1" applyBorder="1" applyAlignment="1">
      <alignment horizontal="center" vertical="center" wrapText="1"/>
    </xf>
    <xf numFmtId="0" fontId="58" fillId="0" borderId="110" xfId="21" applyFont="1" applyBorder="1" applyAlignment="1">
      <alignment horizontal="center" vertical="center" wrapText="1"/>
    </xf>
    <xf numFmtId="0" fontId="58" fillId="0" borderId="15" xfId="21" applyFont="1" applyBorder="1" applyAlignment="1">
      <alignment horizontal="center" vertical="center" wrapText="1"/>
    </xf>
    <xf numFmtId="0" fontId="58" fillId="0" borderId="92" xfId="21" quotePrefix="1" applyFont="1" applyBorder="1" applyAlignment="1">
      <alignment horizontal="center" vertical="center" wrapText="1"/>
    </xf>
    <xf numFmtId="0" fontId="58" fillId="11" borderId="92" xfId="21" applyFont="1" applyFill="1" applyBorder="1" applyAlignment="1">
      <alignment horizontal="center" vertical="center" wrapText="1"/>
    </xf>
    <xf numFmtId="0" fontId="58" fillId="11" borderId="9" xfId="21" applyFont="1" applyFill="1" applyBorder="1" applyAlignment="1">
      <alignment horizontal="center" vertical="center" wrapText="1"/>
    </xf>
    <xf numFmtId="0" fontId="58" fillId="11" borderId="91" xfId="21" applyFont="1" applyFill="1" applyBorder="1" applyAlignment="1">
      <alignment horizontal="center" vertical="center" wrapText="1"/>
    </xf>
    <xf numFmtId="0" fontId="58" fillId="11" borderId="93" xfId="21" applyFont="1" applyFill="1" applyBorder="1" applyAlignment="1">
      <alignment horizontal="center" vertical="center" wrapText="1"/>
    </xf>
    <xf numFmtId="0" fontId="53" fillId="2" borderId="81" xfId="21" applyFill="1" applyBorder="1"/>
    <xf numFmtId="0" fontId="53" fillId="2" borderId="134" xfId="21" applyFill="1" applyBorder="1"/>
    <xf numFmtId="0" fontId="53" fillId="2" borderId="83" xfId="21" applyFill="1" applyBorder="1"/>
    <xf numFmtId="0" fontId="75" fillId="0" borderId="92" xfId="21" applyFont="1" applyBorder="1" applyAlignment="1">
      <alignment horizontal="center" vertical="center"/>
    </xf>
    <xf numFmtId="0" fontId="75" fillId="11" borderId="92" xfId="21" applyFont="1" applyFill="1" applyBorder="1" applyAlignment="1">
      <alignment horizontal="center" vertical="center"/>
    </xf>
    <xf numFmtId="0" fontId="75" fillId="11" borderId="91" xfId="21" applyFont="1" applyFill="1" applyBorder="1" applyAlignment="1">
      <alignment horizontal="center" vertical="center"/>
    </xf>
    <xf numFmtId="0" fontId="75" fillId="11" borderId="93" xfId="21" applyFont="1" applyFill="1" applyBorder="1" applyAlignment="1">
      <alignment horizontal="center" vertical="center"/>
    </xf>
    <xf numFmtId="0" fontId="75" fillId="0" borderId="14" xfId="21" applyFont="1" applyBorder="1" applyAlignment="1">
      <alignment horizontal="center" vertical="center"/>
    </xf>
    <xf numFmtId="0" fontId="75" fillId="0" borderId="110" xfId="21" applyFont="1" applyBorder="1" applyAlignment="1">
      <alignment horizontal="center" vertical="center"/>
    </xf>
    <xf numFmtId="0" fontId="75" fillId="11" borderId="15" xfId="21" applyFont="1" applyFill="1" applyBorder="1" applyAlignment="1">
      <alignment horizontal="center" vertical="center"/>
    </xf>
    <xf numFmtId="1" fontId="92" fillId="3" borderId="138" xfId="12" applyNumberFormat="1" applyFont="1" applyFill="1" applyBorder="1" applyAlignment="1" applyProtection="1">
      <alignment horizontal="center" vertical="center" wrapText="1"/>
    </xf>
    <xf numFmtId="0" fontId="71" fillId="2" borderId="127" xfId="21" applyFont="1" applyFill="1" applyBorder="1" applyAlignment="1">
      <alignment horizontal="center" vertical="center" wrapText="1"/>
    </xf>
    <xf numFmtId="0" fontId="58" fillId="2" borderId="127" xfId="21" applyFont="1" applyFill="1" applyBorder="1"/>
    <xf numFmtId="0" fontId="58" fillId="2" borderId="38" xfId="21" applyFont="1" applyFill="1" applyBorder="1"/>
    <xf numFmtId="0" fontId="58" fillId="2" borderId="120" xfId="21" applyFont="1" applyFill="1" applyBorder="1"/>
    <xf numFmtId="0" fontId="58" fillId="2" borderId="136" xfId="21" applyFont="1" applyFill="1" applyBorder="1"/>
    <xf numFmtId="0" fontId="58" fillId="2" borderId="37" xfId="21" applyFont="1" applyFill="1" applyBorder="1"/>
    <xf numFmtId="0" fontId="58" fillId="2" borderId="133" xfId="21" applyFont="1" applyFill="1" applyBorder="1"/>
    <xf numFmtId="0" fontId="58" fillId="2" borderId="45" xfId="21" applyFont="1" applyFill="1" applyBorder="1"/>
    <xf numFmtId="2" fontId="58" fillId="0" borderId="3" xfId="21" applyNumberFormat="1" applyFont="1" applyBorder="1" applyAlignment="1">
      <alignment horizontal="center"/>
    </xf>
    <xf numFmtId="170" fontId="92" fillId="4" borderId="123" xfId="21" applyNumberFormat="1" applyFont="1" applyFill="1" applyBorder="1" applyAlignment="1">
      <alignment horizontal="right" vertical="center"/>
    </xf>
    <xf numFmtId="175" fontId="92" fillId="4" borderId="148" xfId="21" applyNumberFormat="1" applyFont="1" applyFill="1" applyBorder="1"/>
    <xf numFmtId="175" fontId="92" fillId="4" borderId="57" xfId="21" applyNumberFormat="1" applyFont="1" applyFill="1" applyBorder="1"/>
    <xf numFmtId="175" fontId="92" fillId="4" borderId="115" xfId="21" applyNumberFormat="1" applyFont="1" applyFill="1" applyBorder="1"/>
    <xf numFmtId="175" fontId="92" fillId="4" borderId="146" xfId="21" applyNumberFormat="1" applyFont="1" applyFill="1" applyBorder="1"/>
    <xf numFmtId="175" fontId="129" fillId="4" borderId="67" xfId="21" applyNumberFormat="1" applyFont="1" applyFill="1" applyBorder="1"/>
    <xf numFmtId="170" fontId="58" fillId="5" borderId="81" xfId="21" applyNumberFormat="1" applyFont="1" applyFill="1" applyBorder="1"/>
    <xf numFmtId="170" fontId="58" fillId="5" borderId="134" xfId="21" applyNumberFormat="1" applyFont="1" applyFill="1" applyBorder="1"/>
    <xf numFmtId="170" fontId="58" fillId="5" borderId="83" xfId="21" applyNumberFormat="1" applyFont="1" applyFill="1" applyBorder="1"/>
    <xf numFmtId="170" fontId="58" fillId="0" borderId="123" xfId="21" applyNumberFormat="1" applyFont="1" applyBorder="1" applyAlignment="1">
      <alignment horizontal="right" vertical="center"/>
    </xf>
    <xf numFmtId="175" fontId="58" fillId="0" borderId="123" xfId="21" applyNumberFormat="1" applyFont="1" applyBorder="1"/>
    <xf numFmtId="175" fontId="58" fillId="0" borderId="0" xfId="21" applyNumberFormat="1" applyFont="1"/>
    <xf numFmtId="175" fontId="58" fillId="0" borderId="95" xfId="21" applyNumberFormat="1" applyFont="1" applyBorder="1"/>
    <xf numFmtId="175" fontId="58" fillId="0" borderId="134" xfId="21" applyNumberFormat="1" applyFont="1" applyBorder="1"/>
    <xf numFmtId="175" fontId="123" fillId="0" borderId="81" xfId="21" applyNumberFormat="1" applyFont="1" applyBorder="1"/>
    <xf numFmtId="2" fontId="58" fillId="0" borderId="3" xfId="21" quotePrefix="1" applyNumberFormat="1" applyFont="1" applyBorder="1" applyAlignment="1">
      <alignment horizontal="center"/>
    </xf>
    <xf numFmtId="170" fontId="92" fillId="4" borderId="81" xfId="21" applyNumberFormat="1" applyFont="1" applyFill="1" applyBorder="1"/>
    <xf numFmtId="175" fontId="121" fillId="7" borderId="83" xfId="21" applyNumberFormat="1" applyFont="1" applyFill="1" applyBorder="1"/>
    <xf numFmtId="175" fontId="58" fillId="0" borderId="81" xfId="21" applyNumberFormat="1" applyFont="1" applyBorder="1"/>
    <xf numFmtId="175" fontId="58" fillId="0" borderId="83" xfId="21" applyNumberFormat="1" applyFont="1" applyBorder="1"/>
    <xf numFmtId="0" fontId="53" fillId="0" borderId="0" xfId="21"/>
    <xf numFmtId="170" fontId="58" fillId="0" borderId="123" xfId="21" applyNumberFormat="1" applyFont="1" applyBorder="1"/>
    <xf numFmtId="170" fontId="168" fillId="46" borderId="123" xfId="21" applyNumberFormat="1" applyFont="1" applyFill="1" applyBorder="1"/>
    <xf numFmtId="170" fontId="58" fillId="46" borderId="143" xfId="21" applyNumberFormat="1" applyFont="1" applyFill="1" applyBorder="1"/>
    <xf numFmtId="175" fontId="210" fillId="0" borderId="0" xfId="21" applyNumberFormat="1" applyFont="1"/>
    <xf numFmtId="175" fontId="210" fillId="0" borderId="95" xfId="21" applyNumberFormat="1" applyFont="1" applyBorder="1"/>
    <xf numFmtId="171" fontId="58" fillId="0" borderId="3" xfId="9944" applyNumberFormat="1" applyFont="1" applyBorder="1" applyAlignment="1">
      <alignment horizontal="right" vertical="center"/>
    </xf>
    <xf numFmtId="170" fontId="76" fillId="0" borderId="4" xfId="0" applyNumberFormat="1" applyFont="1" applyBorder="1" applyAlignment="1">
      <alignment horizontal="right"/>
    </xf>
    <xf numFmtId="175" fontId="58" fillId="0" borderId="166" xfId="0" applyNumberFormat="1" applyFont="1" applyBorder="1"/>
    <xf numFmtId="175" fontId="0" fillId="11" borderId="0" xfId="0" applyNumberFormat="1" applyFill="1"/>
    <xf numFmtId="0" fontId="57" fillId="11" borderId="88" xfId="0" applyFont="1" applyFill="1" applyBorder="1" applyAlignment="1">
      <alignment horizontal="center" vertical="center"/>
    </xf>
    <xf numFmtId="1" fontId="75" fillId="2" borderId="92" xfId="0" applyNumberFormat="1" applyFont="1" applyFill="1" applyBorder="1" applyAlignment="1">
      <alignment horizontal="center" vertical="center"/>
    </xf>
    <xf numFmtId="1" fontId="75" fillId="2" borderId="109" xfId="0" applyNumberFormat="1" applyFont="1" applyFill="1" applyBorder="1" applyAlignment="1">
      <alignment horizontal="center" vertical="center"/>
    </xf>
    <xf numFmtId="1" fontId="75" fillId="2" borderId="121" xfId="0" applyNumberFormat="1" applyFont="1" applyFill="1" applyBorder="1" applyAlignment="1">
      <alignment horizontal="center" vertical="center"/>
    </xf>
    <xf numFmtId="1" fontId="75" fillId="2" borderId="93" xfId="0" applyNumberFormat="1" applyFont="1" applyFill="1" applyBorder="1" applyAlignment="1">
      <alignment horizontal="center" vertical="center"/>
    </xf>
    <xf numFmtId="0" fontId="56" fillId="2" borderId="0" xfId="0" applyFont="1" applyFill="1" applyAlignment="1">
      <alignment vertical="center"/>
    </xf>
    <xf numFmtId="10" fontId="58" fillId="8" borderId="95" xfId="19" applyNumberFormat="1" applyFont="1" applyFill="1" applyBorder="1" applyAlignment="1"/>
    <xf numFmtId="10" fontId="58" fillId="11" borderId="139" xfId="19" applyNumberFormat="1" applyFont="1" applyFill="1" applyBorder="1" applyAlignment="1">
      <alignment horizontal="centerContinuous" vertical="center" wrapText="1"/>
    </xf>
    <xf numFmtId="10" fontId="58" fillId="11" borderId="137" xfId="19" applyNumberFormat="1" applyFont="1" applyFill="1" applyBorder="1" applyAlignment="1">
      <alignment horizontal="centerContinuous" vertical="center" wrapText="1"/>
    </xf>
    <xf numFmtId="0" fontId="58" fillId="11" borderId="14" xfId="0" applyFont="1" applyFill="1" applyBorder="1" applyAlignment="1">
      <alignment horizontal="centerContinuous" vertical="center" wrapText="1"/>
    </xf>
    <xf numFmtId="0" fontId="58" fillId="11" borderId="9" xfId="0" applyFont="1" applyFill="1" applyBorder="1" applyAlignment="1">
      <alignment horizontal="centerContinuous" vertical="center" wrapText="1"/>
    </xf>
    <xf numFmtId="0" fontId="58" fillId="11" borderId="42" xfId="0" applyFont="1" applyFill="1" applyBorder="1" applyAlignment="1">
      <alignment horizontal="centerContinuous" vertical="center" wrapText="1"/>
    </xf>
    <xf numFmtId="10" fontId="58" fillId="11" borderId="140" xfId="19" applyNumberFormat="1" applyFont="1" applyFill="1" applyBorder="1" applyAlignment="1">
      <alignment horizontal="centerContinuous" vertical="center" wrapText="1"/>
    </xf>
    <xf numFmtId="0" fontId="58" fillId="11" borderId="13" xfId="0" applyFont="1" applyFill="1" applyBorder="1" applyAlignment="1">
      <alignment horizontal="centerContinuous" vertical="center" wrapText="1"/>
    </xf>
    <xf numFmtId="10" fontId="58" fillId="8" borderId="112" xfId="19" applyNumberFormat="1" applyFont="1" applyFill="1" applyBorder="1" applyAlignment="1"/>
    <xf numFmtId="10" fontId="58" fillId="8" borderId="125" xfId="19" applyNumberFormat="1" applyFont="1" applyFill="1" applyBorder="1" applyAlignment="1"/>
    <xf numFmtId="10" fontId="58" fillId="8" borderId="111" xfId="19" applyNumberFormat="1" applyFont="1" applyFill="1" applyBorder="1" applyAlignment="1"/>
    <xf numFmtId="10" fontId="75" fillId="2" borderId="139" xfId="0" applyNumberFormat="1" applyFont="1" applyFill="1" applyBorder="1" applyAlignment="1">
      <alignment horizontal="center"/>
    </xf>
    <xf numFmtId="10" fontId="72" fillId="2" borderId="14" xfId="0" applyNumberFormat="1" applyFont="1" applyFill="1" applyBorder="1" applyAlignment="1">
      <alignment horizontal="centerContinuous" vertical="center"/>
    </xf>
    <xf numFmtId="10" fontId="76" fillId="2" borderId="9" xfId="0" applyNumberFormat="1" applyFont="1" applyFill="1" applyBorder="1" applyAlignment="1">
      <alignment horizontal="center" vertical="center"/>
    </xf>
    <xf numFmtId="49" fontId="75" fillId="2" borderId="9" xfId="0" applyNumberFormat="1" applyFont="1" applyFill="1" applyBorder="1" applyAlignment="1">
      <alignment horizontal="center" vertical="center"/>
    </xf>
    <xf numFmtId="10" fontId="72" fillId="2" borderId="38" xfId="0" quotePrefix="1" applyNumberFormat="1" applyFont="1" applyFill="1" applyBorder="1" applyAlignment="1">
      <alignment horizontal="center" vertical="center" wrapText="1"/>
    </xf>
    <xf numFmtId="171" fontId="92" fillId="5" borderId="134" xfId="0" applyNumberFormat="1" applyFont="1" applyFill="1" applyBorder="1"/>
    <xf numFmtId="10" fontId="76" fillId="0" borderId="0" xfId="0" applyNumberFormat="1" applyFont="1"/>
    <xf numFmtId="0" fontId="58" fillId="2" borderId="81" xfId="0" applyFont="1" applyFill="1" applyBorder="1" applyAlignment="1">
      <alignment vertical="center"/>
    </xf>
    <xf numFmtId="10" fontId="58" fillId="11" borderId="138" xfId="19" applyNumberFormat="1" applyFont="1" applyFill="1" applyBorder="1" applyAlignment="1">
      <alignment horizontal="centerContinuous" vertical="center" wrapText="1"/>
    </xf>
    <xf numFmtId="10" fontId="58" fillId="8" borderId="123" xfId="19" applyNumberFormat="1" applyFont="1" applyFill="1" applyBorder="1" applyAlignment="1"/>
    <xf numFmtId="10" fontId="58" fillId="0" borderId="123" xfId="19" applyNumberFormat="1" applyFont="1" applyFill="1" applyBorder="1"/>
    <xf numFmtId="10" fontId="58" fillId="0" borderId="95" xfId="19" applyNumberFormat="1" applyFont="1" applyFill="1" applyBorder="1"/>
    <xf numFmtId="10" fontId="58" fillId="0" borderId="111" xfId="19" applyNumberFormat="1" applyFont="1" applyFill="1" applyBorder="1"/>
    <xf numFmtId="10" fontId="58" fillId="0" borderId="112" xfId="19" applyNumberFormat="1" applyFont="1" applyFill="1" applyBorder="1"/>
    <xf numFmtId="0" fontId="57" fillId="2" borderId="37" xfId="0" applyFont="1" applyFill="1" applyBorder="1" applyAlignment="1">
      <alignment vertical="center"/>
    </xf>
    <xf numFmtId="0" fontId="57" fillId="2" borderId="38" xfId="0" applyFont="1" applyFill="1" applyBorder="1" applyAlignment="1">
      <alignment vertical="center" wrapText="1"/>
    </xf>
    <xf numFmtId="0" fontId="57" fillId="2" borderId="44" xfId="0" applyFont="1" applyFill="1" applyBorder="1" applyAlignment="1">
      <alignment vertical="center" wrapText="1"/>
    </xf>
    <xf numFmtId="0" fontId="57" fillId="2" borderId="39" xfId="0" applyFont="1" applyFill="1" applyBorder="1" applyAlignment="1">
      <alignment vertical="center" wrapText="1"/>
    </xf>
    <xf numFmtId="1" fontId="75" fillId="2" borderId="110" xfId="0" applyNumberFormat="1" applyFont="1" applyFill="1" applyBorder="1" applyAlignment="1">
      <alignment horizontal="center" vertical="center"/>
    </xf>
    <xf numFmtId="49" fontId="75" fillId="2" borderId="14" xfId="0" applyNumberFormat="1" applyFont="1" applyFill="1" applyBorder="1" applyAlignment="1">
      <alignment horizontal="centerContinuous" vertical="center" wrapText="1"/>
    </xf>
    <xf numFmtId="10" fontId="230" fillId="2" borderId="34" xfId="0" applyNumberFormat="1" applyFont="1" applyFill="1" applyBorder="1" applyAlignment="1">
      <alignment horizontal="center"/>
    </xf>
    <xf numFmtId="0" fontId="116" fillId="11" borderId="169" xfId="21" applyFont="1" applyFill="1" applyBorder="1" applyAlignment="1">
      <alignment horizontal="centerContinuous" vertical="center" wrapText="1"/>
    </xf>
    <xf numFmtId="0" fontId="116" fillId="11" borderId="130" xfId="21" applyFont="1" applyFill="1" applyBorder="1" applyAlignment="1">
      <alignment horizontal="center" vertical="center" wrapText="1"/>
    </xf>
    <xf numFmtId="0" fontId="116" fillId="11" borderId="155" xfId="21" applyFont="1" applyFill="1" applyBorder="1" applyAlignment="1">
      <alignment horizontal="center" vertical="center" wrapText="1"/>
    </xf>
    <xf numFmtId="0" fontId="116" fillId="11" borderId="130" xfId="21" applyFont="1" applyFill="1" applyBorder="1" applyAlignment="1">
      <alignment horizontal="centerContinuous" vertical="center" wrapText="1"/>
    </xf>
    <xf numFmtId="0" fontId="116" fillId="11" borderId="168" xfId="21" applyFont="1" applyFill="1" applyBorder="1" applyAlignment="1">
      <alignment horizontal="center" vertical="center" wrapText="1"/>
    </xf>
    <xf numFmtId="2" fontId="58" fillId="0" borderId="82" xfId="9872" applyNumberFormat="1" applyFont="1" applyBorder="1" applyAlignment="1">
      <alignment horizontal="center" vertical="center" wrapText="1"/>
    </xf>
    <xf numFmtId="2" fontId="58" fillId="0" borderId="82" xfId="9872" applyNumberFormat="1" applyFont="1" applyBorder="1" applyAlignment="1">
      <alignment horizontal="center" wrapText="1"/>
    </xf>
    <xf numFmtId="0" fontId="72" fillId="2" borderId="3" xfId="16" quotePrefix="1" applyFont="1" applyFill="1" applyBorder="1" applyAlignment="1">
      <alignment horizontal="centerContinuous" vertical="center" wrapText="1"/>
    </xf>
    <xf numFmtId="0" fontId="72" fillId="2" borderId="15" xfId="16" applyFont="1" applyFill="1" applyBorder="1" applyAlignment="1">
      <alignment horizontal="centerContinuous" vertical="center" wrapText="1"/>
    </xf>
    <xf numFmtId="0" fontId="71" fillId="0" borderId="109" xfId="0" applyFont="1" applyBorder="1" applyAlignment="1">
      <alignment horizontal="center" vertical="center" wrapText="1"/>
    </xf>
    <xf numFmtId="0" fontId="76" fillId="2" borderId="109" xfId="16" applyFont="1" applyFill="1" applyBorder="1" applyAlignment="1">
      <alignment horizontal="centerContinuous" vertical="center" wrapText="1"/>
    </xf>
    <xf numFmtId="0" fontId="76" fillId="0" borderId="109" xfId="16" applyFont="1" applyBorder="1" applyAlignment="1">
      <alignment horizontal="center" vertical="center" wrapText="1"/>
    </xf>
    <xf numFmtId="0" fontId="72" fillId="2" borderId="119" xfId="16" quotePrefix="1" applyFont="1" applyFill="1" applyBorder="1" applyAlignment="1">
      <alignment horizontal="center" vertical="center" wrapText="1"/>
    </xf>
    <xf numFmtId="10" fontId="76" fillId="5" borderId="135" xfId="16" applyNumberFormat="1" applyFont="1" applyFill="1" applyBorder="1"/>
    <xf numFmtId="10" fontId="76" fillId="5" borderId="112" xfId="16" applyNumberFormat="1" applyFont="1" applyFill="1" applyBorder="1"/>
    <xf numFmtId="10" fontId="92" fillId="4" borderId="112" xfId="16" applyNumberFormat="1" applyFont="1" applyFill="1" applyBorder="1"/>
    <xf numFmtId="10" fontId="76" fillId="0" borderId="112" xfId="16" applyNumberFormat="1" applyFont="1" applyBorder="1"/>
    <xf numFmtId="181" fontId="84" fillId="5" borderId="112" xfId="0" applyNumberFormat="1" applyFont="1" applyFill="1" applyBorder="1" applyAlignment="1">
      <alignment horizontal="center"/>
    </xf>
    <xf numFmtId="185" fontId="58" fillId="0" borderId="82" xfId="5132" applyNumberFormat="1" applyFont="1" applyFill="1" applyBorder="1" applyAlignment="1">
      <alignment horizontal="right"/>
    </xf>
    <xf numFmtId="1" fontId="97" fillId="11" borderId="9" xfId="12" applyNumberFormat="1" applyFont="1" applyFill="1" applyBorder="1" applyAlignment="1" applyProtection="1">
      <alignment horizontal="centerContinuous" vertical="center" wrapText="1"/>
    </xf>
    <xf numFmtId="170" fontId="58" fillId="0" borderId="4" xfId="0" applyNumberFormat="1" applyFont="1" applyBorder="1"/>
    <xf numFmtId="170" fontId="58" fillId="0" borderId="83" xfId="0" applyNumberFormat="1" applyFont="1" applyBorder="1"/>
    <xf numFmtId="2" fontId="75" fillId="2" borderId="139" xfId="0" applyNumberFormat="1" applyFont="1" applyFill="1" applyBorder="1" applyAlignment="1">
      <alignment horizontal="center"/>
    </xf>
    <xf numFmtId="2" fontId="72" fillId="2" borderId="9" xfId="0" applyNumberFormat="1" applyFont="1" applyFill="1" applyBorder="1" applyAlignment="1">
      <alignment horizontal="centerContinuous" vertical="center" wrapText="1"/>
    </xf>
    <xf numFmtId="2" fontId="72" fillId="2" borderId="8" xfId="0" applyNumberFormat="1" applyFont="1" applyFill="1" applyBorder="1" applyAlignment="1">
      <alignment horizontal="centerContinuous" vertical="center"/>
    </xf>
    <xf numFmtId="2" fontId="230" fillId="2" borderId="34" xfId="0" applyNumberFormat="1" applyFont="1" applyFill="1" applyBorder="1" applyAlignment="1">
      <alignment horizontal="center"/>
    </xf>
    <xf numFmtId="2" fontId="76" fillId="2" borderId="91" xfId="0" applyNumberFormat="1" applyFont="1" applyFill="1" applyBorder="1" applyAlignment="1">
      <alignment horizontal="center" vertical="center" wrapText="1"/>
    </xf>
    <xf numFmtId="2" fontId="75" fillId="2" borderId="9" xfId="0" applyNumberFormat="1" applyFont="1" applyFill="1" applyBorder="1" applyAlignment="1">
      <alignment horizontal="center"/>
    </xf>
    <xf numFmtId="2" fontId="75" fillId="2" borderId="91" xfId="0" applyNumberFormat="1" applyFont="1" applyFill="1" applyBorder="1" applyAlignment="1">
      <alignment horizontal="center" vertical="center"/>
    </xf>
    <xf numFmtId="2" fontId="72" fillId="2" borderId="120" xfId="0" quotePrefix="1" applyNumberFormat="1" applyFont="1" applyFill="1" applyBorder="1" applyAlignment="1">
      <alignment horizontal="center" vertical="center" wrapText="1"/>
    </xf>
    <xf numFmtId="2" fontId="58" fillId="8" borderId="95" xfId="19" applyNumberFormat="1" applyFont="1" applyFill="1" applyBorder="1" applyAlignment="1"/>
    <xf numFmtId="2" fontId="76" fillId="2" borderId="0" xfId="0" applyNumberFormat="1" applyFont="1" applyFill="1"/>
    <xf numFmtId="2" fontId="75" fillId="2" borderId="36" xfId="0" applyNumberFormat="1" applyFont="1" applyFill="1" applyBorder="1" applyAlignment="1">
      <alignment horizontal="center"/>
    </xf>
    <xf numFmtId="2" fontId="72" fillId="2" borderId="7" xfId="0" applyNumberFormat="1" applyFont="1" applyFill="1" applyBorder="1" applyAlignment="1">
      <alignment horizontal="centerContinuous" vertical="center" wrapText="1"/>
    </xf>
    <xf numFmtId="2" fontId="72" fillId="2" borderId="28" xfId="0" applyNumberFormat="1" applyFont="1" applyFill="1" applyBorder="1" applyAlignment="1">
      <alignment horizontal="centerContinuous" vertical="center"/>
    </xf>
    <xf numFmtId="2" fontId="76" fillId="2" borderId="7" xfId="0" applyNumberFormat="1" applyFont="1" applyFill="1" applyBorder="1" applyAlignment="1">
      <alignment horizontal="center" vertical="center" wrapText="1"/>
    </xf>
    <xf numFmtId="2" fontId="75" fillId="2" borderId="7" xfId="0" applyNumberFormat="1" applyFont="1" applyFill="1" applyBorder="1" applyAlignment="1">
      <alignment horizontal="center"/>
    </xf>
    <xf numFmtId="2" fontId="75" fillId="2" borderId="14" xfId="0" applyNumberFormat="1" applyFont="1" applyFill="1" applyBorder="1" applyAlignment="1">
      <alignment horizontal="center" vertical="center"/>
    </xf>
    <xf numFmtId="2" fontId="72" fillId="2" borderId="41" xfId="0" applyNumberFormat="1" applyFont="1" applyFill="1" applyBorder="1" applyAlignment="1">
      <alignment horizontal="center" vertical="center" wrapText="1"/>
    </xf>
    <xf numFmtId="2" fontId="92" fillId="5" borderId="167" xfId="0" applyNumberFormat="1" applyFont="1" applyFill="1" applyBorder="1"/>
    <xf numFmtId="2" fontId="92" fillId="5" borderId="143" xfId="0" applyNumberFormat="1" applyFont="1" applyFill="1" applyBorder="1"/>
    <xf numFmtId="2" fontId="92" fillId="4" borderId="2" xfId="0" applyNumberFormat="1" applyFont="1" applyFill="1" applyBorder="1"/>
    <xf numFmtId="2" fontId="58" fillId="0" borderId="2" xfId="0" applyNumberFormat="1" applyFont="1" applyBorder="1"/>
    <xf numFmtId="2" fontId="76" fillId="0" borderId="2" xfId="0" applyNumberFormat="1" applyFont="1" applyBorder="1"/>
    <xf numFmtId="2" fontId="231" fillId="2" borderId="54" xfId="0" applyNumberFormat="1" applyFont="1" applyFill="1" applyBorder="1" applyAlignment="1">
      <alignment horizontal="center"/>
    </xf>
    <xf numFmtId="0" fontId="53" fillId="2" borderId="3" xfId="16" applyFont="1" applyFill="1" applyBorder="1" applyAlignment="1">
      <alignment vertical="center"/>
    </xf>
    <xf numFmtId="0" fontId="53" fillId="2" borderId="0" xfId="16" applyFont="1" applyFill="1" applyAlignment="1">
      <alignment horizontal="centerContinuous" vertical="center"/>
    </xf>
    <xf numFmtId="0" fontId="53" fillId="2" borderId="3" xfId="16" applyFont="1" applyFill="1" applyBorder="1" applyAlignment="1">
      <alignment horizontal="centerContinuous" vertical="center"/>
    </xf>
    <xf numFmtId="10" fontId="58" fillId="2" borderId="14" xfId="12406" applyNumberFormat="1" applyFont="1" applyFill="1" applyBorder="1" applyAlignment="1">
      <alignment horizontal="center" vertical="center"/>
    </xf>
    <xf numFmtId="10" fontId="58" fillId="2" borderId="91" xfId="12406" applyNumberFormat="1" applyFont="1" applyFill="1" applyBorder="1" applyAlignment="1">
      <alignment horizontal="center" vertical="center"/>
    </xf>
    <xf numFmtId="10" fontId="58" fillId="2" borderId="9" xfId="12406" applyNumberFormat="1" applyFont="1" applyFill="1" applyBorder="1" applyAlignment="1">
      <alignment horizontal="center" vertical="center"/>
    </xf>
    <xf numFmtId="10" fontId="58" fillId="2" borderId="171" xfId="12406" applyNumberFormat="1" applyFont="1" applyFill="1" applyBorder="1" applyAlignment="1">
      <alignment horizontal="center" vertical="center"/>
    </xf>
    <xf numFmtId="10" fontId="58" fillId="2" borderId="170" xfId="12406" applyNumberFormat="1" applyFont="1" applyFill="1" applyBorder="1" applyAlignment="1">
      <alignment horizontal="center" vertical="center"/>
    </xf>
    <xf numFmtId="0" fontId="58" fillId="2" borderId="172" xfId="21" applyFont="1" applyFill="1" applyBorder="1" applyAlignment="1">
      <alignment horizontal="center" vertical="center" wrapText="1"/>
    </xf>
    <xf numFmtId="0" fontId="58" fillId="2" borderId="92" xfId="21" applyFont="1" applyFill="1" applyBorder="1" applyAlignment="1">
      <alignment horizontal="center" vertical="center" wrapText="1"/>
    </xf>
    <xf numFmtId="0" fontId="58" fillId="2" borderId="171" xfId="21" applyFont="1" applyFill="1" applyBorder="1" applyAlignment="1">
      <alignment horizontal="center" vertical="center" wrapText="1"/>
    </xf>
    <xf numFmtId="0" fontId="58" fillId="2" borderId="170" xfId="21" applyFont="1" applyFill="1" applyBorder="1" applyAlignment="1">
      <alignment horizontal="center" vertical="center" wrapText="1"/>
    </xf>
    <xf numFmtId="0" fontId="75" fillId="2" borderId="14" xfId="21" applyFont="1" applyFill="1" applyBorder="1" applyAlignment="1">
      <alignment horizontal="center" vertical="center"/>
    </xf>
    <xf numFmtId="0" fontId="75" fillId="2" borderId="91" xfId="21" applyFont="1" applyFill="1" applyBorder="1" applyAlignment="1">
      <alignment horizontal="center" vertical="center"/>
    </xf>
    <xf numFmtId="0" fontId="75" fillId="2" borderId="9" xfId="21" applyFont="1" applyFill="1" applyBorder="1" applyAlignment="1">
      <alignment horizontal="center" vertical="center"/>
    </xf>
    <xf numFmtId="0" fontId="75" fillId="2" borderId="109" xfId="21" applyFont="1" applyFill="1" applyBorder="1" applyAlignment="1">
      <alignment horizontal="center" vertical="center"/>
    </xf>
    <xf numFmtId="0" fontId="71" fillId="2" borderId="173" xfId="16" quotePrefix="1" applyFont="1" applyFill="1" applyBorder="1" applyAlignment="1">
      <alignment horizontal="center" vertical="center" wrapText="1"/>
    </xf>
    <xf numFmtId="0" fontId="53" fillId="2" borderId="114" xfId="16" applyFont="1" applyFill="1" applyBorder="1" applyAlignment="1">
      <alignment vertical="center"/>
    </xf>
    <xf numFmtId="172" fontId="92" fillId="5" borderId="23" xfId="16" applyNumberFormat="1" applyFont="1" applyFill="1" applyBorder="1"/>
    <xf numFmtId="172" fontId="92" fillId="5" borderId="81" xfId="16" applyNumberFormat="1" applyFont="1" applyFill="1" applyBorder="1"/>
    <xf numFmtId="172" fontId="92" fillId="5" borderId="95" xfId="16" applyNumberFormat="1" applyFont="1" applyFill="1" applyBorder="1"/>
    <xf numFmtId="172" fontId="92" fillId="5" borderId="0" xfId="16" applyNumberFormat="1" applyFont="1" applyFill="1"/>
    <xf numFmtId="172" fontId="92" fillId="5" borderId="174" xfId="16" applyNumberFormat="1" applyFont="1" applyFill="1" applyBorder="1"/>
    <xf numFmtId="172" fontId="92" fillId="5" borderId="135" xfId="16" applyNumberFormat="1" applyFont="1" applyFill="1" applyBorder="1"/>
    <xf numFmtId="0" fontId="53" fillId="0" borderId="0" xfId="16" applyFont="1"/>
    <xf numFmtId="10" fontId="58" fillId="5" borderId="81" xfId="16" applyNumberFormat="1" applyFont="1" applyFill="1" applyBorder="1"/>
    <xf numFmtId="10" fontId="58" fillId="5" borderId="95" xfId="16" applyNumberFormat="1" applyFont="1" applyFill="1" applyBorder="1"/>
    <xf numFmtId="10" fontId="58" fillId="5" borderId="0" xfId="16" applyNumberFormat="1" applyFont="1" applyFill="1"/>
    <xf numFmtId="172" fontId="92" fillId="5" borderId="175" xfId="16" applyNumberFormat="1" applyFont="1" applyFill="1" applyBorder="1"/>
    <xf numFmtId="10" fontId="58" fillId="5" borderId="174" xfId="16" applyNumberFormat="1" applyFont="1" applyFill="1" applyBorder="1"/>
    <xf numFmtId="10" fontId="58" fillId="5" borderId="175" xfId="16" applyNumberFormat="1" applyFont="1" applyFill="1" applyBorder="1"/>
    <xf numFmtId="10" fontId="58" fillId="5" borderId="112" xfId="16" applyNumberFormat="1" applyFont="1" applyFill="1" applyBorder="1"/>
    <xf numFmtId="4" fontId="176" fillId="4" borderId="0" xfId="16" applyNumberFormat="1" applyFont="1" applyFill="1"/>
    <xf numFmtId="2" fontId="98" fillId="0" borderId="81" xfId="16" applyNumberFormat="1" applyFont="1" applyBorder="1"/>
    <xf numFmtId="4" fontId="176" fillId="4" borderId="95" xfId="16" applyNumberFormat="1" applyFont="1" applyFill="1" applyBorder="1"/>
    <xf numFmtId="2" fontId="98" fillId="0" borderId="95" xfId="16" applyNumberFormat="1" applyFont="1" applyBorder="1"/>
    <xf numFmtId="10" fontId="58" fillId="5" borderId="134" xfId="16" applyNumberFormat="1" applyFont="1" applyFill="1" applyBorder="1"/>
    <xf numFmtId="4" fontId="121" fillId="4" borderId="0" xfId="16" applyNumberFormat="1" applyFont="1" applyFill="1"/>
    <xf numFmtId="4" fontId="121" fillId="4" borderId="176" xfId="16" applyNumberFormat="1" applyFont="1" applyFill="1" applyBorder="1"/>
    <xf numFmtId="4" fontId="121" fillId="4" borderId="95" xfId="16" applyNumberFormat="1" applyFont="1" applyFill="1" applyBorder="1"/>
    <xf numFmtId="4" fontId="121" fillId="4" borderId="134" xfId="16" applyNumberFormat="1" applyFont="1" applyFill="1" applyBorder="1"/>
    <xf numFmtId="2" fontId="58" fillId="0" borderId="81" xfId="16" applyNumberFormat="1" applyFont="1" applyBorder="1"/>
    <xf numFmtId="2" fontId="58" fillId="0" borderId="95" xfId="16" applyNumberFormat="1" applyFont="1" applyBorder="1"/>
    <xf numFmtId="2" fontId="58" fillId="0" borderId="0" xfId="16" applyNumberFormat="1" applyFont="1"/>
    <xf numFmtId="2" fontId="58" fillId="0" borderId="3" xfId="16" applyNumberFormat="1" applyFont="1" applyBorder="1"/>
    <xf numFmtId="1" fontId="58" fillId="0" borderId="0" xfId="16" applyNumberFormat="1" applyFont="1"/>
    <xf numFmtId="0" fontId="58" fillId="0" borderId="0" xfId="16" applyFont="1"/>
    <xf numFmtId="0" fontId="53" fillId="11" borderId="0" xfId="16" applyFont="1" applyFill="1" applyAlignment="1">
      <alignment vertical="center"/>
    </xf>
    <xf numFmtId="0" fontId="53" fillId="11" borderId="0" xfId="16" applyFont="1" applyFill="1" applyAlignment="1">
      <alignment vertical="center" wrapText="1"/>
    </xf>
    <xf numFmtId="0" fontId="53" fillId="11" borderId="0" xfId="16" applyFont="1" applyFill="1"/>
    <xf numFmtId="4" fontId="121" fillId="4" borderId="3" xfId="16" applyNumberFormat="1" applyFont="1" applyFill="1" applyBorder="1"/>
    <xf numFmtId="0" fontId="58" fillId="0" borderId="170" xfId="16" applyFont="1" applyBorder="1" applyAlignment="1">
      <alignment horizontal="center" vertical="center" wrapText="1"/>
    </xf>
    <xf numFmtId="171" fontId="232" fillId="0" borderId="95" xfId="9944" applyNumberFormat="1" applyFont="1" applyBorder="1" applyAlignment="1">
      <alignment horizontal="right" vertical="center"/>
    </xf>
    <xf numFmtId="171" fontId="232" fillId="0" borderId="111" xfId="9944" applyNumberFormat="1" applyFont="1" applyBorder="1" applyAlignment="1">
      <alignment horizontal="right" vertical="center"/>
    </xf>
    <xf numFmtId="171" fontId="232" fillId="0" borderId="81" xfId="9944" applyNumberFormat="1" applyFont="1" applyBorder="1" applyAlignment="1">
      <alignment horizontal="right" vertical="center"/>
    </xf>
    <xf numFmtId="171" fontId="232" fillId="0" borderId="0" xfId="9944" applyNumberFormat="1" applyFont="1" applyAlignment="1">
      <alignment horizontal="right" vertical="center"/>
    </xf>
    <xf numFmtId="10" fontId="76" fillId="0" borderId="95" xfId="19" applyNumberFormat="1" applyFont="1" applyBorder="1" applyAlignment="1"/>
    <xf numFmtId="179" fontId="58" fillId="0" borderId="143" xfId="15" applyNumberFormat="1" applyFont="1" applyBorder="1"/>
    <xf numFmtId="179" fontId="58" fillId="0" borderId="0" xfId="15" applyNumberFormat="1" applyFont="1"/>
    <xf numFmtId="179" fontId="58" fillId="0" borderId="95" xfId="15" applyNumberFormat="1" applyFont="1" applyBorder="1"/>
    <xf numFmtId="179" fontId="58" fillId="0" borderId="111" xfId="15" applyNumberFormat="1" applyFont="1" applyBorder="1"/>
    <xf numFmtId="179" fontId="58" fillId="0" borderId="123" xfId="15" applyNumberFormat="1" applyFont="1" applyBorder="1"/>
    <xf numFmtId="179" fontId="58" fillId="0" borderId="112" xfId="15" applyNumberFormat="1" applyFont="1" applyBorder="1"/>
    <xf numFmtId="179" fontId="121" fillId="7" borderId="125" xfId="19" applyNumberFormat="1" applyFont="1" applyFill="1" applyBorder="1"/>
    <xf numFmtId="179" fontId="121" fillId="7" borderId="112" xfId="19" applyNumberFormat="1" applyFont="1" applyFill="1" applyBorder="1"/>
    <xf numFmtId="179" fontId="58" fillId="0" borderId="112" xfId="19" applyNumberFormat="1" applyFont="1" applyFill="1" applyBorder="1"/>
    <xf numFmtId="179" fontId="121" fillId="7" borderId="111" xfId="19" applyNumberFormat="1" applyFont="1" applyFill="1" applyBorder="1"/>
    <xf numFmtId="179" fontId="92" fillId="4" borderId="2" xfId="19" applyNumberFormat="1" applyFont="1" applyFill="1" applyBorder="1" applyAlignment="1"/>
    <xf numFmtId="179" fontId="58" fillId="0" borderId="95" xfId="19" applyNumberFormat="1" applyFont="1" applyBorder="1" applyAlignment="1"/>
    <xf numFmtId="179" fontId="58" fillId="0" borderId="0" xfId="19" applyNumberFormat="1" applyFont="1" applyBorder="1" applyAlignment="1"/>
    <xf numFmtId="179" fontId="76" fillId="0" borderId="0" xfId="19" applyNumberFormat="1" applyFont="1" applyBorder="1" applyAlignment="1"/>
    <xf numFmtId="179" fontId="76" fillId="0" borderId="0" xfId="0" applyNumberFormat="1" applyFont="1"/>
    <xf numFmtId="170" fontId="76" fillId="0" borderId="33" xfId="0" applyNumberFormat="1" applyFont="1" applyBorder="1"/>
    <xf numFmtId="216" fontId="57" fillId="2" borderId="0" xfId="19" applyNumberFormat="1" applyFont="1" applyFill="1"/>
    <xf numFmtId="0" fontId="130" fillId="11" borderId="9" xfId="9854" applyFont="1" applyFill="1" applyBorder="1" applyAlignment="1">
      <alignment horizontal="center" vertical="center" wrapText="1"/>
    </xf>
    <xf numFmtId="0" fontId="130" fillId="11" borderId="91" xfId="9854" applyFont="1" applyFill="1" applyBorder="1" applyAlignment="1">
      <alignment horizontal="center" vertical="center" wrapText="1"/>
    </xf>
    <xf numFmtId="0" fontId="130" fillId="11" borderId="13" xfId="9854" applyFont="1" applyFill="1" applyBorder="1" applyAlignment="1">
      <alignment horizontal="center" vertical="center" wrapText="1"/>
    </xf>
    <xf numFmtId="0" fontId="71" fillId="2" borderId="28" xfId="15" applyFont="1" applyFill="1" applyBorder="1" applyAlignment="1">
      <alignment horizontal="centerContinuous" vertical="center" wrapText="1"/>
    </xf>
    <xf numFmtId="171" fontId="130" fillId="0" borderId="95" xfId="9944" applyNumberFormat="1" applyFont="1" applyBorder="1" applyAlignment="1">
      <alignment horizontal="right" vertical="center"/>
    </xf>
    <xf numFmtId="171" fontId="130" fillId="0" borderId="111" xfId="9944" applyNumberFormat="1" applyFont="1" applyBorder="1" applyAlignment="1">
      <alignment horizontal="right" vertical="center"/>
    </xf>
    <xf numFmtId="171" fontId="130" fillId="0" borderId="3" xfId="9944" applyNumberFormat="1" applyFont="1" applyBorder="1" applyAlignment="1">
      <alignment horizontal="right" vertical="center"/>
    </xf>
    <xf numFmtId="0" fontId="190" fillId="11" borderId="0" xfId="138" applyFont="1" applyFill="1"/>
    <xf numFmtId="217" fontId="57" fillId="11" borderId="0" xfId="0" applyNumberFormat="1" applyFont="1" applyFill="1"/>
    <xf numFmtId="199" fontId="57" fillId="11" borderId="0" xfId="0" applyNumberFormat="1" applyFont="1" applyFill="1"/>
    <xf numFmtId="171" fontId="98" fillId="0" borderId="83" xfId="0" applyNumberFormat="1" applyFont="1" applyBorder="1"/>
    <xf numFmtId="218" fontId="57" fillId="11" borderId="0" xfId="0" applyNumberFormat="1" applyFont="1" applyFill="1"/>
    <xf numFmtId="179" fontId="76" fillId="0" borderId="95" xfId="19" applyNumberFormat="1" applyFont="1" applyBorder="1" applyAlignment="1"/>
    <xf numFmtId="0" fontId="234" fillId="0" borderId="0" xfId="0" applyFont="1" applyAlignment="1">
      <alignment vertical="center"/>
    </xf>
    <xf numFmtId="175" fontId="57" fillId="0" borderId="0" xfId="0" applyNumberFormat="1" applyFont="1"/>
    <xf numFmtId="179" fontId="56" fillId="2" borderId="0" xfId="19" applyNumberFormat="1" applyFont="1" applyFill="1"/>
    <xf numFmtId="10" fontId="235" fillId="2" borderId="0" xfId="19" applyNumberFormat="1" applyFont="1" applyFill="1"/>
    <xf numFmtId="174" fontId="84" fillId="5" borderId="0" xfId="0" applyNumberFormat="1" applyFont="1" applyFill="1" applyAlignment="1">
      <alignment horizontal="center"/>
    </xf>
    <xf numFmtId="174" fontId="84" fillId="5" borderId="123" xfId="0" applyNumberFormat="1" applyFont="1" applyFill="1" applyBorder="1" applyAlignment="1">
      <alignment horizontal="center"/>
    </xf>
    <xf numFmtId="1" fontId="236" fillId="3" borderId="9" xfId="16" applyNumberFormat="1" applyFont="1" applyFill="1" applyBorder="1" applyAlignment="1">
      <alignment horizontal="center" vertical="center"/>
    </xf>
    <xf numFmtId="0" fontId="165" fillId="2" borderId="0" xfId="0" applyFont="1" applyFill="1"/>
    <xf numFmtId="170" fontId="58" fillId="0" borderId="123" xfId="0" applyNumberFormat="1" applyFont="1" applyBorder="1" applyAlignment="1">
      <alignment horizontal="right" vertical="center"/>
    </xf>
    <xf numFmtId="170" fontId="58" fillId="0" borderId="95" xfId="0" applyNumberFormat="1" applyFont="1" applyBorder="1" applyAlignment="1">
      <alignment horizontal="right" vertical="center"/>
    </xf>
    <xf numFmtId="170" fontId="58" fillId="0" borderId="111" xfId="0" applyNumberFormat="1" applyFont="1" applyBorder="1" applyAlignment="1">
      <alignment horizontal="right" vertical="center"/>
    </xf>
    <xf numFmtId="170" fontId="58" fillId="0" borderId="112" xfId="0" applyNumberFormat="1" applyFont="1" applyBorder="1" applyAlignment="1">
      <alignment horizontal="right"/>
    </xf>
    <xf numFmtId="170" fontId="58" fillId="0" borderId="125" xfId="0" applyNumberFormat="1" applyFont="1" applyBorder="1" applyAlignment="1">
      <alignment horizontal="right" vertical="center"/>
    </xf>
    <xf numFmtId="170" fontId="58" fillId="0" borderId="143" xfId="0" applyNumberFormat="1" applyFont="1" applyBorder="1" applyAlignment="1">
      <alignment horizontal="right" vertical="center"/>
    </xf>
    <xf numFmtId="170" fontId="58" fillId="0" borderId="81" xfId="0" applyNumberFormat="1" applyFont="1" applyBorder="1" applyAlignment="1">
      <alignment horizontal="right"/>
    </xf>
    <xf numFmtId="170" fontId="58" fillId="0" borderId="81" xfId="0" applyNumberFormat="1" applyFont="1" applyBorder="1" applyAlignment="1">
      <alignment horizontal="right" vertical="center"/>
    </xf>
    <xf numFmtId="170" fontId="58" fillId="0" borderId="0" xfId="0" applyNumberFormat="1" applyFont="1" applyAlignment="1">
      <alignment horizontal="right"/>
    </xf>
    <xf numFmtId="170" fontId="58" fillId="0" borderId="112" xfId="0" applyNumberFormat="1" applyFont="1" applyBorder="1"/>
    <xf numFmtId="170" fontId="58" fillId="0" borderId="0" xfId="0" applyNumberFormat="1" applyFont="1" applyAlignment="1">
      <alignment horizontal="right" vertical="center"/>
    </xf>
    <xf numFmtId="1" fontId="96" fillId="11" borderId="42" xfId="12" applyNumberFormat="1" applyFont="1" applyFill="1" applyBorder="1" applyAlignment="1" applyProtection="1">
      <alignment horizontal="center" vertical="center"/>
    </xf>
    <xf numFmtId="0" fontId="58" fillId="0" borderId="9" xfId="21" applyFont="1" applyBorder="1" applyAlignment="1">
      <alignment horizontal="centerContinuous" vertical="center" wrapText="1"/>
    </xf>
    <xf numFmtId="0" fontId="58" fillId="0" borderId="177" xfId="21" applyFont="1" applyBorder="1" applyAlignment="1">
      <alignment horizontal="centerContinuous" vertical="center" wrapText="1"/>
    </xf>
    <xf numFmtId="0" fontId="58" fillId="0" borderId="9" xfId="21" quotePrefix="1" applyFont="1" applyBorder="1" applyAlignment="1">
      <alignment horizontal="center" vertical="center" wrapText="1"/>
    </xf>
    <xf numFmtId="0" fontId="58" fillId="0" borderId="177" xfId="21" quotePrefix="1" applyFont="1" applyBorder="1" applyAlignment="1">
      <alignment horizontal="center" vertical="center" wrapText="1"/>
    </xf>
    <xf numFmtId="0" fontId="58" fillId="0" borderId="177" xfId="21" applyFont="1" applyBorder="1" applyAlignment="1">
      <alignment horizontal="center" vertical="center" wrapText="1"/>
    </xf>
    <xf numFmtId="0" fontId="75" fillId="0" borderId="9" xfId="21" applyFont="1" applyBorder="1" applyAlignment="1">
      <alignment horizontal="center" vertical="center"/>
    </xf>
    <xf numFmtId="0" fontId="71" fillId="2" borderId="38" xfId="21" applyFont="1" applyFill="1" applyBorder="1" applyAlignment="1">
      <alignment horizontal="center" vertical="center" wrapText="1"/>
    </xf>
    <xf numFmtId="0" fontId="71" fillId="2" borderId="178" xfId="21" applyFont="1" applyFill="1" applyBorder="1" applyAlignment="1">
      <alignment horizontal="center" vertical="center" wrapText="1"/>
    </xf>
    <xf numFmtId="170" fontId="58" fillId="8" borderId="57" xfId="21" applyNumberFormat="1" applyFont="1" applyFill="1" applyBorder="1" applyAlignment="1">
      <alignment horizontal="right" vertical="center"/>
    </xf>
    <xf numFmtId="170" fontId="58" fillId="8" borderId="117" xfId="21" applyNumberFormat="1" applyFont="1" applyFill="1" applyBorder="1" applyAlignment="1">
      <alignment horizontal="right" vertical="center"/>
    </xf>
    <xf numFmtId="170" fontId="58" fillId="8" borderId="0" xfId="21" applyNumberFormat="1" applyFont="1" applyFill="1" applyAlignment="1">
      <alignment horizontal="right" vertical="center"/>
    </xf>
    <xf numFmtId="170" fontId="58" fillId="8" borderId="111" xfId="21" applyNumberFormat="1" applyFont="1" applyFill="1" applyBorder="1" applyAlignment="1">
      <alignment horizontal="right" vertical="center"/>
    </xf>
    <xf numFmtId="170" fontId="92" fillId="4" borderId="0" xfId="21" applyNumberFormat="1" applyFont="1" applyFill="1" applyAlignment="1">
      <alignment horizontal="right" vertical="center"/>
    </xf>
    <xf numFmtId="170" fontId="92" fillId="8" borderId="111" xfId="21" applyNumberFormat="1" applyFont="1" applyFill="1" applyBorder="1" applyAlignment="1">
      <alignment horizontal="right" vertical="center"/>
    </xf>
    <xf numFmtId="170" fontId="58" fillId="0" borderId="0" xfId="21" applyNumberFormat="1" applyFont="1" applyAlignment="1">
      <alignment horizontal="right" vertical="center"/>
    </xf>
    <xf numFmtId="170" fontId="58" fillId="0" borderId="0" xfId="21" applyNumberFormat="1" applyFont="1"/>
    <xf numFmtId="170" fontId="58" fillId="8" borderId="111" xfId="21" applyNumberFormat="1" applyFont="1" applyFill="1" applyBorder="1"/>
    <xf numFmtId="170" fontId="121" fillId="7" borderId="111" xfId="21" applyNumberFormat="1" applyFont="1" applyFill="1" applyBorder="1"/>
    <xf numFmtId="170" fontId="58" fillId="0" borderId="111" xfId="21" applyNumberFormat="1" applyFont="1" applyBorder="1"/>
    <xf numFmtId="170" fontId="58" fillId="46" borderId="2" xfId="21" applyNumberFormat="1" applyFont="1" applyFill="1" applyBorder="1"/>
    <xf numFmtId="170" fontId="168" fillId="46" borderId="95" xfId="21" applyNumberFormat="1" applyFont="1" applyFill="1" applyBorder="1"/>
    <xf numFmtId="170" fontId="58" fillId="46" borderId="0" xfId="21" applyNumberFormat="1" applyFont="1" applyFill="1"/>
    <xf numFmtId="171" fontId="232" fillId="0" borderId="83" xfId="9944" applyNumberFormat="1" applyFont="1" applyBorder="1" applyAlignment="1">
      <alignment horizontal="right" vertical="center"/>
    </xf>
    <xf numFmtId="171" fontId="76" fillId="0" borderId="125" xfId="0" applyNumberFormat="1" applyFont="1" applyBorder="1" applyAlignment="1">
      <alignment horizontal="right"/>
    </xf>
    <xf numFmtId="170" fontId="0" fillId="11" borderId="0" xfId="0" applyNumberFormat="1" applyFill="1"/>
    <xf numFmtId="216" fontId="76" fillId="11" borderId="0" xfId="19" applyNumberFormat="1" applyFont="1" applyFill="1" applyBorder="1"/>
    <xf numFmtId="4" fontId="57" fillId="11" borderId="0" xfId="0" applyNumberFormat="1" applyFont="1" applyFill="1"/>
    <xf numFmtId="3" fontId="57" fillId="11" borderId="0" xfId="0" applyNumberFormat="1" applyFont="1" applyFill="1"/>
    <xf numFmtId="10" fontId="57" fillId="11" borderId="0" xfId="19" applyNumberFormat="1" applyFont="1" applyFill="1" applyBorder="1"/>
    <xf numFmtId="170" fontId="123" fillId="0" borderId="112" xfId="0" applyNumberFormat="1" applyFont="1" applyBorder="1"/>
    <xf numFmtId="0" fontId="184" fillId="0" borderId="14" xfId="9854" applyFont="1" applyBorder="1" applyAlignment="1">
      <alignment horizontal="centerContinuous" vertical="center"/>
    </xf>
    <xf numFmtId="0" fontId="130" fillId="11" borderId="40" xfId="9854" applyFont="1" applyFill="1" applyBorder="1"/>
    <xf numFmtId="219" fontId="57" fillId="11" borderId="0" xfId="0" applyNumberFormat="1" applyFont="1" applyFill="1"/>
    <xf numFmtId="220" fontId="57" fillId="11" borderId="0" xfId="19" applyNumberFormat="1" applyFont="1" applyFill="1"/>
    <xf numFmtId="10" fontId="53" fillId="11" borderId="0" xfId="19" applyNumberFormat="1" applyFont="1" applyFill="1"/>
    <xf numFmtId="1" fontId="71" fillId="73" borderId="3" xfId="0" applyNumberFormat="1" applyFont="1" applyFill="1" applyBorder="1" applyAlignment="1">
      <alignment horizontal="center"/>
    </xf>
    <xf numFmtId="170" fontId="71" fillId="73" borderId="32" xfId="0" applyNumberFormat="1" applyFont="1" applyFill="1" applyBorder="1"/>
    <xf numFmtId="196" fontId="71" fillId="73" borderId="0" xfId="101" applyNumberFormat="1" applyFont="1" applyFill="1" applyAlignment="1">
      <alignment horizontal="center"/>
    </xf>
    <xf numFmtId="10" fontId="71" fillId="73" borderId="26" xfId="0" applyNumberFormat="1" applyFont="1" applyFill="1" applyBorder="1"/>
    <xf numFmtId="170" fontId="76" fillId="73" borderId="32" xfId="0" applyNumberFormat="1" applyFont="1" applyFill="1" applyBorder="1"/>
    <xf numFmtId="196" fontId="58" fillId="73" borderId="0" xfId="101" applyNumberFormat="1" applyFont="1" applyFill="1" applyAlignment="1">
      <alignment horizontal="center"/>
    </xf>
    <xf numFmtId="10" fontId="76" fillId="73" borderId="26" xfId="0" applyNumberFormat="1" applyFont="1" applyFill="1" applyBorder="1"/>
    <xf numFmtId="10" fontId="83" fillId="11" borderId="0" xfId="19" applyNumberFormat="1" applyFont="1" applyFill="1" applyAlignment="1">
      <alignment horizontal="center"/>
    </xf>
    <xf numFmtId="213" fontId="83" fillId="11" borderId="0" xfId="19" applyNumberFormat="1" applyFont="1" applyFill="1" applyAlignment="1">
      <alignment horizontal="center"/>
    </xf>
    <xf numFmtId="170" fontId="130" fillId="0" borderId="123" xfId="227" applyNumberFormat="1" applyFont="1" applyBorder="1"/>
    <xf numFmtId="170" fontId="130" fillId="0" borderId="3" xfId="227" applyNumberFormat="1" applyFont="1" applyBorder="1"/>
    <xf numFmtId="2" fontId="0" fillId="11" borderId="0" xfId="19" applyNumberFormat="1" applyFont="1" applyFill="1"/>
    <xf numFmtId="170" fontId="58" fillId="0" borderId="123" xfId="0" applyNumberFormat="1" applyFont="1" applyBorder="1"/>
    <xf numFmtId="3" fontId="57" fillId="11" borderId="0" xfId="19" applyNumberFormat="1" applyFont="1" applyFill="1" applyBorder="1"/>
    <xf numFmtId="171" fontId="232" fillId="0" borderId="134" xfId="9944" applyNumberFormat="1" applyFont="1" applyBorder="1" applyAlignment="1">
      <alignment horizontal="right" vertical="center"/>
    </xf>
    <xf numFmtId="170" fontId="53" fillId="2" borderId="0" xfId="0" applyNumberFormat="1" applyFont="1" applyFill="1"/>
    <xf numFmtId="0" fontId="58" fillId="74" borderId="0" xfId="0" applyFont="1" applyFill="1"/>
    <xf numFmtId="1" fontId="239" fillId="76" borderId="0" xfId="16" applyNumberFormat="1" applyFont="1" applyFill="1" applyAlignment="1">
      <alignment horizontal="center" vertical="center"/>
    </xf>
    <xf numFmtId="0" fontId="53" fillId="74" borderId="0" xfId="0" applyFont="1" applyFill="1"/>
    <xf numFmtId="1" fontId="238" fillId="76" borderId="9" xfId="12" applyNumberFormat="1" applyFont="1" applyFill="1" applyBorder="1" applyAlignment="1" applyProtection="1">
      <alignment horizontal="center" vertical="center" wrapText="1"/>
    </xf>
    <xf numFmtId="1" fontId="238" fillId="76" borderId="0" xfId="12" applyNumberFormat="1" applyFont="1" applyFill="1" applyBorder="1" applyAlignment="1" applyProtection="1">
      <alignment horizontal="center" vertical="center" wrapText="1"/>
    </xf>
    <xf numFmtId="1" fontId="239" fillId="76" borderId="13" xfId="16" applyNumberFormat="1" applyFont="1" applyFill="1" applyBorder="1" applyAlignment="1">
      <alignment horizontal="center" vertical="center"/>
    </xf>
    <xf numFmtId="1" fontId="238" fillId="75" borderId="14" xfId="12" applyNumberFormat="1" applyFont="1" applyFill="1" applyBorder="1" applyAlignment="1" applyProtection="1">
      <alignment horizontal="center" vertical="center" wrapText="1"/>
    </xf>
    <xf numFmtId="0" fontId="58" fillId="0" borderId="9" xfId="0" applyFont="1" applyBorder="1" applyAlignment="1">
      <alignment horizontal="centerContinuous" vertical="center" wrapText="1"/>
    </xf>
    <xf numFmtId="1" fontId="240" fillId="76" borderId="0" xfId="16" quotePrefix="1" applyNumberFormat="1" applyFont="1" applyFill="1" applyAlignment="1">
      <alignment horizontal="center" vertical="center"/>
    </xf>
    <xf numFmtId="1" fontId="238" fillId="76" borderId="14" xfId="12" applyNumberFormat="1" applyFont="1" applyFill="1" applyBorder="1" applyAlignment="1" applyProtection="1">
      <alignment horizontal="center" vertical="center" wrapText="1"/>
    </xf>
    <xf numFmtId="1" fontId="238" fillId="76" borderId="0" xfId="16" applyNumberFormat="1" applyFont="1" applyFill="1" applyAlignment="1">
      <alignment horizontal="center" vertical="center"/>
    </xf>
    <xf numFmtId="1" fontId="238" fillId="76" borderId="138" xfId="12" applyNumberFormat="1" applyFont="1" applyFill="1" applyBorder="1" applyAlignment="1" applyProtection="1">
      <alignment horizontal="center" vertical="center" wrapText="1"/>
    </xf>
    <xf numFmtId="173" fontId="58" fillId="0" borderId="18" xfId="0" applyNumberFormat="1" applyFont="1" applyBorder="1" applyAlignment="1">
      <alignment horizontal="center"/>
    </xf>
    <xf numFmtId="173" fontId="58" fillId="0" borderId="3" xfId="0" applyNumberFormat="1" applyFont="1" applyBorder="1" applyAlignment="1">
      <alignment horizontal="center"/>
    </xf>
    <xf numFmtId="179" fontId="53" fillId="74" borderId="0" xfId="19" applyNumberFormat="1" applyFont="1" applyFill="1" applyBorder="1"/>
    <xf numFmtId="0" fontId="53" fillId="74" borderId="0" xfId="0" applyFont="1" applyFill="1" applyAlignment="1">
      <alignment vertical="center"/>
    </xf>
    <xf numFmtId="1" fontId="241" fillId="76" borderId="9" xfId="16" applyNumberFormat="1" applyFont="1" applyFill="1" applyBorder="1" applyAlignment="1">
      <alignment horizontal="center" vertical="center"/>
    </xf>
    <xf numFmtId="1" fontId="238" fillId="76" borderId="6" xfId="12" applyNumberFormat="1" applyFont="1" applyFill="1" applyBorder="1" applyAlignment="1" applyProtection="1">
      <alignment horizontal="center" vertical="center" wrapText="1"/>
    </xf>
    <xf numFmtId="0" fontId="53" fillId="74" borderId="0" xfId="0" applyFont="1" applyFill="1" applyAlignment="1">
      <alignment vertical="center" wrapText="1"/>
    </xf>
    <xf numFmtId="175" fontId="58" fillId="0" borderId="111" xfId="0" applyNumberFormat="1" applyFont="1" applyBorder="1" applyAlignment="1">
      <alignment horizontal="right"/>
    </xf>
    <xf numFmtId="176" fontId="123" fillId="0" borderId="81" xfId="0" applyNumberFormat="1" applyFont="1" applyBorder="1"/>
    <xf numFmtId="176" fontId="162" fillId="4" borderId="81" xfId="0" applyNumberFormat="1" applyFont="1" applyFill="1" applyBorder="1"/>
    <xf numFmtId="211" fontId="0" fillId="11" borderId="0" xfId="19" applyNumberFormat="1" applyFont="1" applyFill="1"/>
    <xf numFmtId="4" fontId="76" fillId="0" borderId="82" xfId="17" applyNumberFormat="1" applyFont="1" applyBorder="1" applyAlignment="1">
      <alignment horizontal="right"/>
    </xf>
    <xf numFmtId="4" fontId="76" fillId="0" borderId="81" xfId="17" applyNumberFormat="1" applyFont="1" applyBorder="1" applyAlignment="1">
      <alignment horizontal="right"/>
    </xf>
    <xf numFmtId="3" fontId="168" fillId="12" borderId="32" xfId="138" applyNumberFormat="1" applyFont="1" applyFill="1" applyBorder="1" applyAlignment="1">
      <alignment horizontal="center"/>
    </xf>
    <xf numFmtId="170" fontId="92" fillId="8" borderId="57" xfId="0" applyNumberFormat="1" applyFont="1" applyFill="1" applyBorder="1"/>
    <xf numFmtId="170" fontId="99" fillId="8" borderId="0" xfId="0" applyNumberFormat="1" applyFont="1" applyFill="1"/>
    <xf numFmtId="170" fontId="121" fillId="7" borderId="0" xfId="0" applyNumberFormat="1" applyFont="1" applyFill="1"/>
    <xf numFmtId="0" fontId="79" fillId="2" borderId="81" xfId="0" applyFont="1" applyFill="1" applyBorder="1"/>
    <xf numFmtId="2" fontId="58" fillId="0" borderId="123" xfId="16" applyNumberFormat="1" applyFont="1" applyBorder="1"/>
    <xf numFmtId="175" fontId="58" fillId="0" borderId="83" xfId="21" applyNumberFormat="1" applyFont="1" applyBorder="1" applyAlignment="1">
      <alignment horizontal="right"/>
    </xf>
    <xf numFmtId="175" fontId="123" fillId="0" borderId="82" xfId="21" applyNumberFormat="1" applyFont="1" applyBorder="1"/>
    <xf numFmtId="170" fontId="76" fillId="0" borderId="112" xfId="0" applyNumberFormat="1" applyFont="1" applyBorder="1"/>
    <xf numFmtId="185" fontId="58" fillId="0" borderId="81" xfId="9871" applyNumberFormat="1" applyFont="1" applyFill="1" applyBorder="1" applyAlignment="1">
      <alignment horizontal="center"/>
    </xf>
    <xf numFmtId="185" fontId="58" fillId="0" borderId="95" xfId="9871" applyNumberFormat="1" applyFont="1" applyFill="1" applyBorder="1" applyAlignment="1">
      <alignment horizontal="center"/>
    </xf>
    <xf numFmtId="185" fontId="58" fillId="0" borderId="32" xfId="9871" applyNumberFormat="1" applyFont="1" applyFill="1" applyBorder="1" applyAlignment="1">
      <alignment horizontal="center"/>
    </xf>
    <xf numFmtId="185" fontId="58" fillId="0" borderId="82" xfId="9871" applyNumberFormat="1" applyFont="1" applyFill="1" applyBorder="1" applyAlignment="1">
      <alignment horizontal="center"/>
    </xf>
    <xf numFmtId="185" fontId="58" fillId="0" borderId="3" xfId="9871" applyNumberFormat="1" applyFont="1" applyFill="1" applyBorder="1" applyAlignment="1">
      <alignment horizontal="center"/>
    </xf>
    <xf numFmtId="0" fontId="31" fillId="11" borderId="0" xfId="9872" applyFill="1" applyAlignment="1">
      <alignment horizontal="center"/>
    </xf>
    <xf numFmtId="171" fontId="58" fillId="0" borderId="81" xfId="9944" applyNumberFormat="1" applyFont="1" applyBorder="1" applyAlignment="1">
      <alignment horizontal="center" vertical="center"/>
    </xf>
    <xf numFmtId="171" fontId="58" fillId="0" borderId="95" xfId="9944" applyNumberFormat="1" applyFont="1" applyBorder="1" applyAlignment="1">
      <alignment horizontal="center" vertical="center"/>
    </xf>
    <xf numFmtId="171" fontId="58" fillId="0" borderId="0" xfId="9944" applyNumberFormat="1" applyFont="1" applyAlignment="1">
      <alignment horizontal="center" vertical="center"/>
    </xf>
    <xf numFmtId="171" fontId="58" fillId="0" borderId="111" xfId="9944" applyNumberFormat="1" applyFont="1" applyBorder="1" applyAlignment="1">
      <alignment horizontal="center" vertical="center"/>
    </xf>
    <xf numFmtId="171" fontId="58" fillId="0" borderId="83" xfId="9944" applyNumberFormat="1" applyFont="1" applyBorder="1" applyAlignment="1">
      <alignment horizontal="center" vertical="center"/>
    </xf>
    <xf numFmtId="170" fontId="58" fillId="0" borderId="81" xfId="9944" applyNumberFormat="1" applyFont="1" applyBorder="1" applyAlignment="1">
      <alignment horizontal="center" vertical="center"/>
    </xf>
    <xf numFmtId="170" fontId="58" fillId="0" borderId="95" xfId="9944" applyNumberFormat="1" applyFont="1" applyBorder="1" applyAlignment="1">
      <alignment horizontal="center" vertical="center"/>
    </xf>
    <xf numFmtId="170" fontId="58" fillId="0" borderId="3" xfId="9944" applyNumberFormat="1" applyFont="1" applyBorder="1" applyAlignment="1">
      <alignment horizontal="center" vertical="center"/>
    </xf>
    <xf numFmtId="0" fontId="58" fillId="2" borderId="81" xfId="21" applyFont="1" applyFill="1" applyBorder="1"/>
    <xf numFmtId="0" fontId="58" fillId="2" borderId="40" xfId="21" applyFont="1" applyFill="1" applyBorder="1"/>
    <xf numFmtId="0" fontId="58" fillId="2" borderId="3" xfId="21" applyFont="1" applyFill="1" applyBorder="1"/>
    <xf numFmtId="1" fontId="71" fillId="2" borderId="92" xfId="21" quotePrefix="1" applyNumberFormat="1" applyFont="1" applyFill="1" applyBorder="1" applyAlignment="1">
      <alignment horizontal="center" vertical="center" wrapText="1"/>
    </xf>
    <xf numFmtId="1" fontId="71" fillId="2" borderId="91" xfId="21" applyNumberFormat="1" applyFont="1" applyFill="1" applyBorder="1" applyAlignment="1">
      <alignment horizontal="center" vertical="center" wrapText="1"/>
    </xf>
    <xf numFmtId="1" fontId="71" fillId="2" borderId="93" xfId="21" applyNumberFormat="1" applyFont="1" applyFill="1" applyBorder="1" applyAlignment="1">
      <alignment horizontal="center" vertical="center" wrapText="1"/>
    </xf>
    <xf numFmtId="1" fontId="71" fillId="2" borderId="121" xfId="21" applyNumberFormat="1" applyFont="1" applyFill="1" applyBorder="1" applyAlignment="1">
      <alignment horizontal="center" vertical="center" wrapText="1"/>
    </xf>
    <xf numFmtId="1" fontId="71" fillId="2" borderId="9" xfId="21" applyNumberFormat="1" applyFont="1" applyFill="1" applyBorder="1" applyAlignment="1">
      <alignment horizontal="centerContinuous" vertical="center" wrapText="1"/>
    </xf>
    <xf numFmtId="1" fontId="71" fillId="2" borderId="91" xfId="21" applyNumberFormat="1" applyFont="1" applyFill="1" applyBorder="1" applyAlignment="1">
      <alignment horizontal="centerContinuous" vertical="center" wrapText="1"/>
    </xf>
    <xf numFmtId="1" fontId="71" fillId="2" borderId="109" xfId="21" applyNumberFormat="1" applyFont="1" applyFill="1" applyBorder="1" applyAlignment="1">
      <alignment horizontal="centerContinuous" vertical="center" wrapText="1"/>
    </xf>
    <xf numFmtId="1" fontId="71" fillId="2" borderId="14" xfId="21" applyNumberFormat="1" applyFont="1" applyFill="1" applyBorder="1" applyAlignment="1">
      <alignment horizontal="centerContinuous" vertical="center" wrapText="1"/>
    </xf>
    <xf numFmtId="1" fontId="71" fillId="2" borderId="8" xfId="21" applyNumberFormat="1" applyFont="1" applyFill="1" applyBorder="1" applyAlignment="1">
      <alignment horizontal="centerContinuous" vertical="center" wrapText="1"/>
    </xf>
    <xf numFmtId="1" fontId="71" fillId="2" borderId="15" xfId="21" applyNumberFormat="1" applyFont="1" applyFill="1" applyBorder="1" applyAlignment="1">
      <alignment horizontal="centerContinuous" vertical="center" wrapText="1"/>
    </xf>
    <xf numFmtId="0" fontId="74" fillId="2" borderId="81" xfId="21" applyFont="1" applyFill="1" applyBorder="1" applyAlignment="1">
      <alignment horizontal="centerContinuous" vertical="center" wrapText="1"/>
    </xf>
    <xf numFmtId="0" fontId="74" fillId="2" borderId="0" xfId="21" applyFont="1" applyFill="1" applyAlignment="1">
      <alignment horizontal="centerContinuous" vertical="center" wrapText="1"/>
    </xf>
    <xf numFmtId="0" fontId="74" fillId="2" borderId="32" xfId="21" applyFont="1" applyFill="1" applyBorder="1" applyAlignment="1">
      <alignment horizontal="centerContinuous" vertical="center" wrapText="1"/>
    </xf>
    <xf numFmtId="0" fontId="74" fillId="2" borderId="0" xfId="21" applyFont="1" applyFill="1" applyAlignment="1">
      <alignment horizontal="centerContinuous" vertical="center"/>
    </xf>
    <xf numFmtId="0" fontId="74" fillId="2" borderId="32" xfId="21" applyFont="1" applyFill="1" applyBorder="1" applyAlignment="1">
      <alignment horizontal="centerContinuous" vertical="center"/>
    </xf>
    <xf numFmtId="1" fontId="58" fillId="2" borderId="9" xfId="21" applyNumberFormat="1" applyFont="1" applyFill="1" applyBorder="1" applyAlignment="1">
      <alignment horizontal="centerContinuous" vertical="center" wrapText="1"/>
    </xf>
    <xf numFmtId="1" fontId="58" fillId="2" borderId="91" xfId="21" applyNumberFormat="1" applyFont="1" applyFill="1" applyBorder="1" applyAlignment="1">
      <alignment horizontal="centerContinuous" vertical="center" wrapText="1"/>
    </xf>
    <xf numFmtId="1" fontId="167" fillId="77" borderId="91" xfId="21" applyNumberFormat="1" applyFont="1" applyFill="1" applyBorder="1" applyAlignment="1">
      <alignment horizontal="centerContinuous" vertical="center" wrapText="1"/>
    </xf>
    <xf numFmtId="0" fontId="167" fillId="77" borderId="91" xfId="21" applyFont="1" applyFill="1" applyBorder="1" applyAlignment="1">
      <alignment horizontal="center"/>
    </xf>
    <xf numFmtId="0" fontId="58" fillId="2" borderId="91" xfId="21" applyFont="1" applyFill="1" applyBorder="1" applyAlignment="1">
      <alignment horizontal="center"/>
    </xf>
    <xf numFmtId="0" fontId="58" fillId="2" borderId="3" xfId="21" applyFont="1" applyFill="1" applyBorder="1" applyAlignment="1">
      <alignment horizontal="center"/>
    </xf>
    <xf numFmtId="1" fontId="58" fillId="0" borderId="14" xfId="21" applyNumberFormat="1" applyFont="1" applyBorder="1" applyAlignment="1">
      <alignment horizontal="centerContinuous" vertical="center" wrapText="1"/>
    </xf>
    <xf numFmtId="1" fontId="58" fillId="0" borderId="91" xfId="21" applyNumberFormat="1" applyFont="1" applyBorder="1" applyAlignment="1">
      <alignment horizontal="centerContinuous" vertical="center" wrapText="1"/>
    </xf>
    <xf numFmtId="1" fontId="58" fillId="0" borderId="93" xfId="21" applyNumberFormat="1" applyFont="1" applyBorder="1" applyAlignment="1">
      <alignment horizontal="centerContinuous" vertical="center" wrapText="1"/>
    </xf>
    <xf numFmtId="1" fontId="58" fillId="0" borderId="9" xfId="21" applyNumberFormat="1" applyFont="1" applyBorder="1" applyAlignment="1">
      <alignment horizontal="centerContinuous" vertical="center" wrapText="1"/>
    </xf>
    <xf numFmtId="1" fontId="58" fillId="11" borderId="91" xfId="21" applyNumberFormat="1" applyFont="1" applyFill="1" applyBorder="1" applyAlignment="1">
      <alignment horizontal="centerContinuous" vertical="center" wrapText="1"/>
    </xf>
    <xf numFmtId="1" fontId="58" fillId="0" borderId="109" xfId="21" applyNumberFormat="1" applyFont="1" applyBorder="1" applyAlignment="1">
      <alignment horizontal="centerContinuous" vertical="center" wrapText="1"/>
    </xf>
    <xf numFmtId="0" fontId="58" fillId="2" borderId="32" xfId="21" applyFont="1" applyFill="1" applyBorder="1"/>
    <xf numFmtId="0" fontId="58" fillId="2" borderId="14" xfId="21" applyFont="1" applyFill="1" applyBorder="1" applyAlignment="1">
      <alignment horizontal="centerContinuous" vertical="center" wrapText="1"/>
    </xf>
    <xf numFmtId="0" fontId="58" fillId="2" borderId="91" xfId="21" applyFont="1" applyFill="1" applyBorder="1" applyAlignment="1">
      <alignment horizontal="center" vertical="center" wrapText="1"/>
    </xf>
    <xf numFmtId="0" fontId="58" fillId="2" borderId="93" xfId="21" applyFont="1" applyFill="1" applyBorder="1" applyAlignment="1">
      <alignment horizontal="center" vertical="center" wrapText="1"/>
    </xf>
    <xf numFmtId="0" fontId="58" fillId="2" borderId="121" xfId="21" applyFont="1" applyFill="1" applyBorder="1" applyAlignment="1">
      <alignment horizontal="center" vertical="center" wrapText="1"/>
    </xf>
    <xf numFmtId="0" fontId="58" fillId="2" borderId="9" xfId="21" applyFont="1" applyFill="1" applyBorder="1" applyAlignment="1">
      <alignment horizontal="centerContinuous" vertical="center" wrapText="1"/>
    </xf>
    <xf numFmtId="0" fontId="58" fillId="2" borderId="109" xfId="21" applyFont="1" applyFill="1" applyBorder="1" applyAlignment="1">
      <alignment horizontal="center" vertical="center" wrapText="1"/>
    </xf>
    <xf numFmtId="0" fontId="71" fillId="2" borderId="14" xfId="21" applyFont="1" applyFill="1" applyBorder="1" applyAlignment="1">
      <alignment horizontal="center" vertical="center" wrapText="1"/>
    </xf>
    <xf numFmtId="0" fontId="71" fillId="2" borderId="91" xfId="21" applyFont="1" applyFill="1" applyBorder="1" applyAlignment="1">
      <alignment horizontal="center" vertical="center" wrapText="1"/>
    </xf>
    <xf numFmtId="0" fontId="71" fillId="2" borderId="93" xfId="21" applyFont="1" applyFill="1" applyBorder="1" applyAlignment="1">
      <alignment horizontal="center" vertical="center" wrapText="1"/>
    </xf>
    <xf numFmtId="0" fontId="71" fillId="2" borderId="121" xfId="21" applyFont="1" applyFill="1" applyBorder="1" applyAlignment="1">
      <alignment horizontal="center" vertical="center" wrapText="1"/>
    </xf>
    <xf numFmtId="0" fontId="71" fillId="2" borderId="109" xfId="21" applyFont="1" applyFill="1" applyBorder="1" applyAlignment="1">
      <alignment horizontal="center" vertical="center" wrapText="1"/>
    </xf>
    <xf numFmtId="0" fontId="185" fillId="2" borderId="14" xfId="21" applyFont="1" applyFill="1" applyBorder="1" applyAlignment="1">
      <alignment horizontal="center" vertical="center" wrapText="1"/>
    </xf>
    <xf numFmtId="0" fontId="185" fillId="2" borderId="91" xfId="21" applyFont="1" applyFill="1" applyBorder="1" applyAlignment="1">
      <alignment horizontal="center" vertical="center" wrapText="1"/>
    </xf>
    <xf numFmtId="0" fontId="185" fillId="2" borderId="93" xfId="21" applyFont="1" applyFill="1" applyBorder="1" applyAlignment="1">
      <alignment horizontal="center" vertical="center" wrapText="1"/>
    </xf>
    <xf numFmtId="0" fontId="185" fillId="2" borderId="121" xfId="21" applyFont="1" applyFill="1" applyBorder="1" applyAlignment="1">
      <alignment horizontal="center" vertical="center" wrapText="1"/>
    </xf>
    <xf numFmtId="0" fontId="185" fillId="2" borderId="109" xfId="21" applyFont="1" applyFill="1" applyBorder="1" applyAlignment="1">
      <alignment horizontal="center" vertical="center" wrapText="1"/>
    </xf>
    <xf numFmtId="170" fontId="121" fillId="7" borderId="125" xfId="21" applyNumberFormat="1" applyFont="1" applyFill="1" applyBorder="1"/>
    <xf numFmtId="170" fontId="121" fillId="7" borderId="95" xfId="21" applyNumberFormat="1" applyFont="1" applyFill="1" applyBorder="1"/>
    <xf numFmtId="170" fontId="121" fillId="7" borderId="112" xfId="21" applyNumberFormat="1" applyFont="1" applyFill="1" applyBorder="1"/>
    <xf numFmtId="170" fontId="58" fillId="0" borderId="125" xfId="21" applyNumberFormat="1" applyFont="1" applyBorder="1"/>
    <xf numFmtId="170" fontId="58" fillId="0" borderId="95" xfId="21" applyNumberFormat="1" applyFont="1" applyBorder="1"/>
    <xf numFmtId="170" fontId="58" fillId="0" borderId="112" xfId="21" applyNumberFormat="1" applyFont="1" applyBorder="1"/>
    <xf numFmtId="170" fontId="176" fillId="7" borderId="81" xfId="21" applyNumberFormat="1" applyFont="1" applyFill="1" applyBorder="1"/>
    <xf numFmtId="170" fontId="176" fillId="7" borderId="95" xfId="21" applyNumberFormat="1" applyFont="1" applyFill="1" applyBorder="1"/>
    <xf numFmtId="170" fontId="243" fillId="7" borderId="134" xfId="21" applyNumberFormat="1" applyFont="1" applyFill="1" applyBorder="1"/>
    <xf numFmtId="170" fontId="176" fillId="7" borderId="124" xfId="21" applyNumberFormat="1" applyFont="1" applyFill="1" applyBorder="1"/>
    <xf numFmtId="170" fontId="176" fillId="7" borderId="125" xfId="21" applyNumberFormat="1" applyFont="1" applyFill="1" applyBorder="1"/>
    <xf numFmtId="170" fontId="176" fillId="7" borderId="111" xfId="21" applyNumberFormat="1" applyFont="1" applyFill="1" applyBorder="1"/>
    <xf numFmtId="170" fontId="98" fillId="0" borderId="81" xfId="21" applyNumberFormat="1" applyFont="1" applyBorder="1"/>
    <xf numFmtId="170" fontId="98" fillId="0" borderId="95" xfId="21" applyNumberFormat="1" applyFont="1" applyBorder="1"/>
    <xf numFmtId="170" fontId="244" fillId="0" borderId="111" xfId="21" applyNumberFormat="1" applyFont="1" applyBorder="1"/>
    <xf numFmtId="170" fontId="98" fillId="0" borderId="125" xfId="21" applyNumberFormat="1" applyFont="1" applyBorder="1"/>
    <xf numFmtId="170" fontId="98" fillId="0" borderId="111" xfId="21" applyNumberFormat="1" applyFont="1" applyBorder="1"/>
    <xf numFmtId="170" fontId="214" fillId="0" borderId="81" xfId="21" applyNumberFormat="1" applyFont="1" applyBorder="1"/>
    <xf numFmtId="170" fontId="214" fillId="0" borderId="95" xfId="21" applyNumberFormat="1" applyFont="1" applyBorder="1"/>
    <xf numFmtId="170" fontId="214" fillId="0" borderId="125" xfId="21" applyNumberFormat="1" applyFont="1" applyBorder="1"/>
    <xf numFmtId="170" fontId="214" fillId="0" borderId="111" xfId="21" applyNumberFormat="1" applyFont="1" applyBorder="1"/>
    <xf numFmtId="170" fontId="92" fillId="8" borderId="95" xfId="0" applyNumberFormat="1" applyFont="1" applyFill="1" applyBorder="1"/>
    <xf numFmtId="170" fontId="92" fillId="8" borderId="0" xfId="0" applyNumberFormat="1" applyFont="1" applyFill="1"/>
    <xf numFmtId="0" fontId="57" fillId="8" borderId="83" xfId="0" applyFont="1" applyFill="1" applyBorder="1"/>
    <xf numFmtId="0" fontId="71" fillId="8" borderId="36" xfId="21" applyFont="1" applyFill="1" applyBorder="1" applyAlignment="1">
      <alignment horizontal="center" vertical="center" wrapText="1"/>
    </xf>
    <xf numFmtId="0" fontId="71" fillId="8" borderId="94" xfId="21" applyFont="1" applyFill="1" applyBorder="1" applyAlignment="1">
      <alignment horizontal="center" vertical="center" wrapText="1"/>
    </xf>
    <xf numFmtId="0" fontId="71" fillId="8" borderId="141" xfId="21" applyFont="1" applyFill="1" applyBorder="1" applyAlignment="1">
      <alignment horizontal="center" vertical="center" wrapText="1"/>
    </xf>
    <xf numFmtId="0" fontId="71" fillId="8" borderId="126" xfId="21" applyFont="1" applyFill="1" applyBorder="1" applyAlignment="1">
      <alignment horizontal="center" vertical="center" wrapText="1"/>
    </xf>
    <xf numFmtId="0" fontId="71" fillId="8" borderId="2" xfId="21" applyFont="1" applyFill="1" applyBorder="1" applyAlignment="1">
      <alignment horizontal="center" vertical="center" wrapText="1"/>
    </xf>
    <xf numFmtId="0" fontId="71" fillId="8" borderId="95" xfId="21" applyFont="1" applyFill="1" applyBorder="1" applyAlignment="1">
      <alignment horizontal="center" vertical="center" wrapText="1"/>
    </xf>
    <xf numFmtId="0" fontId="71" fillId="8" borderId="111" xfId="21" applyFont="1" applyFill="1" applyBorder="1" applyAlignment="1">
      <alignment horizontal="center" vertical="center" wrapText="1"/>
    </xf>
    <xf numFmtId="0" fontId="71" fillId="8" borderId="125" xfId="21" applyFont="1" applyFill="1" applyBorder="1" applyAlignment="1">
      <alignment horizontal="center" vertical="center" wrapText="1"/>
    </xf>
    <xf numFmtId="0" fontId="71" fillId="8" borderId="81" xfId="21" applyFont="1" applyFill="1" applyBorder="1" applyAlignment="1">
      <alignment horizontal="center" vertical="center" wrapText="1"/>
    </xf>
    <xf numFmtId="0" fontId="71" fillId="8" borderId="114" xfId="21" applyFont="1" applyFill="1" applyBorder="1" applyAlignment="1">
      <alignment horizontal="center" vertical="center" wrapText="1"/>
    </xf>
    <xf numFmtId="0" fontId="71" fillId="8" borderId="112" xfId="21" applyFont="1" applyFill="1" applyBorder="1" applyAlignment="1">
      <alignment horizontal="center" vertical="center" wrapText="1"/>
    </xf>
    <xf numFmtId="0" fontId="58" fillId="0" borderId="161" xfId="0" applyFont="1" applyBorder="1" applyAlignment="1">
      <alignment horizontal="centerContinuous" vertical="center" wrapText="1"/>
    </xf>
    <xf numFmtId="0" fontId="58" fillId="0" borderId="162" xfId="0" applyFont="1" applyBorder="1" applyAlignment="1">
      <alignment horizontal="centerContinuous" vertical="center" wrapText="1"/>
    </xf>
    <xf numFmtId="0" fontId="58" fillId="0" borderId="163" xfId="0" applyFont="1" applyBorder="1" applyAlignment="1">
      <alignment horizontal="centerContinuous" vertical="center" wrapText="1"/>
    </xf>
    <xf numFmtId="0" fontId="71" fillId="2" borderId="179" xfId="0" quotePrefix="1" applyFont="1" applyFill="1" applyBorder="1" applyAlignment="1">
      <alignment horizontal="center" vertical="center" wrapText="1"/>
    </xf>
    <xf numFmtId="0" fontId="71" fillId="2" borderId="180" xfId="0" applyFont="1" applyFill="1" applyBorder="1" applyAlignment="1">
      <alignment horizontal="center" vertical="center" wrapText="1"/>
    </xf>
    <xf numFmtId="0" fontId="71" fillId="2" borderId="181" xfId="0" applyFont="1" applyFill="1" applyBorder="1" applyAlignment="1">
      <alignment horizontal="center" vertical="center" wrapText="1"/>
    </xf>
    <xf numFmtId="170" fontId="92" fillId="8" borderId="148" xfId="0" applyNumberFormat="1" applyFont="1" applyFill="1" applyBorder="1"/>
    <xf numFmtId="170" fontId="99" fillId="8" borderId="123" xfId="0" applyNumberFormat="1" applyFont="1" applyFill="1" applyBorder="1"/>
    <xf numFmtId="170" fontId="58" fillId="8" borderId="123" xfId="0" applyNumberFormat="1" applyFont="1" applyFill="1" applyBorder="1"/>
    <xf numFmtId="3" fontId="53" fillId="2" borderId="0" xfId="0" applyNumberFormat="1" applyFont="1" applyFill="1"/>
    <xf numFmtId="170" fontId="99" fillId="0" borderId="125" xfId="0" applyNumberFormat="1" applyFont="1" applyBorder="1"/>
    <xf numFmtId="175" fontId="123" fillId="0" borderId="123" xfId="0" applyNumberFormat="1" applyFont="1" applyBorder="1" applyAlignment="1">
      <alignment horizontal="right"/>
    </xf>
    <xf numFmtId="175" fontId="123" fillId="0" borderId="123" xfId="0" applyNumberFormat="1" applyFont="1" applyBorder="1" applyAlignment="1">
      <alignment horizontal="center"/>
    </xf>
    <xf numFmtId="170" fontId="162" fillId="7" borderId="124" xfId="0" applyNumberFormat="1" applyFont="1" applyFill="1" applyBorder="1"/>
    <xf numFmtId="3" fontId="92" fillId="4" borderId="151" xfId="0" applyNumberFormat="1" applyFont="1" applyFill="1" applyBorder="1"/>
    <xf numFmtId="171" fontId="107" fillId="8" borderId="22" xfId="0" applyNumberFormat="1" applyFont="1" applyFill="1" applyBorder="1"/>
    <xf numFmtId="0" fontId="76" fillId="0" borderId="30" xfId="0" applyFont="1" applyBorder="1" applyAlignment="1">
      <alignment horizontal="center" vertical="center" wrapText="1"/>
    </xf>
    <xf numFmtId="0" fontId="76" fillId="2" borderId="127" xfId="0" applyFont="1" applyFill="1" applyBorder="1" applyAlignment="1">
      <alignment horizontal="center" vertical="center" wrapText="1"/>
    </xf>
    <xf numFmtId="0" fontId="76" fillId="0" borderId="37" xfId="0" quotePrefix="1" applyFont="1" applyBorder="1" applyAlignment="1">
      <alignment horizontal="center" vertical="center" wrapText="1"/>
    </xf>
    <xf numFmtId="0" fontId="123" fillId="0" borderId="37" xfId="0" quotePrefix="1" applyFont="1" applyBorder="1" applyAlignment="1">
      <alignment horizontal="center" vertical="center" wrapText="1"/>
    </xf>
    <xf numFmtId="0" fontId="123" fillId="0" borderId="45" xfId="0" applyFont="1" applyBorder="1" applyAlignment="1">
      <alignment horizontal="center" vertical="center" wrapText="1"/>
    </xf>
    <xf numFmtId="0" fontId="79" fillId="2" borderId="32" xfId="0" applyFont="1" applyFill="1" applyBorder="1"/>
    <xf numFmtId="170" fontId="245" fillId="0" borderId="95" xfId="0" applyNumberFormat="1" applyFont="1" applyBorder="1"/>
    <xf numFmtId="170" fontId="245" fillId="0" borderId="0" xfId="0" applyNumberFormat="1" applyFont="1"/>
    <xf numFmtId="170" fontId="245" fillId="0" borderId="81" xfId="0" applyNumberFormat="1" applyFont="1" applyBorder="1"/>
    <xf numFmtId="171" fontId="246" fillId="0" borderId="81" xfId="0" applyNumberFormat="1" applyFont="1" applyBorder="1"/>
    <xf numFmtId="171" fontId="246" fillId="0" borderId="95" xfId="0" applyNumberFormat="1" applyFont="1" applyBorder="1"/>
    <xf numFmtId="175" fontId="58" fillId="79" borderId="95" xfId="21" applyNumberFormat="1" applyFont="1" applyFill="1" applyBorder="1"/>
    <xf numFmtId="175" fontId="58" fillId="78" borderId="134" xfId="21" applyNumberFormat="1" applyFont="1" applyFill="1" applyBorder="1" applyAlignment="1">
      <alignment horizontal="right"/>
    </xf>
    <xf numFmtId="175" fontId="58" fillId="0" borderId="123" xfId="21" applyNumberFormat="1" applyFont="1" applyBorder="1" applyAlignment="1">
      <alignment horizontal="right"/>
    </xf>
    <xf numFmtId="175" fontId="58" fillId="0" borderId="0" xfId="21" applyNumberFormat="1" applyFont="1" applyAlignment="1">
      <alignment horizontal="right"/>
    </xf>
    <xf numFmtId="175" fontId="58" fillId="0" borderId="95" xfId="21" applyNumberFormat="1" applyFont="1" applyBorder="1" applyAlignment="1">
      <alignment horizontal="right"/>
    </xf>
    <xf numFmtId="175" fontId="58" fillId="0" borderId="134" xfId="21" applyNumberFormat="1" applyFont="1" applyBorder="1" applyAlignment="1">
      <alignment horizontal="right"/>
    </xf>
    <xf numFmtId="175" fontId="98" fillId="0" borderId="95" xfId="21" applyNumberFormat="1" applyFont="1" applyBorder="1"/>
    <xf numFmtId="175" fontId="58" fillId="0" borderId="0" xfId="21" applyNumberFormat="1" applyFont="1" applyAlignment="1">
      <alignment horizontal="center"/>
    </xf>
    <xf numFmtId="175" fontId="58" fillId="0" borderId="0" xfId="21" quotePrefix="1" applyNumberFormat="1" applyFont="1" applyAlignment="1">
      <alignment horizontal="center"/>
    </xf>
    <xf numFmtId="0" fontId="58" fillId="0" borderId="91" xfId="21" applyFont="1" applyBorder="1" applyAlignment="1">
      <alignment horizontal="center" vertical="center" wrapText="1"/>
    </xf>
    <xf numFmtId="0" fontId="58" fillId="0" borderId="93" xfId="21" applyFont="1" applyBorder="1" applyAlignment="1">
      <alignment horizontal="center" vertical="center" wrapText="1"/>
    </xf>
    <xf numFmtId="175" fontId="98" fillId="0" borderId="0" xfId="21" applyNumberFormat="1" applyFont="1"/>
    <xf numFmtId="175" fontId="98" fillId="0" borderId="123" xfId="21" applyNumberFormat="1" applyFont="1" applyBorder="1"/>
    <xf numFmtId="175" fontId="58" fillId="0" borderId="134" xfId="21" quotePrefix="1" applyNumberFormat="1" applyFont="1" applyBorder="1" applyAlignment="1">
      <alignment horizontal="center"/>
    </xf>
    <xf numFmtId="170" fontId="92" fillId="4" borderId="81" xfId="21" applyNumberFormat="1" applyFont="1" applyFill="1" applyBorder="1" applyAlignment="1">
      <alignment horizontal="center"/>
    </xf>
    <xf numFmtId="171" fontId="58" fillId="12" borderId="125" xfId="0" applyNumberFormat="1" applyFont="1" applyFill="1" applyBorder="1"/>
    <xf numFmtId="171" fontId="58" fillId="12" borderId="32" xfId="0" applyNumberFormat="1" applyFont="1" applyFill="1" applyBorder="1"/>
    <xf numFmtId="171" fontId="58" fillId="12" borderId="123" xfId="0" applyNumberFormat="1" applyFont="1" applyFill="1" applyBorder="1"/>
    <xf numFmtId="0" fontId="248" fillId="0" borderId="2" xfId="0" applyFont="1" applyBorder="1" applyAlignment="1">
      <alignment vertical="top"/>
    </xf>
    <xf numFmtId="0" fontId="247" fillId="2" borderId="2" xfId="0" applyFont="1" applyFill="1" applyBorder="1" applyAlignment="1">
      <alignment horizontal="left"/>
    </xf>
    <xf numFmtId="0" fontId="247" fillId="2" borderId="0" xfId="0" applyFont="1" applyFill="1" applyAlignment="1">
      <alignment horizontal="left"/>
    </xf>
    <xf numFmtId="170" fontId="125" fillId="4" borderId="64" xfId="0" applyNumberFormat="1" applyFont="1" applyFill="1" applyBorder="1"/>
    <xf numFmtId="1" fontId="92" fillId="3" borderId="182" xfId="12405" applyNumberFormat="1" applyFont="1" applyFill="1" applyBorder="1" applyAlignment="1" applyProtection="1">
      <alignment horizontal="center" vertical="center" wrapText="1"/>
    </xf>
    <xf numFmtId="0" fontId="53" fillId="2" borderId="0" xfId="12413" applyFont="1" applyFill="1"/>
    <xf numFmtId="0" fontId="71" fillId="2" borderId="7" xfId="12413" applyFont="1" applyFill="1" applyBorder="1" applyAlignment="1">
      <alignment horizontal="centerContinuous" vertical="center" wrapText="1"/>
    </xf>
    <xf numFmtId="0" fontId="71" fillId="2" borderId="9" xfId="12413" applyFont="1" applyFill="1" applyBorder="1" applyAlignment="1">
      <alignment horizontal="centerContinuous" vertical="center" wrapText="1"/>
    </xf>
    <xf numFmtId="0" fontId="71" fillId="2" borderId="42" xfId="12413" applyFont="1" applyFill="1" applyBorder="1" applyAlignment="1">
      <alignment horizontal="centerContinuous" vertical="center" wrapText="1"/>
    </xf>
    <xf numFmtId="0" fontId="74" fillId="2" borderId="7" xfId="12413" applyFont="1" applyFill="1" applyBorder="1" applyAlignment="1">
      <alignment horizontal="centerContinuous" vertical="center" wrapText="1"/>
    </xf>
    <xf numFmtId="0" fontId="74" fillId="2" borderId="9" xfId="12413" applyFont="1" applyFill="1" applyBorder="1" applyAlignment="1">
      <alignment horizontal="centerContinuous" vertical="center" wrapText="1"/>
    </xf>
    <xf numFmtId="0" fontId="74" fillId="2" borderId="42" xfId="12413" applyFont="1" applyFill="1" applyBorder="1" applyAlignment="1">
      <alignment horizontal="centerContinuous" vertical="center" wrapText="1"/>
    </xf>
    <xf numFmtId="0" fontId="74" fillId="2" borderId="182" xfId="12413" applyFont="1" applyFill="1" applyBorder="1" applyAlignment="1">
      <alignment horizontal="centerContinuous" vertical="center" wrapText="1"/>
    </xf>
    <xf numFmtId="0" fontId="74" fillId="2" borderId="13" xfId="12413" applyFont="1" applyFill="1" applyBorder="1" applyAlignment="1">
      <alignment horizontal="centerContinuous" vertical="center" wrapText="1"/>
    </xf>
    <xf numFmtId="1" fontId="92" fillId="4" borderId="182" xfId="12405" applyNumberFormat="1" applyFont="1" applyFill="1" applyBorder="1" applyAlignment="1" applyProtection="1">
      <alignment horizontal="center" vertical="center" wrapText="1"/>
    </xf>
    <xf numFmtId="170" fontId="71" fillId="2" borderId="7" xfId="12413" applyNumberFormat="1" applyFont="1" applyFill="1" applyBorder="1" applyAlignment="1">
      <alignment horizontal="center" vertical="center" wrapText="1"/>
    </xf>
    <xf numFmtId="170" fontId="71" fillId="2" borderId="9" xfId="12413" applyNumberFormat="1" applyFont="1" applyFill="1" applyBorder="1" applyAlignment="1">
      <alignment horizontal="center" vertical="center" wrapText="1"/>
    </xf>
    <xf numFmtId="170" fontId="71" fillId="2" borderId="182" xfId="12413" applyNumberFormat="1" applyFont="1" applyFill="1" applyBorder="1" applyAlignment="1">
      <alignment horizontal="center" vertical="center" wrapText="1"/>
    </xf>
    <xf numFmtId="0" fontId="71" fillId="2" borderId="13" xfId="12413" applyFont="1" applyFill="1" applyBorder="1" applyAlignment="1">
      <alignment horizontal="centerContinuous" vertical="center" wrapText="1"/>
    </xf>
    <xf numFmtId="0" fontId="73" fillId="2" borderId="9" xfId="12413" applyFont="1" applyFill="1" applyBorder="1" applyAlignment="1">
      <alignment horizontal="centerContinuous" vertical="center" wrapText="1"/>
    </xf>
    <xf numFmtId="0" fontId="71" fillId="2" borderId="182" xfId="12413" applyFont="1" applyFill="1" applyBorder="1" applyAlignment="1">
      <alignment horizontal="centerContinuous" vertical="center" wrapText="1"/>
    </xf>
    <xf numFmtId="0" fontId="73" fillId="2" borderId="42" xfId="12413" applyFont="1" applyFill="1" applyBorder="1" applyAlignment="1">
      <alignment horizontal="centerContinuous" vertical="center" wrapText="1"/>
    </xf>
    <xf numFmtId="0" fontId="73" fillId="2" borderId="13" xfId="12413" applyFont="1" applyFill="1" applyBorder="1" applyAlignment="1">
      <alignment horizontal="centerContinuous" vertical="center" wrapText="1"/>
    </xf>
    <xf numFmtId="0" fontId="58" fillId="2" borderId="7" xfId="12413" applyFont="1" applyFill="1" applyBorder="1" applyAlignment="1">
      <alignment horizontal="centerContinuous" vertical="center" wrapText="1"/>
    </xf>
    <xf numFmtId="0" fontId="75" fillId="2" borderId="9" xfId="12413" applyFont="1" applyFill="1" applyBorder="1" applyAlignment="1">
      <alignment horizontal="centerContinuous" vertical="center" wrapText="1"/>
    </xf>
    <xf numFmtId="0" fontId="58" fillId="2" borderId="182" xfId="12413" applyFont="1" applyFill="1" applyBorder="1" applyAlignment="1">
      <alignment horizontal="centerContinuous" vertical="center" wrapText="1"/>
    </xf>
    <xf numFmtId="0" fontId="75" fillId="2" borderId="42" xfId="12413" applyFont="1" applyFill="1" applyBorder="1" applyAlignment="1">
      <alignment horizontal="centerContinuous" vertical="center" wrapText="1"/>
    </xf>
    <xf numFmtId="0" fontId="75" fillId="2" borderId="13" xfId="12413" applyFont="1" applyFill="1" applyBorder="1" applyAlignment="1">
      <alignment horizontal="centerContinuous" vertical="center" wrapText="1"/>
    </xf>
    <xf numFmtId="0" fontId="75" fillId="2" borderId="182" xfId="12413" applyFont="1" applyFill="1" applyBorder="1" applyAlignment="1">
      <alignment horizontal="center" vertical="center"/>
    </xf>
    <xf numFmtId="0" fontId="75" fillId="2" borderId="91" xfId="12413" applyFont="1" applyFill="1" applyBorder="1" applyAlignment="1">
      <alignment horizontal="center" vertical="center"/>
    </xf>
    <xf numFmtId="0" fontId="75" fillId="2" borderId="9" xfId="12413" applyFont="1" applyFill="1" applyBorder="1" applyAlignment="1">
      <alignment horizontal="center" vertical="center"/>
    </xf>
    <xf numFmtId="0" fontId="75" fillId="2" borderId="42" xfId="12413" applyFont="1" applyFill="1" applyBorder="1" applyAlignment="1">
      <alignment horizontal="center" vertical="center"/>
    </xf>
    <xf numFmtId="0" fontId="75" fillId="2" borderId="13" xfId="12413" applyFont="1" applyFill="1" applyBorder="1" applyAlignment="1">
      <alignment horizontal="center" vertical="center"/>
    </xf>
    <xf numFmtId="1" fontId="92" fillId="3" borderId="6" xfId="12405" applyNumberFormat="1" applyFont="1" applyFill="1" applyBorder="1" applyAlignment="1" applyProtection="1">
      <alignment horizontal="center" vertical="center" wrapText="1"/>
    </xf>
    <xf numFmtId="0" fontId="71" fillId="2" borderId="41" xfId="12413" applyFont="1" applyFill="1" applyBorder="1" applyAlignment="1">
      <alignment horizontal="center" vertical="center" wrapText="1"/>
    </xf>
    <xf numFmtId="0" fontId="71" fillId="2" borderId="120" xfId="12413" applyFont="1" applyFill="1" applyBorder="1" applyAlignment="1">
      <alignment horizontal="center" vertical="center" wrapText="1"/>
    </xf>
    <xf numFmtId="0" fontId="71" fillId="2" borderId="38" xfId="12413" applyFont="1" applyFill="1" applyBorder="1" applyAlignment="1">
      <alignment horizontal="center" vertical="center" wrapText="1"/>
    </xf>
    <xf numFmtId="0" fontId="71" fillId="2" borderId="37" xfId="12413" applyFont="1" applyFill="1" applyBorder="1" applyAlignment="1">
      <alignment horizontal="center" vertical="center" wrapText="1"/>
    </xf>
    <xf numFmtId="0" fontId="71" fillId="2" borderId="39" xfId="12413" applyFont="1" applyFill="1" applyBorder="1" applyAlignment="1">
      <alignment horizontal="center" vertical="center" wrapText="1"/>
    </xf>
    <xf numFmtId="0" fontId="109" fillId="0" borderId="3" xfId="12413" applyFont="1" applyBorder="1" applyAlignment="1">
      <alignment horizontal="center"/>
    </xf>
    <xf numFmtId="170" fontId="92" fillId="4" borderId="52" xfId="12413" applyNumberFormat="1" applyFont="1" applyFill="1" applyBorder="1"/>
    <xf numFmtId="170" fontId="92" fillId="4" borderId="115" xfId="12413" applyNumberFormat="1" applyFont="1" applyFill="1" applyBorder="1"/>
    <xf numFmtId="170" fontId="92" fillId="4" borderId="57" xfId="12413" applyNumberFormat="1" applyFont="1" applyFill="1" applyBorder="1"/>
    <xf numFmtId="170" fontId="58" fillId="5" borderId="31" xfId="12413" applyNumberFormat="1" applyFont="1" applyFill="1" applyBorder="1"/>
    <xf numFmtId="170" fontId="92" fillId="4" borderId="23" xfId="12413" applyNumberFormat="1" applyFont="1" applyFill="1" applyBorder="1"/>
    <xf numFmtId="170" fontId="58" fillId="5" borderId="0" xfId="12413" applyNumberFormat="1" applyFont="1" applyFill="1"/>
    <xf numFmtId="170" fontId="79" fillId="5" borderId="0" xfId="12413" applyNumberFormat="1" applyFont="1" applyFill="1"/>
    <xf numFmtId="170" fontId="92" fillId="4" borderId="81" xfId="12413" applyNumberFormat="1" applyFont="1" applyFill="1" applyBorder="1"/>
    <xf numFmtId="170" fontId="79" fillId="5" borderId="18" xfId="12413" applyNumberFormat="1" applyFont="1" applyFill="1" applyBorder="1"/>
    <xf numFmtId="170" fontId="58" fillId="0" borderId="2" xfId="12413" applyNumberFormat="1" applyFont="1" applyBorder="1"/>
    <xf numFmtId="170" fontId="58" fillId="0" borderId="95" xfId="12413" applyNumberFormat="1" applyFont="1" applyBorder="1"/>
    <xf numFmtId="170" fontId="58" fillId="0" borderId="0" xfId="12413" applyNumberFormat="1" applyFont="1"/>
    <xf numFmtId="170" fontId="58" fillId="5" borderId="32" xfId="12413" applyNumberFormat="1" applyFont="1" applyFill="1" applyBorder="1"/>
    <xf numFmtId="170" fontId="58" fillId="0" borderId="81" xfId="12413" applyNumberFormat="1" applyFont="1" applyBorder="1"/>
    <xf numFmtId="170" fontId="123" fillId="0" borderId="81" xfId="12413" applyNumberFormat="1" applyFont="1" applyBorder="1"/>
    <xf numFmtId="170" fontId="123" fillId="0" borderId="95" xfId="12413" applyNumberFormat="1" applyFont="1" applyBorder="1"/>
    <xf numFmtId="170" fontId="123" fillId="0" borderId="0" xfId="12413" applyNumberFormat="1" applyFont="1"/>
    <xf numFmtId="170" fontId="79" fillId="5" borderId="3" xfId="12413" applyNumberFormat="1" applyFont="1" applyFill="1" applyBorder="1"/>
    <xf numFmtId="0" fontId="71" fillId="0" borderId="3" xfId="12413" applyFont="1" applyBorder="1" applyAlignment="1">
      <alignment horizontal="center"/>
    </xf>
    <xf numFmtId="170" fontId="92" fillId="4" borderId="32" xfId="12413" applyNumberFormat="1" applyFont="1" applyFill="1" applyBorder="1"/>
    <xf numFmtId="170" fontId="58" fillId="5" borderId="3" xfId="12413" applyNumberFormat="1" applyFont="1" applyFill="1" applyBorder="1"/>
    <xf numFmtId="0" fontId="58" fillId="0" borderId="3" xfId="12413" applyFont="1" applyBorder="1" applyAlignment="1">
      <alignment horizontal="center"/>
    </xf>
    <xf numFmtId="170" fontId="58" fillId="0" borderId="32" xfId="12413" applyNumberFormat="1" applyFont="1" applyBorder="1"/>
    <xf numFmtId="0" fontId="53" fillId="11" borderId="0" xfId="12413" applyFont="1" applyFill="1"/>
    <xf numFmtId="170" fontId="58" fillId="0" borderId="3" xfId="12413" applyNumberFormat="1" applyFont="1" applyBorder="1"/>
    <xf numFmtId="0" fontId="58" fillId="2" borderId="0" xfId="12413" applyFont="1" applyFill="1"/>
    <xf numFmtId="0" fontId="58" fillId="2" borderId="0" xfId="12413" applyFont="1" applyFill="1" applyAlignment="1">
      <alignment horizontal="centerContinuous" vertical="center" wrapText="1"/>
    </xf>
    <xf numFmtId="0" fontId="71" fillId="2" borderId="0" xfId="12413" applyFont="1" applyFill="1" applyAlignment="1">
      <alignment horizontal="centerContinuous" vertical="center" wrapText="1"/>
    </xf>
    <xf numFmtId="0" fontId="71" fillId="2" borderId="32" xfId="12413" applyFont="1" applyFill="1" applyBorder="1" applyAlignment="1">
      <alignment horizontal="centerContinuous" vertical="center" wrapText="1"/>
    </xf>
    <xf numFmtId="0" fontId="58" fillId="2" borderId="81" xfId="12413" applyFont="1" applyFill="1" applyBorder="1" applyAlignment="1">
      <alignment horizontal="centerContinuous" vertical="center" wrapText="1"/>
    </xf>
    <xf numFmtId="0" fontId="71" fillId="2" borderId="3" xfId="12413" applyFont="1" applyFill="1" applyBorder="1" applyAlignment="1">
      <alignment horizontal="centerContinuous" vertical="center" wrapText="1"/>
    </xf>
    <xf numFmtId="0" fontId="53" fillId="2" borderId="0" xfId="12413" applyFont="1" applyFill="1" applyAlignment="1">
      <alignment vertical="center" wrapText="1"/>
    </xf>
    <xf numFmtId="0" fontId="237" fillId="2" borderId="7" xfId="12413" applyFont="1" applyFill="1" applyBorder="1" applyAlignment="1">
      <alignment horizontal="centerContinuous" vertical="center" wrapText="1"/>
    </xf>
    <xf numFmtId="0" fontId="237" fillId="2" borderId="91" xfId="12413" applyFont="1" applyFill="1" applyBorder="1" applyAlignment="1">
      <alignment horizontal="centerContinuous" vertical="center" wrapText="1"/>
    </xf>
    <xf numFmtId="0" fontId="237" fillId="2" borderId="9" xfId="12413" quotePrefix="1" applyFont="1" applyFill="1" applyBorder="1" applyAlignment="1">
      <alignment horizontal="center" vertical="center" wrapText="1"/>
    </xf>
    <xf numFmtId="0" fontId="237" fillId="2" borderId="91" xfId="12413" applyFont="1" applyFill="1" applyBorder="1" applyAlignment="1">
      <alignment horizontal="center" vertical="center" textRotation="90" wrapText="1"/>
    </xf>
    <xf numFmtId="0" fontId="237" fillId="2" borderId="93" xfId="12413" quotePrefix="1" applyFont="1" applyFill="1" applyBorder="1" applyAlignment="1">
      <alignment horizontal="center" vertical="center" wrapText="1"/>
    </xf>
    <xf numFmtId="0" fontId="237" fillId="2" borderId="182" xfId="12413" applyFont="1" applyFill="1" applyBorder="1" applyAlignment="1">
      <alignment horizontal="centerContinuous" vertical="center" wrapText="1"/>
    </xf>
    <xf numFmtId="0" fontId="237" fillId="2" borderId="9" xfId="12413" applyFont="1" applyFill="1" applyBorder="1" applyAlignment="1">
      <alignment horizontal="center" vertical="center" textRotation="90" wrapText="1"/>
    </xf>
    <xf numFmtId="0" fontId="237" fillId="2" borderId="9" xfId="12413" applyFont="1" applyFill="1" applyBorder="1" applyAlignment="1">
      <alignment horizontal="centerContinuous" vertical="center" wrapText="1"/>
    </xf>
    <xf numFmtId="0" fontId="237" fillId="2" borderId="13" xfId="12413" quotePrefix="1" applyFont="1" applyFill="1" applyBorder="1" applyAlignment="1">
      <alignment horizontal="center" vertical="center" wrapText="1"/>
    </xf>
    <xf numFmtId="0" fontId="116" fillId="2" borderId="0" xfId="12413" applyFont="1" applyFill="1"/>
    <xf numFmtId="0" fontId="71" fillId="2" borderId="2" xfId="12413" applyFont="1" applyFill="1" applyBorder="1" applyAlignment="1">
      <alignment horizontal="centerContinuous" vertical="center" wrapText="1"/>
    </xf>
    <xf numFmtId="0" fontId="58" fillId="2" borderId="32" xfId="12413" applyFont="1" applyFill="1" applyBorder="1" applyAlignment="1">
      <alignment horizontal="centerContinuous" vertical="center" wrapText="1"/>
    </xf>
    <xf numFmtId="0" fontId="58" fillId="2" borderId="3" xfId="12413" applyFont="1" applyFill="1" applyBorder="1" applyAlignment="1">
      <alignment horizontal="centerContinuous" vertical="center" wrapText="1"/>
    </xf>
    <xf numFmtId="0" fontId="58" fillId="2" borderId="182" xfId="12413" applyFont="1" applyFill="1" applyBorder="1" applyAlignment="1">
      <alignment horizontal="center" vertical="center" wrapText="1"/>
    </xf>
    <xf numFmtId="0" fontId="58" fillId="2" borderId="91" xfId="12413" applyFont="1" applyFill="1" applyBorder="1" applyAlignment="1">
      <alignment horizontal="center" vertical="center" wrapText="1"/>
    </xf>
    <xf numFmtId="0" fontId="58" fillId="2" borderId="9" xfId="12413" applyFont="1" applyFill="1" applyBorder="1" applyAlignment="1">
      <alignment horizontal="center" vertical="center" wrapText="1"/>
    </xf>
    <xf numFmtId="0" fontId="58" fillId="2" borderId="42" xfId="12413" applyFont="1" applyFill="1" applyBorder="1" applyAlignment="1">
      <alignment horizontal="center" vertical="center" wrapText="1"/>
    </xf>
    <xf numFmtId="0" fontId="58" fillId="2" borderId="93" xfId="12413" applyFont="1" applyFill="1" applyBorder="1" applyAlignment="1">
      <alignment horizontal="center" vertical="center" wrapText="1"/>
    </xf>
    <xf numFmtId="0" fontId="58" fillId="2" borderId="13" xfId="12413" applyFont="1" applyFill="1" applyBorder="1" applyAlignment="1">
      <alignment horizontal="center" vertical="center" wrapText="1"/>
    </xf>
    <xf numFmtId="0" fontId="123" fillId="2" borderId="91" xfId="12413" applyFont="1" applyFill="1" applyBorder="1" applyAlignment="1">
      <alignment horizontal="centerContinuous" vertical="center" wrapText="1"/>
    </xf>
    <xf numFmtId="0" fontId="123" fillId="2" borderId="9" xfId="12413" quotePrefix="1" applyFont="1" applyFill="1" applyBorder="1" applyAlignment="1">
      <alignment horizontal="centerContinuous" vertical="center" wrapText="1"/>
    </xf>
    <xf numFmtId="0" fontId="123" fillId="2" borderId="139" xfId="12413" quotePrefix="1" applyFont="1" applyFill="1" applyBorder="1" applyAlignment="1">
      <alignment horizontal="centerContinuous" vertical="center" wrapText="1"/>
    </xf>
    <xf numFmtId="0" fontId="58" fillId="2" borderId="184" xfId="12413" applyFont="1" applyFill="1" applyBorder="1" applyAlignment="1">
      <alignment horizontal="centerContinuous" vertical="center" wrapText="1"/>
    </xf>
    <xf numFmtId="0" fontId="123" fillId="2" borderId="184" xfId="12413" applyFont="1" applyFill="1" applyBorder="1" applyAlignment="1">
      <alignment horizontal="centerContinuous" vertical="center" wrapText="1"/>
    </xf>
    <xf numFmtId="0" fontId="123" fillId="2" borderId="184" xfId="12413" quotePrefix="1" applyFont="1" applyFill="1" applyBorder="1" applyAlignment="1">
      <alignment horizontal="centerContinuous" vertical="center" wrapText="1"/>
    </xf>
    <xf numFmtId="0" fontId="123" fillId="2" borderId="183" xfId="12413" quotePrefix="1" applyFont="1" applyFill="1" applyBorder="1" applyAlignment="1">
      <alignment horizontal="centerContinuous" vertical="center" wrapText="1"/>
    </xf>
    <xf numFmtId="0" fontId="75" fillId="2" borderId="93" xfId="12413" applyFont="1" applyFill="1" applyBorder="1" applyAlignment="1">
      <alignment horizontal="center" vertical="center"/>
    </xf>
    <xf numFmtId="0" fontId="247" fillId="2" borderId="2" xfId="12413" applyFont="1" applyFill="1" applyBorder="1" applyAlignment="1">
      <alignment horizontal="left"/>
    </xf>
    <xf numFmtId="0" fontId="53" fillId="2" borderId="0" xfId="12413" applyFont="1" applyFill="1" applyAlignment="1">
      <alignment wrapText="1"/>
    </xf>
    <xf numFmtId="0" fontId="71" fillId="0" borderId="41" xfId="12413" quotePrefix="1" applyFont="1" applyBorder="1" applyAlignment="1">
      <alignment horizontal="center" vertical="center" wrapText="1"/>
    </xf>
    <xf numFmtId="0" fontId="71" fillId="0" borderId="120" xfId="12413" quotePrefix="1" applyFont="1" applyBorder="1" applyAlignment="1">
      <alignment horizontal="center" vertical="center" wrapText="1"/>
    </xf>
    <xf numFmtId="0" fontId="71" fillId="0" borderId="38" xfId="12413" quotePrefix="1" applyFont="1" applyBorder="1" applyAlignment="1">
      <alignment horizontal="center" vertical="center" wrapText="1"/>
    </xf>
    <xf numFmtId="0" fontId="71" fillId="0" borderId="44" xfId="12413" quotePrefix="1" applyFont="1" applyBorder="1" applyAlignment="1">
      <alignment horizontal="center" vertical="center" wrapText="1"/>
    </xf>
    <xf numFmtId="0" fontId="71" fillId="0" borderId="37" xfId="12413" quotePrefix="1" applyFont="1" applyBorder="1" applyAlignment="1">
      <alignment horizontal="center" vertical="center" wrapText="1"/>
    </xf>
    <xf numFmtId="0" fontId="71" fillId="0" borderId="136" xfId="12413" quotePrefix="1" applyFont="1" applyBorder="1" applyAlignment="1">
      <alignment horizontal="center" vertical="center" wrapText="1"/>
    </xf>
    <xf numFmtId="0" fontId="71" fillId="0" borderId="38" xfId="12413" applyFont="1" applyBorder="1" applyAlignment="1">
      <alignment horizontal="center" vertical="center" wrapText="1"/>
    </xf>
    <xf numFmtId="0" fontId="248" fillId="0" borderId="2" xfId="12413" applyFont="1" applyBorder="1" applyAlignment="1">
      <alignment vertical="top"/>
    </xf>
    <xf numFmtId="0" fontId="53" fillId="2" borderId="0" xfId="12413" applyFont="1" applyFill="1" applyAlignment="1">
      <alignment horizontal="center" vertical="center" wrapText="1"/>
    </xf>
    <xf numFmtId="171" fontId="92" fillId="4" borderId="81" xfId="12413" applyNumberFormat="1" applyFont="1" applyFill="1" applyBorder="1"/>
    <xf numFmtId="171" fontId="92" fillId="4" borderId="115" xfId="12413" applyNumberFormat="1" applyFont="1" applyFill="1" applyBorder="1"/>
    <xf numFmtId="171" fontId="92" fillId="4" borderId="57" xfId="12413" applyNumberFormat="1" applyFont="1" applyFill="1" applyBorder="1"/>
    <xf numFmtId="171" fontId="58" fillId="5" borderId="115" xfId="12413" applyNumberFormat="1" applyFont="1" applyFill="1" applyBorder="1"/>
    <xf numFmtId="171" fontId="79" fillId="5" borderId="115" xfId="12413" applyNumberFormat="1" applyFont="1" applyFill="1" applyBorder="1"/>
    <xf numFmtId="171" fontId="58" fillId="5" borderId="31" xfId="12413" applyNumberFormat="1" applyFont="1" applyFill="1" applyBorder="1"/>
    <xf numFmtId="171" fontId="92" fillId="4" borderId="23" xfId="12413" applyNumberFormat="1" applyFont="1" applyFill="1" applyBorder="1"/>
    <xf numFmtId="171" fontId="79" fillId="5" borderId="31" xfId="12413" applyNumberFormat="1" applyFont="1" applyFill="1" applyBorder="1"/>
    <xf numFmtId="171" fontId="58" fillId="5" borderId="57" xfId="12413" applyNumberFormat="1" applyFont="1" applyFill="1" applyBorder="1"/>
    <xf numFmtId="171" fontId="58" fillId="5" borderId="117" xfId="12413" applyNumberFormat="1" applyFont="1" applyFill="1" applyBorder="1"/>
    <xf numFmtId="171" fontId="108" fillId="5" borderId="115" xfId="12413" applyNumberFormat="1" applyFont="1" applyFill="1" applyBorder="1"/>
    <xf numFmtId="171" fontId="108" fillId="5" borderId="3" xfId="12413" applyNumberFormat="1" applyFont="1" applyFill="1" applyBorder="1"/>
    <xf numFmtId="171" fontId="58" fillId="0" borderId="81" xfId="12413" applyNumberFormat="1" applyFont="1" applyBorder="1"/>
    <xf numFmtId="171" fontId="58" fillId="0" borderId="95" xfId="12413" applyNumberFormat="1" applyFont="1" applyBorder="1"/>
    <xf numFmtId="171" fontId="58" fillId="0" borderId="0" xfId="12413" applyNumberFormat="1" applyFont="1"/>
    <xf numFmtId="171" fontId="58" fillId="5" borderId="95" xfId="12413" applyNumberFormat="1" applyFont="1" applyFill="1" applyBorder="1"/>
    <xf numFmtId="171" fontId="79" fillId="5" borderId="95" xfId="12413" applyNumberFormat="1" applyFont="1" applyFill="1" applyBorder="1"/>
    <xf numFmtId="171" fontId="58" fillId="5" borderId="32" xfId="12413" applyNumberFormat="1" applyFont="1" applyFill="1" applyBorder="1"/>
    <xf numFmtId="171" fontId="79" fillId="5" borderId="32" xfId="12413" applyNumberFormat="1" applyFont="1" applyFill="1" applyBorder="1"/>
    <xf numFmtId="171" fontId="58" fillId="5" borderId="0" xfId="12413" applyNumberFormat="1" applyFont="1" applyFill="1"/>
    <xf numFmtId="171" fontId="58" fillId="5" borderId="111" xfId="12413" applyNumberFormat="1" applyFont="1" applyFill="1" applyBorder="1"/>
    <xf numFmtId="171" fontId="123" fillId="0" borderId="81" xfId="12413" applyNumberFormat="1" applyFont="1" applyBorder="1"/>
    <xf numFmtId="171" fontId="123" fillId="0" borderId="95" xfId="12413" applyNumberFormat="1" applyFont="1" applyBorder="1"/>
    <xf numFmtId="171" fontId="123" fillId="0" borderId="0" xfId="12413" applyNumberFormat="1" applyFont="1"/>
    <xf numFmtId="171" fontId="108" fillId="5" borderId="95" xfId="12413" applyNumberFormat="1" applyFont="1" applyFill="1" applyBorder="1"/>
    <xf numFmtId="171" fontId="58" fillId="5" borderId="3" xfId="12413" applyNumberFormat="1" applyFont="1" applyFill="1" applyBorder="1"/>
    <xf numFmtId="171" fontId="58" fillId="0" borderId="2" xfId="12413" applyNumberFormat="1" applyFont="1" applyBorder="1"/>
    <xf numFmtId="171" fontId="92" fillId="4" borderId="95" xfId="12413" applyNumberFormat="1" applyFont="1" applyFill="1" applyBorder="1"/>
    <xf numFmtId="171" fontId="93" fillId="5" borderId="95" xfId="12413" applyNumberFormat="1" applyFont="1" applyFill="1" applyBorder="1"/>
    <xf numFmtId="171" fontId="93" fillId="5" borderId="32" xfId="12413" applyNumberFormat="1" applyFont="1" applyFill="1" applyBorder="1"/>
    <xf numFmtId="171" fontId="123" fillId="0" borderId="32" xfId="12413" applyNumberFormat="1" applyFont="1" applyBorder="1"/>
    <xf numFmtId="171" fontId="58" fillId="0" borderId="111" xfId="12413" applyNumberFormat="1" applyFont="1" applyBorder="1"/>
    <xf numFmtId="171" fontId="123" fillId="0" borderId="3" xfId="12413" applyNumberFormat="1" applyFont="1" applyBorder="1"/>
    <xf numFmtId="171" fontId="123" fillId="0" borderId="111" xfId="12413" applyNumberFormat="1" applyFont="1" applyBorder="1"/>
    <xf numFmtId="171" fontId="58" fillId="0" borderId="165" xfId="12413" applyNumberFormat="1" applyFont="1" applyBorder="1"/>
    <xf numFmtId="184" fontId="58" fillId="0" borderId="0" xfId="12413" applyNumberFormat="1" applyFont="1" applyAlignment="1">
      <alignment horizontal="right" vertical="top" wrapText="1"/>
    </xf>
    <xf numFmtId="0" fontId="248" fillId="0" borderId="0" xfId="12413" applyFont="1" applyAlignment="1">
      <alignment vertical="top"/>
    </xf>
    <xf numFmtId="171" fontId="58" fillId="12" borderId="112" xfId="0" applyNumberFormat="1" applyFont="1" applyFill="1" applyBorder="1"/>
    <xf numFmtId="171" fontId="162" fillId="4" borderId="95" xfId="12413" applyNumberFormat="1" applyFont="1" applyFill="1" applyBorder="1"/>
    <xf numFmtId="171" fontId="162" fillId="4" borderId="111" xfId="12413" applyNumberFormat="1" applyFont="1" applyFill="1" applyBorder="1"/>
    <xf numFmtId="171" fontId="162" fillId="7" borderId="32" xfId="12413" applyNumberFormat="1" applyFont="1" applyFill="1" applyBorder="1"/>
    <xf numFmtId="171" fontId="162" fillId="4" borderId="32" xfId="12413" applyNumberFormat="1" applyFont="1" applyFill="1" applyBorder="1"/>
    <xf numFmtId="171" fontId="162" fillId="4" borderId="3" xfId="12413" applyNumberFormat="1" applyFont="1" applyFill="1" applyBorder="1"/>
    <xf numFmtId="170" fontId="162" fillId="4" borderId="81" xfId="12413" applyNumberFormat="1" applyFont="1" applyFill="1" applyBorder="1"/>
    <xf numFmtId="170" fontId="162" fillId="4" borderId="115" xfId="12413" applyNumberFormat="1" applyFont="1" applyFill="1" applyBorder="1"/>
    <xf numFmtId="170" fontId="162" fillId="4" borderId="57" xfId="12413" applyNumberFormat="1" applyFont="1" applyFill="1" applyBorder="1"/>
    <xf numFmtId="170" fontId="162" fillId="7" borderId="0" xfId="12413" applyNumberFormat="1" applyFont="1" applyFill="1"/>
    <xf numFmtId="171" fontId="129" fillId="4" borderId="23" xfId="0" applyNumberFormat="1" applyFont="1" applyFill="1" applyBorder="1"/>
    <xf numFmtId="171" fontId="123" fillId="0" borderId="81" xfId="0" applyNumberFormat="1" applyFont="1" applyBorder="1"/>
    <xf numFmtId="171" fontId="129" fillId="4" borderId="115" xfId="0" applyNumberFormat="1" applyFont="1" applyFill="1" applyBorder="1"/>
    <xf numFmtId="171" fontId="123" fillId="0" borderId="95" xfId="0" applyNumberFormat="1" applyFont="1" applyBorder="1"/>
    <xf numFmtId="171" fontId="129" fillId="4" borderId="57" xfId="0" applyNumberFormat="1" applyFont="1" applyFill="1" applyBorder="1"/>
    <xf numFmtId="170" fontId="123" fillId="80" borderId="95" xfId="0" applyNumberFormat="1" applyFont="1" applyFill="1" applyBorder="1"/>
    <xf numFmtId="166" fontId="57" fillId="11" borderId="0" xfId="9943" applyFont="1" applyFill="1" applyBorder="1"/>
    <xf numFmtId="179" fontId="58" fillId="8" borderId="95" xfId="19" applyNumberFormat="1" applyFont="1" applyFill="1" applyBorder="1" applyAlignment="1"/>
    <xf numFmtId="179" fontId="58" fillId="8" borderId="0" xfId="19" applyNumberFormat="1" applyFont="1" applyFill="1" applyBorder="1" applyAlignment="1"/>
    <xf numFmtId="0" fontId="58" fillId="2" borderId="184" xfId="0" applyFont="1" applyFill="1" applyBorder="1" applyAlignment="1">
      <alignment horizontal="centerContinuous" vertical="center"/>
    </xf>
    <xf numFmtId="0" fontId="116" fillId="11" borderId="185" xfId="21" applyFont="1" applyFill="1" applyBorder="1" applyAlignment="1">
      <alignment horizontal="center" vertical="center" wrapText="1"/>
    </xf>
    <xf numFmtId="1" fontId="75" fillId="2" borderId="186" xfId="0" applyNumberFormat="1" applyFont="1" applyFill="1" applyBorder="1" applyAlignment="1">
      <alignment horizontal="center" vertical="center"/>
    </xf>
    <xf numFmtId="0" fontId="58" fillId="2" borderId="183" xfId="0" applyFont="1" applyFill="1" applyBorder="1" applyAlignment="1">
      <alignment horizontal="centerContinuous" vertical="center"/>
    </xf>
    <xf numFmtId="1" fontId="75" fillId="2" borderId="94" xfId="0" applyNumberFormat="1" applyFont="1" applyFill="1" applyBorder="1" applyAlignment="1">
      <alignment horizontal="center" vertical="center"/>
    </xf>
    <xf numFmtId="1" fontId="75" fillId="2" borderId="188" xfId="0" applyNumberFormat="1" applyFont="1" applyFill="1" applyBorder="1" applyAlignment="1">
      <alignment horizontal="center" vertical="center"/>
    </xf>
    <xf numFmtId="1" fontId="75" fillId="2" borderId="114" xfId="0" applyNumberFormat="1" applyFont="1" applyFill="1" applyBorder="1" applyAlignment="1">
      <alignment horizontal="center" vertical="center"/>
    </xf>
    <xf numFmtId="2" fontId="58" fillId="0" borderId="123" xfId="19" applyNumberFormat="1" applyFont="1" applyFill="1" applyBorder="1" applyAlignment="1"/>
    <xf numFmtId="2" fontId="58" fillId="0" borderId="95" xfId="19" applyNumberFormat="1" applyFont="1" applyFill="1" applyBorder="1" applyAlignment="1"/>
    <xf numFmtId="2" fontId="58" fillId="0" borderId="0" xfId="19" applyNumberFormat="1" applyFont="1" applyFill="1" applyBorder="1"/>
    <xf numFmtId="2" fontId="58" fillId="0" borderId="134" xfId="19" applyNumberFormat="1" applyFont="1" applyFill="1" applyBorder="1"/>
    <xf numFmtId="2" fontId="58" fillId="0" borderId="112" xfId="19" applyNumberFormat="1" applyFont="1" applyFill="1" applyBorder="1"/>
    <xf numFmtId="2" fontId="58" fillId="0" borderId="165" xfId="19" applyNumberFormat="1" applyFont="1" applyFill="1" applyBorder="1" applyAlignment="1"/>
    <xf numFmtId="2" fontId="58" fillId="0" borderId="123" xfId="19" applyNumberFormat="1" applyFont="1" applyFill="1" applyBorder="1"/>
    <xf numFmtId="2" fontId="58" fillId="0" borderId="95" xfId="19" applyNumberFormat="1" applyFont="1" applyFill="1" applyBorder="1"/>
    <xf numFmtId="2" fontId="58" fillId="0" borderId="165" xfId="19" applyNumberFormat="1" applyFont="1" applyFill="1" applyBorder="1"/>
    <xf numFmtId="2" fontId="58" fillId="0" borderId="81" xfId="19" applyNumberFormat="1" applyFont="1" applyFill="1" applyBorder="1"/>
    <xf numFmtId="2" fontId="121" fillId="7" borderId="2" xfId="0" applyNumberFormat="1" applyFont="1" applyFill="1" applyBorder="1"/>
    <xf numFmtId="2" fontId="121" fillId="7" borderId="123" xfId="19" applyNumberFormat="1" applyFont="1" applyFill="1" applyBorder="1" applyAlignment="1"/>
    <xf numFmtId="2" fontId="121" fillId="7" borderId="95" xfId="19" applyNumberFormat="1" applyFont="1" applyFill="1" applyBorder="1" applyAlignment="1"/>
    <xf numFmtId="2" fontId="121" fillId="7" borderId="187" xfId="19" applyNumberFormat="1" applyFont="1" applyFill="1" applyBorder="1" applyAlignment="1"/>
    <xf numFmtId="2" fontId="121" fillId="7" borderId="0" xfId="19" applyNumberFormat="1" applyFont="1" applyFill="1" applyBorder="1"/>
    <xf numFmtId="2" fontId="121" fillId="7" borderId="134" xfId="19" applyNumberFormat="1" applyFont="1" applyFill="1" applyBorder="1"/>
    <xf numFmtId="2" fontId="121" fillId="7" borderId="112" xfId="19" applyNumberFormat="1" applyFont="1" applyFill="1" applyBorder="1"/>
    <xf numFmtId="0" fontId="58" fillId="11" borderId="169" xfId="21" applyFont="1" applyFill="1" applyBorder="1" applyAlignment="1">
      <alignment horizontal="centerContinuous" vertical="center" wrapText="1"/>
    </xf>
    <xf numFmtId="0" fontId="58" fillId="11" borderId="130" xfId="21" applyFont="1" applyFill="1" applyBorder="1" applyAlignment="1">
      <alignment horizontal="center" vertical="center" wrapText="1"/>
    </xf>
    <xf numFmtId="0" fontId="58" fillId="11" borderId="185" xfId="21" applyFont="1" applyFill="1" applyBorder="1" applyAlignment="1">
      <alignment horizontal="center" vertical="center" wrapText="1"/>
    </xf>
    <xf numFmtId="0" fontId="58" fillId="11" borderId="168" xfId="21" applyFont="1" applyFill="1" applyBorder="1" applyAlignment="1">
      <alignment horizontal="center" vertical="center" wrapText="1"/>
    </xf>
    <xf numFmtId="179" fontId="162" fillId="7" borderId="95" xfId="19" applyNumberFormat="1" applyFont="1" applyFill="1" applyBorder="1" applyAlignment="1"/>
    <xf numFmtId="179" fontId="249" fillId="0" borderId="95" xfId="19" applyNumberFormat="1" applyFont="1" applyBorder="1" applyAlignment="1"/>
    <xf numFmtId="166" fontId="57" fillId="2" borderId="0" xfId="9943" applyFont="1" applyFill="1"/>
    <xf numFmtId="170" fontId="245" fillId="0" borderId="134" xfId="0" applyNumberFormat="1" applyFont="1" applyBorder="1"/>
    <xf numFmtId="170" fontId="245" fillId="0" borderId="111" xfId="0" applyNumberFormat="1" applyFont="1" applyBorder="1"/>
    <xf numFmtId="0" fontId="58" fillId="2" borderId="35" xfId="0" applyFont="1" applyFill="1" applyBorder="1" applyAlignment="1">
      <alignment vertical="center"/>
    </xf>
    <xf numFmtId="0" fontId="130" fillId="12" borderId="0" xfId="9854" applyFont="1" applyFill="1" applyAlignment="1">
      <alignment horizontal="center"/>
    </xf>
    <xf numFmtId="0" fontId="130" fillId="12" borderId="95" xfId="9854" applyFont="1" applyFill="1" applyBorder="1" applyAlignment="1">
      <alignment horizontal="center"/>
    </xf>
    <xf numFmtId="0" fontId="130" fillId="12" borderId="3" xfId="9854" applyFont="1" applyFill="1" applyBorder="1" applyAlignment="1">
      <alignment horizontal="center"/>
    </xf>
    <xf numFmtId="0" fontId="168" fillId="12" borderId="0" xfId="9854" applyFont="1" applyFill="1" applyAlignment="1">
      <alignment horizontal="center"/>
    </xf>
    <xf numFmtId="0" fontId="168" fillId="12" borderId="95" xfId="9854" applyFont="1" applyFill="1" applyBorder="1" applyAlignment="1">
      <alignment horizontal="center"/>
    </xf>
    <xf numFmtId="0" fontId="168" fillId="12" borderId="3" xfId="9854" applyFont="1" applyFill="1" applyBorder="1" applyAlignment="1">
      <alignment horizontal="center"/>
    </xf>
    <xf numFmtId="2" fontId="130" fillId="12" borderId="82" xfId="9854" applyNumberFormat="1" applyFont="1" applyFill="1" applyBorder="1" applyAlignment="1">
      <alignment horizontal="center"/>
    </xf>
    <xf numFmtId="171" fontId="121" fillId="4" borderId="95" xfId="12413" applyNumberFormat="1" applyFont="1" applyFill="1" applyBorder="1"/>
    <xf numFmtId="171" fontId="123" fillId="0" borderId="165" xfId="12413" applyNumberFormat="1" applyFont="1" applyBorder="1"/>
    <xf numFmtId="171" fontId="98" fillId="0" borderId="0" xfId="12413" applyNumberFormat="1" applyFont="1"/>
    <xf numFmtId="171" fontId="98" fillId="0" borderId="95" xfId="12413" applyNumberFormat="1" applyFont="1" applyBorder="1"/>
    <xf numFmtId="171" fontId="98" fillId="0" borderId="81" xfId="12413" applyNumberFormat="1" applyFont="1" applyBorder="1"/>
    <xf numFmtId="171" fontId="176" fillId="7" borderId="95" xfId="12413" applyNumberFormat="1" applyFont="1" applyFill="1" applyBorder="1"/>
    <xf numFmtId="170" fontId="98" fillId="0" borderId="81" xfId="12413" applyNumberFormat="1" applyFont="1" applyBorder="1"/>
    <xf numFmtId="170" fontId="98" fillId="0" borderId="95" xfId="12413" applyNumberFormat="1" applyFont="1" applyBorder="1"/>
    <xf numFmtId="170" fontId="98" fillId="0" borderId="0" xfId="12413" applyNumberFormat="1" applyFont="1"/>
    <xf numFmtId="170" fontId="98" fillId="0" borderId="2" xfId="12413" applyNumberFormat="1" applyFont="1" applyBorder="1"/>
    <xf numFmtId="170" fontId="98" fillId="0" borderId="32" xfId="12413" applyNumberFormat="1" applyFont="1" applyBorder="1"/>
    <xf numFmtId="170" fontId="176" fillId="4" borderId="32" xfId="12413" applyNumberFormat="1" applyFont="1" applyFill="1" applyBorder="1"/>
    <xf numFmtId="170" fontId="98" fillId="0" borderId="112" xfId="12413" applyNumberFormat="1" applyFont="1" applyBorder="1"/>
    <xf numFmtId="170" fontId="98" fillId="0" borderId="123" xfId="12413" applyNumberFormat="1" applyFont="1" applyBorder="1"/>
    <xf numFmtId="0" fontId="250" fillId="2" borderId="0" xfId="12413" applyFont="1" applyFill="1" applyAlignment="1">
      <alignment horizontal="left"/>
    </xf>
    <xf numFmtId="0" fontId="53" fillId="2" borderId="0" xfId="15" applyFont="1" applyFill="1" applyAlignment="1">
      <alignment vertical="center" wrapText="1"/>
    </xf>
    <xf numFmtId="0" fontId="71" fillId="2" borderId="142" xfId="15" applyFont="1" applyFill="1" applyBorder="1" applyAlignment="1">
      <alignment horizontal="centerContinuous" vertical="center" wrapText="1"/>
    </xf>
    <xf numFmtId="0" fontId="71" fillId="2" borderId="38" xfId="15" applyFont="1" applyFill="1" applyBorder="1" applyAlignment="1">
      <alignment vertical="center" wrapText="1"/>
    </xf>
    <xf numFmtId="0" fontId="71" fillId="2" borderId="120" xfId="15" applyFont="1" applyFill="1" applyBorder="1" applyAlignment="1">
      <alignment vertical="center" wrapText="1"/>
    </xf>
    <xf numFmtId="0" fontId="71" fillId="2" borderId="38" xfId="15" applyFont="1" applyFill="1" applyBorder="1" applyAlignment="1">
      <alignment horizontal="centerContinuous" vertical="center" wrapText="1"/>
    </xf>
    <xf numFmtId="0" fontId="71" fillId="2" borderId="136" xfId="15" quotePrefix="1" applyFont="1" applyFill="1" applyBorder="1" applyAlignment="1">
      <alignment horizontal="center" vertical="center" wrapText="1"/>
    </xf>
    <xf numFmtId="0" fontId="71" fillId="2" borderId="127" xfId="15" applyFont="1" applyFill="1" applyBorder="1" applyAlignment="1">
      <alignment horizontal="center" vertical="center" wrapText="1"/>
    </xf>
    <xf numFmtId="0" fontId="71" fillId="2" borderId="38" xfId="15" applyFont="1" applyFill="1" applyBorder="1" applyAlignment="1">
      <alignment horizontal="center" vertical="center" wrapText="1"/>
    </xf>
    <xf numFmtId="0" fontId="71" fillId="2" borderId="120" xfId="15" applyFont="1" applyFill="1" applyBorder="1" applyAlignment="1">
      <alignment horizontal="center" vertical="center" wrapText="1"/>
    </xf>
    <xf numFmtId="0" fontId="71" fillId="2" borderId="38" xfId="15" quotePrefix="1" applyFont="1" applyFill="1" applyBorder="1" applyAlignment="1">
      <alignment horizontal="center" vertical="center" wrapText="1"/>
    </xf>
    <xf numFmtId="0" fontId="71" fillId="2" borderId="119" xfId="15" applyFont="1" applyFill="1" applyBorder="1" applyAlignment="1">
      <alignment horizontal="center" vertical="center" wrapText="1"/>
    </xf>
    <xf numFmtId="170" fontId="76" fillId="0" borderId="95" xfId="19" applyNumberFormat="1" applyFont="1" applyBorder="1"/>
    <xf numFmtId="170" fontId="245" fillId="0" borderId="112" xfId="0" applyNumberFormat="1" applyFont="1" applyBorder="1"/>
    <xf numFmtId="0" fontId="116" fillId="2" borderId="2" xfId="0" applyFont="1" applyFill="1" applyBorder="1" applyAlignment="1">
      <alignment horizontal="center" vertical="center"/>
    </xf>
    <xf numFmtId="0" fontId="116" fillId="2" borderId="141" xfId="0" applyFont="1" applyFill="1" applyBorder="1" applyAlignment="1">
      <alignment horizontal="center" vertical="center"/>
    </xf>
    <xf numFmtId="0" fontId="116" fillId="2" borderId="14" xfId="0" applyFont="1" applyFill="1" applyBorder="1" applyAlignment="1">
      <alignment horizontal="center" vertical="center" wrapText="1"/>
    </xf>
    <xf numFmtId="0" fontId="116" fillId="2" borderId="91" xfId="0" applyFont="1" applyFill="1" applyBorder="1" applyAlignment="1">
      <alignment horizontal="center" vertical="center" wrapText="1"/>
    </xf>
    <xf numFmtId="0" fontId="116" fillId="2" borderId="0" xfId="0" applyFont="1" applyFill="1" applyAlignment="1">
      <alignment horizontal="center" vertical="center" wrapText="1"/>
    </xf>
    <xf numFmtId="0" fontId="116" fillId="2" borderId="141" xfId="0" applyFont="1" applyFill="1" applyBorder="1" applyAlignment="1">
      <alignment horizontal="center" vertical="center" wrapText="1"/>
    </xf>
    <xf numFmtId="0" fontId="116" fillId="2" borderId="8" xfId="0" applyFont="1" applyFill="1" applyBorder="1" applyAlignment="1">
      <alignment horizontal="centerContinuous" vertical="center"/>
    </xf>
    <xf numFmtId="0" fontId="251" fillId="2" borderId="14" xfId="0" applyFont="1" applyFill="1" applyBorder="1" applyAlignment="1">
      <alignment horizontal="centerContinuous" vertical="center"/>
    </xf>
    <xf numFmtId="0" fontId="116" fillId="2" borderId="93" xfId="0" applyFont="1" applyFill="1" applyBorder="1" applyAlignment="1">
      <alignment horizontal="centerContinuous" vertical="center"/>
    </xf>
    <xf numFmtId="0" fontId="251" fillId="2" borderId="92" xfId="0" applyFont="1" applyFill="1" applyBorder="1" applyAlignment="1">
      <alignment horizontal="centerContinuous" vertical="center"/>
    </xf>
    <xf numFmtId="0" fontId="116" fillId="2" borderId="42" xfId="0" applyFont="1" applyFill="1" applyBorder="1" applyAlignment="1">
      <alignment horizontal="centerContinuous" vertical="center"/>
    </xf>
    <xf numFmtId="0" fontId="116" fillId="2" borderId="13" xfId="0" applyFont="1" applyFill="1" applyBorder="1" applyAlignment="1">
      <alignment horizontal="centerContinuous" vertical="center"/>
    </xf>
    <xf numFmtId="2" fontId="71" fillId="2" borderId="182" xfId="0" applyNumberFormat="1" applyFont="1" applyFill="1" applyBorder="1" applyAlignment="1">
      <alignment horizontal="center"/>
    </xf>
    <xf numFmtId="2" fontId="71" fillId="2" borderId="9" xfId="0" applyNumberFormat="1" applyFont="1" applyFill="1" applyBorder="1" applyAlignment="1">
      <alignment horizontal="center"/>
    </xf>
    <xf numFmtId="10" fontId="71" fillId="2" borderId="182" xfId="0" applyNumberFormat="1" applyFont="1" applyFill="1" applyBorder="1" applyAlignment="1">
      <alignment horizontal="center"/>
    </xf>
    <xf numFmtId="10" fontId="71" fillId="2" borderId="9" xfId="0" applyNumberFormat="1" applyFont="1" applyFill="1" applyBorder="1" applyAlignment="1">
      <alignment horizontal="center"/>
    </xf>
    <xf numFmtId="10" fontId="71" fillId="2" borderId="34" xfId="0" applyNumberFormat="1" applyFont="1" applyFill="1" applyBorder="1" applyAlignment="1">
      <alignment horizontal="center"/>
    </xf>
    <xf numFmtId="10" fontId="75" fillId="2" borderId="34" xfId="0" applyNumberFormat="1" applyFont="1" applyFill="1" applyBorder="1" applyAlignment="1">
      <alignment horizontal="center"/>
    </xf>
    <xf numFmtId="10" fontId="75" fillId="2" borderId="35" xfId="0" applyNumberFormat="1" applyFont="1" applyFill="1" applyBorder="1" applyAlignment="1">
      <alignment horizontal="center"/>
    </xf>
    <xf numFmtId="1" fontId="92" fillId="3" borderId="9" xfId="12405" applyNumberFormat="1" applyFont="1" applyFill="1" applyBorder="1" applyAlignment="1" applyProtection="1">
      <alignment horizontal="centerContinuous" vertical="center" wrapText="1"/>
    </xf>
    <xf numFmtId="2" fontId="71" fillId="2" borderId="189" xfId="0" applyNumberFormat="1" applyFont="1" applyFill="1" applyBorder="1" applyAlignment="1">
      <alignment horizontal="centerContinuous" vertical="center" wrapText="1"/>
    </xf>
    <xf numFmtId="2" fontId="71" fillId="2" borderId="163" xfId="0" applyNumberFormat="1" applyFont="1" applyFill="1" applyBorder="1" applyAlignment="1">
      <alignment horizontal="centerContinuous" vertical="center" wrapText="1"/>
    </xf>
    <xf numFmtId="2" fontId="71" fillId="2" borderId="161" xfId="0" applyNumberFormat="1" applyFont="1" applyFill="1" applyBorder="1" applyAlignment="1">
      <alignment horizontal="centerContinuous" vertical="center" wrapText="1"/>
    </xf>
    <xf numFmtId="2" fontId="71" fillId="2" borderId="87" xfId="0" applyNumberFormat="1" applyFont="1" applyFill="1" applyBorder="1" applyAlignment="1">
      <alignment horizontal="centerContinuous" vertical="center" wrapText="1"/>
    </xf>
    <xf numFmtId="0" fontId="71" fillId="2" borderId="162" xfId="0" applyFont="1" applyFill="1" applyBorder="1" applyAlignment="1">
      <alignment horizontal="centerContinuous" vertical="center" wrapText="1"/>
    </xf>
    <xf numFmtId="0" fontId="71" fillId="2" borderId="87" xfId="0" applyFont="1" applyFill="1" applyBorder="1" applyAlignment="1">
      <alignment horizontal="centerContinuous" vertical="center" wrapText="1"/>
    </xf>
    <xf numFmtId="0" fontId="71" fillId="2" borderId="161" xfId="0" applyFont="1" applyFill="1" applyBorder="1" applyAlignment="1">
      <alignment horizontal="centerContinuous" vertical="center" wrapText="1"/>
    </xf>
    <xf numFmtId="0" fontId="71" fillId="2" borderId="164" xfId="0" applyFont="1" applyFill="1" applyBorder="1" applyAlignment="1">
      <alignment horizontal="centerContinuous" vertical="center" wrapText="1"/>
    </xf>
    <xf numFmtId="1" fontId="92" fillId="3" borderId="9" xfId="12405" applyNumberFormat="1" applyFont="1" applyFill="1" applyBorder="1" applyAlignment="1" applyProtection="1">
      <alignment horizontal="center" vertical="center" wrapText="1"/>
    </xf>
    <xf numFmtId="2" fontId="71" fillId="2" borderId="189" xfId="0" applyNumberFormat="1" applyFont="1" applyFill="1" applyBorder="1" applyAlignment="1">
      <alignment horizontal="centerContinuous" vertical="center"/>
    </xf>
    <xf numFmtId="2" fontId="71" fillId="2" borderId="163" xfId="0" applyNumberFormat="1" applyFont="1" applyFill="1" applyBorder="1" applyAlignment="1">
      <alignment horizontal="centerContinuous" vertical="center"/>
    </xf>
    <xf numFmtId="2" fontId="71" fillId="2" borderId="182" xfId="0" applyNumberFormat="1" applyFont="1" applyFill="1" applyBorder="1" applyAlignment="1">
      <alignment horizontal="centerContinuous" vertical="center"/>
    </xf>
    <xf numFmtId="2" fontId="71" fillId="2" borderId="156" xfId="0" applyNumberFormat="1" applyFont="1" applyFill="1" applyBorder="1" applyAlignment="1">
      <alignment horizontal="centerContinuous" vertical="center"/>
    </xf>
    <xf numFmtId="10" fontId="71" fillId="2" borderId="162" xfId="0" applyNumberFormat="1" applyFont="1" applyFill="1" applyBorder="1" applyAlignment="1">
      <alignment horizontal="centerContinuous" vertical="center"/>
    </xf>
    <xf numFmtId="10" fontId="71" fillId="2" borderId="163" xfId="0" applyNumberFormat="1" applyFont="1" applyFill="1" applyBorder="1" applyAlignment="1">
      <alignment horizontal="centerContinuous" vertical="center"/>
    </xf>
    <xf numFmtId="10" fontId="71" fillId="2" borderId="190" xfId="0" applyNumberFormat="1" applyFont="1" applyFill="1" applyBorder="1" applyAlignment="1">
      <alignment horizontal="centerContinuous" vertical="center"/>
    </xf>
    <xf numFmtId="10" fontId="71" fillId="2" borderId="191" xfId="0" applyNumberFormat="1" applyFont="1" applyFill="1" applyBorder="1" applyAlignment="1">
      <alignment horizontal="centerContinuous" vertical="center"/>
    </xf>
    <xf numFmtId="2" fontId="58" fillId="2" borderId="163" xfId="0" applyNumberFormat="1" applyFont="1" applyFill="1" applyBorder="1" applyAlignment="1">
      <alignment horizontal="centerContinuous" vertical="center" wrapText="1"/>
    </xf>
    <xf numFmtId="2" fontId="58" fillId="2" borderId="182" xfId="0" applyNumberFormat="1" applyFont="1" applyFill="1" applyBorder="1" applyAlignment="1">
      <alignment horizontal="centerContinuous" vertical="center" wrapText="1"/>
    </xf>
    <xf numFmtId="2" fontId="71" fillId="2" borderId="156" xfId="0" applyNumberFormat="1" applyFont="1" applyFill="1" applyBorder="1" applyAlignment="1">
      <alignment horizontal="centerContinuous" vertical="center" wrapText="1"/>
    </xf>
    <xf numFmtId="10" fontId="251" fillId="2" borderId="162" xfId="0" applyNumberFormat="1" applyFont="1" applyFill="1" applyBorder="1" applyAlignment="1">
      <alignment horizontal="centerContinuous"/>
    </xf>
    <xf numFmtId="10" fontId="251" fillId="2" borderId="87" xfId="0" applyNumberFormat="1" applyFont="1" applyFill="1" applyBorder="1" applyAlignment="1">
      <alignment horizontal="centerContinuous"/>
    </xf>
    <xf numFmtId="10" fontId="230" fillId="2" borderId="162" xfId="0" applyNumberFormat="1" applyFont="1" applyFill="1" applyBorder="1" applyAlignment="1">
      <alignment horizontal="centerContinuous"/>
    </xf>
    <xf numFmtId="10" fontId="230" fillId="2" borderId="164" xfId="0" applyNumberFormat="1" applyFont="1" applyFill="1" applyBorder="1" applyAlignment="1">
      <alignment horizontal="centerContinuous"/>
    </xf>
    <xf numFmtId="1" fontId="92" fillId="4" borderId="182" xfId="12405" applyNumberFormat="1" applyFont="1" applyFill="1" applyBorder="1" applyAlignment="1" applyProtection="1">
      <alignment horizontal="centerContinuous" vertical="center" wrapText="1"/>
    </xf>
    <xf numFmtId="2" fontId="71" fillId="2" borderId="161" xfId="0" quotePrefix="1" applyNumberFormat="1" applyFont="1" applyFill="1" applyBorder="1" applyAlignment="1">
      <alignment horizontal="centerContinuous" vertical="center" wrapText="1"/>
    </xf>
    <xf numFmtId="2" fontId="58" fillId="2" borderId="163" xfId="0" quotePrefix="1" applyNumberFormat="1" applyFont="1" applyFill="1" applyBorder="1" applyAlignment="1">
      <alignment horizontal="centerContinuous" vertical="center" wrapText="1"/>
    </xf>
    <xf numFmtId="2" fontId="71" fillId="2" borderId="182" xfId="0" quotePrefix="1" applyNumberFormat="1" applyFont="1" applyFill="1" applyBorder="1" applyAlignment="1">
      <alignment horizontal="centerContinuous" vertical="center" wrapText="1"/>
    </xf>
    <xf numFmtId="10" fontId="71" fillId="2" borderId="156" xfId="0" applyNumberFormat="1" applyFont="1" applyFill="1" applyBorder="1" applyAlignment="1">
      <alignment horizontal="centerContinuous" vertical="center" wrapText="1"/>
    </xf>
    <xf numFmtId="10" fontId="58" fillId="2" borderId="162" xfId="0" applyNumberFormat="1" applyFont="1" applyFill="1" applyBorder="1" applyAlignment="1">
      <alignment horizontal="centerContinuous" vertical="center" wrapText="1"/>
    </xf>
    <xf numFmtId="10" fontId="58" fillId="2" borderId="163" xfId="0" applyNumberFormat="1" applyFont="1" applyFill="1" applyBorder="1" applyAlignment="1">
      <alignment horizontal="centerContinuous" vertical="center" wrapText="1"/>
    </xf>
    <xf numFmtId="10" fontId="58" fillId="2" borderId="164" xfId="0" applyNumberFormat="1" applyFont="1" applyFill="1" applyBorder="1" applyAlignment="1">
      <alignment horizontal="centerContinuous" vertical="center" wrapText="1"/>
    </xf>
    <xf numFmtId="1" fontId="92" fillId="3" borderId="182" xfId="12405" applyNumberFormat="1" applyFont="1" applyFill="1" applyBorder="1" applyAlignment="1" applyProtection="1">
      <alignment horizontal="centerContinuous" vertical="center" wrapText="1"/>
    </xf>
    <xf numFmtId="2" fontId="58" fillId="0" borderId="161" xfId="0" applyNumberFormat="1" applyFont="1" applyBorder="1" applyAlignment="1">
      <alignment horizontal="center" vertical="center"/>
    </xf>
    <xf numFmtId="2" fontId="58" fillId="0" borderId="163" xfId="0" applyNumberFormat="1" applyFont="1" applyBorder="1" applyAlignment="1">
      <alignment horizontal="center" vertical="center"/>
    </xf>
    <xf numFmtId="10" fontId="58" fillId="0" borderId="156" xfId="0" applyNumberFormat="1" applyFont="1" applyBorder="1" applyAlignment="1">
      <alignment horizontal="center" vertical="center" wrapText="1"/>
    </xf>
    <xf numFmtId="10" fontId="58" fillId="0" borderId="162" xfId="0" applyNumberFormat="1" applyFont="1" applyBorder="1" applyAlignment="1">
      <alignment horizontal="center" vertical="center" wrapText="1"/>
    </xf>
    <xf numFmtId="10" fontId="58" fillId="0" borderId="163" xfId="0" applyNumberFormat="1" applyFont="1" applyBorder="1" applyAlignment="1">
      <alignment horizontal="center" vertical="center" wrapText="1"/>
    </xf>
    <xf numFmtId="10" fontId="58" fillId="2" borderId="161" xfId="0" applyNumberFormat="1" applyFont="1" applyFill="1" applyBorder="1" applyAlignment="1">
      <alignment horizontal="center" vertical="center" wrapText="1"/>
    </xf>
    <xf numFmtId="10" fontId="58" fillId="2" borderId="162" xfId="0" applyNumberFormat="1" applyFont="1" applyFill="1" applyBorder="1" applyAlignment="1">
      <alignment horizontal="center" vertical="center" wrapText="1"/>
    </xf>
    <xf numFmtId="10" fontId="58" fillId="0" borderId="164" xfId="0" applyNumberFormat="1" applyFont="1" applyBorder="1" applyAlignment="1">
      <alignment horizontal="center" vertical="center" wrapText="1"/>
    </xf>
    <xf numFmtId="2" fontId="58" fillId="2" borderId="161" xfId="0" applyNumberFormat="1" applyFont="1" applyFill="1" applyBorder="1" applyAlignment="1">
      <alignment horizontal="center" vertical="center" wrapText="1"/>
    </xf>
    <xf numFmtId="2" fontId="58" fillId="2" borderId="163" xfId="0" applyNumberFormat="1" applyFont="1" applyFill="1" applyBorder="1" applyAlignment="1">
      <alignment horizontal="center" vertical="center" wrapText="1"/>
    </xf>
    <xf numFmtId="10" fontId="58" fillId="2" borderId="156" xfId="0" applyNumberFormat="1" applyFont="1" applyFill="1" applyBorder="1" applyAlignment="1">
      <alignment horizontal="center" vertical="center"/>
    </xf>
    <xf numFmtId="10" fontId="58" fillId="2" borderId="162" xfId="0" applyNumberFormat="1" applyFont="1" applyFill="1" applyBorder="1" applyAlignment="1">
      <alignment horizontal="center" vertical="center"/>
    </xf>
    <xf numFmtId="10" fontId="58" fillId="2" borderId="163" xfId="0" applyNumberFormat="1" applyFont="1" applyFill="1" applyBorder="1" applyAlignment="1">
      <alignment horizontal="center" vertical="center"/>
    </xf>
    <xf numFmtId="10" fontId="58" fillId="2" borderId="161" xfId="0" applyNumberFormat="1" applyFont="1" applyFill="1" applyBorder="1" applyAlignment="1">
      <alignment horizontal="center" vertical="center"/>
    </xf>
    <xf numFmtId="10" fontId="58" fillId="2" borderId="164" xfId="0" applyNumberFormat="1" applyFont="1" applyFill="1" applyBorder="1" applyAlignment="1">
      <alignment horizontal="center" vertical="center"/>
    </xf>
    <xf numFmtId="1" fontId="92" fillId="3" borderId="37" xfId="12405" applyNumberFormat="1" applyFont="1" applyFill="1" applyBorder="1" applyAlignment="1" applyProtection="1">
      <alignment horizontal="centerContinuous" vertical="center" wrapText="1"/>
    </xf>
    <xf numFmtId="2" fontId="71" fillId="2" borderId="161" xfId="0" quotePrefix="1" applyNumberFormat="1" applyFont="1" applyFill="1" applyBorder="1" applyAlignment="1">
      <alignment horizontal="center" vertical="center" wrapText="1"/>
    </xf>
    <xf numFmtId="2" fontId="71" fillId="2" borderId="163" xfId="0" quotePrefix="1" applyNumberFormat="1" applyFont="1" applyFill="1" applyBorder="1" applyAlignment="1">
      <alignment horizontal="center" vertical="center" wrapText="1"/>
    </xf>
    <xf numFmtId="2" fontId="71" fillId="2" borderId="182" xfId="0" quotePrefix="1" applyNumberFormat="1" applyFont="1" applyFill="1" applyBorder="1" applyAlignment="1">
      <alignment horizontal="center" vertical="center" wrapText="1"/>
    </xf>
    <xf numFmtId="10" fontId="58" fillId="2" borderId="156" xfId="0" applyNumberFormat="1" applyFont="1" applyFill="1" applyBorder="1" applyAlignment="1">
      <alignment horizontal="center" vertical="center" wrapText="1"/>
    </xf>
    <xf numFmtId="10" fontId="58" fillId="2" borderId="163" xfId="0" applyNumberFormat="1" applyFont="1" applyFill="1" applyBorder="1" applyAlignment="1">
      <alignment horizontal="center" vertical="center" wrapText="1"/>
    </xf>
    <xf numFmtId="10" fontId="58" fillId="2" borderId="164" xfId="0" applyNumberFormat="1" applyFont="1" applyFill="1" applyBorder="1" applyAlignment="1">
      <alignment horizontal="center" vertical="center" wrapText="1"/>
    </xf>
    <xf numFmtId="185" fontId="58" fillId="0" borderId="3" xfId="0" applyNumberFormat="1" applyFont="1" applyBorder="1" applyAlignment="1">
      <alignment horizontal="center"/>
    </xf>
    <xf numFmtId="221" fontId="121" fillId="7" borderId="0" xfId="9943" applyNumberFormat="1" applyFont="1" applyFill="1"/>
    <xf numFmtId="221" fontId="121" fillId="7" borderId="192" xfId="9943" applyNumberFormat="1" applyFont="1" applyFill="1" applyBorder="1" applyAlignment="1"/>
    <xf numFmtId="221" fontId="121" fillId="7" borderId="193" xfId="9943" applyNumberFormat="1" applyFont="1" applyFill="1" applyBorder="1"/>
    <xf numFmtId="221" fontId="121" fillId="7" borderId="193" xfId="9943" applyNumberFormat="1" applyFont="1" applyFill="1" applyBorder="1" applyAlignment="1"/>
    <xf numFmtId="221" fontId="121" fillId="7" borderId="190" xfId="9943" applyNumberFormat="1" applyFont="1" applyFill="1" applyBorder="1" applyAlignment="1"/>
    <xf numFmtId="221" fontId="121" fillId="7" borderId="191" xfId="9943" applyNumberFormat="1" applyFont="1" applyFill="1" applyBorder="1" applyAlignment="1"/>
    <xf numFmtId="221" fontId="58" fillId="0" borderId="0" xfId="9943" applyNumberFormat="1" applyFont="1"/>
    <xf numFmtId="221" fontId="58" fillId="0" borderId="97" xfId="9943" applyNumberFormat="1" applyFont="1" applyBorder="1" applyAlignment="1"/>
    <xf numFmtId="221" fontId="58" fillId="0" borderId="0" xfId="9943" applyNumberFormat="1" applyFont="1" applyBorder="1"/>
    <xf numFmtId="221" fontId="58" fillId="0" borderId="190" xfId="9943" applyNumberFormat="1" applyFont="1" applyBorder="1"/>
    <xf numFmtId="221" fontId="58" fillId="0" borderId="81" xfId="9943" applyNumberFormat="1" applyFont="1" applyBorder="1"/>
    <xf numFmtId="221" fontId="58" fillId="0" borderId="191" xfId="9943" applyNumberFormat="1" applyFont="1" applyBorder="1" applyAlignment="1"/>
    <xf numFmtId="221" fontId="58" fillId="0" borderId="190" xfId="9943" applyNumberFormat="1" applyFont="1" applyFill="1" applyBorder="1"/>
    <xf numFmtId="221" fontId="58" fillId="0" borderId="0" xfId="9943" applyNumberFormat="1" applyFont="1" applyFill="1"/>
    <xf numFmtId="221" fontId="58" fillId="0" borderId="97" xfId="9943" applyNumberFormat="1" applyFont="1" applyFill="1" applyBorder="1" applyAlignment="1"/>
    <xf numFmtId="221" fontId="58" fillId="0" borderId="0" xfId="9943" applyNumberFormat="1" applyFont="1" applyFill="1" applyBorder="1"/>
    <xf numFmtId="221" fontId="58" fillId="0" borderId="81" xfId="9943" applyNumberFormat="1" applyFont="1" applyFill="1" applyBorder="1"/>
    <xf numFmtId="221" fontId="58" fillId="0" borderId="191" xfId="9943" applyNumberFormat="1" applyFont="1" applyFill="1" applyBorder="1" applyAlignment="1"/>
    <xf numFmtId="0" fontId="150" fillId="11" borderId="0" xfId="0" applyFont="1" applyFill="1"/>
    <xf numFmtId="1" fontId="58" fillId="0" borderId="0" xfId="0" applyNumberFormat="1" applyFont="1"/>
    <xf numFmtId="1" fontId="58" fillId="0" borderId="97" xfId="19" applyNumberFormat="1" applyFont="1" applyBorder="1" applyAlignment="1"/>
    <xf numFmtId="2" fontId="58" fillId="0" borderId="0" xfId="0" applyNumberFormat="1" applyFont="1"/>
    <xf numFmtId="2" fontId="58" fillId="0" borderId="157" xfId="0" applyNumberFormat="1" applyFont="1" applyBorder="1"/>
    <xf numFmtId="2" fontId="58" fillId="0" borderId="190" xfId="0" applyNumberFormat="1" applyFont="1" applyBorder="1"/>
    <xf numFmtId="2" fontId="58" fillId="0" borderId="97" xfId="0" applyNumberFormat="1" applyFont="1" applyBorder="1"/>
    <xf numFmtId="2" fontId="58" fillId="0" borderId="160" xfId="0" applyNumberFormat="1" applyFont="1" applyBorder="1"/>
    <xf numFmtId="2" fontId="58" fillId="0" borderId="191" xfId="0" applyNumberFormat="1" applyFont="1" applyBorder="1"/>
    <xf numFmtId="2" fontId="58" fillId="2" borderId="0" xfId="0" applyNumberFormat="1" applyFont="1" applyFill="1"/>
    <xf numFmtId="10" fontId="58" fillId="2" borderId="0" xfId="0" applyNumberFormat="1" applyFont="1" applyFill="1"/>
    <xf numFmtId="2" fontId="185" fillId="2" borderId="161" xfId="0" applyNumberFormat="1" applyFont="1" applyFill="1" applyBorder="1" applyAlignment="1">
      <alignment horizontal="center" vertical="center" wrapText="1"/>
    </xf>
    <xf numFmtId="2" fontId="185" fillId="2" borderId="163" xfId="0" applyNumberFormat="1" applyFont="1" applyFill="1" applyBorder="1" applyAlignment="1">
      <alignment horizontal="center" vertical="center" wrapText="1"/>
    </xf>
    <xf numFmtId="10" fontId="185" fillId="2" borderId="156" xfId="0" applyNumberFormat="1" applyFont="1" applyFill="1" applyBorder="1" applyAlignment="1">
      <alignment horizontal="center" vertical="center"/>
    </xf>
    <xf numFmtId="10" fontId="185" fillId="2" borderId="162" xfId="0" applyNumberFormat="1" applyFont="1" applyFill="1" applyBorder="1" applyAlignment="1">
      <alignment horizontal="center" vertical="center"/>
    </xf>
    <xf numFmtId="10" fontId="185" fillId="2" borderId="163" xfId="0" applyNumberFormat="1" applyFont="1" applyFill="1" applyBorder="1" applyAlignment="1">
      <alignment horizontal="center" vertical="center"/>
    </xf>
    <xf numFmtId="10" fontId="185" fillId="2" borderId="161" xfId="0" applyNumberFormat="1" applyFont="1" applyFill="1" applyBorder="1" applyAlignment="1">
      <alignment horizontal="center" vertical="center"/>
    </xf>
    <xf numFmtId="10" fontId="185" fillId="2" borderId="164" xfId="0" applyNumberFormat="1" applyFont="1" applyFill="1" applyBorder="1" applyAlignment="1">
      <alignment horizontal="center" vertical="center"/>
    </xf>
    <xf numFmtId="175" fontId="58" fillId="0" borderId="95" xfId="21" quotePrefix="1" applyNumberFormat="1" applyFont="1" applyBorder="1" applyAlignment="1">
      <alignment horizontal="center"/>
    </xf>
    <xf numFmtId="4" fontId="121" fillId="7" borderId="123" xfId="17" applyNumberFormat="1" applyFont="1" applyFill="1" applyBorder="1" applyAlignment="1">
      <alignment horizontal="right"/>
    </xf>
    <xf numFmtId="171" fontId="58" fillId="0" borderId="81" xfId="0" applyNumberFormat="1" applyFont="1" applyBorder="1"/>
    <xf numFmtId="185" fontId="58" fillId="0" borderId="81" xfId="9871" applyNumberFormat="1" applyFont="1" applyFill="1" applyBorder="1" applyAlignment="1"/>
    <xf numFmtId="185" fontId="58" fillId="0" borderId="95" xfId="9871" applyNumberFormat="1" applyFont="1" applyFill="1" applyBorder="1" applyAlignment="1"/>
    <xf numFmtId="185" fontId="58" fillId="0" borderId="32" xfId="9871" applyNumberFormat="1" applyFont="1" applyFill="1" applyBorder="1" applyAlignment="1"/>
    <xf numFmtId="185" fontId="58" fillId="0" borderId="82" xfId="9871" applyNumberFormat="1" applyFont="1" applyFill="1" applyBorder="1" applyAlignment="1"/>
    <xf numFmtId="185" fontId="58" fillId="0" borderId="3" xfId="9871" applyNumberFormat="1" applyFont="1" applyFill="1" applyBorder="1" applyAlignment="1"/>
    <xf numFmtId="196" fontId="57" fillId="2" borderId="0" xfId="9943" applyNumberFormat="1" applyFont="1" applyFill="1"/>
    <xf numFmtId="4" fontId="121" fillId="7" borderId="3" xfId="17" applyNumberFormat="1" applyFont="1" applyFill="1" applyBorder="1"/>
    <xf numFmtId="4" fontId="76" fillId="0" borderId="3" xfId="17" applyNumberFormat="1" applyFont="1" applyBorder="1"/>
    <xf numFmtId="179" fontId="57" fillId="2" borderId="0" xfId="15" applyNumberFormat="1" applyFont="1" applyFill="1"/>
    <xf numFmtId="0" fontId="185" fillId="2" borderId="7" xfId="0" applyFont="1" applyFill="1" applyBorder="1" applyAlignment="1">
      <alignment horizontal="center" vertical="center"/>
    </xf>
    <xf numFmtId="0" fontId="185" fillId="2" borderId="91" xfId="0" applyFont="1" applyFill="1" applyBorder="1" applyAlignment="1">
      <alignment horizontal="center" vertical="center"/>
    </xf>
    <xf numFmtId="0" fontId="185" fillId="2" borderId="9" xfId="0" applyFont="1" applyFill="1" applyBorder="1" applyAlignment="1">
      <alignment horizontal="center" vertical="center"/>
    </xf>
    <xf numFmtId="0" fontId="185" fillId="2" borderId="14" xfId="0" applyFont="1" applyFill="1" applyBorder="1" applyAlignment="1">
      <alignment horizontal="center" vertical="center"/>
    </xf>
    <xf numFmtId="0" fontId="185" fillId="2" borderId="13" xfId="0" applyFont="1" applyFill="1" applyBorder="1" applyAlignment="1">
      <alignment horizontal="center" vertical="center"/>
    </xf>
    <xf numFmtId="0" fontId="67" fillId="2" borderId="0" xfId="0" applyFont="1" applyFill="1" applyAlignment="1">
      <alignment horizontal="left" vertical="center"/>
    </xf>
    <xf numFmtId="0" fontId="252" fillId="2" borderId="0" xfId="12" applyFont="1" applyFill="1" applyAlignment="1" applyProtection="1">
      <alignment horizontal="left" vertical="center"/>
    </xf>
    <xf numFmtId="0" fontId="53" fillId="2" borderId="49" xfId="0" applyFont="1" applyFill="1" applyBorder="1" applyAlignment="1">
      <alignment horizontal="center" vertical="center"/>
    </xf>
    <xf numFmtId="0" fontId="67" fillId="2" borderId="194" xfId="0" applyFont="1" applyFill="1" applyBorder="1" applyAlignment="1">
      <alignment horizontal="center" vertical="center"/>
    </xf>
    <xf numFmtId="0" fontId="72" fillId="2" borderId="30" xfId="15" applyFont="1" applyFill="1" applyBorder="1" applyAlignment="1">
      <alignment horizontal="centerContinuous" vertical="center" wrapText="1"/>
    </xf>
    <xf numFmtId="2" fontId="71" fillId="2" borderId="7" xfId="0" applyNumberFormat="1" applyFont="1" applyFill="1" applyBorder="1" applyAlignment="1">
      <alignment horizontal="centerContinuous" vertical="center" wrapText="1"/>
    </xf>
    <xf numFmtId="2" fontId="71" fillId="2" borderId="9" xfId="0" applyNumberFormat="1" applyFont="1" applyFill="1" applyBorder="1" applyAlignment="1">
      <alignment horizontal="centerContinuous" vertical="center" wrapText="1"/>
    </xf>
    <xf numFmtId="0" fontId="71" fillId="2" borderId="182" xfId="0" applyFont="1" applyFill="1" applyBorder="1" applyAlignment="1">
      <alignment horizontal="centerContinuous" vertical="center" wrapText="1"/>
    </xf>
    <xf numFmtId="2" fontId="71" fillId="2" borderId="28" xfId="0" applyNumberFormat="1" applyFont="1" applyFill="1" applyBorder="1" applyAlignment="1">
      <alignment horizontal="centerContinuous" vertical="center" wrapText="1"/>
    </xf>
    <xf numFmtId="2" fontId="71" fillId="2" borderId="184" xfId="0" applyNumberFormat="1" applyFont="1" applyFill="1" applyBorder="1" applyAlignment="1">
      <alignment horizontal="centerContinuous" vertical="center"/>
    </xf>
    <xf numFmtId="10" fontId="71" fillId="2" borderId="184" xfId="0" applyNumberFormat="1" applyFont="1" applyFill="1" applyBorder="1" applyAlignment="1">
      <alignment horizontal="centerContinuous" vertical="center"/>
    </xf>
    <xf numFmtId="0" fontId="116" fillId="11" borderId="182" xfId="21" applyFont="1" applyFill="1" applyBorder="1" applyAlignment="1">
      <alignment horizontal="centerContinuous" vertical="center" wrapText="1"/>
    </xf>
    <xf numFmtId="0" fontId="116" fillId="11" borderId="9" xfId="21" applyFont="1" applyFill="1" applyBorder="1" applyAlignment="1">
      <alignment horizontal="center" vertical="center" wrapText="1"/>
    </xf>
    <xf numFmtId="0" fontId="116" fillId="11" borderId="9" xfId="21" applyFont="1" applyFill="1" applyBorder="1" applyAlignment="1">
      <alignment horizontal="centerContinuous" vertical="center" wrapText="1"/>
    </xf>
    <xf numFmtId="0" fontId="116" fillId="11" borderId="13" xfId="21" applyFont="1" applyFill="1" applyBorder="1" applyAlignment="1">
      <alignment horizontal="center" vertical="center" wrapText="1"/>
    </xf>
    <xf numFmtId="2" fontId="71" fillId="2" borderId="7" xfId="0" applyNumberFormat="1" applyFont="1" applyFill="1" applyBorder="1" applyAlignment="1">
      <alignment horizontal="center" vertical="center" wrapText="1"/>
    </xf>
    <xf numFmtId="2" fontId="58" fillId="2" borderId="91" xfId="0" applyNumberFormat="1" applyFont="1" applyFill="1" applyBorder="1" applyAlignment="1">
      <alignment horizontal="center" vertical="center" wrapText="1"/>
    </xf>
    <xf numFmtId="10" fontId="58" fillId="2" borderId="9" xfId="0" applyNumberFormat="1" applyFont="1" applyFill="1" applyBorder="1" applyAlignment="1">
      <alignment horizontal="center" vertical="center" wrapText="1"/>
    </xf>
    <xf numFmtId="0" fontId="58" fillId="11" borderId="195" xfId="21" applyFont="1" applyFill="1" applyBorder="1" applyAlignment="1">
      <alignment horizontal="centerContinuous" vertical="center" wrapText="1"/>
    </xf>
    <xf numFmtId="0" fontId="58" fillId="0" borderId="130" xfId="21" applyFont="1" applyBorder="1" applyAlignment="1">
      <alignment horizontal="center" vertical="center" wrapText="1"/>
    </xf>
    <xf numFmtId="0" fontId="58" fillId="11" borderId="182" xfId="0" applyFont="1" applyFill="1" applyBorder="1"/>
    <xf numFmtId="0" fontId="58" fillId="11" borderId="121" xfId="0" applyFont="1" applyFill="1" applyBorder="1"/>
    <xf numFmtId="2" fontId="58" fillId="2" borderId="7" xfId="0" applyNumberFormat="1" applyFont="1" applyFill="1" applyBorder="1" applyAlignment="1">
      <alignment horizontal="center" vertical="center" wrapText="1"/>
    </xf>
    <xf numFmtId="2" fontId="58" fillId="2" borderId="91" xfId="0" applyNumberFormat="1" applyFont="1" applyFill="1" applyBorder="1" applyAlignment="1">
      <alignment horizontal="center" vertical="center"/>
    </xf>
    <xf numFmtId="10" fontId="58" fillId="2" borderId="9" xfId="0" applyNumberFormat="1" applyFont="1" applyFill="1" applyBorder="1" applyAlignment="1">
      <alignment horizontal="center" vertical="center"/>
    </xf>
    <xf numFmtId="2" fontId="58" fillId="2" borderId="182" xfId="0" applyNumberFormat="1" applyFont="1" applyFill="1" applyBorder="1" applyAlignment="1">
      <alignment horizontal="center" vertical="center" wrapText="1"/>
    </xf>
    <xf numFmtId="2" fontId="71" fillId="2" borderId="120" xfId="0" quotePrefix="1" applyNumberFormat="1" applyFont="1" applyFill="1" applyBorder="1" applyAlignment="1">
      <alignment horizontal="center" vertical="center" wrapText="1"/>
    </xf>
    <xf numFmtId="10" fontId="71" fillId="2" borderId="38" xfId="0" quotePrefix="1" applyNumberFormat="1" applyFont="1" applyFill="1" applyBorder="1" applyAlignment="1">
      <alignment horizontal="center" vertical="center" wrapText="1"/>
    </xf>
    <xf numFmtId="0" fontId="53" fillId="2" borderId="37" xfId="0" applyFont="1" applyFill="1" applyBorder="1" applyAlignment="1">
      <alignment vertical="center"/>
    </xf>
    <xf numFmtId="0" fontId="53" fillId="2" borderId="38" xfId="0" applyFont="1" applyFill="1" applyBorder="1" applyAlignment="1">
      <alignment vertical="center" wrapText="1"/>
    </xf>
    <xf numFmtId="0" fontId="53" fillId="2" borderId="122" xfId="0" applyFont="1" applyFill="1" applyBorder="1" applyAlignment="1">
      <alignment vertical="center" wrapText="1"/>
    </xf>
    <xf numFmtId="0" fontId="53" fillId="2" borderId="38" xfId="0" applyFont="1" applyFill="1" applyBorder="1" applyAlignment="1">
      <alignment vertical="center"/>
    </xf>
    <xf numFmtId="0" fontId="53" fillId="2" borderId="39" xfId="0" applyFont="1" applyFill="1" applyBorder="1" applyAlignment="1">
      <alignment vertical="center" wrapText="1"/>
    </xf>
    <xf numFmtId="223" fontId="121" fillId="7" borderId="143" xfId="31" applyNumberFormat="1" applyFont="1" applyFill="1" applyBorder="1" applyAlignment="1">
      <alignment horizontal="center"/>
    </xf>
    <xf numFmtId="223" fontId="121" fillId="7" borderId="123" xfId="31" applyNumberFormat="1" applyFont="1" applyFill="1" applyBorder="1" applyAlignment="1">
      <alignment horizontal="center"/>
    </xf>
    <xf numFmtId="223" fontId="121" fillId="7" borderId="95" xfId="31" applyNumberFormat="1" applyFont="1" applyFill="1" applyBorder="1" applyAlignment="1">
      <alignment horizontal="center"/>
    </xf>
    <xf numFmtId="223" fontId="121" fillId="7" borderId="112" xfId="31" applyNumberFormat="1" applyFont="1" applyFill="1" applyBorder="1" applyAlignment="1">
      <alignment horizontal="center"/>
    </xf>
    <xf numFmtId="223" fontId="58" fillId="0" borderId="123" xfId="31" applyNumberFormat="1" applyFont="1" applyFill="1" applyBorder="1" applyAlignment="1">
      <alignment horizontal="center"/>
    </xf>
    <xf numFmtId="223" fontId="58" fillId="0" borderId="95" xfId="31" applyNumberFormat="1" applyFont="1" applyFill="1" applyBorder="1" applyAlignment="1">
      <alignment horizontal="center"/>
    </xf>
    <xf numFmtId="223" fontId="58" fillId="0" borderId="112" xfId="31" applyNumberFormat="1" applyFont="1" applyFill="1" applyBorder="1" applyAlignment="1">
      <alignment horizontal="center"/>
    </xf>
    <xf numFmtId="170" fontId="98" fillId="0" borderId="112" xfId="0" applyNumberFormat="1" applyFont="1" applyBorder="1"/>
    <xf numFmtId="223" fontId="121" fillId="7" borderId="111" xfId="31" applyNumberFormat="1" applyFont="1" applyFill="1" applyBorder="1" applyAlignment="1">
      <alignment horizontal="center"/>
    </xf>
    <xf numFmtId="223" fontId="58" fillId="0" borderId="111" xfId="31" applyNumberFormat="1" applyFont="1" applyFill="1" applyBorder="1" applyAlignment="1">
      <alignment horizontal="center"/>
    </xf>
    <xf numFmtId="223" fontId="58" fillId="0" borderId="81" xfId="31" applyNumberFormat="1" applyFont="1" applyFill="1" applyBorder="1" applyAlignment="1">
      <alignment horizontal="center"/>
    </xf>
    <xf numFmtId="223" fontId="58" fillId="0" borderId="125" xfId="31" applyNumberFormat="1" applyFont="1" applyFill="1" applyBorder="1" applyAlignment="1">
      <alignment horizontal="center"/>
    </xf>
    <xf numFmtId="223" fontId="58" fillId="8" borderId="112" xfId="31" applyNumberFormat="1" applyFont="1" applyFill="1" applyBorder="1" applyAlignment="1">
      <alignment horizontal="center"/>
    </xf>
    <xf numFmtId="170" fontId="98" fillId="0" borderId="111" xfId="0" applyNumberFormat="1" applyFont="1" applyBorder="1"/>
    <xf numFmtId="10" fontId="58" fillId="0" borderId="95" xfId="19" applyNumberFormat="1" applyFont="1" applyBorder="1" applyAlignment="1"/>
    <xf numFmtId="10" fontId="58" fillId="0" borderId="0" xfId="0" applyNumberFormat="1" applyFont="1"/>
    <xf numFmtId="10" fontId="58" fillId="0" borderId="125" xfId="19" applyNumberFormat="1" applyFont="1" applyFill="1" applyBorder="1"/>
    <xf numFmtId="2" fontId="58" fillId="8" borderId="112" xfId="19" applyNumberFormat="1" applyFont="1" applyFill="1" applyBorder="1" applyAlignment="1"/>
    <xf numFmtId="2" fontId="58" fillId="8" borderId="123" xfId="19" applyNumberFormat="1" applyFont="1" applyFill="1" applyBorder="1" applyAlignment="1"/>
    <xf numFmtId="2" fontId="71" fillId="2" borderId="42" xfId="0" applyNumberFormat="1" applyFont="1" applyFill="1" applyBorder="1" applyAlignment="1">
      <alignment horizontal="centerContinuous" vertical="center" wrapText="1"/>
    </xf>
    <xf numFmtId="3" fontId="168" fillId="8" borderId="4" xfId="17" applyNumberFormat="1" applyFont="1" applyFill="1" applyBorder="1" applyAlignment="1">
      <alignment horizontal="center"/>
    </xf>
    <xf numFmtId="3" fontId="76" fillId="8" borderId="4" xfId="17" applyNumberFormat="1" applyFont="1" applyFill="1" applyBorder="1"/>
    <xf numFmtId="3" fontId="76" fillId="8" borderId="83" xfId="17" applyNumberFormat="1" applyFont="1" applyFill="1" applyBorder="1"/>
    <xf numFmtId="171" fontId="98" fillId="5" borderId="134" xfId="0" applyNumberFormat="1" applyFont="1" applyFill="1" applyBorder="1"/>
    <xf numFmtId="223" fontId="58" fillId="0" borderId="143" xfId="31" applyNumberFormat="1" applyFont="1" applyFill="1" applyBorder="1" applyAlignment="1">
      <alignment horizontal="center"/>
    </xf>
    <xf numFmtId="170" fontId="98" fillId="0" borderId="125" xfId="0" applyNumberFormat="1" applyFont="1" applyBorder="1"/>
    <xf numFmtId="173" fontId="58" fillId="0" borderId="123" xfId="17" applyNumberFormat="1" applyFont="1" applyBorder="1"/>
    <xf numFmtId="10" fontId="75" fillId="2" borderId="137" xfId="0" applyNumberFormat="1" applyFont="1" applyFill="1" applyBorder="1" applyAlignment="1">
      <alignment horizontal="center"/>
    </xf>
    <xf numFmtId="0" fontId="71" fillId="2" borderId="42" xfId="0" applyFont="1" applyFill="1" applyBorder="1" applyAlignment="1">
      <alignment horizontal="centerContinuous" vertical="center" wrapText="1"/>
    </xf>
    <xf numFmtId="10" fontId="230" fillId="2" borderId="43" xfId="0" applyNumberFormat="1" applyFont="1" applyFill="1" applyBorder="1" applyAlignment="1">
      <alignment horizontal="center"/>
    </xf>
    <xf numFmtId="10" fontId="58" fillId="2" borderId="42" xfId="0" applyNumberFormat="1" applyFont="1" applyFill="1" applyBorder="1" applyAlignment="1">
      <alignment horizontal="center" vertical="center" wrapText="1"/>
    </xf>
    <xf numFmtId="10" fontId="75" fillId="2" borderId="42" xfId="0" applyNumberFormat="1" applyFont="1" applyFill="1" applyBorder="1" applyAlignment="1">
      <alignment horizontal="center"/>
    </xf>
    <xf numFmtId="10" fontId="58" fillId="2" borderId="42" xfId="0" applyNumberFormat="1" applyFont="1" applyFill="1" applyBorder="1" applyAlignment="1">
      <alignment horizontal="center" vertical="center"/>
    </xf>
    <xf numFmtId="2" fontId="71" fillId="2" borderId="196" xfId="0" applyNumberFormat="1" applyFont="1" applyFill="1" applyBorder="1" applyAlignment="1">
      <alignment horizontal="center" vertical="center" wrapText="1"/>
    </xf>
    <xf numFmtId="10" fontId="71" fillId="2" borderId="136" xfId="0" quotePrefix="1" applyNumberFormat="1" applyFont="1" applyFill="1" applyBorder="1" applyAlignment="1">
      <alignment horizontal="center" vertical="center" wrapText="1"/>
    </xf>
    <xf numFmtId="171" fontId="92" fillId="5" borderId="111" xfId="0" applyNumberFormat="1" applyFont="1" applyFill="1" applyBorder="1"/>
    <xf numFmtId="10" fontId="58" fillId="0" borderId="32" xfId="0" applyNumberFormat="1" applyFont="1" applyBorder="1"/>
    <xf numFmtId="2" fontId="231" fillId="2" borderId="34" xfId="0" applyNumberFormat="1" applyFont="1" applyFill="1" applyBorder="1" applyAlignment="1">
      <alignment horizontal="center"/>
    </xf>
    <xf numFmtId="2" fontId="71" fillId="2" borderId="9" xfId="0" applyNumberFormat="1" applyFont="1" applyFill="1" applyBorder="1" applyAlignment="1">
      <alignment horizontal="center" vertical="center" wrapText="1"/>
    </xf>
    <xf numFmtId="2" fontId="58" fillId="2" borderId="9" xfId="0" applyNumberFormat="1" applyFont="1" applyFill="1" applyBorder="1" applyAlignment="1">
      <alignment horizontal="center" vertical="center" wrapText="1"/>
    </xf>
    <xf numFmtId="2" fontId="71" fillId="2" borderId="38" xfId="0" applyNumberFormat="1" applyFont="1" applyFill="1" applyBorder="1" applyAlignment="1">
      <alignment horizontal="center" vertical="center" wrapText="1"/>
    </xf>
    <xf numFmtId="2" fontId="92" fillId="5" borderId="152" xfId="0" applyNumberFormat="1" applyFont="1" applyFill="1" applyBorder="1"/>
    <xf numFmtId="2" fontId="58" fillId="8" borderId="125" xfId="19" applyNumberFormat="1" applyFont="1" applyFill="1" applyBorder="1" applyAlignment="1"/>
    <xf numFmtId="223" fontId="121" fillId="7" borderId="125" xfId="31" applyNumberFormat="1" applyFont="1" applyFill="1" applyBorder="1" applyAlignment="1">
      <alignment horizontal="center"/>
    </xf>
    <xf numFmtId="2" fontId="75" fillId="0" borderId="149" xfId="0" applyNumberFormat="1" applyFont="1" applyBorder="1" applyAlignment="1">
      <alignment horizontal="center" vertical="center"/>
    </xf>
    <xf numFmtId="2" fontId="75" fillId="0" borderId="91" xfId="0" applyNumberFormat="1" applyFont="1" applyBorder="1" applyAlignment="1">
      <alignment horizontal="center" vertical="center"/>
    </xf>
    <xf numFmtId="2" fontId="75" fillId="0" borderId="93" xfId="0" applyNumberFormat="1" applyFont="1" applyBorder="1" applyAlignment="1">
      <alignment horizontal="center" vertical="center"/>
    </xf>
    <xf numFmtId="2" fontId="75" fillId="0" borderId="109" xfId="0" applyNumberFormat="1" applyFont="1" applyBorder="1" applyAlignment="1">
      <alignment horizontal="center" vertical="center"/>
    </xf>
    <xf numFmtId="2" fontId="75" fillId="0" borderId="28" xfId="0" applyNumberFormat="1" applyFont="1" applyBorder="1" applyAlignment="1">
      <alignment horizontal="center" vertical="center"/>
    </xf>
    <xf numFmtId="2" fontId="75" fillId="0" borderId="184" xfId="0" applyNumberFormat="1" applyFont="1" applyBorder="1" applyAlignment="1">
      <alignment horizontal="center" vertical="center"/>
    </xf>
    <xf numFmtId="2" fontId="75" fillId="0" borderId="183" xfId="0" applyNumberFormat="1" applyFont="1" applyBorder="1" applyAlignment="1">
      <alignment horizontal="center" vertical="center"/>
    </xf>
    <xf numFmtId="2" fontId="75" fillId="0" borderId="92" xfId="0" applyNumberFormat="1" applyFont="1" applyBorder="1" applyAlignment="1">
      <alignment horizontal="center" vertical="center"/>
    </xf>
    <xf numFmtId="0" fontId="72" fillId="11" borderId="140" xfId="15" applyFont="1" applyFill="1" applyBorder="1" applyAlignment="1">
      <alignment horizontal="centerContinuous" vertical="center" wrapText="1"/>
    </xf>
    <xf numFmtId="0" fontId="72" fillId="11" borderId="13" xfId="15" applyFont="1" applyFill="1" applyBorder="1" applyAlignment="1">
      <alignment horizontal="centerContinuous" vertical="center" wrapText="1"/>
    </xf>
    <xf numFmtId="0" fontId="76" fillId="2" borderId="183" xfId="15" applyFont="1" applyFill="1" applyBorder="1" applyAlignment="1">
      <alignment horizontal="centerContinuous" vertical="center" wrapText="1"/>
    </xf>
    <xf numFmtId="173" fontId="76" fillId="5" borderId="83" xfId="17" applyNumberFormat="1" applyFont="1" applyFill="1" applyBorder="1"/>
    <xf numFmtId="3" fontId="92" fillId="4" borderId="84" xfId="17" applyNumberFormat="1" applyFont="1" applyFill="1" applyBorder="1"/>
    <xf numFmtId="3" fontId="76" fillId="0" borderId="83" xfId="17" applyNumberFormat="1" applyFont="1" applyBorder="1"/>
    <xf numFmtId="3" fontId="168" fillId="8" borderId="83" xfId="17" applyNumberFormat="1" applyFont="1" applyFill="1" applyBorder="1" applyAlignment="1">
      <alignment horizontal="center"/>
    </xf>
    <xf numFmtId="170" fontId="58" fillId="0" borderId="125" xfId="0" applyNumberFormat="1" applyFont="1" applyBorder="1"/>
    <xf numFmtId="170" fontId="58" fillId="0" borderId="111" xfId="0" applyNumberFormat="1" applyFont="1" applyBorder="1"/>
    <xf numFmtId="170" fontId="58" fillId="0" borderId="143" xfId="0" applyNumberFormat="1" applyFont="1" applyBorder="1"/>
    <xf numFmtId="10" fontId="57" fillId="2" borderId="0" xfId="19" applyNumberFormat="1" applyFont="1" applyFill="1"/>
    <xf numFmtId="170" fontId="245" fillId="0" borderId="123" xfId="227" applyNumberFormat="1" applyFont="1" applyBorder="1"/>
    <xf numFmtId="170" fontId="245" fillId="0" borderId="3" xfId="227" applyNumberFormat="1" applyFont="1" applyBorder="1"/>
    <xf numFmtId="0" fontId="58" fillId="11" borderId="0" xfId="138" applyFont="1" applyFill="1" applyAlignment="1">
      <alignment horizontal="left" vertical="top"/>
    </xf>
    <xf numFmtId="0" fontId="71" fillId="2" borderId="7" xfId="12413" applyFont="1" applyFill="1" applyBorder="1" applyAlignment="1">
      <alignment horizontal="center" vertical="center" wrapText="1"/>
    </xf>
    <xf numFmtId="0" fontId="71" fillId="2" borderId="9" xfId="12413" applyFont="1" applyFill="1" applyBorder="1" applyAlignment="1">
      <alignment horizontal="center" vertical="center" wrapText="1"/>
    </xf>
    <xf numFmtId="0" fontId="71" fillId="2" borderId="42" xfId="12413" applyFont="1" applyFill="1" applyBorder="1" applyAlignment="1">
      <alignment horizontal="center" vertical="center" wrapText="1"/>
    </xf>
    <xf numFmtId="0" fontId="71" fillId="2" borderId="182" xfId="12413" applyFont="1" applyFill="1" applyBorder="1" applyAlignment="1">
      <alignment horizontal="center" vertical="center" wrapText="1"/>
    </xf>
    <xf numFmtId="0" fontId="71" fillId="2" borderId="13" xfId="12413" applyFont="1" applyFill="1" applyBorder="1" applyAlignment="1">
      <alignment horizontal="center" vertical="center" wrapText="1"/>
    </xf>
    <xf numFmtId="0" fontId="74" fillId="2" borderId="182" xfId="12413" applyFont="1" applyFill="1" applyBorder="1" applyAlignment="1">
      <alignment horizontal="center" vertical="center" wrapText="1"/>
    </xf>
    <xf numFmtId="0" fontId="74" fillId="2" borderId="9" xfId="12413" applyFont="1" applyFill="1" applyBorder="1" applyAlignment="1">
      <alignment horizontal="center" vertical="center" wrapText="1"/>
    </xf>
    <xf numFmtId="0" fontId="74" fillId="2" borderId="13" xfId="12413" applyFont="1" applyFill="1" applyBorder="1" applyAlignment="1">
      <alignment horizontal="center" vertical="center" wrapText="1"/>
    </xf>
    <xf numFmtId="0" fontId="76" fillId="2" borderId="14" xfId="0" applyFont="1" applyFill="1" applyBorder="1" applyAlignment="1">
      <alignment horizontal="center" vertical="center" wrapText="1"/>
    </xf>
    <xf numFmtId="0" fontId="76" fillId="2" borderId="9" xfId="0" applyFont="1" applyFill="1" applyBorder="1" applyAlignment="1">
      <alignment horizontal="center" vertical="center" wrapText="1"/>
    </xf>
    <xf numFmtId="0" fontId="76" fillId="2" borderId="42"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6" fillId="2" borderId="13" xfId="0" applyFont="1" applyFill="1" applyBorder="1" applyAlignment="1">
      <alignment horizontal="center" vertical="center" wrapText="1"/>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3" xfId="0" applyFont="1" applyBorder="1" applyAlignment="1">
      <alignment horizontal="center" vertical="center" wrapText="1"/>
    </xf>
    <xf numFmtId="1" fontId="96" fillId="11" borderId="14" xfId="12" applyNumberFormat="1" applyFont="1" applyFill="1" applyBorder="1" applyAlignment="1" applyProtection="1">
      <alignment horizontal="center" vertical="center"/>
    </xf>
    <xf numFmtId="1" fontId="96" fillId="11" borderId="9" xfId="12" applyNumberFormat="1" applyFont="1" applyFill="1" applyBorder="1" applyAlignment="1" applyProtection="1">
      <alignment horizontal="center" vertical="center"/>
    </xf>
    <xf numFmtId="0" fontId="76" fillId="2" borderId="21" xfId="0" quotePrefix="1" applyFont="1" applyFill="1" applyBorder="1" applyAlignment="1">
      <alignment horizontal="center" vertical="center" wrapText="1"/>
    </xf>
    <xf numFmtId="0" fontId="76" fillId="2" borderId="50" xfId="0" quotePrefix="1" applyFont="1" applyFill="1" applyBorder="1" applyAlignment="1">
      <alignment horizontal="center" vertical="center" wrapText="1"/>
    </xf>
    <xf numFmtId="0" fontId="76" fillId="2" borderId="92" xfId="15" applyFont="1" applyFill="1" applyBorder="1" applyAlignment="1">
      <alignment horizontal="center" vertical="center" wrapText="1"/>
    </xf>
    <xf numFmtId="0" fontId="76" fillId="0" borderId="93" xfId="15" applyFont="1" applyBorder="1" applyAlignment="1">
      <alignment horizontal="center" vertical="center" wrapText="1"/>
    </xf>
    <xf numFmtId="0" fontId="76" fillId="2" borderId="149" xfId="15" quotePrefix="1" applyFont="1" applyFill="1" applyBorder="1" applyAlignment="1">
      <alignment horizontal="center" vertical="center" wrapText="1"/>
    </xf>
    <xf numFmtId="0" fontId="76" fillId="2" borderId="93" xfId="15" quotePrefix="1" applyFont="1" applyFill="1" applyBorder="1" applyAlignment="1">
      <alignment horizontal="center" vertical="center" wrapText="1"/>
    </xf>
    <xf numFmtId="0" fontId="76" fillId="2" borderId="93" xfId="15" applyFont="1" applyFill="1" applyBorder="1" applyAlignment="1">
      <alignment horizontal="center" vertical="center" wrapText="1"/>
    </xf>
    <xf numFmtId="0" fontId="76" fillId="2" borderId="92" xfId="15" quotePrefix="1" applyFont="1" applyFill="1" applyBorder="1" applyAlignment="1">
      <alignment horizontal="center" vertical="center" wrapText="1"/>
    </xf>
    <xf numFmtId="0" fontId="71" fillId="2" borderId="14" xfId="15" applyFont="1" applyFill="1" applyBorder="1" applyAlignment="1">
      <alignment horizontal="center" vertical="center" wrapText="1"/>
    </xf>
    <xf numFmtId="0" fontId="71" fillId="2" borderId="13" xfId="15" applyFont="1" applyFill="1" applyBorder="1" applyAlignment="1">
      <alignment horizontal="center" vertical="center" wrapText="1"/>
    </xf>
    <xf numFmtId="0" fontId="58" fillId="2" borderId="14" xfId="15" applyFont="1" applyFill="1" applyBorder="1" applyAlignment="1">
      <alignment horizontal="center" vertical="center" wrapText="1"/>
    </xf>
    <xf numFmtId="0" fontId="58" fillId="2" borderId="42" xfId="15" applyFont="1" applyFill="1" applyBorder="1" applyAlignment="1">
      <alignment horizontal="center" vertical="center" wrapText="1"/>
    </xf>
    <xf numFmtId="0" fontId="58" fillId="2" borderId="184" xfId="0" applyFont="1" applyFill="1" applyBorder="1" applyAlignment="1">
      <alignment horizontal="centerContinuous" vertical="center" wrapText="1"/>
    </xf>
  </cellXfs>
  <cellStyles count="12414">
    <cellStyle name="20% - Énfasis1" xfId="51" builtinId="30" customBuiltin="1"/>
    <cellStyle name="20% - Énfasis1 10" xfId="9928" xr:uid="{00000000-0005-0000-0000-000001000000}"/>
    <cellStyle name="20% - Énfasis1 10 2" xfId="11666" xr:uid="{00000000-0005-0000-0000-000002000000}"/>
    <cellStyle name="20% - Énfasis1 11" xfId="10260" xr:uid="{00000000-0005-0000-0000-000003000000}"/>
    <cellStyle name="20% - Énfasis1 11 2" xfId="11995" xr:uid="{00000000-0005-0000-0000-000004000000}"/>
    <cellStyle name="20% - Énfasis1 12" xfId="10544" xr:uid="{00000000-0005-0000-0000-000005000000}"/>
    <cellStyle name="20% - Énfasis1 12 2" xfId="12279" xr:uid="{00000000-0005-0000-0000-000006000000}"/>
    <cellStyle name="20% - Énfasis1 13" xfId="10591" xr:uid="{00000000-0005-0000-0000-000007000000}"/>
    <cellStyle name="20% - Énfasis1 13 2" xfId="12324" xr:uid="{00000000-0005-0000-0000-000008000000}"/>
    <cellStyle name="20% - Énfasis1 14" xfId="10611" xr:uid="{00000000-0005-0000-0000-000009000000}"/>
    <cellStyle name="20% - Énfasis1 14 2" xfId="12340" xr:uid="{00000000-0005-0000-0000-00000A000000}"/>
    <cellStyle name="20% - Énfasis1 15" xfId="10632" xr:uid="{00000000-0005-0000-0000-00000B000000}"/>
    <cellStyle name="20% - Énfasis1 16" xfId="12373" xr:uid="{00000000-0005-0000-0000-00000C000000}"/>
    <cellStyle name="20% - Énfasis1 17" xfId="12388" xr:uid="{00000000-0005-0000-0000-00000D000000}"/>
    <cellStyle name="20% - Énfasis1 2" xfId="158" xr:uid="{00000000-0005-0000-0000-00000E000000}"/>
    <cellStyle name="20% - Énfasis1 2 2" xfId="10679" xr:uid="{00000000-0005-0000-0000-00000F000000}"/>
    <cellStyle name="20% - Énfasis1 3" xfId="172" xr:uid="{00000000-0005-0000-0000-000010000000}"/>
    <cellStyle name="20% - Énfasis1 3 2" xfId="10693" xr:uid="{00000000-0005-0000-0000-000011000000}"/>
    <cellStyle name="20% - Énfasis1 4" xfId="186" xr:uid="{00000000-0005-0000-0000-000012000000}"/>
    <cellStyle name="20% - Énfasis1 4 2" xfId="10707" xr:uid="{00000000-0005-0000-0000-000013000000}"/>
    <cellStyle name="20% - Énfasis1 5" xfId="201" xr:uid="{00000000-0005-0000-0000-000014000000}"/>
    <cellStyle name="20% - Énfasis1 5 2" xfId="10722" xr:uid="{00000000-0005-0000-0000-000015000000}"/>
    <cellStyle name="20% - Énfasis1 6" xfId="215" xr:uid="{00000000-0005-0000-0000-000016000000}"/>
    <cellStyle name="20% - Énfasis1 6 2" xfId="10736" xr:uid="{00000000-0005-0000-0000-000017000000}"/>
    <cellStyle name="20% - Énfasis1 7" xfId="9839" xr:uid="{00000000-0005-0000-0000-000018000000}"/>
    <cellStyle name="20% - Énfasis1 7 2" xfId="11626" xr:uid="{00000000-0005-0000-0000-000019000000}"/>
    <cellStyle name="20% - Énfasis1 8" xfId="9858" xr:uid="{00000000-0005-0000-0000-00001A000000}"/>
    <cellStyle name="20% - Énfasis1 8 2" xfId="11644" xr:uid="{00000000-0005-0000-0000-00001B000000}"/>
    <cellStyle name="20% - Énfasis1 9" xfId="9877" xr:uid="{00000000-0005-0000-0000-00001C000000}"/>
    <cellStyle name="20% - Énfasis2" xfId="55" builtinId="34" customBuiltin="1"/>
    <cellStyle name="20% - Énfasis2 10" xfId="9930" xr:uid="{00000000-0005-0000-0000-00001E000000}"/>
    <cellStyle name="20% - Énfasis2 10 2" xfId="11668" xr:uid="{00000000-0005-0000-0000-00001F000000}"/>
    <cellStyle name="20% - Énfasis2 11" xfId="10198" xr:uid="{00000000-0005-0000-0000-000020000000}"/>
    <cellStyle name="20% - Énfasis2 11 2" xfId="11934" xr:uid="{00000000-0005-0000-0000-000021000000}"/>
    <cellStyle name="20% - Énfasis2 12" xfId="10546" xr:uid="{00000000-0005-0000-0000-000022000000}"/>
    <cellStyle name="20% - Énfasis2 12 2" xfId="12281" xr:uid="{00000000-0005-0000-0000-000023000000}"/>
    <cellStyle name="20% - Énfasis2 13" xfId="10593" xr:uid="{00000000-0005-0000-0000-000024000000}"/>
    <cellStyle name="20% - Énfasis2 13 2" xfId="12326" xr:uid="{00000000-0005-0000-0000-000025000000}"/>
    <cellStyle name="20% - Énfasis2 14" xfId="10613" xr:uid="{00000000-0005-0000-0000-000026000000}"/>
    <cellStyle name="20% - Énfasis2 14 2" xfId="12342" xr:uid="{00000000-0005-0000-0000-000027000000}"/>
    <cellStyle name="20% - Énfasis2 15" xfId="10634" xr:uid="{00000000-0005-0000-0000-000028000000}"/>
    <cellStyle name="20% - Énfasis2 16" xfId="12375" xr:uid="{00000000-0005-0000-0000-000029000000}"/>
    <cellStyle name="20% - Énfasis2 17" xfId="12390" xr:uid="{00000000-0005-0000-0000-00002A000000}"/>
    <cellStyle name="20% - Énfasis2 2" xfId="160" xr:uid="{00000000-0005-0000-0000-00002B000000}"/>
    <cellStyle name="20% - Énfasis2 2 2" xfId="10681" xr:uid="{00000000-0005-0000-0000-00002C000000}"/>
    <cellStyle name="20% - Énfasis2 3" xfId="174" xr:uid="{00000000-0005-0000-0000-00002D000000}"/>
    <cellStyle name="20% - Énfasis2 3 2" xfId="10695" xr:uid="{00000000-0005-0000-0000-00002E000000}"/>
    <cellStyle name="20% - Énfasis2 4" xfId="188" xr:uid="{00000000-0005-0000-0000-00002F000000}"/>
    <cellStyle name="20% - Énfasis2 4 2" xfId="10709" xr:uid="{00000000-0005-0000-0000-000030000000}"/>
    <cellStyle name="20% - Énfasis2 5" xfId="203" xr:uid="{00000000-0005-0000-0000-000031000000}"/>
    <cellStyle name="20% - Énfasis2 5 2" xfId="10724" xr:uid="{00000000-0005-0000-0000-000032000000}"/>
    <cellStyle name="20% - Énfasis2 6" xfId="217" xr:uid="{00000000-0005-0000-0000-000033000000}"/>
    <cellStyle name="20% - Énfasis2 6 2" xfId="10738" xr:uid="{00000000-0005-0000-0000-000034000000}"/>
    <cellStyle name="20% - Énfasis2 7" xfId="9841" xr:uid="{00000000-0005-0000-0000-000035000000}"/>
    <cellStyle name="20% - Énfasis2 7 2" xfId="11628" xr:uid="{00000000-0005-0000-0000-000036000000}"/>
    <cellStyle name="20% - Énfasis2 8" xfId="9860" xr:uid="{00000000-0005-0000-0000-000037000000}"/>
    <cellStyle name="20% - Énfasis2 8 2" xfId="11646" xr:uid="{00000000-0005-0000-0000-000038000000}"/>
    <cellStyle name="20% - Énfasis2 9" xfId="9878" xr:uid="{00000000-0005-0000-0000-000039000000}"/>
    <cellStyle name="20% - Énfasis3" xfId="59" builtinId="38" customBuiltin="1"/>
    <cellStyle name="20% - Énfasis3 10" xfId="9932" xr:uid="{00000000-0005-0000-0000-00003B000000}"/>
    <cellStyle name="20% - Énfasis3 10 2" xfId="11670" xr:uid="{00000000-0005-0000-0000-00003C000000}"/>
    <cellStyle name="20% - Énfasis3 11" xfId="9946" xr:uid="{00000000-0005-0000-0000-00003D000000}"/>
    <cellStyle name="20% - Énfasis3 11 2" xfId="11683" xr:uid="{00000000-0005-0000-0000-00003E000000}"/>
    <cellStyle name="20% - Énfasis3 12" xfId="10548" xr:uid="{00000000-0005-0000-0000-00003F000000}"/>
    <cellStyle name="20% - Énfasis3 12 2" xfId="12283" xr:uid="{00000000-0005-0000-0000-000040000000}"/>
    <cellStyle name="20% - Énfasis3 13" xfId="10595" xr:uid="{00000000-0005-0000-0000-000041000000}"/>
    <cellStyle name="20% - Énfasis3 13 2" xfId="12328" xr:uid="{00000000-0005-0000-0000-000042000000}"/>
    <cellStyle name="20% - Énfasis3 14" xfId="10615" xr:uid="{00000000-0005-0000-0000-000043000000}"/>
    <cellStyle name="20% - Énfasis3 14 2" xfId="12344" xr:uid="{00000000-0005-0000-0000-000044000000}"/>
    <cellStyle name="20% - Énfasis3 15" xfId="10636" xr:uid="{00000000-0005-0000-0000-000045000000}"/>
    <cellStyle name="20% - Énfasis3 16" xfId="12377" xr:uid="{00000000-0005-0000-0000-000046000000}"/>
    <cellStyle name="20% - Énfasis3 17" xfId="12392" xr:uid="{00000000-0005-0000-0000-000047000000}"/>
    <cellStyle name="20% - Énfasis3 2" xfId="162" xr:uid="{00000000-0005-0000-0000-000048000000}"/>
    <cellStyle name="20% - Énfasis3 2 2" xfId="10683" xr:uid="{00000000-0005-0000-0000-000049000000}"/>
    <cellStyle name="20% - Énfasis3 3" xfId="176" xr:uid="{00000000-0005-0000-0000-00004A000000}"/>
    <cellStyle name="20% - Énfasis3 3 2" xfId="10697" xr:uid="{00000000-0005-0000-0000-00004B000000}"/>
    <cellStyle name="20% - Énfasis3 4" xfId="190" xr:uid="{00000000-0005-0000-0000-00004C000000}"/>
    <cellStyle name="20% - Énfasis3 4 2" xfId="10711" xr:uid="{00000000-0005-0000-0000-00004D000000}"/>
    <cellStyle name="20% - Énfasis3 5" xfId="205" xr:uid="{00000000-0005-0000-0000-00004E000000}"/>
    <cellStyle name="20% - Énfasis3 5 2" xfId="10726" xr:uid="{00000000-0005-0000-0000-00004F000000}"/>
    <cellStyle name="20% - Énfasis3 6" xfId="219" xr:uid="{00000000-0005-0000-0000-000050000000}"/>
    <cellStyle name="20% - Énfasis3 6 2" xfId="10740" xr:uid="{00000000-0005-0000-0000-000051000000}"/>
    <cellStyle name="20% - Énfasis3 7" xfId="9843" xr:uid="{00000000-0005-0000-0000-000052000000}"/>
    <cellStyle name="20% - Énfasis3 7 2" xfId="11630" xr:uid="{00000000-0005-0000-0000-000053000000}"/>
    <cellStyle name="20% - Énfasis3 8" xfId="9862" xr:uid="{00000000-0005-0000-0000-000054000000}"/>
    <cellStyle name="20% - Énfasis3 8 2" xfId="11648" xr:uid="{00000000-0005-0000-0000-000055000000}"/>
    <cellStyle name="20% - Énfasis3 9" xfId="9879" xr:uid="{00000000-0005-0000-0000-000056000000}"/>
    <cellStyle name="20% - Énfasis4" xfId="63" builtinId="42" customBuiltin="1"/>
    <cellStyle name="20% - Énfasis4 10" xfId="9934" xr:uid="{00000000-0005-0000-0000-000058000000}"/>
    <cellStyle name="20% - Énfasis4 10 2" xfId="11672" xr:uid="{00000000-0005-0000-0000-000059000000}"/>
    <cellStyle name="20% - Énfasis4 11" xfId="10537" xr:uid="{00000000-0005-0000-0000-00005A000000}"/>
    <cellStyle name="20% - Énfasis4 11 2" xfId="12272" xr:uid="{00000000-0005-0000-0000-00005B000000}"/>
    <cellStyle name="20% - Énfasis4 12" xfId="10550" xr:uid="{00000000-0005-0000-0000-00005C000000}"/>
    <cellStyle name="20% - Énfasis4 12 2" xfId="12285" xr:uid="{00000000-0005-0000-0000-00005D000000}"/>
    <cellStyle name="20% - Énfasis4 13" xfId="10597" xr:uid="{00000000-0005-0000-0000-00005E000000}"/>
    <cellStyle name="20% - Énfasis4 13 2" xfId="12330" xr:uid="{00000000-0005-0000-0000-00005F000000}"/>
    <cellStyle name="20% - Énfasis4 14" xfId="10617" xr:uid="{00000000-0005-0000-0000-000060000000}"/>
    <cellStyle name="20% - Énfasis4 14 2" xfId="12346" xr:uid="{00000000-0005-0000-0000-000061000000}"/>
    <cellStyle name="20% - Énfasis4 15" xfId="10638" xr:uid="{00000000-0005-0000-0000-000062000000}"/>
    <cellStyle name="20% - Énfasis4 16" xfId="12379" xr:uid="{00000000-0005-0000-0000-000063000000}"/>
    <cellStyle name="20% - Énfasis4 17" xfId="12394" xr:uid="{00000000-0005-0000-0000-000064000000}"/>
    <cellStyle name="20% - Énfasis4 2" xfId="164" xr:uid="{00000000-0005-0000-0000-000065000000}"/>
    <cellStyle name="20% - Énfasis4 2 2" xfId="10685" xr:uid="{00000000-0005-0000-0000-000066000000}"/>
    <cellStyle name="20% - Énfasis4 3" xfId="178" xr:uid="{00000000-0005-0000-0000-000067000000}"/>
    <cellStyle name="20% - Énfasis4 3 2" xfId="10699" xr:uid="{00000000-0005-0000-0000-000068000000}"/>
    <cellStyle name="20% - Énfasis4 4" xfId="192" xr:uid="{00000000-0005-0000-0000-000069000000}"/>
    <cellStyle name="20% - Énfasis4 4 2" xfId="10713" xr:uid="{00000000-0005-0000-0000-00006A000000}"/>
    <cellStyle name="20% - Énfasis4 5" xfId="207" xr:uid="{00000000-0005-0000-0000-00006B000000}"/>
    <cellStyle name="20% - Énfasis4 5 2" xfId="10728" xr:uid="{00000000-0005-0000-0000-00006C000000}"/>
    <cellStyle name="20% - Énfasis4 6" xfId="221" xr:uid="{00000000-0005-0000-0000-00006D000000}"/>
    <cellStyle name="20% - Énfasis4 6 2" xfId="10742" xr:uid="{00000000-0005-0000-0000-00006E000000}"/>
    <cellStyle name="20% - Énfasis4 7" xfId="9845" xr:uid="{00000000-0005-0000-0000-00006F000000}"/>
    <cellStyle name="20% - Énfasis4 7 2" xfId="11632" xr:uid="{00000000-0005-0000-0000-000070000000}"/>
    <cellStyle name="20% - Énfasis4 8" xfId="9864" xr:uid="{00000000-0005-0000-0000-000071000000}"/>
    <cellStyle name="20% - Énfasis4 8 2" xfId="11650" xr:uid="{00000000-0005-0000-0000-000072000000}"/>
    <cellStyle name="20% - Énfasis4 9" xfId="9880" xr:uid="{00000000-0005-0000-0000-000073000000}"/>
    <cellStyle name="20% - Énfasis5" xfId="67" builtinId="46" customBuiltin="1"/>
    <cellStyle name="20% - Énfasis5 10" xfId="9936" xr:uid="{00000000-0005-0000-0000-000075000000}"/>
    <cellStyle name="20% - Énfasis5 10 2" xfId="11674" xr:uid="{00000000-0005-0000-0000-000076000000}"/>
    <cellStyle name="20% - Énfasis5 11" xfId="9959" xr:uid="{00000000-0005-0000-0000-000077000000}"/>
    <cellStyle name="20% - Énfasis5 11 2" xfId="11695" xr:uid="{00000000-0005-0000-0000-000078000000}"/>
    <cellStyle name="20% - Énfasis5 12" xfId="10552" xr:uid="{00000000-0005-0000-0000-000079000000}"/>
    <cellStyle name="20% - Énfasis5 12 2" xfId="12287" xr:uid="{00000000-0005-0000-0000-00007A000000}"/>
    <cellStyle name="20% - Énfasis5 13" xfId="10599" xr:uid="{00000000-0005-0000-0000-00007B000000}"/>
    <cellStyle name="20% - Énfasis5 13 2" xfId="12332" xr:uid="{00000000-0005-0000-0000-00007C000000}"/>
    <cellStyle name="20% - Énfasis5 14" xfId="10619" xr:uid="{00000000-0005-0000-0000-00007D000000}"/>
    <cellStyle name="20% - Énfasis5 14 2" xfId="12348" xr:uid="{00000000-0005-0000-0000-00007E000000}"/>
    <cellStyle name="20% - Énfasis5 15" xfId="10640" xr:uid="{00000000-0005-0000-0000-00007F000000}"/>
    <cellStyle name="20% - Énfasis5 16" xfId="12381" xr:uid="{00000000-0005-0000-0000-000080000000}"/>
    <cellStyle name="20% - Énfasis5 17" xfId="12396" xr:uid="{00000000-0005-0000-0000-000081000000}"/>
    <cellStyle name="20% - Énfasis5 2" xfId="166" xr:uid="{00000000-0005-0000-0000-000082000000}"/>
    <cellStyle name="20% - Énfasis5 2 2" xfId="10687" xr:uid="{00000000-0005-0000-0000-000083000000}"/>
    <cellStyle name="20% - Énfasis5 3" xfId="180" xr:uid="{00000000-0005-0000-0000-000084000000}"/>
    <cellStyle name="20% - Énfasis5 3 2" xfId="10701" xr:uid="{00000000-0005-0000-0000-000085000000}"/>
    <cellStyle name="20% - Énfasis5 4" xfId="194" xr:uid="{00000000-0005-0000-0000-000086000000}"/>
    <cellStyle name="20% - Énfasis5 4 2" xfId="10715" xr:uid="{00000000-0005-0000-0000-000087000000}"/>
    <cellStyle name="20% - Énfasis5 5" xfId="209" xr:uid="{00000000-0005-0000-0000-000088000000}"/>
    <cellStyle name="20% - Énfasis5 5 2" xfId="10730" xr:uid="{00000000-0005-0000-0000-000089000000}"/>
    <cellStyle name="20% - Énfasis5 6" xfId="223" xr:uid="{00000000-0005-0000-0000-00008A000000}"/>
    <cellStyle name="20% - Énfasis5 6 2" xfId="10744" xr:uid="{00000000-0005-0000-0000-00008B000000}"/>
    <cellStyle name="20% - Énfasis5 7" xfId="9847" xr:uid="{00000000-0005-0000-0000-00008C000000}"/>
    <cellStyle name="20% - Énfasis5 7 2" xfId="11634" xr:uid="{00000000-0005-0000-0000-00008D000000}"/>
    <cellStyle name="20% - Énfasis5 8" xfId="9866" xr:uid="{00000000-0005-0000-0000-00008E000000}"/>
    <cellStyle name="20% - Énfasis5 8 2" xfId="11652" xr:uid="{00000000-0005-0000-0000-00008F000000}"/>
    <cellStyle name="20% - Énfasis5 9" xfId="9881" xr:uid="{00000000-0005-0000-0000-000090000000}"/>
    <cellStyle name="20% - Énfasis6" xfId="71" builtinId="50" customBuiltin="1"/>
    <cellStyle name="20% - Énfasis6 10" xfId="9938" xr:uid="{00000000-0005-0000-0000-000092000000}"/>
    <cellStyle name="20% - Énfasis6 10 2" xfId="11676" xr:uid="{00000000-0005-0000-0000-000093000000}"/>
    <cellStyle name="20% - Énfasis6 11" xfId="10539" xr:uid="{00000000-0005-0000-0000-000094000000}"/>
    <cellStyle name="20% - Énfasis6 11 2" xfId="12274" xr:uid="{00000000-0005-0000-0000-000095000000}"/>
    <cellStyle name="20% - Énfasis6 12" xfId="10554" xr:uid="{00000000-0005-0000-0000-000096000000}"/>
    <cellStyle name="20% - Énfasis6 12 2" xfId="12289" xr:uid="{00000000-0005-0000-0000-000097000000}"/>
    <cellStyle name="20% - Énfasis6 13" xfId="10601" xr:uid="{00000000-0005-0000-0000-000098000000}"/>
    <cellStyle name="20% - Énfasis6 13 2" xfId="12334" xr:uid="{00000000-0005-0000-0000-000099000000}"/>
    <cellStyle name="20% - Énfasis6 14" xfId="10621" xr:uid="{00000000-0005-0000-0000-00009A000000}"/>
    <cellStyle name="20% - Énfasis6 14 2" xfId="12350" xr:uid="{00000000-0005-0000-0000-00009B000000}"/>
    <cellStyle name="20% - Énfasis6 15" xfId="10642" xr:uid="{00000000-0005-0000-0000-00009C000000}"/>
    <cellStyle name="20% - Énfasis6 16" xfId="12383" xr:uid="{00000000-0005-0000-0000-00009D000000}"/>
    <cellStyle name="20% - Énfasis6 17" xfId="12398" xr:uid="{00000000-0005-0000-0000-00009E000000}"/>
    <cellStyle name="20% - Énfasis6 2" xfId="168" xr:uid="{00000000-0005-0000-0000-00009F000000}"/>
    <cellStyle name="20% - Énfasis6 2 2" xfId="10689" xr:uid="{00000000-0005-0000-0000-0000A0000000}"/>
    <cellStyle name="20% - Énfasis6 3" xfId="182" xr:uid="{00000000-0005-0000-0000-0000A1000000}"/>
    <cellStyle name="20% - Énfasis6 3 2" xfId="10703" xr:uid="{00000000-0005-0000-0000-0000A2000000}"/>
    <cellStyle name="20% - Énfasis6 4" xfId="196" xr:uid="{00000000-0005-0000-0000-0000A3000000}"/>
    <cellStyle name="20% - Énfasis6 4 2" xfId="10717" xr:uid="{00000000-0005-0000-0000-0000A4000000}"/>
    <cellStyle name="20% - Énfasis6 5" xfId="211" xr:uid="{00000000-0005-0000-0000-0000A5000000}"/>
    <cellStyle name="20% - Énfasis6 5 2" xfId="10732" xr:uid="{00000000-0005-0000-0000-0000A6000000}"/>
    <cellStyle name="20% - Énfasis6 6" xfId="225" xr:uid="{00000000-0005-0000-0000-0000A7000000}"/>
    <cellStyle name="20% - Énfasis6 6 2" xfId="10746" xr:uid="{00000000-0005-0000-0000-0000A8000000}"/>
    <cellStyle name="20% - Énfasis6 7" xfId="9849" xr:uid="{00000000-0005-0000-0000-0000A9000000}"/>
    <cellStyle name="20% - Énfasis6 7 2" xfId="11636" xr:uid="{00000000-0005-0000-0000-0000AA000000}"/>
    <cellStyle name="20% - Énfasis6 8" xfId="9868" xr:uid="{00000000-0005-0000-0000-0000AB000000}"/>
    <cellStyle name="20% - Énfasis6 8 2" xfId="11654" xr:uid="{00000000-0005-0000-0000-0000AC000000}"/>
    <cellStyle name="20% - Énfasis6 9" xfId="9882" xr:uid="{00000000-0005-0000-0000-0000AD000000}"/>
    <cellStyle name="40% - Énfasis1" xfId="52" builtinId="31" customBuiltin="1"/>
    <cellStyle name="40% - Énfasis1 10" xfId="9929" xr:uid="{00000000-0005-0000-0000-0000AF000000}"/>
    <cellStyle name="40% - Énfasis1 10 2" xfId="11667" xr:uid="{00000000-0005-0000-0000-0000B0000000}"/>
    <cellStyle name="40% - Énfasis1 11" xfId="10199" xr:uid="{00000000-0005-0000-0000-0000B1000000}"/>
    <cellStyle name="40% - Énfasis1 11 2" xfId="11935" xr:uid="{00000000-0005-0000-0000-0000B2000000}"/>
    <cellStyle name="40% - Énfasis1 12" xfId="10545" xr:uid="{00000000-0005-0000-0000-0000B3000000}"/>
    <cellStyle name="40% - Énfasis1 12 2" xfId="12280" xr:uid="{00000000-0005-0000-0000-0000B4000000}"/>
    <cellStyle name="40% - Énfasis1 13" xfId="10592" xr:uid="{00000000-0005-0000-0000-0000B5000000}"/>
    <cellStyle name="40% - Énfasis1 13 2" xfId="12325" xr:uid="{00000000-0005-0000-0000-0000B6000000}"/>
    <cellStyle name="40% - Énfasis1 14" xfId="10612" xr:uid="{00000000-0005-0000-0000-0000B7000000}"/>
    <cellStyle name="40% - Énfasis1 14 2" xfId="12341" xr:uid="{00000000-0005-0000-0000-0000B8000000}"/>
    <cellStyle name="40% - Énfasis1 15" xfId="10633" xr:uid="{00000000-0005-0000-0000-0000B9000000}"/>
    <cellStyle name="40% - Énfasis1 16" xfId="12374" xr:uid="{00000000-0005-0000-0000-0000BA000000}"/>
    <cellStyle name="40% - Énfasis1 17" xfId="12389" xr:uid="{00000000-0005-0000-0000-0000BB000000}"/>
    <cellStyle name="40% - Énfasis1 2" xfId="159" xr:uid="{00000000-0005-0000-0000-0000BC000000}"/>
    <cellStyle name="40% - Énfasis1 2 2" xfId="10680" xr:uid="{00000000-0005-0000-0000-0000BD000000}"/>
    <cellStyle name="40% - Énfasis1 3" xfId="173" xr:uid="{00000000-0005-0000-0000-0000BE000000}"/>
    <cellStyle name="40% - Énfasis1 3 2" xfId="10694" xr:uid="{00000000-0005-0000-0000-0000BF000000}"/>
    <cellStyle name="40% - Énfasis1 4" xfId="187" xr:uid="{00000000-0005-0000-0000-0000C0000000}"/>
    <cellStyle name="40% - Énfasis1 4 2" xfId="10708" xr:uid="{00000000-0005-0000-0000-0000C1000000}"/>
    <cellStyle name="40% - Énfasis1 5" xfId="202" xr:uid="{00000000-0005-0000-0000-0000C2000000}"/>
    <cellStyle name="40% - Énfasis1 5 2" xfId="10723" xr:uid="{00000000-0005-0000-0000-0000C3000000}"/>
    <cellStyle name="40% - Énfasis1 6" xfId="216" xr:uid="{00000000-0005-0000-0000-0000C4000000}"/>
    <cellStyle name="40% - Énfasis1 6 2" xfId="10737" xr:uid="{00000000-0005-0000-0000-0000C5000000}"/>
    <cellStyle name="40% - Énfasis1 7" xfId="9840" xr:uid="{00000000-0005-0000-0000-0000C6000000}"/>
    <cellStyle name="40% - Énfasis1 7 2" xfId="11627" xr:uid="{00000000-0005-0000-0000-0000C7000000}"/>
    <cellStyle name="40% - Énfasis1 8" xfId="9859" xr:uid="{00000000-0005-0000-0000-0000C8000000}"/>
    <cellStyle name="40% - Énfasis1 8 2" xfId="11645" xr:uid="{00000000-0005-0000-0000-0000C9000000}"/>
    <cellStyle name="40% - Énfasis1 9" xfId="9883" xr:uid="{00000000-0005-0000-0000-0000CA000000}"/>
    <cellStyle name="40% - Énfasis2" xfId="56" builtinId="35" customBuiltin="1"/>
    <cellStyle name="40% - Énfasis2 10" xfId="9931" xr:uid="{00000000-0005-0000-0000-0000CC000000}"/>
    <cellStyle name="40% - Énfasis2 10 2" xfId="11669" xr:uid="{00000000-0005-0000-0000-0000CD000000}"/>
    <cellStyle name="40% - Énfasis2 11" xfId="9962" xr:uid="{00000000-0005-0000-0000-0000CE000000}"/>
    <cellStyle name="40% - Énfasis2 11 2" xfId="11698" xr:uid="{00000000-0005-0000-0000-0000CF000000}"/>
    <cellStyle name="40% - Énfasis2 12" xfId="10547" xr:uid="{00000000-0005-0000-0000-0000D0000000}"/>
    <cellStyle name="40% - Énfasis2 12 2" xfId="12282" xr:uid="{00000000-0005-0000-0000-0000D1000000}"/>
    <cellStyle name="40% - Énfasis2 13" xfId="10594" xr:uid="{00000000-0005-0000-0000-0000D2000000}"/>
    <cellStyle name="40% - Énfasis2 13 2" xfId="12327" xr:uid="{00000000-0005-0000-0000-0000D3000000}"/>
    <cellStyle name="40% - Énfasis2 14" xfId="10614" xr:uid="{00000000-0005-0000-0000-0000D4000000}"/>
    <cellStyle name="40% - Énfasis2 14 2" xfId="12343" xr:uid="{00000000-0005-0000-0000-0000D5000000}"/>
    <cellStyle name="40% - Énfasis2 15" xfId="10635" xr:uid="{00000000-0005-0000-0000-0000D6000000}"/>
    <cellStyle name="40% - Énfasis2 16" xfId="12376" xr:uid="{00000000-0005-0000-0000-0000D7000000}"/>
    <cellStyle name="40% - Énfasis2 17" xfId="12391" xr:uid="{00000000-0005-0000-0000-0000D8000000}"/>
    <cellStyle name="40% - Énfasis2 2" xfId="161" xr:uid="{00000000-0005-0000-0000-0000D9000000}"/>
    <cellStyle name="40% - Énfasis2 2 2" xfId="10682" xr:uid="{00000000-0005-0000-0000-0000DA000000}"/>
    <cellStyle name="40% - Énfasis2 3" xfId="175" xr:uid="{00000000-0005-0000-0000-0000DB000000}"/>
    <cellStyle name="40% - Énfasis2 3 2" xfId="10696" xr:uid="{00000000-0005-0000-0000-0000DC000000}"/>
    <cellStyle name="40% - Énfasis2 4" xfId="189" xr:uid="{00000000-0005-0000-0000-0000DD000000}"/>
    <cellStyle name="40% - Énfasis2 4 2" xfId="10710" xr:uid="{00000000-0005-0000-0000-0000DE000000}"/>
    <cellStyle name="40% - Énfasis2 5" xfId="204" xr:uid="{00000000-0005-0000-0000-0000DF000000}"/>
    <cellStyle name="40% - Énfasis2 5 2" xfId="10725" xr:uid="{00000000-0005-0000-0000-0000E0000000}"/>
    <cellStyle name="40% - Énfasis2 6" xfId="218" xr:uid="{00000000-0005-0000-0000-0000E1000000}"/>
    <cellStyle name="40% - Énfasis2 6 2" xfId="10739" xr:uid="{00000000-0005-0000-0000-0000E2000000}"/>
    <cellStyle name="40% - Énfasis2 7" xfId="9842" xr:uid="{00000000-0005-0000-0000-0000E3000000}"/>
    <cellStyle name="40% - Énfasis2 7 2" xfId="11629" xr:uid="{00000000-0005-0000-0000-0000E4000000}"/>
    <cellStyle name="40% - Énfasis2 8" xfId="9861" xr:uid="{00000000-0005-0000-0000-0000E5000000}"/>
    <cellStyle name="40% - Énfasis2 8 2" xfId="11647" xr:uid="{00000000-0005-0000-0000-0000E6000000}"/>
    <cellStyle name="40% - Énfasis2 9" xfId="9884" xr:uid="{00000000-0005-0000-0000-0000E7000000}"/>
    <cellStyle name="40% - Énfasis3" xfId="60" builtinId="39" customBuiltin="1"/>
    <cellStyle name="40% - Énfasis3 10" xfId="9933" xr:uid="{00000000-0005-0000-0000-0000E9000000}"/>
    <cellStyle name="40% - Énfasis3 10 2" xfId="11671" xr:uid="{00000000-0005-0000-0000-0000EA000000}"/>
    <cellStyle name="40% - Énfasis3 11" xfId="9958" xr:uid="{00000000-0005-0000-0000-0000EB000000}"/>
    <cellStyle name="40% - Énfasis3 11 2" xfId="11694" xr:uid="{00000000-0005-0000-0000-0000EC000000}"/>
    <cellStyle name="40% - Énfasis3 12" xfId="10549" xr:uid="{00000000-0005-0000-0000-0000ED000000}"/>
    <cellStyle name="40% - Énfasis3 12 2" xfId="12284" xr:uid="{00000000-0005-0000-0000-0000EE000000}"/>
    <cellStyle name="40% - Énfasis3 13" xfId="10596" xr:uid="{00000000-0005-0000-0000-0000EF000000}"/>
    <cellStyle name="40% - Énfasis3 13 2" xfId="12329" xr:uid="{00000000-0005-0000-0000-0000F0000000}"/>
    <cellStyle name="40% - Énfasis3 14" xfId="10616" xr:uid="{00000000-0005-0000-0000-0000F1000000}"/>
    <cellStyle name="40% - Énfasis3 14 2" xfId="12345" xr:uid="{00000000-0005-0000-0000-0000F2000000}"/>
    <cellStyle name="40% - Énfasis3 15" xfId="10637" xr:uid="{00000000-0005-0000-0000-0000F3000000}"/>
    <cellStyle name="40% - Énfasis3 16" xfId="12378" xr:uid="{00000000-0005-0000-0000-0000F4000000}"/>
    <cellStyle name="40% - Énfasis3 17" xfId="12393" xr:uid="{00000000-0005-0000-0000-0000F5000000}"/>
    <cellStyle name="40% - Énfasis3 2" xfId="163" xr:uid="{00000000-0005-0000-0000-0000F6000000}"/>
    <cellStyle name="40% - Énfasis3 2 2" xfId="10684" xr:uid="{00000000-0005-0000-0000-0000F7000000}"/>
    <cellStyle name="40% - Énfasis3 3" xfId="177" xr:uid="{00000000-0005-0000-0000-0000F8000000}"/>
    <cellStyle name="40% - Énfasis3 3 2" xfId="10698" xr:uid="{00000000-0005-0000-0000-0000F9000000}"/>
    <cellStyle name="40% - Énfasis3 4" xfId="191" xr:uid="{00000000-0005-0000-0000-0000FA000000}"/>
    <cellStyle name="40% - Énfasis3 4 2" xfId="10712" xr:uid="{00000000-0005-0000-0000-0000FB000000}"/>
    <cellStyle name="40% - Énfasis3 5" xfId="206" xr:uid="{00000000-0005-0000-0000-0000FC000000}"/>
    <cellStyle name="40% - Énfasis3 5 2" xfId="10727" xr:uid="{00000000-0005-0000-0000-0000FD000000}"/>
    <cellStyle name="40% - Énfasis3 6" xfId="220" xr:uid="{00000000-0005-0000-0000-0000FE000000}"/>
    <cellStyle name="40% - Énfasis3 6 2" xfId="10741" xr:uid="{00000000-0005-0000-0000-0000FF000000}"/>
    <cellStyle name="40% - Énfasis3 7" xfId="9844" xr:uid="{00000000-0005-0000-0000-000000010000}"/>
    <cellStyle name="40% - Énfasis3 7 2" xfId="11631" xr:uid="{00000000-0005-0000-0000-000001010000}"/>
    <cellStyle name="40% - Énfasis3 8" xfId="9863" xr:uid="{00000000-0005-0000-0000-000002010000}"/>
    <cellStyle name="40% - Énfasis3 8 2" xfId="11649" xr:uid="{00000000-0005-0000-0000-000003010000}"/>
    <cellStyle name="40% - Énfasis3 9" xfId="9885" xr:uid="{00000000-0005-0000-0000-000004010000}"/>
    <cellStyle name="40% - Énfasis4" xfId="64" builtinId="43" customBuiltin="1"/>
    <cellStyle name="40% - Énfasis4 10" xfId="9935" xr:uid="{00000000-0005-0000-0000-000006010000}"/>
    <cellStyle name="40% - Énfasis4 10 2" xfId="11673" xr:uid="{00000000-0005-0000-0000-000007010000}"/>
    <cellStyle name="40% - Énfasis4 11" xfId="10538" xr:uid="{00000000-0005-0000-0000-000008010000}"/>
    <cellStyle name="40% - Énfasis4 11 2" xfId="12273" xr:uid="{00000000-0005-0000-0000-000009010000}"/>
    <cellStyle name="40% - Énfasis4 12" xfId="10551" xr:uid="{00000000-0005-0000-0000-00000A010000}"/>
    <cellStyle name="40% - Énfasis4 12 2" xfId="12286" xr:uid="{00000000-0005-0000-0000-00000B010000}"/>
    <cellStyle name="40% - Énfasis4 13" xfId="10598" xr:uid="{00000000-0005-0000-0000-00000C010000}"/>
    <cellStyle name="40% - Énfasis4 13 2" xfId="12331" xr:uid="{00000000-0005-0000-0000-00000D010000}"/>
    <cellStyle name="40% - Énfasis4 14" xfId="10618" xr:uid="{00000000-0005-0000-0000-00000E010000}"/>
    <cellStyle name="40% - Énfasis4 14 2" xfId="12347" xr:uid="{00000000-0005-0000-0000-00000F010000}"/>
    <cellStyle name="40% - Énfasis4 15" xfId="10639" xr:uid="{00000000-0005-0000-0000-000010010000}"/>
    <cellStyle name="40% - Énfasis4 16" xfId="12380" xr:uid="{00000000-0005-0000-0000-000011010000}"/>
    <cellStyle name="40% - Énfasis4 17" xfId="12395" xr:uid="{00000000-0005-0000-0000-000012010000}"/>
    <cellStyle name="40% - Énfasis4 2" xfId="165" xr:uid="{00000000-0005-0000-0000-000013010000}"/>
    <cellStyle name="40% - Énfasis4 2 2" xfId="10686" xr:uid="{00000000-0005-0000-0000-000014010000}"/>
    <cellStyle name="40% - Énfasis4 3" xfId="179" xr:uid="{00000000-0005-0000-0000-000015010000}"/>
    <cellStyle name="40% - Énfasis4 3 2" xfId="10700" xr:uid="{00000000-0005-0000-0000-000016010000}"/>
    <cellStyle name="40% - Énfasis4 4" xfId="193" xr:uid="{00000000-0005-0000-0000-000017010000}"/>
    <cellStyle name="40% - Énfasis4 4 2" xfId="10714" xr:uid="{00000000-0005-0000-0000-000018010000}"/>
    <cellStyle name="40% - Énfasis4 5" xfId="208" xr:uid="{00000000-0005-0000-0000-000019010000}"/>
    <cellStyle name="40% - Énfasis4 5 2" xfId="10729" xr:uid="{00000000-0005-0000-0000-00001A010000}"/>
    <cellStyle name="40% - Énfasis4 6" xfId="222" xr:uid="{00000000-0005-0000-0000-00001B010000}"/>
    <cellStyle name="40% - Énfasis4 6 2" xfId="10743" xr:uid="{00000000-0005-0000-0000-00001C010000}"/>
    <cellStyle name="40% - Énfasis4 7" xfId="9846" xr:uid="{00000000-0005-0000-0000-00001D010000}"/>
    <cellStyle name="40% - Énfasis4 7 2" xfId="11633" xr:uid="{00000000-0005-0000-0000-00001E010000}"/>
    <cellStyle name="40% - Énfasis4 8" xfId="9865" xr:uid="{00000000-0005-0000-0000-00001F010000}"/>
    <cellStyle name="40% - Énfasis4 8 2" xfId="11651" xr:uid="{00000000-0005-0000-0000-000020010000}"/>
    <cellStyle name="40% - Énfasis4 9" xfId="9886" xr:uid="{00000000-0005-0000-0000-000021010000}"/>
    <cellStyle name="40% - Énfasis5" xfId="68" builtinId="47" customBuiltin="1"/>
    <cellStyle name="40% - Énfasis5 10" xfId="9937" xr:uid="{00000000-0005-0000-0000-000023010000}"/>
    <cellStyle name="40% - Énfasis5 10 2" xfId="11675" xr:uid="{00000000-0005-0000-0000-000024010000}"/>
    <cellStyle name="40% - Énfasis5 11" xfId="10259" xr:uid="{00000000-0005-0000-0000-000025010000}"/>
    <cellStyle name="40% - Énfasis5 11 2" xfId="11994" xr:uid="{00000000-0005-0000-0000-000026010000}"/>
    <cellStyle name="40% - Énfasis5 12" xfId="10553" xr:uid="{00000000-0005-0000-0000-000027010000}"/>
    <cellStyle name="40% - Énfasis5 12 2" xfId="12288" xr:uid="{00000000-0005-0000-0000-000028010000}"/>
    <cellStyle name="40% - Énfasis5 13" xfId="10600" xr:uid="{00000000-0005-0000-0000-000029010000}"/>
    <cellStyle name="40% - Énfasis5 13 2" xfId="12333" xr:uid="{00000000-0005-0000-0000-00002A010000}"/>
    <cellStyle name="40% - Énfasis5 14" xfId="10620" xr:uid="{00000000-0005-0000-0000-00002B010000}"/>
    <cellStyle name="40% - Énfasis5 14 2" xfId="12349" xr:uid="{00000000-0005-0000-0000-00002C010000}"/>
    <cellStyle name="40% - Énfasis5 15" xfId="10641" xr:uid="{00000000-0005-0000-0000-00002D010000}"/>
    <cellStyle name="40% - Énfasis5 16" xfId="12382" xr:uid="{00000000-0005-0000-0000-00002E010000}"/>
    <cellStyle name="40% - Énfasis5 17" xfId="12397" xr:uid="{00000000-0005-0000-0000-00002F010000}"/>
    <cellStyle name="40% - Énfasis5 2" xfId="167" xr:uid="{00000000-0005-0000-0000-000030010000}"/>
    <cellStyle name="40% - Énfasis5 2 2" xfId="10688" xr:uid="{00000000-0005-0000-0000-000031010000}"/>
    <cellStyle name="40% - Énfasis5 3" xfId="181" xr:uid="{00000000-0005-0000-0000-000032010000}"/>
    <cellStyle name="40% - Énfasis5 3 2" xfId="10702" xr:uid="{00000000-0005-0000-0000-000033010000}"/>
    <cellStyle name="40% - Énfasis5 4" xfId="195" xr:uid="{00000000-0005-0000-0000-000034010000}"/>
    <cellStyle name="40% - Énfasis5 4 2" xfId="10716" xr:uid="{00000000-0005-0000-0000-000035010000}"/>
    <cellStyle name="40% - Énfasis5 5" xfId="210" xr:uid="{00000000-0005-0000-0000-000036010000}"/>
    <cellStyle name="40% - Énfasis5 5 2" xfId="10731" xr:uid="{00000000-0005-0000-0000-000037010000}"/>
    <cellStyle name="40% - Énfasis5 6" xfId="224" xr:uid="{00000000-0005-0000-0000-000038010000}"/>
    <cellStyle name="40% - Énfasis5 6 2" xfId="10745" xr:uid="{00000000-0005-0000-0000-000039010000}"/>
    <cellStyle name="40% - Énfasis5 7" xfId="9848" xr:uid="{00000000-0005-0000-0000-00003A010000}"/>
    <cellStyle name="40% - Énfasis5 7 2" xfId="11635" xr:uid="{00000000-0005-0000-0000-00003B010000}"/>
    <cellStyle name="40% - Énfasis5 8" xfId="9867" xr:uid="{00000000-0005-0000-0000-00003C010000}"/>
    <cellStyle name="40% - Énfasis5 8 2" xfId="11653" xr:uid="{00000000-0005-0000-0000-00003D010000}"/>
    <cellStyle name="40% - Énfasis5 9" xfId="9887" xr:uid="{00000000-0005-0000-0000-00003E010000}"/>
    <cellStyle name="40% - Énfasis6" xfId="72" builtinId="51" customBuiltin="1"/>
    <cellStyle name="40% - Énfasis6 10" xfId="9939" xr:uid="{00000000-0005-0000-0000-000040010000}"/>
    <cellStyle name="40% - Énfasis6 10 2" xfId="11677" xr:uid="{00000000-0005-0000-0000-000041010000}"/>
    <cellStyle name="40% - Énfasis6 11" xfId="10540" xr:uid="{00000000-0005-0000-0000-000042010000}"/>
    <cellStyle name="40% - Énfasis6 11 2" xfId="12275" xr:uid="{00000000-0005-0000-0000-000043010000}"/>
    <cellStyle name="40% - Énfasis6 12" xfId="10555" xr:uid="{00000000-0005-0000-0000-000044010000}"/>
    <cellStyle name="40% - Énfasis6 12 2" xfId="12290" xr:uid="{00000000-0005-0000-0000-000045010000}"/>
    <cellStyle name="40% - Énfasis6 13" xfId="10602" xr:uid="{00000000-0005-0000-0000-000046010000}"/>
    <cellStyle name="40% - Énfasis6 13 2" xfId="12335" xr:uid="{00000000-0005-0000-0000-000047010000}"/>
    <cellStyle name="40% - Énfasis6 14" xfId="10622" xr:uid="{00000000-0005-0000-0000-000048010000}"/>
    <cellStyle name="40% - Énfasis6 14 2" xfId="12351" xr:uid="{00000000-0005-0000-0000-000049010000}"/>
    <cellStyle name="40% - Énfasis6 15" xfId="10643" xr:uid="{00000000-0005-0000-0000-00004A010000}"/>
    <cellStyle name="40% - Énfasis6 16" xfId="12384" xr:uid="{00000000-0005-0000-0000-00004B010000}"/>
    <cellStyle name="40% - Énfasis6 17" xfId="12399" xr:uid="{00000000-0005-0000-0000-00004C010000}"/>
    <cellStyle name="40% - Énfasis6 2" xfId="169" xr:uid="{00000000-0005-0000-0000-00004D010000}"/>
    <cellStyle name="40% - Énfasis6 2 2" xfId="10690" xr:uid="{00000000-0005-0000-0000-00004E010000}"/>
    <cellStyle name="40% - Énfasis6 3" xfId="183" xr:uid="{00000000-0005-0000-0000-00004F010000}"/>
    <cellStyle name="40% - Énfasis6 3 2" xfId="10704" xr:uid="{00000000-0005-0000-0000-000050010000}"/>
    <cellStyle name="40% - Énfasis6 4" xfId="197" xr:uid="{00000000-0005-0000-0000-000051010000}"/>
    <cellStyle name="40% - Énfasis6 4 2" xfId="10718" xr:uid="{00000000-0005-0000-0000-000052010000}"/>
    <cellStyle name="40% - Énfasis6 5" xfId="212" xr:uid="{00000000-0005-0000-0000-000053010000}"/>
    <cellStyle name="40% - Énfasis6 5 2" xfId="10733" xr:uid="{00000000-0005-0000-0000-000054010000}"/>
    <cellStyle name="40% - Énfasis6 6" xfId="226" xr:uid="{00000000-0005-0000-0000-000055010000}"/>
    <cellStyle name="40% - Énfasis6 6 2" xfId="10747" xr:uid="{00000000-0005-0000-0000-000056010000}"/>
    <cellStyle name="40% - Énfasis6 7" xfId="9850" xr:uid="{00000000-0005-0000-0000-000057010000}"/>
    <cellStyle name="40% - Énfasis6 7 2" xfId="11637" xr:uid="{00000000-0005-0000-0000-000058010000}"/>
    <cellStyle name="40% - Énfasis6 8" xfId="9869" xr:uid="{00000000-0005-0000-0000-000059010000}"/>
    <cellStyle name="40% - Énfasis6 8 2" xfId="11655" xr:uid="{00000000-0005-0000-0000-00005A010000}"/>
    <cellStyle name="40% - Énfasis6 9" xfId="9888" xr:uid="{00000000-0005-0000-0000-00005B010000}"/>
    <cellStyle name="60% - Énfasis1" xfId="53" builtinId="32" customBuiltin="1"/>
    <cellStyle name="60% - Énfasis1 2" xfId="9889" xr:uid="{00000000-0005-0000-0000-00005D010000}"/>
    <cellStyle name="60% - Énfasis1 3" xfId="10650" xr:uid="{00000000-0005-0000-0000-00005E010000}"/>
    <cellStyle name="60% - Énfasis2" xfId="57" builtinId="36" customBuiltin="1"/>
    <cellStyle name="60% - Énfasis2 2" xfId="9890" xr:uid="{00000000-0005-0000-0000-000060010000}"/>
    <cellStyle name="60% - Énfasis2 3" xfId="10651" xr:uid="{00000000-0005-0000-0000-000061010000}"/>
    <cellStyle name="60% - Énfasis3" xfId="61" builtinId="40" customBuiltin="1"/>
    <cellStyle name="60% - Énfasis3 2" xfId="9891" xr:uid="{00000000-0005-0000-0000-000063010000}"/>
    <cellStyle name="60% - Énfasis3 3" xfId="10652" xr:uid="{00000000-0005-0000-0000-000064010000}"/>
    <cellStyle name="60% - Énfasis4" xfId="65" builtinId="44" customBuiltin="1"/>
    <cellStyle name="60% - Énfasis4 2" xfId="9892" xr:uid="{00000000-0005-0000-0000-000066010000}"/>
    <cellStyle name="60% - Énfasis4 3" xfId="10653" xr:uid="{00000000-0005-0000-0000-000067010000}"/>
    <cellStyle name="60% - Énfasis5" xfId="69" builtinId="48" customBuiltin="1"/>
    <cellStyle name="60% - Énfasis5 2" xfId="9893" xr:uid="{00000000-0005-0000-0000-000069010000}"/>
    <cellStyle name="60% - Énfasis5 3" xfId="10654" xr:uid="{00000000-0005-0000-0000-00006A010000}"/>
    <cellStyle name="60% - Énfasis6" xfId="73" builtinId="52" customBuiltin="1"/>
    <cellStyle name="60% - Énfasis6 2" xfId="9894" xr:uid="{00000000-0005-0000-0000-00006C010000}"/>
    <cellStyle name="60% - Énfasis6 3" xfId="10655" xr:uid="{00000000-0005-0000-0000-00006D010000}"/>
    <cellStyle name="ANCLAS,REZONES Y SUS PARTES,DE FUNDICION,DE HIERRO O DE ACERO" xfId="141" xr:uid="{00000000-0005-0000-0000-00006E010000}"/>
    <cellStyle name="Bueno" xfId="40" builtinId="26" customBuiltin="1"/>
    <cellStyle name="Cabecera 1" xfId="228" xr:uid="{00000000-0005-0000-0000-000070010000}"/>
    <cellStyle name="Cabecera 2" xfId="229" xr:uid="{00000000-0005-0000-0000-000071010000}"/>
    <cellStyle name="Cálculo" xfId="45" builtinId="22" customBuiltin="1"/>
    <cellStyle name="Cálculo 2" xfId="9895" xr:uid="{00000000-0005-0000-0000-000073010000}"/>
    <cellStyle name="Cálculo 2 2" xfId="12361" xr:uid="{00000000-0005-0000-0000-000074010000}"/>
    <cellStyle name="Cálculo 2 3" xfId="12357" xr:uid="{00000000-0005-0000-0000-000075010000}"/>
    <cellStyle name="Cambiar to&amp;do" xfId="10605" xr:uid="{00000000-0005-0000-0000-000076010000}"/>
    <cellStyle name="Celda de comprobación" xfId="47" builtinId="23" customBuiltin="1"/>
    <cellStyle name="Celda de comprobación 2" xfId="9896" xr:uid="{00000000-0005-0000-0000-000078010000}"/>
    <cellStyle name="Celda vinculada" xfId="46" builtinId="24" customBuiltin="1"/>
    <cellStyle name="Celda vinculada 2" xfId="9897" xr:uid="{00000000-0005-0000-0000-00007A010000}"/>
    <cellStyle name="Comma" xfId="1" xr:uid="{00000000-0005-0000-0000-00007B010000}"/>
    <cellStyle name="Comma [0]" xfId="2" xr:uid="{00000000-0005-0000-0000-00007C010000}"/>
    <cellStyle name="Comma_CAT_CATI" xfId="3" xr:uid="{00000000-0005-0000-0000-00007D010000}"/>
    <cellStyle name="Currency" xfId="4" xr:uid="{00000000-0005-0000-0000-00007E010000}"/>
    <cellStyle name="Currency [0]" xfId="5" xr:uid="{00000000-0005-0000-0000-00007F010000}"/>
    <cellStyle name="Currency_CAT_CATI" xfId="6" xr:uid="{00000000-0005-0000-0000-000080010000}"/>
    <cellStyle name="Date" xfId="7" xr:uid="{00000000-0005-0000-0000-000081010000}"/>
    <cellStyle name="Dia" xfId="77" xr:uid="{00000000-0005-0000-0000-000082010000}"/>
    <cellStyle name="Dia 2" xfId="88" xr:uid="{00000000-0005-0000-0000-000083010000}"/>
    <cellStyle name="Encabez1" xfId="78" xr:uid="{00000000-0005-0000-0000-000084010000}"/>
    <cellStyle name="Encabez1 2" xfId="89" xr:uid="{00000000-0005-0000-0000-000085010000}"/>
    <cellStyle name="Encabez2" xfId="79" xr:uid="{00000000-0005-0000-0000-000086010000}"/>
    <cellStyle name="Encabez2 2" xfId="90" xr:uid="{00000000-0005-0000-0000-000087010000}"/>
    <cellStyle name="Encabezado 1" xfId="36" builtinId="16" customBuiltin="1"/>
    <cellStyle name="Encabezado 1 2" xfId="9898" xr:uid="{00000000-0005-0000-0000-000089010000}"/>
    <cellStyle name="Encabezado 4" xfId="39" builtinId="19" customBuiltin="1"/>
    <cellStyle name="Encabezado 4 2" xfId="9899" xr:uid="{00000000-0005-0000-0000-00008B010000}"/>
    <cellStyle name="Énfasis1" xfId="50" builtinId="29" customBuiltin="1"/>
    <cellStyle name="Énfasis1 2" xfId="9900" xr:uid="{00000000-0005-0000-0000-00008D010000}"/>
    <cellStyle name="Énfasis2" xfId="54" builtinId="33" customBuiltin="1"/>
    <cellStyle name="Énfasis2 2" xfId="9901" xr:uid="{00000000-0005-0000-0000-00008F010000}"/>
    <cellStyle name="Énfasis3" xfId="58" builtinId="37" customBuiltin="1"/>
    <cellStyle name="Énfasis3 2" xfId="9902" xr:uid="{00000000-0005-0000-0000-000091010000}"/>
    <cellStyle name="Énfasis4" xfId="62" builtinId="41" customBuiltin="1"/>
    <cellStyle name="Énfasis4 2" xfId="9903" xr:uid="{00000000-0005-0000-0000-000093010000}"/>
    <cellStyle name="Énfasis5" xfId="66" builtinId="45" customBuiltin="1"/>
    <cellStyle name="Énfasis5 2" xfId="9904" xr:uid="{00000000-0005-0000-0000-000095010000}"/>
    <cellStyle name="Énfasis6" xfId="70" builtinId="49" customBuiltin="1"/>
    <cellStyle name="Énfasis6 2" xfId="9905" xr:uid="{00000000-0005-0000-0000-000097010000}"/>
    <cellStyle name="Entrada" xfId="43" builtinId="20" customBuiltin="1"/>
    <cellStyle name="Entrada 2" xfId="9906" xr:uid="{00000000-0005-0000-0000-000099010000}"/>
    <cellStyle name="Entrada 2 2" xfId="12362" xr:uid="{00000000-0005-0000-0000-00009A010000}"/>
    <cellStyle name="Entrada 2 3" xfId="12358" xr:uid="{00000000-0005-0000-0000-00009B010000}"/>
    <cellStyle name="Euro" xfId="8" xr:uid="{00000000-0005-0000-0000-00009C010000}"/>
    <cellStyle name="Euro 10" xfId="230" xr:uid="{00000000-0005-0000-0000-00009D010000}"/>
    <cellStyle name="Euro 10 10" xfId="231" xr:uid="{00000000-0005-0000-0000-00009E010000}"/>
    <cellStyle name="Euro 10 10 2" xfId="4372" xr:uid="{00000000-0005-0000-0000-00009F010000}"/>
    <cellStyle name="Euro 10 11" xfId="232" xr:uid="{00000000-0005-0000-0000-0000A0010000}"/>
    <cellStyle name="Euro 10 11 2" xfId="4373" xr:uid="{00000000-0005-0000-0000-0000A1010000}"/>
    <cellStyle name="Euro 10 12" xfId="233" xr:uid="{00000000-0005-0000-0000-0000A2010000}"/>
    <cellStyle name="Euro 10 12 2" xfId="4374" xr:uid="{00000000-0005-0000-0000-0000A3010000}"/>
    <cellStyle name="Euro 10 13" xfId="234" xr:uid="{00000000-0005-0000-0000-0000A4010000}"/>
    <cellStyle name="Euro 10 13 2" xfId="4375" xr:uid="{00000000-0005-0000-0000-0000A5010000}"/>
    <cellStyle name="Euro 10 14" xfId="235" xr:uid="{00000000-0005-0000-0000-0000A6010000}"/>
    <cellStyle name="Euro 10 14 2" xfId="4376" xr:uid="{00000000-0005-0000-0000-0000A7010000}"/>
    <cellStyle name="Euro 10 15" xfId="236" xr:uid="{00000000-0005-0000-0000-0000A8010000}"/>
    <cellStyle name="Euro 10 15 2" xfId="4377" xr:uid="{00000000-0005-0000-0000-0000A9010000}"/>
    <cellStyle name="Euro 10 16" xfId="237" xr:uid="{00000000-0005-0000-0000-0000AA010000}"/>
    <cellStyle name="Euro 10 16 2" xfId="4378" xr:uid="{00000000-0005-0000-0000-0000AB010000}"/>
    <cellStyle name="Euro 10 17" xfId="238" xr:uid="{00000000-0005-0000-0000-0000AC010000}"/>
    <cellStyle name="Euro 10 17 2" xfId="4379" xr:uid="{00000000-0005-0000-0000-0000AD010000}"/>
    <cellStyle name="Euro 10 18" xfId="239" xr:uid="{00000000-0005-0000-0000-0000AE010000}"/>
    <cellStyle name="Euro 10 18 2" xfId="4380" xr:uid="{00000000-0005-0000-0000-0000AF010000}"/>
    <cellStyle name="Euro 10 19" xfId="240" xr:uid="{00000000-0005-0000-0000-0000B0010000}"/>
    <cellStyle name="Euro 10 19 2" xfId="4381" xr:uid="{00000000-0005-0000-0000-0000B1010000}"/>
    <cellStyle name="Euro 10 2" xfId="241" xr:uid="{00000000-0005-0000-0000-0000B2010000}"/>
    <cellStyle name="Euro 10 2 2" xfId="4382" xr:uid="{00000000-0005-0000-0000-0000B3010000}"/>
    <cellStyle name="Euro 10 20" xfId="242" xr:uid="{00000000-0005-0000-0000-0000B4010000}"/>
    <cellStyle name="Euro 10 20 2" xfId="4383" xr:uid="{00000000-0005-0000-0000-0000B5010000}"/>
    <cellStyle name="Euro 10 21" xfId="243" xr:uid="{00000000-0005-0000-0000-0000B6010000}"/>
    <cellStyle name="Euro 10 21 2" xfId="4384" xr:uid="{00000000-0005-0000-0000-0000B7010000}"/>
    <cellStyle name="Euro 10 22" xfId="244" xr:uid="{00000000-0005-0000-0000-0000B8010000}"/>
    <cellStyle name="Euro 10 22 2" xfId="4385" xr:uid="{00000000-0005-0000-0000-0000B9010000}"/>
    <cellStyle name="Euro 10 23" xfId="245" xr:uid="{00000000-0005-0000-0000-0000BA010000}"/>
    <cellStyle name="Euro 10 23 2" xfId="4386" xr:uid="{00000000-0005-0000-0000-0000BB010000}"/>
    <cellStyle name="Euro 10 24" xfId="246" xr:uid="{00000000-0005-0000-0000-0000BC010000}"/>
    <cellStyle name="Euro 10 24 2" xfId="4387" xr:uid="{00000000-0005-0000-0000-0000BD010000}"/>
    <cellStyle name="Euro 10 25" xfId="247" xr:uid="{00000000-0005-0000-0000-0000BE010000}"/>
    <cellStyle name="Euro 10 25 2" xfId="4388" xr:uid="{00000000-0005-0000-0000-0000BF010000}"/>
    <cellStyle name="Euro 10 26" xfId="248" xr:uid="{00000000-0005-0000-0000-0000C0010000}"/>
    <cellStyle name="Euro 10 26 2" xfId="4389" xr:uid="{00000000-0005-0000-0000-0000C1010000}"/>
    <cellStyle name="Euro 10 27" xfId="249" xr:uid="{00000000-0005-0000-0000-0000C2010000}"/>
    <cellStyle name="Euro 10 27 2" xfId="4390" xr:uid="{00000000-0005-0000-0000-0000C3010000}"/>
    <cellStyle name="Euro 10 28" xfId="250" xr:uid="{00000000-0005-0000-0000-0000C4010000}"/>
    <cellStyle name="Euro 10 28 2" xfId="4391" xr:uid="{00000000-0005-0000-0000-0000C5010000}"/>
    <cellStyle name="Euro 10 29" xfId="4392" xr:uid="{00000000-0005-0000-0000-0000C6010000}"/>
    <cellStyle name="Euro 10 3" xfId="251" xr:uid="{00000000-0005-0000-0000-0000C7010000}"/>
    <cellStyle name="Euro 10 3 2" xfId="4393" xr:uid="{00000000-0005-0000-0000-0000C8010000}"/>
    <cellStyle name="Euro 10 4" xfId="252" xr:uid="{00000000-0005-0000-0000-0000C9010000}"/>
    <cellStyle name="Euro 10 4 2" xfId="4394" xr:uid="{00000000-0005-0000-0000-0000CA010000}"/>
    <cellStyle name="Euro 10 5" xfId="253" xr:uid="{00000000-0005-0000-0000-0000CB010000}"/>
    <cellStyle name="Euro 10 5 2" xfId="4395" xr:uid="{00000000-0005-0000-0000-0000CC010000}"/>
    <cellStyle name="Euro 10 6" xfId="254" xr:uid="{00000000-0005-0000-0000-0000CD010000}"/>
    <cellStyle name="Euro 10 6 2" xfId="4396" xr:uid="{00000000-0005-0000-0000-0000CE010000}"/>
    <cellStyle name="Euro 10 7" xfId="255" xr:uid="{00000000-0005-0000-0000-0000CF010000}"/>
    <cellStyle name="Euro 10 7 2" xfId="4397" xr:uid="{00000000-0005-0000-0000-0000D0010000}"/>
    <cellStyle name="Euro 10 8" xfId="256" xr:uid="{00000000-0005-0000-0000-0000D1010000}"/>
    <cellStyle name="Euro 10 8 2" xfId="4398" xr:uid="{00000000-0005-0000-0000-0000D2010000}"/>
    <cellStyle name="Euro 10 9" xfId="257" xr:uid="{00000000-0005-0000-0000-0000D3010000}"/>
    <cellStyle name="Euro 10 9 2" xfId="4399" xr:uid="{00000000-0005-0000-0000-0000D4010000}"/>
    <cellStyle name="Euro 11" xfId="258" xr:uid="{00000000-0005-0000-0000-0000D5010000}"/>
    <cellStyle name="Euro 11 10" xfId="259" xr:uid="{00000000-0005-0000-0000-0000D6010000}"/>
    <cellStyle name="Euro 11 10 2" xfId="4400" xr:uid="{00000000-0005-0000-0000-0000D7010000}"/>
    <cellStyle name="Euro 11 11" xfId="260" xr:uid="{00000000-0005-0000-0000-0000D8010000}"/>
    <cellStyle name="Euro 11 11 2" xfId="4401" xr:uid="{00000000-0005-0000-0000-0000D9010000}"/>
    <cellStyle name="Euro 11 12" xfId="261" xr:uid="{00000000-0005-0000-0000-0000DA010000}"/>
    <cellStyle name="Euro 11 12 2" xfId="4402" xr:uid="{00000000-0005-0000-0000-0000DB010000}"/>
    <cellStyle name="Euro 11 13" xfId="262" xr:uid="{00000000-0005-0000-0000-0000DC010000}"/>
    <cellStyle name="Euro 11 13 2" xfId="4403" xr:uid="{00000000-0005-0000-0000-0000DD010000}"/>
    <cellStyle name="Euro 11 14" xfId="263" xr:uid="{00000000-0005-0000-0000-0000DE010000}"/>
    <cellStyle name="Euro 11 14 2" xfId="4404" xr:uid="{00000000-0005-0000-0000-0000DF010000}"/>
    <cellStyle name="Euro 11 15" xfId="264" xr:uid="{00000000-0005-0000-0000-0000E0010000}"/>
    <cellStyle name="Euro 11 15 2" xfId="4405" xr:uid="{00000000-0005-0000-0000-0000E1010000}"/>
    <cellStyle name="Euro 11 16" xfId="265" xr:uid="{00000000-0005-0000-0000-0000E2010000}"/>
    <cellStyle name="Euro 11 16 2" xfId="4406" xr:uid="{00000000-0005-0000-0000-0000E3010000}"/>
    <cellStyle name="Euro 11 17" xfId="266" xr:uid="{00000000-0005-0000-0000-0000E4010000}"/>
    <cellStyle name="Euro 11 17 2" xfId="4407" xr:uid="{00000000-0005-0000-0000-0000E5010000}"/>
    <cellStyle name="Euro 11 18" xfId="267" xr:uid="{00000000-0005-0000-0000-0000E6010000}"/>
    <cellStyle name="Euro 11 18 2" xfId="4408" xr:uid="{00000000-0005-0000-0000-0000E7010000}"/>
    <cellStyle name="Euro 11 19" xfId="268" xr:uid="{00000000-0005-0000-0000-0000E8010000}"/>
    <cellStyle name="Euro 11 19 2" xfId="4409" xr:uid="{00000000-0005-0000-0000-0000E9010000}"/>
    <cellStyle name="Euro 11 2" xfId="269" xr:uid="{00000000-0005-0000-0000-0000EA010000}"/>
    <cellStyle name="Euro 11 2 2" xfId="4410" xr:uid="{00000000-0005-0000-0000-0000EB010000}"/>
    <cellStyle name="Euro 11 20" xfId="270" xr:uid="{00000000-0005-0000-0000-0000EC010000}"/>
    <cellStyle name="Euro 11 20 2" xfId="4411" xr:uid="{00000000-0005-0000-0000-0000ED010000}"/>
    <cellStyle name="Euro 11 21" xfId="271" xr:uid="{00000000-0005-0000-0000-0000EE010000}"/>
    <cellStyle name="Euro 11 21 2" xfId="4412" xr:uid="{00000000-0005-0000-0000-0000EF010000}"/>
    <cellStyle name="Euro 11 22" xfId="272" xr:uid="{00000000-0005-0000-0000-0000F0010000}"/>
    <cellStyle name="Euro 11 22 2" xfId="4413" xr:uid="{00000000-0005-0000-0000-0000F1010000}"/>
    <cellStyle name="Euro 11 23" xfId="273" xr:uid="{00000000-0005-0000-0000-0000F2010000}"/>
    <cellStyle name="Euro 11 23 2" xfId="4414" xr:uid="{00000000-0005-0000-0000-0000F3010000}"/>
    <cellStyle name="Euro 11 24" xfId="274" xr:uid="{00000000-0005-0000-0000-0000F4010000}"/>
    <cellStyle name="Euro 11 24 2" xfId="4415" xr:uid="{00000000-0005-0000-0000-0000F5010000}"/>
    <cellStyle name="Euro 11 25" xfId="275" xr:uid="{00000000-0005-0000-0000-0000F6010000}"/>
    <cellStyle name="Euro 11 25 2" xfId="4416" xr:uid="{00000000-0005-0000-0000-0000F7010000}"/>
    <cellStyle name="Euro 11 26" xfId="276" xr:uid="{00000000-0005-0000-0000-0000F8010000}"/>
    <cellStyle name="Euro 11 26 2" xfId="4417" xr:uid="{00000000-0005-0000-0000-0000F9010000}"/>
    <cellStyle name="Euro 11 27" xfId="277" xr:uid="{00000000-0005-0000-0000-0000FA010000}"/>
    <cellStyle name="Euro 11 27 2" xfId="4418" xr:uid="{00000000-0005-0000-0000-0000FB010000}"/>
    <cellStyle name="Euro 11 28" xfId="278" xr:uid="{00000000-0005-0000-0000-0000FC010000}"/>
    <cellStyle name="Euro 11 28 2" xfId="4419" xr:uid="{00000000-0005-0000-0000-0000FD010000}"/>
    <cellStyle name="Euro 11 29" xfId="4420" xr:uid="{00000000-0005-0000-0000-0000FE010000}"/>
    <cellStyle name="Euro 11 3" xfId="279" xr:uid="{00000000-0005-0000-0000-0000FF010000}"/>
    <cellStyle name="Euro 11 3 2" xfId="4421" xr:uid="{00000000-0005-0000-0000-000000020000}"/>
    <cellStyle name="Euro 11 4" xfId="280" xr:uid="{00000000-0005-0000-0000-000001020000}"/>
    <cellStyle name="Euro 11 4 2" xfId="4422" xr:uid="{00000000-0005-0000-0000-000002020000}"/>
    <cellStyle name="Euro 11 5" xfId="281" xr:uid="{00000000-0005-0000-0000-000003020000}"/>
    <cellStyle name="Euro 11 5 2" xfId="4423" xr:uid="{00000000-0005-0000-0000-000004020000}"/>
    <cellStyle name="Euro 11 6" xfId="282" xr:uid="{00000000-0005-0000-0000-000005020000}"/>
    <cellStyle name="Euro 11 6 2" xfId="4424" xr:uid="{00000000-0005-0000-0000-000006020000}"/>
    <cellStyle name="Euro 11 7" xfId="283" xr:uid="{00000000-0005-0000-0000-000007020000}"/>
    <cellStyle name="Euro 11 7 2" xfId="4425" xr:uid="{00000000-0005-0000-0000-000008020000}"/>
    <cellStyle name="Euro 11 8" xfId="284" xr:uid="{00000000-0005-0000-0000-000009020000}"/>
    <cellStyle name="Euro 11 8 2" xfId="4426" xr:uid="{00000000-0005-0000-0000-00000A020000}"/>
    <cellStyle name="Euro 11 9" xfId="285" xr:uid="{00000000-0005-0000-0000-00000B020000}"/>
    <cellStyle name="Euro 11 9 2" xfId="4427" xr:uid="{00000000-0005-0000-0000-00000C020000}"/>
    <cellStyle name="Euro 12" xfId="286" xr:uid="{00000000-0005-0000-0000-00000D020000}"/>
    <cellStyle name="Euro 12 10" xfId="287" xr:uid="{00000000-0005-0000-0000-00000E020000}"/>
    <cellStyle name="Euro 12 10 2" xfId="4428" xr:uid="{00000000-0005-0000-0000-00000F020000}"/>
    <cellStyle name="Euro 12 11" xfId="288" xr:uid="{00000000-0005-0000-0000-000010020000}"/>
    <cellStyle name="Euro 12 11 2" xfId="4429" xr:uid="{00000000-0005-0000-0000-000011020000}"/>
    <cellStyle name="Euro 12 12" xfId="289" xr:uid="{00000000-0005-0000-0000-000012020000}"/>
    <cellStyle name="Euro 12 12 2" xfId="4430" xr:uid="{00000000-0005-0000-0000-000013020000}"/>
    <cellStyle name="Euro 12 13" xfId="290" xr:uid="{00000000-0005-0000-0000-000014020000}"/>
    <cellStyle name="Euro 12 13 2" xfId="4431" xr:uid="{00000000-0005-0000-0000-000015020000}"/>
    <cellStyle name="Euro 12 14" xfId="291" xr:uid="{00000000-0005-0000-0000-000016020000}"/>
    <cellStyle name="Euro 12 14 2" xfId="4432" xr:uid="{00000000-0005-0000-0000-000017020000}"/>
    <cellStyle name="Euro 12 15" xfId="292" xr:uid="{00000000-0005-0000-0000-000018020000}"/>
    <cellStyle name="Euro 12 15 2" xfId="4433" xr:uid="{00000000-0005-0000-0000-000019020000}"/>
    <cellStyle name="Euro 12 16" xfId="293" xr:uid="{00000000-0005-0000-0000-00001A020000}"/>
    <cellStyle name="Euro 12 16 2" xfId="4434" xr:uid="{00000000-0005-0000-0000-00001B020000}"/>
    <cellStyle name="Euro 12 17" xfId="294" xr:uid="{00000000-0005-0000-0000-00001C020000}"/>
    <cellStyle name="Euro 12 17 2" xfId="4435" xr:uid="{00000000-0005-0000-0000-00001D020000}"/>
    <cellStyle name="Euro 12 18" xfId="295" xr:uid="{00000000-0005-0000-0000-00001E020000}"/>
    <cellStyle name="Euro 12 18 2" xfId="4436" xr:uid="{00000000-0005-0000-0000-00001F020000}"/>
    <cellStyle name="Euro 12 19" xfId="296" xr:uid="{00000000-0005-0000-0000-000020020000}"/>
    <cellStyle name="Euro 12 19 2" xfId="4437" xr:uid="{00000000-0005-0000-0000-000021020000}"/>
    <cellStyle name="Euro 12 2" xfId="297" xr:uid="{00000000-0005-0000-0000-000022020000}"/>
    <cellStyle name="Euro 12 2 2" xfId="4438" xr:uid="{00000000-0005-0000-0000-000023020000}"/>
    <cellStyle name="Euro 12 20" xfId="298" xr:uid="{00000000-0005-0000-0000-000024020000}"/>
    <cellStyle name="Euro 12 20 2" xfId="4439" xr:uid="{00000000-0005-0000-0000-000025020000}"/>
    <cellStyle name="Euro 12 21" xfId="299" xr:uid="{00000000-0005-0000-0000-000026020000}"/>
    <cellStyle name="Euro 12 21 2" xfId="4440" xr:uid="{00000000-0005-0000-0000-000027020000}"/>
    <cellStyle name="Euro 12 22" xfId="300" xr:uid="{00000000-0005-0000-0000-000028020000}"/>
    <cellStyle name="Euro 12 22 2" xfId="4441" xr:uid="{00000000-0005-0000-0000-000029020000}"/>
    <cellStyle name="Euro 12 23" xfId="301" xr:uid="{00000000-0005-0000-0000-00002A020000}"/>
    <cellStyle name="Euro 12 23 2" xfId="4442" xr:uid="{00000000-0005-0000-0000-00002B020000}"/>
    <cellStyle name="Euro 12 24" xfId="302" xr:uid="{00000000-0005-0000-0000-00002C020000}"/>
    <cellStyle name="Euro 12 24 2" xfId="4443" xr:uid="{00000000-0005-0000-0000-00002D020000}"/>
    <cellStyle name="Euro 12 25" xfId="303" xr:uid="{00000000-0005-0000-0000-00002E020000}"/>
    <cellStyle name="Euro 12 25 2" xfId="4444" xr:uid="{00000000-0005-0000-0000-00002F020000}"/>
    <cellStyle name="Euro 12 26" xfId="304" xr:uid="{00000000-0005-0000-0000-000030020000}"/>
    <cellStyle name="Euro 12 26 2" xfId="4445" xr:uid="{00000000-0005-0000-0000-000031020000}"/>
    <cellStyle name="Euro 12 27" xfId="305" xr:uid="{00000000-0005-0000-0000-000032020000}"/>
    <cellStyle name="Euro 12 27 2" xfId="4446" xr:uid="{00000000-0005-0000-0000-000033020000}"/>
    <cellStyle name="Euro 12 28" xfId="306" xr:uid="{00000000-0005-0000-0000-000034020000}"/>
    <cellStyle name="Euro 12 28 2" xfId="4447" xr:uid="{00000000-0005-0000-0000-000035020000}"/>
    <cellStyle name="Euro 12 29" xfId="4448" xr:uid="{00000000-0005-0000-0000-000036020000}"/>
    <cellStyle name="Euro 12 3" xfId="307" xr:uid="{00000000-0005-0000-0000-000037020000}"/>
    <cellStyle name="Euro 12 3 2" xfId="4449" xr:uid="{00000000-0005-0000-0000-000038020000}"/>
    <cellStyle name="Euro 12 4" xfId="308" xr:uid="{00000000-0005-0000-0000-000039020000}"/>
    <cellStyle name="Euro 12 4 2" xfId="4450" xr:uid="{00000000-0005-0000-0000-00003A020000}"/>
    <cellStyle name="Euro 12 5" xfId="309" xr:uid="{00000000-0005-0000-0000-00003B020000}"/>
    <cellStyle name="Euro 12 5 2" xfId="4451" xr:uid="{00000000-0005-0000-0000-00003C020000}"/>
    <cellStyle name="Euro 12 6" xfId="310" xr:uid="{00000000-0005-0000-0000-00003D020000}"/>
    <cellStyle name="Euro 12 6 2" xfId="4452" xr:uid="{00000000-0005-0000-0000-00003E020000}"/>
    <cellStyle name="Euro 12 7" xfId="311" xr:uid="{00000000-0005-0000-0000-00003F020000}"/>
    <cellStyle name="Euro 12 7 2" xfId="4453" xr:uid="{00000000-0005-0000-0000-000040020000}"/>
    <cellStyle name="Euro 12 8" xfId="312" xr:uid="{00000000-0005-0000-0000-000041020000}"/>
    <cellStyle name="Euro 12 8 2" xfId="4454" xr:uid="{00000000-0005-0000-0000-000042020000}"/>
    <cellStyle name="Euro 12 9" xfId="313" xr:uid="{00000000-0005-0000-0000-000043020000}"/>
    <cellStyle name="Euro 12 9 2" xfId="4455" xr:uid="{00000000-0005-0000-0000-000044020000}"/>
    <cellStyle name="Euro 13" xfId="314" xr:uid="{00000000-0005-0000-0000-000045020000}"/>
    <cellStyle name="Euro 13 10" xfId="315" xr:uid="{00000000-0005-0000-0000-000046020000}"/>
    <cellStyle name="Euro 13 10 2" xfId="4456" xr:uid="{00000000-0005-0000-0000-000047020000}"/>
    <cellStyle name="Euro 13 11" xfId="316" xr:uid="{00000000-0005-0000-0000-000048020000}"/>
    <cellStyle name="Euro 13 11 2" xfId="4457" xr:uid="{00000000-0005-0000-0000-000049020000}"/>
    <cellStyle name="Euro 13 12" xfId="317" xr:uid="{00000000-0005-0000-0000-00004A020000}"/>
    <cellStyle name="Euro 13 12 2" xfId="4458" xr:uid="{00000000-0005-0000-0000-00004B020000}"/>
    <cellStyle name="Euro 13 13" xfId="318" xr:uid="{00000000-0005-0000-0000-00004C020000}"/>
    <cellStyle name="Euro 13 13 2" xfId="4459" xr:uid="{00000000-0005-0000-0000-00004D020000}"/>
    <cellStyle name="Euro 13 14" xfId="319" xr:uid="{00000000-0005-0000-0000-00004E020000}"/>
    <cellStyle name="Euro 13 14 2" xfId="4460" xr:uid="{00000000-0005-0000-0000-00004F020000}"/>
    <cellStyle name="Euro 13 15" xfId="320" xr:uid="{00000000-0005-0000-0000-000050020000}"/>
    <cellStyle name="Euro 13 15 2" xfId="4461" xr:uid="{00000000-0005-0000-0000-000051020000}"/>
    <cellStyle name="Euro 13 16" xfId="321" xr:uid="{00000000-0005-0000-0000-000052020000}"/>
    <cellStyle name="Euro 13 16 2" xfId="4462" xr:uid="{00000000-0005-0000-0000-000053020000}"/>
    <cellStyle name="Euro 13 17" xfId="322" xr:uid="{00000000-0005-0000-0000-000054020000}"/>
    <cellStyle name="Euro 13 17 2" xfId="4463" xr:uid="{00000000-0005-0000-0000-000055020000}"/>
    <cellStyle name="Euro 13 18" xfId="323" xr:uid="{00000000-0005-0000-0000-000056020000}"/>
    <cellStyle name="Euro 13 18 2" xfId="4464" xr:uid="{00000000-0005-0000-0000-000057020000}"/>
    <cellStyle name="Euro 13 19" xfId="324" xr:uid="{00000000-0005-0000-0000-000058020000}"/>
    <cellStyle name="Euro 13 19 2" xfId="4465" xr:uid="{00000000-0005-0000-0000-000059020000}"/>
    <cellStyle name="Euro 13 2" xfId="325" xr:uid="{00000000-0005-0000-0000-00005A020000}"/>
    <cellStyle name="Euro 13 2 2" xfId="4466" xr:uid="{00000000-0005-0000-0000-00005B020000}"/>
    <cellStyle name="Euro 13 20" xfId="326" xr:uid="{00000000-0005-0000-0000-00005C020000}"/>
    <cellStyle name="Euro 13 20 2" xfId="4467" xr:uid="{00000000-0005-0000-0000-00005D020000}"/>
    <cellStyle name="Euro 13 21" xfId="327" xr:uid="{00000000-0005-0000-0000-00005E020000}"/>
    <cellStyle name="Euro 13 21 2" xfId="4468" xr:uid="{00000000-0005-0000-0000-00005F020000}"/>
    <cellStyle name="Euro 13 22" xfId="328" xr:uid="{00000000-0005-0000-0000-000060020000}"/>
    <cellStyle name="Euro 13 22 2" xfId="4469" xr:uid="{00000000-0005-0000-0000-000061020000}"/>
    <cellStyle name="Euro 13 23" xfId="329" xr:uid="{00000000-0005-0000-0000-000062020000}"/>
    <cellStyle name="Euro 13 23 2" xfId="4470" xr:uid="{00000000-0005-0000-0000-000063020000}"/>
    <cellStyle name="Euro 13 24" xfId="330" xr:uid="{00000000-0005-0000-0000-000064020000}"/>
    <cellStyle name="Euro 13 24 2" xfId="4471" xr:uid="{00000000-0005-0000-0000-000065020000}"/>
    <cellStyle name="Euro 13 25" xfId="331" xr:uid="{00000000-0005-0000-0000-000066020000}"/>
    <cellStyle name="Euro 13 25 2" xfId="4472" xr:uid="{00000000-0005-0000-0000-000067020000}"/>
    <cellStyle name="Euro 13 26" xfId="332" xr:uid="{00000000-0005-0000-0000-000068020000}"/>
    <cellStyle name="Euro 13 26 2" xfId="4473" xr:uid="{00000000-0005-0000-0000-000069020000}"/>
    <cellStyle name="Euro 13 27" xfId="333" xr:uid="{00000000-0005-0000-0000-00006A020000}"/>
    <cellStyle name="Euro 13 27 2" xfId="4474" xr:uid="{00000000-0005-0000-0000-00006B020000}"/>
    <cellStyle name="Euro 13 28" xfId="334" xr:uid="{00000000-0005-0000-0000-00006C020000}"/>
    <cellStyle name="Euro 13 28 2" xfId="4475" xr:uid="{00000000-0005-0000-0000-00006D020000}"/>
    <cellStyle name="Euro 13 29" xfId="4476" xr:uid="{00000000-0005-0000-0000-00006E020000}"/>
    <cellStyle name="Euro 13 3" xfId="335" xr:uid="{00000000-0005-0000-0000-00006F020000}"/>
    <cellStyle name="Euro 13 3 2" xfId="4477" xr:uid="{00000000-0005-0000-0000-000070020000}"/>
    <cellStyle name="Euro 13 4" xfId="336" xr:uid="{00000000-0005-0000-0000-000071020000}"/>
    <cellStyle name="Euro 13 4 2" xfId="4478" xr:uid="{00000000-0005-0000-0000-000072020000}"/>
    <cellStyle name="Euro 13 5" xfId="337" xr:uid="{00000000-0005-0000-0000-000073020000}"/>
    <cellStyle name="Euro 13 5 2" xfId="4479" xr:uid="{00000000-0005-0000-0000-000074020000}"/>
    <cellStyle name="Euro 13 6" xfId="338" xr:uid="{00000000-0005-0000-0000-000075020000}"/>
    <cellStyle name="Euro 13 6 2" xfId="4480" xr:uid="{00000000-0005-0000-0000-000076020000}"/>
    <cellStyle name="Euro 13 7" xfId="339" xr:uid="{00000000-0005-0000-0000-000077020000}"/>
    <cellStyle name="Euro 13 7 2" xfId="4481" xr:uid="{00000000-0005-0000-0000-000078020000}"/>
    <cellStyle name="Euro 13 8" xfId="340" xr:uid="{00000000-0005-0000-0000-000079020000}"/>
    <cellStyle name="Euro 13 8 2" xfId="4482" xr:uid="{00000000-0005-0000-0000-00007A020000}"/>
    <cellStyle name="Euro 13 9" xfId="341" xr:uid="{00000000-0005-0000-0000-00007B020000}"/>
    <cellStyle name="Euro 13 9 2" xfId="4483" xr:uid="{00000000-0005-0000-0000-00007C020000}"/>
    <cellStyle name="Euro 14" xfId="342" xr:uid="{00000000-0005-0000-0000-00007D020000}"/>
    <cellStyle name="Euro 14 10" xfId="343" xr:uid="{00000000-0005-0000-0000-00007E020000}"/>
    <cellStyle name="Euro 14 10 2" xfId="4484" xr:uid="{00000000-0005-0000-0000-00007F020000}"/>
    <cellStyle name="Euro 14 11" xfId="344" xr:uid="{00000000-0005-0000-0000-000080020000}"/>
    <cellStyle name="Euro 14 11 2" xfId="4485" xr:uid="{00000000-0005-0000-0000-000081020000}"/>
    <cellStyle name="Euro 14 12" xfId="345" xr:uid="{00000000-0005-0000-0000-000082020000}"/>
    <cellStyle name="Euro 14 12 2" xfId="4486" xr:uid="{00000000-0005-0000-0000-000083020000}"/>
    <cellStyle name="Euro 14 13" xfId="346" xr:uid="{00000000-0005-0000-0000-000084020000}"/>
    <cellStyle name="Euro 14 13 2" xfId="4487" xr:uid="{00000000-0005-0000-0000-000085020000}"/>
    <cellStyle name="Euro 14 14" xfId="347" xr:uid="{00000000-0005-0000-0000-000086020000}"/>
    <cellStyle name="Euro 14 14 2" xfId="4488" xr:uid="{00000000-0005-0000-0000-000087020000}"/>
    <cellStyle name="Euro 14 15" xfId="348" xr:uid="{00000000-0005-0000-0000-000088020000}"/>
    <cellStyle name="Euro 14 15 2" xfId="4489" xr:uid="{00000000-0005-0000-0000-000089020000}"/>
    <cellStyle name="Euro 14 16" xfId="349" xr:uid="{00000000-0005-0000-0000-00008A020000}"/>
    <cellStyle name="Euro 14 16 2" xfId="4490" xr:uid="{00000000-0005-0000-0000-00008B020000}"/>
    <cellStyle name="Euro 14 17" xfId="350" xr:uid="{00000000-0005-0000-0000-00008C020000}"/>
    <cellStyle name="Euro 14 17 2" xfId="4491" xr:uid="{00000000-0005-0000-0000-00008D020000}"/>
    <cellStyle name="Euro 14 18" xfId="351" xr:uid="{00000000-0005-0000-0000-00008E020000}"/>
    <cellStyle name="Euro 14 18 2" xfId="4492" xr:uid="{00000000-0005-0000-0000-00008F020000}"/>
    <cellStyle name="Euro 14 19" xfId="352" xr:uid="{00000000-0005-0000-0000-000090020000}"/>
    <cellStyle name="Euro 14 19 2" xfId="4493" xr:uid="{00000000-0005-0000-0000-000091020000}"/>
    <cellStyle name="Euro 14 2" xfId="353" xr:uid="{00000000-0005-0000-0000-000092020000}"/>
    <cellStyle name="Euro 14 2 2" xfId="4494" xr:uid="{00000000-0005-0000-0000-000093020000}"/>
    <cellStyle name="Euro 14 20" xfId="354" xr:uid="{00000000-0005-0000-0000-000094020000}"/>
    <cellStyle name="Euro 14 20 2" xfId="4495" xr:uid="{00000000-0005-0000-0000-000095020000}"/>
    <cellStyle name="Euro 14 21" xfId="355" xr:uid="{00000000-0005-0000-0000-000096020000}"/>
    <cellStyle name="Euro 14 21 2" xfId="4496" xr:uid="{00000000-0005-0000-0000-000097020000}"/>
    <cellStyle name="Euro 14 22" xfId="356" xr:uid="{00000000-0005-0000-0000-000098020000}"/>
    <cellStyle name="Euro 14 22 2" xfId="4497" xr:uid="{00000000-0005-0000-0000-000099020000}"/>
    <cellStyle name="Euro 14 23" xfId="357" xr:uid="{00000000-0005-0000-0000-00009A020000}"/>
    <cellStyle name="Euro 14 23 2" xfId="4498" xr:uid="{00000000-0005-0000-0000-00009B020000}"/>
    <cellStyle name="Euro 14 24" xfId="358" xr:uid="{00000000-0005-0000-0000-00009C020000}"/>
    <cellStyle name="Euro 14 24 2" xfId="4499" xr:uid="{00000000-0005-0000-0000-00009D020000}"/>
    <cellStyle name="Euro 14 25" xfId="359" xr:uid="{00000000-0005-0000-0000-00009E020000}"/>
    <cellStyle name="Euro 14 25 2" xfId="4500" xr:uid="{00000000-0005-0000-0000-00009F020000}"/>
    <cellStyle name="Euro 14 26" xfId="360" xr:uid="{00000000-0005-0000-0000-0000A0020000}"/>
    <cellStyle name="Euro 14 26 2" xfId="4501" xr:uid="{00000000-0005-0000-0000-0000A1020000}"/>
    <cellStyle name="Euro 14 27" xfId="361" xr:uid="{00000000-0005-0000-0000-0000A2020000}"/>
    <cellStyle name="Euro 14 27 2" xfId="4502" xr:uid="{00000000-0005-0000-0000-0000A3020000}"/>
    <cellStyle name="Euro 14 28" xfId="362" xr:uid="{00000000-0005-0000-0000-0000A4020000}"/>
    <cellStyle name="Euro 14 28 2" xfId="4503" xr:uid="{00000000-0005-0000-0000-0000A5020000}"/>
    <cellStyle name="Euro 14 29" xfId="4504" xr:uid="{00000000-0005-0000-0000-0000A6020000}"/>
    <cellStyle name="Euro 14 3" xfId="363" xr:uid="{00000000-0005-0000-0000-0000A7020000}"/>
    <cellStyle name="Euro 14 3 2" xfId="4505" xr:uid="{00000000-0005-0000-0000-0000A8020000}"/>
    <cellStyle name="Euro 14 4" xfId="364" xr:uid="{00000000-0005-0000-0000-0000A9020000}"/>
    <cellStyle name="Euro 14 4 2" xfId="4506" xr:uid="{00000000-0005-0000-0000-0000AA020000}"/>
    <cellStyle name="Euro 14 5" xfId="365" xr:uid="{00000000-0005-0000-0000-0000AB020000}"/>
    <cellStyle name="Euro 14 5 2" xfId="4507" xr:uid="{00000000-0005-0000-0000-0000AC020000}"/>
    <cellStyle name="Euro 14 6" xfId="366" xr:uid="{00000000-0005-0000-0000-0000AD020000}"/>
    <cellStyle name="Euro 14 6 2" xfId="4508" xr:uid="{00000000-0005-0000-0000-0000AE020000}"/>
    <cellStyle name="Euro 14 7" xfId="367" xr:uid="{00000000-0005-0000-0000-0000AF020000}"/>
    <cellStyle name="Euro 14 7 2" xfId="4509" xr:uid="{00000000-0005-0000-0000-0000B0020000}"/>
    <cellStyle name="Euro 14 8" xfId="368" xr:uid="{00000000-0005-0000-0000-0000B1020000}"/>
    <cellStyle name="Euro 14 8 2" xfId="4510" xr:uid="{00000000-0005-0000-0000-0000B2020000}"/>
    <cellStyle name="Euro 14 9" xfId="369" xr:uid="{00000000-0005-0000-0000-0000B3020000}"/>
    <cellStyle name="Euro 14 9 2" xfId="4511" xr:uid="{00000000-0005-0000-0000-0000B4020000}"/>
    <cellStyle name="Euro 15" xfId="370" xr:uid="{00000000-0005-0000-0000-0000B5020000}"/>
    <cellStyle name="Euro 15 10" xfId="371" xr:uid="{00000000-0005-0000-0000-0000B6020000}"/>
    <cellStyle name="Euro 15 10 2" xfId="4512" xr:uid="{00000000-0005-0000-0000-0000B7020000}"/>
    <cellStyle name="Euro 15 11" xfId="372" xr:uid="{00000000-0005-0000-0000-0000B8020000}"/>
    <cellStyle name="Euro 15 11 2" xfId="4513" xr:uid="{00000000-0005-0000-0000-0000B9020000}"/>
    <cellStyle name="Euro 15 12" xfId="373" xr:uid="{00000000-0005-0000-0000-0000BA020000}"/>
    <cellStyle name="Euro 15 12 2" xfId="4514" xr:uid="{00000000-0005-0000-0000-0000BB020000}"/>
    <cellStyle name="Euro 15 13" xfId="374" xr:uid="{00000000-0005-0000-0000-0000BC020000}"/>
    <cellStyle name="Euro 15 13 2" xfId="4515" xr:uid="{00000000-0005-0000-0000-0000BD020000}"/>
    <cellStyle name="Euro 15 14" xfId="375" xr:uid="{00000000-0005-0000-0000-0000BE020000}"/>
    <cellStyle name="Euro 15 14 2" xfId="4516" xr:uid="{00000000-0005-0000-0000-0000BF020000}"/>
    <cellStyle name="Euro 15 15" xfId="376" xr:uid="{00000000-0005-0000-0000-0000C0020000}"/>
    <cellStyle name="Euro 15 15 2" xfId="4517" xr:uid="{00000000-0005-0000-0000-0000C1020000}"/>
    <cellStyle name="Euro 15 16" xfId="377" xr:uid="{00000000-0005-0000-0000-0000C2020000}"/>
    <cellStyle name="Euro 15 16 2" xfId="4518" xr:uid="{00000000-0005-0000-0000-0000C3020000}"/>
    <cellStyle name="Euro 15 17" xfId="378" xr:uid="{00000000-0005-0000-0000-0000C4020000}"/>
    <cellStyle name="Euro 15 17 2" xfId="4519" xr:uid="{00000000-0005-0000-0000-0000C5020000}"/>
    <cellStyle name="Euro 15 18" xfId="379" xr:uid="{00000000-0005-0000-0000-0000C6020000}"/>
    <cellStyle name="Euro 15 18 2" xfId="4520" xr:uid="{00000000-0005-0000-0000-0000C7020000}"/>
    <cellStyle name="Euro 15 19" xfId="380" xr:uid="{00000000-0005-0000-0000-0000C8020000}"/>
    <cellStyle name="Euro 15 19 2" xfId="4521" xr:uid="{00000000-0005-0000-0000-0000C9020000}"/>
    <cellStyle name="Euro 15 2" xfId="381" xr:uid="{00000000-0005-0000-0000-0000CA020000}"/>
    <cellStyle name="Euro 15 2 2" xfId="4522" xr:uid="{00000000-0005-0000-0000-0000CB020000}"/>
    <cellStyle name="Euro 15 20" xfId="382" xr:uid="{00000000-0005-0000-0000-0000CC020000}"/>
    <cellStyle name="Euro 15 20 2" xfId="4523" xr:uid="{00000000-0005-0000-0000-0000CD020000}"/>
    <cellStyle name="Euro 15 21" xfId="383" xr:uid="{00000000-0005-0000-0000-0000CE020000}"/>
    <cellStyle name="Euro 15 21 2" xfId="4524" xr:uid="{00000000-0005-0000-0000-0000CF020000}"/>
    <cellStyle name="Euro 15 22" xfId="384" xr:uid="{00000000-0005-0000-0000-0000D0020000}"/>
    <cellStyle name="Euro 15 22 2" xfId="4525" xr:uid="{00000000-0005-0000-0000-0000D1020000}"/>
    <cellStyle name="Euro 15 23" xfId="385" xr:uid="{00000000-0005-0000-0000-0000D2020000}"/>
    <cellStyle name="Euro 15 23 2" xfId="4526" xr:uid="{00000000-0005-0000-0000-0000D3020000}"/>
    <cellStyle name="Euro 15 24" xfId="386" xr:uid="{00000000-0005-0000-0000-0000D4020000}"/>
    <cellStyle name="Euro 15 24 2" xfId="4527" xr:uid="{00000000-0005-0000-0000-0000D5020000}"/>
    <cellStyle name="Euro 15 25" xfId="387" xr:uid="{00000000-0005-0000-0000-0000D6020000}"/>
    <cellStyle name="Euro 15 25 2" xfId="4528" xr:uid="{00000000-0005-0000-0000-0000D7020000}"/>
    <cellStyle name="Euro 15 26" xfId="388" xr:uid="{00000000-0005-0000-0000-0000D8020000}"/>
    <cellStyle name="Euro 15 26 2" xfId="4529" xr:uid="{00000000-0005-0000-0000-0000D9020000}"/>
    <cellStyle name="Euro 15 27" xfId="389" xr:uid="{00000000-0005-0000-0000-0000DA020000}"/>
    <cellStyle name="Euro 15 27 2" xfId="4530" xr:uid="{00000000-0005-0000-0000-0000DB020000}"/>
    <cellStyle name="Euro 15 28" xfId="390" xr:uid="{00000000-0005-0000-0000-0000DC020000}"/>
    <cellStyle name="Euro 15 28 2" xfId="4531" xr:uid="{00000000-0005-0000-0000-0000DD020000}"/>
    <cellStyle name="Euro 15 29" xfId="4532" xr:uid="{00000000-0005-0000-0000-0000DE020000}"/>
    <cellStyle name="Euro 15 3" xfId="391" xr:uid="{00000000-0005-0000-0000-0000DF020000}"/>
    <cellStyle name="Euro 15 3 2" xfId="4533" xr:uid="{00000000-0005-0000-0000-0000E0020000}"/>
    <cellStyle name="Euro 15 4" xfId="392" xr:uid="{00000000-0005-0000-0000-0000E1020000}"/>
    <cellStyle name="Euro 15 4 2" xfId="4534" xr:uid="{00000000-0005-0000-0000-0000E2020000}"/>
    <cellStyle name="Euro 15 5" xfId="393" xr:uid="{00000000-0005-0000-0000-0000E3020000}"/>
    <cellStyle name="Euro 15 5 2" xfId="4535" xr:uid="{00000000-0005-0000-0000-0000E4020000}"/>
    <cellStyle name="Euro 15 6" xfId="394" xr:uid="{00000000-0005-0000-0000-0000E5020000}"/>
    <cellStyle name="Euro 15 6 2" xfId="4536" xr:uid="{00000000-0005-0000-0000-0000E6020000}"/>
    <cellStyle name="Euro 15 7" xfId="395" xr:uid="{00000000-0005-0000-0000-0000E7020000}"/>
    <cellStyle name="Euro 15 7 2" xfId="4537" xr:uid="{00000000-0005-0000-0000-0000E8020000}"/>
    <cellStyle name="Euro 15 8" xfId="396" xr:uid="{00000000-0005-0000-0000-0000E9020000}"/>
    <cellStyle name="Euro 15 8 2" xfId="4538" xr:uid="{00000000-0005-0000-0000-0000EA020000}"/>
    <cellStyle name="Euro 15 9" xfId="397" xr:uid="{00000000-0005-0000-0000-0000EB020000}"/>
    <cellStyle name="Euro 15 9 2" xfId="4539" xr:uid="{00000000-0005-0000-0000-0000EC020000}"/>
    <cellStyle name="Euro 16" xfId="398" xr:uid="{00000000-0005-0000-0000-0000ED020000}"/>
    <cellStyle name="Euro 16 10" xfId="399" xr:uid="{00000000-0005-0000-0000-0000EE020000}"/>
    <cellStyle name="Euro 16 10 2" xfId="4540" xr:uid="{00000000-0005-0000-0000-0000EF020000}"/>
    <cellStyle name="Euro 16 11" xfId="400" xr:uid="{00000000-0005-0000-0000-0000F0020000}"/>
    <cellStyle name="Euro 16 11 2" xfId="4541" xr:uid="{00000000-0005-0000-0000-0000F1020000}"/>
    <cellStyle name="Euro 16 12" xfId="401" xr:uid="{00000000-0005-0000-0000-0000F2020000}"/>
    <cellStyle name="Euro 16 12 2" xfId="4542" xr:uid="{00000000-0005-0000-0000-0000F3020000}"/>
    <cellStyle name="Euro 16 13" xfId="402" xr:uid="{00000000-0005-0000-0000-0000F4020000}"/>
    <cellStyle name="Euro 16 13 2" xfId="4543" xr:uid="{00000000-0005-0000-0000-0000F5020000}"/>
    <cellStyle name="Euro 16 14" xfId="403" xr:uid="{00000000-0005-0000-0000-0000F6020000}"/>
    <cellStyle name="Euro 16 14 2" xfId="4544" xr:uid="{00000000-0005-0000-0000-0000F7020000}"/>
    <cellStyle name="Euro 16 15" xfId="404" xr:uid="{00000000-0005-0000-0000-0000F8020000}"/>
    <cellStyle name="Euro 16 15 2" xfId="4545" xr:uid="{00000000-0005-0000-0000-0000F9020000}"/>
    <cellStyle name="Euro 16 16" xfId="405" xr:uid="{00000000-0005-0000-0000-0000FA020000}"/>
    <cellStyle name="Euro 16 16 2" xfId="4546" xr:uid="{00000000-0005-0000-0000-0000FB020000}"/>
    <cellStyle name="Euro 16 17" xfId="406" xr:uid="{00000000-0005-0000-0000-0000FC020000}"/>
    <cellStyle name="Euro 16 17 2" xfId="4547" xr:uid="{00000000-0005-0000-0000-0000FD020000}"/>
    <cellStyle name="Euro 16 18" xfId="407" xr:uid="{00000000-0005-0000-0000-0000FE020000}"/>
    <cellStyle name="Euro 16 18 2" xfId="4548" xr:uid="{00000000-0005-0000-0000-0000FF020000}"/>
    <cellStyle name="Euro 16 19" xfId="408" xr:uid="{00000000-0005-0000-0000-000000030000}"/>
    <cellStyle name="Euro 16 19 2" xfId="4549" xr:uid="{00000000-0005-0000-0000-000001030000}"/>
    <cellStyle name="Euro 16 2" xfId="409" xr:uid="{00000000-0005-0000-0000-000002030000}"/>
    <cellStyle name="Euro 16 2 2" xfId="4550" xr:uid="{00000000-0005-0000-0000-000003030000}"/>
    <cellStyle name="Euro 16 20" xfId="410" xr:uid="{00000000-0005-0000-0000-000004030000}"/>
    <cellStyle name="Euro 16 20 2" xfId="4551" xr:uid="{00000000-0005-0000-0000-000005030000}"/>
    <cellStyle name="Euro 16 21" xfId="411" xr:uid="{00000000-0005-0000-0000-000006030000}"/>
    <cellStyle name="Euro 16 21 2" xfId="4552" xr:uid="{00000000-0005-0000-0000-000007030000}"/>
    <cellStyle name="Euro 16 22" xfId="412" xr:uid="{00000000-0005-0000-0000-000008030000}"/>
    <cellStyle name="Euro 16 22 2" xfId="4553" xr:uid="{00000000-0005-0000-0000-000009030000}"/>
    <cellStyle name="Euro 16 23" xfId="413" xr:uid="{00000000-0005-0000-0000-00000A030000}"/>
    <cellStyle name="Euro 16 23 2" xfId="4554" xr:uid="{00000000-0005-0000-0000-00000B030000}"/>
    <cellStyle name="Euro 16 24" xfId="414" xr:uid="{00000000-0005-0000-0000-00000C030000}"/>
    <cellStyle name="Euro 16 24 2" xfId="4555" xr:uid="{00000000-0005-0000-0000-00000D030000}"/>
    <cellStyle name="Euro 16 25" xfId="415" xr:uid="{00000000-0005-0000-0000-00000E030000}"/>
    <cellStyle name="Euro 16 25 2" xfId="4556" xr:uid="{00000000-0005-0000-0000-00000F030000}"/>
    <cellStyle name="Euro 16 26" xfId="416" xr:uid="{00000000-0005-0000-0000-000010030000}"/>
    <cellStyle name="Euro 16 26 2" xfId="4557" xr:uid="{00000000-0005-0000-0000-000011030000}"/>
    <cellStyle name="Euro 16 27" xfId="417" xr:uid="{00000000-0005-0000-0000-000012030000}"/>
    <cellStyle name="Euro 16 27 2" xfId="4558" xr:uid="{00000000-0005-0000-0000-000013030000}"/>
    <cellStyle name="Euro 16 28" xfId="418" xr:uid="{00000000-0005-0000-0000-000014030000}"/>
    <cellStyle name="Euro 16 28 2" xfId="4559" xr:uid="{00000000-0005-0000-0000-000015030000}"/>
    <cellStyle name="Euro 16 29" xfId="4560" xr:uid="{00000000-0005-0000-0000-000016030000}"/>
    <cellStyle name="Euro 16 3" xfId="419" xr:uid="{00000000-0005-0000-0000-000017030000}"/>
    <cellStyle name="Euro 16 3 2" xfId="4561" xr:uid="{00000000-0005-0000-0000-000018030000}"/>
    <cellStyle name="Euro 16 4" xfId="420" xr:uid="{00000000-0005-0000-0000-000019030000}"/>
    <cellStyle name="Euro 16 4 2" xfId="4562" xr:uid="{00000000-0005-0000-0000-00001A030000}"/>
    <cellStyle name="Euro 16 5" xfId="421" xr:uid="{00000000-0005-0000-0000-00001B030000}"/>
    <cellStyle name="Euro 16 5 2" xfId="4563" xr:uid="{00000000-0005-0000-0000-00001C030000}"/>
    <cellStyle name="Euro 16 6" xfId="422" xr:uid="{00000000-0005-0000-0000-00001D030000}"/>
    <cellStyle name="Euro 16 6 2" xfId="4564" xr:uid="{00000000-0005-0000-0000-00001E030000}"/>
    <cellStyle name="Euro 16 7" xfId="423" xr:uid="{00000000-0005-0000-0000-00001F030000}"/>
    <cellStyle name="Euro 16 7 2" xfId="4565" xr:uid="{00000000-0005-0000-0000-000020030000}"/>
    <cellStyle name="Euro 16 8" xfId="424" xr:uid="{00000000-0005-0000-0000-000021030000}"/>
    <cellStyle name="Euro 16 8 2" xfId="4566" xr:uid="{00000000-0005-0000-0000-000022030000}"/>
    <cellStyle name="Euro 16 9" xfId="425" xr:uid="{00000000-0005-0000-0000-000023030000}"/>
    <cellStyle name="Euro 16 9 2" xfId="4567" xr:uid="{00000000-0005-0000-0000-000024030000}"/>
    <cellStyle name="Euro 17" xfId="426" xr:uid="{00000000-0005-0000-0000-000025030000}"/>
    <cellStyle name="Euro 17 10" xfId="427" xr:uid="{00000000-0005-0000-0000-000026030000}"/>
    <cellStyle name="Euro 17 10 2" xfId="4568" xr:uid="{00000000-0005-0000-0000-000027030000}"/>
    <cellStyle name="Euro 17 11" xfId="428" xr:uid="{00000000-0005-0000-0000-000028030000}"/>
    <cellStyle name="Euro 17 11 2" xfId="4569" xr:uid="{00000000-0005-0000-0000-000029030000}"/>
    <cellStyle name="Euro 17 12" xfId="429" xr:uid="{00000000-0005-0000-0000-00002A030000}"/>
    <cellStyle name="Euro 17 12 2" xfId="4570" xr:uid="{00000000-0005-0000-0000-00002B030000}"/>
    <cellStyle name="Euro 17 13" xfId="430" xr:uid="{00000000-0005-0000-0000-00002C030000}"/>
    <cellStyle name="Euro 17 13 2" xfId="4571" xr:uid="{00000000-0005-0000-0000-00002D030000}"/>
    <cellStyle name="Euro 17 14" xfId="431" xr:uid="{00000000-0005-0000-0000-00002E030000}"/>
    <cellStyle name="Euro 17 14 2" xfId="4572" xr:uid="{00000000-0005-0000-0000-00002F030000}"/>
    <cellStyle name="Euro 17 15" xfId="432" xr:uid="{00000000-0005-0000-0000-000030030000}"/>
    <cellStyle name="Euro 17 15 2" xfId="4573" xr:uid="{00000000-0005-0000-0000-000031030000}"/>
    <cellStyle name="Euro 17 16" xfId="433" xr:uid="{00000000-0005-0000-0000-000032030000}"/>
    <cellStyle name="Euro 17 16 2" xfId="4574" xr:uid="{00000000-0005-0000-0000-000033030000}"/>
    <cellStyle name="Euro 17 17" xfId="434" xr:uid="{00000000-0005-0000-0000-000034030000}"/>
    <cellStyle name="Euro 17 17 2" xfId="4575" xr:uid="{00000000-0005-0000-0000-000035030000}"/>
    <cellStyle name="Euro 17 18" xfId="435" xr:uid="{00000000-0005-0000-0000-000036030000}"/>
    <cellStyle name="Euro 17 18 2" xfId="4576" xr:uid="{00000000-0005-0000-0000-000037030000}"/>
    <cellStyle name="Euro 17 19" xfId="436" xr:uid="{00000000-0005-0000-0000-000038030000}"/>
    <cellStyle name="Euro 17 19 2" xfId="4577" xr:uid="{00000000-0005-0000-0000-000039030000}"/>
    <cellStyle name="Euro 17 2" xfId="437" xr:uid="{00000000-0005-0000-0000-00003A030000}"/>
    <cellStyle name="Euro 17 2 2" xfId="4578" xr:uid="{00000000-0005-0000-0000-00003B030000}"/>
    <cellStyle name="Euro 17 20" xfId="438" xr:uid="{00000000-0005-0000-0000-00003C030000}"/>
    <cellStyle name="Euro 17 20 2" xfId="4579" xr:uid="{00000000-0005-0000-0000-00003D030000}"/>
    <cellStyle name="Euro 17 21" xfId="439" xr:uid="{00000000-0005-0000-0000-00003E030000}"/>
    <cellStyle name="Euro 17 21 2" xfId="4580" xr:uid="{00000000-0005-0000-0000-00003F030000}"/>
    <cellStyle name="Euro 17 22" xfId="440" xr:uid="{00000000-0005-0000-0000-000040030000}"/>
    <cellStyle name="Euro 17 22 2" xfId="4581" xr:uid="{00000000-0005-0000-0000-000041030000}"/>
    <cellStyle name="Euro 17 23" xfId="441" xr:uid="{00000000-0005-0000-0000-000042030000}"/>
    <cellStyle name="Euro 17 23 2" xfId="4582" xr:uid="{00000000-0005-0000-0000-000043030000}"/>
    <cellStyle name="Euro 17 24" xfId="442" xr:uid="{00000000-0005-0000-0000-000044030000}"/>
    <cellStyle name="Euro 17 24 2" xfId="4583" xr:uid="{00000000-0005-0000-0000-000045030000}"/>
    <cellStyle name="Euro 17 25" xfId="443" xr:uid="{00000000-0005-0000-0000-000046030000}"/>
    <cellStyle name="Euro 17 25 2" xfId="4584" xr:uid="{00000000-0005-0000-0000-000047030000}"/>
    <cellStyle name="Euro 17 26" xfId="444" xr:uid="{00000000-0005-0000-0000-000048030000}"/>
    <cellStyle name="Euro 17 26 2" xfId="4585" xr:uid="{00000000-0005-0000-0000-000049030000}"/>
    <cellStyle name="Euro 17 27" xfId="445" xr:uid="{00000000-0005-0000-0000-00004A030000}"/>
    <cellStyle name="Euro 17 27 2" xfId="4586" xr:uid="{00000000-0005-0000-0000-00004B030000}"/>
    <cellStyle name="Euro 17 28" xfId="446" xr:uid="{00000000-0005-0000-0000-00004C030000}"/>
    <cellStyle name="Euro 17 28 2" xfId="4587" xr:uid="{00000000-0005-0000-0000-00004D030000}"/>
    <cellStyle name="Euro 17 29" xfId="4588" xr:uid="{00000000-0005-0000-0000-00004E030000}"/>
    <cellStyle name="Euro 17 3" xfId="447" xr:uid="{00000000-0005-0000-0000-00004F030000}"/>
    <cellStyle name="Euro 17 3 2" xfId="4589" xr:uid="{00000000-0005-0000-0000-000050030000}"/>
    <cellStyle name="Euro 17 4" xfId="448" xr:uid="{00000000-0005-0000-0000-000051030000}"/>
    <cellStyle name="Euro 17 4 2" xfId="4590" xr:uid="{00000000-0005-0000-0000-000052030000}"/>
    <cellStyle name="Euro 17 5" xfId="449" xr:uid="{00000000-0005-0000-0000-000053030000}"/>
    <cellStyle name="Euro 17 5 2" xfId="4591" xr:uid="{00000000-0005-0000-0000-000054030000}"/>
    <cellStyle name="Euro 17 6" xfId="450" xr:uid="{00000000-0005-0000-0000-000055030000}"/>
    <cellStyle name="Euro 17 6 2" xfId="4592" xr:uid="{00000000-0005-0000-0000-000056030000}"/>
    <cellStyle name="Euro 17 7" xfId="451" xr:uid="{00000000-0005-0000-0000-000057030000}"/>
    <cellStyle name="Euro 17 7 2" xfId="4593" xr:uid="{00000000-0005-0000-0000-000058030000}"/>
    <cellStyle name="Euro 17 8" xfId="452" xr:uid="{00000000-0005-0000-0000-000059030000}"/>
    <cellStyle name="Euro 17 8 2" xfId="4594" xr:uid="{00000000-0005-0000-0000-00005A030000}"/>
    <cellStyle name="Euro 17 9" xfId="453" xr:uid="{00000000-0005-0000-0000-00005B030000}"/>
    <cellStyle name="Euro 17 9 2" xfId="4595" xr:uid="{00000000-0005-0000-0000-00005C030000}"/>
    <cellStyle name="Euro 18" xfId="454" xr:uid="{00000000-0005-0000-0000-00005D030000}"/>
    <cellStyle name="Euro 18 10" xfId="455" xr:uid="{00000000-0005-0000-0000-00005E030000}"/>
    <cellStyle name="Euro 18 10 2" xfId="4596" xr:uid="{00000000-0005-0000-0000-00005F030000}"/>
    <cellStyle name="Euro 18 11" xfId="456" xr:uid="{00000000-0005-0000-0000-000060030000}"/>
    <cellStyle name="Euro 18 11 2" xfId="4597" xr:uid="{00000000-0005-0000-0000-000061030000}"/>
    <cellStyle name="Euro 18 12" xfId="457" xr:uid="{00000000-0005-0000-0000-000062030000}"/>
    <cellStyle name="Euro 18 12 2" xfId="4598" xr:uid="{00000000-0005-0000-0000-000063030000}"/>
    <cellStyle name="Euro 18 13" xfId="458" xr:uid="{00000000-0005-0000-0000-000064030000}"/>
    <cellStyle name="Euro 18 13 2" xfId="4599" xr:uid="{00000000-0005-0000-0000-000065030000}"/>
    <cellStyle name="Euro 18 14" xfId="459" xr:uid="{00000000-0005-0000-0000-000066030000}"/>
    <cellStyle name="Euro 18 14 2" xfId="4600" xr:uid="{00000000-0005-0000-0000-000067030000}"/>
    <cellStyle name="Euro 18 15" xfId="460" xr:uid="{00000000-0005-0000-0000-000068030000}"/>
    <cellStyle name="Euro 18 15 2" xfId="4601" xr:uid="{00000000-0005-0000-0000-000069030000}"/>
    <cellStyle name="Euro 18 16" xfId="461" xr:uid="{00000000-0005-0000-0000-00006A030000}"/>
    <cellStyle name="Euro 18 16 2" xfId="4602" xr:uid="{00000000-0005-0000-0000-00006B030000}"/>
    <cellStyle name="Euro 18 17" xfId="462" xr:uid="{00000000-0005-0000-0000-00006C030000}"/>
    <cellStyle name="Euro 18 17 2" xfId="4603" xr:uid="{00000000-0005-0000-0000-00006D030000}"/>
    <cellStyle name="Euro 18 18" xfId="463" xr:uid="{00000000-0005-0000-0000-00006E030000}"/>
    <cellStyle name="Euro 18 18 2" xfId="4604" xr:uid="{00000000-0005-0000-0000-00006F030000}"/>
    <cellStyle name="Euro 18 19" xfId="464" xr:uid="{00000000-0005-0000-0000-000070030000}"/>
    <cellStyle name="Euro 18 19 2" xfId="4605" xr:uid="{00000000-0005-0000-0000-000071030000}"/>
    <cellStyle name="Euro 18 2" xfId="465" xr:uid="{00000000-0005-0000-0000-000072030000}"/>
    <cellStyle name="Euro 18 2 2" xfId="4606" xr:uid="{00000000-0005-0000-0000-000073030000}"/>
    <cellStyle name="Euro 18 20" xfId="466" xr:uid="{00000000-0005-0000-0000-000074030000}"/>
    <cellStyle name="Euro 18 20 2" xfId="4607" xr:uid="{00000000-0005-0000-0000-000075030000}"/>
    <cellStyle name="Euro 18 21" xfId="467" xr:uid="{00000000-0005-0000-0000-000076030000}"/>
    <cellStyle name="Euro 18 21 2" xfId="4608" xr:uid="{00000000-0005-0000-0000-000077030000}"/>
    <cellStyle name="Euro 18 22" xfId="468" xr:uid="{00000000-0005-0000-0000-000078030000}"/>
    <cellStyle name="Euro 18 22 2" xfId="4609" xr:uid="{00000000-0005-0000-0000-000079030000}"/>
    <cellStyle name="Euro 18 23" xfId="469" xr:uid="{00000000-0005-0000-0000-00007A030000}"/>
    <cellStyle name="Euro 18 23 2" xfId="4610" xr:uid="{00000000-0005-0000-0000-00007B030000}"/>
    <cellStyle name="Euro 18 24" xfId="470" xr:uid="{00000000-0005-0000-0000-00007C030000}"/>
    <cellStyle name="Euro 18 24 2" xfId="4611" xr:uid="{00000000-0005-0000-0000-00007D030000}"/>
    <cellStyle name="Euro 18 25" xfId="471" xr:uid="{00000000-0005-0000-0000-00007E030000}"/>
    <cellStyle name="Euro 18 25 2" xfId="4612" xr:uid="{00000000-0005-0000-0000-00007F030000}"/>
    <cellStyle name="Euro 18 26" xfId="472" xr:uid="{00000000-0005-0000-0000-000080030000}"/>
    <cellStyle name="Euro 18 26 2" xfId="4613" xr:uid="{00000000-0005-0000-0000-000081030000}"/>
    <cellStyle name="Euro 18 27" xfId="473" xr:uid="{00000000-0005-0000-0000-000082030000}"/>
    <cellStyle name="Euro 18 27 2" xfId="4614" xr:uid="{00000000-0005-0000-0000-000083030000}"/>
    <cellStyle name="Euro 18 28" xfId="474" xr:uid="{00000000-0005-0000-0000-000084030000}"/>
    <cellStyle name="Euro 18 28 2" xfId="4615" xr:uid="{00000000-0005-0000-0000-000085030000}"/>
    <cellStyle name="Euro 18 29" xfId="4616" xr:uid="{00000000-0005-0000-0000-000086030000}"/>
    <cellStyle name="Euro 18 3" xfId="475" xr:uid="{00000000-0005-0000-0000-000087030000}"/>
    <cellStyle name="Euro 18 3 2" xfId="4617" xr:uid="{00000000-0005-0000-0000-000088030000}"/>
    <cellStyle name="Euro 18 4" xfId="476" xr:uid="{00000000-0005-0000-0000-000089030000}"/>
    <cellStyle name="Euro 18 4 2" xfId="4618" xr:uid="{00000000-0005-0000-0000-00008A030000}"/>
    <cellStyle name="Euro 18 5" xfId="477" xr:uid="{00000000-0005-0000-0000-00008B030000}"/>
    <cellStyle name="Euro 18 5 2" xfId="4619" xr:uid="{00000000-0005-0000-0000-00008C030000}"/>
    <cellStyle name="Euro 18 6" xfId="478" xr:uid="{00000000-0005-0000-0000-00008D030000}"/>
    <cellStyle name="Euro 18 6 2" xfId="4620" xr:uid="{00000000-0005-0000-0000-00008E030000}"/>
    <cellStyle name="Euro 18 7" xfId="479" xr:uid="{00000000-0005-0000-0000-00008F030000}"/>
    <cellStyle name="Euro 18 7 2" xfId="4621" xr:uid="{00000000-0005-0000-0000-000090030000}"/>
    <cellStyle name="Euro 18 8" xfId="480" xr:uid="{00000000-0005-0000-0000-000091030000}"/>
    <cellStyle name="Euro 18 8 2" xfId="4622" xr:uid="{00000000-0005-0000-0000-000092030000}"/>
    <cellStyle name="Euro 18 9" xfId="481" xr:uid="{00000000-0005-0000-0000-000093030000}"/>
    <cellStyle name="Euro 18 9 2" xfId="4623" xr:uid="{00000000-0005-0000-0000-000094030000}"/>
    <cellStyle name="Euro 19" xfId="482" xr:uid="{00000000-0005-0000-0000-000095030000}"/>
    <cellStyle name="Euro 19 10" xfId="483" xr:uid="{00000000-0005-0000-0000-000096030000}"/>
    <cellStyle name="Euro 19 10 2" xfId="4624" xr:uid="{00000000-0005-0000-0000-000097030000}"/>
    <cellStyle name="Euro 19 11" xfId="484" xr:uid="{00000000-0005-0000-0000-000098030000}"/>
    <cellStyle name="Euro 19 11 2" xfId="4625" xr:uid="{00000000-0005-0000-0000-000099030000}"/>
    <cellStyle name="Euro 19 12" xfId="485" xr:uid="{00000000-0005-0000-0000-00009A030000}"/>
    <cellStyle name="Euro 19 12 2" xfId="4626" xr:uid="{00000000-0005-0000-0000-00009B030000}"/>
    <cellStyle name="Euro 19 13" xfId="486" xr:uid="{00000000-0005-0000-0000-00009C030000}"/>
    <cellStyle name="Euro 19 13 2" xfId="4627" xr:uid="{00000000-0005-0000-0000-00009D030000}"/>
    <cellStyle name="Euro 19 14" xfId="487" xr:uid="{00000000-0005-0000-0000-00009E030000}"/>
    <cellStyle name="Euro 19 14 2" xfId="4628" xr:uid="{00000000-0005-0000-0000-00009F030000}"/>
    <cellStyle name="Euro 19 15" xfId="488" xr:uid="{00000000-0005-0000-0000-0000A0030000}"/>
    <cellStyle name="Euro 19 15 2" xfId="4629" xr:uid="{00000000-0005-0000-0000-0000A1030000}"/>
    <cellStyle name="Euro 19 16" xfId="489" xr:uid="{00000000-0005-0000-0000-0000A2030000}"/>
    <cellStyle name="Euro 19 16 2" xfId="4630" xr:uid="{00000000-0005-0000-0000-0000A3030000}"/>
    <cellStyle name="Euro 19 17" xfId="490" xr:uid="{00000000-0005-0000-0000-0000A4030000}"/>
    <cellStyle name="Euro 19 17 2" xfId="4631" xr:uid="{00000000-0005-0000-0000-0000A5030000}"/>
    <cellStyle name="Euro 19 18" xfId="491" xr:uid="{00000000-0005-0000-0000-0000A6030000}"/>
    <cellStyle name="Euro 19 18 2" xfId="4632" xr:uid="{00000000-0005-0000-0000-0000A7030000}"/>
    <cellStyle name="Euro 19 19" xfId="492" xr:uid="{00000000-0005-0000-0000-0000A8030000}"/>
    <cellStyle name="Euro 19 19 2" xfId="4633" xr:uid="{00000000-0005-0000-0000-0000A9030000}"/>
    <cellStyle name="Euro 19 2" xfId="493" xr:uid="{00000000-0005-0000-0000-0000AA030000}"/>
    <cellStyle name="Euro 19 2 2" xfId="4634" xr:uid="{00000000-0005-0000-0000-0000AB030000}"/>
    <cellStyle name="Euro 19 20" xfId="494" xr:uid="{00000000-0005-0000-0000-0000AC030000}"/>
    <cellStyle name="Euro 19 20 2" xfId="4635" xr:uid="{00000000-0005-0000-0000-0000AD030000}"/>
    <cellStyle name="Euro 19 21" xfId="495" xr:uid="{00000000-0005-0000-0000-0000AE030000}"/>
    <cellStyle name="Euro 19 21 2" xfId="4636" xr:uid="{00000000-0005-0000-0000-0000AF030000}"/>
    <cellStyle name="Euro 19 22" xfId="496" xr:uid="{00000000-0005-0000-0000-0000B0030000}"/>
    <cellStyle name="Euro 19 22 2" xfId="4637" xr:uid="{00000000-0005-0000-0000-0000B1030000}"/>
    <cellStyle name="Euro 19 23" xfId="497" xr:uid="{00000000-0005-0000-0000-0000B2030000}"/>
    <cellStyle name="Euro 19 23 2" xfId="4638" xr:uid="{00000000-0005-0000-0000-0000B3030000}"/>
    <cellStyle name="Euro 19 24" xfId="498" xr:uid="{00000000-0005-0000-0000-0000B4030000}"/>
    <cellStyle name="Euro 19 24 2" xfId="4639" xr:uid="{00000000-0005-0000-0000-0000B5030000}"/>
    <cellStyle name="Euro 19 25" xfId="499" xr:uid="{00000000-0005-0000-0000-0000B6030000}"/>
    <cellStyle name="Euro 19 25 2" xfId="4640" xr:uid="{00000000-0005-0000-0000-0000B7030000}"/>
    <cellStyle name="Euro 19 26" xfId="500" xr:uid="{00000000-0005-0000-0000-0000B8030000}"/>
    <cellStyle name="Euro 19 26 2" xfId="4641" xr:uid="{00000000-0005-0000-0000-0000B9030000}"/>
    <cellStyle name="Euro 19 27" xfId="501" xr:uid="{00000000-0005-0000-0000-0000BA030000}"/>
    <cellStyle name="Euro 19 27 2" xfId="4642" xr:uid="{00000000-0005-0000-0000-0000BB030000}"/>
    <cellStyle name="Euro 19 28" xfId="502" xr:uid="{00000000-0005-0000-0000-0000BC030000}"/>
    <cellStyle name="Euro 19 28 2" xfId="4643" xr:uid="{00000000-0005-0000-0000-0000BD030000}"/>
    <cellStyle name="Euro 19 29" xfId="4644" xr:uid="{00000000-0005-0000-0000-0000BE030000}"/>
    <cellStyle name="Euro 19 3" xfId="503" xr:uid="{00000000-0005-0000-0000-0000BF030000}"/>
    <cellStyle name="Euro 19 3 2" xfId="4645" xr:uid="{00000000-0005-0000-0000-0000C0030000}"/>
    <cellStyle name="Euro 19 4" xfId="504" xr:uid="{00000000-0005-0000-0000-0000C1030000}"/>
    <cellStyle name="Euro 19 4 2" xfId="4646" xr:uid="{00000000-0005-0000-0000-0000C2030000}"/>
    <cellStyle name="Euro 19 5" xfId="505" xr:uid="{00000000-0005-0000-0000-0000C3030000}"/>
    <cellStyle name="Euro 19 5 2" xfId="4647" xr:uid="{00000000-0005-0000-0000-0000C4030000}"/>
    <cellStyle name="Euro 19 6" xfId="506" xr:uid="{00000000-0005-0000-0000-0000C5030000}"/>
    <cellStyle name="Euro 19 6 2" xfId="4648" xr:uid="{00000000-0005-0000-0000-0000C6030000}"/>
    <cellStyle name="Euro 19 7" xfId="507" xr:uid="{00000000-0005-0000-0000-0000C7030000}"/>
    <cellStyle name="Euro 19 7 2" xfId="4649" xr:uid="{00000000-0005-0000-0000-0000C8030000}"/>
    <cellStyle name="Euro 19 8" xfId="508" xr:uid="{00000000-0005-0000-0000-0000C9030000}"/>
    <cellStyle name="Euro 19 8 2" xfId="4650" xr:uid="{00000000-0005-0000-0000-0000CA030000}"/>
    <cellStyle name="Euro 19 9" xfId="509" xr:uid="{00000000-0005-0000-0000-0000CB030000}"/>
    <cellStyle name="Euro 19 9 2" xfId="4651" xr:uid="{00000000-0005-0000-0000-0000CC030000}"/>
    <cellStyle name="Euro 2" xfId="23" xr:uid="{00000000-0005-0000-0000-0000CD030000}"/>
    <cellStyle name="Euro 2 10" xfId="511" xr:uid="{00000000-0005-0000-0000-0000CE030000}"/>
    <cellStyle name="Euro 2 10 2" xfId="4652" xr:uid="{00000000-0005-0000-0000-0000CF030000}"/>
    <cellStyle name="Euro 2 11" xfId="512" xr:uid="{00000000-0005-0000-0000-0000D0030000}"/>
    <cellStyle name="Euro 2 11 2" xfId="4653" xr:uid="{00000000-0005-0000-0000-0000D1030000}"/>
    <cellStyle name="Euro 2 12" xfId="513" xr:uid="{00000000-0005-0000-0000-0000D2030000}"/>
    <cellStyle name="Euro 2 12 2" xfId="4654" xr:uid="{00000000-0005-0000-0000-0000D3030000}"/>
    <cellStyle name="Euro 2 13" xfId="514" xr:uid="{00000000-0005-0000-0000-0000D4030000}"/>
    <cellStyle name="Euro 2 13 2" xfId="4655" xr:uid="{00000000-0005-0000-0000-0000D5030000}"/>
    <cellStyle name="Euro 2 14" xfId="515" xr:uid="{00000000-0005-0000-0000-0000D6030000}"/>
    <cellStyle name="Euro 2 14 2" xfId="4656" xr:uid="{00000000-0005-0000-0000-0000D7030000}"/>
    <cellStyle name="Euro 2 15" xfId="516" xr:uid="{00000000-0005-0000-0000-0000D8030000}"/>
    <cellStyle name="Euro 2 15 2" xfId="4657" xr:uid="{00000000-0005-0000-0000-0000D9030000}"/>
    <cellStyle name="Euro 2 16" xfId="517" xr:uid="{00000000-0005-0000-0000-0000DA030000}"/>
    <cellStyle name="Euro 2 16 2" xfId="4658" xr:uid="{00000000-0005-0000-0000-0000DB030000}"/>
    <cellStyle name="Euro 2 17" xfId="518" xr:uid="{00000000-0005-0000-0000-0000DC030000}"/>
    <cellStyle name="Euro 2 17 2" xfId="4659" xr:uid="{00000000-0005-0000-0000-0000DD030000}"/>
    <cellStyle name="Euro 2 18" xfId="519" xr:uid="{00000000-0005-0000-0000-0000DE030000}"/>
    <cellStyle name="Euro 2 18 2" xfId="4660" xr:uid="{00000000-0005-0000-0000-0000DF030000}"/>
    <cellStyle name="Euro 2 19" xfId="520" xr:uid="{00000000-0005-0000-0000-0000E0030000}"/>
    <cellStyle name="Euro 2 19 2" xfId="4661" xr:uid="{00000000-0005-0000-0000-0000E1030000}"/>
    <cellStyle name="Euro 2 2" xfId="521" xr:uid="{00000000-0005-0000-0000-0000E2030000}"/>
    <cellStyle name="Euro 2 2 2" xfId="4143" xr:uid="{00000000-0005-0000-0000-0000E3030000}"/>
    <cellStyle name="Euro 2 20" xfId="522" xr:uid="{00000000-0005-0000-0000-0000E4030000}"/>
    <cellStyle name="Euro 2 20 2" xfId="4662" xr:uid="{00000000-0005-0000-0000-0000E5030000}"/>
    <cellStyle name="Euro 2 21" xfId="523" xr:uid="{00000000-0005-0000-0000-0000E6030000}"/>
    <cellStyle name="Euro 2 21 2" xfId="4663" xr:uid="{00000000-0005-0000-0000-0000E7030000}"/>
    <cellStyle name="Euro 2 22" xfId="524" xr:uid="{00000000-0005-0000-0000-0000E8030000}"/>
    <cellStyle name="Euro 2 22 2" xfId="4664" xr:uid="{00000000-0005-0000-0000-0000E9030000}"/>
    <cellStyle name="Euro 2 23" xfId="525" xr:uid="{00000000-0005-0000-0000-0000EA030000}"/>
    <cellStyle name="Euro 2 23 2" xfId="4665" xr:uid="{00000000-0005-0000-0000-0000EB030000}"/>
    <cellStyle name="Euro 2 24" xfId="526" xr:uid="{00000000-0005-0000-0000-0000EC030000}"/>
    <cellStyle name="Euro 2 24 2" xfId="4666" xr:uid="{00000000-0005-0000-0000-0000ED030000}"/>
    <cellStyle name="Euro 2 25" xfId="527" xr:uid="{00000000-0005-0000-0000-0000EE030000}"/>
    <cellStyle name="Euro 2 25 2" xfId="4667" xr:uid="{00000000-0005-0000-0000-0000EF030000}"/>
    <cellStyle name="Euro 2 26" xfId="528" xr:uid="{00000000-0005-0000-0000-0000F0030000}"/>
    <cellStyle name="Euro 2 26 2" xfId="4668" xr:uid="{00000000-0005-0000-0000-0000F1030000}"/>
    <cellStyle name="Euro 2 27" xfId="529" xr:uid="{00000000-0005-0000-0000-0000F2030000}"/>
    <cellStyle name="Euro 2 27 2" xfId="4669" xr:uid="{00000000-0005-0000-0000-0000F3030000}"/>
    <cellStyle name="Euro 2 28" xfId="530" xr:uid="{00000000-0005-0000-0000-0000F4030000}"/>
    <cellStyle name="Euro 2 28 2" xfId="4670" xr:uid="{00000000-0005-0000-0000-0000F5030000}"/>
    <cellStyle name="Euro 2 29" xfId="4069" xr:uid="{00000000-0005-0000-0000-0000F6030000}"/>
    <cellStyle name="Euro 2 3" xfId="531" xr:uid="{00000000-0005-0000-0000-0000F7030000}"/>
    <cellStyle name="Euro 2 3 2" xfId="4103" xr:uid="{00000000-0005-0000-0000-0000F8030000}"/>
    <cellStyle name="Euro 2 30" xfId="510" xr:uid="{00000000-0005-0000-0000-0000F9030000}"/>
    <cellStyle name="Euro 2 4" xfId="532" xr:uid="{00000000-0005-0000-0000-0000FA030000}"/>
    <cellStyle name="Euro 2 4 2" xfId="4671" xr:uid="{00000000-0005-0000-0000-0000FB030000}"/>
    <cellStyle name="Euro 2 5" xfId="533" xr:uid="{00000000-0005-0000-0000-0000FC030000}"/>
    <cellStyle name="Euro 2 5 2" xfId="4672" xr:uid="{00000000-0005-0000-0000-0000FD030000}"/>
    <cellStyle name="Euro 2 6" xfId="534" xr:uid="{00000000-0005-0000-0000-0000FE030000}"/>
    <cellStyle name="Euro 2 6 2" xfId="4673" xr:uid="{00000000-0005-0000-0000-0000FF030000}"/>
    <cellStyle name="Euro 2 7" xfId="535" xr:uid="{00000000-0005-0000-0000-000000040000}"/>
    <cellStyle name="Euro 2 7 2" xfId="4674" xr:uid="{00000000-0005-0000-0000-000001040000}"/>
    <cellStyle name="Euro 2 8" xfId="536" xr:uid="{00000000-0005-0000-0000-000002040000}"/>
    <cellStyle name="Euro 2 8 2" xfId="4675" xr:uid="{00000000-0005-0000-0000-000003040000}"/>
    <cellStyle name="Euro 2 9" xfId="537" xr:uid="{00000000-0005-0000-0000-000004040000}"/>
    <cellStyle name="Euro 2 9 2" xfId="4676" xr:uid="{00000000-0005-0000-0000-000005040000}"/>
    <cellStyle name="Euro 20" xfId="538" xr:uid="{00000000-0005-0000-0000-000006040000}"/>
    <cellStyle name="Euro 20 10" xfId="539" xr:uid="{00000000-0005-0000-0000-000007040000}"/>
    <cellStyle name="Euro 20 10 2" xfId="4677" xr:uid="{00000000-0005-0000-0000-000008040000}"/>
    <cellStyle name="Euro 20 11" xfId="540" xr:uid="{00000000-0005-0000-0000-000009040000}"/>
    <cellStyle name="Euro 20 11 2" xfId="4678" xr:uid="{00000000-0005-0000-0000-00000A040000}"/>
    <cellStyle name="Euro 20 12" xfId="541" xr:uid="{00000000-0005-0000-0000-00000B040000}"/>
    <cellStyle name="Euro 20 12 2" xfId="4679" xr:uid="{00000000-0005-0000-0000-00000C040000}"/>
    <cellStyle name="Euro 20 13" xfId="542" xr:uid="{00000000-0005-0000-0000-00000D040000}"/>
    <cellStyle name="Euro 20 13 2" xfId="4680" xr:uid="{00000000-0005-0000-0000-00000E040000}"/>
    <cellStyle name="Euro 20 14" xfId="543" xr:uid="{00000000-0005-0000-0000-00000F040000}"/>
    <cellStyle name="Euro 20 14 2" xfId="4681" xr:uid="{00000000-0005-0000-0000-000010040000}"/>
    <cellStyle name="Euro 20 15" xfId="544" xr:uid="{00000000-0005-0000-0000-000011040000}"/>
    <cellStyle name="Euro 20 15 2" xfId="4682" xr:uid="{00000000-0005-0000-0000-000012040000}"/>
    <cellStyle name="Euro 20 16" xfId="545" xr:uid="{00000000-0005-0000-0000-000013040000}"/>
    <cellStyle name="Euro 20 16 2" xfId="4683" xr:uid="{00000000-0005-0000-0000-000014040000}"/>
    <cellStyle name="Euro 20 17" xfId="546" xr:uid="{00000000-0005-0000-0000-000015040000}"/>
    <cellStyle name="Euro 20 17 2" xfId="4684" xr:uid="{00000000-0005-0000-0000-000016040000}"/>
    <cellStyle name="Euro 20 18" xfId="547" xr:uid="{00000000-0005-0000-0000-000017040000}"/>
    <cellStyle name="Euro 20 18 2" xfId="4685" xr:uid="{00000000-0005-0000-0000-000018040000}"/>
    <cellStyle name="Euro 20 19" xfId="548" xr:uid="{00000000-0005-0000-0000-000019040000}"/>
    <cellStyle name="Euro 20 19 2" xfId="4686" xr:uid="{00000000-0005-0000-0000-00001A040000}"/>
    <cellStyle name="Euro 20 2" xfId="549" xr:uid="{00000000-0005-0000-0000-00001B040000}"/>
    <cellStyle name="Euro 20 2 2" xfId="4687" xr:uid="{00000000-0005-0000-0000-00001C040000}"/>
    <cellStyle name="Euro 20 20" xfId="550" xr:uid="{00000000-0005-0000-0000-00001D040000}"/>
    <cellStyle name="Euro 20 20 2" xfId="4688" xr:uid="{00000000-0005-0000-0000-00001E040000}"/>
    <cellStyle name="Euro 20 21" xfId="551" xr:uid="{00000000-0005-0000-0000-00001F040000}"/>
    <cellStyle name="Euro 20 21 2" xfId="4689" xr:uid="{00000000-0005-0000-0000-000020040000}"/>
    <cellStyle name="Euro 20 22" xfId="552" xr:uid="{00000000-0005-0000-0000-000021040000}"/>
    <cellStyle name="Euro 20 22 2" xfId="4690" xr:uid="{00000000-0005-0000-0000-000022040000}"/>
    <cellStyle name="Euro 20 23" xfId="553" xr:uid="{00000000-0005-0000-0000-000023040000}"/>
    <cellStyle name="Euro 20 23 2" xfId="4691" xr:uid="{00000000-0005-0000-0000-000024040000}"/>
    <cellStyle name="Euro 20 24" xfId="554" xr:uid="{00000000-0005-0000-0000-000025040000}"/>
    <cellStyle name="Euro 20 24 2" xfId="4692" xr:uid="{00000000-0005-0000-0000-000026040000}"/>
    <cellStyle name="Euro 20 25" xfId="555" xr:uid="{00000000-0005-0000-0000-000027040000}"/>
    <cellStyle name="Euro 20 25 2" xfId="4693" xr:uid="{00000000-0005-0000-0000-000028040000}"/>
    <cellStyle name="Euro 20 26" xfId="556" xr:uid="{00000000-0005-0000-0000-000029040000}"/>
    <cellStyle name="Euro 20 26 2" xfId="4694" xr:uid="{00000000-0005-0000-0000-00002A040000}"/>
    <cellStyle name="Euro 20 27" xfId="557" xr:uid="{00000000-0005-0000-0000-00002B040000}"/>
    <cellStyle name="Euro 20 27 2" xfId="4695" xr:uid="{00000000-0005-0000-0000-00002C040000}"/>
    <cellStyle name="Euro 20 28" xfId="558" xr:uid="{00000000-0005-0000-0000-00002D040000}"/>
    <cellStyle name="Euro 20 28 2" xfId="4696" xr:uid="{00000000-0005-0000-0000-00002E040000}"/>
    <cellStyle name="Euro 20 29" xfId="4697" xr:uid="{00000000-0005-0000-0000-00002F040000}"/>
    <cellStyle name="Euro 20 3" xfId="559" xr:uid="{00000000-0005-0000-0000-000030040000}"/>
    <cellStyle name="Euro 20 3 2" xfId="4698" xr:uid="{00000000-0005-0000-0000-000031040000}"/>
    <cellStyle name="Euro 20 4" xfId="560" xr:uid="{00000000-0005-0000-0000-000032040000}"/>
    <cellStyle name="Euro 20 4 2" xfId="4699" xr:uid="{00000000-0005-0000-0000-000033040000}"/>
    <cellStyle name="Euro 20 5" xfId="561" xr:uid="{00000000-0005-0000-0000-000034040000}"/>
    <cellStyle name="Euro 20 5 2" xfId="4700" xr:uid="{00000000-0005-0000-0000-000035040000}"/>
    <cellStyle name="Euro 20 6" xfId="562" xr:uid="{00000000-0005-0000-0000-000036040000}"/>
    <cellStyle name="Euro 20 6 2" xfId="4701" xr:uid="{00000000-0005-0000-0000-000037040000}"/>
    <cellStyle name="Euro 20 7" xfId="563" xr:uid="{00000000-0005-0000-0000-000038040000}"/>
    <cellStyle name="Euro 20 7 2" xfId="4702" xr:uid="{00000000-0005-0000-0000-000039040000}"/>
    <cellStyle name="Euro 20 8" xfId="564" xr:uid="{00000000-0005-0000-0000-00003A040000}"/>
    <cellStyle name="Euro 20 8 2" xfId="4703" xr:uid="{00000000-0005-0000-0000-00003B040000}"/>
    <cellStyle name="Euro 20 9" xfId="565" xr:uid="{00000000-0005-0000-0000-00003C040000}"/>
    <cellStyle name="Euro 20 9 2" xfId="4704" xr:uid="{00000000-0005-0000-0000-00003D040000}"/>
    <cellStyle name="Euro 21" xfId="566" xr:uid="{00000000-0005-0000-0000-00003E040000}"/>
    <cellStyle name="Euro 21 10" xfId="567" xr:uid="{00000000-0005-0000-0000-00003F040000}"/>
    <cellStyle name="Euro 21 10 2" xfId="4705" xr:uid="{00000000-0005-0000-0000-000040040000}"/>
    <cellStyle name="Euro 21 11" xfId="568" xr:uid="{00000000-0005-0000-0000-000041040000}"/>
    <cellStyle name="Euro 21 11 2" xfId="4706" xr:uid="{00000000-0005-0000-0000-000042040000}"/>
    <cellStyle name="Euro 21 12" xfId="569" xr:uid="{00000000-0005-0000-0000-000043040000}"/>
    <cellStyle name="Euro 21 12 2" xfId="4707" xr:uid="{00000000-0005-0000-0000-000044040000}"/>
    <cellStyle name="Euro 21 13" xfId="570" xr:uid="{00000000-0005-0000-0000-000045040000}"/>
    <cellStyle name="Euro 21 13 2" xfId="4708" xr:uid="{00000000-0005-0000-0000-000046040000}"/>
    <cellStyle name="Euro 21 14" xfId="571" xr:uid="{00000000-0005-0000-0000-000047040000}"/>
    <cellStyle name="Euro 21 14 2" xfId="4709" xr:uid="{00000000-0005-0000-0000-000048040000}"/>
    <cellStyle name="Euro 21 15" xfId="572" xr:uid="{00000000-0005-0000-0000-000049040000}"/>
    <cellStyle name="Euro 21 15 2" xfId="4710" xr:uid="{00000000-0005-0000-0000-00004A040000}"/>
    <cellStyle name="Euro 21 16" xfId="573" xr:uid="{00000000-0005-0000-0000-00004B040000}"/>
    <cellStyle name="Euro 21 16 2" xfId="4711" xr:uid="{00000000-0005-0000-0000-00004C040000}"/>
    <cellStyle name="Euro 21 17" xfId="574" xr:uid="{00000000-0005-0000-0000-00004D040000}"/>
    <cellStyle name="Euro 21 17 2" xfId="4712" xr:uid="{00000000-0005-0000-0000-00004E040000}"/>
    <cellStyle name="Euro 21 18" xfId="575" xr:uid="{00000000-0005-0000-0000-00004F040000}"/>
    <cellStyle name="Euro 21 18 2" xfId="4713" xr:uid="{00000000-0005-0000-0000-000050040000}"/>
    <cellStyle name="Euro 21 19" xfId="576" xr:uid="{00000000-0005-0000-0000-000051040000}"/>
    <cellStyle name="Euro 21 19 2" xfId="4714" xr:uid="{00000000-0005-0000-0000-000052040000}"/>
    <cellStyle name="Euro 21 2" xfId="577" xr:uid="{00000000-0005-0000-0000-000053040000}"/>
    <cellStyle name="Euro 21 2 2" xfId="4715" xr:uid="{00000000-0005-0000-0000-000054040000}"/>
    <cellStyle name="Euro 21 20" xfId="578" xr:uid="{00000000-0005-0000-0000-000055040000}"/>
    <cellStyle name="Euro 21 20 2" xfId="4716" xr:uid="{00000000-0005-0000-0000-000056040000}"/>
    <cellStyle name="Euro 21 21" xfId="579" xr:uid="{00000000-0005-0000-0000-000057040000}"/>
    <cellStyle name="Euro 21 21 2" xfId="4717" xr:uid="{00000000-0005-0000-0000-000058040000}"/>
    <cellStyle name="Euro 21 22" xfId="580" xr:uid="{00000000-0005-0000-0000-000059040000}"/>
    <cellStyle name="Euro 21 22 2" xfId="4718" xr:uid="{00000000-0005-0000-0000-00005A040000}"/>
    <cellStyle name="Euro 21 23" xfId="581" xr:uid="{00000000-0005-0000-0000-00005B040000}"/>
    <cellStyle name="Euro 21 23 2" xfId="4719" xr:uid="{00000000-0005-0000-0000-00005C040000}"/>
    <cellStyle name="Euro 21 24" xfId="582" xr:uid="{00000000-0005-0000-0000-00005D040000}"/>
    <cellStyle name="Euro 21 24 2" xfId="4720" xr:uid="{00000000-0005-0000-0000-00005E040000}"/>
    <cellStyle name="Euro 21 25" xfId="583" xr:uid="{00000000-0005-0000-0000-00005F040000}"/>
    <cellStyle name="Euro 21 25 2" xfId="4721" xr:uid="{00000000-0005-0000-0000-000060040000}"/>
    <cellStyle name="Euro 21 26" xfId="584" xr:uid="{00000000-0005-0000-0000-000061040000}"/>
    <cellStyle name="Euro 21 26 2" xfId="4722" xr:uid="{00000000-0005-0000-0000-000062040000}"/>
    <cellStyle name="Euro 21 27" xfId="585" xr:uid="{00000000-0005-0000-0000-000063040000}"/>
    <cellStyle name="Euro 21 27 2" xfId="4723" xr:uid="{00000000-0005-0000-0000-000064040000}"/>
    <cellStyle name="Euro 21 28" xfId="586" xr:uid="{00000000-0005-0000-0000-000065040000}"/>
    <cellStyle name="Euro 21 28 2" xfId="4724" xr:uid="{00000000-0005-0000-0000-000066040000}"/>
    <cellStyle name="Euro 21 29" xfId="4725" xr:uid="{00000000-0005-0000-0000-000067040000}"/>
    <cellStyle name="Euro 21 3" xfId="587" xr:uid="{00000000-0005-0000-0000-000068040000}"/>
    <cellStyle name="Euro 21 3 2" xfId="4726" xr:uid="{00000000-0005-0000-0000-000069040000}"/>
    <cellStyle name="Euro 21 4" xfId="588" xr:uid="{00000000-0005-0000-0000-00006A040000}"/>
    <cellStyle name="Euro 21 4 2" xfId="4727" xr:uid="{00000000-0005-0000-0000-00006B040000}"/>
    <cellStyle name="Euro 21 5" xfId="589" xr:uid="{00000000-0005-0000-0000-00006C040000}"/>
    <cellStyle name="Euro 21 5 2" xfId="4728" xr:uid="{00000000-0005-0000-0000-00006D040000}"/>
    <cellStyle name="Euro 21 6" xfId="590" xr:uid="{00000000-0005-0000-0000-00006E040000}"/>
    <cellStyle name="Euro 21 6 2" xfId="4729" xr:uid="{00000000-0005-0000-0000-00006F040000}"/>
    <cellStyle name="Euro 21 7" xfId="591" xr:uid="{00000000-0005-0000-0000-000070040000}"/>
    <cellStyle name="Euro 21 7 2" xfId="4730" xr:uid="{00000000-0005-0000-0000-000071040000}"/>
    <cellStyle name="Euro 21 8" xfId="592" xr:uid="{00000000-0005-0000-0000-000072040000}"/>
    <cellStyle name="Euro 21 8 2" xfId="4731" xr:uid="{00000000-0005-0000-0000-000073040000}"/>
    <cellStyle name="Euro 21 9" xfId="593" xr:uid="{00000000-0005-0000-0000-000074040000}"/>
    <cellStyle name="Euro 21 9 2" xfId="4732" xr:uid="{00000000-0005-0000-0000-000075040000}"/>
    <cellStyle name="Euro 22" xfId="594" xr:uid="{00000000-0005-0000-0000-000076040000}"/>
    <cellStyle name="Euro 22 10" xfId="595" xr:uid="{00000000-0005-0000-0000-000077040000}"/>
    <cellStyle name="Euro 22 10 2" xfId="4733" xr:uid="{00000000-0005-0000-0000-000078040000}"/>
    <cellStyle name="Euro 22 11" xfId="596" xr:uid="{00000000-0005-0000-0000-000079040000}"/>
    <cellStyle name="Euro 22 11 2" xfId="4734" xr:uid="{00000000-0005-0000-0000-00007A040000}"/>
    <cellStyle name="Euro 22 12" xfId="597" xr:uid="{00000000-0005-0000-0000-00007B040000}"/>
    <cellStyle name="Euro 22 12 2" xfId="4735" xr:uid="{00000000-0005-0000-0000-00007C040000}"/>
    <cellStyle name="Euro 22 13" xfId="598" xr:uid="{00000000-0005-0000-0000-00007D040000}"/>
    <cellStyle name="Euro 22 13 2" xfId="4736" xr:uid="{00000000-0005-0000-0000-00007E040000}"/>
    <cellStyle name="Euro 22 14" xfId="599" xr:uid="{00000000-0005-0000-0000-00007F040000}"/>
    <cellStyle name="Euro 22 14 2" xfId="4737" xr:uid="{00000000-0005-0000-0000-000080040000}"/>
    <cellStyle name="Euro 22 15" xfId="600" xr:uid="{00000000-0005-0000-0000-000081040000}"/>
    <cellStyle name="Euro 22 15 2" xfId="4738" xr:uid="{00000000-0005-0000-0000-000082040000}"/>
    <cellStyle name="Euro 22 16" xfId="601" xr:uid="{00000000-0005-0000-0000-000083040000}"/>
    <cellStyle name="Euro 22 16 2" xfId="4739" xr:uid="{00000000-0005-0000-0000-000084040000}"/>
    <cellStyle name="Euro 22 17" xfId="602" xr:uid="{00000000-0005-0000-0000-000085040000}"/>
    <cellStyle name="Euro 22 17 2" xfId="4740" xr:uid="{00000000-0005-0000-0000-000086040000}"/>
    <cellStyle name="Euro 22 18" xfId="603" xr:uid="{00000000-0005-0000-0000-000087040000}"/>
    <cellStyle name="Euro 22 18 2" xfId="4741" xr:uid="{00000000-0005-0000-0000-000088040000}"/>
    <cellStyle name="Euro 22 19" xfId="604" xr:uid="{00000000-0005-0000-0000-000089040000}"/>
    <cellStyle name="Euro 22 19 2" xfId="4742" xr:uid="{00000000-0005-0000-0000-00008A040000}"/>
    <cellStyle name="Euro 22 2" xfId="605" xr:uid="{00000000-0005-0000-0000-00008B040000}"/>
    <cellStyle name="Euro 22 2 2" xfId="4743" xr:uid="{00000000-0005-0000-0000-00008C040000}"/>
    <cellStyle name="Euro 22 20" xfId="606" xr:uid="{00000000-0005-0000-0000-00008D040000}"/>
    <cellStyle name="Euro 22 20 2" xfId="4744" xr:uid="{00000000-0005-0000-0000-00008E040000}"/>
    <cellStyle name="Euro 22 21" xfId="607" xr:uid="{00000000-0005-0000-0000-00008F040000}"/>
    <cellStyle name="Euro 22 21 2" xfId="4745" xr:uid="{00000000-0005-0000-0000-000090040000}"/>
    <cellStyle name="Euro 22 22" xfId="608" xr:uid="{00000000-0005-0000-0000-000091040000}"/>
    <cellStyle name="Euro 22 22 2" xfId="4746" xr:uid="{00000000-0005-0000-0000-000092040000}"/>
    <cellStyle name="Euro 22 23" xfId="609" xr:uid="{00000000-0005-0000-0000-000093040000}"/>
    <cellStyle name="Euro 22 23 2" xfId="4747" xr:uid="{00000000-0005-0000-0000-000094040000}"/>
    <cellStyle name="Euro 22 24" xfId="610" xr:uid="{00000000-0005-0000-0000-000095040000}"/>
    <cellStyle name="Euro 22 24 2" xfId="4748" xr:uid="{00000000-0005-0000-0000-000096040000}"/>
    <cellStyle name="Euro 22 25" xfId="611" xr:uid="{00000000-0005-0000-0000-000097040000}"/>
    <cellStyle name="Euro 22 25 2" xfId="4749" xr:uid="{00000000-0005-0000-0000-000098040000}"/>
    <cellStyle name="Euro 22 26" xfId="612" xr:uid="{00000000-0005-0000-0000-000099040000}"/>
    <cellStyle name="Euro 22 26 2" xfId="4750" xr:uid="{00000000-0005-0000-0000-00009A040000}"/>
    <cellStyle name="Euro 22 27" xfId="613" xr:uid="{00000000-0005-0000-0000-00009B040000}"/>
    <cellStyle name="Euro 22 27 2" xfId="4751" xr:uid="{00000000-0005-0000-0000-00009C040000}"/>
    <cellStyle name="Euro 22 28" xfId="614" xr:uid="{00000000-0005-0000-0000-00009D040000}"/>
    <cellStyle name="Euro 22 28 2" xfId="4752" xr:uid="{00000000-0005-0000-0000-00009E040000}"/>
    <cellStyle name="Euro 22 29" xfId="4753" xr:uid="{00000000-0005-0000-0000-00009F040000}"/>
    <cellStyle name="Euro 22 3" xfId="615" xr:uid="{00000000-0005-0000-0000-0000A0040000}"/>
    <cellStyle name="Euro 22 3 2" xfId="4754" xr:uid="{00000000-0005-0000-0000-0000A1040000}"/>
    <cellStyle name="Euro 22 4" xfId="616" xr:uid="{00000000-0005-0000-0000-0000A2040000}"/>
    <cellStyle name="Euro 22 4 2" xfId="4755" xr:uid="{00000000-0005-0000-0000-0000A3040000}"/>
    <cellStyle name="Euro 22 5" xfId="617" xr:uid="{00000000-0005-0000-0000-0000A4040000}"/>
    <cellStyle name="Euro 22 5 2" xfId="4756" xr:uid="{00000000-0005-0000-0000-0000A5040000}"/>
    <cellStyle name="Euro 22 6" xfId="618" xr:uid="{00000000-0005-0000-0000-0000A6040000}"/>
    <cellStyle name="Euro 22 6 2" xfId="4757" xr:uid="{00000000-0005-0000-0000-0000A7040000}"/>
    <cellStyle name="Euro 22 7" xfId="619" xr:uid="{00000000-0005-0000-0000-0000A8040000}"/>
    <cellStyle name="Euro 22 7 2" xfId="4758" xr:uid="{00000000-0005-0000-0000-0000A9040000}"/>
    <cellStyle name="Euro 22 8" xfId="620" xr:uid="{00000000-0005-0000-0000-0000AA040000}"/>
    <cellStyle name="Euro 22 8 2" xfId="4759" xr:uid="{00000000-0005-0000-0000-0000AB040000}"/>
    <cellStyle name="Euro 22 9" xfId="621" xr:uid="{00000000-0005-0000-0000-0000AC040000}"/>
    <cellStyle name="Euro 22 9 2" xfId="4760" xr:uid="{00000000-0005-0000-0000-0000AD040000}"/>
    <cellStyle name="Euro 23" xfId="622" xr:uid="{00000000-0005-0000-0000-0000AE040000}"/>
    <cellStyle name="Euro 23 10" xfId="623" xr:uid="{00000000-0005-0000-0000-0000AF040000}"/>
    <cellStyle name="Euro 23 10 2" xfId="4761" xr:uid="{00000000-0005-0000-0000-0000B0040000}"/>
    <cellStyle name="Euro 23 11" xfId="624" xr:uid="{00000000-0005-0000-0000-0000B1040000}"/>
    <cellStyle name="Euro 23 11 2" xfId="4762" xr:uid="{00000000-0005-0000-0000-0000B2040000}"/>
    <cellStyle name="Euro 23 12" xfId="625" xr:uid="{00000000-0005-0000-0000-0000B3040000}"/>
    <cellStyle name="Euro 23 12 2" xfId="4763" xr:uid="{00000000-0005-0000-0000-0000B4040000}"/>
    <cellStyle name="Euro 23 13" xfId="626" xr:uid="{00000000-0005-0000-0000-0000B5040000}"/>
    <cellStyle name="Euro 23 13 2" xfId="4764" xr:uid="{00000000-0005-0000-0000-0000B6040000}"/>
    <cellStyle name="Euro 23 14" xfId="627" xr:uid="{00000000-0005-0000-0000-0000B7040000}"/>
    <cellStyle name="Euro 23 14 2" xfId="4765" xr:uid="{00000000-0005-0000-0000-0000B8040000}"/>
    <cellStyle name="Euro 23 15" xfId="628" xr:uid="{00000000-0005-0000-0000-0000B9040000}"/>
    <cellStyle name="Euro 23 15 2" xfId="4766" xr:uid="{00000000-0005-0000-0000-0000BA040000}"/>
    <cellStyle name="Euro 23 16" xfId="629" xr:uid="{00000000-0005-0000-0000-0000BB040000}"/>
    <cellStyle name="Euro 23 16 2" xfId="4767" xr:uid="{00000000-0005-0000-0000-0000BC040000}"/>
    <cellStyle name="Euro 23 17" xfId="630" xr:uid="{00000000-0005-0000-0000-0000BD040000}"/>
    <cellStyle name="Euro 23 17 2" xfId="4768" xr:uid="{00000000-0005-0000-0000-0000BE040000}"/>
    <cellStyle name="Euro 23 18" xfId="631" xr:uid="{00000000-0005-0000-0000-0000BF040000}"/>
    <cellStyle name="Euro 23 18 2" xfId="4769" xr:uid="{00000000-0005-0000-0000-0000C0040000}"/>
    <cellStyle name="Euro 23 19" xfId="632" xr:uid="{00000000-0005-0000-0000-0000C1040000}"/>
    <cellStyle name="Euro 23 19 2" xfId="4770" xr:uid="{00000000-0005-0000-0000-0000C2040000}"/>
    <cellStyle name="Euro 23 2" xfId="633" xr:uid="{00000000-0005-0000-0000-0000C3040000}"/>
    <cellStyle name="Euro 23 2 2" xfId="4771" xr:uid="{00000000-0005-0000-0000-0000C4040000}"/>
    <cellStyle name="Euro 23 20" xfId="634" xr:uid="{00000000-0005-0000-0000-0000C5040000}"/>
    <cellStyle name="Euro 23 20 2" xfId="4772" xr:uid="{00000000-0005-0000-0000-0000C6040000}"/>
    <cellStyle name="Euro 23 21" xfId="635" xr:uid="{00000000-0005-0000-0000-0000C7040000}"/>
    <cellStyle name="Euro 23 21 2" xfId="4773" xr:uid="{00000000-0005-0000-0000-0000C8040000}"/>
    <cellStyle name="Euro 23 22" xfId="636" xr:uid="{00000000-0005-0000-0000-0000C9040000}"/>
    <cellStyle name="Euro 23 22 2" xfId="4774" xr:uid="{00000000-0005-0000-0000-0000CA040000}"/>
    <cellStyle name="Euro 23 23" xfId="637" xr:uid="{00000000-0005-0000-0000-0000CB040000}"/>
    <cellStyle name="Euro 23 23 2" xfId="4775" xr:uid="{00000000-0005-0000-0000-0000CC040000}"/>
    <cellStyle name="Euro 23 24" xfId="638" xr:uid="{00000000-0005-0000-0000-0000CD040000}"/>
    <cellStyle name="Euro 23 24 2" xfId="4776" xr:uid="{00000000-0005-0000-0000-0000CE040000}"/>
    <cellStyle name="Euro 23 25" xfId="639" xr:uid="{00000000-0005-0000-0000-0000CF040000}"/>
    <cellStyle name="Euro 23 25 2" xfId="4777" xr:uid="{00000000-0005-0000-0000-0000D0040000}"/>
    <cellStyle name="Euro 23 26" xfId="640" xr:uid="{00000000-0005-0000-0000-0000D1040000}"/>
    <cellStyle name="Euro 23 26 2" xfId="4778" xr:uid="{00000000-0005-0000-0000-0000D2040000}"/>
    <cellStyle name="Euro 23 27" xfId="641" xr:uid="{00000000-0005-0000-0000-0000D3040000}"/>
    <cellStyle name="Euro 23 27 2" xfId="4779" xr:uid="{00000000-0005-0000-0000-0000D4040000}"/>
    <cellStyle name="Euro 23 28" xfId="642" xr:uid="{00000000-0005-0000-0000-0000D5040000}"/>
    <cellStyle name="Euro 23 28 2" xfId="4780" xr:uid="{00000000-0005-0000-0000-0000D6040000}"/>
    <cellStyle name="Euro 23 29" xfId="4781" xr:uid="{00000000-0005-0000-0000-0000D7040000}"/>
    <cellStyle name="Euro 23 3" xfId="643" xr:uid="{00000000-0005-0000-0000-0000D8040000}"/>
    <cellStyle name="Euro 23 3 2" xfId="4782" xr:uid="{00000000-0005-0000-0000-0000D9040000}"/>
    <cellStyle name="Euro 23 4" xfId="644" xr:uid="{00000000-0005-0000-0000-0000DA040000}"/>
    <cellStyle name="Euro 23 4 2" xfId="4783" xr:uid="{00000000-0005-0000-0000-0000DB040000}"/>
    <cellStyle name="Euro 23 5" xfId="645" xr:uid="{00000000-0005-0000-0000-0000DC040000}"/>
    <cellStyle name="Euro 23 5 2" xfId="4784" xr:uid="{00000000-0005-0000-0000-0000DD040000}"/>
    <cellStyle name="Euro 23 6" xfId="646" xr:uid="{00000000-0005-0000-0000-0000DE040000}"/>
    <cellStyle name="Euro 23 6 2" xfId="4785" xr:uid="{00000000-0005-0000-0000-0000DF040000}"/>
    <cellStyle name="Euro 23 7" xfId="647" xr:uid="{00000000-0005-0000-0000-0000E0040000}"/>
    <cellStyle name="Euro 23 7 2" xfId="4786" xr:uid="{00000000-0005-0000-0000-0000E1040000}"/>
    <cellStyle name="Euro 23 8" xfId="648" xr:uid="{00000000-0005-0000-0000-0000E2040000}"/>
    <cellStyle name="Euro 23 8 2" xfId="4787" xr:uid="{00000000-0005-0000-0000-0000E3040000}"/>
    <cellStyle name="Euro 23 9" xfId="649" xr:uid="{00000000-0005-0000-0000-0000E4040000}"/>
    <cellStyle name="Euro 23 9 2" xfId="4788" xr:uid="{00000000-0005-0000-0000-0000E5040000}"/>
    <cellStyle name="Euro 24" xfId="650" xr:uid="{00000000-0005-0000-0000-0000E6040000}"/>
    <cellStyle name="Euro 24 10" xfId="651" xr:uid="{00000000-0005-0000-0000-0000E7040000}"/>
    <cellStyle name="Euro 24 10 2" xfId="4789" xr:uid="{00000000-0005-0000-0000-0000E8040000}"/>
    <cellStyle name="Euro 24 11" xfId="652" xr:uid="{00000000-0005-0000-0000-0000E9040000}"/>
    <cellStyle name="Euro 24 11 2" xfId="4790" xr:uid="{00000000-0005-0000-0000-0000EA040000}"/>
    <cellStyle name="Euro 24 12" xfId="653" xr:uid="{00000000-0005-0000-0000-0000EB040000}"/>
    <cellStyle name="Euro 24 12 2" xfId="4791" xr:uid="{00000000-0005-0000-0000-0000EC040000}"/>
    <cellStyle name="Euro 24 13" xfId="654" xr:uid="{00000000-0005-0000-0000-0000ED040000}"/>
    <cellStyle name="Euro 24 13 2" xfId="4792" xr:uid="{00000000-0005-0000-0000-0000EE040000}"/>
    <cellStyle name="Euro 24 14" xfId="655" xr:uid="{00000000-0005-0000-0000-0000EF040000}"/>
    <cellStyle name="Euro 24 14 2" xfId="4793" xr:uid="{00000000-0005-0000-0000-0000F0040000}"/>
    <cellStyle name="Euro 24 15" xfId="656" xr:uid="{00000000-0005-0000-0000-0000F1040000}"/>
    <cellStyle name="Euro 24 15 2" xfId="4794" xr:uid="{00000000-0005-0000-0000-0000F2040000}"/>
    <cellStyle name="Euro 24 16" xfId="657" xr:uid="{00000000-0005-0000-0000-0000F3040000}"/>
    <cellStyle name="Euro 24 16 2" xfId="4795" xr:uid="{00000000-0005-0000-0000-0000F4040000}"/>
    <cellStyle name="Euro 24 17" xfId="658" xr:uid="{00000000-0005-0000-0000-0000F5040000}"/>
    <cellStyle name="Euro 24 17 2" xfId="4796" xr:uid="{00000000-0005-0000-0000-0000F6040000}"/>
    <cellStyle name="Euro 24 18" xfId="659" xr:uid="{00000000-0005-0000-0000-0000F7040000}"/>
    <cellStyle name="Euro 24 18 2" xfId="4797" xr:uid="{00000000-0005-0000-0000-0000F8040000}"/>
    <cellStyle name="Euro 24 19" xfId="660" xr:uid="{00000000-0005-0000-0000-0000F9040000}"/>
    <cellStyle name="Euro 24 19 2" xfId="4798" xr:uid="{00000000-0005-0000-0000-0000FA040000}"/>
    <cellStyle name="Euro 24 2" xfId="661" xr:uid="{00000000-0005-0000-0000-0000FB040000}"/>
    <cellStyle name="Euro 24 2 2" xfId="4799" xr:uid="{00000000-0005-0000-0000-0000FC040000}"/>
    <cellStyle name="Euro 24 20" xfId="662" xr:uid="{00000000-0005-0000-0000-0000FD040000}"/>
    <cellStyle name="Euro 24 20 2" xfId="4800" xr:uid="{00000000-0005-0000-0000-0000FE040000}"/>
    <cellStyle name="Euro 24 21" xfId="663" xr:uid="{00000000-0005-0000-0000-0000FF040000}"/>
    <cellStyle name="Euro 24 21 2" xfId="4801" xr:uid="{00000000-0005-0000-0000-000000050000}"/>
    <cellStyle name="Euro 24 22" xfId="664" xr:uid="{00000000-0005-0000-0000-000001050000}"/>
    <cellStyle name="Euro 24 22 2" xfId="4802" xr:uid="{00000000-0005-0000-0000-000002050000}"/>
    <cellStyle name="Euro 24 23" xfId="665" xr:uid="{00000000-0005-0000-0000-000003050000}"/>
    <cellStyle name="Euro 24 23 2" xfId="4803" xr:uid="{00000000-0005-0000-0000-000004050000}"/>
    <cellStyle name="Euro 24 24" xfId="666" xr:uid="{00000000-0005-0000-0000-000005050000}"/>
    <cellStyle name="Euro 24 24 2" xfId="4804" xr:uid="{00000000-0005-0000-0000-000006050000}"/>
    <cellStyle name="Euro 24 25" xfId="667" xr:uid="{00000000-0005-0000-0000-000007050000}"/>
    <cellStyle name="Euro 24 25 2" xfId="4805" xr:uid="{00000000-0005-0000-0000-000008050000}"/>
    <cellStyle name="Euro 24 26" xfId="668" xr:uid="{00000000-0005-0000-0000-000009050000}"/>
    <cellStyle name="Euro 24 26 2" xfId="4806" xr:uid="{00000000-0005-0000-0000-00000A050000}"/>
    <cellStyle name="Euro 24 27" xfId="669" xr:uid="{00000000-0005-0000-0000-00000B050000}"/>
    <cellStyle name="Euro 24 27 2" xfId="4807" xr:uid="{00000000-0005-0000-0000-00000C050000}"/>
    <cellStyle name="Euro 24 28" xfId="670" xr:uid="{00000000-0005-0000-0000-00000D050000}"/>
    <cellStyle name="Euro 24 28 2" xfId="4808" xr:uid="{00000000-0005-0000-0000-00000E050000}"/>
    <cellStyle name="Euro 24 29" xfId="4809" xr:uid="{00000000-0005-0000-0000-00000F050000}"/>
    <cellStyle name="Euro 24 3" xfId="671" xr:uid="{00000000-0005-0000-0000-000010050000}"/>
    <cellStyle name="Euro 24 3 2" xfId="4810" xr:uid="{00000000-0005-0000-0000-000011050000}"/>
    <cellStyle name="Euro 24 4" xfId="672" xr:uid="{00000000-0005-0000-0000-000012050000}"/>
    <cellStyle name="Euro 24 4 2" xfId="4811" xr:uid="{00000000-0005-0000-0000-000013050000}"/>
    <cellStyle name="Euro 24 5" xfId="673" xr:uid="{00000000-0005-0000-0000-000014050000}"/>
    <cellStyle name="Euro 24 5 2" xfId="4812" xr:uid="{00000000-0005-0000-0000-000015050000}"/>
    <cellStyle name="Euro 24 6" xfId="674" xr:uid="{00000000-0005-0000-0000-000016050000}"/>
    <cellStyle name="Euro 24 6 2" xfId="4813" xr:uid="{00000000-0005-0000-0000-000017050000}"/>
    <cellStyle name="Euro 24 7" xfId="675" xr:uid="{00000000-0005-0000-0000-000018050000}"/>
    <cellStyle name="Euro 24 7 2" xfId="4814" xr:uid="{00000000-0005-0000-0000-000019050000}"/>
    <cellStyle name="Euro 24 8" xfId="676" xr:uid="{00000000-0005-0000-0000-00001A050000}"/>
    <cellStyle name="Euro 24 8 2" xfId="4815" xr:uid="{00000000-0005-0000-0000-00001B050000}"/>
    <cellStyle name="Euro 24 9" xfId="677" xr:uid="{00000000-0005-0000-0000-00001C050000}"/>
    <cellStyle name="Euro 24 9 2" xfId="4816" xr:uid="{00000000-0005-0000-0000-00001D050000}"/>
    <cellStyle name="Euro 25" xfId="678" xr:uid="{00000000-0005-0000-0000-00001E050000}"/>
    <cellStyle name="Euro 25 10" xfId="679" xr:uid="{00000000-0005-0000-0000-00001F050000}"/>
    <cellStyle name="Euro 25 10 2" xfId="4817" xr:uid="{00000000-0005-0000-0000-000020050000}"/>
    <cellStyle name="Euro 25 11" xfId="680" xr:uid="{00000000-0005-0000-0000-000021050000}"/>
    <cellStyle name="Euro 25 11 2" xfId="4818" xr:uid="{00000000-0005-0000-0000-000022050000}"/>
    <cellStyle name="Euro 25 12" xfId="681" xr:uid="{00000000-0005-0000-0000-000023050000}"/>
    <cellStyle name="Euro 25 12 2" xfId="4819" xr:uid="{00000000-0005-0000-0000-000024050000}"/>
    <cellStyle name="Euro 25 13" xfId="682" xr:uid="{00000000-0005-0000-0000-000025050000}"/>
    <cellStyle name="Euro 25 13 2" xfId="4820" xr:uid="{00000000-0005-0000-0000-000026050000}"/>
    <cellStyle name="Euro 25 14" xfId="683" xr:uid="{00000000-0005-0000-0000-000027050000}"/>
    <cellStyle name="Euro 25 14 2" xfId="4821" xr:uid="{00000000-0005-0000-0000-000028050000}"/>
    <cellStyle name="Euro 25 15" xfId="684" xr:uid="{00000000-0005-0000-0000-000029050000}"/>
    <cellStyle name="Euro 25 15 2" xfId="4822" xr:uid="{00000000-0005-0000-0000-00002A050000}"/>
    <cellStyle name="Euro 25 16" xfId="685" xr:uid="{00000000-0005-0000-0000-00002B050000}"/>
    <cellStyle name="Euro 25 16 2" xfId="4823" xr:uid="{00000000-0005-0000-0000-00002C050000}"/>
    <cellStyle name="Euro 25 17" xfId="686" xr:uid="{00000000-0005-0000-0000-00002D050000}"/>
    <cellStyle name="Euro 25 17 2" xfId="4824" xr:uid="{00000000-0005-0000-0000-00002E050000}"/>
    <cellStyle name="Euro 25 18" xfId="687" xr:uid="{00000000-0005-0000-0000-00002F050000}"/>
    <cellStyle name="Euro 25 18 2" xfId="4825" xr:uid="{00000000-0005-0000-0000-000030050000}"/>
    <cellStyle name="Euro 25 19" xfId="688" xr:uid="{00000000-0005-0000-0000-000031050000}"/>
    <cellStyle name="Euro 25 19 2" xfId="4826" xr:uid="{00000000-0005-0000-0000-000032050000}"/>
    <cellStyle name="Euro 25 2" xfId="689" xr:uid="{00000000-0005-0000-0000-000033050000}"/>
    <cellStyle name="Euro 25 2 2" xfId="4827" xr:uid="{00000000-0005-0000-0000-000034050000}"/>
    <cellStyle name="Euro 25 20" xfId="690" xr:uid="{00000000-0005-0000-0000-000035050000}"/>
    <cellStyle name="Euro 25 20 2" xfId="4828" xr:uid="{00000000-0005-0000-0000-000036050000}"/>
    <cellStyle name="Euro 25 21" xfId="691" xr:uid="{00000000-0005-0000-0000-000037050000}"/>
    <cellStyle name="Euro 25 21 2" xfId="4829" xr:uid="{00000000-0005-0000-0000-000038050000}"/>
    <cellStyle name="Euro 25 22" xfId="692" xr:uid="{00000000-0005-0000-0000-000039050000}"/>
    <cellStyle name="Euro 25 22 2" xfId="4830" xr:uid="{00000000-0005-0000-0000-00003A050000}"/>
    <cellStyle name="Euro 25 23" xfId="693" xr:uid="{00000000-0005-0000-0000-00003B050000}"/>
    <cellStyle name="Euro 25 23 2" xfId="4831" xr:uid="{00000000-0005-0000-0000-00003C050000}"/>
    <cellStyle name="Euro 25 24" xfId="694" xr:uid="{00000000-0005-0000-0000-00003D050000}"/>
    <cellStyle name="Euro 25 24 2" xfId="4832" xr:uid="{00000000-0005-0000-0000-00003E050000}"/>
    <cellStyle name="Euro 25 25" xfId="695" xr:uid="{00000000-0005-0000-0000-00003F050000}"/>
    <cellStyle name="Euro 25 25 2" xfId="4833" xr:uid="{00000000-0005-0000-0000-000040050000}"/>
    <cellStyle name="Euro 25 26" xfId="696" xr:uid="{00000000-0005-0000-0000-000041050000}"/>
    <cellStyle name="Euro 25 26 2" xfId="4834" xr:uid="{00000000-0005-0000-0000-000042050000}"/>
    <cellStyle name="Euro 25 27" xfId="697" xr:uid="{00000000-0005-0000-0000-000043050000}"/>
    <cellStyle name="Euro 25 27 2" xfId="4835" xr:uid="{00000000-0005-0000-0000-000044050000}"/>
    <cellStyle name="Euro 25 28" xfId="698" xr:uid="{00000000-0005-0000-0000-000045050000}"/>
    <cellStyle name="Euro 25 28 2" xfId="4836" xr:uid="{00000000-0005-0000-0000-000046050000}"/>
    <cellStyle name="Euro 25 29" xfId="4837" xr:uid="{00000000-0005-0000-0000-000047050000}"/>
    <cellStyle name="Euro 25 3" xfId="699" xr:uid="{00000000-0005-0000-0000-000048050000}"/>
    <cellStyle name="Euro 25 3 2" xfId="4838" xr:uid="{00000000-0005-0000-0000-000049050000}"/>
    <cellStyle name="Euro 25 4" xfId="700" xr:uid="{00000000-0005-0000-0000-00004A050000}"/>
    <cellStyle name="Euro 25 4 2" xfId="4839" xr:uid="{00000000-0005-0000-0000-00004B050000}"/>
    <cellStyle name="Euro 25 5" xfId="701" xr:uid="{00000000-0005-0000-0000-00004C050000}"/>
    <cellStyle name="Euro 25 5 2" xfId="4840" xr:uid="{00000000-0005-0000-0000-00004D050000}"/>
    <cellStyle name="Euro 25 6" xfId="702" xr:uid="{00000000-0005-0000-0000-00004E050000}"/>
    <cellStyle name="Euro 25 6 2" xfId="4841" xr:uid="{00000000-0005-0000-0000-00004F050000}"/>
    <cellStyle name="Euro 25 7" xfId="703" xr:uid="{00000000-0005-0000-0000-000050050000}"/>
    <cellStyle name="Euro 25 7 2" xfId="4842" xr:uid="{00000000-0005-0000-0000-000051050000}"/>
    <cellStyle name="Euro 25 8" xfId="704" xr:uid="{00000000-0005-0000-0000-000052050000}"/>
    <cellStyle name="Euro 25 8 2" xfId="4843" xr:uid="{00000000-0005-0000-0000-000053050000}"/>
    <cellStyle name="Euro 25 9" xfId="705" xr:uid="{00000000-0005-0000-0000-000054050000}"/>
    <cellStyle name="Euro 25 9 2" xfId="4844" xr:uid="{00000000-0005-0000-0000-000055050000}"/>
    <cellStyle name="Euro 26" xfId="706" xr:uid="{00000000-0005-0000-0000-000056050000}"/>
    <cellStyle name="Euro 26 10" xfId="707" xr:uid="{00000000-0005-0000-0000-000057050000}"/>
    <cellStyle name="Euro 26 10 2" xfId="4845" xr:uid="{00000000-0005-0000-0000-000058050000}"/>
    <cellStyle name="Euro 26 11" xfId="708" xr:uid="{00000000-0005-0000-0000-000059050000}"/>
    <cellStyle name="Euro 26 11 2" xfId="4846" xr:uid="{00000000-0005-0000-0000-00005A050000}"/>
    <cellStyle name="Euro 26 12" xfId="709" xr:uid="{00000000-0005-0000-0000-00005B050000}"/>
    <cellStyle name="Euro 26 12 2" xfId="4847" xr:uid="{00000000-0005-0000-0000-00005C050000}"/>
    <cellStyle name="Euro 26 13" xfId="710" xr:uid="{00000000-0005-0000-0000-00005D050000}"/>
    <cellStyle name="Euro 26 13 2" xfId="4848" xr:uid="{00000000-0005-0000-0000-00005E050000}"/>
    <cellStyle name="Euro 26 14" xfId="711" xr:uid="{00000000-0005-0000-0000-00005F050000}"/>
    <cellStyle name="Euro 26 14 2" xfId="4849" xr:uid="{00000000-0005-0000-0000-000060050000}"/>
    <cellStyle name="Euro 26 15" xfId="712" xr:uid="{00000000-0005-0000-0000-000061050000}"/>
    <cellStyle name="Euro 26 15 2" xfId="4850" xr:uid="{00000000-0005-0000-0000-000062050000}"/>
    <cellStyle name="Euro 26 16" xfId="713" xr:uid="{00000000-0005-0000-0000-000063050000}"/>
    <cellStyle name="Euro 26 16 2" xfId="4851" xr:uid="{00000000-0005-0000-0000-000064050000}"/>
    <cellStyle name="Euro 26 17" xfId="714" xr:uid="{00000000-0005-0000-0000-000065050000}"/>
    <cellStyle name="Euro 26 17 2" xfId="4852" xr:uid="{00000000-0005-0000-0000-000066050000}"/>
    <cellStyle name="Euro 26 18" xfId="715" xr:uid="{00000000-0005-0000-0000-000067050000}"/>
    <cellStyle name="Euro 26 18 2" xfId="4853" xr:uid="{00000000-0005-0000-0000-000068050000}"/>
    <cellStyle name="Euro 26 19" xfId="716" xr:uid="{00000000-0005-0000-0000-000069050000}"/>
    <cellStyle name="Euro 26 19 2" xfId="4854" xr:uid="{00000000-0005-0000-0000-00006A050000}"/>
    <cellStyle name="Euro 26 2" xfId="717" xr:uid="{00000000-0005-0000-0000-00006B050000}"/>
    <cellStyle name="Euro 26 2 2" xfId="4855" xr:uid="{00000000-0005-0000-0000-00006C050000}"/>
    <cellStyle name="Euro 26 20" xfId="718" xr:uid="{00000000-0005-0000-0000-00006D050000}"/>
    <cellStyle name="Euro 26 20 2" xfId="4856" xr:uid="{00000000-0005-0000-0000-00006E050000}"/>
    <cellStyle name="Euro 26 21" xfId="719" xr:uid="{00000000-0005-0000-0000-00006F050000}"/>
    <cellStyle name="Euro 26 21 2" xfId="4857" xr:uid="{00000000-0005-0000-0000-000070050000}"/>
    <cellStyle name="Euro 26 22" xfId="720" xr:uid="{00000000-0005-0000-0000-000071050000}"/>
    <cellStyle name="Euro 26 22 2" xfId="4858" xr:uid="{00000000-0005-0000-0000-000072050000}"/>
    <cellStyle name="Euro 26 23" xfId="721" xr:uid="{00000000-0005-0000-0000-000073050000}"/>
    <cellStyle name="Euro 26 23 2" xfId="4859" xr:uid="{00000000-0005-0000-0000-000074050000}"/>
    <cellStyle name="Euro 26 24" xfId="722" xr:uid="{00000000-0005-0000-0000-000075050000}"/>
    <cellStyle name="Euro 26 24 2" xfId="4860" xr:uid="{00000000-0005-0000-0000-000076050000}"/>
    <cellStyle name="Euro 26 25" xfId="723" xr:uid="{00000000-0005-0000-0000-000077050000}"/>
    <cellStyle name="Euro 26 25 2" xfId="4861" xr:uid="{00000000-0005-0000-0000-000078050000}"/>
    <cellStyle name="Euro 26 26" xfId="724" xr:uid="{00000000-0005-0000-0000-000079050000}"/>
    <cellStyle name="Euro 26 26 2" xfId="4862" xr:uid="{00000000-0005-0000-0000-00007A050000}"/>
    <cellStyle name="Euro 26 27" xfId="725" xr:uid="{00000000-0005-0000-0000-00007B050000}"/>
    <cellStyle name="Euro 26 27 2" xfId="4863" xr:uid="{00000000-0005-0000-0000-00007C050000}"/>
    <cellStyle name="Euro 26 28" xfId="726" xr:uid="{00000000-0005-0000-0000-00007D050000}"/>
    <cellStyle name="Euro 26 28 2" xfId="4864" xr:uid="{00000000-0005-0000-0000-00007E050000}"/>
    <cellStyle name="Euro 26 29" xfId="4865" xr:uid="{00000000-0005-0000-0000-00007F050000}"/>
    <cellStyle name="Euro 26 3" xfId="727" xr:uid="{00000000-0005-0000-0000-000080050000}"/>
    <cellStyle name="Euro 26 3 2" xfId="4866" xr:uid="{00000000-0005-0000-0000-000081050000}"/>
    <cellStyle name="Euro 26 4" xfId="728" xr:uid="{00000000-0005-0000-0000-000082050000}"/>
    <cellStyle name="Euro 26 4 2" xfId="4867" xr:uid="{00000000-0005-0000-0000-000083050000}"/>
    <cellStyle name="Euro 26 5" xfId="729" xr:uid="{00000000-0005-0000-0000-000084050000}"/>
    <cellStyle name="Euro 26 5 2" xfId="4868" xr:uid="{00000000-0005-0000-0000-000085050000}"/>
    <cellStyle name="Euro 26 6" xfId="730" xr:uid="{00000000-0005-0000-0000-000086050000}"/>
    <cellStyle name="Euro 26 6 2" xfId="4869" xr:uid="{00000000-0005-0000-0000-000087050000}"/>
    <cellStyle name="Euro 26 7" xfId="731" xr:uid="{00000000-0005-0000-0000-000088050000}"/>
    <cellStyle name="Euro 26 7 2" xfId="4870" xr:uid="{00000000-0005-0000-0000-000089050000}"/>
    <cellStyle name="Euro 26 8" xfId="732" xr:uid="{00000000-0005-0000-0000-00008A050000}"/>
    <cellStyle name="Euro 26 8 2" xfId="4871" xr:uid="{00000000-0005-0000-0000-00008B050000}"/>
    <cellStyle name="Euro 26 9" xfId="733" xr:uid="{00000000-0005-0000-0000-00008C050000}"/>
    <cellStyle name="Euro 26 9 2" xfId="4872" xr:uid="{00000000-0005-0000-0000-00008D050000}"/>
    <cellStyle name="Euro 27" xfId="734" xr:uid="{00000000-0005-0000-0000-00008E050000}"/>
    <cellStyle name="Euro 27 10" xfId="735" xr:uid="{00000000-0005-0000-0000-00008F050000}"/>
    <cellStyle name="Euro 27 10 2" xfId="4873" xr:uid="{00000000-0005-0000-0000-000090050000}"/>
    <cellStyle name="Euro 27 11" xfId="736" xr:uid="{00000000-0005-0000-0000-000091050000}"/>
    <cellStyle name="Euro 27 11 2" xfId="4874" xr:uid="{00000000-0005-0000-0000-000092050000}"/>
    <cellStyle name="Euro 27 12" xfId="737" xr:uid="{00000000-0005-0000-0000-000093050000}"/>
    <cellStyle name="Euro 27 12 2" xfId="4875" xr:uid="{00000000-0005-0000-0000-000094050000}"/>
    <cellStyle name="Euro 27 13" xfId="738" xr:uid="{00000000-0005-0000-0000-000095050000}"/>
    <cellStyle name="Euro 27 13 2" xfId="4876" xr:uid="{00000000-0005-0000-0000-000096050000}"/>
    <cellStyle name="Euro 27 14" xfId="739" xr:uid="{00000000-0005-0000-0000-000097050000}"/>
    <cellStyle name="Euro 27 14 2" xfId="4877" xr:uid="{00000000-0005-0000-0000-000098050000}"/>
    <cellStyle name="Euro 27 15" xfId="740" xr:uid="{00000000-0005-0000-0000-000099050000}"/>
    <cellStyle name="Euro 27 15 2" xfId="4878" xr:uid="{00000000-0005-0000-0000-00009A050000}"/>
    <cellStyle name="Euro 27 16" xfId="741" xr:uid="{00000000-0005-0000-0000-00009B050000}"/>
    <cellStyle name="Euro 27 16 2" xfId="4879" xr:uid="{00000000-0005-0000-0000-00009C050000}"/>
    <cellStyle name="Euro 27 17" xfId="742" xr:uid="{00000000-0005-0000-0000-00009D050000}"/>
    <cellStyle name="Euro 27 17 2" xfId="4880" xr:uid="{00000000-0005-0000-0000-00009E050000}"/>
    <cellStyle name="Euro 27 18" xfId="743" xr:uid="{00000000-0005-0000-0000-00009F050000}"/>
    <cellStyle name="Euro 27 18 2" xfId="4881" xr:uid="{00000000-0005-0000-0000-0000A0050000}"/>
    <cellStyle name="Euro 27 19" xfId="744" xr:uid="{00000000-0005-0000-0000-0000A1050000}"/>
    <cellStyle name="Euro 27 19 2" xfId="4882" xr:uid="{00000000-0005-0000-0000-0000A2050000}"/>
    <cellStyle name="Euro 27 2" xfId="745" xr:uid="{00000000-0005-0000-0000-0000A3050000}"/>
    <cellStyle name="Euro 27 2 2" xfId="4883" xr:uid="{00000000-0005-0000-0000-0000A4050000}"/>
    <cellStyle name="Euro 27 20" xfId="746" xr:uid="{00000000-0005-0000-0000-0000A5050000}"/>
    <cellStyle name="Euro 27 20 2" xfId="4884" xr:uid="{00000000-0005-0000-0000-0000A6050000}"/>
    <cellStyle name="Euro 27 21" xfId="747" xr:uid="{00000000-0005-0000-0000-0000A7050000}"/>
    <cellStyle name="Euro 27 21 2" xfId="4885" xr:uid="{00000000-0005-0000-0000-0000A8050000}"/>
    <cellStyle name="Euro 27 22" xfId="748" xr:uid="{00000000-0005-0000-0000-0000A9050000}"/>
    <cellStyle name="Euro 27 22 2" xfId="4886" xr:uid="{00000000-0005-0000-0000-0000AA050000}"/>
    <cellStyle name="Euro 27 23" xfId="749" xr:uid="{00000000-0005-0000-0000-0000AB050000}"/>
    <cellStyle name="Euro 27 23 2" xfId="4887" xr:uid="{00000000-0005-0000-0000-0000AC050000}"/>
    <cellStyle name="Euro 27 24" xfId="750" xr:uid="{00000000-0005-0000-0000-0000AD050000}"/>
    <cellStyle name="Euro 27 24 2" xfId="4888" xr:uid="{00000000-0005-0000-0000-0000AE050000}"/>
    <cellStyle name="Euro 27 25" xfId="751" xr:uid="{00000000-0005-0000-0000-0000AF050000}"/>
    <cellStyle name="Euro 27 25 2" xfId="4889" xr:uid="{00000000-0005-0000-0000-0000B0050000}"/>
    <cellStyle name="Euro 27 26" xfId="752" xr:uid="{00000000-0005-0000-0000-0000B1050000}"/>
    <cellStyle name="Euro 27 26 2" xfId="4890" xr:uid="{00000000-0005-0000-0000-0000B2050000}"/>
    <cellStyle name="Euro 27 27" xfId="753" xr:uid="{00000000-0005-0000-0000-0000B3050000}"/>
    <cellStyle name="Euro 27 27 2" xfId="4891" xr:uid="{00000000-0005-0000-0000-0000B4050000}"/>
    <cellStyle name="Euro 27 28" xfId="754" xr:uid="{00000000-0005-0000-0000-0000B5050000}"/>
    <cellStyle name="Euro 27 28 2" xfId="4892" xr:uid="{00000000-0005-0000-0000-0000B6050000}"/>
    <cellStyle name="Euro 27 29" xfId="4893" xr:uid="{00000000-0005-0000-0000-0000B7050000}"/>
    <cellStyle name="Euro 27 3" xfId="755" xr:uid="{00000000-0005-0000-0000-0000B8050000}"/>
    <cellStyle name="Euro 27 3 2" xfId="4894" xr:uid="{00000000-0005-0000-0000-0000B9050000}"/>
    <cellStyle name="Euro 27 4" xfId="756" xr:uid="{00000000-0005-0000-0000-0000BA050000}"/>
    <cellStyle name="Euro 27 4 2" xfId="4895" xr:uid="{00000000-0005-0000-0000-0000BB050000}"/>
    <cellStyle name="Euro 27 5" xfId="757" xr:uid="{00000000-0005-0000-0000-0000BC050000}"/>
    <cellStyle name="Euro 27 5 2" xfId="4896" xr:uid="{00000000-0005-0000-0000-0000BD050000}"/>
    <cellStyle name="Euro 27 6" xfId="758" xr:uid="{00000000-0005-0000-0000-0000BE050000}"/>
    <cellStyle name="Euro 27 6 2" xfId="4897" xr:uid="{00000000-0005-0000-0000-0000BF050000}"/>
    <cellStyle name="Euro 27 7" xfId="759" xr:uid="{00000000-0005-0000-0000-0000C0050000}"/>
    <cellStyle name="Euro 27 7 2" xfId="4898" xr:uid="{00000000-0005-0000-0000-0000C1050000}"/>
    <cellStyle name="Euro 27 8" xfId="760" xr:uid="{00000000-0005-0000-0000-0000C2050000}"/>
    <cellStyle name="Euro 27 8 2" xfId="4899" xr:uid="{00000000-0005-0000-0000-0000C3050000}"/>
    <cellStyle name="Euro 27 9" xfId="761" xr:uid="{00000000-0005-0000-0000-0000C4050000}"/>
    <cellStyle name="Euro 27 9 2" xfId="4900" xr:uid="{00000000-0005-0000-0000-0000C5050000}"/>
    <cellStyle name="Euro 28" xfId="762" xr:uid="{00000000-0005-0000-0000-0000C6050000}"/>
    <cellStyle name="Euro 28 10" xfId="763" xr:uid="{00000000-0005-0000-0000-0000C7050000}"/>
    <cellStyle name="Euro 28 10 2" xfId="4901" xr:uid="{00000000-0005-0000-0000-0000C8050000}"/>
    <cellStyle name="Euro 28 11" xfId="764" xr:uid="{00000000-0005-0000-0000-0000C9050000}"/>
    <cellStyle name="Euro 28 11 2" xfId="4902" xr:uid="{00000000-0005-0000-0000-0000CA050000}"/>
    <cellStyle name="Euro 28 12" xfId="765" xr:uid="{00000000-0005-0000-0000-0000CB050000}"/>
    <cellStyle name="Euro 28 12 2" xfId="4903" xr:uid="{00000000-0005-0000-0000-0000CC050000}"/>
    <cellStyle name="Euro 28 13" xfId="766" xr:uid="{00000000-0005-0000-0000-0000CD050000}"/>
    <cellStyle name="Euro 28 13 2" xfId="4904" xr:uid="{00000000-0005-0000-0000-0000CE050000}"/>
    <cellStyle name="Euro 28 14" xfId="767" xr:uid="{00000000-0005-0000-0000-0000CF050000}"/>
    <cellStyle name="Euro 28 14 2" xfId="4905" xr:uid="{00000000-0005-0000-0000-0000D0050000}"/>
    <cellStyle name="Euro 28 15" xfId="768" xr:uid="{00000000-0005-0000-0000-0000D1050000}"/>
    <cellStyle name="Euro 28 15 2" xfId="4906" xr:uid="{00000000-0005-0000-0000-0000D2050000}"/>
    <cellStyle name="Euro 28 16" xfId="769" xr:uid="{00000000-0005-0000-0000-0000D3050000}"/>
    <cellStyle name="Euro 28 16 2" xfId="4907" xr:uid="{00000000-0005-0000-0000-0000D4050000}"/>
    <cellStyle name="Euro 28 17" xfId="770" xr:uid="{00000000-0005-0000-0000-0000D5050000}"/>
    <cellStyle name="Euro 28 17 2" xfId="4908" xr:uid="{00000000-0005-0000-0000-0000D6050000}"/>
    <cellStyle name="Euro 28 18" xfId="771" xr:uid="{00000000-0005-0000-0000-0000D7050000}"/>
    <cellStyle name="Euro 28 18 2" xfId="4909" xr:uid="{00000000-0005-0000-0000-0000D8050000}"/>
    <cellStyle name="Euro 28 19" xfId="772" xr:uid="{00000000-0005-0000-0000-0000D9050000}"/>
    <cellStyle name="Euro 28 19 2" xfId="4910" xr:uid="{00000000-0005-0000-0000-0000DA050000}"/>
    <cellStyle name="Euro 28 2" xfId="773" xr:uid="{00000000-0005-0000-0000-0000DB050000}"/>
    <cellStyle name="Euro 28 2 2" xfId="4911" xr:uid="{00000000-0005-0000-0000-0000DC050000}"/>
    <cellStyle name="Euro 28 20" xfId="774" xr:uid="{00000000-0005-0000-0000-0000DD050000}"/>
    <cellStyle name="Euro 28 20 2" xfId="4912" xr:uid="{00000000-0005-0000-0000-0000DE050000}"/>
    <cellStyle name="Euro 28 21" xfId="775" xr:uid="{00000000-0005-0000-0000-0000DF050000}"/>
    <cellStyle name="Euro 28 21 2" xfId="4913" xr:uid="{00000000-0005-0000-0000-0000E0050000}"/>
    <cellStyle name="Euro 28 22" xfId="776" xr:uid="{00000000-0005-0000-0000-0000E1050000}"/>
    <cellStyle name="Euro 28 22 2" xfId="4914" xr:uid="{00000000-0005-0000-0000-0000E2050000}"/>
    <cellStyle name="Euro 28 23" xfId="777" xr:uid="{00000000-0005-0000-0000-0000E3050000}"/>
    <cellStyle name="Euro 28 23 2" xfId="4915" xr:uid="{00000000-0005-0000-0000-0000E4050000}"/>
    <cellStyle name="Euro 28 24" xfId="778" xr:uid="{00000000-0005-0000-0000-0000E5050000}"/>
    <cellStyle name="Euro 28 24 2" xfId="4916" xr:uid="{00000000-0005-0000-0000-0000E6050000}"/>
    <cellStyle name="Euro 28 25" xfId="779" xr:uid="{00000000-0005-0000-0000-0000E7050000}"/>
    <cellStyle name="Euro 28 25 2" xfId="4917" xr:uid="{00000000-0005-0000-0000-0000E8050000}"/>
    <cellStyle name="Euro 28 26" xfId="780" xr:uid="{00000000-0005-0000-0000-0000E9050000}"/>
    <cellStyle name="Euro 28 26 2" xfId="4918" xr:uid="{00000000-0005-0000-0000-0000EA050000}"/>
    <cellStyle name="Euro 28 27" xfId="781" xr:uid="{00000000-0005-0000-0000-0000EB050000}"/>
    <cellStyle name="Euro 28 27 2" xfId="4919" xr:uid="{00000000-0005-0000-0000-0000EC050000}"/>
    <cellStyle name="Euro 28 28" xfId="782" xr:uid="{00000000-0005-0000-0000-0000ED050000}"/>
    <cellStyle name="Euro 28 28 2" xfId="4920" xr:uid="{00000000-0005-0000-0000-0000EE050000}"/>
    <cellStyle name="Euro 28 29" xfId="4921" xr:uid="{00000000-0005-0000-0000-0000EF050000}"/>
    <cellStyle name="Euro 28 3" xfId="783" xr:uid="{00000000-0005-0000-0000-0000F0050000}"/>
    <cellStyle name="Euro 28 3 2" xfId="4922" xr:uid="{00000000-0005-0000-0000-0000F1050000}"/>
    <cellStyle name="Euro 28 4" xfId="784" xr:uid="{00000000-0005-0000-0000-0000F2050000}"/>
    <cellStyle name="Euro 28 4 2" xfId="4923" xr:uid="{00000000-0005-0000-0000-0000F3050000}"/>
    <cellStyle name="Euro 28 5" xfId="785" xr:uid="{00000000-0005-0000-0000-0000F4050000}"/>
    <cellStyle name="Euro 28 5 2" xfId="4924" xr:uid="{00000000-0005-0000-0000-0000F5050000}"/>
    <cellStyle name="Euro 28 6" xfId="786" xr:uid="{00000000-0005-0000-0000-0000F6050000}"/>
    <cellStyle name="Euro 28 6 2" xfId="4925" xr:uid="{00000000-0005-0000-0000-0000F7050000}"/>
    <cellStyle name="Euro 28 7" xfId="787" xr:uid="{00000000-0005-0000-0000-0000F8050000}"/>
    <cellStyle name="Euro 28 7 2" xfId="4926" xr:uid="{00000000-0005-0000-0000-0000F9050000}"/>
    <cellStyle name="Euro 28 8" xfId="788" xr:uid="{00000000-0005-0000-0000-0000FA050000}"/>
    <cellStyle name="Euro 28 8 2" xfId="4927" xr:uid="{00000000-0005-0000-0000-0000FB050000}"/>
    <cellStyle name="Euro 28 9" xfId="789" xr:uid="{00000000-0005-0000-0000-0000FC050000}"/>
    <cellStyle name="Euro 28 9 2" xfId="4928" xr:uid="{00000000-0005-0000-0000-0000FD050000}"/>
    <cellStyle name="Euro 29" xfId="790" xr:uid="{00000000-0005-0000-0000-0000FE050000}"/>
    <cellStyle name="Euro 29 10" xfId="791" xr:uid="{00000000-0005-0000-0000-0000FF050000}"/>
    <cellStyle name="Euro 29 10 2" xfId="4929" xr:uid="{00000000-0005-0000-0000-000000060000}"/>
    <cellStyle name="Euro 29 11" xfId="792" xr:uid="{00000000-0005-0000-0000-000001060000}"/>
    <cellStyle name="Euro 29 11 2" xfId="4930" xr:uid="{00000000-0005-0000-0000-000002060000}"/>
    <cellStyle name="Euro 29 12" xfId="793" xr:uid="{00000000-0005-0000-0000-000003060000}"/>
    <cellStyle name="Euro 29 12 2" xfId="4931" xr:uid="{00000000-0005-0000-0000-000004060000}"/>
    <cellStyle name="Euro 29 13" xfId="794" xr:uid="{00000000-0005-0000-0000-000005060000}"/>
    <cellStyle name="Euro 29 13 2" xfId="4932" xr:uid="{00000000-0005-0000-0000-000006060000}"/>
    <cellStyle name="Euro 29 14" xfId="795" xr:uid="{00000000-0005-0000-0000-000007060000}"/>
    <cellStyle name="Euro 29 14 2" xfId="4933" xr:uid="{00000000-0005-0000-0000-000008060000}"/>
    <cellStyle name="Euro 29 15" xfId="796" xr:uid="{00000000-0005-0000-0000-000009060000}"/>
    <cellStyle name="Euro 29 15 2" xfId="4934" xr:uid="{00000000-0005-0000-0000-00000A060000}"/>
    <cellStyle name="Euro 29 16" xfId="797" xr:uid="{00000000-0005-0000-0000-00000B060000}"/>
    <cellStyle name="Euro 29 16 2" xfId="4935" xr:uid="{00000000-0005-0000-0000-00000C060000}"/>
    <cellStyle name="Euro 29 17" xfId="798" xr:uid="{00000000-0005-0000-0000-00000D060000}"/>
    <cellStyle name="Euro 29 17 2" xfId="4936" xr:uid="{00000000-0005-0000-0000-00000E060000}"/>
    <cellStyle name="Euro 29 18" xfId="799" xr:uid="{00000000-0005-0000-0000-00000F060000}"/>
    <cellStyle name="Euro 29 18 2" xfId="4937" xr:uid="{00000000-0005-0000-0000-000010060000}"/>
    <cellStyle name="Euro 29 19" xfId="800" xr:uid="{00000000-0005-0000-0000-000011060000}"/>
    <cellStyle name="Euro 29 19 2" xfId="4938" xr:uid="{00000000-0005-0000-0000-000012060000}"/>
    <cellStyle name="Euro 29 2" xfId="801" xr:uid="{00000000-0005-0000-0000-000013060000}"/>
    <cellStyle name="Euro 29 2 2" xfId="4939" xr:uid="{00000000-0005-0000-0000-000014060000}"/>
    <cellStyle name="Euro 29 20" xfId="802" xr:uid="{00000000-0005-0000-0000-000015060000}"/>
    <cellStyle name="Euro 29 20 2" xfId="4940" xr:uid="{00000000-0005-0000-0000-000016060000}"/>
    <cellStyle name="Euro 29 21" xfId="803" xr:uid="{00000000-0005-0000-0000-000017060000}"/>
    <cellStyle name="Euro 29 21 2" xfId="4941" xr:uid="{00000000-0005-0000-0000-000018060000}"/>
    <cellStyle name="Euro 29 22" xfId="804" xr:uid="{00000000-0005-0000-0000-000019060000}"/>
    <cellStyle name="Euro 29 22 2" xfId="4942" xr:uid="{00000000-0005-0000-0000-00001A060000}"/>
    <cellStyle name="Euro 29 23" xfId="805" xr:uid="{00000000-0005-0000-0000-00001B060000}"/>
    <cellStyle name="Euro 29 23 2" xfId="4943" xr:uid="{00000000-0005-0000-0000-00001C060000}"/>
    <cellStyle name="Euro 29 24" xfId="806" xr:uid="{00000000-0005-0000-0000-00001D060000}"/>
    <cellStyle name="Euro 29 24 2" xfId="4944" xr:uid="{00000000-0005-0000-0000-00001E060000}"/>
    <cellStyle name="Euro 29 25" xfId="807" xr:uid="{00000000-0005-0000-0000-00001F060000}"/>
    <cellStyle name="Euro 29 25 2" xfId="4945" xr:uid="{00000000-0005-0000-0000-000020060000}"/>
    <cellStyle name="Euro 29 26" xfId="808" xr:uid="{00000000-0005-0000-0000-000021060000}"/>
    <cellStyle name="Euro 29 26 2" xfId="4946" xr:uid="{00000000-0005-0000-0000-000022060000}"/>
    <cellStyle name="Euro 29 27" xfId="809" xr:uid="{00000000-0005-0000-0000-000023060000}"/>
    <cellStyle name="Euro 29 27 2" xfId="4947" xr:uid="{00000000-0005-0000-0000-000024060000}"/>
    <cellStyle name="Euro 29 28" xfId="810" xr:uid="{00000000-0005-0000-0000-000025060000}"/>
    <cellStyle name="Euro 29 28 2" xfId="4948" xr:uid="{00000000-0005-0000-0000-000026060000}"/>
    <cellStyle name="Euro 29 29" xfId="4949" xr:uid="{00000000-0005-0000-0000-000027060000}"/>
    <cellStyle name="Euro 29 3" xfId="811" xr:uid="{00000000-0005-0000-0000-000028060000}"/>
    <cellStyle name="Euro 29 3 2" xfId="4950" xr:uid="{00000000-0005-0000-0000-000029060000}"/>
    <cellStyle name="Euro 29 4" xfId="812" xr:uid="{00000000-0005-0000-0000-00002A060000}"/>
    <cellStyle name="Euro 29 4 2" xfId="4951" xr:uid="{00000000-0005-0000-0000-00002B060000}"/>
    <cellStyle name="Euro 29 5" xfId="813" xr:uid="{00000000-0005-0000-0000-00002C060000}"/>
    <cellStyle name="Euro 29 5 2" xfId="4952" xr:uid="{00000000-0005-0000-0000-00002D060000}"/>
    <cellStyle name="Euro 29 6" xfId="814" xr:uid="{00000000-0005-0000-0000-00002E060000}"/>
    <cellStyle name="Euro 29 6 2" xfId="4953" xr:uid="{00000000-0005-0000-0000-00002F060000}"/>
    <cellStyle name="Euro 29 7" xfId="815" xr:uid="{00000000-0005-0000-0000-000030060000}"/>
    <cellStyle name="Euro 29 7 2" xfId="4954" xr:uid="{00000000-0005-0000-0000-000031060000}"/>
    <cellStyle name="Euro 29 8" xfId="816" xr:uid="{00000000-0005-0000-0000-000032060000}"/>
    <cellStyle name="Euro 29 8 2" xfId="4955" xr:uid="{00000000-0005-0000-0000-000033060000}"/>
    <cellStyle name="Euro 29 9" xfId="817" xr:uid="{00000000-0005-0000-0000-000034060000}"/>
    <cellStyle name="Euro 29 9 2" xfId="4956" xr:uid="{00000000-0005-0000-0000-000035060000}"/>
    <cellStyle name="Euro 3" xfId="140" xr:uid="{00000000-0005-0000-0000-000036060000}"/>
    <cellStyle name="Euro 3 10" xfId="819" xr:uid="{00000000-0005-0000-0000-000037060000}"/>
    <cellStyle name="Euro 3 10 2" xfId="4957" xr:uid="{00000000-0005-0000-0000-000038060000}"/>
    <cellStyle name="Euro 3 11" xfId="820" xr:uid="{00000000-0005-0000-0000-000039060000}"/>
    <cellStyle name="Euro 3 11 2" xfId="4958" xr:uid="{00000000-0005-0000-0000-00003A060000}"/>
    <cellStyle name="Euro 3 12" xfId="821" xr:uid="{00000000-0005-0000-0000-00003B060000}"/>
    <cellStyle name="Euro 3 12 2" xfId="4959" xr:uid="{00000000-0005-0000-0000-00003C060000}"/>
    <cellStyle name="Euro 3 13" xfId="822" xr:uid="{00000000-0005-0000-0000-00003D060000}"/>
    <cellStyle name="Euro 3 13 2" xfId="4960" xr:uid="{00000000-0005-0000-0000-00003E060000}"/>
    <cellStyle name="Euro 3 14" xfId="823" xr:uid="{00000000-0005-0000-0000-00003F060000}"/>
    <cellStyle name="Euro 3 14 2" xfId="4961" xr:uid="{00000000-0005-0000-0000-000040060000}"/>
    <cellStyle name="Euro 3 15" xfId="824" xr:uid="{00000000-0005-0000-0000-000041060000}"/>
    <cellStyle name="Euro 3 15 2" xfId="4962" xr:uid="{00000000-0005-0000-0000-000042060000}"/>
    <cellStyle name="Euro 3 16" xfId="825" xr:uid="{00000000-0005-0000-0000-000043060000}"/>
    <cellStyle name="Euro 3 16 2" xfId="4963" xr:uid="{00000000-0005-0000-0000-000044060000}"/>
    <cellStyle name="Euro 3 17" xfId="826" xr:uid="{00000000-0005-0000-0000-000045060000}"/>
    <cellStyle name="Euro 3 17 2" xfId="4964" xr:uid="{00000000-0005-0000-0000-000046060000}"/>
    <cellStyle name="Euro 3 18" xfId="827" xr:uid="{00000000-0005-0000-0000-000047060000}"/>
    <cellStyle name="Euro 3 18 2" xfId="4965" xr:uid="{00000000-0005-0000-0000-000048060000}"/>
    <cellStyle name="Euro 3 19" xfId="828" xr:uid="{00000000-0005-0000-0000-000049060000}"/>
    <cellStyle name="Euro 3 19 2" xfId="4966" xr:uid="{00000000-0005-0000-0000-00004A060000}"/>
    <cellStyle name="Euro 3 2" xfId="829" xr:uid="{00000000-0005-0000-0000-00004B060000}"/>
    <cellStyle name="Euro 3 2 2" xfId="4144" xr:uid="{00000000-0005-0000-0000-00004C060000}"/>
    <cellStyle name="Euro 3 20" xfId="830" xr:uid="{00000000-0005-0000-0000-00004D060000}"/>
    <cellStyle name="Euro 3 20 2" xfId="4967" xr:uid="{00000000-0005-0000-0000-00004E060000}"/>
    <cellStyle name="Euro 3 21" xfId="831" xr:uid="{00000000-0005-0000-0000-00004F060000}"/>
    <cellStyle name="Euro 3 21 2" xfId="4968" xr:uid="{00000000-0005-0000-0000-000050060000}"/>
    <cellStyle name="Euro 3 22" xfId="832" xr:uid="{00000000-0005-0000-0000-000051060000}"/>
    <cellStyle name="Euro 3 22 2" xfId="4969" xr:uid="{00000000-0005-0000-0000-000052060000}"/>
    <cellStyle name="Euro 3 23" xfId="833" xr:uid="{00000000-0005-0000-0000-000053060000}"/>
    <cellStyle name="Euro 3 23 2" xfId="4970" xr:uid="{00000000-0005-0000-0000-000054060000}"/>
    <cellStyle name="Euro 3 24" xfId="834" xr:uid="{00000000-0005-0000-0000-000055060000}"/>
    <cellStyle name="Euro 3 24 2" xfId="4971" xr:uid="{00000000-0005-0000-0000-000056060000}"/>
    <cellStyle name="Euro 3 25" xfId="835" xr:uid="{00000000-0005-0000-0000-000057060000}"/>
    <cellStyle name="Euro 3 25 2" xfId="4972" xr:uid="{00000000-0005-0000-0000-000058060000}"/>
    <cellStyle name="Euro 3 26" xfId="836" xr:uid="{00000000-0005-0000-0000-000059060000}"/>
    <cellStyle name="Euro 3 26 2" xfId="4973" xr:uid="{00000000-0005-0000-0000-00005A060000}"/>
    <cellStyle name="Euro 3 27" xfId="837" xr:uid="{00000000-0005-0000-0000-00005B060000}"/>
    <cellStyle name="Euro 3 27 2" xfId="4974" xr:uid="{00000000-0005-0000-0000-00005C060000}"/>
    <cellStyle name="Euro 3 28" xfId="838" xr:uid="{00000000-0005-0000-0000-00005D060000}"/>
    <cellStyle name="Euro 3 28 2" xfId="4975" xr:uid="{00000000-0005-0000-0000-00005E060000}"/>
    <cellStyle name="Euro 3 29" xfId="4070" xr:uid="{00000000-0005-0000-0000-00005F060000}"/>
    <cellStyle name="Euro 3 3" xfId="839" xr:uid="{00000000-0005-0000-0000-000060060000}"/>
    <cellStyle name="Euro 3 3 2" xfId="4104" xr:uid="{00000000-0005-0000-0000-000061060000}"/>
    <cellStyle name="Euro 3 30" xfId="818" xr:uid="{00000000-0005-0000-0000-000062060000}"/>
    <cellStyle name="Euro 3 4" xfId="840" xr:uid="{00000000-0005-0000-0000-000063060000}"/>
    <cellStyle name="Euro 3 4 2" xfId="4976" xr:uid="{00000000-0005-0000-0000-000064060000}"/>
    <cellStyle name="Euro 3 5" xfId="841" xr:uid="{00000000-0005-0000-0000-000065060000}"/>
    <cellStyle name="Euro 3 5 2" xfId="4977" xr:uid="{00000000-0005-0000-0000-000066060000}"/>
    <cellStyle name="Euro 3 6" xfId="842" xr:uid="{00000000-0005-0000-0000-000067060000}"/>
    <cellStyle name="Euro 3 6 2" xfId="4978" xr:uid="{00000000-0005-0000-0000-000068060000}"/>
    <cellStyle name="Euro 3 7" xfId="843" xr:uid="{00000000-0005-0000-0000-000069060000}"/>
    <cellStyle name="Euro 3 7 2" xfId="4979" xr:uid="{00000000-0005-0000-0000-00006A060000}"/>
    <cellStyle name="Euro 3 8" xfId="844" xr:uid="{00000000-0005-0000-0000-00006B060000}"/>
    <cellStyle name="Euro 3 8 2" xfId="4980" xr:uid="{00000000-0005-0000-0000-00006C060000}"/>
    <cellStyle name="Euro 3 9" xfId="845" xr:uid="{00000000-0005-0000-0000-00006D060000}"/>
    <cellStyle name="Euro 3 9 2" xfId="4981" xr:uid="{00000000-0005-0000-0000-00006E060000}"/>
    <cellStyle name="Euro 30" xfId="12368" xr:uid="{00000000-0005-0000-0000-00006F060000}"/>
    <cellStyle name="Euro 31" xfId="12385" xr:uid="{00000000-0005-0000-0000-000070060000}"/>
    <cellStyle name="Euro 4" xfId="846" xr:uid="{00000000-0005-0000-0000-000071060000}"/>
    <cellStyle name="Euro 4 10" xfId="847" xr:uid="{00000000-0005-0000-0000-000072060000}"/>
    <cellStyle name="Euro 4 10 2" xfId="4982" xr:uid="{00000000-0005-0000-0000-000073060000}"/>
    <cellStyle name="Euro 4 11" xfId="848" xr:uid="{00000000-0005-0000-0000-000074060000}"/>
    <cellStyle name="Euro 4 11 2" xfId="4983" xr:uid="{00000000-0005-0000-0000-000075060000}"/>
    <cellStyle name="Euro 4 12" xfId="849" xr:uid="{00000000-0005-0000-0000-000076060000}"/>
    <cellStyle name="Euro 4 12 2" xfId="4984" xr:uid="{00000000-0005-0000-0000-000077060000}"/>
    <cellStyle name="Euro 4 13" xfId="850" xr:uid="{00000000-0005-0000-0000-000078060000}"/>
    <cellStyle name="Euro 4 13 2" xfId="4985" xr:uid="{00000000-0005-0000-0000-000079060000}"/>
    <cellStyle name="Euro 4 14" xfId="851" xr:uid="{00000000-0005-0000-0000-00007A060000}"/>
    <cellStyle name="Euro 4 14 2" xfId="4986" xr:uid="{00000000-0005-0000-0000-00007B060000}"/>
    <cellStyle name="Euro 4 15" xfId="852" xr:uid="{00000000-0005-0000-0000-00007C060000}"/>
    <cellStyle name="Euro 4 15 2" xfId="4987" xr:uid="{00000000-0005-0000-0000-00007D060000}"/>
    <cellStyle name="Euro 4 16" xfId="853" xr:uid="{00000000-0005-0000-0000-00007E060000}"/>
    <cellStyle name="Euro 4 16 2" xfId="4988" xr:uid="{00000000-0005-0000-0000-00007F060000}"/>
    <cellStyle name="Euro 4 17" xfId="854" xr:uid="{00000000-0005-0000-0000-000080060000}"/>
    <cellStyle name="Euro 4 17 2" xfId="4989" xr:uid="{00000000-0005-0000-0000-000081060000}"/>
    <cellStyle name="Euro 4 18" xfId="855" xr:uid="{00000000-0005-0000-0000-000082060000}"/>
    <cellStyle name="Euro 4 18 2" xfId="4990" xr:uid="{00000000-0005-0000-0000-000083060000}"/>
    <cellStyle name="Euro 4 19" xfId="856" xr:uid="{00000000-0005-0000-0000-000084060000}"/>
    <cellStyle name="Euro 4 19 2" xfId="4991" xr:uid="{00000000-0005-0000-0000-000085060000}"/>
    <cellStyle name="Euro 4 2" xfId="857" xr:uid="{00000000-0005-0000-0000-000086060000}"/>
    <cellStyle name="Euro 4 2 2" xfId="4153" xr:uid="{00000000-0005-0000-0000-000087060000}"/>
    <cellStyle name="Euro 4 20" xfId="858" xr:uid="{00000000-0005-0000-0000-000088060000}"/>
    <cellStyle name="Euro 4 20 2" xfId="4992" xr:uid="{00000000-0005-0000-0000-000089060000}"/>
    <cellStyle name="Euro 4 21" xfId="859" xr:uid="{00000000-0005-0000-0000-00008A060000}"/>
    <cellStyle name="Euro 4 21 2" xfId="4993" xr:uid="{00000000-0005-0000-0000-00008B060000}"/>
    <cellStyle name="Euro 4 22" xfId="860" xr:uid="{00000000-0005-0000-0000-00008C060000}"/>
    <cellStyle name="Euro 4 22 2" xfId="4994" xr:uid="{00000000-0005-0000-0000-00008D060000}"/>
    <cellStyle name="Euro 4 23" xfId="861" xr:uid="{00000000-0005-0000-0000-00008E060000}"/>
    <cellStyle name="Euro 4 23 2" xfId="4995" xr:uid="{00000000-0005-0000-0000-00008F060000}"/>
    <cellStyle name="Euro 4 24" xfId="862" xr:uid="{00000000-0005-0000-0000-000090060000}"/>
    <cellStyle name="Euro 4 24 2" xfId="4996" xr:uid="{00000000-0005-0000-0000-000091060000}"/>
    <cellStyle name="Euro 4 25" xfId="863" xr:uid="{00000000-0005-0000-0000-000092060000}"/>
    <cellStyle name="Euro 4 25 2" xfId="4997" xr:uid="{00000000-0005-0000-0000-000093060000}"/>
    <cellStyle name="Euro 4 26" xfId="864" xr:uid="{00000000-0005-0000-0000-000094060000}"/>
    <cellStyle name="Euro 4 26 2" xfId="4998" xr:uid="{00000000-0005-0000-0000-000095060000}"/>
    <cellStyle name="Euro 4 27" xfId="865" xr:uid="{00000000-0005-0000-0000-000096060000}"/>
    <cellStyle name="Euro 4 27 2" xfId="4999" xr:uid="{00000000-0005-0000-0000-000097060000}"/>
    <cellStyle name="Euro 4 28" xfId="866" xr:uid="{00000000-0005-0000-0000-000098060000}"/>
    <cellStyle name="Euro 4 28 2" xfId="5000" xr:uid="{00000000-0005-0000-0000-000099060000}"/>
    <cellStyle name="Euro 4 29" xfId="4080" xr:uid="{00000000-0005-0000-0000-00009A060000}"/>
    <cellStyle name="Euro 4 3" xfId="867" xr:uid="{00000000-0005-0000-0000-00009B060000}"/>
    <cellStyle name="Euro 4 3 2" xfId="4113" xr:uid="{00000000-0005-0000-0000-00009C060000}"/>
    <cellStyle name="Euro 4 4" xfId="868" xr:uid="{00000000-0005-0000-0000-00009D060000}"/>
    <cellStyle name="Euro 4 4 2" xfId="5001" xr:uid="{00000000-0005-0000-0000-00009E060000}"/>
    <cellStyle name="Euro 4 5" xfId="869" xr:uid="{00000000-0005-0000-0000-00009F060000}"/>
    <cellStyle name="Euro 4 5 2" xfId="5002" xr:uid="{00000000-0005-0000-0000-0000A0060000}"/>
    <cellStyle name="Euro 4 6" xfId="870" xr:uid="{00000000-0005-0000-0000-0000A1060000}"/>
    <cellStyle name="Euro 4 6 2" xfId="5003" xr:uid="{00000000-0005-0000-0000-0000A2060000}"/>
    <cellStyle name="Euro 4 7" xfId="871" xr:uid="{00000000-0005-0000-0000-0000A3060000}"/>
    <cellStyle name="Euro 4 7 2" xfId="5004" xr:uid="{00000000-0005-0000-0000-0000A4060000}"/>
    <cellStyle name="Euro 4 8" xfId="872" xr:uid="{00000000-0005-0000-0000-0000A5060000}"/>
    <cellStyle name="Euro 4 8 2" xfId="5005" xr:uid="{00000000-0005-0000-0000-0000A6060000}"/>
    <cellStyle name="Euro 4 9" xfId="873" xr:uid="{00000000-0005-0000-0000-0000A7060000}"/>
    <cellStyle name="Euro 4 9 2" xfId="5006" xr:uid="{00000000-0005-0000-0000-0000A8060000}"/>
    <cellStyle name="Euro 5" xfId="874" xr:uid="{00000000-0005-0000-0000-0000A9060000}"/>
    <cellStyle name="Euro 5 10" xfId="875" xr:uid="{00000000-0005-0000-0000-0000AA060000}"/>
    <cellStyle name="Euro 5 10 2" xfId="5007" xr:uid="{00000000-0005-0000-0000-0000AB060000}"/>
    <cellStyle name="Euro 5 11" xfId="876" xr:uid="{00000000-0005-0000-0000-0000AC060000}"/>
    <cellStyle name="Euro 5 11 2" xfId="5008" xr:uid="{00000000-0005-0000-0000-0000AD060000}"/>
    <cellStyle name="Euro 5 12" xfId="877" xr:uid="{00000000-0005-0000-0000-0000AE060000}"/>
    <cellStyle name="Euro 5 12 2" xfId="5009" xr:uid="{00000000-0005-0000-0000-0000AF060000}"/>
    <cellStyle name="Euro 5 13" xfId="878" xr:uid="{00000000-0005-0000-0000-0000B0060000}"/>
    <cellStyle name="Euro 5 13 2" xfId="5010" xr:uid="{00000000-0005-0000-0000-0000B1060000}"/>
    <cellStyle name="Euro 5 14" xfId="879" xr:uid="{00000000-0005-0000-0000-0000B2060000}"/>
    <cellStyle name="Euro 5 14 2" xfId="5011" xr:uid="{00000000-0005-0000-0000-0000B3060000}"/>
    <cellStyle name="Euro 5 15" xfId="880" xr:uid="{00000000-0005-0000-0000-0000B4060000}"/>
    <cellStyle name="Euro 5 15 2" xfId="5012" xr:uid="{00000000-0005-0000-0000-0000B5060000}"/>
    <cellStyle name="Euro 5 16" xfId="881" xr:uid="{00000000-0005-0000-0000-0000B6060000}"/>
    <cellStyle name="Euro 5 16 2" xfId="5013" xr:uid="{00000000-0005-0000-0000-0000B7060000}"/>
    <cellStyle name="Euro 5 17" xfId="882" xr:uid="{00000000-0005-0000-0000-0000B8060000}"/>
    <cellStyle name="Euro 5 17 2" xfId="5014" xr:uid="{00000000-0005-0000-0000-0000B9060000}"/>
    <cellStyle name="Euro 5 18" xfId="883" xr:uid="{00000000-0005-0000-0000-0000BA060000}"/>
    <cellStyle name="Euro 5 18 2" xfId="5015" xr:uid="{00000000-0005-0000-0000-0000BB060000}"/>
    <cellStyle name="Euro 5 19" xfId="884" xr:uid="{00000000-0005-0000-0000-0000BC060000}"/>
    <cellStyle name="Euro 5 19 2" xfId="5016" xr:uid="{00000000-0005-0000-0000-0000BD060000}"/>
    <cellStyle name="Euro 5 2" xfId="885" xr:uid="{00000000-0005-0000-0000-0000BE060000}"/>
    <cellStyle name="Euro 5 2 2" xfId="4156" xr:uid="{00000000-0005-0000-0000-0000BF060000}"/>
    <cellStyle name="Euro 5 20" xfId="886" xr:uid="{00000000-0005-0000-0000-0000C0060000}"/>
    <cellStyle name="Euro 5 20 2" xfId="5017" xr:uid="{00000000-0005-0000-0000-0000C1060000}"/>
    <cellStyle name="Euro 5 21" xfId="887" xr:uid="{00000000-0005-0000-0000-0000C2060000}"/>
    <cellStyle name="Euro 5 21 2" xfId="5018" xr:uid="{00000000-0005-0000-0000-0000C3060000}"/>
    <cellStyle name="Euro 5 22" xfId="888" xr:uid="{00000000-0005-0000-0000-0000C4060000}"/>
    <cellStyle name="Euro 5 22 2" xfId="5019" xr:uid="{00000000-0005-0000-0000-0000C5060000}"/>
    <cellStyle name="Euro 5 23" xfId="889" xr:uid="{00000000-0005-0000-0000-0000C6060000}"/>
    <cellStyle name="Euro 5 23 2" xfId="5020" xr:uid="{00000000-0005-0000-0000-0000C7060000}"/>
    <cellStyle name="Euro 5 24" xfId="890" xr:uid="{00000000-0005-0000-0000-0000C8060000}"/>
    <cellStyle name="Euro 5 24 2" xfId="5021" xr:uid="{00000000-0005-0000-0000-0000C9060000}"/>
    <cellStyle name="Euro 5 25" xfId="891" xr:uid="{00000000-0005-0000-0000-0000CA060000}"/>
    <cellStyle name="Euro 5 25 2" xfId="5022" xr:uid="{00000000-0005-0000-0000-0000CB060000}"/>
    <cellStyle name="Euro 5 26" xfId="892" xr:uid="{00000000-0005-0000-0000-0000CC060000}"/>
    <cellStyle name="Euro 5 26 2" xfId="5023" xr:uid="{00000000-0005-0000-0000-0000CD060000}"/>
    <cellStyle name="Euro 5 27" xfId="893" xr:uid="{00000000-0005-0000-0000-0000CE060000}"/>
    <cellStyle name="Euro 5 27 2" xfId="5024" xr:uid="{00000000-0005-0000-0000-0000CF060000}"/>
    <cellStyle name="Euro 5 28" xfId="894" xr:uid="{00000000-0005-0000-0000-0000D0060000}"/>
    <cellStyle name="Euro 5 28 2" xfId="5025" xr:uid="{00000000-0005-0000-0000-0000D1060000}"/>
    <cellStyle name="Euro 5 29" xfId="4083" xr:uid="{00000000-0005-0000-0000-0000D2060000}"/>
    <cellStyle name="Euro 5 3" xfId="895" xr:uid="{00000000-0005-0000-0000-0000D3060000}"/>
    <cellStyle name="Euro 5 3 2" xfId="4116" xr:uid="{00000000-0005-0000-0000-0000D4060000}"/>
    <cellStyle name="Euro 5 4" xfId="896" xr:uid="{00000000-0005-0000-0000-0000D5060000}"/>
    <cellStyle name="Euro 5 4 2" xfId="5026" xr:uid="{00000000-0005-0000-0000-0000D6060000}"/>
    <cellStyle name="Euro 5 5" xfId="897" xr:uid="{00000000-0005-0000-0000-0000D7060000}"/>
    <cellStyle name="Euro 5 5 2" xfId="5027" xr:uid="{00000000-0005-0000-0000-0000D8060000}"/>
    <cellStyle name="Euro 5 6" xfId="898" xr:uid="{00000000-0005-0000-0000-0000D9060000}"/>
    <cellStyle name="Euro 5 6 2" xfId="5028" xr:uid="{00000000-0005-0000-0000-0000DA060000}"/>
    <cellStyle name="Euro 5 7" xfId="899" xr:uid="{00000000-0005-0000-0000-0000DB060000}"/>
    <cellStyle name="Euro 5 7 2" xfId="5029" xr:uid="{00000000-0005-0000-0000-0000DC060000}"/>
    <cellStyle name="Euro 5 8" xfId="900" xr:uid="{00000000-0005-0000-0000-0000DD060000}"/>
    <cellStyle name="Euro 5 8 2" xfId="5030" xr:uid="{00000000-0005-0000-0000-0000DE060000}"/>
    <cellStyle name="Euro 5 9" xfId="901" xr:uid="{00000000-0005-0000-0000-0000DF060000}"/>
    <cellStyle name="Euro 5 9 2" xfId="5031" xr:uid="{00000000-0005-0000-0000-0000E0060000}"/>
    <cellStyle name="Euro 6" xfId="902" xr:uid="{00000000-0005-0000-0000-0000E1060000}"/>
    <cellStyle name="Euro 6 10" xfId="903" xr:uid="{00000000-0005-0000-0000-0000E2060000}"/>
    <cellStyle name="Euro 6 10 2" xfId="5032" xr:uid="{00000000-0005-0000-0000-0000E3060000}"/>
    <cellStyle name="Euro 6 11" xfId="904" xr:uid="{00000000-0005-0000-0000-0000E4060000}"/>
    <cellStyle name="Euro 6 11 2" xfId="5033" xr:uid="{00000000-0005-0000-0000-0000E5060000}"/>
    <cellStyle name="Euro 6 12" xfId="905" xr:uid="{00000000-0005-0000-0000-0000E6060000}"/>
    <cellStyle name="Euro 6 12 2" xfId="5034" xr:uid="{00000000-0005-0000-0000-0000E7060000}"/>
    <cellStyle name="Euro 6 13" xfId="906" xr:uid="{00000000-0005-0000-0000-0000E8060000}"/>
    <cellStyle name="Euro 6 13 2" xfId="5035" xr:uid="{00000000-0005-0000-0000-0000E9060000}"/>
    <cellStyle name="Euro 6 14" xfId="907" xr:uid="{00000000-0005-0000-0000-0000EA060000}"/>
    <cellStyle name="Euro 6 14 2" xfId="5036" xr:uid="{00000000-0005-0000-0000-0000EB060000}"/>
    <cellStyle name="Euro 6 15" xfId="908" xr:uid="{00000000-0005-0000-0000-0000EC060000}"/>
    <cellStyle name="Euro 6 15 2" xfId="5037" xr:uid="{00000000-0005-0000-0000-0000ED060000}"/>
    <cellStyle name="Euro 6 16" xfId="909" xr:uid="{00000000-0005-0000-0000-0000EE060000}"/>
    <cellStyle name="Euro 6 16 2" xfId="5038" xr:uid="{00000000-0005-0000-0000-0000EF060000}"/>
    <cellStyle name="Euro 6 17" xfId="910" xr:uid="{00000000-0005-0000-0000-0000F0060000}"/>
    <cellStyle name="Euro 6 17 2" xfId="5039" xr:uid="{00000000-0005-0000-0000-0000F1060000}"/>
    <cellStyle name="Euro 6 18" xfId="911" xr:uid="{00000000-0005-0000-0000-0000F2060000}"/>
    <cellStyle name="Euro 6 18 2" xfId="5040" xr:uid="{00000000-0005-0000-0000-0000F3060000}"/>
    <cellStyle name="Euro 6 19" xfId="912" xr:uid="{00000000-0005-0000-0000-0000F4060000}"/>
    <cellStyle name="Euro 6 19 2" xfId="5041" xr:uid="{00000000-0005-0000-0000-0000F5060000}"/>
    <cellStyle name="Euro 6 2" xfId="913" xr:uid="{00000000-0005-0000-0000-0000F6060000}"/>
    <cellStyle name="Euro 6 2 2" xfId="4152" xr:uid="{00000000-0005-0000-0000-0000F7060000}"/>
    <cellStyle name="Euro 6 20" xfId="914" xr:uid="{00000000-0005-0000-0000-0000F8060000}"/>
    <cellStyle name="Euro 6 20 2" xfId="5042" xr:uid="{00000000-0005-0000-0000-0000F9060000}"/>
    <cellStyle name="Euro 6 21" xfId="915" xr:uid="{00000000-0005-0000-0000-0000FA060000}"/>
    <cellStyle name="Euro 6 21 2" xfId="5043" xr:uid="{00000000-0005-0000-0000-0000FB060000}"/>
    <cellStyle name="Euro 6 22" xfId="916" xr:uid="{00000000-0005-0000-0000-0000FC060000}"/>
    <cellStyle name="Euro 6 22 2" xfId="5044" xr:uid="{00000000-0005-0000-0000-0000FD060000}"/>
    <cellStyle name="Euro 6 23" xfId="917" xr:uid="{00000000-0005-0000-0000-0000FE060000}"/>
    <cellStyle name="Euro 6 23 2" xfId="5045" xr:uid="{00000000-0005-0000-0000-0000FF060000}"/>
    <cellStyle name="Euro 6 24" xfId="918" xr:uid="{00000000-0005-0000-0000-000000070000}"/>
    <cellStyle name="Euro 6 24 2" xfId="5046" xr:uid="{00000000-0005-0000-0000-000001070000}"/>
    <cellStyle name="Euro 6 25" xfId="919" xr:uid="{00000000-0005-0000-0000-000002070000}"/>
    <cellStyle name="Euro 6 25 2" xfId="5047" xr:uid="{00000000-0005-0000-0000-000003070000}"/>
    <cellStyle name="Euro 6 26" xfId="920" xr:uid="{00000000-0005-0000-0000-000004070000}"/>
    <cellStyle name="Euro 6 26 2" xfId="5048" xr:uid="{00000000-0005-0000-0000-000005070000}"/>
    <cellStyle name="Euro 6 27" xfId="921" xr:uid="{00000000-0005-0000-0000-000006070000}"/>
    <cellStyle name="Euro 6 27 2" xfId="5049" xr:uid="{00000000-0005-0000-0000-000007070000}"/>
    <cellStyle name="Euro 6 28" xfId="922" xr:uid="{00000000-0005-0000-0000-000008070000}"/>
    <cellStyle name="Euro 6 28 2" xfId="5050" xr:uid="{00000000-0005-0000-0000-000009070000}"/>
    <cellStyle name="Euro 6 29" xfId="4079" xr:uid="{00000000-0005-0000-0000-00000A070000}"/>
    <cellStyle name="Euro 6 3" xfId="923" xr:uid="{00000000-0005-0000-0000-00000B070000}"/>
    <cellStyle name="Euro 6 3 2" xfId="4112" xr:uid="{00000000-0005-0000-0000-00000C070000}"/>
    <cellStyle name="Euro 6 4" xfId="924" xr:uid="{00000000-0005-0000-0000-00000D070000}"/>
    <cellStyle name="Euro 6 4 2" xfId="5051" xr:uid="{00000000-0005-0000-0000-00000E070000}"/>
    <cellStyle name="Euro 6 5" xfId="925" xr:uid="{00000000-0005-0000-0000-00000F070000}"/>
    <cellStyle name="Euro 6 5 2" xfId="5052" xr:uid="{00000000-0005-0000-0000-000010070000}"/>
    <cellStyle name="Euro 6 6" xfId="926" xr:uid="{00000000-0005-0000-0000-000011070000}"/>
    <cellStyle name="Euro 6 6 2" xfId="5053" xr:uid="{00000000-0005-0000-0000-000012070000}"/>
    <cellStyle name="Euro 6 7" xfId="927" xr:uid="{00000000-0005-0000-0000-000013070000}"/>
    <cellStyle name="Euro 6 7 2" xfId="5054" xr:uid="{00000000-0005-0000-0000-000014070000}"/>
    <cellStyle name="Euro 6 8" xfId="928" xr:uid="{00000000-0005-0000-0000-000015070000}"/>
    <cellStyle name="Euro 6 8 2" xfId="5055" xr:uid="{00000000-0005-0000-0000-000016070000}"/>
    <cellStyle name="Euro 6 9" xfId="929" xr:uid="{00000000-0005-0000-0000-000017070000}"/>
    <cellStyle name="Euro 6 9 2" xfId="5056" xr:uid="{00000000-0005-0000-0000-000018070000}"/>
    <cellStyle name="Euro 7" xfId="930" xr:uid="{00000000-0005-0000-0000-000019070000}"/>
    <cellStyle name="Euro 7 10" xfId="931" xr:uid="{00000000-0005-0000-0000-00001A070000}"/>
    <cellStyle name="Euro 7 10 2" xfId="5057" xr:uid="{00000000-0005-0000-0000-00001B070000}"/>
    <cellStyle name="Euro 7 11" xfId="932" xr:uid="{00000000-0005-0000-0000-00001C070000}"/>
    <cellStyle name="Euro 7 11 2" xfId="5058" xr:uid="{00000000-0005-0000-0000-00001D070000}"/>
    <cellStyle name="Euro 7 12" xfId="933" xr:uid="{00000000-0005-0000-0000-00001E070000}"/>
    <cellStyle name="Euro 7 12 2" xfId="5059" xr:uid="{00000000-0005-0000-0000-00001F070000}"/>
    <cellStyle name="Euro 7 13" xfId="934" xr:uid="{00000000-0005-0000-0000-000020070000}"/>
    <cellStyle name="Euro 7 13 2" xfId="5060" xr:uid="{00000000-0005-0000-0000-000021070000}"/>
    <cellStyle name="Euro 7 14" xfId="935" xr:uid="{00000000-0005-0000-0000-000022070000}"/>
    <cellStyle name="Euro 7 14 2" xfId="5061" xr:uid="{00000000-0005-0000-0000-000023070000}"/>
    <cellStyle name="Euro 7 15" xfId="936" xr:uid="{00000000-0005-0000-0000-000024070000}"/>
    <cellStyle name="Euro 7 15 2" xfId="5062" xr:uid="{00000000-0005-0000-0000-000025070000}"/>
    <cellStyle name="Euro 7 16" xfId="937" xr:uid="{00000000-0005-0000-0000-000026070000}"/>
    <cellStyle name="Euro 7 16 2" xfId="5063" xr:uid="{00000000-0005-0000-0000-000027070000}"/>
    <cellStyle name="Euro 7 17" xfId="938" xr:uid="{00000000-0005-0000-0000-000028070000}"/>
    <cellStyle name="Euro 7 17 2" xfId="5064" xr:uid="{00000000-0005-0000-0000-000029070000}"/>
    <cellStyle name="Euro 7 18" xfId="939" xr:uid="{00000000-0005-0000-0000-00002A070000}"/>
    <cellStyle name="Euro 7 18 2" xfId="5065" xr:uid="{00000000-0005-0000-0000-00002B070000}"/>
    <cellStyle name="Euro 7 19" xfId="940" xr:uid="{00000000-0005-0000-0000-00002C070000}"/>
    <cellStyle name="Euro 7 19 2" xfId="5066" xr:uid="{00000000-0005-0000-0000-00002D070000}"/>
    <cellStyle name="Euro 7 2" xfId="941" xr:uid="{00000000-0005-0000-0000-00002E070000}"/>
    <cellStyle name="Euro 7 2 2" xfId="4154" xr:uid="{00000000-0005-0000-0000-00002F070000}"/>
    <cellStyle name="Euro 7 20" xfId="942" xr:uid="{00000000-0005-0000-0000-000030070000}"/>
    <cellStyle name="Euro 7 20 2" xfId="5067" xr:uid="{00000000-0005-0000-0000-000031070000}"/>
    <cellStyle name="Euro 7 21" xfId="943" xr:uid="{00000000-0005-0000-0000-000032070000}"/>
    <cellStyle name="Euro 7 21 2" xfId="5068" xr:uid="{00000000-0005-0000-0000-000033070000}"/>
    <cellStyle name="Euro 7 22" xfId="944" xr:uid="{00000000-0005-0000-0000-000034070000}"/>
    <cellStyle name="Euro 7 22 2" xfId="5069" xr:uid="{00000000-0005-0000-0000-000035070000}"/>
    <cellStyle name="Euro 7 23" xfId="945" xr:uid="{00000000-0005-0000-0000-000036070000}"/>
    <cellStyle name="Euro 7 23 2" xfId="5070" xr:uid="{00000000-0005-0000-0000-000037070000}"/>
    <cellStyle name="Euro 7 24" xfId="946" xr:uid="{00000000-0005-0000-0000-000038070000}"/>
    <cellStyle name="Euro 7 24 2" xfId="5071" xr:uid="{00000000-0005-0000-0000-000039070000}"/>
    <cellStyle name="Euro 7 25" xfId="947" xr:uid="{00000000-0005-0000-0000-00003A070000}"/>
    <cellStyle name="Euro 7 25 2" xfId="5072" xr:uid="{00000000-0005-0000-0000-00003B070000}"/>
    <cellStyle name="Euro 7 26" xfId="948" xr:uid="{00000000-0005-0000-0000-00003C070000}"/>
    <cellStyle name="Euro 7 26 2" xfId="5073" xr:uid="{00000000-0005-0000-0000-00003D070000}"/>
    <cellStyle name="Euro 7 27" xfId="949" xr:uid="{00000000-0005-0000-0000-00003E070000}"/>
    <cellStyle name="Euro 7 27 2" xfId="5074" xr:uid="{00000000-0005-0000-0000-00003F070000}"/>
    <cellStyle name="Euro 7 28" xfId="950" xr:uid="{00000000-0005-0000-0000-000040070000}"/>
    <cellStyle name="Euro 7 28 2" xfId="5075" xr:uid="{00000000-0005-0000-0000-000041070000}"/>
    <cellStyle name="Euro 7 29" xfId="4081" xr:uid="{00000000-0005-0000-0000-000042070000}"/>
    <cellStyle name="Euro 7 3" xfId="951" xr:uid="{00000000-0005-0000-0000-000043070000}"/>
    <cellStyle name="Euro 7 3 2" xfId="4114" xr:uid="{00000000-0005-0000-0000-000044070000}"/>
    <cellStyle name="Euro 7 4" xfId="952" xr:uid="{00000000-0005-0000-0000-000045070000}"/>
    <cellStyle name="Euro 7 4 2" xfId="5076" xr:uid="{00000000-0005-0000-0000-000046070000}"/>
    <cellStyle name="Euro 7 5" xfId="953" xr:uid="{00000000-0005-0000-0000-000047070000}"/>
    <cellStyle name="Euro 7 5 2" xfId="5077" xr:uid="{00000000-0005-0000-0000-000048070000}"/>
    <cellStyle name="Euro 7 6" xfId="954" xr:uid="{00000000-0005-0000-0000-000049070000}"/>
    <cellStyle name="Euro 7 6 2" xfId="5078" xr:uid="{00000000-0005-0000-0000-00004A070000}"/>
    <cellStyle name="Euro 7 7" xfId="955" xr:uid="{00000000-0005-0000-0000-00004B070000}"/>
    <cellStyle name="Euro 7 7 2" xfId="5079" xr:uid="{00000000-0005-0000-0000-00004C070000}"/>
    <cellStyle name="Euro 7 8" xfId="956" xr:uid="{00000000-0005-0000-0000-00004D070000}"/>
    <cellStyle name="Euro 7 8 2" xfId="5080" xr:uid="{00000000-0005-0000-0000-00004E070000}"/>
    <cellStyle name="Euro 7 9" xfId="957" xr:uid="{00000000-0005-0000-0000-00004F070000}"/>
    <cellStyle name="Euro 7 9 2" xfId="5081" xr:uid="{00000000-0005-0000-0000-000050070000}"/>
    <cellStyle name="Euro 8" xfId="958" xr:uid="{00000000-0005-0000-0000-000051070000}"/>
    <cellStyle name="Euro 8 10" xfId="959" xr:uid="{00000000-0005-0000-0000-000052070000}"/>
    <cellStyle name="Euro 8 10 2" xfId="5082" xr:uid="{00000000-0005-0000-0000-000053070000}"/>
    <cellStyle name="Euro 8 11" xfId="960" xr:uid="{00000000-0005-0000-0000-000054070000}"/>
    <cellStyle name="Euro 8 11 2" xfId="5083" xr:uid="{00000000-0005-0000-0000-000055070000}"/>
    <cellStyle name="Euro 8 12" xfId="961" xr:uid="{00000000-0005-0000-0000-000056070000}"/>
    <cellStyle name="Euro 8 12 2" xfId="5084" xr:uid="{00000000-0005-0000-0000-000057070000}"/>
    <cellStyle name="Euro 8 13" xfId="962" xr:uid="{00000000-0005-0000-0000-000058070000}"/>
    <cellStyle name="Euro 8 13 2" xfId="5085" xr:uid="{00000000-0005-0000-0000-000059070000}"/>
    <cellStyle name="Euro 8 14" xfId="963" xr:uid="{00000000-0005-0000-0000-00005A070000}"/>
    <cellStyle name="Euro 8 14 2" xfId="5086" xr:uid="{00000000-0005-0000-0000-00005B070000}"/>
    <cellStyle name="Euro 8 15" xfId="964" xr:uid="{00000000-0005-0000-0000-00005C070000}"/>
    <cellStyle name="Euro 8 15 2" xfId="5087" xr:uid="{00000000-0005-0000-0000-00005D070000}"/>
    <cellStyle name="Euro 8 16" xfId="965" xr:uid="{00000000-0005-0000-0000-00005E070000}"/>
    <cellStyle name="Euro 8 16 2" xfId="5088" xr:uid="{00000000-0005-0000-0000-00005F070000}"/>
    <cellStyle name="Euro 8 17" xfId="966" xr:uid="{00000000-0005-0000-0000-000060070000}"/>
    <cellStyle name="Euro 8 17 2" xfId="5089" xr:uid="{00000000-0005-0000-0000-000061070000}"/>
    <cellStyle name="Euro 8 18" xfId="967" xr:uid="{00000000-0005-0000-0000-000062070000}"/>
    <cellStyle name="Euro 8 18 2" xfId="5090" xr:uid="{00000000-0005-0000-0000-000063070000}"/>
    <cellStyle name="Euro 8 19" xfId="968" xr:uid="{00000000-0005-0000-0000-000064070000}"/>
    <cellStyle name="Euro 8 19 2" xfId="5091" xr:uid="{00000000-0005-0000-0000-000065070000}"/>
    <cellStyle name="Euro 8 2" xfId="969" xr:uid="{00000000-0005-0000-0000-000066070000}"/>
    <cellStyle name="Euro 8 2 2" xfId="4163" xr:uid="{00000000-0005-0000-0000-000067070000}"/>
    <cellStyle name="Euro 8 20" xfId="970" xr:uid="{00000000-0005-0000-0000-000068070000}"/>
    <cellStyle name="Euro 8 20 2" xfId="5092" xr:uid="{00000000-0005-0000-0000-000069070000}"/>
    <cellStyle name="Euro 8 21" xfId="971" xr:uid="{00000000-0005-0000-0000-00006A070000}"/>
    <cellStyle name="Euro 8 21 2" xfId="5093" xr:uid="{00000000-0005-0000-0000-00006B070000}"/>
    <cellStyle name="Euro 8 22" xfId="972" xr:uid="{00000000-0005-0000-0000-00006C070000}"/>
    <cellStyle name="Euro 8 22 2" xfId="5094" xr:uid="{00000000-0005-0000-0000-00006D070000}"/>
    <cellStyle name="Euro 8 23" xfId="973" xr:uid="{00000000-0005-0000-0000-00006E070000}"/>
    <cellStyle name="Euro 8 23 2" xfId="5095" xr:uid="{00000000-0005-0000-0000-00006F070000}"/>
    <cellStyle name="Euro 8 24" xfId="974" xr:uid="{00000000-0005-0000-0000-000070070000}"/>
    <cellStyle name="Euro 8 24 2" xfId="5096" xr:uid="{00000000-0005-0000-0000-000071070000}"/>
    <cellStyle name="Euro 8 25" xfId="975" xr:uid="{00000000-0005-0000-0000-000072070000}"/>
    <cellStyle name="Euro 8 25 2" xfId="5097" xr:uid="{00000000-0005-0000-0000-000073070000}"/>
    <cellStyle name="Euro 8 26" xfId="976" xr:uid="{00000000-0005-0000-0000-000074070000}"/>
    <cellStyle name="Euro 8 26 2" xfId="5098" xr:uid="{00000000-0005-0000-0000-000075070000}"/>
    <cellStyle name="Euro 8 27" xfId="977" xr:uid="{00000000-0005-0000-0000-000076070000}"/>
    <cellStyle name="Euro 8 27 2" xfId="5099" xr:uid="{00000000-0005-0000-0000-000077070000}"/>
    <cellStyle name="Euro 8 28" xfId="978" xr:uid="{00000000-0005-0000-0000-000078070000}"/>
    <cellStyle name="Euro 8 28 2" xfId="5100" xr:uid="{00000000-0005-0000-0000-000079070000}"/>
    <cellStyle name="Euro 8 29" xfId="4090" xr:uid="{00000000-0005-0000-0000-00007A070000}"/>
    <cellStyle name="Euro 8 3" xfId="979" xr:uid="{00000000-0005-0000-0000-00007B070000}"/>
    <cellStyle name="Euro 8 3 2" xfId="4123" xr:uid="{00000000-0005-0000-0000-00007C070000}"/>
    <cellStyle name="Euro 8 4" xfId="980" xr:uid="{00000000-0005-0000-0000-00007D070000}"/>
    <cellStyle name="Euro 8 4 2" xfId="5101" xr:uid="{00000000-0005-0000-0000-00007E070000}"/>
    <cellStyle name="Euro 8 5" xfId="981" xr:uid="{00000000-0005-0000-0000-00007F070000}"/>
    <cellStyle name="Euro 8 5 2" xfId="5102" xr:uid="{00000000-0005-0000-0000-000080070000}"/>
    <cellStyle name="Euro 8 6" xfId="982" xr:uid="{00000000-0005-0000-0000-000081070000}"/>
    <cellStyle name="Euro 8 6 2" xfId="5103" xr:uid="{00000000-0005-0000-0000-000082070000}"/>
    <cellStyle name="Euro 8 7" xfId="983" xr:uid="{00000000-0005-0000-0000-000083070000}"/>
    <cellStyle name="Euro 8 7 2" xfId="5104" xr:uid="{00000000-0005-0000-0000-000084070000}"/>
    <cellStyle name="Euro 8 8" xfId="984" xr:uid="{00000000-0005-0000-0000-000085070000}"/>
    <cellStyle name="Euro 8 8 2" xfId="5105" xr:uid="{00000000-0005-0000-0000-000086070000}"/>
    <cellStyle name="Euro 8 9" xfId="985" xr:uid="{00000000-0005-0000-0000-000087070000}"/>
    <cellStyle name="Euro 8 9 2" xfId="5106" xr:uid="{00000000-0005-0000-0000-000088070000}"/>
    <cellStyle name="Euro 9" xfId="986" xr:uid="{00000000-0005-0000-0000-000089070000}"/>
    <cellStyle name="Euro 9 10" xfId="987" xr:uid="{00000000-0005-0000-0000-00008A070000}"/>
    <cellStyle name="Euro 9 10 2" xfId="5107" xr:uid="{00000000-0005-0000-0000-00008B070000}"/>
    <cellStyle name="Euro 9 11" xfId="988" xr:uid="{00000000-0005-0000-0000-00008C070000}"/>
    <cellStyle name="Euro 9 11 2" xfId="5108" xr:uid="{00000000-0005-0000-0000-00008D070000}"/>
    <cellStyle name="Euro 9 12" xfId="989" xr:uid="{00000000-0005-0000-0000-00008E070000}"/>
    <cellStyle name="Euro 9 12 2" xfId="5109" xr:uid="{00000000-0005-0000-0000-00008F070000}"/>
    <cellStyle name="Euro 9 13" xfId="990" xr:uid="{00000000-0005-0000-0000-000090070000}"/>
    <cellStyle name="Euro 9 13 2" xfId="5110" xr:uid="{00000000-0005-0000-0000-000091070000}"/>
    <cellStyle name="Euro 9 14" xfId="991" xr:uid="{00000000-0005-0000-0000-000092070000}"/>
    <cellStyle name="Euro 9 14 2" xfId="5111" xr:uid="{00000000-0005-0000-0000-000093070000}"/>
    <cellStyle name="Euro 9 15" xfId="992" xr:uid="{00000000-0005-0000-0000-000094070000}"/>
    <cellStyle name="Euro 9 15 2" xfId="5112" xr:uid="{00000000-0005-0000-0000-000095070000}"/>
    <cellStyle name="Euro 9 16" xfId="993" xr:uid="{00000000-0005-0000-0000-000096070000}"/>
    <cellStyle name="Euro 9 16 2" xfId="5113" xr:uid="{00000000-0005-0000-0000-000097070000}"/>
    <cellStyle name="Euro 9 17" xfId="994" xr:uid="{00000000-0005-0000-0000-000098070000}"/>
    <cellStyle name="Euro 9 17 2" xfId="5114" xr:uid="{00000000-0005-0000-0000-000099070000}"/>
    <cellStyle name="Euro 9 18" xfId="995" xr:uid="{00000000-0005-0000-0000-00009A070000}"/>
    <cellStyle name="Euro 9 18 2" xfId="5115" xr:uid="{00000000-0005-0000-0000-00009B070000}"/>
    <cellStyle name="Euro 9 19" xfId="996" xr:uid="{00000000-0005-0000-0000-00009C070000}"/>
    <cellStyle name="Euro 9 19 2" xfId="5116" xr:uid="{00000000-0005-0000-0000-00009D070000}"/>
    <cellStyle name="Euro 9 2" xfId="997" xr:uid="{00000000-0005-0000-0000-00009E070000}"/>
    <cellStyle name="Euro 9 2 2" xfId="4155" xr:uid="{00000000-0005-0000-0000-00009F070000}"/>
    <cellStyle name="Euro 9 20" xfId="998" xr:uid="{00000000-0005-0000-0000-0000A0070000}"/>
    <cellStyle name="Euro 9 20 2" xfId="5117" xr:uid="{00000000-0005-0000-0000-0000A1070000}"/>
    <cellStyle name="Euro 9 21" xfId="999" xr:uid="{00000000-0005-0000-0000-0000A2070000}"/>
    <cellStyle name="Euro 9 21 2" xfId="5118" xr:uid="{00000000-0005-0000-0000-0000A3070000}"/>
    <cellStyle name="Euro 9 22" xfId="1000" xr:uid="{00000000-0005-0000-0000-0000A4070000}"/>
    <cellStyle name="Euro 9 22 2" xfId="5119" xr:uid="{00000000-0005-0000-0000-0000A5070000}"/>
    <cellStyle name="Euro 9 23" xfId="1001" xr:uid="{00000000-0005-0000-0000-0000A6070000}"/>
    <cellStyle name="Euro 9 23 2" xfId="5120" xr:uid="{00000000-0005-0000-0000-0000A7070000}"/>
    <cellStyle name="Euro 9 24" xfId="1002" xr:uid="{00000000-0005-0000-0000-0000A8070000}"/>
    <cellStyle name="Euro 9 24 2" xfId="5121" xr:uid="{00000000-0005-0000-0000-0000A9070000}"/>
    <cellStyle name="Euro 9 25" xfId="1003" xr:uid="{00000000-0005-0000-0000-0000AA070000}"/>
    <cellStyle name="Euro 9 25 2" xfId="5122" xr:uid="{00000000-0005-0000-0000-0000AB070000}"/>
    <cellStyle name="Euro 9 26" xfId="1004" xr:uid="{00000000-0005-0000-0000-0000AC070000}"/>
    <cellStyle name="Euro 9 26 2" xfId="5123" xr:uid="{00000000-0005-0000-0000-0000AD070000}"/>
    <cellStyle name="Euro 9 27" xfId="1005" xr:uid="{00000000-0005-0000-0000-0000AE070000}"/>
    <cellStyle name="Euro 9 27 2" xfId="5124" xr:uid="{00000000-0005-0000-0000-0000AF070000}"/>
    <cellStyle name="Euro 9 28" xfId="1006" xr:uid="{00000000-0005-0000-0000-0000B0070000}"/>
    <cellStyle name="Euro 9 28 2" xfId="5125" xr:uid="{00000000-0005-0000-0000-0000B1070000}"/>
    <cellStyle name="Euro 9 29" xfId="4082" xr:uid="{00000000-0005-0000-0000-0000B2070000}"/>
    <cellStyle name="Euro 9 3" xfId="1007" xr:uid="{00000000-0005-0000-0000-0000B3070000}"/>
    <cellStyle name="Euro 9 3 2" xfId="4115" xr:uid="{00000000-0005-0000-0000-0000B4070000}"/>
    <cellStyle name="Euro 9 4" xfId="1008" xr:uid="{00000000-0005-0000-0000-0000B5070000}"/>
    <cellStyle name="Euro 9 4 2" xfId="5126" xr:uid="{00000000-0005-0000-0000-0000B6070000}"/>
    <cellStyle name="Euro 9 5" xfId="1009" xr:uid="{00000000-0005-0000-0000-0000B7070000}"/>
    <cellStyle name="Euro 9 5 2" xfId="5127" xr:uid="{00000000-0005-0000-0000-0000B8070000}"/>
    <cellStyle name="Euro 9 6" xfId="1010" xr:uid="{00000000-0005-0000-0000-0000B9070000}"/>
    <cellStyle name="Euro 9 6 2" xfId="5128" xr:uid="{00000000-0005-0000-0000-0000BA070000}"/>
    <cellStyle name="Euro 9 7" xfId="1011" xr:uid="{00000000-0005-0000-0000-0000BB070000}"/>
    <cellStyle name="Euro 9 7 2" xfId="5129" xr:uid="{00000000-0005-0000-0000-0000BC070000}"/>
    <cellStyle name="Euro 9 8" xfId="1012" xr:uid="{00000000-0005-0000-0000-0000BD070000}"/>
    <cellStyle name="Euro 9 8 2" xfId="5130" xr:uid="{00000000-0005-0000-0000-0000BE070000}"/>
    <cellStyle name="Euro 9 9" xfId="1013" xr:uid="{00000000-0005-0000-0000-0000BF070000}"/>
    <cellStyle name="Euro 9 9 2" xfId="5131" xr:uid="{00000000-0005-0000-0000-0000C0070000}"/>
    <cellStyle name="Excel.Chart" xfId="144" xr:uid="{00000000-0005-0000-0000-0000C1070000}"/>
    <cellStyle name="F2" xfId="24" xr:uid="{00000000-0005-0000-0000-0000C2070000}"/>
    <cellStyle name="F2 2" xfId="91" xr:uid="{00000000-0005-0000-0000-0000C3070000}"/>
    <cellStyle name="F2 3" xfId="149" xr:uid="{00000000-0005-0000-0000-0000C4070000}"/>
    <cellStyle name="F3" xfId="25" xr:uid="{00000000-0005-0000-0000-0000C5070000}"/>
    <cellStyle name="F3 2" xfId="92" xr:uid="{00000000-0005-0000-0000-0000C6070000}"/>
    <cellStyle name="F3 3" xfId="150" xr:uid="{00000000-0005-0000-0000-0000C7070000}"/>
    <cellStyle name="F4" xfId="26" xr:uid="{00000000-0005-0000-0000-0000C8070000}"/>
    <cellStyle name="F4 2" xfId="93" xr:uid="{00000000-0005-0000-0000-0000C9070000}"/>
    <cellStyle name="F4 3" xfId="151" xr:uid="{00000000-0005-0000-0000-0000CA070000}"/>
    <cellStyle name="F5" xfId="27" xr:uid="{00000000-0005-0000-0000-0000CB070000}"/>
    <cellStyle name="F5 2" xfId="94" xr:uid="{00000000-0005-0000-0000-0000CC070000}"/>
    <cellStyle name="F5 3" xfId="152" xr:uid="{00000000-0005-0000-0000-0000CD070000}"/>
    <cellStyle name="F6" xfId="28" xr:uid="{00000000-0005-0000-0000-0000CE070000}"/>
    <cellStyle name="F6 2" xfId="95" xr:uid="{00000000-0005-0000-0000-0000CF070000}"/>
    <cellStyle name="F6 3" xfId="153" xr:uid="{00000000-0005-0000-0000-0000D0070000}"/>
    <cellStyle name="F7" xfId="29" xr:uid="{00000000-0005-0000-0000-0000D1070000}"/>
    <cellStyle name="F7 2" xfId="96" xr:uid="{00000000-0005-0000-0000-0000D2070000}"/>
    <cellStyle name="F7 3" xfId="154" xr:uid="{00000000-0005-0000-0000-0000D3070000}"/>
    <cellStyle name="F8" xfId="30" xr:uid="{00000000-0005-0000-0000-0000D4070000}"/>
    <cellStyle name="F8 2" xfId="97" xr:uid="{00000000-0005-0000-0000-0000D5070000}"/>
    <cellStyle name="F8 3" xfId="155" xr:uid="{00000000-0005-0000-0000-0000D6070000}"/>
    <cellStyle name="Fecha" xfId="1014" xr:uid="{00000000-0005-0000-0000-0000D7070000}"/>
    <cellStyle name="Fijo" xfId="80" xr:uid="{00000000-0005-0000-0000-0000D8070000}"/>
    <cellStyle name="Fijo 2" xfId="98" xr:uid="{00000000-0005-0000-0000-0000D9070000}"/>
    <cellStyle name="Fijo 3" xfId="1015" xr:uid="{00000000-0005-0000-0000-0000DA070000}"/>
    <cellStyle name="Financiero" xfId="81" xr:uid="{00000000-0005-0000-0000-0000DB070000}"/>
    <cellStyle name="Financiero 2" xfId="99" xr:uid="{00000000-0005-0000-0000-0000DC070000}"/>
    <cellStyle name="Fixed" xfId="9" xr:uid="{00000000-0005-0000-0000-0000DD070000}"/>
    <cellStyle name="Heading1" xfId="10" xr:uid="{00000000-0005-0000-0000-0000DE070000}"/>
    <cellStyle name="Heading2" xfId="11" xr:uid="{00000000-0005-0000-0000-0000DF070000}"/>
    <cellStyle name="Hipervínculo" xfId="12" builtinId="8"/>
    <cellStyle name="Hipervínculo 2" xfId="100" xr:uid="{00000000-0005-0000-0000-0000E1070000}"/>
    <cellStyle name="Hipervínculo 2 2" xfId="4134" xr:uid="{00000000-0005-0000-0000-0000E2070000}"/>
    <cellStyle name="Hipervínculo 2 3" xfId="1016" xr:uid="{00000000-0005-0000-0000-0000E3070000}"/>
    <cellStyle name="Hipervínculo 2 4" xfId="9907" xr:uid="{00000000-0005-0000-0000-0000E4070000}"/>
    <cellStyle name="Hipervínculo 2 5" xfId="12408" xr:uid="{00000000-0005-0000-0000-0000E5070000}"/>
    <cellStyle name="Hipervínculo 3" xfId="9875" xr:uid="{00000000-0005-0000-0000-0000E6070000}"/>
    <cellStyle name="Hipervínculo 4" xfId="10606" xr:uid="{00000000-0005-0000-0000-0000E7070000}"/>
    <cellStyle name="Hipervínculo 5" xfId="10626" xr:uid="{00000000-0005-0000-0000-0000E8070000}"/>
    <cellStyle name="Hipervínculo 6" xfId="12401" xr:uid="{00000000-0005-0000-0000-0000E9070000}"/>
    <cellStyle name="Hipervínculo 7" xfId="12405" xr:uid="{00000000-0005-0000-0000-0000EA070000}"/>
    <cellStyle name="Hipervínculo 8" xfId="12407" xr:uid="{00000000-0005-0000-0000-0000EB070000}"/>
    <cellStyle name="Hyperlink 2" xfId="9908" xr:uid="{00000000-0005-0000-0000-0000EC070000}"/>
    <cellStyle name="Incorrecto" xfId="41" builtinId="27" customBuiltin="1"/>
    <cellStyle name="Incorrecto 2" xfId="9909" xr:uid="{00000000-0005-0000-0000-0000EE070000}"/>
    <cellStyle name="Millares" xfId="9943" builtinId="3"/>
    <cellStyle name="Millares 10" xfId="1017" xr:uid="{00000000-0005-0000-0000-0000F0070000}"/>
    <cellStyle name="Millares 10 2" xfId="4181" xr:uid="{00000000-0005-0000-0000-0000F1070000}"/>
    <cellStyle name="Millares 10 2 2" xfId="10995" xr:uid="{00000000-0005-0000-0000-0000F2070000}"/>
    <cellStyle name="Millares 10 3" xfId="10749" xr:uid="{00000000-0005-0000-0000-0000F3070000}"/>
    <cellStyle name="Millares 11" xfId="1018" xr:uid="{00000000-0005-0000-0000-0000F4070000}"/>
    <cellStyle name="Millares 11 2" xfId="4299" xr:uid="{00000000-0005-0000-0000-0000F5070000}"/>
    <cellStyle name="Millares 11 2 2" xfId="11109" xr:uid="{00000000-0005-0000-0000-0000F6070000}"/>
    <cellStyle name="Millares 12" xfId="1019" xr:uid="{00000000-0005-0000-0000-0000F7070000}"/>
    <cellStyle name="Millares 12 2" xfId="4298" xr:uid="{00000000-0005-0000-0000-0000F8070000}"/>
    <cellStyle name="Millares 12 2 2" xfId="11108" xr:uid="{00000000-0005-0000-0000-0000F9070000}"/>
    <cellStyle name="Millares 13" xfId="1020" xr:uid="{00000000-0005-0000-0000-0000FA070000}"/>
    <cellStyle name="Millares 13 2" xfId="4300" xr:uid="{00000000-0005-0000-0000-0000FB070000}"/>
    <cellStyle name="Millares 13 2 2" xfId="11110" xr:uid="{00000000-0005-0000-0000-0000FC070000}"/>
    <cellStyle name="Millares 14" xfId="1021" xr:uid="{00000000-0005-0000-0000-0000FD070000}"/>
    <cellStyle name="Millares 14 2" xfId="4316" xr:uid="{00000000-0005-0000-0000-0000FE070000}"/>
    <cellStyle name="Millares 14 2 2" xfId="11126" xr:uid="{00000000-0005-0000-0000-0000FF070000}"/>
    <cellStyle name="Millares 15" xfId="1022" xr:uid="{00000000-0005-0000-0000-000000080000}"/>
    <cellStyle name="Millares 15 2" xfId="4314" xr:uid="{00000000-0005-0000-0000-000001080000}"/>
    <cellStyle name="Millares 15 2 2" xfId="11124" xr:uid="{00000000-0005-0000-0000-000002080000}"/>
    <cellStyle name="Millares 15 3" xfId="9948" xr:uid="{00000000-0005-0000-0000-000003080000}"/>
    <cellStyle name="Millares 15 3 2" xfId="11684" xr:uid="{00000000-0005-0000-0000-000004080000}"/>
    <cellStyle name="Millares 15 4" xfId="10750" xr:uid="{00000000-0005-0000-0000-000005080000}"/>
    <cellStyle name="Millares 16" xfId="1023" xr:uid="{00000000-0005-0000-0000-000006080000}"/>
    <cellStyle name="Millares 16 2" xfId="4312" xr:uid="{00000000-0005-0000-0000-000007080000}"/>
    <cellStyle name="Millares 16 2 2" xfId="11122" xr:uid="{00000000-0005-0000-0000-000008080000}"/>
    <cellStyle name="Millares 16 3" xfId="9949" xr:uid="{00000000-0005-0000-0000-000009080000}"/>
    <cellStyle name="Millares 16 3 2" xfId="11685" xr:uid="{00000000-0005-0000-0000-00000A080000}"/>
    <cellStyle name="Millares 16 4" xfId="10751" xr:uid="{00000000-0005-0000-0000-00000B080000}"/>
    <cellStyle name="Millares 17" xfId="1024" xr:uid="{00000000-0005-0000-0000-00000C080000}"/>
    <cellStyle name="Millares 17 2" xfId="4317" xr:uid="{00000000-0005-0000-0000-00000D080000}"/>
    <cellStyle name="Millares 17 2 2" xfId="11127" xr:uid="{00000000-0005-0000-0000-00000E080000}"/>
    <cellStyle name="Millares 17 3" xfId="9950" xr:uid="{00000000-0005-0000-0000-00000F080000}"/>
    <cellStyle name="Millares 17 3 2" xfId="11686" xr:uid="{00000000-0005-0000-0000-000010080000}"/>
    <cellStyle name="Millares 17 4" xfId="10752" xr:uid="{00000000-0005-0000-0000-000011080000}"/>
    <cellStyle name="Millares 18" xfId="4318" xr:uid="{00000000-0005-0000-0000-000012080000}"/>
    <cellStyle name="Millares 18 2" xfId="11128" xr:uid="{00000000-0005-0000-0000-000013080000}"/>
    <cellStyle name="Millares 19" xfId="4321" xr:uid="{00000000-0005-0000-0000-000014080000}"/>
    <cellStyle name="Millares 19 2" xfId="11130" xr:uid="{00000000-0005-0000-0000-000015080000}"/>
    <cellStyle name="Millares 2" xfId="31" xr:uid="{00000000-0005-0000-0000-000016080000}"/>
    <cellStyle name="Millares 2 10" xfId="1026" xr:uid="{00000000-0005-0000-0000-000017080000}"/>
    <cellStyle name="Millares 2 10 2" xfId="7596" xr:uid="{00000000-0005-0000-0000-000018080000}"/>
    <cellStyle name="Millares 2 10 2 2" xfId="11264" xr:uid="{00000000-0005-0000-0000-000019080000}"/>
    <cellStyle name="Millares 2 10 3" xfId="10754" xr:uid="{00000000-0005-0000-0000-00001A080000}"/>
    <cellStyle name="Millares 2 11" xfId="1027" xr:uid="{00000000-0005-0000-0000-00001B080000}"/>
    <cellStyle name="Millares 2 11 2" xfId="7597" xr:uid="{00000000-0005-0000-0000-00001C080000}"/>
    <cellStyle name="Millares 2 11 2 2" xfId="11265" xr:uid="{00000000-0005-0000-0000-00001D080000}"/>
    <cellStyle name="Millares 2 11 3" xfId="10755" xr:uid="{00000000-0005-0000-0000-00001E080000}"/>
    <cellStyle name="Millares 2 12" xfId="1028" xr:uid="{00000000-0005-0000-0000-00001F080000}"/>
    <cellStyle name="Millares 2 12 2" xfId="7598" xr:uid="{00000000-0005-0000-0000-000020080000}"/>
    <cellStyle name="Millares 2 12 2 2" xfId="11266" xr:uid="{00000000-0005-0000-0000-000021080000}"/>
    <cellStyle name="Millares 2 12 3" xfId="10756" xr:uid="{00000000-0005-0000-0000-000022080000}"/>
    <cellStyle name="Millares 2 13" xfId="1029" xr:uid="{00000000-0005-0000-0000-000023080000}"/>
    <cellStyle name="Millares 2 13 2" xfId="7599" xr:uid="{00000000-0005-0000-0000-000024080000}"/>
    <cellStyle name="Millares 2 13 2 2" xfId="11267" xr:uid="{00000000-0005-0000-0000-000025080000}"/>
    <cellStyle name="Millares 2 13 3" xfId="10757" xr:uid="{00000000-0005-0000-0000-000026080000}"/>
    <cellStyle name="Millares 2 14" xfId="1030" xr:uid="{00000000-0005-0000-0000-000027080000}"/>
    <cellStyle name="Millares 2 14 2" xfId="7600" xr:uid="{00000000-0005-0000-0000-000028080000}"/>
    <cellStyle name="Millares 2 14 2 2" xfId="11268" xr:uid="{00000000-0005-0000-0000-000029080000}"/>
    <cellStyle name="Millares 2 14 3" xfId="10758" xr:uid="{00000000-0005-0000-0000-00002A080000}"/>
    <cellStyle name="Millares 2 15" xfId="1031" xr:uid="{00000000-0005-0000-0000-00002B080000}"/>
    <cellStyle name="Millares 2 15 2" xfId="7601" xr:uid="{00000000-0005-0000-0000-00002C080000}"/>
    <cellStyle name="Millares 2 15 2 2" xfId="11269" xr:uid="{00000000-0005-0000-0000-00002D080000}"/>
    <cellStyle name="Millares 2 15 3" xfId="10759" xr:uid="{00000000-0005-0000-0000-00002E080000}"/>
    <cellStyle name="Millares 2 16" xfId="1032" xr:uid="{00000000-0005-0000-0000-00002F080000}"/>
    <cellStyle name="Millares 2 16 2" xfId="7602" xr:uid="{00000000-0005-0000-0000-000030080000}"/>
    <cellStyle name="Millares 2 16 2 2" xfId="11270" xr:uid="{00000000-0005-0000-0000-000031080000}"/>
    <cellStyle name="Millares 2 16 3" xfId="10760" xr:uid="{00000000-0005-0000-0000-000032080000}"/>
    <cellStyle name="Millares 2 17" xfId="1033" xr:uid="{00000000-0005-0000-0000-000033080000}"/>
    <cellStyle name="Millares 2 17 2" xfId="7603" xr:uid="{00000000-0005-0000-0000-000034080000}"/>
    <cellStyle name="Millares 2 17 2 2" xfId="11271" xr:uid="{00000000-0005-0000-0000-000035080000}"/>
    <cellStyle name="Millares 2 17 3" xfId="10761" xr:uid="{00000000-0005-0000-0000-000036080000}"/>
    <cellStyle name="Millares 2 18" xfId="1034" xr:uid="{00000000-0005-0000-0000-000037080000}"/>
    <cellStyle name="Millares 2 18 2" xfId="7604" xr:uid="{00000000-0005-0000-0000-000038080000}"/>
    <cellStyle name="Millares 2 18 2 2" xfId="11272" xr:uid="{00000000-0005-0000-0000-000039080000}"/>
    <cellStyle name="Millares 2 18 3" xfId="10762" xr:uid="{00000000-0005-0000-0000-00003A080000}"/>
    <cellStyle name="Millares 2 19" xfId="1035" xr:uid="{00000000-0005-0000-0000-00003B080000}"/>
    <cellStyle name="Millares 2 19 2" xfId="7605" xr:uid="{00000000-0005-0000-0000-00003C080000}"/>
    <cellStyle name="Millares 2 19 2 2" xfId="11273" xr:uid="{00000000-0005-0000-0000-00003D080000}"/>
    <cellStyle name="Millares 2 19 3" xfId="10763" xr:uid="{00000000-0005-0000-0000-00003E080000}"/>
    <cellStyle name="Millares 2 2" xfId="101" xr:uid="{00000000-0005-0000-0000-00003F080000}"/>
    <cellStyle name="Millares 2 2 10" xfId="1037" xr:uid="{00000000-0005-0000-0000-000040080000}"/>
    <cellStyle name="Millares 2 2 10 2" xfId="5132" xr:uid="{00000000-0005-0000-0000-000041080000}"/>
    <cellStyle name="Millares 2 2 10 2 2" xfId="11177" xr:uid="{00000000-0005-0000-0000-000042080000}"/>
    <cellStyle name="Millares 2 2 10 3" xfId="7606" xr:uid="{00000000-0005-0000-0000-000043080000}"/>
    <cellStyle name="Millares 2 2 10 3 2" xfId="11274" xr:uid="{00000000-0005-0000-0000-000044080000}"/>
    <cellStyle name="Millares 2 2 10 4" xfId="10765" xr:uid="{00000000-0005-0000-0000-000045080000}"/>
    <cellStyle name="Millares 2 2 11" xfId="1038" xr:uid="{00000000-0005-0000-0000-000046080000}"/>
    <cellStyle name="Millares 2 2 11 2" xfId="5133" xr:uid="{00000000-0005-0000-0000-000047080000}"/>
    <cellStyle name="Millares 2 2 11 2 2" xfId="11178" xr:uid="{00000000-0005-0000-0000-000048080000}"/>
    <cellStyle name="Millares 2 2 11 3" xfId="7607" xr:uid="{00000000-0005-0000-0000-000049080000}"/>
    <cellStyle name="Millares 2 2 11 3 2" xfId="11275" xr:uid="{00000000-0005-0000-0000-00004A080000}"/>
    <cellStyle name="Millares 2 2 11 4" xfId="10766" xr:uid="{00000000-0005-0000-0000-00004B080000}"/>
    <cellStyle name="Millares 2 2 12" xfId="1039" xr:uid="{00000000-0005-0000-0000-00004C080000}"/>
    <cellStyle name="Millares 2 2 12 2" xfId="5134" xr:uid="{00000000-0005-0000-0000-00004D080000}"/>
    <cellStyle name="Millares 2 2 12 2 2" xfId="11179" xr:uid="{00000000-0005-0000-0000-00004E080000}"/>
    <cellStyle name="Millares 2 2 12 3" xfId="7608" xr:uid="{00000000-0005-0000-0000-00004F080000}"/>
    <cellStyle name="Millares 2 2 12 3 2" xfId="11276" xr:uid="{00000000-0005-0000-0000-000050080000}"/>
    <cellStyle name="Millares 2 2 12 4" xfId="10767" xr:uid="{00000000-0005-0000-0000-000051080000}"/>
    <cellStyle name="Millares 2 2 13" xfId="1040" xr:uid="{00000000-0005-0000-0000-000052080000}"/>
    <cellStyle name="Millares 2 2 13 2" xfId="5135" xr:uid="{00000000-0005-0000-0000-000053080000}"/>
    <cellStyle name="Millares 2 2 13 2 2" xfId="11180" xr:uid="{00000000-0005-0000-0000-000054080000}"/>
    <cellStyle name="Millares 2 2 13 3" xfId="7609" xr:uid="{00000000-0005-0000-0000-000055080000}"/>
    <cellStyle name="Millares 2 2 13 3 2" xfId="11277" xr:uid="{00000000-0005-0000-0000-000056080000}"/>
    <cellStyle name="Millares 2 2 13 4" xfId="10768" xr:uid="{00000000-0005-0000-0000-000057080000}"/>
    <cellStyle name="Millares 2 2 14" xfId="1041" xr:uid="{00000000-0005-0000-0000-000058080000}"/>
    <cellStyle name="Millares 2 2 14 2" xfId="5136" xr:uid="{00000000-0005-0000-0000-000059080000}"/>
    <cellStyle name="Millares 2 2 14 2 2" xfId="11181" xr:uid="{00000000-0005-0000-0000-00005A080000}"/>
    <cellStyle name="Millares 2 2 14 3" xfId="7610" xr:uid="{00000000-0005-0000-0000-00005B080000}"/>
    <cellStyle name="Millares 2 2 14 3 2" xfId="11278" xr:uid="{00000000-0005-0000-0000-00005C080000}"/>
    <cellStyle name="Millares 2 2 14 4" xfId="10769" xr:uid="{00000000-0005-0000-0000-00005D080000}"/>
    <cellStyle name="Millares 2 2 15" xfId="1042" xr:uid="{00000000-0005-0000-0000-00005E080000}"/>
    <cellStyle name="Millares 2 2 15 2" xfId="5137" xr:uid="{00000000-0005-0000-0000-00005F080000}"/>
    <cellStyle name="Millares 2 2 15 2 2" xfId="11182" xr:uid="{00000000-0005-0000-0000-000060080000}"/>
    <cellStyle name="Millares 2 2 15 3" xfId="7611" xr:uid="{00000000-0005-0000-0000-000061080000}"/>
    <cellStyle name="Millares 2 2 15 3 2" xfId="11279" xr:uid="{00000000-0005-0000-0000-000062080000}"/>
    <cellStyle name="Millares 2 2 15 4" xfId="10770" xr:uid="{00000000-0005-0000-0000-000063080000}"/>
    <cellStyle name="Millares 2 2 16" xfId="1043" xr:uid="{00000000-0005-0000-0000-000064080000}"/>
    <cellStyle name="Millares 2 2 16 2" xfId="5138" xr:uid="{00000000-0005-0000-0000-000065080000}"/>
    <cellStyle name="Millares 2 2 16 2 2" xfId="11183" xr:uid="{00000000-0005-0000-0000-000066080000}"/>
    <cellStyle name="Millares 2 2 16 3" xfId="7612" xr:uid="{00000000-0005-0000-0000-000067080000}"/>
    <cellStyle name="Millares 2 2 16 3 2" xfId="11280" xr:uid="{00000000-0005-0000-0000-000068080000}"/>
    <cellStyle name="Millares 2 2 16 4" xfId="10771" xr:uid="{00000000-0005-0000-0000-000069080000}"/>
    <cellStyle name="Millares 2 2 17" xfId="1044" xr:uid="{00000000-0005-0000-0000-00006A080000}"/>
    <cellStyle name="Millares 2 2 17 2" xfId="5139" xr:uid="{00000000-0005-0000-0000-00006B080000}"/>
    <cellStyle name="Millares 2 2 17 2 2" xfId="11184" xr:uid="{00000000-0005-0000-0000-00006C080000}"/>
    <cellStyle name="Millares 2 2 17 3" xfId="7613" xr:uid="{00000000-0005-0000-0000-00006D080000}"/>
    <cellStyle name="Millares 2 2 17 3 2" xfId="11281" xr:uid="{00000000-0005-0000-0000-00006E080000}"/>
    <cellStyle name="Millares 2 2 17 4" xfId="10772" xr:uid="{00000000-0005-0000-0000-00006F080000}"/>
    <cellStyle name="Millares 2 2 18" xfId="1045" xr:uid="{00000000-0005-0000-0000-000070080000}"/>
    <cellStyle name="Millares 2 2 18 2" xfId="5140" xr:uid="{00000000-0005-0000-0000-000071080000}"/>
    <cellStyle name="Millares 2 2 18 2 2" xfId="11185" xr:uid="{00000000-0005-0000-0000-000072080000}"/>
    <cellStyle name="Millares 2 2 18 3" xfId="7614" xr:uid="{00000000-0005-0000-0000-000073080000}"/>
    <cellStyle name="Millares 2 2 18 3 2" xfId="11282" xr:uid="{00000000-0005-0000-0000-000074080000}"/>
    <cellStyle name="Millares 2 2 18 4" xfId="10773" xr:uid="{00000000-0005-0000-0000-000075080000}"/>
    <cellStyle name="Millares 2 2 19" xfId="1046" xr:uid="{00000000-0005-0000-0000-000076080000}"/>
    <cellStyle name="Millares 2 2 19 2" xfId="5141" xr:uid="{00000000-0005-0000-0000-000077080000}"/>
    <cellStyle name="Millares 2 2 19 2 2" xfId="11186" xr:uid="{00000000-0005-0000-0000-000078080000}"/>
    <cellStyle name="Millares 2 2 19 3" xfId="7615" xr:uid="{00000000-0005-0000-0000-000079080000}"/>
    <cellStyle name="Millares 2 2 19 3 2" xfId="11283" xr:uid="{00000000-0005-0000-0000-00007A080000}"/>
    <cellStyle name="Millares 2 2 19 4" xfId="10774" xr:uid="{00000000-0005-0000-0000-00007B080000}"/>
    <cellStyle name="Millares 2 2 2" xfId="1047" xr:uid="{00000000-0005-0000-0000-00007C080000}"/>
    <cellStyle name="Millares 2 2 2 2" xfId="4145" xr:uid="{00000000-0005-0000-0000-00007D080000}"/>
    <cellStyle name="Millares 2 2 2 2 2" xfId="4273" xr:uid="{00000000-0005-0000-0000-00007E080000}"/>
    <cellStyle name="Millares 2 2 2 2 2 2" xfId="9708" xr:uid="{00000000-0005-0000-0000-00007F080000}"/>
    <cellStyle name="Millares 2 2 2 2 2 2 2" xfId="10410" xr:uid="{00000000-0005-0000-0000-000080080000}"/>
    <cellStyle name="Millares 2 2 2 2 2 2 2 2" xfId="12145" xr:uid="{00000000-0005-0000-0000-000081080000}"/>
    <cellStyle name="Millares 2 2 2 2 2 2 3" xfId="11498" xr:uid="{00000000-0005-0000-0000-000082080000}"/>
    <cellStyle name="Millares 2 2 2 2 2 3" xfId="10113" xr:uid="{00000000-0005-0000-0000-000083080000}"/>
    <cellStyle name="Millares 2 2 2 2 2 3 2" xfId="11849" xr:uid="{00000000-0005-0000-0000-000084080000}"/>
    <cellStyle name="Millares 2 2 2 2 2 4" xfId="11085" xr:uid="{00000000-0005-0000-0000-000085080000}"/>
    <cellStyle name="Millares 2 2 2 2 3" xfId="9605" xr:uid="{00000000-0005-0000-0000-000086080000}"/>
    <cellStyle name="Millares 2 2 2 2 3 2" xfId="10308" xr:uid="{00000000-0005-0000-0000-000087080000}"/>
    <cellStyle name="Millares 2 2 2 2 3 2 2" xfId="12043" xr:uid="{00000000-0005-0000-0000-000088080000}"/>
    <cellStyle name="Millares 2 2 2 2 3 3" xfId="11396" xr:uid="{00000000-0005-0000-0000-000089080000}"/>
    <cellStyle name="Millares 2 2 2 2 4" xfId="10011" xr:uid="{00000000-0005-0000-0000-00008A080000}"/>
    <cellStyle name="Millares 2 2 2 2 4 2" xfId="11747" xr:uid="{00000000-0005-0000-0000-00008B080000}"/>
    <cellStyle name="Millares 2 2 2 2 5" xfId="10973" xr:uid="{00000000-0005-0000-0000-00008C080000}"/>
    <cellStyle name="Millares 2 2 2 3" xfId="4222" xr:uid="{00000000-0005-0000-0000-00008D080000}"/>
    <cellStyle name="Millares 2 2 2 3 2" xfId="9657" xr:uid="{00000000-0005-0000-0000-00008E080000}"/>
    <cellStyle name="Millares 2 2 2 3 2 2" xfId="10359" xr:uid="{00000000-0005-0000-0000-00008F080000}"/>
    <cellStyle name="Millares 2 2 2 3 2 2 2" xfId="12094" xr:uid="{00000000-0005-0000-0000-000090080000}"/>
    <cellStyle name="Millares 2 2 2 3 2 3" xfId="11447" xr:uid="{00000000-0005-0000-0000-000091080000}"/>
    <cellStyle name="Millares 2 2 2 3 3" xfId="10062" xr:uid="{00000000-0005-0000-0000-000092080000}"/>
    <cellStyle name="Millares 2 2 2 3 3 2" xfId="11798" xr:uid="{00000000-0005-0000-0000-000093080000}"/>
    <cellStyle name="Millares 2 2 2 3 4" xfId="11034" xr:uid="{00000000-0005-0000-0000-000094080000}"/>
    <cellStyle name="Millares 2 2 2 4" xfId="4326" xr:uid="{00000000-0005-0000-0000-000095080000}"/>
    <cellStyle name="Millares 2 2 2 4 2" xfId="9742" xr:uid="{00000000-0005-0000-0000-000096080000}"/>
    <cellStyle name="Millares 2 2 2 4 2 2" xfId="10442" xr:uid="{00000000-0005-0000-0000-000097080000}"/>
    <cellStyle name="Millares 2 2 2 4 2 2 2" xfId="12177" xr:uid="{00000000-0005-0000-0000-000098080000}"/>
    <cellStyle name="Millares 2 2 2 4 2 3" xfId="11530" xr:uid="{00000000-0005-0000-0000-000099080000}"/>
    <cellStyle name="Millares 2 2 2 4 3" xfId="10145" xr:uid="{00000000-0005-0000-0000-00009A080000}"/>
    <cellStyle name="Millares 2 2 2 4 3 2" xfId="11881" xr:uid="{00000000-0005-0000-0000-00009B080000}"/>
    <cellStyle name="Millares 2 2 2 4 4" xfId="11134" xr:uid="{00000000-0005-0000-0000-00009C080000}"/>
    <cellStyle name="Millares 2 2 2 5" xfId="7616" xr:uid="{00000000-0005-0000-0000-00009D080000}"/>
    <cellStyle name="Millares 2 2 2 5 2" xfId="11284" xr:uid="{00000000-0005-0000-0000-00009E080000}"/>
    <cellStyle name="Millares 2 2 2 6" xfId="10775" xr:uid="{00000000-0005-0000-0000-00009F080000}"/>
    <cellStyle name="Millares 2 2 20" xfId="1048" xr:uid="{00000000-0005-0000-0000-0000A0080000}"/>
    <cellStyle name="Millares 2 2 20 2" xfId="5142" xr:uid="{00000000-0005-0000-0000-0000A1080000}"/>
    <cellStyle name="Millares 2 2 20 2 2" xfId="11187" xr:uid="{00000000-0005-0000-0000-0000A2080000}"/>
    <cellStyle name="Millares 2 2 20 3" xfId="7617" xr:uid="{00000000-0005-0000-0000-0000A3080000}"/>
    <cellStyle name="Millares 2 2 20 3 2" xfId="11285" xr:uid="{00000000-0005-0000-0000-0000A4080000}"/>
    <cellStyle name="Millares 2 2 20 4" xfId="10776" xr:uid="{00000000-0005-0000-0000-0000A5080000}"/>
    <cellStyle name="Millares 2 2 21" xfId="1049" xr:uid="{00000000-0005-0000-0000-0000A6080000}"/>
    <cellStyle name="Millares 2 2 21 2" xfId="5143" xr:uid="{00000000-0005-0000-0000-0000A7080000}"/>
    <cellStyle name="Millares 2 2 21 2 2" xfId="11188" xr:uid="{00000000-0005-0000-0000-0000A8080000}"/>
    <cellStyle name="Millares 2 2 21 3" xfId="7618" xr:uid="{00000000-0005-0000-0000-0000A9080000}"/>
    <cellStyle name="Millares 2 2 21 3 2" xfId="11286" xr:uid="{00000000-0005-0000-0000-0000AA080000}"/>
    <cellStyle name="Millares 2 2 21 4" xfId="10777" xr:uid="{00000000-0005-0000-0000-0000AB080000}"/>
    <cellStyle name="Millares 2 2 22" xfId="1050" xr:uid="{00000000-0005-0000-0000-0000AC080000}"/>
    <cellStyle name="Millares 2 2 22 2" xfId="5144" xr:uid="{00000000-0005-0000-0000-0000AD080000}"/>
    <cellStyle name="Millares 2 2 22 2 2" xfId="11189" xr:uid="{00000000-0005-0000-0000-0000AE080000}"/>
    <cellStyle name="Millares 2 2 22 3" xfId="7619" xr:uid="{00000000-0005-0000-0000-0000AF080000}"/>
    <cellStyle name="Millares 2 2 22 3 2" xfId="11287" xr:uid="{00000000-0005-0000-0000-0000B0080000}"/>
    <cellStyle name="Millares 2 2 22 4" xfId="10778" xr:uid="{00000000-0005-0000-0000-0000B1080000}"/>
    <cellStyle name="Millares 2 2 23" xfId="1051" xr:uid="{00000000-0005-0000-0000-0000B2080000}"/>
    <cellStyle name="Millares 2 2 23 2" xfId="5145" xr:uid="{00000000-0005-0000-0000-0000B3080000}"/>
    <cellStyle name="Millares 2 2 23 2 2" xfId="11190" xr:uid="{00000000-0005-0000-0000-0000B4080000}"/>
    <cellStyle name="Millares 2 2 23 3" xfId="7620" xr:uid="{00000000-0005-0000-0000-0000B5080000}"/>
    <cellStyle name="Millares 2 2 23 3 2" xfId="11288" xr:uid="{00000000-0005-0000-0000-0000B6080000}"/>
    <cellStyle name="Millares 2 2 23 4" xfId="10779" xr:uid="{00000000-0005-0000-0000-0000B7080000}"/>
    <cellStyle name="Millares 2 2 24" xfId="1052" xr:uid="{00000000-0005-0000-0000-0000B8080000}"/>
    <cellStyle name="Millares 2 2 24 2" xfId="5146" xr:uid="{00000000-0005-0000-0000-0000B9080000}"/>
    <cellStyle name="Millares 2 2 24 2 2" xfId="11191" xr:uid="{00000000-0005-0000-0000-0000BA080000}"/>
    <cellStyle name="Millares 2 2 24 3" xfId="7621" xr:uid="{00000000-0005-0000-0000-0000BB080000}"/>
    <cellStyle name="Millares 2 2 24 3 2" xfId="11289" xr:uid="{00000000-0005-0000-0000-0000BC080000}"/>
    <cellStyle name="Millares 2 2 24 4" xfId="10780" xr:uid="{00000000-0005-0000-0000-0000BD080000}"/>
    <cellStyle name="Millares 2 2 25" xfId="1053" xr:uid="{00000000-0005-0000-0000-0000BE080000}"/>
    <cellStyle name="Millares 2 2 25 2" xfId="5147" xr:uid="{00000000-0005-0000-0000-0000BF080000}"/>
    <cellStyle name="Millares 2 2 25 2 2" xfId="11192" xr:uid="{00000000-0005-0000-0000-0000C0080000}"/>
    <cellStyle name="Millares 2 2 25 3" xfId="7622" xr:uid="{00000000-0005-0000-0000-0000C1080000}"/>
    <cellStyle name="Millares 2 2 25 3 2" xfId="11290" xr:uid="{00000000-0005-0000-0000-0000C2080000}"/>
    <cellStyle name="Millares 2 2 25 4" xfId="10781" xr:uid="{00000000-0005-0000-0000-0000C3080000}"/>
    <cellStyle name="Millares 2 2 26" xfId="1054" xr:uid="{00000000-0005-0000-0000-0000C4080000}"/>
    <cellStyle name="Millares 2 2 26 2" xfId="5148" xr:uid="{00000000-0005-0000-0000-0000C5080000}"/>
    <cellStyle name="Millares 2 2 26 2 2" xfId="11193" xr:uid="{00000000-0005-0000-0000-0000C6080000}"/>
    <cellStyle name="Millares 2 2 26 3" xfId="7623" xr:uid="{00000000-0005-0000-0000-0000C7080000}"/>
    <cellStyle name="Millares 2 2 26 3 2" xfId="11291" xr:uid="{00000000-0005-0000-0000-0000C8080000}"/>
    <cellStyle name="Millares 2 2 26 4" xfId="10782" xr:uid="{00000000-0005-0000-0000-0000C9080000}"/>
    <cellStyle name="Millares 2 2 27" xfId="1055" xr:uid="{00000000-0005-0000-0000-0000CA080000}"/>
    <cellStyle name="Millares 2 2 27 2" xfId="5149" xr:uid="{00000000-0005-0000-0000-0000CB080000}"/>
    <cellStyle name="Millares 2 2 27 2 2" xfId="11194" xr:uid="{00000000-0005-0000-0000-0000CC080000}"/>
    <cellStyle name="Millares 2 2 27 3" xfId="7624" xr:uid="{00000000-0005-0000-0000-0000CD080000}"/>
    <cellStyle name="Millares 2 2 27 3 2" xfId="11292" xr:uid="{00000000-0005-0000-0000-0000CE080000}"/>
    <cellStyle name="Millares 2 2 27 4" xfId="10783" xr:uid="{00000000-0005-0000-0000-0000CF080000}"/>
    <cellStyle name="Millares 2 2 28" xfId="1056" xr:uid="{00000000-0005-0000-0000-0000D0080000}"/>
    <cellStyle name="Millares 2 2 28 2" xfId="5150" xr:uid="{00000000-0005-0000-0000-0000D1080000}"/>
    <cellStyle name="Millares 2 2 28 2 2" xfId="11195" xr:uid="{00000000-0005-0000-0000-0000D2080000}"/>
    <cellStyle name="Millares 2 2 28 3" xfId="7625" xr:uid="{00000000-0005-0000-0000-0000D3080000}"/>
    <cellStyle name="Millares 2 2 28 3 2" xfId="11293" xr:uid="{00000000-0005-0000-0000-0000D4080000}"/>
    <cellStyle name="Millares 2 2 28 4" xfId="10784" xr:uid="{00000000-0005-0000-0000-0000D5080000}"/>
    <cellStyle name="Millares 2 2 29" xfId="1057" xr:uid="{00000000-0005-0000-0000-0000D6080000}"/>
    <cellStyle name="Millares 2 2 29 2" xfId="5151" xr:uid="{00000000-0005-0000-0000-0000D7080000}"/>
    <cellStyle name="Millares 2 2 29 2 2" xfId="11196" xr:uid="{00000000-0005-0000-0000-0000D8080000}"/>
    <cellStyle name="Millares 2 2 29 3" xfId="7626" xr:uid="{00000000-0005-0000-0000-0000D9080000}"/>
    <cellStyle name="Millares 2 2 29 3 2" xfId="11294" xr:uid="{00000000-0005-0000-0000-0000DA080000}"/>
    <cellStyle name="Millares 2 2 29 4" xfId="10785" xr:uid="{00000000-0005-0000-0000-0000DB080000}"/>
    <cellStyle name="Millares 2 2 3" xfId="1058" xr:uid="{00000000-0005-0000-0000-0000DC080000}"/>
    <cellStyle name="Millares 2 2 3 2" xfId="4105" xr:uid="{00000000-0005-0000-0000-0000DD080000}"/>
    <cellStyle name="Millares 2 2 3 2 2" xfId="4255" xr:uid="{00000000-0005-0000-0000-0000DE080000}"/>
    <cellStyle name="Millares 2 2 3 2 2 2" xfId="9690" xr:uid="{00000000-0005-0000-0000-0000DF080000}"/>
    <cellStyle name="Millares 2 2 3 2 2 2 2" xfId="10392" xr:uid="{00000000-0005-0000-0000-0000E0080000}"/>
    <cellStyle name="Millares 2 2 3 2 2 2 2 2" xfId="12127" xr:uid="{00000000-0005-0000-0000-0000E1080000}"/>
    <cellStyle name="Millares 2 2 3 2 2 2 3" xfId="11480" xr:uid="{00000000-0005-0000-0000-0000E2080000}"/>
    <cellStyle name="Millares 2 2 3 2 2 3" xfId="10095" xr:uid="{00000000-0005-0000-0000-0000E3080000}"/>
    <cellStyle name="Millares 2 2 3 2 2 3 2" xfId="11831" xr:uid="{00000000-0005-0000-0000-0000E4080000}"/>
    <cellStyle name="Millares 2 2 3 2 2 4" xfId="11067" xr:uid="{00000000-0005-0000-0000-0000E5080000}"/>
    <cellStyle name="Millares 2 2 3 2 3" xfId="9586" xr:uid="{00000000-0005-0000-0000-0000E6080000}"/>
    <cellStyle name="Millares 2 2 3 2 3 2" xfId="10290" xr:uid="{00000000-0005-0000-0000-0000E7080000}"/>
    <cellStyle name="Millares 2 2 3 2 3 2 2" xfId="12025" xr:uid="{00000000-0005-0000-0000-0000E8080000}"/>
    <cellStyle name="Millares 2 2 3 2 3 3" xfId="11378" xr:uid="{00000000-0005-0000-0000-0000E9080000}"/>
    <cellStyle name="Millares 2 2 3 2 4" xfId="9993" xr:uid="{00000000-0005-0000-0000-0000EA080000}"/>
    <cellStyle name="Millares 2 2 3 2 4 2" xfId="11729" xr:uid="{00000000-0005-0000-0000-0000EB080000}"/>
    <cellStyle name="Millares 2 2 3 2 5" xfId="10952" xr:uid="{00000000-0005-0000-0000-0000EC080000}"/>
    <cellStyle name="Millares 2 2 3 3" xfId="4204" xr:uid="{00000000-0005-0000-0000-0000ED080000}"/>
    <cellStyle name="Millares 2 2 3 3 2" xfId="9639" xr:uid="{00000000-0005-0000-0000-0000EE080000}"/>
    <cellStyle name="Millares 2 2 3 3 2 2" xfId="10341" xr:uid="{00000000-0005-0000-0000-0000EF080000}"/>
    <cellStyle name="Millares 2 2 3 3 2 2 2" xfId="12076" xr:uid="{00000000-0005-0000-0000-0000F0080000}"/>
    <cellStyle name="Millares 2 2 3 3 2 3" xfId="11429" xr:uid="{00000000-0005-0000-0000-0000F1080000}"/>
    <cellStyle name="Millares 2 2 3 3 3" xfId="10044" xr:uid="{00000000-0005-0000-0000-0000F2080000}"/>
    <cellStyle name="Millares 2 2 3 3 3 2" xfId="11780" xr:uid="{00000000-0005-0000-0000-0000F3080000}"/>
    <cellStyle name="Millares 2 2 3 3 4" xfId="11016" xr:uid="{00000000-0005-0000-0000-0000F4080000}"/>
    <cellStyle name="Millares 2 2 3 4" xfId="4343" xr:uid="{00000000-0005-0000-0000-0000F5080000}"/>
    <cellStyle name="Millares 2 2 3 4 2" xfId="9754" xr:uid="{00000000-0005-0000-0000-0000F6080000}"/>
    <cellStyle name="Millares 2 2 3 4 2 2" xfId="10453" xr:uid="{00000000-0005-0000-0000-0000F7080000}"/>
    <cellStyle name="Millares 2 2 3 4 2 2 2" xfId="12188" xr:uid="{00000000-0005-0000-0000-0000F8080000}"/>
    <cellStyle name="Millares 2 2 3 4 2 3" xfId="11541" xr:uid="{00000000-0005-0000-0000-0000F9080000}"/>
    <cellStyle name="Millares 2 2 3 4 3" xfId="10156" xr:uid="{00000000-0005-0000-0000-0000FA080000}"/>
    <cellStyle name="Millares 2 2 3 4 3 2" xfId="11892" xr:uid="{00000000-0005-0000-0000-0000FB080000}"/>
    <cellStyle name="Millares 2 2 3 4 4" xfId="11149" xr:uid="{00000000-0005-0000-0000-0000FC080000}"/>
    <cellStyle name="Millares 2 2 3 5" xfId="7627" xr:uid="{00000000-0005-0000-0000-0000FD080000}"/>
    <cellStyle name="Millares 2 2 3 5 2" xfId="11295" xr:uid="{00000000-0005-0000-0000-0000FE080000}"/>
    <cellStyle name="Millares 2 2 3 6" xfId="10786" xr:uid="{00000000-0005-0000-0000-0000FF080000}"/>
    <cellStyle name="Millares 2 2 30" xfId="1059" xr:uid="{00000000-0005-0000-0000-000000090000}"/>
    <cellStyle name="Millares 2 2 30 2" xfId="7628" xr:uid="{00000000-0005-0000-0000-000001090000}"/>
    <cellStyle name="Millares 2 2 30 2 2" xfId="11296" xr:uid="{00000000-0005-0000-0000-000002090000}"/>
    <cellStyle name="Millares 2 2 30 3" xfId="10787" xr:uid="{00000000-0005-0000-0000-000003090000}"/>
    <cellStyle name="Millares 2 2 31" xfId="1060" xr:uid="{00000000-0005-0000-0000-000004090000}"/>
    <cellStyle name="Millares 2 2 31 2" xfId="7629" xr:uid="{00000000-0005-0000-0000-000005090000}"/>
    <cellStyle name="Millares 2 2 31 2 2" xfId="11297" xr:uid="{00000000-0005-0000-0000-000006090000}"/>
    <cellStyle name="Millares 2 2 31 3" xfId="10788" xr:uid="{00000000-0005-0000-0000-000007090000}"/>
    <cellStyle name="Millares 2 2 32" xfId="1061" xr:uid="{00000000-0005-0000-0000-000008090000}"/>
    <cellStyle name="Millares 2 2 32 2" xfId="7630" xr:uid="{00000000-0005-0000-0000-000009090000}"/>
    <cellStyle name="Millares 2 2 32 2 2" xfId="11298" xr:uid="{00000000-0005-0000-0000-00000A090000}"/>
    <cellStyle name="Millares 2 2 32 3" xfId="10789" xr:uid="{00000000-0005-0000-0000-00000B090000}"/>
    <cellStyle name="Millares 2 2 33" xfId="1062" xr:uid="{00000000-0005-0000-0000-00000C090000}"/>
    <cellStyle name="Millares 2 2 33 2" xfId="7631" xr:uid="{00000000-0005-0000-0000-00000D090000}"/>
    <cellStyle name="Millares 2 2 33 2 2" xfId="11299" xr:uid="{00000000-0005-0000-0000-00000E090000}"/>
    <cellStyle name="Millares 2 2 33 3" xfId="10790" xr:uid="{00000000-0005-0000-0000-00000F090000}"/>
    <cellStyle name="Millares 2 2 34" xfId="1063" xr:uid="{00000000-0005-0000-0000-000010090000}"/>
    <cellStyle name="Millares 2 2 34 2" xfId="7632" xr:uid="{00000000-0005-0000-0000-000011090000}"/>
    <cellStyle name="Millares 2 2 34 2 2" xfId="11300" xr:uid="{00000000-0005-0000-0000-000012090000}"/>
    <cellStyle name="Millares 2 2 34 3" xfId="10791" xr:uid="{00000000-0005-0000-0000-000013090000}"/>
    <cellStyle name="Millares 2 2 35" xfId="1064" xr:uid="{00000000-0005-0000-0000-000014090000}"/>
    <cellStyle name="Millares 2 2 35 2" xfId="7633" xr:uid="{00000000-0005-0000-0000-000015090000}"/>
    <cellStyle name="Millares 2 2 35 2 2" xfId="11301" xr:uid="{00000000-0005-0000-0000-000016090000}"/>
    <cellStyle name="Millares 2 2 35 3" xfId="10792" xr:uid="{00000000-0005-0000-0000-000017090000}"/>
    <cellStyle name="Millares 2 2 36" xfId="4071" xr:uid="{00000000-0005-0000-0000-000018090000}"/>
    <cellStyle name="Millares 2 2 36 2" xfId="9570" xr:uid="{00000000-0005-0000-0000-000019090000}"/>
    <cellStyle name="Millares 2 2 36 2 2" xfId="10274" xr:uid="{00000000-0005-0000-0000-00001A090000}"/>
    <cellStyle name="Millares 2 2 36 2 2 2" xfId="12009" xr:uid="{00000000-0005-0000-0000-00001B090000}"/>
    <cellStyle name="Millares 2 2 36 2 3" xfId="11362" xr:uid="{00000000-0005-0000-0000-00001C090000}"/>
    <cellStyle name="Millares 2 2 36 3" xfId="9977" xr:uid="{00000000-0005-0000-0000-00001D090000}"/>
    <cellStyle name="Millares 2 2 36 3 2" xfId="11713" xr:uid="{00000000-0005-0000-0000-00001E090000}"/>
    <cellStyle name="Millares 2 2 36 4" xfId="10935" xr:uid="{00000000-0005-0000-0000-00001F090000}"/>
    <cellStyle name="Millares 2 2 37" xfId="4188" xr:uid="{00000000-0005-0000-0000-000020090000}"/>
    <cellStyle name="Millares 2 2 37 2" xfId="9623" xr:uid="{00000000-0005-0000-0000-000021090000}"/>
    <cellStyle name="Millares 2 2 37 2 2" xfId="10325" xr:uid="{00000000-0005-0000-0000-000022090000}"/>
    <cellStyle name="Millares 2 2 37 2 2 2" xfId="12060" xr:uid="{00000000-0005-0000-0000-000023090000}"/>
    <cellStyle name="Millares 2 2 37 2 3" xfId="11413" xr:uid="{00000000-0005-0000-0000-000024090000}"/>
    <cellStyle name="Millares 2 2 37 3" xfId="10028" xr:uid="{00000000-0005-0000-0000-000025090000}"/>
    <cellStyle name="Millares 2 2 37 3 2" xfId="11764" xr:uid="{00000000-0005-0000-0000-000026090000}"/>
    <cellStyle name="Millares 2 2 37 4" xfId="11000" xr:uid="{00000000-0005-0000-0000-000027090000}"/>
    <cellStyle name="Millares 2 2 38" xfId="4291" xr:uid="{00000000-0005-0000-0000-000028090000}"/>
    <cellStyle name="Millares 2 2 38 2" xfId="9724" xr:uid="{00000000-0005-0000-0000-000029090000}"/>
    <cellStyle name="Millares 2 2 38 2 2" xfId="10425" xr:uid="{00000000-0005-0000-0000-00002A090000}"/>
    <cellStyle name="Millares 2 2 38 2 2 2" xfId="12160" xr:uid="{00000000-0005-0000-0000-00002B090000}"/>
    <cellStyle name="Millares 2 2 38 2 3" xfId="11513" xr:uid="{00000000-0005-0000-0000-00002C090000}"/>
    <cellStyle name="Millares 2 2 38 3" xfId="10128" xr:uid="{00000000-0005-0000-0000-00002D090000}"/>
    <cellStyle name="Millares 2 2 38 3 2" xfId="11864" xr:uid="{00000000-0005-0000-0000-00002E090000}"/>
    <cellStyle name="Millares 2 2 38 4" xfId="11102" xr:uid="{00000000-0005-0000-0000-00002F090000}"/>
    <cellStyle name="Millares 2 2 39" xfId="4302" xr:uid="{00000000-0005-0000-0000-000030090000}"/>
    <cellStyle name="Millares 2 2 39 2" xfId="9728" xr:uid="{00000000-0005-0000-0000-000031090000}"/>
    <cellStyle name="Millares 2 2 39 2 2" xfId="10429" xr:uid="{00000000-0005-0000-0000-000032090000}"/>
    <cellStyle name="Millares 2 2 39 2 2 2" xfId="12164" xr:uid="{00000000-0005-0000-0000-000033090000}"/>
    <cellStyle name="Millares 2 2 39 2 3" xfId="11517" xr:uid="{00000000-0005-0000-0000-000034090000}"/>
    <cellStyle name="Millares 2 2 39 3" xfId="10132" xr:uid="{00000000-0005-0000-0000-000035090000}"/>
    <cellStyle name="Millares 2 2 39 3 2" xfId="11868" xr:uid="{00000000-0005-0000-0000-000036090000}"/>
    <cellStyle name="Millares 2 2 39 4" xfId="11112" xr:uid="{00000000-0005-0000-0000-000037090000}"/>
    <cellStyle name="Millares 2 2 4" xfId="1065" xr:uid="{00000000-0005-0000-0000-000038090000}"/>
    <cellStyle name="Millares 2 2 4 2" xfId="4239" xr:uid="{00000000-0005-0000-0000-000039090000}"/>
    <cellStyle name="Millares 2 2 4 2 2" xfId="9674" xr:uid="{00000000-0005-0000-0000-00003A090000}"/>
    <cellStyle name="Millares 2 2 4 2 2 2" xfId="10376" xr:uid="{00000000-0005-0000-0000-00003B090000}"/>
    <cellStyle name="Millares 2 2 4 2 2 2 2" xfId="12111" xr:uid="{00000000-0005-0000-0000-00003C090000}"/>
    <cellStyle name="Millares 2 2 4 2 2 3" xfId="11464" xr:uid="{00000000-0005-0000-0000-00003D090000}"/>
    <cellStyle name="Millares 2 2 4 2 3" xfId="10079" xr:uid="{00000000-0005-0000-0000-00003E090000}"/>
    <cellStyle name="Millares 2 2 4 2 3 2" xfId="11815" xr:uid="{00000000-0005-0000-0000-00003F090000}"/>
    <cellStyle name="Millares 2 2 4 2 4" xfId="11051" xr:uid="{00000000-0005-0000-0000-000040090000}"/>
    <cellStyle name="Millares 2 2 4 3" xfId="7634" xr:uid="{00000000-0005-0000-0000-000041090000}"/>
    <cellStyle name="Millares 2 2 4 3 2" xfId="11302" xr:uid="{00000000-0005-0000-0000-000042090000}"/>
    <cellStyle name="Millares 2 2 4 4" xfId="10793" xr:uid="{00000000-0005-0000-0000-000043090000}"/>
    <cellStyle name="Millares 2 2 40" xfId="4308" xr:uid="{00000000-0005-0000-0000-000044090000}"/>
    <cellStyle name="Millares 2 2 40 2" xfId="9734" xr:uid="{00000000-0005-0000-0000-000045090000}"/>
    <cellStyle name="Millares 2 2 40 2 2" xfId="10435" xr:uid="{00000000-0005-0000-0000-000046090000}"/>
    <cellStyle name="Millares 2 2 40 2 2 2" xfId="12170" xr:uid="{00000000-0005-0000-0000-000047090000}"/>
    <cellStyle name="Millares 2 2 40 2 3" xfId="11523" xr:uid="{00000000-0005-0000-0000-000048090000}"/>
    <cellStyle name="Millares 2 2 40 3" xfId="10138" xr:uid="{00000000-0005-0000-0000-000049090000}"/>
    <cellStyle name="Millares 2 2 40 3 2" xfId="11874" xr:uid="{00000000-0005-0000-0000-00004A090000}"/>
    <cellStyle name="Millares 2 2 40 4" xfId="11118" xr:uid="{00000000-0005-0000-0000-00004B090000}"/>
    <cellStyle name="Millares 2 2 41" xfId="4366" xr:uid="{00000000-0005-0000-0000-00004C090000}"/>
    <cellStyle name="Millares 2 2 41 2" xfId="9774" xr:uid="{00000000-0005-0000-0000-00004D090000}"/>
    <cellStyle name="Millares 2 2 41 2 2" xfId="10473" xr:uid="{00000000-0005-0000-0000-00004E090000}"/>
    <cellStyle name="Millares 2 2 41 2 2 2" xfId="12208" xr:uid="{00000000-0005-0000-0000-00004F090000}"/>
    <cellStyle name="Millares 2 2 41 2 3" xfId="11561" xr:uid="{00000000-0005-0000-0000-000050090000}"/>
    <cellStyle name="Millares 2 2 41 3" xfId="10178" xr:uid="{00000000-0005-0000-0000-000051090000}"/>
    <cellStyle name="Millares 2 2 41 3 2" xfId="11914" xr:uid="{00000000-0005-0000-0000-000052090000}"/>
    <cellStyle name="Millares 2 2 41 4" xfId="11171" xr:uid="{00000000-0005-0000-0000-000053090000}"/>
    <cellStyle name="Millares 2 2 42" xfId="1036" xr:uid="{00000000-0005-0000-0000-000054090000}"/>
    <cellStyle name="Millares 2 2 42 2" xfId="10764" xr:uid="{00000000-0005-0000-0000-000055090000}"/>
    <cellStyle name="Millares 2 2 43" xfId="10660" xr:uid="{00000000-0005-0000-0000-000056090000}"/>
    <cellStyle name="Millares 2 2 5" xfId="1066" xr:uid="{00000000-0005-0000-0000-000057090000}"/>
    <cellStyle name="Millares 2 2 5 2" xfId="5152" xr:uid="{00000000-0005-0000-0000-000058090000}"/>
    <cellStyle name="Millares 2 2 5 2 2" xfId="11197" xr:uid="{00000000-0005-0000-0000-000059090000}"/>
    <cellStyle name="Millares 2 2 5 3" xfId="7635" xr:uid="{00000000-0005-0000-0000-00005A090000}"/>
    <cellStyle name="Millares 2 2 5 3 2" xfId="11303" xr:uid="{00000000-0005-0000-0000-00005B090000}"/>
    <cellStyle name="Millares 2 2 5 4" xfId="10794" xr:uid="{00000000-0005-0000-0000-00005C090000}"/>
    <cellStyle name="Millares 2 2 6" xfId="1067" xr:uid="{00000000-0005-0000-0000-00005D090000}"/>
    <cellStyle name="Millares 2 2 6 2" xfId="5153" xr:uid="{00000000-0005-0000-0000-00005E090000}"/>
    <cellStyle name="Millares 2 2 6 2 2" xfId="11198" xr:uid="{00000000-0005-0000-0000-00005F090000}"/>
    <cellStyle name="Millares 2 2 6 3" xfId="7636" xr:uid="{00000000-0005-0000-0000-000060090000}"/>
    <cellStyle name="Millares 2 2 6 3 2" xfId="11304" xr:uid="{00000000-0005-0000-0000-000061090000}"/>
    <cellStyle name="Millares 2 2 6 4" xfId="10795" xr:uid="{00000000-0005-0000-0000-000062090000}"/>
    <cellStyle name="Millares 2 2 7" xfId="1068" xr:uid="{00000000-0005-0000-0000-000063090000}"/>
    <cellStyle name="Millares 2 2 7 2" xfId="5154" xr:uid="{00000000-0005-0000-0000-000064090000}"/>
    <cellStyle name="Millares 2 2 7 2 2" xfId="11199" xr:uid="{00000000-0005-0000-0000-000065090000}"/>
    <cellStyle name="Millares 2 2 7 3" xfId="7637" xr:uid="{00000000-0005-0000-0000-000066090000}"/>
    <cellStyle name="Millares 2 2 7 3 2" xfId="11305" xr:uid="{00000000-0005-0000-0000-000067090000}"/>
    <cellStyle name="Millares 2 2 7 4" xfId="10796" xr:uid="{00000000-0005-0000-0000-000068090000}"/>
    <cellStyle name="Millares 2 2 8" xfId="1069" xr:uid="{00000000-0005-0000-0000-000069090000}"/>
    <cellStyle name="Millares 2 2 8 2" xfId="5155" xr:uid="{00000000-0005-0000-0000-00006A090000}"/>
    <cellStyle name="Millares 2 2 8 2 2" xfId="11200" xr:uid="{00000000-0005-0000-0000-00006B090000}"/>
    <cellStyle name="Millares 2 2 8 3" xfId="7638" xr:uid="{00000000-0005-0000-0000-00006C090000}"/>
    <cellStyle name="Millares 2 2 8 3 2" xfId="11306" xr:uid="{00000000-0005-0000-0000-00006D090000}"/>
    <cellStyle name="Millares 2 2 8 4" xfId="10797" xr:uid="{00000000-0005-0000-0000-00006E090000}"/>
    <cellStyle name="Millares 2 2 9" xfId="1070" xr:uid="{00000000-0005-0000-0000-00006F090000}"/>
    <cellStyle name="Millares 2 2 9 2" xfId="5156" xr:uid="{00000000-0005-0000-0000-000070090000}"/>
    <cellStyle name="Millares 2 2 9 2 2" xfId="11201" xr:uid="{00000000-0005-0000-0000-000071090000}"/>
    <cellStyle name="Millares 2 2 9 3" xfId="7639" xr:uid="{00000000-0005-0000-0000-000072090000}"/>
    <cellStyle name="Millares 2 2 9 3 2" xfId="11307" xr:uid="{00000000-0005-0000-0000-000073090000}"/>
    <cellStyle name="Millares 2 2 9 4" xfId="10798" xr:uid="{00000000-0005-0000-0000-000074090000}"/>
    <cellStyle name="Millares 2 20" xfId="1071" xr:uid="{00000000-0005-0000-0000-000075090000}"/>
    <cellStyle name="Millares 2 20 2" xfId="7640" xr:uid="{00000000-0005-0000-0000-000076090000}"/>
    <cellStyle name="Millares 2 20 2 2" xfId="11308" xr:uid="{00000000-0005-0000-0000-000077090000}"/>
    <cellStyle name="Millares 2 20 3" xfId="10799" xr:uid="{00000000-0005-0000-0000-000078090000}"/>
    <cellStyle name="Millares 2 21" xfId="1072" xr:uid="{00000000-0005-0000-0000-000079090000}"/>
    <cellStyle name="Millares 2 21 2" xfId="7641" xr:uid="{00000000-0005-0000-0000-00007A090000}"/>
    <cellStyle name="Millares 2 21 2 2" xfId="11309" xr:uid="{00000000-0005-0000-0000-00007B090000}"/>
    <cellStyle name="Millares 2 21 3" xfId="10800" xr:uid="{00000000-0005-0000-0000-00007C090000}"/>
    <cellStyle name="Millares 2 22" xfId="1073" xr:uid="{00000000-0005-0000-0000-00007D090000}"/>
    <cellStyle name="Millares 2 22 2" xfId="7642" xr:uid="{00000000-0005-0000-0000-00007E090000}"/>
    <cellStyle name="Millares 2 22 2 2" xfId="11310" xr:uid="{00000000-0005-0000-0000-00007F090000}"/>
    <cellStyle name="Millares 2 22 3" xfId="10801" xr:uid="{00000000-0005-0000-0000-000080090000}"/>
    <cellStyle name="Millares 2 23" xfId="1074" xr:uid="{00000000-0005-0000-0000-000081090000}"/>
    <cellStyle name="Millares 2 23 2" xfId="7643" xr:uid="{00000000-0005-0000-0000-000082090000}"/>
    <cellStyle name="Millares 2 23 2 2" xfId="11311" xr:uid="{00000000-0005-0000-0000-000083090000}"/>
    <cellStyle name="Millares 2 23 3" xfId="10802" xr:uid="{00000000-0005-0000-0000-000084090000}"/>
    <cellStyle name="Millares 2 24" xfId="1075" xr:uid="{00000000-0005-0000-0000-000085090000}"/>
    <cellStyle name="Millares 2 24 2" xfId="7644" xr:uid="{00000000-0005-0000-0000-000086090000}"/>
    <cellStyle name="Millares 2 24 2 2" xfId="11312" xr:uid="{00000000-0005-0000-0000-000087090000}"/>
    <cellStyle name="Millares 2 24 3" xfId="10803" xr:uid="{00000000-0005-0000-0000-000088090000}"/>
    <cellStyle name="Millares 2 25" xfId="1076" xr:uid="{00000000-0005-0000-0000-000089090000}"/>
    <cellStyle name="Millares 2 25 2" xfId="7645" xr:uid="{00000000-0005-0000-0000-00008A090000}"/>
    <cellStyle name="Millares 2 25 2 2" xfId="11313" xr:uid="{00000000-0005-0000-0000-00008B090000}"/>
    <cellStyle name="Millares 2 25 3" xfId="10804" xr:uid="{00000000-0005-0000-0000-00008C090000}"/>
    <cellStyle name="Millares 2 26" xfId="1077" xr:uid="{00000000-0005-0000-0000-00008D090000}"/>
    <cellStyle name="Millares 2 26 2" xfId="7646" xr:uid="{00000000-0005-0000-0000-00008E090000}"/>
    <cellStyle name="Millares 2 26 2 2" xfId="11314" xr:uid="{00000000-0005-0000-0000-00008F090000}"/>
    <cellStyle name="Millares 2 26 3" xfId="10805" xr:uid="{00000000-0005-0000-0000-000090090000}"/>
    <cellStyle name="Millares 2 27" xfId="1078" xr:uid="{00000000-0005-0000-0000-000091090000}"/>
    <cellStyle name="Millares 2 27 2" xfId="7647" xr:uid="{00000000-0005-0000-0000-000092090000}"/>
    <cellStyle name="Millares 2 27 2 2" xfId="11315" xr:uid="{00000000-0005-0000-0000-000093090000}"/>
    <cellStyle name="Millares 2 27 3" xfId="10806" xr:uid="{00000000-0005-0000-0000-000094090000}"/>
    <cellStyle name="Millares 2 28" xfId="1079" xr:uid="{00000000-0005-0000-0000-000095090000}"/>
    <cellStyle name="Millares 2 28 2" xfId="7648" xr:uid="{00000000-0005-0000-0000-000096090000}"/>
    <cellStyle name="Millares 2 28 2 2" xfId="11316" xr:uid="{00000000-0005-0000-0000-000097090000}"/>
    <cellStyle name="Millares 2 28 3" xfId="10807" xr:uid="{00000000-0005-0000-0000-000098090000}"/>
    <cellStyle name="Millares 2 29" xfId="1080" xr:uid="{00000000-0005-0000-0000-000099090000}"/>
    <cellStyle name="Millares 2 29 2" xfId="7649" xr:uid="{00000000-0005-0000-0000-00009A090000}"/>
    <cellStyle name="Millares 2 29 2 2" xfId="11317" xr:uid="{00000000-0005-0000-0000-00009B090000}"/>
    <cellStyle name="Millares 2 29 3" xfId="10808" xr:uid="{00000000-0005-0000-0000-00009C090000}"/>
    <cellStyle name="Millares 2 3" xfId="146" xr:uid="{00000000-0005-0000-0000-00009D090000}"/>
    <cellStyle name="Millares 2 3 10" xfId="4219" xr:uid="{00000000-0005-0000-0000-00009E090000}"/>
    <cellStyle name="Millares 2 3 10 2" xfId="9654" xr:uid="{00000000-0005-0000-0000-00009F090000}"/>
    <cellStyle name="Millares 2 3 10 2 2" xfId="10356" xr:uid="{00000000-0005-0000-0000-0000A0090000}"/>
    <cellStyle name="Millares 2 3 10 2 2 2" xfId="12091" xr:uid="{00000000-0005-0000-0000-0000A1090000}"/>
    <cellStyle name="Millares 2 3 10 2 3" xfId="11444" xr:uid="{00000000-0005-0000-0000-0000A2090000}"/>
    <cellStyle name="Millares 2 3 10 3" xfId="10059" xr:uid="{00000000-0005-0000-0000-0000A3090000}"/>
    <cellStyle name="Millares 2 3 10 3 2" xfId="11795" xr:uid="{00000000-0005-0000-0000-0000A4090000}"/>
    <cellStyle name="Millares 2 3 10 4" xfId="11031" xr:uid="{00000000-0005-0000-0000-0000A5090000}"/>
    <cellStyle name="Millares 2 3 11" xfId="4325" xr:uid="{00000000-0005-0000-0000-0000A6090000}"/>
    <cellStyle name="Millares 2 3 11 2" xfId="11133" xr:uid="{00000000-0005-0000-0000-0000A7090000}"/>
    <cellStyle name="Millares 2 3 12" xfId="10675" xr:uid="{00000000-0005-0000-0000-0000A8090000}"/>
    <cellStyle name="Millares 2 3 2" xfId="1081" xr:uid="{00000000-0005-0000-0000-0000A9090000}"/>
    <cellStyle name="Millares 2 3 2 2" xfId="4270" xr:uid="{00000000-0005-0000-0000-0000AA090000}"/>
    <cellStyle name="Millares 2 3 2 2 2" xfId="9705" xr:uid="{00000000-0005-0000-0000-0000AB090000}"/>
    <cellStyle name="Millares 2 3 2 2 2 2" xfId="10407" xr:uid="{00000000-0005-0000-0000-0000AC090000}"/>
    <cellStyle name="Millares 2 3 2 2 2 2 2" xfId="12142" xr:uid="{00000000-0005-0000-0000-0000AD090000}"/>
    <cellStyle name="Millares 2 3 2 2 2 3" xfId="11495" xr:uid="{00000000-0005-0000-0000-0000AE090000}"/>
    <cellStyle name="Millares 2 3 2 2 3" xfId="10110" xr:uid="{00000000-0005-0000-0000-0000AF090000}"/>
    <cellStyle name="Millares 2 3 2 2 3 2" xfId="11846" xr:uid="{00000000-0005-0000-0000-0000B0090000}"/>
    <cellStyle name="Millares 2 3 2 2 4" xfId="11082" xr:uid="{00000000-0005-0000-0000-0000B1090000}"/>
    <cellStyle name="Millares 2 3 2 3" xfId="7650" xr:uid="{00000000-0005-0000-0000-0000B2090000}"/>
    <cellStyle name="Millares 2 3 3" xfId="1082" xr:uid="{00000000-0005-0000-0000-0000B3090000}"/>
    <cellStyle name="Millares 2 3 3 2" xfId="7651" xr:uid="{00000000-0005-0000-0000-0000B4090000}"/>
    <cellStyle name="Millares 2 3 4" xfId="1083" xr:uid="{00000000-0005-0000-0000-0000B5090000}"/>
    <cellStyle name="Millares 2 3 4 2" xfId="7652" xr:uid="{00000000-0005-0000-0000-0000B6090000}"/>
    <cellStyle name="Millares 2 3 5" xfId="1084" xr:uid="{00000000-0005-0000-0000-0000B7090000}"/>
    <cellStyle name="Millares 2 3 5 2" xfId="7653" xr:uid="{00000000-0005-0000-0000-0000B8090000}"/>
    <cellStyle name="Millares 2 3 6" xfId="1085" xr:uid="{00000000-0005-0000-0000-0000B9090000}"/>
    <cellStyle name="Millares 2 3 6 2" xfId="7654" xr:uid="{00000000-0005-0000-0000-0000BA090000}"/>
    <cellStyle name="Millares 2 3 7" xfId="1086" xr:uid="{00000000-0005-0000-0000-0000BB090000}"/>
    <cellStyle name="Millares 2 3 7 2" xfId="7655" xr:uid="{00000000-0005-0000-0000-0000BC090000}"/>
    <cellStyle name="Millares 2 3 8" xfId="1087" xr:uid="{00000000-0005-0000-0000-0000BD090000}"/>
    <cellStyle name="Millares 2 3 8 2" xfId="7656" xr:uid="{00000000-0005-0000-0000-0000BE090000}"/>
    <cellStyle name="Millares 2 3 9" xfId="4136" xr:uid="{00000000-0005-0000-0000-0000BF090000}"/>
    <cellStyle name="Millares 2 3 9 2" xfId="9602" xr:uid="{00000000-0005-0000-0000-0000C0090000}"/>
    <cellStyle name="Millares 2 3 9 2 2" xfId="10305" xr:uid="{00000000-0005-0000-0000-0000C1090000}"/>
    <cellStyle name="Millares 2 3 9 2 2 2" xfId="12040" xr:uid="{00000000-0005-0000-0000-0000C2090000}"/>
    <cellStyle name="Millares 2 3 9 2 3" xfId="11393" xr:uid="{00000000-0005-0000-0000-0000C3090000}"/>
    <cellStyle name="Millares 2 3 9 3" xfId="10008" xr:uid="{00000000-0005-0000-0000-0000C4090000}"/>
    <cellStyle name="Millares 2 3 9 3 2" xfId="11744" xr:uid="{00000000-0005-0000-0000-0000C5090000}"/>
    <cellStyle name="Millares 2 3 9 4" xfId="10969" xr:uid="{00000000-0005-0000-0000-0000C6090000}"/>
    <cellStyle name="Millares 2 30" xfId="1088" xr:uid="{00000000-0005-0000-0000-0000C7090000}"/>
    <cellStyle name="Millares 2 30 2" xfId="7657" xr:uid="{00000000-0005-0000-0000-0000C8090000}"/>
    <cellStyle name="Millares 2 30 2 2" xfId="11318" xr:uid="{00000000-0005-0000-0000-0000C9090000}"/>
    <cellStyle name="Millares 2 30 3" xfId="10809" xr:uid="{00000000-0005-0000-0000-0000CA090000}"/>
    <cellStyle name="Millares 2 31" xfId="1089" xr:uid="{00000000-0005-0000-0000-0000CB090000}"/>
    <cellStyle name="Millares 2 31 2" xfId="7658" xr:uid="{00000000-0005-0000-0000-0000CC090000}"/>
    <cellStyle name="Millares 2 31 2 2" xfId="11319" xr:uid="{00000000-0005-0000-0000-0000CD090000}"/>
    <cellStyle name="Millares 2 31 3" xfId="10810" xr:uid="{00000000-0005-0000-0000-0000CE090000}"/>
    <cellStyle name="Millares 2 32" xfId="1090" xr:uid="{00000000-0005-0000-0000-0000CF090000}"/>
    <cellStyle name="Millares 2 32 2" xfId="10811" xr:uid="{00000000-0005-0000-0000-0000D0090000}"/>
    <cellStyle name="Millares 2 33" xfId="1091" xr:uid="{00000000-0005-0000-0000-0000D1090000}"/>
    <cellStyle name="Millares 2 33 2" xfId="10812" xr:uid="{00000000-0005-0000-0000-0000D2090000}"/>
    <cellStyle name="Millares 2 34" xfId="1092" xr:uid="{00000000-0005-0000-0000-0000D3090000}"/>
    <cellStyle name="Millares 2 34 2" xfId="10813" xr:uid="{00000000-0005-0000-0000-0000D4090000}"/>
    <cellStyle name="Millares 2 35" xfId="1093" xr:uid="{00000000-0005-0000-0000-0000D5090000}"/>
    <cellStyle name="Millares 2 35 2" xfId="10814" xr:uid="{00000000-0005-0000-0000-0000D6090000}"/>
    <cellStyle name="Millares 2 36" xfId="1094" xr:uid="{00000000-0005-0000-0000-0000D7090000}"/>
    <cellStyle name="Millares 2 36 2" xfId="10815" xr:uid="{00000000-0005-0000-0000-0000D8090000}"/>
    <cellStyle name="Millares 2 37" xfId="1095" xr:uid="{00000000-0005-0000-0000-0000D9090000}"/>
    <cellStyle name="Millares 2 37 2" xfId="10816" xr:uid="{00000000-0005-0000-0000-0000DA090000}"/>
    <cellStyle name="Millares 2 38" xfId="1096" xr:uid="{00000000-0005-0000-0000-0000DB090000}"/>
    <cellStyle name="Millares 2 38 2" xfId="10817" xr:uid="{00000000-0005-0000-0000-0000DC090000}"/>
    <cellStyle name="Millares 2 39" xfId="1097" xr:uid="{00000000-0005-0000-0000-0000DD090000}"/>
    <cellStyle name="Millares 2 39 2" xfId="10818" xr:uid="{00000000-0005-0000-0000-0000DE090000}"/>
    <cellStyle name="Millares 2 4" xfId="1098" xr:uid="{00000000-0005-0000-0000-0000DF090000}"/>
    <cellStyle name="Millares 2 4 10" xfId="4201" xr:uid="{00000000-0005-0000-0000-0000E0090000}"/>
    <cellStyle name="Millares 2 4 10 2" xfId="9636" xr:uid="{00000000-0005-0000-0000-0000E1090000}"/>
    <cellStyle name="Millares 2 4 10 2 2" xfId="10338" xr:uid="{00000000-0005-0000-0000-0000E2090000}"/>
    <cellStyle name="Millares 2 4 10 2 2 2" xfId="12073" xr:uid="{00000000-0005-0000-0000-0000E3090000}"/>
    <cellStyle name="Millares 2 4 10 2 3" xfId="11426" xr:uid="{00000000-0005-0000-0000-0000E4090000}"/>
    <cellStyle name="Millares 2 4 10 3" xfId="10041" xr:uid="{00000000-0005-0000-0000-0000E5090000}"/>
    <cellStyle name="Millares 2 4 10 3 2" xfId="11777" xr:uid="{00000000-0005-0000-0000-0000E6090000}"/>
    <cellStyle name="Millares 2 4 10 4" xfId="11013" xr:uid="{00000000-0005-0000-0000-0000E7090000}"/>
    <cellStyle name="Millares 2 4 11" xfId="7659" xr:uid="{00000000-0005-0000-0000-0000E8090000}"/>
    <cellStyle name="Millares 2 4 11 2" xfId="11320" xr:uid="{00000000-0005-0000-0000-0000E9090000}"/>
    <cellStyle name="Millares 2 4 12" xfId="10819" xr:uid="{00000000-0005-0000-0000-0000EA090000}"/>
    <cellStyle name="Millares 2 4 2" xfId="1099" xr:uid="{00000000-0005-0000-0000-0000EB090000}"/>
    <cellStyle name="Millares 2 4 2 2" xfId="4252" xr:uid="{00000000-0005-0000-0000-0000EC090000}"/>
    <cellStyle name="Millares 2 4 2 2 2" xfId="9687" xr:uid="{00000000-0005-0000-0000-0000ED090000}"/>
    <cellStyle name="Millares 2 4 2 2 2 2" xfId="10389" xr:uid="{00000000-0005-0000-0000-0000EE090000}"/>
    <cellStyle name="Millares 2 4 2 2 2 2 2" xfId="12124" xr:uid="{00000000-0005-0000-0000-0000EF090000}"/>
    <cellStyle name="Millares 2 4 2 2 2 3" xfId="11477" xr:uid="{00000000-0005-0000-0000-0000F0090000}"/>
    <cellStyle name="Millares 2 4 2 2 3" xfId="10092" xr:uid="{00000000-0005-0000-0000-0000F1090000}"/>
    <cellStyle name="Millares 2 4 2 2 3 2" xfId="11828" xr:uid="{00000000-0005-0000-0000-0000F2090000}"/>
    <cellStyle name="Millares 2 4 2 2 4" xfId="11064" xr:uid="{00000000-0005-0000-0000-0000F3090000}"/>
    <cellStyle name="Millares 2 4 3" xfId="1100" xr:uid="{00000000-0005-0000-0000-0000F4090000}"/>
    <cellStyle name="Millares 2 4 4" xfId="1101" xr:uid="{00000000-0005-0000-0000-0000F5090000}"/>
    <cellStyle name="Millares 2 4 5" xfId="1102" xr:uid="{00000000-0005-0000-0000-0000F6090000}"/>
    <cellStyle name="Millares 2 4 6" xfId="1103" xr:uid="{00000000-0005-0000-0000-0000F7090000}"/>
    <cellStyle name="Millares 2 4 7" xfId="1104" xr:uid="{00000000-0005-0000-0000-0000F8090000}"/>
    <cellStyle name="Millares 2 4 8" xfId="1105" xr:uid="{00000000-0005-0000-0000-0000F9090000}"/>
    <cellStyle name="Millares 2 4 9" xfId="4099" xr:uid="{00000000-0005-0000-0000-0000FA090000}"/>
    <cellStyle name="Millares 2 4 9 2" xfId="9583" xr:uid="{00000000-0005-0000-0000-0000FB090000}"/>
    <cellStyle name="Millares 2 4 9 2 2" xfId="10287" xr:uid="{00000000-0005-0000-0000-0000FC090000}"/>
    <cellStyle name="Millares 2 4 9 2 2 2" xfId="12022" xr:uid="{00000000-0005-0000-0000-0000FD090000}"/>
    <cellStyle name="Millares 2 4 9 2 3" xfId="11375" xr:uid="{00000000-0005-0000-0000-0000FE090000}"/>
    <cellStyle name="Millares 2 4 9 3" xfId="9990" xr:uid="{00000000-0005-0000-0000-0000FF090000}"/>
    <cellStyle name="Millares 2 4 9 3 2" xfId="11726" xr:uid="{00000000-0005-0000-0000-0000000A0000}"/>
    <cellStyle name="Millares 2 4 9 4" xfId="10949" xr:uid="{00000000-0005-0000-0000-0000010A0000}"/>
    <cellStyle name="Millares 2 40" xfId="1106" xr:uid="{00000000-0005-0000-0000-0000020A0000}"/>
    <cellStyle name="Millares 2 40 2" xfId="10820" xr:uid="{00000000-0005-0000-0000-0000030A0000}"/>
    <cellStyle name="Millares 2 41" xfId="1107" xr:uid="{00000000-0005-0000-0000-0000040A0000}"/>
    <cellStyle name="Millares 2 41 2" xfId="10821" xr:uid="{00000000-0005-0000-0000-0000050A0000}"/>
    <cellStyle name="Millares 2 42" xfId="1108" xr:uid="{00000000-0005-0000-0000-0000060A0000}"/>
    <cellStyle name="Millares 2 42 2" xfId="10822" xr:uid="{00000000-0005-0000-0000-0000070A0000}"/>
    <cellStyle name="Millares 2 43" xfId="1109" xr:uid="{00000000-0005-0000-0000-0000080A0000}"/>
    <cellStyle name="Millares 2 43 2" xfId="10823" xr:uid="{00000000-0005-0000-0000-0000090A0000}"/>
    <cellStyle name="Millares 2 44" xfId="1110" xr:uid="{00000000-0005-0000-0000-00000A0A0000}"/>
    <cellStyle name="Millares 2 44 2" xfId="10824" xr:uid="{00000000-0005-0000-0000-00000B0A0000}"/>
    <cellStyle name="Millares 2 45" xfId="1111" xr:uid="{00000000-0005-0000-0000-00000C0A0000}"/>
    <cellStyle name="Millares 2 45 2" xfId="10825" xr:uid="{00000000-0005-0000-0000-00000D0A0000}"/>
    <cellStyle name="Millares 2 46" xfId="1112" xr:uid="{00000000-0005-0000-0000-00000E0A0000}"/>
    <cellStyle name="Millares 2 46 2" xfId="10826" xr:uid="{00000000-0005-0000-0000-00000F0A0000}"/>
    <cellStyle name="Millares 2 47" xfId="1113" xr:uid="{00000000-0005-0000-0000-0000100A0000}"/>
    <cellStyle name="Millares 2 47 2" xfId="10827" xr:uid="{00000000-0005-0000-0000-0000110A0000}"/>
    <cellStyle name="Millares 2 48" xfId="1114" xr:uid="{00000000-0005-0000-0000-0000120A0000}"/>
    <cellStyle name="Millares 2 48 2" xfId="10828" xr:uid="{00000000-0005-0000-0000-0000130A0000}"/>
    <cellStyle name="Millares 2 49" xfId="1115" xr:uid="{00000000-0005-0000-0000-0000140A0000}"/>
    <cellStyle name="Millares 2 49 2" xfId="10829" xr:uid="{00000000-0005-0000-0000-0000150A0000}"/>
    <cellStyle name="Millares 2 5" xfId="1116" xr:uid="{00000000-0005-0000-0000-0000160A0000}"/>
    <cellStyle name="Millares 2 5 2" xfId="4236" xr:uid="{00000000-0005-0000-0000-0000170A0000}"/>
    <cellStyle name="Millares 2 5 2 2" xfId="9671" xr:uid="{00000000-0005-0000-0000-0000180A0000}"/>
    <cellStyle name="Millares 2 5 2 2 2" xfId="10373" xr:uid="{00000000-0005-0000-0000-0000190A0000}"/>
    <cellStyle name="Millares 2 5 2 2 2 2" xfId="12108" xr:uid="{00000000-0005-0000-0000-00001A0A0000}"/>
    <cellStyle name="Millares 2 5 2 2 3" xfId="11461" xr:uid="{00000000-0005-0000-0000-00001B0A0000}"/>
    <cellStyle name="Millares 2 5 2 3" xfId="10076" xr:uid="{00000000-0005-0000-0000-00001C0A0000}"/>
    <cellStyle name="Millares 2 5 2 3 2" xfId="11812" xr:uid="{00000000-0005-0000-0000-00001D0A0000}"/>
    <cellStyle name="Millares 2 5 2 4" xfId="11048" xr:uid="{00000000-0005-0000-0000-00001E0A0000}"/>
    <cellStyle name="Millares 2 5 3" xfId="7660" xr:uid="{00000000-0005-0000-0000-00001F0A0000}"/>
    <cellStyle name="Millares 2 5 3 2" xfId="11321" xr:uid="{00000000-0005-0000-0000-0000200A0000}"/>
    <cellStyle name="Millares 2 5 4" xfId="10830" xr:uid="{00000000-0005-0000-0000-0000210A0000}"/>
    <cellStyle name="Millares 2 50" xfId="1117" xr:uid="{00000000-0005-0000-0000-0000220A0000}"/>
    <cellStyle name="Millares 2 50 2" xfId="10831" xr:uid="{00000000-0005-0000-0000-0000230A0000}"/>
    <cellStyle name="Millares 2 51" xfId="1118" xr:uid="{00000000-0005-0000-0000-0000240A0000}"/>
    <cellStyle name="Millares 2 51 2" xfId="10832" xr:uid="{00000000-0005-0000-0000-0000250A0000}"/>
    <cellStyle name="Millares 2 52" xfId="1119" xr:uid="{00000000-0005-0000-0000-0000260A0000}"/>
    <cellStyle name="Millares 2 52 2" xfId="10833" xr:uid="{00000000-0005-0000-0000-0000270A0000}"/>
    <cellStyle name="Millares 2 53" xfId="1120" xr:uid="{00000000-0005-0000-0000-0000280A0000}"/>
    <cellStyle name="Millares 2 53 2" xfId="10834" xr:uid="{00000000-0005-0000-0000-0000290A0000}"/>
    <cellStyle name="Millares 2 54" xfId="1121" xr:uid="{00000000-0005-0000-0000-00002A0A0000}"/>
    <cellStyle name="Millares 2 54 2" xfId="10835" xr:uid="{00000000-0005-0000-0000-00002B0A0000}"/>
    <cellStyle name="Millares 2 55" xfId="1122" xr:uid="{00000000-0005-0000-0000-00002C0A0000}"/>
    <cellStyle name="Millares 2 55 2" xfId="10836" xr:uid="{00000000-0005-0000-0000-00002D0A0000}"/>
    <cellStyle name="Millares 2 56" xfId="1123" xr:uid="{00000000-0005-0000-0000-00002E0A0000}"/>
    <cellStyle name="Millares 2 56 2" xfId="10837" xr:uid="{00000000-0005-0000-0000-00002F0A0000}"/>
    <cellStyle name="Millares 2 57" xfId="1124" xr:uid="{00000000-0005-0000-0000-0000300A0000}"/>
    <cellStyle name="Millares 2 57 2" xfId="10838" xr:uid="{00000000-0005-0000-0000-0000310A0000}"/>
    <cellStyle name="Millares 2 58" xfId="1125" xr:uid="{00000000-0005-0000-0000-0000320A0000}"/>
    <cellStyle name="Millares 2 58 2" xfId="10839" xr:uid="{00000000-0005-0000-0000-0000330A0000}"/>
    <cellStyle name="Millares 2 59" xfId="1126" xr:uid="{00000000-0005-0000-0000-0000340A0000}"/>
    <cellStyle name="Millares 2 59 2" xfId="10840" xr:uid="{00000000-0005-0000-0000-0000350A0000}"/>
    <cellStyle name="Millares 2 6" xfId="1127" xr:uid="{00000000-0005-0000-0000-0000360A0000}"/>
    <cellStyle name="Millares 2 6 2" xfId="4286" xr:uid="{00000000-0005-0000-0000-0000370A0000}"/>
    <cellStyle name="Millares 2 6 2 2" xfId="11098" xr:uid="{00000000-0005-0000-0000-0000380A0000}"/>
    <cellStyle name="Millares 2 6 3" xfId="10841" xr:uid="{00000000-0005-0000-0000-0000390A0000}"/>
    <cellStyle name="Millares 2 60" xfId="1128" xr:uid="{00000000-0005-0000-0000-00003A0A0000}"/>
    <cellStyle name="Millares 2 60 2" xfId="10842" xr:uid="{00000000-0005-0000-0000-00003B0A0000}"/>
    <cellStyle name="Millares 2 61" xfId="1129" xr:uid="{00000000-0005-0000-0000-00003C0A0000}"/>
    <cellStyle name="Millares 2 61 2" xfId="10843" xr:uid="{00000000-0005-0000-0000-00003D0A0000}"/>
    <cellStyle name="Millares 2 62" xfId="1130" xr:uid="{00000000-0005-0000-0000-00003E0A0000}"/>
    <cellStyle name="Millares 2 62 2" xfId="10844" xr:uid="{00000000-0005-0000-0000-00003F0A0000}"/>
    <cellStyle name="Millares 2 63" xfId="1131" xr:uid="{00000000-0005-0000-0000-0000400A0000}"/>
    <cellStyle name="Millares 2 63 2" xfId="10845" xr:uid="{00000000-0005-0000-0000-0000410A0000}"/>
    <cellStyle name="Millares 2 64" xfId="1132" xr:uid="{00000000-0005-0000-0000-0000420A0000}"/>
    <cellStyle name="Millares 2 64 2" xfId="10846" xr:uid="{00000000-0005-0000-0000-0000430A0000}"/>
    <cellStyle name="Millares 2 65" xfId="1133" xr:uid="{00000000-0005-0000-0000-0000440A0000}"/>
    <cellStyle name="Millares 2 65 2" xfId="10847" xr:uid="{00000000-0005-0000-0000-0000450A0000}"/>
    <cellStyle name="Millares 2 66" xfId="1134" xr:uid="{00000000-0005-0000-0000-0000460A0000}"/>
    <cellStyle name="Millares 2 66 2" xfId="10848" xr:uid="{00000000-0005-0000-0000-0000470A0000}"/>
    <cellStyle name="Millares 2 67" xfId="1135" xr:uid="{00000000-0005-0000-0000-0000480A0000}"/>
    <cellStyle name="Millares 2 67 2" xfId="10849" xr:uid="{00000000-0005-0000-0000-0000490A0000}"/>
    <cellStyle name="Millares 2 68" xfId="1136" xr:uid="{00000000-0005-0000-0000-00004A0A0000}"/>
    <cellStyle name="Millares 2 68 2" xfId="10850" xr:uid="{00000000-0005-0000-0000-00004B0A0000}"/>
    <cellStyle name="Millares 2 69" xfId="1137" xr:uid="{00000000-0005-0000-0000-00004C0A0000}"/>
    <cellStyle name="Millares 2 69 2" xfId="10851" xr:uid="{00000000-0005-0000-0000-00004D0A0000}"/>
    <cellStyle name="Millares 2 7" xfId="1138" xr:uid="{00000000-0005-0000-0000-00004E0A0000}"/>
    <cellStyle name="Millares 2 7 2" xfId="7661" xr:uid="{00000000-0005-0000-0000-00004F0A0000}"/>
    <cellStyle name="Millares 2 7 2 2" xfId="11322" xr:uid="{00000000-0005-0000-0000-0000500A0000}"/>
    <cellStyle name="Millares 2 7 3" xfId="10852" xr:uid="{00000000-0005-0000-0000-0000510A0000}"/>
    <cellStyle name="Millares 2 70" xfId="1139" xr:uid="{00000000-0005-0000-0000-0000520A0000}"/>
    <cellStyle name="Millares 2 70 2" xfId="10853" xr:uid="{00000000-0005-0000-0000-0000530A0000}"/>
    <cellStyle name="Millares 2 71" xfId="1140" xr:uid="{00000000-0005-0000-0000-0000540A0000}"/>
    <cellStyle name="Millares 2 71 2" xfId="10854" xr:uid="{00000000-0005-0000-0000-0000550A0000}"/>
    <cellStyle name="Millares 2 72" xfId="1141" xr:uid="{00000000-0005-0000-0000-0000560A0000}"/>
    <cellStyle name="Millares 2 72 2" xfId="10855" xr:uid="{00000000-0005-0000-0000-0000570A0000}"/>
    <cellStyle name="Millares 2 73" xfId="1142" xr:uid="{00000000-0005-0000-0000-0000580A0000}"/>
    <cellStyle name="Millares 2 73 2" xfId="10856" xr:uid="{00000000-0005-0000-0000-0000590A0000}"/>
    <cellStyle name="Millares 2 74" xfId="1143" xr:uid="{00000000-0005-0000-0000-00005A0A0000}"/>
    <cellStyle name="Millares 2 74 2" xfId="10857" xr:uid="{00000000-0005-0000-0000-00005B0A0000}"/>
    <cellStyle name="Millares 2 75" xfId="1144" xr:uid="{00000000-0005-0000-0000-00005C0A0000}"/>
    <cellStyle name="Millares 2 75 2" xfId="10858" xr:uid="{00000000-0005-0000-0000-00005D0A0000}"/>
    <cellStyle name="Millares 2 76" xfId="1145" xr:uid="{00000000-0005-0000-0000-00005E0A0000}"/>
    <cellStyle name="Millares 2 76 2" xfId="10859" xr:uid="{00000000-0005-0000-0000-00005F0A0000}"/>
    <cellStyle name="Millares 2 77" xfId="1146" xr:uid="{00000000-0005-0000-0000-0000600A0000}"/>
    <cellStyle name="Millares 2 77 2" xfId="10860" xr:uid="{00000000-0005-0000-0000-0000610A0000}"/>
    <cellStyle name="Millares 2 78" xfId="1147" xr:uid="{00000000-0005-0000-0000-0000620A0000}"/>
    <cellStyle name="Millares 2 78 2" xfId="10861" xr:uid="{00000000-0005-0000-0000-0000630A0000}"/>
    <cellStyle name="Millares 2 79" xfId="1148" xr:uid="{00000000-0005-0000-0000-0000640A0000}"/>
    <cellStyle name="Millares 2 79 2" xfId="10862" xr:uid="{00000000-0005-0000-0000-0000650A0000}"/>
    <cellStyle name="Millares 2 8" xfId="1149" xr:uid="{00000000-0005-0000-0000-0000660A0000}"/>
    <cellStyle name="Millares 2 8 2" xfId="7662" xr:uid="{00000000-0005-0000-0000-0000670A0000}"/>
    <cellStyle name="Millares 2 8 2 2" xfId="11323" xr:uid="{00000000-0005-0000-0000-0000680A0000}"/>
    <cellStyle name="Millares 2 8 3" xfId="10863" xr:uid="{00000000-0005-0000-0000-0000690A0000}"/>
    <cellStyle name="Millares 2 80" xfId="1150" xr:uid="{00000000-0005-0000-0000-00006A0A0000}"/>
    <cellStyle name="Millares 2 80 2" xfId="10864" xr:uid="{00000000-0005-0000-0000-00006B0A0000}"/>
    <cellStyle name="Millares 2 81" xfId="1151" xr:uid="{00000000-0005-0000-0000-00006C0A0000}"/>
    <cellStyle name="Millares 2 81 2" xfId="10865" xr:uid="{00000000-0005-0000-0000-00006D0A0000}"/>
    <cellStyle name="Millares 2 82" xfId="1152" xr:uid="{00000000-0005-0000-0000-00006E0A0000}"/>
    <cellStyle name="Millares 2 82 2" xfId="10866" xr:uid="{00000000-0005-0000-0000-00006F0A0000}"/>
    <cellStyle name="Millares 2 83" xfId="1153" xr:uid="{00000000-0005-0000-0000-0000700A0000}"/>
    <cellStyle name="Millares 2 83 2" xfId="10867" xr:uid="{00000000-0005-0000-0000-0000710A0000}"/>
    <cellStyle name="Millares 2 84" xfId="4063" xr:uid="{00000000-0005-0000-0000-0000720A0000}"/>
    <cellStyle name="Millares 2 84 2" xfId="9567" xr:uid="{00000000-0005-0000-0000-0000730A0000}"/>
    <cellStyle name="Millares 2 84 2 2" xfId="10271" xr:uid="{00000000-0005-0000-0000-0000740A0000}"/>
    <cellStyle name="Millares 2 84 2 2 2" xfId="12006" xr:uid="{00000000-0005-0000-0000-0000750A0000}"/>
    <cellStyle name="Millares 2 84 2 3" xfId="11359" xr:uid="{00000000-0005-0000-0000-0000760A0000}"/>
    <cellStyle name="Millares 2 84 3" xfId="9974" xr:uid="{00000000-0005-0000-0000-0000770A0000}"/>
    <cellStyle name="Millares 2 84 3 2" xfId="11710" xr:uid="{00000000-0005-0000-0000-0000780A0000}"/>
    <cellStyle name="Millares 2 84 4" xfId="10931" xr:uid="{00000000-0005-0000-0000-0000790A0000}"/>
    <cellStyle name="Millares 2 85" xfId="4182" xr:uid="{00000000-0005-0000-0000-00007A0A0000}"/>
    <cellStyle name="Millares 2 85 2" xfId="9620" xr:uid="{00000000-0005-0000-0000-00007B0A0000}"/>
    <cellStyle name="Millares 2 85 2 2" xfId="10322" xr:uid="{00000000-0005-0000-0000-00007C0A0000}"/>
    <cellStyle name="Millares 2 85 2 2 2" xfId="12057" xr:uid="{00000000-0005-0000-0000-00007D0A0000}"/>
    <cellStyle name="Millares 2 85 2 3" xfId="11410" xr:uid="{00000000-0005-0000-0000-00007E0A0000}"/>
    <cellStyle name="Millares 2 85 3" xfId="10025" xr:uid="{00000000-0005-0000-0000-00007F0A0000}"/>
    <cellStyle name="Millares 2 85 3 2" xfId="11761" xr:uid="{00000000-0005-0000-0000-0000800A0000}"/>
    <cellStyle name="Millares 2 85 4" xfId="10996" xr:uid="{00000000-0005-0000-0000-0000810A0000}"/>
    <cellStyle name="Millares 2 86" xfId="1025" xr:uid="{00000000-0005-0000-0000-0000820A0000}"/>
    <cellStyle name="Millares 2 86 2" xfId="10753" xr:uid="{00000000-0005-0000-0000-0000830A0000}"/>
    <cellStyle name="Millares 2 87" xfId="9910" xr:uid="{00000000-0005-0000-0000-0000840A0000}"/>
    <cellStyle name="Millares 2 88" xfId="10200" xr:uid="{00000000-0005-0000-0000-0000850A0000}"/>
    <cellStyle name="Millares 2 88 2" xfId="11936" xr:uid="{00000000-0005-0000-0000-0000860A0000}"/>
    <cellStyle name="Millares 2 89" xfId="10560" xr:uid="{00000000-0005-0000-0000-0000870A0000}"/>
    <cellStyle name="Millares 2 89 2" xfId="12295" xr:uid="{00000000-0005-0000-0000-0000880A0000}"/>
    <cellStyle name="Millares 2 9" xfId="1154" xr:uid="{00000000-0005-0000-0000-0000890A0000}"/>
    <cellStyle name="Millares 2 9 2" xfId="7663" xr:uid="{00000000-0005-0000-0000-00008A0A0000}"/>
    <cellStyle name="Millares 2 9 2 2" xfId="11324" xr:uid="{00000000-0005-0000-0000-00008B0A0000}"/>
    <cellStyle name="Millares 2 9 3" xfId="10868" xr:uid="{00000000-0005-0000-0000-00008C0A0000}"/>
    <cellStyle name="Millares 2 90" xfId="10627" xr:uid="{00000000-0005-0000-0000-00008D0A0000}"/>
    <cellStyle name="Millares 2 90 2" xfId="12354" xr:uid="{00000000-0005-0000-0000-00008E0A0000}"/>
    <cellStyle name="Millares 2 91" xfId="10647" xr:uid="{00000000-0005-0000-0000-00008F0A0000}"/>
    <cellStyle name="Millares 2 92" xfId="12367" xr:uid="{00000000-0005-0000-0000-0000900A0000}"/>
    <cellStyle name="Millares 2 93" xfId="12370" xr:uid="{00000000-0005-0000-0000-0000910A0000}"/>
    <cellStyle name="Millares 2 94" xfId="12403" xr:uid="{00000000-0005-0000-0000-0000920A0000}"/>
    <cellStyle name="Millares 20" xfId="4320" xr:uid="{00000000-0005-0000-0000-0000930A0000}"/>
    <cellStyle name="Millares 20 2" xfId="11129" xr:uid="{00000000-0005-0000-0000-0000940A0000}"/>
    <cellStyle name="Millares 21" xfId="4329" xr:uid="{00000000-0005-0000-0000-0000950A0000}"/>
    <cellStyle name="Millares 21 2" xfId="11137" xr:uid="{00000000-0005-0000-0000-0000960A0000}"/>
    <cellStyle name="Millares 22" xfId="4330" xr:uid="{00000000-0005-0000-0000-0000970A0000}"/>
    <cellStyle name="Millares 22 2" xfId="11138" xr:uid="{00000000-0005-0000-0000-0000980A0000}"/>
    <cellStyle name="Millares 23" xfId="4313" xr:uid="{00000000-0005-0000-0000-0000990A0000}"/>
    <cellStyle name="Millares 23 2" xfId="11123" xr:uid="{00000000-0005-0000-0000-00009A0A0000}"/>
    <cellStyle name="Millares 24" xfId="4339" xr:uid="{00000000-0005-0000-0000-00009B0A0000}"/>
    <cellStyle name="Millares 24 2" xfId="11146" xr:uid="{00000000-0005-0000-0000-00009C0A0000}"/>
    <cellStyle name="Millares 25" xfId="4338" xr:uid="{00000000-0005-0000-0000-00009D0A0000}"/>
    <cellStyle name="Millares 25 2" xfId="11145" xr:uid="{00000000-0005-0000-0000-00009E0A0000}"/>
    <cellStyle name="Millares 26" xfId="7595" xr:uid="{00000000-0005-0000-0000-00009F0A0000}"/>
    <cellStyle name="Millares 26 2" xfId="11263" xr:uid="{00000000-0005-0000-0000-0000A00A0000}"/>
    <cellStyle name="Millares 27" xfId="9851" xr:uid="{00000000-0005-0000-0000-0000A10A0000}"/>
    <cellStyle name="Millares 27 2" xfId="11638" xr:uid="{00000000-0005-0000-0000-0000A20A0000}"/>
    <cellStyle name="Millares 28" xfId="9853" xr:uid="{00000000-0005-0000-0000-0000A30A0000}"/>
    <cellStyle name="Millares 29" xfId="9871" xr:uid="{00000000-0005-0000-0000-0000A40A0000}"/>
    <cellStyle name="Millares 29 2" xfId="11657" xr:uid="{00000000-0005-0000-0000-0000A50A0000}"/>
    <cellStyle name="Millares 3" xfId="33" xr:uid="{00000000-0005-0000-0000-0000A60A0000}"/>
    <cellStyle name="Millares 3 10" xfId="1156" xr:uid="{00000000-0005-0000-0000-0000A70A0000}"/>
    <cellStyle name="Millares 3 11" xfId="1157" xr:uid="{00000000-0005-0000-0000-0000A80A0000}"/>
    <cellStyle name="Millares 3 12" xfId="1158" xr:uid="{00000000-0005-0000-0000-0000A90A0000}"/>
    <cellStyle name="Millares 3 12 2" xfId="7665" xr:uid="{00000000-0005-0000-0000-0000AA0A0000}"/>
    <cellStyle name="Millares 3 12 2 2" xfId="11326" xr:uid="{00000000-0005-0000-0000-0000AB0A0000}"/>
    <cellStyle name="Millares 3 12 3" xfId="10870" xr:uid="{00000000-0005-0000-0000-0000AC0A0000}"/>
    <cellStyle name="Millares 3 13" xfId="1159" xr:uid="{00000000-0005-0000-0000-0000AD0A0000}"/>
    <cellStyle name="Millares 3 13 2" xfId="7666" xr:uid="{00000000-0005-0000-0000-0000AE0A0000}"/>
    <cellStyle name="Millares 3 13 2 2" xfId="11327" xr:uid="{00000000-0005-0000-0000-0000AF0A0000}"/>
    <cellStyle name="Millares 3 13 3" xfId="10871" xr:uid="{00000000-0005-0000-0000-0000B00A0000}"/>
    <cellStyle name="Millares 3 14" xfId="1160" xr:uid="{00000000-0005-0000-0000-0000B10A0000}"/>
    <cellStyle name="Millares 3 14 2" xfId="7667" xr:uid="{00000000-0005-0000-0000-0000B20A0000}"/>
    <cellStyle name="Millares 3 14 2 2" xfId="11328" xr:uid="{00000000-0005-0000-0000-0000B30A0000}"/>
    <cellStyle name="Millares 3 14 3" xfId="10872" xr:uid="{00000000-0005-0000-0000-0000B40A0000}"/>
    <cellStyle name="Millares 3 15" xfId="1161" xr:uid="{00000000-0005-0000-0000-0000B50A0000}"/>
    <cellStyle name="Millares 3 15 2" xfId="7668" xr:uid="{00000000-0005-0000-0000-0000B60A0000}"/>
    <cellStyle name="Millares 3 15 2 2" xfId="11329" xr:uid="{00000000-0005-0000-0000-0000B70A0000}"/>
    <cellStyle name="Millares 3 15 3" xfId="10873" xr:uid="{00000000-0005-0000-0000-0000B80A0000}"/>
    <cellStyle name="Millares 3 16" xfId="1162" xr:uid="{00000000-0005-0000-0000-0000B90A0000}"/>
    <cellStyle name="Millares 3 16 2" xfId="7669" xr:uid="{00000000-0005-0000-0000-0000BA0A0000}"/>
    <cellStyle name="Millares 3 16 2 2" xfId="11330" xr:uid="{00000000-0005-0000-0000-0000BB0A0000}"/>
    <cellStyle name="Millares 3 16 3" xfId="10874" xr:uid="{00000000-0005-0000-0000-0000BC0A0000}"/>
    <cellStyle name="Millares 3 17" xfId="1163" xr:uid="{00000000-0005-0000-0000-0000BD0A0000}"/>
    <cellStyle name="Millares 3 17 2" xfId="7670" xr:uid="{00000000-0005-0000-0000-0000BE0A0000}"/>
    <cellStyle name="Millares 3 17 2 2" xfId="11331" xr:uid="{00000000-0005-0000-0000-0000BF0A0000}"/>
    <cellStyle name="Millares 3 17 3" xfId="10875" xr:uid="{00000000-0005-0000-0000-0000C00A0000}"/>
    <cellStyle name="Millares 3 18" xfId="1164" xr:uid="{00000000-0005-0000-0000-0000C10A0000}"/>
    <cellStyle name="Millares 3 18 2" xfId="7671" xr:uid="{00000000-0005-0000-0000-0000C20A0000}"/>
    <cellStyle name="Millares 3 18 2 2" xfId="11332" xr:uid="{00000000-0005-0000-0000-0000C30A0000}"/>
    <cellStyle name="Millares 3 18 3" xfId="10876" xr:uid="{00000000-0005-0000-0000-0000C40A0000}"/>
    <cellStyle name="Millares 3 19" xfId="1165" xr:uid="{00000000-0005-0000-0000-0000C50A0000}"/>
    <cellStyle name="Millares 3 19 2" xfId="7672" xr:uid="{00000000-0005-0000-0000-0000C60A0000}"/>
    <cellStyle name="Millares 3 19 2 2" xfId="11333" xr:uid="{00000000-0005-0000-0000-0000C70A0000}"/>
    <cellStyle name="Millares 3 19 3" xfId="10877" xr:uid="{00000000-0005-0000-0000-0000C80A0000}"/>
    <cellStyle name="Millares 3 2" xfId="102" xr:uid="{00000000-0005-0000-0000-0000C90A0000}"/>
    <cellStyle name="Millares 3 2 10" xfId="4233" xr:uid="{00000000-0005-0000-0000-0000CA0A0000}"/>
    <cellStyle name="Millares 3 2 10 2" xfId="9668" xr:uid="{00000000-0005-0000-0000-0000CB0A0000}"/>
    <cellStyle name="Millares 3 2 10 2 2" xfId="10370" xr:uid="{00000000-0005-0000-0000-0000CC0A0000}"/>
    <cellStyle name="Millares 3 2 10 2 2 2" xfId="12105" xr:uid="{00000000-0005-0000-0000-0000CD0A0000}"/>
    <cellStyle name="Millares 3 2 10 2 3" xfId="11458" xr:uid="{00000000-0005-0000-0000-0000CE0A0000}"/>
    <cellStyle name="Millares 3 2 10 3" xfId="10073" xr:uid="{00000000-0005-0000-0000-0000CF0A0000}"/>
    <cellStyle name="Millares 3 2 10 3 2" xfId="11809" xr:uid="{00000000-0005-0000-0000-0000D00A0000}"/>
    <cellStyle name="Millares 3 2 10 4" xfId="11045" xr:uid="{00000000-0005-0000-0000-0000D10A0000}"/>
    <cellStyle name="Millares 3 2 11" xfId="7673" xr:uid="{00000000-0005-0000-0000-0000D20A0000}"/>
    <cellStyle name="Millares 3 2 11 2" xfId="11334" xr:uid="{00000000-0005-0000-0000-0000D30A0000}"/>
    <cellStyle name="Millares 3 2 12" xfId="1166" xr:uid="{00000000-0005-0000-0000-0000D40A0000}"/>
    <cellStyle name="Millares 3 2 12 2" xfId="10878" xr:uid="{00000000-0005-0000-0000-0000D50A0000}"/>
    <cellStyle name="Millares 3 2 2" xfId="1167" xr:uid="{00000000-0005-0000-0000-0000D60A0000}"/>
    <cellStyle name="Millares 3 2 2 2" xfId="4284" xr:uid="{00000000-0005-0000-0000-0000D70A0000}"/>
    <cellStyle name="Millares 3 2 2 2 2" xfId="9719" xr:uid="{00000000-0005-0000-0000-0000D80A0000}"/>
    <cellStyle name="Millares 3 2 2 2 2 2" xfId="10421" xr:uid="{00000000-0005-0000-0000-0000D90A0000}"/>
    <cellStyle name="Millares 3 2 2 2 2 2 2" xfId="12156" xr:uid="{00000000-0005-0000-0000-0000DA0A0000}"/>
    <cellStyle name="Millares 3 2 2 2 2 3" xfId="11509" xr:uid="{00000000-0005-0000-0000-0000DB0A0000}"/>
    <cellStyle name="Millares 3 2 2 2 3" xfId="10124" xr:uid="{00000000-0005-0000-0000-0000DC0A0000}"/>
    <cellStyle name="Millares 3 2 2 2 3 2" xfId="11860" xr:uid="{00000000-0005-0000-0000-0000DD0A0000}"/>
    <cellStyle name="Millares 3 2 2 2 4" xfId="11096" xr:uid="{00000000-0005-0000-0000-0000DE0A0000}"/>
    <cellStyle name="Millares 3 2 3" xfId="1168" xr:uid="{00000000-0005-0000-0000-0000DF0A0000}"/>
    <cellStyle name="Millares 3 2 4" xfId="1169" xr:uid="{00000000-0005-0000-0000-0000E00A0000}"/>
    <cellStyle name="Millares 3 2 5" xfId="1170" xr:uid="{00000000-0005-0000-0000-0000E10A0000}"/>
    <cellStyle name="Millares 3 2 6" xfId="1171" xr:uid="{00000000-0005-0000-0000-0000E20A0000}"/>
    <cellStyle name="Millares 3 2 7" xfId="1172" xr:uid="{00000000-0005-0000-0000-0000E30A0000}"/>
    <cellStyle name="Millares 3 2 8" xfId="1173" xr:uid="{00000000-0005-0000-0000-0000E40A0000}"/>
    <cellStyle name="Millares 3 2 9" xfId="4170" xr:uid="{00000000-0005-0000-0000-0000E50A0000}"/>
    <cellStyle name="Millares 3 2 9 2" xfId="9616" xr:uid="{00000000-0005-0000-0000-0000E60A0000}"/>
    <cellStyle name="Millares 3 2 9 2 2" xfId="10319" xr:uid="{00000000-0005-0000-0000-0000E70A0000}"/>
    <cellStyle name="Millares 3 2 9 2 2 2" xfId="12054" xr:uid="{00000000-0005-0000-0000-0000E80A0000}"/>
    <cellStyle name="Millares 3 2 9 2 3" xfId="11407" xr:uid="{00000000-0005-0000-0000-0000E90A0000}"/>
    <cellStyle name="Millares 3 2 9 3" xfId="10022" xr:uid="{00000000-0005-0000-0000-0000EA0A0000}"/>
    <cellStyle name="Millares 3 2 9 3 2" xfId="11758" xr:uid="{00000000-0005-0000-0000-0000EB0A0000}"/>
    <cellStyle name="Millares 3 2 9 4" xfId="10985" xr:uid="{00000000-0005-0000-0000-0000EC0A0000}"/>
    <cellStyle name="Millares 3 20" xfId="1174" xr:uid="{00000000-0005-0000-0000-0000ED0A0000}"/>
    <cellStyle name="Millares 3 20 2" xfId="7674" xr:uid="{00000000-0005-0000-0000-0000EE0A0000}"/>
    <cellStyle name="Millares 3 20 2 2" xfId="11335" xr:uid="{00000000-0005-0000-0000-0000EF0A0000}"/>
    <cellStyle name="Millares 3 20 3" xfId="10879" xr:uid="{00000000-0005-0000-0000-0000F00A0000}"/>
    <cellStyle name="Millares 3 21" xfId="1175" xr:uid="{00000000-0005-0000-0000-0000F10A0000}"/>
    <cellStyle name="Millares 3 21 2" xfId="7675" xr:uid="{00000000-0005-0000-0000-0000F20A0000}"/>
    <cellStyle name="Millares 3 21 2 2" xfId="11336" xr:uid="{00000000-0005-0000-0000-0000F30A0000}"/>
    <cellStyle name="Millares 3 21 3" xfId="10880" xr:uid="{00000000-0005-0000-0000-0000F40A0000}"/>
    <cellStyle name="Millares 3 22" xfId="1176" xr:uid="{00000000-0005-0000-0000-0000F50A0000}"/>
    <cellStyle name="Millares 3 22 2" xfId="7676" xr:uid="{00000000-0005-0000-0000-0000F60A0000}"/>
    <cellStyle name="Millares 3 22 2 2" xfId="11337" xr:uid="{00000000-0005-0000-0000-0000F70A0000}"/>
    <cellStyle name="Millares 3 22 3" xfId="10881" xr:uid="{00000000-0005-0000-0000-0000F80A0000}"/>
    <cellStyle name="Millares 3 23" xfId="1177" xr:uid="{00000000-0005-0000-0000-0000F90A0000}"/>
    <cellStyle name="Millares 3 23 2" xfId="7677" xr:uid="{00000000-0005-0000-0000-0000FA0A0000}"/>
    <cellStyle name="Millares 3 23 2 2" xfId="11338" xr:uid="{00000000-0005-0000-0000-0000FB0A0000}"/>
    <cellStyle name="Millares 3 23 3" xfId="10882" xr:uid="{00000000-0005-0000-0000-0000FC0A0000}"/>
    <cellStyle name="Millares 3 24" xfId="1178" xr:uid="{00000000-0005-0000-0000-0000FD0A0000}"/>
    <cellStyle name="Millares 3 24 2" xfId="7678" xr:uid="{00000000-0005-0000-0000-0000FE0A0000}"/>
    <cellStyle name="Millares 3 24 2 2" xfId="11339" xr:uid="{00000000-0005-0000-0000-0000FF0A0000}"/>
    <cellStyle name="Millares 3 24 3" xfId="10883" xr:uid="{00000000-0005-0000-0000-0000000B0000}"/>
    <cellStyle name="Millares 3 25" xfId="1179" xr:uid="{00000000-0005-0000-0000-0000010B0000}"/>
    <cellStyle name="Millares 3 25 2" xfId="7679" xr:uid="{00000000-0005-0000-0000-0000020B0000}"/>
    <cellStyle name="Millares 3 25 2 2" xfId="11340" xr:uid="{00000000-0005-0000-0000-0000030B0000}"/>
    <cellStyle name="Millares 3 25 3" xfId="10884" xr:uid="{00000000-0005-0000-0000-0000040B0000}"/>
    <cellStyle name="Millares 3 26" xfId="1180" xr:uid="{00000000-0005-0000-0000-0000050B0000}"/>
    <cellStyle name="Millares 3 26 2" xfId="7680" xr:uid="{00000000-0005-0000-0000-0000060B0000}"/>
    <cellStyle name="Millares 3 26 2 2" xfId="11341" xr:uid="{00000000-0005-0000-0000-0000070B0000}"/>
    <cellStyle name="Millares 3 26 3" xfId="10885" xr:uid="{00000000-0005-0000-0000-0000080B0000}"/>
    <cellStyle name="Millares 3 27" xfId="1181" xr:uid="{00000000-0005-0000-0000-0000090B0000}"/>
    <cellStyle name="Millares 3 27 2" xfId="7681" xr:uid="{00000000-0005-0000-0000-00000A0B0000}"/>
    <cellStyle name="Millares 3 27 2 2" xfId="11342" xr:uid="{00000000-0005-0000-0000-00000B0B0000}"/>
    <cellStyle name="Millares 3 27 3" xfId="10886" xr:uid="{00000000-0005-0000-0000-00000C0B0000}"/>
    <cellStyle name="Millares 3 28" xfId="1182" xr:uid="{00000000-0005-0000-0000-00000D0B0000}"/>
    <cellStyle name="Millares 3 28 2" xfId="7682" xr:uid="{00000000-0005-0000-0000-00000E0B0000}"/>
    <cellStyle name="Millares 3 28 2 2" xfId="11343" xr:uid="{00000000-0005-0000-0000-00000F0B0000}"/>
    <cellStyle name="Millares 3 28 3" xfId="10887" xr:uid="{00000000-0005-0000-0000-0000100B0000}"/>
    <cellStyle name="Millares 3 29" xfId="1183" xr:uid="{00000000-0005-0000-0000-0000110B0000}"/>
    <cellStyle name="Millares 3 29 2" xfId="7683" xr:uid="{00000000-0005-0000-0000-0000120B0000}"/>
    <cellStyle name="Millares 3 29 2 2" xfId="11344" xr:uid="{00000000-0005-0000-0000-0000130B0000}"/>
    <cellStyle name="Millares 3 29 3" xfId="10888" xr:uid="{00000000-0005-0000-0000-0000140B0000}"/>
    <cellStyle name="Millares 3 3" xfId="1184" xr:uid="{00000000-0005-0000-0000-0000150B0000}"/>
    <cellStyle name="Millares 3 3 2" xfId="4130" xr:uid="{00000000-0005-0000-0000-0000160B0000}"/>
    <cellStyle name="Millares 3 3 2 2" xfId="4266" xr:uid="{00000000-0005-0000-0000-0000170B0000}"/>
    <cellStyle name="Millares 3 3 2 2 2" xfId="9701" xr:uid="{00000000-0005-0000-0000-0000180B0000}"/>
    <cellStyle name="Millares 3 3 2 2 2 2" xfId="10403" xr:uid="{00000000-0005-0000-0000-0000190B0000}"/>
    <cellStyle name="Millares 3 3 2 2 2 2 2" xfId="12138" xr:uid="{00000000-0005-0000-0000-00001A0B0000}"/>
    <cellStyle name="Millares 3 3 2 2 2 3" xfId="11491" xr:uid="{00000000-0005-0000-0000-00001B0B0000}"/>
    <cellStyle name="Millares 3 3 2 2 3" xfId="10106" xr:uid="{00000000-0005-0000-0000-00001C0B0000}"/>
    <cellStyle name="Millares 3 3 2 2 3 2" xfId="11842" xr:uid="{00000000-0005-0000-0000-00001D0B0000}"/>
    <cellStyle name="Millares 3 3 2 2 4" xfId="11078" xr:uid="{00000000-0005-0000-0000-00001E0B0000}"/>
    <cellStyle name="Millares 3 3 2 3" xfId="9597" xr:uid="{00000000-0005-0000-0000-00001F0B0000}"/>
    <cellStyle name="Millares 3 3 2 3 2" xfId="10301" xr:uid="{00000000-0005-0000-0000-0000200B0000}"/>
    <cellStyle name="Millares 3 3 2 3 2 2" xfId="12036" xr:uid="{00000000-0005-0000-0000-0000210B0000}"/>
    <cellStyle name="Millares 3 3 2 3 3" xfId="11389" xr:uid="{00000000-0005-0000-0000-0000220B0000}"/>
    <cellStyle name="Millares 3 3 2 4" xfId="10004" xr:uid="{00000000-0005-0000-0000-0000230B0000}"/>
    <cellStyle name="Millares 3 3 2 4 2" xfId="11740" xr:uid="{00000000-0005-0000-0000-0000240B0000}"/>
    <cellStyle name="Millares 3 3 2 5" xfId="10964" xr:uid="{00000000-0005-0000-0000-0000250B0000}"/>
    <cellStyle name="Millares 3 3 3" xfId="4215" xr:uid="{00000000-0005-0000-0000-0000260B0000}"/>
    <cellStyle name="Millares 3 3 3 2" xfId="9650" xr:uid="{00000000-0005-0000-0000-0000270B0000}"/>
    <cellStyle name="Millares 3 3 3 2 2" xfId="10352" xr:uid="{00000000-0005-0000-0000-0000280B0000}"/>
    <cellStyle name="Millares 3 3 3 2 2 2" xfId="12087" xr:uid="{00000000-0005-0000-0000-0000290B0000}"/>
    <cellStyle name="Millares 3 3 3 2 3" xfId="11440" xr:uid="{00000000-0005-0000-0000-00002A0B0000}"/>
    <cellStyle name="Millares 3 3 3 3" xfId="10055" xr:uid="{00000000-0005-0000-0000-00002B0B0000}"/>
    <cellStyle name="Millares 3 3 3 3 2" xfId="11791" xr:uid="{00000000-0005-0000-0000-00002C0B0000}"/>
    <cellStyle name="Millares 3 3 3 4" xfId="11027" xr:uid="{00000000-0005-0000-0000-00002D0B0000}"/>
    <cellStyle name="Millares 3 3 4" xfId="7684" xr:uid="{00000000-0005-0000-0000-00002E0B0000}"/>
    <cellStyle name="Millares 3 3 4 2" xfId="11345" xr:uid="{00000000-0005-0000-0000-00002F0B0000}"/>
    <cellStyle name="Millares 3 3 5" xfId="10889" xr:uid="{00000000-0005-0000-0000-0000300B0000}"/>
    <cellStyle name="Millares 3 30" xfId="1185" xr:uid="{00000000-0005-0000-0000-0000310B0000}"/>
    <cellStyle name="Millares 3 30 2" xfId="7685" xr:uid="{00000000-0005-0000-0000-0000320B0000}"/>
    <cellStyle name="Millares 3 30 2 2" xfId="11346" xr:uid="{00000000-0005-0000-0000-0000330B0000}"/>
    <cellStyle name="Millares 3 30 3" xfId="10890" xr:uid="{00000000-0005-0000-0000-0000340B0000}"/>
    <cellStyle name="Millares 3 31" xfId="4097" xr:uid="{00000000-0005-0000-0000-0000350B0000}"/>
    <cellStyle name="Millares 3 31 2" xfId="9581" xr:uid="{00000000-0005-0000-0000-0000360B0000}"/>
    <cellStyle name="Millares 3 31 2 2" xfId="10285" xr:uid="{00000000-0005-0000-0000-0000370B0000}"/>
    <cellStyle name="Millares 3 31 2 2 2" xfId="12020" xr:uid="{00000000-0005-0000-0000-0000380B0000}"/>
    <cellStyle name="Millares 3 31 2 3" xfId="11373" xr:uid="{00000000-0005-0000-0000-0000390B0000}"/>
    <cellStyle name="Millares 3 31 3" xfId="9988" xr:uid="{00000000-0005-0000-0000-00003A0B0000}"/>
    <cellStyle name="Millares 3 31 3 2" xfId="11724" xr:uid="{00000000-0005-0000-0000-00003B0B0000}"/>
    <cellStyle name="Millares 3 31 4" xfId="10947" xr:uid="{00000000-0005-0000-0000-00003C0B0000}"/>
    <cellStyle name="Millares 3 32" xfId="4199" xr:uid="{00000000-0005-0000-0000-00003D0B0000}"/>
    <cellStyle name="Millares 3 32 2" xfId="9634" xr:uid="{00000000-0005-0000-0000-00003E0B0000}"/>
    <cellStyle name="Millares 3 32 2 2" xfId="10336" xr:uid="{00000000-0005-0000-0000-00003F0B0000}"/>
    <cellStyle name="Millares 3 32 2 2 2" xfId="12071" xr:uid="{00000000-0005-0000-0000-0000400B0000}"/>
    <cellStyle name="Millares 3 32 2 3" xfId="11424" xr:uid="{00000000-0005-0000-0000-0000410B0000}"/>
    <cellStyle name="Millares 3 32 3" xfId="10039" xr:uid="{00000000-0005-0000-0000-0000420B0000}"/>
    <cellStyle name="Millares 3 32 3 2" xfId="11775" xr:uid="{00000000-0005-0000-0000-0000430B0000}"/>
    <cellStyle name="Millares 3 32 4" xfId="11011" xr:uid="{00000000-0005-0000-0000-0000440B0000}"/>
    <cellStyle name="Millares 3 33" xfId="4290" xr:uid="{00000000-0005-0000-0000-0000450B0000}"/>
    <cellStyle name="Millares 3 33 2" xfId="11101" xr:uid="{00000000-0005-0000-0000-0000460B0000}"/>
    <cellStyle name="Millares 3 34" xfId="7664" xr:uid="{00000000-0005-0000-0000-0000470B0000}"/>
    <cellStyle name="Millares 3 34 2" xfId="10254" xr:uid="{00000000-0005-0000-0000-0000480B0000}"/>
    <cellStyle name="Millares 3 34 2 2" xfId="11989" xr:uid="{00000000-0005-0000-0000-0000490B0000}"/>
    <cellStyle name="Millares 3 34 3" xfId="11325" xr:uid="{00000000-0005-0000-0000-00004A0B0000}"/>
    <cellStyle name="Millares 3 35" xfId="1155" xr:uid="{00000000-0005-0000-0000-00004B0B0000}"/>
    <cellStyle name="Millares 3 35 2" xfId="10869" xr:uid="{00000000-0005-0000-0000-00004C0B0000}"/>
    <cellStyle name="Millares 3 36" xfId="9911" xr:uid="{00000000-0005-0000-0000-00004D0B0000}"/>
    <cellStyle name="Millares 3 36 2" xfId="11662" xr:uid="{00000000-0005-0000-0000-00004E0B0000}"/>
    <cellStyle name="Millares 3 37" xfId="9952" xr:uid="{00000000-0005-0000-0000-00004F0B0000}"/>
    <cellStyle name="Millares 3 37 2" xfId="11688" xr:uid="{00000000-0005-0000-0000-0000500B0000}"/>
    <cellStyle name="Millares 3 38" xfId="10648" xr:uid="{00000000-0005-0000-0000-0000510B0000}"/>
    <cellStyle name="Millares 3 4" xfId="1186" xr:uid="{00000000-0005-0000-0000-0000520B0000}"/>
    <cellStyle name="Millares 3 4 2" xfId="4250" xr:uid="{00000000-0005-0000-0000-0000530B0000}"/>
    <cellStyle name="Millares 3 4 2 2" xfId="9685" xr:uid="{00000000-0005-0000-0000-0000540B0000}"/>
    <cellStyle name="Millares 3 4 2 2 2" xfId="10387" xr:uid="{00000000-0005-0000-0000-0000550B0000}"/>
    <cellStyle name="Millares 3 4 2 2 2 2" xfId="12122" xr:uid="{00000000-0005-0000-0000-0000560B0000}"/>
    <cellStyle name="Millares 3 4 2 2 3" xfId="11475" xr:uid="{00000000-0005-0000-0000-0000570B0000}"/>
    <cellStyle name="Millares 3 4 2 3" xfId="10090" xr:uid="{00000000-0005-0000-0000-0000580B0000}"/>
    <cellStyle name="Millares 3 4 2 3 2" xfId="11826" xr:uid="{00000000-0005-0000-0000-0000590B0000}"/>
    <cellStyle name="Millares 3 4 2 4" xfId="11062" xr:uid="{00000000-0005-0000-0000-00005A0B0000}"/>
    <cellStyle name="Millares 3 4 3" xfId="7686" xr:uid="{00000000-0005-0000-0000-00005B0B0000}"/>
    <cellStyle name="Millares 3 4 3 2" xfId="11347" xr:uid="{00000000-0005-0000-0000-00005C0B0000}"/>
    <cellStyle name="Millares 3 4 4" xfId="10891" xr:uid="{00000000-0005-0000-0000-00005D0B0000}"/>
    <cellStyle name="Millares 3 5" xfId="1187" xr:uid="{00000000-0005-0000-0000-00005E0B0000}"/>
    <cellStyle name="Millares 3 6" xfId="1188" xr:uid="{00000000-0005-0000-0000-00005F0B0000}"/>
    <cellStyle name="Millares 3 7" xfId="1189" xr:uid="{00000000-0005-0000-0000-0000600B0000}"/>
    <cellStyle name="Millares 3 8" xfId="1190" xr:uid="{00000000-0005-0000-0000-0000610B0000}"/>
    <cellStyle name="Millares 3 9" xfId="1191" xr:uid="{00000000-0005-0000-0000-0000620B0000}"/>
    <cellStyle name="Millares 30" xfId="10571" xr:uid="{00000000-0005-0000-0000-0000630B0000}"/>
    <cellStyle name="Millares 30 2" xfId="12306" xr:uid="{00000000-0005-0000-0000-0000640B0000}"/>
    <cellStyle name="Millares 31" xfId="11680" xr:uid="{00000000-0005-0000-0000-0000650B0000}"/>
    <cellStyle name="Millares 32" xfId="12400" xr:uid="{00000000-0005-0000-0000-0000660B0000}"/>
    <cellStyle name="Millares 33" xfId="12409" xr:uid="{00000000-0005-0000-0000-0000670B0000}"/>
    <cellStyle name="Millares 4" xfId="86" xr:uid="{00000000-0005-0000-0000-0000680B0000}"/>
    <cellStyle name="Millares 4 10" xfId="4358" xr:uid="{00000000-0005-0000-0000-0000690B0000}"/>
    <cellStyle name="Millares 4 10 2" xfId="10170" xr:uid="{00000000-0005-0000-0000-00006A0B0000}"/>
    <cellStyle name="Millares 4 10 2 2" xfId="11906" xr:uid="{00000000-0005-0000-0000-00006B0B0000}"/>
    <cellStyle name="Millares 4 10 3" xfId="11163" xr:uid="{00000000-0005-0000-0000-00006C0B0000}"/>
    <cellStyle name="Millares 4 11" xfId="1192" xr:uid="{00000000-0005-0000-0000-00006D0B0000}"/>
    <cellStyle name="Millares 4 11 2" xfId="10892" xr:uid="{00000000-0005-0000-0000-00006E0B0000}"/>
    <cellStyle name="Millares 4 12" xfId="9953" xr:uid="{00000000-0005-0000-0000-00006F0B0000}"/>
    <cellStyle name="Millares 4 12 2" xfId="11689" xr:uid="{00000000-0005-0000-0000-0000700B0000}"/>
    <cellStyle name="Millares 4 13" xfId="10659" xr:uid="{00000000-0005-0000-0000-0000710B0000}"/>
    <cellStyle name="Millares 4 2" xfId="103" xr:uid="{00000000-0005-0000-0000-0000720B0000}"/>
    <cellStyle name="Millares 4 2 2" xfId="1193" xr:uid="{00000000-0005-0000-0000-0000730B0000}"/>
    <cellStyle name="Millares 4 2 2 2" xfId="10893" xr:uid="{00000000-0005-0000-0000-0000740B0000}"/>
    <cellStyle name="Millares 4 2 3" xfId="10661" xr:uid="{00000000-0005-0000-0000-0000750B0000}"/>
    <cellStyle name="Millares 4 3" xfId="1194" xr:uid="{00000000-0005-0000-0000-0000760B0000}"/>
    <cellStyle name="Millares 4 3 2" xfId="10894" xr:uid="{00000000-0005-0000-0000-0000770B0000}"/>
    <cellStyle name="Millares 4 4" xfId="1195" xr:uid="{00000000-0005-0000-0000-0000780B0000}"/>
    <cellStyle name="Millares 4 4 2" xfId="10895" xr:uid="{00000000-0005-0000-0000-0000790B0000}"/>
    <cellStyle name="Millares 4 5" xfId="1196" xr:uid="{00000000-0005-0000-0000-00007A0B0000}"/>
    <cellStyle name="Millares 4 5 2" xfId="10896" xr:uid="{00000000-0005-0000-0000-00007B0B0000}"/>
    <cellStyle name="Millares 4 6" xfId="1197" xr:uid="{00000000-0005-0000-0000-00007C0B0000}"/>
    <cellStyle name="Millares 4 6 2" xfId="10897" xr:uid="{00000000-0005-0000-0000-00007D0B0000}"/>
    <cellStyle name="Millares 4 7" xfId="1198" xr:uid="{00000000-0005-0000-0000-00007E0B0000}"/>
    <cellStyle name="Millares 4 7 2" xfId="10898" xr:uid="{00000000-0005-0000-0000-00007F0B0000}"/>
    <cellStyle name="Millares 4 8" xfId="1199" xr:uid="{00000000-0005-0000-0000-0000800B0000}"/>
    <cellStyle name="Millares 4 8 2" xfId="10899" xr:uid="{00000000-0005-0000-0000-0000810B0000}"/>
    <cellStyle name="Millares 4 9" xfId="4135" xr:uid="{00000000-0005-0000-0000-0000820B0000}"/>
    <cellStyle name="Millares 4 9 2" xfId="10968" xr:uid="{00000000-0005-0000-0000-0000830B0000}"/>
    <cellStyle name="Millares 5" xfId="104" xr:uid="{00000000-0005-0000-0000-0000840B0000}"/>
    <cellStyle name="Millares 5 10" xfId="7687" xr:uid="{00000000-0005-0000-0000-0000850B0000}"/>
    <cellStyle name="Millares 5 10 2" xfId="10255" xr:uid="{00000000-0005-0000-0000-0000860B0000}"/>
    <cellStyle name="Millares 5 10 2 2" xfId="11990" xr:uid="{00000000-0005-0000-0000-0000870B0000}"/>
    <cellStyle name="Millares 5 10 3" xfId="11348" xr:uid="{00000000-0005-0000-0000-0000880B0000}"/>
    <cellStyle name="Millares 5 11" xfId="1200" xr:uid="{00000000-0005-0000-0000-0000890B0000}"/>
    <cellStyle name="Millares 5 11 2" xfId="10900" xr:uid="{00000000-0005-0000-0000-00008A0B0000}"/>
    <cellStyle name="Millares 5 12" xfId="9954" xr:uid="{00000000-0005-0000-0000-00008B0B0000}"/>
    <cellStyle name="Millares 5 12 2" xfId="11690" xr:uid="{00000000-0005-0000-0000-00008C0B0000}"/>
    <cellStyle name="Millares 5 13" xfId="10562" xr:uid="{00000000-0005-0000-0000-00008D0B0000}"/>
    <cellStyle name="Millares 5 13 2" xfId="12297" xr:uid="{00000000-0005-0000-0000-00008E0B0000}"/>
    <cellStyle name="Millares 5 2" xfId="1201" xr:uid="{00000000-0005-0000-0000-00008F0B0000}"/>
    <cellStyle name="Millares 5 2 2" xfId="10901" xr:uid="{00000000-0005-0000-0000-0000900B0000}"/>
    <cellStyle name="Millares 5 3" xfId="1202" xr:uid="{00000000-0005-0000-0000-0000910B0000}"/>
    <cellStyle name="Millares 5 3 2" xfId="10902" xr:uid="{00000000-0005-0000-0000-0000920B0000}"/>
    <cellStyle name="Millares 5 4" xfId="1203" xr:uid="{00000000-0005-0000-0000-0000930B0000}"/>
    <cellStyle name="Millares 5 4 2" xfId="10903" xr:uid="{00000000-0005-0000-0000-0000940B0000}"/>
    <cellStyle name="Millares 5 5" xfId="1204" xr:uid="{00000000-0005-0000-0000-0000950B0000}"/>
    <cellStyle name="Millares 5 5 2" xfId="10904" xr:uid="{00000000-0005-0000-0000-0000960B0000}"/>
    <cellStyle name="Millares 5 6" xfId="1205" xr:uid="{00000000-0005-0000-0000-0000970B0000}"/>
    <cellStyle name="Millares 5 6 2" xfId="10905" xr:uid="{00000000-0005-0000-0000-0000980B0000}"/>
    <cellStyle name="Millares 5 7" xfId="1206" xr:uid="{00000000-0005-0000-0000-0000990B0000}"/>
    <cellStyle name="Millares 5 7 2" xfId="10906" xr:uid="{00000000-0005-0000-0000-00009A0B0000}"/>
    <cellStyle name="Millares 5 8" xfId="1207" xr:uid="{00000000-0005-0000-0000-00009B0B0000}"/>
    <cellStyle name="Millares 5 8 2" xfId="10907" xr:uid="{00000000-0005-0000-0000-00009C0B0000}"/>
    <cellStyle name="Millares 5 9" xfId="4172" xr:uid="{00000000-0005-0000-0000-00009D0B0000}"/>
    <cellStyle name="Millares 5 9 2" xfId="10987" xr:uid="{00000000-0005-0000-0000-00009E0B0000}"/>
    <cellStyle name="Millares 6" xfId="135" xr:uid="{00000000-0005-0000-0000-00009F0B0000}"/>
    <cellStyle name="Millares 6 10" xfId="7578" xr:uid="{00000000-0005-0000-0000-0000A00B0000}"/>
    <cellStyle name="Millares 6 10 2" xfId="10237" xr:uid="{00000000-0005-0000-0000-0000A10B0000}"/>
    <cellStyle name="Millares 6 10 2 2" xfId="11973" xr:uid="{00000000-0005-0000-0000-0000A20B0000}"/>
    <cellStyle name="Millares 6 10 3" xfId="11247" xr:uid="{00000000-0005-0000-0000-0000A30B0000}"/>
    <cellStyle name="Millares 6 11" xfId="1208" xr:uid="{00000000-0005-0000-0000-0000A40B0000}"/>
    <cellStyle name="Millares 6 11 2" xfId="10908" xr:uid="{00000000-0005-0000-0000-0000A50B0000}"/>
    <cellStyle name="Millares 6 12" xfId="9955" xr:uid="{00000000-0005-0000-0000-0000A60B0000}"/>
    <cellStyle name="Millares 6 12 2" xfId="11691" xr:uid="{00000000-0005-0000-0000-0000A70B0000}"/>
    <cellStyle name="Millares 6 13" xfId="9961" xr:uid="{00000000-0005-0000-0000-0000A80B0000}"/>
    <cellStyle name="Millares 6 13 2" xfId="11697" xr:uid="{00000000-0005-0000-0000-0000A90B0000}"/>
    <cellStyle name="Millares 6 14" xfId="10570" xr:uid="{00000000-0005-0000-0000-0000AA0B0000}"/>
    <cellStyle name="Millares 6 14 2" xfId="12305" xr:uid="{00000000-0005-0000-0000-0000AB0B0000}"/>
    <cellStyle name="Millares 6 15" xfId="10672" xr:uid="{00000000-0005-0000-0000-0000AC0B0000}"/>
    <cellStyle name="Millares 6 2" xfId="1209" xr:uid="{00000000-0005-0000-0000-0000AD0B0000}"/>
    <cellStyle name="Millares 6 2 2" xfId="10541" xr:uid="{00000000-0005-0000-0000-0000AE0B0000}"/>
    <cellStyle name="Millares 6 2 2 2" xfId="12276" xr:uid="{00000000-0005-0000-0000-0000AF0B0000}"/>
    <cellStyle name="Millares 6 2 3" xfId="10583" xr:uid="{00000000-0005-0000-0000-0000B00B0000}"/>
    <cellStyle name="Millares 6 2 3 2" xfId="12318" xr:uid="{00000000-0005-0000-0000-0000B10B0000}"/>
    <cellStyle name="Millares 6 3" xfId="1210" xr:uid="{00000000-0005-0000-0000-0000B20B0000}"/>
    <cellStyle name="Millares 6 4" xfId="1211" xr:uid="{00000000-0005-0000-0000-0000B30B0000}"/>
    <cellStyle name="Millares 6 5" xfId="1212" xr:uid="{00000000-0005-0000-0000-0000B40B0000}"/>
    <cellStyle name="Millares 6 6" xfId="1213" xr:uid="{00000000-0005-0000-0000-0000B50B0000}"/>
    <cellStyle name="Millares 6 7" xfId="1214" xr:uid="{00000000-0005-0000-0000-0000B60B0000}"/>
    <cellStyle name="Millares 6 8" xfId="1215" xr:uid="{00000000-0005-0000-0000-0000B70B0000}"/>
    <cellStyle name="Millares 6 9" xfId="4176" xr:uid="{00000000-0005-0000-0000-0000B80B0000}"/>
    <cellStyle name="Millares 6 9 2" xfId="10991" xr:uid="{00000000-0005-0000-0000-0000B90B0000}"/>
    <cellStyle name="Millares 7" xfId="137" xr:uid="{00000000-0005-0000-0000-0000BA0B0000}"/>
    <cellStyle name="Millares 7 10" xfId="7579" xr:uid="{00000000-0005-0000-0000-0000BB0B0000}"/>
    <cellStyle name="Millares 7 10 2" xfId="10238" xr:uid="{00000000-0005-0000-0000-0000BC0B0000}"/>
    <cellStyle name="Millares 7 10 2 2" xfId="11974" xr:uid="{00000000-0005-0000-0000-0000BD0B0000}"/>
    <cellStyle name="Millares 7 10 3" xfId="11248" xr:uid="{00000000-0005-0000-0000-0000BE0B0000}"/>
    <cellStyle name="Millares 7 11" xfId="1216" xr:uid="{00000000-0005-0000-0000-0000BF0B0000}"/>
    <cellStyle name="Millares 7 11 2" xfId="10909" xr:uid="{00000000-0005-0000-0000-0000C00B0000}"/>
    <cellStyle name="Millares 7 12" xfId="9956" xr:uid="{00000000-0005-0000-0000-0000C10B0000}"/>
    <cellStyle name="Millares 7 12 2" xfId="11692" xr:uid="{00000000-0005-0000-0000-0000C20B0000}"/>
    <cellStyle name="Millares 7 13" xfId="10673" xr:uid="{00000000-0005-0000-0000-0000C30B0000}"/>
    <cellStyle name="Millares 7 2" xfId="1217" xr:uid="{00000000-0005-0000-0000-0000C40B0000}"/>
    <cellStyle name="Millares 7 3" xfId="1218" xr:uid="{00000000-0005-0000-0000-0000C50B0000}"/>
    <cellStyle name="Millares 7 4" xfId="1219" xr:uid="{00000000-0005-0000-0000-0000C60B0000}"/>
    <cellStyle name="Millares 7 5" xfId="1220" xr:uid="{00000000-0005-0000-0000-0000C70B0000}"/>
    <cellStyle name="Millares 7 6" xfId="1221" xr:uid="{00000000-0005-0000-0000-0000C80B0000}"/>
    <cellStyle name="Millares 7 7" xfId="1222" xr:uid="{00000000-0005-0000-0000-0000C90B0000}"/>
    <cellStyle name="Millares 7 8" xfId="1223" xr:uid="{00000000-0005-0000-0000-0000CA0B0000}"/>
    <cellStyle name="Millares 7 9" xfId="4174" xr:uid="{00000000-0005-0000-0000-0000CB0B0000}"/>
    <cellStyle name="Millares 7 9 2" xfId="10989" xr:uid="{00000000-0005-0000-0000-0000CC0B0000}"/>
    <cellStyle name="Millares 8" xfId="199" xr:uid="{00000000-0005-0000-0000-0000CD0B0000}"/>
    <cellStyle name="Millares 8 10" xfId="4360" xr:uid="{00000000-0005-0000-0000-0000CE0B0000}"/>
    <cellStyle name="Millares 8 10 2" xfId="10172" xr:uid="{00000000-0005-0000-0000-0000CF0B0000}"/>
    <cellStyle name="Millares 8 10 2 2" xfId="11908" xr:uid="{00000000-0005-0000-0000-0000D00B0000}"/>
    <cellStyle name="Millares 8 10 3" xfId="11165" xr:uid="{00000000-0005-0000-0000-0000D10B0000}"/>
    <cellStyle name="Millares 8 11" xfId="1224" xr:uid="{00000000-0005-0000-0000-0000D20B0000}"/>
    <cellStyle name="Millares 8 11 2" xfId="10910" xr:uid="{00000000-0005-0000-0000-0000D30B0000}"/>
    <cellStyle name="Millares 8 12" xfId="9957" xr:uid="{00000000-0005-0000-0000-0000D40B0000}"/>
    <cellStyle name="Millares 8 12 2" xfId="11693" xr:uid="{00000000-0005-0000-0000-0000D50B0000}"/>
    <cellStyle name="Millares 8 13" xfId="10720" xr:uid="{00000000-0005-0000-0000-0000D60B0000}"/>
    <cellStyle name="Millares 8 2" xfId="1225" xr:uid="{00000000-0005-0000-0000-0000D70B0000}"/>
    <cellStyle name="Millares 8 3" xfId="1226" xr:uid="{00000000-0005-0000-0000-0000D80B0000}"/>
    <cellStyle name="Millares 8 4" xfId="1227" xr:uid="{00000000-0005-0000-0000-0000D90B0000}"/>
    <cellStyle name="Millares 8 5" xfId="1228" xr:uid="{00000000-0005-0000-0000-0000DA0B0000}"/>
    <cellStyle name="Millares 8 6" xfId="1229" xr:uid="{00000000-0005-0000-0000-0000DB0B0000}"/>
    <cellStyle name="Millares 8 7" xfId="1230" xr:uid="{00000000-0005-0000-0000-0000DC0B0000}"/>
    <cellStyle name="Millares 8 8" xfId="1231" xr:uid="{00000000-0005-0000-0000-0000DD0B0000}"/>
    <cellStyle name="Millares 8 9" xfId="4178" xr:uid="{00000000-0005-0000-0000-0000DE0B0000}"/>
    <cellStyle name="Millares 8 9 2" xfId="10993" xr:uid="{00000000-0005-0000-0000-0000DF0B0000}"/>
    <cellStyle name="Millares 9" xfId="1232" xr:uid="{00000000-0005-0000-0000-0000E00B0000}"/>
    <cellStyle name="Millares 9 10" xfId="10911" xr:uid="{00000000-0005-0000-0000-0000E10B0000}"/>
    <cellStyle name="Millares 9 2" xfId="1233" xr:uid="{00000000-0005-0000-0000-0000E20B0000}"/>
    <cellStyle name="Millares 9 2 2" xfId="10912" xr:uid="{00000000-0005-0000-0000-0000E30B0000}"/>
    <cellStyle name="Millares 9 3" xfId="1234" xr:uid="{00000000-0005-0000-0000-0000E40B0000}"/>
    <cellStyle name="Millares 9 3 2" xfId="10913" xr:uid="{00000000-0005-0000-0000-0000E50B0000}"/>
    <cellStyle name="Millares 9 4" xfId="1235" xr:uid="{00000000-0005-0000-0000-0000E60B0000}"/>
    <cellStyle name="Millares 9 4 2" xfId="10914" xr:uid="{00000000-0005-0000-0000-0000E70B0000}"/>
    <cellStyle name="Millares 9 5" xfId="1236" xr:uid="{00000000-0005-0000-0000-0000E80B0000}"/>
    <cellStyle name="Millares 9 5 2" xfId="10915" xr:uid="{00000000-0005-0000-0000-0000E90B0000}"/>
    <cellStyle name="Millares 9 6" xfId="1237" xr:uid="{00000000-0005-0000-0000-0000EA0B0000}"/>
    <cellStyle name="Millares 9 6 2" xfId="10916" xr:uid="{00000000-0005-0000-0000-0000EB0B0000}"/>
    <cellStyle name="Millares 9 7" xfId="1238" xr:uid="{00000000-0005-0000-0000-0000EC0B0000}"/>
    <cellStyle name="Millares 9 7 2" xfId="10917" xr:uid="{00000000-0005-0000-0000-0000ED0B0000}"/>
    <cellStyle name="Millares 9 8" xfId="1239" xr:uid="{00000000-0005-0000-0000-0000EE0B0000}"/>
    <cellStyle name="Millares 9 8 2" xfId="10918" xr:uid="{00000000-0005-0000-0000-0000EF0B0000}"/>
    <cellStyle name="Millares 9 9" xfId="4062" xr:uid="{00000000-0005-0000-0000-0000F00B0000}"/>
    <cellStyle name="Millares 9 9 2" xfId="10930" xr:uid="{00000000-0005-0000-0000-0000F10B0000}"/>
    <cellStyle name="Moneda 10" xfId="4296" xr:uid="{00000000-0005-0000-0000-0000F20B0000}"/>
    <cellStyle name="Moneda 10 2" xfId="11106" xr:uid="{00000000-0005-0000-0000-0000F30B0000}"/>
    <cellStyle name="Moneda 11" xfId="4295" xr:uid="{00000000-0005-0000-0000-0000F40B0000}"/>
    <cellStyle name="Moneda 11 2" xfId="11105" xr:uid="{00000000-0005-0000-0000-0000F50B0000}"/>
    <cellStyle name="Moneda 12" xfId="4297" xr:uid="{00000000-0005-0000-0000-0000F60B0000}"/>
    <cellStyle name="Moneda 12 2" xfId="11107" xr:uid="{00000000-0005-0000-0000-0000F70B0000}"/>
    <cellStyle name="Moneda 2" xfId="105" xr:uid="{00000000-0005-0000-0000-0000F80B0000}"/>
    <cellStyle name="Moneda 2 10" xfId="1240" xr:uid="{00000000-0005-0000-0000-0000F90B0000}"/>
    <cellStyle name="Moneda 2 10 2" xfId="10919" xr:uid="{00000000-0005-0000-0000-0000FA0B0000}"/>
    <cellStyle name="Moneda 2 11" xfId="10662" xr:uid="{00000000-0005-0000-0000-0000FB0B0000}"/>
    <cellStyle name="Moneda 2 2" xfId="106" xr:uid="{00000000-0005-0000-0000-0000FC0B0000}"/>
    <cellStyle name="Moneda 2 2 2" xfId="4146" xr:uid="{00000000-0005-0000-0000-0000FD0B0000}"/>
    <cellStyle name="Moneda 2 2 2 2" xfId="10974" xr:uid="{00000000-0005-0000-0000-0000FE0B0000}"/>
    <cellStyle name="Moneda 2 2 3" xfId="1241" xr:uid="{00000000-0005-0000-0000-0000FF0B0000}"/>
    <cellStyle name="Moneda 2 2 4" xfId="10663" xr:uid="{00000000-0005-0000-0000-0000000C0000}"/>
    <cellStyle name="Moneda 2 3" xfId="1242" xr:uid="{00000000-0005-0000-0000-0000010C0000}"/>
    <cellStyle name="Moneda 2 3 2" xfId="4106" xr:uid="{00000000-0005-0000-0000-0000020C0000}"/>
    <cellStyle name="Moneda 2 3 2 2" xfId="10953" xr:uid="{00000000-0005-0000-0000-0000030C0000}"/>
    <cellStyle name="Moneda 2 4" xfId="1243" xr:uid="{00000000-0005-0000-0000-0000040C0000}"/>
    <cellStyle name="Moneda 2 5" xfId="1244" xr:uid="{00000000-0005-0000-0000-0000050C0000}"/>
    <cellStyle name="Moneda 2 6" xfId="1245" xr:uid="{00000000-0005-0000-0000-0000060C0000}"/>
    <cellStyle name="Moneda 2 7" xfId="1246" xr:uid="{00000000-0005-0000-0000-0000070C0000}"/>
    <cellStyle name="Moneda 2 8" xfId="1247" xr:uid="{00000000-0005-0000-0000-0000080C0000}"/>
    <cellStyle name="Moneda 2 9" xfId="4072" xr:uid="{00000000-0005-0000-0000-0000090C0000}"/>
    <cellStyle name="Moneda 2 9 2" xfId="10936" xr:uid="{00000000-0005-0000-0000-00000A0C0000}"/>
    <cellStyle name="Moneda 3" xfId="107" xr:uid="{00000000-0005-0000-0000-00000B0C0000}"/>
    <cellStyle name="Moneda 3 2" xfId="4137" xr:uid="{00000000-0005-0000-0000-00000C0C0000}"/>
    <cellStyle name="Moneda 3 2 2" xfId="10970" xr:uid="{00000000-0005-0000-0000-00000D0C0000}"/>
    <cellStyle name="Moneda 3 3" xfId="4051" xr:uid="{00000000-0005-0000-0000-00000E0C0000}"/>
    <cellStyle name="Moneda 3 4" xfId="10664" xr:uid="{00000000-0005-0000-0000-00000F0C0000}"/>
    <cellStyle name="Moneda 4" xfId="108" xr:uid="{00000000-0005-0000-0000-0000100C0000}"/>
    <cellStyle name="Moneda 4 2" xfId="10665" xr:uid="{00000000-0005-0000-0000-0000110C0000}"/>
    <cellStyle name="Moneda 5" xfId="4175" xr:uid="{00000000-0005-0000-0000-0000120C0000}"/>
    <cellStyle name="Moneda 5 2" xfId="10990" xr:uid="{00000000-0005-0000-0000-0000130C0000}"/>
    <cellStyle name="Moneda 6" xfId="4173" xr:uid="{00000000-0005-0000-0000-0000140C0000}"/>
    <cellStyle name="Moneda 6 2" xfId="10988" xr:uid="{00000000-0005-0000-0000-0000150C0000}"/>
    <cellStyle name="Moneda 7" xfId="4177" xr:uid="{00000000-0005-0000-0000-0000160C0000}"/>
    <cellStyle name="Moneda 7 2" xfId="10992" xr:uid="{00000000-0005-0000-0000-0000170C0000}"/>
    <cellStyle name="Moneda 8" xfId="4064" xr:uid="{00000000-0005-0000-0000-0000180C0000}"/>
    <cellStyle name="Moneda 8 2" xfId="10932" xr:uid="{00000000-0005-0000-0000-0000190C0000}"/>
    <cellStyle name="Moneda 9" xfId="4183" xr:uid="{00000000-0005-0000-0000-00001A0C0000}"/>
    <cellStyle name="Moneda 9 2" xfId="10997" xr:uid="{00000000-0005-0000-0000-00001B0C0000}"/>
    <cellStyle name="Monetario" xfId="82" xr:uid="{00000000-0005-0000-0000-00001C0C0000}"/>
    <cellStyle name="Monetario 2" xfId="109" xr:uid="{00000000-0005-0000-0000-00001D0C0000}"/>
    <cellStyle name="Monetario 3" xfId="1248" xr:uid="{00000000-0005-0000-0000-00001E0C0000}"/>
    <cellStyle name="Monetario0" xfId="1249" xr:uid="{00000000-0005-0000-0000-00001F0C0000}"/>
    <cellStyle name="Neutral" xfId="42" builtinId="28" customBuiltin="1"/>
    <cellStyle name="Neutral 2" xfId="9912" xr:uid="{00000000-0005-0000-0000-0000210C0000}"/>
    <cellStyle name="Neutral 3" xfId="10649" xr:uid="{00000000-0005-0000-0000-0000220C0000}"/>
    <cellStyle name="Normal" xfId="0" builtinId="0"/>
    <cellStyle name="Normal 10" xfId="134" xr:uid="{00000000-0005-0000-0000-0000240C0000}"/>
    <cellStyle name="Normal 10 2" xfId="138" xr:uid="{00000000-0005-0000-0000-0000250C0000}"/>
    <cellStyle name="Normal 10 2 2" xfId="7576" xr:uid="{00000000-0005-0000-0000-0000260C0000}"/>
    <cellStyle name="Normal 11" xfId="136" xr:uid="{00000000-0005-0000-0000-0000270C0000}"/>
    <cellStyle name="Normal 11 2" xfId="4362" xr:uid="{00000000-0005-0000-0000-0000280C0000}"/>
    <cellStyle name="Normal 11 2 2" xfId="9770" xr:uid="{00000000-0005-0000-0000-0000290C0000}"/>
    <cellStyle name="Normal 11 2 2 2" xfId="10469" xr:uid="{00000000-0005-0000-0000-00002A0C0000}"/>
    <cellStyle name="Normal 11 2 2 2 2" xfId="12204" xr:uid="{00000000-0005-0000-0000-00002B0C0000}"/>
    <cellStyle name="Normal 11 2 2 3" xfId="11557" xr:uid="{00000000-0005-0000-0000-00002C0C0000}"/>
    <cellStyle name="Normal 11 2 3" xfId="10174" xr:uid="{00000000-0005-0000-0000-00002D0C0000}"/>
    <cellStyle name="Normal 11 2 3 2" xfId="11910" xr:uid="{00000000-0005-0000-0000-00002E0C0000}"/>
    <cellStyle name="Normal 11 2 4" xfId="11167" xr:uid="{00000000-0005-0000-0000-00002F0C0000}"/>
    <cellStyle name="Normal 11 3" xfId="4364" xr:uid="{00000000-0005-0000-0000-0000300C0000}"/>
    <cellStyle name="Normal 11 3 2" xfId="4370" xr:uid="{00000000-0005-0000-0000-0000310C0000}"/>
    <cellStyle name="Normal 11 3 2 2" xfId="9778" xr:uid="{00000000-0005-0000-0000-0000320C0000}"/>
    <cellStyle name="Normal 11 3 2 2 2" xfId="10477" xr:uid="{00000000-0005-0000-0000-0000330C0000}"/>
    <cellStyle name="Normal 11 3 2 2 2 2" xfId="12212" xr:uid="{00000000-0005-0000-0000-0000340C0000}"/>
    <cellStyle name="Normal 11 3 2 2 3" xfId="11565" xr:uid="{00000000-0005-0000-0000-0000350C0000}"/>
    <cellStyle name="Normal 11 3 2 3" xfId="10182" xr:uid="{00000000-0005-0000-0000-0000360C0000}"/>
    <cellStyle name="Normal 11 3 2 3 2" xfId="11918" xr:uid="{00000000-0005-0000-0000-0000370C0000}"/>
    <cellStyle name="Normal 11 3 2 4" xfId="11175" xr:uid="{00000000-0005-0000-0000-0000380C0000}"/>
    <cellStyle name="Normal 11 3 3" xfId="9772" xr:uid="{00000000-0005-0000-0000-0000390C0000}"/>
    <cellStyle name="Normal 11 3 3 2" xfId="10471" xr:uid="{00000000-0005-0000-0000-00003A0C0000}"/>
    <cellStyle name="Normal 11 3 3 2 2" xfId="12206" xr:uid="{00000000-0005-0000-0000-00003B0C0000}"/>
    <cellStyle name="Normal 11 3 3 3" xfId="11559" xr:uid="{00000000-0005-0000-0000-00003C0C0000}"/>
    <cellStyle name="Normal 11 3 4" xfId="10176" xr:uid="{00000000-0005-0000-0000-00003D0C0000}"/>
    <cellStyle name="Normal 11 3 4 2" xfId="11912" xr:uid="{00000000-0005-0000-0000-00003E0C0000}"/>
    <cellStyle name="Normal 11 3 5" xfId="11169" xr:uid="{00000000-0005-0000-0000-00003F0C0000}"/>
    <cellStyle name="Normal 11 4" xfId="7575" xr:uid="{00000000-0005-0000-0000-0000400C0000}"/>
    <cellStyle name="Normal 11 4 2" xfId="9823" xr:uid="{00000000-0005-0000-0000-0000410C0000}"/>
    <cellStyle name="Normal 11 4 2 2" xfId="10522" xr:uid="{00000000-0005-0000-0000-0000420C0000}"/>
    <cellStyle name="Normal 11 4 2 2 2" xfId="12257" xr:uid="{00000000-0005-0000-0000-0000430C0000}"/>
    <cellStyle name="Normal 11 4 2 3" xfId="11610" xr:uid="{00000000-0005-0000-0000-0000440C0000}"/>
    <cellStyle name="Normal 11 4 3" xfId="10235" xr:uid="{00000000-0005-0000-0000-0000450C0000}"/>
    <cellStyle name="Normal 11 4 3 2" xfId="11971" xr:uid="{00000000-0005-0000-0000-0000460C0000}"/>
    <cellStyle name="Normal 11 4 4" xfId="11245" xr:uid="{00000000-0005-0000-0000-0000470C0000}"/>
    <cellStyle name="Normal 11 5" xfId="9558" xr:uid="{00000000-0005-0000-0000-0000480C0000}"/>
    <cellStyle name="Normal 11 5 2" xfId="10263" xr:uid="{00000000-0005-0000-0000-0000490C0000}"/>
    <cellStyle name="Normal 11 5 2 2" xfId="11998" xr:uid="{00000000-0005-0000-0000-00004A0C0000}"/>
    <cellStyle name="Normal 11 5 3" xfId="11351" xr:uid="{00000000-0005-0000-0000-00004B0C0000}"/>
    <cellStyle name="Normal 11 6" xfId="4050" xr:uid="{00000000-0005-0000-0000-00004C0C0000}"/>
    <cellStyle name="Normal 11 6 2" xfId="10922" xr:uid="{00000000-0005-0000-0000-00004D0C0000}"/>
    <cellStyle name="Normal 11 7" xfId="9966" xr:uid="{00000000-0005-0000-0000-00004E0C0000}"/>
    <cellStyle name="Normal 11 7 2" xfId="11702" xr:uid="{00000000-0005-0000-0000-00004F0C0000}"/>
    <cellStyle name="Normal 12" xfId="143" xr:uid="{00000000-0005-0000-0000-0000500C0000}"/>
    <cellStyle name="Normal 12 2" xfId="7577" xr:uid="{00000000-0005-0000-0000-0000510C0000}"/>
    <cellStyle name="Normal 12 2 2" xfId="9824" xr:uid="{00000000-0005-0000-0000-0000520C0000}"/>
    <cellStyle name="Normal 12 2 2 2" xfId="10523" xr:uid="{00000000-0005-0000-0000-0000530C0000}"/>
    <cellStyle name="Normal 12 2 2 2 2" xfId="12258" xr:uid="{00000000-0005-0000-0000-0000540C0000}"/>
    <cellStyle name="Normal 12 2 2 3" xfId="11611" xr:uid="{00000000-0005-0000-0000-0000550C0000}"/>
    <cellStyle name="Normal 12 2 3" xfId="10236" xr:uid="{00000000-0005-0000-0000-0000560C0000}"/>
    <cellStyle name="Normal 12 2 3 2" xfId="11972" xr:uid="{00000000-0005-0000-0000-0000570C0000}"/>
    <cellStyle name="Normal 12 2 4" xfId="11246" xr:uid="{00000000-0005-0000-0000-0000580C0000}"/>
    <cellStyle name="Normal 12 3" xfId="9560" xr:uid="{00000000-0005-0000-0000-0000590C0000}"/>
    <cellStyle name="Normal 12 3 2" xfId="10265" xr:uid="{00000000-0005-0000-0000-00005A0C0000}"/>
    <cellStyle name="Normal 12 3 2 2" xfId="12000" xr:uid="{00000000-0005-0000-0000-00005B0C0000}"/>
    <cellStyle name="Normal 12 3 3" xfId="11353" xr:uid="{00000000-0005-0000-0000-00005C0C0000}"/>
    <cellStyle name="Normal 12 4" xfId="4055" xr:uid="{00000000-0005-0000-0000-00005D0C0000}"/>
    <cellStyle name="Normal 12 4 2" xfId="10924" xr:uid="{00000000-0005-0000-0000-00005E0C0000}"/>
    <cellStyle name="Normal 12 5" xfId="9968" xr:uid="{00000000-0005-0000-0000-00005F0C0000}"/>
    <cellStyle name="Normal 12 5 2" xfId="11704" xr:uid="{00000000-0005-0000-0000-0000600C0000}"/>
    <cellStyle name="Normal 12 6" xfId="10674" xr:uid="{00000000-0005-0000-0000-0000610C0000}"/>
    <cellStyle name="Normal 13" xfId="156" xr:uid="{00000000-0005-0000-0000-0000620C0000}"/>
    <cellStyle name="Normal 13 2" xfId="7580" xr:uid="{00000000-0005-0000-0000-0000630C0000}"/>
    <cellStyle name="Normal 13 2 2" xfId="9825" xr:uid="{00000000-0005-0000-0000-0000640C0000}"/>
    <cellStyle name="Normal 13 2 2 2" xfId="10524" xr:uid="{00000000-0005-0000-0000-0000650C0000}"/>
    <cellStyle name="Normal 13 2 2 2 2" xfId="12259" xr:uid="{00000000-0005-0000-0000-0000660C0000}"/>
    <cellStyle name="Normal 13 2 2 3" xfId="11612" xr:uid="{00000000-0005-0000-0000-0000670C0000}"/>
    <cellStyle name="Normal 13 2 3" xfId="10239" xr:uid="{00000000-0005-0000-0000-0000680C0000}"/>
    <cellStyle name="Normal 13 2 3 2" xfId="11975" xr:uid="{00000000-0005-0000-0000-0000690C0000}"/>
    <cellStyle name="Normal 13 2 4" xfId="11249" xr:uid="{00000000-0005-0000-0000-00006A0C0000}"/>
    <cellStyle name="Normal 13 3" xfId="9561" xr:uid="{00000000-0005-0000-0000-00006B0C0000}"/>
    <cellStyle name="Normal 13 3 2" xfId="10266" xr:uid="{00000000-0005-0000-0000-00006C0C0000}"/>
    <cellStyle name="Normal 13 3 2 2" xfId="12001" xr:uid="{00000000-0005-0000-0000-00006D0C0000}"/>
    <cellStyle name="Normal 13 3 3" xfId="11354" xr:uid="{00000000-0005-0000-0000-00006E0C0000}"/>
    <cellStyle name="Normal 13 4" xfId="4056" xr:uid="{00000000-0005-0000-0000-00006F0C0000}"/>
    <cellStyle name="Normal 13 4 2" xfId="10925" xr:uid="{00000000-0005-0000-0000-0000700C0000}"/>
    <cellStyle name="Normal 13 5" xfId="9969" xr:uid="{00000000-0005-0000-0000-0000710C0000}"/>
    <cellStyle name="Normal 13 5 2" xfId="11705" xr:uid="{00000000-0005-0000-0000-0000720C0000}"/>
    <cellStyle name="Normal 13 6" xfId="10677" xr:uid="{00000000-0005-0000-0000-0000730C0000}"/>
    <cellStyle name="Normal 14" xfId="170" xr:uid="{00000000-0005-0000-0000-0000740C0000}"/>
    <cellStyle name="Normal 14 2" xfId="7581" xr:uid="{00000000-0005-0000-0000-0000750C0000}"/>
    <cellStyle name="Normal 14 2 2" xfId="7587" xr:uid="{00000000-0005-0000-0000-0000760C0000}"/>
    <cellStyle name="Normal 14 2 2 2" xfId="9832" xr:uid="{00000000-0005-0000-0000-0000770C0000}"/>
    <cellStyle name="Normal 14 2 2 2 2" xfId="10531" xr:uid="{00000000-0005-0000-0000-0000780C0000}"/>
    <cellStyle name="Normal 14 2 2 2 2 2" xfId="12266" xr:uid="{00000000-0005-0000-0000-0000790C0000}"/>
    <cellStyle name="Normal 14 2 2 2 3" xfId="11619" xr:uid="{00000000-0005-0000-0000-00007A0C0000}"/>
    <cellStyle name="Normal 14 2 2 3" xfId="10246" xr:uid="{00000000-0005-0000-0000-00007B0C0000}"/>
    <cellStyle name="Normal 14 2 2 3 2" xfId="11982" xr:uid="{00000000-0005-0000-0000-00007C0C0000}"/>
    <cellStyle name="Normal 14 2 2 4" xfId="11256" xr:uid="{00000000-0005-0000-0000-00007D0C0000}"/>
    <cellStyle name="Normal 14 2 3" xfId="9826" xr:uid="{00000000-0005-0000-0000-00007E0C0000}"/>
    <cellStyle name="Normal 14 2 3 2" xfId="10525" xr:uid="{00000000-0005-0000-0000-00007F0C0000}"/>
    <cellStyle name="Normal 14 2 3 2 2" xfId="12260" xr:uid="{00000000-0005-0000-0000-0000800C0000}"/>
    <cellStyle name="Normal 14 2 3 3" xfId="11613" xr:uid="{00000000-0005-0000-0000-0000810C0000}"/>
    <cellStyle name="Normal 14 2 4" xfId="10240" xr:uid="{00000000-0005-0000-0000-0000820C0000}"/>
    <cellStyle name="Normal 14 2 4 2" xfId="11976" xr:uid="{00000000-0005-0000-0000-0000830C0000}"/>
    <cellStyle name="Normal 14 2 5" xfId="11250" xr:uid="{00000000-0005-0000-0000-0000840C0000}"/>
    <cellStyle name="Normal 14 3" xfId="9562" xr:uid="{00000000-0005-0000-0000-0000850C0000}"/>
    <cellStyle name="Normal 14 3 2" xfId="10267" xr:uid="{00000000-0005-0000-0000-0000860C0000}"/>
    <cellStyle name="Normal 14 3 2 2" xfId="12002" xr:uid="{00000000-0005-0000-0000-0000870C0000}"/>
    <cellStyle name="Normal 14 3 3" xfId="11355" xr:uid="{00000000-0005-0000-0000-0000880C0000}"/>
    <cellStyle name="Normal 14 4" xfId="4057" xr:uid="{00000000-0005-0000-0000-0000890C0000}"/>
    <cellStyle name="Normal 14 4 2" xfId="10926" xr:uid="{00000000-0005-0000-0000-00008A0C0000}"/>
    <cellStyle name="Normal 14 5" xfId="9970" xr:uid="{00000000-0005-0000-0000-00008B0C0000}"/>
    <cellStyle name="Normal 14 5 2" xfId="11706" xr:uid="{00000000-0005-0000-0000-00008C0C0000}"/>
    <cellStyle name="Normal 14 6" xfId="10691" xr:uid="{00000000-0005-0000-0000-00008D0C0000}"/>
    <cellStyle name="Normal 15" xfId="184" xr:uid="{00000000-0005-0000-0000-00008E0C0000}"/>
    <cellStyle name="Normal 15 2" xfId="4361" xr:uid="{00000000-0005-0000-0000-00008F0C0000}"/>
    <cellStyle name="Normal 15 2 2" xfId="7585" xr:uid="{00000000-0005-0000-0000-0000900C0000}"/>
    <cellStyle name="Normal 15 2 2 2" xfId="7586" xr:uid="{00000000-0005-0000-0000-0000910C0000}"/>
    <cellStyle name="Normal 15 2 2 2 2" xfId="7592" xr:uid="{00000000-0005-0000-0000-0000920C0000}"/>
    <cellStyle name="Normal 15 2 2 2 2 2" xfId="9837" xr:uid="{00000000-0005-0000-0000-0000930C0000}"/>
    <cellStyle name="Normal 15 2 2 2 2 2 2" xfId="10536" xr:uid="{00000000-0005-0000-0000-0000940C0000}"/>
    <cellStyle name="Normal 15 2 2 2 2 2 2 2" xfId="12271" xr:uid="{00000000-0005-0000-0000-0000950C0000}"/>
    <cellStyle name="Normal 15 2 2 2 2 2 3" xfId="11624" xr:uid="{00000000-0005-0000-0000-0000960C0000}"/>
    <cellStyle name="Normal 15 2 2 2 2 3" xfId="10251" xr:uid="{00000000-0005-0000-0000-0000970C0000}"/>
    <cellStyle name="Normal 15 2 2 2 2 3 2" xfId="11987" xr:uid="{00000000-0005-0000-0000-0000980C0000}"/>
    <cellStyle name="Normal 15 2 2 2 2 4" xfId="11261" xr:uid="{00000000-0005-0000-0000-0000990C0000}"/>
    <cellStyle name="Normal 15 2 2 2 3" xfId="9831" xr:uid="{00000000-0005-0000-0000-00009A0C0000}"/>
    <cellStyle name="Normal 15 2 2 2 3 2" xfId="10530" xr:uid="{00000000-0005-0000-0000-00009B0C0000}"/>
    <cellStyle name="Normal 15 2 2 2 3 2 2" xfId="12265" xr:uid="{00000000-0005-0000-0000-00009C0C0000}"/>
    <cellStyle name="Normal 15 2 2 2 3 3" xfId="11618" xr:uid="{00000000-0005-0000-0000-00009D0C0000}"/>
    <cellStyle name="Normal 15 2 2 2 4" xfId="10245" xr:uid="{00000000-0005-0000-0000-00009E0C0000}"/>
    <cellStyle name="Normal 15 2 2 2 4 2" xfId="11981" xr:uid="{00000000-0005-0000-0000-00009F0C0000}"/>
    <cellStyle name="Normal 15 2 2 2 5" xfId="11255" xr:uid="{00000000-0005-0000-0000-0000A00C0000}"/>
    <cellStyle name="Normal 15 2 2 3" xfId="7591" xr:uid="{00000000-0005-0000-0000-0000A10C0000}"/>
    <cellStyle name="Normal 15 2 2 3 2" xfId="9836" xr:uid="{00000000-0005-0000-0000-0000A20C0000}"/>
    <cellStyle name="Normal 15 2 2 3 2 2" xfId="10535" xr:uid="{00000000-0005-0000-0000-0000A30C0000}"/>
    <cellStyle name="Normal 15 2 2 3 2 2 2" xfId="12270" xr:uid="{00000000-0005-0000-0000-0000A40C0000}"/>
    <cellStyle name="Normal 15 2 2 3 2 3" xfId="11623" xr:uid="{00000000-0005-0000-0000-0000A50C0000}"/>
    <cellStyle name="Normal 15 2 2 3 3" xfId="10250" xr:uid="{00000000-0005-0000-0000-0000A60C0000}"/>
    <cellStyle name="Normal 15 2 2 3 3 2" xfId="11986" xr:uid="{00000000-0005-0000-0000-0000A70C0000}"/>
    <cellStyle name="Normal 15 2 2 3 4" xfId="11260" xr:uid="{00000000-0005-0000-0000-0000A80C0000}"/>
    <cellStyle name="Normal 15 2 2 4" xfId="9830" xr:uid="{00000000-0005-0000-0000-0000A90C0000}"/>
    <cellStyle name="Normal 15 2 2 4 2" xfId="10529" xr:uid="{00000000-0005-0000-0000-0000AA0C0000}"/>
    <cellStyle name="Normal 15 2 2 4 2 2" xfId="12264" xr:uid="{00000000-0005-0000-0000-0000AB0C0000}"/>
    <cellStyle name="Normal 15 2 2 4 3" xfId="11617" xr:uid="{00000000-0005-0000-0000-0000AC0C0000}"/>
    <cellStyle name="Normal 15 2 2 5" xfId="10244" xr:uid="{00000000-0005-0000-0000-0000AD0C0000}"/>
    <cellStyle name="Normal 15 2 2 5 2" xfId="11980" xr:uid="{00000000-0005-0000-0000-0000AE0C0000}"/>
    <cellStyle name="Normal 15 2 2 6" xfId="11254" xr:uid="{00000000-0005-0000-0000-0000AF0C0000}"/>
    <cellStyle name="Normal 15 2 3" xfId="9769" xr:uid="{00000000-0005-0000-0000-0000B00C0000}"/>
    <cellStyle name="Normal 15 2 3 2" xfId="10468" xr:uid="{00000000-0005-0000-0000-0000B10C0000}"/>
    <cellStyle name="Normal 15 2 3 2 2" xfId="12203" xr:uid="{00000000-0005-0000-0000-0000B20C0000}"/>
    <cellStyle name="Normal 15 2 3 3" xfId="11556" xr:uid="{00000000-0005-0000-0000-0000B30C0000}"/>
    <cellStyle name="Normal 15 2 4" xfId="10173" xr:uid="{00000000-0005-0000-0000-0000B40C0000}"/>
    <cellStyle name="Normal 15 2 4 2" xfId="11909" xr:uid="{00000000-0005-0000-0000-0000B50C0000}"/>
    <cellStyle name="Normal 15 2 5" xfId="11166" xr:uid="{00000000-0005-0000-0000-0000B60C0000}"/>
    <cellStyle name="Normal 15 3" xfId="7582" xr:uid="{00000000-0005-0000-0000-0000B70C0000}"/>
    <cellStyle name="Normal 15 3 2" xfId="7588" xr:uid="{00000000-0005-0000-0000-0000B80C0000}"/>
    <cellStyle name="Normal 15 3 2 2" xfId="9833" xr:uid="{00000000-0005-0000-0000-0000B90C0000}"/>
    <cellStyle name="Normal 15 3 2 2 2" xfId="10532" xr:uid="{00000000-0005-0000-0000-0000BA0C0000}"/>
    <cellStyle name="Normal 15 3 2 2 2 2" xfId="12267" xr:uid="{00000000-0005-0000-0000-0000BB0C0000}"/>
    <cellStyle name="Normal 15 3 2 2 3" xfId="11620" xr:uid="{00000000-0005-0000-0000-0000BC0C0000}"/>
    <cellStyle name="Normal 15 3 2 3" xfId="10247" xr:uid="{00000000-0005-0000-0000-0000BD0C0000}"/>
    <cellStyle name="Normal 15 3 2 3 2" xfId="11983" xr:uid="{00000000-0005-0000-0000-0000BE0C0000}"/>
    <cellStyle name="Normal 15 3 2 4" xfId="11257" xr:uid="{00000000-0005-0000-0000-0000BF0C0000}"/>
    <cellStyle name="Normal 15 3 3" xfId="9827" xr:uid="{00000000-0005-0000-0000-0000C00C0000}"/>
    <cellStyle name="Normal 15 3 3 2" xfId="10526" xr:uid="{00000000-0005-0000-0000-0000C10C0000}"/>
    <cellStyle name="Normal 15 3 3 2 2" xfId="12261" xr:uid="{00000000-0005-0000-0000-0000C20C0000}"/>
    <cellStyle name="Normal 15 3 3 3" xfId="11614" xr:uid="{00000000-0005-0000-0000-0000C30C0000}"/>
    <cellStyle name="Normal 15 3 4" xfId="10241" xr:uid="{00000000-0005-0000-0000-0000C40C0000}"/>
    <cellStyle name="Normal 15 3 4 2" xfId="11977" xr:uid="{00000000-0005-0000-0000-0000C50C0000}"/>
    <cellStyle name="Normal 15 3 5" xfId="11251" xr:uid="{00000000-0005-0000-0000-0000C60C0000}"/>
    <cellStyle name="Normal 15 4" xfId="9563" xr:uid="{00000000-0005-0000-0000-0000C70C0000}"/>
    <cellStyle name="Normal 15 4 2" xfId="10268" xr:uid="{00000000-0005-0000-0000-0000C80C0000}"/>
    <cellStyle name="Normal 15 4 2 2" xfId="12003" xr:uid="{00000000-0005-0000-0000-0000C90C0000}"/>
    <cellStyle name="Normal 15 4 3" xfId="11356" xr:uid="{00000000-0005-0000-0000-0000CA0C0000}"/>
    <cellStyle name="Normal 15 5" xfId="4058" xr:uid="{00000000-0005-0000-0000-0000CB0C0000}"/>
    <cellStyle name="Normal 15 5 2" xfId="10927" xr:uid="{00000000-0005-0000-0000-0000CC0C0000}"/>
    <cellStyle name="Normal 15 6" xfId="9971" xr:uid="{00000000-0005-0000-0000-0000CD0C0000}"/>
    <cellStyle name="Normal 15 6 2" xfId="11707" xr:uid="{00000000-0005-0000-0000-0000CE0C0000}"/>
    <cellStyle name="Normal 15 7" xfId="10705" xr:uid="{00000000-0005-0000-0000-0000CF0C0000}"/>
    <cellStyle name="Normal 16" xfId="198" xr:uid="{00000000-0005-0000-0000-0000D00C0000}"/>
    <cellStyle name="Normal 16 2" xfId="4359" xr:uid="{00000000-0005-0000-0000-0000D10C0000}"/>
    <cellStyle name="Normal 16 2 2" xfId="7584" xr:uid="{00000000-0005-0000-0000-0000D20C0000}"/>
    <cellStyle name="Normal 16 2 2 2" xfId="7590" xr:uid="{00000000-0005-0000-0000-0000D30C0000}"/>
    <cellStyle name="Normal 16 2 2 2 2" xfId="9835" xr:uid="{00000000-0005-0000-0000-0000D40C0000}"/>
    <cellStyle name="Normal 16 2 2 2 2 2" xfId="10534" xr:uid="{00000000-0005-0000-0000-0000D50C0000}"/>
    <cellStyle name="Normal 16 2 2 2 2 2 2" xfId="12269" xr:uid="{00000000-0005-0000-0000-0000D60C0000}"/>
    <cellStyle name="Normal 16 2 2 2 2 3" xfId="11622" xr:uid="{00000000-0005-0000-0000-0000D70C0000}"/>
    <cellStyle name="Normal 16 2 2 2 3" xfId="10249" xr:uid="{00000000-0005-0000-0000-0000D80C0000}"/>
    <cellStyle name="Normal 16 2 2 2 3 2" xfId="11985" xr:uid="{00000000-0005-0000-0000-0000D90C0000}"/>
    <cellStyle name="Normal 16 2 2 2 4" xfId="11259" xr:uid="{00000000-0005-0000-0000-0000DA0C0000}"/>
    <cellStyle name="Normal 16 2 2 3" xfId="9829" xr:uid="{00000000-0005-0000-0000-0000DB0C0000}"/>
    <cellStyle name="Normal 16 2 2 3 2" xfId="10528" xr:uid="{00000000-0005-0000-0000-0000DC0C0000}"/>
    <cellStyle name="Normal 16 2 2 3 2 2" xfId="12263" xr:uid="{00000000-0005-0000-0000-0000DD0C0000}"/>
    <cellStyle name="Normal 16 2 2 3 3" xfId="11616" xr:uid="{00000000-0005-0000-0000-0000DE0C0000}"/>
    <cellStyle name="Normal 16 2 2 4" xfId="10243" xr:uid="{00000000-0005-0000-0000-0000DF0C0000}"/>
    <cellStyle name="Normal 16 2 2 4 2" xfId="11979" xr:uid="{00000000-0005-0000-0000-0000E00C0000}"/>
    <cellStyle name="Normal 16 2 2 5" xfId="11253" xr:uid="{00000000-0005-0000-0000-0000E10C0000}"/>
    <cellStyle name="Normal 16 2 3" xfId="9768" xr:uid="{00000000-0005-0000-0000-0000E20C0000}"/>
    <cellStyle name="Normal 16 2 3 2" xfId="10467" xr:uid="{00000000-0005-0000-0000-0000E30C0000}"/>
    <cellStyle name="Normal 16 2 3 2 2" xfId="12202" xr:uid="{00000000-0005-0000-0000-0000E40C0000}"/>
    <cellStyle name="Normal 16 2 3 3" xfId="11555" xr:uid="{00000000-0005-0000-0000-0000E50C0000}"/>
    <cellStyle name="Normal 16 2 4" xfId="10171" xr:uid="{00000000-0005-0000-0000-0000E60C0000}"/>
    <cellStyle name="Normal 16 2 4 2" xfId="11907" xr:uid="{00000000-0005-0000-0000-0000E70C0000}"/>
    <cellStyle name="Normal 16 2 5" xfId="11164" xr:uid="{00000000-0005-0000-0000-0000E80C0000}"/>
    <cellStyle name="Normal 16 3" xfId="7583" xr:uid="{00000000-0005-0000-0000-0000E90C0000}"/>
    <cellStyle name="Normal 16 3 2" xfId="7589" xr:uid="{00000000-0005-0000-0000-0000EA0C0000}"/>
    <cellStyle name="Normal 16 3 2 2" xfId="9834" xr:uid="{00000000-0005-0000-0000-0000EB0C0000}"/>
    <cellStyle name="Normal 16 3 2 2 2" xfId="10533" xr:uid="{00000000-0005-0000-0000-0000EC0C0000}"/>
    <cellStyle name="Normal 16 3 2 2 2 2" xfId="12268" xr:uid="{00000000-0005-0000-0000-0000ED0C0000}"/>
    <cellStyle name="Normal 16 3 2 2 3" xfId="11621" xr:uid="{00000000-0005-0000-0000-0000EE0C0000}"/>
    <cellStyle name="Normal 16 3 2 3" xfId="10248" xr:uid="{00000000-0005-0000-0000-0000EF0C0000}"/>
    <cellStyle name="Normal 16 3 2 3 2" xfId="11984" xr:uid="{00000000-0005-0000-0000-0000F00C0000}"/>
    <cellStyle name="Normal 16 3 2 4" xfId="11258" xr:uid="{00000000-0005-0000-0000-0000F10C0000}"/>
    <cellStyle name="Normal 16 3 3" xfId="9828" xr:uid="{00000000-0005-0000-0000-0000F20C0000}"/>
    <cellStyle name="Normal 16 3 3 2" xfId="10527" xr:uid="{00000000-0005-0000-0000-0000F30C0000}"/>
    <cellStyle name="Normal 16 3 3 2 2" xfId="12262" xr:uid="{00000000-0005-0000-0000-0000F40C0000}"/>
    <cellStyle name="Normal 16 3 3 3" xfId="11615" xr:uid="{00000000-0005-0000-0000-0000F50C0000}"/>
    <cellStyle name="Normal 16 3 4" xfId="10242" xr:uid="{00000000-0005-0000-0000-0000F60C0000}"/>
    <cellStyle name="Normal 16 3 4 2" xfId="11978" xr:uid="{00000000-0005-0000-0000-0000F70C0000}"/>
    <cellStyle name="Normal 16 3 5" xfId="11252" xr:uid="{00000000-0005-0000-0000-0000F80C0000}"/>
    <cellStyle name="Normal 16 4" xfId="9564" xr:uid="{00000000-0005-0000-0000-0000F90C0000}"/>
    <cellStyle name="Normal 16 4 2" xfId="10269" xr:uid="{00000000-0005-0000-0000-0000FA0C0000}"/>
    <cellStyle name="Normal 16 4 2 2" xfId="12004" xr:uid="{00000000-0005-0000-0000-0000FB0C0000}"/>
    <cellStyle name="Normal 16 4 3" xfId="11357" xr:uid="{00000000-0005-0000-0000-0000FC0C0000}"/>
    <cellStyle name="Normal 16 5" xfId="4059" xr:uid="{00000000-0005-0000-0000-0000FD0C0000}"/>
    <cellStyle name="Normal 16 5 2" xfId="10928" xr:uid="{00000000-0005-0000-0000-0000FE0C0000}"/>
    <cellStyle name="Normal 16 6" xfId="9972" xr:uid="{00000000-0005-0000-0000-0000FF0C0000}"/>
    <cellStyle name="Normal 16 6 2" xfId="11708" xr:uid="{00000000-0005-0000-0000-0000000D0000}"/>
    <cellStyle name="Normal 16 7" xfId="10719" xr:uid="{00000000-0005-0000-0000-0000010D0000}"/>
    <cellStyle name="Normal 17" xfId="213" xr:uid="{00000000-0005-0000-0000-0000020D0000}"/>
    <cellStyle name="Normal 17 2" xfId="9565" xr:uid="{00000000-0005-0000-0000-0000030D0000}"/>
    <cellStyle name="Normal 17 2 2" xfId="10270" xr:uid="{00000000-0005-0000-0000-0000040D0000}"/>
    <cellStyle name="Normal 17 2 2 2" xfId="12005" xr:uid="{00000000-0005-0000-0000-0000050D0000}"/>
    <cellStyle name="Normal 17 2 3" xfId="11358" xr:uid="{00000000-0005-0000-0000-0000060D0000}"/>
    <cellStyle name="Normal 17 3" xfId="4060" xr:uid="{00000000-0005-0000-0000-0000070D0000}"/>
    <cellStyle name="Normal 17 3 2" xfId="10929" xr:uid="{00000000-0005-0000-0000-0000080D0000}"/>
    <cellStyle name="Normal 17 4" xfId="9973" xr:uid="{00000000-0005-0000-0000-0000090D0000}"/>
    <cellStyle name="Normal 17 4 2" xfId="11709" xr:uid="{00000000-0005-0000-0000-00000A0D0000}"/>
    <cellStyle name="Normal 17 5" xfId="10734" xr:uid="{00000000-0005-0000-0000-00000B0D0000}"/>
    <cellStyle name="Normal 18" xfId="227" xr:uid="{00000000-0005-0000-0000-00000C0D0000}"/>
    <cellStyle name="Normal 18 2" xfId="9618" xr:uid="{00000000-0005-0000-0000-00000D0D0000}"/>
    <cellStyle name="Normal 18 2 2" xfId="10321" xr:uid="{00000000-0005-0000-0000-00000E0D0000}"/>
    <cellStyle name="Normal 18 2 2 2" xfId="12056" xr:uid="{00000000-0005-0000-0000-00000F0D0000}"/>
    <cellStyle name="Normal 18 2 3" xfId="11409" xr:uid="{00000000-0005-0000-0000-0000100D0000}"/>
    <cellStyle name="Normal 18 3" xfId="4179" xr:uid="{00000000-0005-0000-0000-0000110D0000}"/>
    <cellStyle name="Normal 18 3 2" xfId="10994" xr:uid="{00000000-0005-0000-0000-0000120D0000}"/>
    <cellStyle name="Normal 18 4" xfId="9944" xr:uid="{00000000-0005-0000-0000-0000130D0000}"/>
    <cellStyle name="Normal 18 4 2" xfId="11681" xr:uid="{00000000-0005-0000-0000-0000140D0000}"/>
    <cellStyle name="Normal 18 5" xfId="9945" xr:uid="{00000000-0005-0000-0000-0000150D0000}"/>
    <cellStyle name="Normal 18 5 2" xfId="11682" xr:uid="{00000000-0005-0000-0000-0000160D0000}"/>
    <cellStyle name="Normal 18 6" xfId="10024" xr:uid="{00000000-0005-0000-0000-0000170D0000}"/>
    <cellStyle name="Normal 18 6 2" xfId="11760" xr:uid="{00000000-0005-0000-0000-0000180D0000}"/>
    <cellStyle name="Normal 18 7" xfId="10748" xr:uid="{00000000-0005-0000-0000-0000190D0000}"/>
    <cellStyle name="Normal 19" xfId="4287" xr:uid="{00000000-0005-0000-0000-00001A0D0000}"/>
    <cellStyle name="Normal 19 2" xfId="9721" xr:uid="{00000000-0005-0000-0000-00001B0D0000}"/>
    <cellStyle name="Normal 19 2 2" xfId="10423" xr:uid="{00000000-0005-0000-0000-00001C0D0000}"/>
    <cellStyle name="Normal 19 2 2 2" xfId="12158" xr:uid="{00000000-0005-0000-0000-00001D0D0000}"/>
    <cellStyle name="Normal 19 2 3" xfId="11511" xr:uid="{00000000-0005-0000-0000-00001E0D0000}"/>
    <cellStyle name="Normal 19 3" xfId="10126" xr:uid="{00000000-0005-0000-0000-00001F0D0000}"/>
    <cellStyle name="Normal 19 3 2" xfId="11862" xr:uid="{00000000-0005-0000-0000-0000200D0000}"/>
    <cellStyle name="Normal 19 4" xfId="11099" xr:uid="{00000000-0005-0000-0000-0000210D0000}"/>
    <cellStyle name="Normal 2" xfId="21" xr:uid="{00000000-0005-0000-0000-0000220D0000}"/>
    <cellStyle name="Normal 2 10" xfId="1251" xr:uid="{00000000-0005-0000-0000-0000230D0000}"/>
    <cellStyle name="Normal 2 10 10" xfId="4220" xr:uid="{00000000-0005-0000-0000-0000240D0000}"/>
    <cellStyle name="Normal 2 10 10 2" xfId="9655" xr:uid="{00000000-0005-0000-0000-0000250D0000}"/>
    <cellStyle name="Normal 2 10 10 2 2" xfId="10357" xr:uid="{00000000-0005-0000-0000-0000260D0000}"/>
    <cellStyle name="Normal 2 10 10 2 2 2" xfId="12092" xr:uid="{00000000-0005-0000-0000-0000270D0000}"/>
    <cellStyle name="Normal 2 10 10 2 3" xfId="11445" xr:uid="{00000000-0005-0000-0000-0000280D0000}"/>
    <cellStyle name="Normal 2 10 10 3" xfId="10060" xr:uid="{00000000-0005-0000-0000-0000290D0000}"/>
    <cellStyle name="Normal 2 10 10 3 2" xfId="11796" xr:uid="{00000000-0005-0000-0000-00002A0D0000}"/>
    <cellStyle name="Normal 2 10 10 4" xfId="11032" xr:uid="{00000000-0005-0000-0000-00002B0D0000}"/>
    <cellStyle name="Normal 2 10 11" xfId="4331" xr:uid="{00000000-0005-0000-0000-00002C0D0000}"/>
    <cellStyle name="Normal 2 10 2" xfId="1252" xr:uid="{00000000-0005-0000-0000-00002D0D0000}"/>
    <cellStyle name="Normal 2 10 2 2" xfId="4271" xr:uid="{00000000-0005-0000-0000-00002E0D0000}"/>
    <cellStyle name="Normal 2 10 2 2 2" xfId="9706" xr:uid="{00000000-0005-0000-0000-00002F0D0000}"/>
    <cellStyle name="Normal 2 10 2 2 2 2" xfId="10408" xr:uid="{00000000-0005-0000-0000-0000300D0000}"/>
    <cellStyle name="Normal 2 10 2 2 2 2 2" xfId="12143" xr:uid="{00000000-0005-0000-0000-0000310D0000}"/>
    <cellStyle name="Normal 2 10 2 2 2 3" xfId="11496" xr:uid="{00000000-0005-0000-0000-0000320D0000}"/>
    <cellStyle name="Normal 2 10 2 2 3" xfId="10111" xr:uid="{00000000-0005-0000-0000-0000330D0000}"/>
    <cellStyle name="Normal 2 10 2 2 3 2" xfId="11847" xr:uid="{00000000-0005-0000-0000-0000340D0000}"/>
    <cellStyle name="Normal 2 10 2 2 4" xfId="11083" xr:uid="{00000000-0005-0000-0000-0000350D0000}"/>
    <cellStyle name="Normal 2 10 3" xfId="1253" xr:uid="{00000000-0005-0000-0000-0000360D0000}"/>
    <cellStyle name="Normal 2 10 4" xfId="1254" xr:uid="{00000000-0005-0000-0000-0000370D0000}"/>
    <cellStyle name="Normal 2 10 5" xfId="1255" xr:uid="{00000000-0005-0000-0000-0000380D0000}"/>
    <cellStyle name="Normal 2 10 6" xfId="1256" xr:uid="{00000000-0005-0000-0000-0000390D0000}"/>
    <cellStyle name="Normal 2 10 7" xfId="1257" xr:uid="{00000000-0005-0000-0000-00003A0D0000}"/>
    <cellStyle name="Normal 2 10 8" xfId="1258" xr:uid="{00000000-0005-0000-0000-00003B0D0000}"/>
    <cellStyle name="Normal 2 10 9" xfId="4138" xr:uid="{00000000-0005-0000-0000-00003C0D0000}"/>
    <cellStyle name="Normal 2 10 9 2" xfId="9603" xr:uid="{00000000-0005-0000-0000-00003D0D0000}"/>
    <cellStyle name="Normal 2 10 9 2 2" xfId="10306" xr:uid="{00000000-0005-0000-0000-00003E0D0000}"/>
    <cellStyle name="Normal 2 10 9 2 2 2" xfId="12041" xr:uid="{00000000-0005-0000-0000-00003F0D0000}"/>
    <cellStyle name="Normal 2 10 9 2 3" xfId="11394" xr:uid="{00000000-0005-0000-0000-0000400D0000}"/>
    <cellStyle name="Normal 2 10 9 3" xfId="10009" xr:uid="{00000000-0005-0000-0000-0000410D0000}"/>
    <cellStyle name="Normal 2 10 9 3 2" xfId="11745" xr:uid="{00000000-0005-0000-0000-0000420D0000}"/>
    <cellStyle name="Normal 2 10 9 4" xfId="10971" xr:uid="{00000000-0005-0000-0000-0000430D0000}"/>
    <cellStyle name="Normal 2 100" xfId="1259" xr:uid="{00000000-0005-0000-0000-0000440D0000}"/>
    <cellStyle name="Normal 2 100 2" xfId="7688" xr:uid="{00000000-0005-0000-0000-0000450D0000}"/>
    <cellStyle name="Normal 2 101" xfId="1260" xr:uid="{00000000-0005-0000-0000-0000460D0000}"/>
    <cellStyle name="Normal 2 101 2" xfId="7689" xr:uid="{00000000-0005-0000-0000-0000470D0000}"/>
    <cellStyle name="Normal 2 102" xfId="1261" xr:uid="{00000000-0005-0000-0000-0000480D0000}"/>
    <cellStyle name="Normal 2 102 2" xfId="7690" xr:uid="{00000000-0005-0000-0000-0000490D0000}"/>
    <cellStyle name="Normal 2 103" xfId="1262" xr:uid="{00000000-0005-0000-0000-00004A0D0000}"/>
    <cellStyle name="Normal 2 103 2" xfId="7691" xr:uid="{00000000-0005-0000-0000-00004B0D0000}"/>
    <cellStyle name="Normal 2 104" xfId="1263" xr:uid="{00000000-0005-0000-0000-00004C0D0000}"/>
    <cellStyle name="Normal 2 104 2" xfId="7692" xr:uid="{00000000-0005-0000-0000-00004D0D0000}"/>
    <cellStyle name="Normal 2 105" xfId="1264" xr:uid="{00000000-0005-0000-0000-00004E0D0000}"/>
    <cellStyle name="Normal 2 105 2" xfId="7693" xr:uid="{00000000-0005-0000-0000-00004F0D0000}"/>
    <cellStyle name="Normal 2 106" xfId="1265" xr:uid="{00000000-0005-0000-0000-0000500D0000}"/>
    <cellStyle name="Normal 2 106 2" xfId="7694" xr:uid="{00000000-0005-0000-0000-0000510D0000}"/>
    <cellStyle name="Normal 2 107" xfId="4048" xr:uid="{00000000-0005-0000-0000-0000520D0000}"/>
    <cellStyle name="Normal 2 107 2" xfId="4053" xr:uid="{00000000-0005-0000-0000-0000530D0000}"/>
    <cellStyle name="Normal 2 107 2 2" xfId="9559" xr:uid="{00000000-0005-0000-0000-0000540D0000}"/>
    <cellStyle name="Normal 2 107 2 2 2" xfId="10264" xr:uid="{00000000-0005-0000-0000-0000550D0000}"/>
    <cellStyle name="Normal 2 107 2 2 2 2" xfId="11999" xr:uid="{00000000-0005-0000-0000-0000560D0000}"/>
    <cellStyle name="Normal 2 107 2 2 3" xfId="11352" xr:uid="{00000000-0005-0000-0000-0000570D0000}"/>
    <cellStyle name="Normal 2 107 2 3" xfId="9967" xr:uid="{00000000-0005-0000-0000-0000580D0000}"/>
    <cellStyle name="Normal 2 107 2 3 2" xfId="11703" xr:uid="{00000000-0005-0000-0000-0000590D0000}"/>
    <cellStyle name="Normal 2 107 2 4" xfId="10923" xr:uid="{00000000-0005-0000-0000-00005A0D0000}"/>
    <cellStyle name="Normal 2 107 3" xfId="4363" xr:uid="{00000000-0005-0000-0000-00005B0D0000}"/>
    <cellStyle name="Normal 2 107 3 2" xfId="9771" xr:uid="{00000000-0005-0000-0000-00005C0D0000}"/>
    <cellStyle name="Normal 2 107 3 2 2" xfId="10470" xr:uid="{00000000-0005-0000-0000-00005D0D0000}"/>
    <cellStyle name="Normal 2 107 3 2 2 2" xfId="12205" xr:uid="{00000000-0005-0000-0000-00005E0D0000}"/>
    <cellStyle name="Normal 2 107 3 2 3" xfId="11558" xr:uid="{00000000-0005-0000-0000-00005F0D0000}"/>
    <cellStyle name="Normal 2 107 3 3" xfId="10175" xr:uid="{00000000-0005-0000-0000-0000600D0000}"/>
    <cellStyle name="Normal 2 107 3 3 2" xfId="11911" xr:uid="{00000000-0005-0000-0000-0000610D0000}"/>
    <cellStyle name="Normal 2 107 3 4" xfId="11168" xr:uid="{00000000-0005-0000-0000-0000620D0000}"/>
    <cellStyle name="Normal 2 107 4" xfId="4365" xr:uid="{00000000-0005-0000-0000-0000630D0000}"/>
    <cellStyle name="Normal 2 107 4 2" xfId="9773" xr:uid="{00000000-0005-0000-0000-0000640D0000}"/>
    <cellStyle name="Normal 2 107 4 2 2" xfId="10472" xr:uid="{00000000-0005-0000-0000-0000650D0000}"/>
    <cellStyle name="Normal 2 107 4 2 2 2" xfId="12207" xr:uid="{00000000-0005-0000-0000-0000660D0000}"/>
    <cellStyle name="Normal 2 107 4 2 3" xfId="11560" xr:uid="{00000000-0005-0000-0000-0000670D0000}"/>
    <cellStyle name="Normal 2 107 4 3" xfId="10177" xr:uid="{00000000-0005-0000-0000-0000680D0000}"/>
    <cellStyle name="Normal 2 107 4 3 2" xfId="11913" xr:uid="{00000000-0005-0000-0000-0000690D0000}"/>
    <cellStyle name="Normal 2 107 4 4" xfId="11170" xr:uid="{00000000-0005-0000-0000-00006A0D0000}"/>
    <cellStyle name="Normal 2 107 5" xfId="9556" xr:uid="{00000000-0005-0000-0000-00006B0D0000}"/>
    <cellStyle name="Normal 2 107 5 2" xfId="10261" xr:uid="{00000000-0005-0000-0000-00006C0D0000}"/>
    <cellStyle name="Normal 2 107 5 2 2" xfId="11996" xr:uid="{00000000-0005-0000-0000-00006D0D0000}"/>
    <cellStyle name="Normal 2 107 5 3" xfId="11349" xr:uid="{00000000-0005-0000-0000-00006E0D0000}"/>
    <cellStyle name="Normal 2 107 6" xfId="9964" xr:uid="{00000000-0005-0000-0000-00006F0D0000}"/>
    <cellStyle name="Normal 2 107 6 2" xfId="11700" xr:uid="{00000000-0005-0000-0000-0000700D0000}"/>
    <cellStyle name="Normal 2 107 7" xfId="10920" xr:uid="{00000000-0005-0000-0000-0000710D0000}"/>
    <cellStyle name="Normal 2 108" xfId="4065" xr:uid="{00000000-0005-0000-0000-0000720D0000}"/>
    <cellStyle name="Normal 2 108 2" xfId="9568" xr:uid="{00000000-0005-0000-0000-0000730D0000}"/>
    <cellStyle name="Normal 2 108 2 2" xfId="10272" xr:uid="{00000000-0005-0000-0000-0000740D0000}"/>
    <cellStyle name="Normal 2 108 2 2 2" xfId="12007" xr:uid="{00000000-0005-0000-0000-0000750D0000}"/>
    <cellStyle name="Normal 2 108 2 3" xfId="11360" xr:uid="{00000000-0005-0000-0000-0000760D0000}"/>
    <cellStyle name="Normal 2 108 3" xfId="9975" xr:uid="{00000000-0005-0000-0000-0000770D0000}"/>
    <cellStyle name="Normal 2 108 3 2" xfId="11711" xr:uid="{00000000-0005-0000-0000-0000780D0000}"/>
    <cellStyle name="Normal 2 108 4" xfId="10933" xr:uid="{00000000-0005-0000-0000-0000790D0000}"/>
    <cellStyle name="Normal 2 109" xfId="4184" xr:uid="{00000000-0005-0000-0000-00007A0D0000}"/>
    <cellStyle name="Normal 2 109 2" xfId="9621" xr:uid="{00000000-0005-0000-0000-00007B0D0000}"/>
    <cellStyle name="Normal 2 109 2 2" xfId="10323" xr:uid="{00000000-0005-0000-0000-00007C0D0000}"/>
    <cellStyle name="Normal 2 109 2 2 2" xfId="12058" xr:uid="{00000000-0005-0000-0000-00007D0D0000}"/>
    <cellStyle name="Normal 2 109 2 3" xfId="11411" xr:uid="{00000000-0005-0000-0000-00007E0D0000}"/>
    <cellStyle name="Normal 2 109 3" xfId="10026" xr:uid="{00000000-0005-0000-0000-00007F0D0000}"/>
    <cellStyle name="Normal 2 109 3 2" xfId="11762" xr:uid="{00000000-0005-0000-0000-0000800D0000}"/>
    <cellStyle name="Normal 2 109 4" xfId="10998" xr:uid="{00000000-0005-0000-0000-0000810D0000}"/>
    <cellStyle name="Normal 2 11" xfId="1266" xr:uid="{00000000-0005-0000-0000-0000820D0000}"/>
    <cellStyle name="Normal 2 11 10" xfId="4202" xr:uid="{00000000-0005-0000-0000-0000830D0000}"/>
    <cellStyle name="Normal 2 11 10 2" xfId="9637" xr:uid="{00000000-0005-0000-0000-0000840D0000}"/>
    <cellStyle name="Normal 2 11 10 2 2" xfId="10339" xr:uid="{00000000-0005-0000-0000-0000850D0000}"/>
    <cellStyle name="Normal 2 11 10 2 2 2" xfId="12074" xr:uid="{00000000-0005-0000-0000-0000860D0000}"/>
    <cellStyle name="Normal 2 11 10 2 3" xfId="11427" xr:uid="{00000000-0005-0000-0000-0000870D0000}"/>
    <cellStyle name="Normal 2 11 10 3" xfId="10042" xr:uid="{00000000-0005-0000-0000-0000880D0000}"/>
    <cellStyle name="Normal 2 11 10 3 2" xfId="11778" xr:uid="{00000000-0005-0000-0000-0000890D0000}"/>
    <cellStyle name="Normal 2 11 10 4" xfId="11014" xr:uid="{00000000-0005-0000-0000-00008A0D0000}"/>
    <cellStyle name="Normal 2 11 11" xfId="4344" xr:uid="{00000000-0005-0000-0000-00008B0D0000}"/>
    <cellStyle name="Normal 2 11 11 2" xfId="9755" xr:uid="{00000000-0005-0000-0000-00008C0D0000}"/>
    <cellStyle name="Normal 2 11 11 2 2" xfId="10454" xr:uid="{00000000-0005-0000-0000-00008D0D0000}"/>
    <cellStyle name="Normal 2 11 11 2 2 2" xfId="12189" xr:uid="{00000000-0005-0000-0000-00008E0D0000}"/>
    <cellStyle name="Normal 2 11 11 2 3" xfId="11542" xr:uid="{00000000-0005-0000-0000-00008F0D0000}"/>
    <cellStyle name="Normal 2 11 11 3" xfId="10157" xr:uid="{00000000-0005-0000-0000-0000900D0000}"/>
    <cellStyle name="Normal 2 11 11 3 2" xfId="11893" xr:uid="{00000000-0005-0000-0000-0000910D0000}"/>
    <cellStyle name="Normal 2 11 11 4" xfId="11150" xr:uid="{00000000-0005-0000-0000-0000920D0000}"/>
    <cellStyle name="Normal 2 11 12" xfId="7695" xr:uid="{00000000-0005-0000-0000-0000930D0000}"/>
    <cellStyle name="Normal 2 11 2" xfId="1267" xr:uid="{00000000-0005-0000-0000-0000940D0000}"/>
    <cellStyle name="Normal 2 11 2 2" xfId="4253" xr:uid="{00000000-0005-0000-0000-0000950D0000}"/>
    <cellStyle name="Normal 2 11 2 2 2" xfId="9688" xr:uid="{00000000-0005-0000-0000-0000960D0000}"/>
    <cellStyle name="Normal 2 11 2 2 2 2" xfId="10390" xr:uid="{00000000-0005-0000-0000-0000970D0000}"/>
    <cellStyle name="Normal 2 11 2 2 2 2 2" xfId="12125" xr:uid="{00000000-0005-0000-0000-0000980D0000}"/>
    <cellStyle name="Normal 2 11 2 2 2 3" xfId="11478" xr:uid="{00000000-0005-0000-0000-0000990D0000}"/>
    <cellStyle name="Normal 2 11 2 2 3" xfId="10093" xr:uid="{00000000-0005-0000-0000-00009A0D0000}"/>
    <cellStyle name="Normal 2 11 2 2 3 2" xfId="11829" xr:uid="{00000000-0005-0000-0000-00009B0D0000}"/>
    <cellStyle name="Normal 2 11 2 2 4" xfId="11065" xr:uid="{00000000-0005-0000-0000-00009C0D0000}"/>
    <cellStyle name="Normal 2 11 3" xfId="1268" xr:uid="{00000000-0005-0000-0000-00009D0D0000}"/>
    <cellStyle name="Normal 2 11 4" xfId="1269" xr:uid="{00000000-0005-0000-0000-00009E0D0000}"/>
    <cellStyle name="Normal 2 11 5" xfId="1270" xr:uid="{00000000-0005-0000-0000-00009F0D0000}"/>
    <cellStyle name="Normal 2 11 6" xfId="1271" xr:uid="{00000000-0005-0000-0000-0000A00D0000}"/>
    <cellStyle name="Normal 2 11 7" xfId="1272" xr:uid="{00000000-0005-0000-0000-0000A10D0000}"/>
    <cellStyle name="Normal 2 11 8" xfId="1273" xr:uid="{00000000-0005-0000-0000-0000A20D0000}"/>
    <cellStyle name="Normal 2 11 9" xfId="4100" xr:uid="{00000000-0005-0000-0000-0000A30D0000}"/>
    <cellStyle name="Normal 2 11 9 2" xfId="9584" xr:uid="{00000000-0005-0000-0000-0000A40D0000}"/>
    <cellStyle name="Normal 2 11 9 2 2" xfId="10288" xr:uid="{00000000-0005-0000-0000-0000A50D0000}"/>
    <cellStyle name="Normal 2 11 9 2 2 2" xfId="12023" xr:uid="{00000000-0005-0000-0000-0000A60D0000}"/>
    <cellStyle name="Normal 2 11 9 2 3" xfId="11376" xr:uid="{00000000-0005-0000-0000-0000A70D0000}"/>
    <cellStyle name="Normal 2 11 9 3" xfId="9991" xr:uid="{00000000-0005-0000-0000-0000A80D0000}"/>
    <cellStyle name="Normal 2 11 9 3 2" xfId="11727" xr:uid="{00000000-0005-0000-0000-0000A90D0000}"/>
    <cellStyle name="Normal 2 11 9 4" xfId="10950" xr:uid="{00000000-0005-0000-0000-0000AA0D0000}"/>
    <cellStyle name="Normal 2 110" xfId="4292" xr:uid="{00000000-0005-0000-0000-0000AB0D0000}"/>
    <cellStyle name="Normal 2 110 2" xfId="9725" xr:uid="{00000000-0005-0000-0000-0000AC0D0000}"/>
    <cellStyle name="Normal 2 110 2 2" xfId="10426" xr:uid="{00000000-0005-0000-0000-0000AD0D0000}"/>
    <cellStyle name="Normal 2 110 2 2 2" xfId="12161" xr:uid="{00000000-0005-0000-0000-0000AE0D0000}"/>
    <cellStyle name="Normal 2 110 2 3" xfId="11514" xr:uid="{00000000-0005-0000-0000-0000AF0D0000}"/>
    <cellStyle name="Normal 2 110 3" xfId="10129" xr:uid="{00000000-0005-0000-0000-0000B00D0000}"/>
    <cellStyle name="Normal 2 110 3 2" xfId="11865" xr:uid="{00000000-0005-0000-0000-0000B10D0000}"/>
    <cellStyle name="Normal 2 110 4" xfId="11103" xr:uid="{00000000-0005-0000-0000-0000B20D0000}"/>
    <cellStyle name="Normal 2 111" xfId="4303" xr:uid="{00000000-0005-0000-0000-0000B30D0000}"/>
    <cellStyle name="Normal 2 111 2" xfId="9729" xr:uid="{00000000-0005-0000-0000-0000B40D0000}"/>
    <cellStyle name="Normal 2 111 2 2" xfId="10430" xr:uid="{00000000-0005-0000-0000-0000B50D0000}"/>
    <cellStyle name="Normal 2 111 2 2 2" xfId="12165" xr:uid="{00000000-0005-0000-0000-0000B60D0000}"/>
    <cellStyle name="Normal 2 111 2 3" xfId="11518" xr:uid="{00000000-0005-0000-0000-0000B70D0000}"/>
    <cellStyle name="Normal 2 111 3" xfId="10133" xr:uid="{00000000-0005-0000-0000-0000B80D0000}"/>
    <cellStyle name="Normal 2 111 3 2" xfId="11869" xr:uid="{00000000-0005-0000-0000-0000B90D0000}"/>
    <cellStyle name="Normal 2 111 4" xfId="11113" xr:uid="{00000000-0005-0000-0000-0000BA0D0000}"/>
    <cellStyle name="Normal 2 112" xfId="4309" xr:uid="{00000000-0005-0000-0000-0000BB0D0000}"/>
    <cellStyle name="Normal 2 112 2" xfId="9735" xr:uid="{00000000-0005-0000-0000-0000BC0D0000}"/>
    <cellStyle name="Normal 2 112 2 2" xfId="10436" xr:uid="{00000000-0005-0000-0000-0000BD0D0000}"/>
    <cellStyle name="Normal 2 112 2 2 2" xfId="12171" xr:uid="{00000000-0005-0000-0000-0000BE0D0000}"/>
    <cellStyle name="Normal 2 112 2 3" xfId="11524" xr:uid="{00000000-0005-0000-0000-0000BF0D0000}"/>
    <cellStyle name="Normal 2 112 3" xfId="10139" xr:uid="{00000000-0005-0000-0000-0000C00D0000}"/>
    <cellStyle name="Normal 2 112 3 2" xfId="11875" xr:uid="{00000000-0005-0000-0000-0000C10D0000}"/>
    <cellStyle name="Normal 2 112 4" xfId="11119" xr:uid="{00000000-0005-0000-0000-0000C20D0000}"/>
    <cellStyle name="Normal 2 113" xfId="4367" xr:uid="{00000000-0005-0000-0000-0000C30D0000}"/>
    <cellStyle name="Normal 2 113 2" xfId="9775" xr:uid="{00000000-0005-0000-0000-0000C40D0000}"/>
    <cellStyle name="Normal 2 113 2 2" xfId="10474" xr:uid="{00000000-0005-0000-0000-0000C50D0000}"/>
    <cellStyle name="Normal 2 113 2 2 2" xfId="12209" xr:uid="{00000000-0005-0000-0000-0000C60D0000}"/>
    <cellStyle name="Normal 2 113 2 3" xfId="11562" xr:uid="{00000000-0005-0000-0000-0000C70D0000}"/>
    <cellStyle name="Normal 2 113 3" xfId="10179" xr:uid="{00000000-0005-0000-0000-0000C80D0000}"/>
    <cellStyle name="Normal 2 113 3 2" xfId="11915" xr:uid="{00000000-0005-0000-0000-0000C90D0000}"/>
    <cellStyle name="Normal 2 113 4" xfId="11172" xr:uid="{00000000-0005-0000-0000-0000CA0D0000}"/>
    <cellStyle name="Normal 2 114" xfId="1250" xr:uid="{00000000-0005-0000-0000-0000CB0D0000}"/>
    <cellStyle name="Normal 2 115" xfId="9913" xr:uid="{00000000-0005-0000-0000-0000CC0D0000}"/>
    <cellStyle name="Normal 2 115 2" xfId="11663" xr:uid="{00000000-0005-0000-0000-0000CD0D0000}"/>
    <cellStyle name="Normal 2 116" xfId="9942" xr:uid="{00000000-0005-0000-0000-0000CE0D0000}"/>
    <cellStyle name="Normal 2 117" xfId="10558" xr:uid="{00000000-0005-0000-0000-0000CF0D0000}"/>
    <cellStyle name="Normal 2 117 2" xfId="12293" xr:uid="{00000000-0005-0000-0000-0000D00D0000}"/>
    <cellStyle name="Normal 2 118" xfId="12410" xr:uid="{00000000-0005-0000-0000-0000D10D0000}"/>
    <cellStyle name="Normal 2 12" xfId="1274" xr:uid="{00000000-0005-0000-0000-0000D20D0000}"/>
    <cellStyle name="Normal 2 12 10" xfId="7696" xr:uid="{00000000-0005-0000-0000-0000D30D0000}"/>
    <cellStyle name="Normal 2 12 2" xfId="1275" xr:uid="{00000000-0005-0000-0000-0000D40D0000}"/>
    <cellStyle name="Normal 2 12 3" xfId="1276" xr:uid="{00000000-0005-0000-0000-0000D50D0000}"/>
    <cellStyle name="Normal 2 12 4" xfId="1277" xr:uid="{00000000-0005-0000-0000-0000D60D0000}"/>
    <cellStyle name="Normal 2 12 5" xfId="1278" xr:uid="{00000000-0005-0000-0000-0000D70D0000}"/>
    <cellStyle name="Normal 2 12 6" xfId="1279" xr:uid="{00000000-0005-0000-0000-0000D80D0000}"/>
    <cellStyle name="Normal 2 12 7" xfId="1280" xr:uid="{00000000-0005-0000-0000-0000D90D0000}"/>
    <cellStyle name="Normal 2 12 8" xfId="1281" xr:uid="{00000000-0005-0000-0000-0000DA0D0000}"/>
    <cellStyle name="Normal 2 12 9" xfId="4237" xr:uid="{00000000-0005-0000-0000-0000DB0D0000}"/>
    <cellStyle name="Normal 2 12 9 2" xfId="9672" xr:uid="{00000000-0005-0000-0000-0000DC0D0000}"/>
    <cellStyle name="Normal 2 12 9 2 2" xfId="10374" xr:uid="{00000000-0005-0000-0000-0000DD0D0000}"/>
    <cellStyle name="Normal 2 12 9 2 2 2" xfId="12109" xr:uid="{00000000-0005-0000-0000-0000DE0D0000}"/>
    <cellStyle name="Normal 2 12 9 2 3" xfId="11462" xr:uid="{00000000-0005-0000-0000-0000DF0D0000}"/>
    <cellStyle name="Normal 2 12 9 3" xfId="10077" xr:uid="{00000000-0005-0000-0000-0000E00D0000}"/>
    <cellStyle name="Normal 2 12 9 3 2" xfId="11813" xr:uid="{00000000-0005-0000-0000-0000E10D0000}"/>
    <cellStyle name="Normal 2 12 9 4" xfId="11049" xr:uid="{00000000-0005-0000-0000-0000E20D0000}"/>
    <cellStyle name="Normal 2 13" xfId="1282" xr:uid="{00000000-0005-0000-0000-0000E30D0000}"/>
    <cellStyle name="Normal 2 13 2" xfId="5157" xr:uid="{00000000-0005-0000-0000-0000E40D0000}"/>
    <cellStyle name="Normal 2 14" xfId="1283" xr:uid="{00000000-0005-0000-0000-0000E50D0000}"/>
    <cellStyle name="Normal 2 14 2" xfId="5158" xr:uid="{00000000-0005-0000-0000-0000E60D0000}"/>
    <cellStyle name="Normal 2 15" xfId="1284" xr:uid="{00000000-0005-0000-0000-0000E70D0000}"/>
    <cellStyle name="Normal 2 15 2" xfId="5159" xr:uid="{00000000-0005-0000-0000-0000E80D0000}"/>
    <cellStyle name="Normal 2 16" xfId="1285" xr:uid="{00000000-0005-0000-0000-0000E90D0000}"/>
    <cellStyle name="Normal 2 16 2" xfId="5160" xr:uid="{00000000-0005-0000-0000-0000EA0D0000}"/>
    <cellStyle name="Normal 2 17" xfId="1286" xr:uid="{00000000-0005-0000-0000-0000EB0D0000}"/>
    <cellStyle name="Normal 2 17 2" xfId="5161" xr:uid="{00000000-0005-0000-0000-0000EC0D0000}"/>
    <cellStyle name="Normal 2 18" xfId="1287" xr:uid="{00000000-0005-0000-0000-0000ED0D0000}"/>
    <cellStyle name="Normal 2 18 2" xfId="5162" xr:uid="{00000000-0005-0000-0000-0000EE0D0000}"/>
    <cellStyle name="Normal 2 19" xfId="1288" xr:uid="{00000000-0005-0000-0000-0000EF0D0000}"/>
    <cellStyle name="Normal 2 19 2" xfId="5163" xr:uid="{00000000-0005-0000-0000-0000F00D0000}"/>
    <cellStyle name="Normal 2 2" xfId="110" xr:uid="{00000000-0005-0000-0000-0000F10D0000}"/>
    <cellStyle name="Normal 2 2 10" xfId="1290" xr:uid="{00000000-0005-0000-0000-0000F20D0000}"/>
    <cellStyle name="Normal 2 2 10 2" xfId="4142" xr:uid="{00000000-0005-0000-0000-0000F30D0000}"/>
    <cellStyle name="Normal 2 2 10 3" xfId="4348" xr:uid="{00000000-0005-0000-0000-0000F40D0000}"/>
    <cellStyle name="Normal 2 2 10 3 2" xfId="9759" xr:uid="{00000000-0005-0000-0000-0000F50D0000}"/>
    <cellStyle name="Normal 2 2 10 3 2 2" xfId="10458" xr:uid="{00000000-0005-0000-0000-0000F60D0000}"/>
    <cellStyle name="Normal 2 2 10 3 2 2 2" xfId="12193" xr:uid="{00000000-0005-0000-0000-0000F70D0000}"/>
    <cellStyle name="Normal 2 2 10 3 2 3" xfId="11546" xr:uid="{00000000-0005-0000-0000-0000F80D0000}"/>
    <cellStyle name="Normal 2 2 10 3 3" xfId="10161" xr:uid="{00000000-0005-0000-0000-0000F90D0000}"/>
    <cellStyle name="Normal 2 2 10 3 3 2" xfId="11897" xr:uid="{00000000-0005-0000-0000-0000FA0D0000}"/>
    <cellStyle name="Normal 2 2 10 3 4" xfId="11154" xr:uid="{00000000-0005-0000-0000-0000FB0D0000}"/>
    <cellStyle name="Normal 2 2 11" xfId="1291" xr:uid="{00000000-0005-0000-0000-0000FC0D0000}"/>
    <cellStyle name="Normal 2 2 11 2" xfId="4102" xr:uid="{00000000-0005-0000-0000-0000FD0D0000}"/>
    <cellStyle name="Normal 2 2 12" xfId="1292" xr:uid="{00000000-0005-0000-0000-0000FE0D0000}"/>
    <cellStyle name="Normal 2 2 13" xfId="1293" xr:uid="{00000000-0005-0000-0000-0000FF0D0000}"/>
    <cellStyle name="Normal 2 2 14" xfId="1294" xr:uid="{00000000-0005-0000-0000-0000000E0000}"/>
    <cellStyle name="Normal 2 2 15" xfId="1295" xr:uid="{00000000-0005-0000-0000-0000010E0000}"/>
    <cellStyle name="Normal 2 2 16" xfId="1296" xr:uid="{00000000-0005-0000-0000-0000020E0000}"/>
    <cellStyle name="Normal 2 2 17" xfId="1297" xr:uid="{00000000-0005-0000-0000-0000030E0000}"/>
    <cellStyle name="Normal 2 2 18" xfId="1298" xr:uid="{00000000-0005-0000-0000-0000040E0000}"/>
    <cellStyle name="Normal 2 2 19" xfId="1299" xr:uid="{00000000-0005-0000-0000-0000050E0000}"/>
    <cellStyle name="Normal 2 2 2" xfId="1300" xr:uid="{00000000-0005-0000-0000-0000060E0000}"/>
    <cellStyle name="Normal 2 2 2 10" xfId="1301" xr:uid="{00000000-0005-0000-0000-0000070E0000}"/>
    <cellStyle name="Normal 2 2 2 10 2" xfId="7697" xr:uid="{00000000-0005-0000-0000-0000080E0000}"/>
    <cellStyle name="Normal 2 2 2 11" xfId="1302" xr:uid="{00000000-0005-0000-0000-0000090E0000}"/>
    <cellStyle name="Normal 2 2 2 11 2" xfId="7698" xr:uid="{00000000-0005-0000-0000-00000A0E0000}"/>
    <cellStyle name="Normal 2 2 2 12" xfId="1303" xr:uid="{00000000-0005-0000-0000-00000B0E0000}"/>
    <cellStyle name="Normal 2 2 2 12 2" xfId="7699" xr:uid="{00000000-0005-0000-0000-00000C0E0000}"/>
    <cellStyle name="Normal 2 2 2 13" xfId="1304" xr:uid="{00000000-0005-0000-0000-00000D0E0000}"/>
    <cellStyle name="Normal 2 2 2 13 2" xfId="7700" xr:uid="{00000000-0005-0000-0000-00000E0E0000}"/>
    <cellStyle name="Normal 2 2 2 14" xfId="1305" xr:uid="{00000000-0005-0000-0000-00000F0E0000}"/>
    <cellStyle name="Normal 2 2 2 14 2" xfId="7701" xr:uid="{00000000-0005-0000-0000-0000100E0000}"/>
    <cellStyle name="Normal 2 2 2 15" xfId="1306" xr:uid="{00000000-0005-0000-0000-0000110E0000}"/>
    <cellStyle name="Normal 2 2 2 15 2" xfId="7702" xr:uid="{00000000-0005-0000-0000-0000120E0000}"/>
    <cellStyle name="Normal 2 2 2 16" xfId="1307" xr:uid="{00000000-0005-0000-0000-0000130E0000}"/>
    <cellStyle name="Normal 2 2 2 16 2" xfId="7703" xr:uid="{00000000-0005-0000-0000-0000140E0000}"/>
    <cellStyle name="Normal 2 2 2 17" xfId="1308" xr:uid="{00000000-0005-0000-0000-0000150E0000}"/>
    <cellStyle name="Normal 2 2 2 17 2" xfId="7704" xr:uid="{00000000-0005-0000-0000-0000160E0000}"/>
    <cellStyle name="Normal 2 2 2 18" xfId="1309" xr:uid="{00000000-0005-0000-0000-0000170E0000}"/>
    <cellStyle name="Normal 2 2 2 18 2" xfId="7705" xr:uid="{00000000-0005-0000-0000-0000180E0000}"/>
    <cellStyle name="Normal 2 2 2 19" xfId="1310" xr:uid="{00000000-0005-0000-0000-0000190E0000}"/>
    <cellStyle name="Normal 2 2 2 19 2" xfId="7706" xr:uid="{00000000-0005-0000-0000-00001A0E0000}"/>
    <cellStyle name="Normal 2 2 2 2" xfId="1311" xr:uid="{00000000-0005-0000-0000-00001B0E0000}"/>
    <cellStyle name="Normal 2 2 2 2 2" xfId="4148" xr:uid="{00000000-0005-0000-0000-00001C0E0000}"/>
    <cellStyle name="Normal 2 2 2 2 2 2" xfId="4274" xr:uid="{00000000-0005-0000-0000-00001D0E0000}"/>
    <cellStyle name="Normal 2 2 2 2 2 2 2" xfId="9709" xr:uid="{00000000-0005-0000-0000-00001E0E0000}"/>
    <cellStyle name="Normal 2 2 2 2 2 2 2 2" xfId="10411" xr:uid="{00000000-0005-0000-0000-00001F0E0000}"/>
    <cellStyle name="Normal 2 2 2 2 2 2 2 2 2" xfId="12146" xr:uid="{00000000-0005-0000-0000-0000200E0000}"/>
    <cellStyle name="Normal 2 2 2 2 2 2 2 3" xfId="11499" xr:uid="{00000000-0005-0000-0000-0000210E0000}"/>
    <cellStyle name="Normal 2 2 2 2 2 2 3" xfId="10114" xr:uid="{00000000-0005-0000-0000-0000220E0000}"/>
    <cellStyle name="Normal 2 2 2 2 2 2 3 2" xfId="11850" xr:uid="{00000000-0005-0000-0000-0000230E0000}"/>
    <cellStyle name="Normal 2 2 2 2 2 2 4" xfId="11086" xr:uid="{00000000-0005-0000-0000-0000240E0000}"/>
    <cellStyle name="Normal 2 2 2 2 2 3" xfId="9606" xr:uid="{00000000-0005-0000-0000-0000250E0000}"/>
    <cellStyle name="Normal 2 2 2 2 2 3 2" xfId="10309" xr:uid="{00000000-0005-0000-0000-0000260E0000}"/>
    <cellStyle name="Normal 2 2 2 2 2 3 2 2" xfId="12044" xr:uid="{00000000-0005-0000-0000-0000270E0000}"/>
    <cellStyle name="Normal 2 2 2 2 2 3 3" xfId="11397" xr:uid="{00000000-0005-0000-0000-0000280E0000}"/>
    <cellStyle name="Normal 2 2 2 2 2 4" xfId="10012" xr:uid="{00000000-0005-0000-0000-0000290E0000}"/>
    <cellStyle name="Normal 2 2 2 2 2 4 2" xfId="11748" xr:uid="{00000000-0005-0000-0000-00002A0E0000}"/>
    <cellStyle name="Normal 2 2 2 2 2 5" xfId="10975" xr:uid="{00000000-0005-0000-0000-00002B0E0000}"/>
    <cellStyle name="Normal 2 2 2 2 3" xfId="4223" xr:uid="{00000000-0005-0000-0000-00002C0E0000}"/>
    <cellStyle name="Normal 2 2 2 2 3 2" xfId="9658" xr:uid="{00000000-0005-0000-0000-00002D0E0000}"/>
    <cellStyle name="Normal 2 2 2 2 3 2 2" xfId="10360" xr:uid="{00000000-0005-0000-0000-00002E0E0000}"/>
    <cellStyle name="Normal 2 2 2 2 3 2 2 2" xfId="12095" xr:uid="{00000000-0005-0000-0000-00002F0E0000}"/>
    <cellStyle name="Normal 2 2 2 2 3 2 3" xfId="11448" xr:uid="{00000000-0005-0000-0000-0000300E0000}"/>
    <cellStyle name="Normal 2 2 2 2 3 3" xfId="10063" xr:uid="{00000000-0005-0000-0000-0000310E0000}"/>
    <cellStyle name="Normal 2 2 2 2 3 3 2" xfId="11799" xr:uid="{00000000-0005-0000-0000-0000320E0000}"/>
    <cellStyle name="Normal 2 2 2 2 3 4" xfId="11035" xr:uid="{00000000-0005-0000-0000-0000330E0000}"/>
    <cellStyle name="Normal 2 2 2 2 4" xfId="4353" xr:uid="{00000000-0005-0000-0000-0000340E0000}"/>
    <cellStyle name="Normal 2 2 2 2 4 2" xfId="9764" xr:uid="{00000000-0005-0000-0000-0000350E0000}"/>
    <cellStyle name="Normal 2 2 2 2 4 2 2" xfId="10463" xr:uid="{00000000-0005-0000-0000-0000360E0000}"/>
    <cellStyle name="Normal 2 2 2 2 4 2 2 2" xfId="12198" xr:uid="{00000000-0005-0000-0000-0000370E0000}"/>
    <cellStyle name="Normal 2 2 2 2 4 2 3" xfId="11551" xr:uid="{00000000-0005-0000-0000-0000380E0000}"/>
    <cellStyle name="Normal 2 2 2 2 4 3" xfId="10166" xr:uid="{00000000-0005-0000-0000-0000390E0000}"/>
    <cellStyle name="Normal 2 2 2 2 4 3 2" xfId="11902" xr:uid="{00000000-0005-0000-0000-00003A0E0000}"/>
    <cellStyle name="Normal 2 2 2 2 4 4" xfId="11159" xr:uid="{00000000-0005-0000-0000-00003B0E0000}"/>
    <cellStyle name="Normal 2 2 2 2 5" xfId="7707" xr:uid="{00000000-0005-0000-0000-00003C0E0000}"/>
    <cellStyle name="Normal 2 2 2 2 6" xfId="10581" xr:uid="{00000000-0005-0000-0000-00003D0E0000}"/>
    <cellStyle name="Normal 2 2 2 2 6 2" xfId="12316" xr:uid="{00000000-0005-0000-0000-00003E0E0000}"/>
    <cellStyle name="Normal 2 2 2 20" xfId="1312" xr:uid="{00000000-0005-0000-0000-00003F0E0000}"/>
    <cellStyle name="Normal 2 2 2 20 2" xfId="7708" xr:uid="{00000000-0005-0000-0000-0000400E0000}"/>
    <cellStyle name="Normal 2 2 2 21" xfId="1313" xr:uid="{00000000-0005-0000-0000-0000410E0000}"/>
    <cellStyle name="Normal 2 2 2 21 2" xfId="7709" xr:uid="{00000000-0005-0000-0000-0000420E0000}"/>
    <cellStyle name="Normal 2 2 2 22" xfId="1314" xr:uid="{00000000-0005-0000-0000-0000430E0000}"/>
    <cellStyle name="Normal 2 2 2 22 2" xfId="7710" xr:uid="{00000000-0005-0000-0000-0000440E0000}"/>
    <cellStyle name="Normal 2 2 2 23" xfId="1315" xr:uid="{00000000-0005-0000-0000-0000450E0000}"/>
    <cellStyle name="Normal 2 2 2 23 2" xfId="7711" xr:uid="{00000000-0005-0000-0000-0000460E0000}"/>
    <cellStyle name="Normal 2 2 2 24" xfId="1316" xr:uid="{00000000-0005-0000-0000-0000470E0000}"/>
    <cellStyle name="Normal 2 2 2 24 2" xfId="7712" xr:uid="{00000000-0005-0000-0000-0000480E0000}"/>
    <cellStyle name="Normal 2 2 2 25" xfId="1317" xr:uid="{00000000-0005-0000-0000-0000490E0000}"/>
    <cellStyle name="Normal 2 2 2 25 2" xfId="7713" xr:uid="{00000000-0005-0000-0000-00004A0E0000}"/>
    <cellStyle name="Normal 2 2 2 26" xfId="1318" xr:uid="{00000000-0005-0000-0000-00004B0E0000}"/>
    <cellStyle name="Normal 2 2 2 26 2" xfId="7714" xr:uid="{00000000-0005-0000-0000-00004C0E0000}"/>
    <cellStyle name="Normal 2 2 2 27" xfId="1319" xr:uid="{00000000-0005-0000-0000-00004D0E0000}"/>
    <cellStyle name="Normal 2 2 2 27 2" xfId="7715" xr:uid="{00000000-0005-0000-0000-00004E0E0000}"/>
    <cellStyle name="Normal 2 2 2 28" xfId="1320" xr:uid="{00000000-0005-0000-0000-00004F0E0000}"/>
    <cellStyle name="Normal 2 2 2 28 2" xfId="7716" xr:uid="{00000000-0005-0000-0000-0000500E0000}"/>
    <cellStyle name="Normal 2 2 2 29" xfId="1321" xr:uid="{00000000-0005-0000-0000-0000510E0000}"/>
    <cellStyle name="Normal 2 2 2 29 2" xfId="7717" xr:uid="{00000000-0005-0000-0000-0000520E0000}"/>
    <cellStyle name="Normal 2 2 2 3" xfId="1322" xr:uid="{00000000-0005-0000-0000-0000530E0000}"/>
    <cellStyle name="Normal 2 2 2 3 2" xfId="4108" xr:uid="{00000000-0005-0000-0000-0000540E0000}"/>
    <cellStyle name="Normal 2 2 2 3 2 2" xfId="4256" xr:uid="{00000000-0005-0000-0000-0000550E0000}"/>
    <cellStyle name="Normal 2 2 2 3 2 2 2" xfId="9691" xr:uid="{00000000-0005-0000-0000-0000560E0000}"/>
    <cellStyle name="Normal 2 2 2 3 2 2 2 2" xfId="10393" xr:uid="{00000000-0005-0000-0000-0000570E0000}"/>
    <cellStyle name="Normal 2 2 2 3 2 2 2 2 2" xfId="12128" xr:uid="{00000000-0005-0000-0000-0000580E0000}"/>
    <cellStyle name="Normal 2 2 2 3 2 2 2 3" xfId="11481" xr:uid="{00000000-0005-0000-0000-0000590E0000}"/>
    <cellStyle name="Normal 2 2 2 3 2 2 3" xfId="10096" xr:uid="{00000000-0005-0000-0000-00005A0E0000}"/>
    <cellStyle name="Normal 2 2 2 3 2 2 3 2" xfId="11832" xr:uid="{00000000-0005-0000-0000-00005B0E0000}"/>
    <cellStyle name="Normal 2 2 2 3 2 2 4" xfId="11068" xr:uid="{00000000-0005-0000-0000-00005C0E0000}"/>
    <cellStyle name="Normal 2 2 2 3 2 3" xfId="9587" xr:uid="{00000000-0005-0000-0000-00005D0E0000}"/>
    <cellStyle name="Normal 2 2 2 3 2 3 2" xfId="10291" xr:uid="{00000000-0005-0000-0000-00005E0E0000}"/>
    <cellStyle name="Normal 2 2 2 3 2 3 2 2" xfId="12026" xr:uid="{00000000-0005-0000-0000-00005F0E0000}"/>
    <cellStyle name="Normal 2 2 2 3 2 3 3" xfId="11379" xr:uid="{00000000-0005-0000-0000-0000600E0000}"/>
    <cellStyle name="Normal 2 2 2 3 2 4" xfId="9994" xr:uid="{00000000-0005-0000-0000-0000610E0000}"/>
    <cellStyle name="Normal 2 2 2 3 2 4 2" xfId="11730" xr:uid="{00000000-0005-0000-0000-0000620E0000}"/>
    <cellStyle name="Normal 2 2 2 3 2 5" xfId="10954" xr:uid="{00000000-0005-0000-0000-0000630E0000}"/>
    <cellStyle name="Normal 2 2 2 3 3" xfId="4205" xr:uid="{00000000-0005-0000-0000-0000640E0000}"/>
    <cellStyle name="Normal 2 2 2 3 3 2" xfId="9640" xr:uid="{00000000-0005-0000-0000-0000650E0000}"/>
    <cellStyle name="Normal 2 2 2 3 3 2 2" xfId="10342" xr:uid="{00000000-0005-0000-0000-0000660E0000}"/>
    <cellStyle name="Normal 2 2 2 3 3 2 2 2" xfId="12077" xr:uid="{00000000-0005-0000-0000-0000670E0000}"/>
    <cellStyle name="Normal 2 2 2 3 3 2 3" xfId="11430" xr:uid="{00000000-0005-0000-0000-0000680E0000}"/>
    <cellStyle name="Normal 2 2 2 3 3 3" xfId="10045" xr:uid="{00000000-0005-0000-0000-0000690E0000}"/>
    <cellStyle name="Normal 2 2 2 3 3 3 2" xfId="11781" xr:uid="{00000000-0005-0000-0000-00006A0E0000}"/>
    <cellStyle name="Normal 2 2 2 3 3 4" xfId="11017" xr:uid="{00000000-0005-0000-0000-00006B0E0000}"/>
    <cellStyle name="Normal 2 2 2 3 4" xfId="7718" xr:uid="{00000000-0005-0000-0000-00006C0E0000}"/>
    <cellStyle name="Normal 2 2 2 30" xfId="1323" xr:uid="{00000000-0005-0000-0000-00006D0E0000}"/>
    <cellStyle name="Normal 2 2 2 30 2" xfId="7719" xr:uid="{00000000-0005-0000-0000-00006E0E0000}"/>
    <cellStyle name="Normal 2 2 2 31" xfId="4074" xr:uid="{00000000-0005-0000-0000-00006F0E0000}"/>
    <cellStyle name="Normal 2 2 2 31 2" xfId="9571" xr:uid="{00000000-0005-0000-0000-0000700E0000}"/>
    <cellStyle name="Normal 2 2 2 31 2 2" xfId="10275" xr:uid="{00000000-0005-0000-0000-0000710E0000}"/>
    <cellStyle name="Normal 2 2 2 31 2 2 2" xfId="12010" xr:uid="{00000000-0005-0000-0000-0000720E0000}"/>
    <cellStyle name="Normal 2 2 2 31 2 3" xfId="11363" xr:uid="{00000000-0005-0000-0000-0000730E0000}"/>
    <cellStyle name="Normal 2 2 2 31 3" xfId="9978" xr:uid="{00000000-0005-0000-0000-0000740E0000}"/>
    <cellStyle name="Normal 2 2 2 31 3 2" xfId="11714" xr:uid="{00000000-0005-0000-0000-0000750E0000}"/>
    <cellStyle name="Normal 2 2 2 31 4" xfId="10937" xr:uid="{00000000-0005-0000-0000-0000760E0000}"/>
    <cellStyle name="Normal 2 2 2 32" xfId="4189" xr:uid="{00000000-0005-0000-0000-0000770E0000}"/>
    <cellStyle name="Normal 2 2 2 32 2" xfId="9624" xr:uid="{00000000-0005-0000-0000-0000780E0000}"/>
    <cellStyle name="Normal 2 2 2 32 2 2" xfId="10326" xr:uid="{00000000-0005-0000-0000-0000790E0000}"/>
    <cellStyle name="Normal 2 2 2 32 2 2 2" xfId="12061" xr:uid="{00000000-0005-0000-0000-00007A0E0000}"/>
    <cellStyle name="Normal 2 2 2 32 2 3" xfId="11414" xr:uid="{00000000-0005-0000-0000-00007B0E0000}"/>
    <cellStyle name="Normal 2 2 2 32 3" xfId="10029" xr:uid="{00000000-0005-0000-0000-00007C0E0000}"/>
    <cellStyle name="Normal 2 2 2 32 3 2" xfId="11765" xr:uid="{00000000-0005-0000-0000-00007D0E0000}"/>
    <cellStyle name="Normal 2 2 2 32 4" xfId="11001" xr:uid="{00000000-0005-0000-0000-00007E0E0000}"/>
    <cellStyle name="Normal 2 2 2 33" xfId="4335" xr:uid="{00000000-0005-0000-0000-00007F0E0000}"/>
    <cellStyle name="Normal 2 2 2 33 2" xfId="9748" xr:uid="{00000000-0005-0000-0000-0000800E0000}"/>
    <cellStyle name="Normal 2 2 2 33 2 2" xfId="10448" xr:uid="{00000000-0005-0000-0000-0000810E0000}"/>
    <cellStyle name="Normal 2 2 2 33 2 2 2" xfId="12183" xr:uid="{00000000-0005-0000-0000-0000820E0000}"/>
    <cellStyle name="Normal 2 2 2 33 2 3" xfId="11536" xr:uid="{00000000-0005-0000-0000-0000830E0000}"/>
    <cellStyle name="Normal 2 2 2 33 3" xfId="10151" xr:uid="{00000000-0005-0000-0000-0000840E0000}"/>
    <cellStyle name="Normal 2 2 2 33 3 2" xfId="11887" xr:uid="{00000000-0005-0000-0000-0000850E0000}"/>
    <cellStyle name="Normal 2 2 2 33 4" xfId="11142" xr:uid="{00000000-0005-0000-0000-0000860E0000}"/>
    <cellStyle name="Normal 2 2 2 34" xfId="10569" xr:uid="{00000000-0005-0000-0000-0000870E0000}"/>
    <cellStyle name="Normal 2 2 2 34 2" xfId="12304" xr:uid="{00000000-0005-0000-0000-0000880E0000}"/>
    <cellStyle name="Normal 2 2 2 4" xfId="1324" xr:uid="{00000000-0005-0000-0000-0000890E0000}"/>
    <cellStyle name="Normal 2 2 2 4 2" xfId="4240" xr:uid="{00000000-0005-0000-0000-00008A0E0000}"/>
    <cellStyle name="Normal 2 2 2 4 2 2" xfId="9675" xr:uid="{00000000-0005-0000-0000-00008B0E0000}"/>
    <cellStyle name="Normal 2 2 2 4 2 2 2" xfId="10377" xr:uid="{00000000-0005-0000-0000-00008C0E0000}"/>
    <cellStyle name="Normal 2 2 2 4 2 2 2 2" xfId="12112" xr:uid="{00000000-0005-0000-0000-00008D0E0000}"/>
    <cellStyle name="Normal 2 2 2 4 2 2 3" xfId="11465" xr:uid="{00000000-0005-0000-0000-00008E0E0000}"/>
    <cellStyle name="Normal 2 2 2 4 2 3" xfId="10080" xr:uid="{00000000-0005-0000-0000-00008F0E0000}"/>
    <cellStyle name="Normal 2 2 2 4 2 3 2" xfId="11816" xr:uid="{00000000-0005-0000-0000-0000900E0000}"/>
    <cellStyle name="Normal 2 2 2 4 2 4" xfId="11052" xr:uid="{00000000-0005-0000-0000-0000910E0000}"/>
    <cellStyle name="Normal 2 2 2 4 3" xfId="7720" xr:uid="{00000000-0005-0000-0000-0000920E0000}"/>
    <cellStyle name="Normal 2 2 2 5" xfId="1325" xr:uid="{00000000-0005-0000-0000-0000930E0000}"/>
    <cellStyle name="Normal 2 2 2 5 2" xfId="7721" xr:uid="{00000000-0005-0000-0000-0000940E0000}"/>
    <cellStyle name="Normal 2 2 2 6" xfId="1326" xr:uid="{00000000-0005-0000-0000-0000950E0000}"/>
    <cellStyle name="Normal 2 2 2 6 2" xfId="7722" xr:uid="{00000000-0005-0000-0000-0000960E0000}"/>
    <cellStyle name="Normal 2 2 2 7" xfId="1327" xr:uid="{00000000-0005-0000-0000-0000970E0000}"/>
    <cellStyle name="Normal 2 2 2 7 2" xfId="7723" xr:uid="{00000000-0005-0000-0000-0000980E0000}"/>
    <cellStyle name="Normal 2 2 2 8" xfId="1328" xr:uid="{00000000-0005-0000-0000-0000990E0000}"/>
    <cellStyle name="Normal 2 2 2 8 2" xfId="7724" xr:uid="{00000000-0005-0000-0000-00009A0E0000}"/>
    <cellStyle name="Normal 2 2 2 9" xfId="1329" xr:uid="{00000000-0005-0000-0000-00009B0E0000}"/>
    <cellStyle name="Normal 2 2 2 9 2" xfId="7725" xr:uid="{00000000-0005-0000-0000-00009C0E0000}"/>
    <cellStyle name="Normal 2 2 20" xfId="1330" xr:uid="{00000000-0005-0000-0000-00009D0E0000}"/>
    <cellStyle name="Normal 2 2 21" xfId="1331" xr:uid="{00000000-0005-0000-0000-00009E0E0000}"/>
    <cellStyle name="Normal 2 2 22" xfId="1332" xr:uid="{00000000-0005-0000-0000-00009F0E0000}"/>
    <cellStyle name="Normal 2 2 23" xfId="1333" xr:uid="{00000000-0005-0000-0000-0000A00E0000}"/>
    <cellStyle name="Normal 2 2 24" xfId="1334" xr:uid="{00000000-0005-0000-0000-0000A10E0000}"/>
    <cellStyle name="Normal 2 2 25" xfId="1335" xr:uid="{00000000-0005-0000-0000-0000A20E0000}"/>
    <cellStyle name="Normal 2 2 26" xfId="1336" xr:uid="{00000000-0005-0000-0000-0000A30E0000}"/>
    <cellStyle name="Normal 2 2 27" xfId="1337" xr:uid="{00000000-0005-0000-0000-0000A40E0000}"/>
    <cellStyle name="Normal 2 2 28" xfId="1338" xr:uid="{00000000-0005-0000-0000-0000A50E0000}"/>
    <cellStyle name="Normal 2 2 29" xfId="1339" xr:uid="{00000000-0005-0000-0000-0000A60E0000}"/>
    <cellStyle name="Normal 2 2 3" xfId="1340" xr:uid="{00000000-0005-0000-0000-0000A70E0000}"/>
    <cellStyle name="Normal 2 2 3 2" xfId="4150" xr:uid="{00000000-0005-0000-0000-0000A80E0000}"/>
    <cellStyle name="Normal 2 2 3 2 2" xfId="4276" xr:uid="{00000000-0005-0000-0000-0000A90E0000}"/>
    <cellStyle name="Normal 2 2 3 2 2 2" xfId="9711" xr:uid="{00000000-0005-0000-0000-0000AA0E0000}"/>
    <cellStyle name="Normal 2 2 3 2 2 2 2" xfId="10413" xr:uid="{00000000-0005-0000-0000-0000AB0E0000}"/>
    <cellStyle name="Normal 2 2 3 2 2 2 2 2" xfId="12148" xr:uid="{00000000-0005-0000-0000-0000AC0E0000}"/>
    <cellStyle name="Normal 2 2 3 2 2 2 3" xfId="11501" xr:uid="{00000000-0005-0000-0000-0000AD0E0000}"/>
    <cellStyle name="Normal 2 2 3 2 2 3" xfId="10116" xr:uid="{00000000-0005-0000-0000-0000AE0E0000}"/>
    <cellStyle name="Normal 2 2 3 2 2 3 2" xfId="11852" xr:uid="{00000000-0005-0000-0000-0000AF0E0000}"/>
    <cellStyle name="Normal 2 2 3 2 2 4" xfId="11088" xr:uid="{00000000-0005-0000-0000-0000B00E0000}"/>
    <cellStyle name="Normal 2 2 3 2 3" xfId="4225" xr:uid="{00000000-0005-0000-0000-0000B10E0000}"/>
    <cellStyle name="Normal 2 2 3 2 3 2" xfId="9660" xr:uid="{00000000-0005-0000-0000-0000B20E0000}"/>
    <cellStyle name="Normal 2 2 3 2 3 2 2" xfId="10362" xr:uid="{00000000-0005-0000-0000-0000B30E0000}"/>
    <cellStyle name="Normal 2 2 3 2 3 2 2 2" xfId="12097" xr:uid="{00000000-0005-0000-0000-0000B40E0000}"/>
    <cellStyle name="Normal 2 2 3 2 3 2 3" xfId="11450" xr:uid="{00000000-0005-0000-0000-0000B50E0000}"/>
    <cellStyle name="Normal 2 2 3 2 3 3" xfId="10065" xr:uid="{00000000-0005-0000-0000-0000B60E0000}"/>
    <cellStyle name="Normal 2 2 3 2 3 3 2" xfId="11801" xr:uid="{00000000-0005-0000-0000-0000B70E0000}"/>
    <cellStyle name="Normal 2 2 3 2 3 4" xfId="11037" xr:uid="{00000000-0005-0000-0000-0000B80E0000}"/>
    <cellStyle name="Normal 2 2 3 2 4" xfId="4352" xr:uid="{00000000-0005-0000-0000-0000B90E0000}"/>
    <cellStyle name="Normal 2 2 3 2 4 2" xfId="9763" xr:uid="{00000000-0005-0000-0000-0000BA0E0000}"/>
    <cellStyle name="Normal 2 2 3 2 4 2 2" xfId="10462" xr:uid="{00000000-0005-0000-0000-0000BB0E0000}"/>
    <cellStyle name="Normal 2 2 3 2 4 2 2 2" xfId="12197" xr:uid="{00000000-0005-0000-0000-0000BC0E0000}"/>
    <cellStyle name="Normal 2 2 3 2 4 2 3" xfId="11550" xr:uid="{00000000-0005-0000-0000-0000BD0E0000}"/>
    <cellStyle name="Normal 2 2 3 2 4 3" xfId="10165" xr:uid="{00000000-0005-0000-0000-0000BE0E0000}"/>
    <cellStyle name="Normal 2 2 3 2 4 3 2" xfId="11901" xr:uid="{00000000-0005-0000-0000-0000BF0E0000}"/>
    <cellStyle name="Normal 2 2 3 2 4 4" xfId="11158" xr:uid="{00000000-0005-0000-0000-0000C00E0000}"/>
    <cellStyle name="Normal 2 2 3 2 5" xfId="9608" xr:uid="{00000000-0005-0000-0000-0000C10E0000}"/>
    <cellStyle name="Normal 2 2 3 2 5 2" xfId="10311" xr:uid="{00000000-0005-0000-0000-0000C20E0000}"/>
    <cellStyle name="Normal 2 2 3 2 5 2 2" xfId="12046" xr:uid="{00000000-0005-0000-0000-0000C30E0000}"/>
    <cellStyle name="Normal 2 2 3 2 5 3" xfId="11399" xr:uid="{00000000-0005-0000-0000-0000C40E0000}"/>
    <cellStyle name="Normal 2 2 3 2 6" xfId="10014" xr:uid="{00000000-0005-0000-0000-0000C50E0000}"/>
    <cellStyle name="Normal 2 2 3 2 6 2" xfId="11750" xr:uid="{00000000-0005-0000-0000-0000C60E0000}"/>
    <cellStyle name="Normal 2 2 3 2 7" xfId="10977" xr:uid="{00000000-0005-0000-0000-0000C70E0000}"/>
    <cellStyle name="Normal 2 2 3 3" xfId="4110" xr:uid="{00000000-0005-0000-0000-0000C80E0000}"/>
    <cellStyle name="Normal 2 2 3 3 2" xfId="4258" xr:uid="{00000000-0005-0000-0000-0000C90E0000}"/>
    <cellStyle name="Normal 2 2 3 3 2 2" xfId="9693" xr:uid="{00000000-0005-0000-0000-0000CA0E0000}"/>
    <cellStyle name="Normal 2 2 3 3 2 2 2" xfId="10395" xr:uid="{00000000-0005-0000-0000-0000CB0E0000}"/>
    <cellStyle name="Normal 2 2 3 3 2 2 2 2" xfId="12130" xr:uid="{00000000-0005-0000-0000-0000CC0E0000}"/>
    <cellStyle name="Normal 2 2 3 3 2 2 3" xfId="11483" xr:uid="{00000000-0005-0000-0000-0000CD0E0000}"/>
    <cellStyle name="Normal 2 2 3 3 2 3" xfId="10098" xr:uid="{00000000-0005-0000-0000-0000CE0E0000}"/>
    <cellStyle name="Normal 2 2 3 3 2 3 2" xfId="11834" xr:uid="{00000000-0005-0000-0000-0000CF0E0000}"/>
    <cellStyle name="Normal 2 2 3 3 2 4" xfId="11070" xr:uid="{00000000-0005-0000-0000-0000D00E0000}"/>
    <cellStyle name="Normal 2 2 3 3 3" xfId="4207" xr:uid="{00000000-0005-0000-0000-0000D10E0000}"/>
    <cellStyle name="Normal 2 2 3 3 3 2" xfId="9642" xr:uid="{00000000-0005-0000-0000-0000D20E0000}"/>
    <cellStyle name="Normal 2 2 3 3 3 2 2" xfId="10344" xr:uid="{00000000-0005-0000-0000-0000D30E0000}"/>
    <cellStyle name="Normal 2 2 3 3 3 2 2 2" xfId="12079" xr:uid="{00000000-0005-0000-0000-0000D40E0000}"/>
    <cellStyle name="Normal 2 2 3 3 3 2 3" xfId="11432" xr:uid="{00000000-0005-0000-0000-0000D50E0000}"/>
    <cellStyle name="Normal 2 2 3 3 3 3" xfId="10047" xr:uid="{00000000-0005-0000-0000-0000D60E0000}"/>
    <cellStyle name="Normal 2 2 3 3 3 3 2" xfId="11783" xr:uid="{00000000-0005-0000-0000-0000D70E0000}"/>
    <cellStyle name="Normal 2 2 3 3 3 4" xfId="11019" xr:uid="{00000000-0005-0000-0000-0000D80E0000}"/>
    <cellStyle name="Normal 2 2 3 3 4" xfId="9589" xr:uid="{00000000-0005-0000-0000-0000D90E0000}"/>
    <cellStyle name="Normal 2 2 3 3 4 2" xfId="10293" xr:uid="{00000000-0005-0000-0000-0000DA0E0000}"/>
    <cellStyle name="Normal 2 2 3 3 4 2 2" xfId="12028" xr:uid="{00000000-0005-0000-0000-0000DB0E0000}"/>
    <cellStyle name="Normal 2 2 3 3 4 3" xfId="11381" xr:uid="{00000000-0005-0000-0000-0000DC0E0000}"/>
    <cellStyle name="Normal 2 2 3 3 5" xfId="9996" xr:uid="{00000000-0005-0000-0000-0000DD0E0000}"/>
    <cellStyle name="Normal 2 2 3 3 5 2" xfId="11732" xr:uid="{00000000-0005-0000-0000-0000DE0E0000}"/>
    <cellStyle name="Normal 2 2 3 3 6" xfId="10956" xr:uid="{00000000-0005-0000-0000-0000DF0E0000}"/>
    <cellStyle name="Normal 2 2 3 4" xfId="4077" xr:uid="{00000000-0005-0000-0000-0000E00E0000}"/>
    <cellStyle name="Normal 2 2 3 4 2" xfId="4242" xr:uid="{00000000-0005-0000-0000-0000E10E0000}"/>
    <cellStyle name="Normal 2 2 3 4 2 2" xfId="9677" xr:uid="{00000000-0005-0000-0000-0000E20E0000}"/>
    <cellStyle name="Normal 2 2 3 4 2 2 2" xfId="10379" xr:uid="{00000000-0005-0000-0000-0000E30E0000}"/>
    <cellStyle name="Normal 2 2 3 4 2 2 2 2" xfId="12114" xr:uid="{00000000-0005-0000-0000-0000E40E0000}"/>
    <cellStyle name="Normal 2 2 3 4 2 2 3" xfId="11467" xr:uid="{00000000-0005-0000-0000-0000E50E0000}"/>
    <cellStyle name="Normal 2 2 3 4 2 3" xfId="10082" xr:uid="{00000000-0005-0000-0000-0000E60E0000}"/>
    <cellStyle name="Normal 2 2 3 4 2 3 2" xfId="11818" xr:uid="{00000000-0005-0000-0000-0000E70E0000}"/>
    <cellStyle name="Normal 2 2 3 4 2 4" xfId="11054" xr:uid="{00000000-0005-0000-0000-0000E80E0000}"/>
    <cellStyle name="Normal 2 2 3 4 3" xfId="9573" xr:uid="{00000000-0005-0000-0000-0000E90E0000}"/>
    <cellStyle name="Normal 2 2 3 4 3 2" xfId="10277" xr:uid="{00000000-0005-0000-0000-0000EA0E0000}"/>
    <cellStyle name="Normal 2 2 3 4 3 2 2" xfId="12012" xr:uid="{00000000-0005-0000-0000-0000EB0E0000}"/>
    <cellStyle name="Normal 2 2 3 4 3 3" xfId="11365" xr:uid="{00000000-0005-0000-0000-0000EC0E0000}"/>
    <cellStyle name="Normal 2 2 3 4 4" xfId="9980" xr:uid="{00000000-0005-0000-0000-0000ED0E0000}"/>
    <cellStyle name="Normal 2 2 3 4 4 2" xfId="11716" xr:uid="{00000000-0005-0000-0000-0000EE0E0000}"/>
    <cellStyle name="Normal 2 2 3 4 5" xfId="10939" xr:uid="{00000000-0005-0000-0000-0000EF0E0000}"/>
    <cellStyle name="Normal 2 2 3 5" xfId="4191" xr:uid="{00000000-0005-0000-0000-0000F00E0000}"/>
    <cellStyle name="Normal 2 2 3 5 2" xfId="9626" xr:uid="{00000000-0005-0000-0000-0000F10E0000}"/>
    <cellStyle name="Normal 2 2 3 5 2 2" xfId="10328" xr:uid="{00000000-0005-0000-0000-0000F20E0000}"/>
    <cellStyle name="Normal 2 2 3 5 2 2 2" xfId="12063" xr:uid="{00000000-0005-0000-0000-0000F30E0000}"/>
    <cellStyle name="Normal 2 2 3 5 2 3" xfId="11416" xr:uid="{00000000-0005-0000-0000-0000F40E0000}"/>
    <cellStyle name="Normal 2 2 3 5 3" xfId="10031" xr:uid="{00000000-0005-0000-0000-0000F50E0000}"/>
    <cellStyle name="Normal 2 2 3 5 3 2" xfId="11767" xr:uid="{00000000-0005-0000-0000-0000F60E0000}"/>
    <cellStyle name="Normal 2 2 3 5 4" xfId="11003" xr:uid="{00000000-0005-0000-0000-0000F70E0000}"/>
    <cellStyle name="Normal 2 2 3 6" xfId="4334" xr:uid="{00000000-0005-0000-0000-0000F80E0000}"/>
    <cellStyle name="Normal 2 2 3 6 2" xfId="9747" xr:uid="{00000000-0005-0000-0000-0000F90E0000}"/>
    <cellStyle name="Normal 2 2 3 6 2 2" xfId="10447" xr:uid="{00000000-0005-0000-0000-0000FA0E0000}"/>
    <cellStyle name="Normal 2 2 3 6 2 2 2" xfId="12182" xr:uid="{00000000-0005-0000-0000-0000FB0E0000}"/>
    <cellStyle name="Normal 2 2 3 6 2 3" xfId="11535" xr:uid="{00000000-0005-0000-0000-0000FC0E0000}"/>
    <cellStyle name="Normal 2 2 3 6 3" xfId="10150" xr:uid="{00000000-0005-0000-0000-0000FD0E0000}"/>
    <cellStyle name="Normal 2 2 3 6 3 2" xfId="11886" xr:uid="{00000000-0005-0000-0000-0000FE0E0000}"/>
    <cellStyle name="Normal 2 2 3 6 4" xfId="11141" xr:uid="{00000000-0005-0000-0000-0000FF0E0000}"/>
    <cellStyle name="Normal 2 2 3 7" xfId="7726" xr:uid="{00000000-0005-0000-0000-0000000F0000}"/>
    <cellStyle name="Normal 2 2 30" xfId="1341" xr:uid="{00000000-0005-0000-0000-0000010F0000}"/>
    <cellStyle name="Normal 2 2 31" xfId="4049" xr:uid="{00000000-0005-0000-0000-0000020F0000}"/>
    <cellStyle name="Normal 2 2 31 2" xfId="9557" xr:uid="{00000000-0005-0000-0000-0000030F0000}"/>
    <cellStyle name="Normal 2 2 31 2 2" xfId="10262" xr:uid="{00000000-0005-0000-0000-0000040F0000}"/>
    <cellStyle name="Normal 2 2 31 2 2 2" xfId="11997" xr:uid="{00000000-0005-0000-0000-0000050F0000}"/>
    <cellStyle name="Normal 2 2 31 2 3" xfId="11350" xr:uid="{00000000-0005-0000-0000-0000060F0000}"/>
    <cellStyle name="Normal 2 2 31 3" xfId="9965" xr:uid="{00000000-0005-0000-0000-0000070F0000}"/>
    <cellStyle name="Normal 2 2 31 3 2" xfId="11701" xr:uid="{00000000-0005-0000-0000-0000080F0000}"/>
    <cellStyle name="Normal 2 2 31 4" xfId="10921" xr:uid="{00000000-0005-0000-0000-0000090F0000}"/>
    <cellStyle name="Normal 2 2 32" xfId="4052" xr:uid="{00000000-0005-0000-0000-00000A0F0000}"/>
    <cellStyle name="Normal 2 2 33" xfId="4327" xr:uid="{00000000-0005-0000-0000-00000B0F0000}"/>
    <cellStyle name="Normal 2 2 33 2" xfId="9743" xr:uid="{00000000-0005-0000-0000-00000C0F0000}"/>
    <cellStyle name="Normal 2 2 33 2 2" xfId="10443" xr:uid="{00000000-0005-0000-0000-00000D0F0000}"/>
    <cellStyle name="Normal 2 2 33 2 2 2" xfId="12178" xr:uid="{00000000-0005-0000-0000-00000E0F0000}"/>
    <cellStyle name="Normal 2 2 33 2 3" xfId="11531" xr:uid="{00000000-0005-0000-0000-00000F0F0000}"/>
    <cellStyle name="Normal 2 2 33 3" xfId="10146" xr:uid="{00000000-0005-0000-0000-0000100F0000}"/>
    <cellStyle name="Normal 2 2 33 3 2" xfId="11882" xr:uid="{00000000-0005-0000-0000-0000110F0000}"/>
    <cellStyle name="Normal 2 2 33 4" xfId="11135" xr:uid="{00000000-0005-0000-0000-0000120F0000}"/>
    <cellStyle name="Normal 2 2 34" xfId="1289" xr:uid="{00000000-0005-0000-0000-0000130F0000}"/>
    <cellStyle name="Normal 2 2 35" xfId="12411" xr:uid="{00000000-0005-0000-0000-0000140F0000}"/>
    <cellStyle name="Normal 2 2 4" xfId="1342" xr:uid="{00000000-0005-0000-0000-0000150F0000}"/>
    <cellStyle name="Normal 2 2 4 2" xfId="4158" xr:uid="{00000000-0005-0000-0000-0000160F0000}"/>
    <cellStyle name="Normal 2 2 4 2 2" xfId="4277" xr:uid="{00000000-0005-0000-0000-0000170F0000}"/>
    <cellStyle name="Normal 2 2 4 2 2 2" xfId="9712" xr:uid="{00000000-0005-0000-0000-0000180F0000}"/>
    <cellStyle name="Normal 2 2 4 2 2 2 2" xfId="10414" xr:uid="{00000000-0005-0000-0000-0000190F0000}"/>
    <cellStyle name="Normal 2 2 4 2 2 2 2 2" xfId="12149" xr:uid="{00000000-0005-0000-0000-00001A0F0000}"/>
    <cellStyle name="Normal 2 2 4 2 2 2 3" xfId="11502" xr:uid="{00000000-0005-0000-0000-00001B0F0000}"/>
    <cellStyle name="Normal 2 2 4 2 2 3" xfId="10117" xr:uid="{00000000-0005-0000-0000-00001C0F0000}"/>
    <cellStyle name="Normal 2 2 4 2 2 3 2" xfId="11853" xr:uid="{00000000-0005-0000-0000-00001D0F0000}"/>
    <cellStyle name="Normal 2 2 4 2 2 4" xfId="11089" xr:uid="{00000000-0005-0000-0000-00001E0F0000}"/>
    <cellStyle name="Normal 2 2 4 2 3" xfId="4226" xr:uid="{00000000-0005-0000-0000-00001F0F0000}"/>
    <cellStyle name="Normal 2 2 4 2 3 2" xfId="9661" xr:uid="{00000000-0005-0000-0000-0000200F0000}"/>
    <cellStyle name="Normal 2 2 4 2 3 2 2" xfId="10363" xr:uid="{00000000-0005-0000-0000-0000210F0000}"/>
    <cellStyle name="Normal 2 2 4 2 3 2 2 2" xfId="12098" xr:uid="{00000000-0005-0000-0000-0000220F0000}"/>
    <cellStyle name="Normal 2 2 4 2 3 2 3" xfId="11451" xr:uid="{00000000-0005-0000-0000-0000230F0000}"/>
    <cellStyle name="Normal 2 2 4 2 3 3" xfId="10066" xr:uid="{00000000-0005-0000-0000-0000240F0000}"/>
    <cellStyle name="Normal 2 2 4 2 3 3 2" xfId="11802" xr:uid="{00000000-0005-0000-0000-0000250F0000}"/>
    <cellStyle name="Normal 2 2 4 2 3 4" xfId="11038" xr:uid="{00000000-0005-0000-0000-0000260F0000}"/>
    <cellStyle name="Normal 2 2 4 2 4" xfId="4351" xr:uid="{00000000-0005-0000-0000-0000270F0000}"/>
    <cellStyle name="Normal 2 2 4 2 4 2" xfId="9762" xr:uid="{00000000-0005-0000-0000-0000280F0000}"/>
    <cellStyle name="Normal 2 2 4 2 4 2 2" xfId="10461" xr:uid="{00000000-0005-0000-0000-0000290F0000}"/>
    <cellStyle name="Normal 2 2 4 2 4 2 2 2" xfId="12196" xr:uid="{00000000-0005-0000-0000-00002A0F0000}"/>
    <cellStyle name="Normal 2 2 4 2 4 2 3" xfId="11549" xr:uid="{00000000-0005-0000-0000-00002B0F0000}"/>
    <cellStyle name="Normal 2 2 4 2 4 3" xfId="10164" xr:uid="{00000000-0005-0000-0000-00002C0F0000}"/>
    <cellStyle name="Normal 2 2 4 2 4 3 2" xfId="11900" xr:uid="{00000000-0005-0000-0000-00002D0F0000}"/>
    <cellStyle name="Normal 2 2 4 2 4 4" xfId="11157" xr:uid="{00000000-0005-0000-0000-00002E0F0000}"/>
    <cellStyle name="Normal 2 2 4 2 5" xfId="9609" xr:uid="{00000000-0005-0000-0000-00002F0F0000}"/>
    <cellStyle name="Normal 2 2 4 2 5 2" xfId="10312" xr:uid="{00000000-0005-0000-0000-0000300F0000}"/>
    <cellStyle name="Normal 2 2 4 2 5 2 2" xfId="12047" xr:uid="{00000000-0005-0000-0000-0000310F0000}"/>
    <cellStyle name="Normal 2 2 4 2 5 3" xfId="11400" xr:uid="{00000000-0005-0000-0000-0000320F0000}"/>
    <cellStyle name="Normal 2 2 4 2 6" xfId="10015" xr:uid="{00000000-0005-0000-0000-0000330F0000}"/>
    <cellStyle name="Normal 2 2 4 2 6 2" xfId="11751" xr:uid="{00000000-0005-0000-0000-0000340F0000}"/>
    <cellStyle name="Normal 2 2 4 2 7" xfId="10978" xr:uid="{00000000-0005-0000-0000-0000350F0000}"/>
    <cellStyle name="Normal 2 2 4 3" xfId="4118" xr:uid="{00000000-0005-0000-0000-0000360F0000}"/>
    <cellStyle name="Normal 2 2 4 3 2" xfId="4259" xr:uid="{00000000-0005-0000-0000-0000370F0000}"/>
    <cellStyle name="Normal 2 2 4 3 2 2" xfId="9694" xr:uid="{00000000-0005-0000-0000-0000380F0000}"/>
    <cellStyle name="Normal 2 2 4 3 2 2 2" xfId="10396" xr:uid="{00000000-0005-0000-0000-0000390F0000}"/>
    <cellStyle name="Normal 2 2 4 3 2 2 2 2" xfId="12131" xr:uid="{00000000-0005-0000-0000-00003A0F0000}"/>
    <cellStyle name="Normal 2 2 4 3 2 2 3" xfId="11484" xr:uid="{00000000-0005-0000-0000-00003B0F0000}"/>
    <cellStyle name="Normal 2 2 4 3 2 3" xfId="10099" xr:uid="{00000000-0005-0000-0000-00003C0F0000}"/>
    <cellStyle name="Normal 2 2 4 3 2 3 2" xfId="11835" xr:uid="{00000000-0005-0000-0000-00003D0F0000}"/>
    <cellStyle name="Normal 2 2 4 3 2 4" xfId="11071" xr:uid="{00000000-0005-0000-0000-00003E0F0000}"/>
    <cellStyle name="Normal 2 2 4 3 3" xfId="4208" xr:uid="{00000000-0005-0000-0000-00003F0F0000}"/>
    <cellStyle name="Normal 2 2 4 3 3 2" xfId="9643" xr:uid="{00000000-0005-0000-0000-0000400F0000}"/>
    <cellStyle name="Normal 2 2 4 3 3 2 2" xfId="10345" xr:uid="{00000000-0005-0000-0000-0000410F0000}"/>
    <cellStyle name="Normal 2 2 4 3 3 2 2 2" xfId="12080" xr:uid="{00000000-0005-0000-0000-0000420F0000}"/>
    <cellStyle name="Normal 2 2 4 3 3 2 3" xfId="11433" xr:uid="{00000000-0005-0000-0000-0000430F0000}"/>
    <cellStyle name="Normal 2 2 4 3 3 3" xfId="10048" xr:uid="{00000000-0005-0000-0000-0000440F0000}"/>
    <cellStyle name="Normal 2 2 4 3 3 3 2" xfId="11784" xr:uid="{00000000-0005-0000-0000-0000450F0000}"/>
    <cellStyle name="Normal 2 2 4 3 3 4" xfId="11020" xr:uid="{00000000-0005-0000-0000-0000460F0000}"/>
    <cellStyle name="Normal 2 2 4 3 4" xfId="9590" xr:uid="{00000000-0005-0000-0000-0000470F0000}"/>
    <cellStyle name="Normal 2 2 4 3 4 2" xfId="10294" xr:uid="{00000000-0005-0000-0000-0000480F0000}"/>
    <cellStyle name="Normal 2 2 4 3 4 2 2" xfId="12029" xr:uid="{00000000-0005-0000-0000-0000490F0000}"/>
    <cellStyle name="Normal 2 2 4 3 4 3" xfId="11382" xr:uid="{00000000-0005-0000-0000-00004A0F0000}"/>
    <cellStyle name="Normal 2 2 4 3 5" xfId="9997" xr:uid="{00000000-0005-0000-0000-00004B0F0000}"/>
    <cellStyle name="Normal 2 2 4 3 5 2" xfId="11733" xr:uid="{00000000-0005-0000-0000-00004C0F0000}"/>
    <cellStyle name="Normal 2 2 4 3 6" xfId="10957" xr:uid="{00000000-0005-0000-0000-00004D0F0000}"/>
    <cellStyle name="Normal 2 2 4 4" xfId="4085" xr:uid="{00000000-0005-0000-0000-00004E0F0000}"/>
    <cellStyle name="Normal 2 2 4 4 2" xfId="4243" xr:uid="{00000000-0005-0000-0000-00004F0F0000}"/>
    <cellStyle name="Normal 2 2 4 4 2 2" xfId="9678" xr:uid="{00000000-0005-0000-0000-0000500F0000}"/>
    <cellStyle name="Normal 2 2 4 4 2 2 2" xfId="10380" xr:uid="{00000000-0005-0000-0000-0000510F0000}"/>
    <cellStyle name="Normal 2 2 4 4 2 2 2 2" xfId="12115" xr:uid="{00000000-0005-0000-0000-0000520F0000}"/>
    <cellStyle name="Normal 2 2 4 4 2 2 3" xfId="11468" xr:uid="{00000000-0005-0000-0000-0000530F0000}"/>
    <cellStyle name="Normal 2 2 4 4 2 3" xfId="10083" xr:uid="{00000000-0005-0000-0000-0000540F0000}"/>
    <cellStyle name="Normal 2 2 4 4 2 3 2" xfId="11819" xr:uid="{00000000-0005-0000-0000-0000550F0000}"/>
    <cellStyle name="Normal 2 2 4 4 2 4" xfId="11055" xr:uid="{00000000-0005-0000-0000-0000560F0000}"/>
    <cellStyle name="Normal 2 2 4 4 3" xfId="9574" xr:uid="{00000000-0005-0000-0000-0000570F0000}"/>
    <cellStyle name="Normal 2 2 4 4 3 2" xfId="10278" xr:uid="{00000000-0005-0000-0000-0000580F0000}"/>
    <cellStyle name="Normal 2 2 4 4 3 2 2" xfId="12013" xr:uid="{00000000-0005-0000-0000-0000590F0000}"/>
    <cellStyle name="Normal 2 2 4 4 3 3" xfId="11366" xr:uid="{00000000-0005-0000-0000-00005A0F0000}"/>
    <cellStyle name="Normal 2 2 4 4 4" xfId="9981" xr:uid="{00000000-0005-0000-0000-00005B0F0000}"/>
    <cellStyle name="Normal 2 2 4 4 4 2" xfId="11717" xr:uid="{00000000-0005-0000-0000-00005C0F0000}"/>
    <cellStyle name="Normal 2 2 4 4 5" xfId="10940" xr:uid="{00000000-0005-0000-0000-00005D0F0000}"/>
    <cellStyle name="Normal 2 2 4 5" xfId="4192" xr:uid="{00000000-0005-0000-0000-00005E0F0000}"/>
    <cellStyle name="Normal 2 2 4 5 2" xfId="9627" xr:uid="{00000000-0005-0000-0000-00005F0F0000}"/>
    <cellStyle name="Normal 2 2 4 5 2 2" xfId="10329" xr:uid="{00000000-0005-0000-0000-0000600F0000}"/>
    <cellStyle name="Normal 2 2 4 5 2 2 2" xfId="12064" xr:uid="{00000000-0005-0000-0000-0000610F0000}"/>
    <cellStyle name="Normal 2 2 4 5 2 3" xfId="11417" xr:uid="{00000000-0005-0000-0000-0000620F0000}"/>
    <cellStyle name="Normal 2 2 4 5 3" xfId="10032" xr:uid="{00000000-0005-0000-0000-0000630F0000}"/>
    <cellStyle name="Normal 2 2 4 5 3 2" xfId="11768" xr:uid="{00000000-0005-0000-0000-0000640F0000}"/>
    <cellStyle name="Normal 2 2 4 5 4" xfId="11004" xr:uid="{00000000-0005-0000-0000-0000650F0000}"/>
    <cellStyle name="Normal 2 2 4 6" xfId="4333" xr:uid="{00000000-0005-0000-0000-0000660F0000}"/>
    <cellStyle name="Normal 2 2 4 6 2" xfId="9746" xr:uid="{00000000-0005-0000-0000-0000670F0000}"/>
    <cellStyle name="Normal 2 2 4 6 2 2" xfId="10446" xr:uid="{00000000-0005-0000-0000-0000680F0000}"/>
    <cellStyle name="Normal 2 2 4 6 2 2 2" xfId="12181" xr:uid="{00000000-0005-0000-0000-0000690F0000}"/>
    <cellStyle name="Normal 2 2 4 6 2 3" xfId="11534" xr:uid="{00000000-0005-0000-0000-00006A0F0000}"/>
    <cellStyle name="Normal 2 2 4 6 3" xfId="10149" xr:uid="{00000000-0005-0000-0000-00006B0F0000}"/>
    <cellStyle name="Normal 2 2 4 6 3 2" xfId="11885" xr:uid="{00000000-0005-0000-0000-00006C0F0000}"/>
    <cellStyle name="Normal 2 2 4 6 4" xfId="11140" xr:uid="{00000000-0005-0000-0000-00006D0F0000}"/>
    <cellStyle name="Normal 2 2 4 7" xfId="7727" xr:uid="{00000000-0005-0000-0000-00006E0F0000}"/>
    <cellStyle name="Normal 2 2 5" xfId="1343" xr:uid="{00000000-0005-0000-0000-00006F0F0000}"/>
    <cellStyle name="Normal 2 2 5 2" xfId="4160" xr:uid="{00000000-0005-0000-0000-0000700F0000}"/>
    <cellStyle name="Normal 2 2 5 2 2" xfId="4278" xr:uid="{00000000-0005-0000-0000-0000710F0000}"/>
    <cellStyle name="Normal 2 2 5 2 2 2" xfId="9713" xr:uid="{00000000-0005-0000-0000-0000720F0000}"/>
    <cellStyle name="Normal 2 2 5 2 2 2 2" xfId="10415" xr:uid="{00000000-0005-0000-0000-0000730F0000}"/>
    <cellStyle name="Normal 2 2 5 2 2 2 2 2" xfId="12150" xr:uid="{00000000-0005-0000-0000-0000740F0000}"/>
    <cellStyle name="Normal 2 2 5 2 2 2 3" xfId="11503" xr:uid="{00000000-0005-0000-0000-0000750F0000}"/>
    <cellStyle name="Normal 2 2 5 2 2 3" xfId="10118" xr:uid="{00000000-0005-0000-0000-0000760F0000}"/>
    <cellStyle name="Normal 2 2 5 2 2 3 2" xfId="11854" xr:uid="{00000000-0005-0000-0000-0000770F0000}"/>
    <cellStyle name="Normal 2 2 5 2 2 4" xfId="11090" xr:uid="{00000000-0005-0000-0000-0000780F0000}"/>
    <cellStyle name="Normal 2 2 5 2 3" xfId="4227" xr:uid="{00000000-0005-0000-0000-0000790F0000}"/>
    <cellStyle name="Normal 2 2 5 2 3 2" xfId="9662" xr:uid="{00000000-0005-0000-0000-00007A0F0000}"/>
    <cellStyle name="Normal 2 2 5 2 3 2 2" xfId="10364" xr:uid="{00000000-0005-0000-0000-00007B0F0000}"/>
    <cellStyle name="Normal 2 2 5 2 3 2 2 2" xfId="12099" xr:uid="{00000000-0005-0000-0000-00007C0F0000}"/>
    <cellStyle name="Normal 2 2 5 2 3 2 3" xfId="11452" xr:uid="{00000000-0005-0000-0000-00007D0F0000}"/>
    <cellStyle name="Normal 2 2 5 2 3 3" xfId="10067" xr:uid="{00000000-0005-0000-0000-00007E0F0000}"/>
    <cellStyle name="Normal 2 2 5 2 3 3 2" xfId="11803" xr:uid="{00000000-0005-0000-0000-00007F0F0000}"/>
    <cellStyle name="Normal 2 2 5 2 3 4" xfId="11039" xr:uid="{00000000-0005-0000-0000-0000800F0000}"/>
    <cellStyle name="Normal 2 2 5 2 4" xfId="4346" xr:uid="{00000000-0005-0000-0000-0000810F0000}"/>
    <cellStyle name="Normal 2 2 5 2 4 2" xfId="9757" xr:uid="{00000000-0005-0000-0000-0000820F0000}"/>
    <cellStyle name="Normal 2 2 5 2 4 2 2" xfId="10456" xr:uid="{00000000-0005-0000-0000-0000830F0000}"/>
    <cellStyle name="Normal 2 2 5 2 4 2 2 2" xfId="12191" xr:uid="{00000000-0005-0000-0000-0000840F0000}"/>
    <cellStyle name="Normal 2 2 5 2 4 2 3" xfId="11544" xr:uid="{00000000-0005-0000-0000-0000850F0000}"/>
    <cellStyle name="Normal 2 2 5 2 4 3" xfId="10159" xr:uid="{00000000-0005-0000-0000-0000860F0000}"/>
    <cellStyle name="Normal 2 2 5 2 4 3 2" xfId="11895" xr:uid="{00000000-0005-0000-0000-0000870F0000}"/>
    <cellStyle name="Normal 2 2 5 2 4 4" xfId="11152" xr:uid="{00000000-0005-0000-0000-0000880F0000}"/>
    <cellStyle name="Normal 2 2 5 2 5" xfId="9610" xr:uid="{00000000-0005-0000-0000-0000890F0000}"/>
    <cellStyle name="Normal 2 2 5 2 5 2" xfId="10313" xr:uid="{00000000-0005-0000-0000-00008A0F0000}"/>
    <cellStyle name="Normal 2 2 5 2 5 2 2" xfId="12048" xr:uid="{00000000-0005-0000-0000-00008B0F0000}"/>
    <cellStyle name="Normal 2 2 5 2 5 3" xfId="11401" xr:uid="{00000000-0005-0000-0000-00008C0F0000}"/>
    <cellStyle name="Normal 2 2 5 2 6" xfId="10016" xr:uid="{00000000-0005-0000-0000-00008D0F0000}"/>
    <cellStyle name="Normal 2 2 5 2 6 2" xfId="11752" xr:uid="{00000000-0005-0000-0000-00008E0F0000}"/>
    <cellStyle name="Normal 2 2 5 2 7" xfId="10979" xr:uid="{00000000-0005-0000-0000-00008F0F0000}"/>
    <cellStyle name="Normal 2 2 5 3" xfId="4120" xr:uid="{00000000-0005-0000-0000-0000900F0000}"/>
    <cellStyle name="Normal 2 2 5 3 2" xfId="4260" xr:uid="{00000000-0005-0000-0000-0000910F0000}"/>
    <cellStyle name="Normal 2 2 5 3 2 2" xfId="9695" xr:uid="{00000000-0005-0000-0000-0000920F0000}"/>
    <cellStyle name="Normal 2 2 5 3 2 2 2" xfId="10397" xr:uid="{00000000-0005-0000-0000-0000930F0000}"/>
    <cellStyle name="Normal 2 2 5 3 2 2 2 2" xfId="12132" xr:uid="{00000000-0005-0000-0000-0000940F0000}"/>
    <cellStyle name="Normal 2 2 5 3 2 2 3" xfId="11485" xr:uid="{00000000-0005-0000-0000-0000950F0000}"/>
    <cellStyle name="Normal 2 2 5 3 2 3" xfId="10100" xr:uid="{00000000-0005-0000-0000-0000960F0000}"/>
    <cellStyle name="Normal 2 2 5 3 2 3 2" xfId="11836" xr:uid="{00000000-0005-0000-0000-0000970F0000}"/>
    <cellStyle name="Normal 2 2 5 3 2 4" xfId="11072" xr:uid="{00000000-0005-0000-0000-0000980F0000}"/>
    <cellStyle name="Normal 2 2 5 3 3" xfId="4209" xr:uid="{00000000-0005-0000-0000-0000990F0000}"/>
    <cellStyle name="Normal 2 2 5 3 3 2" xfId="9644" xr:uid="{00000000-0005-0000-0000-00009A0F0000}"/>
    <cellStyle name="Normal 2 2 5 3 3 2 2" xfId="10346" xr:uid="{00000000-0005-0000-0000-00009B0F0000}"/>
    <cellStyle name="Normal 2 2 5 3 3 2 2 2" xfId="12081" xr:uid="{00000000-0005-0000-0000-00009C0F0000}"/>
    <cellStyle name="Normal 2 2 5 3 3 2 3" xfId="11434" xr:uid="{00000000-0005-0000-0000-00009D0F0000}"/>
    <cellStyle name="Normal 2 2 5 3 3 3" xfId="10049" xr:uid="{00000000-0005-0000-0000-00009E0F0000}"/>
    <cellStyle name="Normal 2 2 5 3 3 3 2" xfId="11785" xr:uid="{00000000-0005-0000-0000-00009F0F0000}"/>
    <cellStyle name="Normal 2 2 5 3 3 4" xfId="11021" xr:uid="{00000000-0005-0000-0000-0000A00F0000}"/>
    <cellStyle name="Normal 2 2 5 3 4" xfId="9591" xr:uid="{00000000-0005-0000-0000-0000A10F0000}"/>
    <cellStyle name="Normal 2 2 5 3 4 2" xfId="10295" xr:uid="{00000000-0005-0000-0000-0000A20F0000}"/>
    <cellStyle name="Normal 2 2 5 3 4 2 2" xfId="12030" xr:uid="{00000000-0005-0000-0000-0000A30F0000}"/>
    <cellStyle name="Normal 2 2 5 3 4 3" xfId="11383" xr:uid="{00000000-0005-0000-0000-0000A40F0000}"/>
    <cellStyle name="Normal 2 2 5 3 5" xfId="9998" xr:uid="{00000000-0005-0000-0000-0000A50F0000}"/>
    <cellStyle name="Normal 2 2 5 3 5 2" xfId="11734" xr:uid="{00000000-0005-0000-0000-0000A60F0000}"/>
    <cellStyle name="Normal 2 2 5 3 6" xfId="10958" xr:uid="{00000000-0005-0000-0000-0000A70F0000}"/>
    <cellStyle name="Normal 2 2 5 4" xfId="4087" xr:uid="{00000000-0005-0000-0000-0000A80F0000}"/>
    <cellStyle name="Normal 2 2 5 4 2" xfId="4244" xr:uid="{00000000-0005-0000-0000-0000A90F0000}"/>
    <cellStyle name="Normal 2 2 5 4 2 2" xfId="9679" xr:uid="{00000000-0005-0000-0000-0000AA0F0000}"/>
    <cellStyle name="Normal 2 2 5 4 2 2 2" xfId="10381" xr:uid="{00000000-0005-0000-0000-0000AB0F0000}"/>
    <cellStyle name="Normal 2 2 5 4 2 2 2 2" xfId="12116" xr:uid="{00000000-0005-0000-0000-0000AC0F0000}"/>
    <cellStyle name="Normal 2 2 5 4 2 2 3" xfId="11469" xr:uid="{00000000-0005-0000-0000-0000AD0F0000}"/>
    <cellStyle name="Normal 2 2 5 4 2 3" xfId="10084" xr:uid="{00000000-0005-0000-0000-0000AE0F0000}"/>
    <cellStyle name="Normal 2 2 5 4 2 3 2" xfId="11820" xr:uid="{00000000-0005-0000-0000-0000AF0F0000}"/>
    <cellStyle name="Normal 2 2 5 4 2 4" xfId="11056" xr:uid="{00000000-0005-0000-0000-0000B00F0000}"/>
    <cellStyle name="Normal 2 2 5 4 3" xfId="9575" xr:uid="{00000000-0005-0000-0000-0000B10F0000}"/>
    <cellStyle name="Normal 2 2 5 4 3 2" xfId="10279" xr:uid="{00000000-0005-0000-0000-0000B20F0000}"/>
    <cellStyle name="Normal 2 2 5 4 3 2 2" xfId="12014" xr:uid="{00000000-0005-0000-0000-0000B30F0000}"/>
    <cellStyle name="Normal 2 2 5 4 3 3" xfId="11367" xr:uid="{00000000-0005-0000-0000-0000B40F0000}"/>
    <cellStyle name="Normal 2 2 5 4 4" xfId="9982" xr:uid="{00000000-0005-0000-0000-0000B50F0000}"/>
    <cellStyle name="Normal 2 2 5 4 4 2" xfId="11718" xr:uid="{00000000-0005-0000-0000-0000B60F0000}"/>
    <cellStyle name="Normal 2 2 5 4 5" xfId="10941" xr:uid="{00000000-0005-0000-0000-0000B70F0000}"/>
    <cellStyle name="Normal 2 2 5 5" xfId="4193" xr:uid="{00000000-0005-0000-0000-0000B80F0000}"/>
    <cellStyle name="Normal 2 2 5 5 2" xfId="9628" xr:uid="{00000000-0005-0000-0000-0000B90F0000}"/>
    <cellStyle name="Normal 2 2 5 5 2 2" xfId="10330" xr:uid="{00000000-0005-0000-0000-0000BA0F0000}"/>
    <cellStyle name="Normal 2 2 5 5 2 2 2" xfId="12065" xr:uid="{00000000-0005-0000-0000-0000BB0F0000}"/>
    <cellStyle name="Normal 2 2 5 5 2 3" xfId="11418" xr:uid="{00000000-0005-0000-0000-0000BC0F0000}"/>
    <cellStyle name="Normal 2 2 5 5 3" xfId="10033" xr:uid="{00000000-0005-0000-0000-0000BD0F0000}"/>
    <cellStyle name="Normal 2 2 5 5 3 2" xfId="11769" xr:uid="{00000000-0005-0000-0000-0000BE0F0000}"/>
    <cellStyle name="Normal 2 2 5 5 4" xfId="11005" xr:uid="{00000000-0005-0000-0000-0000BF0F0000}"/>
    <cellStyle name="Normal 2 2 5 6" xfId="4307" xr:uid="{00000000-0005-0000-0000-0000C00F0000}"/>
    <cellStyle name="Normal 2 2 5 6 2" xfId="9733" xr:uid="{00000000-0005-0000-0000-0000C10F0000}"/>
    <cellStyle name="Normal 2 2 5 6 2 2" xfId="10434" xr:uid="{00000000-0005-0000-0000-0000C20F0000}"/>
    <cellStyle name="Normal 2 2 5 6 2 2 2" xfId="12169" xr:uid="{00000000-0005-0000-0000-0000C30F0000}"/>
    <cellStyle name="Normal 2 2 5 6 2 3" xfId="11522" xr:uid="{00000000-0005-0000-0000-0000C40F0000}"/>
    <cellStyle name="Normal 2 2 5 6 3" xfId="10137" xr:uid="{00000000-0005-0000-0000-0000C50F0000}"/>
    <cellStyle name="Normal 2 2 5 6 3 2" xfId="11873" xr:uid="{00000000-0005-0000-0000-0000C60F0000}"/>
    <cellStyle name="Normal 2 2 5 6 4" xfId="11117" xr:uid="{00000000-0005-0000-0000-0000C70F0000}"/>
    <cellStyle name="Normal 2 2 5 7" xfId="7728" xr:uid="{00000000-0005-0000-0000-0000C80F0000}"/>
    <cellStyle name="Normal 2 2 6" xfId="1344" xr:uid="{00000000-0005-0000-0000-0000C90F0000}"/>
    <cellStyle name="Normal 2 2 6 2" xfId="4162" xr:uid="{00000000-0005-0000-0000-0000CA0F0000}"/>
    <cellStyle name="Normal 2 2 6 2 2" xfId="4279" xr:uid="{00000000-0005-0000-0000-0000CB0F0000}"/>
    <cellStyle name="Normal 2 2 6 2 2 2" xfId="9714" xr:uid="{00000000-0005-0000-0000-0000CC0F0000}"/>
    <cellStyle name="Normal 2 2 6 2 2 2 2" xfId="10416" xr:uid="{00000000-0005-0000-0000-0000CD0F0000}"/>
    <cellStyle name="Normal 2 2 6 2 2 2 2 2" xfId="12151" xr:uid="{00000000-0005-0000-0000-0000CE0F0000}"/>
    <cellStyle name="Normal 2 2 6 2 2 2 3" xfId="11504" xr:uid="{00000000-0005-0000-0000-0000CF0F0000}"/>
    <cellStyle name="Normal 2 2 6 2 2 3" xfId="10119" xr:uid="{00000000-0005-0000-0000-0000D00F0000}"/>
    <cellStyle name="Normal 2 2 6 2 2 3 2" xfId="11855" xr:uid="{00000000-0005-0000-0000-0000D10F0000}"/>
    <cellStyle name="Normal 2 2 6 2 2 4" xfId="11091" xr:uid="{00000000-0005-0000-0000-0000D20F0000}"/>
    <cellStyle name="Normal 2 2 6 2 3" xfId="4228" xr:uid="{00000000-0005-0000-0000-0000D30F0000}"/>
    <cellStyle name="Normal 2 2 6 2 3 2" xfId="9663" xr:uid="{00000000-0005-0000-0000-0000D40F0000}"/>
    <cellStyle name="Normal 2 2 6 2 3 2 2" xfId="10365" xr:uid="{00000000-0005-0000-0000-0000D50F0000}"/>
    <cellStyle name="Normal 2 2 6 2 3 2 2 2" xfId="12100" xr:uid="{00000000-0005-0000-0000-0000D60F0000}"/>
    <cellStyle name="Normal 2 2 6 2 3 2 3" xfId="11453" xr:uid="{00000000-0005-0000-0000-0000D70F0000}"/>
    <cellStyle name="Normal 2 2 6 2 3 3" xfId="10068" xr:uid="{00000000-0005-0000-0000-0000D80F0000}"/>
    <cellStyle name="Normal 2 2 6 2 3 3 2" xfId="11804" xr:uid="{00000000-0005-0000-0000-0000D90F0000}"/>
    <cellStyle name="Normal 2 2 6 2 3 4" xfId="11040" xr:uid="{00000000-0005-0000-0000-0000DA0F0000}"/>
    <cellStyle name="Normal 2 2 6 2 4" xfId="4355" xr:uid="{00000000-0005-0000-0000-0000DB0F0000}"/>
    <cellStyle name="Normal 2 2 6 2 4 2" xfId="9766" xr:uid="{00000000-0005-0000-0000-0000DC0F0000}"/>
    <cellStyle name="Normal 2 2 6 2 4 2 2" xfId="10465" xr:uid="{00000000-0005-0000-0000-0000DD0F0000}"/>
    <cellStyle name="Normal 2 2 6 2 4 2 2 2" xfId="12200" xr:uid="{00000000-0005-0000-0000-0000DE0F0000}"/>
    <cellStyle name="Normal 2 2 6 2 4 2 3" xfId="11553" xr:uid="{00000000-0005-0000-0000-0000DF0F0000}"/>
    <cellStyle name="Normal 2 2 6 2 4 3" xfId="10168" xr:uid="{00000000-0005-0000-0000-0000E00F0000}"/>
    <cellStyle name="Normal 2 2 6 2 4 3 2" xfId="11904" xr:uid="{00000000-0005-0000-0000-0000E10F0000}"/>
    <cellStyle name="Normal 2 2 6 2 4 4" xfId="11161" xr:uid="{00000000-0005-0000-0000-0000E20F0000}"/>
    <cellStyle name="Normal 2 2 6 2 5" xfId="9611" xr:uid="{00000000-0005-0000-0000-0000E30F0000}"/>
    <cellStyle name="Normal 2 2 6 2 5 2" xfId="10314" xr:uid="{00000000-0005-0000-0000-0000E40F0000}"/>
    <cellStyle name="Normal 2 2 6 2 5 2 2" xfId="12049" xr:uid="{00000000-0005-0000-0000-0000E50F0000}"/>
    <cellStyle name="Normal 2 2 6 2 5 3" xfId="11402" xr:uid="{00000000-0005-0000-0000-0000E60F0000}"/>
    <cellStyle name="Normal 2 2 6 2 6" xfId="10017" xr:uid="{00000000-0005-0000-0000-0000E70F0000}"/>
    <cellStyle name="Normal 2 2 6 2 6 2" xfId="11753" xr:uid="{00000000-0005-0000-0000-0000E80F0000}"/>
    <cellStyle name="Normal 2 2 6 2 7" xfId="10980" xr:uid="{00000000-0005-0000-0000-0000E90F0000}"/>
    <cellStyle name="Normal 2 2 6 3" xfId="4122" xr:uid="{00000000-0005-0000-0000-0000EA0F0000}"/>
    <cellStyle name="Normal 2 2 6 3 2" xfId="4261" xr:uid="{00000000-0005-0000-0000-0000EB0F0000}"/>
    <cellStyle name="Normal 2 2 6 3 2 2" xfId="9696" xr:uid="{00000000-0005-0000-0000-0000EC0F0000}"/>
    <cellStyle name="Normal 2 2 6 3 2 2 2" xfId="10398" xr:uid="{00000000-0005-0000-0000-0000ED0F0000}"/>
    <cellStyle name="Normal 2 2 6 3 2 2 2 2" xfId="12133" xr:uid="{00000000-0005-0000-0000-0000EE0F0000}"/>
    <cellStyle name="Normal 2 2 6 3 2 2 3" xfId="11486" xr:uid="{00000000-0005-0000-0000-0000EF0F0000}"/>
    <cellStyle name="Normal 2 2 6 3 2 3" xfId="10101" xr:uid="{00000000-0005-0000-0000-0000F00F0000}"/>
    <cellStyle name="Normal 2 2 6 3 2 3 2" xfId="11837" xr:uid="{00000000-0005-0000-0000-0000F10F0000}"/>
    <cellStyle name="Normal 2 2 6 3 2 4" xfId="11073" xr:uid="{00000000-0005-0000-0000-0000F20F0000}"/>
    <cellStyle name="Normal 2 2 6 3 3" xfId="4210" xr:uid="{00000000-0005-0000-0000-0000F30F0000}"/>
    <cellStyle name="Normal 2 2 6 3 3 2" xfId="9645" xr:uid="{00000000-0005-0000-0000-0000F40F0000}"/>
    <cellStyle name="Normal 2 2 6 3 3 2 2" xfId="10347" xr:uid="{00000000-0005-0000-0000-0000F50F0000}"/>
    <cellStyle name="Normal 2 2 6 3 3 2 2 2" xfId="12082" xr:uid="{00000000-0005-0000-0000-0000F60F0000}"/>
    <cellStyle name="Normal 2 2 6 3 3 2 3" xfId="11435" xr:uid="{00000000-0005-0000-0000-0000F70F0000}"/>
    <cellStyle name="Normal 2 2 6 3 3 3" xfId="10050" xr:uid="{00000000-0005-0000-0000-0000F80F0000}"/>
    <cellStyle name="Normal 2 2 6 3 3 3 2" xfId="11786" xr:uid="{00000000-0005-0000-0000-0000F90F0000}"/>
    <cellStyle name="Normal 2 2 6 3 3 4" xfId="11022" xr:uid="{00000000-0005-0000-0000-0000FA0F0000}"/>
    <cellStyle name="Normal 2 2 6 3 4" xfId="9592" xr:uid="{00000000-0005-0000-0000-0000FB0F0000}"/>
    <cellStyle name="Normal 2 2 6 3 4 2" xfId="10296" xr:uid="{00000000-0005-0000-0000-0000FC0F0000}"/>
    <cellStyle name="Normal 2 2 6 3 4 2 2" xfId="12031" xr:uid="{00000000-0005-0000-0000-0000FD0F0000}"/>
    <cellStyle name="Normal 2 2 6 3 4 3" xfId="11384" xr:uid="{00000000-0005-0000-0000-0000FE0F0000}"/>
    <cellStyle name="Normal 2 2 6 3 5" xfId="9999" xr:uid="{00000000-0005-0000-0000-0000FF0F0000}"/>
    <cellStyle name="Normal 2 2 6 3 5 2" xfId="11735" xr:uid="{00000000-0005-0000-0000-000000100000}"/>
    <cellStyle name="Normal 2 2 6 3 6" xfId="10959" xr:uid="{00000000-0005-0000-0000-000001100000}"/>
    <cellStyle name="Normal 2 2 6 4" xfId="4089" xr:uid="{00000000-0005-0000-0000-000002100000}"/>
    <cellStyle name="Normal 2 2 6 4 2" xfId="4245" xr:uid="{00000000-0005-0000-0000-000003100000}"/>
    <cellStyle name="Normal 2 2 6 4 2 2" xfId="9680" xr:uid="{00000000-0005-0000-0000-000004100000}"/>
    <cellStyle name="Normal 2 2 6 4 2 2 2" xfId="10382" xr:uid="{00000000-0005-0000-0000-000005100000}"/>
    <cellStyle name="Normal 2 2 6 4 2 2 2 2" xfId="12117" xr:uid="{00000000-0005-0000-0000-000006100000}"/>
    <cellStyle name="Normal 2 2 6 4 2 2 3" xfId="11470" xr:uid="{00000000-0005-0000-0000-000007100000}"/>
    <cellStyle name="Normal 2 2 6 4 2 3" xfId="10085" xr:uid="{00000000-0005-0000-0000-000008100000}"/>
    <cellStyle name="Normal 2 2 6 4 2 3 2" xfId="11821" xr:uid="{00000000-0005-0000-0000-000009100000}"/>
    <cellStyle name="Normal 2 2 6 4 2 4" xfId="11057" xr:uid="{00000000-0005-0000-0000-00000A100000}"/>
    <cellStyle name="Normal 2 2 6 4 3" xfId="9576" xr:uid="{00000000-0005-0000-0000-00000B100000}"/>
    <cellStyle name="Normal 2 2 6 4 3 2" xfId="10280" xr:uid="{00000000-0005-0000-0000-00000C100000}"/>
    <cellStyle name="Normal 2 2 6 4 3 2 2" xfId="12015" xr:uid="{00000000-0005-0000-0000-00000D100000}"/>
    <cellStyle name="Normal 2 2 6 4 3 3" xfId="11368" xr:uid="{00000000-0005-0000-0000-00000E100000}"/>
    <cellStyle name="Normal 2 2 6 4 4" xfId="9983" xr:uid="{00000000-0005-0000-0000-00000F100000}"/>
    <cellStyle name="Normal 2 2 6 4 4 2" xfId="11719" xr:uid="{00000000-0005-0000-0000-000010100000}"/>
    <cellStyle name="Normal 2 2 6 4 5" xfId="10942" xr:uid="{00000000-0005-0000-0000-000011100000}"/>
    <cellStyle name="Normal 2 2 6 5" xfId="4194" xr:uid="{00000000-0005-0000-0000-000012100000}"/>
    <cellStyle name="Normal 2 2 6 5 2" xfId="9629" xr:uid="{00000000-0005-0000-0000-000013100000}"/>
    <cellStyle name="Normal 2 2 6 5 2 2" xfId="10331" xr:uid="{00000000-0005-0000-0000-000014100000}"/>
    <cellStyle name="Normal 2 2 6 5 2 2 2" xfId="12066" xr:uid="{00000000-0005-0000-0000-000015100000}"/>
    <cellStyle name="Normal 2 2 6 5 2 3" xfId="11419" xr:uid="{00000000-0005-0000-0000-000016100000}"/>
    <cellStyle name="Normal 2 2 6 5 3" xfId="10034" xr:uid="{00000000-0005-0000-0000-000017100000}"/>
    <cellStyle name="Normal 2 2 6 5 3 2" xfId="11770" xr:uid="{00000000-0005-0000-0000-000018100000}"/>
    <cellStyle name="Normal 2 2 6 5 4" xfId="11006" xr:uid="{00000000-0005-0000-0000-000019100000}"/>
    <cellStyle name="Normal 2 2 6 6" xfId="4337" xr:uid="{00000000-0005-0000-0000-00001A100000}"/>
    <cellStyle name="Normal 2 2 6 6 2" xfId="9750" xr:uid="{00000000-0005-0000-0000-00001B100000}"/>
    <cellStyle name="Normal 2 2 6 6 2 2" xfId="10450" xr:uid="{00000000-0005-0000-0000-00001C100000}"/>
    <cellStyle name="Normal 2 2 6 6 2 2 2" xfId="12185" xr:uid="{00000000-0005-0000-0000-00001D100000}"/>
    <cellStyle name="Normal 2 2 6 6 2 3" xfId="11538" xr:uid="{00000000-0005-0000-0000-00001E100000}"/>
    <cellStyle name="Normal 2 2 6 6 3" xfId="10153" xr:uid="{00000000-0005-0000-0000-00001F100000}"/>
    <cellStyle name="Normal 2 2 6 6 3 2" xfId="11889" xr:uid="{00000000-0005-0000-0000-000020100000}"/>
    <cellStyle name="Normal 2 2 6 6 4" xfId="11144" xr:uid="{00000000-0005-0000-0000-000021100000}"/>
    <cellStyle name="Normal 2 2 6 7" xfId="7729" xr:uid="{00000000-0005-0000-0000-000022100000}"/>
    <cellStyle name="Normal 2 2 7" xfId="1345" xr:uid="{00000000-0005-0000-0000-000023100000}"/>
    <cellStyle name="Normal 2 2 7 2" xfId="4164" xr:uid="{00000000-0005-0000-0000-000024100000}"/>
    <cellStyle name="Normal 2 2 7 2 2" xfId="4280" xr:uid="{00000000-0005-0000-0000-000025100000}"/>
    <cellStyle name="Normal 2 2 7 2 2 2" xfId="9715" xr:uid="{00000000-0005-0000-0000-000026100000}"/>
    <cellStyle name="Normal 2 2 7 2 2 2 2" xfId="10417" xr:uid="{00000000-0005-0000-0000-000027100000}"/>
    <cellStyle name="Normal 2 2 7 2 2 2 2 2" xfId="12152" xr:uid="{00000000-0005-0000-0000-000028100000}"/>
    <cellStyle name="Normal 2 2 7 2 2 2 3" xfId="11505" xr:uid="{00000000-0005-0000-0000-000029100000}"/>
    <cellStyle name="Normal 2 2 7 2 2 3" xfId="10120" xr:uid="{00000000-0005-0000-0000-00002A100000}"/>
    <cellStyle name="Normal 2 2 7 2 2 3 2" xfId="11856" xr:uid="{00000000-0005-0000-0000-00002B100000}"/>
    <cellStyle name="Normal 2 2 7 2 2 4" xfId="11092" xr:uid="{00000000-0005-0000-0000-00002C100000}"/>
    <cellStyle name="Normal 2 2 7 2 3" xfId="4229" xr:uid="{00000000-0005-0000-0000-00002D100000}"/>
    <cellStyle name="Normal 2 2 7 2 3 2" xfId="9664" xr:uid="{00000000-0005-0000-0000-00002E100000}"/>
    <cellStyle name="Normal 2 2 7 2 3 2 2" xfId="10366" xr:uid="{00000000-0005-0000-0000-00002F100000}"/>
    <cellStyle name="Normal 2 2 7 2 3 2 2 2" xfId="12101" xr:uid="{00000000-0005-0000-0000-000030100000}"/>
    <cellStyle name="Normal 2 2 7 2 3 2 3" xfId="11454" xr:uid="{00000000-0005-0000-0000-000031100000}"/>
    <cellStyle name="Normal 2 2 7 2 3 3" xfId="10069" xr:uid="{00000000-0005-0000-0000-000032100000}"/>
    <cellStyle name="Normal 2 2 7 2 3 3 2" xfId="11805" xr:uid="{00000000-0005-0000-0000-000033100000}"/>
    <cellStyle name="Normal 2 2 7 2 3 4" xfId="11041" xr:uid="{00000000-0005-0000-0000-000034100000}"/>
    <cellStyle name="Normal 2 2 7 2 4" xfId="4354" xr:uid="{00000000-0005-0000-0000-000035100000}"/>
    <cellStyle name="Normal 2 2 7 2 4 2" xfId="9765" xr:uid="{00000000-0005-0000-0000-000036100000}"/>
    <cellStyle name="Normal 2 2 7 2 4 2 2" xfId="10464" xr:uid="{00000000-0005-0000-0000-000037100000}"/>
    <cellStyle name="Normal 2 2 7 2 4 2 2 2" xfId="12199" xr:uid="{00000000-0005-0000-0000-000038100000}"/>
    <cellStyle name="Normal 2 2 7 2 4 2 3" xfId="11552" xr:uid="{00000000-0005-0000-0000-000039100000}"/>
    <cellStyle name="Normal 2 2 7 2 4 3" xfId="10167" xr:uid="{00000000-0005-0000-0000-00003A100000}"/>
    <cellStyle name="Normal 2 2 7 2 4 3 2" xfId="11903" xr:uid="{00000000-0005-0000-0000-00003B100000}"/>
    <cellStyle name="Normal 2 2 7 2 4 4" xfId="11160" xr:uid="{00000000-0005-0000-0000-00003C100000}"/>
    <cellStyle name="Normal 2 2 7 2 5" xfId="9612" xr:uid="{00000000-0005-0000-0000-00003D100000}"/>
    <cellStyle name="Normal 2 2 7 2 5 2" xfId="10315" xr:uid="{00000000-0005-0000-0000-00003E100000}"/>
    <cellStyle name="Normal 2 2 7 2 5 2 2" xfId="12050" xr:uid="{00000000-0005-0000-0000-00003F100000}"/>
    <cellStyle name="Normal 2 2 7 2 5 3" xfId="11403" xr:uid="{00000000-0005-0000-0000-000040100000}"/>
    <cellStyle name="Normal 2 2 7 2 6" xfId="10018" xr:uid="{00000000-0005-0000-0000-000041100000}"/>
    <cellStyle name="Normal 2 2 7 2 6 2" xfId="11754" xr:uid="{00000000-0005-0000-0000-000042100000}"/>
    <cellStyle name="Normal 2 2 7 2 7" xfId="10981" xr:uid="{00000000-0005-0000-0000-000043100000}"/>
    <cellStyle name="Normal 2 2 7 3" xfId="4124" xr:uid="{00000000-0005-0000-0000-000044100000}"/>
    <cellStyle name="Normal 2 2 7 3 2" xfId="4262" xr:uid="{00000000-0005-0000-0000-000045100000}"/>
    <cellStyle name="Normal 2 2 7 3 2 2" xfId="9697" xr:uid="{00000000-0005-0000-0000-000046100000}"/>
    <cellStyle name="Normal 2 2 7 3 2 2 2" xfId="10399" xr:uid="{00000000-0005-0000-0000-000047100000}"/>
    <cellStyle name="Normal 2 2 7 3 2 2 2 2" xfId="12134" xr:uid="{00000000-0005-0000-0000-000048100000}"/>
    <cellStyle name="Normal 2 2 7 3 2 2 3" xfId="11487" xr:uid="{00000000-0005-0000-0000-000049100000}"/>
    <cellStyle name="Normal 2 2 7 3 2 3" xfId="10102" xr:uid="{00000000-0005-0000-0000-00004A100000}"/>
    <cellStyle name="Normal 2 2 7 3 2 3 2" xfId="11838" xr:uid="{00000000-0005-0000-0000-00004B100000}"/>
    <cellStyle name="Normal 2 2 7 3 2 4" xfId="11074" xr:uid="{00000000-0005-0000-0000-00004C100000}"/>
    <cellStyle name="Normal 2 2 7 3 3" xfId="4211" xr:uid="{00000000-0005-0000-0000-00004D100000}"/>
    <cellStyle name="Normal 2 2 7 3 3 2" xfId="9646" xr:uid="{00000000-0005-0000-0000-00004E100000}"/>
    <cellStyle name="Normal 2 2 7 3 3 2 2" xfId="10348" xr:uid="{00000000-0005-0000-0000-00004F100000}"/>
    <cellStyle name="Normal 2 2 7 3 3 2 2 2" xfId="12083" xr:uid="{00000000-0005-0000-0000-000050100000}"/>
    <cellStyle name="Normal 2 2 7 3 3 2 3" xfId="11436" xr:uid="{00000000-0005-0000-0000-000051100000}"/>
    <cellStyle name="Normal 2 2 7 3 3 3" xfId="10051" xr:uid="{00000000-0005-0000-0000-000052100000}"/>
    <cellStyle name="Normal 2 2 7 3 3 3 2" xfId="11787" xr:uid="{00000000-0005-0000-0000-000053100000}"/>
    <cellStyle name="Normal 2 2 7 3 3 4" xfId="11023" xr:uid="{00000000-0005-0000-0000-000054100000}"/>
    <cellStyle name="Normal 2 2 7 3 4" xfId="9593" xr:uid="{00000000-0005-0000-0000-000055100000}"/>
    <cellStyle name="Normal 2 2 7 3 4 2" xfId="10297" xr:uid="{00000000-0005-0000-0000-000056100000}"/>
    <cellStyle name="Normal 2 2 7 3 4 2 2" xfId="12032" xr:uid="{00000000-0005-0000-0000-000057100000}"/>
    <cellStyle name="Normal 2 2 7 3 4 3" xfId="11385" xr:uid="{00000000-0005-0000-0000-000058100000}"/>
    <cellStyle name="Normal 2 2 7 3 5" xfId="10000" xr:uid="{00000000-0005-0000-0000-000059100000}"/>
    <cellStyle name="Normal 2 2 7 3 5 2" xfId="11736" xr:uid="{00000000-0005-0000-0000-00005A100000}"/>
    <cellStyle name="Normal 2 2 7 3 6" xfId="10960" xr:uid="{00000000-0005-0000-0000-00005B100000}"/>
    <cellStyle name="Normal 2 2 7 4" xfId="4091" xr:uid="{00000000-0005-0000-0000-00005C100000}"/>
    <cellStyle name="Normal 2 2 7 4 2" xfId="4246" xr:uid="{00000000-0005-0000-0000-00005D100000}"/>
    <cellStyle name="Normal 2 2 7 4 2 2" xfId="9681" xr:uid="{00000000-0005-0000-0000-00005E100000}"/>
    <cellStyle name="Normal 2 2 7 4 2 2 2" xfId="10383" xr:uid="{00000000-0005-0000-0000-00005F100000}"/>
    <cellStyle name="Normal 2 2 7 4 2 2 2 2" xfId="12118" xr:uid="{00000000-0005-0000-0000-000060100000}"/>
    <cellStyle name="Normal 2 2 7 4 2 2 3" xfId="11471" xr:uid="{00000000-0005-0000-0000-000061100000}"/>
    <cellStyle name="Normal 2 2 7 4 2 3" xfId="10086" xr:uid="{00000000-0005-0000-0000-000062100000}"/>
    <cellStyle name="Normal 2 2 7 4 2 3 2" xfId="11822" xr:uid="{00000000-0005-0000-0000-000063100000}"/>
    <cellStyle name="Normal 2 2 7 4 2 4" xfId="11058" xr:uid="{00000000-0005-0000-0000-000064100000}"/>
    <cellStyle name="Normal 2 2 7 4 3" xfId="9577" xr:uid="{00000000-0005-0000-0000-000065100000}"/>
    <cellStyle name="Normal 2 2 7 4 3 2" xfId="10281" xr:uid="{00000000-0005-0000-0000-000066100000}"/>
    <cellStyle name="Normal 2 2 7 4 3 2 2" xfId="12016" xr:uid="{00000000-0005-0000-0000-000067100000}"/>
    <cellStyle name="Normal 2 2 7 4 3 3" xfId="11369" xr:uid="{00000000-0005-0000-0000-000068100000}"/>
    <cellStyle name="Normal 2 2 7 4 4" xfId="9984" xr:uid="{00000000-0005-0000-0000-000069100000}"/>
    <cellStyle name="Normal 2 2 7 4 4 2" xfId="11720" xr:uid="{00000000-0005-0000-0000-00006A100000}"/>
    <cellStyle name="Normal 2 2 7 4 5" xfId="10943" xr:uid="{00000000-0005-0000-0000-00006B100000}"/>
    <cellStyle name="Normal 2 2 7 5" xfId="4195" xr:uid="{00000000-0005-0000-0000-00006C100000}"/>
    <cellStyle name="Normal 2 2 7 5 2" xfId="9630" xr:uid="{00000000-0005-0000-0000-00006D100000}"/>
    <cellStyle name="Normal 2 2 7 5 2 2" xfId="10332" xr:uid="{00000000-0005-0000-0000-00006E100000}"/>
    <cellStyle name="Normal 2 2 7 5 2 2 2" xfId="12067" xr:uid="{00000000-0005-0000-0000-00006F100000}"/>
    <cellStyle name="Normal 2 2 7 5 2 3" xfId="11420" xr:uid="{00000000-0005-0000-0000-000070100000}"/>
    <cellStyle name="Normal 2 2 7 5 3" xfId="10035" xr:uid="{00000000-0005-0000-0000-000071100000}"/>
    <cellStyle name="Normal 2 2 7 5 3 2" xfId="11771" xr:uid="{00000000-0005-0000-0000-000072100000}"/>
    <cellStyle name="Normal 2 2 7 5 4" xfId="11007" xr:uid="{00000000-0005-0000-0000-000073100000}"/>
    <cellStyle name="Normal 2 2 7 6" xfId="4336" xr:uid="{00000000-0005-0000-0000-000074100000}"/>
    <cellStyle name="Normal 2 2 7 6 2" xfId="9749" xr:uid="{00000000-0005-0000-0000-000075100000}"/>
    <cellStyle name="Normal 2 2 7 6 2 2" xfId="10449" xr:uid="{00000000-0005-0000-0000-000076100000}"/>
    <cellStyle name="Normal 2 2 7 6 2 2 2" xfId="12184" xr:uid="{00000000-0005-0000-0000-000077100000}"/>
    <cellStyle name="Normal 2 2 7 6 2 3" xfId="11537" xr:uid="{00000000-0005-0000-0000-000078100000}"/>
    <cellStyle name="Normal 2 2 7 6 3" xfId="10152" xr:uid="{00000000-0005-0000-0000-000079100000}"/>
    <cellStyle name="Normal 2 2 7 6 3 2" xfId="11888" xr:uid="{00000000-0005-0000-0000-00007A100000}"/>
    <cellStyle name="Normal 2 2 7 6 4" xfId="11143" xr:uid="{00000000-0005-0000-0000-00007B100000}"/>
    <cellStyle name="Normal 2 2 7 7" xfId="7730" xr:uid="{00000000-0005-0000-0000-00007C100000}"/>
    <cellStyle name="Normal 2 2 8" xfId="1346" xr:uid="{00000000-0005-0000-0000-00007D100000}"/>
    <cellStyle name="Normal 2 2 8 2" xfId="4166" xr:uid="{00000000-0005-0000-0000-00007E100000}"/>
    <cellStyle name="Normal 2 2 8 2 2" xfId="4281" xr:uid="{00000000-0005-0000-0000-00007F100000}"/>
    <cellStyle name="Normal 2 2 8 2 2 2" xfId="9716" xr:uid="{00000000-0005-0000-0000-000080100000}"/>
    <cellStyle name="Normal 2 2 8 2 2 2 2" xfId="10418" xr:uid="{00000000-0005-0000-0000-000081100000}"/>
    <cellStyle name="Normal 2 2 8 2 2 2 2 2" xfId="12153" xr:uid="{00000000-0005-0000-0000-000082100000}"/>
    <cellStyle name="Normal 2 2 8 2 2 2 3" xfId="11506" xr:uid="{00000000-0005-0000-0000-000083100000}"/>
    <cellStyle name="Normal 2 2 8 2 2 3" xfId="10121" xr:uid="{00000000-0005-0000-0000-000084100000}"/>
    <cellStyle name="Normal 2 2 8 2 2 3 2" xfId="11857" xr:uid="{00000000-0005-0000-0000-000085100000}"/>
    <cellStyle name="Normal 2 2 8 2 2 4" xfId="11093" xr:uid="{00000000-0005-0000-0000-000086100000}"/>
    <cellStyle name="Normal 2 2 8 2 3" xfId="4230" xr:uid="{00000000-0005-0000-0000-000087100000}"/>
    <cellStyle name="Normal 2 2 8 2 3 2" xfId="9665" xr:uid="{00000000-0005-0000-0000-000088100000}"/>
    <cellStyle name="Normal 2 2 8 2 3 2 2" xfId="10367" xr:uid="{00000000-0005-0000-0000-000089100000}"/>
    <cellStyle name="Normal 2 2 8 2 3 2 2 2" xfId="12102" xr:uid="{00000000-0005-0000-0000-00008A100000}"/>
    <cellStyle name="Normal 2 2 8 2 3 2 3" xfId="11455" xr:uid="{00000000-0005-0000-0000-00008B100000}"/>
    <cellStyle name="Normal 2 2 8 2 3 3" xfId="10070" xr:uid="{00000000-0005-0000-0000-00008C100000}"/>
    <cellStyle name="Normal 2 2 8 2 3 3 2" xfId="11806" xr:uid="{00000000-0005-0000-0000-00008D100000}"/>
    <cellStyle name="Normal 2 2 8 2 3 4" xfId="11042" xr:uid="{00000000-0005-0000-0000-00008E100000}"/>
    <cellStyle name="Normal 2 2 8 2 4" xfId="4347" xr:uid="{00000000-0005-0000-0000-00008F100000}"/>
    <cellStyle name="Normal 2 2 8 2 4 2" xfId="9758" xr:uid="{00000000-0005-0000-0000-000090100000}"/>
    <cellStyle name="Normal 2 2 8 2 4 2 2" xfId="10457" xr:uid="{00000000-0005-0000-0000-000091100000}"/>
    <cellStyle name="Normal 2 2 8 2 4 2 2 2" xfId="12192" xr:uid="{00000000-0005-0000-0000-000092100000}"/>
    <cellStyle name="Normal 2 2 8 2 4 2 3" xfId="11545" xr:uid="{00000000-0005-0000-0000-000093100000}"/>
    <cellStyle name="Normal 2 2 8 2 4 3" xfId="10160" xr:uid="{00000000-0005-0000-0000-000094100000}"/>
    <cellStyle name="Normal 2 2 8 2 4 3 2" xfId="11896" xr:uid="{00000000-0005-0000-0000-000095100000}"/>
    <cellStyle name="Normal 2 2 8 2 4 4" xfId="11153" xr:uid="{00000000-0005-0000-0000-000096100000}"/>
    <cellStyle name="Normal 2 2 8 2 5" xfId="9613" xr:uid="{00000000-0005-0000-0000-000097100000}"/>
    <cellStyle name="Normal 2 2 8 2 5 2" xfId="10316" xr:uid="{00000000-0005-0000-0000-000098100000}"/>
    <cellStyle name="Normal 2 2 8 2 5 2 2" xfId="12051" xr:uid="{00000000-0005-0000-0000-000099100000}"/>
    <cellStyle name="Normal 2 2 8 2 5 3" xfId="11404" xr:uid="{00000000-0005-0000-0000-00009A100000}"/>
    <cellStyle name="Normal 2 2 8 2 6" xfId="10019" xr:uid="{00000000-0005-0000-0000-00009B100000}"/>
    <cellStyle name="Normal 2 2 8 2 6 2" xfId="11755" xr:uid="{00000000-0005-0000-0000-00009C100000}"/>
    <cellStyle name="Normal 2 2 8 2 7" xfId="10982" xr:uid="{00000000-0005-0000-0000-00009D100000}"/>
    <cellStyle name="Normal 2 2 8 3" xfId="4126" xr:uid="{00000000-0005-0000-0000-00009E100000}"/>
    <cellStyle name="Normal 2 2 8 3 2" xfId="4263" xr:uid="{00000000-0005-0000-0000-00009F100000}"/>
    <cellStyle name="Normal 2 2 8 3 2 2" xfId="9698" xr:uid="{00000000-0005-0000-0000-0000A0100000}"/>
    <cellStyle name="Normal 2 2 8 3 2 2 2" xfId="10400" xr:uid="{00000000-0005-0000-0000-0000A1100000}"/>
    <cellStyle name="Normal 2 2 8 3 2 2 2 2" xfId="12135" xr:uid="{00000000-0005-0000-0000-0000A2100000}"/>
    <cellStyle name="Normal 2 2 8 3 2 2 3" xfId="11488" xr:uid="{00000000-0005-0000-0000-0000A3100000}"/>
    <cellStyle name="Normal 2 2 8 3 2 3" xfId="10103" xr:uid="{00000000-0005-0000-0000-0000A4100000}"/>
    <cellStyle name="Normal 2 2 8 3 2 3 2" xfId="11839" xr:uid="{00000000-0005-0000-0000-0000A5100000}"/>
    <cellStyle name="Normal 2 2 8 3 2 4" xfId="11075" xr:uid="{00000000-0005-0000-0000-0000A6100000}"/>
    <cellStyle name="Normal 2 2 8 3 3" xfId="4212" xr:uid="{00000000-0005-0000-0000-0000A7100000}"/>
    <cellStyle name="Normal 2 2 8 3 3 2" xfId="9647" xr:uid="{00000000-0005-0000-0000-0000A8100000}"/>
    <cellStyle name="Normal 2 2 8 3 3 2 2" xfId="10349" xr:uid="{00000000-0005-0000-0000-0000A9100000}"/>
    <cellStyle name="Normal 2 2 8 3 3 2 2 2" xfId="12084" xr:uid="{00000000-0005-0000-0000-0000AA100000}"/>
    <cellStyle name="Normal 2 2 8 3 3 2 3" xfId="11437" xr:uid="{00000000-0005-0000-0000-0000AB100000}"/>
    <cellStyle name="Normal 2 2 8 3 3 3" xfId="10052" xr:uid="{00000000-0005-0000-0000-0000AC100000}"/>
    <cellStyle name="Normal 2 2 8 3 3 3 2" xfId="11788" xr:uid="{00000000-0005-0000-0000-0000AD100000}"/>
    <cellStyle name="Normal 2 2 8 3 3 4" xfId="11024" xr:uid="{00000000-0005-0000-0000-0000AE100000}"/>
    <cellStyle name="Normal 2 2 8 3 4" xfId="9594" xr:uid="{00000000-0005-0000-0000-0000AF100000}"/>
    <cellStyle name="Normal 2 2 8 3 4 2" xfId="10298" xr:uid="{00000000-0005-0000-0000-0000B0100000}"/>
    <cellStyle name="Normal 2 2 8 3 4 2 2" xfId="12033" xr:uid="{00000000-0005-0000-0000-0000B1100000}"/>
    <cellStyle name="Normal 2 2 8 3 4 3" xfId="11386" xr:uid="{00000000-0005-0000-0000-0000B2100000}"/>
    <cellStyle name="Normal 2 2 8 3 5" xfId="10001" xr:uid="{00000000-0005-0000-0000-0000B3100000}"/>
    <cellStyle name="Normal 2 2 8 3 5 2" xfId="11737" xr:uid="{00000000-0005-0000-0000-0000B4100000}"/>
    <cellStyle name="Normal 2 2 8 3 6" xfId="10961" xr:uid="{00000000-0005-0000-0000-0000B5100000}"/>
    <cellStyle name="Normal 2 2 8 4" xfId="4093" xr:uid="{00000000-0005-0000-0000-0000B6100000}"/>
    <cellStyle name="Normal 2 2 8 4 2" xfId="4247" xr:uid="{00000000-0005-0000-0000-0000B7100000}"/>
    <cellStyle name="Normal 2 2 8 4 2 2" xfId="9682" xr:uid="{00000000-0005-0000-0000-0000B8100000}"/>
    <cellStyle name="Normal 2 2 8 4 2 2 2" xfId="10384" xr:uid="{00000000-0005-0000-0000-0000B9100000}"/>
    <cellStyle name="Normal 2 2 8 4 2 2 2 2" xfId="12119" xr:uid="{00000000-0005-0000-0000-0000BA100000}"/>
    <cellStyle name="Normal 2 2 8 4 2 2 3" xfId="11472" xr:uid="{00000000-0005-0000-0000-0000BB100000}"/>
    <cellStyle name="Normal 2 2 8 4 2 3" xfId="10087" xr:uid="{00000000-0005-0000-0000-0000BC100000}"/>
    <cellStyle name="Normal 2 2 8 4 2 3 2" xfId="11823" xr:uid="{00000000-0005-0000-0000-0000BD100000}"/>
    <cellStyle name="Normal 2 2 8 4 2 4" xfId="11059" xr:uid="{00000000-0005-0000-0000-0000BE100000}"/>
    <cellStyle name="Normal 2 2 8 4 3" xfId="9578" xr:uid="{00000000-0005-0000-0000-0000BF100000}"/>
    <cellStyle name="Normal 2 2 8 4 3 2" xfId="10282" xr:uid="{00000000-0005-0000-0000-0000C0100000}"/>
    <cellStyle name="Normal 2 2 8 4 3 2 2" xfId="12017" xr:uid="{00000000-0005-0000-0000-0000C1100000}"/>
    <cellStyle name="Normal 2 2 8 4 3 3" xfId="11370" xr:uid="{00000000-0005-0000-0000-0000C2100000}"/>
    <cellStyle name="Normal 2 2 8 4 4" xfId="9985" xr:uid="{00000000-0005-0000-0000-0000C3100000}"/>
    <cellStyle name="Normal 2 2 8 4 4 2" xfId="11721" xr:uid="{00000000-0005-0000-0000-0000C4100000}"/>
    <cellStyle name="Normal 2 2 8 4 5" xfId="10944" xr:uid="{00000000-0005-0000-0000-0000C5100000}"/>
    <cellStyle name="Normal 2 2 8 5" xfId="4196" xr:uid="{00000000-0005-0000-0000-0000C6100000}"/>
    <cellStyle name="Normal 2 2 8 5 2" xfId="9631" xr:uid="{00000000-0005-0000-0000-0000C7100000}"/>
    <cellStyle name="Normal 2 2 8 5 2 2" xfId="10333" xr:uid="{00000000-0005-0000-0000-0000C8100000}"/>
    <cellStyle name="Normal 2 2 8 5 2 2 2" xfId="12068" xr:uid="{00000000-0005-0000-0000-0000C9100000}"/>
    <cellStyle name="Normal 2 2 8 5 2 3" xfId="11421" xr:uid="{00000000-0005-0000-0000-0000CA100000}"/>
    <cellStyle name="Normal 2 2 8 5 3" xfId="10036" xr:uid="{00000000-0005-0000-0000-0000CB100000}"/>
    <cellStyle name="Normal 2 2 8 5 3 2" xfId="11772" xr:uid="{00000000-0005-0000-0000-0000CC100000}"/>
    <cellStyle name="Normal 2 2 8 5 4" xfId="11008" xr:uid="{00000000-0005-0000-0000-0000CD100000}"/>
    <cellStyle name="Normal 2 2 8 6" xfId="4311" xr:uid="{00000000-0005-0000-0000-0000CE100000}"/>
    <cellStyle name="Normal 2 2 8 6 2" xfId="9737" xr:uid="{00000000-0005-0000-0000-0000CF100000}"/>
    <cellStyle name="Normal 2 2 8 6 2 2" xfId="10438" xr:uid="{00000000-0005-0000-0000-0000D0100000}"/>
    <cellStyle name="Normal 2 2 8 6 2 2 2" xfId="12173" xr:uid="{00000000-0005-0000-0000-0000D1100000}"/>
    <cellStyle name="Normal 2 2 8 6 2 3" xfId="11526" xr:uid="{00000000-0005-0000-0000-0000D2100000}"/>
    <cellStyle name="Normal 2 2 8 6 3" xfId="10141" xr:uid="{00000000-0005-0000-0000-0000D3100000}"/>
    <cellStyle name="Normal 2 2 8 6 3 2" xfId="11877" xr:uid="{00000000-0005-0000-0000-0000D4100000}"/>
    <cellStyle name="Normal 2 2 8 6 4" xfId="11121" xr:uid="{00000000-0005-0000-0000-0000D5100000}"/>
    <cellStyle name="Normal 2 2 8 7" xfId="7731" xr:uid="{00000000-0005-0000-0000-0000D6100000}"/>
    <cellStyle name="Normal 2 2 9" xfId="1347" xr:uid="{00000000-0005-0000-0000-0000D7100000}"/>
    <cellStyle name="Normal 2 2 9 2" xfId="4168" xr:uid="{00000000-0005-0000-0000-0000D8100000}"/>
    <cellStyle name="Normal 2 2 9 2 2" xfId="4282" xr:uid="{00000000-0005-0000-0000-0000D9100000}"/>
    <cellStyle name="Normal 2 2 9 2 2 2" xfId="9717" xr:uid="{00000000-0005-0000-0000-0000DA100000}"/>
    <cellStyle name="Normal 2 2 9 2 2 2 2" xfId="10419" xr:uid="{00000000-0005-0000-0000-0000DB100000}"/>
    <cellStyle name="Normal 2 2 9 2 2 2 2 2" xfId="12154" xr:uid="{00000000-0005-0000-0000-0000DC100000}"/>
    <cellStyle name="Normal 2 2 9 2 2 2 3" xfId="11507" xr:uid="{00000000-0005-0000-0000-0000DD100000}"/>
    <cellStyle name="Normal 2 2 9 2 2 3" xfId="10122" xr:uid="{00000000-0005-0000-0000-0000DE100000}"/>
    <cellStyle name="Normal 2 2 9 2 2 3 2" xfId="11858" xr:uid="{00000000-0005-0000-0000-0000DF100000}"/>
    <cellStyle name="Normal 2 2 9 2 2 4" xfId="11094" xr:uid="{00000000-0005-0000-0000-0000E0100000}"/>
    <cellStyle name="Normal 2 2 9 2 3" xfId="4231" xr:uid="{00000000-0005-0000-0000-0000E1100000}"/>
    <cellStyle name="Normal 2 2 9 2 3 2" xfId="9666" xr:uid="{00000000-0005-0000-0000-0000E2100000}"/>
    <cellStyle name="Normal 2 2 9 2 3 2 2" xfId="10368" xr:uid="{00000000-0005-0000-0000-0000E3100000}"/>
    <cellStyle name="Normal 2 2 9 2 3 2 2 2" xfId="12103" xr:uid="{00000000-0005-0000-0000-0000E4100000}"/>
    <cellStyle name="Normal 2 2 9 2 3 2 3" xfId="11456" xr:uid="{00000000-0005-0000-0000-0000E5100000}"/>
    <cellStyle name="Normal 2 2 9 2 3 3" xfId="10071" xr:uid="{00000000-0005-0000-0000-0000E6100000}"/>
    <cellStyle name="Normal 2 2 9 2 3 3 2" xfId="11807" xr:uid="{00000000-0005-0000-0000-0000E7100000}"/>
    <cellStyle name="Normal 2 2 9 2 3 4" xfId="11043" xr:uid="{00000000-0005-0000-0000-0000E8100000}"/>
    <cellStyle name="Normal 2 2 9 2 4" xfId="4350" xr:uid="{00000000-0005-0000-0000-0000E9100000}"/>
    <cellStyle name="Normal 2 2 9 2 4 2" xfId="9761" xr:uid="{00000000-0005-0000-0000-0000EA100000}"/>
    <cellStyle name="Normal 2 2 9 2 4 2 2" xfId="10460" xr:uid="{00000000-0005-0000-0000-0000EB100000}"/>
    <cellStyle name="Normal 2 2 9 2 4 2 2 2" xfId="12195" xr:uid="{00000000-0005-0000-0000-0000EC100000}"/>
    <cellStyle name="Normal 2 2 9 2 4 2 3" xfId="11548" xr:uid="{00000000-0005-0000-0000-0000ED100000}"/>
    <cellStyle name="Normal 2 2 9 2 4 3" xfId="10163" xr:uid="{00000000-0005-0000-0000-0000EE100000}"/>
    <cellStyle name="Normal 2 2 9 2 4 3 2" xfId="11899" xr:uid="{00000000-0005-0000-0000-0000EF100000}"/>
    <cellStyle name="Normal 2 2 9 2 4 4" xfId="11156" xr:uid="{00000000-0005-0000-0000-0000F0100000}"/>
    <cellStyle name="Normal 2 2 9 2 5" xfId="9614" xr:uid="{00000000-0005-0000-0000-0000F1100000}"/>
    <cellStyle name="Normal 2 2 9 2 5 2" xfId="10317" xr:uid="{00000000-0005-0000-0000-0000F2100000}"/>
    <cellStyle name="Normal 2 2 9 2 5 2 2" xfId="12052" xr:uid="{00000000-0005-0000-0000-0000F3100000}"/>
    <cellStyle name="Normal 2 2 9 2 5 3" xfId="11405" xr:uid="{00000000-0005-0000-0000-0000F4100000}"/>
    <cellStyle name="Normal 2 2 9 2 6" xfId="10020" xr:uid="{00000000-0005-0000-0000-0000F5100000}"/>
    <cellStyle name="Normal 2 2 9 2 6 2" xfId="11756" xr:uid="{00000000-0005-0000-0000-0000F6100000}"/>
    <cellStyle name="Normal 2 2 9 2 7" xfId="10983" xr:uid="{00000000-0005-0000-0000-0000F7100000}"/>
    <cellStyle name="Normal 2 2 9 3" xfId="4128" xr:uid="{00000000-0005-0000-0000-0000F8100000}"/>
    <cellStyle name="Normal 2 2 9 3 2" xfId="4264" xr:uid="{00000000-0005-0000-0000-0000F9100000}"/>
    <cellStyle name="Normal 2 2 9 3 2 2" xfId="9699" xr:uid="{00000000-0005-0000-0000-0000FA100000}"/>
    <cellStyle name="Normal 2 2 9 3 2 2 2" xfId="10401" xr:uid="{00000000-0005-0000-0000-0000FB100000}"/>
    <cellStyle name="Normal 2 2 9 3 2 2 2 2" xfId="12136" xr:uid="{00000000-0005-0000-0000-0000FC100000}"/>
    <cellStyle name="Normal 2 2 9 3 2 2 3" xfId="11489" xr:uid="{00000000-0005-0000-0000-0000FD100000}"/>
    <cellStyle name="Normal 2 2 9 3 2 3" xfId="10104" xr:uid="{00000000-0005-0000-0000-0000FE100000}"/>
    <cellStyle name="Normal 2 2 9 3 2 3 2" xfId="11840" xr:uid="{00000000-0005-0000-0000-0000FF100000}"/>
    <cellStyle name="Normal 2 2 9 3 2 4" xfId="11076" xr:uid="{00000000-0005-0000-0000-000000110000}"/>
    <cellStyle name="Normal 2 2 9 3 3" xfId="4213" xr:uid="{00000000-0005-0000-0000-000001110000}"/>
    <cellStyle name="Normal 2 2 9 3 3 2" xfId="9648" xr:uid="{00000000-0005-0000-0000-000002110000}"/>
    <cellStyle name="Normal 2 2 9 3 3 2 2" xfId="10350" xr:uid="{00000000-0005-0000-0000-000003110000}"/>
    <cellStyle name="Normal 2 2 9 3 3 2 2 2" xfId="12085" xr:uid="{00000000-0005-0000-0000-000004110000}"/>
    <cellStyle name="Normal 2 2 9 3 3 2 3" xfId="11438" xr:uid="{00000000-0005-0000-0000-000005110000}"/>
    <cellStyle name="Normal 2 2 9 3 3 3" xfId="10053" xr:uid="{00000000-0005-0000-0000-000006110000}"/>
    <cellStyle name="Normal 2 2 9 3 3 3 2" xfId="11789" xr:uid="{00000000-0005-0000-0000-000007110000}"/>
    <cellStyle name="Normal 2 2 9 3 3 4" xfId="11025" xr:uid="{00000000-0005-0000-0000-000008110000}"/>
    <cellStyle name="Normal 2 2 9 3 4" xfId="9595" xr:uid="{00000000-0005-0000-0000-000009110000}"/>
    <cellStyle name="Normal 2 2 9 3 4 2" xfId="10299" xr:uid="{00000000-0005-0000-0000-00000A110000}"/>
    <cellStyle name="Normal 2 2 9 3 4 2 2" xfId="12034" xr:uid="{00000000-0005-0000-0000-00000B110000}"/>
    <cellStyle name="Normal 2 2 9 3 4 3" xfId="11387" xr:uid="{00000000-0005-0000-0000-00000C110000}"/>
    <cellStyle name="Normal 2 2 9 3 5" xfId="10002" xr:uid="{00000000-0005-0000-0000-00000D110000}"/>
    <cellStyle name="Normal 2 2 9 3 5 2" xfId="11738" xr:uid="{00000000-0005-0000-0000-00000E110000}"/>
    <cellStyle name="Normal 2 2 9 3 6" xfId="10962" xr:uid="{00000000-0005-0000-0000-00000F110000}"/>
    <cellStyle name="Normal 2 2 9 4" xfId="4095" xr:uid="{00000000-0005-0000-0000-000010110000}"/>
    <cellStyle name="Normal 2 2 9 4 2" xfId="4248" xr:uid="{00000000-0005-0000-0000-000011110000}"/>
    <cellStyle name="Normal 2 2 9 4 2 2" xfId="9683" xr:uid="{00000000-0005-0000-0000-000012110000}"/>
    <cellStyle name="Normal 2 2 9 4 2 2 2" xfId="10385" xr:uid="{00000000-0005-0000-0000-000013110000}"/>
    <cellStyle name="Normal 2 2 9 4 2 2 2 2" xfId="12120" xr:uid="{00000000-0005-0000-0000-000014110000}"/>
    <cellStyle name="Normal 2 2 9 4 2 2 3" xfId="11473" xr:uid="{00000000-0005-0000-0000-000015110000}"/>
    <cellStyle name="Normal 2 2 9 4 2 3" xfId="10088" xr:uid="{00000000-0005-0000-0000-000016110000}"/>
    <cellStyle name="Normal 2 2 9 4 2 3 2" xfId="11824" xr:uid="{00000000-0005-0000-0000-000017110000}"/>
    <cellStyle name="Normal 2 2 9 4 2 4" xfId="11060" xr:uid="{00000000-0005-0000-0000-000018110000}"/>
    <cellStyle name="Normal 2 2 9 4 3" xfId="9579" xr:uid="{00000000-0005-0000-0000-000019110000}"/>
    <cellStyle name="Normal 2 2 9 4 3 2" xfId="10283" xr:uid="{00000000-0005-0000-0000-00001A110000}"/>
    <cellStyle name="Normal 2 2 9 4 3 2 2" xfId="12018" xr:uid="{00000000-0005-0000-0000-00001B110000}"/>
    <cellStyle name="Normal 2 2 9 4 3 3" xfId="11371" xr:uid="{00000000-0005-0000-0000-00001C110000}"/>
    <cellStyle name="Normal 2 2 9 4 4" xfId="9986" xr:uid="{00000000-0005-0000-0000-00001D110000}"/>
    <cellStyle name="Normal 2 2 9 4 4 2" xfId="11722" xr:uid="{00000000-0005-0000-0000-00001E110000}"/>
    <cellStyle name="Normal 2 2 9 4 5" xfId="10945" xr:uid="{00000000-0005-0000-0000-00001F110000}"/>
    <cellStyle name="Normal 2 2 9 5" xfId="4197" xr:uid="{00000000-0005-0000-0000-000020110000}"/>
    <cellStyle name="Normal 2 2 9 5 2" xfId="9632" xr:uid="{00000000-0005-0000-0000-000021110000}"/>
    <cellStyle name="Normal 2 2 9 5 2 2" xfId="10334" xr:uid="{00000000-0005-0000-0000-000022110000}"/>
    <cellStyle name="Normal 2 2 9 5 2 2 2" xfId="12069" xr:uid="{00000000-0005-0000-0000-000023110000}"/>
    <cellStyle name="Normal 2 2 9 5 2 3" xfId="11422" xr:uid="{00000000-0005-0000-0000-000024110000}"/>
    <cellStyle name="Normal 2 2 9 5 3" xfId="10037" xr:uid="{00000000-0005-0000-0000-000025110000}"/>
    <cellStyle name="Normal 2 2 9 5 3 2" xfId="11773" xr:uid="{00000000-0005-0000-0000-000026110000}"/>
    <cellStyle name="Normal 2 2 9 5 4" xfId="11009" xr:uid="{00000000-0005-0000-0000-000027110000}"/>
    <cellStyle name="Normal 2 2 9 6" xfId="4332" xr:uid="{00000000-0005-0000-0000-000028110000}"/>
    <cellStyle name="Normal 2 2 9 6 2" xfId="9745" xr:uid="{00000000-0005-0000-0000-000029110000}"/>
    <cellStyle name="Normal 2 2 9 6 2 2" xfId="10445" xr:uid="{00000000-0005-0000-0000-00002A110000}"/>
    <cellStyle name="Normal 2 2 9 6 2 2 2" xfId="12180" xr:uid="{00000000-0005-0000-0000-00002B110000}"/>
    <cellStyle name="Normal 2 2 9 6 2 3" xfId="11533" xr:uid="{00000000-0005-0000-0000-00002C110000}"/>
    <cellStyle name="Normal 2 2 9 6 3" xfId="10148" xr:uid="{00000000-0005-0000-0000-00002D110000}"/>
    <cellStyle name="Normal 2 2 9 6 3 2" xfId="11884" xr:uid="{00000000-0005-0000-0000-00002E110000}"/>
    <cellStyle name="Normal 2 2 9 6 4" xfId="11139" xr:uid="{00000000-0005-0000-0000-00002F110000}"/>
    <cellStyle name="Normal 2 2 9 7" xfId="7732" xr:uid="{00000000-0005-0000-0000-000030110000}"/>
    <cellStyle name="Normal 2 20" xfId="1348" xr:uid="{00000000-0005-0000-0000-000031110000}"/>
    <cellStyle name="Normal 2 20 2" xfId="5164" xr:uid="{00000000-0005-0000-0000-000032110000}"/>
    <cellStyle name="Normal 2 21" xfId="1349" xr:uid="{00000000-0005-0000-0000-000033110000}"/>
    <cellStyle name="Normal 2 21 2" xfId="5165" xr:uid="{00000000-0005-0000-0000-000034110000}"/>
    <cellStyle name="Normal 2 22" xfId="1350" xr:uid="{00000000-0005-0000-0000-000035110000}"/>
    <cellStyle name="Normal 2 22 2" xfId="5166" xr:uid="{00000000-0005-0000-0000-000036110000}"/>
    <cellStyle name="Normal 2 23" xfId="1351" xr:uid="{00000000-0005-0000-0000-000037110000}"/>
    <cellStyle name="Normal 2 23 2" xfId="5167" xr:uid="{00000000-0005-0000-0000-000038110000}"/>
    <cellStyle name="Normal 2 24" xfId="1352" xr:uid="{00000000-0005-0000-0000-000039110000}"/>
    <cellStyle name="Normal 2 24 2" xfId="5168" xr:uid="{00000000-0005-0000-0000-00003A110000}"/>
    <cellStyle name="Normal 2 25" xfId="1353" xr:uid="{00000000-0005-0000-0000-00003B110000}"/>
    <cellStyle name="Normal 2 25 2" xfId="5169" xr:uid="{00000000-0005-0000-0000-00003C110000}"/>
    <cellStyle name="Normal 2 26" xfId="1354" xr:uid="{00000000-0005-0000-0000-00003D110000}"/>
    <cellStyle name="Normal 2 26 2" xfId="5170" xr:uid="{00000000-0005-0000-0000-00003E110000}"/>
    <cellStyle name="Normal 2 27" xfId="1355" xr:uid="{00000000-0005-0000-0000-00003F110000}"/>
    <cellStyle name="Normal 2 27 2" xfId="5171" xr:uid="{00000000-0005-0000-0000-000040110000}"/>
    <cellStyle name="Normal 2 28" xfId="1356" xr:uid="{00000000-0005-0000-0000-000041110000}"/>
    <cellStyle name="Normal 2 28 2" xfId="5172" xr:uid="{00000000-0005-0000-0000-000042110000}"/>
    <cellStyle name="Normal 2 29" xfId="1357" xr:uid="{00000000-0005-0000-0000-000043110000}"/>
    <cellStyle name="Normal 2 29 2" xfId="5173" xr:uid="{00000000-0005-0000-0000-000044110000}"/>
    <cellStyle name="Normal 2 3" xfId="111" xr:uid="{00000000-0005-0000-0000-000045110000}"/>
    <cellStyle name="Normal 2 3 2" xfId="4147" xr:uid="{00000000-0005-0000-0000-000046110000}"/>
    <cellStyle name="Normal 2 3 2 2" xfId="9960" xr:uid="{00000000-0005-0000-0000-000047110000}"/>
    <cellStyle name="Normal 2 3 2 2 2" xfId="10580" xr:uid="{00000000-0005-0000-0000-000048110000}"/>
    <cellStyle name="Normal 2 3 2 2 2 2" xfId="12315" xr:uid="{00000000-0005-0000-0000-000049110000}"/>
    <cellStyle name="Normal 2 3 2 2 3" xfId="11696" xr:uid="{00000000-0005-0000-0000-00004A110000}"/>
    <cellStyle name="Normal 2 3 2 3" xfId="10184" xr:uid="{00000000-0005-0000-0000-00004B110000}"/>
    <cellStyle name="Normal 2 3 2 3 2" xfId="11920" xr:uid="{00000000-0005-0000-0000-00004C110000}"/>
    <cellStyle name="Normal 2 3 2 4" xfId="10565" xr:uid="{00000000-0005-0000-0000-00004D110000}"/>
    <cellStyle name="Normal 2 3 2 4 2" xfId="12300" xr:uid="{00000000-0005-0000-0000-00004E110000}"/>
    <cellStyle name="Normal 2 3 3" xfId="4107" xr:uid="{00000000-0005-0000-0000-00004F110000}"/>
    <cellStyle name="Normal 2 3 3 2" xfId="10201" xr:uid="{00000000-0005-0000-0000-000050110000}"/>
    <cellStyle name="Normal 2 3 3 2 2" xfId="11937" xr:uid="{00000000-0005-0000-0000-000051110000}"/>
    <cellStyle name="Normal 2 3 3 3" xfId="10573" xr:uid="{00000000-0005-0000-0000-000052110000}"/>
    <cellStyle name="Normal 2 3 3 3 2" xfId="12308" xr:uid="{00000000-0005-0000-0000-000053110000}"/>
    <cellStyle name="Normal 2 3 4" xfId="4073" xr:uid="{00000000-0005-0000-0000-000054110000}"/>
    <cellStyle name="Normal 2 3 5" xfId="1358" xr:uid="{00000000-0005-0000-0000-000055110000}"/>
    <cellStyle name="Normal 2 3 6" xfId="9963" xr:uid="{00000000-0005-0000-0000-000056110000}"/>
    <cellStyle name="Normal 2 3 6 2" xfId="11699" xr:uid="{00000000-0005-0000-0000-000057110000}"/>
    <cellStyle name="Normal 2 3 7" xfId="10561" xr:uid="{00000000-0005-0000-0000-000058110000}"/>
    <cellStyle name="Normal 2 3 7 2" xfId="12296" xr:uid="{00000000-0005-0000-0000-000059110000}"/>
    <cellStyle name="Normal 2 3 8" xfId="10666" xr:uid="{00000000-0005-0000-0000-00005A110000}"/>
    <cellStyle name="Normal 2 30" xfId="1359" xr:uid="{00000000-0005-0000-0000-00005B110000}"/>
    <cellStyle name="Normal 2 30 2" xfId="7733" xr:uid="{00000000-0005-0000-0000-00005C110000}"/>
    <cellStyle name="Normal 2 31" xfId="1360" xr:uid="{00000000-0005-0000-0000-00005D110000}"/>
    <cellStyle name="Normal 2 31 2" xfId="7734" xr:uid="{00000000-0005-0000-0000-00005E110000}"/>
    <cellStyle name="Normal 2 32" xfId="1361" xr:uid="{00000000-0005-0000-0000-00005F110000}"/>
    <cellStyle name="Normal 2 32 2" xfId="7735" xr:uid="{00000000-0005-0000-0000-000060110000}"/>
    <cellStyle name="Normal 2 33" xfId="1362" xr:uid="{00000000-0005-0000-0000-000061110000}"/>
    <cellStyle name="Normal 2 33 2" xfId="7736" xr:uid="{00000000-0005-0000-0000-000062110000}"/>
    <cellStyle name="Normal 2 34" xfId="142" xr:uid="{00000000-0005-0000-0000-000063110000}"/>
    <cellStyle name="Normal 2 34 2" xfId="7737" xr:uid="{00000000-0005-0000-0000-000064110000}"/>
    <cellStyle name="Normal 2 34 3" xfId="1363" xr:uid="{00000000-0005-0000-0000-000065110000}"/>
    <cellStyle name="Normal 2 35" xfId="1364" xr:uid="{00000000-0005-0000-0000-000066110000}"/>
    <cellStyle name="Normal 2 35 2" xfId="7738" xr:uid="{00000000-0005-0000-0000-000067110000}"/>
    <cellStyle name="Normal 2 36" xfId="1365" xr:uid="{00000000-0005-0000-0000-000068110000}"/>
    <cellStyle name="Normal 2 36 2" xfId="7739" xr:uid="{00000000-0005-0000-0000-000069110000}"/>
    <cellStyle name="Normal 2 37" xfId="1366" xr:uid="{00000000-0005-0000-0000-00006A110000}"/>
    <cellStyle name="Normal 2 37 2" xfId="7740" xr:uid="{00000000-0005-0000-0000-00006B110000}"/>
    <cellStyle name="Normal 2 38" xfId="1367" xr:uid="{00000000-0005-0000-0000-00006C110000}"/>
    <cellStyle name="Normal 2 38 2" xfId="7741" xr:uid="{00000000-0005-0000-0000-00006D110000}"/>
    <cellStyle name="Normal 2 39" xfId="1368" xr:uid="{00000000-0005-0000-0000-00006E110000}"/>
    <cellStyle name="Normal 2 39 2" xfId="7742" xr:uid="{00000000-0005-0000-0000-00006F110000}"/>
    <cellStyle name="Normal 2 4" xfId="112" xr:uid="{00000000-0005-0000-0000-000070110000}"/>
    <cellStyle name="Normal 2 4 2" xfId="4151" xr:uid="{00000000-0005-0000-0000-000071110000}"/>
    <cellStyle name="Normal 2 4 2 2" xfId="10256" xr:uid="{00000000-0005-0000-0000-000072110000}"/>
    <cellStyle name="Normal 2 4 2 2 2" xfId="11991" xr:uid="{00000000-0005-0000-0000-000073110000}"/>
    <cellStyle name="Normal 2 4 2 3" xfId="10574" xr:uid="{00000000-0005-0000-0000-000074110000}"/>
    <cellStyle name="Normal 2 4 2 3 2" xfId="12309" xr:uid="{00000000-0005-0000-0000-000075110000}"/>
    <cellStyle name="Normal 2 4 3" xfId="4111" xr:uid="{00000000-0005-0000-0000-000076110000}"/>
    <cellStyle name="Normal 2 4 4" xfId="4078" xr:uid="{00000000-0005-0000-0000-000077110000}"/>
    <cellStyle name="Normal 2 4 5" xfId="1369" xr:uid="{00000000-0005-0000-0000-000078110000}"/>
    <cellStyle name="Normal 2 4 6" xfId="10257" xr:uid="{00000000-0005-0000-0000-000079110000}"/>
    <cellStyle name="Normal 2 4 6 2" xfId="11992" xr:uid="{00000000-0005-0000-0000-00007A110000}"/>
    <cellStyle name="Normal 2 4 7" xfId="10559" xr:uid="{00000000-0005-0000-0000-00007B110000}"/>
    <cellStyle name="Normal 2 4 7 2" xfId="12294" xr:uid="{00000000-0005-0000-0000-00007C110000}"/>
    <cellStyle name="Normal 2 4 8" xfId="10667" xr:uid="{00000000-0005-0000-0000-00007D110000}"/>
    <cellStyle name="Normal 2 40" xfId="1370" xr:uid="{00000000-0005-0000-0000-00007E110000}"/>
    <cellStyle name="Normal 2 40 2" xfId="7743" xr:uid="{00000000-0005-0000-0000-00007F110000}"/>
    <cellStyle name="Normal 2 41" xfId="1371" xr:uid="{00000000-0005-0000-0000-000080110000}"/>
    <cellStyle name="Normal 2 41 2" xfId="7744" xr:uid="{00000000-0005-0000-0000-000081110000}"/>
    <cellStyle name="Normal 2 42" xfId="1372" xr:uid="{00000000-0005-0000-0000-000082110000}"/>
    <cellStyle name="Normal 2 42 2" xfId="7745" xr:uid="{00000000-0005-0000-0000-000083110000}"/>
    <cellStyle name="Normal 2 43" xfId="1373" xr:uid="{00000000-0005-0000-0000-000084110000}"/>
    <cellStyle name="Normal 2 43 2" xfId="7746" xr:uid="{00000000-0005-0000-0000-000085110000}"/>
    <cellStyle name="Normal 2 44" xfId="1374" xr:uid="{00000000-0005-0000-0000-000086110000}"/>
    <cellStyle name="Normal 2 44 2" xfId="7747" xr:uid="{00000000-0005-0000-0000-000087110000}"/>
    <cellStyle name="Normal 2 45" xfId="1375" xr:uid="{00000000-0005-0000-0000-000088110000}"/>
    <cellStyle name="Normal 2 45 2" xfId="7748" xr:uid="{00000000-0005-0000-0000-000089110000}"/>
    <cellStyle name="Normal 2 46" xfId="1376" xr:uid="{00000000-0005-0000-0000-00008A110000}"/>
    <cellStyle name="Normal 2 46 2" xfId="7749" xr:uid="{00000000-0005-0000-0000-00008B110000}"/>
    <cellStyle name="Normal 2 47" xfId="1377" xr:uid="{00000000-0005-0000-0000-00008C110000}"/>
    <cellStyle name="Normal 2 47 2" xfId="7750" xr:uid="{00000000-0005-0000-0000-00008D110000}"/>
    <cellStyle name="Normal 2 48" xfId="1378" xr:uid="{00000000-0005-0000-0000-00008E110000}"/>
    <cellStyle name="Normal 2 48 2" xfId="7751" xr:uid="{00000000-0005-0000-0000-00008F110000}"/>
    <cellStyle name="Normal 2 49" xfId="1379" xr:uid="{00000000-0005-0000-0000-000090110000}"/>
    <cellStyle name="Normal 2 49 2" xfId="7752" xr:uid="{00000000-0005-0000-0000-000091110000}"/>
    <cellStyle name="Normal 2 5" xfId="145" xr:uid="{00000000-0005-0000-0000-000092110000}"/>
    <cellStyle name="Normal 2 5 2" xfId="4159" xr:uid="{00000000-0005-0000-0000-000093110000}"/>
    <cellStyle name="Normal 2 5 2 2" xfId="10186" xr:uid="{00000000-0005-0000-0000-000094110000}"/>
    <cellStyle name="Normal 2 5 2 2 2" xfId="11922" xr:uid="{00000000-0005-0000-0000-000095110000}"/>
    <cellStyle name="Normal 2 5 2 3" xfId="10579" xr:uid="{00000000-0005-0000-0000-000096110000}"/>
    <cellStyle name="Normal 2 5 2 3 2" xfId="12314" xr:uid="{00000000-0005-0000-0000-000097110000}"/>
    <cellStyle name="Normal 2 5 3" xfId="4119" xr:uid="{00000000-0005-0000-0000-000098110000}"/>
    <cellStyle name="Normal 2 5 4" xfId="4086" xr:uid="{00000000-0005-0000-0000-000099110000}"/>
    <cellStyle name="Normal 2 5 5" xfId="1380" xr:uid="{00000000-0005-0000-0000-00009A110000}"/>
    <cellStyle name="Normal 2 5 6" xfId="10258" xr:uid="{00000000-0005-0000-0000-00009B110000}"/>
    <cellStyle name="Normal 2 5 6 2" xfId="11993" xr:uid="{00000000-0005-0000-0000-00009C110000}"/>
    <cellStyle name="Normal 2 5 7" xfId="10566" xr:uid="{00000000-0005-0000-0000-00009D110000}"/>
    <cellStyle name="Normal 2 5 7 2" xfId="12301" xr:uid="{00000000-0005-0000-0000-00009E110000}"/>
    <cellStyle name="Normal 2 50" xfId="1381" xr:uid="{00000000-0005-0000-0000-00009F110000}"/>
    <cellStyle name="Normal 2 50 2" xfId="7753" xr:uid="{00000000-0005-0000-0000-0000A0110000}"/>
    <cellStyle name="Normal 2 51" xfId="1382" xr:uid="{00000000-0005-0000-0000-0000A1110000}"/>
    <cellStyle name="Normal 2 51 2" xfId="7754" xr:uid="{00000000-0005-0000-0000-0000A2110000}"/>
    <cellStyle name="Normal 2 52" xfId="1383" xr:uid="{00000000-0005-0000-0000-0000A3110000}"/>
    <cellStyle name="Normal 2 52 2" xfId="7755" xr:uid="{00000000-0005-0000-0000-0000A4110000}"/>
    <cellStyle name="Normal 2 53" xfId="1384" xr:uid="{00000000-0005-0000-0000-0000A5110000}"/>
    <cellStyle name="Normal 2 53 2" xfId="7756" xr:uid="{00000000-0005-0000-0000-0000A6110000}"/>
    <cellStyle name="Normal 2 54" xfId="1385" xr:uid="{00000000-0005-0000-0000-0000A7110000}"/>
    <cellStyle name="Normal 2 54 2" xfId="7757" xr:uid="{00000000-0005-0000-0000-0000A8110000}"/>
    <cellStyle name="Normal 2 55" xfId="1386" xr:uid="{00000000-0005-0000-0000-0000A9110000}"/>
    <cellStyle name="Normal 2 55 2" xfId="7758" xr:uid="{00000000-0005-0000-0000-0000AA110000}"/>
    <cellStyle name="Normal 2 56" xfId="1387" xr:uid="{00000000-0005-0000-0000-0000AB110000}"/>
    <cellStyle name="Normal 2 56 2" xfId="7759" xr:uid="{00000000-0005-0000-0000-0000AC110000}"/>
    <cellStyle name="Normal 2 57" xfId="1388" xr:uid="{00000000-0005-0000-0000-0000AD110000}"/>
    <cellStyle name="Normal 2 57 2" xfId="7760" xr:uid="{00000000-0005-0000-0000-0000AE110000}"/>
    <cellStyle name="Normal 2 58" xfId="1389" xr:uid="{00000000-0005-0000-0000-0000AF110000}"/>
    <cellStyle name="Normal 2 58 2" xfId="7761" xr:uid="{00000000-0005-0000-0000-0000B0110000}"/>
    <cellStyle name="Normal 2 59" xfId="1390" xr:uid="{00000000-0005-0000-0000-0000B1110000}"/>
    <cellStyle name="Normal 2 59 2" xfId="7762" xr:uid="{00000000-0005-0000-0000-0000B2110000}"/>
    <cellStyle name="Normal 2 6" xfId="1391" xr:uid="{00000000-0005-0000-0000-0000B3110000}"/>
    <cellStyle name="Normal 2 6 2" xfId="4161" xr:uid="{00000000-0005-0000-0000-0000B4110000}"/>
    <cellStyle name="Normal 2 6 3" xfId="4121" xr:uid="{00000000-0005-0000-0000-0000B5110000}"/>
    <cellStyle name="Normal 2 6 4" xfId="4088" xr:uid="{00000000-0005-0000-0000-0000B6110000}"/>
    <cellStyle name="Normal 2 60" xfId="1392" xr:uid="{00000000-0005-0000-0000-0000B7110000}"/>
    <cellStyle name="Normal 2 60 2" xfId="7763" xr:uid="{00000000-0005-0000-0000-0000B8110000}"/>
    <cellStyle name="Normal 2 61" xfId="1393" xr:uid="{00000000-0005-0000-0000-0000B9110000}"/>
    <cellStyle name="Normal 2 61 2" xfId="7764" xr:uid="{00000000-0005-0000-0000-0000BA110000}"/>
    <cellStyle name="Normal 2 62" xfId="1394" xr:uid="{00000000-0005-0000-0000-0000BB110000}"/>
    <cellStyle name="Normal 2 62 2" xfId="7765" xr:uid="{00000000-0005-0000-0000-0000BC110000}"/>
    <cellStyle name="Normal 2 63" xfId="1395" xr:uid="{00000000-0005-0000-0000-0000BD110000}"/>
    <cellStyle name="Normal 2 63 2" xfId="7766" xr:uid="{00000000-0005-0000-0000-0000BE110000}"/>
    <cellStyle name="Normal 2 64" xfId="1396" xr:uid="{00000000-0005-0000-0000-0000BF110000}"/>
    <cellStyle name="Normal 2 64 2" xfId="7767" xr:uid="{00000000-0005-0000-0000-0000C0110000}"/>
    <cellStyle name="Normal 2 65" xfId="1397" xr:uid="{00000000-0005-0000-0000-0000C1110000}"/>
    <cellStyle name="Normal 2 65 2" xfId="7768" xr:uid="{00000000-0005-0000-0000-0000C2110000}"/>
    <cellStyle name="Normal 2 66" xfId="1398" xr:uid="{00000000-0005-0000-0000-0000C3110000}"/>
    <cellStyle name="Normal 2 66 2" xfId="7769" xr:uid="{00000000-0005-0000-0000-0000C4110000}"/>
    <cellStyle name="Normal 2 67" xfId="1399" xr:uid="{00000000-0005-0000-0000-0000C5110000}"/>
    <cellStyle name="Normal 2 67 2" xfId="7770" xr:uid="{00000000-0005-0000-0000-0000C6110000}"/>
    <cellStyle name="Normal 2 68" xfId="1400" xr:uid="{00000000-0005-0000-0000-0000C7110000}"/>
    <cellStyle name="Normal 2 68 2" xfId="7771" xr:uid="{00000000-0005-0000-0000-0000C8110000}"/>
    <cellStyle name="Normal 2 69" xfId="1401" xr:uid="{00000000-0005-0000-0000-0000C9110000}"/>
    <cellStyle name="Normal 2 69 2" xfId="7772" xr:uid="{00000000-0005-0000-0000-0000CA110000}"/>
    <cellStyle name="Normal 2 7" xfId="1402" xr:uid="{00000000-0005-0000-0000-0000CB110000}"/>
    <cellStyle name="Normal 2 7 2" xfId="4157" xr:uid="{00000000-0005-0000-0000-0000CC110000}"/>
    <cellStyle name="Normal 2 7 3" xfId="4117" xr:uid="{00000000-0005-0000-0000-0000CD110000}"/>
    <cellStyle name="Normal 2 7 4" xfId="4084" xr:uid="{00000000-0005-0000-0000-0000CE110000}"/>
    <cellStyle name="Normal 2 70" xfId="1403" xr:uid="{00000000-0005-0000-0000-0000CF110000}"/>
    <cellStyle name="Normal 2 70 2" xfId="7773" xr:uid="{00000000-0005-0000-0000-0000D0110000}"/>
    <cellStyle name="Normal 2 71" xfId="1404" xr:uid="{00000000-0005-0000-0000-0000D1110000}"/>
    <cellStyle name="Normal 2 71 2" xfId="7774" xr:uid="{00000000-0005-0000-0000-0000D2110000}"/>
    <cellStyle name="Normal 2 72" xfId="1405" xr:uid="{00000000-0005-0000-0000-0000D3110000}"/>
    <cellStyle name="Normal 2 72 2" xfId="7775" xr:uid="{00000000-0005-0000-0000-0000D4110000}"/>
    <cellStyle name="Normal 2 73" xfId="1406" xr:uid="{00000000-0005-0000-0000-0000D5110000}"/>
    <cellStyle name="Normal 2 73 2" xfId="7776" xr:uid="{00000000-0005-0000-0000-0000D6110000}"/>
    <cellStyle name="Normal 2 74" xfId="1407" xr:uid="{00000000-0005-0000-0000-0000D7110000}"/>
    <cellStyle name="Normal 2 74 2" xfId="7777" xr:uid="{00000000-0005-0000-0000-0000D8110000}"/>
    <cellStyle name="Normal 2 75" xfId="1408" xr:uid="{00000000-0005-0000-0000-0000D9110000}"/>
    <cellStyle name="Normal 2 75 2" xfId="7778" xr:uid="{00000000-0005-0000-0000-0000DA110000}"/>
    <cellStyle name="Normal 2 76" xfId="1409" xr:uid="{00000000-0005-0000-0000-0000DB110000}"/>
    <cellStyle name="Normal 2 76 2" xfId="7779" xr:uid="{00000000-0005-0000-0000-0000DC110000}"/>
    <cellStyle name="Normal 2 77" xfId="1410" xr:uid="{00000000-0005-0000-0000-0000DD110000}"/>
    <cellStyle name="Normal 2 77 2" xfId="7780" xr:uid="{00000000-0005-0000-0000-0000DE110000}"/>
    <cellStyle name="Normal 2 78" xfId="1411" xr:uid="{00000000-0005-0000-0000-0000DF110000}"/>
    <cellStyle name="Normal 2 78 2" xfId="7781" xr:uid="{00000000-0005-0000-0000-0000E0110000}"/>
    <cellStyle name="Normal 2 79" xfId="1412" xr:uid="{00000000-0005-0000-0000-0000E1110000}"/>
    <cellStyle name="Normal 2 79 2" xfId="7782" xr:uid="{00000000-0005-0000-0000-0000E2110000}"/>
    <cellStyle name="Normal 2 8" xfId="1413" xr:uid="{00000000-0005-0000-0000-0000E3110000}"/>
    <cellStyle name="Normal 2 8 2" xfId="4165" xr:uid="{00000000-0005-0000-0000-0000E4110000}"/>
    <cellStyle name="Normal 2 8 3" xfId="4125" xr:uid="{00000000-0005-0000-0000-0000E5110000}"/>
    <cellStyle name="Normal 2 8 4" xfId="4092" xr:uid="{00000000-0005-0000-0000-0000E6110000}"/>
    <cellStyle name="Normal 2 80" xfId="1414" xr:uid="{00000000-0005-0000-0000-0000E7110000}"/>
    <cellStyle name="Normal 2 80 2" xfId="7783" xr:uid="{00000000-0005-0000-0000-0000E8110000}"/>
    <cellStyle name="Normal 2 81" xfId="1415" xr:uid="{00000000-0005-0000-0000-0000E9110000}"/>
    <cellStyle name="Normal 2 81 2" xfId="7784" xr:uid="{00000000-0005-0000-0000-0000EA110000}"/>
    <cellStyle name="Normal 2 82" xfId="1416" xr:uid="{00000000-0005-0000-0000-0000EB110000}"/>
    <cellStyle name="Normal 2 82 2" xfId="7785" xr:uid="{00000000-0005-0000-0000-0000EC110000}"/>
    <cellStyle name="Normal 2 83" xfId="1417" xr:uid="{00000000-0005-0000-0000-0000ED110000}"/>
    <cellStyle name="Normal 2 83 2" xfId="7786" xr:uid="{00000000-0005-0000-0000-0000EE110000}"/>
    <cellStyle name="Normal 2 84" xfId="1418" xr:uid="{00000000-0005-0000-0000-0000EF110000}"/>
    <cellStyle name="Normal 2 84 2" xfId="7787" xr:uid="{00000000-0005-0000-0000-0000F0110000}"/>
    <cellStyle name="Normal 2 85" xfId="1419" xr:uid="{00000000-0005-0000-0000-0000F1110000}"/>
    <cellStyle name="Normal 2 85 2" xfId="7788" xr:uid="{00000000-0005-0000-0000-0000F2110000}"/>
    <cellStyle name="Normal 2 86" xfId="1420" xr:uid="{00000000-0005-0000-0000-0000F3110000}"/>
    <cellStyle name="Normal 2 86 2" xfId="7789" xr:uid="{00000000-0005-0000-0000-0000F4110000}"/>
    <cellStyle name="Normal 2 87" xfId="1421" xr:uid="{00000000-0005-0000-0000-0000F5110000}"/>
    <cellStyle name="Normal 2 87 2" xfId="7790" xr:uid="{00000000-0005-0000-0000-0000F6110000}"/>
    <cellStyle name="Normal 2 88" xfId="1422" xr:uid="{00000000-0005-0000-0000-0000F7110000}"/>
    <cellStyle name="Normal 2 88 2" xfId="7791" xr:uid="{00000000-0005-0000-0000-0000F8110000}"/>
    <cellStyle name="Normal 2 89" xfId="1423" xr:uid="{00000000-0005-0000-0000-0000F9110000}"/>
    <cellStyle name="Normal 2 89 2" xfId="7792" xr:uid="{00000000-0005-0000-0000-0000FA110000}"/>
    <cellStyle name="Normal 2 9" xfId="1424" xr:uid="{00000000-0005-0000-0000-0000FB110000}"/>
    <cellStyle name="Normal 2 9 2" xfId="4167" xr:uid="{00000000-0005-0000-0000-0000FC110000}"/>
    <cellStyle name="Normal 2 9 3" xfId="4127" xr:uid="{00000000-0005-0000-0000-0000FD110000}"/>
    <cellStyle name="Normal 2 9 4" xfId="4094" xr:uid="{00000000-0005-0000-0000-0000FE110000}"/>
    <cellStyle name="Normal 2 90" xfId="1425" xr:uid="{00000000-0005-0000-0000-0000FF110000}"/>
    <cellStyle name="Normal 2 90 2" xfId="7793" xr:uid="{00000000-0005-0000-0000-000000120000}"/>
    <cellStyle name="Normal 2 91" xfId="1426" xr:uid="{00000000-0005-0000-0000-000001120000}"/>
    <cellStyle name="Normal 2 91 2" xfId="7794" xr:uid="{00000000-0005-0000-0000-000002120000}"/>
    <cellStyle name="Normal 2 92" xfId="1427" xr:uid="{00000000-0005-0000-0000-000003120000}"/>
    <cellStyle name="Normal 2 92 2" xfId="7795" xr:uid="{00000000-0005-0000-0000-000004120000}"/>
    <cellStyle name="Normal 2 93" xfId="1428" xr:uid="{00000000-0005-0000-0000-000005120000}"/>
    <cellStyle name="Normal 2 93 2" xfId="7796" xr:uid="{00000000-0005-0000-0000-000006120000}"/>
    <cellStyle name="Normal 2 94" xfId="1429" xr:uid="{00000000-0005-0000-0000-000007120000}"/>
    <cellStyle name="Normal 2 94 2" xfId="7797" xr:uid="{00000000-0005-0000-0000-000008120000}"/>
    <cellStyle name="Normal 2 95" xfId="1430" xr:uid="{00000000-0005-0000-0000-000009120000}"/>
    <cellStyle name="Normal 2 95 2" xfId="7798" xr:uid="{00000000-0005-0000-0000-00000A120000}"/>
    <cellStyle name="Normal 2 96" xfId="1431" xr:uid="{00000000-0005-0000-0000-00000B120000}"/>
    <cellStyle name="Normal 2 96 2" xfId="7799" xr:uid="{00000000-0005-0000-0000-00000C120000}"/>
    <cellStyle name="Normal 2 97" xfId="1432" xr:uid="{00000000-0005-0000-0000-00000D120000}"/>
    <cellStyle name="Normal 2 97 2" xfId="7800" xr:uid="{00000000-0005-0000-0000-00000E120000}"/>
    <cellStyle name="Normal 2 98" xfId="1433" xr:uid="{00000000-0005-0000-0000-00000F120000}"/>
    <cellStyle name="Normal 2 98 2" xfId="7801" xr:uid="{00000000-0005-0000-0000-000010120000}"/>
    <cellStyle name="Normal 2 99" xfId="1434" xr:uid="{00000000-0005-0000-0000-000011120000}"/>
    <cellStyle name="Normal 2 99 2" xfId="7802" xr:uid="{00000000-0005-0000-0000-000012120000}"/>
    <cellStyle name="Normal 20" xfId="4301" xr:uid="{00000000-0005-0000-0000-000013120000}"/>
    <cellStyle name="Normal 20 2" xfId="9727" xr:uid="{00000000-0005-0000-0000-000014120000}"/>
    <cellStyle name="Normal 20 2 2" xfId="10428" xr:uid="{00000000-0005-0000-0000-000015120000}"/>
    <cellStyle name="Normal 20 2 2 2" xfId="12163" xr:uid="{00000000-0005-0000-0000-000016120000}"/>
    <cellStyle name="Normal 20 2 3" xfId="11516" xr:uid="{00000000-0005-0000-0000-000017120000}"/>
    <cellStyle name="Normal 20 3" xfId="10131" xr:uid="{00000000-0005-0000-0000-000018120000}"/>
    <cellStyle name="Normal 20 3 2" xfId="11867" xr:uid="{00000000-0005-0000-0000-000019120000}"/>
    <cellStyle name="Normal 20 4" xfId="11111" xr:uid="{00000000-0005-0000-0000-00001A120000}"/>
    <cellStyle name="Normal 21" xfId="4305" xr:uid="{00000000-0005-0000-0000-00001B120000}"/>
    <cellStyle name="Normal 21 2" xfId="9731" xr:uid="{00000000-0005-0000-0000-00001C120000}"/>
    <cellStyle name="Normal 21 2 2" xfId="10432" xr:uid="{00000000-0005-0000-0000-00001D120000}"/>
    <cellStyle name="Normal 21 2 2 2" xfId="12167" xr:uid="{00000000-0005-0000-0000-00001E120000}"/>
    <cellStyle name="Normal 21 2 3" xfId="11520" xr:uid="{00000000-0005-0000-0000-00001F120000}"/>
    <cellStyle name="Normal 21 3" xfId="10135" xr:uid="{00000000-0005-0000-0000-000020120000}"/>
    <cellStyle name="Normal 21 3 2" xfId="11871" xr:uid="{00000000-0005-0000-0000-000021120000}"/>
    <cellStyle name="Normal 21 4" xfId="11115" xr:uid="{00000000-0005-0000-0000-000022120000}"/>
    <cellStyle name="Normal 22" xfId="4356" xr:uid="{00000000-0005-0000-0000-000023120000}"/>
    <cellStyle name="Normal 22 2" xfId="9767" xr:uid="{00000000-0005-0000-0000-000024120000}"/>
    <cellStyle name="Normal 22 2 2" xfId="10466" xr:uid="{00000000-0005-0000-0000-000025120000}"/>
    <cellStyle name="Normal 22 2 2 2" xfId="12201" xr:uid="{00000000-0005-0000-0000-000026120000}"/>
    <cellStyle name="Normal 22 2 3" xfId="11554" xr:uid="{00000000-0005-0000-0000-000027120000}"/>
    <cellStyle name="Normal 22 3" xfId="10169" xr:uid="{00000000-0005-0000-0000-000028120000}"/>
    <cellStyle name="Normal 22 3 2" xfId="11905" xr:uid="{00000000-0005-0000-0000-000029120000}"/>
    <cellStyle name="Normal 22 4" xfId="11162" xr:uid="{00000000-0005-0000-0000-00002A120000}"/>
    <cellStyle name="Normal 23" xfId="4371" xr:uid="{00000000-0005-0000-0000-00002B120000}"/>
    <cellStyle name="Normal 23 2" xfId="9779" xr:uid="{00000000-0005-0000-0000-00002C120000}"/>
    <cellStyle name="Normal 23 2 2" xfId="10478" xr:uid="{00000000-0005-0000-0000-00002D120000}"/>
    <cellStyle name="Normal 23 2 2 2" xfId="12213" xr:uid="{00000000-0005-0000-0000-00002E120000}"/>
    <cellStyle name="Normal 23 2 3" xfId="11566" xr:uid="{00000000-0005-0000-0000-00002F120000}"/>
    <cellStyle name="Normal 23 3" xfId="10183" xr:uid="{00000000-0005-0000-0000-000030120000}"/>
    <cellStyle name="Normal 23 3 2" xfId="11919" xr:uid="{00000000-0005-0000-0000-000031120000}"/>
    <cellStyle name="Normal 23 4" xfId="11176" xr:uid="{00000000-0005-0000-0000-000032120000}"/>
    <cellStyle name="Normal 24" xfId="7594" xr:uid="{00000000-0005-0000-0000-000033120000}"/>
    <cellStyle name="Normal 24 2" xfId="10253" xr:uid="{00000000-0005-0000-0000-000034120000}"/>
    <cellStyle name="Normal 25" xfId="7593" xr:uid="{00000000-0005-0000-0000-000035120000}"/>
    <cellStyle name="Normal 25 2" xfId="10252" xr:uid="{00000000-0005-0000-0000-000036120000}"/>
    <cellStyle name="Normal 25 2 2" xfId="11988" xr:uid="{00000000-0005-0000-0000-000037120000}"/>
    <cellStyle name="Normal 25 3" xfId="11262" xr:uid="{00000000-0005-0000-0000-000038120000}"/>
    <cellStyle name="Normal 26" xfId="9854" xr:uid="{00000000-0005-0000-0000-000039120000}"/>
    <cellStyle name="Normal 26 2" xfId="11640" xr:uid="{00000000-0005-0000-0000-00003A120000}"/>
    <cellStyle name="Normal 27" xfId="9856" xr:uid="{00000000-0005-0000-0000-00003B120000}"/>
    <cellStyle name="Normal 27 2" xfId="11642" xr:uid="{00000000-0005-0000-0000-00003C120000}"/>
    <cellStyle name="Normal 28" xfId="9870" xr:uid="{00000000-0005-0000-0000-00003D120000}"/>
    <cellStyle name="Normal 28 2" xfId="11656" xr:uid="{00000000-0005-0000-0000-00003E120000}"/>
    <cellStyle name="Normal 29" xfId="9872" xr:uid="{00000000-0005-0000-0000-00003F120000}"/>
    <cellStyle name="Normal 29 2" xfId="11658" xr:uid="{00000000-0005-0000-0000-000040120000}"/>
    <cellStyle name="Normal 3" xfId="22" xr:uid="{00000000-0005-0000-0000-000041120000}"/>
    <cellStyle name="Normal 3 10" xfId="1435" xr:uid="{00000000-0005-0000-0000-000042120000}"/>
    <cellStyle name="Normal 3 11" xfId="1436" xr:uid="{00000000-0005-0000-0000-000043120000}"/>
    <cellStyle name="Normal 3 12" xfId="1437" xr:uid="{00000000-0005-0000-0000-000044120000}"/>
    <cellStyle name="Normal 3 12 2" xfId="7803" xr:uid="{00000000-0005-0000-0000-000045120000}"/>
    <cellStyle name="Normal 3 13" xfId="1438" xr:uid="{00000000-0005-0000-0000-000046120000}"/>
    <cellStyle name="Normal 3 13 2" xfId="7804" xr:uid="{00000000-0005-0000-0000-000047120000}"/>
    <cellStyle name="Normal 3 14" xfId="1439" xr:uid="{00000000-0005-0000-0000-000048120000}"/>
    <cellStyle name="Normal 3 14 2" xfId="7805" xr:uid="{00000000-0005-0000-0000-000049120000}"/>
    <cellStyle name="Normal 3 15" xfId="1440" xr:uid="{00000000-0005-0000-0000-00004A120000}"/>
    <cellStyle name="Normal 3 15 2" xfId="7806" xr:uid="{00000000-0005-0000-0000-00004B120000}"/>
    <cellStyle name="Normal 3 16" xfId="1441" xr:uid="{00000000-0005-0000-0000-00004C120000}"/>
    <cellStyle name="Normal 3 16 2" xfId="7807" xr:uid="{00000000-0005-0000-0000-00004D120000}"/>
    <cellStyle name="Normal 3 17" xfId="1442" xr:uid="{00000000-0005-0000-0000-00004E120000}"/>
    <cellStyle name="Normal 3 17 2" xfId="7808" xr:uid="{00000000-0005-0000-0000-00004F120000}"/>
    <cellStyle name="Normal 3 18" xfId="1443" xr:uid="{00000000-0005-0000-0000-000050120000}"/>
    <cellStyle name="Normal 3 18 2" xfId="7809" xr:uid="{00000000-0005-0000-0000-000051120000}"/>
    <cellStyle name="Normal 3 19" xfId="1444" xr:uid="{00000000-0005-0000-0000-000052120000}"/>
    <cellStyle name="Normal 3 19 2" xfId="7810" xr:uid="{00000000-0005-0000-0000-000053120000}"/>
    <cellStyle name="Normal 3 2" xfId="83" xr:uid="{00000000-0005-0000-0000-000054120000}"/>
    <cellStyle name="Normal 3 2 10" xfId="4232" xr:uid="{00000000-0005-0000-0000-000055120000}"/>
    <cellStyle name="Normal 3 2 10 2" xfId="9667" xr:uid="{00000000-0005-0000-0000-000056120000}"/>
    <cellStyle name="Normal 3 2 10 2 2" xfId="10369" xr:uid="{00000000-0005-0000-0000-000057120000}"/>
    <cellStyle name="Normal 3 2 10 2 2 2" xfId="12104" xr:uid="{00000000-0005-0000-0000-000058120000}"/>
    <cellStyle name="Normal 3 2 10 2 3" xfId="11457" xr:uid="{00000000-0005-0000-0000-000059120000}"/>
    <cellStyle name="Normal 3 2 10 3" xfId="10072" xr:uid="{00000000-0005-0000-0000-00005A120000}"/>
    <cellStyle name="Normal 3 2 10 3 2" xfId="11808" xr:uid="{00000000-0005-0000-0000-00005B120000}"/>
    <cellStyle name="Normal 3 2 10 4" xfId="11044" xr:uid="{00000000-0005-0000-0000-00005C120000}"/>
    <cellStyle name="Normal 3 2 11" xfId="4315" xr:uid="{00000000-0005-0000-0000-00005D120000}"/>
    <cellStyle name="Normal 3 2 11 2" xfId="9738" xr:uid="{00000000-0005-0000-0000-00005E120000}"/>
    <cellStyle name="Normal 3 2 11 2 2" xfId="10439" xr:uid="{00000000-0005-0000-0000-00005F120000}"/>
    <cellStyle name="Normal 3 2 11 2 2 2" xfId="12174" xr:uid="{00000000-0005-0000-0000-000060120000}"/>
    <cellStyle name="Normal 3 2 11 2 3" xfId="11527" xr:uid="{00000000-0005-0000-0000-000061120000}"/>
    <cellStyle name="Normal 3 2 11 3" xfId="10142" xr:uid="{00000000-0005-0000-0000-000062120000}"/>
    <cellStyle name="Normal 3 2 11 3 2" xfId="11878" xr:uid="{00000000-0005-0000-0000-000063120000}"/>
    <cellStyle name="Normal 3 2 11 4" xfId="11125" xr:uid="{00000000-0005-0000-0000-000064120000}"/>
    <cellStyle name="Normal 3 2 12" xfId="7811" xr:uid="{00000000-0005-0000-0000-000065120000}"/>
    <cellStyle name="Normal 3 2 13" xfId="10557" xr:uid="{00000000-0005-0000-0000-000066120000}"/>
    <cellStyle name="Normal 3 2 13 2" xfId="12292" xr:uid="{00000000-0005-0000-0000-000067120000}"/>
    <cellStyle name="Normal 3 2 2" xfId="114" xr:uid="{00000000-0005-0000-0000-000068120000}"/>
    <cellStyle name="Normal 3 2 2 2" xfId="4283" xr:uid="{00000000-0005-0000-0000-000069120000}"/>
    <cellStyle name="Normal 3 2 2 2 2" xfId="9718" xr:uid="{00000000-0005-0000-0000-00006A120000}"/>
    <cellStyle name="Normal 3 2 2 2 2 2" xfId="10420" xr:uid="{00000000-0005-0000-0000-00006B120000}"/>
    <cellStyle name="Normal 3 2 2 2 2 2 2" xfId="12155" xr:uid="{00000000-0005-0000-0000-00006C120000}"/>
    <cellStyle name="Normal 3 2 2 2 2 3" xfId="11508" xr:uid="{00000000-0005-0000-0000-00006D120000}"/>
    <cellStyle name="Normal 3 2 2 2 3" xfId="10123" xr:uid="{00000000-0005-0000-0000-00006E120000}"/>
    <cellStyle name="Normal 3 2 2 2 3 2" xfId="11859" xr:uid="{00000000-0005-0000-0000-00006F120000}"/>
    <cellStyle name="Normal 3 2 2 2 4" xfId="10578" xr:uid="{00000000-0005-0000-0000-000070120000}"/>
    <cellStyle name="Normal 3 2 2 2 4 2" xfId="12313" xr:uid="{00000000-0005-0000-0000-000071120000}"/>
    <cellStyle name="Normal 3 2 2 2 5" xfId="11095" xr:uid="{00000000-0005-0000-0000-000072120000}"/>
    <cellStyle name="Normal 3 2 2 3" xfId="1445" xr:uid="{00000000-0005-0000-0000-000073120000}"/>
    <cellStyle name="Normal 3 2 2 4" xfId="10567" xr:uid="{00000000-0005-0000-0000-000074120000}"/>
    <cellStyle name="Normal 3 2 2 4 2" xfId="12302" xr:uid="{00000000-0005-0000-0000-000075120000}"/>
    <cellStyle name="Normal 3 2 3" xfId="1446" xr:uid="{00000000-0005-0000-0000-000076120000}"/>
    <cellStyle name="Normal 3 2 3 2" xfId="10185" xr:uid="{00000000-0005-0000-0000-000077120000}"/>
    <cellStyle name="Normal 3 2 3 2 2" xfId="11921" xr:uid="{00000000-0005-0000-0000-000078120000}"/>
    <cellStyle name="Normal 3 2 3 3" xfId="10572" xr:uid="{00000000-0005-0000-0000-000079120000}"/>
    <cellStyle name="Normal 3 2 3 3 2" xfId="12307" xr:uid="{00000000-0005-0000-0000-00007A120000}"/>
    <cellStyle name="Normal 3 2 4" xfId="1447" xr:uid="{00000000-0005-0000-0000-00007B120000}"/>
    <cellStyle name="Normal 3 2 5" xfId="1448" xr:uid="{00000000-0005-0000-0000-00007C120000}"/>
    <cellStyle name="Normal 3 2 6" xfId="1449" xr:uid="{00000000-0005-0000-0000-00007D120000}"/>
    <cellStyle name="Normal 3 2 7" xfId="1450" xr:uid="{00000000-0005-0000-0000-00007E120000}"/>
    <cellStyle name="Normal 3 2 8" xfId="1451" xr:uid="{00000000-0005-0000-0000-00007F120000}"/>
    <cellStyle name="Normal 3 2 9" xfId="4169" xr:uid="{00000000-0005-0000-0000-000080120000}"/>
    <cellStyle name="Normal 3 2 9 2" xfId="9615" xr:uid="{00000000-0005-0000-0000-000081120000}"/>
    <cellStyle name="Normal 3 2 9 2 2" xfId="10318" xr:uid="{00000000-0005-0000-0000-000082120000}"/>
    <cellStyle name="Normal 3 2 9 2 2 2" xfId="12053" xr:uid="{00000000-0005-0000-0000-000083120000}"/>
    <cellStyle name="Normal 3 2 9 2 3" xfId="11406" xr:uid="{00000000-0005-0000-0000-000084120000}"/>
    <cellStyle name="Normal 3 2 9 3" xfId="10021" xr:uid="{00000000-0005-0000-0000-000085120000}"/>
    <cellStyle name="Normal 3 2 9 3 2" xfId="11757" xr:uid="{00000000-0005-0000-0000-000086120000}"/>
    <cellStyle name="Normal 3 2 9 4" xfId="10984" xr:uid="{00000000-0005-0000-0000-000087120000}"/>
    <cellStyle name="Normal 3 20" xfId="1452" xr:uid="{00000000-0005-0000-0000-000088120000}"/>
    <cellStyle name="Normal 3 20 2" xfId="7812" xr:uid="{00000000-0005-0000-0000-000089120000}"/>
    <cellStyle name="Normal 3 21" xfId="1453" xr:uid="{00000000-0005-0000-0000-00008A120000}"/>
    <cellStyle name="Normal 3 21 2" xfId="7813" xr:uid="{00000000-0005-0000-0000-00008B120000}"/>
    <cellStyle name="Normal 3 22" xfId="1454" xr:uid="{00000000-0005-0000-0000-00008C120000}"/>
    <cellStyle name="Normal 3 22 2" xfId="7814" xr:uid="{00000000-0005-0000-0000-00008D120000}"/>
    <cellStyle name="Normal 3 23" xfId="1455" xr:uid="{00000000-0005-0000-0000-00008E120000}"/>
    <cellStyle name="Normal 3 23 2" xfId="7815" xr:uid="{00000000-0005-0000-0000-00008F120000}"/>
    <cellStyle name="Normal 3 24" xfId="1456" xr:uid="{00000000-0005-0000-0000-000090120000}"/>
    <cellStyle name="Normal 3 24 2" xfId="7816" xr:uid="{00000000-0005-0000-0000-000091120000}"/>
    <cellStyle name="Normal 3 25" xfId="1457" xr:uid="{00000000-0005-0000-0000-000092120000}"/>
    <cellStyle name="Normal 3 25 2" xfId="7817" xr:uid="{00000000-0005-0000-0000-000093120000}"/>
    <cellStyle name="Normal 3 26" xfId="1458" xr:uid="{00000000-0005-0000-0000-000094120000}"/>
    <cellStyle name="Normal 3 26 2" xfId="7818" xr:uid="{00000000-0005-0000-0000-000095120000}"/>
    <cellStyle name="Normal 3 27" xfId="1459" xr:uid="{00000000-0005-0000-0000-000096120000}"/>
    <cellStyle name="Normal 3 27 2" xfId="7819" xr:uid="{00000000-0005-0000-0000-000097120000}"/>
    <cellStyle name="Normal 3 28" xfId="1460" xr:uid="{00000000-0005-0000-0000-000098120000}"/>
    <cellStyle name="Normal 3 28 2" xfId="7820" xr:uid="{00000000-0005-0000-0000-000099120000}"/>
    <cellStyle name="Normal 3 29" xfId="1461" xr:uid="{00000000-0005-0000-0000-00009A120000}"/>
    <cellStyle name="Normal 3 29 2" xfId="7821" xr:uid="{00000000-0005-0000-0000-00009B120000}"/>
    <cellStyle name="Normal 3 3" xfId="113" xr:uid="{00000000-0005-0000-0000-00009C120000}"/>
    <cellStyle name="Normal 3 3 2" xfId="4129" xr:uid="{00000000-0005-0000-0000-00009D120000}"/>
    <cellStyle name="Normal 3 3 2 2" xfId="4265" xr:uid="{00000000-0005-0000-0000-00009E120000}"/>
    <cellStyle name="Normal 3 3 2 2 2" xfId="9700" xr:uid="{00000000-0005-0000-0000-00009F120000}"/>
    <cellStyle name="Normal 3 3 2 2 2 2" xfId="10402" xr:uid="{00000000-0005-0000-0000-0000A0120000}"/>
    <cellStyle name="Normal 3 3 2 2 2 2 2" xfId="12137" xr:uid="{00000000-0005-0000-0000-0000A1120000}"/>
    <cellStyle name="Normal 3 3 2 2 2 3" xfId="11490" xr:uid="{00000000-0005-0000-0000-0000A2120000}"/>
    <cellStyle name="Normal 3 3 2 2 3" xfId="10105" xr:uid="{00000000-0005-0000-0000-0000A3120000}"/>
    <cellStyle name="Normal 3 3 2 2 3 2" xfId="11841" xr:uid="{00000000-0005-0000-0000-0000A4120000}"/>
    <cellStyle name="Normal 3 3 2 2 4" xfId="11077" xr:uid="{00000000-0005-0000-0000-0000A5120000}"/>
    <cellStyle name="Normal 3 3 2 3" xfId="9596" xr:uid="{00000000-0005-0000-0000-0000A6120000}"/>
    <cellStyle name="Normal 3 3 2 3 2" xfId="10300" xr:uid="{00000000-0005-0000-0000-0000A7120000}"/>
    <cellStyle name="Normal 3 3 2 3 2 2" xfId="12035" xr:uid="{00000000-0005-0000-0000-0000A8120000}"/>
    <cellStyle name="Normal 3 3 2 3 3" xfId="11388" xr:uid="{00000000-0005-0000-0000-0000A9120000}"/>
    <cellStyle name="Normal 3 3 2 4" xfId="10003" xr:uid="{00000000-0005-0000-0000-0000AA120000}"/>
    <cellStyle name="Normal 3 3 2 4 2" xfId="11739" xr:uid="{00000000-0005-0000-0000-0000AB120000}"/>
    <cellStyle name="Normal 3 3 2 5" xfId="10963" xr:uid="{00000000-0005-0000-0000-0000AC120000}"/>
    <cellStyle name="Normal 3 3 3" xfId="4214" xr:uid="{00000000-0005-0000-0000-0000AD120000}"/>
    <cellStyle name="Normal 3 3 3 2" xfId="9649" xr:uid="{00000000-0005-0000-0000-0000AE120000}"/>
    <cellStyle name="Normal 3 3 3 2 2" xfId="10351" xr:uid="{00000000-0005-0000-0000-0000AF120000}"/>
    <cellStyle name="Normal 3 3 3 2 2 2" xfId="12086" xr:uid="{00000000-0005-0000-0000-0000B0120000}"/>
    <cellStyle name="Normal 3 3 3 2 3" xfId="11439" xr:uid="{00000000-0005-0000-0000-0000B1120000}"/>
    <cellStyle name="Normal 3 3 3 3" xfId="10054" xr:uid="{00000000-0005-0000-0000-0000B2120000}"/>
    <cellStyle name="Normal 3 3 3 3 2" xfId="11790" xr:uid="{00000000-0005-0000-0000-0000B3120000}"/>
    <cellStyle name="Normal 3 3 3 4" xfId="11026" xr:uid="{00000000-0005-0000-0000-0000B4120000}"/>
    <cellStyle name="Normal 3 3 4" xfId="4324" xr:uid="{00000000-0005-0000-0000-0000B5120000}"/>
    <cellStyle name="Normal 3 3 4 2" xfId="9741" xr:uid="{00000000-0005-0000-0000-0000B6120000}"/>
    <cellStyle name="Normal 3 3 5" xfId="7822" xr:uid="{00000000-0005-0000-0000-0000B7120000}"/>
    <cellStyle name="Normal 3 30" xfId="1462" xr:uid="{00000000-0005-0000-0000-0000B8120000}"/>
    <cellStyle name="Normal 3 30 2" xfId="7823" xr:uid="{00000000-0005-0000-0000-0000B9120000}"/>
    <cellStyle name="Normal 3 31" xfId="4054" xr:uid="{00000000-0005-0000-0000-0000BA120000}"/>
    <cellStyle name="Normal 3 32" xfId="4096" xr:uid="{00000000-0005-0000-0000-0000BB120000}"/>
    <cellStyle name="Normal 3 32 2" xfId="9580" xr:uid="{00000000-0005-0000-0000-0000BC120000}"/>
    <cellStyle name="Normal 3 32 2 2" xfId="10284" xr:uid="{00000000-0005-0000-0000-0000BD120000}"/>
    <cellStyle name="Normal 3 32 2 2 2" xfId="12019" xr:uid="{00000000-0005-0000-0000-0000BE120000}"/>
    <cellStyle name="Normal 3 32 2 3" xfId="11372" xr:uid="{00000000-0005-0000-0000-0000BF120000}"/>
    <cellStyle name="Normal 3 32 3" xfId="9987" xr:uid="{00000000-0005-0000-0000-0000C0120000}"/>
    <cellStyle name="Normal 3 32 3 2" xfId="11723" xr:uid="{00000000-0005-0000-0000-0000C1120000}"/>
    <cellStyle name="Normal 3 32 4" xfId="10946" xr:uid="{00000000-0005-0000-0000-0000C2120000}"/>
    <cellStyle name="Normal 3 33" xfId="4198" xr:uid="{00000000-0005-0000-0000-0000C3120000}"/>
    <cellStyle name="Normal 3 33 2" xfId="9633" xr:uid="{00000000-0005-0000-0000-0000C4120000}"/>
    <cellStyle name="Normal 3 33 2 2" xfId="10335" xr:uid="{00000000-0005-0000-0000-0000C5120000}"/>
    <cellStyle name="Normal 3 33 2 2 2" xfId="12070" xr:uid="{00000000-0005-0000-0000-0000C6120000}"/>
    <cellStyle name="Normal 3 33 2 3" xfId="11423" xr:uid="{00000000-0005-0000-0000-0000C7120000}"/>
    <cellStyle name="Normal 3 33 3" xfId="10038" xr:uid="{00000000-0005-0000-0000-0000C8120000}"/>
    <cellStyle name="Normal 3 33 3 2" xfId="11774" xr:uid="{00000000-0005-0000-0000-0000C9120000}"/>
    <cellStyle name="Normal 3 33 4" xfId="11010" xr:uid="{00000000-0005-0000-0000-0000CA120000}"/>
    <cellStyle name="Normal 3 34" xfId="4289" xr:uid="{00000000-0005-0000-0000-0000CB120000}"/>
    <cellStyle name="Normal 3 34 2" xfId="9723" xr:uid="{00000000-0005-0000-0000-0000CC120000}"/>
    <cellStyle name="Normal 3 35" xfId="4368" xr:uid="{00000000-0005-0000-0000-0000CD120000}"/>
    <cellStyle name="Normal 3 35 2" xfId="9776" xr:uid="{00000000-0005-0000-0000-0000CE120000}"/>
    <cellStyle name="Normal 3 35 2 2" xfId="10475" xr:uid="{00000000-0005-0000-0000-0000CF120000}"/>
    <cellStyle name="Normal 3 35 2 2 2" xfId="12210" xr:uid="{00000000-0005-0000-0000-0000D0120000}"/>
    <cellStyle name="Normal 3 35 2 3" xfId="11563" xr:uid="{00000000-0005-0000-0000-0000D1120000}"/>
    <cellStyle name="Normal 3 35 3" xfId="10180" xr:uid="{00000000-0005-0000-0000-0000D2120000}"/>
    <cellStyle name="Normal 3 35 3 2" xfId="11916" xr:uid="{00000000-0005-0000-0000-0000D3120000}"/>
    <cellStyle name="Normal 3 35 4" xfId="11173" xr:uid="{00000000-0005-0000-0000-0000D4120000}"/>
    <cellStyle name="Normal 3 36" xfId="9914" xr:uid="{00000000-0005-0000-0000-0000D5120000}"/>
    <cellStyle name="Normal 3 37" xfId="10556" xr:uid="{00000000-0005-0000-0000-0000D6120000}"/>
    <cellStyle name="Normal 3 37 2" xfId="12291" xr:uid="{00000000-0005-0000-0000-0000D7120000}"/>
    <cellStyle name="Normal 3 4" xfId="1463" xr:uid="{00000000-0005-0000-0000-0000D8120000}"/>
    <cellStyle name="Normal 3 4 2" xfId="4249" xr:uid="{00000000-0005-0000-0000-0000D9120000}"/>
    <cellStyle name="Normal 3 4 2 2" xfId="9684" xr:uid="{00000000-0005-0000-0000-0000DA120000}"/>
    <cellStyle name="Normal 3 4 2 2 2" xfId="10386" xr:uid="{00000000-0005-0000-0000-0000DB120000}"/>
    <cellStyle name="Normal 3 4 2 2 2 2" xfId="12121" xr:uid="{00000000-0005-0000-0000-0000DC120000}"/>
    <cellStyle name="Normal 3 4 2 2 3" xfId="11474" xr:uid="{00000000-0005-0000-0000-0000DD120000}"/>
    <cellStyle name="Normal 3 4 2 3" xfId="10089" xr:uid="{00000000-0005-0000-0000-0000DE120000}"/>
    <cellStyle name="Normal 3 4 2 3 2" xfId="11825" xr:uid="{00000000-0005-0000-0000-0000DF120000}"/>
    <cellStyle name="Normal 3 4 2 4" xfId="11061" xr:uid="{00000000-0005-0000-0000-0000E0120000}"/>
    <cellStyle name="Normal 3 4 3" xfId="4319" xr:uid="{00000000-0005-0000-0000-0000E1120000}"/>
    <cellStyle name="Normal 3 5" xfId="1464" xr:uid="{00000000-0005-0000-0000-0000E2120000}"/>
    <cellStyle name="Normal 3 5 2" xfId="4342" xr:uid="{00000000-0005-0000-0000-0000E3120000}"/>
    <cellStyle name="Normal 3 5 2 2" xfId="9753" xr:uid="{00000000-0005-0000-0000-0000E4120000}"/>
    <cellStyle name="Normal 3 6" xfId="1465" xr:uid="{00000000-0005-0000-0000-0000E5120000}"/>
    <cellStyle name="Normal 3 7" xfId="1466" xr:uid="{00000000-0005-0000-0000-0000E6120000}"/>
    <cellStyle name="Normal 3 8" xfId="1467" xr:uid="{00000000-0005-0000-0000-0000E7120000}"/>
    <cellStyle name="Normal 3 9" xfId="1468" xr:uid="{00000000-0005-0000-0000-0000E8120000}"/>
    <cellStyle name="Normal 30" xfId="9874" xr:uid="{00000000-0005-0000-0000-0000E9120000}"/>
    <cellStyle name="Normal 30 2" xfId="11660" xr:uid="{00000000-0005-0000-0000-0000EA120000}"/>
    <cellStyle name="Normal 31" xfId="9926" xr:uid="{00000000-0005-0000-0000-0000EB120000}"/>
    <cellStyle name="Normal 31 2" xfId="11664" xr:uid="{00000000-0005-0000-0000-0000EC120000}"/>
    <cellStyle name="Normal 32" xfId="9940" xr:uid="{00000000-0005-0000-0000-0000ED120000}"/>
    <cellStyle name="Normal 32 2" xfId="11678" xr:uid="{00000000-0005-0000-0000-0000EE120000}"/>
    <cellStyle name="Normal 33" xfId="9941" xr:uid="{00000000-0005-0000-0000-0000EF120000}"/>
    <cellStyle name="Normal 33 2" xfId="11679" xr:uid="{00000000-0005-0000-0000-0000F0120000}"/>
    <cellStyle name="Normal 34" xfId="10542" xr:uid="{00000000-0005-0000-0000-0000F1120000}"/>
    <cellStyle name="Normal 34 2" xfId="12277" xr:uid="{00000000-0005-0000-0000-0000F2120000}"/>
    <cellStyle name="Normal 35" xfId="10584" xr:uid="{00000000-0005-0000-0000-0000F3120000}"/>
    <cellStyle name="Normal 35 2" xfId="12319" xr:uid="{00000000-0005-0000-0000-0000F4120000}"/>
    <cellStyle name="Normal 36" xfId="10585" xr:uid="{00000000-0005-0000-0000-0000F5120000}"/>
    <cellStyle name="Normal 37" xfId="10587" xr:uid="{00000000-0005-0000-0000-0000F6120000}"/>
    <cellStyle name="Normal 37 2" xfId="12320" xr:uid="{00000000-0005-0000-0000-0000F7120000}"/>
    <cellStyle name="Normal 38" xfId="10588" xr:uid="{00000000-0005-0000-0000-0000F8120000}"/>
    <cellStyle name="Normal 38 2" xfId="12321" xr:uid="{00000000-0005-0000-0000-0000F9120000}"/>
    <cellStyle name="Normal 39" xfId="10589" xr:uid="{00000000-0005-0000-0000-0000FA120000}"/>
    <cellStyle name="Normal 39 2" xfId="12322" xr:uid="{00000000-0005-0000-0000-0000FB120000}"/>
    <cellStyle name="Normal 4" xfId="34" xr:uid="{00000000-0005-0000-0000-0000FC120000}"/>
    <cellStyle name="Normal 4 2" xfId="84" xr:uid="{00000000-0005-0000-0000-0000FD120000}"/>
    <cellStyle name="Normal 4 2 2" xfId="4268" xr:uid="{00000000-0005-0000-0000-0000FE120000}"/>
    <cellStyle name="Normal 4 2 2 2" xfId="9703" xr:uid="{00000000-0005-0000-0000-0000FF120000}"/>
    <cellStyle name="Normal 4 2 2 2 2" xfId="10405" xr:uid="{00000000-0005-0000-0000-000000130000}"/>
    <cellStyle name="Normal 4 2 2 2 2 2" xfId="12140" xr:uid="{00000000-0005-0000-0000-000001130000}"/>
    <cellStyle name="Normal 4 2 2 2 3" xfId="11493" xr:uid="{00000000-0005-0000-0000-000002130000}"/>
    <cellStyle name="Normal 4 2 2 3" xfId="10108" xr:uid="{00000000-0005-0000-0000-000003130000}"/>
    <cellStyle name="Normal 4 2 2 3 2" xfId="11844" xr:uid="{00000000-0005-0000-0000-000004130000}"/>
    <cellStyle name="Normal 4 2 2 4" xfId="11080" xr:uid="{00000000-0005-0000-0000-000005130000}"/>
    <cellStyle name="Normal 4 2 3" xfId="9599" xr:uid="{00000000-0005-0000-0000-000006130000}"/>
    <cellStyle name="Normal 4 2 3 2" xfId="10303" xr:uid="{00000000-0005-0000-0000-000007130000}"/>
    <cellStyle name="Normal 4 2 3 2 2" xfId="12038" xr:uid="{00000000-0005-0000-0000-000008130000}"/>
    <cellStyle name="Normal 4 2 3 3" xfId="11391" xr:uid="{00000000-0005-0000-0000-000009130000}"/>
    <cellStyle name="Normal 4 2 4" xfId="4132" xr:uid="{00000000-0005-0000-0000-00000A130000}"/>
    <cellStyle name="Normal 4 2 4 2" xfId="10966" xr:uid="{00000000-0005-0000-0000-00000B130000}"/>
    <cellStyle name="Normal 4 2 5" xfId="10006" xr:uid="{00000000-0005-0000-0000-00000C130000}"/>
    <cellStyle name="Normal 4 2 5 2" xfId="11742" xr:uid="{00000000-0005-0000-0000-00000D130000}"/>
    <cellStyle name="Normal 4 2 6" xfId="10658" xr:uid="{00000000-0005-0000-0000-00000E130000}"/>
    <cellStyle name="Normal 4 3" xfId="115" xr:uid="{00000000-0005-0000-0000-00000F130000}"/>
    <cellStyle name="Normal 4 3 2" xfId="9652" xr:uid="{00000000-0005-0000-0000-000010130000}"/>
    <cellStyle name="Normal 4 3 2 2" xfId="10354" xr:uid="{00000000-0005-0000-0000-000011130000}"/>
    <cellStyle name="Normal 4 3 2 2 2" xfId="12089" xr:uid="{00000000-0005-0000-0000-000012130000}"/>
    <cellStyle name="Normal 4 3 2 3" xfId="11442" xr:uid="{00000000-0005-0000-0000-000013130000}"/>
    <cellStyle name="Normal 4 3 3" xfId="4217" xr:uid="{00000000-0005-0000-0000-000014130000}"/>
    <cellStyle name="Normal 4 3 3 2" xfId="11029" xr:uid="{00000000-0005-0000-0000-000015130000}"/>
    <cellStyle name="Normal 4 3 4" xfId="10057" xr:uid="{00000000-0005-0000-0000-000016130000}"/>
    <cellStyle name="Normal 4 3 4 2" xfId="11793" xr:uid="{00000000-0005-0000-0000-000017130000}"/>
    <cellStyle name="Normal 4 4" xfId="148" xr:uid="{00000000-0005-0000-0000-000018130000}"/>
    <cellStyle name="Normal 4 4 2" xfId="9739" xr:uid="{00000000-0005-0000-0000-000019130000}"/>
    <cellStyle name="Normal 4 4 2 2" xfId="10440" xr:uid="{00000000-0005-0000-0000-00001A130000}"/>
    <cellStyle name="Normal 4 4 2 2 2" xfId="12175" xr:uid="{00000000-0005-0000-0000-00001B130000}"/>
    <cellStyle name="Normal 4 4 2 3" xfId="11528" xr:uid="{00000000-0005-0000-0000-00001C130000}"/>
    <cellStyle name="Normal 4 4 3" xfId="4322" xr:uid="{00000000-0005-0000-0000-00001D130000}"/>
    <cellStyle name="Normal 4 4 3 2" xfId="11131" xr:uid="{00000000-0005-0000-0000-00001E130000}"/>
    <cellStyle name="Normal 4 4 4" xfId="10143" xr:uid="{00000000-0005-0000-0000-00001F130000}"/>
    <cellStyle name="Normal 4 4 4 2" xfId="11879" xr:uid="{00000000-0005-0000-0000-000020130000}"/>
    <cellStyle name="Normal 4 4 5" xfId="10676" xr:uid="{00000000-0005-0000-0000-000021130000}"/>
    <cellStyle name="Normal 4 5" xfId="1469" xr:uid="{00000000-0005-0000-0000-000022130000}"/>
    <cellStyle name="Normal 4 6" xfId="9915" xr:uid="{00000000-0005-0000-0000-000023130000}"/>
    <cellStyle name="Normal 40" xfId="10603" xr:uid="{00000000-0005-0000-0000-000024130000}"/>
    <cellStyle name="Normal 40 2" xfId="12336" xr:uid="{00000000-0005-0000-0000-000025130000}"/>
    <cellStyle name="Normal 41" xfId="10604" xr:uid="{00000000-0005-0000-0000-000026130000}"/>
    <cellStyle name="Normal 42" xfId="10607" xr:uid="{00000000-0005-0000-0000-000027130000}"/>
    <cellStyle name="Normal 43" xfId="10608" xr:uid="{00000000-0005-0000-0000-000028130000}"/>
    <cellStyle name="Normal 43 2" xfId="12337" xr:uid="{00000000-0005-0000-0000-000029130000}"/>
    <cellStyle name="Normal 44" xfId="10609" xr:uid="{00000000-0005-0000-0000-00002A130000}"/>
    <cellStyle name="Normal 44 2" xfId="12338" xr:uid="{00000000-0005-0000-0000-00002B130000}"/>
    <cellStyle name="Normal 45" xfId="10623" xr:uid="{00000000-0005-0000-0000-00002C130000}"/>
    <cellStyle name="Normal 45 2" xfId="12352" xr:uid="{00000000-0005-0000-0000-00002D130000}"/>
    <cellStyle name="Normal 46" xfId="10624" xr:uid="{00000000-0005-0000-0000-00002E130000}"/>
    <cellStyle name="Normal 46 2" xfId="12353" xr:uid="{00000000-0005-0000-0000-00002F130000}"/>
    <cellStyle name="Normal 47" xfId="10628" xr:uid="{00000000-0005-0000-0000-000030130000}"/>
    <cellStyle name="Normal 47 2" xfId="12355" xr:uid="{00000000-0005-0000-0000-000031130000}"/>
    <cellStyle name="Normal 48" xfId="10629" xr:uid="{00000000-0005-0000-0000-000032130000}"/>
    <cellStyle name="Normal 49" xfId="10644" xr:uid="{00000000-0005-0000-0000-000033130000}"/>
    <cellStyle name="Normal 5" xfId="74" xr:uid="{00000000-0005-0000-0000-000034130000}"/>
    <cellStyle name="Normal 5 2" xfId="116" xr:uid="{00000000-0005-0000-0000-000035130000}"/>
    <cellStyle name="Normal 5 2 2" xfId="9601" xr:uid="{00000000-0005-0000-0000-000036130000}"/>
    <cellStyle name="Normal 5 3" xfId="4340" xr:uid="{00000000-0005-0000-0000-000037130000}"/>
    <cellStyle name="Normal 5 3 2" xfId="9751" xr:uid="{00000000-0005-0000-0000-000038130000}"/>
    <cellStyle name="Normal 5 3 2 2" xfId="10451" xr:uid="{00000000-0005-0000-0000-000039130000}"/>
    <cellStyle name="Normal 5 3 2 2 2" xfId="12186" xr:uid="{00000000-0005-0000-0000-00003A130000}"/>
    <cellStyle name="Normal 5 3 2 3" xfId="10576" xr:uid="{00000000-0005-0000-0000-00003B130000}"/>
    <cellStyle name="Normal 5 3 2 3 2" xfId="12311" xr:uid="{00000000-0005-0000-0000-00003C130000}"/>
    <cellStyle name="Normal 5 3 2 4" xfId="11539" xr:uid="{00000000-0005-0000-0000-00003D130000}"/>
    <cellStyle name="Normal 5 3 3" xfId="10154" xr:uid="{00000000-0005-0000-0000-00003E130000}"/>
    <cellStyle name="Normal 5 3 3 2" xfId="11890" xr:uid="{00000000-0005-0000-0000-00003F130000}"/>
    <cellStyle name="Normal 5 3 4" xfId="10563" xr:uid="{00000000-0005-0000-0000-000040130000}"/>
    <cellStyle name="Normal 5 3 4 2" xfId="12298" xr:uid="{00000000-0005-0000-0000-000041130000}"/>
    <cellStyle name="Normal 5 3 5" xfId="11147" xr:uid="{00000000-0005-0000-0000-000042130000}"/>
    <cellStyle name="Normal 5 4" xfId="7824" xr:uid="{00000000-0005-0000-0000-000043130000}"/>
    <cellStyle name="Normal 5 5" xfId="10656" xr:uid="{00000000-0005-0000-0000-000044130000}"/>
    <cellStyle name="Normal 50" xfId="10630" xr:uid="{00000000-0005-0000-0000-000045130000}"/>
    <cellStyle name="Normal 51" xfId="12366" xr:uid="{00000000-0005-0000-0000-000046130000}"/>
    <cellStyle name="Normal 52" xfId="12369" xr:uid="{00000000-0005-0000-0000-000047130000}"/>
    <cellStyle name="Normal 53" xfId="12371" xr:uid="{00000000-0005-0000-0000-000048130000}"/>
    <cellStyle name="Normal 54" xfId="12386" xr:uid="{00000000-0005-0000-0000-000049130000}"/>
    <cellStyle name="Normal 55" xfId="12402" xr:uid="{00000000-0005-0000-0000-00004A130000}"/>
    <cellStyle name="Normal 56" xfId="12404" xr:uid="{00000000-0005-0000-0000-00004B130000}"/>
    <cellStyle name="Normal 57" xfId="12412" xr:uid="{00000000-0005-0000-0000-00004C130000}"/>
    <cellStyle name="Normal 58" xfId="12413" xr:uid="{C46F2DA2-C7E8-4880-9777-9608C6F2C1E2}"/>
    <cellStyle name="Normal 6" xfId="117" xr:uid="{00000000-0005-0000-0000-00004D130000}"/>
    <cellStyle name="Normal 6 2" xfId="4061" xr:uid="{00000000-0005-0000-0000-00004E130000}"/>
    <cellStyle name="Normal 6 2 2" xfId="9566" xr:uid="{00000000-0005-0000-0000-00004F130000}"/>
    <cellStyle name="Normal 6 3" xfId="7825" xr:uid="{00000000-0005-0000-0000-000050130000}"/>
    <cellStyle name="Normal 7" xfId="118" xr:uid="{00000000-0005-0000-0000-000051130000}"/>
    <cellStyle name="Normal 7 2" xfId="4235" xr:uid="{00000000-0005-0000-0000-000052130000}"/>
    <cellStyle name="Normal 7 2 2" xfId="9670" xr:uid="{00000000-0005-0000-0000-000053130000}"/>
    <cellStyle name="Normal 7 2 2 2" xfId="10372" xr:uid="{00000000-0005-0000-0000-000054130000}"/>
    <cellStyle name="Normal 7 2 2 2 2" xfId="12107" xr:uid="{00000000-0005-0000-0000-000055130000}"/>
    <cellStyle name="Normal 7 2 2 3" xfId="11460" xr:uid="{00000000-0005-0000-0000-000056130000}"/>
    <cellStyle name="Normal 7 2 3" xfId="10075" xr:uid="{00000000-0005-0000-0000-000057130000}"/>
    <cellStyle name="Normal 7 2 3 2" xfId="11811" xr:uid="{00000000-0005-0000-0000-000058130000}"/>
    <cellStyle name="Normal 7 2 4" xfId="11047" xr:uid="{00000000-0005-0000-0000-000059130000}"/>
    <cellStyle name="Normal 7 3" xfId="1470" xr:uid="{00000000-0005-0000-0000-00005A130000}"/>
    <cellStyle name="Normal 7 4" xfId="9916" xr:uid="{00000000-0005-0000-0000-00005B130000}"/>
    <cellStyle name="Normal 7 5" xfId="10668" xr:uid="{00000000-0005-0000-0000-00005C130000}"/>
    <cellStyle name="Normal 8" xfId="87" xr:uid="{00000000-0005-0000-0000-00005D130000}"/>
    <cellStyle name="Normal 8 2" xfId="4180" xr:uid="{00000000-0005-0000-0000-00005E130000}"/>
    <cellStyle name="Normal 8 2 2" xfId="9619" xr:uid="{00000000-0005-0000-0000-00005F130000}"/>
    <cellStyle name="Normal 8 3" xfId="7826" xr:uid="{00000000-0005-0000-0000-000060130000}"/>
    <cellStyle name="Normal 8 4" xfId="1471" xr:uid="{00000000-0005-0000-0000-000061130000}"/>
    <cellStyle name="Normal 9" xfId="119" xr:uid="{00000000-0005-0000-0000-000062130000}"/>
    <cellStyle name="Normal 9 2" xfId="4047" xr:uid="{00000000-0005-0000-0000-000063130000}"/>
    <cellStyle name="Normal 9 3" xfId="10669" xr:uid="{00000000-0005-0000-0000-000064130000}"/>
    <cellStyle name="Normal_IDL" xfId="13" xr:uid="{00000000-0005-0000-0000-000065130000}"/>
    <cellStyle name="Normal_IDL_1" xfId="14" xr:uid="{00000000-0005-0000-0000-000066130000}"/>
    <cellStyle name="Normal_IPC_M" xfId="15" xr:uid="{00000000-0005-0000-0000-000067130000}"/>
    <cellStyle name="Normal_Ipc_s" xfId="16" xr:uid="{00000000-0005-0000-0000-000068130000}"/>
    <cellStyle name="Normal_IPMPE" xfId="17" xr:uid="{00000000-0005-0000-0000-000069130000}"/>
    <cellStyle name="Notas 10" xfId="9917" xr:uid="{00000000-0005-0000-0000-00006A130000}"/>
    <cellStyle name="Notas 10 2" xfId="12363" xr:uid="{00000000-0005-0000-0000-00006B130000}"/>
    <cellStyle name="Notas 10 3" xfId="12360" xr:uid="{00000000-0005-0000-0000-00006C130000}"/>
    <cellStyle name="Notas 11" xfId="9927" xr:uid="{00000000-0005-0000-0000-00006D130000}"/>
    <cellStyle name="Notas 11 2" xfId="11665" xr:uid="{00000000-0005-0000-0000-00006E130000}"/>
    <cellStyle name="Notas 12" xfId="10187" xr:uid="{00000000-0005-0000-0000-00006F130000}"/>
    <cellStyle name="Notas 12 2" xfId="11923" xr:uid="{00000000-0005-0000-0000-000070130000}"/>
    <cellStyle name="Notas 13" xfId="10543" xr:uid="{00000000-0005-0000-0000-000071130000}"/>
    <cellStyle name="Notas 13 2" xfId="12278" xr:uid="{00000000-0005-0000-0000-000072130000}"/>
    <cellStyle name="Notas 14" xfId="10590" xr:uid="{00000000-0005-0000-0000-000073130000}"/>
    <cellStyle name="Notas 14 2" xfId="12323" xr:uid="{00000000-0005-0000-0000-000074130000}"/>
    <cellStyle name="Notas 15" xfId="10610" xr:uid="{00000000-0005-0000-0000-000075130000}"/>
    <cellStyle name="Notas 15 2" xfId="12339" xr:uid="{00000000-0005-0000-0000-000076130000}"/>
    <cellStyle name="Notas 16" xfId="12372" xr:uid="{00000000-0005-0000-0000-000077130000}"/>
    <cellStyle name="Notas 17" xfId="12387" xr:uid="{00000000-0005-0000-0000-000078130000}"/>
    <cellStyle name="Notas 2" xfId="75" xr:uid="{00000000-0005-0000-0000-000079130000}"/>
    <cellStyle name="Notas 2 2" xfId="10657" xr:uid="{00000000-0005-0000-0000-00007A130000}"/>
    <cellStyle name="Notas 3" xfId="157" xr:uid="{00000000-0005-0000-0000-00007B130000}"/>
    <cellStyle name="Notas 3 2" xfId="10678" xr:uid="{00000000-0005-0000-0000-00007C130000}"/>
    <cellStyle name="Notas 4" xfId="171" xr:uid="{00000000-0005-0000-0000-00007D130000}"/>
    <cellStyle name="Notas 4 2" xfId="10692" xr:uid="{00000000-0005-0000-0000-00007E130000}"/>
    <cellStyle name="Notas 5" xfId="185" xr:uid="{00000000-0005-0000-0000-00007F130000}"/>
    <cellStyle name="Notas 5 2" xfId="10706" xr:uid="{00000000-0005-0000-0000-000080130000}"/>
    <cellStyle name="Notas 6" xfId="200" xr:uid="{00000000-0005-0000-0000-000081130000}"/>
    <cellStyle name="Notas 6 2" xfId="10721" xr:uid="{00000000-0005-0000-0000-000082130000}"/>
    <cellStyle name="Notas 7" xfId="214" xr:uid="{00000000-0005-0000-0000-000083130000}"/>
    <cellStyle name="Notas 7 2" xfId="10735" xr:uid="{00000000-0005-0000-0000-000084130000}"/>
    <cellStyle name="Notas 8" xfId="9838" xr:uid="{00000000-0005-0000-0000-000085130000}"/>
    <cellStyle name="Notas 8 2" xfId="11625" xr:uid="{00000000-0005-0000-0000-000086130000}"/>
    <cellStyle name="Notas 9" xfId="9857" xr:uid="{00000000-0005-0000-0000-000087130000}"/>
    <cellStyle name="Notas 9 2" xfId="11643" xr:uid="{00000000-0005-0000-0000-000088130000}"/>
    <cellStyle name="Output Column Headings" xfId="120" xr:uid="{00000000-0005-0000-0000-000089130000}"/>
    <cellStyle name="Output Line Items" xfId="121" xr:uid="{00000000-0005-0000-0000-00008A130000}"/>
    <cellStyle name="Output Report Heading" xfId="122" xr:uid="{00000000-0005-0000-0000-00008B130000}"/>
    <cellStyle name="Output Report Title" xfId="123" xr:uid="{00000000-0005-0000-0000-00008C130000}"/>
    <cellStyle name="Percent" xfId="18" xr:uid="{00000000-0005-0000-0000-00008D130000}"/>
    <cellStyle name="Porcentaje" xfId="19" builtinId="5"/>
    <cellStyle name="Porcentaje 10" xfId="1472" xr:uid="{00000000-0005-0000-0000-00008F130000}"/>
    <cellStyle name="Porcentaje 11" xfId="1473" xr:uid="{00000000-0005-0000-0000-000090130000}"/>
    <cellStyle name="Porcentaje 12" xfId="1474" xr:uid="{00000000-0005-0000-0000-000091130000}"/>
    <cellStyle name="Porcentaje 13" xfId="1475" xr:uid="{00000000-0005-0000-0000-000092130000}"/>
    <cellStyle name="Porcentaje 14" xfId="1476" xr:uid="{00000000-0005-0000-0000-000093130000}"/>
    <cellStyle name="Porcentaje 15" xfId="1477" xr:uid="{00000000-0005-0000-0000-000094130000}"/>
    <cellStyle name="Porcentaje 16" xfId="1478" xr:uid="{00000000-0005-0000-0000-000095130000}"/>
    <cellStyle name="Porcentaje 17" xfId="1479" xr:uid="{00000000-0005-0000-0000-000096130000}"/>
    <cellStyle name="Porcentaje 18" xfId="1480" xr:uid="{00000000-0005-0000-0000-000097130000}"/>
    <cellStyle name="Porcentaje 19" xfId="1481" xr:uid="{00000000-0005-0000-0000-000098130000}"/>
    <cellStyle name="Porcentaje 2" xfId="124" xr:uid="{00000000-0005-0000-0000-000099130000}"/>
    <cellStyle name="Porcentaje 2 10" xfId="1483" xr:uid="{00000000-0005-0000-0000-00009A130000}"/>
    <cellStyle name="Porcentaje 2 10 2" xfId="7827" xr:uid="{00000000-0005-0000-0000-00009B130000}"/>
    <cellStyle name="Porcentaje 2 11" xfId="1484" xr:uid="{00000000-0005-0000-0000-00009C130000}"/>
    <cellStyle name="Porcentaje 2 11 2" xfId="7828" xr:uid="{00000000-0005-0000-0000-00009D130000}"/>
    <cellStyle name="Porcentaje 2 12" xfId="1485" xr:uid="{00000000-0005-0000-0000-00009E130000}"/>
    <cellStyle name="Porcentaje 2 12 2" xfId="7829" xr:uid="{00000000-0005-0000-0000-00009F130000}"/>
    <cellStyle name="Porcentaje 2 13" xfId="1486" xr:uid="{00000000-0005-0000-0000-0000A0130000}"/>
    <cellStyle name="Porcentaje 2 13 2" xfId="7830" xr:uid="{00000000-0005-0000-0000-0000A1130000}"/>
    <cellStyle name="Porcentaje 2 14" xfId="1487" xr:uid="{00000000-0005-0000-0000-0000A2130000}"/>
    <cellStyle name="Porcentaje 2 14 2" xfId="7831" xr:uid="{00000000-0005-0000-0000-0000A3130000}"/>
    <cellStyle name="Porcentaje 2 15" xfId="1488" xr:uid="{00000000-0005-0000-0000-0000A4130000}"/>
    <cellStyle name="Porcentaje 2 15 2" xfId="7832" xr:uid="{00000000-0005-0000-0000-0000A5130000}"/>
    <cellStyle name="Porcentaje 2 16" xfId="1489" xr:uid="{00000000-0005-0000-0000-0000A6130000}"/>
    <cellStyle name="Porcentaje 2 16 2" xfId="7833" xr:uid="{00000000-0005-0000-0000-0000A7130000}"/>
    <cellStyle name="Porcentaje 2 17" xfId="1490" xr:uid="{00000000-0005-0000-0000-0000A8130000}"/>
    <cellStyle name="Porcentaje 2 17 2" xfId="7834" xr:uid="{00000000-0005-0000-0000-0000A9130000}"/>
    <cellStyle name="Porcentaje 2 18" xfId="1491" xr:uid="{00000000-0005-0000-0000-0000AA130000}"/>
    <cellStyle name="Porcentaje 2 18 2" xfId="7835" xr:uid="{00000000-0005-0000-0000-0000AB130000}"/>
    <cellStyle name="Porcentaje 2 19" xfId="1492" xr:uid="{00000000-0005-0000-0000-0000AC130000}"/>
    <cellStyle name="Porcentaje 2 19 2" xfId="7836" xr:uid="{00000000-0005-0000-0000-0000AD130000}"/>
    <cellStyle name="Porcentaje 2 2" xfId="147" xr:uid="{00000000-0005-0000-0000-0000AE130000}"/>
    <cellStyle name="Porcentaje 2 2 2" xfId="4171" xr:uid="{00000000-0005-0000-0000-0000AF130000}"/>
    <cellStyle name="Porcentaje 2 2 2 2" xfId="4285" xr:uid="{00000000-0005-0000-0000-0000B0130000}"/>
    <cellStyle name="Porcentaje 2 2 2 2 2" xfId="9720" xr:uid="{00000000-0005-0000-0000-0000B1130000}"/>
    <cellStyle name="Porcentaje 2 2 2 2 2 2" xfId="10422" xr:uid="{00000000-0005-0000-0000-0000B2130000}"/>
    <cellStyle name="Porcentaje 2 2 2 2 2 2 2" xfId="12157" xr:uid="{00000000-0005-0000-0000-0000B3130000}"/>
    <cellStyle name="Porcentaje 2 2 2 2 2 3" xfId="11510" xr:uid="{00000000-0005-0000-0000-0000B4130000}"/>
    <cellStyle name="Porcentaje 2 2 2 2 3" xfId="10125" xr:uid="{00000000-0005-0000-0000-0000B5130000}"/>
    <cellStyle name="Porcentaje 2 2 2 2 3 2" xfId="11861" xr:uid="{00000000-0005-0000-0000-0000B6130000}"/>
    <cellStyle name="Porcentaje 2 2 2 2 4" xfId="11097" xr:uid="{00000000-0005-0000-0000-0000B7130000}"/>
    <cellStyle name="Porcentaje 2 2 2 3" xfId="9617" xr:uid="{00000000-0005-0000-0000-0000B8130000}"/>
    <cellStyle name="Porcentaje 2 2 2 3 2" xfId="10320" xr:uid="{00000000-0005-0000-0000-0000B9130000}"/>
    <cellStyle name="Porcentaje 2 2 2 3 2 2" xfId="12055" xr:uid="{00000000-0005-0000-0000-0000BA130000}"/>
    <cellStyle name="Porcentaje 2 2 2 3 3" xfId="11408" xr:uid="{00000000-0005-0000-0000-0000BB130000}"/>
    <cellStyle name="Porcentaje 2 2 2 4" xfId="10023" xr:uid="{00000000-0005-0000-0000-0000BC130000}"/>
    <cellStyle name="Porcentaje 2 2 2 4 2" xfId="11759" xr:uid="{00000000-0005-0000-0000-0000BD130000}"/>
    <cellStyle name="Porcentaje 2 2 2 5" xfId="10577" xr:uid="{00000000-0005-0000-0000-0000BE130000}"/>
    <cellStyle name="Porcentaje 2 2 2 5 2" xfId="12312" xr:uid="{00000000-0005-0000-0000-0000BF130000}"/>
    <cellStyle name="Porcentaje 2 2 2 6" xfId="10986" xr:uid="{00000000-0005-0000-0000-0000C0130000}"/>
    <cellStyle name="Porcentaje 2 2 3" xfId="4234" xr:uid="{00000000-0005-0000-0000-0000C1130000}"/>
    <cellStyle name="Porcentaje 2 2 3 2" xfId="9669" xr:uid="{00000000-0005-0000-0000-0000C2130000}"/>
    <cellStyle name="Porcentaje 2 2 3 2 2" xfId="10371" xr:uid="{00000000-0005-0000-0000-0000C3130000}"/>
    <cellStyle name="Porcentaje 2 2 3 2 2 2" xfId="12106" xr:uid="{00000000-0005-0000-0000-0000C4130000}"/>
    <cellStyle name="Porcentaje 2 2 3 2 3" xfId="11459" xr:uid="{00000000-0005-0000-0000-0000C5130000}"/>
    <cellStyle name="Porcentaje 2 2 3 3" xfId="10074" xr:uid="{00000000-0005-0000-0000-0000C6130000}"/>
    <cellStyle name="Porcentaje 2 2 3 3 2" xfId="11810" xr:uid="{00000000-0005-0000-0000-0000C7130000}"/>
    <cellStyle name="Porcentaje 2 2 3 4" xfId="11046" xr:uid="{00000000-0005-0000-0000-0000C8130000}"/>
    <cellStyle name="Porcentaje 2 2 4" xfId="7837" xr:uid="{00000000-0005-0000-0000-0000C9130000}"/>
    <cellStyle name="Porcentaje 2 2 5" xfId="10564" xr:uid="{00000000-0005-0000-0000-0000CA130000}"/>
    <cellStyle name="Porcentaje 2 2 5 2" xfId="12299" xr:uid="{00000000-0005-0000-0000-0000CB130000}"/>
    <cellStyle name="Porcentaje 2 20" xfId="1493" xr:uid="{00000000-0005-0000-0000-0000CC130000}"/>
    <cellStyle name="Porcentaje 2 20 2" xfId="7838" xr:uid="{00000000-0005-0000-0000-0000CD130000}"/>
    <cellStyle name="Porcentaje 2 21" xfId="1494" xr:uid="{00000000-0005-0000-0000-0000CE130000}"/>
    <cellStyle name="Porcentaje 2 21 2" xfId="7839" xr:uid="{00000000-0005-0000-0000-0000CF130000}"/>
    <cellStyle name="Porcentaje 2 22" xfId="1495" xr:uid="{00000000-0005-0000-0000-0000D0130000}"/>
    <cellStyle name="Porcentaje 2 22 2" xfId="7840" xr:uid="{00000000-0005-0000-0000-0000D1130000}"/>
    <cellStyle name="Porcentaje 2 23" xfId="1496" xr:uid="{00000000-0005-0000-0000-0000D2130000}"/>
    <cellStyle name="Porcentaje 2 23 2" xfId="7841" xr:uid="{00000000-0005-0000-0000-0000D3130000}"/>
    <cellStyle name="Porcentaje 2 24" xfId="4098" xr:uid="{00000000-0005-0000-0000-0000D4130000}"/>
    <cellStyle name="Porcentaje 2 24 2" xfId="9582" xr:uid="{00000000-0005-0000-0000-0000D5130000}"/>
    <cellStyle name="Porcentaje 2 24 2 2" xfId="10286" xr:uid="{00000000-0005-0000-0000-0000D6130000}"/>
    <cellStyle name="Porcentaje 2 24 2 2 2" xfId="12021" xr:uid="{00000000-0005-0000-0000-0000D7130000}"/>
    <cellStyle name="Porcentaje 2 24 2 3" xfId="11374" xr:uid="{00000000-0005-0000-0000-0000D8130000}"/>
    <cellStyle name="Porcentaje 2 24 3" xfId="9989" xr:uid="{00000000-0005-0000-0000-0000D9130000}"/>
    <cellStyle name="Porcentaje 2 24 3 2" xfId="11725" xr:uid="{00000000-0005-0000-0000-0000DA130000}"/>
    <cellStyle name="Porcentaje 2 24 4" xfId="10948" xr:uid="{00000000-0005-0000-0000-0000DB130000}"/>
    <cellStyle name="Porcentaje 2 25" xfId="4200" xr:uid="{00000000-0005-0000-0000-0000DC130000}"/>
    <cellStyle name="Porcentaje 2 25 2" xfId="9635" xr:uid="{00000000-0005-0000-0000-0000DD130000}"/>
    <cellStyle name="Porcentaje 2 25 2 2" xfId="10337" xr:uid="{00000000-0005-0000-0000-0000DE130000}"/>
    <cellStyle name="Porcentaje 2 25 2 2 2" xfId="12072" xr:uid="{00000000-0005-0000-0000-0000DF130000}"/>
    <cellStyle name="Porcentaje 2 25 2 3" xfId="11425" xr:uid="{00000000-0005-0000-0000-0000E0130000}"/>
    <cellStyle name="Porcentaje 2 25 3" xfId="10040" xr:uid="{00000000-0005-0000-0000-0000E1130000}"/>
    <cellStyle name="Porcentaje 2 25 3 2" xfId="11776" xr:uid="{00000000-0005-0000-0000-0000E2130000}"/>
    <cellStyle name="Porcentaje 2 25 4" xfId="11012" xr:uid="{00000000-0005-0000-0000-0000E3130000}"/>
    <cellStyle name="Porcentaje 2 26" xfId="4293" xr:uid="{00000000-0005-0000-0000-0000E4130000}"/>
    <cellStyle name="Porcentaje 2 27" xfId="1482" xr:uid="{00000000-0005-0000-0000-0000E5130000}"/>
    <cellStyle name="Porcentaje 2 28" xfId="10670" xr:uid="{00000000-0005-0000-0000-0000E6130000}"/>
    <cellStyle name="Porcentaje 2 3" xfId="1497" xr:uid="{00000000-0005-0000-0000-0000E7130000}"/>
    <cellStyle name="Porcentaje 2 3 2" xfId="4131" xr:uid="{00000000-0005-0000-0000-0000E8130000}"/>
    <cellStyle name="Porcentaje 2 3 2 2" xfId="4267" xr:uid="{00000000-0005-0000-0000-0000E9130000}"/>
    <cellStyle name="Porcentaje 2 3 2 2 2" xfId="9702" xr:uid="{00000000-0005-0000-0000-0000EA130000}"/>
    <cellStyle name="Porcentaje 2 3 2 2 2 2" xfId="10404" xr:uid="{00000000-0005-0000-0000-0000EB130000}"/>
    <cellStyle name="Porcentaje 2 3 2 2 2 2 2" xfId="12139" xr:uid="{00000000-0005-0000-0000-0000EC130000}"/>
    <cellStyle name="Porcentaje 2 3 2 2 2 3" xfId="11492" xr:uid="{00000000-0005-0000-0000-0000ED130000}"/>
    <cellStyle name="Porcentaje 2 3 2 2 3" xfId="10107" xr:uid="{00000000-0005-0000-0000-0000EE130000}"/>
    <cellStyle name="Porcentaje 2 3 2 2 3 2" xfId="11843" xr:uid="{00000000-0005-0000-0000-0000EF130000}"/>
    <cellStyle name="Porcentaje 2 3 2 2 4" xfId="11079" xr:uid="{00000000-0005-0000-0000-0000F0130000}"/>
    <cellStyle name="Porcentaje 2 3 2 3" xfId="9598" xr:uid="{00000000-0005-0000-0000-0000F1130000}"/>
    <cellStyle name="Porcentaje 2 3 2 3 2" xfId="10302" xr:uid="{00000000-0005-0000-0000-0000F2130000}"/>
    <cellStyle name="Porcentaje 2 3 2 3 2 2" xfId="12037" xr:uid="{00000000-0005-0000-0000-0000F3130000}"/>
    <cellStyle name="Porcentaje 2 3 2 3 3" xfId="11390" xr:uid="{00000000-0005-0000-0000-0000F4130000}"/>
    <cellStyle name="Porcentaje 2 3 2 4" xfId="10005" xr:uid="{00000000-0005-0000-0000-0000F5130000}"/>
    <cellStyle name="Porcentaje 2 3 2 4 2" xfId="11741" xr:uid="{00000000-0005-0000-0000-0000F6130000}"/>
    <cellStyle name="Porcentaje 2 3 2 5" xfId="10965" xr:uid="{00000000-0005-0000-0000-0000F7130000}"/>
    <cellStyle name="Porcentaje 2 3 3" xfId="4216" xr:uid="{00000000-0005-0000-0000-0000F8130000}"/>
    <cellStyle name="Porcentaje 2 3 3 2" xfId="9651" xr:uid="{00000000-0005-0000-0000-0000F9130000}"/>
    <cellStyle name="Porcentaje 2 3 3 2 2" xfId="10353" xr:uid="{00000000-0005-0000-0000-0000FA130000}"/>
    <cellStyle name="Porcentaje 2 3 3 2 2 2" xfId="12088" xr:uid="{00000000-0005-0000-0000-0000FB130000}"/>
    <cellStyle name="Porcentaje 2 3 3 2 3" xfId="11441" xr:uid="{00000000-0005-0000-0000-0000FC130000}"/>
    <cellStyle name="Porcentaje 2 3 3 3" xfId="10056" xr:uid="{00000000-0005-0000-0000-0000FD130000}"/>
    <cellStyle name="Porcentaje 2 3 3 3 2" xfId="11792" xr:uid="{00000000-0005-0000-0000-0000FE130000}"/>
    <cellStyle name="Porcentaje 2 3 3 4" xfId="11028" xr:uid="{00000000-0005-0000-0000-0000FF130000}"/>
    <cellStyle name="Porcentaje 2 3 4" xfId="7842" xr:uid="{00000000-0005-0000-0000-000000140000}"/>
    <cellStyle name="Porcentaje 2 3 5" xfId="10575" xr:uid="{00000000-0005-0000-0000-000001140000}"/>
    <cellStyle name="Porcentaje 2 3 5 2" xfId="12310" xr:uid="{00000000-0005-0000-0000-000002140000}"/>
    <cellStyle name="Porcentaje 2 4" xfId="1498" xr:uid="{00000000-0005-0000-0000-000003140000}"/>
    <cellStyle name="Porcentaje 2 4 2" xfId="4251" xr:uid="{00000000-0005-0000-0000-000004140000}"/>
    <cellStyle name="Porcentaje 2 4 2 2" xfId="9686" xr:uid="{00000000-0005-0000-0000-000005140000}"/>
    <cellStyle name="Porcentaje 2 4 2 2 2" xfId="10388" xr:uid="{00000000-0005-0000-0000-000006140000}"/>
    <cellStyle name="Porcentaje 2 4 2 2 2 2" xfId="12123" xr:uid="{00000000-0005-0000-0000-000007140000}"/>
    <cellStyle name="Porcentaje 2 4 2 2 3" xfId="11476" xr:uid="{00000000-0005-0000-0000-000008140000}"/>
    <cellStyle name="Porcentaje 2 4 2 3" xfId="10091" xr:uid="{00000000-0005-0000-0000-000009140000}"/>
    <cellStyle name="Porcentaje 2 4 2 3 2" xfId="11827" xr:uid="{00000000-0005-0000-0000-00000A140000}"/>
    <cellStyle name="Porcentaje 2 4 2 4" xfId="11063" xr:uid="{00000000-0005-0000-0000-00000B140000}"/>
    <cellStyle name="Porcentaje 2 4 3" xfId="7843" xr:uid="{00000000-0005-0000-0000-00000C140000}"/>
    <cellStyle name="Porcentaje 2 5" xfId="1499" xr:uid="{00000000-0005-0000-0000-00000D140000}"/>
    <cellStyle name="Porcentaje 2 5 2" xfId="7844" xr:uid="{00000000-0005-0000-0000-00000E140000}"/>
    <cellStyle name="Porcentaje 2 6" xfId="1500" xr:uid="{00000000-0005-0000-0000-00000F140000}"/>
    <cellStyle name="Porcentaje 2 6 2" xfId="7845" xr:uid="{00000000-0005-0000-0000-000010140000}"/>
    <cellStyle name="Porcentaje 2 7" xfId="1501" xr:uid="{00000000-0005-0000-0000-000011140000}"/>
    <cellStyle name="Porcentaje 2 7 2" xfId="7846" xr:uid="{00000000-0005-0000-0000-000012140000}"/>
    <cellStyle name="Porcentaje 2 8" xfId="1502" xr:uid="{00000000-0005-0000-0000-000013140000}"/>
    <cellStyle name="Porcentaje 2 8 2" xfId="7847" xr:uid="{00000000-0005-0000-0000-000014140000}"/>
    <cellStyle name="Porcentaje 2 9" xfId="1503" xr:uid="{00000000-0005-0000-0000-000015140000}"/>
    <cellStyle name="Porcentaje 2 9 2" xfId="7848" xr:uid="{00000000-0005-0000-0000-000016140000}"/>
    <cellStyle name="Porcentaje 20" xfId="1504" xr:uid="{00000000-0005-0000-0000-000017140000}"/>
    <cellStyle name="Porcentaje 21" xfId="1505" xr:uid="{00000000-0005-0000-0000-000018140000}"/>
    <cellStyle name="Porcentaje 22" xfId="1506" xr:uid="{00000000-0005-0000-0000-000019140000}"/>
    <cellStyle name="Porcentaje 23" xfId="1507" xr:uid="{00000000-0005-0000-0000-00001A140000}"/>
    <cellStyle name="Porcentaje 24" xfId="4288" xr:uid="{00000000-0005-0000-0000-00001B140000}"/>
    <cellStyle name="Porcentaje 24 2" xfId="9722" xr:uid="{00000000-0005-0000-0000-00001C140000}"/>
    <cellStyle name="Porcentaje 24 2 2" xfId="10424" xr:uid="{00000000-0005-0000-0000-00001D140000}"/>
    <cellStyle name="Porcentaje 24 2 2 2" xfId="12159" xr:uid="{00000000-0005-0000-0000-00001E140000}"/>
    <cellStyle name="Porcentaje 24 2 3" xfId="11512" xr:uid="{00000000-0005-0000-0000-00001F140000}"/>
    <cellStyle name="Porcentaje 24 3" xfId="10127" xr:uid="{00000000-0005-0000-0000-000020140000}"/>
    <cellStyle name="Porcentaje 24 3 2" xfId="11863" xr:uid="{00000000-0005-0000-0000-000021140000}"/>
    <cellStyle name="Porcentaje 24 4" xfId="11100" xr:uid="{00000000-0005-0000-0000-000022140000}"/>
    <cellStyle name="Porcentaje 25" xfId="4306" xr:uid="{00000000-0005-0000-0000-000023140000}"/>
    <cellStyle name="Porcentaje 25 2" xfId="9732" xr:uid="{00000000-0005-0000-0000-000024140000}"/>
    <cellStyle name="Porcentaje 25 2 2" xfId="10433" xr:uid="{00000000-0005-0000-0000-000025140000}"/>
    <cellStyle name="Porcentaje 25 2 2 2" xfId="12168" xr:uid="{00000000-0005-0000-0000-000026140000}"/>
    <cellStyle name="Porcentaje 25 2 3" xfId="11521" xr:uid="{00000000-0005-0000-0000-000027140000}"/>
    <cellStyle name="Porcentaje 25 3" xfId="10136" xr:uid="{00000000-0005-0000-0000-000028140000}"/>
    <cellStyle name="Porcentaje 25 3 2" xfId="11872" xr:uid="{00000000-0005-0000-0000-000029140000}"/>
    <cellStyle name="Porcentaje 25 4" xfId="11116" xr:uid="{00000000-0005-0000-0000-00002A140000}"/>
    <cellStyle name="Porcentaje 26" xfId="7849" xr:uid="{00000000-0005-0000-0000-00002B140000}"/>
    <cellStyle name="Porcentaje 27" xfId="9852" xr:uid="{00000000-0005-0000-0000-00002C140000}"/>
    <cellStyle name="Porcentaje 27 2" xfId="11639" xr:uid="{00000000-0005-0000-0000-00002D140000}"/>
    <cellStyle name="Porcentaje 28" xfId="9855" xr:uid="{00000000-0005-0000-0000-00002E140000}"/>
    <cellStyle name="Porcentaje 28 2" xfId="11641" xr:uid="{00000000-0005-0000-0000-00002F140000}"/>
    <cellStyle name="Porcentaje 29" xfId="9873" xr:uid="{00000000-0005-0000-0000-000030140000}"/>
    <cellStyle name="Porcentaje 29 2" xfId="11659" xr:uid="{00000000-0005-0000-0000-000031140000}"/>
    <cellStyle name="Porcentaje 3" xfId="125" xr:uid="{00000000-0005-0000-0000-000032140000}"/>
    <cellStyle name="Porcentaje 3 2" xfId="4133" xr:uid="{00000000-0005-0000-0000-000033140000}"/>
    <cellStyle name="Porcentaje 3 2 2" xfId="4269" xr:uid="{00000000-0005-0000-0000-000034140000}"/>
    <cellStyle name="Porcentaje 3 2 2 2" xfId="9704" xr:uid="{00000000-0005-0000-0000-000035140000}"/>
    <cellStyle name="Porcentaje 3 2 2 2 2" xfId="10406" xr:uid="{00000000-0005-0000-0000-000036140000}"/>
    <cellStyle name="Porcentaje 3 2 2 2 2 2" xfId="12141" xr:uid="{00000000-0005-0000-0000-000037140000}"/>
    <cellStyle name="Porcentaje 3 2 2 2 3" xfId="11494" xr:uid="{00000000-0005-0000-0000-000038140000}"/>
    <cellStyle name="Porcentaje 3 2 2 3" xfId="10109" xr:uid="{00000000-0005-0000-0000-000039140000}"/>
    <cellStyle name="Porcentaje 3 2 2 3 2" xfId="11845" xr:uid="{00000000-0005-0000-0000-00003A140000}"/>
    <cellStyle name="Porcentaje 3 2 2 4" xfId="11081" xr:uid="{00000000-0005-0000-0000-00003B140000}"/>
    <cellStyle name="Porcentaje 3 2 3" xfId="9600" xr:uid="{00000000-0005-0000-0000-00003C140000}"/>
    <cellStyle name="Porcentaje 3 2 3 2" xfId="10304" xr:uid="{00000000-0005-0000-0000-00003D140000}"/>
    <cellStyle name="Porcentaje 3 2 3 2 2" xfId="12039" xr:uid="{00000000-0005-0000-0000-00003E140000}"/>
    <cellStyle name="Porcentaje 3 2 3 3" xfId="11392" xr:uid="{00000000-0005-0000-0000-00003F140000}"/>
    <cellStyle name="Porcentaje 3 2 4" xfId="10007" xr:uid="{00000000-0005-0000-0000-000040140000}"/>
    <cellStyle name="Porcentaje 3 2 4 2" xfId="11743" xr:uid="{00000000-0005-0000-0000-000041140000}"/>
    <cellStyle name="Porcentaje 3 2 5" xfId="10967" xr:uid="{00000000-0005-0000-0000-000042140000}"/>
    <cellStyle name="Porcentaje 3 3" xfId="4218" xr:uid="{00000000-0005-0000-0000-000043140000}"/>
    <cellStyle name="Porcentaje 3 3 2" xfId="9653" xr:uid="{00000000-0005-0000-0000-000044140000}"/>
    <cellStyle name="Porcentaje 3 3 2 2" xfId="10355" xr:uid="{00000000-0005-0000-0000-000045140000}"/>
    <cellStyle name="Porcentaje 3 3 2 2 2" xfId="12090" xr:uid="{00000000-0005-0000-0000-000046140000}"/>
    <cellStyle name="Porcentaje 3 3 2 3" xfId="11443" xr:uid="{00000000-0005-0000-0000-000047140000}"/>
    <cellStyle name="Porcentaje 3 3 3" xfId="10058" xr:uid="{00000000-0005-0000-0000-000048140000}"/>
    <cellStyle name="Porcentaje 3 3 3 2" xfId="11794" xr:uid="{00000000-0005-0000-0000-000049140000}"/>
    <cellStyle name="Porcentaje 3 3 4" xfId="11030" xr:uid="{00000000-0005-0000-0000-00004A140000}"/>
    <cellStyle name="Porcentaje 3 4" xfId="4323" xr:uid="{00000000-0005-0000-0000-00004B140000}"/>
    <cellStyle name="Porcentaje 3 4 2" xfId="9740" xr:uid="{00000000-0005-0000-0000-00004C140000}"/>
    <cellStyle name="Porcentaje 3 4 2 2" xfId="10441" xr:uid="{00000000-0005-0000-0000-00004D140000}"/>
    <cellStyle name="Porcentaje 3 4 2 2 2" xfId="12176" xr:uid="{00000000-0005-0000-0000-00004E140000}"/>
    <cellStyle name="Porcentaje 3 4 2 3" xfId="11529" xr:uid="{00000000-0005-0000-0000-00004F140000}"/>
    <cellStyle name="Porcentaje 3 4 3" xfId="10144" xr:uid="{00000000-0005-0000-0000-000050140000}"/>
    <cellStyle name="Porcentaje 3 4 3 2" xfId="11880" xr:uid="{00000000-0005-0000-0000-000051140000}"/>
    <cellStyle name="Porcentaje 3 4 4" xfId="11132" xr:uid="{00000000-0005-0000-0000-000052140000}"/>
    <cellStyle name="Porcentaje 3 5" xfId="1508" xr:uid="{00000000-0005-0000-0000-000053140000}"/>
    <cellStyle name="Porcentaje 3 6" xfId="9947" xr:uid="{00000000-0005-0000-0000-000054140000}"/>
    <cellStyle name="Porcentaje 3 7" xfId="10671" xr:uid="{00000000-0005-0000-0000-000055140000}"/>
    <cellStyle name="Porcentaje 30" xfId="9876" xr:uid="{00000000-0005-0000-0000-000056140000}"/>
    <cellStyle name="Porcentaje 30 2" xfId="11661" xr:uid="{00000000-0005-0000-0000-000057140000}"/>
    <cellStyle name="Porcentaje 31" xfId="10645" xr:uid="{00000000-0005-0000-0000-000058140000}"/>
    <cellStyle name="Porcentaje 32" xfId="10631" xr:uid="{00000000-0005-0000-0000-000059140000}"/>
    <cellStyle name="Porcentaje 33" xfId="12406" xr:uid="{00000000-0005-0000-0000-00005A140000}"/>
    <cellStyle name="Porcentaje 4" xfId="139" xr:uid="{00000000-0005-0000-0000-00005B140000}"/>
    <cellStyle name="Porcentaje 4 2" xfId="4139" xr:uid="{00000000-0005-0000-0000-00005C140000}"/>
    <cellStyle name="Porcentaje 4 2 2" xfId="9951" xr:uid="{00000000-0005-0000-0000-00005D140000}"/>
    <cellStyle name="Porcentaje 4 2 2 2" xfId="11687" xr:uid="{00000000-0005-0000-0000-00005E140000}"/>
    <cellStyle name="Porcentaje 4 2 3" xfId="10582" xr:uid="{00000000-0005-0000-0000-00005F140000}"/>
    <cellStyle name="Porcentaje 4 2 3 2" xfId="12317" xr:uid="{00000000-0005-0000-0000-000060140000}"/>
    <cellStyle name="Porcentaje 4 3" xfId="4341" xr:uid="{00000000-0005-0000-0000-000061140000}"/>
    <cellStyle name="Porcentaje 4 3 2" xfId="9752" xr:uid="{00000000-0005-0000-0000-000062140000}"/>
    <cellStyle name="Porcentaje 4 3 2 2" xfId="10452" xr:uid="{00000000-0005-0000-0000-000063140000}"/>
    <cellStyle name="Porcentaje 4 3 2 2 2" xfId="12187" xr:uid="{00000000-0005-0000-0000-000064140000}"/>
    <cellStyle name="Porcentaje 4 3 2 3" xfId="11540" xr:uid="{00000000-0005-0000-0000-000065140000}"/>
    <cellStyle name="Porcentaje 4 3 3" xfId="10155" xr:uid="{00000000-0005-0000-0000-000066140000}"/>
    <cellStyle name="Porcentaje 4 3 3 2" xfId="11891" xr:uid="{00000000-0005-0000-0000-000067140000}"/>
    <cellStyle name="Porcentaje 4 3 4" xfId="11148" xr:uid="{00000000-0005-0000-0000-000068140000}"/>
    <cellStyle name="Porcentaje 4 4" xfId="1509" xr:uid="{00000000-0005-0000-0000-000069140000}"/>
    <cellStyle name="Porcentaje 4 5" xfId="10568" xr:uid="{00000000-0005-0000-0000-00006A140000}"/>
    <cellStyle name="Porcentaje 4 5 2" xfId="12303" xr:uid="{00000000-0005-0000-0000-00006B140000}"/>
    <cellStyle name="Porcentaje 5" xfId="1510" xr:uid="{00000000-0005-0000-0000-00006C140000}"/>
    <cellStyle name="Porcentaje 5 2" xfId="4066" xr:uid="{00000000-0005-0000-0000-00006D140000}"/>
    <cellStyle name="Porcentaje 6" xfId="1511" xr:uid="{00000000-0005-0000-0000-00006E140000}"/>
    <cellStyle name="Porcentaje 6 2" xfId="4185" xr:uid="{00000000-0005-0000-0000-00006F140000}"/>
    <cellStyle name="Porcentaje 7" xfId="1512" xr:uid="{00000000-0005-0000-0000-000070140000}"/>
    <cellStyle name="Porcentaje 8" xfId="1513" xr:uid="{00000000-0005-0000-0000-000071140000}"/>
    <cellStyle name="Porcentaje 9" xfId="1514" xr:uid="{00000000-0005-0000-0000-000072140000}"/>
    <cellStyle name="Porcentual 10" xfId="1515" xr:uid="{00000000-0005-0000-0000-000073140000}"/>
    <cellStyle name="Porcentual 10 10" xfId="1516" xr:uid="{00000000-0005-0000-0000-000074140000}"/>
    <cellStyle name="Porcentual 10 10 2" xfId="1517" xr:uid="{00000000-0005-0000-0000-000075140000}"/>
    <cellStyle name="Porcentual 10 10 2 2" xfId="7852" xr:uid="{00000000-0005-0000-0000-000076140000}"/>
    <cellStyle name="Porcentual 10 10 3" xfId="7851" xr:uid="{00000000-0005-0000-0000-000077140000}"/>
    <cellStyle name="Porcentual 10 11" xfId="1518" xr:uid="{00000000-0005-0000-0000-000078140000}"/>
    <cellStyle name="Porcentual 10 11 2" xfId="5174" xr:uid="{00000000-0005-0000-0000-000079140000}"/>
    <cellStyle name="Porcentual 10 11 3" xfId="7853" xr:uid="{00000000-0005-0000-0000-00007A140000}"/>
    <cellStyle name="Porcentual 10 12" xfId="1519" xr:uid="{00000000-0005-0000-0000-00007B140000}"/>
    <cellStyle name="Porcentual 10 12 2" xfId="5175" xr:uid="{00000000-0005-0000-0000-00007C140000}"/>
    <cellStyle name="Porcentual 10 12 3" xfId="7854" xr:uid="{00000000-0005-0000-0000-00007D140000}"/>
    <cellStyle name="Porcentual 10 13" xfId="1520" xr:uid="{00000000-0005-0000-0000-00007E140000}"/>
    <cellStyle name="Porcentual 10 13 2" xfId="5176" xr:uid="{00000000-0005-0000-0000-00007F140000}"/>
    <cellStyle name="Porcentual 10 13 3" xfId="7855" xr:uid="{00000000-0005-0000-0000-000080140000}"/>
    <cellStyle name="Porcentual 10 14" xfId="1521" xr:uid="{00000000-0005-0000-0000-000081140000}"/>
    <cellStyle name="Porcentual 10 14 2" xfId="5177" xr:uid="{00000000-0005-0000-0000-000082140000}"/>
    <cellStyle name="Porcentual 10 14 3" xfId="7856" xr:uid="{00000000-0005-0000-0000-000083140000}"/>
    <cellStyle name="Porcentual 10 15" xfId="1522" xr:uid="{00000000-0005-0000-0000-000084140000}"/>
    <cellStyle name="Porcentual 10 15 2" xfId="5178" xr:uid="{00000000-0005-0000-0000-000085140000}"/>
    <cellStyle name="Porcentual 10 15 3" xfId="7857" xr:uid="{00000000-0005-0000-0000-000086140000}"/>
    <cellStyle name="Porcentual 10 16" xfId="1523" xr:uid="{00000000-0005-0000-0000-000087140000}"/>
    <cellStyle name="Porcentual 10 16 2" xfId="5179" xr:uid="{00000000-0005-0000-0000-000088140000}"/>
    <cellStyle name="Porcentual 10 16 3" xfId="7858" xr:uid="{00000000-0005-0000-0000-000089140000}"/>
    <cellStyle name="Porcentual 10 17" xfId="1524" xr:uid="{00000000-0005-0000-0000-00008A140000}"/>
    <cellStyle name="Porcentual 10 17 2" xfId="5180" xr:uid="{00000000-0005-0000-0000-00008B140000}"/>
    <cellStyle name="Porcentual 10 17 3" xfId="7859" xr:uid="{00000000-0005-0000-0000-00008C140000}"/>
    <cellStyle name="Porcentual 10 18" xfId="1525" xr:uid="{00000000-0005-0000-0000-00008D140000}"/>
    <cellStyle name="Porcentual 10 18 2" xfId="5181" xr:uid="{00000000-0005-0000-0000-00008E140000}"/>
    <cellStyle name="Porcentual 10 18 3" xfId="7860" xr:uid="{00000000-0005-0000-0000-00008F140000}"/>
    <cellStyle name="Porcentual 10 19" xfId="1526" xr:uid="{00000000-0005-0000-0000-000090140000}"/>
    <cellStyle name="Porcentual 10 19 2" xfId="5182" xr:uid="{00000000-0005-0000-0000-000091140000}"/>
    <cellStyle name="Porcentual 10 19 3" xfId="7861" xr:uid="{00000000-0005-0000-0000-000092140000}"/>
    <cellStyle name="Porcentual 10 2" xfId="1527" xr:uid="{00000000-0005-0000-0000-000093140000}"/>
    <cellStyle name="Porcentual 10 2 2" xfId="5183" xr:uid="{00000000-0005-0000-0000-000094140000}"/>
    <cellStyle name="Porcentual 10 2 3" xfId="7862" xr:uid="{00000000-0005-0000-0000-000095140000}"/>
    <cellStyle name="Porcentual 10 20" xfId="1528" xr:uid="{00000000-0005-0000-0000-000096140000}"/>
    <cellStyle name="Porcentual 10 20 2" xfId="5184" xr:uid="{00000000-0005-0000-0000-000097140000}"/>
    <cellStyle name="Porcentual 10 20 3" xfId="7863" xr:uid="{00000000-0005-0000-0000-000098140000}"/>
    <cellStyle name="Porcentual 10 21" xfId="1529" xr:uid="{00000000-0005-0000-0000-000099140000}"/>
    <cellStyle name="Porcentual 10 21 2" xfId="5185" xr:uid="{00000000-0005-0000-0000-00009A140000}"/>
    <cellStyle name="Porcentual 10 21 3" xfId="7864" xr:uid="{00000000-0005-0000-0000-00009B140000}"/>
    <cellStyle name="Porcentual 10 22" xfId="1530" xr:uid="{00000000-0005-0000-0000-00009C140000}"/>
    <cellStyle name="Porcentual 10 22 2" xfId="5186" xr:uid="{00000000-0005-0000-0000-00009D140000}"/>
    <cellStyle name="Porcentual 10 22 3" xfId="7865" xr:uid="{00000000-0005-0000-0000-00009E140000}"/>
    <cellStyle name="Porcentual 10 23" xfId="1531" xr:uid="{00000000-0005-0000-0000-00009F140000}"/>
    <cellStyle name="Porcentual 10 23 2" xfId="5187" xr:uid="{00000000-0005-0000-0000-0000A0140000}"/>
    <cellStyle name="Porcentual 10 23 3" xfId="7866" xr:uid="{00000000-0005-0000-0000-0000A1140000}"/>
    <cellStyle name="Porcentual 10 24" xfId="1532" xr:uid="{00000000-0005-0000-0000-0000A2140000}"/>
    <cellStyle name="Porcentual 10 24 2" xfId="5188" xr:uid="{00000000-0005-0000-0000-0000A3140000}"/>
    <cellStyle name="Porcentual 10 24 3" xfId="7867" xr:uid="{00000000-0005-0000-0000-0000A4140000}"/>
    <cellStyle name="Porcentual 10 25" xfId="1533" xr:uid="{00000000-0005-0000-0000-0000A5140000}"/>
    <cellStyle name="Porcentual 10 25 2" xfId="5189" xr:uid="{00000000-0005-0000-0000-0000A6140000}"/>
    <cellStyle name="Porcentual 10 25 3" xfId="7868" xr:uid="{00000000-0005-0000-0000-0000A7140000}"/>
    <cellStyle name="Porcentual 10 26" xfId="1534" xr:uid="{00000000-0005-0000-0000-0000A8140000}"/>
    <cellStyle name="Porcentual 10 26 2" xfId="5190" xr:uid="{00000000-0005-0000-0000-0000A9140000}"/>
    <cellStyle name="Porcentual 10 26 3" xfId="7869" xr:uid="{00000000-0005-0000-0000-0000AA140000}"/>
    <cellStyle name="Porcentual 10 27" xfId="1535" xr:uid="{00000000-0005-0000-0000-0000AB140000}"/>
    <cellStyle name="Porcentual 10 27 2" xfId="5191" xr:uid="{00000000-0005-0000-0000-0000AC140000}"/>
    <cellStyle name="Porcentual 10 27 3" xfId="7870" xr:uid="{00000000-0005-0000-0000-0000AD140000}"/>
    <cellStyle name="Porcentual 10 28" xfId="1536" xr:uid="{00000000-0005-0000-0000-0000AE140000}"/>
    <cellStyle name="Porcentual 10 28 2" xfId="5192" xr:uid="{00000000-0005-0000-0000-0000AF140000}"/>
    <cellStyle name="Porcentual 10 28 3" xfId="7871" xr:uid="{00000000-0005-0000-0000-0000B0140000}"/>
    <cellStyle name="Porcentual 10 29" xfId="5193" xr:uid="{00000000-0005-0000-0000-0000B1140000}"/>
    <cellStyle name="Porcentual 10 29 2" xfId="9780" xr:uid="{00000000-0005-0000-0000-0000B2140000}"/>
    <cellStyle name="Porcentual 10 29 2 2" xfId="10479" xr:uid="{00000000-0005-0000-0000-0000B3140000}"/>
    <cellStyle name="Porcentual 10 29 2 2 2" xfId="12214" xr:uid="{00000000-0005-0000-0000-0000B4140000}"/>
    <cellStyle name="Porcentual 10 29 2 3" xfId="11567" xr:uid="{00000000-0005-0000-0000-0000B5140000}"/>
    <cellStyle name="Porcentual 10 29 3" xfId="10188" xr:uid="{00000000-0005-0000-0000-0000B6140000}"/>
    <cellStyle name="Porcentual 10 29 3 2" xfId="11924" xr:uid="{00000000-0005-0000-0000-0000B7140000}"/>
    <cellStyle name="Porcentual 10 29 4" xfId="11202" xr:uid="{00000000-0005-0000-0000-0000B8140000}"/>
    <cellStyle name="Porcentual 10 3" xfId="1537" xr:uid="{00000000-0005-0000-0000-0000B9140000}"/>
    <cellStyle name="Porcentual 10 3 2" xfId="5194" xr:uid="{00000000-0005-0000-0000-0000BA140000}"/>
    <cellStyle name="Porcentual 10 3 3" xfId="7872" xr:uid="{00000000-0005-0000-0000-0000BB140000}"/>
    <cellStyle name="Porcentual 10 30" xfId="5195" xr:uid="{00000000-0005-0000-0000-0000BC140000}"/>
    <cellStyle name="Porcentual 10 30 2" xfId="9781" xr:uid="{00000000-0005-0000-0000-0000BD140000}"/>
    <cellStyle name="Porcentual 10 30 2 2" xfId="10480" xr:uid="{00000000-0005-0000-0000-0000BE140000}"/>
    <cellStyle name="Porcentual 10 30 2 2 2" xfId="12215" xr:uid="{00000000-0005-0000-0000-0000BF140000}"/>
    <cellStyle name="Porcentual 10 30 2 3" xfId="11568" xr:uid="{00000000-0005-0000-0000-0000C0140000}"/>
    <cellStyle name="Porcentual 10 30 3" xfId="10189" xr:uid="{00000000-0005-0000-0000-0000C1140000}"/>
    <cellStyle name="Porcentual 10 30 3 2" xfId="11925" xr:uid="{00000000-0005-0000-0000-0000C2140000}"/>
    <cellStyle name="Porcentual 10 30 4" xfId="11203" xr:uid="{00000000-0005-0000-0000-0000C3140000}"/>
    <cellStyle name="Porcentual 10 31" xfId="7850" xr:uid="{00000000-0005-0000-0000-0000C4140000}"/>
    <cellStyle name="Porcentual 10 4" xfId="1538" xr:uid="{00000000-0005-0000-0000-0000C5140000}"/>
    <cellStyle name="Porcentual 10 4 2" xfId="5196" xr:uid="{00000000-0005-0000-0000-0000C6140000}"/>
    <cellStyle name="Porcentual 10 4 3" xfId="7873" xr:uid="{00000000-0005-0000-0000-0000C7140000}"/>
    <cellStyle name="Porcentual 10 5" xfId="1539" xr:uid="{00000000-0005-0000-0000-0000C8140000}"/>
    <cellStyle name="Porcentual 10 5 2" xfId="5197" xr:uid="{00000000-0005-0000-0000-0000C9140000}"/>
    <cellStyle name="Porcentual 10 5 3" xfId="7874" xr:uid="{00000000-0005-0000-0000-0000CA140000}"/>
    <cellStyle name="Porcentual 10 6" xfId="1540" xr:uid="{00000000-0005-0000-0000-0000CB140000}"/>
    <cellStyle name="Porcentual 10 6 2" xfId="5198" xr:uid="{00000000-0005-0000-0000-0000CC140000}"/>
    <cellStyle name="Porcentual 10 6 3" xfId="7875" xr:uid="{00000000-0005-0000-0000-0000CD140000}"/>
    <cellStyle name="Porcentual 10 7" xfId="1541" xr:uid="{00000000-0005-0000-0000-0000CE140000}"/>
    <cellStyle name="Porcentual 10 7 2" xfId="5199" xr:uid="{00000000-0005-0000-0000-0000CF140000}"/>
    <cellStyle name="Porcentual 10 7 3" xfId="7876" xr:uid="{00000000-0005-0000-0000-0000D0140000}"/>
    <cellStyle name="Porcentual 10 8" xfId="1542" xr:uid="{00000000-0005-0000-0000-0000D1140000}"/>
    <cellStyle name="Porcentual 10 8 2" xfId="5200" xr:uid="{00000000-0005-0000-0000-0000D2140000}"/>
    <cellStyle name="Porcentual 10 8 3" xfId="7877" xr:uid="{00000000-0005-0000-0000-0000D3140000}"/>
    <cellStyle name="Porcentual 10 9" xfId="1543" xr:uid="{00000000-0005-0000-0000-0000D4140000}"/>
    <cellStyle name="Porcentual 10 9 2" xfId="5201" xr:uid="{00000000-0005-0000-0000-0000D5140000}"/>
    <cellStyle name="Porcentual 10 9 3" xfId="7878" xr:uid="{00000000-0005-0000-0000-0000D6140000}"/>
    <cellStyle name="Porcentual 104 10" xfId="1544" xr:uid="{00000000-0005-0000-0000-0000D7140000}"/>
    <cellStyle name="Porcentual 104 10 2" xfId="5202" xr:uid="{00000000-0005-0000-0000-0000D8140000}"/>
    <cellStyle name="Porcentual 104 10 3" xfId="7879" xr:uid="{00000000-0005-0000-0000-0000D9140000}"/>
    <cellStyle name="Porcentual 104 11" xfId="1545" xr:uid="{00000000-0005-0000-0000-0000DA140000}"/>
    <cellStyle name="Porcentual 104 11 2" xfId="5203" xr:uid="{00000000-0005-0000-0000-0000DB140000}"/>
    <cellStyle name="Porcentual 104 11 3" xfId="7880" xr:uid="{00000000-0005-0000-0000-0000DC140000}"/>
    <cellStyle name="Porcentual 104 12" xfId="1546" xr:uid="{00000000-0005-0000-0000-0000DD140000}"/>
    <cellStyle name="Porcentual 104 12 2" xfId="5204" xr:uid="{00000000-0005-0000-0000-0000DE140000}"/>
    <cellStyle name="Porcentual 104 12 3" xfId="7881" xr:uid="{00000000-0005-0000-0000-0000DF140000}"/>
    <cellStyle name="Porcentual 104 13" xfId="1547" xr:uid="{00000000-0005-0000-0000-0000E0140000}"/>
    <cellStyle name="Porcentual 104 13 2" xfId="5205" xr:uid="{00000000-0005-0000-0000-0000E1140000}"/>
    <cellStyle name="Porcentual 104 13 3" xfId="7882" xr:uid="{00000000-0005-0000-0000-0000E2140000}"/>
    <cellStyle name="Porcentual 104 14" xfId="1548" xr:uid="{00000000-0005-0000-0000-0000E3140000}"/>
    <cellStyle name="Porcentual 104 14 2" xfId="5206" xr:uid="{00000000-0005-0000-0000-0000E4140000}"/>
    <cellStyle name="Porcentual 104 14 3" xfId="7883" xr:uid="{00000000-0005-0000-0000-0000E5140000}"/>
    <cellStyle name="Porcentual 104 15" xfId="1549" xr:uid="{00000000-0005-0000-0000-0000E6140000}"/>
    <cellStyle name="Porcentual 104 15 2" xfId="5207" xr:uid="{00000000-0005-0000-0000-0000E7140000}"/>
    <cellStyle name="Porcentual 104 15 3" xfId="7884" xr:uid="{00000000-0005-0000-0000-0000E8140000}"/>
    <cellStyle name="Porcentual 104 16" xfId="1550" xr:uid="{00000000-0005-0000-0000-0000E9140000}"/>
    <cellStyle name="Porcentual 104 16 2" xfId="5208" xr:uid="{00000000-0005-0000-0000-0000EA140000}"/>
    <cellStyle name="Porcentual 104 16 3" xfId="7885" xr:uid="{00000000-0005-0000-0000-0000EB140000}"/>
    <cellStyle name="Porcentual 104 17" xfId="1551" xr:uid="{00000000-0005-0000-0000-0000EC140000}"/>
    <cellStyle name="Porcentual 104 17 2" xfId="5209" xr:uid="{00000000-0005-0000-0000-0000ED140000}"/>
    <cellStyle name="Porcentual 104 17 3" xfId="7886" xr:uid="{00000000-0005-0000-0000-0000EE140000}"/>
    <cellStyle name="Porcentual 104 18" xfId="1552" xr:uid="{00000000-0005-0000-0000-0000EF140000}"/>
    <cellStyle name="Porcentual 104 18 2" xfId="5210" xr:uid="{00000000-0005-0000-0000-0000F0140000}"/>
    <cellStyle name="Porcentual 104 18 3" xfId="7887" xr:uid="{00000000-0005-0000-0000-0000F1140000}"/>
    <cellStyle name="Porcentual 104 19" xfId="1553" xr:uid="{00000000-0005-0000-0000-0000F2140000}"/>
    <cellStyle name="Porcentual 104 19 2" xfId="5211" xr:uid="{00000000-0005-0000-0000-0000F3140000}"/>
    <cellStyle name="Porcentual 104 19 3" xfId="7888" xr:uid="{00000000-0005-0000-0000-0000F4140000}"/>
    <cellStyle name="Porcentual 104 2" xfId="1554" xr:uid="{00000000-0005-0000-0000-0000F5140000}"/>
    <cellStyle name="Porcentual 104 2 2" xfId="5212" xr:uid="{00000000-0005-0000-0000-0000F6140000}"/>
    <cellStyle name="Porcentual 104 2 3" xfId="7889" xr:uid="{00000000-0005-0000-0000-0000F7140000}"/>
    <cellStyle name="Porcentual 104 20" xfId="1555" xr:uid="{00000000-0005-0000-0000-0000F8140000}"/>
    <cellStyle name="Porcentual 104 20 2" xfId="5213" xr:uid="{00000000-0005-0000-0000-0000F9140000}"/>
    <cellStyle name="Porcentual 104 20 3" xfId="7890" xr:uid="{00000000-0005-0000-0000-0000FA140000}"/>
    <cellStyle name="Porcentual 104 21" xfId="1556" xr:uid="{00000000-0005-0000-0000-0000FB140000}"/>
    <cellStyle name="Porcentual 104 21 2" xfId="5214" xr:uid="{00000000-0005-0000-0000-0000FC140000}"/>
    <cellStyle name="Porcentual 104 21 3" xfId="7891" xr:uid="{00000000-0005-0000-0000-0000FD140000}"/>
    <cellStyle name="Porcentual 104 22" xfId="1557" xr:uid="{00000000-0005-0000-0000-0000FE140000}"/>
    <cellStyle name="Porcentual 104 22 2" xfId="5215" xr:uid="{00000000-0005-0000-0000-0000FF140000}"/>
    <cellStyle name="Porcentual 104 22 3" xfId="7892" xr:uid="{00000000-0005-0000-0000-000000150000}"/>
    <cellStyle name="Porcentual 104 23" xfId="1558" xr:uid="{00000000-0005-0000-0000-000001150000}"/>
    <cellStyle name="Porcentual 104 23 2" xfId="5216" xr:uid="{00000000-0005-0000-0000-000002150000}"/>
    <cellStyle name="Porcentual 104 23 3" xfId="7893" xr:uid="{00000000-0005-0000-0000-000003150000}"/>
    <cellStyle name="Porcentual 104 24" xfId="1559" xr:uid="{00000000-0005-0000-0000-000004150000}"/>
    <cellStyle name="Porcentual 104 24 2" xfId="5217" xr:uid="{00000000-0005-0000-0000-000005150000}"/>
    <cellStyle name="Porcentual 104 24 3" xfId="7894" xr:uid="{00000000-0005-0000-0000-000006150000}"/>
    <cellStyle name="Porcentual 104 25" xfId="1560" xr:uid="{00000000-0005-0000-0000-000007150000}"/>
    <cellStyle name="Porcentual 104 25 2" xfId="5218" xr:uid="{00000000-0005-0000-0000-000008150000}"/>
    <cellStyle name="Porcentual 104 25 3" xfId="7895" xr:uid="{00000000-0005-0000-0000-000009150000}"/>
    <cellStyle name="Porcentual 104 26" xfId="1561" xr:uid="{00000000-0005-0000-0000-00000A150000}"/>
    <cellStyle name="Porcentual 104 26 2" xfId="5219" xr:uid="{00000000-0005-0000-0000-00000B150000}"/>
    <cellStyle name="Porcentual 104 26 3" xfId="7896" xr:uid="{00000000-0005-0000-0000-00000C150000}"/>
    <cellStyle name="Porcentual 104 27" xfId="1562" xr:uid="{00000000-0005-0000-0000-00000D150000}"/>
    <cellStyle name="Porcentual 104 27 2" xfId="5220" xr:uid="{00000000-0005-0000-0000-00000E150000}"/>
    <cellStyle name="Porcentual 104 27 3" xfId="7897" xr:uid="{00000000-0005-0000-0000-00000F150000}"/>
    <cellStyle name="Porcentual 104 28" xfId="1563" xr:uid="{00000000-0005-0000-0000-000010150000}"/>
    <cellStyle name="Porcentual 104 28 2" xfId="5221" xr:uid="{00000000-0005-0000-0000-000011150000}"/>
    <cellStyle name="Porcentual 104 28 3" xfId="7898" xr:uid="{00000000-0005-0000-0000-000012150000}"/>
    <cellStyle name="Porcentual 104 3" xfId="1564" xr:uid="{00000000-0005-0000-0000-000013150000}"/>
    <cellStyle name="Porcentual 104 3 2" xfId="5222" xr:uid="{00000000-0005-0000-0000-000014150000}"/>
    <cellStyle name="Porcentual 104 3 3" xfId="7899" xr:uid="{00000000-0005-0000-0000-000015150000}"/>
    <cellStyle name="Porcentual 104 4" xfId="1565" xr:uid="{00000000-0005-0000-0000-000016150000}"/>
    <cellStyle name="Porcentual 104 4 2" xfId="5223" xr:uid="{00000000-0005-0000-0000-000017150000}"/>
    <cellStyle name="Porcentual 104 4 3" xfId="7900" xr:uid="{00000000-0005-0000-0000-000018150000}"/>
    <cellStyle name="Porcentual 104 5" xfId="1566" xr:uid="{00000000-0005-0000-0000-000019150000}"/>
    <cellStyle name="Porcentual 104 5 2" xfId="5224" xr:uid="{00000000-0005-0000-0000-00001A150000}"/>
    <cellStyle name="Porcentual 104 5 3" xfId="7901" xr:uid="{00000000-0005-0000-0000-00001B150000}"/>
    <cellStyle name="Porcentual 104 6" xfId="1567" xr:uid="{00000000-0005-0000-0000-00001C150000}"/>
    <cellStyle name="Porcentual 104 6 2" xfId="5225" xr:uid="{00000000-0005-0000-0000-00001D150000}"/>
    <cellStyle name="Porcentual 104 6 3" xfId="7902" xr:uid="{00000000-0005-0000-0000-00001E150000}"/>
    <cellStyle name="Porcentual 104 7" xfId="1568" xr:uid="{00000000-0005-0000-0000-00001F150000}"/>
    <cellStyle name="Porcentual 104 7 2" xfId="5226" xr:uid="{00000000-0005-0000-0000-000020150000}"/>
    <cellStyle name="Porcentual 104 7 3" xfId="7903" xr:uid="{00000000-0005-0000-0000-000021150000}"/>
    <cellStyle name="Porcentual 104 8" xfId="1569" xr:uid="{00000000-0005-0000-0000-000022150000}"/>
    <cellStyle name="Porcentual 104 8 2" xfId="5227" xr:uid="{00000000-0005-0000-0000-000023150000}"/>
    <cellStyle name="Porcentual 104 8 3" xfId="7904" xr:uid="{00000000-0005-0000-0000-000024150000}"/>
    <cellStyle name="Porcentual 104 9" xfId="1570" xr:uid="{00000000-0005-0000-0000-000025150000}"/>
    <cellStyle name="Porcentual 104 9 2" xfId="5228" xr:uid="{00000000-0005-0000-0000-000026150000}"/>
    <cellStyle name="Porcentual 104 9 3" xfId="7905" xr:uid="{00000000-0005-0000-0000-000027150000}"/>
    <cellStyle name="Porcentual 11" xfId="1571" xr:uid="{00000000-0005-0000-0000-000028150000}"/>
    <cellStyle name="Porcentual 11 2" xfId="5229" xr:uid="{00000000-0005-0000-0000-000029150000}"/>
    <cellStyle name="Porcentual 11 2 2" xfId="9782" xr:uid="{00000000-0005-0000-0000-00002A150000}"/>
    <cellStyle name="Porcentual 11 2 2 2" xfId="10481" xr:uid="{00000000-0005-0000-0000-00002B150000}"/>
    <cellStyle name="Porcentual 11 2 2 2 2" xfId="12216" xr:uid="{00000000-0005-0000-0000-00002C150000}"/>
    <cellStyle name="Porcentual 11 2 2 3" xfId="11569" xr:uid="{00000000-0005-0000-0000-00002D150000}"/>
    <cellStyle name="Porcentual 11 2 3" xfId="10190" xr:uid="{00000000-0005-0000-0000-00002E150000}"/>
    <cellStyle name="Porcentual 11 2 3 2" xfId="11926" xr:uid="{00000000-0005-0000-0000-00002F150000}"/>
    <cellStyle name="Porcentual 11 2 4" xfId="11204" xr:uid="{00000000-0005-0000-0000-000030150000}"/>
    <cellStyle name="Porcentual 11 3" xfId="5230" xr:uid="{00000000-0005-0000-0000-000031150000}"/>
    <cellStyle name="Porcentual 11 3 2" xfId="9783" xr:uid="{00000000-0005-0000-0000-000032150000}"/>
    <cellStyle name="Porcentual 11 3 2 2" xfId="10482" xr:uid="{00000000-0005-0000-0000-000033150000}"/>
    <cellStyle name="Porcentual 11 3 2 2 2" xfId="12217" xr:uid="{00000000-0005-0000-0000-000034150000}"/>
    <cellStyle name="Porcentual 11 3 2 3" xfId="11570" xr:uid="{00000000-0005-0000-0000-000035150000}"/>
    <cellStyle name="Porcentual 11 3 3" xfId="10191" xr:uid="{00000000-0005-0000-0000-000036150000}"/>
    <cellStyle name="Porcentual 11 3 3 2" xfId="11927" xr:uid="{00000000-0005-0000-0000-000037150000}"/>
    <cellStyle name="Porcentual 11 3 4" xfId="11205" xr:uid="{00000000-0005-0000-0000-000038150000}"/>
    <cellStyle name="Porcentual 11 4" xfId="7906" xr:uid="{00000000-0005-0000-0000-000039150000}"/>
    <cellStyle name="Porcentual 112 10" xfId="1572" xr:uid="{00000000-0005-0000-0000-00003A150000}"/>
    <cellStyle name="Porcentual 112 10 2" xfId="5231" xr:uid="{00000000-0005-0000-0000-00003B150000}"/>
    <cellStyle name="Porcentual 112 10 3" xfId="7907" xr:uid="{00000000-0005-0000-0000-00003C150000}"/>
    <cellStyle name="Porcentual 112 11" xfId="1573" xr:uid="{00000000-0005-0000-0000-00003D150000}"/>
    <cellStyle name="Porcentual 112 11 2" xfId="5232" xr:uid="{00000000-0005-0000-0000-00003E150000}"/>
    <cellStyle name="Porcentual 112 11 3" xfId="7908" xr:uid="{00000000-0005-0000-0000-00003F150000}"/>
    <cellStyle name="Porcentual 112 12" xfId="1574" xr:uid="{00000000-0005-0000-0000-000040150000}"/>
    <cellStyle name="Porcentual 112 12 2" xfId="5233" xr:uid="{00000000-0005-0000-0000-000041150000}"/>
    <cellStyle name="Porcentual 112 12 3" xfId="7909" xr:uid="{00000000-0005-0000-0000-000042150000}"/>
    <cellStyle name="Porcentual 112 13" xfId="1575" xr:uid="{00000000-0005-0000-0000-000043150000}"/>
    <cellStyle name="Porcentual 112 13 2" xfId="5234" xr:uid="{00000000-0005-0000-0000-000044150000}"/>
    <cellStyle name="Porcentual 112 13 3" xfId="7910" xr:uid="{00000000-0005-0000-0000-000045150000}"/>
    <cellStyle name="Porcentual 112 14" xfId="1576" xr:uid="{00000000-0005-0000-0000-000046150000}"/>
    <cellStyle name="Porcentual 112 14 2" xfId="5235" xr:uid="{00000000-0005-0000-0000-000047150000}"/>
    <cellStyle name="Porcentual 112 14 3" xfId="7911" xr:uid="{00000000-0005-0000-0000-000048150000}"/>
    <cellStyle name="Porcentual 112 15" xfId="1577" xr:uid="{00000000-0005-0000-0000-000049150000}"/>
    <cellStyle name="Porcentual 112 15 2" xfId="5236" xr:uid="{00000000-0005-0000-0000-00004A150000}"/>
    <cellStyle name="Porcentual 112 15 3" xfId="7912" xr:uid="{00000000-0005-0000-0000-00004B150000}"/>
    <cellStyle name="Porcentual 112 16" xfId="1578" xr:uid="{00000000-0005-0000-0000-00004C150000}"/>
    <cellStyle name="Porcentual 112 16 2" xfId="5237" xr:uid="{00000000-0005-0000-0000-00004D150000}"/>
    <cellStyle name="Porcentual 112 16 3" xfId="7913" xr:uid="{00000000-0005-0000-0000-00004E150000}"/>
    <cellStyle name="Porcentual 112 17" xfId="1579" xr:uid="{00000000-0005-0000-0000-00004F150000}"/>
    <cellStyle name="Porcentual 112 17 2" xfId="5238" xr:uid="{00000000-0005-0000-0000-000050150000}"/>
    <cellStyle name="Porcentual 112 17 3" xfId="7914" xr:uid="{00000000-0005-0000-0000-000051150000}"/>
    <cellStyle name="Porcentual 112 18" xfId="1580" xr:uid="{00000000-0005-0000-0000-000052150000}"/>
    <cellStyle name="Porcentual 112 18 2" xfId="5239" xr:uid="{00000000-0005-0000-0000-000053150000}"/>
    <cellStyle name="Porcentual 112 18 3" xfId="7915" xr:uid="{00000000-0005-0000-0000-000054150000}"/>
    <cellStyle name="Porcentual 112 19" xfId="1581" xr:uid="{00000000-0005-0000-0000-000055150000}"/>
    <cellStyle name="Porcentual 112 19 2" xfId="5240" xr:uid="{00000000-0005-0000-0000-000056150000}"/>
    <cellStyle name="Porcentual 112 19 3" xfId="7916" xr:uid="{00000000-0005-0000-0000-000057150000}"/>
    <cellStyle name="Porcentual 112 2" xfId="1582" xr:uid="{00000000-0005-0000-0000-000058150000}"/>
    <cellStyle name="Porcentual 112 2 2" xfId="5241" xr:uid="{00000000-0005-0000-0000-000059150000}"/>
    <cellStyle name="Porcentual 112 2 3" xfId="7917" xr:uid="{00000000-0005-0000-0000-00005A150000}"/>
    <cellStyle name="Porcentual 112 20" xfId="1583" xr:uid="{00000000-0005-0000-0000-00005B150000}"/>
    <cellStyle name="Porcentual 112 20 2" xfId="5242" xr:uid="{00000000-0005-0000-0000-00005C150000}"/>
    <cellStyle name="Porcentual 112 20 3" xfId="7918" xr:uid="{00000000-0005-0000-0000-00005D150000}"/>
    <cellStyle name="Porcentual 112 21" xfId="1584" xr:uid="{00000000-0005-0000-0000-00005E150000}"/>
    <cellStyle name="Porcentual 112 21 2" xfId="5243" xr:uid="{00000000-0005-0000-0000-00005F150000}"/>
    <cellStyle name="Porcentual 112 21 3" xfId="7919" xr:uid="{00000000-0005-0000-0000-000060150000}"/>
    <cellStyle name="Porcentual 112 22" xfId="1585" xr:uid="{00000000-0005-0000-0000-000061150000}"/>
    <cellStyle name="Porcentual 112 22 2" xfId="5244" xr:uid="{00000000-0005-0000-0000-000062150000}"/>
    <cellStyle name="Porcentual 112 22 3" xfId="7920" xr:uid="{00000000-0005-0000-0000-000063150000}"/>
    <cellStyle name="Porcentual 112 23" xfId="1586" xr:uid="{00000000-0005-0000-0000-000064150000}"/>
    <cellStyle name="Porcentual 112 23 2" xfId="5245" xr:uid="{00000000-0005-0000-0000-000065150000}"/>
    <cellStyle name="Porcentual 112 23 3" xfId="7921" xr:uid="{00000000-0005-0000-0000-000066150000}"/>
    <cellStyle name="Porcentual 112 24" xfId="1587" xr:uid="{00000000-0005-0000-0000-000067150000}"/>
    <cellStyle name="Porcentual 112 24 2" xfId="5246" xr:uid="{00000000-0005-0000-0000-000068150000}"/>
    <cellStyle name="Porcentual 112 24 3" xfId="7922" xr:uid="{00000000-0005-0000-0000-000069150000}"/>
    <cellStyle name="Porcentual 112 25" xfId="1588" xr:uid="{00000000-0005-0000-0000-00006A150000}"/>
    <cellStyle name="Porcentual 112 25 2" xfId="5247" xr:uid="{00000000-0005-0000-0000-00006B150000}"/>
    <cellStyle name="Porcentual 112 25 3" xfId="7923" xr:uid="{00000000-0005-0000-0000-00006C150000}"/>
    <cellStyle name="Porcentual 112 26" xfId="1589" xr:uid="{00000000-0005-0000-0000-00006D150000}"/>
    <cellStyle name="Porcentual 112 26 2" xfId="5248" xr:uid="{00000000-0005-0000-0000-00006E150000}"/>
    <cellStyle name="Porcentual 112 26 3" xfId="7924" xr:uid="{00000000-0005-0000-0000-00006F150000}"/>
    <cellStyle name="Porcentual 112 27" xfId="1590" xr:uid="{00000000-0005-0000-0000-000070150000}"/>
    <cellStyle name="Porcentual 112 27 2" xfId="5249" xr:uid="{00000000-0005-0000-0000-000071150000}"/>
    <cellStyle name="Porcentual 112 27 3" xfId="7925" xr:uid="{00000000-0005-0000-0000-000072150000}"/>
    <cellStyle name="Porcentual 112 28" xfId="1591" xr:uid="{00000000-0005-0000-0000-000073150000}"/>
    <cellStyle name="Porcentual 112 28 2" xfId="5250" xr:uid="{00000000-0005-0000-0000-000074150000}"/>
    <cellStyle name="Porcentual 112 28 3" xfId="7926" xr:uid="{00000000-0005-0000-0000-000075150000}"/>
    <cellStyle name="Porcentual 112 3" xfId="1592" xr:uid="{00000000-0005-0000-0000-000076150000}"/>
    <cellStyle name="Porcentual 112 3 2" xfId="5251" xr:uid="{00000000-0005-0000-0000-000077150000}"/>
    <cellStyle name="Porcentual 112 3 3" xfId="7927" xr:uid="{00000000-0005-0000-0000-000078150000}"/>
    <cellStyle name="Porcentual 112 4" xfId="1593" xr:uid="{00000000-0005-0000-0000-000079150000}"/>
    <cellStyle name="Porcentual 112 4 2" xfId="5252" xr:uid="{00000000-0005-0000-0000-00007A150000}"/>
    <cellStyle name="Porcentual 112 4 3" xfId="7928" xr:uid="{00000000-0005-0000-0000-00007B150000}"/>
    <cellStyle name="Porcentual 112 5" xfId="1594" xr:uid="{00000000-0005-0000-0000-00007C150000}"/>
    <cellStyle name="Porcentual 112 5 2" xfId="5253" xr:uid="{00000000-0005-0000-0000-00007D150000}"/>
    <cellStyle name="Porcentual 112 5 3" xfId="7929" xr:uid="{00000000-0005-0000-0000-00007E150000}"/>
    <cellStyle name="Porcentual 112 6" xfId="1595" xr:uid="{00000000-0005-0000-0000-00007F150000}"/>
    <cellStyle name="Porcentual 112 6 2" xfId="5254" xr:uid="{00000000-0005-0000-0000-000080150000}"/>
    <cellStyle name="Porcentual 112 6 3" xfId="7930" xr:uid="{00000000-0005-0000-0000-000081150000}"/>
    <cellStyle name="Porcentual 112 7" xfId="1596" xr:uid="{00000000-0005-0000-0000-000082150000}"/>
    <cellStyle name="Porcentual 112 7 2" xfId="5255" xr:uid="{00000000-0005-0000-0000-000083150000}"/>
    <cellStyle name="Porcentual 112 7 3" xfId="7931" xr:uid="{00000000-0005-0000-0000-000084150000}"/>
    <cellStyle name="Porcentual 112 8" xfId="1597" xr:uid="{00000000-0005-0000-0000-000085150000}"/>
    <cellStyle name="Porcentual 112 8 2" xfId="5256" xr:uid="{00000000-0005-0000-0000-000086150000}"/>
    <cellStyle name="Porcentual 112 8 3" xfId="7932" xr:uid="{00000000-0005-0000-0000-000087150000}"/>
    <cellStyle name="Porcentual 112 9" xfId="1598" xr:uid="{00000000-0005-0000-0000-000088150000}"/>
    <cellStyle name="Porcentual 112 9 2" xfId="5257" xr:uid="{00000000-0005-0000-0000-000089150000}"/>
    <cellStyle name="Porcentual 112 9 3" xfId="7933" xr:uid="{00000000-0005-0000-0000-00008A150000}"/>
    <cellStyle name="Porcentual 116 10" xfId="1599" xr:uid="{00000000-0005-0000-0000-00008B150000}"/>
    <cellStyle name="Porcentual 116 10 2" xfId="5258" xr:uid="{00000000-0005-0000-0000-00008C150000}"/>
    <cellStyle name="Porcentual 116 10 3" xfId="7934" xr:uid="{00000000-0005-0000-0000-00008D150000}"/>
    <cellStyle name="Porcentual 116 11" xfId="1600" xr:uid="{00000000-0005-0000-0000-00008E150000}"/>
    <cellStyle name="Porcentual 116 11 2" xfId="5259" xr:uid="{00000000-0005-0000-0000-00008F150000}"/>
    <cellStyle name="Porcentual 116 11 3" xfId="7935" xr:uid="{00000000-0005-0000-0000-000090150000}"/>
    <cellStyle name="Porcentual 116 12" xfId="1601" xr:uid="{00000000-0005-0000-0000-000091150000}"/>
    <cellStyle name="Porcentual 116 12 2" xfId="5260" xr:uid="{00000000-0005-0000-0000-000092150000}"/>
    <cellStyle name="Porcentual 116 12 3" xfId="7936" xr:uid="{00000000-0005-0000-0000-000093150000}"/>
    <cellStyle name="Porcentual 116 13" xfId="1602" xr:uid="{00000000-0005-0000-0000-000094150000}"/>
    <cellStyle name="Porcentual 116 13 2" xfId="5261" xr:uid="{00000000-0005-0000-0000-000095150000}"/>
    <cellStyle name="Porcentual 116 13 3" xfId="7937" xr:uid="{00000000-0005-0000-0000-000096150000}"/>
    <cellStyle name="Porcentual 116 14" xfId="1603" xr:uid="{00000000-0005-0000-0000-000097150000}"/>
    <cellStyle name="Porcentual 116 14 2" xfId="5262" xr:uid="{00000000-0005-0000-0000-000098150000}"/>
    <cellStyle name="Porcentual 116 14 3" xfId="7938" xr:uid="{00000000-0005-0000-0000-000099150000}"/>
    <cellStyle name="Porcentual 116 15" xfId="1604" xr:uid="{00000000-0005-0000-0000-00009A150000}"/>
    <cellStyle name="Porcentual 116 15 2" xfId="5263" xr:uid="{00000000-0005-0000-0000-00009B150000}"/>
    <cellStyle name="Porcentual 116 15 3" xfId="7939" xr:uid="{00000000-0005-0000-0000-00009C150000}"/>
    <cellStyle name="Porcentual 116 16" xfId="1605" xr:uid="{00000000-0005-0000-0000-00009D150000}"/>
    <cellStyle name="Porcentual 116 16 2" xfId="5264" xr:uid="{00000000-0005-0000-0000-00009E150000}"/>
    <cellStyle name="Porcentual 116 16 3" xfId="7940" xr:uid="{00000000-0005-0000-0000-00009F150000}"/>
    <cellStyle name="Porcentual 116 17" xfId="1606" xr:uid="{00000000-0005-0000-0000-0000A0150000}"/>
    <cellStyle name="Porcentual 116 17 2" xfId="5265" xr:uid="{00000000-0005-0000-0000-0000A1150000}"/>
    <cellStyle name="Porcentual 116 17 3" xfId="7941" xr:uid="{00000000-0005-0000-0000-0000A2150000}"/>
    <cellStyle name="Porcentual 116 18" xfId="1607" xr:uid="{00000000-0005-0000-0000-0000A3150000}"/>
    <cellStyle name="Porcentual 116 18 2" xfId="5266" xr:uid="{00000000-0005-0000-0000-0000A4150000}"/>
    <cellStyle name="Porcentual 116 18 3" xfId="7942" xr:uid="{00000000-0005-0000-0000-0000A5150000}"/>
    <cellStyle name="Porcentual 116 19" xfId="1608" xr:uid="{00000000-0005-0000-0000-0000A6150000}"/>
    <cellStyle name="Porcentual 116 19 2" xfId="5267" xr:uid="{00000000-0005-0000-0000-0000A7150000}"/>
    <cellStyle name="Porcentual 116 19 3" xfId="7943" xr:uid="{00000000-0005-0000-0000-0000A8150000}"/>
    <cellStyle name="Porcentual 116 2" xfId="1609" xr:uid="{00000000-0005-0000-0000-0000A9150000}"/>
    <cellStyle name="Porcentual 116 2 2" xfId="5268" xr:uid="{00000000-0005-0000-0000-0000AA150000}"/>
    <cellStyle name="Porcentual 116 2 3" xfId="7944" xr:uid="{00000000-0005-0000-0000-0000AB150000}"/>
    <cellStyle name="Porcentual 116 20" xfId="1610" xr:uid="{00000000-0005-0000-0000-0000AC150000}"/>
    <cellStyle name="Porcentual 116 20 2" xfId="5269" xr:uid="{00000000-0005-0000-0000-0000AD150000}"/>
    <cellStyle name="Porcentual 116 20 3" xfId="7945" xr:uid="{00000000-0005-0000-0000-0000AE150000}"/>
    <cellStyle name="Porcentual 116 21" xfId="1611" xr:uid="{00000000-0005-0000-0000-0000AF150000}"/>
    <cellStyle name="Porcentual 116 21 2" xfId="5270" xr:uid="{00000000-0005-0000-0000-0000B0150000}"/>
    <cellStyle name="Porcentual 116 21 3" xfId="7946" xr:uid="{00000000-0005-0000-0000-0000B1150000}"/>
    <cellStyle name="Porcentual 116 22" xfId="1612" xr:uid="{00000000-0005-0000-0000-0000B2150000}"/>
    <cellStyle name="Porcentual 116 22 2" xfId="5271" xr:uid="{00000000-0005-0000-0000-0000B3150000}"/>
    <cellStyle name="Porcentual 116 22 3" xfId="7947" xr:uid="{00000000-0005-0000-0000-0000B4150000}"/>
    <cellStyle name="Porcentual 116 23" xfId="1613" xr:uid="{00000000-0005-0000-0000-0000B5150000}"/>
    <cellStyle name="Porcentual 116 23 2" xfId="5272" xr:uid="{00000000-0005-0000-0000-0000B6150000}"/>
    <cellStyle name="Porcentual 116 23 3" xfId="7948" xr:uid="{00000000-0005-0000-0000-0000B7150000}"/>
    <cellStyle name="Porcentual 116 24" xfId="1614" xr:uid="{00000000-0005-0000-0000-0000B8150000}"/>
    <cellStyle name="Porcentual 116 24 2" xfId="5273" xr:uid="{00000000-0005-0000-0000-0000B9150000}"/>
    <cellStyle name="Porcentual 116 24 3" xfId="7949" xr:uid="{00000000-0005-0000-0000-0000BA150000}"/>
    <cellStyle name="Porcentual 116 25" xfId="1615" xr:uid="{00000000-0005-0000-0000-0000BB150000}"/>
    <cellStyle name="Porcentual 116 25 2" xfId="5274" xr:uid="{00000000-0005-0000-0000-0000BC150000}"/>
    <cellStyle name="Porcentual 116 25 3" xfId="7950" xr:uid="{00000000-0005-0000-0000-0000BD150000}"/>
    <cellStyle name="Porcentual 116 26" xfId="1616" xr:uid="{00000000-0005-0000-0000-0000BE150000}"/>
    <cellStyle name="Porcentual 116 26 2" xfId="5275" xr:uid="{00000000-0005-0000-0000-0000BF150000}"/>
    <cellStyle name="Porcentual 116 26 3" xfId="7951" xr:uid="{00000000-0005-0000-0000-0000C0150000}"/>
    <cellStyle name="Porcentual 116 27" xfId="1617" xr:uid="{00000000-0005-0000-0000-0000C1150000}"/>
    <cellStyle name="Porcentual 116 27 2" xfId="5276" xr:uid="{00000000-0005-0000-0000-0000C2150000}"/>
    <cellStyle name="Porcentual 116 27 3" xfId="7952" xr:uid="{00000000-0005-0000-0000-0000C3150000}"/>
    <cellStyle name="Porcentual 116 28" xfId="1618" xr:uid="{00000000-0005-0000-0000-0000C4150000}"/>
    <cellStyle name="Porcentual 116 28 2" xfId="5277" xr:uid="{00000000-0005-0000-0000-0000C5150000}"/>
    <cellStyle name="Porcentual 116 28 3" xfId="7953" xr:uid="{00000000-0005-0000-0000-0000C6150000}"/>
    <cellStyle name="Porcentual 116 3" xfId="1619" xr:uid="{00000000-0005-0000-0000-0000C7150000}"/>
    <cellStyle name="Porcentual 116 3 2" xfId="5278" xr:uid="{00000000-0005-0000-0000-0000C8150000}"/>
    <cellStyle name="Porcentual 116 3 3" xfId="7954" xr:uid="{00000000-0005-0000-0000-0000C9150000}"/>
    <cellStyle name="Porcentual 116 4" xfId="1620" xr:uid="{00000000-0005-0000-0000-0000CA150000}"/>
    <cellStyle name="Porcentual 116 4 2" xfId="5279" xr:uid="{00000000-0005-0000-0000-0000CB150000}"/>
    <cellStyle name="Porcentual 116 4 3" xfId="7955" xr:uid="{00000000-0005-0000-0000-0000CC150000}"/>
    <cellStyle name="Porcentual 116 5" xfId="1621" xr:uid="{00000000-0005-0000-0000-0000CD150000}"/>
    <cellStyle name="Porcentual 116 5 2" xfId="5280" xr:uid="{00000000-0005-0000-0000-0000CE150000}"/>
    <cellStyle name="Porcentual 116 5 3" xfId="7956" xr:uid="{00000000-0005-0000-0000-0000CF150000}"/>
    <cellStyle name="Porcentual 116 6" xfId="1622" xr:uid="{00000000-0005-0000-0000-0000D0150000}"/>
    <cellStyle name="Porcentual 116 6 2" xfId="5281" xr:uid="{00000000-0005-0000-0000-0000D1150000}"/>
    <cellStyle name="Porcentual 116 6 3" xfId="7957" xr:uid="{00000000-0005-0000-0000-0000D2150000}"/>
    <cellStyle name="Porcentual 116 7" xfId="1623" xr:uid="{00000000-0005-0000-0000-0000D3150000}"/>
    <cellStyle name="Porcentual 116 7 2" xfId="5282" xr:uid="{00000000-0005-0000-0000-0000D4150000}"/>
    <cellStyle name="Porcentual 116 7 3" xfId="7958" xr:uid="{00000000-0005-0000-0000-0000D5150000}"/>
    <cellStyle name="Porcentual 116 8" xfId="1624" xr:uid="{00000000-0005-0000-0000-0000D6150000}"/>
    <cellStyle name="Porcentual 116 8 2" xfId="5283" xr:uid="{00000000-0005-0000-0000-0000D7150000}"/>
    <cellStyle name="Porcentual 116 8 3" xfId="7959" xr:uid="{00000000-0005-0000-0000-0000D8150000}"/>
    <cellStyle name="Porcentual 116 9" xfId="1625" xr:uid="{00000000-0005-0000-0000-0000D9150000}"/>
    <cellStyle name="Porcentual 116 9 2" xfId="5284" xr:uid="{00000000-0005-0000-0000-0000DA150000}"/>
    <cellStyle name="Porcentual 116 9 3" xfId="7960" xr:uid="{00000000-0005-0000-0000-0000DB150000}"/>
    <cellStyle name="Porcentual 12" xfId="1626" xr:uid="{00000000-0005-0000-0000-0000DC150000}"/>
    <cellStyle name="Porcentual 12 2" xfId="5285" xr:uid="{00000000-0005-0000-0000-0000DD150000}"/>
    <cellStyle name="Porcentual 12 2 2" xfId="9784" xr:uid="{00000000-0005-0000-0000-0000DE150000}"/>
    <cellStyle name="Porcentual 12 2 2 2" xfId="10483" xr:uid="{00000000-0005-0000-0000-0000DF150000}"/>
    <cellStyle name="Porcentual 12 2 2 2 2" xfId="12218" xr:uid="{00000000-0005-0000-0000-0000E0150000}"/>
    <cellStyle name="Porcentual 12 2 2 3" xfId="11571" xr:uid="{00000000-0005-0000-0000-0000E1150000}"/>
    <cellStyle name="Porcentual 12 2 3" xfId="10192" xr:uid="{00000000-0005-0000-0000-0000E2150000}"/>
    <cellStyle name="Porcentual 12 2 3 2" xfId="11928" xr:uid="{00000000-0005-0000-0000-0000E3150000}"/>
    <cellStyle name="Porcentual 12 2 4" xfId="11206" xr:uid="{00000000-0005-0000-0000-0000E4150000}"/>
    <cellStyle name="Porcentual 12 3" xfId="5286" xr:uid="{00000000-0005-0000-0000-0000E5150000}"/>
    <cellStyle name="Porcentual 12 3 2" xfId="9785" xr:uid="{00000000-0005-0000-0000-0000E6150000}"/>
    <cellStyle name="Porcentual 12 3 2 2" xfId="10484" xr:uid="{00000000-0005-0000-0000-0000E7150000}"/>
    <cellStyle name="Porcentual 12 3 2 2 2" xfId="12219" xr:uid="{00000000-0005-0000-0000-0000E8150000}"/>
    <cellStyle name="Porcentual 12 3 2 3" xfId="11572" xr:uid="{00000000-0005-0000-0000-0000E9150000}"/>
    <cellStyle name="Porcentual 12 3 3" xfId="10193" xr:uid="{00000000-0005-0000-0000-0000EA150000}"/>
    <cellStyle name="Porcentual 12 3 3 2" xfId="11929" xr:uid="{00000000-0005-0000-0000-0000EB150000}"/>
    <cellStyle name="Porcentual 12 3 4" xfId="11207" xr:uid="{00000000-0005-0000-0000-0000EC150000}"/>
    <cellStyle name="Porcentual 12 4" xfId="7961" xr:uid="{00000000-0005-0000-0000-0000ED150000}"/>
    <cellStyle name="Porcentual 13" xfId="1627" xr:uid="{00000000-0005-0000-0000-0000EE150000}"/>
    <cellStyle name="Porcentual 13 2" xfId="5287" xr:uid="{00000000-0005-0000-0000-0000EF150000}"/>
    <cellStyle name="Porcentual 13 2 2" xfId="9786" xr:uid="{00000000-0005-0000-0000-0000F0150000}"/>
    <cellStyle name="Porcentual 13 2 2 2" xfId="10485" xr:uid="{00000000-0005-0000-0000-0000F1150000}"/>
    <cellStyle name="Porcentual 13 2 2 2 2" xfId="12220" xr:uid="{00000000-0005-0000-0000-0000F2150000}"/>
    <cellStyle name="Porcentual 13 2 2 3" xfId="11573" xr:uid="{00000000-0005-0000-0000-0000F3150000}"/>
    <cellStyle name="Porcentual 13 2 3" xfId="10194" xr:uid="{00000000-0005-0000-0000-0000F4150000}"/>
    <cellStyle name="Porcentual 13 2 3 2" xfId="11930" xr:uid="{00000000-0005-0000-0000-0000F5150000}"/>
    <cellStyle name="Porcentual 13 2 4" xfId="11208" xr:uid="{00000000-0005-0000-0000-0000F6150000}"/>
    <cellStyle name="Porcentual 13 3" xfId="5288" xr:uid="{00000000-0005-0000-0000-0000F7150000}"/>
    <cellStyle name="Porcentual 13 3 2" xfId="9787" xr:uid="{00000000-0005-0000-0000-0000F8150000}"/>
    <cellStyle name="Porcentual 13 3 2 2" xfId="10486" xr:uid="{00000000-0005-0000-0000-0000F9150000}"/>
    <cellStyle name="Porcentual 13 3 2 2 2" xfId="12221" xr:uid="{00000000-0005-0000-0000-0000FA150000}"/>
    <cellStyle name="Porcentual 13 3 2 3" xfId="11574" xr:uid="{00000000-0005-0000-0000-0000FB150000}"/>
    <cellStyle name="Porcentual 13 3 3" xfId="10195" xr:uid="{00000000-0005-0000-0000-0000FC150000}"/>
    <cellStyle name="Porcentual 13 3 3 2" xfId="11931" xr:uid="{00000000-0005-0000-0000-0000FD150000}"/>
    <cellStyle name="Porcentual 13 3 4" xfId="11209" xr:uid="{00000000-0005-0000-0000-0000FE150000}"/>
    <cellStyle name="Porcentual 13 4" xfId="7962" xr:uid="{00000000-0005-0000-0000-0000FF150000}"/>
    <cellStyle name="Porcentual 132 10" xfId="1628" xr:uid="{00000000-0005-0000-0000-000000160000}"/>
    <cellStyle name="Porcentual 132 10 2" xfId="5289" xr:uid="{00000000-0005-0000-0000-000001160000}"/>
    <cellStyle name="Porcentual 132 10 3" xfId="7963" xr:uid="{00000000-0005-0000-0000-000002160000}"/>
    <cellStyle name="Porcentual 132 11" xfId="1629" xr:uid="{00000000-0005-0000-0000-000003160000}"/>
    <cellStyle name="Porcentual 132 11 2" xfId="5290" xr:uid="{00000000-0005-0000-0000-000004160000}"/>
    <cellStyle name="Porcentual 132 11 3" xfId="7964" xr:uid="{00000000-0005-0000-0000-000005160000}"/>
    <cellStyle name="Porcentual 132 12" xfId="1630" xr:uid="{00000000-0005-0000-0000-000006160000}"/>
    <cellStyle name="Porcentual 132 12 2" xfId="5291" xr:uid="{00000000-0005-0000-0000-000007160000}"/>
    <cellStyle name="Porcentual 132 12 3" xfId="7965" xr:uid="{00000000-0005-0000-0000-000008160000}"/>
    <cellStyle name="Porcentual 132 13" xfId="1631" xr:uid="{00000000-0005-0000-0000-000009160000}"/>
    <cellStyle name="Porcentual 132 13 2" xfId="5292" xr:uid="{00000000-0005-0000-0000-00000A160000}"/>
    <cellStyle name="Porcentual 132 13 3" xfId="7966" xr:uid="{00000000-0005-0000-0000-00000B160000}"/>
    <cellStyle name="Porcentual 132 14" xfId="1632" xr:uid="{00000000-0005-0000-0000-00000C160000}"/>
    <cellStyle name="Porcentual 132 14 2" xfId="5293" xr:uid="{00000000-0005-0000-0000-00000D160000}"/>
    <cellStyle name="Porcentual 132 14 3" xfId="7967" xr:uid="{00000000-0005-0000-0000-00000E160000}"/>
    <cellStyle name="Porcentual 132 15" xfId="1633" xr:uid="{00000000-0005-0000-0000-00000F160000}"/>
    <cellStyle name="Porcentual 132 15 2" xfId="5294" xr:uid="{00000000-0005-0000-0000-000010160000}"/>
    <cellStyle name="Porcentual 132 15 3" xfId="7968" xr:uid="{00000000-0005-0000-0000-000011160000}"/>
    <cellStyle name="Porcentual 132 16" xfId="1634" xr:uid="{00000000-0005-0000-0000-000012160000}"/>
    <cellStyle name="Porcentual 132 16 2" xfId="5295" xr:uid="{00000000-0005-0000-0000-000013160000}"/>
    <cellStyle name="Porcentual 132 16 3" xfId="7969" xr:uid="{00000000-0005-0000-0000-000014160000}"/>
    <cellStyle name="Porcentual 132 17" xfId="1635" xr:uid="{00000000-0005-0000-0000-000015160000}"/>
    <cellStyle name="Porcentual 132 17 2" xfId="5296" xr:uid="{00000000-0005-0000-0000-000016160000}"/>
    <cellStyle name="Porcentual 132 17 3" xfId="7970" xr:uid="{00000000-0005-0000-0000-000017160000}"/>
    <cellStyle name="Porcentual 132 18" xfId="1636" xr:uid="{00000000-0005-0000-0000-000018160000}"/>
    <cellStyle name="Porcentual 132 18 2" xfId="5297" xr:uid="{00000000-0005-0000-0000-000019160000}"/>
    <cellStyle name="Porcentual 132 18 3" xfId="7971" xr:uid="{00000000-0005-0000-0000-00001A160000}"/>
    <cellStyle name="Porcentual 132 19" xfId="1637" xr:uid="{00000000-0005-0000-0000-00001B160000}"/>
    <cellStyle name="Porcentual 132 19 2" xfId="5298" xr:uid="{00000000-0005-0000-0000-00001C160000}"/>
    <cellStyle name="Porcentual 132 19 3" xfId="7972" xr:uid="{00000000-0005-0000-0000-00001D160000}"/>
    <cellStyle name="Porcentual 132 2" xfId="1638" xr:uid="{00000000-0005-0000-0000-00001E160000}"/>
    <cellStyle name="Porcentual 132 2 2" xfId="5299" xr:uid="{00000000-0005-0000-0000-00001F160000}"/>
    <cellStyle name="Porcentual 132 2 3" xfId="7973" xr:uid="{00000000-0005-0000-0000-000020160000}"/>
    <cellStyle name="Porcentual 132 20" xfId="1639" xr:uid="{00000000-0005-0000-0000-000021160000}"/>
    <cellStyle name="Porcentual 132 20 2" xfId="5300" xr:uid="{00000000-0005-0000-0000-000022160000}"/>
    <cellStyle name="Porcentual 132 20 3" xfId="7974" xr:uid="{00000000-0005-0000-0000-000023160000}"/>
    <cellStyle name="Porcentual 132 21" xfId="1640" xr:uid="{00000000-0005-0000-0000-000024160000}"/>
    <cellStyle name="Porcentual 132 21 2" xfId="5301" xr:uid="{00000000-0005-0000-0000-000025160000}"/>
    <cellStyle name="Porcentual 132 21 3" xfId="7975" xr:uid="{00000000-0005-0000-0000-000026160000}"/>
    <cellStyle name="Porcentual 132 22" xfId="1641" xr:uid="{00000000-0005-0000-0000-000027160000}"/>
    <cellStyle name="Porcentual 132 22 2" xfId="5302" xr:uid="{00000000-0005-0000-0000-000028160000}"/>
    <cellStyle name="Porcentual 132 22 3" xfId="7976" xr:uid="{00000000-0005-0000-0000-000029160000}"/>
    <cellStyle name="Porcentual 132 23" xfId="1642" xr:uid="{00000000-0005-0000-0000-00002A160000}"/>
    <cellStyle name="Porcentual 132 23 2" xfId="5303" xr:uid="{00000000-0005-0000-0000-00002B160000}"/>
    <cellStyle name="Porcentual 132 23 3" xfId="7977" xr:uid="{00000000-0005-0000-0000-00002C160000}"/>
    <cellStyle name="Porcentual 132 24" xfId="1643" xr:uid="{00000000-0005-0000-0000-00002D160000}"/>
    <cellStyle name="Porcentual 132 24 2" xfId="5304" xr:uid="{00000000-0005-0000-0000-00002E160000}"/>
    <cellStyle name="Porcentual 132 24 3" xfId="7978" xr:uid="{00000000-0005-0000-0000-00002F160000}"/>
    <cellStyle name="Porcentual 132 25" xfId="1644" xr:uid="{00000000-0005-0000-0000-000030160000}"/>
    <cellStyle name="Porcentual 132 25 2" xfId="5305" xr:uid="{00000000-0005-0000-0000-000031160000}"/>
    <cellStyle name="Porcentual 132 25 3" xfId="7979" xr:uid="{00000000-0005-0000-0000-000032160000}"/>
    <cellStyle name="Porcentual 132 26" xfId="1645" xr:uid="{00000000-0005-0000-0000-000033160000}"/>
    <cellStyle name="Porcentual 132 26 2" xfId="5306" xr:uid="{00000000-0005-0000-0000-000034160000}"/>
    <cellStyle name="Porcentual 132 26 3" xfId="7980" xr:uid="{00000000-0005-0000-0000-000035160000}"/>
    <cellStyle name="Porcentual 132 27" xfId="1646" xr:uid="{00000000-0005-0000-0000-000036160000}"/>
    <cellStyle name="Porcentual 132 27 2" xfId="5307" xr:uid="{00000000-0005-0000-0000-000037160000}"/>
    <cellStyle name="Porcentual 132 27 3" xfId="7981" xr:uid="{00000000-0005-0000-0000-000038160000}"/>
    <cellStyle name="Porcentual 132 28" xfId="1647" xr:uid="{00000000-0005-0000-0000-000039160000}"/>
    <cellStyle name="Porcentual 132 28 2" xfId="5308" xr:uid="{00000000-0005-0000-0000-00003A160000}"/>
    <cellStyle name="Porcentual 132 28 3" xfId="7982" xr:uid="{00000000-0005-0000-0000-00003B160000}"/>
    <cellStyle name="Porcentual 132 3" xfId="1648" xr:uid="{00000000-0005-0000-0000-00003C160000}"/>
    <cellStyle name="Porcentual 132 3 2" xfId="5309" xr:uid="{00000000-0005-0000-0000-00003D160000}"/>
    <cellStyle name="Porcentual 132 3 3" xfId="7983" xr:uid="{00000000-0005-0000-0000-00003E160000}"/>
    <cellStyle name="Porcentual 132 4" xfId="1649" xr:uid="{00000000-0005-0000-0000-00003F160000}"/>
    <cellStyle name="Porcentual 132 4 2" xfId="5310" xr:uid="{00000000-0005-0000-0000-000040160000}"/>
    <cellStyle name="Porcentual 132 4 3" xfId="7984" xr:uid="{00000000-0005-0000-0000-000041160000}"/>
    <cellStyle name="Porcentual 132 5" xfId="1650" xr:uid="{00000000-0005-0000-0000-000042160000}"/>
    <cellStyle name="Porcentual 132 5 2" xfId="5311" xr:uid="{00000000-0005-0000-0000-000043160000}"/>
    <cellStyle name="Porcentual 132 5 3" xfId="7985" xr:uid="{00000000-0005-0000-0000-000044160000}"/>
    <cellStyle name="Porcentual 132 6" xfId="1651" xr:uid="{00000000-0005-0000-0000-000045160000}"/>
    <cellStyle name="Porcentual 132 6 2" xfId="5312" xr:uid="{00000000-0005-0000-0000-000046160000}"/>
    <cellStyle name="Porcentual 132 6 3" xfId="7986" xr:uid="{00000000-0005-0000-0000-000047160000}"/>
    <cellStyle name="Porcentual 132 7" xfId="1652" xr:uid="{00000000-0005-0000-0000-000048160000}"/>
    <cellStyle name="Porcentual 132 7 2" xfId="5313" xr:uid="{00000000-0005-0000-0000-000049160000}"/>
    <cellStyle name="Porcentual 132 7 3" xfId="7987" xr:uid="{00000000-0005-0000-0000-00004A160000}"/>
    <cellStyle name="Porcentual 132 8" xfId="1653" xr:uid="{00000000-0005-0000-0000-00004B160000}"/>
    <cellStyle name="Porcentual 132 8 2" xfId="5314" xr:uid="{00000000-0005-0000-0000-00004C160000}"/>
    <cellStyle name="Porcentual 132 8 3" xfId="7988" xr:uid="{00000000-0005-0000-0000-00004D160000}"/>
    <cellStyle name="Porcentual 132 9" xfId="1654" xr:uid="{00000000-0005-0000-0000-00004E160000}"/>
    <cellStyle name="Porcentual 132 9 2" xfId="5315" xr:uid="{00000000-0005-0000-0000-00004F160000}"/>
    <cellStyle name="Porcentual 132 9 3" xfId="7989" xr:uid="{00000000-0005-0000-0000-000050160000}"/>
    <cellStyle name="Porcentual 133 10" xfId="1655" xr:uid="{00000000-0005-0000-0000-000051160000}"/>
    <cellStyle name="Porcentual 133 10 2" xfId="5316" xr:uid="{00000000-0005-0000-0000-000052160000}"/>
    <cellStyle name="Porcentual 133 10 3" xfId="7990" xr:uid="{00000000-0005-0000-0000-000053160000}"/>
    <cellStyle name="Porcentual 133 11" xfId="1656" xr:uid="{00000000-0005-0000-0000-000054160000}"/>
    <cellStyle name="Porcentual 133 11 2" xfId="5317" xr:uid="{00000000-0005-0000-0000-000055160000}"/>
    <cellStyle name="Porcentual 133 11 3" xfId="7991" xr:uid="{00000000-0005-0000-0000-000056160000}"/>
    <cellStyle name="Porcentual 133 12" xfId="1657" xr:uid="{00000000-0005-0000-0000-000057160000}"/>
    <cellStyle name="Porcentual 133 12 2" xfId="5318" xr:uid="{00000000-0005-0000-0000-000058160000}"/>
    <cellStyle name="Porcentual 133 12 3" xfId="7992" xr:uid="{00000000-0005-0000-0000-000059160000}"/>
    <cellStyle name="Porcentual 133 13" xfId="1658" xr:uid="{00000000-0005-0000-0000-00005A160000}"/>
    <cellStyle name="Porcentual 133 13 2" xfId="5319" xr:uid="{00000000-0005-0000-0000-00005B160000}"/>
    <cellStyle name="Porcentual 133 13 3" xfId="7993" xr:uid="{00000000-0005-0000-0000-00005C160000}"/>
    <cellStyle name="Porcentual 133 14" xfId="1659" xr:uid="{00000000-0005-0000-0000-00005D160000}"/>
    <cellStyle name="Porcentual 133 14 2" xfId="5320" xr:uid="{00000000-0005-0000-0000-00005E160000}"/>
    <cellStyle name="Porcentual 133 14 3" xfId="7994" xr:uid="{00000000-0005-0000-0000-00005F160000}"/>
    <cellStyle name="Porcentual 133 15" xfId="1660" xr:uid="{00000000-0005-0000-0000-000060160000}"/>
    <cellStyle name="Porcentual 133 15 2" xfId="5321" xr:uid="{00000000-0005-0000-0000-000061160000}"/>
    <cellStyle name="Porcentual 133 15 3" xfId="7995" xr:uid="{00000000-0005-0000-0000-000062160000}"/>
    <cellStyle name="Porcentual 133 16" xfId="1661" xr:uid="{00000000-0005-0000-0000-000063160000}"/>
    <cellStyle name="Porcentual 133 16 2" xfId="5322" xr:uid="{00000000-0005-0000-0000-000064160000}"/>
    <cellStyle name="Porcentual 133 16 3" xfId="7996" xr:uid="{00000000-0005-0000-0000-000065160000}"/>
    <cellStyle name="Porcentual 133 17" xfId="1662" xr:uid="{00000000-0005-0000-0000-000066160000}"/>
    <cellStyle name="Porcentual 133 17 2" xfId="5323" xr:uid="{00000000-0005-0000-0000-000067160000}"/>
    <cellStyle name="Porcentual 133 17 3" xfId="7997" xr:uid="{00000000-0005-0000-0000-000068160000}"/>
    <cellStyle name="Porcentual 133 18" xfId="1663" xr:uid="{00000000-0005-0000-0000-000069160000}"/>
    <cellStyle name="Porcentual 133 18 2" xfId="5324" xr:uid="{00000000-0005-0000-0000-00006A160000}"/>
    <cellStyle name="Porcentual 133 18 3" xfId="7998" xr:uid="{00000000-0005-0000-0000-00006B160000}"/>
    <cellStyle name="Porcentual 133 19" xfId="1664" xr:uid="{00000000-0005-0000-0000-00006C160000}"/>
    <cellStyle name="Porcentual 133 19 2" xfId="5325" xr:uid="{00000000-0005-0000-0000-00006D160000}"/>
    <cellStyle name="Porcentual 133 19 3" xfId="7999" xr:uid="{00000000-0005-0000-0000-00006E160000}"/>
    <cellStyle name="Porcentual 133 2" xfId="1665" xr:uid="{00000000-0005-0000-0000-00006F160000}"/>
    <cellStyle name="Porcentual 133 2 2" xfId="5326" xr:uid="{00000000-0005-0000-0000-000070160000}"/>
    <cellStyle name="Porcentual 133 2 3" xfId="8000" xr:uid="{00000000-0005-0000-0000-000071160000}"/>
    <cellStyle name="Porcentual 133 20" xfId="1666" xr:uid="{00000000-0005-0000-0000-000072160000}"/>
    <cellStyle name="Porcentual 133 20 2" xfId="5327" xr:uid="{00000000-0005-0000-0000-000073160000}"/>
    <cellStyle name="Porcentual 133 20 3" xfId="8001" xr:uid="{00000000-0005-0000-0000-000074160000}"/>
    <cellStyle name="Porcentual 133 21" xfId="1667" xr:uid="{00000000-0005-0000-0000-000075160000}"/>
    <cellStyle name="Porcentual 133 21 2" xfId="5328" xr:uid="{00000000-0005-0000-0000-000076160000}"/>
    <cellStyle name="Porcentual 133 21 3" xfId="8002" xr:uid="{00000000-0005-0000-0000-000077160000}"/>
    <cellStyle name="Porcentual 133 22" xfId="1668" xr:uid="{00000000-0005-0000-0000-000078160000}"/>
    <cellStyle name="Porcentual 133 22 2" xfId="5329" xr:uid="{00000000-0005-0000-0000-000079160000}"/>
    <cellStyle name="Porcentual 133 22 3" xfId="8003" xr:uid="{00000000-0005-0000-0000-00007A160000}"/>
    <cellStyle name="Porcentual 133 23" xfId="1669" xr:uid="{00000000-0005-0000-0000-00007B160000}"/>
    <cellStyle name="Porcentual 133 23 2" xfId="5330" xr:uid="{00000000-0005-0000-0000-00007C160000}"/>
    <cellStyle name="Porcentual 133 23 3" xfId="8004" xr:uid="{00000000-0005-0000-0000-00007D160000}"/>
    <cellStyle name="Porcentual 133 24" xfId="1670" xr:uid="{00000000-0005-0000-0000-00007E160000}"/>
    <cellStyle name="Porcentual 133 24 2" xfId="5331" xr:uid="{00000000-0005-0000-0000-00007F160000}"/>
    <cellStyle name="Porcentual 133 24 3" xfId="8005" xr:uid="{00000000-0005-0000-0000-000080160000}"/>
    <cellStyle name="Porcentual 133 25" xfId="1671" xr:uid="{00000000-0005-0000-0000-000081160000}"/>
    <cellStyle name="Porcentual 133 25 2" xfId="5332" xr:uid="{00000000-0005-0000-0000-000082160000}"/>
    <cellStyle name="Porcentual 133 25 3" xfId="8006" xr:uid="{00000000-0005-0000-0000-000083160000}"/>
    <cellStyle name="Porcentual 133 26" xfId="1672" xr:uid="{00000000-0005-0000-0000-000084160000}"/>
    <cellStyle name="Porcentual 133 26 2" xfId="5333" xr:uid="{00000000-0005-0000-0000-000085160000}"/>
    <cellStyle name="Porcentual 133 26 3" xfId="8007" xr:uid="{00000000-0005-0000-0000-000086160000}"/>
    <cellStyle name="Porcentual 133 27" xfId="1673" xr:uid="{00000000-0005-0000-0000-000087160000}"/>
    <cellStyle name="Porcentual 133 27 2" xfId="5334" xr:uid="{00000000-0005-0000-0000-000088160000}"/>
    <cellStyle name="Porcentual 133 27 3" xfId="8008" xr:uid="{00000000-0005-0000-0000-000089160000}"/>
    <cellStyle name="Porcentual 133 28" xfId="1674" xr:uid="{00000000-0005-0000-0000-00008A160000}"/>
    <cellStyle name="Porcentual 133 28 2" xfId="5335" xr:uid="{00000000-0005-0000-0000-00008B160000}"/>
    <cellStyle name="Porcentual 133 28 3" xfId="8009" xr:uid="{00000000-0005-0000-0000-00008C160000}"/>
    <cellStyle name="Porcentual 133 3" xfId="1675" xr:uid="{00000000-0005-0000-0000-00008D160000}"/>
    <cellStyle name="Porcentual 133 3 2" xfId="5336" xr:uid="{00000000-0005-0000-0000-00008E160000}"/>
    <cellStyle name="Porcentual 133 3 3" xfId="8010" xr:uid="{00000000-0005-0000-0000-00008F160000}"/>
    <cellStyle name="Porcentual 133 4" xfId="1676" xr:uid="{00000000-0005-0000-0000-000090160000}"/>
    <cellStyle name="Porcentual 133 4 2" xfId="5337" xr:uid="{00000000-0005-0000-0000-000091160000}"/>
    <cellStyle name="Porcentual 133 4 3" xfId="8011" xr:uid="{00000000-0005-0000-0000-000092160000}"/>
    <cellStyle name="Porcentual 133 5" xfId="1677" xr:uid="{00000000-0005-0000-0000-000093160000}"/>
    <cellStyle name="Porcentual 133 5 2" xfId="5338" xr:uid="{00000000-0005-0000-0000-000094160000}"/>
    <cellStyle name="Porcentual 133 5 3" xfId="8012" xr:uid="{00000000-0005-0000-0000-000095160000}"/>
    <cellStyle name="Porcentual 133 6" xfId="1678" xr:uid="{00000000-0005-0000-0000-000096160000}"/>
    <cellStyle name="Porcentual 133 6 2" xfId="5339" xr:uid="{00000000-0005-0000-0000-000097160000}"/>
    <cellStyle name="Porcentual 133 6 3" xfId="8013" xr:uid="{00000000-0005-0000-0000-000098160000}"/>
    <cellStyle name="Porcentual 133 7" xfId="1679" xr:uid="{00000000-0005-0000-0000-000099160000}"/>
    <cellStyle name="Porcentual 133 7 2" xfId="5340" xr:uid="{00000000-0005-0000-0000-00009A160000}"/>
    <cellStyle name="Porcentual 133 7 3" xfId="8014" xr:uid="{00000000-0005-0000-0000-00009B160000}"/>
    <cellStyle name="Porcentual 133 8" xfId="1680" xr:uid="{00000000-0005-0000-0000-00009C160000}"/>
    <cellStyle name="Porcentual 133 8 2" xfId="5341" xr:uid="{00000000-0005-0000-0000-00009D160000}"/>
    <cellStyle name="Porcentual 133 8 3" xfId="8015" xr:uid="{00000000-0005-0000-0000-00009E160000}"/>
    <cellStyle name="Porcentual 133 9" xfId="1681" xr:uid="{00000000-0005-0000-0000-00009F160000}"/>
    <cellStyle name="Porcentual 133 9 2" xfId="5342" xr:uid="{00000000-0005-0000-0000-0000A0160000}"/>
    <cellStyle name="Porcentual 133 9 3" xfId="8016" xr:uid="{00000000-0005-0000-0000-0000A1160000}"/>
    <cellStyle name="Porcentual 134 10" xfId="1682" xr:uid="{00000000-0005-0000-0000-0000A2160000}"/>
    <cellStyle name="Porcentual 134 10 2" xfId="5343" xr:uid="{00000000-0005-0000-0000-0000A3160000}"/>
    <cellStyle name="Porcentual 134 10 3" xfId="8017" xr:uid="{00000000-0005-0000-0000-0000A4160000}"/>
    <cellStyle name="Porcentual 134 11" xfId="1683" xr:uid="{00000000-0005-0000-0000-0000A5160000}"/>
    <cellStyle name="Porcentual 134 11 2" xfId="5344" xr:uid="{00000000-0005-0000-0000-0000A6160000}"/>
    <cellStyle name="Porcentual 134 11 3" xfId="8018" xr:uid="{00000000-0005-0000-0000-0000A7160000}"/>
    <cellStyle name="Porcentual 134 12" xfId="1684" xr:uid="{00000000-0005-0000-0000-0000A8160000}"/>
    <cellStyle name="Porcentual 134 12 2" xfId="5345" xr:uid="{00000000-0005-0000-0000-0000A9160000}"/>
    <cellStyle name="Porcentual 134 12 3" xfId="8019" xr:uid="{00000000-0005-0000-0000-0000AA160000}"/>
    <cellStyle name="Porcentual 134 13" xfId="1685" xr:uid="{00000000-0005-0000-0000-0000AB160000}"/>
    <cellStyle name="Porcentual 134 13 2" xfId="5346" xr:uid="{00000000-0005-0000-0000-0000AC160000}"/>
    <cellStyle name="Porcentual 134 13 3" xfId="8020" xr:uid="{00000000-0005-0000-0000-0000AD160000}"/>
    <cellStyle name="Porcentual 134 14" xfId="1686" xr:uid="{00000000-0005-0000-0000-0000AE160000}"/>
    <cellStyle name="Porcentual 134 14 2" xfId="5347" xr:uid="{00000000-0005-0000-0000-0000AF160000}"/>
    <cellStyle name="Porcentual 134 14 3" xfId="8021" xr:uid="{00000000-0005-0000-0000-0000B0160000}"/>
    <cellStyle name="Porcentual 134 15" xfId="1687" xr:uid="{00000000-0005-0000-0000-0000B1160000}"/>
    <cellStyle name="Porcentual 134 15 2" xfId="5348" xr:uid="{00000000-0005-0000-0000-0000B2160000}"/>
    <cellStyle name="Porcentual 134 15 3" xfId="8022" xr:uid="{00000000-0005-0000-0000-0000B3160000}"/>
    <cellStyle name="Porcentual 134 16" xfId="1688" xr:uid="{00000000-0005-0000-0000-0000B4160000}"/>
    <cellStyle name="Porcentual 134 16 2" xfId="5349" xr:uid="{00000000-0005-0000-0000-0000B5160000}"/>
    <cellStyle name="Porcentual 134 16 3" xfId="8023" xr:uid="{00000000-0005-0000-0000-0000B6160000}"/>
    <cellStyle name="Porcentual 134 17" xfId="1689" xr:uid="{00000000-0005-0000-0000-0000B7160000}"/>
    <cellStyle name="Porcentual 134 17 2" xfId="5350" xr:uid="{00000000-0005-0000-0000-0000B8160000}"/>
    <cellStyle name="Porcentual 134 17 3" xfId="8024" xr:uid="{00000000-0005-0000-0000-0000B9160000}"/>
    <cellStyle name="Porcentual 134 18" xfId="1690" xr:uid="{00000000-0005-0000-0000-0000BA160000}"/>
    <cellStyle name="Porcentual 134 18 2" xfId="5351" xr:uid="{00000000-0005-0000-0000-0000BB160000}"/>
    <cellStyle name="Porcentual 134 18 3" xfId="8025" xr:uid="{00000000-0005-0000-0000-0000BC160000}"/>
    <cellStyle name="Porcentual 134 19" xfId="1691" xr:uid="{00000000-0005-0000-0000-0000BD160000}"/>
    <cellStyle name="Porcentual 134 19 2" xfId="5352" xr:uid="{00000000-0005-0000-0000-0000BE160000}"/>
    <cellStyle name="Porcentual 134 19 3" xfId="8026" xr:uid="{00000000-0005-0000-0000-0000BF160000}"/>
    <cellStyle name="Porcentual 134 2" xfId="1692" xr:uid="{00000000-0005-0000-0000-0000C0160000}"/>
    <cellStyle name="Porcentual 134 2 2" xfId="5353" xr:uid="{00000000-0005-0000-0000-0000C1160000}"/>
    <cellStyle name="Porcentual 134 2 3" xfId="8027" xr:uid="{00000000-0005-0000-0000-0000C2160000}"/>
    <cellStyle name="Porcentual 134 20" xfId="1693" xr:uid="{00000000-0005-0000-0000-0000C3160000}"/>
    <cellStyle name="Porcentual 134 20 2" xfId="5354" xr:uid="{00000000-0005-0000-0000-0000C4160000}"/>
    <cellStyle name="Porcentual 134 20 3" xfId="8028" xr:uid="{00000000-0005-0000-0000-0000C5160000}"/>
    <cellStyle name="Porcentual 134 21" xfId="1694" xr:uid="{00000000-0005-0000-0000-0000C6160000}"/>
    <cellStyle name="Porcentual 134 21 2" xfId="5355" xr:uid="{00000000-0005-0000-0000-0000C7160000}"/>
    <cellStyle name="Porcentual 134 21 3" xfId="8029" xr:uid="{00000000-0005-0000-0000-0000C8160000}"/>
    <cellStyle name="Porcentual 134 22" xfId="1695" xr:uid="{00000000-0005-0000-0000-0000C9160000}"/>
    <cellStyle name="Porcentual 134 22 2" xfId="5356" xr:uid="{00000000-0005-0000-0000-0000CA160000}"/>
    <cellStyle name="Porcentual 134 22 3" xfId="8030" xr:uid="{00000000-0005-0000-0000-0000CB160000}"/>
    <cellStyle name="Porcentual 134 23" xfId="1696" xr:uid="{00000000-0005-0000-0000-0000CC160000}"/>
    <cellStyle name="Porcentual 134 23 2" xfId="5357" xr:uid="{00000000-0005-0000-0000-0000CD160000}"/>
    <cellStyle name="Porcentual 134 23 3" xfId="8031" xr:uid="{00000000-0005-0000-0000-0000CE160000}"/>
    <cellStyle name="Porcentual 134 24" xfId="1697" xr:uid="{00000000-0005-0000-0000-0000CF160000}"/>
    <cellStyle name="Porcentual 134 24 2" xfId="5358" xr:uid="{00000000-0005-0000-0000-0000D0160000}"/>
    <cellStyle name="Porcentual 134 24 3" xfId="8032" xr:uid="{00000000-0005-0000-0000-0000D1160000}"/>
    <cellStyle name="Porcentual 134 25" xfId="1698" xr:uid="{00000000-0005-0000-0000-0000D2160000}"/>
    <cellStyle name="Porcentual 134 25 2" xfId="5359" xr:uid="{00000000-0005-0000-0000-0000D3160000}"/>
    <cellStyle name="Porcentual 134 25 3" xfId="8033" xr:uid="{00000000-0005-0000-0000-0000D4160000}"/>
    <cellStyle name="Porcentual 134 26" xfId="1699" xr:uid="{00000000-0005-0000-0000-0000D5160000}"/>
    <cellStyle name="Porcentual 134 26 2" xfId="5360" xr:uid="{00000000-0005-0000-0000-0000D6160000}"/>
    <cellStyle name="Porcentual 134 26 3" xfId="8034" xr:uid="{00000000-0005-0000-0000-0000D7160000}"/>
    <cellStyle name="Porcentual 134 27" xfId="1700" xr:uid="{00000000-0005-0000-0000-0000D8160000}"/>
    <cellStyle name="Porcentual 134 27 2" xfId="5361" xr:uid="{00000000-0005-0000-0000-0000D9160000}"/>
    <cellStyle name="Porcentual 134 27 3" xfId="8035" xr:uid="{00000000-0005-0000-0000-0000DA160000}"/>
    <cellStyle name="Porcentual 134 28" xfId="1701" xr:uid="{00000000-0005-0000-0000-0000DB160000}"/>
    <cellStyle name="Porcentual 134 28 2" xfId="5362" xr:uid="{00000000-0005-0000-0000-0000DC160000}"/>
    <cellStyle name="Porcentual 134 28 3" xfId="8036" xr:uid="{00000000-0005-0000-0000-0000DD160000}"/>
    <cellStyle name="Porcentual 134 3" xfId="1702" xr:uid="{00000000-0005-0000-0000-0000DE160000}"/>
    <cellStyle name="Porcentual 134 3 2" xfId="5363" xr:uid="{00000000-0005-0000-0000-0000DF160000}"/>
    <cellStyle name="Porcentual 134 3 3" xfId="8037" xr:uid="{00000000-0005-0000-0000-0000E0160000}"/>
    <cellStyle name="Porcentual 134 4" xfId="1703" xr:uid="{00000000-0005-0000-0000-0000E1160000}"/>
    <cellStyle name="Porcentual 134 4 2" xfId="5364" xr:uid="{00000000-0005-0000-0000-0000E2160000}"/>
    <cellStyle name="Porcentual 134 4 3" xfId="8038" xr:uid="{00000000-0005-0000-0000-0000E3160000}"/>
    <cellStyle name="Porcentual 134 5" xfId="1704" xr:uid="{00000000-0005-0000-0000-0000E4160000}"/>
    <cellStyle name="Porcentual 134 5 2" xfId="5365" xr:uid="{00000000-0005-0000-0000-0000E5160000}"/>
    <cellStyle name="Porcentual 134 5 3" xfId="8039" xr:uid="{00000000-0005-0000-0000-0000E6160000}"/>
    <cellStyle name="Porcentual 134 6" xfId="1705" xr:uid="{00000000-0005-0000-0000-0000E7160000}"/>
    <cellStyle name="Porcentual 134 6 2" xfId="5366" xr:uid="{00000000-0005-0000-0000-0000E8160000}"/>
    <cellStyle name="Porcentual 134 6 3" xfId="8040" xr:uid="{00000000-0005-0000-0000-0000E9160000}"/>
    <cellStyle name="Porcentual 134 7" xfId="1706" xr:uid="{00000000-0005-0000-0000-0000EA160000}"/>
    <cellStyle name="Porcentual 134 7 2" xfId="5367" xr:uid="{00000000-0005-0000-0000-0000EB160000}"/>
    <cellStyle name="Porcentual 134 7 3" xfId="8041" xr:uid="{00000000-0005-0000-0000-0000EC160000}"/>
    <cellStyle name="Porcentual 134 8" xfId="1707" xr:uid="{00000000-0005-0000-0000-0000ED160000}"/>
    <cellStyle name="Porcentual 134 8 2" xfId="5368" xr:uid="{00000000-0005-0000-0000-0000EE160000}"/>
    <cellStyle name="Porcentual 134 8 3" xfId="8042" xr:uid="{00000000-0005-0000-0000-0000EF160000}"/>
    <cellStyle name="Porcentual 134 9" xfId="1708" xr:uid="{00000000-0005-0000-0000-0000F0160000}"/>
    <cellStyle name="Porcentual 134 9 2" xfId="5369" xr:uid="{00000000-0005-0000-0000-0000F1160000}"/>
    <cellStyle name="Porcentual 134 9 3" xfId="8043" xr:uid="{00000000-0005-0000-0000-0000F2160000}"/>
    <cellStyle name="Porcentual 135 10" xfId="1709" xr:uid="{00000000-0005-0000-0000-0000F3160000}"/>
    <cellStyle name="Porcentual 135 10 2" xfId="5370" xr:uid="{00000000-0005-0000-0000-0000F4160000}"/>
    <cellStyle name="Porcentual 135 10 3" xfId="8044" xr:uid="{00000000-0005-0000-0000-0000F5160000}"/>
    <cellStyle name="Porcentual 135 11" xfId="1710" xr:uid="{00000000-0005-0000-0000-0000F6160000}"/>
    <cellStyle name="Porcentual 135 11 2" xfId="5371" xr:uid="{00000000-0005-0000-0000-0000F7160000}"/>
    <cellStyle name="Porcentual 135 11 3" xfId="8045" xr:uid="{00000000-0005-0000-0000-0000F8160000}"/>
    <cellStyle name="Porcentual 135 12" xfId="1711" xr:uid="{00000000-0005-0000-0000-0000F9160000}"/>
    <cellStyle name="Porcentual 135 12 2" xfId="5372" xr:uid="{00000000-0005-0000-0000-0000FA160000}"/>
    <cellStyle name="Porcentual 135 12 3" xfId="8046" xr:uid="{00000000-0005-0000-0000-0000FB160000}"/>
    <cellStyle name="Porcentual 135 13" xfId="1712" xr:uid="{00000000-0005-0000-0000-0000FC160000}"/>
    <cellStyle name="Porcentual 135 13 2" xfId="5373" xr:uid="{00000000-0005-0000-0000-0000FD160000}"/>
    <cellStyle name="Porcentual 135 13 3" xfId="8047" xr:uid="{00000000-0005-0000-0000-0000FE160000}"/>
    <cellStyle name="Porcentual 135 14" xfId="1713" xr:uid="{00000000-0005-0000-0000-0000FF160000}"/>
    <cellStyle name="Porcentual 135 14 2" xfId="5374" xr:uid="{00000000-0005-0000-0000-000000170000}"/>
    <cellStyle name="Porcentual 135 14 3" xfId="8048" xr:uid="{00000000-0005-0000-0000-000001170000}"/>
    <cellStyle name="Porcentual 135 15" xfId="1714" xr:uid="{00000000-0005-0000-0000-000002170000}"/>
    <cellStyle name="Porcentual 135 15 2" xfId="5375" xr:uid="{00000000-0005-0000-0000-000003170000}"/>
    <cellStyle name="Porcentual 135 15 3" xfId="8049" xr:uid="{00000000-0005-0000-0000-000004170000}"/>
    <cellStyle name="Porcentual 135 16" xfId="1715" xr:uid="{00000000-0005-0000-0000-000005170000}"/>
    <cellStyle name="Porcentual 135 16 2" xfId="5376" xr:uid="{00000000-0005-0000-0000-000006170000}"/>
    <cellStyle name="Porcentual 135 16 3" xfId="8050" xr:uid="{00000000-0005-0000-0000-000007170000}"/>
    <cellStyle name="Porcentual 135 17" xfId="1716" xr:uid="{00000000-0005-0000-0000-000008170000}"/>
    <cellStyle name="Porcentual 135 17 2" xfId="5377" xr:uid="{00000000-0005-0000-0000-000009170000}"/>
    <cellStyle name="Porcentual 135 17 3" xfId="8051" xr:uid="{00000000-0005-0000-0000-00000A170000}"/>
    <cellStyle name="Porcentual 135 18" xfId="1717" xr:uid="{00000000-0005-0000-0000-00000B170000}"/>
    <cellStyle name="Porcentual 135 18 2" xfId="5378" xr:uid="{00000000-0005-0000-0000-00000C170000}"/>
    <cellStyle name="Porcentual 135 18 3" xfId="8052" xr:uid="{00000000-0005-0000-0000-00000D170000}"/>
    <cellStyle name="Porcentual 135 19" xfId="1718" xr:uid="{00000000-0005-0000-0000-00000E170000}"/>
    <cellStyle name="Porcentual 135 19 2" xfId="5379" xr:uid="{00000000-0005-0000-0000-00000F170000}"/>
    <cellStyle name="Porcentual 135 19 3" xfId="8053" xr:uid="{00000000-0005-0000-0000-000010170000}"/>
    <cellStyle name="Porcentual 135 2" xfId="1719" xr:uid="{00000000-0005-0000-0000-000011170000}"/>
    <cellStyle name="Porcentual 135 2 2" xfId="5380" xr:uid="{00000000-0005-0000-0000-000012170000}"/>
    <cellStyle name="Porcentual 135 2 3" xfId="8054" xr:uid="{00000000-0005-0000-0000-000013170000}"/>
    <cellStyle name="Porcentual 135 20" xfId="1720" xr:uid="{00000000-0005-0000-0000-000014170000}"/>
    <cellStyle name="Porcentual 135 20 2" xfId="5381" xr:uid="{00000000-0005-0000-0000-000015170000}"/>
    <cellStyle name="Porcentual 135 20 3" xfId="8055" xr:uid="{00000000-0005-0000-0000-000016170000}"/>
    <cellStyle name="Porcentual 135 21" xfId="1721" xr:uid="{00000000-0005-0000-0000-000017170000}"/>
    <cellStyle name="Porcentual 135 21 2" xfId="5382" xr:uid="{00000000-0005-0000-0000-000018170000}"/>
    <cellStyle name="Porcentual 135 21 3" xfId="8056" xr:uid="{00000000-0005-0000-0000-000019170000}"/>
    <cellStyle name="Porcentual 135 22" xfId="1722" xr:uid="{00000000-0005-0000-0000-00001A170000}"/>
    <cellStyle name="Porcentual 135 22 2" xfId="5383" xr:uid="{00000000-0005-0000-0000-00001B170000}"/>
    <cellStyle name="Porcentual 135 22 3" xfId="8057" xr:uid="{00000000-0005-0000-0000-00001C170000}"/>
    <cellStyle name="Porcentual 135 23" xfId="1723" xr:uid="{00000000-0005-0000-0000-00001D170000}"/>
    <cellStyle name="Porcentual 135 23 2" xfId="5384" xr:uid="{00000000-0005-0000-0000-00001E170000}"/>
    <cellStyle name="Porcentual 135 23 3" xfId="8058" xr:uid="{00000000-0005-0000-0000-00001F170000}"/>
    <cellStyle name="Porcentual 135 24" xfId="1724" xr:uid="{00000000-0005-0000-0000-000020170000}"/>
    <cellStyle name="Porcentual 135 24 2" xfId="5385" xr:uid="{00000000-0005-0000-0000-000021170000}"/>
    <cellStyle name="Porcentual 135 24 3" xfId="8059" xr:uid="{00000000-0005-0000-0000-000022170000}"/>
    <cellStyle name="Porcentual 135 25" xfId="1725" xr:uid="{00000000-0005-0000-0000-000023170000}"/>
    <cellStyle name="Porcentual 135 25 2" xfId="5386" xr:uid="{00000000-0005-0000-0000-000024170000}"/>
    <cellStyle name="Porcentual 135 25 3" xfId="8060" xr:uid="{00000000-0005-0000-0000-000025170000}"/>
    <cellStyle name="Porcentual 135 26" xfId="1726" xr:uid="{00000000-0005-0000-0000-000026170000}"/>
    <cellStyle name="Porcentual 135 26 2" xfId="5387" xr:uid="{00000000-0005-0000-0000-000027170000}"/>
    <cellStyle name="Porcentual 135 26 3" xfId="8061" xr:uid="{00000000-0005-0000-0000-000028170000}"/>
    <cellStyle name="Porcentual 135 27" xfId="1727" xr:uid="{00000000-0005-0000-0000-000029170000}"/>
    <cellStyle name="Porcentual 135 27 2" xfId="5388" xr:uid="{00000000-0005-0000-0000-00002A170000}"/>
    <cellStyle name="Porcentual 135 27 3" xfId="8062" xr:uid="{00000000-0005-0000-0000-00002B170000}"/>
    <cellStyle name="Porcentual 135 28" xfId="1728" xr:uid="{00000000-0005-0000-0000-00002C170000}"/>
    <cellStyle name="Porcentual 135 28 2" xfId="5389" xr:uid="{00000000-0005-0000-0000-00002D170000}"/>
    <cellStyle name="Porcentual 135 28 3" xfId="8063" xr:uid="{00000000-0005-0000-0000-00002E170000}"/>
    <cellStyle name="Porcentual 135 3" xfId="1729" xr:uid="{00000000-0005-0000-0000-00002F170000}"/>
    <cellStyle name="Porcentual 135 3 2" xfId="5390" xr:uid="{00000000-0005-0000-0000-000030170000}"/>
    <cellStyle name="Porcentual 135 3 3" xfId="8064" xr:uid="{00000000-0005-0000-0000-000031170000}"/>
    <cellStyle name="Porcentual 135 4" xfId="1730" xr:uid="{00000000-0005-0000-0000-000032170000}"/>
    <cellStyle name="Porcentual 135 4 2" xfId="5391" xr:uid="{00000000-0005-0000-0000-000033170000}"/>
    <cellStyle name="Porcentual 135 4 3" xfId="8065" xr:uid="{00000000-0005-0000-0000-000034170000}"/>
    <cellStyle name="Porcentual 135 5" xfId="1731" xr:uid="{00000000-0005-0000-0000-000035170000}"/>
    <cellStyle name="Porcentual 135 5 2" xfId="5392" xr:uid="{00000000-0005-0000-0000-000036170000}"/>
    <cellStyle name="Porcentual 135 5 3" xfId="8066" xr:uid="{00000000-0005-0000-0000-000037170000}"/>
    <cellStyle name="Porcentual 135 6" xfId="1732" xr:uid="{00000000-0005-0000-0000-000038170000}"/>
    <cellStyle name="Porcentual 135 6 2" xfId="5393" xr:uid="{00000000-0005-0000-0000-000039170000}"/>
    <cellStyle name="Porcentual 135 6 3" xfId="8067" xr:uid="{00000000-0005-0000-0000-00003A170000}"/>
    <cellStyle name="Porcentual 135 7" xfId="1733" xr:uid="{00000000-0005-0000-0000-00003B170000}"/>
    <cellStyle name="Porcentual 135 7 2" xfId="5394" xr:uid="{00000000-0005-0000-0000-00003C170000}"/>
    <cellStyle name="Porcentual 135 7 3" xfId="8068" xr:uid="{00000000-0005-0000-0000-00003D170000}"/>
    <cellStyle name="Porcentual 135 8" xfId="1734" xr:uid="{00000000-0005-0000-0000-00003E170000}"/>
    <cellStyle name="Porcentual 135 8 2" xfId="5395" xr:uid="{00000000-0005-0000-0000-00003F170000}"/>
    <cellStyle name="Porcentual 135 8 3" xfId="8069" xr:uid="{00000000-0005-0000-0000-000040170000}"/>
    <cellStyle name="Porcentual 135 9" xfId="1735" xr:uid="{00000000-0005-0000-0000-000041170000}"/>
    <cellStyle name="Porcentual 135 9 2" xfId="5396" xr:uid="{00000000-0005-0000-0000-000042170000}"/>
    <cellStyle name="Porcentual 135 9 3" xfId="8070" xr:uid="{00000000-0005-0000-0000-000043170000}"/>
    <cellStyle name="Porcentual 136 10" xfId="1736" xr:uid="{00000000-0005-0000-0000-000044170000}"/>
    <cellStyle name="Porcentual 136 10 2" xfId="5397" xr:uid="{00000000-0005-0000-0000-000045170000}"/>
    <cellStyle name="Porcentual 136 10 3" xfId="8071" xr:uid="{00000000-0005-0000-0000-000046170000}"/>
    <cellStyle name="Porcentual 136 11" xfId="1737" xr:uid="{00000000-0005-0000-0000-000047170000}"/>
    <cellStyle name="Porcentual 136 11 2" xfId="5398" xr:uid="{00000000-0005-0000-0000-000048170000}"/>
    <cellStyle name="Porcentual 136 11 3" xfId="8072" xr:uid="{00000000-0005-0000-0000-000049170000}"/>
    <cellStyle name="Porcentual 136 12" xfId="1738" xr:uid="{00000000-0005-0000-0000-00004A170000}"/>
    <cellStyle name="Porcentual 136 12 2" xfId="5399" xr:uid="{00000000-0005-0000-0000-00004B170000}"/>
    <cellStyle name="Porcentual 136 12 3" xfId="8073" xr:uid="{00000000-0005-0000-0000-00004C170000}"/>
    <cellStyle name="Porcentual 136 13" xfId="1739" xr:uid="{00000000-0005-0000-0000-00004D170000}"/>
    <cellStyle name="Porcentual 136 13 2" xfId="5400" xr:uid="{00000000-0005-0000-0000-00004E170000}"/>
    <cellStyle name="Porcentual 136 13 3" xfId="8074" xr:uid="{00000000-0005-0000-0000-00004F170000}"/>
    <cellStyle name="Porcentual 136 14" xfId="1740" xr:uid="{00000000-0005-0000-0000-000050170000}"/>
    <cellStyle name="Porcentual 136 14 2" xfId="5401" xr:uid="{00000000-0005-0000-0000-000051170000}"/>
    <cellStyle name="Porcentual 136 14 3" xfId="8075" xr:uid="{00000000-0005-0000-0000-000052170000}"/>
    <cellStyle name="Porcentual 136 15" xfId="1741" xr:uid="{00000000-0005-0000-0000-000053170000}"/>
    <cellStyle name="Porcentual 136 15 2" xfId="5402" xr:uid="{00000000-0005-0000-0000-000054170000}"/>
    <cellStyle name="Porcentual 136 15 3" xfId="8076" xr:uid="{00000000-0005-0000-0000-000055170000}"/>
    <cellStyle name="Porcentual 136 16" xfId="1742" xr:uid="{00000000-0005-0000-0000-000056170000}"/>
    <cellStyle name="Porcentual 136 16 2" xfId="5403" xr:uid="{00000000-0005-0000-0000-000057170000}"/>
    <cellStyle name="Porcentual 136 16 3" xfId="8077" xr:uid="{00000000-0005-0000-0000-000058170000}"/>
    <cellStyle name="Porcentual 136 17" xfId="1743" xr:uid="{00000000-0005-0000-0000-000059170000}"/>
    <cellStyle name="Porcentual 136 17 2" xfId="5404" xr:uid="{00000000-0005-0000-0000-00005A170000}"/>
    <cellStyle name="Porcentual 136 17 3" xfId="8078" xr:uid="{00000000-0005-0000-0000-00005B170000}"/>
    <cellStyle name="Porcentual 136 18" xfId="1744" xr:uid="{00000000-0005-0000-0000-00005C170000}"/>
    <cellStyle name="Porcentual 136 18 2" xfId="5405" xr:uid="{00000000-0005-0000-0000-00005D170000}"/>
    <cellStyle name="Porcentual 136 18 3" xfId="8079" xr:uid="{00000000-0005-0000-0000-00005E170000}"/>
    <cellStyle name="Porcentual 136 19" xfId="1745" xr:uid="{00000000-0005-0000-0000-00005F170000}"/>
    <cellStyle name="Porcentual 136 19 2" xfId="5406" xr:uid="{00000000-0005-0000-0000-000060170000}"/>
    <cellStyle name="Porcentual 136 19 3" xfId="8080" xr:uid="{00000000-0005-0000-0000-000061170000}"/>
    <cellStyle name="Porcentual 136 2" xfId="1746" xr:uid="{00000000-0005-0000-0000-000062170000}"/>
    <cellStyle name="Porcentual 136 2 2" xfId="5407" xr:uid="{00000000-0005-0000-0000-000063170000}"/>
    <cellStyle name="Porcentual 136 2 3" xfId="8081" xr:uid="{00000000-0005-0000-0000-000064170000}"/>
    <cellStyle name="Porcentual 136 20" xfId="1747" xr:uid="{00000000-0005-0000-0000-000065170000}"/>
    <cellStyle name="Porcentual 136 20 2" xfId="5408" xr:uid="{00000000-0005-0000-0000-000066170000}"/>
    <cellStyle name="Porcentual 136 20 3" xfId="8082" xr:uid="{00000000-0005-0000-0000-000067170000}"/>
    <cellStyle name="Porcentual 136 21" xfId="1748" xr:uid="{00000000-0005-0000-0000-000068170000}"/>
    <cellStyle name="Porcentual 136 21 2" xfId="5409" xr:uid="{00000000-0005-0000-0000-000069170000}"/>
    <cellStyle name="Porcentual 136 21 3" xfId="8083" xr:uid="{00000000-0005-0000-0000-00006A170000}"/>
    <cellStyle name="Porcentual 136 22" xfId="1749" xr:uid="{00000000-0005-0000-0000-00006B170000}"/>
    <cellStyle name="Porcentual 136 22 2" xfId="5410" xr:uid="{00000000-0005-0000-0000-00006C170000}"/>
    <cellStyle name="Porcentual 136 22 3" xfId="8084" xr:uid="{00000000-0005-0000-0000-00006D170000}"/>
    <cellStyle name="Porcentual 136 23" xfId="1750" xr:uid="{00000000-0005-0000-0000-00006E170000}"/>
    <cellStyle name="Porcentual 136 23 2" xfId="5411" xr:uid="{00000000-0005-0000-0000-00006F170000}"/>
    <cellStyle name="Porcentual 136 23 3" xfId="8085" xr:uid="{00000000-0005-0000-0000-000070170000}"/>
    <cellStyle name="Porcentual 136 24" xfId="1751" xr:uid="{00000000-0005-0000-0000-000071170000}"/>
    <cellStyle name="Porcentual 136 24 2" xfId="5412" xr:uid="{00000000-0005-0000-0000-000072170000}"/>
    <cellStyle name="Porcentual 136 24 3" xfId="8086" xr:uid="{00000000-0005-0000-0000-000073170000}"/>
    <cellStyle name="Porcentual 136 25" xfId="1752" xr:uid="{00000000-0005-0000-0000-000074170000}"/>
    <cellStyle name="Porcentual 136 25 2" xfId="5413" xr:uid="{00000000-0005-0000-0000-000075170000}"/>
    <cellStyle name="Porcentual 136 25 3" xfId="8087" xr:uid="{00000000-0005-0000-0000-000076170000}"/>
    <cellStyle name="Porcentual 136 26" xfId="1753" xr:uid="{00000000-0005-0000-0000-000077170000}"/>
    <cellStyle name="Porcentual 136 26 2" xfId="5414" xr:uid="{00000000-0005-0000-0000-000078170000}"/>
    <cellStyle name="Porcentual 136 26 3" xfId="8088" xr:uid="{00000000-0005-0000-0000-000079170000}"/>
    <cellStyle name="Porcentual 136 27" xfId="1754" xr:uid="{00000000-0005-0000-0000-00007A170000}"/>
    <cellStyle name="Porcentual 136 27 2" xfId="5415" xr:uid="{00000000-0005-0000-0000-00007B170000}"/>
    <cellStyle name="Porcentual 136 27 3" xfId="8089" xr:uid="{00000000-0005-0000-0000-00007C170000}"/>
    <cellStyle name="Porcentual 136 28" xfId="1755" xr:uid="{00000000-0005-0000-0000-00007D170000}"/>
    <cellStyle name="Porcentual 136 28 2" xfId="5416" xr:uid="{00000000-0005-0000-0000-00007E170000}"/>
    <cellStyle name="Porcentual 136 28 3" xfId="8090" xr:uid="{00000000-0005-0000-0000-00007F170000}"/>
    <cellStyle name="Porcentual 136 3" xfId="1756" xr:uid="{00000000-0005-0000-0000-000080170000}"/>
    <cellStyle name="Porcentual 136 3 2" xfId="5417" xr:uid="{00000000-0005-0000-0000-000081170000}"/>
    <cellStyle name="Porcentual 136 3 3" xfId="8091" xr:uid="{00000000-0005-0000-0000-000082170000}"/>
    <cellStyle name="Porcentual 136 4" xfId="1757" xr:uid="{00000000-0005-0000-0000-000083170000}"/>
    <cellStyle name="Porcentual 136 4 2" xfId="5418" xr:uid="{00000000-0005-0000-0000-000084170000}"/>
    <cellStyle name="Porcentual 136 4 3" xfId="8092" xr:uid="{00000000-0005-0000-0000-000085170000}"/>
    <cellStyle name="Porcentual 136 5" xfId="1758" xr:uid="{00000000-0005-0000-0000-000086170000}"/>
    <cellStyle name="Porcentual 136 5 2" xfId="5419" xr:uid="{00000000-0005-0000-0000-000087170000}"/>
    <cellStyle name="Porcentual 136 5 3" xfId="8093" xr:uid="{00000000-0005-0000-0000-000088170000}"/>
    <cellStyle name="Porcentual 136 6" xfId="1759" xr:uid="{00000000-0005-0000-0000-000089170000}"/>
    <cellStyle name="Porcentual 136 6 2" xfId="5420" xr:uid="{00000000-0005-0000-0000-00008A170000}"/>
    <cellStyle name="Porcentual 136 6 3" xfId="8094" xr:uid="{00000000-0005-0000-0000-00008B170000}"/>
    <cellStyle name="Porcentual 136 7" xfId="1760" xr:uid="{00000000-0005-0000-0000-00008C170000}"/>
    <cellStyle name="Porcentual 136 7 2" xfId="5421" xr:uid="{00000000-0005-0000-0000-00008D170000}"/>
    <cellStyle name="Porcentual 136 7 3" xfId="8095" xr:uid="{00000000-0005-0000-0000-00008E170000}"/>
    <cellStyle name="Porcentual 136 8" xfId="1761" xr:uid="{00000000-0005-0000-0000-00008F170000}"/>
    <cellStyle name="Porcentual 136 8 2" xfId="5422" xr:uid="{00000000-0005-0000-0000-000090170000}"/>
    <cellStyle name="Porcentual 136 8 3" xfId="8096" xr:uid="{00000000-0005-0000-0000-000091170000}"/>
    <cellStyle name="Porcentual 136 9" xfId="1762" xr:uid="{00000000-0005-0000-0000-000092170000}"/>
    <cellStyle name="Porcentual 136 9 2" xfId="5423" xr:uid="{00000000-0005-0000-0000-000093170000}"/>
    <cellStyle name="Porcentual 136 9 3" xfId="8097" xr:uid="{00000000-0005-0000-0000-000094170000}"/>
    <cellStyle name="Porcentual 137 10" xfId="1763" xr:uid="{00000000-0005-0000-0000-000095170000}"/>
    <cellStyle name="Porcentual 137 10 2" xfId="5424" xr:uid="{00000000-0005-0000-0000-000096170000}"/>
    <cellStyle name="Porcentual 137 10 3" xfId="8098" xr:uid="{00000000-0005-0000-0000-000097170000}"/>
    <cellStyle name="Porcentual 137 11" xfId="1764" xr:uid="{00000000-0005-0000-0000-000098170000}"/>
    <cellStyle name="Porcentual 137 11 2" xfId="5425" xr:uid="{00000000-0005-0000-0000-000099170000}"/>
    <cellStyle name="Porcentual 137 11 3" xfId="8099" xr:uid="{00000000-0005-0000-0000-00009A170000}"/>
    <cellStyle name="Porcentual 137 12" xfId="1765" xr:uid="{00000000-0005-0000-0000-00009B170000}"/>
    <cellStyle name="Porcentual 137 12 2" xfId="5426" xr:uid="{00000000-0005-0000-0000-00009C170000}"/>
    <cellStyle name="Porcentual 137 12 3" xfId="8100" xr:uid="{00000000-0005-0000-0000-00009D170000}"/>
    <cellStyle name="Porcentual 137 13" xfId="1766" xr:uid="{00000000-0005-0000-0000-00009E170000}"/>
    <cellStyle name="Porcentual 137 13 2" xfId="5427" xr:uid="{00000000-0005-0000-0000-00009F170000}"/>
    <cellStyle name="Porcentual 137 13 3" xfId="8101" xr:uid="{00000000-0005-0000-0000-0000A0170000}"/>
    <cellStyle name="Porcentual 137 14" xfId="1767" xr:uid="{00000000-0005-0000-0000-0000A1170000}"/>
    <cellStyle name="Porcentual 137 14 2" xfId="5428" xr:uid="{00000000-0005-0000-0000-0000A2170000}"/>
    <cellStyle name="Porcentual 137 14 3" xfId="8102" xr:uid="{00000000-0005-0000-0000-0000A3170000}"/>
    <cellStyle name="Porcentual 137 15" xfId="1768" xr:uid="{00000000-0005-0000-0000-0000A4170000}"/>
    <cellStyle name="Porcentual 137 15 2" xfId="5429" xr:uid="{00000000-0005-0000-0000-0000A5170000}"/>
    <cellStyle name="Porcentual 137 15 3" xfId="8103" xr:uid="{00000000-0005-0000-0000-0000A6170000}"/>
    <cellStyle name="Porcentual 137 16" xfId="1769" xr:uid="{00000000-0005-0000-0000-0000A7170000}"/>
    <cellStyle name="Porcentual 137 16 2" xfId="5430" xr:uid="{00000000-0005-0000-0000-0000A8170000}"/>
    <cellStyle name="Porcentual 137 16 3" xfId="8104" xr:uid="{00000000-0005-0000-0000-0000A9170000}"/>
    <cellStyle name="Porcentual 137 17" xfId="1770" xr:uid="{00000000-0005-0000-0000-0000AA170000}"/>
    <cellStyle name="Porcentual 137 17 2" xfId="5431" xr:uid="{00000000-0005-0000-0000-0000AB170000}"/>
    <cellStyle name="Porcentual 137 17 3" xfId="8105" xr:uid="{00000000-0005-0000-0000-0000AC170000}"/>
    <cellStyle name="Porcentual 137 18" xfId="1771" xr:uid="{00000000-0005-0000-0000-0000AD170000}"/>
    <cellStyle name="Porcentual 137 18 2" xfId="5432" xr:uid="{00000000-0005-0000-0000-0000AE170000}"/>
    <cellStyle name="Porcentual 137 18 3" xfId="8106" xr:uid="{00000000-0005-0000-0000-0000AF170000}"/>
    <cellStyle name="Porcentual 137 19" xfId="1772" xr:uid="{00000000-0005-0000-0000-0000B0170000}"/>
    <cellStyle name="Porcentual 137 19 2" xfId="5433" xr:uid="{00000000-0005-0000-0000-0000B1170000}"/>
    <cellStyle name="Porcentual 137 19 3" xfId="8107" xr:uid="{00000000-0005-0000-0000-0000B2170000}"/>
    <cellStyle name="Porcentual 137 2" xfId="1773" xr:uid="{00000000-0005-0000-0000-0000B3170000}"/>
    <cellStyle name="Porcentual 137 2 2" xfId="5434" xr:uid="{00000000-0005-0000-0000-0000B4170000}"/>
    <cellStyle name="Porcentual 137 2 3" xfId="8108" xr:uid="{00000000-0005-0000-0000-0000B5170000}"/>
    <cellStyle name="Porcentual 137 20" xfId="1774" xr:uid="{00000000-0005-0000-0000-0000B6170000}"/>
    <cellStyle name="Porcentual 137 20 2" xfId="5435" xr:uid="{00000000-0005-0000-0000-0000B7170000}"/>
    <cellStyle name="Porcentual 137 20 3" xfId="8109" xr:uid="{00000000-0005-0000-0000-0000B8170000}"/>
    <cellStyle name="Porcentual 137 21" xfId="1775" xr:uid="{00000000-0005-0000-0000-0000B9170000}"/>
    <cellStyle name="Porcentual 137 21 2" xfId="5436" xr:uid="{00000000-0005-0000-0000-0000BA170000}"/>
    <cellStyle name="Porcentual 137 21 3" xfId="8110" xr:uid="{00000000-0005-0000-0000-0000BB170000}"/>
    <cellStyle name="Porcentual 137 22" xfId="1776" xr:uid="{00000000-0005-0000-0000-0000BC170000}"/>
    <cellStyle name="Porcentual 137 22 2" xfId="5437" xr:uid="{00000000-0005-0000-0000-0000BD170000}"/>
    <cellStyle name="Porcentual 137 22 3" xfId="8111" xr:uid="{00000000-0005-0000-0000-0000BE170000}"/>
    <cellStyle name="Porcentual 137 23" xfId="1777" xr:uid="{00000000-0005-0000-0000-0000BF170000}"/>
    <cellStyle name="Porcentual 137 23 2" xfId="5438" xr:uid="{00000000-0005-0000-0000-0000C0170000}"/>
    <cellStyle name="Porcentual 137 23 3" xfId="8112" xr:uid="{00000000-0005-0000-0000-0000C1170000}"/>
    <cellStyle name="Porcentual 137 24" xfId="1778" xr:uid="{00000000-0005-0000-0000-0000C2170000}"/>
    <cellStyle name="Porcentual 137 24 2" xfId="5439" xr:uid="{00000000-0005-0000-0000-0000C3170000}"/>
    <cellStyle name="Porcentual 137 24 3" xfId="8113" xr:uid="{00000000-0005-0000-0000-0000C4170000}"/>
    <cellStyle name="Porcentual 137 25" xfId="1779" xr:uid="{00000000-0005-0000-0000-0000C5170000}"/>
    <cellStyle name="Porcentual 137 25 2" xfId="5440" xr:uid="{00000000-0005-0000-0000-0000C6170000}"/>
    <cellStyle name="Porcentual 137 25 3" xfId="8114" xr:uid="{00000000-0005-0000-0000-0000C7170000}"/>
    <cellStyle name="Porcentual 137 26" xfId="1780" xr:uid="{00000000-0005-0000-0000-0000C8170000}"/>
    <cellStyle name="Porcentual 137 26 2" xfId="5441" xr:uid="{00000000-0005-0000-0000-0000C9170000}"/>
    <cellStyle name="Porcentual 137 26 3" xfId="8115" xr:uid="{00000000-0005-0000-0000-0000CA170000}"/>
    <cellStyle name="Porcentual 137 27" xfId="1781" xr:uid="{00000000-0005-0000-0000-0000CB170000}"/>
    <cellStyle name="Porcentual 137 27 2" xfId="5442" xr:uid="{00000000-0005-0000-0000-0000CC170000}"/>
    <cellStyle name="Porcentual 137 27 3" xfId="8116" xr:uid="{00000000-0005-0000-0000-0000CD170000}"/>
    <cellStyle name="Porcentual 137 28" xfId="1782" xr:uid="{00000000-0005-0000-0000-0000CE170000}"/>
    <cellStyle name="Porcentual 137 28 2" xfId="5443" xr:uid="{00000000-0005-0000-0000-0000CF170000}"/>
    <cellStyle name="Porcentual 137 28 3" xfId="8117" xr:uid="{00000000-0005-0000-0000-0000D0170000}"/>
    <cellStyle name="Porcentual 137 3" xfId="1783" xr:uid="{00000000-0005-0000-0000-0000D1170000}"/>
    <cellStyle name="Porcentual 137 3 2" xfId="5444" xr:uid="{00000000-0005-0000-0000-0000D2170000}"/>
    <cellStyle name="Porcentual 137 3 3" xfId="8118" xr:uid="{00000000-0005-0000-0000-0000D3170000}"/>
    <cellStyle name="Porcentual 137 4" xfId="1784" xr:uid="{00000000-0005-0000-0000-0000D4170000}"/>
    <cellStyle name="Porcentual 137 4 2" xfId="5445" xr:uid="{00000000-0005-0000-0000-0000D5170000}"/>
    <cellStyle name="Porcentual 137 4 3" xfId="8119" xr:uid="{00000000-0005-0000-0000-0000D6170000}"/>
    <cellStyle name="Porcentual 137 5" xfId="1785" xr:uid="{00000000-0005-0000-0000-0000D7170000}"/>
    <cellStyle name="Porcentual 137 5 2" xfId="5446" xr:uid="{00000000-0005-0000-0000-0000D8170000}"/>
    <cellStyle name="Porcentual 137 5 3" xfId="8120" xr:uid="{00000000-0005-0000-0000-0000D9170000}"/>
    <cellStyle name="Porcentual 137 6" xfId="1786" xr:uid="{00000000-0005-0000-0000-0000DA170000}"/>
    <cellStyle name="Porcentual 137 6 2" xfId="5447" xr:uid="{00000000-0005-0000-0000-0000DB170000}"/>
    <cellStyle name="Porcentual 137 6 3" xfId="8121" xr:uid="{00000000-0005-0000-0000-0000DC170000}"/>
    <cellStyle name="Porcentual 137 7" xfId="1787" xr:uid="{00000000-0005-0000-0000-0000DD170000}"/>
    <cellStyle name="Porcentual 137 7 2" xfId="5448" xr:uid="{00000000-0005-0000-0000-0000DE170000}"/>
    <cellStyle name="Porcentual 137 7 3" xfId="8122" xr:uid="{00000000-0005-0000-0000-0000DF170000}"/>
    <cellStyle name="Porcentual 137 8" xfId="1788" xr:uid="{00000000-0005-0000-0000-0000E0170000}"/>
    <cellStyle name="Porcentual 137 8 2" xfId="5449" xr:uid="{00000000-0005-0000-0000-0000E1170000}"/>
    <cellStyle name="Porcentual 137 8 3" xfId="8123" xr:uid="{00000000-0005-0000-0000-0000E2170000}"/>
    <cellStyle name="Porcentual 137 9" xfId="1789" xr:uid="{00000000-0005-0000-0000-0000E3170000}"/>
    <cellStyle name="Porcentual 137 9 2" xfId="5450" xr:uid="{00000000-0005-0000-0000-0000E4170000}"/>
    <cellStyle name="Porcentual 137 9 3" xfId="8124" xr:uid="{00000000-0005-0000-0000-0000E5170000}"/>
    <cellStyle name="Porcentual 138 10" xfId="1790" xr:uid="{00000000-0005-0000-0000-0000E6170000}"/>
    <cellStyle name="Porcentual 138 10 2" xfId="5451" xr:uid="{00000000-0005-0000-0000-0000E7170000}"/>
    <cellStyle name="Porcentual 138 10 3" xfId="8125" xr:uid="{00000000-0005-0000-0000-0000E8170000}"/>
    <cellStyle name="Porcentual 138 11" xfId="1791" xr:uid="{00000000-0005-0000-0000-0000E9170000}"/>
    <cellStyle name="Porcentual 138 11 2" xfId="5452" xr:uid="{00000000-0005-0000-0000-0000EA170000}"/>
    <cellStyle name="Porcentual 138 11 3" xfId="8126" xr:uid="{00000000-0005-0000-0000-0000EB170000}"/>
    <cellStyle name="Porcentual 138 12" xfId="1792" xr:uid="{00000000-0005-0000-0000-0000EC170000}"/>
    <cellStyle name="Porcentual 138 12 2" xfId="5453" xr:uid="{00000000-0005-0000-0000-0000ED170000}"/>
    <cellStyle name="Porcentual 138 12 3" xfId="8127" xr:uid="{00000000-0005-0000-0000-0000EE170000}"/>
    <cellStyle name="Porcentual 138 13" xfId="1793" xr:uid="{00000000-0005-0000-0000-0000EF170000}"/>
    <cellStyle name="Porcentual 138 13 2" xfId="5454" xr:uid="{00000000-0005-0000-0000-0000F0170000}"/>
    <cellStyle name="Porcentual 138 13 3" xfId="8128" xr:uid="{00000000-0005-0000-0000-0000F1170000}"/>
    <cellStyle name="Porcentual 138 14" xfId="1794" xr:uid="{00000000-0005-0000-0000-0000F2170000}"/>
    <cellStyle name="Porcentual 138 14 2" xfId="5455" xr:uid="{00000000-0005-0000-0000-0000F3170000}"/>
    <cellStyle name="Porcentual 138 14 3" xfId="8129" xr:uid="{00000000-0005-0000-0000-0000F4170000}"/>
    <cellStyle name="Porcentual 138 15" xfId="1795" xr:uid="{00000000-0005-0000-0000-0000F5170000}"/>
    <cellStyle name="Porcentual 138 15 2" xfId="5456" xr:uid="{00000000-0005-0000-0000-0000F6170000}"/>
    <cellStyle name="Porcentual 138 15 3" xfId="8130" xr:uid="{00000000-0005-0000-0000-0000F7170000}"/>
    <cellStyle name="Porcentual 138 16" xfId="1796" xr:uid="{00000000-0005-0000-0000-0000F8170000}"/>
    <cellStyle name="Porcentual 138 16 2" xfId="5457" xr:uid="{00000000-0005-0000-0000-0000F9170000}"/>
    <cellStyle name="Porcentual 138 16 3" xfId="8131" xr:uid="{00000000-0005-0000-0000-0000FA170000}"/>
    <cellStyle name="Porcentual 138 17" xfId="1797" xr:uid="{00000000-0005-0000-0000-0000FB170000}"/>
    <cellStyle name="Porcentual 138 17 2" xfId="5458" xr:uid="{00000000-0005-0000-0000-0000FC170000}"/>
    <cellStyle name="Porcentual 138 17 3" xfId="8132" xr:uid="{00000000-0005-0000-0000-0000FD170000}"/>
    <cellStyle name="Porcentual 138 18" xfId="1798" xr:uid="{00000000-0005-0000-0000-0000FE170000}"/>
    <cellStyle name="Porcentual 138 18 2" xfId="5459" xr:uid="{00000000-0005-0000-0000-0000FF170000}"/>
    <cellStyle name="Porcentual 138 18 3" xfId="8133" xr:uid="{00000000-0005-0000-0000-000000180000}"/>
    <cellStyle name="Porcentual 138 19" xfId="1799" xr:uid="{00000000-0005-0000-0000-000001180000}"/>
    <cellStyle name="Porcentual 138 19 2" xfId="5460" xr:uid="{00000000-0005-0000-0000-000002180000}"/>
    <cellStyle name="Porcentual 138 19 3" xfId="8134" xr:uid="{00000000-0005-0000-0000-000003180000}"/>
    <cellStyle name="Porcentual 138 2" xfId="1800" xr:uid="{00000000-0005-0000-0000-000004180000}"/>
    <cellStyle name="Porcentual 138 2 2" xfId="5461" xr:uid="{00000000-0005-0000-0000-000005180000}"/>
    <cellStyle name="Porcentual 138 2 3" xfId="8135" xr:uid="{00000000-0005-0000-0000-000006180000}"/>
    <cellStyle name="Porcentual 138 20" xfId="1801" xr:uid="{00000000-0005-0000-0000-000007180000}"/>
    <cellStyle name="Porcentual 138 20 2" xfId="5462" xr:uid="{00000000-0005-0000-0000-000008180000}"/>
    <cellStyle name="Porcentual 138 20 3" xfId="8136" xr:uid="{00000000-0005-0000-0000-000009180000}"/>
    <cellStyle name="Porcentual 138 21" xfId="1802" xr:uid="{00000000-0005-0000-0000-00000A180000}"/>
    <cellStyle name="Porcentual 138 21 2" xfId="5463" xr:uid="{00000000-0005-0000-0000-00000B180000}"/>
    <cellStyle name="Porcentual 138 21 3" xfId="8137" xr:uid="{00000000-0005-0000-0000-00000C180000}"/>
    <cellStyle name="Porcentual 138 22" xfId="1803" xr:uid="{00000000-0005-0000-0000-00000D180000}"/>
    <cellStyle name="Porcentual 138 22 2" xfId="5464" xr:uid="{00000000-0005-0000-0000-00000E180000}"/>
    <cellStyle name="Porcentual 138 22 3" xfId="8138" xr:uid="{00000000-0005-0000-0000-00000F180000}"/>
    <cellStyle name="Porcentual 138 23" xfId="1804" xr:uid="{00000000-0005-0000-0000-000010180000}"/>
    <cellStyle name="Porcentual 138 23 2" xfId="5465" xr:uid="{00000000-0005-0000-0000-000011180000}"/>
    <cellStyle name="Porcentual 138 23 3" xfId="8139" xr:uid="{00000000-0005-0000-0000-000012180000}"/>
    <cellStyle name="Porcentual 138 24" xfId="1805" xr:uid="{00000000-0005-0000-0000-000013180000}"/>
    <cellStyle name="Porcentual 138 24 2" xfId="5466" xr:uid="{00000000-0005-0000-0000-000014180000}"/>
    <cellStyle name="Porcentual 138 24 3" xfId="8140" xr:uid="{00000000-0005-0000-0000-000015180000}"/>
    <cellStyle name="Porcentual 138 25" xfId="1806" xr:uid="{00000000-0005-0000-0000-000016180000}"/>
    <cellStyle name="Porcentual 138 25 2" xfId="5467" xr:uid="{00000000-0005-0000-0000-000017180000}"/>
    <cellStyle name="Porcentual 138 25 3" xfId="8141" xr:uid="{00000000-0005-0000-0000-000018180000}"/>
    <cellStyle name="Porcentual 138 26" xfId="1807" xr:uid="{00000000-0005-0000-0000-000019180000}"/>
    <cellStyle name="Porcentual 138 26 2" xfId="5468" xr:uid="{00000000-0005-0000-0000-00001A180000}"/>
    <cellStyle name="Porcentual 138 26 3" xfId="8142" xr:uid="{00000000-0005-0000-0000-00001B180000}"/>
    <cellStyle name="Porcentual 138 27" xfId="1808" xr:uid="{00000000-0005-0000-0000-00001C180000}"/>
    <cellStyle name="Porcentual 138 27 2" xfId="5469" xr:uid="{00000000-0005-0000-0000-00001D180000}"/>
    <cellStyle name="Porcentual 138 27 3" xfId="8143" xr:uid="{00000000-0005-0000-0000-00001E180000}"/>
    <cellStyle name="Porcentual 138 28" xfId="1809" xr:uid="{00000000-0005-0000-0000-00001F180000}"/>
    <cellStyle name="Porcentual 138 28 2" xfId="5470" xr:uid="{00000000-0005-0000-0000-000020180000}"/>
    <cellStyle name="Porcentual 138 28 3" xfId="8144" xr:uid="{00000000-0005-0000-0000-000021180000}"/>
    <cellStyle name="Porcentual 138 3" xfId="1810" xr:uid="{00000000-0005-0000-0000-000022180000}"/>
    <cellStyle name="Porcentual 138 3 2" xfId="5471" xr:uid="{00000000-0005-0000-0000-000023180000}"/>
    <cellStyle name="Porcentual 138 3 3" xfId="8145" xr:uid="{00000000-0005-0000-0000-000024180000}"/>
    <cellStyle name="Porcentual 138 4" xfId="1811" xr:uid="{00000000-0005-0000-0000-000025180000}"/>
    <cellStyle name="Porcentual 138 4 2" xfId="5472" xr:uid="{00000000-0005-0000-0000-000026180000}"/>
    <cellStyle name="Porcentual 138 4 3" xfId="8146" xr:uid="{00000000-0005-0000-0000-000027180000}"/>
    <cellStyle name="Porcentual 138 5" xfId="1812" xr:uid="{00000000-0005-0000-0000-000028180000}"/>
    <cellStyle name="Porcentual 138 5 2" xfId="5473" xr:uid="{00000000-0005-0000-0000-000029180000}"/>
    <cellStyle name="Porcentual 138 5 3" xfId="8147" xr:uid="{00000000-0005-0000-0000-00002A180000}"/>
    <cellStyle name="Porcentual 138 6" xfId="1813" xr:uid="{00000000-0005-0000-0000-00002B180000}"/>
    <cellStyle name="Porcentual 138 6 2" xfId="5474" xr:uid="{00000000-0005-0000-0000-00002C180000}"/>
    <cellStyle name="Porcentual 138 6 3" xfId="8148" xr:uid="{00000000-0005-0000-0000-00002D180000}"/>
    <cellStyle name="Porcentual 138 7" xfId="1814" xr:uid="{00000000-0005-0000-0000-00002E180000}"/>
    <cellStyle name="Porcentual 138 7 2" xfId="5475" xr:uid="{00000000-0005-0000-0000-00002F180000}"/>
    <cellStyle name="Porcentual 138 7 3" xfId="8149" xr:uid="{00000000-0005-0000-0000-000030180000}"/>
    <cellStyle name="Porcentual 138 8" xfId="1815" xr:uid="{00000000-0005-0000-0000-000031180000}"/>
    <cellStyle name="Porcentual 138 8 2" xfId="5476" xr:uid="{00000000-0005-0000-0000-000032180000}"/>
    <cellStyle name="Porcentual 138 8 3" xfId="8150" xr:uid="{00000000-0005-0000-0000-000033180000}"/>
    <cellStyle name="Porcentual 138 9" xfId="1816" xr:uid="{00000000-0005-0000-0000-000034180000}"/>
    <cellStyle name="Porcentual 138 9 2" xfId="5477" xr:uid="{00000000-0005-0000-0000-000035180000}"/>
    <cellStyle name="Porcentual 138 9 3" xfId="8151" xr:uid="{00000000-0005-0000-0000-000036180000}"/>
    <cellStyle name="Porcentual 139 10" xfId="1817" xr:uid="{00000000-0005-0000-0000-000037180000}"/>
    <cellStyle name="Porcentual 139 10 2" xfId="5478" xr:uid="{00000000-0005-0000-0000-000038180000}"/>
    <cellStyle name="Porcentual 139 10 3" xfId="8152" xr:uid="{00000000-0005-0000-0000-000039180000}"/>
    <cellStyle name="Porcentual 139 11" xfId="1818" xr:uid="{00000000-0005-0000-0000-00003A180000}"/>
    <cellStyle name="Porcentual 139 11 2" xfId="5479" xr:uid="{00000000-0005-0000-0000-00003B180000}"/>
    <cellStyle name="Porcentual 139 11 3" xfId="8153" xr:uid="{00000000-0005-0000-0000-00003C180000}"/>
    <cellStyle name="Porcentual 139 12" xfId="1819" xr:uid="{00000000-0005-0000-0000-00003D180000}"/>
    <cellStyle name="Porcentual 139 12 2" xfId="5480" xr:uid="{00000000-0005-0000-0000-00003E180000}"/>
    <cellStyle name="Porcentual 139 12 3" xfId="8154" xr:uid="{00000000-0005-0000-0000-00003F180000}"/>
    <cellStyle name="Porcentual 139 13" xfId="1820" xr:uid="{00000000-0005-0000-0000-000040180000}"/>
    <cellStyle name="Porcentual 139 13 2" xfId="5481" xr:uid="{00000000-0005-0000-0000-000041180000}"/>
    <cellStyle name="Porcentual 139 13 3" xfId="8155" xr:uid="{00000000-0005-0000-0000-000042180000}"/>
    <cellStyle name="Porcentual 139 14" xfId="1821" xr:uid="{00000000-0005-0000-0000-000043180000}"/>
    <cellStyle name="Porcentual 139 14 2" xfId="5482" xr:uid="{00000000-0005-0000-0000-000044180000}"/>
    <cellStyle name="Porcentual 139 14 3" xfId="8156" xr:uid="{00000000-0005-0000-0000-000045180000}"/>
    <cellStyle name="Porcentual 139 15" xfId="1822" xr:uid="{00000000-0005-0000-0000-000046180000}"/>
    <cellStyle name="Porcentual 139 15 2" xfId="5483" xr:uid="{00000000-0005-0000-0000-000047180000}"/>
    <cellStyle name="Porcentual 139 15 3" xfId="8157" xr:uid="{00000000-0005-0000-0000-000048180000}"/>
    <cellStyle name="Porcentual 139 16" xfId="1823" xr:uid="{00000000-0005-0000-0000-000049180000}"/>
    <cellStyle name="Porcentual 139 16 2" xfId="5484" xr:uid="{00000000-0005-0000-0000-00004A180000}"/>
    <cellStyle name="Porcentual 139 16 3" xfId="8158" xr:uid="{00000000-0005-0000-0000-00004B180000}"/>
    <cellStyle name="Porcentual 139 17" xfId="1824" xr:uid="{00000000-0005-0000-0000-00004C180000}"/>
    <cellStyle name="Porcentual 139 17 2" xfId="5485" xr:uid="{00000000-0005-0000-0000-00004D180000}"/>
    <cellStyle name="Porcentual 139 17 3" xfId="8159" xr:uid="{00000000-0005-0000-0000-00004E180000}"/>
    <cellStyle name="Porcentual 139 18" xfId="1825" xr:uid="{00000000-0005-0000-0000-00004F180000}"/>
    <cellStyle name="Porcentual 139 18 2" xfId="5486" xr:uid="{00000000-0005-0000-0000-000050180000}"/>
    <cellStyle name="Porcentual 139 18 3" xfId="8160" xr:uid="{00000000-0005-0000-0000-000051180000}"/>
    <cellStyle name="Porcentual 139 19" xfId="1826" xr:uid="{00000000-0005-0000-0000-000052180000}"/>
    <cellStyle name="Porcentual 139 19 2" xfId="5487" xr:uid="{00000000-0005-0000-0000-000053180000}"/>
    <cellStyle name="Porcentual 139 19 3" xfId="8161" xr:uid="{00000000-0005-0000-0000-000054180000}"/>
    <cellStyle name="Porcentual 139 2" xfId="1827" xr:uid="{00000000-0005-0000-0000-000055180000}"/>
    <cellStyle name="Porcentual 139 2 2" xfId="5488" xr:uid="{00000000-0005-0000-0000-000056180000}"/>
    <cellStyle name="Porcentual 139 2 3" xfId="8162" xr:uid="{00000000-0005-0000-0000-000057180000}"/>
    <cellStyle name="Porcentual 139 20" xfId="1828" xr:uid="{00000000-0005-0000-0000-000058180000}"/>
    <cellStyle name="Porcentual 139 20 2" xfId="5489" xr:uid="{00000000-0005-0000-0000-000059180000}"/>
    <cellStyle name="Porcentual 139 20 3" xfId="8163" xr:uid="{00000000-0005-0000-0000-00005A180000}"/>
    <cellStyle name="Porcentual 139 21" xfId="1829" xr:uid="{00000000-0005-0000-0000-00005B180000}"/>
    <cellStyle name="Porcentual 139 21 2" xfId="5490" xr:uid="{00000000-0005-0000-0000-00005C180000}"/>
    <cellStyle name="Porcentual 139 21 3" xfId="8164" xr:uid="{00000000-0005-0000-0000-00005D180000}"/>
    <cellStyle name="Porcentual 139 22" xfId="1830" xr:uid="{00000000-0005-0000-0000-00005E180000}"/>
    <cellStyle name="Porcentual 139 22 2" xfId="5491" xr:uid="{00000000-0005-0000-0000-00005F180000}"/>
    <cellStyle name="Porcentual 139 22 3" xfId="8165" xr:uid="{00000000-0005-0000-0000-000060180000}"/>
    <cellStyle name="Porcentual 139 23" xfId="1831" xr:uid="{00000000-0005-0000-0000-000061180000}"/>
    <cellStyle name="Porcentual 139 23 2" xfId="5492" xr:uid="{00000000-0005-0000-0000-000062180000}"/>
    <cellStyle name="Porcentual 139 23 3" xfId="8166" xr:uid="{00000000-0005-0000-0000-000063180000}"/>
    <cellStyle name="Porcentual 139 24" xfId="1832" xr:uid="{00000000-0005-0000-0000-000064180000}"/>
    <cellStyle name="Porcentual 139 24 2" xfId="5493" xr:uid="{00000000-0005-0000-0000-000065180000}"/>
    <cellStyle name="Porcentual 139 24 3" xfId="8167" xr:uid="{00000000-0005-0000-0000-000066180000}"/>
    <cellStyle name="Porcentual 139 25" xfId="1833" xr:uid="{00000000-0005-0000-0000-000067180000}"/>
    <cellStyle name="Porcentual 139 25 2" xfId="5494" xr:uid="{00000000-0005-0000-0000-000068180000}"/>
    <cellStyle name="Porcentual 139 25 3" xfId="8168" xr:uid="{00000000-0005-0000-0000-000069180000}"/>
    <cellStyle name="Porcentual 139 26" xfId="1834" xr:uid="{00000000-0005-0000-0000-00006A180000}"/>
    <cellStyle name="Porcentual 139 26 2" xfId="5495" xr:uid="{00000000-0005-0000-0000-00006B180000}"/>
    <cellStyle name="Porcentual 139 26 3" xfId="8169" xr:uid="{00000000-0005-0000-0000-00006C180000}"/>
    <cellStyle name="Porcentual 139 27" xfId="1835" xr:uid="{00000000-0005-0000-0000-00006D180000}"/>
    <cellStyle name="Porcentual 139 27 2" xfId="5496" xr:uid="{00000000-0005-0000-0000-00006E180000}"/>
    <cellStyle name="Porcentual 139 27 3" xfId="8170" xr:uid="{00000000-0005-0000-0000-00006F180000}"/>
    <cellStyle name="Porcentual 139 28" xfId="1836" xr:uid="{00000000-0005-0000-0000-000070180000}"/>
    <cellStyle name="Porcentual 139 28 2" xfId="5497" xr:uid="{00000000-0005-0000-0000-000071180000}"/>
    <cellStyle name="Porcentual 139 28 3" xfId="8171" xr:uid="{00000000-0005-0000-0000-000072180000}"/>
    <cellStyle name="Porcentual 139 3" xfId="1837" xr:uid="{00000000-0005-0000-0000-000073180000}"/>
    <cellStyle name="Porcentual 139 3 2" xfId="5498" xr:uid="{00000000-0005-0000-0000-000074180000}"/>
    <cellStyle name="Porcentual 139 3 3" xfId="8172" xr:uid="{00000000-0005-0000-0000-000075180000}"/>
    <cellStyle name="Porcentual 139 4" xfId="1838" xr:uid="{00000000-0005-0000-0000-000076180000}"/>
    <cellStyle name="Porcentual 139 4 2" xfId="5499" xr:uid="{00000000-0005-0000-0000-000077180000}"/>
    <cellStyle name="Porcentual 139 4 3" xfId="8173" xr:uid="{00000000-0005-0000-0000-000078180000}"/>
    <cellStyle name="Porcentual 139 5" xfId="1839" xr:uid="{00000000-0005-0000-0000-000079180000}"/>
    <cellStyle name="Porcentual 139 5 2" xfId="5500" xr:uid="{00000000-0005-0000-0000-00007A180000}"/>
    <cellStyle name="Porcentual 139 5 3" xfId="8174" xr:uid="{00000000-0005-0000-0000-00007B180000}"/>
    <cellStyle name="Porcentual 139 6" xfId="1840" xr:uid="{00000000-0005-0000-0000-00007C180000}"/>
    <cellStyle name="Porcentual 139 6 2" xfId="5501" xr:uid="{00000000-0005-0000-0000-00007D180000}"/>
    <cellStyle name="Porcentual 139 6 3" xfId="8175" xr:uid="{00000000-0005-0000-0000-00007E180000}"/>
    <cellStyle name="Porcentual 139 7" xfId="1841" xr:uid="{00000000-0005-0000-0000-00007F180000}"/>
    <cellStyle name="Porcentual 139 7 2" xfId="5502" xr:uid="{00000000-0005-0000-0000-000080180000}"/>
    <cellStyle name="Porcentual 139 7 3" xfId="8176" xr:uid="{00000000-0005-0000-0000-000081180000}"/>
    <cellStyle name="Porcentual 139 8" xfId="1842" xr:uid="{00000000-0005-0000-0000-000082180000}"/>
    <cellStyle name="Porcentual 139 8 2" xfId="5503" xr:uid="{00000000-0005-0000-0000-000083180000}"/>
    <cellStyle name="Porcentual 139 8 3" xfId="8177" xr:uid="{00000000-0005-0000-0000-000084180000}"/>
    <cellStyle name="Porcentual 139 9" xfId="1843" xr:uid="{00000000-0005-0000-0000-000085180000}"/>
    <cellStyle name="Porcentual 139 9 2" xfId="5504" xr:uid="{00000000-0005-0000-0000-000086180000}"/>
    <cellStyle name="Porcentual 139 9 3" xfId="8178" xr:uid="{00000000-0005-0000-0000-000087180000}"/>
    <cellStyle name="Porcentual 140 10" xfId="1844" xr:uid="{00000000-0005-0000-0000-000088180000}"/>
    <cellStyle name="Porcentual 140 10 2" xfId="5505" xr:uid="{00000000-0005-0000-0000-000089180000}"/>
    <cellStyle name="Porcentual 140 10 3" xfId="8179" xr:uid="{00000000-0005-0000-0000-00008A180000}"/>
    <cellStyle name="Porcentual 140 11" xfId="1845" xr:uid="{00000000-0005-0000-0000-00008B180000}"/>
    <cellStyle name="Porcentual 140 11 2" xfId="5506" xr:uid="{00000000-0005-0000-0000-00008C180000}"/>
    <cellStyle name="Porcentual 140 11 3" xfId="8180" xr:uid="{00000000-0005-0000-0000-00008D180000}"/>
    <cellStyle name="Porcentual 140 12" xfId="1846" xr:uid="{00000000-0005-0000-0000-00008E180000}"/>
    <cellStyle name="Porcentual 140 12 2" xfId="5507" xr:uid="{00000000-0005-0000-0000-00008F180000}"/>
    <cellStyle name="Porcentual 140 12 3" xfId="8181" xr:uid="{00000000-0005-0000-0000-000090180000}"/>
    <cellStyle name="Porcentual 140 13" xfId="1847" xr:uid="{00000000-0005-0000-0000-000091180000}"/>
    <cellStyle name="Porcentual 140 13 2" xfId="5508" xr:uid="{00000000-0005-0000-0000-000092180000}"/>
    <cellStyle name="Porcentual 140 13 3" xfId="8182" xr:uid="{00000000-0005-0000-0000-000093180000}"/>
    <cellStyle name="Porcentual 140 14" xfId="1848" xr:uid="{00000000-0005-0000-0000-000094180000}"/>
    <cellStyle name="Porcentual 140 14 2" xfId="5509" xr:uid="{00000000-0005-0000-0000-000095180000}"/>
    <cellStyle name="Porcentual 140 14 3" xfId="8183" xr:uid="{00000000-0005-0000-0000-000096180000}"/>
    <cellStyle name="Porcentual 140 15" xfId="1849" xr:uid="{00000000-0005-0000-0000-000097180000}"/>
    <cellStyle name="Porcentual 140 15 2" xfId="5510" xr:uid="{00000000-0005-0000-0000-000098180000}"/>
    <cellStyle name="Porcentual 140 15 3" xfId="8184" xr:uid="{00000000-0005-0000-0000-000099180000}"/>
    <cellStyle name="Porcentual 140 16" xfId="1850" xr:uid="{00000000-0005-0000-0000-00009A180000}"/>
    <cellStyle name="Porcentual 140 16 2" xfId="5511" xr:uid="{00000000-0005-0000-0000-00009B180000}"/>
    <cellStyle name="Porcentual 140 16 3" xfId="8185" xr:uid="{00000000-0005-0000-0000-00009C180000}"/>
    <cellStyle name="Porcentual 140 17" xfId="1851" xr:uid="{00000000-0005-0000-0000-00009D180000}"/>
    <cellStyle name="Porcentual 140 17 2" xfId="5512" xr:uid="{00000000-0005-0000-0000-00009E180000}"/>
    <cellStyle name="Porcentual 140 17 3" xfId="8186" xr:uid="{00000000-0005-0000-0000-00009F180000}"/>
    <cellStyle name="Porcentual 140 18" xfId="1852" xr:uid="{00000000-0005-0000-0000-0000A0180000}"/>
    <cellStyle name="Porcentual 140 18 2" xfId="5513" xr:uid="{00000000-0005-0000-0000-0000A1180000}"/>
    <cellStyle name="Porcentual 140 18 3" xfId="8187" xr:uid="{00000000-0005-0000-0000-0000A2180000}"/>
    <cellStyle name="Porcentual 140 19" xfId="1853" xr:uid="{00000000-0005-0000-0000-0000A3180000}"/>
    <cellStyle name="Porcentual 140 19 2" xfId="5514" xr:uid="{00000000-0005-0000-0000-0000A4180000}"/>
    <cellStyle name="Porcentual 140 19 3" xfId="8188" xr:uid="{00000000-0005-0000-0000-0000A5180000}"/>
    <cellStyle name="Porcentual 140 2" xfId="1854" xr:uid="{00000000-0005-0000-0000-0000A6180000}"/>
    <cellStyle name="Porcentual 140 2 2" xfId="5515" xr:uid="{00000000-0005-0000-0000-0000A7180000}"/>
    <cellStyle name="Porcentual 140 2 3" xfId="8189" xr:uid="{00000000-0005-0000-0000-0000A8180000}"/>
    <cellStyle name="Porcentual 140 20" xfId="1855" xr:uid="{00000000-0005-0000-0000-0000A9180000}"/>
    <cellStyle name="Porcentual 140 20 2" xfId="5516" xr:uid="{00000000-0005-0000-0000-0000AA180000}"/>
    <cellStyle name="Porcentual 140 20 3" xfId="8190" xr:uid="{00000000-0005-0000-0000-0000AB180000}"/>
    <cellStyle name="Porcentual 140 21" xfId="1856" xr:uid="{00000000-0005-0000-0000-0000AC180000}"/>
    <cellStyle name="Porcentual 140 21 2" xfId="5517" xr:uid="{00000000-0005-0000-0000-0000AD180000}"/>
    <cellStyle name="Porcentual 140 21 3" xfId="8191" xr:uid="{00000000-0005-0000-0000-0000AE180000}"/>
    <cellStyle name="Porcentual 140 22" xfId="1857" xr:uid="{00000000-0005-0000-0000-0000AF180000}"/>
    <cellStyle name="Porcentual 140 22 2" xfId="5518" xr:uid="{00000000-0005-0000-0000-0000B0180000}"/>
    <cellStyle name="Porcentual 140 22 3" xfId="8192" xr:uid="{00000000-0005-0000-0000-0000B1180000}"/>
    <cellStyle name="Porcentual 140 23" xfId="1858" xr:uid="{00000000-0005-0000-0000-0000B2180000}"/>
    <cellStyle name="Porcentual 140 23 2" xfId="5519" xr:uid="{00000000-0005-0000-0000-0000B3180000}"/>
    <cellStyle name="Porcentual 140 23 3" xfId="8193" xr:uid="{00000000-0005-0000-0000-0000B4180000}"/>
    <cellStyle name="Porcentual 140 24" xfId="1859" xr:uid="{00000000-0005-0000-0000-0000B5180000}"/>
    <cellStyle name="Porcentual 140 24 2" xfId="5520" xr:uid="{00000000-0005-0000-0000-0000B6180000}"/>
    <cellStyle name="Porcentual 140 24 3" xfId="8194" xr:uid="{00000000-0005-0000-0000-0000B7180000}"/>
    <cellStyle name="Porcentual 140 25" xfId="1860" xr:uid="{00000000-0005-0000-0000-0000B8180000}"/>
    <cellStyle name="Porcentual 140 25 2" xfId="5521" xr:uid="{00000000-0005-0000-0000-0000B9180000}"/>
    <cellStyle name="Porcentual 140 25 3" xfId="8195" xr:uid="{00000000-0005-0000-0000-0000BA180000}"/>
    <cellStyle name="Porcentual 140 26" xfId="1861" xr:uid="{00000000-0005-0000-0000-0000BB180000}"/>
    <cellStyle name="Porcentual 140 26 2" xfId="5522" xr:uid="{00000000-0005-0000-0000-0000BC180000}"/>
    <cellStyle name="Porcentual 140 26 3" xfId="8196" xr:uid="{00000000-0005-0000-0000-0000BD180000}"/>
    <cellStyle name="Porcentual 140 27" xfId="1862" xr:uid="{00000000-0005-0000-0000-0000BE180000}"/>
    <cellStyle name="Porcentual 140 27 2" xfId="5523" xr:uid="{00000000-0005-0000-0000-0000BF180000}"/>
    <cellStyle name="Porcentual 140 27 3" xfId="8197" xr:uid="{00000000-0005-0000-0000-0000C0180000}"/>
    <cellStyle name="Porcentual 140 28" xfId="1863" xr:uid="{00000000-0005-0000-0000-0000C1180000}"/>
    <cellStyle name="Porcentual 140 28 2" xfId="5524" xr:uid="{00000000-0005-0000-0000-0000C2180000}"/>
    <cellStyle name="Porcentual 140 28 3" xfId="8198" xr:uid="{00000000-0005-0000-0000-0000C3180000}"/>
    <cellStyle name="Porcentual 140 3" xfId="1864" xr:uid="{00000000-0005-0000-0000-0000C4180000}"/>
    <cellStyle name="Porcentual 140 3 2" xfId="5525" xr:uid="{00000000-0005-0000-0000-0000C5180000}"/>
    <cellStyle name="Porcentual 140 3 3" xfId="8199" xr:uid="{00000000-0005-0000-0000-0000C6180000}"/>
    <cellStyle name="Porcentual 140 4" xfId="1865" xr:uid="{00000000-0005-0000-0000-0000C7180000}"/>
    <cellStyle name="Porcentual 140 4 2" xfId="5526" xr:uid="{00000000-0005-0000-0000-0000C8180000}"/>
    <cellStyle name="Porcentual 140 4 3" xfId="8200" xr:uid="{00000000-0005-0000-0000-0000C9180000}"/>
    <cellStyle name="Porcentual 140 5" xfId="1866" xr:uid="{00000000-0005-0000-0000-0000CA180000}"/>
    <cellStyle name="Porcentual 140 5 2" xfId="5527" xr:uid="{00000000-0005-0000-0000-0000CB180000}"/>
    <cellStyle name="Porcentual 140 5 3" xfId="8201" xr:uid="{00000000-0005-0000-0000-0000CC180000}"/>
    <cellStyle name="Porcentual 140 6" xfId="1867" xr:uid="{00000000-0005-0000-0000-0000CD180000}"/>
    <cellStyle name="Porcentual 140 6 2" xfId="5528" xr:uid="{00000000-0005-0000-0000-0000CE180000}"/>
    <cellStyle name="Porcentual 140 6 3" xfId="8202" xr:uid="{00000000-0005-0000-0000-0000CF180000}"/>
    <cellStyle name="Porcentual 140 7" xfId="1868" xr:uid="{00000000-0005-0000-0000-0000D0180000}"/>
    <cellStyle name="Porcentual 140 7 2" xfId="5529" xr:uid="{00000000-0005-0000-0000-0000D1180000}"/>
    <cellStyle name="Porcentual 140 7 3" xfId="8203" xr:uid="{00000000-0005-0000-0000-0000D2180000}"/>
    <cellStyle name="Porcentual 140 8" xfId="1869" xr:uid="{00000000-0005-0000-0000-0000D3180000}"/>
    <cellStyle name="Porcentual 140 8 2" xfId="5530" xr:uid="{00000000-0005-0000-0000-0000D4180000}"/>
    <cellStyle name="Porcentual 140 8 3" xfId="8204" xr:uid="{00000000-0005-0000-0000-0000D5180000}"/>
    <cellStyle name="Porcentual 140 9" xfId="1870" xr:uid="{00000000-0005-0000-0000-0000D6180000}"/>
    <cellStyle name="Porcentual 140 9 2" xfId="5531" xr:uid="{00000000-0005-0000-0000-0000D7180000}"/>
    <cellStyle name="Porcentual 140 9 3" xfId="8205" xr:uid="{00000000-0005-0000-0000-0000D8180000}"/>
    <cellStyle name="Porcentual 141 10" xfId="1871" xr:uid="{00000000-0005-0000-0000-0000D9180000}"/>
    <cellStyle name="Porcentual 141 10 2" xfId="5532" xr:uid="{00000000-0005-0000-0000-0000DA180000}"/>
    <cellStyle name="Porcentual 141 10 3" xfId="8206" xr:uid="{00000000-0005-0000-0000-0000DB180000}"/>
    <cellStyle name="Porcentual 141 11" xfId="1872" xr:uid="{00000000-0005-0000-0000-0000DC180000}"/>
    <cellStyle name="Porcentual 141 11 2" xfId="5533" xr:uid="{00000000-0005-0000-0000-0000DD180000}"/>
    <cellStyle name="Porcentual 141 11 3" xfId="8207" xr:uid="{00000000-0005-0000-0000-0000DE180000}"/>
    <cellStyle name="Porcentual 141 12" xfId="1873" xr:uid="{00000000-0005-0000-0000-0000DF180000}"/>
    <cellStyle name="Porcentual 141 12 2" xfId="5534" xr:uid="{00000000-0005-0000-0000-0000E0180000}"/>
    <cellStyle name="Porcentual 141 12 3" xfId="8208" xr:uid="{00000000-0005-0000-0000-0000E1180000}"/>
    <cellStyle name="Porcentual 141 13" xfId="1874" xr:uid="{00000000-0005-0000-0000-0000E2180000}"/>
    <cellStyle name="Porcentual 141 13 2" xfId="5535" xr:uid="{00000000-0005-0000-0000-0000E3180000}"/>
    <cellStyle name="Porcentual 141 13 3" xfId="8209" xr:uid="{00000000-0005-0000-0000-0000E4180000}"/>
    <cellStyle name="Porcentual 141 14" xfId="1875" xr:uid="{00000000-0005-0000-0000-0000E5180000}"/>
    <cellStyle name="Porcentual 141 14 2" xfId="5536" xr:uid="{00000000-0005-0000-0000-0000E6180000}"/>
    <cellStyle name="Porcentual 141 14 3" xfId="8210" xr:uid="{00000000-0005-0000-0000-0000E7180000}"/>
    <cellStyle name="Porcentual 141 15" xfId="1876" xr:uid="{00000000-0005-0000-0000-0000E8180000}"/>
    <cellStyle name="Porcentual 141 15 2" xfId="5537" xr:uid="{00000000-0005-0000-0000-0000E9180000}"/>
    <cellStyle name="Porcentual 141 15 3" xfId="8211" xr:uid="{00000000-0005-0000-0000-0000EA180000}"/>
    <cellStyle name="Porcentual 141 16" xfId="1877" xr:uid="{00000000-0005-0000-0000-0000EB180000}"/>
    <cellStyle name="Porcentual 141 16 2" xfId="5538" xr:uid="{00000000-0005-0000-0000-0000EC180000}"/>
    <cellStyle name="Porcentual 141 16 3" xfId="8212" xr:uid="{00000000-0005-0000-0000-0000ED180000}"/>
    <cellStyle name="Porcentual 141 17" xfId="1878" xr:uid="{00000000-0005-0000-0000-0000EE180000}"/>
    <cellStyle name="Porcentual 141 17 2" xfId="5539" xr:uid="{00000000-0005-0000-0000-0000EF180000}"/>
    <cellStyle name="Porcentual 141 17 3" xfId="8213" xr:uid="{00000000-0005-0000-0000-0000F0180000}"/>
    <cellStyle name="Porcentual 141 18" xfId="1879" xr:uid="{00000000-0005-0000-0000-0000F1180000}"/>
    <cellStyle name="Porcentual 141 18 2" xfId="5540" xr:uid="{00000000-0005-0000-0000-0000F2180000}"/>
    <cellStyle name="Porcentual 141 18 3" xfId="8214" xr:uid="{00000000-0005-0000-0000-0000F3180000}"/>
    <cellStyle name="Porcentual 141 19" xfId="1880" xr:uid="{00000000-0005-0000-0000-0000F4180000}"/>
    <cellStyle name="Porcentual 141 19 2" xfId="5541" xr:uid="{00000000-0005-0000-0000-0000F5180000}"/>
    <cellStyle name="Porcentual 141 19 3" xfId="8215" xr:uid="{00000000-0005-0000-0000-0000F6180000}"/>
    <cellStyle name="Porcentual 141 2" xfId="1881" xr:uid="{00000000-0005-0000-0000-0000F7180000}"/>
    <cellStyle name="Porcentual 141 2 2" xfId="5542" xr:uid="{00000000-0005-0000-0000-0000F8180000}"/>
    <cellStyle name="Porcentual 141 2 3" xfId="8216" xr:uid="{00000000-0005-0000-0000-0000F9180000}"/>
    <cellStyle name="Porcentual 141 20" xfId="1882" xr:uid="{00000000-0005-0000-0000-0000FA180000}"/>
    <cellStyle name="Porcentual 141 20 2" xfId="5543" xr:uid="{00000000-0005-0000-0000-0000FB180000}"/>
    <cellStyle name="Porcentual 141 20 3" xfId="8217" xr:uid="{00000000-0005-0000-0000-0000FC180000}"/>
    <cellStyle name="Porcentual 141 21" xfId="1883" xr:uid="{00000000-0005-0000-0000-0000FD180000}"/>
    <cellStyle name="Porcentual 141 21 2" xfId="5544" xr:uid="{00000000-0005-0000-0000-0000FE180000}"/>
    <cellStyle name="Porcentual 141 21 3" xfId="8218" xr:uid="{00000000-0005-0000-0000-0000FF180000}"/>
    <cellStyle name="Porcentual 141 22" xfId="1884" xr:uid="{00000000-0005-0000-0000-000000190000}"/>
    <cellStyle name="Porcentual 141 22 2" xfId="5545" xr:uid="{00000000-0005-0000-0000-000001190000}"/>
    <cellStyle name="Porcentual 141 22 3" xfId="8219" xr:uid="{00000000-0005-0000-0000-000002190000}"/>
    <cellStyle name="Porcentual 141 23" xfId="1885" xr:uid="{00000000-0005-0000-0000-000003190000}"/>
    <cellStyle name="Porcentual 141 23 2" xfId="5546" xr:uid="{00000000-0005-0000-0000-000004190000}"/>
    <cellStyle name="Porcentual 141 23 3" xfId="8220" xr:uid="{00000000-0005-0000-0000-000005190000}"/>
    <cellStyle name="Porcentual 141 24" xfId="1886" xr:uid="{00000000-0005-0000-0000-000006190000}"/>
    <cellStyle name="Porcentual 141 24 2" xfId="5547" xr:uid="{00000000-0005-0000-0000-000007190000}"/>
    <cellStyle name="Porcentual 141 24 3" xfId="8221" xr:uid="{00000000-0005-0000-0000-000008190000}"/>
    <cellStyle name="Porcentual 141 25" xfId="1887" xr:uid="{00000000-0005-0000-0000-000009190000}"/>
    <cellStyle name="Porcentual 141 25 2" xfId="5548" xr:uid="{00000000-0005-0000-0000-00000A190000}"/>
    <cellStyle name="Porcentual 141 25 3" xfId="8222" xr:uid="{00000000-0005-0000-0000-00000B190000}"/>
    <cellStyle name="Porcentual 141 26" xfId="1888" xr:uid="{00000000-0005-0000-0000-00000C190000}"/>
    <cellStyle name="Porcentual 141 26 2" xfId="5549" xr:uid="{00000000-0005-0000-0000-00000D190000}"/>
    <cellStyle name="Porcentual 141 26 3" xfId="8223" xr:uid="{00000000-0005-0000-0000-00000E190000}"/>
    <cellStyle name="Porcentual 141 27" xfId="1889" xr:uid="{00000000-0005-0000-0000-00000F190000}"/>
    <cellStyle name="Porcentual 141 27 2" xfId="5550" xr:uid="{00000000-0005-0000-0000-000010190000}"/>
    <cellStyle name="Porcentual 141 27 3" xfId="8224" xr:uid="{00000000-0005-0000-0000-000011190000}"/>
    <cellStyle name="Porcentual 141 28" xfId="1890" xr:uid="{00000000-0005-0000-0000-000012190000}"/>
    <cellStyle name="Porcentual 141 28 2" xfId="5551" xr:uid="{00000000-0005-0000-0000-000013190000}"/>
    <cellStyle name="Porcentual 141 28 3" xfId="8225" xr:uid="{00000000-0005-0000-0000-000014190000}"/>
    <cellStyle name="Porcentual 141 3" xfId="1891" xr:uid="{00000000-0005-0000-0000-000015190000}"/>
    <cellStyle name="Porcentual 141 3 2" xfId="5552" xr:uid="{00000000-0005-0000-0000-000016190000}"/>
    <cellStyle name="Porcentual 141 3 3" xfId="8226" xr:uid="{00000000-0005-0000-0000-000017190000}"/>
    <cellStyle name="Porcentual 141 4" xfId="1892" xr:uid="{00000000-0005-0000-0000-000018190000}"/>
    <cellStyle name="Porcentual 141 4 2" xfId="5553" xr:uid="{00000000-0005-0000-0000-000019190000}"/>
    <cellStyle name="Porcentual 141 4 3" xfId="8227" xr:uid="{00000000-0005-0000-0000-00001A190000}"/>
    <cellStyle name="Porcentual 141 5" xfId="1893" xr:uid="{00000000-0005-0000-0000-00001B190000}"/>
    <cellStyle name="Porcentual 141 5 2" xfId="5554" xr:uid="{00000000-0005-0000-0000-00001C190000}"/>
    <cellStyle name="Porcentual 141 5 3" xfId="8228" xr:uid="{00000000-0005-0000-0000-00001D190000}"/>
    <cellStyle name="Porcentual 141 6" xfId="1894" xr:uid="{00000000-0005-0000-0000-00001E190000}"/>
    <cellStyle name="Porcentual 141 6 2" xfId="5555" xr:uid="{00000000-0005-0000-0000-00001F190000}"/>
    <cellStyle name="Porcentual 141 6 3" xfId="8229" xr:uid="{00000000-0005-0000-0000-000020190000}"/>
    <cellStyle name="Porcentual 141 7" xfId="1895" xr:uid="{00000000-0005-0000-0000-000021190000}"/>
    <cellStyle name="Porcentual 141 7 2" xfId="5556" xr:uid="{00000000-0005-0000-0000-000022190000}"/>
    <cellStyle name="Porcentual 141 7 3" xfId="8230" xr:uid="{00000000-0005-0000-0000-000023190000}"/>
    <cellStyle name="Porcentual 141 8" xfId="1896" xr:uid="{00000000-0005-0000-0000-000024190000}"/>
    <cellStyle name="Porcentual 141 8 2" xfId="5557" xr:uid="{00000000-0005-0000-0000-000025190000}"/>
    <cellStyle name="Porcentual 141 8 3" xfId="8231" xr:uid="{00000000-0005-0000-0000-000026190000}"/>
    <cellStyle name="Porcentual 141 9" xfId="1897" xr:uid="{00000000-0005-0000-0000-000027190000}"/>
    <cellStyle name="Porcentual 141 9 2" xfId="5558" xr:uid="{00000000-0005-0000-0000-000028190000}"/>
    <cellStyle name="Porcentual 141 9 3" xfId="8232" xr:uid="{00000000-0005-0000-0000-000029190000}"/>
    <cellStyle name="Porcentual 142 10" xfId="1898" xr:uid="{00000000-0005-0000-0000-00002A190000}"/>
    <cellStyle name="Porcentual 142 10 2" xfId="5559" xr:uid="{00000000-0005-0000-0000-00002B190000}"/>
    <cellStyle name="Porcentual 142 10 3" xfId="8233" xr:uid="{00000000-0005-0000-0000-00002C190000}"/>
    <cellStyle name="Porcentual 142 11" xfId="1899" xr:uid="{00000000-0005-0000-0000-00002D190000}"/>
    <cellStyle name="Porcentual 142 11 2" xfId="5560" xr:uid="{00000000-0005-0000-0000-00002E190000}"/>
    <cellStyle name="Porcentual 142 11 3" xfId="8234" xr:uid="{00000000-0005-0000-0000-00002F190000}"/>
    <cellStyle name="Porcentual 142 12" xfId="1900" xr:uid="{00000000-0005-0000-0000-000030190000}"/>
    <cellStyle name="Porcentual 142 12 2" xfId="5561" xr:uid="{00000000-0005-0000-0000-000031190000}"/>
    <cellStyle name="Porcentual 142 12 3" xfId="8235" xr:uid="{00000000-0005-0000-0000-000032190000}"/>
    <cellStyle name="Porcentual 142 13" xfId="1901" xr:uid="{00000000-0005-0000-0000-000033190000}"/>
    <cellStyle name="Porcentual 142 13 2" xfId="5562" xr:uid="{00000000-0005-0000-0000-000034190000}"/>
    <cellStyle name="Porcentual 142 13 3" xfId="8236" xr:uid="{00000000-0005-0000-0000-000035190000}"/>
    <cellStyle name="Porcentual 142 14" xfId="1902" xr:uid="{00000000-0005-0000-0000-000036190000}"/>
    <cellStyle name="Porcentual 142 14 2" xfId="5563" xr:uid="{00000000-0005-0000-0000-000037190000}"/>
    <cellStyle name="Porcentual 142 14 3" xfId="8237" xr:uid="{00000000-0005-0000-0000-000038190000}"/>
    <cellStyle name="Porcentual 142 15" xfId="1903" xr:uid="{00000000-0005-0000-0000-000039190000}"/>
    <cellStyle name="Porcentual 142 15 2" xfId="5564" xr:uid="{00000000-0005-0000-0000-00003A190000}"/>
    <cellStyle name="Porcentual 142 15 3" xfId="8238" xr:uid="{00000000-0005-0000-0000-00003B190000}"/>
    <cellStyle name="Porcentual 142 16" xfId="1904" xr:uid="{00000000-0005-0000-0000-00003C190000}"/>
    <cellStyle name="Porcentual 142 16 2" xfId="5565" xr:uid="{00000000-0005-0000-0000-00003D190000}"/>
    <cellStyle name="Porcentual 142 16 3" xfId="8239" xr:uid="{00000000-0005-0000-0000-00003E190000}"/>
    <cellStyle name="Porcentual 142 17" xfId="1905" xr:uid="{00000000-0005-0000-0000-00003F190000}"/>
    <cellStyle name="Porcentual 142 17 2" xfId="5566" xr:uid="{00000000-0005-0000-0000-000040190000}"/>
    <cellStyle name="Porcentual 142 17 3" xfId="8240" xr:uid="{00000000-0005-0000-0000-000041190000}"/>
    <cellStyle name="Porcentual 142 18" xfId="1906" xr:uid="{00000000-0005-0000-0000-000042190000}"/>
    <cellStyle name="Porcentual 142 18 2" xfId="5567" xr:uid="{00000000-0005-0000-0000-000043190000}"/>
    <cellStyle name="Porcentual 142 18 3" xfId="8241" xr:uid="{00000000-0005-0000-0000-000044190000}"/>
    <cellStyle name="Porcentual 142 19" xfId="1907" xr:uid="{00000000-0005-0000-0000-000045190000}"/>
    <cellStyle name="Porcentual 142 19 2" xfId="5568" xr:uid="{00000000-0005-0000-0000-000046190000}"/>
    <cellStyle name="Porcentual 142 19 3" xfId="8242" xr:uid="{00000000-0005-0000-0000-000047190000}"/>
    <cellStyle name="Porcentual 142 2" xfId="1908" xr:uid="{00000000-0005-0000-0000-000048190000}"/>
    <cellStyle name="Porcentual 142 2 2" xfId="5569" xr:uid="{00000000-0005-0000-0000-000049190000}"/>
    <cellStyle name="Porcentual 142 2 3" xfId="8243" xr:uid="{00000000-0005-0000-0000-00004A190000}"/>
    <cellStyle name="Porcentual 142 20" xfId="1909" xr:uid="{00000000-0005-0000-0000-00004B190000}"/>
    <cellStyle name="Porcentual 142 20 2" xfId="5570" xr:uid="{00000000-0005-0000-0000-00004C190000}"/>
    <cellStyle name="Porcentual 142 20 3" xfId="8244" xr:uid="{00000000-0005-0000-0000-00004D190000}"/>
    <cellStyle name="Porcentual 142 21" xfId="1910" xr:uid="{00000000-0005-0000-0000-00004E190000}"/>
    <cellStyle name="Porcentual 142 21 2" xfId="5571" xr:uid="{00000000-0005-0000-0000-00004F190000}"/>
    <cellStyle name="Porcentual 142 21 3" xfId="8245" xr:uid="{00000000-0005-0000-0000-000050190000}"/>
    <cellStyle name="Porcentual 142 22" xfId="1911" xr:uid="{00000000-0005-0000-0000-000051190000}"/>
    <cellStyle name="Porcentual 142 22 2" xfId="5572" xr:uid="{00000000-0005-0000-0000-000052190000}"/>
    <cellStyle name="Porcentual 142 22 3" xfId="8246" xr:uid="{00000000-0005-0000-0000-000053190000}"/>
    <cellStyle name="Porcentual 142 23" xfId="1912" xr:uid="{00000000-0005-0000-0000-000054190000}"/>
    <cellStyle name="Porcentual 142 23 2" xfId="5573" xr:uid="{00000000-0005-0000-0000-000055190000}"/>
    <cellStyle name="Porcentual 142 23 3" xfId="8247" xr:uid="{00000000-0005-0000-0000-000056190000}"/>
    <cellStyle name="Porcentual 142 24" xfId="1913" xr:uid="{00000000-0005-0000-0000-000057190000}"/>
    <cellStyle name="Porcentual 142 24 2" xfId="5574" xr:uid="{00000000-0005-0000-0000-000058190000}"/>
    <cellStyle name="Porcentual 142 24 3" xfId="8248" xr:uid="{00000000-0005-0000-0000-000059190000}"/>
    <cellStyle name="Porcentual 142 25" xfId="1914" xr:uid="{00000000-0005-0000-0000-00005A190000}"/>
    <cellStyle name="Porcentual 142 25 2" xfId="5575" xr:uid="{00000000-0005-0000-0000-00005B190000}"/>
    <cellStyle name="Porcentual 142 25 3" xfId="8249" xr:uid="{00000000-0005-0000-0000-00005C190000}"/>
    <cellStyle name="Porcentual 142 26" xfId="1915" xr:uid="{00000000-0005-0000-0000-00005D190000}"/>
    <cellStyle name="Porcentual 142 26 2" xfId="5576" xr:uid="{00000000-0005-0000-0000-00005E190000}"/>
    <cellStyle name="Porcentual 142 26 3" xfId="8250" xr:uid="{00000000-0005-0000-0000-00005F190000}"/>
    <cellStyle name="Porcentual 142 27" xfId="1916" xr:uid="{00000000-0005-0000-0000-000060190000}"/>
    <cellStyle name="Porcentual 142 27 2" xfId="5577" xr:uid="{00000000-0005-0000-0000-000061190000}"/>
    <cellStyle name="Porcentual 142 27 3" xfId="8251" xr:uid="{00000000-0005-0000-0000-000062190000}"/>
    <cellStyle name="Porcentual 142 28" xfId="1917" xr:uid="{00000000-0005-0000-0000-000063190000}"/>
    <cellStyle name="Porcentual 142 28 2" xfId="5578" xr:uid="{00000000-0005-0000-0000-000064190000}"/>
    <cellStyle name="Porcentual 142 28 3" xfId="8252" xr:uid="{00000000-0005-0000-0000-000065190000}"/>
    <cellStyle name="Porcentual 142 3" xfId="1918" xr:uid="{00000000-0005-0000-0000-000066190000}"/>
    <cellStyle name="Porcentual 142 3 2" xfId="5579" xr:uid="{00000000-0005-0000-0000-000067190000}"/>
    <cellStyle name="Porcentual 142 3 3" xfId="8253" xr:uid="{00000000-0005-0000-0000-000068190000}"/>
    <cellStyle name="Porcentual 142 4" xfId="1919" xr:uid="{00000000-0005-0000-0000-000069190000}"/>
    <cellStyle name="Porcentual 142 4 2" xfId="5580" xr:uid="{00000000-0005-0000-0000-00006A190000}"/>
    <cellStyle name="Porcentual 142 4 3" xfId="8254" xr:uid="{00000000-0005-0000-0000-00006B190000}"/>
    <cellStyle name="Porcentual 142 5" xfId="1920" xr:uid="{00000000-0005-0000-0000-00006C190000}"/>
    <cellStyle name="Porcentual 142 5 2" xfId="5581" xr:uid="{00000000-0005-0000-0000-00006D190000}"/>
    <cellStyle name="Porcentual 142 5 3" xfId="8255" xr:uid="{00000000-0005-0000-0000-00006E190000}"/>
    <cellStyle name="Porcentual 142 6" xfId="1921" xr:uid="{00000000-0005-0000-0000-00006F190000}"/>
    <cellStyle name="Porcentual 142 6 2" xfId="5582" xr:uid="{00000000-0005-0000-0000-000070190000}"/>
    <cellStyle name="Porcentual 142 6 3" xfId="8256" xr:uid="{00000000-0005-0000-0000-000071190000}"/>
    <cellStyle name="Porcentual 142 7" xfId="1922" xr:uid="{00000000-0005-0000-0000-000072190000}"/>
    <cellStyle name="Porcentual 142 7 2" xfId="5583" xr:uid="{00000000-0005-0000-0000-000073190000}"/>
    <cellStyle name="Porcentual 142 7 3" xfId="8257" xr:uid="{00000000-0005-0000-0000-000074190000}"/>
    <cellStyle name="Porcentual 142 8" xfId="1923" xr:uid="{00000000-0005-0000-0000-000075190000}"/>
    <cellStyle name="Porcentual 142 8 2" xfId="5584" xr:uid="{00000000-0005-0000-0000-000076190000}"/>
    <cellStyle name="Porcentual 142 8 3" xfId="8258" xr:uid="{00000000-0005-0000-0000-000077190000}"/>
    <cellStyle name="Porcentual 142 9" xfId="1924" xr:uid="{00000000-0005-0000-0000-000078190000}"/>
    <cellStyle name="Porcentual 142 9 2" xfId="5585" xr:uid="{00000000-0005-0000-0000-000079190000}"/>
    <cellStyle name="Porcentual 142 9 3" xfId="8259" xr:uid="{00000000-0005-0000-0000-00007A190000}"/>
    <cellStyle name="Porcentual 143 10" xfId="1925" xr:uid="{00000000-0005-0000-0000-00007B190000}"/>
    <cellStyle name="Porcentual 143 10 2" xfId="5586" xr:uid="{00000000-0005-0000-0000-00007C190000}"/>
    <cellStyle name="Porcentual 143 10 3" xfId="8260" xr:uid="{00000000-0005-0000-0000-00007D190000}"/>
    <cellStyle name="Porcentual 143 11" xfId="1926" xr:uid="{00000000-0005-0000-0000-00007E190000}"/>
    <cellStyle name="Porcentual 143 11 2" xfId="5587" xr:uid="{00000000-0005-0000-0000-00007F190000}"/>
    <cellStyle name="Porcentual 143 11 3" xfId="8261" xr:uid="{00000000-0005-0000-0000-000080190000}"/>
    <cellStyle name="Porcentual 143 12" xfId="1927" xr:uid="{00000000-0005-0000-0000-000081190000}"/>
    <cellStyle name="Porcentual 143 12 2" xfId="5588" xr:uid="{00000000-0005-0000-0000-000082190000}"/>
    <cellStyle name="Porcentual 143 12 3" xfId="8262" xr:uid="{00000000-0005-0000-0000-000083190000}"/>
    <cellStyle name="Porcentual 143 13" xfId="1928" xr:uid="{00000000-0005-0000-0000-000084190000}"/>
    <cellStyle name="Porcentual 143 13 2" xfId="5589" xr:uid="{00000000-0005-0000-0000-000085190000}"/>
    <cellStyle name="Porcentual 143 13 3" xfId="8263" xr:uid="{00000000-0005-0000-0000-000086190000}"/>
    <cellStyle name="Porcentual 143 14" xfId="1929" xr:uid="{00000000-0005-0000-0000-000087190000}"/>
    <cellStyle name="Porcentual 143 14 2" xfId="5590" xr:uid="{00000000-0005-0000-0000-000088190000}"/>
    <cellStyle name="Porcentual 143 14 3" xfId="8264" xr:uid="{00000000-0005-0000-0000-000089190000}"/>
    <cellStyle name="Porcentual 143 15" xfId="1930" xr:uid="{00000000-0005-0000-0000-00008A190000}"/>
    <cellStyle name="Porcentual 143 15 2" xfId="5591" xr:uid="{00000000-0005-0000-0000-00008B190000}"/>
    <cellStyle name="Porcentual 143 15 3" xfId="8265" xr:uid="{00000000-0005-0000-0000-00008C190000}"/>
    <cellStyle name="Porcentual 143 16" xfId="1931" xr:uid="{00000000-0005-0000-0000-00008D190000}"/>
    <cellStyle name="Porcentual 143 16 2" xfId="5592" xr:uid="{00000000-0005-0000-0000-00008E190000}"/>
    <cellStyle name="Porcentual 143 16 3" xfId="8266" xr:uid="{00000000-0005-0000-0000-00008F190000}"/>
    <cellStyle name="Porcentual 143 17" xfId="1932" xr:uid="{00000000-0005-0000-0000-000090190000}"/>
    <cellStyle name="Porcentual 143 17 2" xfId="5593" xr:uid="{00000000-0005-0000-0000-000091190000}"/>
    <cellStyle name="Porcentual 143 17 3" xfId="8267" xr:uid="{00000000-0005-0000-0000-000092190000}"/>
    <cellStyle name="Porcentual 143 18" xfId="1933" xr:uid="{00000000-0005-0000-0000-000093190000}"/>
    <cellStyle name="Porcentual 143 18 2" xfId="5594" xr:uid="{00000000-0005-0000-0000-000094190000}"/>
    <cellStyle name="Porcentual 143 18 3" xfId="8268" xr:uid="{00000000-0005-0000-0000-000095190000}"/>
    <cellStyle name="Porcentual 143 19" xfId="1934" xr:uid="{00000000-0005-0000-0000-000096190000}"/>
    <cellStyle name="Porcentual 143 19 2" xfId="5595" xr:uid="{00000000-0005-0000-0000-000097190000}"/>
    <cellStyle name="Porcentual 143 19 3" xfId="8269" xr:uid="{00000000-0005-0000-0000-000098190000}"/>
    <cellStyle name="Porcentual 143 2" xfId="1935" xr:uid="{00000000-0005-0000-0000-000099190000}"/>
    <cellStyle name="Porcentual 143 2 2" xfId="5596" xr:uid="{00000000-0005-0000-0000-00009A190000}"/>
    <cellStyle name="Porcentual 143 2 3" xfId="8270" xr:uid="{00000000-0005-0000-0000-00009B190000}"/>
    <cellStyle name="Porcentual 143 20" xfId="1936" xr:uid="{00000000-0005-0000-0000-00009C190000}"/>
    <cellStyle name="Porcentual 143 20 2" xfId="5597" xr:uid="{00000000-0005-0000-0000-00009D190000}"/>
    <cellStyle name="Porcentual 143 20 3" xfId="8271" xr:uid="{00000000-0005-0000-0000-00009E190000}"/>
    <cellStyle name="Porcentual 143 21" xfId="1937" xr:uid="{00000000-0005-0000-0000-00009F190000}"/>
    <cellStyle name="Porcentual 143 21 2" xfId="5598" xr:uid="{00000000-0005-0000-0000-0000A0190000}"/>
    <cellStyle name="Porcentual 143 21 3" xfId="8272" xr:uid="{00000000-0005-0000-0000-0000A1190000}"/>
    <cellStyle name="Porcentual 143 22" xfId="1938" xr:uid="{00000000-0005-0000-0000-0000A2190000}"/>
    <cellStyle name="Porcentual 143 22 2" xfId="5599" xr:uid="{00000000-0005-0000-0000-0000A3190000}"/>
    <cellStyle name="Porcentual 143 22 3" xfId="8273" xr:uid="{00000000-0005-0000-0000-0000A4190000}"/>
    <cellStyle name="Porcentual 143 23" xfId="1939" xr:uid="{00000000-0005-0000-0000-0000A5190000}"/>
    <cellStyle name="Porcentual 143 23 2" xfId="5600" xr:uid="{00000000-0005-0000-0000-0000A6190000}"/>
    <cellStyle name="Porcentual 143 23 3" xfId="8274" xr:uid="{00000000-0005-0000-0000-0000A7190000}"/>
    <cellStyle name="Porcentual 143 24" xfId="1940" xr:uid="{00000000-0005-0000-0000-0000A8190000}"/>
    <cellStyle name="Porcentual 143 24 2" xfId="5601" xr:uid="{00000000-0005-0000-0000-0000A9190000}"/>
    <cellStyle name="Porcentual 143 24 3" xfId="8275" xr:uid="{00000000-0005-0000-0000-0000AA190000}"/>
    <cellStyle name="Porcentual 143 25" xfId="1941" xr:uid="{00000000-0005-0000-0000-0000AB190000}"/>
    <cellStyle name="Porcentual 143 25 2" xfId="5602" xr:uid="{00000000-0005-0000-0000-0000AC190000}"/>
    <cellStyle name="Porcentual 143 25 3" xfId="8276" xr:uid="{00000000-0005-0000-0000-0000AD190000}"/>
    <cellStyle name="Porcentual 143 26" xfId="1942" xr:uid="{00000000-0005-0000-0000-0000AE190000}"/>
    <cellStyle name="Porcentual 143 26 2" xfId="5603" xr:uid="{00000000-0005-0000-0000-0000AF190000}"/>
    <cellStyle name="Porcentual 143 26 3" xfId="8277" xr:uid="{00000000-0005-0000-0000-0000B0190000}"/>
    <cellStyle name="Porcentual 143 27" xfId="1943" xr:uid="{00000000-0005-0000-0000-0000B1190000}"/>
    <cellStyle name="Porcentual 143 27 2" xfId="5604" xr:uid="{00000000-0005-0000-0000-0000B2190000}"/>
    <cellStyle name="Porcentual 143 27 3" xfId="8278" xr:uid="{00000000-0005-0000-0000-0000B3190000}"/>
    <cellStyle name="Porcentual 143 28" xfId="1944" xr:uid="{00000000-0005-0000-0000-0000B4190000}"/>
    <cellStyle name="Porcentual 143 28 2" xfId="5605" xr:uid="{00000000-0005-0000-0000-0000B5190000}"/>
    <cellStyle name="Porcentual 143 28 3" xfId="8279" xr:uid="{00000000-0005-0000-0000-0000B6190000}"/>
    <cellStyle name="Porcentual 143 3" xfId="1945" xr:uid="{00000000-0005-0000-0000-0000B7190000}"/>
    <cellStyle name="Porcentual 143 3 2" xfId="5606" xr:uid="{00000000-0005-0000-0000-0000B8190000}"/>
    <cellStyle name="Porcentual 143 3 3" xfId="8280" xr:uid="{00000000-0005-0000-0000-0000B9190000}"/>
    <cellStyle name="Porcentual 143 4" xfId="1946" xr:uid="{00000000-0005-0000-0000-0000BA190000}"/>
    <cellStyle name="Porcentual 143 4 2" xfId="5607" xr:uid="{00000000-0005-0000-0000-0000BB190000}"/>
    <cellStyle name="Porcentual 143 4 3" xfId="8281" xr:uid="{00000000-0005-0000-0000-0000BC190000}"/>
    <cellStyle name="Porcentual 143 5" xfId="1947" xr:uid="{00000000-0005-0000-0000-0000BD190000}"/>
    <cellStyle name="Porcentual 143 5 2" xfId="5608" xr:uid="{00000000-0005-0000-0000-0000BE190000}"/>
    <cellStyle name="Porcentual 143 5 3" xfId="8282" xr:uid="{00000000-0005-0000-0000-0000BF190000}"/>
    <cellStyle name="Porcentual 143 6" xfId="1948" xr:uid="{00000000-0005-0000-0000-0000C0190000}"/>
    <cellStyle name="Porcentual 143 6 2" xfId="5609" xr:uid="{00000000-0005-0000-0000-0000C1190000}"/>
    <cellStyle name="Porcentual 143 6 3" xfId="8283" xr:uid="{00000000-0005-0000-0000-0000C2190000}"/>
    <cellStyle name="Porcentual 143 7" xfId="1949" xr:uid="{00000000-0005-0000-0000-0000C3190000}"/>
    <cellStyle name="Porcentual 143 7 2" xfId="5610" xr:uid="{00000000-0005-0000-0000-0000C4190000}"/>
    <cellStyle name="Porcentual 143 7 3" xfId="8284" xr:uid="{00000000-0005-0000-0000-0000C5190000}"/>
    <cellStyle name="Porcentual 143 8" xfId="1950" xr:uid="{00000000-0005-0000-0000-0000C6190000}"/>
    <cellStyle name="Porcentual 143 8 2" xfId="5611" xr:uid="{00000000-0005-0000-0000-0000C7190000}"/>
    <cellStyle name="Porcentual 143 8 3" xfId="8285" xr:uid="{00000000-0005-0000-0000-0000C8190000}"/>
    <cellStyle name="Porcentual 143 9" xfId="1951" xr:uid="{00000000-0005-0000-0000-0000C9190000}"/>
    <cellStyle name="Porcentual 143 9 2" xfId="5612" xr:uid="{00000000-0005-0000-0000-0000CA190000}"/>
    <cellStyle name="Porcentual 143 9 3" xfId="8286" xr:uid="{00000000-0005-0000-0000-0000CB190000}"/>
    <cellStyle name="Porcentual 144 10" xfId="1952" xr:uid="{00000000-0005-0000-0000-0000CC190000}"/>
    <cellStyle name="Porcentual 144 10 2" xfId="5613" xr:uid="{00000000-0005-0000-0000-0000CD190000}"/>
    <cellStyle name="Porcentual 144 10 3" xfId="8287" xr:uid="{00000000-0005-0000-0000-0000CE190000}"/>
    <cellStyle name="Porcentual 144 11" xfId="1953" xr:uid="{00000000-0005-0000-0000-0000CF190000}"/>
    <cellStyle name="Porcentual 144 11 2" xfId="5614" xr:uid="{00000000-0005-0000-0000-0000D0190000}"/>
    <cellStyle name="Porcentual 144 11 3" xfId="8288" xr:uid="{00000000-0005-0000-0000-0000D1190000}"/>
    <cellStyle name="Porcentual 144 12" xfId="1954" xr:uid="{00000000-0005-0000-0000-0000D2190000}"/>
    <cellStyle name="Porcentual 144 12 2" xfId="5615" xr:uid="{00000000-0005-0000-0000-0000D3190000}"/>
    <cellStyle name="Porcentual 144 12 3" xfId="8289" xr:uid="{00000000-0005-0000-0000-0000D4190000}"/>
    <cellStyle name="Porcentual 144 13" xfId="1955" xr:uid="{00000000-0005-0000-0000-0000D5190000}"/>
    <cellStyle name="Porcentual 144 13 2" xfId="5616" xr:uid="{00000000-0005-0000-0000-0000D6190000}"/>
    <cellStyle name="Porcentual 144 13 3" xfId="8290" xr:uid="{00000000-0005-0000-0000-0000D7190000}"/>
    <cellStyle name="Porcentual 144 14" xfId="1956" xr:uid="{00000000-0005-0000-0000-0000D8190000}"/>
    <cellStyle name="Porcentual 144 14 2" xfId="5617" xr:uid="{00000000-0005-0000-0000-0000D9190000}"/>
    <cellStyle name="Porcentual 144 14 3" xfId="8291" xr:uid="{00000000-0005-0000-0000-0000DA190000}"/>
    <cellStyle name="Porcentual 144 15" xfId="1957" xr:uid="{00000000-0005-0000-0000-0000DB190000}"/>
    <cellStyle name="Porcentual 144 15 2" xfId="5618" xr:uid="{00000000-0005-0000-0000-0000DC190000}"/>
    <cellStyle name="Porcentual 144 15 3" xfId="8292" xr:uid="{00000000-0005-0000-0000-0000DD190000}"/>
    <cellStyle name="Porcentual 144 16" xfId="1958" xr:uid="{00000000-0005-0000-0000-0000DE190000}"/>
    <cellStyle name="Porcentual 144 16 2" xfId="5619" xr:uid="{00000000-0005-0000-0000-0000DF190000}"/>
    <cellStyle name="Porcentual 144 16 3" xfId="8293" xr:uid="{00000000-0005-0000-0000-0000E0190000}"/>
    <cellStyle name="Porcentual 144 17" xfId="1959" xr:uid="{00000000-0005-0000-0000-0000E1190000}"/>
    <cellStyle name="Porcentual 144 17 2" xfId="5620" xr:uid="{00000000-0005-0000-0000-0000E2190000}"/>
    <cellStyle name="Porcentual 144 17 3" xfId="8294" xr:uid="{00000000-0005-0000-0000-0000E3190000}"/>
    <cellStyle name="Porcentual 144 18" xfId="1960" xr:uid="{00000000-0005-0000-0000-0000E4190000}"/>
    <cellStyle name="Porcentual 144 18 2" xfId="5621" xr:uid="{00000000-0005-0000-0000-0000E5190000}"/>
    <cellStyle name="Porcentual 144 18 3" xfId="8295" xr:uid="{00000000-0005-0000-0000-0000E6190000}"/>
    <cellStyle name="Porcentual 144 19" xfId="1961" xr:uid="{00000000-0005-0000-0000-0000E7190000}"/>
    <cellStyle name="Porcentual 144 19 2" xfId="5622" xr:uid="{00000000-0005-0000-0000-0000E8190000}"/>
    <cellStyle name="Porcentual 144 19 3" xfId="8296" xr:uid="{00000000-0005-0000-0000-0000E9190000}"/>
    <cellStyle name="Porcentual 144 2" xfId="1962" xr:uid="{00000000-0005-0000-0000-0000EA190000}"/>
    <cellStyle name="Porcentual 144 2 2" xfId="5623" xr:uid="{00000000-0005-0000-0000-0000EB190000}"/>
    <cellStyle name="Porcentual 144 2 3" xfId="8297" xr:uid="{00000000-0005-0000-0000-0000EC190000}"/>
    <cellStyle name="Porcentual 144 20" xfId="1963" xr:uid="{00000000-0005-0000-0000-0000ED190000}"/>
    <cellStyle name="Porcentual 144 20 2" xfId="5624" xr:uid="{00000000-0005-0000-0000-0000EE190000}"/>
    <cellStyle name="Porcentual 144 20 3" xfId="8298" xr:uid="{00000000-0005-0000-0000-0000EF190000}"/>
    <cellStyle name="Porcentual 144 21" xfId="1964" xr:uid="{00000000-0005-0000-0000-0000F0190000}"/>
    <cellStyle name="Porcentual 144 21 2" xfId="5625" xr:uid="{00000000-0005-0000-0000-0000F1190000}"/>
    <cellStyle name="Porcentual 144 21 3" xfId="8299" xr:uid="{00000000-0005-0000-0000-0000F2190000}"/>
    <cellStyle name="Porcentual 144 22" xfId="1965" xr:uid="{00000000-0005-0000-0000-0000F3190000}"/>
    <cellStyle name="Porcentual 144 22 2" xfId="5626" xr:uid="{00000000-0005-0000-0000-0000F4190000}"/>
    <cellStyle name="Porcentual 144 22 3" xfId="8300" xr:uid="{00000000-0005-0000-0000-0000F5190000}"/>
    <cellStyle name="Porcentual 144 23" xfId="1966" xr:uid="{00000000-0005-0000-0000-0000F6190000}"/>
    <cellStyle name="Porcentual 144 23 2" xfId="5627" xr:uid="{00000000-0005-0000-0000-0000F7190000}"/>
    <cellStyle name="Porcentual 144 23 3" xfId="8301" xr:uid="{00000000-0005-0000-0000-0000F8190000}"/>
    <cellStyle name="Porcentual 144 24" xfId="1967" xr:uid="{00000000-0005-0000-0000-0000F9190000}"/>
    <cellStyle name="Porcentual 144 24 2" xfId="5628" xr:uid="{00000000-0005-0000-0000-0000FA190000}"/>
    <cellStyle name="Porcentual 144 24 3" xfId="8302" xr:uid="{00000000-0005-0000-0000-0000FB190000}"/>
    <cellStyle name="Porcentual 144 25" xfId="1968" xr:uid="{00000000-0005-0000-0000-0000FC190000}"/>
    <cellStyle name="Porcentual 144 25 2" xfId="5629" xr:uid="{00000000-0005-0000-0000-0000FD190000}"/>
    <cellStyle name="Porcentual 144 25 3" xfId="8303" xr:uid="{00000000-0005-0000-0000-0000FE190000}"/>
    <cellStyle name="Porcentual 144 26" xfId="1969" xr:uid="{00000000-0005-0000-0000-0000FF190000}"/>
    <cellStyle name="Porcentual 144 26 2" xfId="5630" xr:uid="{00000000-0005-0000-0000-0000001A0000}"/>
    <cellStyle name="Porcentual 144 26 3" xfId="8304" xr:uid="{00000000-0005-0000-0000-0000011A0000}"/>
    <cellStyle name="Porcentual 144 27" xfId="1970" xr:uid="{00000000-0005-0000-0000-0000021A0000}"/>
    <cellStyle name="Porcentual 144 27 2" xfId="5631" xr:uid="{00000000-0005-0000-0000-0000031A0000}"/>
    <cellStyle name="Porcentual 144 27 3" xfId="8305" xr:uid="{00000000-0005-0000-0000-0000041A0000}"/>
    <cellStyle name="Porcentual 144 28" xfId="1971" xr:uid="{00000000-0005-0000-0000-0000051A0000}"/>
    <cellStyle name="Porcentual 144 28 2" xfId="5632" xr:uid="{00000000-0005-0000-0000-0000061A0000}"/>
    <cellStyle name="Porcentual 144 28 3" xfId="8306" xr:uid="{00000000-0005-0000-0000-0000071A0000}"/>
    <cellStyle name="Porcentual 144 3" xfId="1972" xr:uid="{00000000-0005-0000-0000-0000081A0000}"/>
    <cellStyle name="Porcentual 144 3 2" xfId="5633" xr:uid="{00000000-0005-0000-0000-0000091A0000}"/>
    <cellStyle name="Porcentual 144 3 3" xfId="8307" xr:uid="{00000000-0005-0000-0000-00000A1A0000}"/>
    <cellStyle name="Porcentual 144 4" xfId="1973" xr:uid="{00000000-0005-0000-0000-00000B1A0000}"/>
    <cellStyle name="Porcentual 144 4 2" xfId="5634" xr:uid="{00000000-0005-0000-0000-00000C1A0000}"/>
    <cellStyle name="Porcentual 144 4 3" xfId="8308" xr:uid="{00000000-0005-0000-0000-00000D1A0000}"/>
    <cellStyle name="Porcentual 144 5" xfId="1974" xr:uid="{00000000-0005-0000-0000-00000E1A0000}"/>
    <cellStyle name="Porcentual 144 5 2" xfId="5635" xr:uid="{00000000-0005-0000-0000-00000F1A0000}"/>
    <cellStyle name="Porcentual 144 5 3" xfId="8309" xr:uid="{00000000-0005-0000-0000-0000101A0000}"/>
    <cellStyle name="Porcentual 144 6" xfId="1975" xr:uid="{00000000-0005-0000-0000-0000111A0000}"/>
    <cellStyle name="Porcentual 144 6 2" xfId="5636" xr:uid="{00000000-0005-0000-0000-0000121A0000}"/>
    <cellStyle name="Porcentual 144 6 3" xfId="8310" xr:uid="{00000000-0005-0000-0000-0000131A0000}"/>
    <cellStyle name="Porcentual 144 7" xfId="1976" xr:uid="{00000000-0005-0000-0000-0000141A0000}"/>
    <cellStyle name="Porcentual 144 7 2" xfId="5637" xr:uid="{00000000-0005-0000-0000-0000151A0000}"/>
    <cellStyle name="Porcentual 144 7 3" xfId="8311" xr:uid="{00000000-0005-0000-0000-0000161A0000}"/>
    <cellStyle name="Porcentual 144 8" xfId="1977" xr:uid="{00000000-0005-0000-0000-0000171A0000}"/>
    <cellStyle name="Porcentual 144 8 2" xfId="5638" xr:uid="{00000000-0005-0000-0000-0000181A0000}"/>
    <cellStyle name="Porcentual 144 8 3" xfId="8312" xr:uid="{00000000-0005-0000-0000-0000191A0000}"/>
    <cellStyle name="Porcentual 144 9" xfId="1978" xr:uid="{00000000-0005-0000-0000-00001A1A0000}"/>
    <cellStyle name="Porcentual 144 9 2" xfId="5639" xr:uid="{00000000-0005-0000-0000-00001B1A0000}"/>
    <cellStyle name="Porcentual 144 9 3" xfId="8313" xr:uid="{00000000-0005-0000-0000-00001C1A0000}"/>
    <cellStyle name="Porcentual 145 10" xfId="1979" xr:uid="{00000000-0005-0000-0000-00001D1A0000}"/>
    <cellStyle name="Porcentual 145 10 2" xfId="5640" xr:uid="{00000000-0005-0000-0000-00001E1A0000}"/>
    <cellStyle name="Porcentual 145 10 3" xfId="8314" xr:uid="{00000000-0005-0000-0000-00001F1A0000}"/>
    <cellStyle name="Porcentual 145 11" xfId="1980" xr:uid="{00000000-0005-0000-0000-0000201A0000}"/>
    <cellStyle name="Porcentual 145 11 2" xfId="5641" xr:uid="{00000000-0005-0000-0000-0000211A0000}"/>
    <cellStyle name="Porcentual 145 11 3" xfId="8315" xr:uid="{00000000-0005-0000-0000-0000221A0000}"/>
    <cellStyle name="Porcentual 145 12" xfId="1981" xr:uid="{00000000-0005-0000-0000-0000231A0000}"/>
    <cellStyle name="Porcentual 145 12 2" xfId="5642" xr:uid="{00000000-0005-0000-0000-0000241A0000}"/>
    <cellStyle name="Porcentual 145 12 3" xfId="8316" xr:uid="{00000000-0005-0000-0000-0000251A0000}"/>
    <cellStyle name="Porcentual 145 13" xfId="1982" xr:uid="{00000000-0005-0000-0000-0000261A0000}"/>
    <cellStyle name="Porcentual 145 13 2" xfId="5643" xr:uid="{00000000-0005-0000-0000-0000271A0000}"/>
    <cellStyle name="Porcentual 145 13 3" xfId="8317" xr:uid="{00000000-0005-0000-0000-0000281A0000}"/>
    <cellStyle name="Porcentual 145 14" xfId="1983" xr:uid="{00000000-0005-0000-0000-0000291A0000}"/>
    <cellStyle name="Porcentual 145 14 2" xfId="5644" xr:uid="{00000000-0005-0000-0000-00002A1A0000}"/>
    <cellStyle name="Porcentual 145 14 3" xfId="8318" xr:uid="{00000000-0005-0000-0000-00002B1A0000}"/>
    <cellStyle name="Porcentual 145 15" xfId="1984" xr:uid="{00000000-0005-0000-0000-00002C1A0000}"/>
    <cellStyle name="Porcentual 145 15 2" xfId="5645" xr:uid="{00000000-0005-0000-0000-00002D1A0000}"/>
    <cellStyle name="Porcentual 145 15 3" xfId="8319" xr:uid="{00000000-0005-0000-0000-00002E1A0000}"/>
    <cellStyle name="Porcentual 145 16" xfId="1985" xr:uid="{00000000-0005-0000-0000-00002F1A0000}"/>
    <cellStyle name="Porcentual 145 16 2" xfId="5646" xr:uid="{00000000-0005-0000-0000-0000301A0000}"/>
    <cellStyle name="Porcentual 145 16 3" xfId="8320" xr:uid="{00000000-0005-0000-0000-0000311A0000}"/>
    <cellStyle name="Porcentual 145 17" xfId="1986" xr:uid="{00000000-0005-0000-0000-0000321A0000}"/>
    <cellStyle name="Porcentual 145 17 2" xfId="5647" xr:uid="{00000000-0005-0000-0000-0000331A0000}"/>
    <cellStyle name="Porcentual 145 17 3" xfId="8321" xr:uid="{00000000-0005-0000-0000-0000341A0000}"/>
    <cellStyle name="Porcentual 145 18" xfId="1987" xr:uid="{00000000-0005-0000-0000-0000351A0000}"/>
    <cellStyle name="Porcentual 145 18 2" xfId="5648" xr:uid="{00000000-0005-0000-0000-0000361A0000}"/>
    <cellStyle name="Porcentual 145 18 3" xfId="8322" xr:uid="{00000000-0005-0000-0000-0000371A0000}"/>
    <cellStyle name="Porcentual 145 19" xfId="1988" xr:uid="{00000000-0005-0000-0000-0000381A0000}"/>
    <cellStyle name="Porcentual 145 19 2" xfId="5649" xr:uid="{00000000-0005-0000-0000-0000391A0000}"/>
    <cellStyle name="Porcentual 145 19 3" xfId="8323" xr:uid="{00000000-0005-0000-0000-00003A1A0000}"/>
    <cellStyle name="Porcentual 145 2" xfId="1989" xr:uid="{00000000-0005-0000-0000-00003B1A0000}"/>
    <cellStyle name="Porcentual 145 2 2" xfId="5650" xr:uid="{00000000-0005-0000-0000-00003C1A0000}"/>
    <cellStyle name="Porcentual 145 2 3" xfId="8324" xr:uid="{00000000-0005-0000-0000-00003D1A0000}"/>
    <cellStyle name="Porcentual 145 20" xfId="1990" xr:uid="{00000000-0005-0000-0000-00003E1A0000}"/>
    <cellStyle name="Porcentual 145 20 2" xfId="5651" xr:uid="{00000000-0005-0000-0000-00003F1A0000}"/>
    <cellStyle name="Porcentual 145 20 3" xfId="8325" xr:uid="{00000000-0005-0000-0000-0000401A0000}"/>
    <cellStyle name="Porcentual 145 21" xfId="1991" xr:uid="{00000000-0005-0000-0000-0000411A0000}"/>
    <cellStyle name="Porcentual 145 21 2" xfId="5652" xr:uid="{00000000-0005-0000-0000-0000421A0000}"/>
    <cellStyle name="Porcentual 145 21 3" xfId="8326" xr:uid="{00000000-0005-0000-0000-0000431A0000}"/>
    <cellStyle name="Porcentual 145 22" xfId="1992" xr:uid="{00000000-0005-0000-0000-0000441A0000}"/>
    <cellStyle name="Porcentual 145 22 2" xfId="5653" xr:uid="{00000000-0005-0000-0000-0000451A0000}"/>
    <cellStyle name="Porcentual 145 22 3" xfId="8327" xr:uid="{00000000-0005-0000-0000-0000461A0000}"/>
    <cellStyle name="Porcentual 145 23" xfId="1993" xr:uid="{00000000-0005-0000-0000-0000471A0000}"/>
    <cellStyle name="Porcentual 145 23 2" xfId="5654" xr:uid="{00000000-0005-0000-0000-0000481A0000}"/>
    <cellStyle name="Porcentual 145 23 3" xfId="8328" xr:uid="{00000000-0005-0000-0000-0000491A0000}"/>
    <cellStyle name="Porcentual 145 24" xfId="1994" xr:uid="{00000000-0005-0000-0000-00004A1A0000}"/>
    <cellStyle name="Porcentual 145 24 2" xfId="5655" xr:uid="{00000000-0005-0000-0000-00004B1A0000}"/>
    <cellStyle name="Porcentual 145 24 3" xfId="8329" xr:uid="{00000000-0005-0000-0000-00004C1A0000}"/>
    <cellStyle name="Porcentual 145 25" xfId="1995" xr:uid="{00000000-0005-0000-0000-00004D1A0000}"/>
    <cellStyle name="Porcentual 145 25 2" xfId="5656" xr:uid="{00000000-0005-0000-0000-00004E1A0000}"/>
    <cellStyle name="Porcentual 145 25 3" xfId="8330" xr:uid="{00000000-0005-0000-0000-00004F1A0000}"/>
    <cellStyle name="Porcentual 145 26" xfId="1996" xr:uid="{00000000-0005-0000-0000-0000501A0000}"/>
    <cellStyle name="Porcentual 145 26 2" xfId="5657" xr:uid="{00000000-0005-0000-0000-0000511A0000}"/>
    <cellStyle name="Porcentual 145 26 3" xfId="8331" xr:uid="{00000000-0005-0000-0000-0000521A0000}"/>
    <cellStyle name="Porcentual 145 27" xfId="1997" xr:uid="{00000000-0005-0000-0000-0000531A0000}"/>
    <cellStyle name="Porcentual 145 27 2" xfId="5658" xr:uid="{00000000-0005-0000-0000-0000541A0000}"/>
    <cellStyle name="Porcentual 145 27 3" xfId="8332" xr:uid="{00000000-0005-0000-0000-0000551A0000}"/>
    <cellStyle name="Porcentual 145 28" xfId="1998" xr:uid="{00000000-0005-0000-0000-0000561A0000}"/>
    <cellStyle name="Porcentual 145 28 2" xfId="5659" xr:uid="{00000000-0005-0000-0000-0000571A0000}"/>
    <cellStyle name="Porcentual 145 28 3" xfId="8333" xr:uid="{00000000-0005-0000-0000-0000581A0000}"/>
    <cellStyle name="Porcentual 145 3" xfId="1999" xr:uid="{00000000-0005-0000-0000-0000591A0000}"/>
    <cellStyle name="Porcentual 145 3 2" xfId="5660" xr:uid="{00000000-0005-0000-0000-00005A1A0000}"/>
    <cellStyle name="Porcentual 145 3 3" xfId="8334" xr:uid="{00000000-0005-0000-0000-00005B1A0000}"/>
    <cellStyle name="Porcentual 145 4" xfId="2000" xr:uid="{00000000-0005-0000-0000-00005C1A0000}"/>
    <cellStyle name="Porcentual 145 4 2" xfId="5661" xr:uid="{00000000-0005-0000-0000-00005D1A0000}"/>
    <cellStyle name="Porcentual 145 4 3" xfId="8335" xr:uid="{00000000-0005-0000-0000-00005E1A0000}"/>
    <cellStyle name="Porcentual 145 5" xfId="2001" xr:uid="{00000000-0005-0000-0000-00005F1A0000}"/>
    <cellStyle name="Porcentual 145 5 2" xfId="5662" xr:uid="{00000000-0005-0000-0000-0000601A0000}"/>
    <cellStyle name="Porcentual 145 5 3" xfId="8336" xr:uid="{00000000-0005-0000-0000-0000611A0000}"/>
    <cellStyle name="Porcentual 145 6" xfId="2002" xr:uid="{00000000-0005-0000-0000-0000621A0000}"/>
    <cellStyle name="Porcentual 145 6 2" xfId="5663" xr:uid="{00000000-0005-0000-0000-0000631A0000}"/>
    <cellStyle name="Porcentual 145 6 3" xfId="8337" xr:uid="{00000000-0005-0000-0000-0000641A0000}"/>
    <cellStyle name="Porcentual 145 7" xfId="2003" xr:uid="{00000000-0005-0000-0000-0000651A0000}"/>
    <cellStyle name="Porcentual 145 7 2" xfId="5664" xr:uid="{00000000-0005-0000-0000-0000661A0000}"/>
    <cellStyle name="Porcentual 145 7 3" xfId="8338" xr:uid="{00000000-0005-0000-0000-0000671A0000}"/>
    <cellStyle name="Porcentual 145 8" xfId="2004" xr:uid="{00000000-0005-0000-0000-0000681A0000}"/>
    <cellStyle name="Porcentual 145 8 2" xfId="5665" xr:uid="{00000000-0005-0000-0000-0000691A0000}"/>
    <cellStyle name="Porcentual 145 8 3" xfId="8339" xr:uid="{00000000-0005-0000-0000-00006A1A0000}"/>
    <cellStyle name="Porcentual 145 9" xfId="2005" xr:uid="{00000000-0005-0000-0000-00006B1A0000}"/>
    <cellStyle name="Porcentual 145 9 2" xfId="5666" xr:uid="{00000000-0005-0000-0000-00006C1A0000}"/>
    <cellStyle name="Porcentual 145 9 3" xfId="8340" xr:uid="{00000000-0005-0000-0000-00006D1A0000}"/>
    <cellStyle name="Porcentual 146 10" xfId="2006" xr:uid="{00000000-0005-0000-0000-00006E1A0000}"/>
    <cellStyle name="Porcentual 146 10 2" xfId="5667" xr:uid="{00000000-0005-0000-0000-00006F1A0000}"/>
    <cellStyle name="Porcentual 146 10 3" xfId="8341" xr:uid="{00000000-0005-0000-0000-0000701A0000}"/>
    <cellStyle name="Porcentual 146 11" xfId="2007" xr:uid="{00000000-0005-0000-0000-0000711A0000}"/>
    <cellStyle name="Porcentual 146 11 2" xfId="5668" xr:uid="{00000000-0005-0000-0000-0000721A0000}"/>
    <cellStyle name="Porcentual 146 11 3" xfId="8342" xr:uid="{00000000-0005-0000-0000-0000731A0000}"/>
    <cellStyle name="Porcentual 146 12" xfId="2008" xr:uid="{00000000-0005-0000-0000-0000741A0000}"/>
    <cellStyle name="Porcentual 146 12 2" xfId="5669" xr:uid="{00000000-0005-0000-0000-0000751A0000}"/>
    <cellStyle name="Porcentual 146 12 3" xfId="8343" xr:uid="{00000000-0005-0000-0000-0000761A0000}"/>
    <cellStyle name="Porcentual 146 13" xfId="2009" xr:uid="{00000000-0005-0000-0000-0000771A0000}"/>
    <cellStyle name="Porcentual 146 13 2" xfId="5670" xr:uid="{00000000-0005-0000-0000-0000781A0000}"/>
    <cellStyle name="Porcentual 146 13 3" xfId="8344" xr:uid="{00000000-0005-0000-0000-0000791A0000}"/>
    <cellStyle name="Porcentual 146 14" xfId="2010" xr:uid="{00000000-0005-0000-0000-00007A1A0000}"/>
    <cellStyle name="Porcentual 146 14 2" xfId="5671" xr:uid="{00000000-0005-0000-0000-00007B1A0000}"/>
    <cellStyle name="Porcentual 146 14 3" xfId="8345" xr:uid="{00000000-0005-0000-0000-00007C1A0000}"/>
    <cellStyle name="Porcentual 146 15" xfId="2011" xr:uid="{00000000-0005-0000-0000-00007D1A0000}"/>
    <cellStyle name="Porcentual 146 15 2" xfId="5672" xr:uid="{00000000-0005-0000-0000-00007E1A0000}"/>
    <cellStyle name="Porcentual 146 15 3" xfId="8346" xr:uid="{00000000-0005-0000-0000-00007F1A0000}"/>
    <cellStyle name="Porcentual 146 16" xfId="2012" xr:uid="{00000000-0005-0000-0000-0000801A0000}"/>
    <cellStyle name="Porcentual 146 16 2" xfId="5673" xr:uid="{00000000-0005-0000-0000-0000811A0000}"/>
    <cellStyle name="Porcentual 146 16 3" xfId="8347" xr:uid="{00000000-0005-0000-0000-0000821A0000}"/>
    <cellStyle name="Porcentual 146 17" xfId="2013" xr:uid="{00000000-0005-0000-0000-0000831A0000}"/>
    <cellStyle name="Porcentual 146 17 2" xfId="5674" xr:uid="{00000000-0005-0000-0000-0000841A0000}"/>
    <cellStyle name="Porcentual 146 17 3" xfId="8348" xr:uid="{00000000-0005-0000-0000-0000851A0000}"/>
    <cellStyle name="Porcentual 146 18" xfId="2014" xr:uid="{00000000-0005-0000-0000-0000861A0000}"/>
    <cellStyle name="Porcentual 146 18 2" xfId="5675" xr:uid="{00000000-0005-0000-0000-0000871A0000}"/>
    <cellStyle name="Porcentual 146 18 3" xfId="8349" xr:uid="{00000000-0005-0000-0000-0000881A0000}"/>
    <cellStyle name="Porcentual 146 19" xfId="2015" xr:uid="{00000000-0005-0000-0000-0000891A0000}"/>
    <cellStyle name="Porcentual 146 19 2" xfId="5676" xr:uid="{00000000-0005-0000-0000-00008A1A0000}"/>
    <cellStyle name="Porcentual 146 19 3" xfId="8350" xr:uid="{00000000-0005-0000-0000-00008B1A0000}"/>
    <cellStyle name="Porcentual 146 2" xfId="2016" xr:uid="{00000000-0005-0000-0000-00008C1A0000}"/>
    <cellStyle name="Porcentual 146 2 2" xfId="5677" xr:uid="{00000000-0005-0000-0000-00008D1A0000}"/>
    <cellStyle name="Porcentual 146 2 3" xfId="8351" xr:uid="{00000000-0005-0000-0000-00008E1A0000}"/>
    <cellStyle name="Porcentual 146 20" xfId="2017" xr:uid="{00000000-0005-0000-0000-00008F1A0000}"/>
    <cellStyle name="Porcentual 146 20 2" xfId="5678" xr:uid="{00000000-0005-0000-0000-0000901A0000}"/>
    <cellStyle name="Porcentual 146 20 3" xfId="8352" xr:uid="{00000000-0005-0000-0000-0000911A0000}"/>
    <cellStyle name="Porcentual 146 21" xfId="2018" xr:uid="{00000000-0005-0000-0000-0000921A0000}"/>
    <cellStyle name="Porcentual 146 21 2" xfId="5679" xr:uid="{00000000-0005-0000-0000-0000931A0000}"/>
    <cellStyle name="Porcentual 146 21 3" xfId="8353" xr:uid="{00000000-0005-0000-0000-0000941A0000}"/>
    <cellStyle name="Porcentual 146 22" xfId="2019" xr:uid="{00000000-0005-0000-0000-0000951A0000}"/>
    <cellStyle name="Porcentual 146 22 2" xfId="5680" xr:uid="{00000000-0005-0000-0000-0000961A0000}"/>
    <cellStyle name="Porcentual 146 22 3" xfId="8354" xr:uid="{00000000-0005-0000-0000-0000971A0000}"/>
    <cellStyle name="Porcentual 146 23" xfId="2020" xr:uid="{00000000-0005-0000-0000-0000981A0000}"/>
    <cellStyle name="Porcentual 146 23 2" xfId="5681" xr:uid="{00000000-0005-0000-0000-0000991A0000}"/>
    <cellStyle name="Porcentual 146 23 3" xfId="8355" xr:uid="{00000000-0005-0000-0000-00009A1A0000}"/>
    <cellStyle name="Porcentual 146 24" xfId="2021" xr:uid="{00000000-0005-0000-0000-00009B1A0000}"/>
    <cellStyle name="Porcentual 146 24 2" xfId="5682" xr:uid="{00000000-0005-0000-0000-00009C1A0000}"/>
    <cellStyle name="Porcentual 146 24 3" xfId="8356" xr:uid="{00000000-0005-0000-0000-00009D1A0000}"/>
    <cellStyle name="Porcentual 146 25" xfId="2022" xr:uid="{00000000-0005-0000-0000-00009E1A0000}"/>
    <cellStyle name="Porcentual 146 25 2" xfId="5683" xr:uid="{00000000-0005-0000-0000-00009F1A0000}"/>
    <cellStyle name="Porcentual 146 25 3" xfId="8357" xr:uid="{00000000-0005-0000-0000-0000A01A0000}"/>
    <cellStyle name="Porcentual 146 26" xfId="2023" xr:uid="{00000000-0005-0000-0000-0000A11A0000}"/>
    <cellStyle name="Porcentual 146 26 2" xfId="5684" xr:uid="{00000000-0005-0000-0000-0000A21A0000}"/>
    <cellStyle name="Porcentual 146 26 3" xfId="8358" xr:uid="{00000000-0005-0000-0000-0000A31A0000}"/>
    <cellStyle name="Porcentual 146 27" xfId="2024" xr:uid="{00000000-0005-0000-0000-0000A41A0000}"/>
    <cellStyle name="Porcentual 146 27 2" xfId="5685" xr:uid="{00000000-0005-0000-0000-0000A51A0000}"/>
    <cellStyle name="Porcentual 146 27 3" xfId="8359" xr:uid="{00000000-0005-0000-0000-0000A61A0000}"/>
    <cellStyle name="Porcentual 146 28" xfId="2025" xr:uid="{00000000-0005-0000-0000-0000A71A0000}"/>
    <cellStyle name="Porcentual 146 28 2" xfId="5686" xr:uid="{00000000-0005-0000-0000-0000A81A0000}"/>
    <cellStyle name="Porcentual 146 28 3" xfId="8360" xr:uid="{00000000-0005-0000-0000-0000A91A0000}"/>
    <cellStyle name="Porcentual 146 3" xfId="2026" xr:uid="{00000000-0005-0000-0000-0000AA1A0000}"/>
    <cellStyle name="Porcentual 146 3 2" xfId="5687" xr:uid="{00000000-0005-0000-0000-0000AB1A0000}"/>
    <cellStyle name="Porcentual 146 3 3" xfId="8361" xr:uid="{00000000-0005-0000-0000-0000AC1A0000}"/>
    <cellStyle name="Porcentual 146 4" xfId="2027" xr:uid="{00000000-0005-0000-0000-0000AD1A0000}"/>
    <cellStyle name="Porcentual 146 4 2" xfId="5688" xr:uid="{00000000-0005-0000-0000-0000AE1A0000}"/>
    <cellStyle name="Porcentual 146 4 3" xfId="8362" xr:uid="{00000000-0005-0000-0000-0000AF1A0000}"/>
    <cellStyle name="Porcentual 146 5" xfId="2028" xr:uid="{00000000-0005-0000-0000-0000B01A0000}"/>
    <cellStyle name="Porcentual 146 5 2" xfId="5689" xr:uid="{00000000-0005-0000-0000-0000B11A0000}"/>
    <cellStyle name="Porcentual 146 5 3" xfId="8363" xr:uid="{00000000-0005-0000-0000-0000B21A0000}"/>
    <cellStyle name="Porcentual 146 6" xfId="2029" xr:uid="{00000000-0005-0000-0000-0000B31A0000}"/>
    <cellStyle name="Porcentual 146 6 2" xfId="5690" xr:uid="{00000000-0005-0000-0000-0000B41A0000}"/>
    <cellStyle name="Porcentual 146 6 3" xfId="8364" xr:uid="{00000000-0005-0000-0000-0000B51A0000}"/>
    <cellStyle name="Porcentual 146 7" xfId="2030" xr:uid="{00000000-0005-0000-0000-0000B61A0000}"/>
    <cellStyle name="Porcentual 146 7 2" xfId="5691" xr:uid="{00000000-0005-0000-0000-0000B71A0000}"/>
    <cellStyle name="Porcentual 146 7 3" xfId="8365" xr:uid="{00000000-0005-0000-0000-0000B81A0000}"/>
    <cellStyle name="Porcentual 146 8" xfId="2031" xr:uid="{00000000-0005-0000-0000-0000B91A0000}"/>
    <cellStyle name="Porcentual 146 8 2" xfId="5692" xr:uid="{00000000-0005-0000-0000-0000BA1A0000}"/>
    <cellStyle name="Porcentual 146 8 3" xfId="8366" xr:uid="{00000000-0005-0000-0000-0000BB1A0000}"/>
    <cellStyle name="Porcentual 146 9" xfId="2032" xr:uid="{00000000-0005-0000-0000-0000BC1A0000}"/>
    <cellStyle name="Porcentual 146 9 2" xfId="5693" xr:uid="{00000000-0005-0000-0000-0000BD1A0000}"/>
    <cellStyle name="Porcentual 146 9 3" xfId="8367" xr:uid="{00000000-0005-0000-0000-0000BE1A0000}"/>
    <cellStyle name="Porcentual 147 10" xfId="2033" xr:uid="{00000000-0005-0000-0000-0000BF1A0000}"/>
    <cellStyle name="Porcentual 147 10 2" xfId="5694" xr:uid="{00000000-0005-0000-0000-0000C01A0000}"/>
    <cellStyle name="Porcentual 147 10 3" xfId="8368" xr:uid="{00000000-0005-0000-0000-0000C11A0000}"/>
    <cellStyle name="Porcentual 147 11" xfId="2034" xr:uid="{00000000-0005-0000-0000-0000C21A0000}"/>
    <cellStyle name="Porcentual 147 11 2" xfId="5695" xr:uid="{00000000-0005-0000-0000-0000C31A0000}"/>
    <cellStyle name="Porcentual 147 11 3" xfId="8369" xr:uid="{00000000-0005-0000-0000-0000C41A0000}"/>
    <cellStyle name="Porcentual 147 12" xfId="2035" xr:uid="{00000000-0005-0000-0000-0000C51A0000}"/>
    <cellStyle name="Porcentual 147 12 2" xfId="5696" xr:uid="{00000000-0005-0000-0000-0000C61A0000}"/>
    <cellStyle name="Porcentual 147 12 3" xfId="8370" xr:uid="{00000000-0005-0000-0000-0000C71A0000}"/>
    <cellStyle name="Porcentual 147 13" xfId="2036" xr:uid="{00000000-0005-0000-0000-0000C81A0000}"/>
    <cellStyle name="Porcentual 147 13 2" xfId="5697" xr:uid="{00000000-0005-0000-0000-0000C91A0000}"/>
    <cellStyle name="Porcentual 147 13 3" xfId="8371" xr:uid="{00000000-0005-0000-0000-0000CA1A0000}"/>
    <cellStyle name="Porcentual 147 14" xfId="2037" xr:uid="{00000000-0005-0000-0000-0000CB1A0000}"/>
    <cellStyle name="Porcentual 147 14 2" xfId="5698" xr:uid="{00000000-0005-0000-0000-0000CC1A0000}"/>
    <cellStyle name="Porcentual 147 14 3" xfId="8372" xr:uid="{00000000-0005-0000-0000-0000CD1A0000}"/>
    <cellStyle name="Porcentual 147 15" xfId="2038" xr:uid="{00000000-0005-0000-0000-0000CE1A0000}"/>
    <cellStyle name="Porcentual 147 15 2" xfId="5699" xr:uid="{00000000-0005-0000-0000-0000CF1A0000}"/>
    <cellStyle name="Porcentual 147 15 3" xfId="8373" xr:uid="{00000000-0005-0000-0000-0000D01A0000}"/>
    <cellStyle name="Porcentual 147 16" xfId="2039" xr:uid="{00000000-0005-0000-0000-0000D11A0000}"/>
    <cellStyle name="Porcentual 147 16 2" xfId="5700" xr:uid="{00000000-0005-0000-0000-0000D21A0000}"/>
    <cellStyle name="Porcentual 147 16 3" xfId="8374" xr:uid="{00000000-0005-0000-0000-0000D31A0000}"/>
    <cellStyle name="Porcentual 147 17" xfId="2040" xr:uid="{00000000-0005-0000-0000-0000D41A0000}"/>
    <cellStyle name="Porcentual 147 17 2" xfId="5701" xr:uid="{00000000-0005-0000-0000-0000D51A0000}"/>
    <cellStyle name="Porcentual 147 17 3" xfId="8375" xr:uid="{00000000-0005-0000-0000-0000D61A0000}"/>
    <cellStyle name="Porcentual 147 18" xfId="2041" xr:uid="{00000000-0005-0000-0000-0000D71A0000}"/>
    <cellStyle name="Porcentual 147 18 2" xfId="5702" xr:uid="{00000000-0005-0000-0000-0000D81A0000}"/>
    <cellStyle name="Porcentual 147 18 3" xfId="8376" xr:uid="{00000000-0005-0000-0000-0000D91A0000}"/>
    <cellStyle name="Porcentual 147 19" xfId="2042" xr:uid="{00000000-0005-0000-0000-0000DA1A0000}"/>
    <cellStyle name="Porcentual 147 19 2" xfId="5703" xr:uid="{00000000-0005-0000-0000-0000DB1A0000}"/>
    <cellStyle name="Porcentual 147 19 3" xfId="8377" xr:uid="{00000000-0005-0000-0000-0000DC1A0000}"/>
    <cellStyle name="Porcentual 147 2" xfId="2043" xr:uid="{00000000-0005-0000-0000-0000DD1A0000}"/>
    <cellStyle name="Porcentual 147 2 2" xfId="5704" xr:uid="{00000000-0005-0000-0000-0000DE1A0000}"/>
    <cellStyle name="Porcentual 147 2 3" xfId="8378" xr:uid="{00000000-0005-0000-0000-0000DF1A0000}"/>
    <cellStyle name="Porcentual 147 20" xfId="2044" xr:uid="{00000000-0005-0000-0000-0000E01A0000}"/>
    <cellStyle name="Porcentual 147 20 2" xfId="5705" xr:uid="{00000000-0005-0000-0000-0000E11A0000}"/>
    <cellStyle name="Porcentual 147 20 3" xfId="8379" xr:uid="{00000000-0005-0000-0000-0000E21A0000}"/>
    <cellStyle name="Porcentual 147 21" xfId="2045" xr:uid="{00000000-0005-0000-0000-0000E31A0000}"/>
    <cellStyle name="Porcentual 147 21 2" xfId="5706" xr:uid="{00000000-0005-0000-0000-0000E41A0000}"/>
    <cellStyle name="Porcentual 147 21 3" xfId="8380" xr:uid="{00000000-0005-0000-0000-0000E51A0000}"/>
    <cellStyle name="Porcentual 147 22" xfId="2046" xr:uid="{00000000-0005-0000-0000-0000E61A0000}"/>
    <cellStyle name="Porcentual 147 22 2" xfId="5707" xr:uid="{00000000-0005-0000-0000-0000E71A0000}"/>
    <cellStyle name="Porcentual 147 22 3" xfId="8381" xr:uid="{00000000-0005-0000-0000-0000E81A0000}"/>
    <cellStyle name="Porcentual 147 23" xfId="2047" xr:uid="{00000000-0005-0000-0000-0000E91A0000}"/>
    <cellStyle name="Porcentual 147 23 2" xfId="5708" xr:uid="{00000000-0005-0000-0000-0000EA1A0000}"/>
    <cellStyle name="Porcentual 147 23 3" xfId="8382" xr:uid="{00000000-0005-0000-0000-0000EB1A0000}"/>
    <cellStyle name="Porcentual 147 24" xfId="2048" xr:uid="{00000000-0005-0000-0000-0000EC1A0000}"/>
    <cellStyle name="Porcentual 147 24 2" xfId="5709" xr:uid="{00000000-0005-0000-0000-0000ED1A0000}"/>
    <cellStyle name="Porcentual 147 24 3" xfId="8383" xr:uid="{00000000-0005-0000-0000-0000EE1A0000}"/>
    <cellStyle name="Porcentual 147 25" xfId="2049" xr:uid="{00000000-0005-0000-0000-0000EF1A0000}"/>
    <cellStyle name="Porcentual 147 25 2" xfId="5710" xr:uid="{00000000-0005-0000-0000-0000F01A0000}"/>
    <cellStyle name="Porcentual 147 25 3" xfId="8384" xr:uid="{00000000-0005-0000-0000-0000F11A0000}"/>
    <cellStyle name="Porcentual 147 26" xfId="2050" xr:uid="{00000000-0005-0000-0000-0000F21A0000}"/>
    <cellStyle name="Porcentual 147 26 2" xfId="5711" xr:uid="{00000000-0005-0000-0000-0000F31A0000}"/>
    <cellStyle name="Porcentual 147 26 3" xfId="8385" xr:uid="{00000000-0005-0000-0000-0000F41A0000}"/>
    <cellStyle name="Porcentual 147 27" xfId="2051" xr:uid="{00000000-0005-0000-0000-0000F51A0000}"/>
    <cellStyle name="Porcentual 147 27 2" xfId="5712" xr:uid="{00000000-0005-0000-0000-0000F61A0000}"/>
    <cellStyle name="Porcentual 147 27 3" xfId="8386" xr:uid="{00000000-0005-0000-0000-0000F71A0000}"/>
    <cellStyle name="Porcentual 147 28" xfId="2052" xr:uid="{00000000-0005-0000-0000-0000F81A0000}"/>
    <cellStyle name="Porcentual 147 28 2" xfId="5713" xr:uid="{00000000-0005-0000-0000-0000F91A0000}"/>
    <cellStyle name="Porcentual 147 28 3" xfId="8387" xr:uid="{00000000-0005-0000-0000-0000FA1A0000}"/>
    <cellStyle name="Porcentual 147 3" xfId="2053" xr:uid="{00000000-0005-0000-0000-0000FB1A0000}"/>
    <cellStyle name="Porcentual 147 3 2" xfId="5714" xr:uid="{00000000-0005-0000-0000-0000FC1A0000}"/>
    <cellStyle name="Porcentual 147 3 3" xfId="8388" xr:uid="{00000000-0005-0000-0000-0000FD1A0000}"/>
    <cellStyle name="Porcentual 147 4" xfId="2054" xr:uid="{00000000-0005-0000-0000-0000FE1A0000}"/>
    <cellStyle name="Porcentual 147 4 2" xfId="5715" xr:uid="{00000000-0005-0000-0000-0000FF1A0000}"/>
    <cellStyle name="Porcentual 147 4 3" xfId="8389" xr:uid="{00000000-0005-0000-0000-0000001B0000}"/>
    <cellStyle name="Porcentual 147 5" xfId="2055" xr:uid="{00000000-0005-0000-0000-0000011B0000}"/>
    <cellStyle name="Porcentual 147 5 2" xfId="5716" xr:uid="{00000000-0005-0000-0000-0000021B0000}"/>
    <cellStyle name="Porcentual 147 5 3" xfId="8390" xr:uid="{00000000-0005-0000-0000-0000031B0000}"/>
    <cellStyle name="Porcentual 147 6" xfId="2056" xr:uid="{00000000-0005-0000-0000-0000041B0000}"/>
    <cellStyle name="Porcentual 147 6 2" xfId="5717" xr:uid="{00000000-0005-0000-0000-0000051B0000}"/>
    <cellStyle name="Porcentual 147 6 3" xfId="8391" xr:uid="{00000000-0005-0000-0000-0000061B0000}"/>
    <cellStyle name="Porcentual 147 7" xfId="2057" xr:uid="{00000000-0005-0000-0000-0000071B0000}"/>
    <cellStyle name="Porcentual 147 7 2" xfId="5718" xr:uid="{00000000-0005-0000-0000-0000081B0000}"/>
    <cellStyle name="Porcentual 147 7 3" xfId="8392" xr:uid="{00000000-0005-0000-0000-0000091B0000}"/>
    <cellStyle name="Porcentual 147 8" xfId="2058" xr:uid="{00000000-0005-0000-0000-00000A1B0000}"/>
    <cellStyle name="Porcentual 147 8 2" xfId="5719" xr:uid="{00000000-0005-0000-0000-00000B1B0000}"/>
    <cellStyle name="Porcentual 147 8 3" xfId="8393" xr:uid="{00000000-0005-0000-0000-00000C1B0000}"/>
    <cellStyle name="Porcentual 147 9" xfId="2059" xr:uid="{00000000-0005-0000-0000-00000D1B0000}"/>
    <cellStyle name="Porcentual 147 9 2" xfId="5720" xr:uid="{00000000-0005-0000-0000-00000E1B0000}"/>
    <cellStyle name="Porcentual 147 9 3" xfId="8394" xr:uid="{00000000-0005-0000-0000-00000F1B0000}"/>
    <cellStyle name="Porcentual 149 10" xfId="2060" xr:uid="{00000000-0005-0000-0000-0000101B0000}"/>
    <cellStyle name="Porcentual 149 10 2" xfId="5721" xr:uid="{00000000-0005-0000-0000-0000111B0000}"/>
    <cellStyle name="Porcentual 149 10 3" xfId="8395" xr:uid="{00000000-0005-0000-0000-0000121B0000}"/>
    <cellStyle name="Porcentual 149 11" xfId="2061" xr:uid="{00000000-0005-0000-0000-0000131B0000}"/>
    <cellStyle name="Porcentual 149 11 2" xfId="5722" xr:uid="{00000000-0005-0000-0000-0000141B0000}"/>
    <cellStyle name="Porcentual 149 11 3" xfId="8396" xr:uid="{00000000-0005-0000-0000-0000151B0000}"/>
    <cellStyle name="Porcentual 149 12" xfId="2062" xr:uid="{00000000-0005-0000-0000-0000161B0000}"/>
    <cellStyle name="Porcentual 149 12 2" xfId="5723" xr:uid="{00000000-0005-0000-0000-0000171B0000}"/>
    <cellStyle name="Porcentual 149 12 3" xfId="8397" xr:uid="{00000000-0005-0000-0000-0000181B0000}"/>
    <cellStyle name="Porcentual 149 13" xfId="2063" xr:uid="{00000000-0005-0000-0000-0000191B0000}"/>
    <cellStyle name="Porcentual 149 13 2" xfId="5724" xr:uid="{00000000-0005-0000-0000-00001A1B0000}"/>
    <cellStyle name="Porcentual 149 13 3" xfId="8398" xr:uid="{00000000-0005-0000-0000-00001B1B0000}"/>
    <cellStyle name="Porcentual 149 14" xfId="2064" xr:uid="{00000000-0005-0000-0000-00001C1B0000}"/>
    <cellStyle name="Porcentual 149 14 2" xfId="5725" xr:uid="{00000000-0005-0000-0000-00001D1B0000}"/>
    <cellStyle name="Porcentual 149 14 3" xfId="8399" xr:uid="{00000000-0005-0000-0000-00001E1B0000}"/>
    <cellStyle name="Porcentual 149 15" xfId="2065" xr:uid="{00000000-0005-0000-0000-00001F1B0000}"/>
    <cellStyle name="Porcentual 149 15 2" xfId="5726" xr:uid="{00000000-0005-0000-0000-0000201B0000}"/>
    <cellStyle name="Porcentual 149 15 3" xfId="8400" xr:uid="{00000000-0005-0000-0000-0000211B0000}"/>
    <cellStyle name="Porcentual 149 16" xfId="2066" xr:uid="{00000000-0005-0000-0000-0000221B0000}"/>
    <cellStyle name="Porcentual 149 16 2" xfId="5727" xr:uid="{00000000-0005-0000-0000-0000231B0000}"/>
    <cellStyle name="Porcentual 149 16 3" xfId="8401" xr:uid="{00000000-0005-0000-0000-0000241B0000}"/>
    <cellStyle name="Porcentual 149 17" xfId="2067" xr:uid="{00000000-0005-0000-0000-0000251B0000}"/>
    <cellStyle name="Porcentual 149 17 2" xfId="5728" xr:uid="{00000000-0005-0000-0000-0000261B0000}"/>
    <cellStyle name="Porcentual 149 17 3" xfId="8402" xr:uid="{00000000-0005-0000-0000-0000271B0000}"/>
    <cellStyle name="Porcentual 149 18" xfId="2068" xr:uid="{00000000-0005-0000-0000-0000281B0000}"/>
    <cellStyle name="Porcentual 149 18 2" xfId="5729" xr:uid="{00000000-0005-0000-0000-0000291B0000}"/>
    <cellStyle name="Porcentual 149 18 3" xfId="8403" xr:uid="{00000000-0005-0000-0000-00002A1B0000}"/>
    <cellStyle name="Porcentual 149 19" xfId="2069" xr:uid="{00000000-0005-0000-0000-00002B1B0000}"/>
    <cellStyle name="Porcentual 149 19 2" xfId="5730" xr:uid="{00000000-0005-0000-0000-00002C1B0000}"/>
    <cellStyle name="Porcentual 149 19 3" xfId="8404" xr:uid="{00000000-0005-0000-0000-00002D1B0000}"/>
    <cellStyle name="Porcentual 149 2" xfId="2070" xr:uid="{00000000-0005-0000-0000-00002E1B0000}"/>
    <cellStyle name="Porcentual 149 2 2" xfId="5731" xr:uid="{00000000-0005-0000-0000-00002F1B0000}"/>
    <cellStyle name="Porcentual 149 2 3" xfId="8405" xr:uid="{00000000-0005-0000-0000-0000301B0000}"/>
    <cellStyle name="Porcentual 149 20" xfId="2071" xr:uid="{00000000-0005-0000-0000-0000311B0000}"/>
    <cellStyle name="Porcentual 149 20 2" xfId="5732" xr:uid="{00000000-0005-0000-0000-0000321B0000}"/>
    <cellStyle name="Porcentual 149 20 3" xfId="8406" xr:uid="{00000000-0005-0000-0000-0000331B0000}"/>
    <cellStyle name="Porcentual 149 21" xfId="2072" xr:uid="{00000000-0005-0000-0000-0000341B0000}"/>
    <cellStyle name="Porcentual 149 21 2" xfId="5733" xr:uid="{00000000-0005-0000-0000-0000351B0000}"/>
    <cellStyle name="Porcentual 149 21 3" xfId="8407" xr:uid="{00000000-0005-0000-0000-0000361B0000}"/>
    <cellStyle name="Porcentual 149 22" xfId="2073" xr:uid="{00000000-0005-0000-0000-0000371B0000}"/>
    <cellStyle name="Porcentual 149 22 2" xfId="5734" xr:uid="{00000000-0005-0000-0000-0000381B0000}"/>
    <cellStyle name="Porcentual 149 22 3" xfId="8408" xr:uid="{00000000-0005-0000-0000-0000391B0000}"/>
    <cellStyle name="Porcentual 149 23" xfId="2074" xr:uid="{00000000-0005-0000-0000-00003A1B0000}"/>
    <cellStyle name="Porcentual 149 23 2" xfId="5735" xr:uid="{00000000-0005-0000-0000-00003B1B0000}"/>
    <cellStyle name="Porcentual 149 23 3" xfId="8409" xr:uid="{00000000-0005-0000-0000-00003C1B0000}"/>
    <cellStyle name="Porcentual 149 24" xfId="2075" xr:uid="{00000000-0005-0000-0000-00003D1B0000}"/>
    <cellStyle name="Porcentual 149 24 2" xfId="5736" xr:uid="{00000000-0005-0000-0000-00003E1B0000}"/>
    <cellStyle name="Porcentual 149 24 3" xfId="8410" xr:uid="{00000000-0005-0000-0000-00003F1B0000}"/>
    <cellStyle name="Porcentual 149 25" xfId="2076" xr:uid="{00000000-0005-0000-0000-0000401B0000}"/>
    <cellStyle name="Porcentual 149 25 2" xfId="5737" xr:uid="{00000000-0005-0000-0000-0000411B0000}"/>
    <cellStyle name="Porcentual 149 25 3" xfId="8411" xr:uid="{00000000-0005-0000-0000-0000421B0000}"/>
    <cellStyle name="Porcentual 149 26" xfId="2077" xr:uid="{00000000-0005-0000-0000-0000431B0000}"/>
    <cellStyle name="Porcentual 149 26 2" xfId="5738" xr:uid="{00000000-0005-0000-0000-0000441B0000}"/>
    <cellStyle name="Porcentual 149 26 3" xfId="8412" xr:uid="{00000000-0005-0000-0000-0000451B0000}"/>
    <cellStyle name="Porcentual 149 27" xfId="2078" xr:uid="{00000000-0005-0000-0000-0000461B0000}"/>
    <cellStyle name="Porcentual 149 27 2" xfId="5739" xr:uid="{00000000-0005-0000-0000-0000471B0000}"/>
    <cellStyle name="Porcentual 149 27 3" xfId="8413" xr:uid="{00000000-0005-0000-0000-0000481B0000}"/>
    <cellStyle name="Porcentual 149 28" xfId="2079" xr:uid="{00000000-0005-0000-0000-0000491B0000}"/>
    <cellStyle name="Porcentual 149 28 2" xfId="5740" xr:uid="{00000000-0005-0000-0000-00004A1B0000}"/>
    <cellStyle name="Porcentual 149 28 3" xfId="8414" xr:uid="{00000000-0005-0000-0000-00004B1B0000}"/>
    <cellStyle name="Porcentual 149 3" xfId="2080" xr:uid="{00000000-0005-0000-0000-00004C1B0000}"/>
    <cellStyle name="Porcentual 149 3 2" xfId="5741" xr:uid="{00000000-0005-0000-0000-00004D1B0000}"/>
    <cellStyle name="Porcentual 149 3 3" xfId="8415" xr:uid="{00000000-0005-0000-0000-00004E1B0000}"/>
    <cellStyle name="Porcentual 149 4" xfId="2081" xr:uid="{00000000-0005-0000-0000-00004F1B0000}"/>
    <cellStyle name="Porcentual 149 4 2" xfId="5742" xr:uid="{00000000-0005-0000-0000-0000501B0000}"/>
    <cellStyle name="Porcentual 149 4 3" xfId="8416" xr:uid="{00000000-0005-0000-0000-0000511B0000}"/>
    <cellStyle name="Porcentual 149 5" xfId="2082" xr:uid="{00000000-0005-0000-0000-0000521B0000}"/>
    <cellStyle name="Porcentual 149 5 2" xfId="5743" xr:uid="{00000000-0005-0000-0000-0000531B0000}"/>
    <cellStyle name="Porcentual 149 5 3" xfId="8417" xr:uid="{00000000-0005-0000-0000-0000541B0000}"/>
    <cellStyle name="Porcentual 149 6" xfId="2083" xr:uid="{00000000-0005-0000-0000-0000551B0000}"/>
    <cellStyle name="Porcentual 149 6 2" xfId="5744" xr:uid="{00000000-0005-0000-0000-0000561B0000}"/>
    <cellStyle name="Porcentual 149 6 3" xfId="8418" xr:uid="{00000000-0005-0000-0000-0000571B0000}"/>
    <cellStyle name="Porcentual 149 7" xfId="2084" xr:uid="{00000000-0005-0000-0000-0000581B0000}"/>
    <cellStyle name="Porcentual 149 7 2" xfId="5745" xr:uid="{00000000-0005-0000-0000-0000591B0000}"/>
    <cellStyle name="Porcentual 149 7 3" xfId="8419" xr:uid="{00000000-0005-0000-0000-00005A1B0000}"/>
    <cellStyle name="Porcentual 149 8" xfId="2085" xr:uid="{00000000-0005-0000-0000-00005B1B0000}"/>
    <cellStyle name="Porcentual 149 8 2" xfId="5746" xr:uid="{00000000-0005-0000-0000-00005C1B0000}"/>
    <cellStyle name="Porcentual 149 8 3" xfId="8420" xr:uid="{00000000-0005-0000-0000-00005D1B0000}"/>
    <cellStyle name="Porcentual 149 9" xfId="2086" xr:uid="{00000000-0005-0000-0000-00005E1B0000}"/>
    <cellStyle name="Porcentual 149 9 2" xfId="5747" xr:uid="{00000000-0005-0000-0000-00005F1B0000}"/>
    <cellStyle name="Porcentual 149 9 3" xfId="8421" xr:uid="{00000000-0005-0000-0000-0000601B0000}"/>
    <cellStyle name="Porcentual 15" xfId="2087" xr:uid="{00000000-0005-0000-0000-0000611B0000}"/>
    <cellStyle name="Porcentual 15 2" xfId="5748" xr:uid="{00000000-0005-0000-0000-0000621B0000}"/>
    <cellStyle name="Porcentual 15 2 2" xfId="9788" xr:uid="{00000000-0005-0000-0000-0000631B0000}"/>
    <cellStyle name="Porcentual 15 2 2 2" xfId="10487" xr:uid="{00000000-0005-0000-0000-0000641B0000}"/>
    <cellStyle name="Porcentual 15 2 2 2 2" xfId="12222" xr:uid="{00000000-0005-0000-0000-0000651B0000}"/>
    <cellStyle name="Porcentual 15 2 2 3" xfId="11575" xr:uid="{00000000-0005-0000-0000-0000661B0000}"/>
    <cellStyle name="Porcentual 15 2 3" xfId="10196" xr:uid="{00000000-0005-0000-0000-0000671B0000}"/>
    <cellStyle name="Porcentual 15 2 3 2" xfId="11932" xr:uid="{00000000-0005-0000-0000-0000681B0000}"/>
    <cellStyle name="Porcentual 15 2 4" xfId="11210" xr:uid="{00000000-0005-0000-0000-0000691B0000}"/>
    <cellStyle name="Porcentual 15 3" xfId="5749" xr:uid="{00000000-0005-0000-0000-00006A1B0000}"/>
    <cellStyle name="Porcentual 15 3 2" xfId="9789" xr:uid="{00000000-0005-0000-0000-00006B1B0000}"/>
    <cellStyle name="Porcentual 15 3 2 2" xfId="10488" xr:uid="{00000000-0005-0000-0000-00006C1B0000}"/>
    <cellStyle name="Porcentual 15 3 2 2 2" xfId="12223" xr:uid="{00000000-0005-0000-0000-00006D1B0000}"/>
    <cellStyle name="Porcentual 15 3 2 3" xfId="11576" xr:uid="{00000000-0005-0000-0000-00006E1B0000}"/>
    <cellStyle name="Porcentual 15 3 3" xfId="10197" xr:uid="{00000000-0005-0000-0000-00006F1B0000}"/>
    <cellStyle name="Porcentual 15 3 3 2" xfId="11933" xr:uid="{00000000-0005-0000-0000-0000701B0000}"/>
    <cellStyle name="Porcentual 15 3 4" xfId="11211" xr:uid="{00000000-0005-0000-0000-0000711B0000}"/>
    <cellStyle name="Porcentual 15 4" xfId="8422" xr:uid="{00000000-0005-0000-0000-0000721B0000}"/>
    <cellStyle name="Porcentual 150 10" xfId="2088" xr:uid="{00000000-0005-0000-0000-0000731B0000}"/>
    <cellStyle name="Porcentual 150 10 2" xfId="5750" xr:uid="{00000000-0005-0000-0000-0000741B0000}"/>
    <cellStyle name="Porcentual 150 10 3" xfId="8423" xr:uid="{00000000-0005-0000-0000-0000751B0000}"/>
    <cellStyle name="Porcentual 150 11" xfId="2089" xr:uid="{00000000-0005-0000-0000-0000761B0000}"/>
    <cellStyle name="Porcentual 150 11 2" xfId="5751" xr:uid="{00000000-0005-0000-0000-0000771B0000}"/>
    <cellStyle name="Porcentual 150 11 3" xfId="8424" xr:uid="{00000000-0005-0000-0000-0000781B0000}"/>
    <cellStyle name="Porcentual 150 12" xfId="2090" xr:uid="{00000000-0005-0000-0000-0000791B0000}"/>
    <cellStyle name="Porcentual 150 12 2" xfId="5752" xr:uid="{00000000-0005-0000-0000-00007A1B0000}"/>
    <cellStyle name="Porcentual 150 12 3" xfId="8425" xr:uid="{00000000-0005-0000-0000-00007B1B0000}"/>
    <cellStyle name="Porcentual 150 13" xfId="2091" xr:uid="{00000000-0005-0000-0000-00007C1B0000}"/>
    <cellStyle name="Porcentual 150 13 2" xfId="5753" xr:uid="{00000000-0005-0000-0000-00007D1B0000}"/>
    <cellStyle name="Porcentual 150 13 3" xfId="8426" xr:uid="{00000000-0005-0000-0000-00007E1B0000}"/>
    <cellStyle name="Porcentual 150 14" xfId="2092" xr:uid="{00000000-0005-0000-0000-00007F1B0000}"/>
    <cellStyle name="Porcentual 150 14 2" xfId="5754" xr:uid="{00000000-0005-0000-0000-0000801B0000}"/>
    <cellStyle name="Porcentual 150 14 3" xfId="8427" xr:uid="{00000000-0005-0000-0000-0000811B0000}"/>
    <cellStyle name="Porcentual 150 15" xfId="2093" xr:uid="{00000000-0005-0000-0000-0000821B0000}"/>
    <cellStyle name="Porcentual 150 15 2" xfId="5755" xr:uid="{00000000-0005-0000-0000-0000831B0000}"/>
    <cellStyle name="Porcentual 150 15 3" xfId="8428" xr:uid="{00000000-0005-0000-0000-0000841B0000}"/>
    <cellStyle name="Porcentual 150 16" xfId="2094" xr:uid="{00000000-0005-0000-0000-0000851B0000}"/>
    <cellStyle name="Porcentual 150 16 2" xfId="5756" xr:uid="{00000000-0005-0000-0000-0000861B0000}"/>
    <cellStyle name="Porcentual 150 16 3" xfId="8429" xr:uid="{00000000-0005-0000-0000-0000871B0000}"/>
    <cellStyle name="Porcentual 150 17" xfId="2095" xr:uid="{00000000-0005-0000-0000-0000881B0000}"/>
    <cellStyle name="Porcentual 150 17 2" xfId="5757" xr:uid="{00000000-0005-0000-0000-0000891B0000}"/>
    <cellStyle name="Porcentual 150 17 3" xfId="8430" xr:uid="{00000000-0005-0000-0000-00008A1B0000}"/>
    <cellStyle name="Porcentual 150 18" xfId="2096" xr:uid="{00000000-0005-0000-0000-00008B1B0000}"/>
    <cellStyle name="Porcentual 150 18 2" xfId="5758" xr:uid="{00000000-0005-0000-0000-00008C1B0000}"/>
    <cellStyle name="Porcentual 150 18 3" xfId="8431" xr:uid="{00000000-0005-0000-0000-00008D1B0000}"/>
    <cellStyle name="Porcentual 150 19" xfId="2097" xr:uid="{00000000-0005-0000-0000-00008E1B0000}"/>
    <cellStyle name="Porcentual 150 19 2" xfId="5759" xr:uid="{00000000-0005-0000-0000-00008F1B0000}"/>
    <cellStyle name="Porcentual 150 19 3" xfId="8432" xr:uid="{00000000-0005-0000-0000-0000901B0000}"/>
    <cellStyle name="Porcentual 150 2" xfId="2098" xr:uid="{00000000-0005-0000-0000-0000911B0000}"/>
    <cellStyle name="Porcentual 150 2 2" xfId="5760" xr:uid="{00000000-0005-0000-0000-0000921B0000}"/>
    <cellStyle name="Porcentual 150 2 3" xfId="8433" xr:uid="{00000000-0005-0000-0000-0000931B0000}"/>
    <cellStyle name="Porcentual 150 20" xfId="2099" xr:uid="{00000000-0005-0000-0000-0000941B0000}"/>
    <cellStyle name="Porcentual 150 20 2" xfId="5761" xr:uid="{00000000-0005-0000-0000-0000951B0000}"/>
    <cellStyle name="Porcentual 150 20 3" xfId="8434" xr:uid="{00000000-0005-0000-0000-0000961B0000}"/>
    <cellStyle name="Porcentual 150 21" xfId="2100" xr:uid="{00000000-0005-0000-0000-0000971B0000}"/>
    <cellStyle name="Porcentual 150 21 2" xfId="5762" xr:uid="{00000000-0005-0000-0000-0000981B0000}"/>
    <cellStyle name="Porcentual 150 21 3" xfId="8435" xr:uid="{00000000-0005-0000-0000-0000991B0000}"/>
    <cellStyle name="Porcentual 150 22" xfId="2101" xr:uid="{00000000-0005-0000-0000-00009A1B0000}"/>
    <cellStyle name="Porcentual 150 22 2" xfId="5763" xr:uid="{00000000-0005-0000-0000-00009B1B0000}"/>
    <cellStyle name="Porcentual 150 22 3" xfId="8436" xr:uid="{00000000-0005-0000-0000-00009C1B0000}"/>
    <cellStyle name="Porcentual 150 23" xfId="2102" xr:uid="{00000000-0005-0000-0000-00009D1B0000}"/>
    <cellStyle name="Porcentual 150 23 2" xfId="5764" xr:uid="{00000000-0005-0000-0000-00009E1B0000}"/>
    <cellStyle name="Porcentual 150 23 3" xfId="8437" xr:uid="{00000000-0005-0000-0000-00009F1B0000}"/>
    <cellStyle name="Porcentual 150 24" xfId="2103" xr:uid="{00000000-0005-0000-0000-0000A01B0000}"/>
    <cellStyle name="Porcentual 150 24 2" xfId="5765" xr:uid="{00000000-0005-0000-0000-0000A11B0000}"/>
    <cellStyle name="Porcentual 150 24 3" xfId="8438" xr:uid="{00000000-0005-0000-0000-0000A21B0000}"/>
    <cellStyle name="Porcentual 150 25" xfId="2104" xr:uid="{00000000-0005-0000-0000-0000A31B0000}"/>
    <cellStyle name="Porcentual 150 25 2" xfId="5766" xr:uid="{00000000-0005-0000-0000-0000A41B0000}"/>
    <cellStyle name="Porcentual 150 25 3" xfId="8439" xr:uid="{00000000-0005-0000-0000-0000A51B0000}"/>
    <cellStyle name="Porcentual 150 26" xfId="2105" xr:uid="{00000000-0005-0000-0000-0000A61B0000}"/>
    <cellStyle name="Porcentual 150 26 2" xfId="5767" xr:uid="{00000000-0005-0000-0000-0000A71B0000}"/>
    <cellStyle name="Porcentual 150 26 3" xfId="8440" xr:uid="{00000000-0005-0000-0000-0000A81B0000}"/>
    <cellStyle name="Porcentual 150 27" xfId="2106" xr:uid="{00000000-0005-0000-0000-0000A91B0000}"/>
    <cellStyle name="Porcentual 150 27 2" xfId="5768" xr:uid="{00000000-0005-0000-0000-0000AA1B0000}"/>
    <cellStyle name="Porcentual 150 27 3" xfId="8441" xr:uid="{00000000-0005-0000-0000-0000AB1B0000}"/>
    <cellStyle name="Porcentual 150 28" xfId="2107" xr:uid="{00000000-0005-0000-0000-0000AC1B0000}"/>
    <cellStyle name="Porcentual 150 28 2" xfId="5769" xr:uid="{00000000-0005-0000-0000-0000AD1B0000}"/>
    <cellStyle name="Porcentual 150 28 3" xfId="8442" xr:uid="{00000000-0005-0000-0000-0000AE1B0000}"/>
    <cellStyle name="Porcentual 150 3" xfId="2108" xr:uid="{00000000-0005-0000-0000-0000AF1B0000}"/>
    <cellStyle name="Porcentual 150 3 2" xfId="5770" xr:uid="{00000000-0005-0000-0000-0000B01B0000}"/>
    <cellStyle name="Porcentual 150 3 3" xfId="8443" xr:uid="{00000000-0005-0000-0000-0000B11B0000}"/>
    <cellStyle name="Porcentual 150 4" xfId="2109" xr:uid="{00000000-0005-0000-0000-0000B21B0000}"/>
    <cellStyle name="Porcentual 150 4 2" xfId="5771" xr:uid="{00000000-0005-0000-0000-0000B31B0000}"/>
    <cellStyle name="Porcentual 150 4 3" xfId="8444" xr:uid="{00000000-0005-0000-0000-0000B41B0000}"/>
    <cellStyle name="Porcentual 150 5" xfId="2110" xr:uid="{00000000-0005-0000-0000-0000B51B0000}"/>
    <cellStyle name="Porcentual 150 5 2" xfId="5772" xr:uid="{00000000-0005-0000-0000-0000B61B0000}"/>
    <cellStyle name="Porcentual 150 5 3" xfId="8445" xr:uid="{00000000-0005-0000-0000-0000B71B0000}"/>
    <cellStyle name="Porcentual 150 6" xfId="2111" xr:uid="{00000000-0005-0000-0000-0000B81B0000}"/>
    <cellStyle name="Porcentual 150 6 2" xfId="5773" xr:uid="{00000000-0005-0000-0000-0000B91B0000}"/>
    <cellStyle name="Porcentual 150 6 3" xfId="8446" xr:uid="{00000000-0005-0000-0000-0000BA1B0000}"/>
    <cellStyle name="Porcentual 150 7" xfId="2112" xr:uid="{00000000-0005-0000-0000-0000BB1B0000}"/>
    <cellStyle name="Porcentual 150 7 2" xfId="5774" xr:uid="{00000000-0005-0000-0000-0000BC1B0000}"/>
    <cellStyle name="Porcentual 150 7 3" xfId="8447" xr:uid="{00000000-0005-0000-0000-0000BD1B0000}"/>
    <cellStyle name="Porcentual 150 8" xfId="2113" xr:uid="{00000000-0005-0000-0000-0000BE1B0000}"/>
    <cellStyle name="Porcentual 150 8 2" xfId="5775" xr:uid="{00000000-0005-0000-0000-0000BF1B0000}"/>
    <cellStyle name="Porcentual 150 8 3" xfId="8448" xr:uid="{00000000-0005-0000-0000-0000C01B0000}"/>
    <cellStyle name="Porcentual 150 9" xfId="2114" xr:uid="{00000000-0005-0000-0000-0000C11B0000}"/>
    <cellStyle name="Porcentual 150 9 2" xfId="5776" xr:uid="{00000000-0005-0000-0000-0000C21B0000}"/>
    <cellStyle name="Porcentual 150 9 3" xfId="8449" xr:uid="{00000000-0005-0000-0000-0000C31B0000}"/>
    <cellStyle name="Porcentual 151 10" xfId="2115" xr:uid="{00000000-0005-0000-0000-0000C41B0000}"/>
    <cellStyle name="Porcentual 151 10 2" xfId="5777" xr:uid="{00000000-0005-0000-0000-0000C51B0000}"/>
    <cellStyle name="Porcentual 151 10 3" xfId="8450" xr:uid="{00000000-0005-0000-0000-0000C61B0000}"/>
    <cellStyle name="Porcentual 151 11" xfId="2116" xr:uid="{00000000-0005-0000-0000-0000C71B0000}"/>
    <cellStyle name="Porcentual 151 11 2" xfId="5778" xr:uid="{00000000-0005-0000-0000-0000C81B0000}"/>
    <cellStyle name="Porcentual 151 11 3" xfId="8451" xr:uid="{00000000-0005-0000-0000-0000C91B0000}"/>
    <cellStyle name="Porcentual 151 12" xfId="2117" xr:uid="{00000000-0005-0000-0000-0000CA1B0000}"/>
    <cellStyle name="Porcentual 151 12 2" xfId="5779" xr:uid="{00000000-0005-0000-0000-0000CB1B0000}"/>
    <cellStyle name="Porcentual 151 12 3" xfId="8452" xr:uid="{00000000-0005-0000-0000-0000CC1B0000}"/>
    <cellStyle name="Porcentual 151 13" xfId="2118" xr:uid="{00000000-0005-0000-0000-0000CD1B0000}"/>
    <cellStyle name="Porcentual 151 13 2" xfId="5780" xr:uid="{00000000-0005-0000-0000-0000CE1B0000}"/>
    <cellStyle name="Porcentual 151 13 3" xfId="8453" xr:uid="{00000000-0005-0000-0000-0000CF1B0000}"/>
    <cellStyle name="Porcentual 151 14" xfId="2119" xr:uid="{00000000-0005-0000-0000-0000D01B0000}"/>
    <cellStyle name="Porcentual 151 14 2" xfId="5781" xr:uid="{00000000-0005-0000-0000-0000D11B0000}"/>
    <cellStyle name="Porcentual 151 14 3" xfId="8454" xr:uid="{00000000-0005-0000-0000-0000D21B0000}"/>
    <cellStyle name="Porcentual 151 15" xfId="2120" xr:uid="{00000000-0005-0000-0000-0000D31B0000}"/>
    <cellStyle name="Porcentual 151 15 2" xfId="5782" xr:uid="{00000000-0005-0000-0000-0000D41B0000}"/>
    <cellStyle name="Porcentual 151 15 3" xfId="8455" xr:uid="{00000000-0005-0000-0000-0000D51B0000}"/>
    <cellStyle name="Porcentual 151 16" xfId="2121" xr:uid="{00000000-0005-0000-0000-0000D61B0000}"/>
    <cellStyle name="Porcentual 151 16 2" xfId="5783" xr:uid="{00000000-0005-0000-0000-0000D71B0000}"/>
    <cellStyle name="Porcentual 151 16 3" xfId="8456" xr:uid="{00000000-0005-0000-0000-0000D81B0000}"/>
    <cellStyle name="Porcentual 151 17" xfId="2122" xr:uid="{00000000-0005-0000-0000-0000D91B0000}"/>
    <cellStyle name="Porcentual 151 17 2" xfId="5784" xr:uid="{00000000-0005-0000-0000-0000DA1B0000}"/>
    <cellStyle name="Porcentual 151 17 3" xfId="8457" xr:uid="{00000000-0005-0000-0000-0000DB1B0000}"/>
    <cellStyle name="Porcentual 151 18" xfId="2123" xr:uid="{00000000-0005-0000-0000-0000DC1B0000}"/>
    <cellStyle name="Porcentual 151 18 2" xfId="5785" xr:uid="{00000000-0005-0000-0000-0000DD1B0000}"/>
    <cellStyle name="Porcentual 151 18 3" xfId="8458" xr:uid="{00000000-0005-0000-0000-0000DE1B0000}"/>
    <cellStyle name="Porcentual 151 19" xfId="2124" xr:uid="{00000000-0005-0000-0000-0000DF1B0000}"/>
    <cellStyle name="Porcentual 151 19 2" xfId="5786" xr:uid="{00000000-0005-0000-0000-0000E01B0000}"/>
    <cellStyle name="Porcentual 151 19 3" xfId="8459" xr:uid="{00000000-0005-0000-0000-0000E11B0000}"/>
    <cellStyle name="Porcentual 151 2" xfId="2125" xr:uid="{00000000-0005-0000-0000-0000E21B0000}"/>
    <cellStyle name="Porcentual 151 2 2" xfId="5787" xr:uid="{00000000-0005-0000-0000-0000E31B0000}"/>
    <cellStyle name="Porcentual 151 2 3" xfId="8460" xr:uid="{00000000-0005-0000-0000-0000E41B0000}"/>
    <cellStyle name="Porcentual 151 20" xfId="2126" xr:uid="{00000000-0005-0000-0000-0000E51B0000}"/>
    <cellStyle name="Porcentual 151 20 2" xfId="5788" xr:uid="{00000000-0005-0000-0000-0000E61B0000}"/>
    <cellStyle name="Porcentual 151 20 3" xfId="8461" xr:uid="{00000000-0005-0000-0000-0000E71B0000}"/>
    <cellStyle name="Porcentual 151 21" xfId="2127" xr:uid="{00000000-0005-0000-0000-0000E81B0000}"/>
    <cellStyle name="Porcentual 151 21 2" xfId="5789" xr:uid="{00000000-0005-0000-0000-0000E91B0000}"/>
    <cellStyle name="Porcentual 151 21 3" xfId="8462" xr:uid="{00000000-0005-0000-0000-0000EA1B0000}"/>
    <cellStyle name="Porcentual 151 22" xfId="2128" xr:uid="{00000000-0005-0000-0000-0000EB1B0000}"/>
    <cellStyle name="Porcentual 151 22 2" xfId="5790" xr:uid="{00000000-0005-0000-0000-0000EC1B0000}"/>
    <cellStyle name="Porcentual 151 22 3" xfId="8463" xr:uid="{00000000-0005-0000-0000-0000ED1B0000}"/>
    <cellStyle name="Porcentual 151 23" xfId="2129" xr:uid="{00000000-0005-0000-0000-0000EE1B0000}"/>
    <cellStyle name="Porcentual 151 23 2" xfId="5791" xr:uid="{00000000-0005-0000-0000-0000EF1B0000}"/>
    <cellStyle name="Porcentual 151 23 3" xfId="8464" xr:uid="{00000000-0005-0000-0000-0000F01B0000}"/>
    <cellStyle name="Porcentual 151 24" xfId="2130" xr:uid="{00000000-0005-0000-0000-0000F11B0000}"/>
    <cellStyle name="Porcentual 151 24 2" xfId="5792" xr:uid="{00000000-0005-0000-0000-0000F21B0000}"/>
    <cellStyle name="Porcentual 151 24 3" xfId="8465" xr:uid="{00000000-0005-0000-0000-0000F31B0000}"/>
    <cellStyle name="Porcentual 151 25" xfId="2131" xr:uid="{00000000-0005-0000-0000-0000F41B0000}"/>
    <cellStyle name="Porcentual 151 25 2" xfId="5793" xr:uid="{00000000-0005-0000-0000-0000F51B0000}"/>
    <cellStyle name="Porcentual 151 25 3" xfId="8466" xr:uid="{00000000-0005-0000-0000-0000F61B0000}"/>
    <cellStyle name="Porcentual 151 26" xfId="2132" xr:uid="{00000000-0005-0000-0000-0000F71B0000}"/>
    <cellStyle name="Porcentual 151 26 2" xfId="5794" xr:uid="{00000000-0005-0000-0000-0000F81B0000}"/>
    <cellStyle name="Porcentual 151 26 3" xfId="8467" xr:uid="{00000000-0005-0000-0000-0000F91B0000}"/>
    <cellStyle name="Porcentual 151 27" xfId="2133" xr:uid="{00000000-0005-0000-0000-0000FA1B0000}"/>
    <cellStyle name="Porcentual 151 27 2" xfId="5795" xr:uid="{00000000-0005-0000-0000-0000FB1B0000}"/>
    <cellStyle name="Porcentual 151 27 3" xfId="8468" xr:uid="{00000000-0005-0000-0000-0000FC1B0000}"/>
    <cellStyle name="Porcentual 151 28" xfId="2134" xr:uid="{00000000-0005-0000-0000-0000FD1B0000}"/>
    <cellStyle name="Porcentual 151 28 2" xfId="5796" xr:uid="{00000000-0005-0000-0000-0000FE1B0000}"/>
    <cellStyle name="Porcentual 151 28 3" xfId="8469" xr:uid="{00000000-0005-0000-0000-0000FF1B0000}"/>
    <cellStyle name="Porcentual 151 3" xfId="2135" xr:uid="{00000000-0005-0000-0000-0000001C0000}"/>
    <cellStyle name="Porcentual 151 3 2" xfId="5797" xr:uid="{00000000-0005-0000-0000-0000011C0000}"/>
    <cellStyle name="Porcentual 151 3 3" xfId="8470" xr:uid="{00000000-0005-0000-0000-0000021C0000}"/>
    <cellStyle name="Porcentual 151 4" xfId="2136" xr:uid="{00000000-0005-0000-0000-0000031C0000}"/>
    <cellStyle name="Porcentual 151 4 2" xfId="5798" xr:uid="{00000000-0005-0000-0000-0000041C0000}"/>
    <cellStyle name="Porcentual 151 4 3" xfId="8471" xr:uid="{00000000-0005-0000-0000-0000051C0000}"/>
    <cellStyle name="Porcentual 151 5" xfId="2137" xr:uid="{00000000-0005-0000-0000-0000061C0000}"/>
    <cellStyle name="Porcentual 151 5 2" xfId="5799" xr:uid="{00000000-0005-0000-0000-0000071C0000}"/>
    <cellStyle name="Porcentual 151 5 3" xfId="8472" xr:uid="{00000000-0005-0000-0000-0000081C0000}"/>
    <cellStyle name="Porcentual 151 6" xfId="2138" xr:uid="{00000000-0005-0000-0000-0000091C0000}"/>
    <cellStyle name="Porcentual 151 6 2" xfId="5800" xr:uid="{00000000-0005-0000-0000-00000A1C0000}"/>
    <cellStyle name="Porcentual 151 6 3" xfId="8473" xr:uid="{00000000-0005-0000-0000-00000B1C0000}"/>
    <cellStyle name="Porcentual 151 7" xfId="2139" xr:uid="{00000000-0005-0000-0000-00000C1C0000}"/>
    <cellStyle name="Porcentual 151 7 2" xfId="5801" xr:uid="{00000000-0005-0000-0000-00000D1C0000}"/>
    <cellStyle name="Porcentual 151 7 3" xfId="8474" xr:uid="{00000000-0005-0000-0000-00000E1C0000}"/>
    <cellStyle name="Porcentual 151 8" xfId="2140" xr:uid="{00000000-0005-0000-0000-00000F1C0000}"/>
    <cellStyle name="Porcentual 151 8 2" xfId="5802" xr:uid="{00000000-0005-0000-0000-0000101C0000}"/>
    <cellStyle name="Porcentual 151 8 3" xfId="8475" xr:uid="{00000000-0005-0000-0000-0000111C0000}"/>
    <cellStyle name="Porcentual 151 9" xfId="2141" xr:uid="{00000000-0005-0000-0000-0000121C0000}"/>
    <cellStyle name="Porcentual 151 9 2" xfId="5803" xr:uid="{00000000-0005-0000-0000-0000131C0000}"/>
    <cellStyle name="Porcentual 151 9 3" xfId="8476" xr:uid="{00000000-0005-0000-0000-0000141C0000}"/>
    <cellStyle name="Porcentual 152 10" xfId="2142" xr:uid="{00000000-0005-0000-0000-0000151C0000}"/>
    <cellStyle name="Porcentual 152 10 2" xfId="5804" xr:uid="{00000000-0005-0000-0000-0000161C0000}"/>
    <cellStyle name="Porcentual 152 10 3" xfId="8477" xr:uid="{00000000-0005-0000-0000-0000171C0000}"/>
    <cellStyle name="Porcentual 152 11" xfId="2143" xr:uid="{00000000-0005-0000-0000-0000181C0000}"/>
    <cellStyle name="Porcentual 152 11 2" xfId="5805" xr:uid="{00000000-0005-0000-0000-0000191C0000}"/>
    <cellStyle name="Porcentual 152 11 3" xfId="8478" xr:uid="{00000000-0005-0000-0000-00001A1C0000}"/>
    <cellStyle name="Porcentual 152 12" xfId="2144" xr:uid="{00000000-0005-0000-0000-00001B1C0000}"/>
    <cellStyle name="Porcentual 152 12 2" xfId="5806" xr:uid="{00000000-0005-0000-0000-00001C1C0000}"/>
    <cellStyle name="Porcentual 152 12 3" xfId="8479" xr:uid="{00000000-0005-0000-0000-00001D1C0000}"/>
    <cellStyle name="Porcentual 152 13" xfId="2145" xr:uid="{00000000-0005-0000-0000-00001E1C0000}"/>
    <cellStyle name="Porcentual 152 13 2" xfId="5807" xr:uid="{00000000-0005-0000-0000-00001F1C0000}"/>
    <cellStyle name="Porcentual 152 13 3" xfId="8480" xr:uid="{00000000-0005-0000-0000-0000201C0000}"/>
    <cellStyle name="Porcentual 152 14" xfId="2146" xr:uid="{00000000-0005-0000-0000-0000211C0000}"/>
    <cellStyle name="Porcentual 152 14 2" xfId="5808" xr:uid="{00000000-0005-0000-0000-0000221C0000}"/>
    <cellStyle name="Porcentual 152 14 3" xfId="8481" xr:uid="{00000000-0005-0000-0000-0000231C0000}"/>
    <cellStyle name="Porcentual 152 15" xfId="2147" xr:uid="{00000000-0005-0000-0000-0000241C0000}"/>
    <cellStyle name="Porcentual 152 15 2" xfId="5809" xr:uid="{00000000-0005-0000-0000-0000251C0000}"/>
    <cellStyle name="Porcentual 152 15 3" xfId="8482" xr:uid="{00000000-0005-0000-0000-0000261C0000}"/>
    <cellStyle name="Porcentual 152 16" xfId="2148" xr:uid="{00000000-0005-0000-0000-0000271C0000}"/>
    <cellStyle name="Porcentual 152 16 2" xfId="5810" xr:uid="{00000000-0005-0000-0000-0000281C0000}"/>
    <cellStyle name="Porcentual 152 16 3" xfId="8483" xr:uid="{00000000-0005-0000-0000-0000291C0000}"/>
    <cellStyle name="Porcentual 152 17" xfId="2149" xr:uid="{00000000-0005-0000-0000-00002A1C0000}"/>
    <cellStyle name="Porcentual 152 17 2" xfId="5811" xr:uid="{00000000-0005-0000-0000-00002B1C0000}"/>
    <cellStyle name="Porcentual 152 17 3" xfId="8484" xr:uid="{00000000-0005-0000-0000-00002C1C0000}"/>
    <cellStyle name="Porcentual 152 18" xfId="2150" xr:uid="{00000000-0005-0000-0000-00002D1C0000}"/>
    <cellStyle name="Porcentual 152 18 2" xfId="5812" xr:uid="{00000000-0005-0000-0000-00002E1C0000}"/>
    <cellStyle name="Porcentual 152 18 3" xfId="8485" xr:uid="{00000000-0005-0000-0000-00002F1C0000}"/>
    <cellStyle name="Porcentual 152 19" xfId="2151" xr:uid="{00000000-0005-0000-0000-0000301C0000}"/>
    <cellStyle name="Porcentual 152 19 2" xfId="5813" xr:uid="{00000000-0005-0000-0000-0000311C0000}"/>
    <cellStyle name="Porcentual 152 19 3" xfId="8486" xr:uid="{00000000-0005-0000-0000-0000321C0000}"/>
    <cellStyle name="Porcentual 152 2" xfId="2152" xr:uid="{00000000-0005-0000-0000-0000331C0000}"/>
    <cellStyle name="Porcentual 152 2 2" xfId="5814" xr:uid="{00000000-0005-0000-0000-0000341C0000}"/>
    <cellStyle name="Porcentual 152 2 3" xfId="8487" xr:uid="{00000000-0005-0000-0000-0000351C0000}"/>
    <cellStyle name="Porcentual 152 20" xfId="2153" xr:uid="{00000000-0005-0000-0000-0000361C0000}"/>
    <cellStyle name="Porcentual 152 20 2" xfId="5815" xr:uid="{00000000-0005-0000-0000-0000371C0000}"/>
    <cellStyle name="Porcentual 152 20 3" xfId="8488" xr:uid="{00000000-0005-0000-0000-0000381C0000}"/>
    <cellStyle name="Porcentual 152 21" xfId="2154" xr:uid="{00000000-0005-0000-0000-0000391C0000}"/>
    <cellStyle name="Porcentual 152 21 2" xfId="5816" xr:uid="{00000000-0005-0000-0000-00003A1C0000}"/>
    <cellStyle name="Porcentual 152 21 3" xfId="8489" xr:uid="{00000000-0005-0000-0000-00003B1C0000}"/>
    <cellStyle name="Porcentual 152 22" xfId="2155" xr:uid="{00000000-0005-0000-0000-00003C1C0000}"/>
    <cellStyle name="Porcentual 152 22 2" xfId="5817" xr:uid="{00000000-0005-0000-0000-00003D1C0000}"/>
    <cellStyle name="Porcentual 152 22 3" xfId="8490" xr:uid="{00000000-0005-0000-0000-00003E1C0000}"/>
    <cellStyle name="Porcentual 152 23" xfId="2156" xr:uid="{00000000-0005-0000-0000-00003F1C0000}"/>
    <cellStyle name="Porcentual 152 23 2" xfId="5818" xr:uid="{00000000-0005-0000-0000-0000401C0000}"/>
    <cellStyle name="Porcentual 152 23 3" xfId="8491" xr:uid="{00000000-0005-0000-0000-0000411C0000}"/>
    <cellStyle name="Porcentual 152 24" xfId="2157" xr:uid="{00000000-0005-0000-0000-0000421C0000}"/>
    <cellStyle name="Porcentual 152 24 2" xfId="5819" xr:uid="{00000000-0005-0000-0000-0000431C0000}"/>
    <cellStyle name="Porcentual 152 24 3" xfId="8492" xr:uid="{00000000-0005-0000-0000-0000441C0000}"/>
    <cellStyle name="Porcentual 152 25" xfId="2158" xr:uid="{00000000-0005-0000-0000-0000451C0000}"/>
    <cellStyle name="Porcentual 152 25 2" xfId="5820" xr:uid="{00000000-0005-0000-0000-0000461C0000}"/>
    <cellStyle name="Porcentual 152 25 3" xfId="8493" xr:uid="{00000000-0005-0000-0000-0000471C0000}"/>
    <cellStyle name="Porcentual 152 26" xfId="2159" xr:uid="{00000000-0005-0000-0000-0000481C0000}"/>
    <cellStyle name="Porcentual 152 26 2" xfId="5821" xr:uid="{00000000-0005-0000-0000-0000491C0000}"/>
    <cellStyle name="Porcentual 152 26 3" xfId="8494" xr:uid="{00000000-0005-0000-0000-00004A1C0000}"/>
    <cellStyle name="Porcentual 152 27" xfId="2160" xr:uid="{00000000-0005-0000-0000-00004B1C0000}"/>
    <cellStyle name="Porcentual 152 27 2" xfId="5822" xr:uid="{00000000-0005-0000-0000-00004C1C0000}"/>
    <cellStyle name="Porcentual 152 27 3" xfId="8495" xr:uid="{00000000-0005-0000-0000-00004D1C0000}"/>
    <cellStyle name="Porcentual 152 28" xfId="2161" xr:uid="{00000000-0005-0000-0000-00004E1C0000}"/>
    <cellStyle name="Porcentual 152 28 2" xfId="5823" xr:uid="{00000000-0005-0000-0000-00004F1C0000}"/>
    <cellStyle name="Porcentual 152 28 3" xfId="8496" xr:uid="{00000000-0005-0000-0000-0000501C0000}"/>
    <cellStyle name="Porcentual 152 3" xfId="2162" xr:uid="{00000000-0005-0000-0000-0000511C0000}"/>
    <cellStyle name="Porcentual 152 3 2" xfId="5824" xr:uid="{00000000-0005-0000-0000-0000521C0000}"/>
    <cellStyle name="Porcentual 152 3 3" xfId="8497" xr:uid="{00000000-0005-0000-0000-0000531C0000}"/>
    <cellStyle name="Porcentual 152 4" xfId="2163" xr:uid="{00000000-0005-0000-0000-0000541C0000}"/>
    <cellStyle name="Porcentual 152 4 2" xfId="5825" xr:uid="{00000000-0005-0000-0000-0000551C0000}"/>
    <cellStyle name="Porcentual 152 4 3" xfId="8498" xr:uid="{00000000-0005-0000-0000-0000561C0000}"/>
    <cellStyle name="Porcentual 152 5" xfId="2164" xr:uid="{00000000-0005-0000-0000-0000571C0000}"/>
    <cellStyle name="Porcentual 152 5 2" xfId="5826" xr:uid="{00000000-0005-0000-0000-0000581C0000}"/>
    <cellStyle name="Porcentual 152 5 3" xfId="8499" xr:uid="{00000000-0005-0000-0000-0000591C0000}"/>
    <cellStyle name="Porcentual 152 6" xfId="2165" xr:uid="{00000000-0005-0000-0000-00005A1C0000}"/>
    <cellStyle name="Porcentual 152 6 2" xfId="5827" xr:uid="{00000000-0005-0000-0000-00005B1C0000}"/>
    <cellStyle name="Porcentual 152 6 3" xfId="8500" xr:uid="{00000000-0005-0000-0000-00005C1C0000}"/>
    <cellStyle name="Porcentual 152 7" xfId="2166" xr:uid="{00000000-0005-0000-0000-00005D1C0000}"/>
    <cellStyle name="Porcentual 152 7 2" xfId="5828" xr:uid="{00000000-0005-0000-0000-00005E1C0000}"/>
    <cellStyle name="Porcentual 152 7 3" xfId="8501" xr:uid="{00000000-0005-0000-0000-00005F1C0000}"/>
    <cellStyle name="Porcentual 152 8" xfId="2167" xr:uid="{00000000-0005-0000-0000-0000601C0000}"/>
    <cellStyle name="Porcentual 152 8 2" xfId="5829" xr:uid="{00000000-0005-0000-0000-0000611C0000}"/>
    <cellStyle name="Porcentual 152 8 3" xfId="8502" xr:uid="{00000000-0005-0000-0000-0000621C0000}"/>
    <cellStyle name="Porcentual 152 9" xfId="2168" xr:uid="{00000000-0005-0000-0000-0000631C0000}"/>
    <cellStyle name="Porcentual 152 9 2" xfId="5830" xr:uid="{00000000-0005-0000-0000-0000641C0000}"/>
    <cellStyle name="Porcentual 152 9 3" xfId="8503" xr:uid="{00000000-0005-0000-0000-0000651C0000}"/>
    <cellStyle name="Porcentual 153 10" xfId="2169" xr:uid="{00000000-0005-0000-0000-0000661C0000}"/>
    <cellStyle name="Porcentual 153 10 2" xfId="5831" xr:uid="{00000000-0005-0000-0000-0000671C0000}"/>
    <cellStyle name="Porcentual 153 10 3" xfId="8504" xr:uid="{00000000-0005-0000-0000-0000681C0000}"/>
    <cellStyle name="Porcentual 153 11" xfId="2170" xr:uid="{00000000-0005-0000-0000-0000691C0000}"/>
    <cellStyle name="Porcentual 153 11 2" xfId="5832" xr:uid="{00000000-0005-0000-0000-00006A1C0000}"/>
    <cellStyle name="Porcentual 153 11 3" xfId="8505" xr:uid="{00000000-0005-0000-0000-00006B1C0000}"/>
    <cellStyle name="Porcentual 153 12" xfId="2171" xr:uid="{00000000-0005-0000-0000-00006C1C0000}"/>
    <cellStyle name="Porcentual 153 12 2" xfId="5833" xr:uid="{00000000-0005-0000-0000-00006D1C0000}"/>
    <cellStyle name="Porcentual 153 12 3" xfId="8506" xr:uid="{00000000-0005-0000-0000-00006E1C0000}"/>
    <cellStyle name="Porcentual 153 13" xfId="2172" xr:uid="{00000000-0005-0000-0000-00006F1C0000}"/>
    <cellStyle name="Porcentual 153 13 2" xfId="5834" xr:uid="{00000000-0005-0000-0000-0000701C0000}"/>
    <cellStyle name="Porcentual 153 13 3" xfId="8507" xr:uid="{00000000-0005-0000-0000-0000711C0000}"/>
    <cellStyle name="Porcentual 153 14" xfId="2173" xr:uid="{00000000-0005-0000-0000-0000721C0000}"/>
    <cellStyle name="Porcentual 153 14 2" xfId="5835" xr:uid="{00000000-0005-0000-0000-0000731C0000}"/>
    <cellStyle name="Porcentual 153 14 3" xfId="8508" xr:uid="{00000000-0005-0000-0000-0000741C0000}"/>
    <cellStyle name="Porcentual 153 15" xfId="2174" xr:uid="{00000000-0005-0000-0000-0000751C0000}"/>
    <cellStyle name="Porcentual 153 15 2" xfId="5836" xr:uid="{00000000-0005-0000-0000-0000761C0000}"/>
    <cellStyle name="Porcentual 153 15 3" xfId="8509" xr:uid="{00000000-0005-0000-0000-0000771C0000}"/>
    <cellStyle name="Porcentual 153 16" xfId="2175" xr:uid="{00000000-0005-0000-0000-0000781C0000}"/>
    <cellStyle name="Porcentual 153 16 2" xfId="5837" xr:uid="{00000000-0005-0000-0000-0000791C0000}"/>
    <cellStyle name="Porcentual 153 16 3" xfId="8510" xr:uid="{00000000-0005-0000-0000-00007A1C0000}"/>
    <cellStyle name="Porcentual 153 17" xfId="2176" xr:uid="{00000000-0005-0000-0000-00007B1C0000}"/>
    <cellStyle name="Porcentual 153 17 2" xfId="5838" xr:uid="{00000000-0005-0000-0000-00007C1C0000}"/>
    <cellStyle name="Porcentual 153 17 3" xfId="8511" xr:uid="{00000000-0005-0000-0000-00007D1C0000}"/>
    <cellStyle name="Porcentual 153 18" xfId="2177" xr:uid="{00000000-0005-0000-0000-00007E1C0000}"/>
    <cellStyle name="Porcentual 153 18 2" xfId="5839" xr:uid="{00000000-0005-0000-0000-00007F1C0000}"/>
    <cellStyle name="Porcentual 153 18 3" xfId="8512" xr:uid="{00000000-0005-0000-0000-0000801C0000}"/>
    <cellStyle name="Porcentual 153 19" xfId="2178" xr:uid="{00000000-0005-0000-0000-0000811C0000}"/>
    <cellStyle name="Porcentual 153 19 2" xfId="5840" xr:uid="{00000000-0005-0000-0000-0000821C0000}"/>
    <cellStyle name="Porcentual 153 19 3" xfId="8513" xr:uid="{00000000-0005-0000-0000-0000831C0000}"/>
    <cellStyle name="Porcentual 153 2" xfId="2179" xr:uid="{00000000-0005-0000-0000-0000841C0000}"/>
    <cellStyle name="Porcentual 153 2 2" xfId="5841" xr:uid="{00000000-0005-0000-0000-0000851C0000}"/>
    <cellStyle name="Porcentual 153 2 3" xfId="8514" xr:uid="{00000000-0005-0000-0000-0000861C0000}"/>
    <cellStyle name="Porcentual 153 20" xfId="2180" xr:uid="{00000000-0005-0000-0000-0000871C0000}"/>
    <cellStyle name="Porcentual 153 20 2" xfId="5842" xr:uid="{00000000-0005-0000-0000-0000881C0000}"/>
    <cellStyle name="Porcentual 153 20 3" xfId="8515" xr:uid="{00000000-0005-0000-0000-0000891C0000}"/>
    <cellStyle name="Porcentual 153 21" xfId="2181" xr:uid="{00000000-0005-0000-0000-00008A1C0000}"/>
    <cellStyle name="Porcentual 153 21 2" xfId="5843" xr:uid="{00000000-0005-0000-0000-00008B1C0000}"/>
    <cellStyle name="Porcentual 153 21 3" xfId="8516" xr:uid="{00000000-0005-0000-0000-00008C1C0000}"/>
    <cellStyle name="Porcentual 153 22" xfId="2182" xr:uid="{00000000-0005-0000-0000-00008D1C0000}"/>
    <cellStyle name="Porcentual 153 22 2" xfId="5844" xr:uid="{00000000-0005-0000-0000-00008E1C0000}"/>
    <cellStyle name="Porcentual 153 22 3" xfId="8517" xr:uid="{00000000-0005-0000-0000-00008F1C0000}"/>
    <cellStyle name="Porcentual 153 23" xfId="2183" xr:uid="{00000000-0005-0000-0000-0000901C0000}"/>
    <cellStyle name="Porcentual 153 23 2" xfId="5845" xr:uid="{00000000-0005-0000-0000-0000911C0000}"/>
    <cellStyle name="Porcentual 153 23 3" xfId="8518" xr:uid="{00000000-0005-0000-0000-0000921C0000}"/>
    <cellStyle name="Porcentual 153 24" xfId="2184" xr:uid="{00000000-0005-0000-0000-0000931C0000}"/>
    <cellStyle name="Porcentual 153 24 2" xfId="5846" xr:uid="{00000000-0005-0000-0000-0000941C0000}"/>
    <cellStyle name="Porcentual 153 24 3" xfId="8519" xr:uid="{00000000-0005-0000-0000-0000951C0000}"/>
    <cellStyle name="Porcentual 153 25" xfId="2185" xr:uid="{00000000-0005-0000-0000-0000961C0000}"/>
    <cellStyle name="Porcentual 153 25 2" xfId="5847" xr:uid="{00000000-0005-0000-0000-0000971C0000}"/>
    <cellStyle name="Porcentual 153 25 3" xfId="8520" xr:uid="{00000000-0005-0000-0000-0000981C0000}"/>
    <cellStyle name="Porcentual 153 26" xfId="2186" xr:uid="{00000000-0005-0000-0000-0000991C0000}"/>
    <cellStyle name="Porcentual 153 26 2" xfId="5848" xr:uid="{00000000-0005-0000-0000-00009A1C0000}"/>
    <cellStyle name="Porcentual 153 26 3" xfId="8521" xr:uid="{00000000-0005-0000-0000-00009B1C0000}"/>
    <cellStyle name="Porcentual 153 27" xfId="2187" xr:uid="{00000000-0005-0000-0000-00009C1C0000}"/>
    <cellStyle name="Porcentual 153 27 2" xfId="5849" xr:uid="{00000000-0005-0000-0000-00009D1C0000}"/>
    <cellStyle name="Porcentual 153 27 3" xfId="8522" xr:uid="{00000000-0005-0000-0000-00009E1C0000}"/>
    <cellStyle name="Porcentual 153 28" xfId="2188" xr:uid="{00000000-0005-0000-0000-00009F1C0000}"/>
    <cellStyle name="Porcentual 153 28 2" xfId="5850" xr:uid="{00000000-0005-0000-0000-0000A01C0000}"/>
    <cellStyle name="Porcentual 153 28 3" xfId="8523" xr:uid="{00000000-0005-0000-0000-0000A11C0000}"/>
    <cellStyle name="Porcentual 153 3" xfId="2189" xr:uid="{00000000-0005-0000-0000-0000A21C0000}"/>
    <cellStyle name="Porcentual 153 3 2" xfId="5851" xr:uid="{00000000-0005-0000-0000-0000A31C0000}"/>
    <cellStyle name="Porcentual 153 3 3" xfId="8524" xr:uid="{00000000-0005-0000-0000-0000A41C0000}"/>
    <cellStyle name="Porcentual 153 4" xfId="2190" xr:uid="{00000000-0005-0000-0000-0000A51C0000}"/>
    <cellStyle name="Porcentual 153 4 2" xfId="5852" xr:uid="{00000000-0005-0000-0000-0000A61C0000}"/>
    <cellStyle name="Porcentual 153 4 3" xfId="8525" xr:uid="{00000000-0005-0000-0000-0000A71C0000}"/>
    <cellStyle name="Porcentual 153 5" xfId="2191" xr:uid="{00000000-0005-0000-0000-0000A81C0000}"/>
    <cellStyle name="Porcentual 153 5 2" xfId="5853" xr:uid="{00000000-0005-0000-0000-0000A91C0000}"/>
    <cellStyle name="Porcentual 153 5 3" xfId="8526" xr:uid="{00000000-0005-0000-0000-0000AA1C0000}"/>
    <cellStyle name="Porcentual 153 6" xfId="2192" xr:uid="{00000000-0005-0000-0000-0000AB1C0000}"/>
    <cellStyle name="Porcentual 153 6 2" xfId="5854" xr:uid="{00000000-0005-0000-0000-0000AC1C0000}"/>
    <cellStyle name="Porcentual 153 6 3" xfId="8527" xr:uid="{00000000-0005-0000-0000-0000AD1C0000}"/>
    <cellStyle name="Porcentual 153 7" xfId="2193" xr:uid="{00000000-0005-0000-0000-0000AE1C0000}"/>
    <cellStyle name="Porcentual 153 7 2" xfId="5855" xr:uid="{00000000-0005-0000-0000-0000AF1C0000}"/>
    <cellStyle name="Porcentual 153 7 3" xfId="8528" xr:uid="{00000000-0005-0000-0000-0000B01C0000}"/>
    <cellStyle name="Porcentual 153 8" xfId="2194" xr:uid="{00000000-0005-0000-0000-0000B11C0000}"/>
    <cellStyle name="Porcentual 153 8 2" xfId="5856" xr:uid="{00000000-0005-0000-0000-0000B21C0000}"/>
    <cellStyle name="Porcentual 153 8 3" xfId="8529" xr:uid="{00000000-0005-0000-0000-0000B31C0000}"/>
    <cellStyle name="Porcentual 153 9" xfId="2195" xr:uid="{00000000-0005-0000-0000-0000B41C0000}"/>
    <cellStyle name="Porcentual 153 9 2" xfId="5857" xr:uid="{00000000-0005-0000-0000-0000B51C0000}"/>
    <cellStyle name="Porcentual 153 9 3" xfId="8530" xr:uid="{00000000-0005-0000-0000-0000B61C0000}"/>
    <cellStyle name="Porcentual 154 10" xfId="2196" xr:uid="{00000000-0005-0000-0000-0000B71C0000}"/>
    <cellStyle name="Porcentual 154 10 2" xfId="5858" xr:uid="{00000000-0005-0000-0000-0000B81C0000}"/>
    <cellStyle name="Porcentual 154 10 3" xfId="8531" xr:uid="{00000000-0005-0000-0000-0000B91C0000}"/>
    <cellStyle name="Porcentual 154 11" xfId="2197" xr:uid="{00000000-0005-0000-0000-0000BA1C0000}"/>
    <cellStyle name="Porcentual 154 11 2" xfId="5859" xr:uid="{00000000-0005-0000-0000-0000BB1C0000}"/>
    <cellStyle name="Porcentual 154 11 3" xfId="8532" xr:uid="{00000000-0005-0000-0000-0000BC1C0000}"/>
    <cellStyle name="Porcentual 154 12" xfId="2198" xr:uid="{00000000-0005-0000-0000-0000BD1C0000}"/>
    <cellStyle name="Porcentual 154 12 2" xfId="5860" xr:uid="{00000000-0005-0000-0000-0000BE1C0000}"/>
    <cellStyle name="Porcentual 154 12 3" xfId="8533" xr:uid="{00000000-0005-0000-0000-0000BF1C0000}"/>
    <cellStyle name="Porcentual 154 13" xfId="2199" xr:uid="{00000000-0005-0000-0000-0000C01C0000}"/>
    <cellStyle name="Porcentual 154 13 2" xfId="5861" xr:uid="{00000000-0005-0000-0000-0000C11C0000}"/>
    <cellStyle name="Porcentual 154 13 3" xfId="8534" xr:uid="{00000000-0005-0000-0000-0000C21C0000}"/>
    <cellStyle name="Porcentual 154 14" xfId="2200" xr:uid="{00000000-0005-0000-0000-0000C31C0000}"/>
    <cellStyle name="Porcentual 154 14 2" xfId="5862" xr:uid="{00000000-0005-0000-0000-0000C41C0000}"/>
    <cellStyle name="Porcentual 154 14 3" xfId="8535" xr:uid="{00000000-0005-0000-0000-0000C51C0000}"/>
    <cellStyle name="Porcentual 154 15" xfId="2201" xr:uid="{00000000-0005-0000-0000-0000C61C0000}"/>
    <cellStyle name="Porcentual 154 15 2" xfId="5863" xr:uid="{00000000-0005-0000-0000-0000C71C0000}"/>
    <cellStyle name="Porcentual 154 15 3" xfId="8536" xr:uid="{00000000-0005-0000-0000-0000C81C0000}"/>
    <cellStyle name="Porcentual 154 16" xfId="2202" xr:uid="{00000000-0005-0000-0000-0000C91C0000}"/>
    <cellStyle name="Porcentual 154 16 2" xfId="5864" xr:uid="{00000000-0005-0000-0000-0000CA1C0000}"/>
    <cellStyle name="Porcentual 154 16 3" xfId="8537" xr:uid="{00000000-0005-0000-0000-0000CB1C0000}"/>
    <cellStyle name="Porcentual 154 17" xfId="2203" xr:uid="{00000000-0005-0000-0000-0000CC1C0000}"/>
    <cellStyle name="Porcentual 154 17 2" xfId="5865" xr:uid="{00000000-0005-0000-0000-0000CD1C0000}"/>
    <cellStyle name="Porcentual 154 17 3" xfId="8538" xr:uid="{00000000-0005-0000-0000-0000CE1C0000}"/>
    <cellStyle name="Porcentual 154 18" xfId="2204" xr:uid="{00000000-0005-0000-0000-0000CF1C0000}"/>
    <cellStyle name="Porcentual 154 18 2" xfId="5866" xr:uid="{00000000-0005-0000-0000-0000D01C0000}"/>
    <cellStyle name="Porcentual 154 18 3" xfId="8539" xr:uid="{00000000-0005-0000-0000-0000D11C0000}"/>
    <cellStyle name="Porcentual 154 19" xfId="2205" xr:uid="{00000000-0005-0000-0000-0000D21C0000}"/>
    <cellStyle name="Porcentual 154 19 2" xfId="5867" xr:uid="{00000000-0005-0000-0000-0000D31C0000}"/>
    <cellStyle name="Porcentual 154 19 3" xfId="8540" xr:uid="{00000000-0005-0000-0000-0000D41C0000}"/>
    <cellStyle name="Porcentual 154 2" xfId="2206" xr:uid="{00000000-0005-0000-0000-0000D51C0000}"/>
    <cellStyle name="Porcentual 154 2 2" xfId="5868" xr:uid="{00000000-0005-0000-0000-0000D61C0000}"/>
    <cellStyle name="Porcentual 154 2 3" xfId="8541" xr:uid="{00000000-0005-0000-0000-0000D71C0000}"/>
    <cellStyle name="Porcentual 154 20" xfId="2207" xr:uid="{00000000-0005-0000-0000-0000D81C0000}"/>
    <cellStyle name="Porcentual 154 20 2" xfId="5869" xr:uid="{00000000-0005-0000-0000-0000D91C0000}"/>
    <cellStyle name="Porcentual 154 20 3" xfId="8542" xr:uid="{00000000-0005-0000-0000-0000DA1C0000}"/>
    <cellStyle name="Porcentual 154 21" xfId="2208" xr:uid="{00000000-0005-0000-0000-0000DB1C0000}"/>
    <cellStyle name="Porcentual 154 21 2" xfId="5870" xr:uid="{00000000-0005-0000-0000-0000DC1C0000}"/>
    <cellStyle name="Porcentual 154 21 3" xfId="8543" xr:uid="{00000000-0005-0000-0000-0000DD1C0000}"/>
    <cellStyle name="Porcentual 154 22" xfId="2209" xr:uid="{00000000-0005-0000-0000-0000DE1C0000}"/>
    <cellStyle name="Porcentual 154 22 2" xfId="5871" xr:uid="{00000000-0005-0000-0000-0000DF1C0000}"/>
    <cellStyle name="Porcentual 154 22 3" xfId="8544" xr:uid="{00000000-0005-0000-0000-0000E01C0000}"/>
    <cellStyle name="Porcentual 154 23" xfId="2210" xr:uid="{00000000-0005-0000-0000-0000E11C0000}"/>
    <cellStyle name="Porcentual 154 23 2" xfId="5872" xr:uid="{00000000-0005-0000-0000-0000E21C0000}"/>
    <cellStyle name="Porcentual 154 23 3" xfId="8545" xr:uid="{00000000-0005-0000-0000-0000E31C0000}"/>
    <cellStyle name="Porcentual 154 24" xfId="2211" xr:uid="{00000000-0005-0000-0000-0000E41C0000}"/>
    <cellStyle name="Porcentual 154 24 2" xfId="5873" xr:uid="{00000000-0005-0000-0000-0000E51C0000}"/>
    <cellStyle name="Porcentual 154 24 3" xfId="8546" xr:uid="{00000000-0005-0000-0000-0000E61C0000}"/>
    <cellStyle name="Porcentual 154 25" xfId="2212" xr:uid="{00000000-0005-0000-0000-0000E71C0000}"/>
    <cellStyle name="Porcentual 154 25 2" xfId="5874" xr:uid="{00000000-0005-0000-0000-0000E81C0000}"/>
    <cellStyle name="Porcentual 154 25 3" xfId="8547" xr:uid="{00000000-0005-0000-0000-0000E91C0000}"/>
    <cellStyle name="Porcentual 154 26" xfId="2213" xr:uid="{00000000-0005-0000-0000-0000EA1C0000}"/>
    <cellStyle name="Porcentual 154 26 2" xfId="5875" xr:uid="{00000000-0005-0000-0000-0000EB1C0000}"/>
    <cellStyle name="Porcentual 154 26 3" xfId="8548" xr:uid="{00000000-0005-0000-0000-0000EC1C0000}"/>
    <cellStyle name="Porcentual 154 27" xfId="2214" xr:uid="{00000000-0005-0000-0000-0000ED1C0000}"/>
    <cellStyle name="Porcentual 154 27 2" xfId="5876" xr:uid="{00000000-0005-0000-0000-0000EE1C0000}"/>
    <cellStyle name="Porcentual 154 27 3" xfId="8549" xr:uid="{00000000-0005-0000-0000-0000EF1C0000}"/>
    <cellStyle name="Porcentual 154 28" xfId="2215" xr:uid="{00000000-0005-0000-0000-0000F01C0000}"/>
    <cellStyle name="Porcentual 154 28 2" xfId="5877" xr:uid="{00000000-0005-0000-0000-0000F11C0000}"/>
    <cellStyle name="Porcentual 154 28 3" xfId="8550" xr:uid="{00000000-0005-0000-0000-0000F21C0000}"/>
    <cellStyle name="Porcentual 154 3" xfId="2216" xr:uid="{00000000-0005-0000-0000-0000F31C0000}"/>
    <cellStyle name="Porcentual 154 3 2" xfId="5878" xr:uid="{00000000-0005-0000-0000-0000F41C0000}"/>
    <cellStyle name="Porcentual 154 3 3" xfId="8551" xr:uid="{00000000-0005-0000-0000-0000F51C0000}"/>
    <cellStyle name="Porcentual 154 4" xfId="2217" xr:uid="{00000000-0005-0000-0000-0000F61C0000}"/>
    <cellStyle name="Porcentual 154 4 2" xfId="5879" xr:uid="{00000000-0005-0000-0000-0000F71C0000}"/>
    <cellStyle name="Porcentual 154 4 3" xfId="8552" xr:uid="{00000000-0005-0000-0000-0000F81C0000}"/>
    <cellStyle name="Porcentual 154 5" xfId="2218" xr:uid="{00000000-0005-0000-0000-0000F91C0000}"/>
    <cellStyle name="Porcentual 154 5 2" xfId="5880" xr:uid="{00000000-0005-0000-0000-0000FA1C0000}"/>
    <cellStyle name="Porcentual 154 5 3" xfId="8553" xr:uid="{00000000-0005-0000-0000-0000FB1C0000}"/>
    <cellStyle name="Porcentual 154 6" xfId="2219" xr:uid="{00000000-0005-0000-0000-0000FC1C0000}"/>
    <cellStyle name="Porcentual 154 6 2" xfId="5881" xr:uid="{00000000-0005-0000-0000-0000FD1C0000}"/>
    <cellStyle name="Porcentual 154 6 3" xfId="8554" xr:uid="{00000000-0005-0000-0000-0000FE1C0000}"/>
    <cellStyle name="Porcentual 154 7" xfId="2220" xr:uid="{00000000-0005-0000-0000-0000FF1C0000}"/>
    <cellStyle name="Porcentual 154 7 2" xfId="5882" xr:uid="{00000000-0005-0000-0000-0000001D0000}"/>
    <cellStyle name="Porcentual 154 7 3" xfId="8555" xr:uid="{00000000-0005-0000-0000-0000011D0000}"/>
    <cellStyle name="Porcentual 154 8" xfId="2221" xr:uid="{00000000-0005-0000-0000-0000021D0000}"/>
    <cellStyle name="Porcentual 154 8 2" xfId="5883" xr:uid="{00000000-0005-0000-0000-0000031D0000}"/>
    <cellStyle name="Porcentual 154 8 3" xfId="8556" xr:uid="{00000000-0005-0000-0000-0000041D0000}"/>
    <cellStyle name="Porcentual 154 9" xfId="2222" xr:uid="{00000000-0005-0000-0000-0000051D0000}"/>
    <cellStyle name="Porcentual 154 9 2" xfId="5884" xr:uid="{00000000-0005-0000-0000-0000061D0000}"/>
    <cellStyle name="Porcentual 154 9 3" xfId="8557" xr:uid="{00000000-0005-0000-0000-0000071D0000}"/>
    <cellStyle name="Porcentual 155 10" xfId="2223" xr:uid="{00000000-0005-0000-0000-0000081D0000}"/>
    <cellStyle name="Porcentual 155 10 2" xfId="5885" xr:uid="{00000000-0005-0000-0000-0000091D0000}"/>
    <cellStyle name="Porcentual 155 10 3" xfId="8558" xr:uid="{00000000-0005-0000-0000-00000A1D0000}"/>
    <cellStyle name="Porcentual 155 11" xfId="2224" xr:uid="{00000000-0005-0000-0000-00000B1D0000}"/>
    <cellStyle name="Porcentual 155 11 2" xfId="5886" xr:uid="{00000000-0005-0000-0000-00000C1D0000}"/>
    <cellStyle name="Porcentual 155 11 3" xfId="8559" xr:uid="{00000000-0005-0000-0000-00000D1D0000}"/>
    <cellStyle name="Porcentual 155 12" xfId="2225" xr:uid="{00000000-0005-0000-0000-00000E1D0000}"/>
    <cellStyle name="Porcentual 155 12 2" xfId="5887" xr:uid="{00000000-0005-0000-0000-00000F1D0000}"/>
    <cellStyle name="Porcentual 155 12 3" xfId="8560" xr:uid="{00000000-0005-0000-0000-0000101D0000}"/>
    <cellStyle name="Porcentual 155 13" xfId="2226" xr:uid="{00000000-0005-0000-0000-0000111D0000}"/>
    <cellStyle name="Porcentual 155 13 2" xfId="5888" xr:uid="{00000000-0005-0000-0000-0000121D0000}"/>
    <cellStyle name="Porcentual 155 13 3" xfId="8561" xr:uid="{00000000-0005-0000-0000-0000131D0000}"/>
    <cellStyle name="Porcentual 155 14" xfId="2227" xr:uid="{00000000-0005-0000-0000-0000141D0000}"/>
    <cellStyle name="Porcentual 155 14 2" xfId="5889" xr:uid="{00000000-0005-0000-0000-0000151D0000}"/>
    <cellStyle name="Porcentual 155 14 3" xfId="8562" xr:uid="{00000000-0005-0000-0000-0000161D0000}"/>
    <cellStyle name="Porcentual 155 15" xfId="2228" xr:uid="{00000000-0005-0000-0000-0000171D0000}"/>
    <cellStyle name="Porcentual 155 15 2" xfId="5890" xr:uid="{00000000-0005-0000-0000-0000181D0000}"/>
    <cellStyle name="Porcentual 155 15 3" xfId="8563" xr:uid="{00000000-0005-0000-0000-0000191D0000}"/>
    <cellStyle name="Porcentual 155 16" xfId="2229" xr:uid="{00000000-0005-0000-0000-00001A1D0000}"/>
    <cellStyle name="Porcentual 155 16 2" xfId="5891" xr:uid="{00000000-0005-0000-0000-00001B1D0000}"/>
    <cellStyle name="Porcentual 155 16 3" xfId="8564" xr:uid="{00000000-0005-0000-0000-00001C1D0000}"/>
    <cellStyle name="Porcentual 155 17" xfId="2230" xr:uid="{00000000-0005-0000-0000-00001D1D0000}"/>
    <cellStyle name="Porcentual 155 17 2" xfId="5892" xr:uid="{00000000-0005-0000-0000-00001E1D0000}"/>
    <cellStyle name="Porcentual 155 17 3" xfId="8565" xr:uid="{00000000-0005-0000-0000-00001F1D0000}"/>
    <cellStyle name="Porcentual 155 18" xfId="2231" xr:uid="{00000000-0005-0000-0000-0000201D0000}"/>
    <cellStyle name="Porcentual 155 18 2" xfId="5893" xr:uid="{00000000-0005-0000-0000-0000211D0000}"/>
    <cellStyle name="Porcentual 155 18 3" xfId="8566" xr:uid="{00000000-0005-0000-0000-0000221D0000}"/>
    <cellStyle name="Porcentual 155 19" xfId="2232" xr:uid="{00000000-0005-0000-0000-0000231D0000}"/>
    <cellStyle name="Porcentual 155 19 2" xfId="5894" xr:uid="{00000000-0005-0000-0000-0000241D0000}"/>
    <cellStyle name="Porcentual 155 19 3" xfId="8567" xr:uid="{00000000-0005-0000-0000-0000251D0000}"/>
    <cellStyle name="Porcentual 155 2" xfId="2233" xr:uid="{00000000-0005-0000-0000-0000261D0000}"/>
    <cellStyle name="Porcentual 155 2 2" xfId="5895" xr:uid="{00000000-0005-0000-0000-0000271D0000}"/>
    <cellStyle name="Porcentual 155 2 3" xfId="8568" xr:uid="{00000000-0005-0000-0000-0000281D0000}"/>
    <cellStyle name="Porcentual 155 20" xfId="2234" xr:uid="{00000000-0005-0000-0000-0000291D0000}"/>
    <cellStyle name="Porcentual 155 20 2" xfId="5896" xr:uid="{00000000-0005-0000-0000-00002A1D0000}"/>
    <cellStyle name="Porcentual 155 20 3" xfId="8569" xr:uid="{00000000-0005-0000-0000-00002B1D0000}"/>
    <cellStyle name="Porcentual 155 21" xfId="2235" xr:uid="{00000000-0005-0000-0000-00002C1D0000}"/>
    <cellStyle name="Porcentual 155 21 2" xfId="5897" xr:uid="{00000000-0005-0000-0000-00002D1D0000}"/>
    <cellStyle name="Porcentual 155 21 3" xfId="8570" xr:uid="{00000000-0005-0000-0000-00002E1D0000}"/>
    <cellStyle name="Porcentual 155 22" xfId="2236" xr:uid="{00000000-0005-0000-0000-00002F1D0000}"/>
    <cellStyle name="Porcentual 155 22 2" xfId="5898" xr:uid="{00000000-0005-0000-0000-0000301D0000}"/>
    <cellStyle name="Porcentual 155 22 3" xfId="8571" xr:uid="{00000000-0005-0000-0000-0000311D0000}"/>
    <cellStyle name="Porcentual 155 23" xfId="2237" xr:uid="{00000000-0005-0000-0000-0000321D0000}"/>
    <cellStyle name="Porcentual 155 23 2" xfId="5899" xr:uid="{00000000-0005-0000-0000-0000331D0000}"/>
    <cellStyle name="Porcentual 155 23 3" xfId="8572" xr:uid="{00000000-0005-0000-0000-0000341D0000}"/>
    <cellStyle name="Porcentual 155 24" xfId="2238" xr:uid="{00000000-0005-0000-0000-0000351D0000}"/>
    <cellStyle name="Porcentual 155 24 2" xfId="5900" xr:uid="{00000000-0005-0000-0000-0000361D0000}"/>
    <cellStyle name="Porcentual 155 24 3" xfId="8573" xr:uid="{00000000-0005-0000-0000-0000371D0000}"/>
    <cellStyle name="Porcentual 155 25" xfId="2239" xr:uid="{00000000-0005-0000-0000-0000381D0000}"/>
    <cellStyle name="Porcentual 155 25 2" xfId="5901" xr:uid="{00000000-0005-0000-0000-0000391D0000}"/>
    <cellStyle name="Porcentual 155 25 3" xfId="8574" xr:uid="{00000000-0005-0000-0000-00003A1D0000}"/>
    <cellStyle name="Porcentual 155 26" xfId="2240" xr:uid="{00000000-0005-0000-0000-00003B1D0000}"/>
    <cellStyle name="Porcentual 155 26 2" xfId="5902" xr:uid="{00000000-0005-0000-0000-00003C1D0000}"/>
    <cellStyle name="Porcentual 155 26 3" xfId="8575" xr:uid="{00000000-0005-0000-0000-00003D1D0000}"/>
    <cellStyle name="Porcentual 155 27" xfId="2241" xr:uid="{00000000-0005-0000-0000-00003E1D0000}"/>
    <cellStyle name="Porcentual 155 27 2" xfId="5903" xr:uid="{00000000-0005-0000-0000-00003F1D0000}"/>
    <cellStyle name="Porcentual 155 27 3" xfId="8576" xr:uid="{00000000-0005-0000-0000-0000401D0000}"/>
    <cellStyle name="Porcentual 155 28" xfId="2242" xr:uid="{00000000-0005-0000-0000-0000411D0000}"/>
    <cellStyle name="Porcentual 155 28 2" xfId="5904" xr:uid="{00000000-0005-0000-0000-0000421D0000}"/>
    <cellStyle name="Porcentual 155 28 3" xfId="8577" xr:uid="{00000000-0005-0000-0000-0000431D0000}"/>
    <cellStyle name="Porcentual 155 3" xfId="2243" xr:uid="{00000000-0005-0000-0000-0000441D0000}"/>
    <cellStyle name="Porcentual 155 3 2" xfId="5905" xr:uid="{00000000-0005-0000-0000-0000451D0000}"/>
    <cellStyle name="Porcentual 155 3 3" xfId="8578" xr:uid="{00000000-0005-0000-0000-0000461D0000}"/>
    <cellStyle name="Porcentual 155 4" xfId="2244" xr:uid="{00000000-0005-0000-0000-0000471D0000}"/>
    <cellStyle name="Porcentual 155 4 2" xfId="5906" xr:uid="{00000000-0005-0000-0000-0000481D0000}"/>
    <cellStyle name="Porcentual 155 4 3" xfId="8579" xr:uid="{00000000-0005-0000-0000-0000491D0000}"/>
    <cellStyle name="Porcentual 155 5" xfId="2245" xr:uid="{00000000-0005-0000-0000-00004A1D0000}"/>
    <cellStyle name="Porcentual 155 5 2" xfId="5907" xr:uid="{00000000-0005-0000-0000-00004B1D0000}"/>
    <cellStyle name="Porcentual 155 5 3" xfId="8580" xr:uid="{00000000-0005-0000-0000-00004C1D0000}"/>
    <cellStyle name="Porcentual 155 6" xfId="2246" xr:uid="{00000000-0005-0000-0000-00004D1D0000}"/>
    <cellStyle name="Porcentual 155 6 2" xfId="5908" xr:uid="{00000000-0005-0000-0000-00004E1D0000}"/>
    <cellStyle name="Porcentual 155 6 3" xfId="8581" xr:uid="{00000000-0005-0000-0000-00004F1D0000}"/>
    <cellStyle name="Porcentual 155 7" xfId="2247" xr:uid="{00000000-0005-0000-0000-0000501D0000}"/>
    <cellStyle name="Porcentual 155 7 2" xfId="5909" xr:uid="{00000000-0005-0000-0000-0000511D0000}"/>
    <cellStyle name="Porcentual 155 7 3" xfId="8582" xr:uid="{00000000-0005-0000-0000-0000521D0000}"/>
    <cellStyle name="Porcentual 155 8" xfId="2248" xr:uid="{00000000-0005-0000-0000-0000531D0000}"/>
    <cellStyle name="Porcentual 155 8 2" xfId="5910" xr:uid="{00000000-0005-0000-0000-0000541D0000}"/>
    <cellStyle name="Porcentual 155 8 3" xfId="8583" xr:uid="{00000000-0005-0000-0000-0000551D0000}"/>
    <cellStyle name="Porcentual 155 9" xfId="2249" xr:uid="{00000000-0005-0000-0000-0000561D0000}"/>
    <cellStyle name="Porcentual 155 9 2" xfId="5911" xr:uid="{00000000-0005-0000-0000-0000571D0000}"/>
    <cellStyle name="Porcentual 155 9 3" xfId="8584" xr:uid="{00000000-0005-0000-0000-0000581D0000}"/>
    <cellStyle name="Porcentual 156 10" xfId="2250" xr:uid="{00000000-0005-0000-0000-0000591D0000}"/>
    <cellStyle name="Porcentual 156 10 2" xfId="5912" xr:uid="{00000000-0005-0000-0000-00005A1D0000}"/>
    <cellStyle name="Porcentual 156 10 3" xfId="8585" xr:uid="{00000000-0005-0000-0000-00005B1D0000}"/>
    <cellStyle name="Porcentual 156 11" xfId="2251" xr:uid="{00000000-0005-0000-0000-00005C1D0000}"/>
    <cellStyle name="Porcentual 156 11 2" xfId="5913" xr:uid="{00000000-0005-0000-0000-00005D1D0000}"/>
    <cellStyle name="Porcentual 156 11 3" xfId="8586" xr:uid="{00000000-0005-0000-0000-00005E1D0000}"/>
    <cellStyle name="Porcentual 156 12" xfId="2252" xr:uid="{00000000-0005-0000-0000-00005F1D0000}"/>
    <cellStyle name="Porcentual 156 12 2" xfId="5914" xr:uid="{00000000-0005-0000-0000-0000601D0000}"/>
    <cellStyle name="Porcentual 156 12 3" xfId="8587" xr:uid="{00000000-0005-0000-0000-0000611D0000}"/>
    <cellStyle name="Porcentual 156 13" xfId="2253" xr:uid="{00000000-0005-0000-0000-0000621D0000}"/>
    <cellStyle name="Porcentual 156 13 2" xfId="5915" xr:uid="{00000000-0005-0000-0000-0000631D0000}"/>
    <cellStyle name="Porcentual 156 13 3" xfId="8588" xr:uid="{00000000-0005-0000-0000-0000641D0000}"/>
    <cellStyle name="Porcentual 156 14" xfId="2254" xr:uid="{00000000-0005-0000-0000-0000651D0000}"/>
    <cellStyle name="Porcentual 156 14 2" xfId="5916" xr:uid="{00000000-0005-0000-0000-0000661D0000}"/>
    <cellStyle name="Porcentual 156 14 3" xfId="8589" xr:uid="{00000000-0005-0000-0000-0000671D0000}"/>
    <cellStyle name="Porcentual 156 15" xfId="2255" xr:uid="{00000000-0005-0000-0000-0000681D0000}"/>
    <cellStyle name="Porcentual 156 15 2" xfId="5917" xr:uid="{00000000-0005-0000-0000-0000691D0000}"/>
    <cellStyle name="Porcentual 156 15 3" xfId="8590" xr:uid="{00000000-0005-0000-0000-00006A1D0000}"/>
    <cellStyle name="Porcentual 156 16" xfId="2256" xr:uid="{00000000-0005-0000-0000-00006B1D0000}"/>
    <cellStyle name="Porcentual 156 16 2" xfId="5918" xr:uid="{00000000-0005-0000-0000-00006C1D0000}"/>
    <cellStyle name="Porcentual 156 16 3" xfId="8591" xr:uid="{00000000-0005-0000-0000-00006D1D0000}"/>
    <cellStyle name="Porcentual 156 17" xfId="2257" xr:uid="{00000000-0005-0000-0000-00006E1D0000}"/>
    <cellStyle name="Porcentual 156 17 2" xfId="5919" xr:uid="{00000000-0005-0000-0000-00006F1D0000}"/>
    <cellStyle name="Porcentual 156 17 3" xfId="8592" xr:uid="{00000000-0005-0000-0000-0000701D0000}"/>
    <cellStyle name="Porcentual 156 18" xfId="2258" xr:uid="{00000000-0005-0000-0000-0000711D0000}"/>
    <cellStyle name="Porcentual 156 18 2" xfId="5920" xr:uid="{00000000-0005-0000-0000-0000721D0000}"/>
    <cellStyle name="Porcentual 156 18 3" xfId="8593" xr:uid="{00000000-0005-0000-0000-0000731D0000}"/>
    <cellStyle name="Porcentual 156 19" xfId="2259" xr:uid="{00000000-0005-0000-0000-0000741D0000}"/>
    <cellStyle name="Porcentual 156 19 2" xfId="5921" xr:uid="{00000000-0005-0000-0000-0000751D0000}"/>
    <cellStyle name="Porcentual 156 19 3" xfId="8594" xr:uid="{00000000-0005-0000-0000-0000761D0000}"/>
    <cellStyle name="Porcentual 156 2" xfId="2260" xr:uid="{00000000-0005-0000-0000-0000771D0000}"/>
    <cellStyle name="Porcentual 156 2 2" xfId="5922" xr:uid="{00000000-0005-0000-0000-0000781D0000}"/>
    <cellStyle name="Porcentual 156 2 3" xfId="8595" xr:uid="{00000000-0005-0000-0000-0000791D0000}"/>
    <cellStyle name="Porcentual 156 20" xfId="2261" xr:uid="{00000000-0005-0000-0000-00007A1D0000}"/>
    <cellStyle name="Porcentual 156 20 2" xfId="5923" xr:uid="{00000000-0005-0000-0000-00007B1D0000}"/>
    <cellStyle name="Porcentual 156 20 3" xfId="8596" xr:uid="{00000000-0005-0000-0000-00007C1D0000}"/>
    <cellStyle name="Porcentual 156 21" xfId="2262" xr:uid="{00000000-0005-0000-0000-00007D1D0000}"/>
    <cellStyle name="Porcentual 156 21 2" xfId="5924" xr:uid="{00000000-0005-0000-0000-00007E1D0000}"/>
    <cellStyle name="Porcentual 156 21 3" xfId="8597" xr:uid="{00000000-0005-0000-0000-00007F1D0000}"/>
    <cellStyle name="Porcentual 156 22" xfId="2263" xr:uid="{00000000-0005-0000-0000-0000801D0000}"/>
    <cellStyle name="Porcentual 156 22 2" xfId="5925" xr:uid="{00000000-0005-0000-0000-0000811D0000}"/>
    <cellStyle name="Porcentual 156 22 3" xfId="8598" xr:uid="{00000000-0005-0000-0000-0000821D0000}"/>
    <cellStyle name="Porcentual 156 23" xfId="2264" xr:uid="{00000000-0005-0000-0000-0000831D0000}"/>
    <cellStyle name="Porcentual 156 23 2" xfId="5926" xr:uid="{00000000-0005-0000-0000-0000841D0000}"/>
    <cellStyle name="Porcentual 156 23 3" xfId="8599" xr:uid="{00000000-0005-0000-0000-0000851D0000}"/>
    <cellStyle name="Porcentual 156 24" xfId="2265" xr:uid="{00000000-0005-0000-0000-0000861D0000}"/>
    <cellStyle name="Porcentual 156 24 2" xfId="5927" xr:uid="{00000000-0005-0000-0000-0000871D0000}"/>
    <cellStyle name="Porcentual 156 24 3" xfId="8600" xr:uid="{00000000-0005-0000-0000-0000881D0000}"/>
    <cellStyle name="Porcentual 156 25" xfId="2266" xr:uid="{00000000-0005-0000-0000-0000891D0000}"/>
    <cellStyle name="Porcentual 156 25 2" xfId="5928" xr:uid="{00000000-0005-0000-0000-00008A1D0000}"/>
    <cellStyle name="Porcentual 156 25 3" xfId="8601" xr:uid="{00000000-0005-0000-0000-00008B1D0000}"/>
    <cellStyle name="Porcentual 156 26" xfId="2267" xr:uid="{00000000-0005-0000-0000-00008C1D0000}"/>
    <cellStyle name="Porcentual 156 26 2" xfId="5929" xr:uid="{00000000-0005-0000-0000-00008D1D0000}"/>
    <cellStyle name="Porcentual 156 26 3" xfId="8602" xr:uid="{00000000-0005-0000-0000-00008E1D0000}"/>
    <cellStyle name="Porcentual 156 27" xfId="2268" xr:uid="{00000000-0005-0000-0000-00008F1D0000}"/>
    <cellStyle name="Porcentual 156 27 2" xfId="5930" xr:uid="{00000000-0005-0000-0000-0000901D0000}"/>
    <cellStyle name="Porcentual 156 27 3" xfId="8603" xr:uid="{00000000-0005-0000-0000-0000911D0000}"/>
    <cellStyle name="Porcentual 156 28" xfId="2269" xr:uid="{00000000-0005-0000-0000-0000921D0000}"/>
    <cellStyle name="Porcentual 156 28 2" xfId="5931" xr:uid="{00000000-0005-0000-0000-0000931D0000}"/>
    <cellStyle name="Porcentual 156 28 3" xfId="8604" xr:uid="{00000000-0005-0000-0000-0000941D0000}"/>
    <cellStyle name="Porcentual 156 3" xfId="2270" xr:uid="{00000000-0005-0000-0000-0000951D0000}"/>
    <cellStyle name="Porcentual 156 3 2" xfId="5932" xr:uid="{00000000-0005-0000-0000-0000961D0000}"/>
    <cellStyle name="Porcentual 156 3 3" xfId="8605" xr:uid="{00000000-0005-0000-0000-0000971D0000}"/>
    <cellStyle name="Porcentual 156 4" xfId="2271" xr:uid="{00000000-0005-0000-0000-0000981D0000}"/>
    <cellStyle name="Porcentual 156 4 2" xfId="5933" xr:uid="{00000000-0005-0000-0000-0000991D0000}"/>
    <cellStyle name="Porcentual 156 4 3" xfId="8606" xr:uid="{00000000-0005-0000-0000-00009A1D0000}"/>
    <cellStyle name="Porcentual 156 5" xfId="2272" xr:uid="{00000000-0005-0000-0000-00009B1D0000}"/>
    <cellStyle name="Porcentual 156 5 2" xfId="5934" xr:uid="{00000000-0005-0000-0000-00009C1D0000}"/>
    <cellStyle name="Porcentual 156 5 3" xfId="8607" xr:uid="{00000000-0005-0000-0000-00009D1D0000}"/>
    <cellStyle name="Porcentual 156 6" xfId="2273" xr:uid="{00000000-0005-0000-0000-00009E1D0000}"/>
    <cellStyle name="Porcentual 156 6 2" xfId="5935" xr:uid="{00000000-0005-0000-0000-00009F1D0000}"/>
    <cellStyle name="Porcentual 156 6 3" xfId="8608" xr:uid="{00000000-0005-0000-0000-0000A01D0000}"/>
    <cellStyle name="Porcentual 156 7" xfId="2274" xr:uid="{00000000-0005-0000-0000-0000A11D0000}"/>
    <cellStyle name="Porcentual 156 7 2" xfId="5936" xr:uid="{00000000-0005-0000-0000-0000A21D0000}"/>
    <cellStyle name="Porcentual 156 7 3" xfId="8609" xr:uid="{00000000-0005-0000-0000-0000A31D0000}"/>
    <cellStyle name="Porcentual 156 8" xfId="2275" xr:uid="{00000000-0005-0000-0000-0000A41D0000}"/>
    <cellStyle name="Porcentual 156 8 2" xfId="5937" xr:uid="{00000000-0005-0000-0000-0000A51D0000}"/>
    <cellStyle name="Porcentual 156 8 3" xfId="8610" xr:uid="{00000000-0005-0000-0000-0000A61D0000}"/>
    <cellStyle name="Porcentual 156 9" xfId="2276" xr:uid="{00000000-0005-0000-0000-0000A71D0000}"/>
    <cellStyle name="Porcentual 156 9 2" xfId="5938" xr:uid="{00000000-0005-0000-0000-0000A81D0000}"/>
    <cellStyle name="Porcentual 156 9 3" xfId="8611" xr:uid="{00000000-0005-0000-0000-0000A91D0000}"/>
    <cellStyle name="Porcentual 157 10" xfId="2277" xr:uid="{00000000-0005-0000-0000-0000AA1D0000}"/>
    <cellStyle name="Porcentual 157 10 2" xfId="5939" xr:uid="{00000000-0005-0000-0000-0000AB1D0000}"/>
    <cellStyle name="Porcentual 157 10 3" xfId="8612" xr:uid="{00000000-0005-0000-0000-0000AC1D0000}"/>
    <cellStyle name="Porcentual 157 11" xfId="2278" xr:uid="{00000000-0005-0000-0000-0000AD1D0000}"/>
    <cellStyle name="Porcentual 157 11 2" xfId="5940" xr:uid="{00000000-0005-0000-0000-0000AE1D0000}"/>
    <cellStyle name="Porcentual 157 11 3" xfId="8613" xr:uid="{00000000-0005-0000-0000-0000AF1D0000}"/>
    <cellStyle name="Porcentual 157 12" xfId="2279" xr:uid="{00000000-0005-0000-0000-0000B01D0000}"/>
    <cellStyle name="Porcentual 157 12 2" xfId="5941" xr:uid="{00000000-0005-0000-0000-0000B11D0000}"/>
    <cellStyle name="Porcentual 157 12 3" xfId="8614" xr:uid="{00000000-0005-0000-0000-0000B21D0000}"/>
    <cellStyle name="Porcentual 157 13" xfId="2280" xr:uid="{00000000-0005-0000-0000-0000B31D0000}"/>
    <cellStyle name="Porcentual 157 13 2" xfId="5942" xr:uid="{00000000-0005-0000-0000-0000B41D0000}"/>
    <cellStyle name="Porcentual 157 13 3" xfId="8615" xr:uid="{00000000-0005-0000-0000-0000B51D0000}"/>
    <cellStyle name="Porcentual 157 14" xfId="2281" xr:uid="{00000000-0005-0000-0000-0000B61D0000}"/>
    <cellStyle name="Porcentual 157 14 2" xfId="5943" xr:uid="{00000000-0005-0000-0000-0000B71D0000}"/>
    <cellStyle name="Porcentual 157 14 3" xfId="8616" xr:uid="{00000000-0005-0000-0000-0000B81D0000}"/>
    <cellStyle name="Porcentual 157 15" xfId="2282" xr:uid="{00000000-0005-0000-0000-0000B91D0000}"/>
    <cellStyle name="Porcentual 157 15 2" xfId="5944" xr:uid="{00000000-0005-0000-0000-0000BA1D0000}"/>
    <cellStyle name="Porcentual 157 15 3" xfId="8617" xr:uid="{00000000-0005-0000-0000-0000BB1D0000}"/>
    <cellStyle name="Porcentual 157 16" xfId="2283" xr:uid="{00000000-0005-0000-0000-0000BC1D0000}"/>
    <cellStyle name="Porcentual 157 16 2" xfId="5945" xr:uid="{00000000-0005-0000-0000-0000BD1D0000}"/>
    <cellStyle name="Porcentual 157 16 3" xfId="8618" xr:uid="{00000000-0005-0000-0000-0000BE1D0000}"/>
    <cellStyle name="Porcentual 157 17" xfId="2284" xr:uid="{00000000-0005-0000-0000-0000BF1D0000}"/>
    <cellStyle name="Porcentual 157 17 2" xfId="5946" xr:uid="{00000000-0005-0000-0000-0000C01D0000}"/>
    <cellStyle name="Porcentual 157 17 3" xfId="8619" xr:uid="{00000000-0005-0000-0000-0000C11D0000}"/>
    <cellStyle name="Porcentual 157 18" xfId="2285" xr:uid="{00000000-0005-0000-0000-0000C21D0000}"/>
    <cellStyle name="Porcentual 157 18 2" xfId="5947" xr:uid="{00000000-0005-0000-0000-0000C31D0000}"/>
    <cellStyle name="Porcentual 157 18 3" xfId="8620" xr:uid="{00000000-0005-0000-0000-0000C41D0000}"/>
    <cellStyle name="Porcentual 157 19" xfId="2286" xr:uid="{00000000-0005-0000-0000-0000C51D0000}"/>
    <cellStyle name="Porcentual 157 19 2" xfId="5948" xr:uid="{00000000-0005-0000-0000-0000C61D0000}"/>
    <cellStyle name="Porcentual 157 19 3" xfId="8621" xr:uid="{00000000-0005-0000-0000-0000C71D0000}"/>
    <cellStyle name="Porcentual 157 2" xfId="2287" xr:uid="{00000000-0005-0000-0000-0000C81D0000}"/>
    <cellStyle name="Porcentual 157 2 2" xfId="5949" xr:uid="{00000000-0005-0000-0000-0000C91D0000}"/>
    <cellStyle name="Porcentual 157 2 3" xfId="8622" xr:uid="{00000000-0005-0000-0000-0000CA1D0000}"/>
    <cellStyle name="Porcentual 157 20" xfId="2288" xr:uid="{00000000-0005-0000-0000-0000CB1D0000}"/>
    <cellStyle name="Porcentual 157 20 2" xfId="5950" xr:uid="{00000000-0005-0000-0000-0000CC1D0000}"/>
    <cellStyle name="Porcentual 157 20 3" xfId="8623" xr:uid="{00000000-0005-0000-0000-0000CD1D0000}"/>
    <cellStyle name="Porcentual 157 21" xfId="2289" xr:uid="{00000000-0005-0000-0000-0000CE1D0000}"/>
    <cellStyle name="Porcentual 157 21 2" xfId="5951" xr:uid="{00000000-0005-0000-0000-0000CF1D0000}"/>
    <cellStyle name="Porcentual 157 21 3" xfId="8624" xr:uid="{00000000-0005-0000-0000-0000D01D0000}"/>
    <cellStyle name="Porcentual 157 22" xfId="2290" xr:uid="{00000000-0005-0000-0000-0000D11D0000}"/>
    <cellStyle name="Porcentual 157 22 2" xfId="5952" xr:uid="{00000000-0005-0000-0000-0000D21D0000}"/>
    <cellStyle name="Porcentual 157 22 3" xfId="8625" xr:uid="{00000000-0005-0000-0000-0000D31D0000}"/>
    <cellStyle name="Porcentual 157 23" xfId="2291" xr:uid="{00000000-0005-0000-0000-0000D41D0000}"/>
    <cellStyle name="Porcentual 157 23 2" xfId="5953" xr:uid="{00000000-0005-0000-0000-0000D51D0000}"/>
    <cellStyle name="Porcentual 157 23 3" xfId="8626" xr:uid="{00000000-0005-0000-0000-0000D61D0000}"/>
    <cellStyle name="Porcentual 157 24" xfId="2292" xr:uid="{00000000-0005-0000-0000-0000D71D0000}"/>
    <cellStyle name="Porcentual 157 24 2" xfId="5954" xr:uid="{00000000-0005-0000-0000-0000D81D0000}"/>
    <cellStyle name="Porcentual 157 24 3" xfId="8627" xr:uid="{00000000-0005-0000-0000-0000D91D0000}"/>
    <cellStyle name="Porcentual 157 25" xfId="2293" xr:uid="{00000000-0005-0000-0000-0000DA1D0000}"/>
    <cellStyle name="Porcentual 157 25 2" xfId="5955" xr:uid="{00000000-0005-0000-0000-0000DB1D0000}"/>
    <cellStyle name="Porcentual 157 25 3" xfId="8628" xr:uid="{00000000-0005-0000-0000-0000DC1D0000}"/>
    <cellStyle name="Porcentual 157 26" xfId="2294" xr:uid="{00000000-0005-0000-0000-0000DD1D0000}"/>
    <cellStyle name="Porcentual 157 26 2" xfId="5956" xr:uid="{00000000-0005-0000-0000-0000DE1D0000}"/>
    <cellStyle name="Porcentual 157 26 3" xfId="8629" xr:uid="{00000000-0005-0000-0000-0000DF1D0000}"/>
    <cellStyle name="Porcentual 157 27" xfId="2295" xr:uid="{00000000-0005-0000-0000-0000E01D0000}"/>
    <cellStyle name="Porcentual 157 27 2" xfId="5957" xr:uid="{00000000-0005-0000-0000-0000E11D0000}"/>
    <cellStyle name="Porcentual 157 27 3" xfId="8630" xr:uid="{00000000-0005-0000-0000-0000E21D0000}"/>
    <cellStyle name="Porcentual 157 28" xfId="2296" xr:uid="{00000000-0005-0000-0000-0000E31D0000}"/>
    <cellStyle name="Porcentual 157 28 2" xfId="5958" xr:uid="{00000000-0005-0000-0000-0000E41D0000}"/>
    <cellStyle name="Porcentual 157 28 3" xfId="8631" xr:uid="{00000000-0005-0000-0000-0000E51D0000}"/>
    <cellStyle name="Porcentual 157 3" xfId="2297" xr:uid="{00000000-0005-0000-0000-0000E61D0000}"/>
    <cellStyle name="Porcentual 157 3 2" xfId="5959" xr:uid="{00000000-0005-0000-0000-0000E71D0000}"/>
    <cellStyle name="Porcentual 157 3 3" xfId="8632" xr:uid="{00000000-0005-0000-0000-0000E81D0000}"/>
    <cellStyle name="Porcentual 157 4" xfId="2298" xr:uid="{00000000-0005-0000-0000-0000E91D0000}"/>
    <cellStyle name="Porcentual 157 4 2" xfId="5960" xr:uid="{00000000-0005-0000-0000-0000EA1D0000}"/>
    <cellStyle name="Porcentual 157 4 3" xfId="8633" xr:uid="{00000000-0005-0000-0000-0000EB1D0000}"/>
    <cellStyle name="Porcentual 157 5" xfId="2299" xr:uid="{00000000-0005-0000-0000-0000EC1D0000}"/>
    <cellStyle name="Porcentual 157 5 2" xfId="5961" xr:uid="{00000000-0005-0000-0000-0000ED1D0000}"/>
    <cellStyle name="Porcentual 157 5 3" xfId="8634" xr:uid="{00000000-0005-0000-0000-0000EE1D0000}"/>
    <cellStyle name="Porcentual 157 6" xfId="2300" xr:uid="{00000000-0005-0000-0000-0000EF1D0000}"/>
    <cellStyle name="Porcentual 157 6 2" xfId="5962" xr:uid="{00000000-0005-0000-0000-0000F01D0000}"/>
    <cellStyle name="Porcentual 157 6 3" xfId="8635" xr:uid="{00000000-0005-0000-0000-0000F11D0000}"/>
    <cellStyle name="Porcentual 157 7" xfId="2301" xr:uid="{00000000-0005-0000-0000-0000F21D0000}"/>
    <cellStyle name="Porcentual 157 7 2" xfId="5963" xr:uid="{00000000-0005-0000-0000-0000F31D0000}"/>
    <cellStyle name="Porcentual 157 7 3" xfId="8636" xr:uid="{00000000-0005-0000-0000-0000F41D0000}"/>
    <cellStyle name="Porcentual 157 8" xfId="2302" xr:uid="{00000000-0005-0000-0000-0000F51D0000}"/>
    <cellStyle name="Porcentual 157 8 2" xfId="5964" xr:uid="{00000000-0005-0000-0000-0000F61D0000}"/>
    <cellStyle name="Porcentual 157 8 3" xfId="8637" xr:uid="{00000000-0005-0000-0000-0000F71D0000}"/>
    <cellStyle name="Porcentual 157 9" xfId="2303" xr:uid="{00000000-0005-0000-0000-0000F81D0000}"/>
    <cellStyle name="Porcentual 157 9 2" xfId="5965" xr:uid="{00000000-0005-0000-0000-0000F91D0000}"/>
    <cellStyle name="Porcentual 157 9 3" xfId="8638" xr:uid="{00000000-0005-0000-0000-0000FA1D0000}"/>
    <cellStyle name="Porcentual 16" xfId="2304" xr:uid="{00000000-0005-0000-0000-0000FB1D0000}"/>
    <cellStyle name="Porcentual 16 10" xfId="2305" xr:uid="{00000000-0005-0000-0000-0000FC1D0000}"/>
    <cellStyle name="Porcentual 16 10 2" xfId="5966" xr:uid="{00000000-0005-0000-0000-0000FD1D0000}"/>
    <cellStyle name="Porcentual 16 10 3" xfId="8640" xr:uid="{00000000-0005-0000-0000-0000FE1D0000}"/>
    <cellStyle name="Porcentual 16 11" xfId="2306" xr:uid="{00000000-0005-0000-0000-0000FF1D0000}"/>
    <cellStyle name="Porcentual 16 11 2" xfId="5967" xr:uid="{00000000-0005-0000-0000-0000001E0000}"/>
    <cellStyle name="Porcentual 16 11 3" xfId="8641" xr:uid="{00000000-0005-0000-0000-0000011E0000}"/>
    <cellStyle name="Porcentual 16 12" xfId="2307" xr:uid="{00000000-0005-0000-0000-0000021E0000}"/>
    <cellStyle name="Porcentual 16 12 2" xfId="5968" xr:uid="{00000000-0005-0000-0000-0000031E0000}"/>
    <cellStyle name="Porcentual 16 12 3" xfId="8642" xr:uid="{00000000-0005-0000-0000-0000041E0000}"/>
    <cellStyle name="Porcentual 16 13" xfId="2308" xr:uid="{00000000-0005-0000-0000-0000051E0000}"/>
    <cellStyle name="Porcentual 16 13 2" xfId="5969" xr:uid="{00000000-0005-0000-0000-0000061E0000}"/>
    <cellStyle name="Porcentual 16 13 3" xfId="8643" xr:uid="{00000000-0005-0000-0000-0000071E0000}"/>
    <cellStyle name="Porcentual 16 14" xfId="2309" xr:uid="{00000000-0005-0000-0000-0000081E0000}"/>
    <cellStyle name="Porcentual 16 14 2" xfId="5970" xr:uid="{00000000-0005-0000-0000-0000091E0000}"/>
    <cellStyle name="Porcentual 16 14 3" xfId="8644" xr:uid="{00000000-0005-0000-0000-00000A1E0000}"/>
    <cellStyle name="Porcentual 16 15" xfId="2310" xr:uid="{00000000-0005-0000-0000-00000B1E0000}"/>
    <cellStyle name="Porcentual 16 15 2" xfId="5971" xr:uid="{00000000-0005-0000-0000-00000C1E0000}"/>
    <cellStyle name="Porcentual 16 15 3" xfId="8645" xr:uid="{00000000-0005-0000-0000-00000D1E0000}"/>
    <cellStyle name="Porcentual 16 16" xfId="2311" xr:uid="{00000000-0005-0000-0000-00000E1E0000}"/>
    <cellStyle name="Porcentual 16 16 2" xfId="5972" xr:uid="{00000000-0005-0000-0000-00000F1E0000}"/>
    <cellStyle name="Porcentual 16 16 3" xfId="8646" xr:uid="{00000000-0005-0000-0000-0000101E0000}"/>
    <cellStyle name="Porcentual 16 17" xfId="2312" xr:uid="{00000000-0005-0000-0000-0000111E0000}"/>
    <cellStyle name="Porcentual 16 17 2" xfId="5973" xr:uid="{00000000-0005-0000-0000-0000121E0000}"/>
    <cellStyle name="Porcentual 16 17 3" xfId="8647" xr:uid="{00000000-0005-0000-0000-0000131E0000}"/>
    <cellStyle name="Porcentual 16 18" xfId="2313" xr:uid="{00000000-0005-0000-0000-0000141E0000}"/>
    <cellStyle name="Porcentual 16 18 2" xfId="5974" xr:uid="{00000000-0005-0000-0000-0000151E0000}"/>
    <cellStyle name="Porcentual 16 18 3" xfId="8648" xr:uid="{00000000-0005-0000-0000-0000161E0000}"/>
    <cellStyle name="Porcentual 16 19" xfId="2314" xr:uid="{00000000-0005-0000-0000-0000171E0000}"/>
    <cellStyle name="Porcentual 16 19 2" xfId="5975" xr:uid="{00000000-0005-0000-0000-0000181E0000}"/>
    <cellStyle name="Porcentual 16 19 3" xfId="8649" xr:uid="{00000000-0005-0000-0000-0000191E0000}"/>
    <cellStyle name="Porcentual 16 2" xfId="2315" xr:uid="{00000000-0005-0000-0000-00001A1E0000}"/>
    <cellStyle name="Porcentual 16 2 2" xfId="5976" xr:uid="{00000000-0005-0000-0000-00001B1E0000}"/>
    <cellStyle name="Porcentual 16 2 3" xfId="8650" xr:uid="{00000000-0005-0000-0000-00001C1E0000}"/>
    <cellStyle name="Porcentual 16 20" xfId="2316" xr:uid="{00000000-0005-0000-0000-00001D1E0000}"/>
    <cellStyle name="Porcentual 16 20 2" xfId="5977" xr:uid="{00000000-0005-0000-0000-00001E1E0000}"/>
    <cellStyle name="Porcentual 16 20 3" xfId="8651" xr:uid="{00000000-0005-0000-0000-00001F1E0000}"/>
    <cellStyle name="Porcentual 16 21" xfId="2317" xr:uid="{00000000-0005-0000-0000-0000201E0000}"/>
    <cellStyle name="Porcentual 16 21 2" xfId="5978" xr:uid="{00000000-0005-0000-0000-0000211E0000}"/>
    <cellStyle name="Porcentual 16 21 3" xfId="8652" xr:uid="{00000000-0005-0000-0000-0000221E0000}"/>
    <cellStyle name="Porcentual 16 22" xfId="2318" xr:uid="{00000000-0005-0000-0000-0000231E0000}"/>
    <cellStyle name="Porcentual 16 22 2" xfId="5979" xr:uid="{00000000-0005-0000-0000-0000241E0000}"/>
    <cellStyle name="Porcentual 16 22 3" xfId="8653" xr:uid="{00000000-0005-0000-0000-0000251E0000}"/>
    <cellStyle name="Porcentual 16 23" xfId="2319" xr:uid="{00000000-0005-0000-0000-0000261E0000}"/>
    <cellStyle name="Porcentual 16 23 2" xfId="5980" xr:uid="{00000000-0005-0000-0000-0000271E0000}"/>
    <cellStyle name="Porcentual 16 23 3" xfId="8654" xr:uid="{00000000-0005-0000-0000-0000281E0000}"/>
    <cellStyle name="Porcentual 16 24" xfId="2320" xr:uid="{00000000-0005-0000-0000-0000291E0000}"/>
    <cellStyle name="Porcentual 16 24 2" xfId="5981" xr:uid="{00000000-0005-0000-0000-00002A1E0000}"/>
    <cellStyle name="Porcentual 16 24 3" xfId="8655" xr:uid="{00000000-0005-0000-0000-00002B1E0000}"/>
    <cellStyle name="Porcentual 16 25" xfId="2321" xr:uid="{00000000-0005-0000-0000-00002C1E0000}"/>
    <cellStyle name="Porcentual 16 25 2" xfId="5982" xr:uid="{00000000-0005-0000-0000-00002D1E0000}"/>
    <cellStyle name="Porcentual 16 25 3" xfId="8656" xr:uid="{00000000-0005-0000-0000-00002E1E0000}"/>
    <cellStyle name="Porcentual 16 26" xfId="2322" xr:uid="{00000000-0005-0000-0000-00002F1E0000}"/>
    <cellStyle name="Porcentual 16 26 2" xfId="5983" xr:uid="{00000000-0005-0000-0000-0000301E0000}"/>
    <cellStyle name="Porcentual 16 26 3" xfId="8657" xr:uid="{00000000-0005-0000-0000-0000311E0000}"/>
    <cellStyle name="Porcentual 16 27" xfId="2323" xr:uid="{00000000-0005-0000-0000-0000321E0000}"/>
    <cellStyle name="Porcentual 16 27 2" xfId="5984" xr:uid="{00000000-0005-0000-0000-0000331E0000}"/>
    <cellStyle name="Porcentual 16 27 3" xfId="8658" xr:uid="{00000000-0005-0000-0000-0000341E0000}"/>
    <cellStyle name="Porcentual 16 28" xfId="2324" xr:uid="{00000000-0005-0000-0000-0000351E0000}"/>
    <cellStyle name="Porcentual 16 28 2" xfId="5985" xr:uid="{00000000-0005-0000-0000-0000361E0000}"/>
    <cellStyle name="Porcentual 16 28 3" xfId="8659" xr:uid="{00000000-0005-0000-0000-0000371E0000}"/>
    <cellStyle name="Porcentual 16 29" xfId="5986" xr:uid="{00000000-0005-0000-0000-0000381E0000}"/>
    <cellStyle name="Porcentual 16 3" xfId="2325" xr:uid="{00000000-0005-0000-0000-0000391E0000}"/>
    <cellStyle name="Porcentual 16 3 2" xfId="5987" xr:uid="{00000000-0005-0000-0000-00003A1E0000}"/>
    <cellStyle name="Porcentual 16 3 3" xfId="8660" xr:uid="{00000000-0005-0000-0000-00003B1E0000}"/>
    <cellStyle name="Porcentual 16 30" xfId="8639" xr:uid="{00000000-0005-0000-0000-00003C1E0000}"/>
    <cellStyle name="Porcentual 16 4" xfId="2326" xr:uid="{00000000-0005-0000-0000-00003D1E0000}"/>
    <cellStyle name="Porcentual 16 4 2" xfId="5988" xr:uid="{00000000-0005-0000-0000-00003E1E0000}"/>
    <cellStyle name="Porcentual 16 4 3" xfId="8661" xr:uid="{00000000-0005-0000-0000-00003F1E0000}"/>
    <cellStyle name="Porcentual 16 5" xfId="2327" xr:uid="{00000000-0005-0000-0000-0000401E0000}"/>
    <cellStyle name="Porcentual 16 5 2" xfId="5989" xr:uid="{00000000-0005-0000-0000-0000411E0000}"/>
    <cellStyle name="Porcentual 16 5 3" xfId="8662" xr:uid="{00000000-0005-0000-0000-0000421E0000}"/>
    <cellStyle name="Porcentual 16 6" xfId="2328" xr:uid="{00000000-0005-0000-0000-0000431E0000}"/>
    <cellStyle name="Porcentual 16 6 2" xfId="5990" xr:uid="{00000000-0005-0000-0000-0000441E0000}"/>
    <cellStyle name="Porcentual 16 6 3" xfId="8663" xr:uid="{00000000-0005-0000-0000-0000451E0000}"/>
    <cellStyle name="Porcentual 16 7" xfId="2329" xr:uid="{00000000-0005-0000-0000-0000461E0000}"/>
    <cellStyle name="Porcentual 16 7 2" xfId="5991" xr:uid="{00000000-0005-0000-0000-0000471E0000}"/>
    <cellStyle name="Porcentual 16 7 3" xfId="8664" xr:uid="{00000000-0005-0000-0000-0000481E0000}"/>
    <cellStyle name="Porcentual 16 8" xfId="2330" xr:uid="{00000000-0005-0000-0000-0000491E0000}"/>
    <cellStyle name="Porcentual 16 8 2" xfId="5992" xr:uid="{00000000-0005-0000-0000-00004A1E0000}"/>
    <cellStyle name="Porcentual 16 8 3" xfId="8665" xr:uid="{00000000-0005-0000-0000-00004B1E0000}"/>
    <cellStyle name="Porcentual 16 9" xfId="2331" xr:uid="{00000000-0005-0000-0000-00004C1E0000}"/>
    <cellStyle name="Porcentual 16 9 2" xfId="5993" xr:uid="{00000000-0005-0000-0000-00004D1E0000}"/>
    <cellStyle name="Porcentual 16 9 3" xfId="8666" xr:uid="{00000000-0005-0000-0000-00004E1E0000}"/>
    <cellStyle name="Porcentual 17" xfId="2332" xr:uid="{00000000-0005-0000-0000-00004F1E0000}"/>
    <cellStyle name="Porcentual 17 10" xfId="2333" xr:uid="{00000000-0005-0000-0000-0000501E0000}"/>
    <cellStyle name="Porcentual 17 10 2" xfId="5994" xr:uid="{00000000-0005-0000-0000-0000511E0000}"/>
    <cellStyle name="Porcentual 17 10 3" xfId="8668" xr:uid="{00000000-0005-0000-0000-0000521E0000}"/>
    <cellStyle name="Porcentual 17 11" xfId="2334" xr:uid="{00000000-0005-0000-0000-0000531E0000}"/>
    <cellStyle name="Porcentual 17 11 2" xfId="5995" xr:uid="{00000000-0005-0000-0000-0000541E0000}"/>
    <cellStyle name="Porcentual 17 11 3" xfId="8669" xr:uid="{00000000-0005-0000-0000-0000551E0000}"/>
    <cellStyle name="Porcentual 17 12" xfId="2335" xr:uid="{00000000-0005-0000-0000-0000561E0000}"/>
    <cellStyle name="Porcentual 17 12 2" xfId="5996" xr:uid="{00000000-0005-0000-0000-0000571E0000}"/>
    <cellStyle name="Porcentual 17 12 3" xfId="8670" xr:uid="{00000000-0005-0000-0000-0000581E0000}"/>
    <cellStyle name="Porcentual 17 13" xfId="2336" xr:uid="{00000000-0005-0000-0000-0000591E0000}"/>
    <cellStyle name="Porcentual 17 13 2" xfId="5997" xr:uid="{00000000-0005-0000-0000-00005A1E0000}"/>
    <cellStyle name="Porcentual 17 13 3" xfId="8671" xr:uid="{00000000-0005-0000-0000-00005B1E0000}"/>
    <cellStyle name="Porcentual 17 14" xfId="2337" xr:uid="{00000000-0005-0000-0000-00005C1E0000}"/>
    <cellStyle name="Porcentual 17 14 2" xfId="5998" xr:uid="{00000000-0005-0000-0000-00005D1E0000}"/>
    <cellStyle name="Porcentual 17 14 3" xfId="8672" xr:uid="{00000000-0005-0000-0000-00005E1E0000}"/>
    <cellStyle name="Porcentual 17 15" xfId="2338" xr:uid="{00000000-0005-0000-0000-00005F1E0000}"/>
    <cellStyle name="Porcentual 17 15 2" xfId="5999" xr:uid="{00000000-0005-0000-0000-0000601E0000}"/>
    <cellStyle name="Porcentual 17 15 3" xfId="8673" xr:uid="{00000000-0005-0000-0000-0000611E0000}"/>
    <cellStyle name="Porcentual 17 16" xfId="2339" xr:uid="{00000000-0005-0000-0000-0000621E0000}"/>
    <cellStyle name="Porcentual 17 16 2" xfId="6000" xr:uid="{00000000-0005-0000-0000-0000631E0000}"/>
    <cellStyle name="Porcentual 17 16 3" xfId="8674" xr:uid="{00000000-0005-0000-0000-0000641E0000}"/>
    <cellStyle name="Porcentual 17 17" xfId="2340" xr:uid="{00000000-0005-0000-0000-0000651E0000}"/>
    <cellStyle name="Porcentual 17 17 2" xfId="6001" xr:uid="{00000000-0005-0000-0000-0000661E0000}"/>
    <cellStyle name="Porcentual 17 17 3" xfId="8675" xr:uid="{00000000-0005-0000-0000-0000671E0000}"/>
    <cellStyle name="Porcentual 17 18" xfId="2341" xr:uid="{00000000-0005-0000-0000-0000681E0000}"/>
    <cellStyle name="Porcentual 17 18 2" xfId="6002" xr:uid="{00000000-0005-0000-0000-0000691E0000}"/>
    <cellStyle name="Porcentual 17 18 3" xfId="8676" xr:uid="{00000000-0005-0000-0000-00006A1E0000}"/>
    <cellStyle name="Porcentual 17 19" xfId="2342" xr:uid="{00000000-0005-0000-0000-00006B1E0000}"/>
    <cellStyle name="Porcentual 17 19 2" xfId="6003" xr:uid="{00000000-0005-0000-0000-00006C1E0000}"/>
    <cellStyle name="Porcentual 17 19 3" xfId="8677" xr:uid="{00000000-0005-0000-0000-00006D1E0000}"/>
    <cellStyle name="Porcentual 17 2" xfId="2343" xr:uid="{00000000-0005-0000-0000-00006E1E0000}"/>
    <cellStyle name="Porcentual 17 2 2" xfId="6004" xr:uid="{00000000-0005-0000-0000-00006F1E0000}"/>
    <cellStyle name="Porcentual 17 2 3" xfId="8678" xr:uid="{00000000-0005-0000-0000-0000701E0000}"/>
    <cellStyle name="Porcentual 17 20" xfId="2344" xr:uid="{00000000-0005-0000-0000-0000711E0000}"/>
    <cellStyle name="Porcentual 17 20 2" xfId="6005" xr:uid="{00000000-0005-0000-0000-0000721E0000}"/>
    <cellStyle name="Porcentual 17 20 3" xfId="8679" xr:uid="{00000000-0005-0000-0000-0000731E0000}"/>
    <cellStyle name="Porcentual 17 21" xfId="2345" xr:uid="{00000000-0005-0000-0000-0000741E0000}"/>
    <cellStyle name="Porcentual 17 21 2" xfId="6006" xr:uid="{00000000-0005-0000-0000-0000751E0000}"/>
    <cellStyle name="Porcentual 17 21 3" xfId="8680" xr:uid="{00000000-0005-0000-0000-0000761E0000}"/>
    <cellStyle name="Porcentual 17 22" xfId="2346" xr:uid="{00000000-0005-0000-0000-0000771E0000}"/>
    <cellStyle name="Porcentual 17 22 2" xfId="6007" xr:uid="{00000000-0005-0000-0000-0000781E0000}"/>
    <cellStyle name="Porcentual 17 22 3" xfId="8681" xr:uid="{00000000-0005-0000-0000-0000791E0000}"/>
    <cellStyle name="Porcentual 17 23" xfId="2347" xr:uid="{00000000-0005-0000-0000-00007A1E0000}"/>
    <cellStyle name="Porcentual 17 23 2" xfId="6008" xr:uid="{00000000-0005-0000-0000-00007B1E0000}"/>
    <cellStyle name="Porcentual 17 23 3" xfId="8682" xr:uid="{00000000-0005-0000-0000-00007C1E0000}"/>
    <cellStyle name="Porcentual 17 24" xfId="2348" xr:uid="{00000000-0005-0000-0000-00007D1E0000}"/>
    <cellStyle name="Porcentual 17 24 2" xfId="6009" xr:uid="{00000000-0005-0000-0000-00007E1E0000}"/>
    <cellStyle name="Porcentual 17 24 3" xfId="8683" xr:uid="{00000000-0005-0000-0000-00007F1E0000}"/>
    <cellStyle name="Porcentual 17 25" xfId="2349" xr:uid="{00000000-0005-0000-0000-0000801E0000}"/>
    <cellStyle name="Porcentual 17 25 2" xfId="6010" xr:uid="{00000000-0005-0000-0000-0000811E0000}"/>
    <cellStyle name="Porcentual 17 25 3" xfId="8684" xr:uid="{00000000-0005-0000-0000-0000821E0000}"/>
    <cellStyle name="Porcentual 17 26" xfId="2350" xr:uid="{00000000-0005-0000-0000-0000831E0000}"/>
    <cellStyle name="Porcentual 17 26 2" xfId="6011" xr:uid="{00000000-0005-0000-0000-0000841E0000}"/>
    <cellStyle name="Porcentual 17 26 3" xfId="8685" xr:uid="{00000000-0005-0000-0000-0000851E0000}"/>
    <cellStyle name="Porcentual 17 27" xfId="2351" xr:uid="{00000000-0005-0000-0000-0000861E0000}"/>
    <cellStyle name="Porcentual 17 27 2" xfId="6012" xr:uid="{00000000-0005-0000-0000-0000871E0000}"/>
    <cellStyle name="Porcentual 17 27 3" xfId="8686" xr:uid="{00000000-0005-0000-0000-0000881E0000}"/>
    <cellStyle name="Porcentual 17 28" xfId="2352" xr:uid="{00000000-0005-0000-0000-0000891E0000}"/>
    <cellStyle name="Porcentual 17 28 2" xfId="6013" xr:uid="{00000000-0005-0000-0000-00008A1E0000}"/>
    <cellStyle name="Porcentual 17 28 3" xfId="8687" xr:uid="{00000000-0005-0000-0000-00008B1E0000}"/>
    <cellStyle name="Porcentual 17 29" xfId="6014" xr:uid="{00000000-0005-0000-0000-00008C1E0000}"/>
    <cellStyle name="Porcentual 17 3" xfId="2353" xr:uid="{00000000-0005-0000-0000-00008D1E0000}"/>
    <cellStyle name="Porcentual 17 3 2" xfId="6015" xr:uid="{00000000-0005-0000-0000-00008E1E0000}"/>
    <cellStyle name="Porcentual 17 3 3" xfId="8688" xr:uid="{00000000-0005-0000-0000-00008F1E0000}"/>
    <cellStyle name="Porcentual 17 30" xfId="8667" xr:uid="{00000000-0005-0000-0000-0000901E0000}"/>
    <cellStyle name="Porcentual 17 4" xfId="2354" xr:uid="{00000000-0005-0000-0000-0000911E0000}"/>
    <cellStyle name="Porcentual 17 4 2" xfId="6016" xr:uid="{00000000-0005-0000-0000-0000921E0000}"/>
    <cellStyle name="Porcentual 17 4 3" xfId="8689" xr:uid="{00000000-0005-0000-0000-0000931E0000}"/>
    <cellStyle name="Porcentual 17 5" xfId="2355" xr:uid="{00000000-0005-0000-0000-0000941E0000}"/>
    <cellStyle name="Porcentual 17 5 2" xfId="6017" xr:uid="{00000000-0005-0000-0000-0000951E0000}"/>
    <cellStyle name="Porcentual 17 5 3" xfId="8690" xr:uid="{00000000-0005-0000-0000-0000961E0000}"/>
    <cellStyle name="Porcentual 17 6" xfId="2356" xr:uid="{00000000-0005-0000-0000-0000971E0000}"/>
    <cellStyle name="Porcentual 17 6 2" xfId="6018" xr:uid="{00000000-0005-0000-0000-0000981E0000}"/>
    <cellStyle name="Porcentual 17 6 3" xfId="8691" xr:uid="{00000000-0005-0000-0000-0000991E0000}"/>
    <cellStyle name="Porcentual 17 7" xfId="2357" xr:uid="{00000000-0005-0000-0000-00009A1E0000}"/>
    <cellStyle name="Porcentual 17 7 2" xfId="6019" xr:uid="{00000000-0005-0000-0000-00009B1E0000}"/>
    <cellStyle name="Porcentual 17 7 3" xfId="8692" xr:uid="{00000000-0005-0000-0000-00009C1E0000}"/>
    <cellStyle name="Porcentual 17 8" xfId="2358" xr:uid="{00000000-0005-0000-0000-00009D1E0000}"/>
    <cellStyle name="Porcentual 17 8 2" xfId="6020" xr:uid="{00000000-0005-0000-0000-00009E1E0000}"/>
    <cellStyle name="Porcentual 17 8 3" xfId="8693" xr:uid="{00000000-0005-0000-0000-00009F1E0000}"/>
    <cellStyle name="Porcentual 17 9" xfId="2359" xr:uid="{00000000-0005-0000-0000-0000A01E0000}"/>
    <cellStyle name="Porcentual 17 9 2" xfId="6021" xr:uid="{00000000-0005-0000-0000-0000A11E0000}"/>
    <cellStyle name="Porcentual 17 9 3" xfId="8694" xr:uid="{00000000-0005-0000-0000-0000A21E0000}"/>
    <cellStyle name="Porcentual 18" xfId="2360" xr:uid="{00000000-0005-0000-0000-0000A31E0000}"/>
    <cellStyle name="Porcentual 18 10" xfId="2361" xr:uid="{00000000-0005-0000-0000-0000A41E0000}"/>
    <cellStyle name="Porcentual 18 10 2" xfId="6022" xr:uid="{00000000-0005-0000-0000-0000A51E0000}"/>
    <cellStyle name="Porcentual 18 10 3" xfId="8696" xr:uid="{00000000-0005-0000-0000-0000A61E0000}"/>
    <cellStyle name="Porcentual 18 11" xfId="2362" xr:uid="{00000000-0005-0000-0000-0000A71E0000}"/>
    <cellStyle name="Porcentual 18 11 2" xfId="6023" xr:uid="{00000000-0005-0000-0000-0000A81E0000}"/>
    <cellStyle name="Porcentual 18 11 3" xfId="8697" xr:uid="{00000000-0005-0000-0000-0000A91E0000}"/>
    <cellStyle name="Porcentual 18 12" xfId="2363" xr:uid="{00000000-0005-0000-0000-0000AA1E0000}"/>
    <cellStyle name="Porcentual 18 12 2" xfId="6024" xr:uid="{00000000-0005-0000-0000-0000AB1E0000}"/>
    <cellStyle name="Porcentual 18 12 3" xfId="8698" xr:uid="{00000000-0005-0000-0000-0000AC1E0000}"/>
    <cellStyle name="Porcentual 18 13" xfId="2364" xr:uid="{00000000-0005-0000-0000-0000AD1E0000}"/>
    <cellStyle name="Porcentual 18 13 2" xfId="6025" xr:uid="{00000000-0005-0000-0000-0000AE1E0000}"/>
    <cellStyle name="Porcentual 18 13 3" xfId="8699" xr:uid="{00000000-0005-0000-0000-0000AF1E0000}"/>
    <cellStyle name="Porcentual 18 14" xfId="2365" xr:uid="{00000000-0005-0000-0000-0000B01E0000}"/>
    <cellStyle name="Porcentual 18 14 2" xfId="6026" xr:uid="{00000000-0005-0000-0000-0000B11E0000}"/>
    <cellStyle name="Porcentual 18 14 3" xfId="8700" xr:uid="{00000000-0005-0000-0000-0000B21E0000}"/>
    <cellStyle name="Porcentual 18 15" xfId="2366" xr:uid="{00000000-0005-0000-0000-0000B31E0000}"/>
    <cellStyle name="Porcentual 18 15 2" xfId="6027" xr:uid="{00000000-0005-0000-0000-0000B41E0000}"/>
    <cellStyle name="Porcentual 18 15 3" xfId="8701" xr:uid="{00000000-0005-0000-0000-0000B51E0000}"/>
    <cellStyle name="Porcentual 18 16" xfId="2367" xr:uid="{00000000-0005-0000-0000-0000B61E0000}"/>
    <cellStyle name="Porcentual 18 16 2" xfId="6028" xr:uid="{00000000-0005-0000-0000-0000B71E0000}"/>
    <cellStyle name="Porcentual 18 16 3" xfId="8702" xr:uid="{00000000-0005-0000-0000-0000B81E0000}"/>
    <cellStyle name="Porcentual 18 17" xfId="2368" xr:uid="{00000000-0005-0000-0000-0000B91E0000}"/>
    <cellStyle name="Porcentual 18 17 2" xfId="6029" xr:uid="{00000000-0005-0000-0000-0000BA1E0000}"/>
    <cellStyle name="Porcentual 18 17 3" xfId="8703" xr:uid="{00000000-0005-0000-0000-0000BB1E0000}"/>
    <cellStyle name="Porcentual 18 18" xfId="2369" xr:uid="{00000000-0005-0000-0000-0000BC1E0000}"/>
    <cellStyle name="Porcentual 18 18 2" xfId="6030" xr:uid="{00000000-0005-0000-0000-0000BD1E0000}"/>
    <cellStyle name="Porcentual 18 18 3" xfId="8704" xr:uid="{00000000-0005-0000-0000-0000BE1E0000}"/>
    <cellStyle name="Porcentual 18 19" xfId="2370" xr:uid="{00000000-0005-0000-0000-0000BF1E0000}"/>
    <cellStyle name="Porcentual 18 19 2" xfId="6031" xr:uid="{00000000-0005-0000-0000-0000C01E0000}"/>
    <cellStyle name="Porcentual 18 19 3" xfId="8705" xr:uid="{00000000-0005-0000-0000-0000C11E0000}"/>
    <cellStyle name="Porcentual 18 2" xfId="2371" xr:uid="{00000000-0005-0000-0000-0000C21E0000}"/>
    <cellStyle name="Porcentual 18 2 2" xfId="6032" xr:uid="{00000000-0005-0000-0000-0000C31E0000}"/>
    <cellStyle name="Porcentual 18 2 3" xfId="8706" xr:uid="{00000000-0005-0000-0000-0000C41E0000}"/>
    <cellStyle name="Porcentual 18 20" xfId="2372" xr:uid="{00000000-0005-0000-0000-0000C51E0000}"/>
    <cellStyle name="Porcentual 18 20 2" xfId="6033" xr:uid="{00000000-0005-0000-0000-0000C61E0000}"/>
    <cellStyle name="Porcentual 18 20 3" xfId="8707" xr:uid="{00000000-0005-0000-0000-0000C71E0000}"/>
    <cellStyle name="Porcentual 18 21" xfId="2373" xr:uid="{00000000-0005-0000-0000-0000C81E0000}"/>
    <cellStyle name="Porcentual 18 21 2" xfId="6034" xr:uid="{00000000-0005-0000-0000-0000C91E0000}"/>
    <cellStyle name="Porcentual 18 21 3" xfId="8708" xr:uid="{00000000-0005-0000-0000-0000CA1E0000}"/>
    <cellStyle name="Porcentual 18 22" xfId="2374" xr:uid="{00000000-0005-0000-0000-0000CB1E0000}"/>
    <cellStyle name="Porcentual 18 22 2" xfId="6035" xr:uid="{00000000-0005-0000-0000-0000CC1E0000}"/>
    <cellStyle name="Porcentual 18 22 3" xfId="8709" xr:uid="{00000000-0005-0000-0000-0000CD1E0000}"/>
    <cellStyle name="Porcentual 18 23" xfId="2375" xr:uid="{00000000-0005-0000-0000-0000CE1E0000}"/>
    <cellStyle name="Porcentual 18 23 2" xfId="6036" xr:uid="{00000000-0005-0000-0000-0000CF1E0000}"/>
    <cellStyle name="Porcentual 18 23 3" xfId="8710" xr:uid="{00000000-0005-0000-0000-0000D01E0000}"/>
    <cellStyle name="Porcentual 18 24" xfId="2376" xr:uid="{00000000-0005-0000-0000-0000D11E0000}"/>
    <cellStyle name="Porcentual 18 24 2" xfId="6037" xr:uid="{00000000-0005-0000-0000-0000D21E0000}"/>
    <cellStyle name="Porcentual 18 24 3" xfId="8711" xr:uid="{00000000-0005-0000-0000-0000D31E0000}"/>
    <cellStyle name="Porcentual 18 25" xfId="2377" xr:uid="{00000000-0005-0000-0000-0000D41E0000}"/>
    <cellStyle name="Porcentual 18 25 2" xfId="6038" xr:uid="{00000000-0005-0000-0000-0000D51E0000}"/>
    <cellStyle name="Porcentual 18 25 3" xfId="8712" xr:uid="{00000000-0005-0000-0000-0000D61E0000}"/>
    <cellStyle name="Porcentual 18 26" xfId="2378" xr:uid="{00000000-0005-0000-0000-0000D71E0000}"/>
    <cellStyle name="Porcentual 18 26 2" xfId="6039" xr:uid="{00000000-0005-0000-0000-0000D81E0000}"/>
    <cellStyle name="Porcentual 18 26 3" xfId="8713" xr:uid="{00000000-0005-0000-0000-0000D91E0000}"/>
    <cellStyle name="Porcentual 18 27" xfId="2379" xr:uid="{00000000-0005-0000-0000-0000DA1E0000}"/>
    <cellStyle name="Porcentual 18 27 2" xfId="6040" xr:uid="{00000000-0005-0000-0000-0000DB1E0000}"/>
    <cellStyle name="Porcentual 18 27 3" xfId="8714" xr:uid="{00000000-0005-0000-0000-0000DC1E0000}"/>
    <cellStyle name="Porcentual 18 28" xfId="2380" xr:uid="{00000000-0005-0000-0000-0000DD1E0000}"/>
    <cellStyle name="Porcentual 18 28 2" xfId="6041" xr:uid="{00000000-0005-0000-0000-0000DE1E0000}"/>
    <cellStyle name="Porcentual 18 28 3" xfId="8715" xr:uid="{00000000-0005-0000-0000-0000DF1E0000}"/>
    <cellStyle name="Porcentual 18 29" xfId="6042" xr:uid="{00000000-0005-0000-0000-0000E01E0000}"/>
    <cellStyle name="Porcentual 18 3" xfId="2381" xr:uid="{00000000-0005-0000-0000-0000E11E0000}"/>
    <cellStyle name="Porcentual 18 3 2" xfId="6043" xr:uid="{00000000-0005-0000-0000-0000E21E0000}"/>
    <cellStyle name="Porcentual 18 3 3" xfId="8716" xr:uid="{00000000-0005-0000-0000-0000E31E0000}"/>
    <cellStyle name="Porcentual 18 30" xfId="8695" xr:uid="{00000000-0005-0000-0000-0000E41E0000}"/>
    <cellStyle name="Porcentual 18 4" xfId="2382" xr:uid="{00000000-0005-0000-0000-0000E51E0000}"/>
    <cellStyle name="Porcentual 18 4 2" xfId="6044" xr:uid="{00000000-0005-0000-0000-0000E61E0000}"/>
    <cellStyle name="Porcentual 18 4 3" xfId="8717" xr:uid="{00000000-0005-0000-0000-0000E71E0000}"/>
    <cellStyle name="Porcentual 18 5" xfId="2383" xr:uid="{00000000-0005-0000-0000-0000E81E0000}"/>
    <cellStyle name="Porcentual 18 5 2" xfId="6045" xr:uid="{00000000-0005-0000-0000-0000E91E0000}"/>
    <cellStyle name="Porcentual 18 5 3" xfId="8718" xr:uid="{00000000-0005-0000-0000-0000EA1E0000}"/>
    <cellStyle name="Porcentual 18 6" xfId="2384" xr:uid="{00000000-0005-0000-0000-0000EB1E0000}"/>
    <cellStyle name="Porcentual 18 6 2" xfId="6046" xr:uid="{00000000-0005-0000-0000-0000EC1E0000}"/>
    <cellStyle name="Porcentual 18 6 3" xfId="8719" xr:uid="{00000000-0005-0000-0000-0000ED1E0000}"/>
    <cellStyle name="Porcentual 18 7" xfId="2385" xr:uid="{00000000-0005-0000-0000-0000EE1E0000}"/>
    <cellStyle name="Porcentual 18 7 2" xfId="6047" xr:uid="{00000000-0005-0000-0000-0000EF1E0000}"/>
    <cellStyle name="Porcentual 18 7 3" xfId="8720" xr:uid="{00000000-0005-0000-0000-0000F01E0000}"/>
    <cellStyle name="Porcentual 18 8" xfId="2386" xr:uid="{00000000-0005-0000-0000-0000F11E0000}"/>
    <cellStyle name="Porcentual 18 8 2" xfId="6048" xr:uid="{00000000-0005-0000-0000-0000F21E0000}"/>
    <cellStyle name="Porcentual 18 8 3" xfId="8721" xr:uid="{00000000-0005-0000-0000-0000F31E0000}"/>
    <cellStyle name="Porcentual 18 9" xfId="2387" xr:uid="{00000000-0005-0000-0000-0000F41E0000}"/>
    <cellStyle name="Porcentual 18 9 2" xfId="6049" xr:uid="{00000000-0005-0000-0000-0000F51E0000}"/>
    <cellStyle name="Porcentual 18 9 3" xfId="8722" xr:uid="{00000000-0005-0000-0000-0000F61E0000}"/>
    <cellStyle name="Porcentual 19" xfId="2388" xr:uid="{00000000-0005-0000-0000-0000F71E0000}"/>
    <cellStyle name="Porcentual 19 10" xfId="2389" xr:uid="{00000000-0005-0000-0000-0000F81E0000}"/>
    <cellStyle name="Porcentual 19 10 2" xfId="6050" xr:uid="{00000000-0005-0000-0000-0000F91E0000}"/>
    <cellStyle name="Porcentual 19 10 3" xfId="8724" xr:uid="{00000000-0005-0000-0000-0000FA1E0000}"/>
    <cellStyle name="Porcentual 19 11" xfId="2390" xr:uid="{00000000-0005-0000-0000-0000FB1E0000}"/>
    <cellStyle name="Porcentual 19 11 2" xfId="6051" xr:uid="{00000000-0005-0000-0000-0000FC1E0000}"/>
    <cellStyle name="Porcentual 19 11 3" xfId="8725" xr:uid="{00000000-0005-0000-0000-0000FD1E0000}"/>
    <cellStyle name="Porcentual 19 12" xfId="2391" xr:uid="{00000000-0005-0000-0000-0000FE1E0000}"/>
    <cellStyle name="Porcentual 19 12 2" xfId="6052" xr:uid="{00000000-0005-0000-0000-0000FF1E0000}"/>
    <cellStyle name="Porcentual 19 12 3" xfId="8726" xr:uid="{00000000-0005-0000-0000-0000001F0000}"/>
    <cellStyle name="Porcentual 19 13" xfId="2392" xr:uid="{00000000-0005-0000-0000-0000011F0000}"/>
    <cellStyle name="Porcentual 19 13 2" xfId="6053" xr:uid="{00000000-0005-0000-0000-0000021F0000}"/>
    <cellStyle name="Porcentual 19 13 3" xfId="8727" xr:uid="{00000000-0005-0000-0000-0000031F0000}"/>
    <cellStyle name="Porcentual 19 14" xfId="2393" xr:uid="{00000000-0005-0000-0000-0000041F0000}"/>
    <cellStyle name="Porcentual 19 14 2" xfId="6054" xr:uid="{00000000-0005-0000-0000-0000051F0000}"/>
    <cellStyle name="Porcentual 19 14 3" xfId="8728" xr:uid="{00000000-0005-0000-0000-0000061F0000}"/>
    <cellStyle name="Porcentual 19 15" xfId="2394" xr:uid="{00000000-0005-0000-0000-0000071F0000}"/>
    <cellStyle name="Porcentual 19 15 2" xfId="6055" xr:uid="{00000000-0005-0000-0000-0000081F0000}"/>
    <cellStyle name="Porcentual 19 15 3" xfId="8729" xr:uid="{00000000-0005-0000-0000-0000091F0000}"/>
    <cellStyle name="Porcentual 19 16" xfId="2395" xr:uid="{00000000-0005-0000-0000-00000A1F0000}"/>
    <cellStyle name="Porcentual 19 16 2" xfId="6056" xr:uid="{00000000-0005-0000-0000-00000B1F0000}"/>
    <cellStyle name="Porcentual 19 16 3" xfId="8730" xr:uid="{00000000-0005-0000-0000-00000C1F0000}"/>
    <cellStyle name="Porcentual 19 17" xfId="2396" xr:uid="{00000000-0005-0000-0000-00000D1F0000}"/>
    <cellStyle name="Porcentual 19 17 2" xfId="6057" xr:uid="{00000000-0005-0000-0000-00000E1F0000}"/>
    <cellStyle name="Porcentual 19 17 3" xfId="8731" xr:uid="{00000000-0005-0000-0000-00000F1F0000}"/>
    <cellStyle name="Porcentual 19 18" xfId="2397" xr:uid="{00000000-0005-0000-0000-0000101F0000}"/>
    <cellStyle name="Porcentual 19 18 2" xfId="6058" xr:uid="{00000000-0005-0000-0000-0000111F0000}"/>
    <cellStyle name="Porcentual 19 18 3" xfId="8732" xr:uid="{00000000-0005-0000-0000-0000121F0000}"/>
    <cellStyle name="Porcentual 19 19" xfId="2398" xr:uid="{00000000-0005-0000-0000-0000131F0000}"/>
    <cellStyle name="Porcentual 19 19 2" xfId="6059" xr:uid="{00000000-0005-0000-0000-0000141F0000}"/>
    <cellStyle name="Porcentual 19 19 3" xfId="8733" xr:uid="{00000000-0005-0000-0000-0000151F0000}"/>
    <cellStyle name="Porcentual 19 2" xfId="2399" xr:uid="{00000000-0005-0000-0000-0000161F0000}"/>
    <cellStyle name="Porcentual 19 2 2" xfId="6060" xr:uid="{00000000-0005-0000-0000-0000171F0000}"/>
    <cellStyle name="Porcentual 19 2 3" xfId="8734" xr:uid="{00000000-0005-0000-0000-0000181F0000}"/>
    <cellStyle name="Porcentual 19 20" xfId="2400" xr:uid="{00000000-0005-0000-0000-0000191F0000}"/>
    <cellStyle name="Porcentual 19 20 2" xfId="6061" xr:uid="{00000000-0005-0000-0000-00001A1F0000}"/>
    <cellStyle name="Porcentual 19 20 3" xfId="8735" xr:uid="{00000000-0005-0000-0000-00001B1F0000}"/>
    <cellStyle name="Porcentual 19 21" xfId="2401" xr:uid="{00000000-0005-0000-0000-00001C1F0000}"/>
    <cellStyle name="Porcentual 19 21 2" xfId="6062" xr:uid="{00000000-0005-0000-0000-00001D1F0000}"/>
    <cellStyle name="Porcentual 19 21 3" xfId="8736" xr:uid="{00000000-0005-0000-0000-00001E1F0000}"/>
    <cellStyle name="Porcentual 19 22" xfId="2402" xr:uid="{00000000-0005-0000-0000-00001F1F0000}"/>
    <cellStyle name="Porcentual 19 22 2" xfId="6063" xr:uid="{00000000-0005-0000-0000-0000201F0000}"/>
    <cellStyle name="Porcentual 19 22 3" xfId="8737" xr:uid="{00000000-0005-0000-0000-0000211F0000}"/>
    <cellStyle name="Porcentual 19 23" xfId="2403" xr:uid="{00000000-0005-0000-0000-0000221F0000}"/>
    <cellStyle name="Porcentual 19 23 2" xfId="6064" xr:uid="{00000000-0005-0000-0000-0000231F0000}"/>
    <cellStyle name="Porcentual 19 23 3" xfId="8738" xr:uid="{00000000-0005-0000-0000-0000241F0000}"/>
    <cellStyle name="Porcentual 19 24" xfId="2404" xr:uid="{00000000-0005-0000-0000-0000251F0000}"/>
    <cellStyle name="Porcentual 19 24 2" xfId="6065" xr:uid="{00000000-0005-0000-0000-0000261F0000}"/>
    <cellStyle name="Porcentual 19 24 3" xfId="8739" xr:uid="{00000000-0005-0000-0000-0000271F0000}"/>
    <cellStyle name="Porcentual 19 25" xfId="2405" xr:uid="{00000000-0005-0000-0000-0000281F0000}"/>
    <cellStyle name="Porcentual 19 25 2" xfId="6066" xr:uid="{00000000-0005-0000-0000-0000291F0000}"/>
    <cellStyle name="Porcentual 19 25 3" xfId="8740" xr:uid="{00000000-0005-0000-0000-00002A1F0000}"/>
    <cellStyle name="Porcentual 19 26" xfId="2406" xr:uid="{00000000-0005-0000-0000-00002B1F0000}"/>
    <cellStyle name="Porcentual 19 26 2" xfId="6067" xr:uid="{00000000-0005-0000-0000-00002C1F0000}"/>
    <cellStyle name="Porcentual 19 26 3" xfId="8741" xr:uid="{00000000-0005-0000-0000-00002D1F0000}"/>
    <cellStyle name="Porcentual 19 27" xfId="2407" xr:uid="{00000000-0005-0000-0000-00002E1F0000}"/>
    <cellStyle name="Porcentual 19 27 2" xfId="6068" xr:uid="{00000000-0005-0000-0000-00002F1F0000}"/>
    <cellStyle name="Porcentual 19 27 3" xfId="8742" xr:uid="{00000000-0005-0000-0000-0000301F0000}"/>
    <cellStyle name="Porcentual 19 28" xfId="2408" xr:uid="{00000000-0005-0000-0000-0000311F0000}"/>
    <cellStyle name="Porcentual 19 28 2" xfId="6069" xr:uid="{00000000-0005-0000-0000-0000321F0000}"/>
    <cellStyle name="Porcentual 19 28 3" xfId="8743" xr:uid="{00000000-0005-0000-0000-0000331F0000}"/>
    <cellStyle name="Porcentual 19 29" xfId="6070" xr:uid="{00000000-0005-0000-0000-0000341F0000}"/>
    <cellStyle name="Porcentual 19 3" xfId="2409" xr:uid="{00000000-0005-0000-0000-0000351F0000}"/>
    <cellStyle name="Porcentual 19 3 2" xfId="6071" xr:uid="{00000000-0005-0000-0000-0000361F0000}"/>
    <cellStyle name="Porcentual 19 3 3" xfId="8744" xr:uid="{00000000-0005-0000-0000-0000371F0000}"/>
    <cellStyle name="Porcentual 19 30" xfId="8723" xr:uid="{00000000-0005-0000-0000-0000381F0000}"/>
    <cellStyle name="Porcentual 19 4" xfId="2410" xr:uid="{00000000-0005-0000-0000-0000391F0000}"/>
    <cellStyle name="Porcentual 19 4 2" xfId="6072" xr:uid="{00000000-0005-0000-0000-00003A1F0000}"/>
    <cellStyle name="Porcentual 19 4 3" xfId="8745" xr:uid="{00000000-0005-0000-0000-00003B1F0000}"/>
    <cellStyle name="Porcentual 19 5" xfId="2411" xr:uid="{00000000-0005-0000-0000-00003C1F0000}"/>
    <cellStyle name="Porcentual 19 5 2" xfId="6073" xr:uid="{00000000-0005-0000-0000-00003D1F0000}"/>
    <cellStyle name="Porcentual 19 5 3" xfId="8746" xr:uid="{00000000-0005-0000-0000-00003E1F0000}"/>
    <cellStyle name="Porcentual 19 6" xfId="2412" xr:uid="{00000000-0005-0000-0000-00003F1F0000}"/>
    <cellStyle name="Porcentual 19 6 2" xfId="6074" xr:uid="{00000000-0005-0000-0000-0000401F0000}"/>
    <cellStyle name="Porcentual 19 6 3" xfId="8747" xr:uid="{00000000-0005-0000-0000-0000411F0000}"/>
    <cellStyle name="Porcentual 19 7" xfId="2413" xr:uid="{00000000-0005-0000-0000-0000421F0000}"/>
    <cellStyle name="Porcentual 19 7 2" xfId="6075" xr:uid="{00000000-0005-0000-0000-0000431F0000}"/>
    <cellStyle name="Porcentual 19 7 3" xfId="8748" xr:uid="{00000000-0005-0000-0000-0000441F0000}"/>
    <cellStyle name="Porcentual 19 8" xfId="2414" xr:uid="{00000000-0005-0000-0000-0000451F0000}"/>
    <cellStyle name="Porcentual 19 8 2" xfId="6076" xr:uid="{00000000-0005-0000-0000-0000461F0000}"/>
    <cellStyle name="Porcentual 19 8 3" xfId="8749" xr:uid="{00000000-0005-0000-0000-0000471F0000}"/>
    <cellStyle name="Porcentual 19 9" xfId="2415" xr:uid="{00000000-0005-0000-0000-0000481F0000}"/>
    <cellStyle name="Porcentual 19 9 2" xfId="6077" xr:uid="{00000000-0005-0000-0000-0000491F0000}"/>
    <cellStyle name="Porcentual 19 9 3" xfId="8750" xr:uid="{00000000-0005-0000-0000-00004A1F0000}"/>
    <cellStyle name="Porcentual 2" xfId="32" xr:uid="{00000000-0005-0000-0000-00004B1F0000}"/>
    <cellStyle name="Porcentual 2 10" xfId="2416" xr:uid="{00000000-0005-0000-0000-00004C1F0000}"/>
    <cellStyle name="Porcentual 2 10 10" xfId="2417" xr:uid="{00000000-0005-0000-0000-00004D1F0000}"/>
    <cellStyle name="Porcentual 2 10 10 2" xfId="6078" xr:uid="{00000000-0005-0000-0000-00004E1F0000}"/>
    <cellStyle name="Porcentual 2 10 11" xfId="2418" xr:uid="{00000000-0005-0000-0000-00004F1F0000}"/>
    <cellStyle name="Porcentual 2 10 11 2" xfId="6079" xr:uid="{00000000-0005-0000-0000-0000501F0000}"/>
    <cellStyle name="Porcentual 2 10 12" xfId="2419" xr:uid="{00000000-0005-0000-0000-0000511F0000}"/>
    <cellStyle name="Porcentual 2 10 12 2" xfId="6080" xr:uid="{00000000-0005-0000-0000-0000521F0000}"/>
    <cellStyle name="Porcentual 2 10 13" xfId="2420" xr:uid="{00000000-0005-0000-0000-0000531F0000}"/>
    <cellStyle name="Porcentual 2 10 13 2" xfId="6081" xr:uid="{00000000-0005-0000-0000-0000541F0000}"/>
    <cellStyle name="Porcentual 2 10 14" xfId="2421" xr:uid="{00000000-0005-0000-0000-0000551F0000}"/>
    <cellStyle name="Porcentual 2 10 14 2" xfId="6082" xr:uid="{00000000-0005-0000-0000-0000561F0000}"/>
    <cellStyle name="Porcentual 2 10 15" xfId="2422" xr:uid="{00000000-0005-0000-0000-0000571F0000}"/>
    <cellStyle name="Porcentual 2 10 15 2" xfId="6083" xr:uid="{00000000-0005-0000-0000-0000581F0000}"/>
    <cellStyle name="Porcentual 2 10 16" xfId="2423" xr:uid="{00000000-0005-0000-0000-0000591F0000}"/>
    <cellStyle name="Porcentual 2 10 16 2" xfId="6084" xr:uid="{00000000-0005-0000-0000-00005A1F0000}"/>
    <cellStyle name="Porcentual 2 10 17" xfId="2424" xr:uid="{00000000-0005-0000-0000-00005B1F0000}"/>
    <cellStyle name="Porcentual 2 10 17 2" xfId="6085" xr:uid="{00000000-0005-0000-0000-00005C1F0000}"/>
    <cellStyle name="Porcentual 2 10 18" xfId="2425" xr:uid="{00000000-0005-0000-0000-00005D1F0000}"/>
    <cellStyle name="Porcentual 2 10 18 2" xfId="6086" xr:uid="{00000000-0005-0000-0000-00005E1F0000}"/>
    <cellStyle name="Porcentual 2 10 19" xfId="2426" xr:uid="{00000000-0005-0000-0000-00005F1F0000}"/>
    <cellStyle name="Porcentual 2 10 19 2" xfId="6087" xr:uid="{00000000-0005-0000-0000-0000601F0000}"/>
    <cellStyle name="Porcentual 2 10 2" xfId="2427" xr:uid="{00000000-0005-0000-0000-0000611F0000}"/>
    <cellStyle name="Porcentual 2 10 2 2" xfId="6088" xr:uid="{00000000-0005-0000-0000-0000621F0000}"/>
    <cellStyle name="Porcentual 2 10 20" xfId="2428" xr:uid="{00000000-0005-0000-0000-0000631F0000}"/>
    <cellStyle name="Porcentual 2 10 20 2" xfId="6089" xr:uid="{00000000-0005-0000-0000-0000641F0000}"/>
    <cellStyle name="Porcentual 2 10 21" xfId="2429" xr:uid="{00000000-0005-0000-0000-0000651F0000}"/>
    <cellStyle name="Porcentual 2 10 21 2" xfId="6090" xr:uid="{00000000-0005-0000-0000-0000661F0000}"/>
    <cellStyle name="Porcentual 2 10 22" xfId="2430" xr:uid="{00000000-0005-0000-0000-0000671F0000}"/>
    <cellStyle name="Porcentual 2 10 22 2" xfId="6091" xr:uid="{00000000-0005-0000-0000-0000681F0000}"/>
    <cellStyle name="Porcentual 2 10 23" xfId="2431" xr:uid="{00000000-0005-0000-0000-0000691F0000}"/>
    <cellStyle name="Porcentual 2 10 23 2" xfId="6092" xr:uid="{00000000-0005-0000-0000-00006A1F0000}"/>
    <cellStyle name="Porcentual 2 10 24" xfId="2432" xr:uid="{00000000-0005-0000-0000-00006B1F0000}"/>
    <cellStyle name="Porcentual 2 10 24 2" xfId="6093" xr:uid="{00000000-0005-0000-0000-00006C1F0000}"/>
    <cellStyle name="Porcentual 2 10 25" xfId="2433" xr:uid="{00000000-0005-0000-0000-00006D1F0000}"/>
    <cellStyle name="Porcentual 2 10 25 2" xfId="6094" xr:uid="{00000000-0005-0000-0000-00006E1F0000}"/>
    <cellStyle name="Porcentual 2 10 26" xfId="2434" xr:uid="{00000000-0005-0000-0000-00006F1F0000}"/>
    <cellStyle name="Porcentual 2 10 26 2" xfId="6095" xr:uid="{00000000-0005-0000-0000-0000701F0000}"/>
    <cellStyle name="Porcentual 2 10 27" xfId="2435" xr:uid="{00000000-0005-0000-0000-0000711F0000}"/>
    <cellStyle name="Porcentual 2 10 27 2" xfId="6096" xr:uid="{00000000-0005-0000-0000-0000721F0000}"/>
    <cellStyle name="Porcentual 2 10 28" xfId="2436" xr:uid="{00000000-0005-0000-0000-0000731F0000}"/>
    <cellStyle name="Porcentual 2 10 28 2" xfId="6097" xr:uid="{00000000-0005-0000-0000-0000741F0000}"/>
    <cellStyle name="Porcentual 2 10 29" xfId="6098" xr:uid="{00000000-0005-0000-0000-0000751F0000}"/>
    <cellStyle name="Porcentual 2 10 3" xfId="2437" xr:uid="{00000000-0005-0000-0000-0000761F0000}"/>
    <cellStyle name="Porcentual 2 10 3 2" xfId="6099" xr:uid="{00000000-0005-0000-0000-0000771F0000}"/>
    <cellStyle name="Porcentual 2 10 4" xfId="2438" xr:uid="{00000000-0005-0000-0000-0000781F0000}"/>
    <cellStyle name="Porcentual 2 10 4 2" xfId="6100" xr:uid="{00000000-0005-0000-0000-0000791F0000}"/>
    <cellStyle name="Porcentual 2 10 5" xfId="2439" xr:uid="{00000000-0005-0000-0000-00007A1F0000}"/>
    <cellStyle name="Porcentual 2 10 5 2" xfId="6101" xr:uid="{00000000-0005-0000-0000-00007B1F0000}"/>
    <cellStyle name="Porcentual 2 10 6" xfId="2440" xr:uid="{00000000-0005-0000-0000-00007C1F0000}"/>
    <cellStyle name="Porcentual 2 10 6 2" xfId="6102" xr:uid="{00000000-0005-0000-0000-00007D1F0000}"/>
    <cellStyle name="Porcentual 2 10 7" xfId="2441" xr:uid="{00000000-0005-0000-0000-00007E1F0000}"/>
    <cellStyle name="Porcentual 2 10 7 2" xfId="6103" xr:uid="{00000000-0005-0000-0000-00007F1F0000}"/>
    <cellStyle name="Porcentual 2 10 8" xfId="2442" xr:uid="{00000000-0005-0000-0000-0000801F0000}"/>
    <cellStyle name="Porcentual 2 10 8 2" xfId="6104" xr:uid="{00000000-0005-0000-0000-0000811F0000}"/>
    <cellStyle name="Porcentual 2 10 9" xfId="2443" xr:uid="{00000000-0005-0000-0000-0000821F0000}"/>
    <cellStyle name="Porcentual 2 10 9 2" xfId="6105" xr:uid="{00000000-0005-0000-0000-0000831F0000}"/>
    <cellStyle name="Porcentual 2 100" xfId="2444" xr:uid="{00000000-0005-0000-0000-0000841F0000}"/>
    <cellStyle name="Porcentual 2 100 2" xfId="8751" xr:uid="{00000000-0005-0000-0000-0000851F0000}"/>
    <cellStyle name="Porcentual 2 101" xfId="2445" xr:uid="{00000000-0005-0000-0000-0000861F0000}"/>
    <cellStyle name="Porcentual 2 101 2" xfId="8752" xr:uid="{00000000-0005-0000-0000-0000871F0000}"/>
    <cellStyle name="Porcentual 2 102" xfId="2446" xr:uid="{00000000-0005-0000-0000-0000881F0000}"/>
    <cellStyle name="Porcentual 2 102 2" xfId="8753" xr:uid="{00000000-0005-0000-0000-0000891F0000}"/>
    <cellStyle name="Porcentual 2 103" xfId="2447" xr:uid="{00000000-0005-0000-0000-00008A1F0000}"/>
    <cellStyle name="Porcentual 2 103 2" xfId="8754" xr:uid="{00000000-0005-0000-0000-00008B1F0000}"/>
    <cellStyle name="Porcentual 2 104" xfId="2448" xr:uid="{00000000-0005-0000-0000-00008C1F0000}"/>
    <cellStyle name="Porcentual 2 104 2" xfId="8755" xr:uid="{00000000-0005-0000-0000-00008D1F0000}"/>
    <cellStyle name="Porcentual 2 105" xfId="2449" xr:uid="{00000000-0005-0000-0000-00008E1F0000}"/>
    <cellStyle name="Porcentual 2 105 2" xfId="8756" xr:uid="{00000000-0005-0000-0000-00008F1F0000}"/>
    <cellStyle name="Porcentual 2 106" xfId="2450" xr:uid="{00000000-0005-0000-0000-0000901F0000}"/>
    <cellStyle name="Porcentual 2 106 2" xfId="8757" xr:uid="{00000000-0005-0000-0000-0000911F0000}"/>
    <cellStyle name="Porcentual 2 107" xfId="2451" xr:uid="{00000000-0005-0000-0000-0000921F0000}"/>
    <cellStyle name="Porcentual 2 107 2" xfId="8758" xr:uid="{00000000-0005-0000-0000-0000931F0000}"/>
    <cellStyle name="Porcentual 2 108" xfId="2452" xr:uid="{00000000-0005-0000-0000-0000941F0000}"/>
    <cellStyle name="Porcentual 2 108 2" xfId="8759" xr:uid="{00000000-0005-0000-0000-0000951F0000}"/>
    <cellStyle name="Porcentual 2 109" xfId="2453" xr:uid="{00000000-0005-0000-0000-0000961F0000}"/>
    <cellStyle name="Porcentual 2 109 2" xfId="8760" xr:uid="{00000000-0005-0000-0000-0000971F0000}"/>
    <cellStyle name="Porcentual 2 11" xfId="2454" xr:uid="{00000000-0005-0000-0000-0000981F0000}"/>
    <cellStyle name="Porcentual 2 11 10" xfId="2455" xr:uid="{00000000-0005-0000-0000-0000991F0000}"/>
    <cellStyle name="Porcentual 2 11 10 2" xfId="6106" xr:uid="{00000000-0005-0000-0000-00009A1F0000}"/>
    <cellStyle name="Porcentual 2 11 11" xfId="2456" xr:uid="{00000000-0005-0000-0000-00009B1F0000}"/>
    <cellStyle name="Porcentual 2 11 11 2" xfId="6107" xr:uid="{00000000-0005-0000-0000-00009C1F0000}"/>
    <cellStyle name="Porcentual 2 11 12" xfId="2457" xr:uid="{00000000-0005-0000-0000-00009D1F0000}"/>
    <cellStyle name="Porcentual 2 11 12 2" xfId="6108" xr:uid="{00000000-0005-0000-0000-00009E1F0000}"/>
    <cellStyle name="Porcentual 2 11 13" xfId="2458" xr:uid="{00000000-0005-0000-0000-00009F1F0000}"/>
    <cellStyle name="Porcentual 2 11 13 2" xfId="6109" xr:uid="{00000000-0005-0000-0000-0000A01F0000}"/>
    <cellStyle name="Porcentual 2 11 14" xfId="2459" xr:uid="{00000000-0005-0000-0000-0000A11F0000}"/>
    <cellStyle name="Porcentual 2 11 14 2" xfId="6110" xr:uid="{00000000-0005-0000-0000-0000A21F0000}"/>
    <cellStyle name="Porcentual 2 11 15" xfId="2460" xr:uid="{00000000-0005-0000-0000-0000A31F0000}"/>
    <cellStyle name="Porcentual 2 11 15 2" xfId="6111" xr:uid="{00000000-0005-0000-0000-0000A41F0000}"/>
    <cellStyle name="Porcentual 2 11 16" xfId="2461" xr:uid="{00000000-0005-0000-0000-0000A51F0000}"/>
    <cellStyle name="Porcentual 2 11 16 2" xfId="6112" xr:uid="{00000000-0005-0000-0000-0000A61F0000}"/>
    <cellStyle name="Porcentual 2 11 17" xfId="2462" xr:uid="{00000000-0005-0000-0000-0000A71F0000}"/>
    <cellStyle name="Porcentual 2 11 17 2" xfId="6113" xr:uid="{00000000-0005-0000-0000-0000A81F0000}"/>
    <cellStyle name="Porcentual 2 11 18" xfId="2463" xr:uid="{00000000-0005-0000-0000-0000A91F0000}"/>
    <cellStyle name="Porcentual 2 11 18 2" xfId="6114" xr:uid="{00000000-0005-0000-0000-0000AA1F0000}"/>
    <cellStyle name="Porcentual 2 11 19" xfId="2464" xr:uid="{00000000-0005-0000-0000-0000AB1F0000}"/>
    <cellStyle name="Porcentual 2 11 19 2" xfId="6115" xr:uid="{00000000-0005-0000-0000-0000AC1F0000}"/>
    <cellStyle name="Porcentual 2 11 2" xfId="2465" xr:uid="{00000000-0005-0000-0000-0000AD1F0000}"/>
    <cellStyle name="Porcentual 2 11 2 2" xfId="6116" xr:uid="{00000000-0005-0000-0000-0000AE1F0000}"/>
    <cellStyle name="Porcentual 2 11 20" xfId="2466" xr:uid="{00000000-0005-0000-0000-0000AF1F0000}"/>
    <cellStyle name="Porcentual 2 11 20 2" xfId="6117" xr:uid="{00000000-0005-0000-0000-0000B01F0000}"/>
    <cellStyle name="Porcentual 2 11 21" xfId="2467" xr:uid="{00000000-0005-0000-0000-0000B11F0000}"/>
    <cellStyle name="Porcentual 2 11 21 2" xfId="6118" xr:uid="{00000000-0005-0000-0000-0000B21F0000}"/>
    <cellStyle name="Porcentual 2 11 22" xfId="2468" xr:uid="{00000000-0005-0000-0000-0000B31F0000}"/>
    <cellStyle name="Porcentual 2 11 22 2" xfId="6119" xr:uid="{00000000-0005-0000-0000-0000B41F0000}"/>
    <cellStyle name="Porcentual 2 11 23" xfId="2469" xr:uid="{00000000-0005-0000-0000-0000B51F0000}"/>
    <cellStyle name="Porcentual 2 11 23 2" xfId="6120" xr:uid="{00000000-0005-0000-0000-0000B61F0000}"/>
    <cellStyle name="Porcentual 2 11 24" xfId="2470" xr:uid="{00000000-0005-0000-0000-0000B71F0000}"/>
    <cellStyle name="Porcentual 2 11 24 2" xfId="6121" xr:uid="{00000000-0005-0000-0000-0000B81F0000}"/>
    <cellStyle name="Porcentual 2 11 25" xfId="2471" xr:uid="{00000000-0005-0000-0000-0000B91F0000}"/>
    <cellStyle name="Porcentual 2 11 25 2" xfId="6122" xr:uid="{00000000-0005-0000-0000-0000BA1F0000}"/>
    <cellStyle name="Porcentual 2 11 26" xfId="2472" xr:uid="{00000000-0005-0000-0000-0000BB1F0000}"/>
    <cellStyle name="Porcentual 2 11 26 2" xfId="6123" xr:uid="{00000000-0005-0000-0000-0000BC1F0000}"/>
    <cellStyle name="Porcentual 2 11 27" xfId="2473" xr:uid="{00000000-0005-0000-0000-0000BD1F0000}"/>
    <cellStyle name="Porcentual 2 11 27 2" xfId="6124" xr:uid="{00000000-0005-0000-0000-0000BE1F0000}"/>
    <cellStyle name="Porcentual 2 11 28" xfId="2474" xr:uid="{00000000-0005-0000-0000-0000BF1F0000}"/>
    <cellStyle name="Porcentual 2 11 28 2" xfId="6125" xr:uid="{00000000-0005-0000-0000-0000C01F0000}"/>
    <cellStyle name="Porcentual 2 11 29" xfId="6126" xr:uid="{00000000-0005-0000-0000-0000C11F0000}"/>
    <cellStyle name="Porcentual 2 11 3" xfId="2475" xr:uid="{00000000-0005-0000-0000-0000C21F0000}"/>
    <cellStyle name="Porcentual 2 11 3 2" xfId="6127" xr:uid="{00000000-0005-0000-0000-0000C31F0000}"/>
    <cellStyle name="Porcentual 2 11 4" xfId="2476" xr:uid="{00000000-0005-0000-0000-0000C41F0000}"/>
    <cellStyle name="Porcentual 2 11 4 2" xfId="6128" xr:uid="{00000000-0005-0000-0000-0000C51F0000}"/>
    <cellStyle name="Porcentual 2 11 5" xfId="2477" xr:uid="{00000000-0005-0000-0000-0000C61F0000}"/>
    <cellStyle name="Porcentual 2 11 5 2" xfId="6129" xr:uid="{00000000-0005-0000-0000-0000C71F0000}"/>
    <cellStyle name="Porcentual 2 11 6" xfId="2478" xr:uid="{00000000-0005-0000-0000-0000C81F0000}"/>
    <cellStyle name="Porcentual 2 11 6 2" xfId="6130" xr:uid="{00000000-0005-0000-0000-0000C91F0000}"/>
    <cellStyle name="Porcentual 2 11 7" xfId="2479" xr:uid="{00000000-0005-0000-0000-0000CA1F0000}"/>
    <cellStyle name="Porcentual 2 11 7 2" xfId="6131" xr:uid="{00000000-0005-0000-0000-0000CB1F0000}"/>
    <cellStyle name="Porcentual 2 11 8" xfId="2480" xr:uid="{00000000-0005-0000-0000-0000CC1F0000}"/>
    <cellStyle name="Porcentual 2 11 8 2" xfId="6132" xr:uid="{00000000-0005-0000-0000-0000CD1F0000}"/>
    <cellStyle name="Porcentual 2 11 9" xfId="2481" xr:uid="{00000000-0005-0000-0000-0000CE1F0000}"/>
    <cellStyle name="Porcentual 2 11 9 2" xfId="6133" xr:uid="{00000000-0005-0000-0000-0000CF1F0000}"/>
    <cellStyle name="Porcentual 2 110" xfId="4067" xr:uid="{00000000-0005-0000-0000-0000D01F0000}"/>
    <cellStyle name="Porcentual 2 110 2" xfId="9569" xr:uid="{00000000-0005-0000-0000-0000D11F0000}"/>
    <cellStyle name="Porcentual 2 110 2 2" xfId="10273" xr:uid="{00000000-0005-0000-0000-0000D21F0000}"/>
    <cellStyle name="Porcentual 2 110 2 2 2" xfId="12008" xr:uid="{00000000-0005-0000-0000-0000D31F0000}"/>
    <cellStyle name="Porcentual 2 110 2 3" xfId="11361" xr:uid="{00000000-0005-0000-0000-0000D41F0000}"/>
    <cellStyle name="Porcentual 2 110 3" xfId="9976" xr:uid="{00000000-0005-0000-0000-0000D51F0000}"/>
    <cellStyle name="Porcentual 2 110 3 2" xfId="11712" xr:uid="{00000000-0005-0000-0000-0000D61F0000}"/>
    <cellStyle name="Porcentual 2 110 4" xfId="10934" xr:uid="{00000000-0005-0000-0000-0000D71F0000}"/>
    <cellStyle name="Porcentual 2 111" xfId="4186" xr:uid="{00000000-0005-0000-0000-0000D81F0000}"/>
    <cellStyle name="Porcentual 2 111 2" xfId="9622" xr:uid="{00000000-0005-0000-0000-0000D91F0000}"/>
    <cellStyle name="Porcentual 2 111 2 2" xfId="10324" xr:uid="{00000000-0005-0000-0000-0000DA1F0000}"/>
    <cellStyle name="Porcentual 2 111 2 2 2" xfId="12059" xr:uid="{00000000-0005-0000-0000-0000DB1F0000}"/>
    <cellStyle name="Porcentual 2 111 2 3" xfId="11412" xr:uid="{00000000-0005-0000-0000-0000DC1F0000}"/>
    <cellStyle name="Porcentual 2 111 3" xfId="10027" xr:uid="{00000000-0005-0000-0000-0000DD1F0000}"/>
    <cellStyle name="Porcentual 2 111 3 2" xfId="11763" xr:uid="{00000000-0005-0000-0000-0000DE1F0000}"/>
    <cellStyle name="Porcentual 2 111 4" xfId="10999" xr:uid="{00000000-0005-0000-0000-0000DF1F0000}"/>
    <cellStyle name="Porcentual 2 112" xfId="4294" xr:uid="{00000000-0005-0000-0000-0000E01F0000}"/>
    <cellStyle name="Porcentual 2 112 2" xfId="9726" xr:uid="{00000000-0005-0000-0000-0000E11F0000}"/>
    <cellStyle name="Porcentual 2 112 2 2" xfId="10427" xr:uid="{00000000-0005-0000-0000-0000E21F0000}"/>
    <cellStyle name="Porcentual 2 112 2 2 2" xfId="12162" xr:uid="{00000000-0005-0000-0000-0000E31F0000}"/>
    <cellStyle name="Porcentual 2 112 2 3" xfId="11515" xr:uid="{00000000-0005-0000-0000-0000E41F0000}"/>
    <cellStyle name="Porcentual 2 112 3" xfId="10130" xr:uid="{00000000-0005-0000-0000-0000E51F0000}"/>
    <cellStyle name="Porcentual 2 112 3 2" xfId="11866" xr:uid="{00000000-0005-0000-0000-0000E61F0000}"/>
    <cellStyle name="Porcentual 2 112 4" xfId="11104" xr:uid="{00000000-0005-0000-0000-0000E71F0000}"/>
    <cellStyle name="Porcentual 2 113" xfId="4304" xr:uid="{00000000-0005-0000-0000-0000E81F0000}"/>
    <cellStyle name="Porcentual 2 113 2" xfId="9730" xr:uid="{00000000-0005-0000-0000-0000E91F0000}"/>
    <cellStyle name="Porcentual 2 113 2 2" xfId="10431" xr:uid="{00000000-0005-0000-0000-0000EA1F0000}"/>
    <cellStyle name="Porcentual 2 113 2 2 2" xfId="12166" xr:uid="{00000000-0005-0000-0000-0000EB1F0000}"/>
    <cellStyle name="Porcentual 2 113 2 3" xfId="11519" xr:uid="{00000000-0005-0000-0000-0000EC1F0000}"/>
    <cellStyle name="Porcentual 2 113 3" xfId="10134" xr:uid="{00000000-0005-0000-0000-0000ED1F0000}"/>
    <cellStyle name="Porcentual 2 113 3 2" xfId="11870" xr:uid="{00000000-0005-0000-0000-0000EE1F0000}"/>
    <cellStyle name="Porcentual 2 113 4" xfId="11114" xr:uid="{00000000-0005-0000-0000-0000EF1F0000}"/>
    <cellStyle name="Porcentual 2 114" xfId="4310" xr:uid="{00000000-0005-0000-0000-0000F01F0000}"/>
    <cellStyle name="Porcentual 2 114 2" xfId="9736" xr:uid="{00000000-0005-0000-0000-0000F11F0000}"/>
    <cellStyle name="Porcentual 2 114 2 2" xfId="10437" xr:uid="{00000000-0005-0000-0000-0000F21F0000}"/>
    <cellStyle name="Porcentual 2 114 2 2 2" xfId="12172" xr:uid="{00000000-0005-0000-0000-0000F31F0000}"/>
    <cellStyle name="Porcentual 2 114 2 3" xfId="11525" xr:uid="{00000000-0005-0000-0000-0000F41F0000}"/>
    <cellStyle name="Porcentual 2 114 3" xfId="10140" xr:uid="{00000000-0005-0000-0000-0000F51F0000}"/>
    <cellStyle name="Porcentual 2 114 3 2" xfId="11876" xr:uid="{00000000-0005-0000-0000-0000F61F0000}"/>
    <cellStyle name="Porcentual 2 114 4" xfId="11120" xr:uid="{00000000-0005-0000-0000-0000F71F0000}"/>
    <cellStyle name="Porcentual 2 115" xfId="4369" xr:uid="{00000000-0005-0000-0000-0000F81F0000}"/>
    <cellStyle name="Porcentual 2 115 2" xfId="9777" xr:uid="{00000000-0005-0000-0000-0000F91F0000}"/>
    <cellStyle name="Porcentual 2 115 2 2" xfId="10476" xr:uid="{00000000-0005-0000-0000-0000FA1F0000}"/>
    <cellStyle name="Porcentual 2 115 2 2 2" xfId="12211" xr:uid="{00000000-0005-0000-0000-0000FB1F0000}"/>
    <cellStyle name="Porcentual 2 115 2 3" xfId="11564" xr:uid="{00000000-0005-0000-0000-0000FC1F0000}"/>
    <cellStyle name="Porcentual 2 115 3" xfId="10181" xr:uid="{00000000-0005-0000-0000-0000FD1F0000}"/>
    <cellStyle name="Porcentual 2 115 3 2" xfId="11917" xr:uid="{00000000-0005-0000-0000-0000FE1F0000}"/>
    <cellStyle name="Porcentual 2 115 4" xfId="11174" xr:uid="{00000000-0005-0000-0000-0000FF1F0000}"/>
    <cellStyle name="Porcentual 2 12" xfId="2482" xr:uid="{00000000-0005-0000-0000-000000200000}"/>
    <cellStyle name="Porcentual 2 12 10" xfId="2483" xr:uid="{00000000-0005-0000-0000-000001200000}"/>
    <cellStyle name="Porcentual 2 12 10 2" xfId="6134" xr:uid="{00000000-0005-0000-0000-000002200000}"/>
    <cellStyle name="Porcentual 2 12 11" xfId="2484" xr:uid="{00000000-0005-0000-0000-000003200000}"/>
    <cellStyle name="Porcentual 2 12 11 2" xfId="6135" xr:uid="{00000000-0005-0000-0000-000004200000}"/>
    <cellStyle name="Porcentual 2 12 12" xfId="2485" xr:uid="{00000000-0005-0000-0000-000005200000}"/>
    <cellStyle name="Porcentual 2 12 12 2" xfId="6136" xr:uid="{00000000-0005-0000-0000-000006200000}"/>
    <cellStyle name="Porcentual 2 12 13" xfId="2486" xr:uid="{00000000-0005-0000-0000-000007200000}"/>
    <cellStyle name="Porcentual 2 12 13 2" xfId="6137" xr:uid="{00000000-0005-0000-0000-000008200000}"/>
    <cellStyle name="Porcentual 2 12 14" xfId="2487" xr:uid="{00000000-0005-0000-0000-000009200000}"/>
    <cellStyle name="Porcentual 2 12 14 2" xfId="6138" xr:uid="{00000000-0005-0000-0000-00000A200000}"/>
    <cellStyle name="Porcentual 2 12 15" xfId="2488" xr:uid="{00000000-0005-0000-0000-00000B200000}"/>
    <cellStyle name="Porcentual 2 12 15 2" xfId="6139" xr:uid="{00000000-0005-0000-0000-00000C200000}"/>
    <cellStyle name="Porcentual 2 12 16" xfId="2489" xr:uid="{00000000-0005-0000-0000-00000D200000}"/>
    <cellStyle name="Porcentual 2 12 16 2" xfId="6140" xr:uid="{00000000-0005-0000-0000-00000E200000}"/>
    <cellStyle name="Porcentual 2 12 17" xfId="2490" xr:uid="{00000000-0005-0000-0000-00000F200000}"/>
    <cellStyle name="Porcentual 2 12 17 2" xfId="6141" xr:uid="{00000000-0005-0000-0000-000010200000}"/>
    <cellStyle name="Porcentual 2 12 18" xfId="2491" xr:uid="{00000000-0005-0000-0000-000011200000}"/>
    <cellStyle name="Porcentual 2 12 18 2" xfId="6142" xr:uid="{00000000-0005-0000-0000-000012200000}"/>
    <cellStyle name="Porcentual 2 12 19" xfId="2492" xr:uid="{00000000-0005-0000-0000-000013200000}"/>
    <cellStyle name="Porcentual 2 12 19 2" xfId="6143" xr:uid="{00000000-0005-0000-0000-000014200000}"/>
    <cellStyle name="Porcentual 2 12 2" xfId="2493" xr:uid="{00000000-0005-0000-0000-000015200000}"/>
    <cellStyle name="Porcentual 2 12 2 2" xfId="6144" xr:uid="{00000000-0005-0000-0000-000016200000}"/>
    <cellStyle name="Porcentual 2 12 20" xfId="2494" xr:uid="{00000000-0005-0000-0000-000017200000}"/>
    <cellStyle name="Porcentual 2 12 20 2" xfId="6145" xr:uid="{00000000-0005-0000-0000-000018200000}"/>
    <cellStyle name="Porcentual 2 12 21" xfId="2495" xr:uid="{00000000-0005-0000-0000-000019200000}"/>
    <cellStyle name="Porcentual 2 12 21 2" xfId="6146" xr:uid="{00000000-0005-0000-0000-00001A200000}"/>
    <cellStyle name="Porcentual 2 12 22" xfId="2496" xr:uid="{00000000-0005-0000-0000-00001B200000}"/>
    <cellStyle name="Porcentual 2 12 22 2" xfId="6147" xr:uid="{00000000-0005-0000-0000-00001C200000}"/>
    <cellStyle name="Porcentual 2 12 23" xfId="2497" xr:uid="{00000000-0005-0000-0000-00001D200000}"/>
    <cellStyle name="Porcentual 2 12 23 2" xfId="6148" xr:uid="{00000000-0005-0000-0000-00001E200000}"/>
    <cellStyle name="Porcentual 2 12 24" xfId="2498" xr:uid="{00000000-0005-0000-0000-00001F200000}"/>
    <cellStyle name="Porcentual 2 12 24 2" xfId="6149" xr:uid="{00000000-0005-0000-0000-000020200000}"/>
    <cellStyle name="Porcentual 2 12 25" xfId="2499" xr:uid="{00000000-0005-0000-0000-000021200000}"/>
    <cellStyle name="Porcentual 2 12 25 2" xfId="6150" xr:uid="{00000000-0005-0000-0000-000022200000}"/>
    <cellStyle name="Porcentual 2 12 26" xfId="2500" xr:uid="{00000000-0005-0000-0000-000023200000}"/>
    <cellStyle name="Porcentual 2 12 26 2" xfId="6151" xr:uid="{00000000-0005-0000-0000-000024200000}"/>
    <cellStyle name="Porcentual 2 12 27" xfId="2501" xr:uid="{00000000-0005-0000-0000-000025200000}"/>
    <cellStyle name="Porcentual 2 12 27 2" xfId="6152" xr:uid="{00000000-0005-0000-0000-000026200000}"/>
    <cellStyle name="Porcentual 2 12 28" xfId="2502" xr:uid="{00000000-0005-0000-0000-000027200000}"/>
    <cellStyle name="Porcentual 2 12 28 2" xfId="6153" xr:uid="{00000000-0005-0000-0000-000028200000}"/>
    <cellStyle name="Porcentual 2 12 29" xfId="6154" xr:uid="{00000000-0005-0000-0000-000029200000}"/>
    <cellStyle name="Porcentual 2 12 3" xfId="2503" xr:uid="{00000000-0005-0000-0000-00002A200000}"/>
    <cellStyle name="Porcentual 2 12 3 2" xfId="6155" xr:uid="{00000000-0005-0000-0000-00002B200000}"/>
    <cellStyle name="Porcentual 2 12 4" xfId="2504" xr:uid="{00000000-0005-0000-0000-00002C200000}"/>
    <cellStyle name="Porcentual 2 12 4 2" xfId="6156" xr:uid="{00000000-0005-0000-0000-00002D200000}"/>
    <cellStyle name="Porcentual 2 12 5" xfId="2505" xr:uid="{00000000-0005-0000-0000-00002E200000}"/>
    <cellStyle name="Porcentual 2 12 5 2" xfId="6157" xr:uid="{00000000-0005-0000-0000-00002F200000}"/>
    <cellStyle name="Porcentual 2 12 6" xfId="2506" xr:uid="{00000000-0005-0000-0000-000030200000}"/>
    <cellStyle name="Porcentual 2 12 6 2" xfId="6158" xr:uid="{00000000-0005-0000-0000-000031200000}"/>
    <cellStyle name="Porcentual 2 12 7" xfId="2507" xr:uid="{00000000-0005-0000-0000-000032200000}"/>
    <cellStyle name="Porcentual 2 12 7 2" xfId="6159" xr:uid="{00000000-0005-0000-0000-000033200000}"/>
    <cellStyle name="Porcentual 2 12 8" xfId="2508" xr:uid="{00000000-0005-0000-0000-000034200000}"/>
    <cellStyle name="Porcentual 2 12 8 2" xfId="6160" xr:uid="{00000000-0005-0000-0000-000035200000}"/>
    <cellStyle name="Porcentual 2 12 9" xfId="2509" xr:uid="{00000000-0005-0000-0000-000036200000}"/>
    <cellStyle name="Porcentual 2 12 9 2" xfId="6161" xr:uid="{00000000-0005-0000-0000-000037200000}"/>
    <cellStyle name="Porcentual 2 13" xfId="2510" xr:uid="{00000000-0005-0000-0000-000038200000}"/>
    <cellStyle name="Porcentual 2 13 10" xfId="2511" xr:uid="{00000000-0005-0000-0000-000039200000}"/>
    <cellStyle name="Porcentual 2 13 10 2" xfId="6162" xr:uid="{00000000-0005-0000-0000-00003A200000}"/>
    <cellStyle name="Porcentual 2 13 11" xfId="2512" xr:uid="{00000000-0005-0000-0000-00003B200000}"/>
    <cellStyle name="Porcentual 2 13 11 2" xfId="6163" xr:uid="{00000000-0005-0000-0000-00003C200000}"/>
    <cellStyle name="Porcentual 2 13 12" xfId="2513" xr:uid="{00000000-0005-0000-0000-00003D200000}"/>
    <cellStyle name="Porcentual 2 13 12 2" xfId="6164" xr:uid="{00000000-0005-0000-0000-00003E200000}"/>
    <cellStyle name="Porcentual 2 13 13" xfId="2514" xr:uid="{00000000-0005-0000-0000-00003F200000}"/>
    <cellStyle name="Porcentual 2 13 13 2" xfId="6165" xr:uid="{00000000-0005-0000-0000-000040200000}"/>
    <cellStyle name="Porcentual 2 13 14" xfId="2515" xr:uid="{00000000-0005-0000-0000-000041200000}"/>
    <cellStyle name="Porcentual 2 13 14 2" xfId="6166" xr:uid="{00000000-0005-0000-0000-000042200000}"/>
    <cellStyle name="Porcentual 2 13 15" xfId="2516" xr:uid="{00000000-0005-0000-0000-000043200000}"/>
    <cellStyle name="Porcentual 2 13 15 2" xfId="6167" xr:uid="{00000000-0005-0000-0000-000044200000}"/>
    <cellStyle name="Porcentual 2 13 16" xfId="2517" xr:uid="{00000000-0005-0000-0000-000045200000}"/>
    <cellStyle name="Porcentual 2 13 16 2" xfId="6168" xr:uid="{00000000-0005-0000-0000-000046200000}"/>
    <cellStyle name="Porcentual 2 13 17" xfId="2518" xr:uid="{00000000-0005-0000-0000-000047200000}"/>
    <cellStyle name="Porcentual 2 13 17 2" xfId="6169" xr:uid="{00000000-0005-0000-0000-000048200000}"/>
    <cellStyle name="Porcentual 2 13 18" xfId="2519" xr:uid="{00000000-0005-0000-0000-000049200000}"/>
    <cellStyle name="Porcentual 2 13 18 2" xfId="6170" xr:uid="{00000000-0005-0000-0000-00004A200000}"/>
    <cellStyle name="Porcentual 2 13 19" xfId="2520" xr:uid="{00000000-0005-0000-0000-00004B200000}"/>
    <cellStyle name="Porcentual 2 13 19 2" xfId="6171" xr:uid="{00000000-0005-0000-0000-00004C200000}"/>
    <cellStyle name="Porcentual 2 13 2" xfId="2521" xr:uid="{00000000-0005-0000-0000-00004D200000}"/>
    <cellStyle name="Porcentual 2 13 2 2" xfId="6172" xr:uid="{00000000-0005-0000-0000-00004E200000}"/>
    <cellStyle name="Porcentual 2 13 20" xfId="2522" xr:uid="{00000000-0005-0000-0000-00004F200000}"/>
    <cellStyle name="Porcentual 2 13 20 2" xfId="6173" xr:uid="{00000000-0005-0000-0000-000050200000}"/>
    <cellStyle name="Porcentual 2 13 21" xfId="2523" xr:uid="{00000000-0005-0000-0000-000051200000}"/>
    <cellStyle name="Porcentual 2 13 21 2" xfId="6174" xr:uid="{00000000-0005-0000-0000-000052200000}"/>
    <cellStyle name="Porcentual 2 13 22" xfId="2524" xr:uid="{00000000-0005-0000-0000-000053200000}"/>
    <cellStyle name="Porcentual 2 13 22 2" xfId="6175" xr:uid="{00000000-0005-0000-0000-000054200000}"/>
    <cellStyle name="Porcentual 2 13 23" xfId="2525" xr:uid="{00000000-0005-0000-0000-000055200000}"/>
    <cellStyle name="Porcentual 2 13 23 2" xfId="6176" xr:uid="{00000000-0005-0000-0000-000056200000}"/>
    <cellStyle name="Porcentual 2 13 24" xfId="2526" xr:uid="{00000000-0005-0000-0000-000057200000}"/>
    <cellStyle name="Porcentual 2 13 24 2" xfId="6177" xr:uid="{00000000-0005-0000-0000-000058200000}"/>
    <cellStyle name="Porcentual 2 13 25" xfId="2527" xr:uid="{00000000-0005-0000-0000-000059200000}"/>
    <cellStyle name="Porcentual 2 13 25 2" xfId="6178" xr:uid="{00000000-0005-0000-0000-00005A200000}"/>
    <cellStyle name="Porcentual 2 13 26" xfId="2528" xr:uid="{00000000-0005-0000-0000-00005B200000}"/>
    <cellStyle name="Porcentual 2 13 26 2" xfId="6179" xr:uid="{00000000-0005-0000-0000-00005C200000}"/>
    <cellStyle name="Porcentual 2 13 27" xfId="2529" xr:uid="{00000000-0005-0000-0000-00005D200000}"/>
    <cellStyle name="Porcentual 2 13 27 2" xfId="6180" xr:uid="{00000000-0005-0000-0000-00005E200000}"/>
    <cellStyle name="Porcentual 2 13 28" xfId="2530" xr:uid="{00000000-0005-0000-0000-00005F200000}"/>
    <cellStyle name="Porcentual 2 13 28 2" xfId="6181" xr:uid="{00000000-0005-0000-0000-000060200000}"/>
    <cellStyle name="Porcentual 2 13 29" xfId="6182" xr:uid="{00000000-0005-0000-0000-000061200000}"/>
    <cellStyle name="Porcentual 2 13 3" xfId="2531" xr:uid="{00000000-0005-0000-0000-000062200000}"/>
    <cellStyle name="Porcentual 2 13 3 2" xfId="6183" xr:uid="{00000000-0005-0000-0000-000063200000}"/>
    <cellStyle name="Porcentual 2 13 4" xfId="2532" xr:uid="{00000000-0005-0000-0000-000064200000}"/>
    <cellStyle name="Porcentual 2 13 4 2" xfId="6184" xr:uid="{00000000-0005-0000-0000-000065200000}"/>
    <cellStyle name="Porcentual 2 13 5" xfId="2533" xr:uid="{00000000-0005-0000-0000-000066200000}"/>
    <cellStyle name="Porcentual 2 13 5 2" xfId="6185" xr:uid="{00000000-0005-0000-0000-000067200000}"/>
    <cellStyle name="Porcentual 2 13 6" xfId="2534" xr:uid="{00000000-0005-0000-0000-000068200000}"/>
    <cellStyle name="Porcentual 2 13 6 2" xfId="6186" xr:uid="{00000000-0005-0000-0000-000069200000}"/>
    <cellStyle name="Porcentual 2 13 7" xfId="2535" xr:uid="{00000000-0005-0000-0000-00006A200000}"/>
    <cellStyle name="Porcentual 2 13 7 2" xfId="6187" xr:uid="{00000000-0005-0000-0000-00006B200000}"/>
    <cellStyle name="Porcentual 2 13 8" xfId="2536" xr:uid="{00000000-0005-0000-0000-00006C200000}"/>
    <cellStyle name="Porcentual 2 13 8 2" xfId="6188" xr:uid="{00000000-0005-0000-0000-00006D200000}"/>
    <cellStyle name="Porcentual 2 13 9" xfId="2537" xr:uid="{00000000-0005-0000-0000-00006E200000}"/>
    <cellStyle name="Porcentual 2 13 9 2" xfId="6189" xr:uid="{00000000-0005-0000-0000-00006F200000}"/>
    <cellStyle name="Porcentual 2 14" xfId="2538" xr:uid="{00000000-0005-0000-0000-000070200000}"/>
    <cellStyle name="Porcentual 2 14 10" xfId="2539" xr:uid="{00000000-0005-0000-0000-000071200000}"/>
    <cellStyle name="Porcentual 2 14 10 2" xfId="6190" xr:uid="{00000000-0005-0000-0000-000072200000}"/>
    <cellStyle name="Porcentual 2 14 11" xfId="2540" xr:uid="{00000000-0005-0000-0000-000073200000}"/>
    <cellStyle name="Porcentual 2 14 11 2" xfId="6191" xr:uid="{00000000-0005-0000-0000-000074200000}"/>
    <cellStyle name="Porcentual 2 14 12" xfId="2541" xr:uid="{00000000-0005-0000-0000-000075200000}"/>
    <cellStyle name="Porcentual 2 14 12 2" xfId="6192" xr:uid="{00000000-0005-0000-0000-000076200000}"/>
    <cellStyle name="Porcentual 2 14 13" xfId="2542" xr:uid="{00000000-0005-0000-0000-000077200000}"/>
    <cellStyle name="Porcentual 2 14 13 2" xfId="6193" xr:uid="{00000000-0005-0000-0000-000078200000}"/>
    <cellStyle name="Porcentual 2 14 14" xfId="2543" xr:uid="{00000000-0005-0000-0000-000079200000}"/>
    <cellStyle name="Porcentual 2 14 14 2" xfId="6194" xr:uid="{00000000-0005-0000-0000-00007A200000}"/>
    <cellStyle name="Porcentual 2 14 15" xfId="2544" xr:uid="{00000000-0005-0000-0000-00007B200000}"/>
    <cellStyle name="Porcentual 2 14 15 2" xfId="6195" xr:uid="{00000000-0005-0000-0000-00007C200000}"/>
    <cellStyle name="Porcentual 2 14 16" xfId="2545" xr:uid="{00000000-0005-0000-0000-00007D200000}"/>
    <cellStyle name="Porcentual 2 14 16 2" xfId="6196" xr:uid="{00000000-0005-0000-0000-00007E200000}"/>
    <cellStyle name="Porcentual 2 14 17" xfId="2546" xr:uid="{00000000-0005-0000-0000-00007F200000}"/>
    <cellStyle name="Porcentual 2 14 17 2" xfId="6197" xr:uid="{00000000-0005-0000-0000-000080200000}"/>
    <cellStyle name="Porcentual 2 14 18" xfId="2547" xr:uid="{00000000-0005-0000-0000-000081200000}"/>
    <cellStyle name="Porcentual 2 14 18 2" xfId="6198" xr:uid="{00000000-0005-0000-0000-000082200000}"/>
    <cellStyle name="Porcentual 2 14 19" xfId="2548" xr:uid="{00000000-0005-0000-0000-000083200000}"/>
    <cellStyle name="Porcentual 2 14 19 2" xfId="6199" xr:uid="{00000000-0005-0000-0000-000084200000}"/>
    <cellStyle name="Porcentual 2 14 2" xfId="2549" xr:uid="{00000000-0005-0000-0000-000085200000}"/>
    <cellStyle name="Porcentual 2 14 2 2" xfId="6200" xr:uid="{00000000-0005-0000-0000-000086200000}"/>
    <cellStyle name="Porcentual 2 14 20" xfId="2550" xr:uid="{00000000-0005-0000-0000-000087200000}"/>
    <cellStyle name="Porcentual 2 14 20 2" xfId="6201" xr:uid="{00000000-0005-0000-0000-000088200000}"/>
    <cellStyle name="Porcentual 2 14 21" xfId="2551" xr:uid="{00000000-0005-0000-0000-000089200000}"/>
    <cellStyle name="Porcentual 2 14 21 2" xfId="6202" xr:uid="{00000000-0005-0000-0000-00008A200000}"/>
    <cellStyle name="Porcentual 2 14 22" xfId="2552" xr:uid="{00000000-0005-0000-0000-00008B200000}"/>
    <cellStyle name="Porcentual 2 14 22 2" xfId="6203" xr:uid="{00000000-0005-0000-0000-00008C200000}"/>
    <cellStyle name="Porcentual 2 14 23" xfId="2553" xr:uid="{00000000-0005-0000-0000-00008D200000}"/>
    <cellStyle name="Porcentual 2 14 23 2" xfId="6204" xr:uid="{00000000-0005-0000-0000-00008E200000}"/>
    <cellStyle name="Porcentual 2 14 24" xfId="2554" xr:uid="{00000000-0005-0000-0000-00008F200000}"/>
    <cellStyle name="Porcentual 2 14 24 2" xfId="6205" xr:uid="{00000000-0005-0000-0000-000090200000}"/>
    <cellStyle name="Porcentual 2 14 25" xfId="2555" xr:uid="{00000000-0005-0000-0000-000091200000}"/>
    <cellStyle name="Porcentual 2 14 25 2" xfId="6206" xr:uid="{00000000-0005-0000-0000-000092200000}"/>
    <cellStyle name="Porcentual 2 14 26" xfId="2556" xr:uid="{00000000-0005-0000-0000-000093200000}"/>
    <cellStyle name="Porcentual 2 14 26 2" xfId="6207" xr:uid="{00000000-0005-0000-0000-000094200000}"/>
    <cellStyle name="Porcentual 2 14 27" xfId="2557" xr:uid="{00000000-0005-0000-0000-000095200000}"/>
    <cellStyle name="Porcentual 2 14 27 2" xfId="6208" xr:uid="{00000000-0005-0000-0000-000096200000}"/>
    <cellStyle name="Porcentual 2 14 28" xfId="2558" xr:uid="{00000000-0005-0000-0000-000097200000}"/>
    <cellStyle name="Porcentual 2 14 28 2" xfId="6209" xr:uid="{00000000-0005-0000-0000-000098200000}"/>
    <cellStyle name="Porcentual 2 14 29" xfId="6210" xr:uid="{00000000-0005-0000-0000-000099200000}"/>
    <cellStyle name="Porcentual 2 14 3" xfId="2559" xr:uid="{00000000-0005-0000-0000-00009A200000}"/>
    <cellStyle name="Porcentual 2 14 3 2" xfId="6211" xr:uid="{00000000-0005-0000-0000-00009B200000}"/>
    <cellStyle name="Porcentual 2 14 4" xfId="2560" xr:uid="{00000000-0005-0000-0000-00009C200000}"/>
    <cellStyle name="Porcentual 2 14 4 2" xfId="6212" xr:uid="{00000000-0005-0000-0000-00009D200000}"/>
    <cellStyle name="Porcentual 2 14 5" xfId="2561" xr:uid="{00000000-0005-0000-0000-00009E200000}"/>
    <cellStyle name="Porcentual 2 14 5 2" xfId="6213" xr:uid="{00000000-0005-0000-0000-00009F200000}"/>
    <cellStyle name="Porcentual 2 14 6" xfId="2562" xr:uid="{00000000-0005-0000-0000-0000A0200000}"/>
    <cellStyle name="Porcentual 2 14 6 2" xfId="6214" xr:uid="{00000000-0005-0000-0000-0000A1200000}"/>
    <cellStyle name="Porcentual 2 14 7" xfId="2563" xr:uid="{00000000-0005-0000-0000-0000A2200000}"/>
    <cellStyle name="Porcentual 2 14 7 2" xfId="6215" xr:uid="{00000000-0005-0000-0000-0000A3200000}"/>
    <cellStyle name="Porcentual 2 14 8" xfId="2564" xr:uid="{00000000-0005-0000-0000-0000A4200000}"/>
    <cellStyle name="Porcentual 2 14 8 2" xfId="6216" xr:uid="{00000000-0005-0000-0000-0000A5200000}"/>
    <cellStyle name="Porcentual 2 14 9" xfId="2565" xr:uid="{00000000-0005-0000-0000-0000A6200000}"/>
    <cellStyle name="Porcentual 2 14 9 2" xfId="6217" xr:uid="{00000000-0005-0000-0000-0000A7200000}"/>
    <cellStyle name="Porcentual 2 15" xfId="2566" xr:uid="{00000000-0005-0000-0000-0000A8200000}"/>
    <cellStyle name="Porcentual 2 15 10" xfId="2567" xr:uid="{00000000-0005-0000-0000-0000A9200000}"/>
    <cellStyle name="Porcentual 2 15 10 2" xfId="6218" xr:uid="{00000000-0005-0000-0000-0000AA200000}"/>
    <cellStyle name="Porcentual 2 15 11" xfId="2568" xr:uid="{00000000-0005-0000-0000-0000AB200000}"/>
    <cellStyle name="Porcentual 2 15 11 2" xfId="6219" xr:uid="{00000000-0005-0000-0000-0000AC200000}"/>
    <cellStyle name="Porcentual 2 15 12" xfId="2569" xr:uid="{00000000-0005-0000-0000-0000AD200000}"/>
    <cellStyle name="Porcentual 2 15 12 2" xfId="6220" xr:uid="{00000000-0005-0000-0000-0000AE200000}"/>
    <cellStyle name="Porcentual 2 15 13" xfId="2570" xr:uid="{00000000-0005-0000-0000-0000AF200000}"/>
    <cellStyle name="Porcentual 2 15 13 2" xfId="6221" xr:uid="{00000000-0005-0000-0000-0000B0200000}"/>
    <cellStyle name="Porcentual 2 15 14" xfId="2571" xr:uid="{00000000-0005-0000-0000-0000B1200000}"/>
    <cellStyle name="Porcentual 2 15 14 2" xfId="6222" xr:uid="{00000000-0005-0000-0000-0000B2200000}"/>
    <cellStyle name="Porcentual 2 15 15" xfId="2572" xr:uid="{00000000-0005-0000-0000-0000B3200000}"/>
    <cellStyle name="Porcentual 2 15 15 2" xfId="6223" xr:uid="{00000000-0005-0000-0000-0000B4200000}"/>
    <cellStyle name="Porcentual 2 15 16" xfId="2573" xr:uid="{00000000-0005-0000-0000-0000B5200000}"/>
    <cellStyle name="Porcentual 2 15 16 2" xfId="6224" xr:uid="{00000000-0005-0000-0000-0000B6200000}"/>
    <cellStyle name="Porcentual 2 15 17" xfId="2574" xr:uid="{00000000-0005-0000-0000-0000B7200000}"/>
    <cellStyle name="Porcentual 2 15 17 2" xfId="6225" xr:uid="{00000000-0005-0000-0000-0000B8200000}"/>
    <cellStyle name="Porcentual 2 15 18" xfId="2575" xr:uid="{00000000-0005-0000-0000-0000B9200000}"/>
    <cellStyle name="Porcentual 2 15 18 2" xfId="6226" xr:uid="{00000000-0005-0000-0000-0000BA200000}"/>
    <cellStyle name="Porcentual 2 15 19" xfId="2576" xr:uid="{00000000-0005-0000-0000-0000BB200000}"/>
    <cellStyle name="Porcentual 2 15 19 2" xfId="6227" xr:uid="{00000000-0005-0000-0000-0000BC200000}"/>
    <cellStyle name="Porcentual 2 15 2" xfId="2577" xr:uid="{00000000-0005-0000-0000-0000BD200000}"/>
    <cellStyle name="Porcentual 2 15 2 2" xfId="6228" xr:uid="{00000000-0005-0000-0000-0000BE200000}"/>
    <cellStyle name="Porcentual 2 15 20" xfId="2578" xr:uid="{00000000-0005-0000-0000-0000BF200000}"/>
    <cellStyle name="Porcentual 2 15 20 2" xfId="6229" xr:uid="{00000000-0005-0000-0000-0000C0200000}"/>
    <cellStyle name="Porcentual 2 15 21" xfId="2579" xr:uid="{00000000-0005-0000-0000-0000C1200000}"/>
    <cellStyle name="Porcentual 2 15 21 2" xfId="6230" xr:uid="{00000000-0005-0000-0000-0000C2200000}"/>
    <cellStyle name="Porcentual 2 15 22" xfId="2580" xr:uid="{00000000-0005-0000-0000-0000C3200000}"/>
    <cellStyle name="Porcentual 2 15 22 2" xfId="6231" xr:uid="{00000000-0005-0000-0000-0000C4200000}"/>
    <cellStyle name="Porcentual 2 15 23" xfId="2581" xr:uid="{00000000-0005-0000-0000-0000C5200000}"/>
    <cellStyle name="Porcentual 2 15 23 2" xfId="6232" xr:uid="{00000000-0005-0000-0000-0000C6200000}"/>
    <cellStyle name="Porcentual 2 15 24" xfId="2582" xr:uid="{00000000-0005-0000-0000-0000C7200000}"/>
    <cellStyle name="Porcentual 2 15 24 2" xfId="6233" xr:uid="{00000000-0005-0000-0000-0000C8200000}"/>
    <cellStyle name="Porcentual 2 15 25" xfId="2583" xr:uid="{00000000-0005-0000-0000-0000C9200000}"/>
    <cellStyle name="Porcentual 2 15 25 2" xfId="6234" xr:uid="{00000000-0005-0000-0000-0000CA200000}"/>
    <cellStyle name="Porcentual 2 15 26" xfId="2584" xr:uid="{00000000-0005-0000-0000-0000CB200000}"/>
    <cellStyle name="Porcentual 2 15 26 2" xfId="6235" xr:uid="{00000000-0005-0000-0000-0000CC200000}"/>
    <cellStyle name="Porcentual 2 15 27" xfId="2585" xr:uid="{00000000-0005-0000-0000-0000CD200000}"/>
    <cellStyle name="Porcentual 2 15 27 2" xfId="6236" xr:uid="{00000000-0005-0000-0000-0000CE200000}"/>
    <cellStyle name="Porcentual 2 15 28" xfId="2586" xr:uid="{00000000-0005-0000-0000-0000CF200000}"/>
    <cellStyle name="Porcentual 2 15 28 2" xfId="6237" xr:uid="{00000000-0005-0000-0000-0000D0200000}"/>
    <cellStyle name="Porcentual 2 15 29" xfId="6238" xr:uid="{00000000-0005-0000-0000-0000D1200000}"/>
    <cellStyle name="Porcentual 2 15 3" xfId="2587" xr:uid="{00000000-0005-0000-0000-0000D2200000}"/>
    <cellStyle name="Porcentual 2 15 3 2" xfId="6239" xr:uid="{00000000-0005-0000-0000-0000D3200000}"/>
    <cellStyle name="Porcentual 2 15 4" xfId="2588" xr:uid="{00000000-0005-0000-0000-0000D4200000}"/>
    <cellStyle name="Porcentual 2 15 4 2" xfId="6240" xr:uid="{00000000-0005-0000-0000-0000D5200000}"/>
    <cellStyle name="Porcentual 2 15 5" xfId="2589" xr:uid="{00000000-0005-0000-0000-0000D6200000}"/>
    <cellStyle name="Porcentual 2 15 5 2" xfId="6241" xr:uid="{00000000-0005-0000-0000-0000D7200000}"/>
    <cellStyle name="Porcentual 2 15 6" xfId="2590" xr:uid="{00000000-0005-0000-0000-0000D8200000}"/>
    <cellStyle name="Porcentual 2 15 6 2" xfId="6242" xr:uid="{00000000-0005-0000-0000-0000D9200000}"/>
    <cellStyle name="Porcentual 2 15 7" xfId="2591" xr:uid="{00000000-0005-0000-0000-0000DA200000}"/>
    <cellStyle name="Porcentual 2 15 7 2" xfId="6243" xr:uid="{00000000-0005-0000-0000-0000DB200000}"/>
    <cellStyle name="Porcentual 2 15 8" xfId="2592" xr:uid="{00000000-0005-0000-0000-0000DC200000}"/>
    <cellStyle name="Porcentual 2 15 8 2" xfId="6244" xr:uid="{00000000-0005-0000-0000-0000DD200000}"/>
    <cellStyle name="Porcentual 2 15 9" xfId="2593" xr:uid="{00000000-0005-0000-0000-0000DE200000}"/>
    <cellStyle name="Porcentual 2 15 9 2" xfId="6245" xr:uid="{00000000-0005-0000-0000-0000DF200000}"/>
    <cellStyle name="Porcentual 2 16" xfId="2594" xr:uid="{00000000-0005-0000-0000-0000E0200000}"/>
    <cellStyle name="Porcentual 2 16 10" xfId="2595" xr:uid="{00000000-0005-0000-0000-0000E1200000}"/>
    <cellStyle name="Porcentual 2 16 10 2" xfId="6246" xr:uid="{00000000-0005-0000-0000-0000E2200000}"/>
    <cellStyle name="Porcentual 2 16 11" xfId="2596" xr:uid="{00000000-0005-0000-0000-0000E3200000}"/>
    <cellStyle name="Porcentual 2 16 11 2" xfId="6247" xr:uid="{00000000-0005-0000-0000-0000E4200000}"/>
    <cellStyle name="Porcentual 2 16 12" xfId="2597" xr:uid="{00000000-0005-0000-0000-0000E5200000}"/>
    <cellStyle name="Porcentual 2 16 12 2" xfId="6248" xr:uid="{00000000-0005-0000-0000-0000E6200000}"/>
    <cellStyle name="Porcentual 2 16 13" xfId="2598" xr:uid="{00000000-0005-0000-0000-0000E7200000}"/>
    <cellStyle name="Porcentual 2 16 13 2" xfId="6249" xr:uid="{00000000-0005-0000-0000-0000E8200000}"/>
    <cellStyle name="Porcentual 2 16 14" xfId="2599" xr:uid="{00000000-0005-0000-0000-0000E9200000}"/>
    <cellStyle name="Porcentual 2 16 14 2" xfId="6250" xr:uid="{00000000-0005-0000-0000-0000EA200000}"/>
    <cellStyle name="Porcentual 2 16 15" xfId="2600" xr:uid="{00000000-0005-0000-0000-0000EB200000}"/>
    <cellStyle name="Porcentual 2 16 15 2" xfId="6251" xr:uid="{00000000-0005-0000-0000-0000EC200000}"/>
    <cellStyle name="Porcentual 2 16 16" xfId="2601" xr:uid="{00000000-0005-0000-0000-0000ED200000}"/>
    <cellStyle name="Porcentual 2 16 16 2" xfId="6252" xr:uid="{00000000-0005-0000-0000-0000EE200000}"/>
    <cellStyle name="Porcentual 2 16 17" xfId="2602" xr:uid="{00000000-0005-0000-0000-0000EF200000}"/>
    <cellStyle name="Porcentual 2 16 17 2" xfId="6253" xr:uid="{00000000-0005-0000-0000-0000F0200000}"/>
    <cellStyle name="Porcentual 2 16 18" xfId="2603" xr:uid="{00000000-0005-0000-0000-0000F1200000}"/>
    <cellStyle name="Porcentual 2 16 18 2" xfId="6254" xr:uid="{00000000-0005-0000-0000-0000F2200000}"/>
    <cellStyle name="Porcentual 2 16 19" xfId="2604" xr:uid="{00000000-0005-0000-0000-0000F3200000}"/>
    <cellStyle name="Porcentual 2 16 19 2" xfId="6255" xr:uid="{00000000-0005-0000-0000-0000F4200000}"/>
    <cellStyle name="Porcentual 2 16 2" xfId="2605" xr:uid="{00000000-0005-0000-0000-0000F5200000}"/>
    <cellStyle name="Porcentual 2 16 2 2" xfId="6256" xr:uid="{00000000-0005-0000-0000-0000F6200000}"/>
    <cellStyle name="Porcentual 2 16 20" xfId="2606" xr:uid="{00000000-0005-0000-0000-0000F7200000}"/>
    <cellStyle name="Porcentual 2 16 20 2" xfId="6257" xr:uid="{00000000-0005-0000-0000-0000F8200000}"/>
    <cellStyle name="Porcentual 2 16 21" xfId="2607" xr:uid="{00000000-0005-0000-0000-0000F9200000}"/>
    <cellStyle name="Porcentual 2 16 21 2" xfId="6258" xr:uid="{00000000-0005-0000-0000-0000FA200000}"/>
    <cellStyle name="Porcentual 2 16 22" xfId="2608" xr:uid="{00000000-0005-0000-0000-0000FB200000}"/>
    <cellStyle name="Porcentual 2 16 22 2" xfId="6259" xr:uid="{00000000-0005-0000-0000-0000FC200000}"/>
    <cellStyle name="Porcentual 2 16 23" xfId="2609" xr:uid="{00000000-0005-0000-0000-0000FD200000}"/>
    <cellStyle name="Porcentual 2 16 23 2" xfId="6260" xr:uid="{00000000-0005-0000-0000-0000FE200000}"/>
    <cellStyle name="Porcentual 2 16 24" xfId="2610" xr:uid="{00000000-0005-0000-0000-0000FF200000}"/>
    <cellStyle name="Porcentual 2 16 24 2" xfId="6261" xr:uid="{00000000-0005-0000-0000-000000210000}"/>
    <cellStyle name="Porcentual 2 16 25" xfId="2611" xr:uid="{00000000-0005-0000-0000-000001210000}"/>
    <cellStyle name="Porcentual 2 16 25 2" xfId="6262" xr:uid="{00000000-0005-0000-0000-000002210000}"/>
    <cellStyle name="Porcentual 2 16 26" xfId="2612" xr:uid="{00000000-0005-0000-0000-000003210000}"/>
    <cellStyle name="Porcentual 2 16 26 2" xfId="6263" xr:uid="{00000000-0005-0000-0000-000004210000}"/>
    <cellStyle name="Porcentual 2 16 27" xfId="2613" xr:uid="{00000000-0005-0000-0000-000005210000}"/>
    <cellStyle name="Porcentual 2 16 27 2" xfId="6264" xr:uid="{00000000-0005-0000-0000-000006210000}"/>
    <cellStyle name="Porcentual 2 16 28" xfId="2614" xr:uid="{00000000-0005-0000-0000-000007210000}"/>
    <cellStyle name="Porcentual 2 16 28 2" xfId="6265" xr:uid="{00000000-0005-0000-0000-000008210000}"/>
    <cellStyle name="Porcentual 2 16 29" xfId="6266" xr:uid="{00000000-0005-0000-0000-000009210000}"/>
    <cellStyle name="Porcentual 2 16 3" xfId="2615" xr:uid="{00000000-0005-0000-0000-00000A210000}"/>
    <cellStyle name="Porcentual 2 16 3 2" xfId="6267" xr:uid="{00000000-0005-0000-0000-00000B210000}"/>
    <cellStyle name="Porcentual 2 16 4" xfId="2616" xr:uid="{00000000-0005-0000-0000-00000C210000}"/>
    <cellStyle name="Porcentual 2 16 4 2" xfId="6268" xr:uid="{00000000-0005-0000-0000-00000D210000}"/>
    <cellStyle name="Porcentual 2 16 5" xfId="2617" xr:uid="{00000000-0005-0000-0000-00000E210000}"/>
    <cellStyle name="Porcentual 2 16 5 2" xfId="6269" xr:uid="{00000000-0005-0000-0000-00000F210000}"/>
    <cellStyle name="Porcentual 2 16 6" xfId="2618" xr:uid="{00000000-0005-0000-0000-000010210000}"/>
    <cellStyle name="Porcentual 2 16 6 2" xfId="6270" xr:uid="{00000000-0005-0000-0000-000011210000}"/>
    <cellStyle name="Porcentual 2 16 7" xfId="2619" xr:uid="{00000000-0005-0000-0000-000012210000}"/>
    <cellStyle name="Porcentual 2 16 7 2" xfId="6271" xr:uid="{00000000-0005-0000-0000-000013210000}"/>
    <cellStyle name="Porcentual 2 16 8" xfId="2620" xr:uid="{00000000-0005-0000-0000-000014210000}"/>
    <cellStyle name="Porcentual 2 16 8 2" xfId="6272" xr:uid="{00000000-0005-0000-0000-000015210000}"/>
    <cellStyle name="Porcentual 2 16 9" xfId="2621" xr:uid="{00000000-0005-0000-0000-000016210000}"/>
    <cellStyle name="Porcentual 2 16 9 2" xfId="6273" xr:uid="{00000000-0005-0000-0000-000017210000}"/>
    <cellStyle name="Porcentual 2 17" xfId="2622" xr:uid="{00000000-0005-0000-0000-000018210000}"/>
    <cellStyle name="Porcentual 2 17 10" xfId="2623" xr:uid="{00000000-0005-0000-0000-000019210000}"/>
    <cellStyle name="Porcentual 2 17 10 2" xfId="6274" xr:uid="{00000000-0005-0000-0000-00001A210000}"/>
    <cellStyle name="Porcentual 2 17 11" xfId="2624" xr:uid="{00000000-0005-0000-0000-00001B210000}"/>
    <cellStyle name="Porcentual 2 17 11 2" xfId="6275" xr:uid="{00000000-0005-0000-0000-00001C210000}"/>
    <cellStyle name="Porcentual 2 17 12" xfId="2625" xr:uid="{00000000-0005-0000-0000-00001D210000}"/>
    <cellStyle name="Porcentual 2 17 12 2" xfId="6276" xr:uid="{00000000-0005-0000-0000-00001E210000}"/>
    <cellStyle name="Porcentual 2 17 13" xfId="2626" xr:uid="{00000000-0005-0000-0000-00001F210000}"/>
    <cellStyle name="Porcentual 2 17 13 2" xfId="6277" xr:uid="{00000000-0005-0000-0000-000020210000}"/>
    <cellStyle name="Porcentual 2 17 14" xfId="2627" xr:uid="{00000000-0005-0000-0000-000021210000}"/>
    <cellStyle name="Porcentual 2 17 14 2" xfId="6278" xr:uid="{00000000-0005-0000-0000-000022210000}"/>
    <cellStyle name="Porcentual 2 17 15" xfId="2628" xr:uid="{00000000-0005-0000-0000-000023210000}"/>
    <cellStyle name="Porcentual 2 17 15 2" xfId="6279" xr:uid="{00000000-0005-0000-0000-000024210000}"/>
    <cellStyle name="Porcentual 2 17 16" xfId="2629" xr:uid="{00000000-0005-0000-0000-000025210000}"/>
    <cellStyle name="Porcentual 2 17 16 2" xfId="6280" xr:uid="{00000000-0005-0000-0000-000026210000}"/>
    <cellStyle name="Porcentual 2 17 17" xfId="2630" xr:uid="{00000000-0005-0000-0000-000027210000}"/>
    <cellStyle name="Porcentual 2 17 17 2" xfId="6281" xr:uid="{00000000-0005-0000-0000-000028210000}"/>
    <cellStyle name="Porcentual 2 17 18" xfId="2631" xr:uid="{00000000-0005-0000-0000-000029210000}"/>
    <cellStyle name="Porcentual 2 17 18 2" xfId="6282" xr:uid="{00000000-0005-0000-0000-00002A210000}"/>
    <cellStyle name="Porcentual 2 17 19" xfId="2632" xr:uid="{00000000-0005-0000-0000-00002B210000}"/>
    <cellStyle name="Porcentual 2 17 19 2" xfId="6283" xr:uid="{00000000-0005-0000-0000-00002C210000}"/>
    <cellStyle name="Porcentual 2 17 2" xfId="2633" xr:uid="{00000000-0005-0000-0000-00002D210000}"/>
    <cellStyle name="Porcentual 2 17 2 2" xfId="6284" xr:uid="{00000000-0005-0000-0000-00002E210000}"/>
    <cellStyle name="Porcentual 2 17 20" xfId="2634" xr:uid="{00000000-0005-0000-0000-00002F210000}"/>
    <cellStyle name="Porcentual 2 17 20 2" xfId="6285" xr:uid="{00000000-0005-0000-0000-000030210000}"/>
    <cellStyle name="Porcentual 2 17 21" xfId="2635" xr:uid="{00000000-0005-0000-0000-000031210000}"/>
    <cellStyle name="Porcentual 2 17 21 2" xfId="6286" xr:uid="{00000000-0005-0000-0000-000032210000}"/>
    <cellStyle name="Porcentual 2 17 22" xfId="2636" xr:uid="{00000000-0005-0000-0000-000033210000}"/>
    <cellStyle name="Porcentual 2 17 22 2" xfId="6287" xr:uid="{00000000-0005-0000-0000-000034210000}"/>
    <cellStyle name="Porcentual 2 17 23" xfId="2637" xr:uid="{00000000-0005-0000-0000-000035210000}"/>
    <cellStyle name="Porcentual 2 17 23 2" xfId="6288" xr:uid="{00000000-0005-0000-0000-000036210000}"/>
    <cellStyle name="Porcentual 2 17 24" xfId="2638" xr:uid="{00000000-0005-0000-0000-000037210000}"/>
    <cellStyle name="Porcentual 2 17 24 2" xfId="6289" xr:uid="{00000000-0005-0000-0000-000038210000}"/>
    <cellStyle name="Porcentual 2 17 25" xfId="2639" xr:uid="{00000000-0005-0000-0000-000039210000}"/>
    <cellStyle name="Porcentual 2 17 25 2" xfId="6290" xr:uid="{00000000-0005-0000-0000-00003A210000}"/>
    <cellStyle name="Porcentual 2 17 26" xfId="2640" xr:uid="{00000000-0005-0000-0000-00003B210000}"/>
    <cellStyle name="Porcentual 2 17 26 2" xfId="6291" xr:uid="{00000000-0005-0000-0000-00003C210000}"/>
    <cellStyle name="Porcentual 2 17 27" xfId="2641" xr:uid="{00000000-0005-0000-0000-00003D210000}"/>
    <cellStyle name="Porcentual 2 17 27 2" xfId="6292" xr:uid="{00000000-0005-0000-0000-00003E210000}"/>
    <cellStyle name="Porcentual 2 17 28" xfId="2642" xr:uid="{00000000-0005-0000-0000-00003F210000}"/>
    <cellStyle name="Porcentual 2 17 28 2" xfId="6293" xr:uid="{00000000-0005-0000-0000-000040210000}"/>
    <cellStyle name="Porcentual 2 17 29" xfId="6294" xr:uid="{00000000-0005-0000-0000-000041210000}"/>
    <cellStyle name="Porcentual 2 17 3" xfId="2643" xr:uid="{00000000-0005-0000-0000-000042210000}"/>
    <cellStyle name="Porcentual 2 17 3 2" xfId="6295" xr:uid="{00000000-0005-0000-0000-000043210000}"/>
    <cellStyle name="Porcentual 2 17 4" xfId="2644" xr:uid="{00000000-0005-0000-0000-000044210000}"/>
    <cellStyle name="Porcentual 2 17 4 2" xfId="6296" xr:uid="{00000000-0005-0000-0000-000045210000}"/>
    <cellStyle name="Porcentual 2 17 5" xfId="2645" xr:uid="{00000000-0005-0000-0000-000046210000}"/>
    <cellStyle name="Porcentual 2 17 5 2" xfId="6297" xr:uid="{00000000-0005-0000-0000-000047210000}"/>
    <cellStyle name="Porcentual 2 17 6" xfId="2646" xr:uid="{00000000-0005-0000-0000-000048210000}"/>
    <cellStyle name="Porcentual 2 17 6 2" xfId="6298" xr:uid="{00000000-0005-0000-0000-000049210000}"/>
    <cellStyle name="Porcentual 2 17 7" xfId="2647" xr:uid="{00000000-0005-0000-0000-00004A210000}"/>
    <cellStyle name="Porcentual 2 17 7 2" xfId="6299" xr:uid="{00000000-0005-0000-0000-00004B210000}"/>
    <cellStyle name="Porcentual 2 17 8" xfId="2648" xr:uid="{00000000-0005-0000-0000-00004C210000}"/>
    <cellStyle name="Porcentual 2 17 8 2" xfId="6300" xr:uid="{00000000-0005-0000-0000-00004D210000}"/>
    <cellStyle name="Porcentual 2 17 9" xfId="2649" xr:uid="{00000000-0005-0000-0000-00004E210000}"/>
    <cellStyle name="Porcentual 2 17 9 2" xfId="6301" xr:uid="{00000000-0005-0000-0000-00004F210000}"/>
    <cellStyle name="Porcentual 2 18" xfId="2650" xr:uid="{00000000-0005-0000-0000-000050210000}"/>
    <cellStyle name="Porcentual 2 18 10" xfId="2651" xr:uid="{00000000-0005-0000-0000-000051210000}"/>
    <cellStyle name="Porcentual 2 18 10 2" xfId="6302" xr:uid="{00000000-0005-0000-0000-000052210000}"/>
    <cellStyle name="Porcentual 2 18 11" xfId="2652" xr:uid="{00000000-0005-0000-0000-000053210000}"/>
    <cellStyle name="Porcentual 2 18 11 2" xfId="6303" xr:uid="{00000000-0005-0000-0000-000054210000}"/>
    <cellStyle name="Porcentual 2 18 12" xfId="2653" xr:uid="{00000000-0005-0000-0000-000055210000}"/>
    <cellStyle name="Porcentual 2 18 12 2" xfId="6304" xr:uid="{00000000-0005-0000-0000-000056210000}"/>
    <cellStyle name="Porcentual 2 18 13" xfId="2654" xr:uid="{00000000-0005-0000-0000-000057210000}"/>
    <cellStyle name="Porcentual 2 18 13 2" xfId="6305" xr:uid="{00000000-0005-0000-0000-000058210000}"/>
    <cellStyle name="Porcentual 2 18 14" xfId="2655" xr:uid="{00000000-0005-0000-0000-000059210000}"/>
    <cellStyle name="Porcentual 2 18 14 2" xfId="6306" xr:uid="{00000000-0005-0000-0000-00005A210000}"/>
    <cellStyle name="Porcentual 2 18 15" xfId="2656" xr:uid="{00000000-0005-0000-0000-00005B210000}"/>
    <cellStyle name="Porcentual 2 18 15 2" xfId="6307" xr:uid="{00000000-0005-0000-0000-00005C210000}"/>
    <cellStyle name="Porcentual 2 18 16" xfId="2657" xr:uid="{00000000-0005-0000-0000-00005D210000}"/>
    <cellStyle name="Porcentual 2 18 16 2" xfId="6308" xr:uid="{00000000-0005-0000-0000-00005E210000}"/>
    <cellStyle name="Porcentual 2 18 17" xfId="2658" xr:uid="{00000000-0005-0000-0000-00005F210000}"/>
    <cellStyle name="Porcentual 2 18 17 2" xfId="6309" xr:uid="{00000000-0005-0000-0000-000060210000}"/>
    <cellStyle name="Porcentual 2 18 18" xfId="2659" xr:uid="{00000000-0005-0000-0000-000061210000}"/>
    <cellStyle name="Porcentual 2 18 18 2" xfId="6310" xr:uid="{00000000-0005-0000-0000-000062210000}"/>
    <cellStyle name="Porcentual 2 18 19" xfId="2660" xr:uid="{00000000-0005-0000-0000-000063210000}"/>
    <cellStyle name="Porcentual 2 18 19 2" xfId="6311" xr:uid="{00000000-0005-0000-0000-000064210000}"/>
    <cellStyle name="Porcentual 2 18 2" xfId="2661" xr:uid="{00000000-0005-0000-0000-000065210000}"/>
    <cellStyle name="Porcentual 2 18 2 2" xfId="6312" xr:uid="{00000000-0005-0000-0000-000066210000}"/>
    <cellStyle name="Porcentual 2 18 20" xfId="2662" xr:uid="{00000000-0005-0000-0000-000067210000}"/>
    <cellStyle name="Porcentual 2 18 20 2" xfId="6313" xr:uid="{00000000-0005-0000-0000-000068210000}"/>
    <cellStyle name="Porcentual 2 18 21" xfId="2663" xr:uid="{00000000-0005-0000-0000-000069210000}"/>
    <cellStyle name="Porcentual 2 18 21 2" xfId="6314" xr:uid="{00000000-0005-0000-0000-00006A210000}"/>
    <cellStyle name="Porcentual 2 18 22" xfId="2664" xr:uid="{00000000-0005-0000-0000-00006B210000}"/>
    <cellStyle name="Porcentual 2 18 22 2" xfId="6315" xr:uid="{00000000-0005-0000-0000-00006C210000}"/>
    <cellStyle name="Porcentual 2 18 23" xfId="2665" xr:uid="{00000000-0005-0000-0000-00006D210000}"/>
    <cellStyle name="Porcentual 2 18 23 2" xfId="6316" xr:uid="{00000000-0005-0000-0000-00006E210000}"/>
    <cellStyle name="Porcentual 2 18 24" xfId="2666" xr:uid="{00000000-0005-0000-0000-00006F210000}"/>
    <cellStyle name="Porcentual 2 18 24 2" xfId="6317" xr:uid="{00000000-0005-0000-0000-000070210000}"/>
    <cellStyle name="Porcentual 2 18 25" xfId="2667" xr:uid="{00000000-0005-0000-0000-000071210000}"/>
    <cellStyle name="Porcentual 2 18 25 2" xfId="6318" xr:uid="{00000000-0005-0000-0000-000072210000}"/>
    <cellStyle name="Porcentual 2 18 26" xfId="2668" xr:uid="{00000000-0005-0000-0000-000073210000}"/>
    <cellStyle name="Porcentual 2 18 26 2" xfId="6319" xr:uid="{00000000-0005-0000-0000-000074210000}"/>
    <cellStyle name="Porcentual 2 18 27" xfId="2669" xr:uid="{00000000-0005-0000-0000-000075210000}"/>
    <cellStyle name="Porcentual 2 18 27 2" xfId="6320" xr:uid="{00000000-0005-0000-0000-000076210000}"/>
    <cellStyle name="Porcentual 2 18 28" xfId="2670" xr:uid="{00000000-0005-0000-0000-000077210000}"/>
    <cellStyle name="Porcentual 2 18 28 2" xfId="6321" xr:uid="{00000000-0005-0000-0000-000078210000}"/>
    <cellStyle name="Porcentual 2 18 29" xfId="6322" xr:uid="{00000000-0005-0000-0000-000079210000}"/>
    <cellStyle name="Porcentual 2 18 3" xfId="2671" xr:uid="{00000000-0005-0000-0000-00007A210000}"/>
    <cellStyle name="Porcentual 2 18 3 2" xfId="6323" xr:uid="{00000000-0005-0000-0000-00007B210000}"/>
    <cellStyle name="Porcentual 2 18 4" xfId="2672" xr:uid="{00000000-0005-0000-0000-00007C210000}"/>
    <cellStyle name="Porcentual 2 18 4 2" xfId="6324" xr:uid="{00000000-0005-0000-0000-00007D210000}"/>
    <cellStyle name="Porcentual 2 18 5" xfId="2673" xr:uid="{00000000-0005-0000-0000-00007E210000}"/>
    <cellStyle name="Porcentual 2 18 5 2" xfId="6325" xr:uid="{00000000-0005-0000-0000-00007F210000}"/>
    <cellStyle name="Porcentual 2 18 6" xfId="2674" xr:uid="{00000000-0005-0000-0000-000080210000}"/>
    <cellStyle name="Porcentual 2 18 6 2" xfId="6326" xr:uid="{00000000-0005-0000-0000-000081210000}"/>
    <cellStyle name="Porcentual 2 18 7" xfId="2675" xr:uid="{00000000-0005-0000-0000-000082210000}"/>
    <cellStyle name="Porcentual 2 18 7 2" xfId="6327" xr:uid="{00000000-0005-0000-0000-000083210000}"/>
    <cellStyle name="Porcentual 2 18 8" xfId="2676" xr:uid="{00000000-0005-0000-0000-000084210000}"/>
    <cellStyle name="Porcentual 2 18 8 2" xfId="6328" xr:uid="{00000000-0005-0000-0000-000085210000}"/>
    <cellStyle name="Porcentual 2 18 9" xfId="2677" xr:uid="{00000000-0005-0000-0000-000086210000}"/>
    <cellStyle name="Porcentual 2 18 9 2" xfId="6329" xr:uid="{00000000-0005-0000-0000-000087210000}"/>
    <cellStyle name="Porcentual 2 19" xfId="2678" xr:uid="{00000000-0005-0000-0000-000088210000}"/>
    <cellStyle name="Porcentual 2 19 10" xfId="2679" xr:uid="{00000000-0005-0000-0000-000089210000}"/>
    <cellStyle name="Porcentual 2 19 10 2" xfId="6330" xr:uid="{00000000-0005-0000-0000-00008A210000}"/>
    <cellStyle name="Porcentual 2 19 11" xfId="2680" xr:uid="{00000000-0005-0000-0000-00008B210000}"/>
    <cellStyle name="Porcentual 2 19 11 2" xfId="6331" xr:uid="{00000000-0005-0000-0000-00008C210000}"/>
    <cellStyle name="Porcentual 2 19 12" xfId="2681" xr:uid="{00000000-0005-0000-0000-00008D210000}"/>
    <cellStyle name="Porcentual 2 19 12 2" xfId="6332" xr:uid="{00000000-0005-0000-0000-00008E210000}"/>
    <cellStyle name="Porcentual 2 19 13" xfId="2682" xr:uid="{00000000-0005-0000-0000-00008F210000}"/>
    <cellStyle name="Porcentual 2 19 13 2" xfId="6333" xr:uid="{00000000-0005-0000-0000-000090210000}"/>
    <cellStyle name="Porcentual 2 19 14" xfId="2683" xr:uid="{00000000-0005-0000-0000-000091210000}"/>
    <cellStyle name="Porcentual 2 19 14 2" xfId="6334" xr:uid="{00000000-0005-0000-0000-000092210000}"/>
    <cellStyle name="Porcentual 2 19 15" xfId="2684" xr:uid="{00000000-0005-0000-0000-000093210000}"/>
    <cellStyle name="Porcentual 2 19 15 2" xfId="6335" xr:uid="{00000000-0005-0000-0000-000094210000}"/>
    <cellStyle name="Porcentual 2 19 16" xfId="2685" xr:uid="{00000000-0005-0000-0000-000095210000}"/>
    <cellStyle name="Porcentual 2 19 16 2" xfId="6336" xr:uid="{00000000-0005-0000-0000-000096210000}"/>
    <cellStyle name="Porcentual 2 19 17" xfId="2686" xr:uid="{00000000-0005-0000-0000-000097210000}"/>
    <cellStyle name="Porcentual 2 19 17 2" xfId="6337" xr:uid="{00000000-0005-0000-0000-000098210000}"/>
    <cellStyle name="Porcentual 2 19 18" xfId="2687" xr:uid="{00000000-0005-0000-0000-000099210000}"/>
    <cellStyle name="Porcentual 2 19 18 2" xfId="6338" xr:uid="{00000000-0005-0000-0000-00009A210000}"/>
    <cellStyle name="Porcentual 2 19 19" xfId="2688" xr:uid="{00000000-0005-0000-0000-00009B210000}"/>
    <cellStyle name="Porcentual 2 19 19 2" xfId="6339" xr:uid="{00000000-0005-0000-0000-00009C210000}"/>
    <cellStyle name="Porcentual 2 19 2" xfId="2689" xr:uid="{00000000-0005-0000-0000-00009D210000}"/>
    <cellStyle name="Porcentual 2 19 2 2" xfId="6340" xr:uid="{00000000-0005-0000-0000-00009E210000}"/>
    <cellStyle name="Porcentual 2 19 20" xfId="2690" xr:uid="{00000000-0005-0000-0000-00009F210000}"/>
    <cellStyle name="Porcentual 2 19 20 2" xfId="6341" xr:uid="{00000000-0005-0000-0000-0000A0210000}"/>
    <cellStyle name="Porcentual 2 19 21" xfId="2691" xr:uid="{00000000-0005-0000-0000-0000A1210000}"/>
    <cellStyle name="Porcentual 2 19 21 2" xfId="6342" xr:uid="{00000000-0005-0000-0000-0000A2210000}"/>
    <cellStyle name="Porcentual 2 19 22" xfId="2692" xr:uid="{00000000-0005-0000-0000-0000A3210000}"/>
    <cellStyle name="Porcentual 2 19 22 2" xfId="6343" xr:uid="{00000000-0005-0000-0000-0000A4210000}"/>
    <cellStyle name="Porcentual 2 19 23" xfId="2693" xr:uid="{00000000-0005-0000-0000-0000A5210000}"/>
    <cellStyle name="Porcentual 2 19 23 2" xfId="6344" xr:uid="{00000000-0005-0000-0000-0000A6210000}"/>
    <cellStyle name="Porcentual 2 19 24" xfId="2694" xr:uid="{00000000-0005-0000-0000-0000A7210000}"/>
    <cellStyle name="Porcentual 2 19 24 2" xfId="6345" xr:uid="{00000000-0005-0000-0000-0000A8210000}"/>
    <cellStyle name="Porcentual 2 19 25" xfId="2695" xr:uid="{00000000-0005-0000-0000-0000A9210000}"/>
    <cellStyle name="Porcentual 2 19 25 2" xfId="6346" xr:uid="{00000000-0005-0000-0000-0000AA210000}"/>
    <cellStyle name="Porcentual 2 19 26" xfId="2696" xr:uid="{00000000-0005-0000-0000-0000AB210000}"/>
    <cellStyle name="Porcentual 2 19 26 2" xfId="6347" xr:uid="{00000000-0005-0000-0000-0000AC210000}"/>
    <cellStyle name="Porcentual 2 19 27" xfId="2697" xr:uid="{00000000-0005-0000-0000-0000AD210000}"/>
    <cellStyle name="Porcentual 2 19 27 2" xfId="6348" xr:uid="{00000000-0005-0000-0000-0000AE210000}"/>
    <cellStyle name="Porcentual 2 19 28" xfId="2698" xr:uid="{00000000-0005-0000-0000-0000AF210000}"/>
    <cellStyle name="Porcentual 2 19 28 2" xfId="6349" xr:uid="{00000000-0005-0000-0000-0000B0210000}"/>
    <cellStyle name="Porcentual 2 19 29" xfId="6350" xr:uid="{00000000-0005-0000-0000-0000B1210000}"/>
    <cellStyle name="Porcentual 2 19 3" xfId="2699" xr:uid="{00000000-0005-0000-0000-0000B2210000}"/>
    <cellStyle name="Porcentual 2 19 3 2" xfId="6351" xr:uid="{00000000-0005-0000-0000-0000B3210000}"/>
    <cellStyle name="Porcentual 2 19 4" xfId="2700" xr:uid="{00000000-0005-0000-0000-0000B4210000}"/>
    <cellStyle name="Porcentual 2 19 4 2" xfId="6352" xr:uid="{00000000-0005-0000-0000-0000B5210000}"/>
    <cellStyle name="Porcentual 2 19 5" xfId="2701" xr:uid="{00000000-0005-0000-0000-0000B6210000}"/>
    <cellStyle name="Porcentual 2 19 5 2" xfId="6353" xr:uid="{00000000-0005-0000-0000-0000B7210000}"/>
    <cellStyle name="Porcentual 2 19 6" xfId="2702" xr:uid="{00000000-0005-0000-0000-0000B8210000}"/>
    <cellStyle name="Porcentual 2 19 6 2" xfId="6354" xr:uid="{00000000-0005-0000-0000-0000B9210000}"/>
    <cellStyle name="Porcentual 2 19 7" xfId="2703" xr:uid="{00000000-0005-0000-0000-0000BA210000}"/>
    <cellStyle name="Porcentual 2 19 7 2" xfId="6355" xr:uid="{00000000-0005-0000-0000-0000BB210000}"/>
    <cellStyle name="Porcentual 2 19 8" xfId="2704" xr:uid="{00000000-0005-0000-0000-0000BC210000}"/>
    <cellStyle name="Porcentual 2 19 8 2" xfId="6356" xr:uid="{00000000-0005-0000-0000-0000BD210000}"/>
    <cellStyle name="Porcentual 2 19 9" xfId="2705" xr:uid="{00000000-0005-0000-0000-0000BE210000}"/>
    <cellStyle name="Porcentual 2 19 9 2" xfId="6357" xr:uid="{00000000-0005-0000-0000-0000BF210000}"/>
    <cellStyle name="Porcentual 2 2" xfId="126" xr:uid="{00000000-0005-0000-0000-0000C0210000}"/>
    <cellStyle name="Porcentual 2 2 10" xfId="2707" xr:uid="{00000000-0005-0000-0000-0000C1210000}"/>
    <cellStyle name="Porcentual 2 2 10 2" xfId="6358" xr:uid="{00000000-0005-0000-0000-0000C2210000}"/>
    <cellStyle name="Porcentual 2 2 10 3" xfId="8761" xr:uid="{00000000-0005-0000-0000-0000C3210000}"/>
    <cellStyle name="Porcentual 2 2 11" xfId="2708" xr:uid="{00000000-0005-0000-0000-0000C4210000}"/>
    <cellStyle name="Porcentual 2 2 11 2" xfId="6359" xr:uid="{00000000-0005-0000-0000-0000C5210000}"/>
    <cellStyle name="Porcentual 2 2 11 3" xfId="8762" xr:uid="{00000000-0005-0000-0000-0000C6210000}"/>
    <cellStyle name="Porcentual 2 2 12" xfId="2709" xr:uid="{00000000-0005-0000-0000-0000C7210000}"/>
    <cellStyle name="Porcentual 2 2 12 2" xfId="6360" xr:uid="{00000000-0005-0000-0000-0000C8210000}"/>
    <cellStyle name="Porcentual 2 2 12 3" xfId="8763" xr:uid="{00000000-0005-0000-0000-0000C9210000}"/>
    <cellStyle name="Porcentual 2 2 13" xfId="2710" xr:uid="{00000000-0005-0000-0000-0000CA210000}"/>
    <cellStyle name="Porcentual 2 2 13 2" xfId="6361" xr:uid="{00000000-0005-0000-0000-0000CB210000}"/>
    <cellStyle name="Porcentual 2 2 13 3" xfId="8764" xr:uid="{00000000-0005-0000-0000-0000CC210000}"/>
    <cellStyle name="Porcentual 2 2 14" xfId="2711" xr:uid="{00000000-0005-0000-0000-0000CD210000}"/>
    <cellStyle name="Porcentual 2 2 14 2" xfId="6362" xr:uid="{00000000-0005-0000-0000-0000CE210000}"/>
    <cellStyle name="Porcentual 2 2 14 3" xfId="8765" xr:uid="{00000000-0005-0000-0000-0000CF210000}"/>
    <cellStyle name="Porcentual 2 2 15" xfId="2712" xr:uid="{00000000-0005-0000-0000-0000D0210000}"/>
    <cellStyle name="Porcentual 2 2 15 2" xfId="6363" xr:uid="{00000000-0005-0000-0000-0000D1210000}"/>
    <cellStyle name="Porcentual 2 2 15 3" xfId="8766" xr:uid="{00000000-0005-0000-0000-0000D2210000}"/>
    <cellStyle name="Porcentual 2 2 16" xfId="2713" xr:uid="{00000000-0005-0000-0000-0000D3210000}"/>
    <cellStyle name="Porcentual 2 2 16 2" xfId="6364" xr:uid="{00000000-0005-0000-0000-0000D4210000}"/>
    <cellStyle name="Porcentual 2 2 16 3" xfId="8767" xr:uid="{00000000-0005-0000-0000-0000D5210000}"/>
    <cellStyle name="Porcentual 2 2 17" xfId="2714" xr:uid="{00000000-0005-0000-0000-0000D6210000}"/>
    <cellStyle name="Porcentual 2 2 17 2" xfId="6365" xr:uid="{00000000-0005-0000-0000-0000D7210000}"/>
    <cellStyle name="Porcentual 2 2 17 3" xfId="8768" xr:uid="{00000000-0005-0000-0000-0000D8210000}"/>
    <cellStyle name="Porcentual 2 2 18" xfId="2715" xr:uid="{00000000-0005-0000-0000-0000D9210000}"/>
    <cellStyle name="Porcentual 2 2 18 2" xfId="6366" xr:uid="{00000000-0005-0000-0000-0000DA210000}"/>
    <cellStyle name="Porcentual 2 2 18 3" xfId="8769" xr:uid="{00000000-0005-0000-0000-0000DB210000}"/>
    <cellStyle name="Porcentual 2 2 19" xfId="2716" xr:uid="{00000000-0005-0000-0000-0000DC210000}"/>
    <cellStyle name="Porcentual 2 2 19 2" xfId="6367" xr:uid="{00000000-0005-0000-0000-0000DD210000}"/>
    <cellStyle name="Porcentual 2 2 19 3" xfId="8770" xr:uid="{00000000-0005-0000-0000-0000DE210000}"/>
    <cellStyle name="Porcentual 2 2 2" xfId="2717" xr:uid="{00000000-0005-0000-0000-0000DF210000}"/>
    <cellStyle name="Porcentual 2 2 2 10" xfId="4224" xr:uid="{00000000-0005-0000-0000-0000E0210000}"/>
    <cellStyle name="Porcentual 2 2 2 10 2" xfId="9659" xr:uid="{00000000-0005-0000-0000-0000E1210000}"/>
    <cellStyle name="Porcentual 2 2 2 10 2 2" xfId="10361" xr:uid="{00000000-0005-0000-0000-0000E2210000}"/>
    <cellStyle name="Porcentual 2 2 2 10 2 2 2" xfId="12096" xr:uid="{00000000-0005-0000-0000-0000E3210000}"/>
    <cellStyle name="Porcentual 2 2 2 10 2 3" xfId="11449" xr:uid="{00000000-0005-0000-0000-0000E4210000}"/>
    <cellStyle name="Porcentual 2 2 2 10 3" xfId="10064" xr:uid="{00000000-0005-0000-0000-0000E5210000}"/>
    <cellStyle name="Porcentual 2 2 2 10 3 2" xfId="11800" xr:uid="{00000000-0005-0000-0000-0000E6210000}"/>
    <cellStyle name="Porcentual 2 2 2 10 4" xfId="11036" xr:uid="{00000000-0005-0000-0000-0000E7210000}"/>
    <cellStyle name="Porcentual 2 2 2 11" xfId="4349" xr:uid="{00000000-0005-0000-0000-0000E8210000}"/>
    <cellStyle name="Porcentual 2 2 2 11 2" xfId="9760" xr:uid="{00000000-0005-0000-0000-0000E9210000}"/>
    <cellStyle name="Porcentual 2 2 2 11 2 2" xfId="10459" xr:uid="{00000000-0005-0000-0000-0000EA210000}"/>
    <cellStyle name="Porcentual 2 2 2 11 2 2 2" xfId="12194" xr:uid="{00000000-0005-0000-0000-0000EB210000}"/>
    <cellStyle name="Porcentual 2 2 2 11 2 3" xfId="11547" xr:uid="{00000000-0005-0000-0000-0000EC210000}"/>
    <cellStyle name="Porcentual 2 2 2 11 3" xfId="10162" xr:uid="{00000000-0005-0000-0000-0000ED210000}"/>
    <cellStyle name="Porcentual 2 2 2 11 3 2" xfId="11898" xr:uid="{00000000-0005-0000-0000-0000EE210000}"/>
    <cellStyle name="Porcentual 2 2 2 11 4" xfId="11155" xr:uid="{00000000-0005-0000-0000-0000EF210000}"/>
    <cellStyle name="Porcentual 2 2 2 2" xfId="2718" xr:uid="{00000000-0005-0000-0000-0000F0210000}"/>
    <cellStyle name="Porcentual 2 2 2 2 2" xfId="4275" xr:uid="{00000000-0005-0000-0000-0000F1210000}"/>
    <cellStyle name="Porcentual 2 2 2 2 2 2" xfId="9710" xr:uid="{00000000-0005-0000-0000-0000F2210000}"/>
    <cellStyle name="Porcentual 2 2 2 2 2 2 2" xfId="10412" xr:uid="{00000000-0005-0000-0000-0000F3210000}"/>
    <cellStyle name="Porcentual 2 2 2 2 2 2 2 2" xfId="12147" xr:uid="{00000000-0005-0000-0000-0000F4210000}"/>
    <cellStyle name="Porcentual 2 2 2 2 2 2 3" xfId="11500" xr:uid="{00000000-0005-0000-0000-0000F5210000}"/>
    <cellStyle name="Porcentual 2 2 2 2 2 3" xfId="10115" xr:uid="{00000000-0005-0000-0000-0000F6210000}"/>
    <cellStyle name="Porcentual 2 2 2 2 2 3 2" xfId="11851" xr:uid="{00000000-0005-0000-0000-0000F7210000}"/>
    <cellStyle name="Porcentual 2 2 2 2 2 4" xfId="11087" xr:uid="{00000000-0005-0000-0000-0000F8210000}"/>
    <cellStyle name="Porcentual 2 2 2 2 3" xfId="8771" xr:uid="{00000000-0005-0000-0000-0000F9210000}"/>
    <cellStyle name="Porcentual 2 2 2 3" xfId="2719" xr:uid="{00000000-0005-0000-0000-0000FA210000}"/>
    <cellStyle name="Porcentual 2 2 2 3 2" xfId="8772" xr:uid="{00000000-0005-0000-0000-0000FB210000}"/>
    <cellStyle name="Porcentual 2 2 2 4" xfId="2720" xr:uid="{00000000-0005-0000-0000-0000FC210000}"/>
    <cellStyle name="Porcentual 2 2 2 4 2" xfId="8773" xr:uid="{00000000-0005-0000-0000-0000FD210000}"/>
    <cellStyle name="Porcentual 2 2 2 5" xfId="2721" xr:uid="{00000000-0005-0000-0000-0000FE210000}"/>
    <cellStyle name="Porcentual 2 2 2 5 2" xfId="8774" xr:uid="{00000000-0005-0000-0000-0000FF210000}"/>
    <cellStyle name="Porcentual 2 2 2 6" xfId="2722" xr:uid="{00000000-0005-0000-0000-000000220000}"/>
    <cellStyle name="Porcentual 2 2 2 6 2" xfId="8775" xr:uid="{00000000-0005-0000-0000-000001220000}"/>
    <cellStyle name="Porcentual 2 2 2 7" xfId="2723" xr:uid="{00000000-0005-0000-0000-000002220000}"/>
    <cellStyle name="Porcentual 2 2 2 7 2" xfId="8776" xr:uid="{00000000-0005-0000-0000-000003220000}"/>
    <cellStyle name="Porcentual 2 2 2 8" xfId="2724" xr:uid="{00000000-0005-0000-0000-000004220000}"/>
    <cellStyle name="Porcentual 2 2 2 8 2" xfId="8777" xr:uid="{00000000-0005-0000-0000-000005220000}"/>
    <cellStyle name="Porcentual 2 2 2 9" xfId="4149" xr:uid="{00000000-0005-0000-0000-000006220000}"/>
    <cellStyle name="Porcentual 2 2 2 9 2" xfId="9607" xr:uid="{00000000-0005-0000-0000-000007220000}"/>
    <cellStyle name="Porcentual 2 2 2 9 2 2" xfId="10310" xr:uid="{00000000-0005-0000-0000-000008220000}"/>
    <cellStyle name="Porcentual 2 2 2 9 2 2 2" xfId="12045" xr:uid="{00000000-0005-0000-0000-000009220000}"/>
    <cellStyle name="Porcentual 2 2 2 9 2 3" xfId="11398" xr:uid="{00000000-0005-0000-0000-00000A220000}"/>
    <cellStyle name="Porcentual 2 2 2 9 3" xfId="10013" xr:uid="{00000000-0005-0000-0000-00000B220000}"/>
    <cellStyle name="Porcentual 2 2 2 9 3 2" xfId="11749" xr:uid="{00000000-0005-0000-0000-00000C220000}"/>
    <cellStyle name="Porcentual 2 2 2 9 4" xfId="10976" xr:uid="{00000000-0005-0000-0000-00000D220000}"/>
    <cellStyle name="Porcentual 2 2 20" xfId="2725" xr:uid="{00000000-0005-0000-0000-00000E220000}"/>
    <cellStyle name="Porcentual 2 2 20 2" xfId="6368" xr:uid="{00000000-0005-0000-0000-00000F220000}"/>
    <cellStyle name="Porcentual 2 2 20 3" xfId="8778" xr:uid="{00000000-0005-0000-0000-000010220000}"/>
    <cellStyle name="Porcentual 2 2 21" xfId="2726" xr:uid="{00000000-0005-0000-0000-000011220000}"/>
    <cellStyle name="Porcentual 2 2 21 2" xfId="6369" xr:uid="{00000000-0005-0000-0000-000012220000}"/>
    <cellStyle name="Porcentual 2 2 21 3" xfId="8779" xr:uid="{00000000-0005-0000-0000-000013220000}"/>
    <cellStyle name="Porcentual 2 2 22" xfId="2727" xr:uid="{00000000-0005-0000-0000-000014220000}"/>
    <cellStyle name="Porcentual 2 2 22 2" xfId="6370" xr:uid="{00000000-0005-0000-0000-000015220000}"/>
    <cellStyle name="Porcentual 2 2 22 3" xfId="8780" xr:uid="{00000000-0005-0000-0000-000016220000}"/>
    <cellStyle name="Porcentual 2 2 23" xfId="2728" xr:uid="{00000000-0005-0000-0000-000017220000}"/>
    <cellStyle name="Porcentual 2 2 23 2" xfId="6371" xr:uid="{00000000-0005-0000-0000-000018220000}"/>
    <cellStyle name="Porcentual 2 2 23 3" xfId="8781" xr:uid="{00000000-0005-0000-0000-000019220000}"/>
    <cellStyle name="Porcentual 2 2 24" xfId="2729" xr:uid="{00000000-0005-0000-0000-00001A220000}"/>
    <cellStyle name="Porcentual 2 2 24 2" xfId="6372" xr:uid="{00000000-0005-0000-0000-00001B220000}"/>
    <cellStyle name="Porcentual 2 2 24 3" xfId="8782" xr:uid="{00000000-0005-0000-0000-00001C220000}"/>
    <cellStyle name="Porcentual 2 2 25" xfId="2730" xr:uid="{00000000-0005-0000-0000-00001D220000}"/>
    <cellStyle name="Porcentual 2 2 25 2" xfId="6373" xr:uid="{00000000-0005-0000-0000-00001E220000}"/>
    <cellStyle name="Porcentual 2 2 25 3" xfId="8783" xr:uid="{00000000-0005-0000-0000-00001F220000}"/>
    <cellStyle name="Porcentual 2 2 26" xfId="2731" xr:uid="{00000000-0005-0000-0000-000020220000}"/>
    <cellStyle name="Porcentual 2 2 26 2" xfId="6374" xr:uid="{00000000-0005-0000-0000-000021220000}"/>
    <cellStyle name="Porcentual 2 2 26 3" xfId="8784" xr:uid="{00000000-0005-0000-0000-000022220000}"/>
    <cellStyle name="Porcentual 2 2 27" xfId="2732" xr:uid="{00000000-0005-0000-0000-000023220000}"/>
    <cellStyle name="Porcentual 2 2 27 2" xfId="6375" xr:uid="{00000000-0005-0000-0000-000024220000}"/>
    <cellStyle name="Porcentual 2 2 27 3" xfId="8785" xr:uid="{00000000-0005-0000-0000-000025220000}"/>
    <cellStyle name="Porcentual 2 2 28" xfId="2733" xr:uid="{00000000-0005-0000-0000-000026220000}"/>
    <cellStyle name="Porcentual 2 2 28 2" xfId="6376" xr:uid="{00000000-0005-0000-0000-000027220000}"/>
    <cellStyle name="Porcentual 2 2 28 3" xfId="8786" xr:uid="{00000000-0005-0000-0000-000028220000}"/>
    <cellStyle name="Porcentual 2 2 29" xfId="2734" xr:uid="{00000000-0005-0000-0000-000029220000}"/>
    <cellStyle name="Porcentual 2 2 29 2" xfId="6377" xr:uid="{00000000-0005-0000-0000-00002A220000}"/>
    <cellStyle name="Porcentual 2 2 29 3" xfId="8787" xr:uid="{00000000-0005-0000-0000-00002B220000}"/>
    <cellStyle name="Porcentual 2 2 3" xfId="2735" xr:uid="{00000000-0005-0000-0000-00002C220000}"/>
    <cellStyle name="Porcentual 2 2 3 2" xfId="4109" xr:uid="{00000000-0005-0000-0000-00002D220000}"/>
    <cellStyle name="Porcentual 2 2 3 2 2" xfId="4257" xr:uid="{00000000-0005-0000-0000-00002E220000}"/>
    <cellStyle name="Porcentual 2 2 3 2 2 2" xfId="9692" xr:uid="{00000000-0005-0000-0000-00002F220000}"/>
    <cellStyle name="Porcentual 2 2 3 2 2 2 2" xfId="10394" xr:uid="{00000000-0005-0000-0000-000030220000}"/>
    <cellStyle name="Porcentual 2 2 3 2 2 2 2 2" xfId="12129" xr:uid="{00000000-0005-0000-0000-000031220000}"/>
    <cellStyle name="Porcentual 2 2 3 2 2 2 3" xfId="11482" xr:uid="{00000000-0005-0000-0000-000032220000}"/>
    <cellStyle name="Porcentual 2 2 3 2 2 3" xfId="10097" xr:uid="{00000000-0005-0000-0000-000033220000}"/>
    <cellStyle name="Porcentual 2 2 3 2 2 3 2" xfId="11833" xr:uid="{00000000-0005-0000-0000-000034220000}"/>
    <cellStyle name="Porcentual 2 2 3 2 2 4" xfId="11069" xr:uid="{00000000-0005-0000-0000-000035220000}"/>
    <cellStyle name="Porcentual 2 2 3 2 3" xfId="9588" xr:uid="{00000000-0005-0000-0000-000036220000}"/>
    <cellStyle name="Porcentual 2 2 3 2 3 2" xfId="10292" xr:uid="{00000000-0005-0000-0000-000037220000}"/>
    <cellStyle name="Porcentual 2 2 3 2 3 2 2" xfId="12027" xr:uid="{00000000-0005-0000-0000-000038220000}"/>
    <cellStyle name="Porcentual 2 2 3 2 3 3" xfId="11380" xr:uid="{00000000-0005-0000-0000-000039220000}"/>
    <cellStyle name="Porcentual 2 2 3 2 4" xfId="9995" xr:uid="{00000000-0005-0000-0000-00003A220000}"/>
    <cellStyle name="Porcentual 2 2 3 2 4 2" xfId="11731" xr:uid="{00000000-0005-0000-0000-00003B220000}"/>
    <cellStyle name="Porcentual 2 2 3 2 5" xfId="10955" xr:uid="{00000000-0005-0000-0000-00003C220000}"/>
    <cellStyle name="Porcentual 2 2 3 3" xfId="4206" xr:uid="{00000000-0005-0000-0000-00003D220000}"/>
    <cellStyle name="Porcentual 2 2 3 3 2" xfId="9641" xr:uid="{00000000-0005-0000-0000-00003E220000}"/>
    <cellStyle name="Porcentual 2 2 3 3 2 2" xfId="10343" xr:uid="{00000000-0005-0000-0000-00003F220000}"/>
    <cellStyle name="Porcentual 2 2 3 3 2 2 2" xfId="12078" xr:uid="{00000000-0005-0000-0000-000040220000}"/>
    <cellStyle name="Porcentual 2 2 3 3 2 3" xfId="11431" xr:uid="{00000000-0005-0000-0000-000041220000}"/>
    <cellStyle name="Porcentual 2 2 3 3 3" xfId="10046" xr:uid="{00000000-0005-0000-0000-000042220000}"/>
    <cellStyle name="Porcentual 2 2 3 3 3 2" xfId="11782" xr:uid="{00000000-0005-0000-0000-000043220000}"/>
    <cellStyle name="Porcentual 2 2 3 3 4" xfId="11018" xr:uid="{00000000-0005-0000-0000-000044220000}"/>
    <cellStyle name="Porcentual 2 2 3 4" xfId="8788" xr:uid="{00000000-0005-0000-0000-000045220000}"/>
    <cellStyle name="Porcentual 2 2 30" xfId="2736" xr:uid="{00000000-0005-0000-0000-000046220000}"/>
    <cellStyle name="Porcentual 2 2 30 2" xfId="6378" xr:uid="{00000000-0005-0000-0000-000047220000}"/>
    <cellStyle name="Porcentual 2 2 31" xfId="2737" xr:uid="{00000000-0005-0000-0000-000048220000}"/>
    <cellStyle name="Porcentual 2 2 31 2" xfId="6379" xr:uid="{00000000-0005-0000-0000-000049220000}"/>
    <cellStyle name="Porcentual 2 2 32" xfId="2738" xr:uid="{00000000-0005-0000-0000-00004A220000}"/>
    <cellStyle name="Porcentual 2 2 32 2" xfId="6380" xr:uid="{00000000-0005-0000-0000-00004B220000}"/>
    <cellStyle name="Porcentual 2 2 33" xfId="2739" xr:uid="{00000000-0005-0000-0000-00004C220000}"/>
    <cellStyle name="Porcentual 2 2 33 2" xfId="6381" xr:uid="{00000000-0005-0000-0000-00004D220000}"/>
    <cellStyle name="Porcentual 2 2 34" xfId="2740" xr:uid="{00000000-0005-0000-0000-00004E220000}"/>
    <cellStyle name="Porcentual 2 2 34 2" xfId="6382" xr:uid="{00000000-0005-0000-0000-00004F220000}"/>
    <cellStyle name="Porcentual 2 2 35" xfId="2741" xr:uid="{00000000-0005-0000-0000-000050220000}"/>
    <cellStyle name="Porcentual 2 2 35 2" xfId="6383" xr:uid="{00000000-0005-0000-0000-000051220000}"/>
    <cellStyle name="Porcentual 2 2 36" xfId="2742" xr:uid="{00000000-0005-0000-0000-000052220000}"/>
    <cellStyle name="Porcentual 2 2 36 2" xfId="6384" xr:uid="{00000000-0005-0000-0000-000053220000}"/>
    <cellStyle name="Porcentual 2 2 37" xfId="2743" xr:uid="{00000000-0005-0000-0000-000054220000}"/>
    <cellStyle name="Porcentual 2 2 37 2" xfId="6385" xr:uid="{00000000-0005-0000-0000-000055220000}"/>
    <cellStyle name="Porcentual 2 2 38" xfId="2744" xr:uid="{00000000-0005-0000-0000-000056220000}"/>
    <cellStyle name="Porcentual 2 2 38 2" xfId="6386" xr:uid="{00000000-0005-0000-0000-000057220000}"/>
    <cellStyle name="Porcentual 2 2 39" xfId="2745" xr:uid="{00000000-0005-0000-0000-000058220000}"/>
    <cellStyle name="Porcentual 2 2 39 2" xfId="6387" xr:uid="{00000000-0005-0000-0000-000059220000}"/>
    <cellStyle name="Porcentual 2 2 4" xfId="2746" xr:uid="{00000000-0005-0000-0000-00005A220000}"/>
    <cellStyle name="Porcentual 2 2 4 2" xfId="4241" xr:uid="{00000000-0005-0000-0000-00005B220000}"/>
    <cellStyle name="Porcentual 2 2 4 2 2" xfId="9676" xr:uid="{00000000-0005-0000-0000-00005C220000}"/>
    <cellStyle name="Porcentual 2 2 4 2 2 2" xfId="10378" xr:uid="{00000000-0005-0000-0000-00005D220000}"/>
    <cellStyle name="Porcentual 2 2 4 2 2 2 2" xfId="12113" xr:uid="{00000000-0005-0000-0000-00005E220000}"/>
    <cellStyle name="Porcentual 2 2 4 2 2 3" xfId="11466" xr:uid="{00000000-0005-0000-0000-00005F220000}"/>
    <cellStyle name="Porcentual 2 2 4 2 3" xfId="10081" xr:uid="{00000000-0005-0000-0000-000060220000}"/>
    <cellStyle name="Porcentual 2 2 4 2 3 2" xfId="11817" xr:uid="{00000000-0005-0000-0000-000061220000}"/>
    <cellStyle name="Porcentual 2 2 4 2 4" xfId="11053" xr:uid="{00000000-0005-0000-0000-000062220000}"/>
    <cellStyle name="Porcentual 2 2 4 3" xfId="8789" xr:uid="{00000000-0005-0000-0000-000063220000}"/>
    <cellStyle name="Porcentual 2 2 40" xfId="2747" xr:uid="{00000000-0005-0000-0000-000064220000}"/>
    <cellStyle name="Porcentual 2 2 40 2" xfId="6388" xr:uid="{00000000-0005-0000-0000-000065220000}"/>
    <cellStyle name="Porcentual 2 2 41" xfId="2748" xr:uid="{00000000-0005-0000-0000-000066220000}"/>
    <cellStyle name="Porcentual 2 2 41 2" xfId="6389" xr:uid="{00000000-0005-0000-0000-000067220000}"/>
    <cellStyle name="Porcentual 2 2 42" xfId="2749" xr:uid="{00000000-0005-0000-0000-000068220000}"/>
    <cellStyle name="Porcentual 2 2 42 2" xfId="6390" xr:uid="{00000000-0005-0000-0000-000069220000}"/>
    <cellStyle name="Porcentual 2 2 43" xfId="2750" xr:uid="{00000000-0005-0000-0000-00006A220000}"/>
    <cellStyle name="Porcentual 2 2 43 2" xfId="6391" xr:uid="{00000000-0005-0000-0000-00006B220000}"/>
    <cellStyle name="Porcentual 2 2 44" xfId="2751" xr:uid="{00000000-0005-0000-0000-00006C220000}"/>
    <cellStyle name="Porcentual 2 2 44 2" xfId="6392" xr:uid="{00000000-0005-0000-0000-00006D220000}"/>
    <cellStyle name="Porcentual 2 2 45" xfId="2752" xr:uid="{00000000-0005-0000-0000-00006E220000}"/>
    <cellStyle name="Porcentual 2 2 45 2" xfId="6393" xr:uid="{00000000-0005-0000-0000-00006F220000}"/>
    <cellStyle name="Porcentual 2 2 46" xfId="2753" xr:uid="{00000000-0005-0000-0000-000070220000}"/>
    <cellStyle name="Porcentual 2 2 46 2" xfId="6394" xr:uid="{00000000-0005-0000-0000-000071220000}"/>
    <cellStyle name="Porcentual 2 2 47" xfId="2754" xr:uid="{00000000-0005-0000-0000-000072220000}"/>
    <cellStyle name="Porcentual 2 2 47 2" xfId="6395" xr:uid="{00000000-0005-0000-0000-000073220000}"/>
    <cellStyle name="Porcentual 2 2 48" xfId="2755" xr:uid="{00000000-0005-0000-0000-000074220000}"/>
    <cellStyle name="Porcentual 2 2 48 2" xfId="6396" xr:uid="{00000000-0005-0000-0000-000075220000}"/>
    <cellStyle name="Porcentual 2 2 49" xfId="2756" xr:uid="{00000000-0005-0000-0000-000076220000}"/>
    <cellStyle name="Porcentual 2 2 49 2" xfId="6397" xr:uid="{00000000-0005-0000-0000-000077220000}"/>
    <cellStyle name="Porcentual 2 2 5" xfId="2757" xr:uid="{00000000-0005-0000-0000-000078220000}"/>
    <cellStyle name="Porcentual 2 2 5 2" xfId="6398" xr:uid="{00000000-0005-0000-0000-000079220000}"/>
    <cellStyle name="Porcentual 2 2 5 3" xfId="8790" xr:uid="{00000000-0005-0000-0000-00007A220000}"/>
    <cellStyle name="Porcentual 2 2 50" xfId="2758" xr:uid="{00000000-0005-0000-0000-00007B220000}"/>
    <cellStyle name="Porcentual 2 2 50 2" xfId="6399" xr:uid="{00000000-0005-0000-0000-00007C220000}"/>
    <cellStyle name="Porcentual 2 2 51" xfId="2759" xr:uid="{00000000-0005-0000-0000-00007D220000}"/>
    <cellStyle name="Porcentual 2 2 51 2" xfId="6400" xr:uid="{00000000-0005-0000-0000-00007E220000}"/>
    <cellStyle name="Porcentual 2 2 52" xfId="2760" xr:uid="{00000000-0005-0000-0000-00007F220000}"/>
    <cellStyle name="Porcentual 2 2 52 2" xfId="6401" xr:uid="{00000000-0005-0000-0000-000080220000}"/>
    <cellStyle name="Porcentual 2 2 53" xfId="2761" xr:uid="{00000000-0005-0000-0000-000081220000}"/>
    <cellStyle name="Porcentual 2 2 53 2" xfId="6402" xr:uid="{00000000-0005-0000-0000-000082220000}"/>
    <cellStyle name="Porcentual 2 2 54" xfId="2762" xr:uid="{00000000-0005-0000-0000-000083220000}"/>
    <cellStyle name="Porcentual 2 2 54 2" xfId="6403" xr:uid="{00000000-0005-0000-0000-000084220000}"/>
    <cellStyle name="Porcentual 2 2 55" xfId="2763" xr:uid="{00000000-0005-0000-0000-000085220000}"/>
    <cellStyle name="Porcentual 2 2 55 2" xfId="6404" xr:uid="{00000000-0005-0000-0000-000086220000}"/>
    <cellStyle name="Porcentual 2 2 56" xfId="2764" xr:uid="{00000000-0005-0000-0000-000087220000}"/>
    <cellStyle name="Porcentual 2 2 56 2" xfId="6405" xr:uid="{00000000-0005-0000-0000-000088220000}"/>
    <cellStyle name="Porcentual 2 2 57" xfId="2765" xr:uid="{00000000-0005-0000-0000-000089220000}"/>
    <cellStyle name="Porcentual 2 2 58" xfId="2766" xr:uid="{00000000-0005-0000-0000-00008A220000}"/>
    <cellStyle name="Porcentual 2 2 59" xfId="2767" xr:uid="{00000000-0005-0000-0000-00008B220000}"/>
    <cellStyle name="Porcentual 2 2 6" xfId="2768" xr:uid="{00000000-0005-0000-0000-00008C220000}"/>
    <cellStyle name="Porcentual 2 2 6 2" xfId="6406" xr:uid="{00000000-0005-0000-0000-00008D220000}"/>
    <cellStyle name="Porcentual 2 2 6 3" xfId="8791" xr:uid="{00000000-0005-0000-0000-00008E220000}"/>
    <cellStyle name="Porcentual 2 2 60" xfId="2769" xr:uid="{00000000-0005-0000-0000-00008F220000}"/>
    <cellStyle name="Porcentual 2 2 61" xfId="2770" xr:uid="{00000000-0005-0000-0000-000090220000}"/>
    <cellStyle name="Porcentual 2 2 62" xfId="2771" xr:uid="{00000000-0005-0000-0000-000091220000}"/>
    <cellStyle name="Porcentual 2 2 63" xfId="4075" xr:uid="{00000000-0005-0000-0000-000092220000}"/>
    <cellStyle name="Porcentual 2 2 63 2" xfId="9572" xr:uid="{00000000-0005-0000-0000-000093220000}"/>
    <cellStyle name="Porcentual 2 2 63 2 2" xfId="10276" xr:uid="{00000000-0005-0000-0000-000094220000}"/>
    <cellStyle name="Porcentual 2 2 63 2 2 2" xfId="12011" xr:uid="{00000000-0005-0000-0000-000095220000}"/>
    <cellStyle name="Porcentual 2 2 63 2 3" xfId="11364" xr:uid="{00000000-0005-0000-0000-000096220000}"/>
    <cellStyle name="Porcentual 2 2 63 3" xfId="9979" xr:uid="{00000000-0005-0000-0000-000097220000}"/>
    <cellStyle name="Porcentual 2 2 63 3 2" xfId="11715" xr:uid="{00000000-0005-0000-0000-000098220000}"/>
    <cellStyle name="Porcentual 2 2 63 4" xfId="10938" xr:uid="{00000000-0005-0000-0000-000099220000}"/>
    <cellStyle name="Porcentual 2 2 64" xfId="4190" xr:uid="{00000000-0005-0000-0000-00009A220000}"/>
    <cellStyle name="Porcentual 2 2 64 2" xfId="9625" xr:uid="{00000000-0005-0000-0000-00009B220000}"/>
    <cellStyle name="Porcentual 2 2 64 2 2" xfId="10327" xr:uid="{00000000-0005-0000-0000-00009C220000}"/>
    <cellStyle name="Porcentual 2 2 64 2 2 2" xfId="12062" xr:uid="{00000000-0005-0000-0000-00009D220000}"/>
    <cellStyle name="Porcentual 2 2 64 2 3" xfId="11415" xr:uid="{00000000-0005-0000-0000-00009E220000}"/>
    <cellStyle name="Porcentual 2 2 64 3" xfId="10030" xr:uid="{00000000-0005-0000-0000-00009F220000}"/>
    <cellStyle name="Porcentual 2 2 64 3 2" xfId="11766" xr:uid="{00000000-0005-0000-0000-0000A0220000}"/>
    <cellStyle name="Porcentual 2 2 64 4" xfId="11002" xr:uid="{00000000-0005-0000-0000-0000A1220000}"/>
    <cellStyle name="Porcentual 2 2 65" xfId="4328" xr:uid="{00000000-0005-0000-0000-0000A2220000}"/>
    <cellStyle name="Porcentual 2 2 65 2" xfId="9744" xr:uid="{00000000-0005-0000-0000-0000A3220000}"/>
    <cellStyle name="Porcentual 2 2 65 2 2" xfId="10444" xr:uid="{00000000-0005-0000-0000-0000A4220000}"/>
    <cellStyle name="Porcentual 2 2 65 2 2 2" xfId="12179" xr:uid="{00000000-0005-0000-0000-0000A5220000}"/>
    <cellStyle name="Porcentual 2 2 65 2 3" xfId="11532" xr:uid="{00000000-0005-0000-0000-0000A6220000}"/>
    <cellStyle name="Porcentual 2 2 65 3" xfId="10147" xr:uid="{00000000-0005-0000-0000-0000A7220000}"/>
    <cellStyle name="Porcentual 2 2 65 3 2" xfId="11883" xr:uid="{00000000-0005-0000-0000-0000A8220000}"/>
    <cellStyle name="Porcentual 2 2 65 4" xfId="11136" xr:uid="{00000000-0005-0000-0000-0000A9220000}"/>
    <cellStyle name="Porcentual 2 2 66" xfId="2706" xr:uid="{00000000-0005-0000-0000-0000AA220000}"/>
    <cellStyle name="Porcentual 2 2 7" xfId="2772" xr:uid="{00000000-0005-0000-0000-0000AB220000}"/>
    <cellStyle name="Porcentual 2 2 7 2" xfId="6407" xr:uid="{00000000-0005-0000-0000-0000AC220000}"/>
    <cellStyle name="Porcentual 2 2 7 3" xfId="8792" xr:uid="{00000000-0005-0000-0000-0000AD220000}"/>
    <cellStyle name="Porcentual 2 2 8" xfId="2773" xr:uid="{00000000-0005-0000-0000-0000AE220000}"/>
    <cellStyle name="Porcentual 2 2 8 2" xfId="6408" xr:uid="{00000000-0005-0000-0000-0000AF220000}"/>
    <cellStyle name="Porcentual 2 2 8 3" xfId="8793" xr:uid="{00000000-0005-0000-0000-0000B0220000}"/>
    <cellStyle name="Porcentual 2 2 9" xfId="2774" xr:uid="{00000000-0005-0000-0000-0000B1220000}"/>
    <cellStyle name="Porcentual 2 2 9 2" xfId="6409" xr:uid="{00000000-0005-0000-0000-0000B2220000}"/>
    <cellStyle name="Porcentual 2 2 9 3" xfId="8794" xr:uid="{00000000-0005-0000-0000-0000B3220000}"/>
    <cellStyle name="Porcentual 2 20" xfId="2775" xr:uid="{00000000-0005-0000-0000-0000B4220000}"/>
    <cellStyle name="Porcentual 2 20 10" xfId="2776" xr:uid="{00000000-0005-0000-0000-0000B5220000}"/>
    <cellStyle name="Porcentual 2 20 10 2" xfId="6410" xr:uid="{00000000-0005-0000-0000-0000B6220000}"/>
    <cellStyle name="Porcentual 2 20 11" xfId="2777" xr:uid="{00000000-0005-0000-0000-0000B7220000}"/>
    <cellStyle name="Porcentual 2 20 11 2" xfId="6411" xr:uid="{00000000-0005-0000-0000-0000B8220000}"/>
    <cellStyle name="Porcentual 2 20 12" xfId="2778" xr:uid="{00000000-0005-0000-0000-0000B9220000}"/>
    <cellStyle name="Porcentual 2 20 12 2" xfId="6412" xr:uid="{00000000-0005-0000-0000-0000BA220000}"/>
    <cellStyle name="Porcentual 2 20 13" xfId="2779" xr:uid="{00000000-0005-0000-0000-0000BB220000}"/>
    <cellStyle name="Porcentual 2 20 13 2" xfId="6413" xr:uid="{00000000-0005-0000-0000-0000BC220000}"/>
    <cellStyle name="Porcentual 2 20 14" xfId="2780" xr:uid="{00000000-0005-0000-0000-0000BD220000}"/>
    <cellStyle name="Porcentual 2 20 14 2" xfId="6414" xr:uid="{00000000-0005-0000-0000-0000BE220000}"/>
    <cellStyle name="Porcentual 2 20 15" xfId="2781" xr:uid="{00000000-0005-0000-0000-0000BF220000}"/>
    <cellStyle name="Porcentual 2 20 15 2" xfId="6415" xr:uid="{00000000-0005-0000-0000-0000C0220000}"/>
    <cellStyle name="Porcentual 2 20 16" xfId="2782" xr:uid="{00000000-0005-0000-0000-0000C1220000}"/>
    <cellStyle name="Porcentual 2 20 16 2" xfId="6416" xr:uid="{00000000-0005-0000-0000-0000C2220000}"/>
    <cellStyle name="Porcentual 2 20 17" xfId="2783" xr:uid="{00000000-0005-0000-0000-0000C3220000}"/>
    <cellStyle name="Porcentual 2 20 17 2" xfId="6417" xr:uid="{00000000-0005-0000-0000-0000C4220000}"/>
    <cellStyle name="Porcentual 2 20 18" xfId="2784" xr:uid="{00000000-0005-0000-0000-0000C5220000}"/>
    <cellStyle name="Porcentual 2 20 18 2" xfId="6418" xr:uid="{00000000-0005-0000-0000-0000C6220000}"/>
    <cellStyle name="Porcentual 2 20 19" xfId="2785" xr:uid="{00000000-0005-0000-0000-0000C7220000}"/>
    <cellStyle name="Porcentual 2 20 19 2" xfId="6419" xr:uid="{00000000-0005-0000-0000-0000C8220000}"/>
    <cellStyle name="Porcentual 2 20 2" xfId="2786" xr:uid="{00000000-0005-0000-0000-0000C9220000}"/>
    <cellStyle name="Porcentual 2 20 2 2" xfId="6420" xr:uid="{00000000-0005-0000-0000-0000CA220000}"/>
    <cellStyle name="Porcentual 2 20 20" xfId="2787" xr:uid="{00000000-0005-0000-0000-0000CB220000}"/>
    <cellStyle name="Porcentual 2 20 20 2" xfId="6421" xr:uid="{00000000-0005-0000-0000-0000CC220000}"/>
    <cellStyle name="Porcentual 2 20 21" xfId="2788" xr:uid="{00000000-0005-0000-0000-0000CD220000}"/>
    <cellStyle name="Porcentual 2 20 21 2" xfId="6422" xr:uid="{00000000-0005-0000-0000-0000CE220000}"/>
    <cellStyle name="Porcentual 2 20 22" xfId="2789" xr:uid="{00000000-0005-0000-0000-0000CF220000}"/>
    <cellStyle name="Porcentual 2 20 22 2" xfId="6423" xr:uid="{00000000-0005-0000-0000-0000D0220000}"/>
    <cellStyle name="Porcentual 2 20 23" xfId="2790" xr:uid="{00000000-0005-0000-0000-0000D1220000}"/>
    <cellStyle name="Porcentual 2 20 23 2" xfId="6424" xr:uid="{00000000-0005-0000-0000-0000D2220000}"/>
    <cellStyle name="Porcentual 2 20 24" xfId="2791" xr:uid="{00000000-0005-0000-0000-0000D3220000}"/>
    <cellStyle name="Porcentual 2 20 24 2" xfId="6425" xr:uid="{00000000-0005-0000-0000-0000D4220000}"/>
    <cellStyle name="Porcentual 2 20 25" xfId="2792" xr:uid="{00000000-0005-0000-0000-0000D5220000}"/>
    <cellStyle name="Porcentual 2 20 25 2" xfId="6426" xr:uid="{00000000-0005-0000-0000-0000D6220000}"/>
    <cellStyle name="Porcentual 2 20 26" xfId="2793" xr:uid="{00000000-0005-0000-0000-0000D7220000}"/>
    <cellStyle name="Porcentual 2 20 26 2" xfId="6427" xr:uid="{00000000-0005-0000-0000-0000D8220000}"/>
    <cellStyle name="Porcentual 2 20 27" xfId="2794" xr:uid="{00000000-0005-0000-0000-0000D9220000}"/>
    <cellStyle name="Porcentual 2 20 27 2" xfId="6428" xr:uid="{00000000-0005-0000-0000-0000DA220000}"/>
    <cellStyle name="Porcentual 2 20 28" xfId="2795" xr:uid="{00000000-0005-0000-0000-0000DB220000}"/>
    <cellStyle name="Porcentual 2 20 28 2" xfId="6429" xr:uid="{00000000-0005-0000-0000-0000DC220000}"/>
    <cellStyle name="Porcentual 2 20 29" xfId="6430" xr:uid="{00000000-0005-0000-0000-0000DD220000}"/>
    <cellStyle name="Porcentual 2 20 3" xfId="2796" xr:uid="{00000000-0005-0000-0000-0000DE220000}"/>
    <cellStyle name="Porcentual 2 20 3 2" xfId="6431" xr:uid="{00000000-0005-0000-0000-0000DF220000}"/>
    <cellStyle name="Porcentual 2 20 4" xfId="2797" xr:uid="{00000000-0005-0000-0000-0000E0220000}"/>
    <cellStyle name="Porcentual 2 20 4 2" xfId="6432" xr:uid="{00000000-0005-0000-0000-0000E1220000}"/>
    <cellStyle name="Porcentual 2 20 5" xfId="2798" xr:uid="{00000000-0005-0000-0000-0000E2220000}"/>
    <cellStyle name="Porcentual 2 20 5 2" xfId="6433" xr:uid="{00000000-0005-0000-0000-0000E3220000}"/>
    <cellStyle name="Porcentual 2 20 6" xfId="2799" xr:uid="{00000000-0005-0000-0000-0000E4220000}"/>
    <cellStyle name="Porcentual 2 20 6 2" xfId="6434" xr:uid="{00000000-0005-0000-0000-0000E5220000}"/>
    <cellStyle name="Porcentual 2 20 7" xfId="2800" xr:uid="{00000000-0005-0000-0000-0000E6220000}"/>
    <cellStyle name="Porcentual 2 20 7 2" xfId="6435" xr:uid="{00000000-0005-0000-0000-0000E7220000}"/>
    <cellStyle name="Porcentual 2 20 8" xfId="2801" xr:uid="{00000000-0005-0000-0000-0000E8220000}"/>
    <cellStyle name="Porcentual 2 20 8 2" xfId="6436" xr:uid="{00000000-0005-0000-0000-0000E9220000}"/>
    <cellStyle name="Porcentual 2 20 9" xfId="2802" xr:uid="{00000000-0005-0000-0000-0000EA220000}"/>
    <cellStyle name="Porcentual 2 20 9 2" xfId="6437" xr:uid="{00000000-0005-0000-0000-0000EB220000}"/>
    <cellStyle name="Porcentual 2 21" xfId="2803" xr:uid="{00000000-0005-0000-0000-0000EC220000}"/>
    <cellStyle name="Porcentual 2 21 10" xfId="2804" xr:uid="{00000000-0005-0000-0000-0000ED220000}"/>
    <cellStyle name="Porcentual 2 21 10 2" xfId="6438" xr:uid="{00000000-0005-0000-0000-0000EE220000}"/>
    <cellStyle name="Porcentual 2 21 11" xfId="2805" xr:uid="{00000000-0005-0000-0000-0000EF220000}"/>
    <cellStyle name="Porcentual 2 21 11 2" xfId="6439" xr:uid="{00000000-0005-0000-0000-0000F0220000}"/>
    <cellStyle name="Porcentual 2 21 12" xfId="2806" xr:uid="{00000000-0005-0000-0000-0000F1220000}"/>
    <cellStyle name="Porcentual 2 21 12 2" xfId="6440" xr:uid="{00000000-0005-0000-0000-0000F2220000}"/>
    <cellStyle name="Porcentual 2 21 13" xfId="2807" xr:uid="{00000000-0005-0000-0000-0000F3220000}"/>
    <cellStyle name="Porcentual 2 21 13 2" xfId="6441" xr:uid="{00000000-0005-0000-0000-0000F4220000}"/>
    <cellStyle name="Porcentual 2 21 14" xfId="2808" xr:uid="{00000000-0005-0000-0000-0000F5220000}"/>
    <cellStyle name="Porcentual 2 21 14 2" xfId="6442" xr:uid="{00000000-0005-0000-0000-0000F6220000}"/>
    <cellStyle name="Porcentual 2 21 15" xfId="2809" xr:uid="{00000000-0005-0000-0000-0000F7220000}"/>
    <cellStyle name="Porcentual 2 21 15 2" xfId="6443" xr:uid="{00000000-0005-0000-0000-0000F8220000}"/>
    <cellStyle name="Porcentual 2 21 16" xfId="2810" xr:uid="{00000000-0005-0000-0000-0000F9220000}"/>
    <cellStyle name="Porcentual 2 21 16 2" xfId="6444" xr:uid="{00000000-0005-0000-0000-0000FA220000}"/>
    <cellStyle name="Porcentual 2 21 17" xfId="2811" xr:uid="{00000000-0005-0000-0000-0000FB220000}"/>
    <cellStyle name="Porcentual 2 21 17 2" xfId="6445" xr:uid="{00000000-0005-0000-0000-0000FC220000}"/>
    <cellStyle name="Porcentual 2 21 18" xfId="2812" xr:uid="{00000000-0005-0000-0000-0000FD220000}"/>
    <cellStyle name="Porcentual 2 21 18 2" xfId="6446" xr:uid="{00000000-0005-0000-0000-0000FE220000}"/>
    <cellStyle name="Porcentual 2 21 19" xfId="2813" xr:uid="{00000000-0005-0000-0000-0000FF220000}"/>
    <cellStyle name="Porcentual 2 21 19 2" xfId="6447" xr:uid="{00000000-0005-0000-0000-000000230000}"/>
    <cellStyle name="Porcentual 2 21 2" xfId="2814" xr:uid="{00000000-0005-0000-0000-000001230000}"/>
    <cellStyle name="Porcentual 2 21 2 2" xfId="6448" xr:uid="{00000000-0005-0000-0000-000002230000}"/>
    <cellStyle name="Porcentual 2 21 20" xfId="2815" xr:uid="{00000000-0005-0000-0000-000003230000}"/>
    <cellStyle name="Porcentual 2 21 20 2" xfId="6449" xr:uid="{00000000-0005-0000-0000-000004230000}"/>
    <cellStyle name="Porcentual 2 21 21" xfId="2816" xr:uid="{00000000-0005-0000-0000-000005230000}"/>
    <cellStyle name="Porcentual 2 21 21 2" xfId="6450" xr:uid="{00000000-0005-0000-0000-000006230000}"/>
    <cellStyle name="Porcentual 2 21 22" xfId="2817" xr:uid="{00000000-0005-0000-0000-000007230000}"/>
    <cellStyle name="Porcentual 2 21 22 2" xfId="6451" xr:uid="{00000000-0005-0000-0000-000008230000}"/>
    <cellStyle name="Porcentual 2 21 23" xfId="2818" xr:uid="{00000000-0005-0000-0000-000009230000}"/>
    <cellStyle name="Porcentual 2 21 23 2" xfId="6452" xr:uid="{00000000-0005-0000-0000-00000A230000}"/>
    <cellStyle name="Porcentual 2 21 24" xfId="2819" xr:uid="{00000000-0005-0000-0000-00000B230000}"/>
    <cellStyle name="Porcentual 2 21 24 2" xfId="6453" xr:uid="{00000000-0005-0000-0000-00000C230000}"/>
    <cellStyle name="Porcentual 2 21 25" xfId="2820" xr:uid="{00000000-0005-0000-0000-00000D230000}"/>
    <cellStyle name="Porcentual 2 21 25 2" xfId="6454" xr:uid="{00000000-0005-0000-0000-00000E230000}"/>
    <cellStyle name="Porcentual 2 21 26" xfId="2821" xr:uid="{00000000-0005-0000-0000-00000F230000}"/>
    <cellStyle name="Porcentual 2 21 26 2" xfId="6455" xr:uid="{00000000-0005-0000-0000-000010230000}"/>
    <cellStyle name="Porcentual 2 21 27" xfId="2822" xr:uid="{00000000-0005-0000-0000-000011230000}"/>
    <cellStyle name="Porcentual 2 21 27 2" xfId="6456" xr:uid="{00000000-0005-0000-0000-000012230000}"/>
    <cellStyle name="Porcentual 2 21 28" xfId="2823" xr:uid="{00000000-0005-0000-0000-000013230000}"/>
    <cellStyle name="Porcentual 2 21 28 2" xfId="6457" xr:uid="{00000000-0005-0000-0000-000014230000}"/>
    <cellStyle name="Porcentual 2 21 29" xfId="6458" xr:uid="{00000000-0005-0000-0000-000015230000}"/>
    <cellStyle name="Porcentual 2 21 3" xfId="2824" xr:uid="{00000000-0005-0000-0000-000016230000}"/>
    <cellStyle name="Porcentual 2 21 3 2" xfId="6459" xr:uid="{00000000-0005-0000-0000-000017230000}"/>
    <cellStyle name="Porcentual 2 21 4" xfId="2825" xr:uid="{00000000-0005-0000-0000-000018230000}"/>
    <cellStyle name="Porcentual 2 21 4 2" xfId="6460" xr:uid="{00000000-0005-0000-0000-000019230000}"/>
    <cellStyle name="Porcentual 2 21 5" xfId="2826" xr:uid="{00000000-0005-0000-0000-00001A230000}"/>
    <cellStyle name="Porcentual 2 21 5 2" xfId="6461" xr:uid="{00000000-0005-0000-0000-00001B230000}"/>
    <cellStyle name="Porcentual 2 21 6" xfId="2827" xr:uid="{00000000-0005-0000-0000-00001C230000}"/>
    <cellStyle name="Porcentual 2 21 6 2" xfId="6462" xr:uid="{00000000-0005-0000-0000-00001D230000}"/>
    <cellStyle name="Porcentual 2 21 7" xfId="2828" xr:uid="{00000000-0005-0000-0000-00001E230000}"/>
    <cellStyle name="Porcentual 2 21 7 2" xfId="6463" xr:uid="{00000000-0005-0000-0000-00001F230000}"/>
    <cellStyle name="Porcentual 2 21 8" xfId="2829" xr:uid="{00000000-0005-0000-0000-000020230000}"/>
    <cellStyle name="Porcentual 2 21 8 2" xfId="6464" xr:uid="{00000000-0005-0000-0000-000021230000}"/>
    <cellStyle name="Porcentual 2 21 9" xfId="2830" xr:uid="{00000000-0005-0000-0000-000022230000}"/>
    <cellStyle name="Porcentual 2 21 9 2" xfId="6465" xr:uid="{00000000-0005-0000-0000-000023230000}"/>
    <cellStyle name="Porcentual 2 22" xfId="2831" xr:uid="{00000000-0005-0000-0000-000024230000}"/>
    <cellStyle name="Porcentual 2 22 10" xfId="2832" xr:uid="{00000000-0005-0000-0000-000025230000}"/>
    <cellStyle name="Porcentual 2 22 10 2" xfId="6466" xr:uid="{00000000-0005-0000-0000-000026230000}"/>
    <cellStyle name="Porcentual 2 22 11" xfId="2833" xr:uid="{00000000-0005-0000-0000-000027230000}"/>
    <cellStyle name="Porcentual 2 22 11 2" xfId="6467" xr:uid="{00000000-0005-0000-0000-000028230000}"/>
    <cellStyle name="Porcentual 2 22 12" xfId="2834" xr:uid="{00000000-0005-0000-0000-000029230000}"/>
    <cellStyle name="Porcentual 2 22 12 2" xfId="6468" xr:uid="{00000000-0005-0000-0000-00002A230000}"/>
    <cellStyle name="Porcentual 2 22 13" xfId="2835" xr:uid="{00000000-0005-0000-0000-00002B230000}"/>
    <cellStyle name="Porcentual 2 22 13 2" xfId="6469" xr:uid="{00000000-0005-0000-0000-00002C230000}"/>
    <cellStyle name="Porcentual 2 22 14" xfId="2836" xr:uid="{00000000-0005-0000-0000-00002D230000}"/>
    <cellStyle name="Porcentual 2 22 14 2" xfId="6470" xr:uid="{00000000-0005-0000-0000-00002E230000}"/>
    <cellStyle name="Porcentual 2 22 15" xfId="2837" xr:uid="{00000000-0005-0000-0000-00002F230000}"/>
    <cellStyle name="Porcentual 2 22 15 2" xfId="6471" xr:uid="{00000000-0005-0000-0000-000030230000}"/>
    <cellStyle name="Porcentual 2 22 16" xfId="2838" xr:uid="{00000000-0005-0000-0000-000031230000}"/>
    <cellStyle name="Porcentual 2 22 16 2" xfId="6472" xr:uid="{00000000-0005-0000-0000-000032230000}"/>
    <cellStyle name="Porcentual 2 22 17" xfId="2839" xr:uid="{00000000-0005-0000-0000-000033230000}"/>
    <cellStyle name="Porcentual 2 22 17 2" xfId="6473" xr:uid="{00000000-0005-0000-0000-000034230000}"/>
    <cellStyle name="Porcentual 2 22 18" xfId="2840" xr:uid="{00000000-0005-0000-0000-000035230000}"/>
    <cellStyle name="Porcentual 2 22 18 2" xfId="6474" xr:uid="{00000000-0005-0000-0000-000036230000}"/>
    <cellStyle name="Porcentual 2 22 19" xfId="2841" xr:uid="{00000000-0005-0000-0000-000037230000}"/>
    <cellStyle name="Porcentual 2 22 19 2" xfId="6475" xr:uid="{00000000-0005-0000-0000-000038230000}"/>
    <cellStyle name="Porcentual 2 22 2" xfId="2842" xr:uid="{00000000-0005-0000-0000-000039230000}"/>
    <cellStyle name="Porcentual 2 22 2 2" xfId="6476" xr:uid="{00000000-0005-0000-0000-00003A230000}"/>
    <cellStyle name="Porcentual 2 22 20" xfId="2843" xr:uid="{00000000-0005-0000-0000-00003B230000}"/>
    <cellStyle name="Porcentual 2 22 20 2" xfId="6477" xr:uid="{00000000-0005-0000-0000-00003C230000}"/>
    <cellStyle name="Porcentual 2 22 21" xfId="2844" xr:uid="{00000000-0005-0000-0000-00003D230000}"/>
    <cellStyle name="Porcentual 2 22 21 2" xfId="6478" xr:uid="{00000000-0005-0000-0000-00003E230000}"/>
    <cellStyle name="Porcentual 2 22 22" xfId="2845" xr:uid="{00000000-0005-0000-0000-00003F230000}"/>
    <cellStyle name="Porcentual 2 22 22 2" xfId="6479" xr:uid="{00000000-0005-0000-0000-000040230000}"/>
    <cellStyle name="Porcentual 2 22 23" xfId="2846" xr:uid="{00000000-0005-0000-0000-000041230000}"/>
    <cellStyle name="Porcentual 2 22 23 2" xfId="6480" xr:uid="{00000000-0005-0000-0000-000042230000}"/>
    <cellStyle name="Porcentual 2 22 24" xfId="2847" xr:uid="{00000000-0005-0000-0000-000043230000}"/>
    <cellStyle name="Porcentual 2 22 24 2" xfId="6481" xr:uid="{00000000-0005-0000-0000-000044230000}"/>
    <cellStyle name="Porcentual 2 22 25" xfId="2848" xr:uid="{00000000-0005-0000-0000-000045230000}"/>
    <cellStyle name="Porcentual 2 22 25 2" xfId="6482" xr:uid="{00000000-0005-0000-0000-000046230000}"/>
    <cellStyle name="Porcentual 2 22 26" xfId="2849" xr:uid="{00000000-0005-0000-0000-000047230000}"/>
    <cellStyle name="Porcentual 2 22 26 2" xfId="6483" xr:uid="{00000000-0005-0000-0000-000048230000}"/>
    <cellStyle name="Porcentual 2 22 27" xfId="2850" xr:uid="{00000000-0005-0000-0000-000049230000}"/>
    <cellStyle name="Porcentual 2 22 27 2" xfId="6484" xr:uid="{00000000-0005-0000-0000-00004A230000}"/>
    <cellStyle name="Porcentual 2 22 28" xfId="2851" xr:uid="{00000000-0005-0000-0000-00004B230000}"/>
    <cellStyle name="Porcentual 2 22 28 2" xfId="6485" xr:uid="{00000000-0005-0000-0000-00004C230000}"/>
    <cellStyle name="Porcentual 2 22 29" xfId="6486" xr:uid="{00000000-0005-0000-0000-00004D230000}"/>
    <cellStyle name="Porcentual 2 22 3" xfId="2852" xr:uid="{00000000-0005-0000-0000-00004E230000}"/>
    <cellStyle name="Porcentual 2 22 3 2" xfId="6487" xr:uid="{00000000-0005-0000-0000-00004F230000}"/>
    <cellStyle name="Porcentual 2 22 4" xfId="2853" xr:uid="{00000000-0005-0000-0000-000050230000}"/>
    <cellStyle name="Porcentual 2 22 4 2" xfId="6488" xr:uid="{00000000-0005-0000-0000-000051230000}"/>
    <cellStyle name="Porcentual 2 22 5" xfId="2854" xr:uid="{00000000-0005-0000-0000-000052230000}"/>
    <cellStyle name="Porcentual 2 22 5 2" xfId="6489" xr:uid="{00000000-0005-0000-0000-000053230000}"/>
    <cellStyle name="Porcentual 2 22 6" xfId="2855" xr:uid="{00000000-0005-0000-0000-000054230000}"/>
    <cellStyle name="Porcentual 2 22 6 2" xfId="6490" xr:uid="{00000000-0005-0000-0000-000055230000}"/>
    <cellStyle name="Porcentual 2 22 7" xfId="2856" xr:uid="{00000000-0005-0000-0000-000056230000}"/>
    <cellStyle name="Porcentual 2 22 7 2" xfId="6491" xr:uid="{00000000-0005-0000-0000-000057230000}"/>
    <cellStyle name="Porcentual 2 22 8" xfId="2857" xr:uid="{00000000-0005-0000-0000-000058230000}"/>
    <cellStyle name="Porcentual 2 22 8 2" xfId="6492" xr:uid="{00000000-0005-0000-0000-000059230000}"/>
    <cellStyle name="Porcentual 2 22 9" xfId="2858" xr:uid="{00000000-0005-0000-0000-00005A230000}"/>
    <cellStyle name="Porcentual 2 22 9 2" xfId="6493" xr:uid="{00000000-0005-0000-0000-00005B230000}"/>
    <cellStyle name="Porcentual 2 23" xfId="2859" xr:uid="{00000000-0005-0000-0000-00005C230000}"/>
    <cellStyle name="Porcentual 2 23 10" xfId="2860" xr:uid="{00000000-0005-0000-0000-00005D230000}"/>
    <cellStyle name="Porcentual 2 23 10 2" xfId="6494" xr:uid="{00000000-0005-0000-0000-00005E230000}"/>
    <cellStyle name="Porcentual 2 23 11" xfId="2861" xr:uid="{00000000-0005-0000-0000-00005F230000}"/>
    <cellStyle name="Porcentual 2 23 11 2" xfId="6495" xr:uid="{00000000-0005-0000-0000-000060230000}"/>
    <cellStyle name="Porcentual 2 23 12" xfId="2862" xr:uid="{00000000-0005-0000-0000-000061230000}"/>
    <cellStyle name="Porcentual 2 23 12 2" xfId="6496" xr:uid="{00000000-0005-0000-0000-000062230000}"/>
    <cellStyle name="Porcentual 2 23 13" xfId="2863" xr:uid="{00000000-0005-0000-0000-000063230000}"/>
    <cellStyle name="Porcentual 2 23 13 2" xfId="6497" xr:uid="{00000000-0005-0000-0000-000064230000}"/>
    <cellStyle name="Porcentual 2 23 14" xfId="2864" xr:uid="{00000000-0005-0000-0000-000065230000}"/>
    <cellStyle name="Porcentual 2 23 14 2" xfId="6498" xr:uid="{00000000-0005-0000-0000-000066230000}"/>
    <cellStyle name="Porcentual 2 23 15" xfId="2865" xr:uid="{00000000-0005-0000-0000-000067230000}"/>
    <cellStyle name="Porcentual 2 23 15 2" xfId="6499" xr:uid="{00000000-0005-0000-0000-000068230000}"/>
    <cellStyle name="Porcentual 2 23 16" xfId="2866" xr:uid="{00000000-0005-0000-0000-000069230000}"/>
    <cellStyle name="Porcentual 2 23 16 2" xfId="6500" xr:uid="{00000000-0005-0000-0000-00006A230000}"/>
    <cellStyle name="Porcentual 2 23 17" xfId="2867" xr:uid="{00000000-0005-0000-0000-00006B230000}"/>
    <cellStyle name="Porcentual 2 23 17 2" xfId="6501" xr:uid="{00000000-0005-0000-0000-00006C230000}"/>
    <cellStyle name="Porcentual 2 23 18" xfId="2868" xr:uid="{00000000-0005-0000-0000-00006D230000}"/>
    <cellStyle name="Porcentual 2 23 18 2" xfId="6502" xr:uid="{00000000-0005-0000-0000-00006E230000}"/>
    <cellStyle name="Porcentual 2 23 19" xfId="2869" xr:uid="{00000000-0005-0000-0000-00006F230000}"/>
    <cellStyle name="Porcentual 2 23 19 2" xfId="6503" xr:uid="{00000000-0005-0000-0000-000070230000}"/>
    <cellStyle name="Porcentual 2 23 2" xfId="2870" xr:uid="{00000000-0005-0000-0000-000071230000}"/>
    <cellStyle name="Porcentual 2 23 2 2" xfId="6504" xr:uid="{00000000-0005-0000-0000-000072230000}"/>
    <cellStyle name="Porcentual 2 23 20" xfId="2871" xr:uid="{00000000-0005-0000-0000-000073230000}"/>
    <cellStyle name="Porcentual 2 23 20 2" xfId="6505" xr:uid="{00000000-0005-0000-0000-000074230000}"/>
    <cellStyle name="Porcentual 2 23 21" xfId="2872" xr:uid="{00000000-0005-0000-0000-000075230000}"/>
    <cellStyle name="Porcentual 2 23 21 2" xfId="6506" xr:uid="{00000000-0005-0000-0000-000076230000}"/>
    <cellStyle name="Porcentual 2 23 22" xfId="2873" xr:uid="{00000000-0005-0000-0000-000077230000}"/>
    <cellStyle name="Porcentual 2 23 22 2" xfId="6507" xr:uid="{00000000-0005-0000-0000-000078230000}"/>
    <cellStyle name="Porcentual 2 23 23" xfId="2874" xr:uid="{00000000-0005-0000-0000-000079230000}"/>
    <cellStyle name="Porcentual 2 23 23 2" xfId="6508" xr:uid="{00000000-0005-0000-0000-00007A230000}"/>
    <cellStyle name="Porcentual 2 23 24" xfId="2875" xr:uid="{00000000-0005-0000-0000-00007B230000}"/>
    <cellStyle name="Porcentual 2 23 24 2" xfId="6509" xr:uid="{00000000-0005-0000-0000-00007C230000}"/>
    <cellStyle name="Porcentual 2 23 25" xfId="2876" xr:uid="{00000000-0005-0000-0000-00007D230000}"/>
    <cellStyle name="Porcentual 2 23 25 2" xfId="6510" xr:uid="{00000000-0005-0000-0000-00007E230000}"/>
    <cellStyle name="Porcentual 2 23 26" xfId="2877" xr:uid="{00000000-0005-0000-0000-00007F230000}"/>
    <cellStyle name="Porcentual 2 23 26 2" xfId="6511" xr:uid="{00000000-0005-0000-0000-000080230000}"/>
    <cellStyle name="Porcentual 2 23 27" xfId="2878" xr:uid="{00000000-0005-0000-0000-000081230000}"/>
    <cellStyle name="Porcentual 2 23 27 2" xfId="6512" xr:uid="{00000000-0005-0000-0000-000082230000}"/>
    <cellStyle name="Porcentual 2 23 28" xfId="2879" xr:uid="{00000000-0005-0000-0000-000083230000}"/>
    <cellStyle name="Porcentual 2 23 28 2" xfId="6513" xr:uid="{00000000-0005-0000-0000-000084230000}"/>
    <cellStyle name="Porcentual 2 23 29" xfId="6514" xr:uid="{00000000-0005-0000-0000-000085230000}"/>
    <cellStyle name="Porcentual 2 23 3" xfId="2880" xr:uid="{00000000-0005-0000-0000-000086230000}"/>
    <cellStyle name="Porcentual 2 23 3 2" xfId="6515" xr:uid="{00000000-0005-0000-0000-000087230000}"/>
    <cellStyle name="Porcentual 2 23 4" xfId="2881" xr:uid="{00000000-0005-0000-0000-000088230000}"/>
    <cellStyle name="Porcentual 2 23 4 2" xfId="6516" xr:uid="{00000000-0005-0000-0000-000089230000}"/>
    <cellStyle name="Porcentual 2 23 5" xfId="2882" xr:uid="{00000000-0005-0000-0000-00008A230000}"/>
    <cellStyle name="Porcentual 2 23 5 2" xfId="6517" xr:uid="{00000000-0005-0000-0000-00008B230000}"/>
    <cellStyle name="Porcentual 2 23 6" xfId="2883" xr:uid="{00000000-0005-0000-0000-00008C230000}"/>
    <cellStyle name="Porcentual 2 23 6 2" xfId="6518" xr:uid="{00000000-0005-0000-0000-00008D230000}"/>
    <cellStyle name="Porcentual 2 23 7" xfId="2884" xr:uid="{00000000-0005-0000-0000-00008E230000}"/>
    <cellStyle name="Porcentual 2 23 7 2" xfId="6519" xr:uid="{00000000-0005-0000-0000-00008F230000}"/>
    <cellStyle name="Porcentual 2 23 8" xfId="2885" xr:uid="{00000000-0005-0000-0000-000090230000}"/>
    <cellStyle name="Porcentual 2 23 8 2" xfId="6520" xr:uid="{00000000-0005-0000-0000-000091230000}"/>
    <cellStyle name="Porcentual 2 23 9" xfId="2886" xr:uid="{00000000-0005-0000-0000-000092230000}"/>
    <cellStyle name="Porcentual 2 23 9 2" xfId="6521" xr:uid="{00000000-0005-0000-0000-000093230000}"/>
    <cellStyle name="Porcentual 2 24" xfId="2887" xr:uid="{00000000-0005-0000-0000-000094230000}"/>
    <cellStyle name="Porcentual 2 24 10" xfId="2888" xr:uid="{00000000-0005-0000-0000-000095230000}"/>
    <cellStyle name="Porcentual 2 24 10 2" xfId="6522" xr:uid="{00000000-0005-0000-0000-000096230000}"/>
    <cellStyle name="Porcentual 2 24 11" xfId="2889" xr:uid="{00000000-0005-0000-0000-000097230000}"/>
    <cellStyle name="Porcentual 2 24 11 2" xfId="6523" xr:uid="{00000000-0005-0000-0000-000098230000}"/>
    <cellStyle name="Porcentual 2 24 12" xfId="2890" xr:uid="{00000000-0005-0000-0000-000099230000}"/>
    <cellStyle name="Porcentual 2 24 12 2" xfId="6524" xr:uid="{00000000-0005-0000-0000-00009A230000}"/>
    <cellStyle name="Porcentual 2 24 13" xfId="2891" xr:uid="{00000000-0005-0000-0000-00009B230000}"/>
    <cellStyle name="Porcentual 2 24 13 2" xfId="6525" xr:uid="{00000000-0005-0000-0000-00009C230000}"/>
    <cellStyle name="Porcentual 2 24 14" xfId="2892" xr:uid="{00000000-0005-0000-0000-00009D230000}"/>
    <cellStyle name="Porcentual 2 24 14 2" xfId="6526" xr:uid="{00000000-0005-0000-0000-00009E230000}"/>
    <cellStyle name="Porcentual 2 24 15" xfId="2893" xr:uid="{00000000-0005-0000-0000-00009F230000}"/>
    <cellStyle name="Porcentual 2 24 15 2" xfId="6527" xr:uid="{00000000-0005-0000-0000-0000A0230000}"/>
    <cellStyle name="Porcentual 2 24 16" xfId="2894" xr:uid="{00000000-0005-0000-0000-0000A1230000}"/>
    <cellStyle name="Porcentual 2 24 16 2" xfId="6528" xr:uid="{00000000-0005-0000-0000-0000A2230000}"/>
    <cellStyle name="Porcentual 2 24 17" xfId="2895" xr:uid="{00000000-0005-0000-0000-0000A3230000}"/>
    <cellStyle name="Porcentual 2 24 17 2" xfId="6529" xr:uid="{00000000-0005-0000-0000-0000A4230000}"/>
    <cellStyle name="Porcentual 2 24 18" xfId="2896" xr:uid="{00000000-0005-0000-0000-0000A5230000}"/>
    <cellStyle name="Porcentual 2 24 18 2" xfId="6530" xr:uid="{00000000-0005-0000-0000-0000A6230000}"/>
    <cellStyle name="Porcentual 2 24 19" xfId="2897" xr:uid="{00000000-0005-0000-0000-0000A7230000}"/>
    <cellStyle name="Porcentual 2 24 19 2" xfId="6531" xr:uid="{00000000-0005-0000-0000-0000A8230000}"/>
    <cellStyle name="Porcentual 2 24 2" xfId="2898" xr:uid="{00000000-0005-0000-0000-0000A9230000}"/>
    <cellStyle name="Porcentual 2 24 2 2" xfId="6532" xr:uid="{00000000-0005-0000-0000-0000AA230000}"/>
    <cellStyle name="Porcentual 2 24 20" xfId="2899" xr:uid="{00000000-0005-0000-0000-0000AB230000}"/>
    <cellStyle name="Porcentual 2 24 20 2" xfId="6533" xr:uid="{00000000-0005-0000-0000-0000AC230000}"/>
    <cellStyle name="Porcentual 2 24 21" xfId="2900" xr:uid="{00000000-0005-0000-0000-0000AD230000}"/>
    <cellStyle name="Porcentual 2 24 21 2" xfId="6534" xr:uid="{00000000-0005-0000-0000-0000AE230000}"/>
    <cellStyle name="Porcentual 2 24 22" xfId="2901" xr:uid="{00000000-0005-0000-0000-0000AF230000}"/>
    <cellStyle name="Porcentual 2 24 22 2" xfId="6535" xr:uid="{00000000-0005-0000-0000-0000B0230000}"/>
    <cellStyle name="Porcentual 2 24 23" xfId="2902" xr:uid="{00000000-0005-0000-0000-0000B1230000}"/>
    <cellStyle name="Porcentual 2 24 23 2" xfId="6536" xr:uid="{00000000-0005-0000-0000-0000B2230000}"/>
    <cellStyle name="Porcentual 2 24 24" xfId="2903" xr:uid="{00000000-0005-0000-0000-0000B3230000}"/>
    <cellStyle name="Porcentual 2 24 24 2" xfId="6537" xr:uid="{00000000-0005-0000-0000-0000B4230000}"/>
    <cellStyle name="Porcentual 2 24 25" xfId="2904" xr:uid="{00000000-0005-0000-0000-0000B5230000}"/>
    <cellStyle name="Porcentual 2 24 25 2" xfId="6538" xr:uid="{00000000-0005-0000-0000-0000B6230000}"/>
    <cellStyle name="Porcentual 2 24 26" xfId="2905" xr:uid="{00000000-0005-0000-0000-0000B7230000}"/>
    <cellStyle name="Porcentual 2 24 26 2" xfId="6539" xr:uid="{00000000-0005-0000-0000-0000B8230000}"/>
    <cellStyle name="Porcentual 2 24 27" xfId="2906" xr:uid="{00000000-0005-0000-0000-0000B9230000}"/>
    <cellStyle name="Porcentual 2 24 27 2" xfId="6540" xr:uid="{00000000-0005-0000-0000-0000BA230000}"/>
    <cellStyle name="Porcentual 2 24 28" xfId="2907" xr:uid="{00000000-0005-0000-0000-0000BB230000}"/>
    <cellStyle name="Porcentual 2 24 28 2" xfId="6541" xr:uid="{00000000-0005-0000-0000-0000BC230000}"/>
    <cellStyle name="Porcentual 2 24 29" xfId="6542" xr:uid="{00000000-0005-0000-0000-0000BD230000}"/>
    <cellStyle name="Porcentual 2 24 3" xfId="2908" xr:uid="{00000000-0005-0000-0000-0000BE230000}"/>
    <cellStyle name="Porcentual 2 24 3 2" xfId="6543" xr:uid="{00000000-0005-0000-0000-0000BF230000}"/>
    <cellStyle name="Porcentual 2 24 4" xfId="2909" xr:uid="{00000000-0005-0000-0000-0000C0230000}"/>
    <cellStyle name="Porcentual 2 24 4 2" xfId="6544" xr:uid="{00000000-0005-0000-0000-0000C1230000}"/>
    <cellStyle name="Porcentual 2 24 5" xfId="2910" xr:uid="{00000000-0005-0000-0000-0000C2230000}"/>
    <cellStyle name="Porcentual 2 24 5 2" xfId="6545" xr:uid="{00000000-0005-0000-0000-0000C3230000}"/>
    <cellStyle name="Porcentual 2 24 6" xfId="2911" xr:uid="{00000000-0005-0000-0000-0000C4230000}"/>
    <cellStyle name="Porcentual 2 24 6 2" xfId="6546" xr:uid="{00000000-0005-0000-0000-0000C5230000}"/>
    <cellStyle name="Porcentual 2 24 7" xfId="2912" xr:uid="{00000000-0005-0000-0000-0000C6230000}"/>
    <cellStyle name="Porcentual 2 24 7 2" xfId="6547" xr:uid="{00000000-0005-0000-0000-0000C7230000}"/>
    <cellStyle name="Porcentual 2 24 8" xfId="2913" xr:uid="{00000000-0005-0000-0000-0000C8230000}"/>
    <cellStyle name="Porcentual 2 24 8 2" xfId="6548" xr:uid="{00000000-0005-0000-0000-0000C9230000}"/>
    <cellStyle name="Porcentual 2 24 9" xfId="2914" xr:uid="{00000000-0005-0000-0000-0000CA230000}"/>
    <cellStyle name="Porcentual 2 24 9 2" xfId="6549" xr:uid="{00000000-0005-0000-0000-0000CB230000}"/>
    <cellStyle name="Porcentual 2 25" xfId="2915" xr:uid="{00000000-0005-0000-0000-0000CC230000}"/>
    <cellStyle name="Porcentual 2 25 10" xfId="2916" xr:uid="{00000000-0005-0000-0000-0000CD230000}"/>
    <cellStyle name="Porcentual 2 25 10 2" xfId="6550" xr:uid="{00000000-0005-0000-0000-0000CE230000}"/>
    <cellStyle name="Porcentual 2 25 11" xfId="2917" xr:uid="{00000000-0005-0000-0000-0000CF230000}"/>
    <cellStyle name="Porcentual 2 25 11 2" xfId="6551" xr:uid="{00000000-0005-0000-0000-0000D0230000}"/>
    <cellStyle name="Porcentual 2 25 12" xfId="2918" xr:uid="{00000000-0005-0000-0000-0000D1230000}"/>
    <cellStyle name="Porcentual 2 25 12 2" xfId="6552" xr:uid="{00000000-0005-0000-0000-0000D2230000}"/>
    <cellStyle name="Porcentual 2 25 13" xfId="2919" xr:uid="{00000000-0005-0000-0000-0000D3230000}"/>
    <cellStyle name="Porcentual 2 25 13 2" xfId="6553" xr:uid="{00000000-0005-0000-0000-0000D4230000}"/>
    <cellStyle name="Porcentual 2 25 14" xfId="2920" xr:uid="{00000000-0005-0000-0000-0000D5230000}"/>
    <cellStyle name="Porcentual 2 25 14 2" xfId="6554" xr:uid="{00000000-0005-0000-0000-0000D6230000}"/>
    <cellStyle name="Porcentual 2 25 15" xfId="2921" xr:uid="{00000000-0005-0000-0000-0000D7230000}"/>
    <cellStyle name="Porcentual 2 25 15 2" xfId="6555" xr:uid="{00000000-0005-0000-0000-0000D8230000}"/>
    <cellStyle name="Porcentual 2 25 16" xfId="2922" xr:uid="{00000000-0005-0000-0000-0000D9230000}"/>
    <cellStyle name="Porcentual 2 25 16 2" xfId="6556" xr:uid="{00000000-0005-0000-0000-0000DA230000}"/>
    <cellStyle name="Porcentual 2 25 17" xfId="2923" xr:uid="{00000000-0005-0000-0000-0000DB230000}"/>
    <cellStyle name="Porcentual 2 25 17 2" xfId="6557" xr:uid="{00000000-0005-0000-0000-0000DC230000}"/>
    <cellStyle name="Porcentual 2 25 18" xfId="2924" xr:uid="{00000000-0005-0000-0000-0000DD230000}"/>
    <cellStyle name="Porcentual 2 25 18 2" xfId="6558" xr:uid="{00000000-0005-0000-0000-0000DE230000}"/>
    <cellStyle name="Porcentual 2 25 19" xfId="2925" xr:uid="{00000000-0005-0000-0000-0000DF230000}"/>
    <cellStyle name="Porcentual 2 25 19 2" xfId="6559" xr:uid="{00000000-0005-0000-0000-0000E0230000}"/>
    <cellStyle name="Porcentual 2 25 2" xfId="2926" xr:uid="{00000000-0005-0000-0000-0000E1230000}"/>
    <cellStyle name="Porcentual 2 25 2 2" xfId="6560" xr:uid="{00000000-0005-0000-0000-0000E2230000}"/>
    <cellStyle name="Porcentual 2 25 20" xfId="2927" xr:uid="{00000000-0005-0000-0000-0000E3230000}"/>
    <cellStyle name="Porcentual 2 25 20 2" xfId="6561" xr:uid="{00000000-0005-0000-0000-0000E4230000}"/>
    <cellStyle name="Porcentual 2 25 21" xfId="2928" xr:uid="{00000000-0005-0000-0000-0000E5230000}"/>
    <cellStyle name="Porcentual 2 25 21 2" xfId="6562" xr:uid="{00000000-0005-0000-0000-0000E6230000}"/>
    <cellStyle name="Porcentual 2 25 22" xfId="2929" xr:uid="{00000000-0005-0000-0000-0000E7230000}"/>
    <cellStyle name="Porcentual 2 25 22 2" xfId="6563" xr:uid="{00000000-0005-0000-0000-0000E8230000}"/>
    <cellStyle name="Porcentual 2 25 23" xfId="2930" xr:uid="{00000000-0005-0000-0000-0000E9230000}"/>
    <cellStyle name="Porcentual 2 25 23 2" xfId="6564" xr:uid="{00000000-0005-0000-0000-0000EA230000}"/>
    <cellStyle name="Porcentual 2 25 24" xfId="2931" xr:uid="{00000000-0005-0000-0000-0000EB230000}"/>
    <cellStyle name="Porcentual 2 25 24 2" xfId="6565" xr:uid="{00000000-0005-0000-0000-0000EC230000}"/>
    <cellStyle name="Porcentual 2 25 25" xfId="2932" xr:uid="{00000000-0005-0000-0000-0000ED230000}"/>
    <cellStyle name="Porcentual 2 25 25 2" xfId="6566" xr:uid="{00000000-0005-0000-0000-0000EE230000}"/>
    <cellStyle name="Porcentual 2 25 26" xfId="2933" xr:uid="{00000000-0005-0000-0000-0000EF230000}"/>
    <cellStyle name="Porcentual 2 25 26 2" xfId="6567" xr:uid="{00000000-0005-0000-0000-0000F0230000}"/>
    <cellStyle name="Porcentual 2 25 27" xfId="2934" xr:uid="{00000000-0005-0000-0000-0000F1230000}"/>
    <cellStyle name="Porcentual 2 25 27 2" xfId="6568" xr:uid="{00000000-0005-0000-0000-0000F2230000}"/>
    <cellStyle name="Porcentual 2 25 28" xfId="2935" xr:uid="{00000000-0005-0000-0000-0000F3230000}"/>
    <cellStyle name="Porcentual 2 25 28 2" xfId="6569" xr:uid="{00000000-0005-0000-0000-0000F4230000}"/>
    <cellStyle name="Porcentual 2 25 29" xfId="6570" xr:uid="{00000000-0005-0000-0000-0000F5230000}"/>
    <cellStyle name="Porcentual 2 25 3" xfId="2936" xr:uid="{00000000-0005-0000-0000-0000F6230000}"/>
    <cellStyle name="Porcentual 2 25 3 2" xfId="6571" xr:uid="{00000000-0005-0000-0000-0000F7230000}"/>
    <cellStyle name="Porcentual 2 25 4" xfId="2937" xr:uid="{00000000-0005-0000-0000-0000F8230000}"/>
    <cellStyle name="Porcentual 2 25 4 2" xfId="6572" xr:uid="{00000000-0005-0000-0000-0000F9230000}"/>
    <cellStyle name="Porcentual 2 25 5" xfId="2938" xr:uid="{00000000-0005-0000-0000-0000FA230000}"/>
    <cellStyle name="Porcentual 2 25 5 2" xfId="6573" xr:uid="{00000000-0005-0000-0000-0000FB230000}"/>
    <cellStyle name="Porcentual 2 25 6" xfId="2939" xr:uid="{00000000-0005-0000-0000-0000FC230000}"/>
    <cellStyle name="Porcentual 2 25 6 2" xfId="6574" xr:uid="{00000000-0005-0000-0000-0000FD230000}"/>
    <cellStyle name="Porcentual 2 25 7" xfId="2940" xr:uid="{00000000-0005-0000-0000-0000FE230000}"/>
    <cellStyle name="Porcentual 2 25 7 2" xfId="6575" xr:uid="{00000000-0005-0000-0000-0000FF230000}"/>
    <cellStyle name="Porcentual 2 25 8" xfId="2941" xr:uid="{00000000-0005-0000-0000-000000240000}"/>
    <cellStyle name="Porcentual 2 25 8 2" xfId="6576" xr:uid="{00000000-0005-0000-0000-000001240000}"/>
    <cellStyle name="Porcentual 2 25 9" xfId="2942" xr:uid="{00000000-0005-0000-0000-000002240000}"/>
    <cellStyle name="Porcentual 2 25 9 2" xfId="6577" xr:uid="{00000000-0005-0000-0000-000003240000}"/>
    <cellStyle name="Porcentual 2 26" xfId="2943" xr:uid="{00000000-0005-0000-0000-000004240000}"/>
    <cellStyle name="Porcentual 2 26 10" xfId="2944" xr:uid="{00000000-0005-0000-0000-000005240000}"/>
    <cellStyle name="Porcentual 2 26 10 2" xfId="6578" xr:uid="{00000000-0005-0000-0000-000006240000}"/>
    <cellStyle name="Porcentual 2 26 11" xfId="2945" xr:uid="{00000000-0005-0000-0000-000007240000}"/>
    <cellStyle name="Porcentual 2 26 11 2" xfId="6579" xr:uid="{00000000-0005-0000-0000-000008240000}"/>
    <cellStyle name="Porcentual 2 26 12" xfId="2946" xr:uid="{00000000-0005-0000-0000-000009240000}"/>
    <cellStyle name="Porcentual 2 26 12 2" xfId="6580" xr:uid="{00000000-0005-0000-0000-00000A240000}"/>
    <cellStyle name="Porcentual 2 26 13" xfId="2947" xr:uid="{00000000-0005-0000-0000-00000B240000}"/>
    <cellStyle name="Porcentual 2 26 13 2" xfId="6581" xr:uid="{00000000-0005-0000-0000-00000C240000}"/>
    <cellStyle name="Porcentual 2 26 14" xfId="2948" xr:uid="{00000000-0005-0000-0000-00000D240000}"/>
    <cellStyle name="Porcentual 2 26 14 2" xfId="6582" xr:uid="{00000000-0005-0000-0000-00000E240000}"/>
    <cellStyle name="Porcentual 2 26 15" xfId="2949" xr:uid="{00000000-0005-0000-0000-00000F240000}"/>
    <cellStyle name="Porcentual 2 26 15 2" xfId="6583" xr:uid="{00000000-0005-0000-0000-000010240000}"/>
    <cellStyle name="Porcentual 2 26 16" xfId="2950" xr:uid="{00000000-0005-0000-0000-000011240000}"/>
    <cellStyle name="Porcentual 2 26 16 2" xfId="6584" xr:uid="{00000000-0005-0000-0000-000012240000}"/>
    <cellStyle name="Porcentual 2 26 17" xfId="2951" xr:uid="{00000000-0005-0000-0000-000013240000}"/>
    <cellStyle name="Porcentual 2 26 17 2" xfId="6585" xr:uid="{00000000-0005-0000-0000-000014240000}"/>
    <cellStyle name="Porcentual 2 26 18" xfId="2952" xr:uid="{00000000-0005-0000-0000-000015240000}"/>
    <cellStyle name="Porcentual 2 26 18 2" xfId="6586" xr:uid="{00000000-0005-0000-0000-000016240000}"/>
    <cellStyle name="Porcentual 2 26 19" xfId="2953" xr:uid="{00000000-0005-0000-0000-000017240000}"/>
    <cellStyle name="Porcentual 2 26 19 2" xfId="6587" xr:uid="{00000000-0005-0000-0000-000018240000}"/>
    <cellStyle name="Porcentual 2 26 2" xfId="2954" xr:uid="{00000000-0005-0000-0000-000019240000}"/>
    <cellStyle name="Porcentual 2 26 2 2" xfId="6588" xr:uid="{00000000-0005-0000-0000-00001A240000}"/>
    <cellStyle name="Porcentual 2 26 20" xfId="2955" xr:uid="{00000000-0005-0000-0000-00001B240000}"/>
    <cellStyle name="Porcentual 2 26 20 2" xfId="6589" xr:uid="{00000000-0005-0000-0000-00001C240000}"/>
    <cellStyle name="Porcentual 2 26 21" xfId="2956" xr:uid="{00000000-0005-0000-0000-00001D240000}"/>
    <cellStyle name="Porcentual 2 26 21 2" xfId="6590" xr:uid="{00000000-0005-0000-0000-00001E240000}"/>
    <cellStyle name="Porcentual 2 26 22" xfId="2957" xr:uid="{00000000-0005-0000-0000-00001F240000}"/>
    <cellStyle name="Porcentual 2 26 22 2" xfId="6591" xr:uid="{00000000-0005-0000-0000-000020240000}"/>
    <cellStyle name="Porcentual 2 26 23" xfId="2958" xr:uid="{00000000-0005-0000-0000-000021240000}"/>
    <cellStyle name="Porcentual 2 26 23 2" xfId="6592" xr:uid="{00000000-0005-0000-0000-000022240000}"/>
    <cellStyle name="Porcentual 2 26 24" xfId="2959" xr:uid="{00000000-0005-0000-0000-000023240000}"/>
    <cellStyle name="Porcentual 2 26 24 2" xfId="6593" xr:uid="{00000000-0005-0000-0000-000024240000}"/>
    <cellStyle name="Porcentual 2 26 25" xfId="2960" xr:uid="{00000000-0005-0000-0000-000025240000}"/>
    <cellStyle name="Porcentual 2 26 25 2" xfId="6594" xr:uid="{00000000-0005-0000-0000-000026240000}"/>
    <cellStyle name="Porcentual 2 26 26" xfId="2961" xr:uid="{00000000-0005-0000-0000-000027240000}"/>
    <cellStyle name="Porcentual 2 26 26 2" xfId="6595" xr:uid="{00000000-0005-0000-0000-000028240000}"/>
    <cellStyle name="Porcentual 2 26 27" xfId="2962" xr:uid="{00000000-0005-0000-0000-000029240000}"/>
    <cellStyle name="Porcentual 2 26 27 2" xfId="6596" xr:uid="{00000000-0005-0000-0000-00002A240000}"/>
    <cellStyle name="Porcentual 2 26 28" xfId="2963" xr:uid="{00000000-0005-0000-0000-00002B240000}"/>
    <cellStyle name="Porcentual 2 26 28 2" xfId="6597" xr:uid="{00000000-0005-0000-0000-00002C240000}"/>
    <cellStyle name="Porcentual 2 26 29" xfId="6598" xr:uid="{00000000-0005-0000-0000-00002D240000}"/>
    <cellStyle name="Porcentual 2 26 3" xfId="2964" xr:uid="{00000000-0005-0000-0000-00002E240000}"/>
    <cellStyle name="Porcentual 2 26 3 2" xfId="6599" xr:uid="{00000000-0005-0000-0000-00002F240000}"/>
    <cellStyle name="Porcentual 2 26 4" xfId="2965" xr:uid="{00000000-0005-0000-0000-000030240000}"/>
    <cellStyle name="Porcentual 2 26 4 2" xfId="6600" xr:uid="{00000000-0005-0000-0000-000031240000}"/>
    <cellStyle name="Porcentual 2 26 5" xfId="2966" xr:uid="{00000000-0005-0000-0000-000032240000}"/>
    <cellStyle name="Porcentual 2 26 5 2" xfId="6601" xr:uid="{00000000-0005-0000-0000-000033240000}"/>
    <cellStyle name="Porcentual 2 26 6" xfId="2967" xr:uid="{00000000-0005-0000-0000-000034240000}"/>
    <cellStyle name="Porcentual 2 26 6 2" xfId="6602" xr:uid="{00000000-0005-0000-0000-000035240000}"/>
    <cellStyle name="Porcentual 2 26 7" xfId="2968" xr:uid="{00000000-0005-0000-0000-000036240000}"/>
    <cellStyle name="Porcentual 2 26 7 2" xfId="6603" xr:uid="{00000000-0005-0000-0000-000037240000}"/>
    <cellStyle name="Porcentual 2 26 8" xfId="2969" xr:uid="{00000000-0005-0000-0000-000038240000}"/>
    <cellStyle name="Porcentual 2 26 8 2" xfId="6604" xr:uid="{00000000-0005-0000-0000-000039240000}"/>
    <cellStyle name="Porcentual 2 26 9" xfId="2970" xr:uid="{00000000-0005-0000-0000-00003A240000}"/>
    <cellStyle name="Porcentual 2 26 9 2" xfId="6605" xr:uid="{00000000-0005-0000-0000-00003B240000}"/>
    <cellStyle name="Porcentual 2 27" xfId="2971" xr:uid="{00000000-0005-0000-0000-00003C240000}"/>
    <cellStyle name="Porcentual 2 27 10" xfId="2972" xr:uid="{00000000-0005-0000-0000-00003D240000}"/>
    <cellStyle name="Porcentual 2 27 10 2" xfId="6606" xr:uid="{00000000-0005-0000-0000-00003E240000}"/>
    <cellStyle name="Porcentual 2 27 11" xfId="2973" xr:uid="{00000000-0005-0000-0000-00003F240000}"/>
    <cellStyle name="Porcentual 2 27 11 2" xfId="6607" xr:uid="{00000000-0005-0000-0000-000040240000}"/>
    <cellStyle name="Porcentual 2 27 12" xfId="2974" xr:uid="{00000000-0005-0000-0000-000041240000}"/>
    <cellStyle name="Porcentual 2 27 12 2" xfId="6608" xr:uid="{00000000-0005-0000-0000-000042240000}"/>
    <cellStyle name="Porcentual 2 27 13" xfId="2975" xr:uid="{00000000-0005-0000-0000-000043240000}"/>
    <cellStyle name="Porcentual 2 27 13 2" xfId="6609" xr:uid="{00000000-0005-0000-0000-000044240000}"/>
    <cellStyle name="Porcentual 2 27 14" xfId="2976" xr:uid="{00000000-0005-0000-0000-000045240000}"/>
    <cellStyle name="Porcentual 2 27 14 2" xfId="6610" xr:uid="{00000000-0005-0000-0000-000046240000}"/>
    <cellStyle name="Porcentual 2 27 15" xfId="2977" xr:uid="{00000000-0005-0000-0000-000047240000}"/>
    <cellStyle name="Porcentual 2 27 15 2" xfId="6611" xr:uid="{00000000-0005-0000-0000-000048240000}"/>
    <cellStyle name="Porcentual 2 27 16" xfId="2978" xr:uid="{00000000-0005-0000-0000-000049240000}"/>
    <cellStyle name="Porcentual 2 27 16 2" xfId="6612" xr:uid="{00000000-0005-0000-0000-00004A240000}"/>
    <cellStyle name="Porcentual 2 27 17" xfId="2979" xr:uid="{00000000-0005-0000-0000-00004B240000}"/>
    <cellStyle name="Porcentual 2 27 17 2" xfId="6613" xr:uid="{00000000-0005-0000-0000-00004C240000}"/>
    <cellStyle name="Porcentual 2 27 18" xfId="2980" xr:uid="{00000000-0005-0000-0000-00004D240000}"/>
    <cellStyle name="Porcentual 2 27 18 2" xfId="6614" xr:uid="{00000000-0005-0000-0000-00004E240000}"/>
    <cellStyle name="Porcentual 2 27 19" xfId="2981" xr:uid="{00000000-0005-0000-0000-00004F240000}"/>
    <cellStyle name="Porcentual 2 27 19 2" xfId="6615" xr:uid="{00000000-0005-0000-0000-000050240000}"/>
    <cellStyle name="Porcentual 2 27 2" xfId="2982" xr:uid="{00000000-0005-0000-0000-000051240000}"/>
    <cellStyle name="Porcentual 2 27 2 2" xfId="6616" xr:uid="{00000000-0005-0000-0000-000052240000}"/>
    <cellStyle name="Porcentual 2 27 20" xfId="2983" xr:uid="{00000000-0005-0000-0000-000053240000}"/>
    <cellStyle name="Porcentual 2 27 20 2" xfId="6617" xr:uid="{00000000-0005-0000-0000-000054240000}"/>
    <cellStyle name="Porcentual 2 27 21" xfId="2984" xr:uid="{00000000-0005-0000-0000-000055240000}"/>
    <cellStyle name="Porcentual 2 27 21 2" xfId="6618" xr:uid="{00000000-0005-0000-0000-000056240000}"/>
    <cellStyle name="Porcentual 2 27 22" xfId="2985" xr:uid="{00000000-0005-0000-0000-000057240000}"/>
    <cellStyle name="Porcentual 2 27 22 2" xfId="6619" xr:uid="{00000000-0005-0000-0000-000058240000}"/>
    <cellStyle name="Porcentual 2 27 23" xfId="2986" xr:uid="{00000000-0005-0000-0000-000059240000}"/>
    <cellStyle name="Porcentual 2 27 23 2" xfId="6620" xr:uid="{00000000-0005-0000-0000-00005A240000}"/>
    <cellStyle name="Porcentual 2 27 24" xfId="2987" xr:uid="{00000000-0005-0000-0000-00005B240000}"/>
    <cellStyle name="Porcentual 2 27 24 2" xfId="6621" xr:uid="{00000000-0005-0000-0000-00005C240000}"/>
    <cellStyle name="Porcentual 2 27 25" xfId="2988" xr:uid="{00000000-0005-0000-0000-00005D240000}"/>
    <cellStyle name="Porcentual 2 27 25 2" xfId="6622" xr:uid="{00000000-0005-0000-0000-00005E240000}"/>
    <cellStyle name="Porcentual 2 27 26" xfId="2989" xr:uid="{00000000-0005-0000-0000-00005F240000}"/>
    <cellStyle name="Porcentual 2 27 26 2" xfId="6623" xr:uid="{00000000-0005-0000-0000-000060240000}"/>
    <cellStyle name="Porcentual 2 27 27" xfId="2990" xr:uid="{00000000-0005-0000-0000-000061240000}"/>
    <cellStyle name="Porcentual 2 27 27 2" xfId="6624" xr:uid="{00000000-0005-0000-0000-000062240000}"/>
    <cellStyle name="Porcentual 2 27 28" xfId="2991" xr:uid="{00000000-0005-0000-0000-000063240000}"/>
    <cellStyle name="Porcentual 2 27 28 2" xfId="6625" xr:uid="{00000000-0005-0000-0000-000064240000}"/>
    <cellStyle name="Porcentual 2 27 29" xfId="6626" xr:uid="{00000000-0005-0000-0000-000065240000}"/>
    <cellStyle name="Porcentual 2 27 3" xfId="2992" xr:uid="{00000000-0005-0000-0000-000066240000}"/>
    <cellStyle name="Porcentual 2 27 3 2" xfId="6627" xr:uid="{00000000-0005-0000-0000-000067240000}"/>
    <cellStyle name="Porcentual 2 27 4" xfId="2993" xr:uid="{00000000-0005-0000-0000-000068240000}"/>
    <cellStyle name="Porcentual 2 27 4 2" xfId="6628" xr:uid="{00000000-0005-0000-0000-000069240000}"/>
    <cellStyle name="Porcentual 2 27 5" xfId="2994" xr:uid="{00000000-0005-0000-0000-00006A240000}"/>
    <cellStyle name="Porcentual 2 27 5 2" xfId="6629" xr:uid="{00000000-0005-0000-0000-00006B240000}"/>
    <cellStyle name="Porcentual 2 27 6" xfId="2995" xr:uid="{00000000-0005-0000-0000-00006C240000}"/>
    <cellStyle name="Porcentual 2 27 6 2" xfId="6630" xr:uid="{00000000-0005-0000-0000-00006D240000}"/>
    <cellStyle name="Porcentual 2 27 7" xfId="2996" xr:uid="{00000000-0005-0000-0000-00006E240000}"/>
    <cellStyle name="Porcentual 2 27 7 2" xfId="6631" xr:uid="{00000000-0005-0000-0000-00006F240000}"/>
    <cellStyle name="Porcentual 2 27 8" xfId="2997" xr:uid="{00000000-0005-0000-0000-000070240000}"/>
    <cellStyle name="Porcentual 2 27 8 2" xfId="6632" xr:uid="{00000000-0005-0000-0000-000071240000}"/>
    <cellStyle name="Porcentual 2 27 9" xfId="2998" xr:uid="{00000000-0005-0000-0000-000072240000}"/>
    <cellStyle name="Porcentual 2 27 9 2" xfId="6633" xr:uid="{00000000-0005-0000-0000-000073240000}"/>
    <cellStyle name="Porcentual 2 28" xfId="2999" xr:uid="{00000000-0005-0000-0000-000074240000}"/>
    <cellStyle name="Porcentual 2 28 10" xfId="3000" xr:uid="{00000000-0005-0000-0000-000075240000}"/>
    <cellStyle name="Porcentual 2 28 10 2" xfId="6634" xr:uid="{00000000-0005-0000-0000-000076240000}"/>
    <cellStyle name="Porcentual 2 28 11" xfId="3001" xr:uid="{00000000-0005-0000-0000-000077240000}"/>
    <cellStyle name="Porcentual 2 28 11 2" xfId="6635" xr:uid="{00000000-0005-0000-0000-000078240000}"/>
    <cellStyle name="Porcentual 2 28 12" xfId="3002" xr:uid="{00000000-0005-0000-0000-000079240000}"/>
    <cellStyle name="Porcentual 2 28 12 2" xfId="6636" xr:uid="{00000000-0005-0000-0000-00007A240000}"/>
    <cellStyle name="Porcentual 2 28 13" xfId="3003" xr:uid="{00000000-0005-0000-0000-00007B240000}"/>
    <cellStyle name="Porcentual 2 28 13 2" xfId="6637" xr:uid="{00000000-0005-0000-0000-00007C240000}"/>
    <cellStyle name="Porcentual 2 28 14" xfId="3004" xr:uid="{00000000-0005-0000-0000-00007D240000}"/>
    <cellStyle name="Porcentual 2 28 14 2" xfId="6638" xr:uid="{00000000-0005-0000-0000-00007E240000}"/>
    <cellStyle name="Porcentual 2 28 15" xfId="3005" xr:uid="{00000000-0005-0000-0000-00007F240000}"/>
    <cellStyle name="Porcentual 2 28 15 2" xfId="6639" xr:uid="{00000000-0005-0000-0000-000080240000}"/>
    <cellStyle name="Porcentual 2 28 16" xfId="3006" xr:uid="{00000000-0005-0000-0000-000081240000}"/>
    <cellStyle name="Porcentual 2 28 16 2" xfId="6640" xr:uid="{00000000-0005-0000-0000-000082240000}"/>
    <cellStyle name="Porcentual 2 28 17" xfId="3007" xr:uid="{00000000-0005-0000-0000-000083240000}"/>
    <cellStyle name="Porcentual 2 28 17 2" xfId="6641" xr:uid="{00000000-0005-0000-0000-000084240000}"/>
    <cellStyle name="Porcentual 2 28 18" xfId="3008" xr:uid="{00000000-0005-0000-0000-000085240000}"/>
    <cellStyle name="Porcentual 2 28 18 2" xfId="6642" xr:uid="{00000000-0005-0000-0000-000086240000}"/>
    <cellStyle name="Porcentual 2 28 19" xfId="3009" xr:uid="{00000000-0005-0000-0000-000087240000}"/>
    <cellStyle name="Porcentual 2 28 19 2" xfId="6643" xr:uid="{00000000-0005-0000-0000-000088240000}"/>
    <cellStyle name="Porcentual 2 28 2" xfId="3010" xr:uid="{00000000-0005-0000-0000-000089240000}"/>
    <cellStyle name="Porcentual 2 28 2 2" xfId="6644" xr:uid="{00000000-0005-0000-0000-00008A240000}"/>
    <cellStyle name="Porcentual 2 28 20" xfId="3011" xr:uid="{00000000-0005-0000-0000-00008B240000}"/>
    <cellStyle name="Porcentual 2 28 20 2" xfId="6645" xr:uid="{00000000-0005-0000-0000-00008C240000}"/>
    <cellStyle name="Porcentual 2 28 21" xfId="3012" xr:uid="{00000000-0005-0000-0000-00008D240000}"/>
    <cellStyle name="Porcentual 2 28 21 2" xfId="6646" xr:uid="{00000000-0005-0000-0000-00008E240000}"/>
    <cellStyle name="Porcentual 2 28 22" xfId="3013" xr:uid="{00000000-0005-0000-0000-00008F240000}"/>
    <cellStyle name="Porcentual 2 28 22 2" xfId="6647" xr:uid="{00000000-0005-0000-0000-000090240000}"/>
    <cellStyle name="Porcentual 2 28 23" xfId="3014" xr:uid="{00000000-0005-0000-0000-000091240000}"/>
    <cellStyle name="Porcentual 2 28 23 2" xfId="6648" xr:uid="{00000000-0005-0000-0000-000092240000}"/>
    <cellStyle name="Porcentual 2 28 24" xfId="3015" xr:uid="{00000000-0005-0000-0000-000093240000}"/>
    <cellStyle name="Porcentual 2 28 24 2" xfId="6649" xr:uid="{00000000-0005-0000-0000-000094240000}"/>
    <cellStyle name="Porcentual 2 28 25" xfId="3016" xr:uid="{00000000-0005-0000-0000-000095240000}"/>
    <cellStyle name="Porcentual 2 28 25 2" xfId="6650" xr:uid="{00000000-0005-0000-0000-000096240000}"/>
    <cellStyle name="Porcentual 2 28 26" xfId="3017" xr:uid="{00000000-0005-0000-0000-000097240000}"/>
    <cellStyle name="Porcentual 2 28 26 2" xfId="6651" xr:uid="{00000000-0005-0000-0000-000098240000}"/>
    <cellStyle name="Porcentual 2 28 27" xfId="3018" xr:uid="{00000000-0005-0000-0000-000099240000}"/>
    <cellStyle name="Porcentual 2 28 27 2" xfId="6652" xr:uid="{00000000-0005-0000-0000-00009A240000}"/>
    <cellStyle name="Porcentual 2 28 28" xfId="3019" xr:uid="{00000000-0005-0000-0000-00009B240000}"/>
    <cellStyle name="Porcentual 2 28 28 2" xfId="6653" xr:uid="{00000000-0005-0000-0000-00009C240000}"/>
    <cellStyle name="Porcentual 2 28 29" xfId="6654" xr:uid="{00000000-0005-0000-0000-00009D240000}"/>
    <cellStyle name="Porcentual 2 28 3" xfId="3020" xr:uid="{00000000-0005-0000-0000-00009E240000}"/>
    <cellStyle name="Porcentual 2 28 3 2" xfId="6655" xr:uid="{00000000-0005-0000-0000-00009F240000}"/>
    <cellStyle name="Porcentual 2 28 4" xfId="3021" xr:uid="{00000000-0005-0000-0000-0000A0240000}"/>
    <cellStyle name="Porcentual 2 28 4 2" xfId="6656" xr:uid="{00000000-0005-0000-0000-0000A1240000}"/>
    <cellStyle name="Porcentual 2 28 5" xfId="3022" xr:uid="{00000000-0005-0000-0000-0000A2240000}"/>
    <cellStyle name="Porcentual 2 28 5 2" xfId="6657" xr:uid="{00000000-0005-0000-0000-0000A3240000}"/>
    <cellStyle name="Porcentual 2 28 6" xfId="3023" xr:uid="{00000000-0005-0000-0000-0000A4240000}"/>
    <cellStyle name="Porcentual 2 28 6 2" xfId="6658" xr:uid="{00000000-0005-0000-0000-0000A5240000}"/>
    <cellStyle name="Porcentual 2 28 7" xfId="3024" xr:uid="{00000000-0005-0000-0000-0000A6240000}"/>
    <cellStyle name="Porcentual 2 28 7 2" xfId="6659" xr:uid="{00000000-0005-0000-0000-0000A7240000}"/>
    <cellStyle name="Porcentual 2 28 8" xfId="3025" xr:uid="{00000000-0005-0000-0000-0000A8240000}"/>
    <cellStyle name="Porcentual 2 28 8 2" xfId="6660" xr:uid="{00000000-0005-0000-0000-0000A9240000}"/>
    <cellStyle name="Porcentual 2 28 9" xfId="3026" xr:uid="{00000000-0005-0000-0000-0000AA240000}"/>
    <cellStyle name="Porcentual 2 28 9 2" xfId="6661" xr:uid="{00000000-0005-0000-0000-0000AB240000}"/>
    <cellStyle name="Porcentual 2 29" xfId="3027" xr:uid="{00000000-0005-0000-0000-0000AC240000}"/>
    <cellStyle name="Porcentual 2 29 10" xfId="3028" xr:uid="{00000000-0005-0000-0000-0000AD240000}"/>
    <cellStyle name="Porcentual 2 29 10 2" xfId="6662" xr:uid="{00000000-0005-0000-0000-0000AE240000}"/>
    <cellStyle name="Porcentual 2 29 11" xfId="3029" xr:uid="{00000000-0005-0000-0000-0000AF240000}"/>
    <cellStyle name="Porcentual 2 29 11 2" xfId="6663" xr:uid="{00000000-0005-0000-0000-0000B0240000}"/>
    <cellStyle name="Porcentual 2 29 12" xfId="3030" xr:uid="{00000000-0005-0000-0000-0000B1240000}"/>
    <cellStyle name="Porcentual 2 29 12 2" xfId="6664" xr:uid="{00000000-0005-0000-0000-0000B2240000}"/>
    <cellStyle name="Porcentual 2 29 13" xfId="3031" xr:uid="{00000000-0005-0000-0000-0000B3240000}"/>
    <cellStyle name="Porcentual 2 29 13 2" xfId="6665" xr:uid="{00000000-0005-0000-0000-0000B4240000}"/>
    <cellStyle name="Porcentual 2 29 14" xfId="3032" xr:uid="{00000000-0005-0000-0000-0000B5240000}"/>
    <cellStyle name="Porcentual 2 29 14 2" xfId="6666" xr:uid="{00000000-0005-0000-0000-0000B6240000}"/>
    <cellStyle name="Porcentual 2 29 15" xfId="3033" xr:uid="{00000000-0005-0000-0000-0000B7240000}"/>
    <cellStyle name="Porcentual 2 29 15 2" xfId="6667" xr:uid="{00000000-0005-0000-0000-0000B8240000}"/>
    <cellStyle name="Porcentual 2 29 16" xfId="3034" xr:uid="{00000000-0005-0000-0000-0000B9240000}"/>
    <cellStyle name="Porcentual 2 29 16 2" xfId="6668" xr:uid="{00000000-0005-0000-0000-0000BA240000}"/>
    <cellStyle name="Porcentual 2 29 17" xfId="3035" xr:uid="{00000000-0005-0000-0000-0000BB240000}"/>
    <cellStyle name="Porcentual 2 29 17 2" xfId="6669" xr:uid="{00000000-0005-0000-0000-0000BC240000}"/>
    <cellStyle name="Porcentual 2 29 18" xfId="3036" xr:uid="{00000000-0005-0000-0000-0000BD240000}"/>
    <cellStyle name="Porcentual 2 29 18 2" xfId="6670" xr:uid="{00000000-0005-0000-0000-0000BE240000}"/>
    <cellStyle name="Porcentual 2 29 19" xfId="3037" xr:uid="{00000000-0005-0000-0000-0000BF240000}"/>
    <cellStyle name="Porcentual 2 29 19 2" xfId="6671" xr:uid="{00000000-0005-0000-0000-0000C0240000}"/>
    <cellStyle name="Porcentual 2 29 2" xfId="3038" xr:uid="{00000000-0005-0000-0000-0000C1240000}"/>
    <cellStyle name="Porcentual 2 29 2 2" xfId="6672" xr:uid="{00000000-0005-0000-0000-0000C2240000}"/>
    <cellStyle name="Porcentual 2 29 20" xfId="3039" xr:uid="{00000000-0005-0000-0000-0000C3240000}"/>
    <cellStyle name="Porcentual 2 29 20 2" xfId="6673" xr:uid="{00000000-0005-0000-0000-0000C4240000}"/>
    <cellStyle name="Porcentual 2 29 21" xfId="3040" xr:uid="{00000000-0005-0000-0000-0000C5240000}"/>
    <cellStyle name="Porcentual 2 29 21 2" xfId="6674" xr:uid="{00000000-0005-0000-0000-0000C6240000}"/>
    <cellStyle name="Porcentual 2 29 22" xfId="3041" xr:uid="{00000000-0005-0000-0000-0000C7240000}"/>
    <cellStyle name="Porcentual 2 29 22 2" xfId="6675" xr:uid="{00000000-0005-0000-0000-0000C8240000}"/>
    <cellStyle name="Porcentual 2 29 23" xfId="3042" xr:uid="{00000000-0005-0000-0000-0000C9240000}"/>
    <cellStyle name="Porcentual 2 29 23 2" xfId="6676" xr:uid="{00000000-0005-0000-0000-0000CA240000}"/>
    <cellStyle name="Porcentual 2 29 24" xfId="3043" xr:uid="{00000000-0005-0000-0000-0000CB240000}"/>
    <cellStyle name="Porcentual 2 29 24 2" xfId="6677" xr:uid="{00000000-0005-0000-0000-0000CC240000}"/>
    <cellStyle name="Porcentual 2 29 25" xfId="3044" xr:uid="{00000000-0005-0000-0000-0000CD240000}"/>
    <cellStyle name="Porcentual 2 29 25 2" xfId="6678" xr:uid="{00000000-0005-0000-0000-0000CE240000}"/>
    <cellStyle name="Porcentual 2 29 26" xfId="3045" xr:uid="{00000000-0005-0000-0000-0000CF240000}"/>
    <cellStyle name="Porcentual 2 29 26 2" xfId="6679" xr:uid="{00000000-0005-0000-0000-0000D0240000}"/>
    <cellStyle name="Porcentual 2 29 27" xfId="3046" xr:uid="{00000000-0005-0000-0000-0000D1240000}"/>
    <cellStyle name="Porcentual 2 29 27 2" xfId="6680" xr:uid="{00000000-0005-0000-0000-0000D2240000}"/>
    <cellStyle name="Porcentual 2 29 28" xfId="3047" xr:uid="{00000000-0005-0000-0000-0000D3240000}"/>
    <cellStyle name="Porcentual 2 29 28 2" xfId="6681" xr:uid="{00000000-0005-0000-0000-0000D4240000}"/>
    <cellStyle name="Porcentual 2 29 29" xfId="6682" xr:uid="{00000000-0005-0000-0000-0000D5240000}"/>
    <cellStyle name="Porcentual 2 29 3" xfId="3048" xr:uid="{00000000-0005-0000-0000-0000D6240000}"/>
    <cellStyle name="Porcentual 2 29 3 2" xfId="6683" xr:uid="{00000000-0005-0000-0000-0000D7240000}"/>
    <cellStyle name="Porcentual 2 29 4" xfId="3049" xr:uid="{00000000-0005-0000-0000-0000D8240000}"/>
    <cellStyle name="Porcentual 2 29 4 2" xfId="6684" xr:uid="{00000000-0005-0000-0000-0000D9240000}"/>
    <cellStyle name="Porcentual 2 29 5" xfId="3050" xr:uid="{00000000-0005-0000-0000-0000DA240000}"/>
    <cellStyle name="Porcentual 2 29 5 2" xfId="6685" xr:uid="{00000000-0005-0000-0000-0000DB240000}"/>
    <cellStyle name="Porcentual 2 29 6" xfId="3051" xr:uid="{00000000-0005-0000-0000-0000DC240000}"/>
    <cellStyle name="Porcentual 2 29 6 2" xfId="6686" xr:uid="{00000000-0005-0000-0000-0000DD240000}"/>
    <cellStyle name="Porcentual 2 29 7" xfId="3052" xr:uid="{00000000-0005-0000-0000-0000DE240000}"/>
    <cellStyle name="Porcentual 2 29 7 2" xfId="6687" xr:uid="{00000000-0005-0000-0000-0000DF240000}"/>
    <cellStyle name="Porcentual 2 29 8" xfId="3053" xr:uid="{00000000-0005-0000-0000-0000E0240000}"/>
    <cellStyle name="Porcentual 2 29 8 2" xfId="6688" xr:uid="{00000000-0005-0000-0000-0000E1240000}"/>
    <cellStyle name="Porcentual 2 29 9" xfId="3054" xr:uid="{00000000-0005-0000-0000-0000E2240000}"/>
    <cellStyle name="Porcentual 2 29 9 2" xfId="6689" xr:uid="{00000000-0005-0000-0000-0000E3240000}"/>
    <cellStyle name="Porcentual 2 3" xfId="3055" xr:uid="{00000000-0005-0000-0000-0000E4240000}"/>
    <cellStyle name="Porcentual 2 3 10" xfId="3056" xr:uid="{00000000-0005-0000-0000-0000E5240000}"/>
    <cellStyle name="Porcentual 2 3 10 2" xfId="6690" xr:uid="{00000000-0005-0000-0000-0000E6240000}"/>
    <cellStyle name="Porcentual 2 3 11" xfId="3057" xr:uid="{00000000-0005-0000-0000-0000E7240000}"/>
    <cellStyle name="Porcentual 2 3 11 2" xfId="6691" xr:uid="{00000000-0005-0000-0000-0000E8240000}"/>
    <cellStyle name="Porcentual 2 3 12" xfId="3058" xr:uid="{00000000-0005-0000-0000-0000E9240000}"/>
    <cellStyle name="Porcentual 2 3 12 2" xfId="6692" xr:uid="{00000000-0005-0000-0000-0000EA240000}"/>
    <cellStyle name="Porcentual 2 3 13" xfId="3059" xr:uid="{00000000-0005-0000-0000-0000EB240000}"/>
    <cellStyle name="Porcentual 2 3 13 2" xfId="6693" xr:uid="{00000000-0005-0000-0000-0000EC240000}"/>
    <cellStyle name="Porcentual 2 3 14" xfId="3060" xr:uid="{00000000-0005-0000-0000-0000ED240000}"/>
    <cellStyle name="Porcentual 2 3 14 2" xfId="6694" xr:uid="{00000000-0005-0000-0000-0000EE240000}"/>
    <cellStyle name="Porcentual 2 3 15" xfId="3061" xr:uid="{00000000-0005-0000-0000-0000EF240000}"/>
    <cellStyle name="Porcentual 2 3 15 2" xfId="6695" xr:uid="{00000000-0005-0000-0000-0000F0240000}"/>
    <cellStyle name="Porcentual 2 3 16" xfId="3062" xr:uid="{00000000-0005-0000-0000-0000F1240000}"/>
    <cellStyle name="Porcentual 2 3 16 2" xfId="6696" xr:uid="{00000000-0005-0000-0000-0000F2240000}"/>
    <cellStyle name="Porcentual 2 3 17" xfId="3063" xr:uid="{00000000-0005-0000-0000-0000F3240000}"/>
    <cellStyle name="Porcentual 2 3 17 2" xfId="6697" xr:uid="{00000000-0005-0000-0000-0000F4240000}"/>
    <cellStyle name="Porcentual 2 3 18" xfId="3064" xr:uid="{00000000-0005-0000-0000-0000F5240000}"/>
    <cellStyle name="Porcentual 2 3 18 2" xfId="6698" xr:uid="{00000000-0005-0000-0000-0000F6240000}"/>
    <cellStyle name="Porcentual 2 3 19" xfId="3065" xr:uid="{00000000-0005-0000-0000-0000F7240000}"/>
    <cellStyle name="Porcentual 2 3 19 2" xfId="6699" xr:uid="{00000000-0005-0000-0000-0000F8240000}"/>
    <cellStyle name="Porcentual 2 3 2" xfId="3066" xr:uid="{00000000-0005-0000-0000-0000F9240000}"/>
    <cellStyle name="Porcentual 2 3 2 2" xfId="4272" xr:uid="{00000000-0005-0000-0000-0000FA240000}"/>
    <cellStyle name="Porcentual 2 3 2 2 2" xfId="9707" xr:uid="{00000000-0005-0000-0000-0000FB240000}"/>
    <cellStyle name="Porcentual 2 3 2 2 2 2" xfId="10409" xr:uid="{00000000-0005-0000-0000-0000FC240000}"/>
    <cellStyle name="Porcentual 2 3 2 2 2 2 2" xfId="12144" xr:uid="{00000000-0005-0000-0000-0000FD240000}"/>
    <cellStyle name="Porcentual 2 3 2 2 2 3" xfId="11497" xr:uid="{00000000-0005-0000-0000-0000FE240000}"/>
    <cellStyle name="Porcentual 2 3 2 2 3" xfId="10112" xr:uid="{00000000-0005-0000-0000-0000FF240000}"/>
    <cellStyle name="Porcentual 2 3 2 2 3 2" xfId="11848" xr:uid="{00000000-0005-0000-0000-000000250000}"/>
    <cellStyle name="Porcentual 2 3 2 2 4" xfId="11084" xr:uid="{00000000-0005-0000-0000-000001250000}"/>
    <cellStyle name="Porcentual 2 3 20" xfId="3067" xr:uid="{00000000-0005-0000-0000-000002250000}"/>
    <cellStyle name="Porcentual 2 3 20 2" xfId="6700" xr:uid="{00000000-0005-0000-0000-000003250000}"/>
    <cellStyle name="Porcentual 2 3 21" xfId="3068" xr:uid="{00000000-0005-0000-0000-000004250000}"/>
    <cellStyle name="Porcentual 2 3 21 2" xfId="6701" xr:uid="{00000000-0005-0000-0000-000005250000}"/>
    <cellStyle name="Porcentual 2 3 22" xfId="3069" xr:uid="{00000000-0005-0000-0000-000006250000}"/>
    <cellStyle name="Porcentual 2 3 22 2" xfId="6702" xr:uid="{00000000-0005-0000-0000-000007250000}"/>
    <cellStyle name="Porcentual 2 3 23" xfId="3070" xr:uid="{00000000-0005-0000-0000-000008250000}"/>
    <cellStyle name="Porcentual 2 3 23 2" xfId="6703" xr:uid="{00000000-0005-0000-0000-000009250000}"/>
    <cellStyle name="Porcentual 2 3 24" xfId="3071" xr:uid="{00000000-0005-0000-0000-00000A250000}"/>
    <cellStyle name="Porcentual 2 3 24 2" xfId="6704" xr:uid="{00000000-0005-0000-0000-00000B250000}"/>
    <cellStyle name="Porcentual 2 3 25" xfId="3072" xr:uid="{00000000-0005-0000-0000-00000C250000}"/>
    <cellStyle name="Porcentual 2 3 25 2" xfId="6705" xr:uid="{00000000-0005-0000-0000-00000D250000}"/>
    <cellStyle name="Porcentual 2 3 26" xfId="3073" xr:uid="{00000000-0005-0000-0000-00000E250000}"/>
    <cellStyle name="Porcentual 2 3 26 2" xfId="6706" xr:uid="{00000000-0005-0000-0000-00000F250000}"/>
    <cellStyle name="Porcentual 2 3 27" xfId="3074" xr:uid="{00000000-0005-0000-0000-000010250000}"/>
    <cellStyle name="Porcentual 2 3 27 2" xfId="6707" xr:uid="{00000000-0005-0000-0000-000011250000}"/>
    <cellStyle name="Porcentual 2 3 28" xfId="3075" xr:uid="{00000000-0005-0000-0000-000012250000}"/>
    <cellStyle name="Porcentual 2 3 28 2" xfId="6708" xr:uid="{00000000-0005-0000-0000-000013250000}"/>
    <cellStyle name="Porcentual 2 3 29" xfId="3076" xr:uid="{00000000-0005-0000-0000-000014250000}"/>
    <cellStyle name="Porcentual 2 3 3" xfId="3077" xr:uid="{00000000-0005-0000-0000-000015250000}"/>
    <cellStyle name="Porcentual 2 3 3 2" xfId="6709" xr:uid="{00000000-0005-0000-0000-000016250000}"/>
    <cellStyle name="Porcentual 2 3 30" xfId="3078" xr:uid="{00000000-0005-0000-0000-000017250000}"/>
    <cellStyle name="Porcentual 2 3 31" xfId="3079" xr:uid="{00000000-0005-0000-0000-000018250000}"/>
    <cellStyle name="Porcentual 2 3 32" xfId="3080" xr:uid="{00000000-0005-0000-0000-000019250000}"/>
    <cellStyle name="Porcentual 2 3 33" xfId="3081" xr:uid="{00000000-0005-0000-0000-00001A250000}"/>
    <cellStyle name="Porcentual 2 3 34" xfId="3082" xr:uid="{00000000-0005-0000-0000-00001B250000}"/>
    <cellStyle name="Porcentual 2 3 35" xfId="4140" xr:uid="{00000000-0005-0000-0000-00001C250000}"/>
    <cellStyle name="Porcentual 2 3 35 2" xfId="9604" xr:uid="{00000000-0005-0000-0000-00001D250000}"/>
    <cellStyle name="Porcentual 2 3 35 2 2" xfId="10307" xr:uid="{00000000-0005-0000-0000-00001E250000}"/>
    <cellStyle name="Porcentual 2 3 35 2 2 2" xfId="12042" xr:uid="{00000000-0005-0000-0000-00001F250000}"/>
    <cellStyle name="Porcentual 2 3 35 2 3" xfId="11395" xr:uid="{00000000-0005-0000-0000-000020250000}"/>
    <cellStyle name="Porcentual 2 3 35 3" xfId="10010" xr:uid="{00000000-0005-0000-0000-000021250000}"/>
    <cellStyle name="Porcentual 2 3 35 3 2" xfId="11746" xr:uid="{00000000-0005-0000-0000-000022250000}"/>
    <cellStyle name="Porcentual 2 3 35 4" xfId="10972" xr:uid="{00000000-0005-0000-0000-000023250000}"/>
    <cellStyle name="Porcentual 2 3 36" xfId="4221" xr:uid="{00000000-0005-0000-0000-000024250000}"/>
    <cellStyle name="Porcentual 2 3 36 2" xfId="9656" xr:uid="{00000000-0005-0000-0000-000025250000}"/>
    <cellStyle name="Porcentual 2 3 36 2 2" xfId="10358" xr:uid="{00000000-0005-0000-0000-000026250000}"/>
    <cellStyle name="Porcentual 2 3 36 2 2 2" xfId="12093" xr:uid="{00000000-0005-0000-0000-000027250000}"/>
    <cellStyle name="Porcentual 2 3 36 2 3" xfId="11446" xr:uid="{00000000-0005-0000-0000-000028250000}"/>
    <cellStyle name="Porcentual 2 3 36 3" xfId="10061" xr:uid="{00000000-0005-0000-0000-000029250000}"/>
    <cellStyle name="Porcentual 2 3 36 3 2" xfId="11797" xr:uid="{00000000-0005-0000-0000-00002A250000}"/>
    <cellStyle name="Porcentual 2 3 36 4" xfId="11033" xr:uid="{00000000-0005-0000-0000-00002B250000}"/>
    <cellStyle name="Porcentual 2 3 37" xfId="4345" xr:uid="{00000000-0005-0000-0000-00002C250000}"/>
    <cellStyle name="Porcentual 2 3 37 2" xfId="9756" xr:uid="{00000000-0005-0000-0000-00002D250000}"/>
    <cellStyle name="Porcentual 2 3 37 2 2" xfId="10455" xr:uid="{00000000-0005-0000-0000-00002E250000}"/>
    <cellStyle name="Porcentual 2 3 37 2 2 2" xfId="12190" xr:uid="{00000000-0005-0000-0000-00002F250000}"/>
    <cellStyle name="Porcentual 2 3 37 2 3" xfId="11543" xr:uid="{00000000-0005-0000-0000-000030250000}"/>
    <cellStyle name="Porcentual 2 3 37 3" xfId="10158" xr:uid="{00000000-0005-0000-0000-000031250000}"/>
    <cellStyle name="Porcentual 2 3 37 3 2" xfId="11894" xr:uid="{00000000-0005-0000-0000-000032250000}"/>
    <cellStyle name="Porcentual 2 3 37 4" xfId="11151" xr:uid="{00000000-0005-0000-0000-000033250000}"/>
    <cellStyle name="Porcentual 2 3 4" xfId="3083" xr:uid="{00000000-0005-0000-0000-000034250000}"/>
    <cellStyle name="Porcentual 2 3 4 2" xfId="6710" xr:uid="{00000000-0005-0000-0000-000035250000}"/>
    <cellStyle name="Porcentual 2 3 5" xfId="3084" xr:uid="{00000000-0005-0000-0000-000036250000}"/>
    <cellStyle name="Porcentual 2 3 5 2" xfId="6711" xr:uid="{00000000-0005-0000-0000-000037250000}"/>
    <cellStyle name="Porcentual 2 3 6" xfId="3085" xr:uid="{00000000-0005-0000-0000-000038250000}"/>
    <cellStyle name="Porcentual 2 3 6 2" xfId="6712" xr:uid="{00000000-0005-0000-0000-000039250000}"/>
    <cellStyle name="Porcentual 2 3 7" xfId="3086" xr:uid="{00000000-0005-0000-0000-00003A250000}"/>
    <cellStyle name="Porcentual 2 3 7 2" xfId="6713" xr:uid="{00000000-0005-0000-0000-00003B250000}"/>
    <cellStyle name="Porcentual 2 3 8" xfId="3087" xr:uid="{00000000-0005-0000-0000-00003C250000}"/>
    <cellStyle name="Porcentual 2 3 8 2" xfId="6714" xr:uid="{00000000-0005-0000-0000-00003D250000}"/>
    <cellStyle name="Porcentual 2 3 9" xfId="3088" xr:uid="{00000000-0005-0000-0000-00003E250000}"/>
    <cellStyle name="Porcentual 2 3 9 2" xfId="6715" xr:uid="{00000000-0005-0000-0000-00003F250000}"/>
    <cellStyle name="Porcentual 2 30" xfId="3089" xr:uid="{00000000-0005-0000-0000-000040250000}"/>
    <cellStyle name="Porcentual 2 30 2" xfId="6716" xr:uid="{00000000-0005-0000-0000-000041250000}"/>
    <cellStyle name="Porcentual 2 31" xfId="3090" xr:uid="{00000000-0005-0000-0000-000042250000}"/>
    <cellStyle name="Porcentual 2 31 2" xfId="6717" xr:uid="{00000000-0005-0000-0000-000043250000}"/>
    <cellStyle name="Porcentual 2 32" xfId="3091" xr:uid="{00000000-0005-0000-0000-000044250000}"/>
    <cellStyle name="Porcentual 2 33" xfId="3092" xr:uid="{00000000-0005-0000-0000-000045250000}"/>
    <cellStyle name="Porcentual 2 33 2" xfId="8795" xr:uid="{00000000-0005-0000-0000-000046250000}"/>
    <cellStyle name="Porcentual 2 34" xfId="3093" xr:uid="{00000000-0005-0000-0000-000047250000}"/>
    <cellStyle name="Porcentual 2 34 2" xfId="8796" xr:uid="{00000000-0005-0000-0000-000048250000}"/>
    <cellStyle name="Porcentual 2 35" xfId="3094" xr:uid="{00000000-0005-0000-0000-000049250000}"/>
    <cellStyle name="Porcentual 2 35 2" xfId="8797" xr:uid="{00000000-0005-0000-0000-00004A250000}"/>
    <cellStyle name="Porcentual 2 36" xfId="3095" xr:uid="{00000000-0005-0000-0000-00004B250000}"/>
    <cellStyle name="Porcentual 2 36 2" xfId="8798" xr:uid="{00000000-0005-0000-0000-00004C250000}"/>
    <cellStyle name="Porcentual 2 37" xfId="3096" xr:uid="{00000000-0005-0000-0000-00004D250000}"/>
    <cellStyle name="Porcentual 2 37 2" xfId="8799" xr:uid="{00000000-0005-0000-0000-00004E250000}"/>
    <cellStyle name="Porcentual 2 38" xfId="3097" xr:uid="{00000000-0005-0000-0000-00004F250000}"/>
    <cellStyle name="Porcentual 2 38 2" xfId="8800" xr:uid="{00000000-0005-0000-0000-000050250000}"/>
    <cellStyle name="Porcentual 2 39" xfId="3098" xr:uid="{00000000-0005-0000-0000-000051250000}"/>
    <cellStyle name="Porcentual 2 39 2" xfId="8801" xr:uid="{00000000-0005-0000-0000-000052250000}"/>
    <cellStyle name="Porcentual 2 4" xfId="3099" xr:uid="{00000000-0005-0000-0000-000053250000}"/>
    <cellStyle name="Porcentual 2 4 10" xfId="3100" xr:uid="{00000000-0005-0000-0000-000054250000}"/>
    <cellStyle name="Porcentual 2 4 10 2" xfId="6718" xr:uid="{00000000-0005-0000-0000-000055250000}"/>
    <cellStyle name="Porcentual 2 4 11" xfId="3101" xr:uid="{00000000-0005-0000-0000-000056250000}"/>
    <cellStyle name="Porcentual 2 4 11 2" xfId="6719" xr:uid="{00000000-0005-0000-0000-000057250000}"/>
    <cellStyle name="Porcentual 2 4 12" xfId="3102" xr:uid="{00000000-0005-0000-0000-000058250000}"/>
    <cellStyle name="Porcentual 2 4 12 2" xfId="6720" xr:uid="{00000000-0005-0000-0000-000059250000}"/>
    <cellStyle name="Porcentual 2 4 13" xfId="3103" xr:uid="{00000000-0005-0000-0000-00005A250000}"/>
    <cellStyle name="Porcentual 2 4 13 2" xfId="6721" xr:uid="{00000000-0005-0000-0000-00005B250000}"/>
    <cellStyle name="Porcentual 2 4 14" xfId="3104" xr:uid="{00000000-0005-0000-0000-00005C250000}"/>
    <cellStyle name="Porcentual 2 4 14 2" xfId="6722" xr:uid="{00000000-0005-0000-0000-00005D250000}"/>
    <cellStyle name="Porcentual 2 4 15" xfId="3105" xr:uid="{00000000-0005-0000-0000-00005E250000}"/>
    <cellStyle name="Porcentual 2 4 15 2" xfId="6723" xr:uid="{00000000-0005-0000-0000-00005F250000}"/>
    <cellStyle name="Porcentual 2 4 16" xfId="3106" xr:uid="{00000000-0005-0000-0000-000060250000}"/>
    <cellStyle name="Porcentual 2 4 16 2" xfId="6724" xr:uid="{00000000-0005-0000-0000-000061250000}"/>
    <cellStyle name="Porcentual 2 4 17" xfId="3107" xr:uid="{00000000-0005-0000-0000-000062250000}"/>
    <cellStyle name="Porcentual 2 4 17 2" xfId="6725" xr:uid="{00000000-0005-0000-0000-000063250000}"/>
    <cellStyle name="Porcentual 2 4 18" xfId="3108" xr:uid="{00000000-0005-0000-0000-000064250000}"/>
    <cellStyle name="Porcentual 2 4 18 2" xfId="6726" xr:uid="{00000000-0005-0000-0000-000065250000}"/>
    <cellStyle name="Porcentual 2 4 19" xfId="3109" xr:uid="{00000000-0005-0000-0000-000066250000}"/>
    <cellStyle name="Porcentual 2 4 19 2" xfId="6727" xr:uid="{00000000-0005-0000-0000-000067250000}"/>
    <cellStyle name="Porcentual 2 4 2" xfId="3110" xr:uid="{00000000-0005-0000-0000-000068250000}"/>
    <cellStyle name="Porcentual 2 4 2 2" xfId="4254" xr:uid="{00000000-0005-0000-0000-000069250000}"/>
    <cellStyle name="Porcentual 2 4 2 2 2" xfId="9689" xr:uid="{00000000-0005-0000-0000-00006A250000}"/>
    <cellStyle name="Porcentual 2 4 2 2 2 2" xfId="10391" xr:uid="{00000000-0005-0000-0000-00006B250000}"/>
    <cellStyle name="Porcentual 2 4 2 2 2 2 2" xfId="12126" xr:uid="{00000000-0005-0000-0000-00006C250000}"/>
    <cellStyle name="Porcentual 2 4 2 2 2 3" xfId="11479" xr:uid="{00000000-0005-0000-0000-00006D250000}"/>
    <cellStyle name="Porcentual 2 4 2 2 3" xfId="10094" xr:uid="{00000000-0005-0000-0000-00006E250000}"/>
    <cellStyle name="Porcentual 2 4 2 2 3 2" xfId="11830" xr:uid="{00000000-0005-0000-0000-00006F250000}"/>
    <cellStyle name="Porcentual 2 4 2 2 4" xfId="11066" xr:uid="{00000000-0005-0000-0000-000070250000}"/>
    <cellStyle name="Porcentual 2 4 20" xfId="3111" xr:uid="{00000000-0005-0000-0000-000071250000}"/>
    <cellStyle name="Porcentual 2 4 20 2" xfId="6728" xr:uid="{00000000-0005-0000-0000-000072250000}"/>
    <cellStyle name="Porcentual 2 4 21" xfId="3112" xr:uid="{00000000-0005-0000-0000-000073250000}"/>
    <cellStyle name="Porcentual 2 4 21 2" xfId="6729" xr:uid="{00000000-0005-0000-0000-000074250000}"/>
    <cellStyle name="Porcentual 2 4 22" xfId="3113" xr:uid="{00000000-0005-0000-0000-000075250000}"/>
    <cellStyle name="Porcentual 2 4 22 2" xfId="6730" xr:uid="{00000000-0005-0000-0000-000076250000}"/>
    <cellStyle name="Porcentual 2 4 23" xfId="3114" xr:uid="{00000000-0005-0000-0000-000077250000}"/>
    <cellStyle name="Porcentual 2 4 23 2" xfId="6731" xr:uid="{00000000-0005-0000-0000-000078250000}"/>
    <cellStyle name="Porcentual 2 4 24" xfId="3115" xr:uid="{00000000-0005-0000-0000-000079250000}"/>
    <cellStyle name="Porcentual 2 4 24 2" xfId="6732" xr:uid="{00000000-0005-0000-0000-00007A250000}"/>
    <cellStyle name="Porcentual 2 4 25" xfId="3116" xr:uid="{00000000-0005-0000-0000-00007B250000}"/>
    <cellStyle name="Porcentual 2 4 25 2" xfId="6733" xr:uid="{00000000-0005-0000-0000-00007C250000}"/>
    <cellStyle name="Porcentual 2 4 26" xfId="3117" xr:uid="{00000000-0005-0000-0000-00007D250000}"/>
    <cellStyle name="Porcentual 2 4 26 2" xfId="6734" xr:uid="{00000000-0005-0000-0000-00007E250000}"/>
    <cellStyle name="Porcentual 2 4 27" xfId="3118" xr:uid="{00000000-0005-0000-0000-00007F250000}"/>
    <cellStyle name="Porcentual 2 4 27 2" xfId="6735" xr:uid="{00000000-0005-0000-0000-000080250000}"/>
    <cellStyle name="Porcentual 2 4 28" xfId="3119" xr:uid="{00000000-0005-0000-0000-000081250000}"/>
    <cellStyle name="Porcentual 2 4 28 2" xfId="6736" xr:uid="{00000000-0005-0000-0000-000082250000}"/>
    <cellStyle name="Porcentual 2 4 29" xfId="3120" xr:uid="{00000000-0005-0000-0000-000083250000}"/>
    <cellStyle name="Porcentual 2 4 3" xfId="3121" xr:uid="{00000000-0005-0000-0000-000084250000}"/>
    <cellStyle name="Porcentual 2 4 3 2" xfId="6737" xr:uid="{00000000-0005-0000-0000-000085250000}"/>
    <cellStyle name="Porcentual 2 4 30" xfId="3122" xr:uid="{00000000-0005-0000-0000-000086250000}"/>
    <cellStyle name="Porcentual 2 4 31" xfId="3123" xr:uid="{00000000-0005-0000-0000-000087250000}"/>
    <cellStyle name="Porcentual 2 4 32" xfId="3124" xr:uid="{00000000-0005-0000-0000-000088250000}"/>
    <cellStyle name="Porcentual 2 4 33" xfId="3125" xr:uid="{00000000-0005-0000-0000-000089250000}"/>
    <cellStyle name="Porcentual 2 4 34" xfId="3126" xr:uid="{00000000-0005-0000-0000-00008A250000}"/>
    <cellStyle name="Porcentual 2 4 35" xfId="4101" xr:uid="{00000000-0005-0000-0000-00008B250000}"/>
    <cellStyle name="Porcentual 2 4 35 2" xfId="9585" xr:uid="{00000000-0005-0000-0000-00008C250000}"/>
    <cellStyle name="Porcentual 2 4 35 2 2" xfId="10289" xr:uid="{00000000-0005-0000-0000-00008D250000}"/>
    <cellStyle name="Porcentual 2 4 35 2 2 2" xfId="12024" xr:uid="{00000000-0005-0000-0000-00008E250000}"/>
    <cellStyle name="Porcentual 2 4 35 2 3" xfId="11377" xr:uid="{00000000-0005-0000-0000-00008F250000}"/>
    <cellStyle name="Porcentual 2 4 35 3" xfId="9992" xr:uid="{00000000-0005-0000-0000-000090250000}"/>
    <cellStyle name="Porcentual 2 4 35 3 2" xfId="11728" xr:uid="{00000000-0005-0000-0000-000091250000}"/>
    <cellStyle name="Porcentual 2 4 35 4" xfId="10951" xr:uid="{00000000-0005-0000-0000-000092250000}"/>
    <cellStyle name="Porcentual 2 4 36" xfId="4203" xr:uid="{00000000-0005-0000-0000-000093250000}"/>
    <cellStyle name="Porcentual 2 4 36 2" xfId="9638" xr:uid="{00000000-0005-0000-0000-000094250000}"/>
    <cellStyle name="Porcentual 2 4 36 2 2" xfId="10340" xr:uid="{00000000-0005-0000-0000-000095250000}"/>
    <cellStyle name="Porcentual 2 4 36 2 2 2" xfId="12075" xr:uid="{00000000-0005-0000-0000-000096250000}"/>
    <cellStyle name="Porcentual 2 4 36 2 3" xfId="11428" xr:uid="{00000000-0005-0000-0000-000097250000}"/>
    <cellStyle name="Porcentual 2 4 36 3" xfId="10043" xr:uid="{00000000-0005-0000-0000-000098250000}"/>
    <cellStyle name="Porcentual 2 4 36 3 2" xfId="11779" xr:uid="{00000000-0005-0000-0000-000099250000}"/>
    <cellStyle name="Porcentual 2 4 36 4" xfId="11015" xr:uid="{00000000-0005-0000-0000-00009A250000}"/>
    <cellStyle name="Porcentual 2 4 4" xfId="3127" xr:uid="{00000000-0005-0000-0000-00009B250000}"/>
    <cellStyle name="Porcentual 2 4 4 2" xfId="6738" xr:uid="{00000000-0005-0000-0000-00009C250000}"/>
    <cellStyle name="Porcentual 2 4 5" xfId="3128" xr:uid="{00000000-0005-0000-0000-00009D250000}"/>
    <cellStyle name="Porcentual 2 4 5 2" xfId="6739" xr:uid="{00000000-0005-0000-0000-00009E250000}"/>
    <cellStyle name="Porcentual 2 4 6" xfId="3129" xr:uid="{00000000-0005-0000-0000-00009F250000}"/>
    <cellStyle name="Porcentual 2 4 6 2" xfId="6740" xr:uid="{00000000-0005-0000-0000-0000A0250000}"/>
    <cellStyle name="Porcentual 2 4 7" xfId="3130" xr:uid="{00000000-0005-0000-0000-0000A1250000}"/>
    <cellStyle name="Porcentual 2 4 7 2" xfId="6741" xr:uid="{00000000-0005-0000-0000-0000A2250000}"/>
    <cellStyle name="Porcentual 2 4 8" xfId="3131" xr:uid="{00000000-0005-0000-0000-0000A3250000}"/>
    <cellStyle name="Porcentual 2 4 8 2" xfId="6742" xr:uid="{00000000-0005-0000-0000-0000A4250000}"/>
    <cellStyle name="Porcentual 2 4 9" xfId="3132" xr:uid="{00000000-0005-0000-0000-0000A5250000}"/>
    <cellStyle name="Porcentual 2 4 9 2" xfId="6743" xr:uid="{00000000-0005-0000-0000-0000A6250000}"/>
    <cellStyle name="Porcentual 2 40" xfId="3133" xr:uid="{00000000-0005-0000-0000-0000A7250000}"/>
    <cellStyle name="Porcentual 2 40 2" xfId="8802" xr:uid="{00000000-0005-0000-0000-0000A8250000}"/>
    <cellStyle name="Porcentual 2 41" xfId="3134" xr:uid="{00000000-0005-0000-0000-0000A9250000}"/>
    <cellStyle name="Porcentual 2 41 2" xfId="8803" xr:uid="{00000000-0005-0000-0000-0000AA250000}"/>
    <cellStyle name="Porcentual 2 42" xfId="3135" xr:uid="{00000000-0005-0000-0000-0000AB250000}"/>
    <cellStyle name="Porcentual 2 42 2" xfId="8804" xr:uid="{00000000-0005-0000-0000-0000AC250000}"/>
    <cellStyle name="Porcentual 2 43" xfId="3136" xr:uid="{00000000-0005-0000-0000-0000AD250000}"/>
    <cellStyle name="Porcentual 2 43 2" xfId="8805" xr:uid="{00000000-0005-0000-0000-0000AE250000}"/>
    <cellStyle name="Porcentual 2 44" xfId="3137" xr:uid="{00000000-0005-0000-0000-0000AF250000}"/>
    <cellStyle name="Porcentual 2 44 2" xfId="8806" xr:uid="{00000000-0005-0000-0000-0000B0250000}"/>
    <cellStyle name="Porcentual 2 45" xfId="3138" xr:uid="{00000000-0005-0000-0000-0000B1250000}"/>
    <cellStyle name="Porcentual 2 45 2" xfId="8807" xr:uid="{00000000-0005-0000-0000-0000B2250000}"/>
    <cellStyle name="Porcentual 2 46" xfId="3139" xr:uid="{00000000-0005-0000-0000-0000B3250000}"/>
    <cellStyle name="Porcentual 2 46 2" xfId="8808" xr:uid="{00000000-0005-0000-0000-0000B4250000}"/>
    <cellStyle name="Porcentual 2 47" xfId="3140" xr:uid="{00000000-0005-0000-0000-0000B5250000}"/>
    <cellStyle name="Porcentual 2 47 2" xfId="8809" xr:uid="{00000000-0005-0000-0000-0000B6250000}"/>
    <cellStyle name="Porcentual 2 48" xfId="3141" xr:uid="{00000000-0005-0000-0000-0000B7250000}"/>
    <cellStyle name="Porcentual 2 48 2" xfId="8810" xr:uid="{00000000-0005-0000-0000-0000B8250000}"/>
    <cellStyle name="Porcentual 2 49" xfId="3142" xr:uid="{00000000-0005-0000-0000-0000B9250000}"/>
    <cellStyle name="Porcentual 2 49 2" xfId="8811" xr:uid="{00000000-0005-0000-0000-0000BA250000}"/>
    <cellStyle name="Porcentual 2 5" xfId="3143" xr:uid="{00000000-0005-0000-0000-0000BB250000}"/>
    <cellStyle name="Porcentual 2 5 10" xfId="3144" xr:uid="{00000000-0005-0000-0000-0000BC250000}"/>
    <cellStyle name="Porcentual 2 5 10 2" xfId="6744" xr:uid="{00000000-0005-0000-0000-0000BD250000}"/>
    <cellStyle name="Porcentual 2 5 11" xfId="3145" xr:uid="{00000000-0005-0000-0000-0000BE250000}"/>
    <cellStyle name="Porcentual 2 5 11 2" xfId="6745" xr:uid="{00000000-0005-0000-0000-0000BF250000}"/>
    <cellStyle name="Porcentual 2 5 12" xfId="3146" xr:uid="{00000000-0005-0000-0000-0000C0250000}"/>
    <cellStyle name="Porcentual 2 5 12 2" xfId="6746" xr:uid="{00000000-0005-0000-0000-0000C1250000}"/>
    <cellStyle name="Porcentual 2 5 13" xfId="3147" xr:uid="{00000000-0005-0000-0000-0000C2250000}"/>
    <cellStyle name="Porcentual 2 5 13 2" xfId="6747" xr:uid="{00000000-0005-0000-0000-0000C3250000}"/>
    <cellStyle name="Porcentual 2 5 14" xfId="3148" xr:uid="{00000000-0005-0000-0000-0000C4250000}"/>
    <cellStyle name="Porcentual 2 5 14 2" xfId="6748" xr:uid="{00000000-0005-0000-0000-0000C5250000}"/>
    <cellStyle name="Porcentual 2 5 15" xfId="3149" xr:uid="{00000000-0005-0000-0000-0000C6250000}"/>
    <cellStyle name="Porcentual 2 5 15 2" xfId="6749" xr:uid="{00000000-0005-0000-0000-0000C7250000}"/>
    <cellStyle name="Porcentual 2 5 16" xfId="3150" xr:uid="{00000000-0005-0000-0000-0000C8250000}"/>
    <cellStyle name="Porcentual 2 5 16 2" xfId="6750" xr:uid="{00000000-0005-0000-0000-0000C9250000}"/>
    <cellStyle name="Porcentual 2 5 17" xfId="3151" xr:uid="{00000000-0005-0000-0000-0000CA250000}"/>
    <cellStyle name="Porcentual 2 5 17 2" xfId="6751" xr:uid="{00000000-0005-0000-0000-0000CB250000}"/>
    <cellStyle name="Porcentual 2 5 18" xfId="3152" xr:uid="{00000000-0005-0000-0000-0000CC250000}"/>
    <cellStyle name="Porcentual 2 5 18 2" xfId="6752" xr:uid="{00000000-0005-0000-0000-0000CD250000}"/>
    <cellStyle name="Porcentual 2 5 19" xfId="3153" xr:uid="{00000000-0005-0000-0000-0000CE250000}"/>
    <cellStyle name="Porcentual 2 5 19 2" xfId="6753" xr:uid="{00000000-0005-0000-0000-0000CF250000}"/>
    <cellStyle name="Porcentual 2 5 2" xfId="3154" xr:uid="{00000000-0005-0000-0000-0000D0250000}"/>
    <cellStyle name="Porcentual 2 5 2 2" xfId="6754" xr:uid="{00000000-0005-0000-0000-0000D1250000}"/>
    <cellStyle name="Porcentual 2 5 20" xfId="3155" xr:uid="{00000000-0005-0000-0000-0000D2250000}"/>
    <cellStyle name="Porcentual 2 5 20 2" xfId="6755" xr:uid="{00000000-0005-0000-0000-0000D3250000}"/>
    <cellStyle name="Porcentual 2 5 21" xfId="3156" xr:uid="{00000000-0005-0000-0000-0000D4250000}"/>
    <cellStyle name="Porcentual 2 5 21 2" xfId="6756" xr:uid="{00000000-0005-0000-0000-0000D5250000}"/>
    <cellStyle name="Porcentual 2 5 22" xfId="3157" xr:uid="{00000000-0005-0000-0000-0000D6250000}"/>
    <cellStyle name="Porcentual 2 5 22 2" xfId="6757" xr:uid="{00000000-0005-0000-0000-0000D7250000}"/>
    <cellStyle name="Porcentual 2 5 23" xfId="3158" xr:uid="{00000000-0005-0000-0000-0000D8250000}"/>
    <cellStyle name="Porcentual 2 5 23 2" xfId="6758" xr:uid="{00000000-0005-0000-0000-0000D9250000}"/>
    <cellStyle name="Porcentual 2 5 24" xfId="3159" xr:uid="{00000000-0005-0000-0000-0000DA250000}"/>
    <cellStyle name="Porcentual 2 5 24 2" xfId="6759" xr:uid="{00000000-0005-0000-0000-0000DB250000}"/>
    <cellStyle name="Porcentual 2 5 25" xfId="3160" xr:uid="{00000000-0005-0000-0000-0000DC250000}"/>
    <cellStyle name="Porcentual 2 5 25 2" xfId="6760" xr:uid="{00000000-0005-0000-0000-0000DD250000}"/>
    <cellStyle name="Porcentual 2 5 26" xfId="3161" xr:uid="{00000000-0005-0000-0000-0000DE250000}"/>
    <cellStyle name="Porcentual 2 5 26 2" xfId="6761" xr:uid="{00000000-0005-0000-0000-0000DF250000}"/>
    <cellStyle name="Porcentual 2 5 27" xfId="3162" xr:uid="{00000000-0005-0000-0000-0000E0250000}"/>
    <cellStyle name="Porcentual 2 5 27 2" xfId="6762" xr:uid="{00000000-0005-0000-0000-0000E1250000}"/>
    <cellStyle name="Porcentual 2 5 28" xfId="3163" xr:uid="{00000000-0005-0000-0000-0000E2250000}"/>
    <cellStyle name="Porcentual 2 5 28 2" xfId="6763" xr:uid="{00000000-0005-0000-0000-0000E3250000}"/>
    <cellStyle name="Porcentual 2 5 29" xfId="3164" xr:uid="{00000000-0005-0000-0000-0000E4250000}"/>
    <cellStyle name="Porcentual 2 5 3" xfId="3165" xr:uid="{00000000-0005-0000-0000-0000E5250000}"/>
    <cellStyle name="Porcentual 2 5 3 2" xfId="6764" xr:uid="{00000000-0005-0000-0000-0000E6250000}"/>
    <cellStyle name="Porcentual 2 5 30" xfId="3166" xr:uid="{00000000-0005-0000-0000-0000E7250000}"/>
    <cellStyle name="Porcentual 2 5 31" xfId="3167" xr:uid="{00000000-0005-0000-0000-0000E8250000}"/>
    <cellStyle name="Porcentual 2 5 32" xfId="3168" xr:uid="{00000000-0005-0000-0000-0000E9250000}"/>
    <cellStyle name="Porcentual 2 5 33" xfId="3169" xr:uid="{00000000-0005-0000-0000-0000EA250000}"/>
    <cellStyle name="Porcentual 2 5 34" xfId="3170" xr:uid="{00000000-0005-0000-0000-0000EB250000}"/>
    <cellStyle name="Porcentual 2 5 35" xfId="4238" xr:uid="{00000000-0005-0000-0000-0000EC250000}"/>
    <cellStyle name="Porcentual 2 5 35 2" xfId="9673" xr:uid="{00000000-0005-0000-0000-0000ED250000}"/>
    <cellStyle name="Porcentual 2 5 35 2 2" xfId="10375" xr:uid="{00000000-0005-0000-0000-0000EE250000}"/>
    <cellStyle name="Porcentual 2 5 35 2 2 2" xfId="12110" xr:uid="{00000000-0005-0000-0000-0000EF250000}"/>
    <cellStyle name="Porcentual 2 5 35 2 3" xfId="11463" xr:uid="{00000000-0005-0000-0000-0000F0250000}"/>
    <cellStyle name="Porcentual 2 5 35 3" xfId="10078" xr:uid="{00000000-0005-0000-0000-0000F1250000}"/>
    <cellStyle name="Porcentual 2 5 35 3 2" xfId="11814" xr:uid="{00000000-0005-0000-0000-0000F2250000}"/>
    <cellStyle name="Porcentual 2 5 35 4" xfId="11050" xr:uid="{00000000-0005-0000-0000-0000F3250000}"/>
    <cellStyle name="Porcentual 2 5 4" xfId="3171" xr:uid="{00000000-0005-0000-0000-0000F4250000}"/>
    <cellStyle name="Porcentual 2 5 4 2" xfId="6765" xr:uid="{00000000-0005-0000-0000-0000F5250000}"/>
    <cellStyle name="Porcentual 2 5 5" xfId="3172" xr:uid="{00000000-0005-0000-0000-0000F6250000}"/>
    <cellStyle name="Porcentual 2 5 5 2" xfId="6766" xr:uid="{00000000-0005-0000-0000-0000F7250000}"/>
    <cellStyle name="Porcentual 2 5 6" xfId="3173" xr:uid="{00000000-0005-0000-0000-0000F8250000}"/>
    <cellStyle name="Porcentual 2 5 6 2" xfId="6767" xr:uid="{00000000-0005-0000-0000-0000F9250000}"/>
    <cellStyle name="Porcentual 2 5 7" xfId="3174" xr:uid="{00000000-0005-0000-0000-0000FA250000}"/>
    <cellStyle name="Porcentual 2 5 7 2" xfId="6768" xr:uid="{00000000-0005-0000-0000-0000FB250000}"/>
    <cellStyle name="Porcentual 2 5 8" xfId="3175" xr:uid="{00000000-0005-0000-0000-0000FC250000}"/>
    <cellStyle name="Porcentual 2 5 8 2" xfId="6769" xr:uid="{00000000-0005-0000-0000-0000FD250000}"/>
    <cellStyle name="Porcentual 2 5 9" xfId="3176" xr:uid="{00000000-0005-0000-0000-0000FE250000}"/>
    <cellStyle name="Porcentual 2 5 9 2" xfId="6770" xr:uid="{00000000-0005-0000-0000-0000FF250000}"/>
    <cellStyle name="Porcentual 2 50" xfId="3177" xr:uid="{00000000-0005-0000-0000-000000260000}"/>
    <cellStyle name="Porcentual 2 50 2" xfId="8812" xr:uid="{00000000-0005-0000-0000-000001260000}"/>
    <cellStyle name="Porcentual 2 51" xfId="3178" xr:uid="{00000000-0005-0000-0000-000002260000}"/>
    <cellStyle name="Porcentual 2 51 2" xfId="8813" xr:uid="{00000000-0005-0000-0000-000003260000}"/>
    <cellStyle name="Porcentual 2 52" xfId="3179" xr:uid="{00000000-0005-0000-0000-000004260000}"/>
    <cellStyle name="Porcentual 2 52 2" xfId="8814" xr:uid="{00000000-0005-0000-0000-000005260000}"/>
    <cellStyle name="Porcentual 2 53" xfId="3180" xr:uid="{00000000-0005-0000-0000-000006260000}"/>
    <cellStyle name="Porcentual 2 53 2" xfId="8815" xr:uid="{00000000-0005-0000-0000-000007260000}"/>
    <cellStyle name="Porcentual 2 54" xfId="3181" xr:uid="{00000000-0005-0000-0000-000008260000}"/>
    <cellStyle name="Porcentual 2 54 2" xfId="8816" xr:uid="{00000000-0005-0000-0000-000009260000}"/>
    <cellStyle name="Porcentual 2 55" xfId="3182" xr:uid="{00000000-0005-0000-0000-00000A260000}"/>
    <cellStyle name="Porcentual 2 55 2" xfId="8817" xr:uid="{00000000-0005-0000-0000-00000B260000}"/>
    <cellStyle name="Porcentual 2 56" xfId="3183" xr:uid="{00000000-0005-0000-0000-00000C260000}"/>
    <cellStyle name="Porcentual 2 56 2" xfId="8818" xr:uid="{00000000-0005-0000-0000-00000D260000}"/>
    <cellStyle name="Porcentual 2 57" xfId="3184" xr:uid="{00000000-0005-0000-0000-00000E260000}"/>
    <cellStyle name="Porcentual 2 57 2" xfId="8819" xr:uid="{00000000-0005-0000-0000-00000F260000}"/>
    <cellStyle name="Porcentual 2 58" xfId="3185" xr:uid="{00000000-0005-0000-0000-000010260000}"/>
    <cellStyle name="Porcentual 2 58 2" xfId="8820" xr:uid="{00000000-0005-0000-0000-000011260000}"/>
    <cellStyle name="Porcentual 2 59" xfId="3186" xr:uid="{00000000-0005-0000-0000-000012260000}"/>
    <cellStyle name="Porcentual 2 59 2" xfId="8821" xr:uid="{00000000-0005-0000-0000-000013260000}"/>
    <cellStyle name="Porcentual 2 6" xfId="3187" xr:uid="{00000000-0005-0000-0000-000014260000}"/>
    <cellStyle name="Porcentual 2 6 10" xfId="3188" xr:uid="{00000000-0005-0000-0000-000015260000}"/>
    <cellStyle name="Porcentual 2 6 10 2" xfId="6771" xr:uid="{00000000-0005-0000-0000-000016260000}"/>
    <cellStyle name="Porcentual 2 6 11" xfId="3189" xr:uid="{00000000-0005-0000-0000-000017260000}"/>
    <cellStyle name="Porcentual 2 6 11 2" xfId="6772" xr:uid="{00000000-0005-0000-0000-000018260000}"/>
    <cellStyle name="Porcentual 2 6 12" xfId="3190" xr:uid="{00000000-0005-0000-0000-000019260000}"/>
    <cellStyle name="Porcentual 2 6 12 2" xfId="6773" xr:uid="{00000000-0005-0000-0000-00001A260000}"/>
    <cellStyle name="Porcentual 2 6 13" xfId="3191" xr:uid="{00000000-0005-0000-0000-00001B260000}"/>
    <cellStyle name="Porcentual 2 6 13 2" xfId="6774" xr:uid="{00000000-0005-0000-0000-00001C260000}"/>
    <cellStyle name="Porcentual 2 6 14" xfId="3192" xr:uid="{00000000-0005-0000-0000-00001D260000}"/>
    <cellStyle name="Porcentual 2 6 14 2" xfId="6775" xr:uid="{00000000-0005-0000-0000-00001E260000}"/>
    <cellStyle name="Porcentual 2 6 15" xfId="3193" xr:uid="{00000000-0005-0000-0000-00001F260000}"/>
    <cellStyle name="Porcentual 2 6 15 2" xfId="6776" xr:uid="{00000000-0005-0000-0000-000020260000}"/>
    <cellStyle name="Porcentual 2 6 16" xfId="3194" xr:uid="{00000000-0005-0000-0000-000021260000}"/>
    <cellStyle name="Porcentual 2 6 16 2" xfId="6777" xr:uid="{00000000-0005-0000-0000-000022260000}"/>
    <cellStyle name="Porcentual 2 6 17" xfId="3195" xr:uid="{00000000-0005-0000-0000-000023260000}"/>
    <cellStyle name="Porcentual 2 6 17 2" xfId="6778" xr:uid="{00000000-0005-0000-0000-000024260000}"/>
    <cellStyle name="Porcentual 2 6 18" xfId="3196" xr:uid="{00000000-0005-0000-0000-000025260000}"/>
    <cellStyle name="Porcentual 2 6 18 2" xfId="6779" xr:uid="{00000000-0005-0000-0000-000026260000}"/>
    <cellStyle name="Porcentual 2 6 19" xfId="3197" xr:uid="{00000000-0005-0000-0000-000027260000}"/>
    <cellStyle name="Porcentual 2 6 19 2" xfId="6780" xr:uid="{00000000-0005-0000-0000-000028260000}"/>
    <cellStyle name="Porcentual 2 6 2" xfId="3198" xr:uid="{00000000-0005-0000-0000-000029260000}"/>
    <cellStyle name="Porcentual 2 6 2 2" xfId="6781" xr:uid="{00000000-0005-0000-0000-00002A260000}"/>
    <cellStyle name="Porcentual 2 6 20" xfId="3199" xr:uid="{00000000-0005-0000-0000-00002B260000}"/>
    <cellStyle name="Porcentual 2 6 20 2" xfId="6782" xr:uid="{00000000-0005-0000-0000-00002C260000}"/>
    <cellStyle name="Porcentual 2 6 21" xfId="3200" xr:uid="{00000000-0005-0000-0000-00002D260000}"/>
    <cellStyle name="Porcentual 2 6 21 2" xfId="6783" xr:uid="{00000000-0005-0000-0000-00002E260000}"/>
    <cellStyle name="Porcentual 2 6 22" xfId="3201" xr:uid="{00000000-0005-0000-0000-00002F260000}"/>
    <cellStyle name="Porcentual 2 6 22 2" xfId="6784" xr:uid="{00000000-0005-0000-0000-000030260000}"/>
    <cellStyle name="Porcentual 2 6 23" xfId="3202" xr:uid="{00000000-0005-0000-0000-000031260000}"/>
    <cellStyle name="Porcentual 2 6 23 2" xfId="6785" xr:uid="{00000000-0005-0000-0000-000032260000}"/>
    <cellStyle name="Porcentual 2 6 24" xfId="3203" xr:uid="{00000000-0005-0000-0000-000033260000}"/>
    <cellStyle name="Porcentual 2 6 24 2" xfId="6786" xr:uid="{00000000-0005-0000-0000-000034260000}"/>
    <cellStyle name="Porcentual 2 6 25" xfId="3204" xr:uid="{00000000-0005-0000-0000-000035260000}"/>
    <cellStyle name="Porcentual 2 6 25 2" xfId="6787" xr:uid="{00000000-0005-0000-0000-000036260000}"/>
    <cellStyle name="Porcentual 2 6 26" xfId="3205" xr:uid="{00000000-0005-0000-0000-000037260000}"/>
    <cellStyle name="Porcentual 2 6 26 2" xfId="6788" xr:uid="{00000000-0005-0000-0000-000038260000}"/>
    <cellStyle name="Porcentual 2 6 27" xfId="3206" xr:uid="{00000000-0005-0000-0000-000039260000}"/>
    <cellStyle name="Porcentual 2 6 27 2" xfId="6789" xr:uid="{00000000-0005-0000-0000-00003A260000}"/>
    <cellStyle name="Porcentual 2 6 28" xfId="3207" xr:uid="{00000000-0005-0000-0000-00003B260000}"/>
    <cellStyle name="Porcentual 2 6 28 2" xfId="6790" xr:uid="{00000000-0005-0000-0000-00003C260000}"/>
    <cellStyle name="Porcentual 2 6 29" xfId="6791" xr:uid="{00000000-0005-0000-0000-00003D260000}"/>
    <cellStyle name="Porcentual 2 6 3" xfId="3208" xr:uid="{00000000-0005-0000-0000-00003E260000}"/>
    <cellStyle name="Porcentual 2 6 3 2" xfId="6792" xr:uid="{00000000-0005-0000-0000-00003F260000}"/>
    <cellStyle name="Porcentual 2 6 4" xfId="3209" xr:uid="{00000000-0005-0000-0000-000040260000}"/>
    <cellStyle name="Porcentual 2 6 4 2" xfId="6793" xr:uid="{00000000-0005-0000-0000-000041260000}"/>
    <cellStyle name="Porcentual 2 6 5" xfId="3210" xr:uid="{00000000-0005-0000-0000-000042260000}"/>
    <cellStyle name="Porcentual 2 6 5 2" xfId="6794" xr:uid="{00000000-0005-0000-0000-000043260000}"/>
    <cellStyle name="Porcentual 2 6 6" xfId="3211" xr:uid="{00000000-0005-0000-0000-000044260000}"/>
    <cellStyle name="Porcentual 2 6 6 2" xfId="6795" xr:uid="{00000000-0005-0000-0000-000045260000}"/>
    <cellStyle name="Porcentual 2 6 7" xfId="3212" xr:uid="{00000000-0005-0000-0000-000046260000}"/>
    <cellStyle name="Porcentual 2 6 7 2" xfId="6796" xr:uid="{00000000-0005-0000-0000-000047260000}"/>
    <cellStyle name="Porcentual 2 6 8" xfId="3213" xr:uid="{00000000-0005-0000-0000-000048260000}"/>
    <cellStyle name="Porcentual 2 6 8 2" xfId="6797" xr:uid="{00000000-0005-0000-0000-000049260000}"/>
    <cellStyle name="Porcentual 2 6 9" xfId="3214" xr:uid="{00000000-0005-0000-0000-00004A260000}"/>
    <cellStyle name="Porcentual 2 6 9 2" xfId="6798" xr:uid="{00000000-0005-0000-0000-00004B260000}"/>
    <cellStyle name="Porcentual 2 60" xfId="3215" xr:uid="{00000000-0005-0000-0000-00004C260000}"/>
    <cellStyle name="Porcentual 2 60 2" xfId="8822" xr:uid="{00000000-0005-0000-0000-00004D260000}"/>
    <cellStyle name="Porcentual 2 61" xfId="3216" xr:uid="{00000000-0005-0000-0000-00004E260000}"/>
    <cellStyle name="Porcentual 2 61 2" xfId="8823" xr:uid="{00000000-0005-0000-0000-00004F260000}"/>
    <cellStyle name="Porcentual 2 62" xfId="3217" xr:uid="{00000000-0005-0000-0000-000050260000}"/>
    <cellStyle name="Porcentual 2 62 2" xfId="8824" xr:uid="{00000000-0005-0000-0000-000051260000}"/>
    <cellStyle name="Porcentual 2 63" xfId="3218" xr:uid="{00000000-0005-0000-0000-000052260000}"/>
    <cellStyle name="Porcentual 2 63 2" xfId="8825" xr:uid="{00000000-0005-0000-0000-000053260000}"/>
    <cellStyle name="Porcentual 2 64" xfId="3219" xr:uid="{00000000-0005-0000-0000-000054260000}"/>
    <cellStyle name="Porcentual 2 64 2" xfId="8826" xr:uid="{00000000-0005-0000-0000-000055260000}"/>
    <cellStyle name="Porcentual 2 65" xfId="3220" xr:uid="{00000000-0005-0000-0000-000056260000}"/>
    <cellStyle name="Porcentual 2 65 2" xfId="8827" xr:uid="{00000000-0005-0000-0000-000057260000}"/>
    <cellStyle name="Porcentual 2 66" xfId="3221" xr:uid="{00000000-0005-0000-0000-000058260000}"/>
    <cellStyle name="Porcentual 2 66 2" xfId="8828" xr:uid="{00000000-0005-0000-0000-000059260000}"/>
    <cellStyle name="Porcentual 2 67" xfId="3222" xr:uid="{00000000-0005-0000-0000-00005A260000}"/>
    <cellStyle name="Porcentual 2 67 2" xfId="8829" xr:uid="{00000000-0005-0000-0000-00005B260000}"/>
    <cellStyle name="Porcentual 2 68" xfId="3223" xr:uid="{00000000-0005-0000-0000-00005C260000}"/>
    <cellStyle name="Porcentual 2 68 2" xfId="8830" xr:uid="{00000000-0005-0000-0000-00005D260000}"/>
    <cellStyle name="Porcentual 2 69" xfId="3224" xr:uid="{00000000-0005-0000-0000-00005E260000}"/>
    <cellStyle name="Porcentual 2 69 2" xfId="8831" xr:uid="{00000000-0005-0000-0000-00005F260000}"/>
    <cellStyle name="Porcentual 2 7" xfId="3225" xr:uid="{00000000-0005-0000-0000-000060260000}"/>
    <cellStyle name="Porcentual 2 7 10" xfId="3226" xr:uid="{00000000-0005-0000-0000-000061260000}"/>
    <cellStyle name="Porcentual 2 7 10 2" xfId="6799" xr:uid="{00000000-0005-0000-0000-000062260000}"/>
    <cellStyle name="Porcentual 2 7 11" xfId="3227" xr:uid="{00000000-0005-0000-0000-000063260000}"/>
    <cellStyle name="Porcentual 2 7 11 2" xfId="6800" xr:uid="{00000000-0005-0000-0000-000064260000}"/>
    <cellStyle name="Porcentual 2 7 12" xfId="3228" xr:uid="{00000000-0005-0000-0000-000065260000}"/>
    <cellStyle name="Porcentual 2 7 12 2" xfId="6801" xr:uid="{00000000-0005-0000-0000-000066260000}"/>
    <cellStyle name="Porcentual 2 7 13" xfId="3229" xr:uid="{00000000-0005-0000-0000-000067260000}"/>
    <cellStyle name="Porcentual 2 7 13 2" xfId="6802" xr:uid="{00000000-0005-0000-0000-000068260000}"/>
    <cellStyle name="Porcentual 2 7 14" xfId="3230" xr:uid="{00000000-0005-0000-0000-000069260000}"/>
    <cellStyle name="Porcentual 2 7 14 2" xfId="6803" xr:uid="{00000000-0005-0000-0000-00006A260000}"/>
    <cellStyle name="Porcentual 2 7 15" xfId="3231" xr:uid="{00000000-0005-0000-0000-00006B260000}"/>
    <cellStyle name="Porcentual 2 7 15 2" xfId="6804" xr:uid="{00000000-0005-0000-0000-00006C260000}"/>
    <cellStyle name="Porcentual 2 7 16" xfId="3232" xr:uid="{00000000-0005-0000-0000-00006D260000}"/>
    <cellStyle name="Porcentual 2 7 16 2" xfId="6805" xr:uid="{00000000-0005-0000-0000-00006E260000}"/>
    <cellStyle name="Porcentual 2 7 17" xfId="3233" xr:uid="{00000000-0005-0000-0000-00006F260000}"/>
    <cellStyle name="Porcentual 2 7 17 2" xfId="6806" xr:uid="{00000000-0005-0000-0000-000070260000}"/>
    <cellStyle name="Porcentual 2 7 18" xfId="3234" xr:uid="{00000000-0005-0000-0000-000071260000}"/>
    <cellStyle name="Porcentual 2 7 18 2" xfId="6807" xr:uid="{00000000-0005-0000-0000-000072260000}"/>
    <cellStyle name="Porcentual 2 7 19" xfId="3235" xr:uid="{00000000-0005-0000-0000-000073260000}"/>
    <cellStyle name="Porcentual 2 7 19 2" xfId="6808" xr:uid="{00000000-0005-0000-0000-000074260000}"/>
    <cellStyle name="Porcentual 2 7 2" xfId="3236" xr:uid="{00000000-0005-0000-0000-000075260000}"/>
    <cellStyle name="Porcentual 2 7 2 2" xfId="6809" xr:uid="{00000000-0005-0000-0000-000076260000}"/>
    <cellStyle name="Porcentual 2 7 20" xfId="3237" xr:uid="{00000000-0005-0000-0000-000077260000}"/>
    <cellStyle name="Porcentual 2 7 20 2" xfId="6810" xr:uid="{00000000-0005-0000-0000-000078260000}"/>
    <cellStyle name="Porcentual 2 7 21" xfId="3238" xr:uid="{00000000-0005-0000-0000-000079260000}"/>
    <cellStyle name="Porcentual 2 7 21 2" xfId="6811" xr:uid="{00000000-0005-0000-0000-00007A260000}"/>
    <cellStyle name="Porcentual 2 7 22" xfId="3239" xr:uid="{00000000-0005-0000-0000-00007B260000}"/>
    <cellStyle name="Porcentual 2 7 22 2" xfId="6812" xr:uid="{00000000-0005-0000-0000-00007C260000}"/>
    <cellStyle name="Porcentual 2 7 23" xfId="3240" xr:uid="{00000000-0005-0000-0000-00007D260000}"/>
    <cellStyle name="Porcentual 2 7 23 2" xfId="6813" xr:uid="{00000000-0005-0000-0000-00007E260000}"/>
    <cellStyle name="Porcentual 2 7 24" xfId="3241" xr:uid="{00000000-0005-0000-0000-00007F260000}"/>
    <cellStyle name="Porcentual 2 7 24 2" xfId="6814" xr:uid="{00000000-0005-0000-0000-000080260000}"/>
    <cellStyle name="Porcentual 2 7 25" xfId="3242" xr:uid="{00000000-0005-0000-0000-000081260000}"/>
    <cellStyle name="Porcentual 2 7 25 2" xfId="6815" xr:uid="{00000000-0005-0000-0000-000082260000}"/>
    <cellStyle name="Porcentual 2 7 26" xfId="3243" xr:uid="{00000000-0005-0000-0000-000083260000}"/>
    <cellStyle name="Porcentual 2 7 26 2" xfId="6816" xr:uid="{00000000-0005-0000-0000-000084260000}"/>
    <cellStyle name="Porcentual 2 7 27" xfId="3244" xr:uid="{00000000-0005-0000-0000-000085260000}"/>
    <cellStyle name="Porcentual 2 7 27 2" xfId="6817" xr:uid="{00000000-0005-0000-0000-000086260000}"/>
    <cellStyle name="Porcentual 2 7 28" xfId="3245" xr:uid="{00000000-0005-0000-0000-000087260000}"/>
    <cellStyle name="Porcentual 2 7 28 2" xfId="6818" xr:uid="{00000000-0005-0000-0000-000088260000}"/>
    <cellStyle name="Porcentual 2 7 29" xfId="6819" xr:uid="{00000000-0005-0000-0000-000089260000}"/>
    <cellStyle name="Porcentual 2 7 3" xfId="3246" xr:uid="{00000000-0005-0000-0000-00008A260000}"/>
    <cellStyle name="Porcentual 2 7 3 2" xfId="6820" xr:uid="{00000000-0005-0000-0000-00008B260000}"/>
    <cellStyle name="Porcentual 2 7 4" xfId="3247" xr:uid="{00000000-0005-0000-0000-00008C260000}"/>
    <cellStyle name="Porcentual 2 7 4 2" xfId="6821" xr:uid="{00000000-0005-0000-0000-00008D260000}"/>
    <cellStyle name="Porcentual 2 7 5" xfId="3248" xr:uid="{00000000-0005-0000-0000-00008E260000}"/>
    <cellStyle name="Porcentual 2 7 5 2" xfId="6822" xr:uid="{00000000-0005-0000-0000-00008F260000}"/>
    <cellStyle name="Porcentual 2 7 6" xfId="3249" xr:uid="{00000000-0005-0000-0000-000090260000}"/>
    <cellStyle name="Porcentual 2 7 6 2" xfId="6823" xr:uid="{00000000-0005-0000-0000-000091260000}"/>
    <cellStyle name="Porcentual 2 7 7" xfId="3250" xr:uid="{00000000-0005-0000-0000-000092260000}"/>
    <cellStyle name="Porcentual 2 7 7 2" xfId="6824" xr:uid="{00000000-0005-0000-0000-000093260000}"/>
    <cellStyle name="Porcentual 2 7 8" xfId="3251" xr:uid="{00000000-0005-0000-0000-000094260000}"/>
    <cellStyle name="Porcentual 2 7 8 2" xfId="6825" xr:uid="{00000000-0005-0000-0000-000095260000}"/>
    <cellStyle name="Porcentual 2 7 9" xfId="3252" xr:uid="{00000000-0005-0000-0000-000096260000}"/>
    <cellStyle name="Porcentual 2 7 9 2" xfId="6826" xr:uid="{00000000-0005-0000-0000-000097260000}"/>
    <cellStyle name="Porcentual 2 70" xfId="3253" xr:uid="{00000000-0005-0000-0000-000098260000}"/>
    <cellStyle name="Porcentual 2 70 2" xfId="8832" xr:uid="{00000000-0005-0000-0000-000099260000}"/>
    <cellStyle name="Porcentual 2 71" xfId="3254" xr:uid="{00000000-0005-0000-0000-00009A260000}"/>
    <cellStyle name="Porcentual 2 71 2" xfId="8833" xr:uid="{00000000-0005-0000-0000-00009B260000}"/>
    <cellStyle name="Porcentual 2 72" xfId="3255" xr:uid="{00000000-0005-0000-0000-00009C260000}"/>
    <cellStyle name="Porcentual 2 72 2" xfId="8834" xr:uid="{00000000-0005-0000-0000-00009D260000}"/>
    <cellStyle name="Porcentual 2 73" xfId="3256" xr:uid="{00000000-0005-0000-0000-00009E260000}"/>
    <cellStyle name="Porcentual 2 73 2" xfId="8835" xr:uid="{00000000-0005-0000-0000-00009F260000}"/>
    <cellStyle name="Porcentual 2 74" xfId="3257" xr:uid="{00000000-0005-0000-0000-0000A0260000}"/>
    <cellStyle name="Porcentual 2 74 2" xfId="8836" xr:uid="{00000000-0005-0000-0000-0000A1260000}"/>
    <cellStyle name="Porcentual 2 75" xfId="3258" xr:uid="{00000000-0005-0000-0000-0000A2260000}"/>
    <cellStyle name="Porcentual 2 75 2" xfId="8837" xr:uid="{00000000-0005-0000-0000-0000A3260000}"/>
    <cellStyle name="Porcentual 2 76" xfId="3259" xr:uid="{00000000-0005-0000-0000-0000A4260000}"/>
    <cellStyle name="Porcentual 2 76 2" xfId="8838" xr:uid="{00000000-0005-0000-0000-0000A5260000}"/>
    <cellStyle name="Porcentual 2 77" xfId="3260" xr:uid="{00000000-0005-0000-0000-0000A6260000}"/>
    <cellStyle name="Porcentual 2 77 2" xfId="8839" xr:uid="{00000000-0005-0000-0000-0000A7260000}"/>
    <cellStyle name="Porcentual 2 78" xfId="3261" xr:uid="{00000000-0005-0000-0000-0000A8260000}"/>
    <cellStyle name="Porcentual 2 78 2" xfId="8840" xr:uid="{00000000-0005-0000-0000-0000A9260000}"/>
    <cellStyle name="Porcentual 2 79" xfId="3262" xr:uid="{00000000-0005-0000-0000-0000AA260000}"/>
    <cellStyle name="Porcentual 2 79 2" xfId="8841" xr:uid="{00000000-0005-0000-0000-0000AB260000}"/>
    <cellStyle name="Porcentual 2 8" xfId="3263" xr:uid="{00000000-0005-0000-0000-0000AC260000}"/>
    <cellStyle name="Porcentual 2 8 10" xfId="3264" xr:uid="{00000000-0005-0000-0000-0000AD260000}"/>
    <cellStyle name="Porcentual 2 8 10 2" xfId="6827" xr:uid="{00000000-0005-0000-0000-0000AE260000}"/>
    <cellStyle name="Porcentual 2 8 11" xfId="3265" xr:uid="{00000000-0005-0000-0000-0000AF260000}"/>
    <cellStyle name="Porcentual 2 8 11 2" xfId="6828" xr:uid="{00000000-0005-0000-0000-0000B0260000}"/>
    <cellStyle name="Porcentual 2 8 12" xfId="3266" xr:uid="{00000000-0005-0000-0000-0000B1260000}"/>
    <cellStyle name="Porcentual 2 8 12 2" xfId="6829" xr:uid="{00000000-0005-0000-0000-0000B2260000}"/>
    <cellStyle name="Porcentual 2 8 13" xfId="3267" xr:uid="{00000000-0005-0000-0000-0000B3260000}"/>
    <cellStyle name="Porcentual 2 8 13 2" xfId="6830" xr:uid="{00000000-0005-0000-0000-0000B4260000}"/>
    <cellStyle name="Porcentual 2 8 14" xfId="3268" xr:uid="{00000000-0005-0000-0000-0000B5260000}"/>
    <cellStyle name="Porcentual 2 8 14 2" xfId="6831" xr:uid="{00000000-0005-0000-0000-0000B6260000}"/>
    <cellStyle name="Porcentual 2 8 15" xfId="3269" xr:uid="{00000000-0005-0000-0000-0000B7260000}"/>
    <cellStyle name="Porcentual 2 8 15 2" xfId="6832" xr:uid="{00000000-0005-0000-0000-0000B8260000}"/>
    <cellStyle name="Porcentual 2 8 16" xfId="3270" xr:uid="{00000000-0005-0000-0000-0000B9260000}"/>
    <cellStyle name="Porcentual 2 8 16 2" xfId="6833" xr:uid="{00000000-0005-0000-0000-0000BA260000}"/>
    <cellStyle name="Porcentual 2 8 17" xfId="3271" xr:uid="{00000000-0005-0000-0000-0000BB260000}"/>
    <cellStyle name="Porcentual 2 8 17 2" xfId="6834" xr:uid="{00000000-0005-0000-0000-0000BC260000}"/>
    <cellStyle name="Porcentual 2 8 18" xfId="3272" xr:uid="{00000000-0005-0000-0000-0000BD260000}"/>
    <cellStyle name="Porcentual 2 8 18 2" xfId="6835" xr:uid="{00000000-0005-0000-0000-0000BE260000}"/>
    <cellStyle name="Porcentual 2 8 19" xfId="3273" xr:uid="{00000000-0005-0000-0000-0000BF260000}"/>
    <cellStyle name="Porcentual 2 8 19 2" xfId="6836" xr:uid="{00000000-0005-0000-0000-0000C0260000}"/>
    <cellStyle name="Porcentual 2 8 2" xfId="3274" xr:uid="{00000000-0005-0000-0000-0000C1260000}"/>
    <cellStyle name="Porcentual 2 8 2 2" xfId="6837" xr:uid="{00000000-0005-0000-0000-0000C2260000}"/>
    <cellStyle name="Porcentual 2 8 20" xfId="3275" xr:uid="{00000000-0005-0000-0000-0000C3260000}"/>
    <cellStyle name="Porcentual 2 8 20 2" xfId="6838" xr:uid="{00000000-0005-0000-0000-0000C4260000}"/>
    <cellStyle name="Porcentual 2 8 21" xfId="3276" xr:uid="{00000000-0005-0000-0000-0000C5260000}"/>
    <cellStyle name="Porcentual 2 8 21 2" xfId="6839" xr:uid="{00000000-0005-0000-0000-0000C6260000}"/>
    <cellStyle name="Porcentual 2 8 22" xfId="3277" xr:uid="{00000000-0005-0000-0000-0000C7260000}"/>
    <cellStyle name="Porcentual 2 8 22 2" xfId="6840" xr:uid="{00000000-0005-0000-0000-0000C8260000}"/>
    <cellStyle name="Porcentual 2 8 23" xfId="3278" xr:uid="{00000000-0005-0000-0000-0000C9260000}"/>
    <cellStyle name="Porcentual 2 8 23 2" xfId="6841" xr:uid="{00000000-0005-0000-0000-0000CA260000}"/>
    <cellStyle name="Porcentual 2 8 24" xfId="3279" xr:uid="{00000000-0005-0000-0000-0000CB260000}"/>
    <cellStyle name="Porcentual 2 8 24 2" xfId="6842" xr:uid="{00000000-0005-0000-0000-0000CC260000}"/>
    <cellStyle name="Porcentual 2 8 25" xfId="3280" xr:uid="{00000000-0005-0000-0000-0000CD260000}"/>
    <cellStyle name="Porcentual 2 8 25 2" xfId="6843" xr:uid="{00000000-0005-0000-0000-0000CE260000}"/>
    <cellStyle name="Porcentual 2 8 26" xfId="3281" xr:uid="{00000000-0005-0000-0000-0000CF260000}"/>
    <cellStyle name="Porcentual 2 8 26 2" xfId="6844" xr:uid="{00000000-0005-0000-0000-0000D0260000}"/>
    <cellStyle name="Porcentual 2 8 27" xfId="3282" xr:uid="{00000000-0005-0000-0000-0000D1260000}"/>
    <cellStyle name="Porcentual 2 8 27 2" xfId="6845" xr:uid="{00000000-0005-0000-0000-0000D2260000}"/>
    <cellStyle name="Porcentual 2 8 28" xfId="3283" xr:uid="{00000000-0005-0000-0000-0000D3260000}"/>
    <cellStyle name="Porcentual 2 8 28 2" xfId="6846" xr:uid="{00000000-0005-0000-0000-0000D4260000}"/>
    <cellStyle name="Porcentual 2 8 29" xfId="6847" xr:uid="{00000000-0005-0000-0000-0000D5260000}"/>
    <cellStyle name="Porcentual 2 8 3" xfId="3284" xr:uid="{00000000-0005-0000-0000-0000D6260000}"/>
    <cellStyle name="Porcentual 2 8 3 2" xfId="6848" xr:uid="{00000000-0005-0000-0000-0000D7260000}"/>
    <cellStyle name="Porcentual 2 8 4" xfId="3285" xr:uid="{00000000-0005-0000-0000-0000D8260000}"/>
    <cellStyle name="Porcentual 2 8 4 2" xfId="6849" xr:uid="{00000000-0005-0000-0000-0000D9260000}"/>
    <cellStyle name="Porcentual 2 8 5" xfId="3286" xr:uid="{00000000-0005-0000-0000-0000DA260000}"/>
    <cellStyle name="Porcentual 2 8 5 2" xfId="6850" xr:uid="{00000000-0005-0000-0000-0000DB260000}"/>
    <cellStyle name="Porcentual 2 8 6" xfId="3287" xr:uid="{00000000-0005-0000-0000-0000DC260000}"/>
    <cellStyle name="Porcentual 2 8 6 2" xfId="6851" xr:uid="{00000000-0005-0000-0000-0000DD260000}"/>
    <cellStyle name="Porcentual 2 8 7" xfId="3288" xr:uid="{00000000-0005-0000-0000-0000DE260000}"/>
    <cellStyle name="Porcentual 2 8 7 2" xfId="6852" xr:uid="{00000000-0005-0000-0000-0000DF260000}"/>
    <cellStyle name="Porcentual 2 8 8" xfId="3289" xr:uid="{00000000-0005-0000-0000-0000E0260000}"/>
    <cellStyle name="Porcentual 2 8 8 2" xfId="6853" xr:uid="{00000000-0005-0000-0000-0000E1260000}"/>
    <cellStyle name="Porcentual 2 8 9" xfId="3290" xr:uid="{00000000-0005-0000-0000-0000E2260000}"/>
    <cellStyle name="Porcentual 2 8 9 2" xfId="6854" xr:uid="{00000000-0005-0000-0000-0000E3260000}"/>
    <cellStyle name="Porcentual 2 80" xfId="3291" xr:uid="{00000000-0005-0000-0000-0000E4260000}"/>
    <cellStyle name="Porcentual 2 80 2" xfId="8842" xr:uid="{00000000-0005-0000-0000-0000E5260000}"/>
    <cellStyle name="Porcentual 2 81" xfId="3292" xr:uid="{00000000-0005-0000-0000-0000E6260000}"/>
    <cellStyle name="Porcentual 2 81 2" xfId="8843" xr:uid="{00000000-0005-0000-0000-0000E7260000}"/>
    <cellStyle name="Porcentual 2 82" xfId="3293" xr:uid="{00000000-0005-0000-0000-0000E8260000}"/>
    <cellStyle name="Porcentual 2 82 2" xfId="8844" xr:uid="{00000000-0005-0000-0000-0000E9260000}"/>
    <cellStyle name="Porcentual 2 83" xfId="3294" xr:uid="{00000000-0005-0000-0000-0000EA260000}"/>
    <cellStyle name="Porcentual 2 83 2" xfId="8845" xr:uid="{00000000-0005-0000-0000-0000EB260000}"/>
    <cellStyle name="Porcentual 2 84" xfId="3295" xr:uid="{00000000-0005-0000-0000-0000EC260000}"/>
    <cellStyle name="Porcentual 2 84 2" xfId="8846" xr:uid="{00000000-0005-0000-0000-0000ED260000}"/>
    <cellStyle name="Porcentual 2 85" xfId="3296" xr:uid="{00000000-0005-0000-0000-0000EE260000}"/>
    <cellStyle name="Porcentual 2 85 2" xfId="8847" xr:uid="{00000000-0005-0000-0000-0000EF260000}"/>
    <cellStyle name="Porcentual 2 86" xfId="3297" xr:uid="{00000000-0005-0000-0000-0000F0260000}"/>
    <cellStyle name="Porcentual 2 86 2" xfId="8848" xr:uid="{00000000-0005-0000-0000-0000F1260000}"/>
    <cellStyle name="Porcentual 2 87" xfId="3298" xr:uid="{00000000-0005-0000-0000-0000F2260000}"/>
    <cellStyle name="Porcentual 2 87 2" xfId="8849" xr:uid="{00000000-0005-0000-0000-0000F3260000}"/>
    <cellStyle name="Porcentual 2 88" xfId="3299" xr:uid="{00000000-0005-0000-0000-0000F4260000}"/>
    <cellStyle name="Porcentual 2 88 2" xfId="8850" xr:uid="{00000000-0005-0000-0000-0000F5260000}"/>
    <cellStyle name="Porcentual 2 89" xfId="3300" xr:uid="{00000000-0005-0000-0000-0000F6260000}"/>
    <cellStyle name="Porcentual 2 89 2" xfId="8851" xr:uid="{00000000-0005-0000-0000-0000F7260000}"/>
    <cellStyle name="Porcentual 2 9" xfId="3301" xr:uid="{00000000-0005-0000-0000-0000F8260000}"/>
    <cellStyle name="Porcentual 2 9 10" xfId="3302" xr:uid="{00000000-0005-0000-0000-0000F9260000}"/>
    <cellStyle name="Porcentual 2 9 10 2" xfId="6855" xr:uid="{00000000-0005-0000-0000-0000FA260000}"/>
    <cellStyle name="Porcentual 2 9 11" xfId="3303" xr:uid="{00000000-0005-0000-0000-0000FB260000}"/>
    <cellStyle name="Porcentual 2 9 11 2" xfId="6856" xr:uid="{00000000-0005-0000-0000-0000FC260000}"/>
    <cellStyle name="Porcentual 2 9 12" xfId="3304" xr:uid="{00000000-0005-0000-0000-0000FD260000}"/>
    <cellStyle name="Porcentual 2 9 12 2" xfId="6857" xr:uid="{00000000-0005-0000-0000-0000FE260000}"/>
    <cellStyle name="Porcentual 2 9 13" xfId="3305" xr:uid="{00000000-0005-0000-0000-0000FF260000}"/>
    <cellStyle name="Porcentual 2 9 13 2" xfId="6858" xr:uid="{00000000-0005-0000-0000-000000270000}"/>
    <cellStyle name="Porcentual 2 9 14" xfId="3306" xr:uid="{00000000-0005-0000-0000-000001270000}"/>
    <cellStyle name="Porcentual 2 9 14 2" xfId="6859" xr:uid="{00000000-0005-0000-0000-000002270000}"/>
    <cellStyle name="Porcentual 2 9 15" xfId="3307" xr:uid="{00000000-0005-0000-0000-000003270000}"/>
    <cellStyle name="Porcentual 2 9 15 2" xfId="6860" xr:uid="{00000000-0005-0000-0000-000004270000}"/>
    <cellStyle name="Porcentual 2 9 16" xfId="3308" xr:uid="{00000000-0005-0000-0000-000005270000}"/>
    <cellStyle name="Porcentual 2 9 16 2" xfId="6861" xr:uid="{00000000-0005-0000-0000-000006270000}"/>
    <cellStyle name="Porcentual 2 9 17" xfId="3309" xr:uid="{00000000-0005-0000-0000-000007270000}"/>
    <cellStyle name="Porcentual 2 9 17 2" xfId="6862" xr:uid="{00000000-0005-0000-0000-000008270000}"/>
    <cellStyle name="Porcentual 2 9 18" xfId="3310" xr:uid="{00000000-0005-0000-0000-000009270000}"/>
    <cellStyle name="Porcentual 2 9 18 2" xfId="6863" xr:uid="{00000000-0005-0000-0000-00000A270000}"/>
    <cellStyle name="Porcentual 2 9 19" xfId="3311" xr:uid="{00000000-0005-0000-0000-00000B270000}"/>
    <cellStyle name="Porcentual 2 9 19 2" xfId="6864" xr:uid="{00000000-0005-0000-0000-00000C270000}"/>
    <cellStyle name="Porcentual 2 9 2" xfId="3312" xr:uid="{00000000-0005-0000-0000-00000D270000}"/>
    <cellStyle name="Porcentual 2 9 2 2" xfId="6865" xr:uid="{00000000-0005-0000-0000-00000E270000}"/>
    <cellStyle name="Porcentual 2 9 20" xfId="3313" xr:uid="{00000000-0005-0000-0000-00000F270000}"/>
    <cellStyle name="Porcentual 2 9 20 2" xfId="6866" xr:uid="{00000000-0005-0000-0000-000010270000}"/>
    <cellStyle name="Porcentual 2 9 21" xfId="3314" xr:uid="{00000000-0005-0000-0000-000011270000}"/>
    <cellStyle name="Porcentual 2 9 21 2" xfId="6867" xr:uid="{00000000-0005-0000-0000-000012270000}"/>
    <cellStyle name="Porcentual 2 9 22" xfId="3315" xr:uid="{00000000-0005-0000-0000-000013270000}"/>
    <cellStyle name="Porcentual 2 9 22 2" xfId="6868" xr:uid="{00000000-0005-0000-0000-000014270000}"/>
    <cellStyle name="Porcentual 2 9 23" xfId="3316" xr:uid="{00000000-0005-0000-0000-000015270000}"/>
    <cellStyle name="Porcentual 2 9 23 2" xfId="6869" xr:uid="{00000000-0005-0000-0000-000016270000}"/>
    <cellStyle name="Porcentual 2 9 24" xfId="3317" xr:uid="{00000000-0005-0000-0000-000017270000}"/>
    <cellStyle name="Porcentual 2 9 24 2" xfId="6870" xr:uid="{00000000-0005-0000-0000-000018270000}"/>
    <cellStyle name="Porcentual 2 9 25" xfId="3318" xr:uid="{00000000-0005-0000-0000-000019270000}"/>
    <cellStyle name="Porcentual 2 9 25 2" xfId="6871" xr:uid="{00000000-0005-0000-0000-00001A270000}"/>
    <cellStyle name="Porcentual 2 9 26" xfId="3319" xr:uid="{00000000-0005-0000-0000-00001B270000}"/>
    <cellStyle name="Porcentual 2 9 26 2" xfId="6872" xr:uid="{00000000-0005-0000-0000-00001C270000}"/>
    <cellStyle name="Porcentual 2 9 27" xfId="3320" xr:uid="{00000000-0005-0000-0000-00001D270000}"/>
    <cellStyle name="Porcentual 2 9 27 2" xfId="6873" xr:uid="{00000000-0005-0000-0000-00001E270000}"/>
    <cellStyle name="Porcentual 2 9 28" xfId="3321" xr:uid="{00000000-0005-0000-0000-00001F270000}"/>
    <cellStyle name="Porcentual 2 9 28 2" xfId="6874" xr:uid="{00000000-0005-0000-0000-000020270000}"/>
    <cellStyle name="Porcentual 2 9 29" xfId="6875" xr:uid="{00000000-0005-0000-0000-000021270000}"/>
    <cellStyle name="Porcentual 2 9 3" xfId="3322" xr:uid="{00000000-0005-0000-0000-000022270000}"/>
    <cellStyle name="Porcentual 2 9 3 2" xfId="6876" xr:uid="{00000000-0005-0000-0000-000023270000}"/>
    <cellStyle name="Porcentual 2 9 4" xfId="3323" xr:uid="{00000000-0005-0000-0000-000024270000}"/>
    <cellStyle name="Porcentual 2 9 4 2" xfId="6877" xr:uid="{00000000-0005-0000-0000-000025270000}"/>
    <cellStyle name="Porcentual 2 9 5" xfId="3324" xr:uid="{00000000-0005-0000-0000-000026270000}"/>
    <cellStyle name="Porcentual 2 9 5 2" xfId="6878" xr:uid="{00000000-0005-0000-0000-000027270000}"/>
    <cellStyle name="Porcentual 2 9 6" xfId="3325" xr:uid="{00000000-0005-0000-0000-000028270000}"/>
    <cellStyle name="Porcentual 2 9 6 2" xfId="6879" xr:uid="{00000000-0005-0000-0000-000029270000}"/>
    <cellStyle name="Porcentual 2 9 7" xfId="3326" xr:uid="{00000000-0005-0000-0000-00002A270000}"/>
    <cellStyle name="Porcentual 2 9 7 2" xfId="6880" xr:uid="{00000000-0005-0000-0000-00002B270000}"/>
    <cellStyle name="Porcentual 2 9 8" xfId="3327" xr:uid="{00000000-0005-0000-0000-00002C270000}"/>
    <cellStyle name="Porcentual 2 9 8 2" xfId="6881" xr:uid="{00000000-0005-0000-0000-00002D270000}"/>
    <cellStyle name="Porcentual 2 9 9" xfId="3328" xr:uid="{00000000-0005-0000-0000-00002E270000}"/>
    <cellStyle name="Porcentual 2 9 9 2" xfId="6882" xr:uid="{00000000-0005-0000-0000-00002F270000}"/>
    <cellStyle name="Porcentual 2 90" xfId="3329" xr:uid="{00000000-0005-0000-0000-000030270000}"/>
    <cellStyle name="Porcentual 2 90 2" xfId="8852" xr:uid="{00000000-0005-0000-0000-000031270000}"/>
    <cellStyle name="Porcentual 2 91" xfId="3330" xr:uid="{00000000-0005-0000-0000-000032270000}"/>
    <cellStyle name="Porcentual 2 91 2" xfId="8853" xr:uid="{00000000-0005-0000-0000-000033270000}"/>
    <cellStyle name="Porcentual 2 92" xfId="3331" xr:uid="{00000000-0005-0000-0000-000034270000}"/>
    <cellStyle name="Porcentual 2 92 2" xfId="8854" xr:uid="{00000000-0005-0000-0000-000035270000}"/>
    <cellStyle name="Porcentual 2 93" xfId="3332" xr:uid="{00000000-0005-0000-0000-000036270000}"/>
    <cellStyle name="Porcentual 2 93 2" xfId="8855" xr:uid="{00000000-0005-0000-0000-000037270000}"/>
    <cellStyle name="Porcentual 2 94" xfId="3333" xr:uid="{00000000-0005-0000-0000-000038270000}"/>
    <cellStyle name="Porcentual 2 94 2" xfId="8856" xr:uid="{00000000-0005-0000-0000-000039270000}"/>
    <cellStyle name="Porcentual 2 95" xfId="3334" xr:uid="{00000000-0005-0000-0000-00003A270000}"/>
    <cellStyle name="Porcentual 2 95 2" xfId="8857" xr:uid="{00000000-0005-0000-0000-00003B270000}"/>
    <cellStyle name="Porcentual 2 96" xfId="3335" xr:uid="{00000000-0005-0000-0000-00003C270000}"/>
    <cellStyle name="Porcentual 2 96 2" xfId="8858" xr:uid="{00000000-0005-0000-0000-00003D270000}"/>
    <cellStyle name="Porcentual 2 97" xfId="3336" xr:uid="{00000000-0005-0000-0000-00003E270000}"/>
    <cellStyle name="Porcentual 2 97 2" xfId="8859" xr:uid="{00000000-0005-0000-0000-00003F270000}"/>
    <cellStyle name="Porcentual 2 98" xfId="3337" xr:uid="{00000000-0005-0000-0000-000040270000}"/>
    <cellStyle name="Porcentual 2 98 2" xfId="8860" xr:uid="{00000000-0005-0000-0000-000041270000}"/>
    <cellStyle name="Porcentual 2 99" xfId="3338" xr:uid="{00000000-0005-0000-0000-000042270000}"/>
    <cellStyle name="Porcentual 2 99 2" xfId="8861" xr:uid="{00000000-0005-0000-0000-000043270000}"/>
    <cellStyle name="Porcentual 20" xfId="3339" xr:uid="{00000000-0005-0000-0000-000044270000}"/>
    <cellStyle name="Porcentual 20 10" xfId="3340" xr:uid="{00000000-0005-0000-0000-000045270000}"/>
    <cellStyle name="Porcentual 20 10 2" xfId="6883" xr:uid="{00000000-0005-0000-0000-000046270000}"/>
    <cellStyle name="Porcentual 20 10 3" xfId="8863" xr:uid="{00000000-0005-0000-0000-000047270000}"/>
    <cellStyle name="Porcentual 20 11" xfId="3341" xr:uid="{00000000-0005-0000-0000-000048270000}"/>
    <cellStyle name="Porcentual 20 11 2" xfId="6884" xr:uid="{00000000-0005-0000-0000-000049270000}"/>
    <cellStyle name="Porcentual 20 11 3" xfId="8864" xr:uid="{00000000-0005-0000-0000-00004A270000}"/>
    <cellStyle name="Porcentual 20 12" xfId="3342" xr:uid="{00000000-0005-0000-0000-00004B270000}"/>
    <cellStyle name="Porcentual 20 12 2" xfId="6885" xr:uid="{00000000-0005-0000-0000-00004C270000}"/>
    <cellStyle name="Porcentual 20 12 3" xfId="8865" xr:uid="{00000000-0005-0000-0000-00004D270000}"/>
    <cellStyle name="Porcentual 20 13" xfId="3343" xr:uid="{00000000-0005-0000-0000-00004E270000}"/>
    <cellStyle name="Porcentual 20 13 2" xfId="6886" xr:uid="{00000000-0005-0000-0000-00004F270000}"/>
    <cellStyle name="Porcentual 20 13 3" xfId="8866" xr:uid="{00000000-0005-0000-0000-000050270000}"/>
    <cellStyle name="Porcentual 20 14" xfId="3344" xr:uid="{00000000-0005-0000-0000-000051270000}"/>
    <cellStyle name="Porcentual 20 14 2" xfId="6887" xr:uid="{00000000-0005-0000-0000-000052270000}"/>
    <cellStyle name="Porcentual 20 14 3" xfId="8867" xr:uid="{00000000-0005-0000-0000-000053270000}"/>
    <cellStyle name="Porcentual 20 15" xfId="3345" xr:uid="{00000000-0005-0000-0000-000054270000}"/>
    <cellStyle name="Porcentual 20 15 2" xfId="6888" xr:uid="{00000000-0005-0000-0000-000055270000}"/>
    <cellStyle name="Porcentual 20 15 3" xfId="8868" xr:uid="{00000000-0005-0000-0000-000056270000}"/>
    <cellStyle name="Porcentual 20 16" xfId="3346" xr:uid="{00000000-0005-0000-0000-000057270000}"/>
    <cellStyle name="Porcentual 20 16 2" xfId="6889" xr:uid="{00000000-0005-0000-0000-000058270000}"/>
    <cellStyle name="Porcentual 20 16 3" xfId="8869" xr:uid="{00000000-0005-0000-0000-000059270000}"/>
    <cellStyle name="Porcentual 20 17" xfId="3347" xr:uid="{00000000-0005-0000-0000-00005A270000}"/>
    <cellStyle name="Porcentual 20 17 2" xfId="6890" xr:uid="{00000000-0005-0000-0000-00005B270000}"/>
    <cellStyle name="Porcentual 20 17 3" xfId="8870" xr:uid="{00000000-0005-0000-0000-00005C270000}"/>
    <cellStyle name="Porcentual 20 18" xfId="3348" xr:uid="{00000000-0005-0000-0000-00005D270000}"/>
    <cellStyle name="Porcentual 20 18 2" xfId="6891" xr:uid="{00000000-0005-0000-0000-00005E270000}"/>
    <cellStyle name="Porcentual 20 18 3" xfId="8871" xr:uid="{00000000-0005-0000-0000-00005F270000}"/>
    <cellStyle name="Porcentual 20 19" xfId="3349" xr:uid="{00000000-0005-0000-0000-000060270000}"/>
    <cellStyle name="Porcentual 20 19 2" xfId="6892" xr:uid="{00000000-0005-0000-0000-000061270000}"/>
    <cellStyle name="Porcentual 20 19 3" xfId="8872" xr:uid="{00000000-0005-0000-0000-000062270000}"/>
    <cellStyle name="Porcentual 20 2" xfId="3350" xr:uid="{00000000-0005-0000-0000-000063270000}"/>
    <cellStyle name="Porcentual 20 2 2" xfId="6893" xr:uid="{00000000-0005-0000-0000-000064270000}"/>
    <cellStyle name="Porcentual 20 2 3" xfId="8873" xr:uid="{00000000-0005-0000-0000-000065270000}"/>
    <cellStyle name="Porcentual 20 20" xfId="3351" xr:uid="{00000000-0005-0000-0000-000066270000}"/>
    <cellStyle name="Porcentual 20 20 2" xfId="6894" xr:uid="{00000000-0005-0000-0000-000067270000}"/>
    <cellStyle name="Porcentual 20 20 3" xfId="8874" xr:uid="{00000000-0005-0000-0000-000068270000}"/>
    <cellStyle name="Porcentual 20 21" xfId="3352" xr:uid="{00000000-0005-0000-0000-000069270000}"/>
    <cellStyle name="Porcentual 20 21 2" xfId="6895" xr:uid="{00000000-0005-0000-0000-00006A270000}"/>
    <cellStyle name="Porcentual 20 21 3" xfId="8875" xr:uid="{00000000-0005-0000-0000-00006B270000}"/>
    <cellStyle name="Porcentual 20 22" xfId="3353" xr:uid="{00000000-0005-0000-0000-00006C270000}"/>
    <cellStyle name="Porcentual 20 22 2" xfId="6896" xr:uid="{00000000-0005-0000-0000-00006D270000}"/>
    <cellStyle name="Porcentual 20 22 3" xfId="8876" xr:uid="{00000000-0005-0000-0000-00006E270000}"/>
    <cellStyle name="Porcentual 20 23" xfId="3354" xr:uid="{00000000-0005-0000-0000-00006F270000}"/>
    <cellStyle name="Porcentual 20 23 2" xfId="6897" xr:uid="{00000000-0005-0000-0000-000070270000}"/>
    <cellStyle name="Porcentual 20 23 3" xfId="8877" xr:uid="{00000000-0005-0000-0000-000071270000}"/>
    <cellStyle name="Porcentual 20 24" xfId="3355" xr:uid="{00000000-0005-0000-0000-000072270000}"/>
    <cellStyle name="Porcentual 20 24 2" xfId="6898" xr:uid="{00000000-0005-0000-0000-000073270000}"/>
    <cellStyle name="Porcentual 20 24 3" xfId="8878" xr:uid="{00000000-0005-0000-0000-000074270000}"/>
    <cellStyle name="Porcentual 20 25" xfId="3356" xr:uid="{00000000-0005-0000-0000-000075270000}"/>
    <cellStyle name="Porcentual 20 25 2" xfId="6899" xr:uid="{00000000-0005-0000-0000-000076270000}"/>
    <cellStyle name="Porcentual 20 25 3" xfId="8879" xr:uid="{00000000-0005-0000-0000-000077270000}"/>
    <cellStyle name="Porcentual 20 26" xfId="3357" xr:uid="{00000000-0005-0000-0000-000078270000}"/>
    <cellStyle name="Porcentual 20 26 2" xfId="6900" xr:uid="{00000000-0005-0000-0000-000079270000}"/>
    <cellStyle name="Porcentual 20 26 3" xfId="8880" xr:uid="{00000000-0005-0000-0000-00007A270000}"/>
    <cellStyle name="Porcentual 20 27" xfId="3358" xr:uid="{00000000-0005-0000-0000-00007B270000}"/>
    <cellStyle name="Porcentual 20 27 2" xfId="6901" xr:uid="{00000000-0005-0000-0000-00007C270000}"/>
    <cellStyle name="Porcentual 20 27 3" xfId="8881" xr:uid="{00000000-0005-0000-0000-00007D270000}"/>
    <cellStyle name="Porcentual 20 28" xfId="3359" xr:uid="{00000000-0005-0000-0000-00007E270000}"/>
    <cellStyle name="Porcentual 20 28 2" xfId="6902" xr:uid="{00000000-0005-0000-0000-00007F270000}"/>
    <cellStyle name="Porcentual 20 28 3" xfId="8882" xr:uid="{00000000-0005-0000-0000-000080270000}"/>
    <cellStyle name="Porcentual 20 29" xfId="6903" xr:uid="{00000000-0005-0000-0000-000081270000}"/>
    <cellStyle name="Porcentual 20 3" xfId="3360" xr:uid="{00000000-0005-0000-0000-000082270000}"/>
    <cellStyle name="Porcentual 20 3 2" xfId="6904" xr:uid="{00000000-0005-0000-0000-000083270000}"/>
    <cellStyle name="Porcentual 20 3 3" xfId="8883" xr:uid="{00000000-0005-0000-0000-000084270000}"/>
    <cellStyle name="Porcentual 20 30" xfId="8862" xr:uid="{00000000-0005-0000-0000-000085270000}"/>
    <cellStyle name="Porcentual 20 4" xfId="3361" xr:uid="{00000000-0005-0000-0000-000086270000}"/>
    <cellStyle name="Porcentual 20 4 2" xfId="6905" xr:uid="{00000000-0005-0000-0000-000087270000}"/>
    <cellStyle name="Porcentual 20 4 3" xfId="8884" xr:uid="{00000000-0005-0000-0000-000088270000}"/>
    <cellStyle name="Porcentual 20 5" xfId="3362" xr:uid="{00000000-0005-0000-0000-000089270000}"/>
    <cellStyle name="Porcentual 20 5 2" xfId="6906" xr:uid="{00000000-0005-0000-0000-00008A270000}"/>
    <cellStyle name="Porcentual 20 5 3" xfId="8885" xr:uid="{00000000-0005-0000-0000-00008B270000}"/>
    <cellStyle name="Porcentual 20 6" xfId="3363" xr:uid="{00000000-0005-0000-0000-00008C270000}"/>
    <cellStyle name="Porcentual 20 6 2" xfId="6907" xr:uid="{00000000-0005-0000-0000-00008D270000}"/>
    <cellStyle name="Porcentual 20 6 3" xfId="8886" xr:uid="{00000000-0005-0000-0000-00008E270000}"/>
    <cellStyle name="Porcentual 20 7" xfId="3364" xr:uid="{00000000-0005-0000-0000-00008F270000}"/>
    <cellStyle name="Porcentual 20 7 2" xfId="6908" xr:uid="{00000000-0005-0000-0000-000090270000}"/>
    <cellStyle name="Porcentual 20 7 3" xfId="8887" xr:uid="{00000000-0005-0000-0000-000091270000}"/>
    <cellStyle name="Porcentual 20 8" xfId="3365" xr:uid="{00000000-0005-0000-0000-000092270000}"/>
    <cellStyle name="Porcentual 20 8 2" xfId="6909" xr:uid="{00000000-0005-0000-0000-000093270000}"/>
    <cellStyle name="Porcentual 20 8 3" xfId="8888" xr:uid="{00000000-0005-0000-0000-000094270000}"/>
    <cellStyle name="Porcentual 20 9" xfId="3366" xr:uid="{00000000-0005-0000-0000-000095270000}"/>
    <cellStyle name="Porcentual 20 9 2" xfId="6910" xr:uid="{00000000-0005-0000-0000-000096270000}"/>
    <cellStyle name="Porcentual 20 9 3" xfId="8889" xr:uid="{00000000-0005-0000-0000-000097270000}"/>
    <cellStyle name="Porcentual 201" xfId="3367" xr:uid="{00000000-0005-0000-0000-000098270000}"/>
    <cellStyle name="Porcentual 201 10" xfId="3368" xr:uid="{00000000-0005-0000-0000-000099270000}"/>
    <cellStyle name="Porcentual 201 10 2" xfId="6911" xr:uid="{00000000-0005-0000-0000-00009A270000}"/>
    <cellStyle name="Porcentual 201 10 3" xfId="8891" xr:uid="{00000000-0005-0000-0000-00009B270000}"/>
    <cellStyle name="Porcentual 201 11" xfId="3369" xr:uid="{00000000-0005-0000-0000-00009C270000}"/>
    <cellStyle name="Porcentual 201 11 2" xfId="6912" xr:uid="{00000000-0005-0000-0000-00009D270000}"/>
    <cellStyle name="Porcentual 201 11 3" xfId="8892" xr:uid="{00000000-0005-0000-0000-00009E270000}"/>
    <cellStyle name="Porcentual 201 12" xfId="3370" xr:uid="{00000000-0005-0000-0000-00009F270000}"/>
    <cellStyle name="Porcentual 201 12 2" xfId="6913" xr:uid="{00000000-0005-0000-0000-0000A0270000}"/>
    <cellStyle name="Porcentual 201 12 3" xfId="8893" xr:uid="{00000000-0005-0000-0000-0000A1270000}"/>
    <cellStyle name="Porcentual 201 13" xfId="3371" xr:uid="{00000000-0005-0000-0000-0000A2270000}"/>
    <cellStyle name="Porcentual 201 13 2" xfId="6914" xr:uid="{00000000-0005-0000-0000-0000A3270000}"/>
    <cellStyle name="Porcentual 201 13 3" xfId="8894" xr:uid="{00000000-0005-0000-0000-0000A4270000}"/>
    <cellStyle name="Porcentual 201 14" xfId="3372" xr:uid="{00000000-0005-0000-0000-0000A5270000}"/>
    <cellStyle name="Porcentual 201 14 2" xfId="6915" xr:uid="{00000000-0005-0000-0000-0000A6270000}"/>
    <cellStyle name="Porcentual 201 14 3" xfId="8895" xr:uid="{00000000-0005-0000-0000-0000A7270000}"/>
    <cellStyle name="Porcentual 201 15" xfId="3373" xr:uid="{00000000-0005-0000-0000-0000A8270000}"/>
    <cellStyle name="Porcentual 201 15 2" xfId="6916" xr:uid="{00000000-0005-0000-0000-0000A9270000}"/>
    <cellStyle name="Porcentual 201 15 3" xfId="8896" xr:uid="{00000000-0005-0000-0000-0000AA270000}"/>
    <cellStyle name="Porcentual 201 16" xfId="3374" xr:uid="{00000000-0005-0000-0000-0000AB270000}"/>
    <cellStyle name="Porcentual 201 16 2" xfId="6917" xr:uid="{00000000-0005-0000-0000-0000AC270000}"/>
    <cellStyle name="Porcentual 201 16 3" xfId="8897" xr:uid="{00000000-0005-0000-0000-0000AD270000}"/>
    <cellStyle name="Porcentual 201 17" xfId="3375" xr:uid="{00000000-0005-0000-0000-0000AE270000}"/>
    <cellStyle name="Porcentual 201 17 2" xfId="6918" xr:uid="{00000000-0005-0000-0000-0000AF270000}"/>
    <cellStyle name="Porcentual 201 17 3" xfId="8898" xr:uid="{00000000-0005-0000-0000-0000B0270000}"/>
    <cellStyle name="Porcentual 201 18" xfId="3376" xr:uid="{00000000-0005-0000-0000-0000B1270000}"/>
    <cellStyle name="Porcentual 201 18 2" xfId="6919" xr:uid="{00000000-0005-0000-0000-0000B2270000}"/>
    <cellStyle name="Porcentual 201 18 3" xfId="8899" xr:uid="{00000000-0005-0000-0000-0000B3270000}"/>
    <cellStyle name="Porcentual 201 19" xfId="3377" xr:uid="{00000000-0005-0000-0000-0000B4270000}"/>
    <cellStyle name="Porcentual 201 19 2" xfId="6920" xr:uid="{00000000-0005-0000-0000-0000B5270000}"/>
    <cellStyle name="Porcentual 201 19 3" xfId="8900" xr:uid="{00000000-0005-0000-0000-0000B6270000}"/>
    <cellStyle name="Porcentual 201 2" xfId="3378" xr:uid="{00000000-0005-0000-0000-0000B7270000}"/>
    <cellStyle name="Porcentual 201 2 2" xfId="6921" xr:uid="{00000000-0005-0000-0000-0000B8270000}"/>
    <cellStyle name="Porcentual 201 2 3" xfId="8901" xr:uid="{00000000-0005-0000-0000-0000B9270000}"/>
    <cellStyle name="Porcentual 201 20" xfId="3379" xr:uid="{00000000-0005-0000-0000-0000BA270000}"/>
    <cellStyle name="Porcentual 201 20 2" xfId="6922" xr:uid="{00000000-0005-0000-0000-0000BB270000}"/>
    <cellStyle name="Porcentual 201 20 3" xfId="8902" xr:uid="{00000000-0005-0000-0000-0000BC270000}"/>
    <cellStyle name="Porcentual 201 21" xfId="3380" xr:uid="{00000000-0005-0000-0000-0000BD270000}"/>
    <cellStyle name="Porcentual 201 21 2" xfId="6923" xr:uid="{00000000-0005-0000-0000-0000BE270000}"/>
    <cellStyle name="Porcentual 201 21 3" xfId="8903" xr:uid="{00000000-0005-0000-0000-0000BF270000}"/>
    <cellStyle name="Porcentual 201 22" xfId="3381" xr:uid="{00000000-0005-0000-0000-0000C0270000}"/>
    <cellStyle name="Porcentual 201 22 2" xfId="6924" xr:uid="{00000000-0005-0000-0000-0000C1270000}"/>
    <cellStyle name="Porcentual 201 22 3" xfId="8904" xr:uid="{00000000-0005-0000-0000-0000C2270000}"/>
    <cellStyle name="Porcentual 201 23" xfId="3382" xr:uid="{00000000-0005-0000-0000-0000C3270000}"/>
    <cellStyle name="Porcentual 201 23 2" xfId="6925" xr:uid="{00000000-0005-0000-0000-0000C4270000}"/>
    <cellStyle name="Porcentual 201 23 3" xfId="8905" xr:uid="{00000000-0005-0000-0000-0000C5270000}"/>
    <cellStyle name="Porcentual 201 24" xfId="3383" xr:uid="{00000000-0005-0000-0000-0000C6270000}"/>
    <cellStyle name="Porcentual 201 24 2" xfId="6926" xr:uid="{00000000-0005-0000-0000-0000C7270000}"/>
    <cellStyle name="Porcentual 201 24 3" xfId="8906" xr:uid="{00000000-0005-0000-0000-0000C8270000}"/>
    <cellStyle name="Porcentual 201 25" xfId="3384" xr:uid="{00000000-0005-0000-0000-0000C9270000}"/>
    <cellStyle name="Porcentual 201 25 2" xfId="6927" xr:uid="{00000000-0005-0000-0000-0000CA270000}"/>
    <cellStyle name="Porcentual 201 25 3" xfId="8907" xr:uid="{00000000-0005-0000-0000-0000CB270000}"/>
    <cellStyle name="Porcentual 201 26" xfId="3385" xr:uid="{00000000-0005-0000-0000-0000CC270000}"/>
    <cellStyle name="Porcentual 201 26 2" xfId="6928" xr:uid="{00000000-0005-0000-0000-0000CD270000}"/>
    <cellStyle name="Porcentual 201 26 3" xfId="8908" xr:uid="{00000000-0005-0000-0000-0000CE270000}"/>
    <cellStyle name="Porcentual 201 27" xfId="3386" xr:uid="{00000000-0005-0000-0000-0000CF270000}"/>
    <cellStyle name="Porcentual 201 27 2" xfId="6929" xr:uid="{00000000-0005-0000-0000-0000D0270000}"/>
    <cellStyle name="Porcentual 201 27 3" xfId="8909" xr:uid="{00000000-0005-0000-0000-0000D1270000}"/>
    <cellStyle name="Porcentual 201 28" xfId="3387" xr:uid="{00000000-0005-0000-0000-0000D2270000}"/>
    <cellStyle name="Porcentual 201 28 2" xfId="6930" xr:uid="{00000000-0005-0000-0000-0000D3270000}"/>
    <cellStyle name="Porcentual 201 28 3" xfId="8910" xr:uid="{00000000-0005-0000-0000-0000D4270000}"/>
    <cellStyle name="Porcentual 201 29" xfId="8890" xr:uid="{00000000-0005-0000-0000-0000D5270000}"/>
    <cellStyle name="Porcentual 201 3" xfId="3388" xr:uid="{00000000-0005-0000-0000-0000D6270000}"/>
    <cellStyle name="Porcentual 201 3 2" xfId="6931" xr:uid="{00000000-0005-0000-0000-0000D7270000}"/>
    <cellStyle name="Porcentual 201 3 3" xfId="8911" xr:uid="{00000000-0005-0000-0000-0000D8270000}"/>
    <cellStyle name="Porcentual 201 4" xfId="3389" xr:uid="{00000000-0005-0000-0000-0000D9270000}"/>
    <cellStyle name="Porcentual 201 4 2" xfId="6932" xr:uid="{00000000-0005-0000-0000-0000DA270000}"/>
    <cellStyle name="Porcentual 201 4 3" xfId="8912" xr:uid="{00000000-0005-0000-0000-0000DB270000}"/>
    <cellStyle name="Porcentual 201 5" xfId="3390" xr:uid="{00000000-0005-0000-0000-0000DC270000}"/>
    <cellStyle name="Porcentual 201 5 2" xfId="6933" xr:uid="{00000000-0005-0000-0000-0000DD270000}"/>
    <cellStyle name="Porcentual 201 5 3" xfId="8913" xr:uid="{00000000-0005-0000-0000-0000DE270000}"/>
    <cellStyle name="Porcentual 201 6" xfId="3391" xr:uid="{00000000-0005-0000-0000-0000DF270000}"/>
    <cellStyle name="Porcentual 201 6 2" xfId="6934" xr:uid="{00000000-0005-0000-0000-0000E0270000}"/>
    <cellStyle name="Porcentual 201 6 3" xfId="8914" xr:uid="{00000000-0005-0000-0000-0000E1270000}"/>
    <cellStyle name="Porcentual 201 7" xfId="3392" xr:uid="{00000000-0005-0000-0000-0000E2270000}"/>
    <cellStyle name="Porcentual 201 7 2" xfId="6935" xr:uid="{00000000-0005-0000-0000-0000E3270000}"/>
    <cellStyle name="Porcentual 201 7 3" xfId="8915" xr:uid="{00000000-0005-0000-0000-0000E4270000}"/>
    <cellStyle name="Porcentual 201 8" xfId="3393" xr:uid="{00000000-0005-0000-0000-0000E5270000}"/>
    <cellStyle name="Porcentual 201 8 2" xfId="6936" xr:uid="{00000000-0005-0000-0000-0000E6270000}"/>
    <cellStyle name="Porcentual 201 8 3" xfId="8916" xr:uid="{00000000-0005-0000-0000-0000E7270000}"/>
    <cellStyle name="Porcentual 201 9" xfId="3394" xr:uid="{00000000-0005-0000-0000-0000E8270000}"/>
    <cellStyle name="Porcentual 201 9 2" xfId="6937" xr:uid="{00000000-0005-0000-0000-0000E9270000}"/>
    <cellStyle name="Porcentual 201 9 3" xfId="8917" xr:uid="{00000000-0005-0000-0000-0000EA270000}"/>
    <cellStyle name="Porcentual 203 10" xfId="3395" xr:uid="{00000000-0005-0000-0000-0000EB270000}"/>
    <cellStyle name="Porcentual 203 10 2" xfId="6938" xr:uid="{00000000-0005-0000-0000-0000EC270000}"/>
    <cellStyle name="Porcentual 203 10 3" xfId="8918" xr:uid="{00000000-0005-0000-0000-0000ED270000}"/>
    <cellStyle name="Porcentual 203 11" xfId="3396" xr:uid="{00000000-0005-0000-0000-0000EE270000}"/>
    <cellStyle name="Porcentual 203 11 2" xfId="6939" xr:uid="{00000000-0005-0000-0000-0000EF270000}"/>
    <cellStyle name="Porcentual 203 11 3" xfId="8919" xr:uid="{00000000-0005-0000-0000-0000F0270000}"/>
    <cellStyle name="Porcentual 203 12" xfId="3397" xr:uid="{00000000-0005-0000-0000-0000F1270000}"/>
    <cellStyle name="Porcentual 203 12 2" xfId="6940" xr:uid="{00000000-0005-0000-0000-0000F2270000}"/>
    <cellStyle name="Porcentual 203 12 3" xfId="8920" xr:uid="{00000000-0005-0000-0000-0000F3270000}"/>
    <cellStyle name="Porcentual 203 13" xfId="3398" xr:uid="{00000000-0005-0000-0000-0000F4270000}"/>
    <cellStyle name="Porcentual 203 13 2" xfId="6941" xr:uid="{00000000-0005-0000-0000-0000F5270000}"/>
    <cellStyle name="Porcentual 203 13 3" xfId="8921" xr:uid="{00000000-0005-0000-0000-0000F6270000}"/>
    <cellStyle name="Porcentual 203 14" xfId="3399" xr:uid="{00000000-0005-0000-0000-0000F7270000}"/>
    <cellStyle name="Porcentual 203 14 2" xfId="6942" xr:uid="{00000000-0005-0000-0000-0000F8270000}"/>
    <cellStyle name="Porcentual 203 14 3" xfId="8922" xr:uid="{00000000-0005-0000-0000-0000F9270000}"/>
    <cellStyle name="Porcentual 203 15" xfId="3400" xr:uid="{00000000-0005-0000-0000-0000FA270000}"/>
    <cellStyle name="Porcentual 203 15 2" xfId="6943" xr:uid="{00000000-0005-0000-0000-0000FB270000}"/>
    <cellStyle name="Porcentual 203 15 3" xfId="8923" xr:uid="{00000000-0005-0000-0000-0000FC270000}"/>
    <cellStyle name="Porcentual 203 16" xfId="3401" xr:uid="{00000000-0005-0000-0000-0000FD270000}"/>
    <cellStyle name="Porcentual 203 16 2" xfId="6944" xr:uid="{00000000-0005-0000-0000-0000FE270000}"/>
    <cellStyle name="Porcentual 203 16 3" xfId="8924" xr:uid="{00000000-0005-0000-0000-0000FF270000}"/>
    <cellStyle name="Porcentual 203 17" xfId="3402" xr:uid="{00000000-0005-0000-0000-000000280000}"/>
    <cellStyle name="Porcentual 203 17 2" xfId="6945" xr:uid="{00000000-0005-0000-0000-000001280000}"/>
    <cellStyle name="Porcentual 203 17 3" xfId="8925" xr:uid="{00000000-0005-0000-0000-000002280000}"/>
    <cellStyle name="Porcentual 203 18" xfId="3403" xr:uid="{00000000-0005-0000-0000-000003280000}"/>
    <cellStyle name="Porcentual 203 18 2" xfId="6946" xr:uid="{00000000-0005-0000-0000-000004280000}"/>
    <cellStyle name="Porcentual 203 18 3" xfId="8926" xr:uid="{00000000-0005-0000-0000-000005280000}"/>
    <cellStyle name="Porcentual 203 19" xfId="3404" xr:uid="{00000000-0005-0000-0000-000006280000}"/>
    <cellStyle name="Porcentual 203 19 2" xfId="6947" xr:uid="{00000000-0005-0000-0000-000007280000}"/>
    <cellStyle name="Porcentual 203 19 3" xfId="8927" xr:uid="{00000000-0005-0000-0000-000008280000}"/>
    <cellStyle name="Porcentual 203 2" xfId="3405" xr:uid="{00000000-0005-0000-0000-000009280000}"/>
    <cellStyle name="Porcentual 203 2 2" xfId="6948" xr:uid="{00000000-0005-0000-0000-00000A280000}"/>
    <cellStyle name="Porcentual 203 2 3" xfId="8928" xr:uid="{00000000-0005-0000-0000-00000B280000}"/>
    <cellStyle name="Porcentual 203 20" xfId="3406" xr:uid="{00000000-0005-0000-0000-00000C280000}"/>
    <cellStyle name="Porcentual 203 20 2" xfId="6949" xr:uid="{00000000-0005-0000-0000-00000D280000}"/>
    <cellStyle name="Porcentual 203 20 3" xfId="8929" xr:uid="{00000000-0005-0000-0000-00000E280000}"/>
    <cellStyle name="Porcentual 203 21" xfId="3407" xr:uid="{00000000-0005-0000-0000-00000F280000}"/>
    <cellStyle name="Porcentual 203 21 2" xfId="6950" xr:uid="{00000000-0005-0000-0000-000010280000}"/>
    <cellStyle name="Porcentual 203 21 3" xfId="8930" xr:uid="{00000000-0005-0000-0000-000011280000}"/>
    <cellStyle name="Porcentual 203 22" xfId="3408" xr:uid="{00000000-0005-0000-0000-000012280000}"/>
    <cellStyle name="Porcentual 203 22 2" xfId="6951" xr:uid="{00000000-0005-0000-0000-000013280000}"/>
    <cellStyle name="Porcentual 203 22 3" xfId="8931" xr:uid="{00000000-0005-0000-0000-000014280000}"/>
    <cellStyle name="Porcentual 203 23" xfId="3409" xr:uid="{00000000-0005-0000-0000-000015280000}"/>
    <cellStyle name="Porcentual 203 23 2" xfId="6952" xr:uid="{00000000-0005-0000-0000-000016280000}"/>
    <cellStyle name="Porcentual 203 23 3" xfId="8932" xr:uid="{00000000-0005-0000-0000-000017280000}"/>
    <cellStyle name="Porcentual 203 24" xfId="3410" xr:uid="{00000000-0005-0000-0000-000018280000}"/>
    <cellStyle name="Porcentual 203 24 2" xfId="6953" xr:uid="{00000000-0005-0000-0000-000019280000}"/>
    <cellStyle name="Porcentual 203 24 3" xfId="8933" xr:uid="{00000000-0005-0000-0000-00001A280000}"/>
    <cellStyle name="Porcentual 203 25" xfId="3411" xr:uid="{00000000-0005-0000-0000-00001B280000}"/>
    <cellStyle name="Porcentual 203 25 2" xfId="6954" xr:uid="{00000000-0005-0000-0000-00001C280000}"/>
    <cellStyle name="Porcentual 203 25 3" xfId="8934" xr:uid="{00000000-0005-0000-0000-00001D280000}"/>
    <cellStyle name="Porcentual 203 26" xfId="3412" xr:uid="{00000000-0005-0000-0000-00001E280000}"/>
    <cellStyle name="Porcentual 203 26 2" xfId="6955" xr:uid="{00000000-0005-0000-0000-00001F280000}"/>
    <cellStyle name="Porcentual 203 26 3" xfId="8935" xr:uid="{00000000-0005-0000-0000-000020280000}"/>
    <cellStyle name="Porcentual 203 27" xfId="3413" xr:uid="{00000000-0005-0000-0000-000021280000}"/>
    <cellStyle name="Porcentual 203 27 2" xfId="6956" xr:uid="{00000000-0005-0000-0000-000022280000}"/>
    <cellStyle name="Porcentual 203 27 3" xfId="8936" xr:uid="{00000000-0005-0000-0000-000023280000}"/>
    <cellStyle name="Porcentual 203 28" xfId="3414" xr:uid="{00000000-0005-0000-0000-000024280000}"/>
    <cellStyle name="Porcentual 203 28 2" xfId="6957" xr:uid="{00000000-0005-0000-0000-000025280000}"/>
    <cellStyle name="Porcentual 203 28 3" xfId="8937" xr:uid="{00000000-0005-0000-0000-000026280000}"/>
    <cellStyle name="Porcentual 203 3" xfId="3415" xr:uid="{00000000-0005-0000-0000-000027280000}"/>
    <cellStyle name="Porcentual 203 3 2" xfId="6958" xr:uid="{00000000-0005-0000-0000-000028280000}"/>
    <cellStyle name="Porcentual 203 3 3" xfId="8938" xr:uid="{00000000-0005-0000-0000-000029280000}"/>
    <cellStyle name="Porcentual 203 4" xfId="3416" xr:uid="{00000000-0005-0000-0000-00002A280000}"/>
    <cellStyle name="Porcentual 203 4 2" xfId="6959" xr:uid="{00000000-0005-0000-0000-00002B280000}"/>
    <cellStyle name="Porcentual 203 4 3" xfId="8939" xr:uid="{00000000-0005-0000-0000-00002C280000}"/>
    <cellStyle name="Porcentual 203 5" xfId="3417" xr:uid="{00000000-0005-0000-0000-00002D280000}"/>
    <cellStyle name="Porcentual 203 5 2" xfId="6960" xr:uid="{00000000-0005-0000-0000-00002E280000}"/>
    <cellStyle name="Porcentual 203 5 3" xfId="8940" xr:uid="{00000000-0005-0000-0000-00002F280000}"/>
    <cellStyle name="Porcentual 203 6" xfId="3418" xr:uid="{00000000-0005-0000-0000-000030280000}"/>
    <cellStyle name="Porcentual 203 6 2" xfId="6961" xr:uid="{00000000-0005-0000-0000-000031280000}"/>
    <cellStyle name="Porcentual 203 6 3" xfId="8941" xr:uid="{00000000-0005-0000-0000-000032280000}"/>
    <cellStyle name="Porcentual 203 7" xfId="3419" xr:uid="{00000000-0005-0000-0000-000033280000}"/>
    <cellStyle name="Porcentual 203 7 2" xfId="6962" xr:uid="{00000000-0005-0000-0000-000034280000}"/>
    <cellStyle name="Porcentual 203 7 3" xfId="8942" xr:uid="{00000000-0005-0000-0000-000035280000}"/>
    <cellStyle name="Porcentual 203 8" xfId="3420" xr:uid="{00000000-0005-0000-0000-000036280000}"/>
    <cellStyle name="Porcentual 203 8 2" xfId="6963" xr:uid="{00000000-0005-0000-0000-000037280000}"/>
    <cellStyle name="Porcentual 203 8 3" xfId="8943" xr:uid="{00000000-0005-0000-0000-000038280000}"/>
    <cellStyle name="Porcentual 203 9" xfId="3421" xr:uid="{00000000-0005-0000-0000-000039280000}"/>
    <cellStyle name="Porcentual 203 9 2" xfId="6964" xr:uid="{00000000-0005-0000-0000-00003A280000}"/>
    <cellStyle name="Porcentual 203 9 3" xfId="8944" xr:uid="{00000000-0005-0000-0000-00003B280000}"/>
    <cellStyle name="Porcentual 204 10" xfId="3422" xr:uid="{00000000-0005-0000-0000-00003C280000}"/>
    <cellStyle name="Porcentual 204 10 2" xfId="6965" xr:uid="{00000000-0005-0000-0000-00003D280000}"/>
    <cellStyle name="Porcentual 204 10 3" xfId="8945" xr:uid="{00000000-0005-0000-0000-00003E280000}"/>
    <cellStyle name="Porcentual 204 11" xfId="3423" xr:uid="{00000000-0005-0000-0000-00003F280000}"/>
    <cellStyle name="Porcentual 204 11 2" xfId="6966" xr:uid="{00000000-0005-0000-0000-000040280000}"/>
    <cellStyle name="Porcentual 204 11 3" xfId="8946" xr:uid="{00000000-0005-0000-0000-000041280000}"/>
    <cellStyle name="Porcentual 204 12" xfId="3424" xr:uid="{00000000-0005-0000-0000-000042280000}"/>
    <cellStyle name="Porcentual 204 12 2" xfId="6967" xr:uid="{00000000-0005-0000-0000-000043280000}"/>
    <cellStyle name="Porcentual 204 12 3" xfId="8947" xr:uid="{00000000-0005-0000-0000-000044280000}"/>
    <cellStyle name="Porcentual 204 13" xfId="3425" xr:uid="{00000000-0005-0000-0000-000045280000}"/>
    <cellStyle name="Porcentual 204 13 2" xfId="6968" xr:uid="{00000000-0005-0000-0000-000046280000}"/>
    <cellStyle name="Porcentual 204 13 3" xfId="8948" xr:uid="{00000000-0005-0000-0000-000047280000}"/>
    <cellStyle name="Porcentual 204 14" xfId="3426" xr:uid="{00000000-0005-0000-0000-000048280000}"/>
    <cellStyle name="Porcentual 204 14 2" xfId="6969" xr:uid="{00000000-0005-0000-0000-000049280000}"/>
    <cellStyle name="Porcentual 204 14 3" xfId="8949" xr:uid="{00000000-0005-0000-0000-00004A280000}"/>
    <cellStyle name="Porcentual 204 15" xfId="3427" xr:uid="{00000000-0005-0000-0000-00004B280000}"/>
    <cellStyle name="Porcentual 204 15 2" xfId="6970" xr:uid="{00000000-0005-0000-0000-00004C280000}"/>
    <cellStyle name="Porcentual 204 15 3" xfId="8950" xr:uid="{00000000-0005-0000-0000-00004D280000}"/>
    <cellStyle name="Porcentual 204 16" xfId="3428" xr:uid="{00000000-0005-0000-0000-00004E280000}"/>
    <cellStyle name="Porcentual 204 16 2" xfId="6971" xr:uid="{00000000-0005-0000-0000-00004F280000}"/>
    <cellStyle name="Porcentual 204 16 3" xfId="8951" xr:uid="{00000000-0005-0000-0000-000050280000}"/>
    <cellStyle name="Porcentual 204 17" xfId="3429" xr:uid="{00000000-0005-0000-0000-000051280000}"/>
    <cellStyle name="Porcentual 204 17 2" xfId="6972" xr:uid="{00000000-0005-0000-0000-000052280000}"/>
    <cellStyle name="Porcentual 204 17 3" xfId="8952" xr:uid="{00000000-0005-0000-0000-000053280000}"/>
    <cellStyle name="Porcentual 204 18" xfId="3430" xr:uid="{00000000-0005-0000-0000-000054280000}"/>
    <cellStyle name="Porcentual 204 18 2" xfId="6973" xr:uid="{00000000-0005-0000-0000-000055280000}"/>
    <cellStyle name="Porcentual 204 18 3" xfId="8953" xr:uid="{00000000-0005-0000-0000-000056280000}"/>
    <cellStyle name="Porcentual 204 19" xfId="3431" xr:uid="{00000000-0005-0000-0000-000057280000}"/>
    <cellStyle name="Porcentual 204 19 2" xfId="6974" xr:uid="{00000000-0005-0000-0000-000058280000}"/>
    <cellStyle name="Porcentual 204 19 3" xfId="8954" xr:uid="{00000000-0005-0000-0000-000059280000}"/>
    <cellStyle name="Porcentual 204 2" xfId="3432" xr:uid="{00000000-0005-0000-0000-00005A280000}"/>
    <cellStyle name="Porcentual 204 2 2" xfId="6975" xr:uid="{00000000-0005-0000-0000-00005B280000}"/>
    <cellStyle name="Porcentual 204 2 3" xfId="8955" xr:uid="{00000000-0005-0000-0000-00005C280000}"/>
    <cellStyle name="Porcentual 204 20" xfId="3433" xr:uid="{00000000-0005-0000-0000-00005D280000}"/>
    <cellStyle name="Porcentual 204 20 2" xfId="6976" xr:uid="{00000000-0005-0000-0000-00005E280000}"/>
    <cellStyle name="Porcentual 204 20 3" xfId="8956" xr:uid="{00000000-0005-0000-0000-00005F280000}"/>
    <cellStyle name="Porcentual 204 21" xfId="3434" xr:uid="{00000000-0005-0000-0000-000060280000}"/>
    <cellStyle name="Porcentual 204 21 2" xfId="6977" xr:uid="{00000000-0005-0000-0000-000061280000}"/>
    <cellStyle name="Porcentual 204 21 3" xfId="8957" xr:uid="{00000000-0005-0000-0000-000062280000}"/>
    <cellStyle name="Porcentual 204 22" xfId="3435" xr:uid="{00000000-0005-0000-0000-000063280000}"/>
    <cellStyle name="Porcentual 204 22 2" xfId="6978" xr:uid="{00000000-0005-0000-0000-000064280000}"/>
    <cellStyle name="Porcentual 204 22 3" xfId="8958" xr:uid="{00000000-0005-0000-0000-000065280000}"/>
    <cellStyle name="Porcentual 204 23" xfId="3436" xr:uid="{00000000-0005-0000-0000-000066280000}"/>
    <cellStyle name="Porcentual 204 23 2" xfId="6979" xr:uid="{00000000-0005-0000-0000-000067280000}"/>
    <cellStyle name="Porcentual 204 23 3" xfId="8959" xr:uid="{00000000-0005-0000-0000-000068280000}"/>
    <cellStyle name="Porcentual 204 24" xfId="3437" xr:uid="{00000000-0005-0000-0000-000069280000}"/>
    <cellStyle name="Porcentual 204 24 2" xfId="6980" xr:uid="{00000000-0005-0000-0000-00006A280000}"/>
    <cellStyle name="Porcentual 204 24 3" xfId="8960" xr:uid="{00000000-0005-0000-0000-00006B280000}"/>
    <cellStyle name="Porcentual 204 25" xfId="3438" xr:uid="{00000000-0005-0000-0000-00006C280000}"/>
    <cellStyle name="Porcentual 204 25 2" xfId="6981" xr:uid="{00000000-0005-0000-0000-00006D280000}"/>
    <cellStyle name="Porcentual 204 25 3" xfId="8961" xr:uid="{00000000-0005-0000-0000-00006E280000}"/>
    <cellStyle name="Porcentual 204 26" xfId="3439" xr:uid="{00000000-0005-0000-0000-00006F280000}"/>
    <cellStyle name="Porcentual 204 26 2" xfId="6982" xr:uid="{00000000-0005-0000-0000-000070280000}"/>
    <cellStyle name="Porcentual 204 26 3" xfId="8962" xr:uid="{00000000-0005-0000-0000-000071280000}"/>
    <cellStyle name="Porcentual 204 27" xfId="3440" xr:uid="{00000000-0005-0000-0000-000072280000}"/>
    <cellStyle name="Porcentual 204 27 2" xfId="6983" xr:uid="{00000000-0005-0000-0000-000073280000}"/>
    <cellStyle name="Porcentual 204 27 3" xfId="8963" xr:uid="{00000000-0005-0000-0000-000074280000}"/>
    <cellStyle name="Porcentual 204 28" xfId="3441" xr:uid="{00000000-0005-0000-0000-000075280000}"/>
    <cellStyle name="Porcentual 204 28 2" xfId="6984" xr:uid="{00000000-0005-0000-0000-000076280000}"/>
    <cellStyle name="Porcentual 204 28 3" xfId="8964" xr:uid="{00000000-0005-0000-0000-000077280000}"/>
    <cellStyle name="Porcentual 204 3" xfId="3442" xr:uid="{00000000-0005-0000-0000-000078280000}"/>
    <cellStyle name="Porcentual 204 3 2" xfId="6985" xr:uid="{00000000-0005-0000-0000-000079280000}"/>
    <cellStyle name="Porcentual 204 3 3" xfId="8965" xr:uid="{00000000-0005-0000-0000-00007A280000}"/>
    <cellStyle name="Porcentual 204 4" xfId="3443" xr:uid="{00000000-0005-0000-0000-00007B280000}"/>
    <cellStyle name="Porcentual 204 4 2" xfId="6986" xr:uid="{00000000-0005-0000-0000-00007C280000}"/>
    <cellStyle name="Porcentual 204 4 3" xfId="8966" xr:uid="{00000000-0005-0000-0000-00007D280000}"/>
    <cellStyle name="Porcentual 204 5" xfId="3444" xr:uid="{00000000-0005-0000-0000-00007E280000}"/>
    <cellStyle name="Porcentual 204 5 2" xfId="6987" xr:uid="{00000000-0005-0000-0000-00007F280000}"/>
    <cellStyle name="Porcentual 204 5 3" xfId="8967" xr:uid="{00000000-0005-0000-0000-000080280000}"/>
    <cellStyle name="Porcentual 204 6" xfId="3445" xr:uid="{00000000-0005-0000-0000-000081280000}"/>
    <cellStyle name="Porcentual 204 6 2" xfId="6988" xr:uid="{00000000-0005-0000-0000-000082280000}"/>
    <cellStyle name="Porcentual 204 6 3" xfId="8968" xr:uid="{00000000-0005-0000-0000-000083280000}"/>
    <cellStyle name="Porcentual 204 7" xfId="3446" xr:uid="{00000000-0005-0000-0000-000084280000}"/>
    <cellStyle name="Porcentual 204 7 2" xfId="6989" xr:uid="{00000000-0005-0000-0000-000085280000}"/>
    <cellStyle name="Porcentual 204 7 3" xfId="8969" xr:uid="{00000000-0005-0000-0000-000086280000}"/>
    <cellStyle name="Porcentual 204 8" xfId="3447" xr:uid="{00000000-0005-0000-0000-000087280000}"/>
    <cellStyle name="Porcentual 204 8 2" xfId="6990" xr:uid="{00000000-0005-0000-0000-000088280000}"/>
    <cellStyle name="Porcentual 204 8 3" xfId="8970" xr:uid="{00000000-0005-0000-0000-000089280000}"/>
    <cellStyle name="Porcentual 204 9" xfId="3448" xr:uid="{00000000-0005-0000-0000-00008A280000}"/>
    <cellStyle name="Porcentual 204 9 2" xfId="6991" xr:uid="{00000000-0005-0000-0000-00008B280000}"/>
    <cellStyle name="Porcentual 204 9 3" xfId="8971" xr:uid="{00000000-0005-0000-0000-00008C280000}"/>
    <cellStyle name="Porcentual 206 10" xfId="3449" xr:uid="{00000000-0005-0000-0000-00008D280000}"/>
    <cellStyle name="Porcentual 206 10 2" xfId="6992" xr:uid="{00000000-0005-0000-0000-00008E280000}"/>
    <cellStyle name="Porcentual 206 10 3" xfId="8972" xr:uid="{00000000-0005-0000-0000-00008F280000}"/>
    <cellStyle name="Porcentual 206 11" xfId="3450" xr:uid="{00000000-0005-0000-0000-000090280000}"/>
    <cellStyle name="Porcentual 206 11 2" xfId="6993" xr:uid="{00000000-0005-0000-0000-000091280000}"/>
    <cellStyle name="Porcentual 206 11 3" xfId="8973" xr:uid="{00000000-0005-0000-0000-000092280000}"/>
    <cellStyle name="Porcentual 206 12" xfId="3451" xr:uid="{00000000-0005-0000-0000-000093280000}"/>
    <cellStyle name="Porcentual 206 12 2" xfId="6994" xr:uid="{00000000-0005-0000-0000-000094280000}"/>
    <cellStyle name="Porcentual 206 12 3" xfId="8974" xr:uid="{00000000-0005-0000-0000-000095280000}"/>
    <cellStyle name="Porcentual 206 13" xfId="3452" xr:uid="{00000000-0005-0000-0000-000096280000}"/>
    <cellStyle name="Porcentual 206 13 2" xfId="6995" xr:uid="{00000000-0005-0000-0000-000097280000}"/>
    <cellStyle name="Porcentual 206 13 3" xfId="8975" xr:uid="{00000000-0005-0000-0000-000098280000}"/>
    <cellStyle name="Porcentual 206 14" xfId="3453" xr:uid="{00000000-0005-0000-0000-000099280000}"/>
    <cellStyle name="Porcentual 206 14 2" xfId="6996" xr:uid="{00000000-0005-0000-0000-00009A280000}"/>
    <cellStyle name="Porcentual 206 14 3" xfId="8976" xr:uid="{00000000-0005-0000-0000-00009B280000}"/>
    <cellStyle name="Porcentual 206 15" xfId="3454" xr:uid="{00000000-0005-0000-0000-00009C280000}"/>
    <cellStyle name="Porcentual 206 15 2" xfId="6997" xr:uid="{00000000-0005-0000-0000-00009D280000}"/>
    <cellStyle name="Porcentual 206 15 3" xfId="8977" xr:uid="{00000000-0005-0000-0000-00009E280000}"/>
    <cellStyle name="Porcentual 206 16" xfId="3455" xr:uid="{00000000-0005-0000-0000-00009F280000}"/>
    <cellStyle name="Porcentual 206 16 2" xfId="6998" xr:uid="{00000000-0005-0000-0000-0000A0280000}"/>
    <cellStyle name="Porcentual 206 16 3" xfId="8978" xr:uid="{00000000-0005-0000-0000-0000A1280000}"/>
    <cellStyle name="Porcentual 206 17" xfId="3456" xr:uid="{00000000-0005-0000-0000-0000A2280000}"/>
    <cellStyle name="Porcentual 206 17 2" xfId="6999" xr:uid="{00000000-0005-0000-0000-0000A3280000}"/>
    <cellStyle name="Porcentual 206 17 3" xfId="8979" xr:uid="{00000000-0005-0000-0000-0000A4280000}"/>
    <cellStyle name="Porcentual 206 18" xfId="3457" xr:uid="{00000000-0005-0000-0000-0000A5280000}"/>
    <cellStyle name="Porcentual 206 18 2" xfId="7000" xr:uid="{00000000-0005-0000-0000-0000A6280000}"/>
    <cellStyle name="Porcentual 206 18 3" xfId="8980" xr:uid="{00000000-0005-0000-0000-0000A7280000}"/>
    <cellStyle name="Porcentual 206 19" xfId="3458" xr:uid="{00000000-0005-0000-0000-0000A8280000}"/>
    <cellStyle name="Porcentual 206 19 2" xfId="7001" xr:uid="{00000000-0005-0000-0000-0000A9280000}"/>
    <cellStyle name="Porcentual 206 19 3" xfId="8981" xr:uid="{00000000-0005-0000-0000-0000AA280000}"/>
    <cellStyle name="Porcentual 206 2" xfId="3459" xr:uid="{00000000-0005-0000-0000-0000AB280000}"/>
    <cellStyle name="Porcentual 206 2 2" xfId="7002" xr:uid="{00000000-0005-0000-0000-0000AC280000}"/>
    <cellStyle name="Porcentual 206 2 3" xfId="8982" xr:uid="{00000000-0005-0000-0000-0000AD280000}"/>
    <cellStyle name="Porcentual 206 20" xfId="3460" xr:uid="{00000000-0005-0000-0000-0000AE280000}"/>
    <cellStyle name="Porcentual 206 20 2" xfId="7003" xr:uid="{00000000-0005-0000-0000-0000AF280000}"/>
    <cellStyle name="Porcentual 206 20 3" xfId="8983" xr:uid="{00000000-0005-0000-0000-0000B0280000}"/>
    <cellStyle name="Porcentual 206 21" xfId="3461" xr:uid="{00000000-0005-0000-0000-0000B1280000}"/>
    <cellStyle name="Porcentual 206 21 2" xfId="7004" xr:uid="{00000000-0005-0000-0000-0000B2280000}"/>
    <cellStyle name="Porcentual 206 21 3" xfId="8984" xr:uid="{00000000-0005-0000-0000-0000B3280000}"/>
    <cellStyle name="Porcentual 206 22" xfId="3462" xr:uid="{00000000-0005-0000-0000-0000B4280000}"/>
    <cellStyle name="Porcentual 206 22 2" xfId="7005" xr:uid="{00000000-0005-0000-0000-0000B5280000}"/>
    <cellStyle name="Porcentual 206 22 3" xfId="8985" xr:uid="{00000000-0005-0000-0000-0000B6280000}"/>
    <cellStyle name="Porcentual 206 23" xfId="3463" xr:uid="{00000000-0005-0000-0000-0000B7280000}"/>
    <cellStyle name="Porcentual 206 23 2" xfId="7006" xr:uid="{00000000-0005-0000-0000-0000B8280000}"/>
    <cellStyle name="Porcentual 206 23 3" xfId="8986" xr:uid="{00000000-0005-0000-0000-0000B9280000}"/>
    <cellStyle name="Porcentual 206 24" xfId="3464" xr:uid="{00000000-0005-0000-0000-0000BA280000}"/>
    <cellStyle name="Porcentual 206 24 2" xfId="7007" xr:uid="{00000000-0005-0000-0000-0000BB280000}"/>
    <cellStyle name="Porcentual 206 24 3" xfId="8987" xr:uid="{00000000-0005-0000-0000-0000BC280000}"/>
    <cellStyle name="Porcentual 206 25" xfId="3465" xr:uid="{00000000-0005-0000-0000-0000BD280000}"/>
    <cellStyle name="Porcentual 206 25 2" xfId="7008" xr:uid="{00000000-0005-0000-0000-0000BE280000}"/>
    <cellStyle name="Porcentual 206 25 3" xfId="8988" xr:uid="{00000000-0005-0000-0000-0000BF280000}"/>
    <cellStyle name="Porcentual 206 26" xfId="3466" xr:uid="{00000000-0005-0000-0000-0000C0280000}"/>
    <cellStyle name="Porcentual 206 26 2" xfId="7009" xr:uid="{00000000-0005-0000-0000-0000C1280000}"/>
    <cellStyle name="Porcentual 206 26 3" xfId="8989" xr:uid="{00000000-0005-0000-0000-0000C2280000}"/>
    <cellStyle name="Porcentual 206 27" xfId="3467" xr:uid="{00000000-0005-0000-0000-0000C3280000}"/>
    <cellStyle name="Porcentual 206 27 2" xfId="7010" xr:uid="{00000000-0005-0000-0000-0000C4280000}"/>
    <cellStyle name="Porcentual 206 27 3" xfId="8990" xr:uid="{00000000-0005-0000-0000-0000C5280000}"/>
    <cellStyle name="Porcentual 206 28" xfId="3468" xr:uid="{00000000-0005-0000-0000-0000C6280000}"/>
    <cellStyle name="Porcentual 206 28 2" xfId="7011" xr:uid="{00000000-0005-0000-0000-0000C7280000}"/>
    <cellStyle name="Porcentual 206 28 3" xfId="8991" xr:uid="{00000000-0005-0000-0000-0000C8280000}"/>
    <cellStyle name="Porcentual 206 3" xfId="3469" xr:uid="{00000000-0005-0000-0000-0000C9280000}"/>
    <cellStyle name="Porcentual 206 3 2" xfId="7012" xr:uid="{00000000-0005-0000-0000-0000CA280000}"/>
    <cellStyle name="Porcentual 206 3 3" xfId="8992" xr:uid="{00000000-0005-0000-0000-0000CB280000}"/>
    <cellStyle name="Porcentual 206 4" xfId="3470" xr:uid="{00000000-0005-0000-0000-0000CC280000}"/>
    <cellStyle name="Porcentual 206 4 2" xfId="7013" xr:uid="{00000000-0005-0000-0000-0000CD280000}"/>
    <cellStyle name="Porcentual 206 4 3" xfId="8993" xr:uid="{00000000-0005-0000-0000-0000CE280000}"/>
    <cellStyle name="Porcentual 206 5" xfId="3471" xr:uid="{00000000-0005-0000-0000-0000CF280000}"/>
    <cellStyle name="Porcentual 206 5 2" xfId="7014" xr:uid="{00000000-0005-0000-0000-0000D0280000}"/>
    <cellStyle name="Porcentual 206 5 3" xfId="8994" xr:uid="{00000000-0005-0000-0000-0000D1280000}"/>
    <cellStyle name="Porcentual 206 6" xfId="3472" xr:uid="{00000000-0005-0000-0000-0000D2280000}"/>
    <cellStyle name="Porcentual 206 6 2" xfId="7015" xr:uid="{00000000-0005-0000-0000-0000D3280000}"/>
    <cellStyle name="Porcentual 206 6 3" xfId="8995" xr:uid="{00000000-0005-0000-0000-0000D4280000}"/>
    <cellStyle name="Porcentual 206 7" xfId="3473" xr:uid="{00000000-0005-0000-0000-0000D5280000}"/>
    <cellStyle name="Porcentual 206 7 2" xfId="7016" xr:uid="{00000000-0005-0000-0000-0000D6280000}"/>
    <cellStyle name="Porcentual 206 7 3" xfId="8996" xr:uid="{00000000-0005-0000-0000-0000D7280000}"/>
    <cellStyle name="Porcentual 206 8" xfId="3474" xr:uid="{00000000-0005-0000-0000-0000D8280000}"/>
    <cellStyle name="Porcentual 206 8 2" xfId="7017" xr:uid="{00000000-0005-0000-0000-0000D9280000}"/>
    <cellStyle name="Porcentual 206 8 3" xfId="8997" xr:uid="{00000000-0005-0000-0000-0000DA280000}"/>
    <cellStyle name="Porcentual 206 9" xfId="3475" xr:uid="{00000000-0005-0000-0000-0000DB280000}"/>
    <cellStyle name="Porcentual 206 9 2" xfId="7018" xr:uid="{00000000-0005-0000-0000-0000DC280000}"/>
    <cellStyle name="Porcentual 206 9 3" xfId="8998" xr:uid="{00000000-0005-0000-0000-0000DD280000}"/>
    <cellStyle name="Porcentual 207 10" xfId="3476" xr:uid="{00000000-0005-0000-0000-0000DE280000}"/>
    <cellStyle name="Porcentual 207 10 2" xfId="7019" xr:uid="{00000000-0005-0000-0000-0000DF280000}"/>
    <cellStyle name="Porcentual 207 10 3" xfId="8999" xr:uid="{00000000-0005-0000-0000-0000E0280000}"/>
    <cellStyle name="Porcentual 207 11" xfId="3477" xr:uid="{00000000-0005-0000-0000-0000E1280000}"/>
    <cellStyle name="Porcentual 207 11 2" xfId="7020" xr:uid="{00000000-0005-0000-0000-0000E2280000}"/>
    <cellStyle name="Porcentual 207 11 3" xfId="9000" xr:uid="{00000000-0005-0000-0000-0000E3280000}"/>
    <cellStyle name="Porcentual 207 12" xfId="3478" xr:uid="{00000000-0005-0000-0000-0000E4280000}"/>
    <cellStyle name="Porcentual 207 12 2" xfId="7021" xr:uid="{00000000-0005-0000-0000-0000E5280000}"/>
    <cellStyle name="Porcentual 207 12 3" xfId="9001" xr:uid="{00000000-0005-0000-0000-0000E6280000}"/>
    <cellStyle name="Porcentual 207 13" xfId="3479" xr:uid="{00000000-0005-0000-0000-0000E7280000}"/>
    <cellStyle name="Porcentual 207 13 2" xfId="7022" xr:uid="{00000000-0005-0000-0000-0000E8280000}"/>
    <cellStyle name="Porcentual 207 13 3" xfId="9002" xr:uid="{00000000-0005-0000-0000-0000E9280000}"/>
    <cellStyle name="Porcentual 207 14" xfId="3480" xr:uid="{00000000-0005-0000-0000-0000EA280000}"/>
    <cellStyle name="Porcentual 207 14 2" xfId="7023" xr:uid="{00000000-0005-0000-0000-0000EB280000}"/>
    <cellStyle name="Porcentual 207 14 3" xfId="9003" xr:uid="{00000000-0005-0000-0000-0000EC280000}"/>
    <cellStyle name="Porcentual 207 15" xfId="3481" xr:uid="{00000000-0005-0000-0000-0000ED280000}"/>
    <cellStyle name="Porcentual 207 15 2" xfId="7024" xr:uid="{00000000-0005-0000-0000-0000EE280000}"/>
    <cellStyle name="Porcentual 207 15 3" xfId="9004" xr:uid="{00000000-0005-0000-0000-0000EF280000}"/>
    <cellStyle name="Porcentual 207 16" xfId="3482" xr:uid="{00000000-0005-0000-0000-0000F0280000}"/>
    <cellStyle name="Porcentual 207 16 2" xfId="7025" xr:uid="{00000000-0005-0000-0000-0000F1280000}"/>
    <cellStyle name="Porcentual 207 16 3" xfId="9005" xr:uid="{00000000-0005-0000-0000-0000F2280000}"/>
    <cellStyle name="Porcentual 207 17" xfId="3483" xr:uid="{00000000-0005-0000-0000-0000F3280000}"/>
    <cellStyle name="Porcentual 207 17 2" xfId="7026" xr:uid="{00000000-0005-0000-0000-0000F4280000}"/>
    <cellStyle name="Porcentual 207 17 3" xfId="9006" xr:uid="{00000000-0005-0000-0000-0000F5280000}"/>
    <cellStyle name="Porcentual 207 18" xfId="3484" xr:uid="{00000000-0005-0000-0000-0000F6280000}"/>
    <cellStyle name="Porcentual 207 18 2" xfId="7027" xr:uid="{00000000-0005-0000-0000-0000F7280000}"/>
    <cellStyle name="Porcentual 207 18 3" xfId="9007" xr:uid="{00000000-0005-0000-0000-0000F8280000}"/>
    <cellStyle name="Porcentual 207 19" xfId="3485" xr:uid="{00000000-0005-0000-0000-0000F9280000}"/>
    <cellStyle name="Porcentual 207 19 2" xfId="7028" xr:uid="{00000000-0005-0000-0000-0000FA280000}"/>
    <cellStyle name="Porcentual 207 19 3" xfId="9008" xr:uid="{00000000-0005-0000-0000-0000FB280000}"/>
    <cellStyle name="Porcentual 207 2" xfId="3486" xr:uid="{00000000-0005-0000-0000-0000FC280000}"/>
    <cellStyle name="Porcentual 207 2 2" xfId="7029" xr:uid="{00000000-0005-0000-0000-0000FD280000}"/>
    <cellStyle name="Porcentual 207 2 3" xfId="9009" xr:uid="{00000000-0005-0000-0000-0000FE280000}"/>
    <cellStyle name="Porcentual 207 20" xfId="3487" xr:uid="{00000000-0005-0000-0000-0000FF280000}"/>
    <cellStyle name="Porcentual 207 20 2" xfId="7030" xr:uid="{00000000-0005-0000-0000-000000290000}"/>
    <cellStyle name="Porcentual 207 20 3" xfId="9010" xr:uid="{00000000-0005-0000-0000-000001290000}"/>
    <cellStyle name="Porcentual 207 21" xfId="3488" xr:uid="{00000000-0005-0000-0000-000002290000}"/>
    <cellStyle name="Porcentual 207 21 2" xfId="7031" xr:uid="{00000000-0005-0000-0000-000003290000}"/>
    <cellStyle name="Porcentual 207 21 3" xfId="9011" xr:uid="{00000000-0005-0000-0000-000004290000}"/>
    <cellStyle name="Porcentual 207 22" xfId="3489" xr:uid="{00000000-0005-0000-0000-000005290000}"/>
    <cellStyle name="Porcentual 207 22 2" xfId="7032" xr:uid="{00000000-0005-0000-0000-000006290000}"/>
    <cellStyle name="Porcentual 207 22 3" xfId="9012" xr:uid="{00000000-0005-0000-0000-000007290000}"/>
    <cellStyle name="Porcentual 207 23" xfId="3490" xr:uid="{00000000-0005-0000-0000-000008290000}"/>
    <cellStyle name="Porcentual 207 23 2" xfId="7033" xr:uid="{00000000-0005-0000-0000-000009290000}"/>
    <cellStyle name="Porcentual 207 23 3" xfId="9013" xr:uid="{00000000-0005-0000-0000-00000A290000}"/>
    <cellStyle name="Porcentual 207 24" xfId="3491" xr:uid="{00000000-0005-0000-0000-00000B290000}"/>
    <cellStyle name="Porcentual 207 24 2" xfId="7034" xr:uid="{00000000-0005-0000-0000-00000C290000}"/>
    <cellStyle name="Porcentual 207 24 3" xfId="9014" xr:uid="{00000000-0005-0000-0000-00000D290000}"/>
    <cellStyle name="Porcentual 207 25" xfId="3492" xr:uid="{00000000-0005-0000-0000-00000E290000}"/>
    <cellStyle name="Porcentual 207 25 2" xfId="7035" xr:uid="{00000000-0005-0000-0000-00000F290000}"/>
    <cellStyle name="Porcentual 207 25 3" xfId="9015" xr:uid="{00000000-0005-0000-0000-000010290000}"/>
    <cellStyle name="Porcentual 207 26" xfId="3493" xr:uid="{00000000-0005-0000-0000-000011290000}"/>
    <cellStyle name="Porcentual 207 26 2" xfId="7036" xr:uid="{00000000-0005-0000-0000-000012290000}"/>
    <cellStyle name="Porcentual 207 26 3" xfId="9016" xr:uid="{00000000-0005-0000-0000-000013290000}"/>
    <cellStyle name="Porcentual 207 27" xfId="3494" xr:uid="{00000000-0005-0000-0000-000014290000}"/>
    <cellStyle name="Porcentual 207 27 2" xfId="7037" xr:uid="{00000000-0005-0000-0000-000015290000}"/>
    <cellStyle name="Porcentual 207 27 3" xfId="9017" xr:uid="{00000000-0005-0000-0000-000016290000}"/>
    <cellStyle name="Porcentual 207 28" xfId="3495" xr:uid="{00000000-0005-0000-0000-000017290000}"/>
    <cellStyle name="Porcentual 207 28 2" xfId="7038" xr:uid="{00000000-0005-0000-0000-000018290000}"/>
    <cellStyle name="Porcentual 207 28 3" xfId="9018" xr:uid="{00000000-0005-0000-0000-000019290000}"/>
    <cellStyle name="Porcentual 207 3" xfId="3496" xr:uid="{00000000-0005-0000-0000-00001A290000}"/>
    <cellStyle name="Porcentual 207 3 2" xfId="7039" xr:uid="{00000000-0005-0000-0000-00001B290000}"/>
    <cellStyle name="Porcentual 207 3 3" xfId="9019" xr:uid="{00000000-0005-0000-0000-00001C290000}"/>
    <cellStyle name="Porcentual 207 4" xfId="3497" xr:uid="{00000000-0005-0000-0000-00001D290000}"/>
    <cellStyle name="Porcentual 207 4 2" xfId="7040" xr:uid="{00000000-0005-0000-0000-00001E290000}"/>
    <cellStyle name="Porcentual 207 4 3" xfId="9020" xr:uid="{00000000-0005-0000-0000-00001F290000}"/>
    <cellStyle name="Porcentual 207 5" xfId="3498" xr:uid="{00000000-0005-0000-0000-000020290000}"/>
    <cellStyle name="Porcentual 207 5 2" xfId="7041" xr:uid="{00000000-0005-0000-0000-000021290000}"/>
    <cellStyle name="Porcentual 207 5 3" xfId="9021" xr:uid="{00000000-0005-0000-0000-000022290000}"/>
    <cellStyle name="Porcentual 207 6" xfId="3499" xr:uid="{00000000-0005-0000-0000-000023290000}"/>
    <cellStyle name="Porcentual 207 6 2" xfId="7042" xr:uid="{00000000-0005-0000-0000-000024290000}"/>
    <cellStyle name="Porcentual 207 6 3" xfId="9022" xr:uid="{00000000-0005-0000-0000-000025290000}"/>
    <cellStyle name="Porcentual 207 7" xfId="3500" xr:uid="{00000000-0005-0000-0000-000026290000}"/>
    <cellStyle name="Porcentual 207 7 2" xfId="7043" xr:uid="{00000000-0005-0000-0000-000027290000}"/>
    <cellStyle name="Porcentual 207 7 3" xfId="9023" xr:uid="{00000000-0005-0000-0000-000028290000}"/>
    <cellStyle name="Porcentual 207 8" xfId="3501" xr:uid="{00000000-0005-0000-0000-000029290000}"/>
    <cellStyle name="Porcentual 207 8 2" xfId="7044" xr:uid="{00000000-0005-0000-0000-00002A290000}"/>
    <cellStyle name="Porcentual 207 8 3" xfId="9024" xr:uid="{00000000-0005-0000-0000-00002B290000}"/>
    <cellStyle name="Porcentual 207 9" xfId="3502" xr:uid="{00000000-0005-0000-0000-00002C290000}"/>
    <cellStyle name="Porcentual 207 9 2" xfId="7045" xr:uid="{00000000-0005-0000-0000-00002D290000}"/>
    <cellStyle name="Porcentual 207 9 3" xfId="9025" xr:uid="{00000000-0005-0000-0000-00002E290000}"/>
    <cellStyle name="Porcentual 208 10" xfId="3503" xr:uid="{00000000-0005-0000-0000-00002F290000}"/>
    <cellStyle name="Porcentual 208 10 2" xfId="7046" xr:uid="{00000000-0005-0000-0000-000030290000}"/>
    <cellStyle name="Porcentual 208 10 3" xfId="9026" xr:uid="{00000000-0005-0000-0000-000031290000}"/>
    <cellStyle name="Porcentual 208 11" xfId="3504" xr:uid="{00000000-0005-0000-0000-000032290000}"/>
    <cellStyle name="Porcentual 208 11 2" xfId="7047" xr:uid="{00000000-0005-0000-0000-000033290000}"/>
    <cellStyle name="Porcentual 208 11 3" xfId="9027" xr:uid="{00000000-0005-0000-0000-000034290000}"/>
    <cellStyle name="Porcentual 208 12" xfId="3505" xr:uid="{00000000-0005-0000-0000-000035290000}"/>
    <cellStyle name="Porcentual 208 12 2" xfId="7048" xr:uid="{00000000-0005-0000-0000-000036290000}"/>
    <cellStyle name="Porcentual 208 12 3" xfId="9028" xr:uid="{00000000-0005-0000-0000-000037290000}"/>
    <cellStyle name="Porcentual 208 13" xfId="3506" xr:uid="{00000000-0005-0000-0000-000038290000}"/>
    <cellStyle name="Porcentual 208 13 2" xfId="7049" xr:uid="{00000000-0005-0000-0000-000039290000}"/>
    <cellStyle name="Porcentual 208 13 3" xfId="9029" xr:uid="{00000000-0005-0000-0000-00003A290000}"/>
    <cellStyle name="Porcentual 208 14" xfId="3507" xr:uid="{00000000-0005-0000-0000-00003B290000}"/>
    <cellStyle name="Porcentual 208 14 2" xfId="7050" xr:uid="{00000000-0005-0000-0000-00003C290000}"/>
    <cellStyle name="Porcentual 208 14 3" xfId="9030" xr:uid="{00000000-0005-0000-0000-00003D290000}"/>
    <cellStyle name="Porcentual 208 15" xfId="3508" xr:uid="{00000000-0005-0000-0000-00003E290000}"/>
    <cellStyle name="Porcentual 208 15 2" xfId="7051" xr:uid="{00000000-0005-0000-0000-00003F290000}"/>
    <cellStyle name="Porcentual 208 15 3" xfId="9031" xr:uid="{00000000-0005-0000-0000-000040290000}"/>
    <cellStyle name="Porcentual 208 16" xfId="3509" xr:uid="{00000000-0005-0000-0000-000041290000}"/>
    <cellStyle name="Porcentual 208 16 2" xfId="7052" xr:uid="{00000000-0005-0000-0000-000042290000}"/>
    <cellStyle name="Porcentual 208 16 3" xfId="9032" xr:uid="{00000000-0005-0000-0000-000043290000}"/>
    <cellStyle name="Porcentual 208 17" xfId="3510" xr:uid="{00000000-0005-0000-0000-000044290000}"/>
    <cellStyle name="Porcentual 208 17 2" xfId="7053" xr:uid="{00000000-0005-0000-0000-000045290000}"/>
    <cellStyle name="Porcentual 208 17 3" xfId="9033" xr:uid="{00000000-0005-0000-0000-000046290000}"/>
    <cellStyle name="Porcentual 208 18" xfId="3511" xr:uid="{00000000-0005-0000-0000-000047290000}"/>
    <cellStyle name="Porcentual 208 18 2" xfId="7054" xr:uid="{00000000-0005-0000-0000-000048290000}"/>
    <cellStyle name="Porcentual 208 18 3" xfId="9034" xr:uid="{00000000-0005-0000-0000-000049290000}"/>
    <cellStyle name="Porcentual 208 19" xfId="3512" xr:uid="{00000000-0005-0000-0000-00004A290000}"/>
    <cellStyle name="Porcentual 208 19 2" xfId="7055" xr:uid="{00000000-0005-0000-0000-00004B290000}"/>
    <cellStyle name="Porcentual 208 19 3" xfId="9035" xr:uid="{00000000-0005-0000-0000-00004C290000}"/>
    <cellStyle name="Porcentual 208 2" xfId="3513" xr:uid="{00000000-0005-0000-0000-00004D290000}"/>
    <cellStyle name="Porcentual 208 2 2" xfId="7056" xr:uid="{00000000-0005-0000-0000-00004E290000}"/>
    <cellStyle name="Porcentual 208 2 3" xfId="9036" xr:uid="{00000000-0005-0000-0000-00004F290000}"/>
    <cellStyle name="Porcentual 208 20" xfId="3514" xr:uid="{00000000-0005-0000-0000-000050290000}"/>
    <cellStyle name="Porcentual 208 20 2" xfId="7057" xr:uid="{00000000-0005-0000-0000-000051290000}"/>
    <cellStyle name="Porcentual 208 20 3" xfId="9037" xr:uid="{00000000-0005-0000-0000-000052290000}"/>
    <cellStyle name="Porcentual 208 21" xfId="3515" xr:uid="{00000000-0005-0000-0000-000053290000}"/>
    <cellStyle name="Porcentual 208 21 2" xfId="7058" xr:uid="{00000000-0005-0000-0000-000054290000}"/>
    <cellStyle name="Porcentual 208 21 3" xfId="9038" xr:uid="{00000000-0005-0000-0000-000055290000}"/>
    <cellStyle name="Porcentual 208 22" xfId="3516" xr:uid="{00000000-0005-0000-0000-000056290000}"/>
    <cellStyle name="Porcentual 208 22 2" xfId="7059" xr:uid="{00000000-0005-0000-0000-000057290000}"/>
    <cellStyle name="Porcentual 208 22 3" xfId="9039" xr:uid="{00000000-0005-0000-0000-000058290000}"/>
    <cellStyle name="Porcentual 208 23" xfId="3517" xr:uid="{00000000-0005-0000-0000-000059290000}"/>
    <cellStyle name="Porcentual 208 23 2" xfId="7060" xr:uid="{00000000-0005-0000-0000-00005A290000}"/>
    <cellStyle name="Porcentual 208 23 3" xfId="9040" xr:uid="{00000000-0005-0000-0000-00005B290000}"/>
    <cellStyle name="Porcentual 208 24" xfId="3518" xr:uid="{00000000-0005-0000-0000-00005C290000}"/>
    <cellStyle name="Porcentual 208 24 2" xfId="7061" xr:uid="{00000000-0005-0000-0000-00005D290000}"/>
    <cellStyle name="Porcentual 208 24 3" xfId="9041" xr:uid="{00000000-0005-0000-0000-00005E290000}"/>
    <cellStyle name="Porcentual 208 25" xfId="3519" xr:uid="{00000000-0005-0000-0000-00005F290000}"/>
    <cellStyle name="Porcentual 208 25 2" xfId="7062" xr:uid="{00000000-0005-0000-0000-000060290000}"/>
    <cellStyle name="Porcentual 208 25 3" xfId="9042" xr:uid="{00000000-0005-0000-0000-000061290000}"/>
    <cellStyle name="Porcentual 208 26" xfId="3520" xr:uid="{00000000-0005-0000-0000-000062290000}"/>
    <cellStyle name="Porcentual 208 26 2" xfId="7063" xr:uid="{00000000-0005-0000-0000-000063290000}"/>
    <cellStyle name="Porcentual 208 26 3" xfId="9043" xr:uid="{00000000-0005-0000-0000-000064290000}"/>
    <cellStyle name="Porcentual 208 27" xfId="3521" xr:uid="{00000000-0005-0000-0000-000065290000}"/>
    <cellStyle name="Porcentual 208 27 2" xfId="7064" xr:uid="{00000000-0005-0000-0000-000066290000}"/>
    <cellStyle name="Porcentual 208 27 3" xfId="9044" xr:uid="{00000000-0005-0000-0000-000067290000}"/>
    <cellStyle name="Porcentual 208 28" xfId="3522" xr:uid="{00000000-0005-0000-0000-000068290000}"/>
    <cellStyle name="Porcentual 208 28 2" xfId="7065" xr:uid="{00000000-0005-0000-0000-000069290000}"/>
    <cellStyle name="Porcentual 208 28 3" xfId="9045" xr:uid="{00000000-0005-0000-0000-00006A290000}"/>
    <cellStyle name="Porcentual 208 3" xfId="3523" xr:uid="{00000000-0005-0000-0000-00006B290000}"/>
    <cellStyle name="Porcentual 208 3 2" xfId="7066" xr:uid="{00000000-0005-0000-0000-00006C290000}"/>
    <cellStyle name="Porcentual 208 3 3" xfId="9046" xr:uid="{00000000-0005-0000-0000-00006D290000}"/>
    <cellStyle name="Porcentual 208 4" xfId="3524" xr:uid="{00000000-0005-0000-0000-00006E290000}"/>
    <cellStyle name="Porcentual 208 4 2" xfId="7067" xr:uid="{00000000-0005-0000-0000-00006F290000}"/>
    <cellStyle name="Porcentual 208 4 3" xfId="9047" xr:uid="{00000000-0005-0000-0000-000070290000}"/>
    <cellStyle name="Porcentual 208 5" xfId="3525" xr:uid="{00000000-0005-0000-0000-000071290000}"/>
    <cellStyle name="Porcentual 208 5 2" xfId="7068" xr:uid="{00000000-0005-0000-0000-000072290000}"/>
    <cellStyle name="Porcentual 208 5 3" xfId="9048" xr:uid="{00000000-0005-0000-0000-000073290000}"/>
    <cellStyle name="Porcentual 208 6" xfId="3526" xr:uid="{00000000-0005-0000-0000-000074290000}"/>
    <cellStyle name="Porcentual 208 6 2" xfId="7069" xr:uid="{00000000-0005-0000-0000-000075290000}"/>
    <cellStyle name="Porcentual 208 6 3" xfId="9049" xr:uid="{00000000-0005-0000-0000-000076290000}"/>
    <cellStyle name="Porcentual 208 7" xfId="3527" xr:uid="{00000000-0005-0000-0000-000077290000}"/>
    <cellStyle name="Porcentual 208 7 2" xfId="7070" xr:uid="{00000000-0005-0000-0000-000078290000}"/>
    <cellStyle name="Porcentual 208 7 3" xfId="9050" xr:uid="{00000000-0005-0000-0000-000079290000}"/>
    <cellStyle name="Porcentual 208 8" xfId="3528" xr:uid="{00000000-0005-0000-0000-00007A290000}"/>
    <cellStyle name="Porcentual 208 8 2" xfId="7071" xr:uid="{00000000-0005-0000-0000-00007B290000}"/>
    <cellStyle name="Porcentual 208 8 3" xfId="9051" xr:uid="{00000000-0005-0000-0000-00007C290000}"/>
    <cellStyle name="Porcentual 208 9" xfId="3529" xr:uid="{00000000-0005-0000-0000-00007D290000}"/>
    <cellStyle name="Porcentual 208 9 2" xfId="7072" xr:uid="{00000000-0005-0000-0000-00007E290000}"/>
    <cellStyle name="Porcentual 208 9 3" xfId="9052" xr:uid="{00000000-0005-0000-0000-00007F290000}"/>
    <cellStyle name="Porcentual 21" xfId="3530" xr:uid="{00000000-0005-0000-0000-000080290000}"/>
    <cellStyle name="Porcentual 21 10" xfId="3531" xr:uid="{00000000-0005-0000-0000-000081290000}"/>
    <cellStyle name="Porcentual 21 10 2" xfId="7073" xr:uid="{00000000-0005-0000-0000-000082290000}"/>
    <cellStyle name="Porcentual 21 10 3" xfId="9054" xr:uid="{00000000-0005-0000-0000-000083290000}"/>
    <cellStyle name="Porcentual 21 11" xfId="3532" xr:uid="{00000000-0005-0000-0000-000084290000}"/>
    <cellStyle name="Porcentual 21 11 2" xfId="7074" xr:uid="{00000000-0005-0000-0000-000085290000}"/>
    <cellStyle name="Porcentual 21 11 3" xfId="9055" xr:uid="{00000000-0005-0000-0000-000086290000}"/>
    <cellStyle name="Porcentual 21 12" xfId="3533" xr:uid="{00000000-0005-0000-0000-000087290000}"/>
    <cellStyle name="Porcentual 21 12 2" xfId="7075" xr:uid="{00000000-0005-0000-0000-000088290000}"/>
    <cellStyle name="Porcentual 21 12 3" xfId="9056" xr:uid="{00000000-0005-0000-0000-000089290000}"/>
    <cellStyle name="Porcentual 21 13" xfId="3534" xr:uid="{00000000-0005-0000-0000-00008A290000}"/>
    <cellStyle name="Porcentual 21 13 2" xfId="7076" xr:uid="{00000000-0005-0000-0000-00008B290000}"/>
    <cellStyle name="Porcentual 21 13 3" xfId="9057" xr:uid="{00000000-0005-0000-0000-00008C290000}"/>
    <cellStyle name="Porcentual 21 14" xfId="3535" xr:uid="{00000000-0005-0000-0000-00008D290000}"/>
    <cellStyle name="Porcentual 21 14 2" xfId="7077" xr:uid="{00000000-0005-0000-0000-00008E290000}"/>
    <cellStyle name="Porcentual 21 14 3" xfId="9058" xr:uid="{00000000-0005-0000-0000-00008F290000}"/>
    <cellStyle name="Porcentual 21 15" xfId="3536" xr:uid="{00000000-0005-0000-0000-000090290000}"/>
    <cellStyle name="Porcentual 21 15 2" xfId="7078" xr:uid="{00000000-0005-0000-0000-000091290000}"/>
    <cellStyle name="Porcentual 21 15 3" xfId="9059" xr:uid="{00000000-0005-0000-0000-000092290000}"/>
    <cellStyle name="Porcentual 21 16" xfId="3537" xr:uid="{00000000-0005-0000-0000-000093290000}"/>
    <cellStyle name="Porcentual 21 16 2" xfId="7079" xr:uid="{00000000-0005-0000-0000-000094290000}"/>
    <cellStyle name="Porcentual 21 16 3" xfId="9060" xr:uid="{00000000-0005-0000-0000-000095290000}"/>
    <cellStyle name="Porcentual 21 17" xfId="3538" xr:uid="{00000000-0005-0000-0000-000096290000}"/>
    <cellStyle name="Porcentual 21 17 2" xfId="7080" xr:uid="{00000000-0005-0000-0000-000097290000}"/>
    <cellStyle name="Porcentual 21 17 3" xfId="9061" xr:uid="{00000000-0005-0000-0000-000098290000}"/>
    <cellStyle name="Porcentual 21 18" xfId="3539" xr:uid="{00000000-0005-0000-0000-000099290000}"/>
    <cellStyle name="Porcentual 21 18 2" xfId="7081" xr:uid="{00000000-0005-0000-0000-00009A290000}"/>
    <cellStyle name="Porcentual 21 18 3" xfId="9062" xr:uid="{00000000-0005-0000-0000-00009B290000}"/>
    <cellStyle name="Porcentual 21 19" xfId="3540" xr:uid="{00000000-0005-0000-0000-00009C290000}"/>
    <cellStyle name="Porcentual 21 19 2" xfId="7082" xr:uid="{00000000-0005-0000-0000-00009D290000}"/>
    <cellStyle name="Porcentual 21 19 3" xfId="9063" xr:uid="{00000000-0005-0000-0000-00009E290000}"/>
    <cellStyle name="Porcentual 21 2" xfId="3541" xr:uid="{00000000-0005-0000-0000-00009F290000}"/>
    <cellStyle name="Porcentual 21 2 2" xfId="7083" xr:uid="{00000000-0005-0000-0000-0000A0290000}"/>
    <cellStyle name="Porcentual 21 2 3" xfId="9064" xr:uid="{00000000-0005-0000-0000-0000A1290000}"/>
    <cellStyle name="Porcentual 21 20" xfId="3542" xr:uid="{00000000-0005-0000-0000-0000A2290000}"/>
    <cellStyle name="Porcentual 21 20 2" xfId="7084" xr:uid="{00000000-0005-0000-0000-0000A3290000}"/>
    <cellStyle name="Porcentual 21 20 3" xfId="9065" xr:uid="{00000000-0005-0000-0000-0000A4290000}"/>
    <cellStyle name="Porcentual 21 21" xfId="3543" xr:uid="{00000000-0005-0000-0000-0000A5290000}"/>
    <cellStyle name="Porcentual 21 21 2" xfId="7085" xr:uid="{00000000-0005-0000-0000-0000A6290000}"/>
    <cellStyle name="Porcentual 21 21 3" xfId="9066" xr:uid="{00000000-0005-0000-0000-0000A7290000}"/>
    <cellStyle name="Porcentual 21 22" xfId="3544" xr:uid="{00000000-0005-0000-0000-0000A8290000}"/>
    <cellStyle name="Porcentual 21 22 2" xfId="7086" xr:uid="{00000000-0005-0000-0000-0000A9290000}"/>
    <cellStyle name="Porcentual 21 22 3" xfId="9067" xr:uid="{00000000-0005-0000-0000-0000AA290000}"/>
    <cellStyle name="Porcentual 21 23" xfId="3545" xr:uid="{00000000-0005-0000-0000-0000AB290000}"/>
    <cellStyle name="Porcentual 21 23 2" xfId="7087" xr:uid="{00000000-0005-0000-0000-0000AC290000}"/>
    <cellStyle name="Porcentual 21 23 3" xfId="9068" xr:uid="{00000000-0005-0000-0000-0000AD290000}"/>
    <cellStyle name="Porcentual 21 24" xfId="3546" xr:uid="{00000000-0005-0000-0000-0000AE290000}"/>
    <cellStyle name="Porcentual 21 24 2" xfId="7088" xr:uid="{00000000-0005-0000-0000-0000AF290000}"/>
    <cellStyle name="Porcentual 21 24 3" xfId="9069" xr:uid="{00000000-0005-0000-0000-0000B0290000}"/>
    <cellStyle name="Porcentual 21 25" xfId="3547" xr:uid="{00000000-0005-0000-0000-0000B1290000}"/>
    <cellStyle name="Porcentual 21 25 2" xfId="7089" xr:uid="{00000000-0005-0000-0000-0000B2290000}"/>
    <cellStyle name="Porcentual 21 25 3" xfId="9070" xr:uid="{00000000-0005-0000-0000-0000B3290000}"/>
    <cellStyle name="Porcentual 21 26" xfId="3548" xr:uid="{00000000-0005-0000-0000-0000B4290000}"/>
    <cellStyle name="Porcentual 21 26 2" xfId="7090" xr:uid="{00000000-0005-0000-0000-0000B5290000}"/>
    <cellStyle name="Porcentual 21 26 3" xfId="9071" xr:uid="{00000000-0005-0000-0000-0000B6290000}"/>
    <cellStyle name="Porcentual 21 27" xfId="3549" xr:uid="{00000000-0005-0000-0000-0000B7290000}"/>
    <cellStyle name="Porcentual 21 27 2" xfId="7091" xr:uid="{00000000-0005-0000-0000-0000B8290000}"/>
    <cellStyle name="Porcentual 21 27 3" xfId="9072" xr:uid="{00000000-0005-0000-0000-0000B9290000}"/>
    <cellStyle name="Porcentual 21 28" xfId="3550" xr:uid="{00000000-0005-0000-0000-0000BA290000}"/>
    <cellStyle name="Porcentual 21 28 2" xfId="7092" xr:uid="{00000000-0005-0000-0000-0000BB290000}"/>
    <cellStyle name="Porcentual 21 28 3" xfId="9073" xr:uid="{00000000-0005-0000-0000-0000BC290000}"/>
    <cellStyle name="Porcentual 21 29" xfId="7093" xr:uid="{00000000-0005-0000-0000-0000BD290000}"/>
    <cellStyle name="Porcentual 21 3" xfId="3551" xr:uid="{00000000-0005-0000-0000-0000BE290000}"/>
    <cellStyle name="Porcentual 21 3 2" xfId="7094" xr:uid="{00000000-0005-0000-0000-0000BF290000}"/>
    <cellStyle name="Porcentual 21 3 3" xfId="9074" xr:uid="{00000000-0005-0000-0000-0000C0290000}"/>
    <cellStyle name="Porcentual 21 30" xfId="9053" xr:uid="{00000000-0005-0000-0000-0000C1290000}"/>
    <cellStyle name="Porcentual 21 4" xfId="3552" xr:uid="{00000000-0005-0000-0000-0000C2290000}"/>
    <cellStyle name="Porcentual 21 4 2" xfId="7095" xr:uid="{00000000-0005-0000-0000-0000C3290000}"/>
    <cellStyle name="Porcentual 21 4 3" xfId="9075" xr:uid="{00000000-0005-0000-0000-0000C4290000}"/>
    <cellStyle name="Porcentual 21 5" xfId="3553" xr:uid="{00000000-0005-0000-0000-0000C5290000}"/>
    <cellStyle name="Porcentual 21 5 2" xfId="7096" xr:uid="{00000000-0005-0000-0000-0000C6290000}"/>
    <cellStyle name="Porcentual 21 5 3" xfId="9076" xr:uid="{00000000-0005-0000-0000-0000C7290000}"/>
    <cellStyle name="Porcentual 21 6" xfId="3554" xr:uid="{00000000-0005-0000-0000-0000C8290000}"/>
    <cellStyle name="Porcentual 21 6 2" xfId="7097" xr:uid="{00000000-0005-0000-0000-0000C9290000}"/>
    <cellStyle name="Porcentual 21 6 3" xfId="9077" xr:uid="{00000000-0005-0000-0000-0000CA290000}"/>
    <cellStyle name="Porcentual 21 7" xfId="3555" xr:uid="{00000000-0005-0000-0000-0000CB290000}"/>
    <cellStyle name="Porcentual 21 7 2" xfId="7098" xr:uid="{00000000-0005-0000-0000-0000CC290000}"/>
    <cellStyle name="Porcentual 21 7 3" xfId="9078" xr:uid="{00000000-0005-0000-0000-0000CD290000}"/>
    <cellStyle name="Porcentual 21 8" xfId="3556" xr:uid="{00000000-0005-0000-0000-0000CE290000}"/>
    <cellStyle name="Porcentual 21 8 2" xfId="7099" xr:uid="{00000000-0005-0000-0000-0000CF290000}"/>
    <cellStyle name="Porcentual 21 8 3" xfId="9079" xr:uid="{00000000-0005-0000-0000-0000D0290000}"/>
    <cellStyle name="Porcentual 21 9" xfId="3557" xr:uid="{00000000-0005-0000-0000-0000D1290000}"/>
    <cellStyle name="Porcentual 21 9 2" xfId="7100" xr:uid="{00000000-0005-0000-0000-0000D2290000}"/>
    <cellStyle name="Porcentual 21 9 3" xfId="9080" xr:uid="{00000000-0005-0000-0000-0000D3290000}"/>
    <cellStyle name="Porcentual 211 10" xfId="3558" xr:uid="{00000000-0005-0000-0000-0000D4290000}"/>
    <cellStyle name="Porcentual 211 10 2" xfId="7101" xr:uid="{00000000-0005-0000-0000-0000D5290000}"/>
    <cellStyle name="Porcentual 211 10 3" xfId="9081" xr:uid="{00000000-0005-0000-0000-0000D6290000}"/>
    <cellStyle name="Porcentual 211 11" xfId="3559" xr:uid="{00000000-0005-0000-0000-0000D7290000}"/>
    <cellStyle name="Porcentual 211 11 2" xfId="7102" xr:uid="{00000000-0005-0000-0000-0000D8290000}"/>
    <cellStyle name="Porcentual 211 11 3" xfId="9082" xr:uid="{00000000-0005-0000-0000-0000D9290000}"/>
    <cellStyle name="Porcentual 211 12" xfId="3560" xr:uid="{00000000-0005-0000-0000-0000DA290000}"/>
    <cellStyle name="Porcentual 211 12 2" xfId="7103" xr:uid="{00000000-0005-0000-0000-0000DB290000}"/>
    <cellStyle name="Porcentual 211 12 3" xfId="9083" xr:uid="{00000000-0005-0000-0000-0000DC290000}"/>
    <cellStyle name="Porcentual 211 13" xfId="3561" xr:uid="{00000000-0005-0000-0000-0000DD290000}"/>
    <cellStyle name="Porcentual 211 13 2" xfId="7104" xr:uid="{00000000-0005-0000-0000-0000DE290000}"/>
    <cellStyle name="Porcentual 211 13 3" xfId="9084" xr:uid="{00000000-0005-0000-0000-0000DF290000}"/>
    <cellStyle name="Porcentual 211 14" xfId="3562" xr:uid="{00000000-0005-0000-0000-0000E0290000}"/>
    <cellStyle name="Porcentual 211 14 2" xfId="7105" xr:uid="{00000000-0005-0000-0000-0000E1290000}"/>
    <cellStyle name="Porcentual 211 14 3" xfId="9085" xr:uid="{00000000-0005-0000-0000-0000E2290000}"/>
    <cellStyle name="Porcentual 211 15" xfId="3563" xr:uid="{00000000-0005-0000-0000-0000E3290000}"/>
    <cellStyle name="Porcentual 211 15 2" xfId="7106" xr:uid="{00000000-0005-0000-0000-0000E4290000}"/>
    <cellStyle name="Porcentual 211 15 3" xfId="9086" xr:uid="{00000000-0005-0000-0000-0000E5290000}"/>
    <cellStyle name="Porcentual 211 16" xfId="3564" xr:uid="{00000000-0005-0000-0000-0000E6290000}"/>
    <cellStyle name="Porcentual 211 16 2" xfId="7107" xr:uid="{00000000-0005-0000-0000-0000E7290000}"/>
    <cellStyle name="Porcentual 211 16 3" xfId="9087" xr:uid="{00000000-0005-0000-0000-0000E8290000}"/>
    <cellStyle name="Porcentual 211 17" xfId="3565" xr:uid="{00000000-0005-0000-0000-0000E9290000}"/>
    <cellStyle name="Porcentual 211 17 2" xfId="7108" xr:uid="{00000000-0005-0000-0000-0000EA290000}"/>
    <cellStyle name="Porcentual 211 17 3" xfId="9088" xr:uid="{00000000-0005-0000-0000-0000EB290000}"/>
    <cellStyle name="Porcentual 211 18" xfId="3566" xr:uid="{00000000-0005-0000-0000-0000EC290000}"/>
    <cellStyle name="Porcentual 211 18 2" xfId="7109" xr:uid="{00000000-0005-0000-0000-0000ED290000}"/>
    <cellStyle name="Porcentual 211 18 3" xfId="9089" xr:uid="{00000000-0005-0000-0000-0000EE290000}"/>
    <cellStyle name="Porcentual 211 19" xfId="3567" xr:uid="{00000000-0005-0000-0000-0000EF290000}"/>
    <cellStyle name="Porcentual 211 19 2" xfId="7110" xr:uid="{00000000-0005-0000-0000-0000F0290000}"/>
    <cellStyle name="Porcentual 211 19 3" xfId="9090" xr:uid="{00000000-0005-0000-0000-0000F1290000}"/>
    <cellStyle name="Porcentual 211 2" xfId="3568" xr:uid="{00000000-0005-0000-0000-0000F2290000}"/>
    <cellStyle name="Porcentual 211 2 2" xfId="7111" xr:uid="{00000000-0005-0000-0000-0000F3290000}"/>
    <cellStyle name="Porcentual 211 2 3" xfId="9091" xr:uid="{00000000-0005-0000-0000-0000F4290000}"/>
    <cellStyle name="Porcentual 211 20" xfId="3569" xr:uid="{00000000-0005-0000-0000-0000F5290000}"/>
    <cellStyle name="Porcentual 211 20 2" xfId="7112" xr:uid="{00000000-0005-0000-0000-0000F6290000}"/>
    <cellStyle name="Porcentual 211 20 3" xfId="9092" xr:uid="{00000000-0005-0000-0000-0000F7290000}"/>
    <cellStyle name="Porcentual 211 21" xfId="3570" xr:uid="{00000000-0005-0000-0000-0000F8290000}"/>
    <cellStyle name="Porcentual 211 21 2" xfId="7113" xr:uid="{00000000-0005-0000-0000-0000F9290000}"/>
    <cellStyle name="Porcentual 211 21 3" xfId="9093" xr:uid="{00000000-0005-0000-0000-0000FA290000}"/>
    <cellStyle name="Porcentual 211 22" xfId="3571" xr:uid="{00000000-0005-0000-0000-0000FB290000}"/>
    <cellStyle name="Porcentual 211 22 2" xfId="7114" xr:uid="{00000000-0005-0000-0000-0000FC290000}"/>
    <cellStyle name="Porcentual 211 22 3" xfId="9094" xr:uid="{00000000-0005-0000-0000-0000FD290000}"/>
    <cellStyle name="Porcentual 211 23" xfId="3572" xr:uid="{00000000-0005-0000-0000-0000FE290000}"/>
    <cellStyle name="Porcentual 211 23 2" xfId="7115" xr:uid="{00000000-0005-0000-0000-0000FF290000}"/>
    <cellStyle name="Porcentual 211 23 3" xfId="9095" xr:uid="{00000000-0005-0000-0000-0000002A0000}"/>
    <cellStyle name="Porcentual 211 24" xfId="3573" xr:uid="{00000000-0005-0000-0000-0000012A0000}"/>
    <cellStyle name="Porcentual 211 24 2" xfId="7116" xr:uid="{00000000-0005-0000-0000-0000022A0000}"/>
    <cellStyle name="Porcentual 211 24 3" xfId="9096" xr:uid="{00000000-0005-0000-0000-0000032A0000}"/>
    <cellStyle name="Porcentual 211 25" xfId="3574" xr:uid="{00000000-0005-0000-0000-0000042A0000}"/>
    <cellStyle name="Porcentual 211 25 2" xfId="7117" xr:uid="{00000000-0005-0000-0000-0000052A0000}"/>
    <cellStyle name="Porcentual 211 25 3" xfId="9097" xr:uid="{00000000-0005-0000-0000-0000062A0000}"/>
    <cellStyle name="Porcentual 211 26" xfId="3575" xr:uid="{00000000-0005-0000-0000-0000072A0000}"/>
    <cellStyle name="Porcentual 211 26 2" xfId="7118" xr:uid="{00000000-0005-0000-0000-0000082A0000}"/>
    <cellStyle name="Porcentual 211 26 3" xfId="9098" xr:uid="{00000000-0005-0000-0000-0000092A0000}"/>
    <cellStyle name="Porcentual 211 27" xfId="3576" xr:uid="{00000000-0005-0000-0000-00000A2A0000}"/>
    <cellStyle name="Porcentual 211 27 2" xfId="7119" xr:uid="{00000000-0005-0000-0000-00000B2A0000}"/>
    <cellStyle name="Porcentual 211 27 3" xfId="9099" xr:uid="{00000000-0005-0000-0000-00000C2A0000}"/>
    <cellStyle name="Porcentual 211 28" xfId="3577" xr:uid="{00000000-0005-0000-0000-00000D2A0000}"/>
    <cellStyle name="Porcentual 211 28 2" xfId="7120" xr:uid="{00000000-0005-0000-0000-00000E2A0000}"/>
    <cellStyle name="Porcentual 211 28 3" xfId="9100" xr:uid="{00000000-0005-0000-0000-00000F2A0000}"/>
    <cellStyle name="Porcentual 211 3" xfId="3578" xr:uid="{00000000-0005-0000-0000-0000102A0000}"/>
    <cellStyle name="Porcentual 211 3 2" xfId="7121" xr:uid="{00000000-0005-0000-0000-0000112A0000}"/>
    <cellStyle name="Porcentual 211 3 3" xfId="9101" xr:uid="{00000000-0005-0000-0000-0000122A0000}"/>
    <cellStyle name="Porcentual 211 4" xfId="3579" xr:uid="{00000000-0005-0000-0000-0000132A0000}"/>
    <cellStyle name="Porcentual 211 4 2" xfId="7122" xr:uid="{00000000-0005-0000-0000-0000142A0000}"/>
    <cellStyle name="Porcentual 211 4 3" xfId="9102" xr:uid="{00000000-0005-0000-0000-0000152A0000}"/>
    <cellStyle name="Porcentual 211 5" xfId="3580" xr:uid="{00000000-0005-0000-0000-0000162A0000}"/>
    <cellStyle name="Porcentual 211 5 2" xfId="7123" xr:uid="{00000000-0005-0000-0000-0000172A0000}"/>
    <cellStyle name="Porcentual 211 5 3" xfId="9103" xr:uid="{00000000-0005-0000-0000-0000182A0000}"/>
    <cellStyle name="Porcentual 211 6" xfId="3581" xr:uid="{00000000-0005-0000-0000-0000192A0000}"/>
    <cellStyle name="Porcentual 211 6 2" xfId="7124" xr:uid="{00000000-0005-0000-0000-00001A2A0000}"/>
    <cellStyle name="Porcentual 211 6 3" xfId="9104" xr:uid="{00000000-0005-0000-0000-00001B2A0000}"/>
    <cellStyle name="Porcentual 211 7" xfId="3582" xr:uid="{00000000-0005-0000-0000-00001C2A0000}"/>
    <cellStyle name="Porcentual 211 7 2" xfId="7125" xr:uid="{00000000-0005-0000-0000-00001D2A0000}"/>
    <cellStyle name="Porcentual 211 7 3" xfId="9105" xr:uid="{00000000-0005-0000-0000-00001E2A0000}"/>
    <cellStyle name="Porcentual 211 8" xfId="3583" xr:uid="{00000000-0005-0000-0000-00001F2A0000}"/>
    <cellStyle name="Porcentual 211 8 2" xfId="7126" xr:uid="{00000000-0005-0000-0000-0000202A0000}"/>
    <cellStyle name="Porcentual 211 8 3" xfId="9106" xr:uid="{00000000-0005-0000-0000-0000212A0000}"/>
    <cellStyle name="Porcentual 211 9" xfId="3584" xr:uid="{00000000-0005-0000-0000-0000222A0000}"/>
    <cellStyle name="Porcentual 211 9 2" xfId="7127" xr:uid="{00000000-0005-0000-0000-0000232A0000}"/>
    <cellStyle name="Porcentual 211 9 3" xfId="9107" xr:uid="{00000000-0005-0000-0000-0000242A0000}"/>
    <cellStyle name="Porcentual 212 10" xfId="3585" xr:uid="{00000000-0005-0000-0000-0000252A0000}"/>
    <cellStyle name="Porcentual 212 10 2" xfId="7128" xr:uid="{00000000-0005-0000-0000-0000262A0000}"/>
    <cellStyle name="Porcentual 212 10 3" xfId="9108" xr:uid="{00000000-0005-0000-0000-0000272A0000}"/>
    <cellStyle name="Porcentual 212 11" xfId="3586" xr:uid="{00000000-0005-0000-0000-0000282A0000}"/>
    <cellStyle name="Porcentual 212 11 2" xfId="7129" xr:uid="{00000000-0005-0000-0000-0000292A0000}"/>
    <cellStyle name="Porcentual 212 11 3" xfId="9109" xr:uid="{00000000-0005-0000-0000-00002A2A0000}"/>
    <cellStyle name="Porcentual 212 12" xfId="3587" xr:uid="{00000000-0005-0000-0000-00002B2A0000}"/>
    <cellStyle name="Porcentual 212 12 2" xfId="7130" xr:uid="{00000000-0005-0000-0000-00002C2A0000}"/>
    <cellStyle name="Porcentual 212 12 3" xfId="9110" xr:uid="{00000000-0005-0000-0000-00002D2A0000}"/>
    <cellStyle name="Porcentual 212 13" xfId="3588" xr:uid="{00000000-0005-0000-0000-00002E2A0000}"/>
    <cellStyle name="Porcentual 212 13 2" xfId="7131" xr:uid="{00000000-0005-0000-0000-00002F2A0000}"/>
    <cellStyle name="Porcentual 212 13 3" xfId="9111" xr:uid="{00000000-0005-0000-0000-0000302A0000}"/>
    <cellStyle name="Porcentual 212 14" xfId="3589" xr:uid="{00000000-0005-0000-0000-0000312A0000}"/>
    <cellStyle name="Porcentual 212 14 2" xfId="7132" xr:uid="{00000000-0005-0000-0000-0000322A0000}"/>
    <cellStyle name="Porcentual 212 14 3" xfId="9112" xr:uid="{00000000-0005-0000-0000-0000332A0000}"/>
    <cellStyle name="Porcentual 212 15" xfId="3590" xr:uid="{00000000-0005-0000-0000-0000342A0000}"/>
    <cellStyle name="Porcentual 212 15 2" xfId="7133" xr:uid="{00000000-0005-0000-0000-0000352A0000}"/>
    <cellStyle name="Porcentual 212 15 3" xfId="9113" xr:uid="{00000000-0005-0000-0000-0000362A0000}"/>
    <cellStyle name="Porcentual 212 16" xfId="3591" xr:uid="{00000000-0005-0000-0000-0000372A0000}"/>
    <cellStyle name="Porcentual 212 16 2" xfId="7134" xr:uid="{00000000-0005-0000-0000-0000382A0000}"/>
    <cellStyle name="Porcentual 212 16 3" xfId="9114" xr:uid="{00000000-0005-0000-0000-0000392A0000}"/>
    <cellStyle name="Porcentual 212 17" xfId="3592" xr:uid="{00000000-0005-0000-0000-00003A2A0000}"/>
    <cellStyle name="Porcentual 212 17 2" xfId="7135" xr:uid="{00000000-0005-0000-0000-00003B2A0000}"/>
    <cellStyle name="Porcentual 212 17 3" xfId="9115" xr:uid="{00000000-0005-0000-0000-00003C2A0000}"/>
    <cellStyle name="Porcentual 212 18" xfId="3593" xr:uid="{00000000-0005-0000-0000-00003D2A0000}"/>
    <cellStyle name="Porcentual 212 18 2" xfId="7136" xr:uid="{00000000-0005-0000-0000-00003E2A0000}"/>
    <cellStyle name="Porcentual 212 18 3" xfId="9116" xr:uid="{00000000-0005-0000-0000-00003F2A0000}"/>
    <cellStyle name="Porcentual 212 19" xfId="3594" xr:uid="{00000000-0005-0000-0000-0000402A0000}"/>
    <cellStyle name="Porcentual 212 19 2" xfId="7137" xr:uid="{00000000-0005-0000-0000-0000412A0000}"/>
    <cellStyle name="Porcentual 212 19 3" xfId="9117" xr:uid="{00000000-0005-0000-0000-0000422A0000}"/>
    <cellStyle name="Porcentual 212 2" xfId="3595" xr:uid="{00000000-0005-0000-0000-0000432A0000}"/>
    <cellStyle name="Porcentual 212 2 2" xfId="7138" xr:uid="{00000000-0005-0000-0000-0000442A0000}"/>
    <cellStyle name="Porcentual 212 2 3" xfId="9118" xr:uid="{00000000-0005-0000-0000-0000452A0000}"/>
    <cellStyle name="Porcentual 212 20" xfId="3596" xr:uid="{00000000-0005-0000-0000-0000462A0000}"/>
    <cellStyle name="Porcentual 212 20 2" xfId="7139" xr:uid="{00000000-0005-0000-0000-0000472A0000}"/>
    <cellStyle name="Porcentual 212 20 3" xfId="9119" xr:uid="{00000000-0005-0000-0000-0000482A0000}"/>
    <cellStyle name="Porcentual 212 21" xfId="3597" xr:uid="{00000000-0005-0000-0000-0000492A0000}"/>
    <cellStyle name="Porcentual 212 21 2" xfId="7140" xr:uid="{00000000-0005-0000-0000-00004A2A0000}"/>
    <cellStyle name="Porcentual 212 21 3" xfId="9120" xr:uid="{00000000-0005-0000-0000-00004B2A0000}"/>
    <cellStyle name="Porcentual 212 22" xfId="3598" xr:uid="{00000000-0005-0000-0000-00004C2A0000}"/>
    <cellStyle name="Porcentual 212 22 2" xfId="7141" xr:uid="{00000000-0005-0000-0000-00004D2A0000}"/>
    <cellStyle name="Porcentual 212 22 3" xfId="9121" xr:uid="{00000000-0005-0000-0000-00004E2A0000}"/>
    <cellStyle name="Porcentual 212 23" xfId="3599" xr:uid="{00000000-0005-0000-0000-00004F2A0000}"/>
    <cellStyle name="Porcentual 212 23 2" xfId="7142" xr:uid="{00000000-0005-0000-0000-0000502A0000}"/>
    <cellStyle name="Porcentual 212 23 3" xfId="9122" xr:uid="{00000000-0005-0000-0000-0000512A0000}"/>
    <cellStyle name="Porcentual 212 24" xfId="3600" xr:uid="{00000000-0005-0000-0000-0000522A0000}"/>
    <cellStyle name="Porcentual 212 24 2" xfId="7143" xr:uid="{00000000-0005-0000-0000-0000532A0000}"/>
    <cellStyle name="Porcentual 212 24 3" xfId="9123" xr:uid="{00000000-0005-0000-0000-0000542A0000}"/>
    <cellStyle name="Porcentual 212 25" xfId="3601" xr:uid="{00000000-0005-0000-0000-0000552A0000}"/>
    <cellStyle name="Porcentual 212 25 2" xfId="7144" xr:uid="{00000000-0005-0000-0000-0000562A0000}"/>
    <cellStyle name="Porcentual 212 25 3" xfId="9124" xr:uid="{00000000-0005-0000-0000-0000572A0000}"/>
    <cellStyle name="Porcentual 212 26" xfId="3602" xr:uid="{00000000-0005-0000-0000-0000582A0000}"/>
    <cellStyle name="Porcentual 212 26 2" xfId="7145" xr:uid="{00000000-0005-0000-0000-0000592A0000}"/>
    <cellStyle name="Porcentual 212 26 3" xfId="9125" xr:uid="{00000000-0005-0000-0000-00005A2A0000}"/>
    <cellStyle name="Porcentual 212 27" xfId="3603" xr:uid="{00000000-0005-0000-0000-00005B2A0000}"/>
    <cellStyle name="Porcentual 212 27 2" xfId="7146" xr:uid="{00000000-0005-0000-0000-00005C2A0000}"/>
    <cellStyle name="Porcentual 212 27 3" xfId="9126" xr:uid="{00000000-0005-0000-0000-00005D2A0000}"/>
    <cellStyle name="Porcentual 212 28" xfId="3604" xr:uid="{00000000-0005-0000-0000-00005E2A0000}"/>
    <cellStyle name="Porcentual 212 28 2" xfId="7147" xr:uid="{00000000-0005-0000-0000-00005F2A0000}"/>
    <cellStyle name="Porcentual 212 28 3" xfId="9127" xr:uid="{00000000-0005-0000-0000-0000602A0000}"/>
    <cellStyle name="Porcentual 212 3" xfId="3605" xr:uid="{00000000-0005-0000-0000-0000612A0000}"/>
    <cellStyle name="Porcentual 212 3 2" xfId="7148" xr:uid="{00000000-0005-0000-0000-0000622A0000}"/>
    <cellStyle name="Porcentual 212 3 3" xfId="9128" xr:uid="{00000000-0005-0000-0000-0000632A0000}"/>
    <cellStyle name="Porcentual 212 4" xfId="3606" xr:uid="{00000000-0005-0000-0000-0000642A0000}"/>
    <cellStyle name="Porcentual 212 4 2" xfId="7149" xr:uid="{00000000-0005-0000-0000-0000652A0000}"/>
    <cellStyle name="Porcentual 212 4 3" xfId="9129" xr:uid="{00000000-0005-0000-0000-0000662A0000}"/>
    <cellStyle name="Porcentual 212 5" xfId="3607" xr:uid="{00000000-0005-0000-0000-0000672A0000}"/>
    <cellStyle name="Porcentual 212 5 2" xfId="7150" xr:uid="{00000000-0005-0000-0000-0000682A0000}"/>
    <cellStyle name="Porcentual 212 5 3" xfId="9130" xr:uid="{00000000-0005-0000-0000-0000692A0000}"/>
    <cellStyle name="Porcentual 212 6" xfId="3608" xr:uid="{00000000-0005-0000-0000-00006A2A0000}"/>
    <cellStyle name="Porcentual 212 6 2" xfId="7151" xr:uid="{00000000-0005-0000-0000-00006B2A0000}"/>
    <cellStyle name="Porcentual 212 6 3" xfId="9131" xr:uid="{00000000-0005-0000-0000-00006C2A0000}"/>
    <cellStyle name="Porcentual 212 7" xfId="3609" xr:uid="{00000000-0005-0000-0000-00006D2A0000}"/>
    <cellStyle name="Porcentual 212 7 2" xfId="7152" xr:uid="{00000000-0005-0000-0000-00006E2A0000}"/>
    <cellStyle name="Porcentual 212 7 3" xfId="9132" xr:uid="{00000000-0005-0000-0000-00006F2A0000}"/>
    <cellStyle name="Porcentual 212 8" xfId="3610" xr:uid="{00000000-0005-0000-0000-0000702A0000}"/>
    <cellStyle name="Porcentual 212 8 2" xfId="7153" xr:uid="{00000000-0005-0000-0000-0000712A0000}"/>
    <cellStyle name="Porcentual 212 8 3" xfId="9133" xr:uid="{00000000-0005-0000-0000-0000722A0000}"/>
    <cellStyle name="Porcentual 212 9" xfId="3611" xr:uid="{00000000-0005-0000-0000-0000732A0000}"/>
    <cellStyle name="Porcentual 212 9 2" xfId="7154" xr:uid="{00000000-0005-0000-0000-0000742A0000}"/>
    <cellStyle name="Porcentual 212 9 3" xfId="9134" xr:uid="{00000000-0005-0000-0000-0000752A0000}"/>
    <cellStyle name="Porcentual 213 10" xfId="3612" xr:uid="{00000000-0005-0000-0000-0000762A0000}"/>
    <cellStyle name="Porcentual 213 10 2" xfId="7155" xr:uid="{00000000-0005-0000-0000-0000772A0000}"/>
    <cellStyle name="Porcentual 213 10 3" xfId="9135" xr:uid="{00000000-0005-0000-0000-0000782A0000}"/>
    <cellStyle name="Porcentual 213 11" xfId="3613" xr:uid="{00000000-0005-0000-0000-0000792A0000}"/>
    <cellStyle name="Porcentual 213 11 2" xfId="7156" xr:uid="{00000000-0005-0000-0000-00007A2A0000}"/>
    <cellStyle name="Porcentual 213 11 3" xfId="9136" xr:uid="{00000000-0005-0000-0000-00007B2A0000}"/>
    <cellStyle name="Porcentual 213 12" xfId="3614" xr:uid="{00000000-0005-0000-0000-00007C2A0000}"/>
    <cellStyle name="Porcentual 213 12 2" xfId="7157" xr:uid="{00000000-0005-0000-0000-00007D2A0000}"/>
    <cellStyle name="Porcentual 213 12 3" xfId="9137" xr:uid="{00000000-0005-0000-0000-00007E2A0000}"/>
    <cellStyle name="Porcentual 213 13" xfId="3615" xr:uid="{00000000-0005-0000-0000-00007F2A0000}"/>
    <cellStyle name="Porcentual 213 13 2" xfId="7158" xr:uid="{00000000-0005-0000-0000-0000802A0000}"/>
    <cellStyle name="Porcentual 213 13 3" xfId="9138" xr:uid="{00000000-0005-0000-0000-0000812A0000}"/>
    <cellStyle name="Porcentual 213 14" xfId="3616" xr:uid="{00000000-0005-0000-0000-0000822A0000}"/>
    <cellStyle name="Porcentual 213 14 2" xfId="7159" xr:uid="{00000000-0005-0000-0000-0000832A0000}"/>
    <cellStyle name="Porcentual 213 14 3" xfId="9139" xr:uid="{00000000-0005-0000-0000-0000842A0000}"/>
    <cellStyle name="Porcentual 213 15" xfId="3617" xr:uid="{00000000-0005-0000-0000-0000852A0000}"/>
    <cellStyle name="Porcentual 213 15 2" xfId="7160" xr:uid="{00000000-0005-0000-0000-0000862A0000}"/>
    <cellStyle name="Porcentual 213 15 3" xfId="9140" xr:uid="{00000000-0005-0000-0000-0000872A0000}"/>
    <cellStyle name="Porcentual 213 16" xfId="3618" xr:uid="{00000000-0005-0000-0000-0000882A0000}"/>
    <cellStyle name="Porcentual 213 16 2" xfId="7161" xr:uid="{00000000-0005-0000-0000-0000892A0000}"/>
    <cellStyle name="Porcentual 213 16 3" xfId="9141" xr:uid="{00000000-0005-0000-0000-00008A2A0000}"/>
    <cellStyle name="Porcentual 213 17" xfId="3619" xr:uid="{00000000-0005-0000-0000-00008B2A0000}"/>
    <cellStyle name="Porcentual 213 17 2" xfId="7162" xr:uid="{00000000-0005-0000-0000-00008C2A0000}"/>
    <cellStyle name="Porcentual 213 17 3" xfId="9142" xr:uid="{00000000-0005-0000-0000-00008D2A0000}"/>
    <cellStyle name="Porcentual 213 18" xfId="3620" xr:uid="{00000000-0005-0000-0000-00008E2A0000}"/>
    <cellStyle name="Porcentual 213 18 2" xfId="7163" xr:uid="{00000000-0005-0000-0000-00008F2A0000}"/>
    <cellStyle name="Porcentual 213 18 3" xfId="9143" xr:uid="{00000000-0005-0000-0000-0000902A0000}"/>
    <cellStyle name="Porcentual 213 19" xfId="3621" xr:uid="{00000000-0005-0000-0000-0000912A0000}"/>
    <cellStyle name="Porcentual 213 19 2" xfId="7164" xr:uid="{00000000-0005-0000-0000-0000922A0000}"/>
    <cellStyle name="Porcentual 213 19 3" xfId="9144" xr:uid="{00000000-0005-0000-0000-0000932A0000}"/>
    <cellStyle name="Porcentual 213 2" xfId="3622" xr:uid="{00000000-0005-0000-0000-0000942A0000}"/>
    <cellStyle name="Porcentual 213 2 2" xfId="7165" xr:uid="{00000000-0005-0000-0000-0000952A0000}"/>
    <cellStyle name="Porcentual 213 2 3" xfId="9145" xr:uid="{00000000-0005-0000-0000-0000962A0000}"/>
    <cellStyle name="Porcentual 213 20" xfId="3623" xr:uid="{00000000-0005-0000-0000-0000972A0000}"/>
    <cellStyle name="Porcentual 213 20 2" xfId="7166" xr:uid="{00000000-0005-0000-0000-0000982A0000}"/>
    <cellStyle name="Porcentual 213 20 3" xfId="9146" xr:uid="{00000000-0005-0000-0000-0000992A0000}"/>
    <cellStyle name="Porcentual 213 21" xfId="3624" xr:uid="{00000000-0005-0000-0000-00009A2A0000}"/>
    <cellStyle name="Porcentual 213 21 2" xfId="7167" xr:uid="{00000000-0005-0000-0000-00009B2A0000}"/>
    <cellStyle name="Porcentual 213 21 3" xfId="9147" xr:uid="{00000000-0005-0000-0000-00009C2A0000}"/>
    <cellStyle name="Porcentual 213 22" xfId="3625" xr:uid="{00000000-0005-0000-0000-00009D2A0000}"/>
    <cellStyle name="Porcentual 213 22 2" xfId="7168" xr:uid="{00000000-0005-0000-0000-00009E2A0000}"/>
    <cellStyle name="Porcentual 213 22 3" xfId="9148" xr:uid="{00000000-0005-0000-0000-00009F2A0000}"/>
    <cellStyle name="Porcentual 213 23" xfId="3626" xr:uid="{00000000-0005-0000-0000-0000A02A0000}"/>
    <cellStyle name="Porcentual 213 23 2" xfId="7169" xr:uid="{00000000-0005-0000-0000-0000A12A0000}"/>
    <cellStyle name="Porcentual 213 23 3" xfId="9149" xr:uid="{00000000-0005-0000-0000-0000A22A0000}"/>
    <cellStyle name="Porcentual 213 24" xfId="3627" xr:uid="{00000000-0005-0000-0000-0000A32A0000}"/>
    <cellStyle name="Porcentual 213 24 2" xfId="7170" xr:uid="{00000000-0005-0000-0000-0000A42A0000}"/>
    <cellStyle name="Porcentual 213 24 3" xfId="9150" xr:uid="{00000000-0005-0000-0000-0000A52A0000}"/>
    <cellStyle name="Porcentual 213 25" xfId="3628" xr:uid="{00000000-0005-0000-0000-0000A62A0000}"/>
    <cellStyle name="Porcentual 213 25 2" xfId="7171" xr:uid="{00000000-0005-0000-0000-0000A72A0000}"/>
    <cellStyle name="Porcentual 213 25 3" xfId="9151" xr:uid="{00000000-0005-0000-0000-0000A82A0000}"/>
    <cellStyle name="Porcentual 213 26" xfId="3629" xr:uid="{00000000-0005-0000-0000-0000A92A0000}"/>
    <cellStyle name="Porcentual 213 26 2" xfId="7172" xr:uid="{00000000-0005-0000-0000-0000AA2A0000}"/>
    <cellStyle name="Porcentual 213 26 3" xfId="9152" xr:uid="{00000000-0005-0000-0000-0000AB2A0000}"/>
    <cellStyle name="Porcentual 213 27" xfId="3630" xr:uid="{00000000-0005-0000-0000-0000AC2A0000}"/>
    <cellStyle name="Porcentual 213 27 2" xfId="7173" xr:uid="{00000000-0005-0000-0000-0000AD2A0000}"/>
    <cellStyle name="Porcentual 213 27 3" xfId="9153" xr:uid="{00000000-0005-0000-0000-0000AE2A0000}"/>
    <cellStyle name="Porcentual 213 28" xfId="3631" xr:uid="{00000000-0005-0000-0000-0000AF2A0000}"/>
    <cellStyle name="Porcentual 213 28 2" xfId="7174" xr:uid="{00000000-0005-0000-0000-0000B02A0000}"/>
    <cellStyle name="Porcentual 213 28 3" xfId="9154" xr:uid="{00000000-0005-0000-0000-0000B12A0000}"/>
    <cellStyle name="Porcentual 213 3" xfId="3632" xr:uid="{00000000-0005-0000-0000-0000B22A0000}"/>
    <cellStyle name="Porcentual 213 3 2" xfId="7175" xr:uid="{00000000-0005-0000-0000-0000B32A0000}"/>
    <cellStyle name="Porcentual 213 3 3" xfId="9155" xr:uid="{00000000-0005-0000-0000-0000B42A0000}"/>
    <cellStyle name="Porcentual 213 4" xfId="3633" xr:uid="{00000000-0005-0000-0000-0000B52A0000}"/>
    <cellStyle name="Porcentual 213 4 2" xfId="7176" xr:uid="{00000000-0005-0000-0000-0000B62A0000}"/>
    <cellStyle name="Porcentual 213 4 3" xfId="9156" xr:uid="{00000000-0005-0000-0000-0000B72A0000}"/>
    <cellStyle name="Porcentual 213 5" xfId="3634" xr:uid="{00000000-0005-0000-0000-0000B82A0000}"/>
    <cellStyle name="Porcentual 213 5 2" xfId="7177" xr:uid="{00000000-0005-0000-0000-0000B92A0000}"/>
    <cellStyle name="Porcentual 213 5 3" xfId="9157" xr:uid="{00000000-0005-0000-0000-0000BA2A0000}"/>
    <cellStyle name="Porcentual 213 6" xfId="3635" xr:uid="{00000000-0005-0000-0000-0000BB2A0000}"/>
    <cellStyle name="Porcentual 213 6 2" xfId="7178" xr:uid="{00000000-0005-0000-0000-0000BC2A0000}"/>
    <cellStyle name="Porcentual 213 6 3" xfId="9158" xr:uid="{00000000-0005-0000-0000-0000BD2A0000}"/>
    <cellStyle name="Porcentual 213 7" xfId="3636" xr:uid="{00000000-0005-0000-0000-0000BE2A0000}"/>
    <cellStyle name="Porcentual 213 7 2" xfId="7179" xr:uid="{00000000-0005-0000-0000-0000BF2A0000}"/>
    <cellStyle name="Porcentual 213 7 3" xfId="9159" xr:uid="{00000000-0005-0000-0000-0000C02A0000}"/>
    <cellStyle name="Porcentual 213 8" xfId="3637" xr:uid="{00000000-0005-0000-0000-0000C12A0000}"/>
    <cellStyle name="Porcentual 213 8 2" xfId="7180" xr:uid="{00000000-0005-0000-0000-0000C22A0000}"/>
    <cellStyle name="Porcentual 213 8 3" xfId="9160" xr:uid="{00000000-0005-0000-0000-0000C32A0000}"/>
    <cellStyle name="Porcentual 213 9" xfId="3638" xr:uid="{00000000-0005-0000-0000-0000C42A0000}"/>
    <cellStyle name="Porcentual 213 9 2" xfId="7181" xr:uid="{00000000-0005-0000-0000-0000C52A0000}"/>
    <cellStyle name="Porcentual 213 9 3" xfId="9161" xr:uid="{00000000-0005-0000-0000-0000C62A0000}"/>
    <cellStyle name="Porcentual 214 10" xfId="3639" xr:uid="{00000000-0005-0000-0000-0000C72A0000}"/>
    <cellStyle name="Porcentual 214 10 2" xfId="7182" xr:uid="{00000000-0005-0000-0000-0000C82A0000}"/>
    <cellStyle name="Porcentual 214 10 3" xfId="9162" xr:uid="{00000000-0005-0000-0000-0000C92A0000}"/>
    <cellStyle name="Porcentual 214 11" xfId="3640" xr:uid="{00000000-0005-0000-0000-0000CA2A0000}"/>
    <cellStyle name="Porcentual 214 11 2" xfId="7183" xr:uid="{00000000-0005-0000-0000-0000CB2A0000}"/>
    <cellStyle name="Porcentual 214 11 3" xfId="9163" xr:uid="{00000000-0005-0000-0000-0000CC2A0000}"/>
    <cellStyle name="Porcentual 214 12" xfId="3641" xr:uid="{00000000-0005-0000-0000-0000CD2A0000}"/>
    <cellStyle name="Porcentual 214 12 2" xfId="7184" xr:uid="{00000000-0005-0000-0000-0000CE2A0000}"/>
    <cellStyle name="Porcentual 214 12 3" xfId="9164" xr:uid="{00000000-0005-0000-0000-0000CF2A0000}"/>
    <cellStyle name="Porcentual 214 13" xfId="3642" xr:uid="{00000000-0005-0000-0000-0000D02A0000}"/>
    <cellStyle name="Porcentual 214 13 2" xfId="7185" xr:uid="{00000000-0005-0000-0000-0000D12A0000}"/>
    <cellStyle name="Porcentual 214 13 3" xfId="9165" xr:uid="{00000000-0005-0000-0000-0000D22A0000}"/>
    <cellStyle name="Porcentual 214 14" xfId="3643" xr:uid="{00000000-0005-0000-0000-0000D32A0000}"/>
    <cellStyle name="Porcentual 214 14 2" xfId="7186" xr:uid="{00000000-0005-0000-0000-0000D42A0000}"/>
    <cellStyle name="Porcentual 214 14 3" xfId="9166" xr:uid="{00000000-0005-0000-0000-0000D52A0000}"/>
    <cellStyle name="Porcentual 214 15" xfId="3644" xr:uid="{00000000-0005-0000-0000-0000D62A0000}"/>
    <cellStyle name="Porcentual 214 15 2" xfId="7187" xr:uid="{00000000-0005-0000-0000-0000D72A0000}"/>
    <cellStyle name="Porcentual 214 15 3" xfId="9167" xr:uid="{00000000-0005-0000-0000-0000D82A0000}"/>
    <cellStyle name="Porcentual 214 16" xfId="3645" xr:uid="{00000000-0005-0000-0000-0000D92A0000}"/>
    <cellStyle name="Porcentual 214 16 2" xfId="7188" xr:uid="{00000000-0005-0000-0000-0000DA2A0000}"/>
    <cellStyle name="Porcentual 214 16 3" xfId="9168" xr:uid="{00000000-0005-0000-0000-0000DB2A0000}"/>
    <cellStyle name="Porcentual 214 17" xfId="3646" xr:uid="{00000000-0005-0000-0000-0000DC2A0000}"/>
    <cellStyle name="Porcentual 214 17 2" xfId="7189" xr:uid="{00000000-0005-0000-0000-0000DD2A0000}"/>
    <cellStyle name="Porcentual 214 17 3" xfId="9169" xr:uid="{00000000-0005-0000-0000-0000DE2A0000}"/>
    <cellStyle name="Porcentual 214 18" xfId="3647" xr:uid="{00000000-0005-0000-0000-0000DF2A0000}"/>
    <cellStyle name="Porcentual 214 18 2" xfId="7190" xr:uid="{00000000-0005-0000-0000-0000E02A0000}"/>
    <cellStyle name="Porcentual 214 18 3" xfId="9170" xr:uid="{00000000-0005-0000-0000-0000E12A0000}"/>
    <cellStyle name="Porcentual 214 19" xfId="3648" xr:uid="{00000000-0005-0000-0000-0000E22A0000}"/>
    <cellStyle name="Porcentual 214 19 2" xfId="7191" xr:uid="{00000000-0005-0000-0000-0000E32A0000}"/>
    <cellStyle name="Porcentual 214 19 3" xfId="9171" xr:uid="{00000000-0005-0000-0000-0000E42A0000}"/>
    <cellStyle name="Porcentual 214 2" xfId="3649" xr:uid="{00000000-0005-0000-0000-0000E52A0000}"/>
    <cellStyle name="Porcentual 214 2 2" xfId="7192" xr:uid="{00000000-0005-0000-0000-0000E62A0000}"/>
    <cellStyle name="Porcentual 214 2 3" xfId="9172" xr:uid="{00000000-0005-0000-0000-0000E72A0000}"/>
    <cellStyle name="Porcentual 214 20" xfId="3650" xr:uid="{00000000-0005-0000-0000-0000E82A0000}"/>
    <cellStyle name="Porcentual 214 20 2" xfId="7193" xr:uid="{00000000-0005-0000-0000-0000E92A0000}"/>
    <cellStyle name="Porcentual 214 20 3" xfId="9173" xr:uid="{00000000-0005-0000-0000-0000EA2A0000}"/>
    <cellStyle name="Porcentual 214 21" xfId="3651" xr:uid="{00000000-0005-0000-0000-0000EB2A0000}"/>
    <cellStyle name="Porcentual 214 21 2" xfId="7194" xr:uid="{00000000-0005-0000-0000-0000EC2A0000}"/>
    <cellStyle name="Porcentual 214 21 3" xfId="9174" xr:uid="{00000000-0005-0000-0000-0000ED2A0000}"/>
    <cellStyle name="Porcentual 214 22" xfId="3652" xr:uid="{00000000-0005-0000-0000-0000EE2A0000}"/>
    <cellStyle name="Porcentual 214 22 2" xfId="7195" xr:uid="{00000000-0005-0000-0000-0000EF2A0000}"/>
    <cellStyle name="Porcentual 214 22 3" xfId="9175" xr:uid="{00000000-0005-0000-0000-0000F02A0000}"/>
    <cellStyle name="Porcentual 214 23" xfId="3653" xr:uid="{00000000-0005-0000-0000-0000F12A0000}"/>
    <cellStyle name="Porcentual 214 23 2" xfId="7196" xr:uid="{00000000-0005-0000-0000-0000F22A0000}"/>
    <cellStyle name="Porcentual 214 23 3" xfId="9176" xr:uid="{00000000-0005-0000-0000-0000F32A0000}"/>
    <cellStyle name="Porcentual 214 24" xfId="3654" xr:uid="{00000000-0005-0000-0000-0000F42A0000}"/>
    <cellStyle name="Porcentual 214 24 2" xfId="7197" xr:uid="{00000000-0005-0000-0000-0000F52A0000}"/>
    <cellStyle name="Porcentual 214 24 3" xfId="9177" xr:uid="{00000000-0005-0000-0000-0000F62A0000}"/>
    <cellStyle name="Porcentual 214 25" xfId="3655" xr:uid="{00000000-0005-0000-0000-0000F72A0000}"/>
    <cellStyle name="Porcentual 214 25 2" xfId="7198" xr:uid="{00000000-0005-0000-0000-0000F82A0000}"/>
    <cellStyle name="Porcentual 214 25 3" xfId="9178" xr:uid="{00000000-0005-0000-0000-0000F92A0000}"/>
    <cellStyle name="Porcentual 214 26" xfId="3656" xr:uid="{00000000-0005-0000-0000-0000FA2A0000}"/>
    <cellStyle name="Porcentual 214 26 2" xfId="7199" xr:uid="{00000000-0005-0000-0000-0000FB2A0000}"/>
    <cellStyle name="Porcentual 214 26 3" xfId="9179" xr:uid="{00000000-0005-0000-0000-0000FC2A0000}"/>
    <cellStyle name="Porcentual 214 27" xfId="3657" xr:uid="{00000000-0005-0000-0000-0000FD2A0000}"/>
    <cellStyle name="Porcentual 214 27 2" xfId="7200" xr:uid="{00000000-0005-0000-0000-0000FE2A0000}"/>
    <cellStyle name="Porcentual 214 27 3" xfId="9180" xr:uid="{00000000-0005-0000-0000-0000FF2A0000}"/>
    <cellStyle name="Porcentual 214 28" xfId="3658" xr:uid="{00000000-0005-0000-0000-0000002B0000}"/>
    <cellStyle name="Porcentual 214 28 2" xfId="7201" xr:uid="{00000000-0005-0000-0000-0000012B0000}"/>
    <cellStyle name="Porcentual 214 28 3" xfId="9181" xr:uid="{00000000-0005-0000-0000-0000022B0000}"/>
    <cellStyle name="Porcentual 214 3" xfId="3659" xr:uid="{00000000-0005-0000-0000-0000032B0000}"/>
    <cellStyle name="Porcentual 214 3 2" xfId="7202" xr:uid="{00000000-0005-0000-0000-0000042B0000}"/>
    <cellStyle name="Porcentual 214 3 3" xfId="9182" xr:uid="{00000000-0005-0000-0000-0000052B0000}"/>
    <cellStyle name="Porcentual 214 4" xfId="3660" xr:uid="{00000000-0005-0000-0000-0000062B0000}"/>
    <cellStyle name="Porcentual 214 4 2" xfId="7203" xr:uid="{00000000-0005-0000-0000-0000072B0000}"/>
    <cellStyle name="Porcentual 214 4 3" xfId="9183" xr:uid="{00000000-0005-0000-0000-0000082B0000}"/>
    <cellStyle name="Porcentual 214 5" xfId="3661" xr:uid="{00000000-0005-0000-0000-0000092B0000}"/>
    <cellStyle name="Porcentual 214 5 2" xfId="7204" xr:uid="{00000000-0005-0000-0000-00000A2B0000}"/>
    <cellStyle name="Porcentual 214 5 3" xfId="9184" xr:uid="{00000000-0005-0000-0000-00000B2B0000}"/>
    <cellStyle name="Porcentual 214 6" xfId="3662" xr:uid="{00000000-0005-0000-0000-00000C2B0000}"/>
    <cellStyle name="Porcentual 214 6 2" xfId="7205" xr:uid="{00000000-0005-0000-0000-00000D2B0000}"/>
    <cellStyle name="Porcentual 214 6 3" xfId="9185" xr:uid="{00000000-0005-0000-0000-00000E2B0000}"/>
    <cellStyle name="Porcentual 214 7" xfId="3663" xr:uid="{00000000-0005-0000-0000-00000F2B0000}"/>
    <cellStyle name="Porcentual 214 7 2" xfId="7206" xr:uid="{00000000-0005-0000-0000-0000102B0000}"/>
    <cellStyle name="Porcentual 214 7 3" xfId="9186" xr:uid="{00000000-0005-0000-0000-0000112B0000}"/>
    <cellStyle name="Porcentual 214 8" xfId="3664" xr:uid="{00000000-0005-0000-0000-0000122B0000}"/>
    <cellStyle name="Porcentual 214 8 2" xfId="7207" xr:uid="{00000000-0005-0000-0000-0000132B0000}"/>
    <cellStyle name="Porcentual 214 8 3" xfId="9187" xr:uid="{00000000-0005-0000-0000-0000142B0000}"/>
    <cellStyle name="Porcentual 214 9" xfId="3665" xr:uid="{00000000-0005-0000-0000-0000152B0000}"/>
    <cellStyle name="Porcentual 214 9 2" xfId="7208" xr:uid="{00000000-0005-0000-0000-0000162B0000}"/>
    <cellStyle name="Porcentual 214 9 3" xfId="9188" xr:uid="{00000000-0005-0000-0000-0000172B0000}"/>
    <cellStyle name="Porcentual 215 10" xfId="3666" xr:uid="{00000000-0005-0000-0000-0000182B0000}"/>
    <cellStyle name="Porcentual 215 10 2" xfId="7209" xr:uid="{00000000-0005-0000-0000-0000192B0000}"/>
    <cellStyle name="Porcentual 215 10 3" xfId="9189" xr:uid="{00000000-0005-0000-0000-00001A2B0000}"/>
    <cellStyle name="Porcentual 215 11" xfId="3667" xr:uid="{00000000-0005-0000-0000-00001B2B0000}"/>
    <cellStyle name="Porcentual 215 11 2" xfId="7210" xr:uid="{00000000-0005-0000-0000-00001C2B0000}"/>
    <cellStyle name="Porcentual 215 11 3" xfId="9190" xr:uid="{00000000-0005-0000-0000-00001D2B0000}"/>
    <cellStyle name="Porcentual 215 12" xfId="3668" xr:uid="{00000000-0005-0000-0000-00001E2B0000}"/>
    <cellStyle name="Porcentual 215 12 2" xfId="7211" xr:uid="{00000000-0005-0000-0000-00001F2B0000}"/>
    <cellStyle name="Porcentual 215 12 3" xfId="9191" xr:uid="{00000000-0005-0000-0000-0000202B0000}"/>
    <cellStyle name="Porcentual 215 13" xfId="3669" xr:uid="{00000000-0005-0000-0000-0000212B0000}"/>
    <cellStyle name="Porcentual 215 13 2" xfId="7212" xr:uid="{00000000-0005-0000-0000-0000222B0000}"/>
    <cellStyle name="Porcentual 215 13 3" xfId="9192" xr:uid="{00000000-0005-0000-0000-0000232B0000}"/>
    <cellStyle name="Porcentual 215 14" xfId="3670" xr:uid="{00000000-0005-0000-0000-0000242B0000}"/>
    <cellStyle name="Porcentual 215 14 2" xfId="7213" xr:uid="{00000000-0005-0000-0000-0000252B0000}"/>
    <cellStyle name="Porcentual 215 14 3" xfId="9193" xr:uid="{00000000-0005-0000-0000-0000262B0000}"/>
    <cellStyle name="Porcentual 215 15" xfId="3671" xr:uid="{00000000-0005-0000-0000-0000272B0000}"/>
    <cellStyle name="Porcentual 215 15 2" xfId="7214" xr:uid="{00000000-0005-0000-0000-0000282B0000}"/>
    <cellStyle name="Porcentual 215 15 3" xfId="9194" xr:uid="{00000000-0005-0000-0000-0000292B0000}"/>
    <cellStyle name="Porcentual 215 16" xfId="3672" xr:uid="{00000000-0005-0000-0000-00002A2B0000}"/>
    <cellStyle name="Porcentual 215 16 2" xfId="7215" xr:uid="{00000000-0005-0000-0000-00002B2B0000}"/>
    <cellStyle name="Porcentual 215 16 3" xfId="9195" xr:uid="{00000000-0005-0000-0000-00002C2B0000}"/>
    <cellStyle name="Porcentual 215 17" xfId="3673" xr:uid="{00000000-0005-0000-0000-00002D2B0000}"/>
    <cellStyle name="Porcentual 215 17 2" xfId="7216" xr:uid="{00000000-0005-0000-0000-00002E2B0000}"/>
    <cellStyle name="Porcentual 215 17 3" xfId="9196" xr:uid="{00000000-0005-0000-0000-00002F2B0000}"/>
    <cellStyle name="Porcentual 215 18" xfId="3674" xr:uid="{00000000-0005-0000-0000-0000302B0000}"/>
    <cellStyle name="Porcentual 215 18 2" xfId="7217" xr:uid="{00000000-0005-0000-0000-0000312B0000}"/>
    <cellStyle name="Porcentual 215 18 3" xfId="9197" xr:uid="{00000000-0005-0000-0000-0000322B0000}"/>
    <cellStyle name="Porcentual 215 19" xfId="3675" xr:uid="{00000000-0005-0000-0000-0000332B0000}"/>
    <cellStyle name="Porcentual 215 19 2" xfId="7218" xr:uid="{00000000-0005-0000-0000-0000342B0000}"/>
    <cellStyle name="Porcentual 215 19 3" xfId="9198" xr:uid="{00000000-0005-0000-0000-0000352B0000}"/>
    <cellStyle name="Porcentual 215 2" xfId="3676" xr:uid="{00000000-0005-0000-0000-0000362B0000}"/>
    <cellStyle name="Porcentual 215 2 2" xfId="7219" xr:uid="{00000000-0005-0000-0000-0000372B0000}"/>
    <cellStyle name="Porcentual 215 2 3" xfId="9199" xr:uid="{00000000-0005-0000-0000-0000382B0000}"/>
    <cellStyle name="Porcentual 215 20" xfId="3677" xr:uid="{00000000-0005-0000-0000-0000392B0000}"/>
    <cellStyle name="Porcentual 215 20 2" xfId="7220" xr:uid="{00000000-0005-0000-0000-00003A2B0000}"/>
    <cellStyle name="Porcentual 215 20 3" xfId="9200" xr:uid="{00000000-0005-0000-0000-00003B2B0000}"/>
    <cellStyle name="Porcentual 215 21" xfId="3678" xr:uid="{00000000-0005-0000-0000-00003C2B0000}"/>
    <cellStyle name="Porcentual 215 21 2" xfId="7221" xr:uid="{00000000-0005-0000-0000-00003D2B0000}"/>
    <cellStyle name="Porcentual 215 21 3" xfId="9201" xr:uid="{00000000-0005-0000-0000-00003E2B0000}"/>
    <cellStyle name="Porcentual 215 22" xfId="3679" xr:uid="{00000000-0005-0000-0000-00003F2B0000}"/>
    <cellStyle name="Porcentual 215 22 2" xfId="7222" xr:uid="{00000000-0005-0000-0000-0000402B0000}"/>
    <cellStyle name="Porcentual 215 22 3" xfId="9202" xr:uid="{00000000-0005-0000-0000-0000412B0000}"/>
    <cellStyle name="Porcentual 215 23" xfId="3680" xr:uid="{00000000-0005-0000-0000-0000422B0000}"/>
    <cellStyle name="Porcentual 215 23 2" xfId="7223" xr:uid="{00000000-0005-0000-0000-0000432B0000}"/>
    <cellStyle name="Porcentual 215 23 3" xfId="9203" xr:uid="{00000000-0005-0000-0000-0000442B0000}"/>
    <cellStyle name="Porcentual 215 24" xfId="3681" xr:uid="{00000000-0005-0000-0000-0000452B0000}"/>
    <cellStyle name="Porcentual 215 24 2" xfId="7224" xr:uid="{00000000-0005-0000-0000-0000462B0000}"/>
    <cellStyle name="Porcentual 215 24 3" xfId="9204" xr:uid="{00000000-0005-0000-0000-0000472B0000}"/>
    <cellStyle name="Porcentual 215 25" xfId="3682" xr:uid="{00000000-0005-0000-0000-0000482B0000}"/>
    <cellStyle name="Porcentual 215 25 2" xfId="7225" xr:uid="{00000000-0005-0000-0000-0000492B0000}"/>
    <cellStyle name="Porcentual 215 25 3" xfId="9205" xr:uid="{00000000-0005-0000-0000-00004A2B0000}"/>
    <cellStyle name="Porcentual 215 26" xfId="3683" xr:uid="{00000000-0005-0000-0000-00004B2B0000}"/>
    <cellStyle name="Porcentual 215 26 2" xfId="7226" xr:uid="{00000000-0005-0000-0000-00004C2B0000}"/>
    <cellStyle name="Porcentual 215 26 3" xfId="9206" xr:uid="{00000000-0005-0000-0000-00004D2B0000}"/>
    <cellStyle name="Porcentual 215 27" xfId="3684" xr:uid="{00000000-0005-0000-0000-00004E2B0000}"/>
    <cellStyle name="Porcentual 215 27 2" xfId="7227" xr:uid="{00000000-0005-0000-0000-00004F2B0000}"/>
    <cellStyle name="Porcentual 215 27 3" xfId="9207" xr:uid="{00000000-0005-0000-0000-0000502B0000}"/>
    <cellStyle name="Porcentual 215 28" xfId="3685" xr:uid="{00000000-0005-0000-0000-0000512B0000}"/>
    <cellStyle name="Porcentual 215 28 2" xfId="7228" xr:uid="{00000000-0005-0000-0000-0000522B0000}"/>
    <cellStyle name="Porcentual 215 28 3" xfId="9208" xr:uid="{00000000-0005-0000-0000-0000532B0000}"/>
    <cellStyle name="Porcentual 215 3" xfId="3686" xr:uid="{00000000-0005-0000-0000-0000542B0000}"/>
    <cellStyle name="Porcentual 215 3 2" xfId="7229" xr:uid="{00000000-0005-0000-0000-0000552B0000}"/>
    <cellStyle name="Porcentual 215 3 3" xfId="9209" xr:uid="{00000000-0005-0000-0000-0000562B0000}"/>
    <cellStyle name="Porcentual 215 4" xfId="3687" xr:uid="{00000000-0005-0000-0000-0000572B0000}"/>
    <cellStyle name="Porcentual 215 4 2" xfId="7230" xr:uid="{00000000-0005-0000-0000-0000582B0000}"/>
    <cellStyle name="Porcentual 215 4 3" xfId="9210" xr:uid="{00000000-0005-0000-0000-0000592B0000}"/>
    <cellStyle name="Porcentual 215 5" xfId="3688" xr:uid="{00000000-0005-0000-0000-00005A2B0000}"/>
    <cellStyle name="Porcentual 215 5 2" xfId="7231" xr:uid="{00000000-0005-0000-0000-00005B2B0000}"/>
    <cellStyle name="Porcentual 215 5 3" xfId="9211" xr:uid="{00000000-0005-0000-0000-00005C2B0000}"/>
    <cellStyle name="Porcentual 215 6" xfId="3689" xr:uid="{00000000-0005-0000-0000-00005D2B0000}"/>
    <cellStyle name="Porcentual 215 6 2" xfId="7232" xr:uid="{00000000-0005-0000-0000-00005E2B0000}"/>
    <cellStyle name="Porcentual 215 6 3" xfId="9212" xr:uid="{00000000-0005-0000-0000-00005F2B0000}"/>
    <cellStyle name="Porcentual 215 7" xfId="3690" xr:uid="{00000000-0005-0000-0000-0000602B0000}"/>
    <cellStyle name="Porcentual 215 7 2" xfId="7233" xr:uid="{00000000-0005-0000-0000-0000612B0000}"/>
    <cellStyle name="Porcentual 215 7 3" xfId="9213" xr:uid="{00000000-0005-0000-0000-0000622B0000}"/>
    <cellStyle name="Porcentual 215 8" xfId="3691" xr:uid="{00000000-0005-0000-0000-0000632B0000}"/>
    <cellStyle name="Porcentual 215 8 2" xfId="7234" xr:uid="{00000000-0005-0000-0000-0000642B0000}"/>
    <cellStyle name="Porcentual 215 8 3" xfId="9214" xr:uid="{00000000-0005-0000-0000-0000652B0000}"/>
    <cellStyle name="Porcentual 215 9" xfId="3692" xr:uid="{00000000-0005-0000-0000-0000662B0000}"/>
    <cellStyle name="Porcentual 215 9 2" xfId="7235" xr:uid="{00000000-0005-0000-0000-0000672B0000}"/>
    <cellStyle name="Porcentual 215 9 3" xfId="9215" xr:uid="{00000000-0005-0000-0000-0000682B0000}"/>
    <cellStyle name="Porcentual 216 10" xfId="3693" xr:uid="{00000000-0005-0000-0000-0000692B0000}"/>
    <cellStyle name="Porcentual 216 10 2" xfId="7236" xr:uid="{00000000-0005-0000-0000-00006A2B0000}"/>
    <cellStyle name="Porcentual 216 10 3" xfId="9216" xr:uid="{00000000-0005-0000-0000-00006B2B0000}"/>
    <cellStyle name="Porcentual 216 11" xfId="3694" xr:uid="{00000000-0005-0000-0000-00006C2B0000}"/>
    <cellStyle name="Porcentual 216 11 2" xfId="7237" xr:uid="{00000000-0005-0000-0000-00006D2B0000}"/>
    <cellStyle name="Porcentual 216 11 3" xfId="9217" xr:uid="{00000000-0005-0000-0000-00006E2B0000}"/>
    <cellStyle name="Porcentual 216 12" xfId="3695" xr:uid="{00000000-0005-0000-0000-00006F2B0000}"/>
    <cellStyle name="Porcentual 216 12 2" xfId="7238" xr:uid="{00000000-0005-0000-0000-0000702B0000}"/>
    <cellStyle name="Porcentual 216 12 3" xfId="9218" xr:uid="{00000000-0005-0000-0000-0000712B0000}"/>
    <cellStyle name="Porcentual 216 13" xfId="3696" xr:uid="{00000000-0005-0000-0000-0000722B0000}"/>
    <cellStyle name="Porcentual 216 13 2" xfId="7239" xr:uid="{00000000-0005-0000-0000-0000732B0000}"/>
    <cellStyle name="Porcentual 216 13 3" xfId="9219" xr:uid="{00000000-0005-0000-0000-0000742B0000}"/>
    <cellStyle name="Porcentual 216 14" xfId="3697" xr:uid="{00000000-0005-0000-0000-0000752B0000}"/>
    <cellStyle name="Porcentual 216 14 2" xfId="7240" xr:uid="{00000000-0005-0000-0000-0000762B0000}"/>
    <cellStyle name="Porcentual 216 14 3" xfId="9220" xr:uid="{00000000-0005-0000-0000-0000772B0000}"/>
    <cellStyle name="Porcentual 216 15" xfId="3698" xr:uid="{00000000-0005-0000-0000-0000782B0000}"/>
    <cellStyle name="Porcentual 216 15 2" xfId="7241" xr:uid="{00000000-0005-0000-0000-0000792B0000}"/>
    <cellStyle name="Porcentual 216 15 3" xfId="9221" xr:uid="{00000000-0005-0000-0000-00007A2B0000}"/>
    <cellStyle name="Porcentual 216 16" xfId="3699" xr:uid="{00000000-0005-0000-0000-00007B2B0000}"/>
    <cellStyle name="Porcentual 216 16 2" xfId="7242" xr:uid="{00000000-0005-0000-0000-00007C2B0000}"/>
    <cellStyle name="Porcentual 216 16 3" xfId="9222" xr:uid="{00000000-0005-0000-0000-00007D2B0000}"/>
    <cellStyle name="Porcentual 216 17" xfId="3700" xr:uid="{00000000-0005-0000-0000-00007E2B0000}"/>
    <cellStyle name="Porcentual 216 17 2" xfId="7243" xr:uid="{00000000-0005-0000-0000-00007F2B0000}"/>
    <cellStyle name="Porcentual 216 17 3" xfId="9223" xr:uid="{00000000-0005-0000-0000-0000802B0000}"/>
    <cellStyle name="Porcentual 216 18" xfId="3701" xr:uid="{00000000-0005-0000-0000-0000812B0000}"/>
    <cellStyle name="Porcentual 216 18 2" xfId="7244" xr:uid="{00000000-0005-0000-0000-0000822B0000}"/>
    <cellStyle name="Porcentual 216 18 3" xfId="9224" xr:uid="{00000000-0005-0000-0000-0000832B0000}"/>
    <cellStyle name="Porcentual 216 19" xfId="3702" xr:uid="{00000000-0005-0000-0000-0000842B0000}"/>
    <cellStyle name="Porcentual 216 19 2" xfId="7245" xr:uid="{00000000-0005-0000-0000-0000852B0000}"/>
    <cellStyle name="Porcentual 216 19 3" xfId="9225" xr:uid="{00000000-0005-0000-0000-0000862B0000}"/>
    <cellStyle name="Porcentual 216 2" xfId="3703" xr:uid="{00000000-0005-0000-0000-0000872B0000}"/>
    <cellStyle name="Porcentual 216 2 2" xfId="7246" xr:uid="{00000000-0005-0000-0000-0000882B0000}"/>
    <cellStyle name="Porcentual 216 2 3" xfId="9226" xr:uid="{00000000-0005-0000-0000-0000892B0000}"/>
    <cellStyle name="Porcentual 216 20" xfId="3704" xr:uid="{00000000-0005-0000-0000-00008A2B0000}"/>
    <cellStyle name="Porcentual 216 20 2" xfId="7247" xr:uid="{00000000-0005-0000-0000-00008B2B0000}"/>
    <cellStyle name="Porcentual 216 20 3" xfId="9227" xr:uid="{00000000-0005-0000-0000-00008C2B0000}"/>
    <cellStyle name="Porcentual 216 21" xfId="3705" xr:uid="{00000000-0005-0000-0000-00008D2B0000}"/>
    <cellStyle name="Porcentual 216 21 2" xfId="7248" xr:uid="{00000000-0005-0000-0000-00008E2B0000}"/>
    <cellStyle name="Porcentual 216 21 3" xfId="9228" xr:uid="{00000000-0005-0000-0000-00008F2B0000}"/>
    <cellStyle name="Porcentual 216 22" xfId="3706" xr:uid="{00000000-0005-0000-0000-0000902B0000}"/>
    <cellStyle name="Porcentual 216 22 2" xfId="7249" xr:uid="{00000000-0005-0000-0000-0000912B0000}"/>
    <cellStyle name="Porcentual 216 22 3" xfId="9229" xr:uid="{00000000-0005-0000-0000-0000922B0000}"/>
    <cellStyle name="Porcentual 216 23" xfId="3707" xr:uid="{00000000-0005-0000-0000-0000932B0000}"/>
    <cellStyle name="Porcentual 216 23 2" xfId="7250" xr:uid="{00000000-0005-0000-0000-0000942B0000}"/>
    <cellStyle name="Porcentual 216 23 3" xfId="9230" xr:uid="{00000000-0005-0000-0000-0000952B0000}"/>
    <cellStyle name="Porcentual 216 24" xfId="3708" xr:uid="{00000000-0005-0000-0000-0000962B0000}"/>
    <cellStyle name="Porcentual 216 24 2" xfId="7251" xr:uid="{00000000-0005-0000-0000-0000972B0000}"/>
    <cellStyle name="Porcentual 216 24 3" xfId="9231" xr:uid="{00000000-0005-0000-0000-0000982B0000}"/>
    <cellStyle name="Porcentual 216 25" xfId="3709" xr:uid="{00000000-0005-0000-0000-0000992B0000}"/>
    <cellStyle name="Porcentual 216 25 2" xfId="7252" xr:uid="{00000000-0005-0000-0000-00009A2B0000}"/>
    <cellStyle name="Porcentual 216 25 3" xfId="9232" xr:uid="{00000000-0005-0000-0000-00009B2B0000}"/>
    <cellStyle name="Porcentual 216 26" xfId="3710" xr:uid="{00000000-0005-0000-0000-00009C2B0000}"/>
    <cellStyle name="Porcentual 216 26 2" xfId="7253" xr:uid="{00000000-0005-0000-0000-00009D2B0000}"/>
    <cellStyle name="Porcentual 216 26 3" xfId="9233" xr:uid="{00000000-0005-0000-0000-00009E2B0000}"/>
    <cellStyle name="Porcentual 216 27" xfId="3711" xr:uid="{00000000-0005-0000-0000-00009F2B0000}"/>
    <cellStyle name="Porcentual 216 27 2" xfId="7254" xr:uid="{00000000-0005-0000-0000-0000A02B0000}"/>
    <cellStyle name="Porcentual 216 27 3" xfId="9234" xr:uid="{00000000-0005-0000-0000-0000A12B0000}"/>
    <cellStyle name="Porcentual 216 28" xfId="3712" xr:uid="{00000000-0005-0000-0000-0000A22B0000}"/>
    <cellStyle name="Porcentual 216 28 2" xfId="7255" xr:uid="{00000000-0005-0000-0000-0000A32B0000}"/>
    <cellStyle name="Porcentual 216 28 3" xfId="9235" xr:uid="{00000000-0005-0000-0000-0000A42B0000}"/>
    <cellStyle name="Porcentual 216 3" xfId="3713" xr:uid="{00000000-0005-0000-0000-0000A52B0000}"/>
    <cellStyle name="Porcentual 216 3 2" xfId="7256" xr:uid="{00000000-0005-0000-0000-0000A62B0000}"/>
    <cellStyle name="Porcentual 216 3 3" xfId="9236" xr:uid="{00000000-0005-0000-0000-0000A72B0000}"/>
    <cellStyle name="Porcentual 216 4" xfId="3714" xr:uid="{00000000-0005-0000-0000-0000A82B0000}"/>
    <cellStyle name="Porcentual 216 4 2" xfId="7257" xr:uid="{00000000-0005-0000-0000-0000A92B0000}"/>
    <cellStyle name="Porcentual 216 4 3" xfId="9237" xr:uid="{00000000-0005-0000-0000-0000AA2B0000}"/>
    <cellStyle name="Porcentual 216 5" xfId="3715" xr:uid="{00000000-0005-0000-0000-0000AB2B0000}"/>
    <cellStyle name="Porcentual 216 5 2" xfId="7258" xr:uid="{00000000-0005-0000-0000-0000AC2B0000}"/>
    <cellStyle name="Porcentual 216 5 3" xfId="9238" xr:uid="{00000000-0005-0000-0000-0000AD2B0000}"/>
    <cellStyle name="Porcentual 216 6" xfId="3716" xr:uid="{00000000-0005-0000-0000-0000AE2B0000}"/>
    <cellStyle name="Porcentual 216 6 2" xfId="7259" xr:uid="{00000000-0005-0000-0000-0000AF2B0000}"/>
    <cellStyle name="Porcentual 216 6 3" xfId="9239" xr:uid="{00000000-0005-0000-0000-0000B02B0000}"/>
    <cellStyle name="Porcentual 216 7" xfId="3717" xr:uid="{00000000-0005-0000-0000-0000B12B0000}"/>
    <cellStyle name="Porcentual 216 7 2" xfId="7260" xr:uid="{00000000-0005-0000-0000-0000B22B0000}"/>
    <cellStyle name="Porcentual 216 7 3" xfId="9240" xr:uid="{00000000-0005-0000-0000-0000B32B0000}"/>
    <cellStyle name="Porcentual 216 8" xfId="3718" xr:uid="{00000000-0005-0000-0000-0000B42B0000}"/>
    <cellStyle name="Porcentual 216 8 2" xfId="7261" xr:uid="{00000000-0005-0000-0000-0000B52B0000}"/>
    <cellStyle name="Porcentual 216 8 3" xfId="9241" xr:uid="{00000000-0005-0000-0000-0000B62B0000}"/>
    <cellStyle name="Porcentual 216 9" xfId="3719" xr:uid="{00000000-0005-0000-0000-0000B72B0000}"/>
    <cellStyle name="Porcentual 216 9 2" xfId="7262" xr:uid="{00000000-0005-0000-0000-0000B82B0000}"/>
    <cellStyle name="Porcentual 216 9 3" xfId="9242" xr:uid="{00000000-0005-0000-0000-0000B92B0000}"/>
    <cellStyle name="Porcentual 217 10" xfId="3720" xr:uid="{00000000-0005-0000-0000-0000BA2B0000}"/>
    <cellStyle name="Porcentual 217 10 2" xfId="7263" xr:uid="{00000000-0005-0000-0000-0000BB2B0000}"/>
    <cellStyle name="Porcentual 217 10 3" xfId="9243" xr:uid="{00000000-0005-0000-0000-0000BC2B0000}"/>
    <cellStyle name="Porcentual 217 11" xfId="3721" xr:uid="{00000000-0005-0000-0000-0000BD2B0000}"/>
    <cellStyle name="Porcentual 217 11 2" xfId="7264" xr:uid="{00000000-0005-0000-0000-0000BE2B0000}"/>
    <cellStyle name="Porcentual 217 11 3" xfId="9244" xr:uid="{00000000-0005-0000-0000-0000BF2B0000}"/>
    <cellStyle name="Porcentual 217 12" xfId="3722" xr:uid="{00000000-0005-0000-0000-0000C02B0000}"/>
    <cellStyle name="Porcentual 217 12 2" xfId="7265" xr:uid="{00000000-0005-0000-0000-0000C12B0000}"/>
    <cellStyle name="Porcentual 217 12 3" xfId="9245" xr:uid="{00000000-0005-0000-0000-0000C22B0000}"/>
    <cellStyle name="Porcentual 217 13" xfId="3723" xr:uid="{00000000-0005-0000-0000-0000C32B0000}"/>
    <cellStyle name="Porcentual 217 13 2" xfId="7266" xr:uid="{00000000-0005-0000-0000-0000C42B0000}"/>
    <cellStyle name="Porcentual 217 13 3" xfId="9246" xr:uid="{00000000-0005-0000-0000-0000C52B0000}"/>
    <cellStyle name="Porcentual 217 14" xfId="3724" xr:uid="{00000000-0005-0000-0000-0000C62B0000}"/>
    <cellStyle name="Porcentual 217 14 2" xfId="7267" xr:uid="{00000000-0005-0000-0000-0000C72B0000}"/>
    <cellStyle name="Porcentual 217 14 3" xfId="9247" xr:uid="{00000000-0005-0000-0000-0000C82B0000}"/>
    <cellStyle name="Porcentual 217 15" xfId="3725" xr:uid="{00000000-0005-0000-0000-0000C92B0000}"/>
    <cellStyle name="Porcentual 217 15 2" xfId="7268" xr:uid="{00000000-0005-0000-0000-0000CA2B0000}"/>
    <cellStyle name="Porcentual 217 15 3" xfId="9248" xr:uid="{00000000-0005-0000-0000-0000CB2B0000}"/>
    <cellStyle name="Porcentual 217 16" xfId="3726" xr:uid="{00000000-0005-0000-0000-0000CC2B0000}"/>
    <cellStyle name="Porcentual 217 16 2" xfId="7269" xr:uid="{00000000-0005-0000-0000-0000CD2B0000}"/>
    <cellStyle name="Porcentual 217 16 3" xfId="9249" xr:uid="{00000000-0005-0000-0000-0000CE2B0000}"/>
    <cellStyle name="Porcentual 217 17" xfId="3727" xr:uid="{00000000-0005-0000-0000-0000CF2B0000}"/>
    <cellStyle name="Porcentual 217 17 2" xfId="7270" xr:uid="{00000000-0005-0000-0000-0000D02B0000}"/>
    <cellStyle name="Porcentual 217 17 3" xfId="9250" xr:uid="{00000000-0005-0000-0000-0000D12B0000}"/>
    <cellStyle name="Porcentual 217 18" xfId="3728" xr:uid="{00000000-0005-0000-0000-0000D22B0000}"/>
    <cellStyle name="Porcentual 217 18 2" xfId="7271" xr:uid="{00000000-0005-0000-0000-0000D32B0000}"/>
    <cellStyle name="Porcentual 217 18 3" xfId="9251" xr:uid="{00000000-0005-0000-0000-0000D42B0000}"/>
    <cellStyle name="Porcentual 217 19" xfId="3729" xr:uid="{00000000-0005-0000-0000-0000D52B0000}"/>
    <cellStyle name="Porcentual 217 19 2" xfId="7272" xr:uid="{00000000-0005-0000-0000-0000D62B0000}"/>
    <cellStyle name="Porcentual 217 19 3" xfId="9252" xr:uid="{00000000-0005-0000-0000-0000D72B0000}"/>
    <cellStyle name="Porcentual 217 2" xfId="3730" xr:uid="{00000000-0005-0000-0000-0000D82B0000}"/>
    <cellStyle name="Porcentual 217 2 2" xfId="7273" xr:uid="{00000000-0005-0000-0000-0000D92B0000}"/>
    <cellStyle name="Porcentual 217 2 3" xfId="9253" xr:uid="{00000000-0005-0000-0000-0000DA2B0000}"/>
    <cellStyle name="Porcentual 217 20" xfId="3731" xr:uid="{00000000-0005-0000-0000-0000DB2B0000}"/>
    <cellStyle name="Porcentual 217 20 2" xfId="7274" xr:uid="{00000000-0005-0000-0000-0000DC2B0000}"/>
    <cellStyle name="Porcentual 217 20 3" xfId="9254" xr:uid="{00000000-0005-0000-0000-0000DD2B0000}"/>
    <cellStyle name="Porcentual 217 21" xfId="3732" xr:uid="{00000000-0005-0000-0000-0000DE2B0000}"/>
    <cellStyle name="Porcentual 217 21 2" xfId="7275" xr:uid="{00000000-0005-0000-0000-0000DF2B0000}"/>
    <cellStyle name="Porcentual 217 21 3" xfId="9255" xr:uid="{00000000-0005-0000-0000-0000E02B0000}"/>
    <cellStyle name="Porcentual 217 22" xfId="3733" xr:uid="{00000000-0005-0000-0000-0000E12B0000}"/>
    <cellStyle name="Porcentual 217 22 2" xfId="7276" xr:uid="{00000000-0005-0000-0000-0000E22B0000}"/>
    <cellStyle name="Porcentual 217 22 3" xfId="9256" xr:uid="{00000000-0005-0000-0000-0000E32B0000}"/>
    <cellStyle name="Porcentual 217 23" xfId="3734" xr:uid="{00000000-0005-0000-0000-0000E42B0000}"/>
    <cellStyle name="Porcentual 217 23 2" xfId="7277" xr:uid="{00000000-0005-0000-0000-0000E52B0000}"/>
    <cellStyle name="Porcentual 217 23 3" xfId="9257" xr:uid="{00000000-0005-0000-0000-0000E62B0000}"/>
    <cellStyle name="Porcentual 217 24" xfId="3735" xr:uid="{00000000-0005-0000-0000-0000E72B0000}"/>
    <cellStyle name="Porcentual 217 24 2" xfId="7278" xr:uid="{00000000-0005-0000-0000-0000E82B0000}"/>
    <cellStyle name="Porcentual 217 24 3" xfId="9258" xr:uid="{00000000-0005-0000-0000-0000E92B0000}"/>
    <cellStyle name="Porcentual 217 25" xfId="3736" xr:uid="{00000000-0005-0000-0000-0000EA2B0000}"/>
    <cellStyle name="Porcentual 217 25 2" xfId="7279" xr:uid="{00000000-0005-0000-0000-0000EB2B0000}"/>
    <cellStyle name="Porcentual 217 25 3" xfId="9259" xr:uid="{00000000-0005-0000-0000-0000EC2B0000}"/>
    <cellStyle name="Porcentual 217 26" xfId="3737" xr:uid="{00000000-0005-0000-0000-0000ED2B0000}"/>
    <cellStyle name="Porcentual 217 26 2" xfId="7280" xr:uid="{00000000-0005-0000-0000-0000EE2B0000}"/>
    <cellStyle name="Porcentual 217 26 3" xfId="9260" xr:uid="{00000000-0005-0000-0000-0000EF2B0000}"/>
    <cellStyle name="Porcentual 217 27" xfId="3738" xr:uid="{00000000-0005-0000-0000-0000F02B0000}"/>
    <cellStyle name="Porcentual 217 27 2" xfId="7281" xr:uid="{00000000-0005-0000-0000-0000F12B0000}"/>
    <cellStyle name="Porcentual 217 27 3" xfId="9261" xr:uid="{00000000-0005-0000-0000-0000F22B0000}"/>
    <cellStyle name="Porcentual 217 28" xfId="3739" xr:uid="{00000000-0005-0000-0000-0000F32B0000}"/>
    <cellStyle name="Porcentual 217 28 2" xfId="7282" xr:uid="{00000000-0005-0000-0000-0000F42B0000}"/>
    <cellStyle name="Porcentual 217 28 3" xfId="9262" xr:uid="{00000000-0005-0000-0000-0000F52B0000}"/>
    <cellStyle name="Porcentual 217 3" xfId="3740" xr:uid="{00000000-0005-0000-0000-0000F62B0000}"/>
    <cellStyle name="Porcentual 217 3 2" xfId="7283" xr:uid="{00000000-0005-0000-0000-0000F72B0000}"/>
    <cellStyle name="Porcentual 217 3 3" xfId="9263" xr:uid="{00000000-0005-0000-0000-0000F82B0000}"/>
    <cellStyle name="Porcentual 217 4" xfId="3741" xr:uid="{00000000-0005-0000-0000-0000F92B0000}"/>
    <cellStyle name="Porcentual 217 4 2" xfId="7284" xr:uid="{00000000-0005-0000-0000-0000FA2B0000}"/>
    <cellStyle name="Porcentual 217 4 3" xfId="9264" xr:uid="{00000000-0005-0000-0000-0000FB2B0000}"/>
    <cellStyle name="Porcentual 217 5" xfId="3742" xr:uid="{00000000-0005-0000-0000-0000FC2B0000}"/>
    <cellStyle name="Porcentual 217 5 2" xfId="7285" xr:uid="{00000000-0005-0000-0000-0000FD2B0000}"/>
    <cellStyle name="Porcentual 217 5 3" xfId="9265" xr:uid="{00000000-0005-0000-0000-0000FE2B0000}"/>
    <cellStyle name="Porcentual 217 6" xfId="3743" xr:uid="{00000000-0005-0000-0000-0000FF2B0000}"/>
    <cellStyle name="Porcentual 217 6 2" xfId="7286" xr:uid="{00000000-0005-0000-0000-0000002C0000}"/>
    <cellStyle name="Porcentual 217 6 3" xfId="9266" xr:uid="{00000000-0005-0000-0000-0000012C0000}"/>
    <cellStyle name="Porcentual 217 7" xfId="3744" xr:uid="{00000000-0005-0000-0000-0000022C0000}"/>
    <cellStyle name="Porcentual 217 7 2" xfId="7287" xr:uid="{00000000-0005-0000-0000-0000032C0000}"/>
    <cellStyle name="Porcentual 217 7 3" xfId="9267" xr:uid="{00000000-0005-0000-0000-0000042C0000}"/>
    <cellStyle name="Porcentual 217 8" xfId="3745" xr:uid="{00000000-0005-0000-0000-0000052C0000}"/>
    <cellStyle name="Porcentual 217 8 2" xfId="7288" xr:uid="{00000000-0005-0000-0000-0000062C0000}"/>
    <cellStyle name="Porcentual 217 8 3" xfId="9268" xr:uid="{00000000-0005-0000-0000-0000072C0000}"/>
    <cellStyle name="Porcentual 217 9" xfId="3746" xr:uid="{00000000-0005-0000-0000-0000082C0000}"/>
    <cellStyle name="Porcentual 217 9 2" xfId="7289" xr:uid="{00000000-0005-0000-0000-0000092C0000}"/>
    <cellStyle name="Porcentual 217 9 3" xfId="9269" xr:uid="{00000000-0005-0000-0000-00000A2C0000}"/>
    <cellStyle name="Porcentual 219 10" xfId="3747" xr:uid="{00000000-0005-0000-0000-00000B2C0000}"/>
    <cellStyle name="Porcentual 219 10 2" xfId="7290" xr:uid="{00000000-0005-0000-0000-00000C2C0000}"/>
    <cellStyle name="Porcentual 219 10 3" xfId="9270" xr:uid="{00000000-0005-0000-0000-00000D2C0000}"/>
    <cellStyle name="Porcentual 219 11" xfId="3748" xr:uid="{00000000-0005-0000-0000-00000E2C0000}"/>
    <cellStyle name="Porcentual 219 11 2" xfId="7291" xr:uid="{00000000-0005-0000-0000-00000F2C0000}"/>
    <cellStyle name="Porcentual 219 11 3" xfId="9271" xr:uid="{00000000-0005-0000-0000-0000102C0000}"/>
    <cellStyle name="Porcentual 219 12" xfId="3749" xr:uid="{00000000-0005-0000-0000-0000112C0000}"/>
    <cellStyle name="Porcentual 219 12 2" xfId="7292" xr:uid="{00000000-0005-0000-0000-0000122C0000}"/>
    <cellStyle name="Porcentual 219 12 3" xfId="9272" xr:uid="{00000000-0005-0000-0000-0000132C0000}"/>
    <cellStyle name="Porcentual 219 13" xfId="3750" xr:uid="{00000000-0005-0000-0000-0000142C0000}"/>
    <cellStyle name="Porcentual 219 13 2" xfId="7293" xr:uid="{00000000-0005-0000-0000-0000152C0000}"/>
    <cellStyle name="Porcentual 219 13 3" xfId="9273" xr:uid="{00000000-0005-0000-0000-0000162C0000}"/>
    <cellStyle name="Porcentual 219 14" xfId="3751" xr:uid="{00000000-0005-0000-0000-0000172C0000}"/>
    <cellStyle name="Porcentual 219 14 2" xfId="7294" xr:uid="{00000000-0005-0000-0000-0000182C0000}"/>
    <cellStyle name="Porcentual 219 14 3" xfId="9274" xr:uid="{00000000-0005-0000-0000-0000192C0000}"/>
    <cellStyle name="Porcentual 219 15" xfId="3752" xr:uid="{00000000-0005-0000-0000-00001A2C0000}"/>
    <cellStyle name="Porcentual 219 15 2" xfId="7295" xr:uid="{00000000-0005-0000-0000-00001B2C0000}"/>
    <cellStyle name="Porcentual 219 15 3" xfId="9275" xr:uid="{00000000-0005-0000-0000-00001C2C0000}"/>
    <cellStyle name="Porcentual 219 16" xfId="3753" xr:uid="{00000000-0005-0000-0000-00001D2C0000}"/>
    <cellStyle name="Porcentual 219 16 2" xfId="7296" xr:uid="{00000000-0005-0000-0000-00001E2C0000}"/>
    <cellStyle name="Porcentual 219 16 3" xfId="9276" xr:uid="{00000000-0005-0000-0000-00001F2C0000}"/>
    <cellStyle name="Porcentual 219 17" xfId="3754" xr:uid="{00000000-0005-0000-0000-0000202C0000}"/>
    <cellStyle name="Porcentual 219 17 2" xfId="7297" xr:uid="{00000000-0005-0000-0000-0000212C0000}"/>
    <cellStyle name="Porcentual 219 17 3" xfId="9277" xr:uid="{00000000-0005-0000-0000-0000222C0000}"/>
    <cellStyle name="Porcentual 219 18" xfId="3755" xr:uid="{00000000-0005-0000-0000-0000232C0000}"/>
    <cellStyle name="Porcentual 219 18 2" xfId="7298" xr:uid="{00000000-0005-0000-0000-0000242C0000}"/>
    <cellStyle name="Porcentual 219 18 3" xfId="9278" xr:uid="{00000000-0005-0000-0000-0000252C0000}"/>
    <cellStyle name="Porcentual 219 19" xfId="3756" xr:uid="{00000000-0005-0000-0000-0000262C0000}"/>
    <cellStyle name="Porcentual 219 19 2" xfId="7299" xr:uid="{00000000-0005-0000-0000-0000272C0000}"/>
    <cellStyle name="Porcentual 219 19 3" xfId="9279" xr:uid="{00000000-0005-0000-0000-0000282C0000}"/>
    <cellStyle name="Porcentual 219 2" xfId="3757" xr:uid="{00000000-0005-0000-0000-0000292C0000}"/>
    <cellStyle name="Porcentual 219 2 2" xfId="7300" xr:uid="{00000000-0005-0000-0000-00002A2C0000}"/>
    <cellStyle name="Porcentual 219 2 3" xfId="9280" xr:uid="{00000000-0005-0000-0000-00002B2C0000}"/>
    <cellStyle name="Porcentual 219 20" xfId="3758" xr:uid="{00000000-0005-0000-0000-00002C2C0000}"/>
    <cellStyle name="Porcentual 219 20 2" xfId="7301" xr:uid="{00000000-0005-0000-0000-00002D2C0000}"/>
    <cellStyle name="Porcentual 219 20 3" xfId="9281" xr:uid="{00000000-0005-0000-0000-00002E2C0000}"/>
    <cellStyle name="Porcentual 219 21" xfId="3759" xr:uid="{00000000-0005-0000-0000-00002F2C0000}"/>
    <cellStyle name="Porcentual 219 21 2" xfId="7302" xr:uid="{00000000-0005-0000-0000-0000302C0000}"/>
    <cellStyle name="Porcentual 219 21 3" xfId="9282" xr:uid="{00000000-0005-0000-0000-0000312C0000}"/>
    <cellStyle name="Porcentual 219 22" xfId="3760" xr:uid="{00000000-0005-0000-0000-0000322C0000}"/>
    <cellStyle name="Porcentual 219 22 2" xfId="7303" xr:uid="{00000000-0005-0000-0000-0000332C0000}"/>
    <cellStyle name="Porcentual 219 22 3" xfId="9283" xr:uid="{00000000-0005-0000-0000-0000342C0000}"/>
    <cellStyle name="Porcentual 219 23" xfId="3761" xr:uid="{00000000-0005-0000-0000-0000352C0000}"/>
    <cellStyle name="Porcentual 219 23 2" xfId="7304" xr:uid="{00000000-0005-0000-0000-0000362C0000}"/>
    <cellStyle name="Porcentual 219 23 3" xfId="9284" xr:uid="{00000000-0005-0000-0000-0000372C0000}"/>
    <cellStyle name="Porcentual 219 24" xfId="3762" xr:uid="{00000000-0005-0000-0000-0000382C0000}"/>
    <cellStyle name="Porcentual 219 24 2" xfId="7305" xr:uid="{00000000-0005-0000-0000-0000392C0000}"/>
    <cellStyle name="Porcentual 219 24 3" xfId="9285" xr:uid="{00000000-0005-0000-0000-00003A2C0000}"/>
    <cellStyle name="Porcentual 219 25" xfId="3763" xr:uid="{00000000-0005-0000-0000-00003B2C0000}"/>
    <cellStyle name="Porcentual 219 25 2" xfId="7306" xr:uid="{00000000-0005-0000-0000-00003C2C0000}"/>
    <cellStyle name="Porcentual 219 25 3" xfId="9286" xr:uid="{00000000-0005-0000-0000-00003D2C0000}"/>
    <cellStyle name="Porcentual 219 26" xfId="3764" xr:uid="{00000000-0005-0000-0000-00003E2C0000}"/>
    <cellStyle name="Porcentual 219 26 2" xfId="7307" xr:uid="{00000000-0005-0000-0000-00003F2C0000}"/>
    <cellStyle name="Porcentual 219 26 3" xfId="9287" xr:uid="{00000000-0005-0000-0000-0000402C0000}"/>
    <cellStyle name="Porcentual 219 27" xfId="3765" xr:uid="{00000000-0005-0000-0000-0000412C0000}"/>
    <cellStyle name="Porcentual 219 27 2" xfId="7308" xr:uid="{00000000-0005-0000-0000-0000422C0000}"/>
    <cellStyle name="Porcentual 219 27 3" xfId="9288" xr:uid="{00000000-0005-0000-0000-0000432C0000}"/>
    <cellStyle name="Porcentual 219 28" xfId="3766" xr:uid="{00000000-0005-0000-0000-0000442C0000}"/>
    <cellStyle name="Porcentual 219 28 2" xfId="7309" xr:uid="{00000000-0005-0000-0000-0000452C0000}"/>
    <cellStyle name="Porcentual 219 28 3" xfId="9289" xr:uid="{00000000-0005-0000-0000-0000462C0000}"/>
    <cellStyle name="Porcentual 219 3" xfId="3767" xr:uid="{00000000-0005-0000-0000-0000472C0000}"/>
    <cellStyle name="Porcentual 219 3 2" xfId="7310" xr:uid="{00000000-0005-0000-0000-0000482C0000}"/>
    <cellStyle name="Porcentual 219 3 3" xfId="9290" xr:uid="{00000000-0005-0000-0000-0000492C0000}"/>
    <cellStyle name="Porcentual 219 4" xfId="3768" xr:uid="{00000000-0005-0000-0000-00004A2C0000}"/>
    <cellStyle name="Porcentual 219 4 2" xfId="7311" xr:uid="{00000000-0005-0000-0000-00004B2C0000}"/>
    <cellStyle name="Porcentual 219 4 3" xfId="9291" xr:uid="{00000000-0005-0000-0000-00004C2C0000}"/>
    <cellStyle name="Porcentual 219 5" xfId="3769" xr:uid="{00000000-0005-0000-0000-00004D2C0000}"/>
    <cellStyle name="Porcentual 219 5 2" xfId="7312" xr:uid="{00000000-0005-0000-0000-00004E2C0000}"/>
    <cellStyle name="Porcentual 219 5 3" xfId="9292" xr:uid="{00000000-0005-0000-0000-00004F2C0000}"/>
    <cellStyle name="Porcentual 219 6" xfId="3770" xr:uid="{00000000-0005-0000-0000-0000502C0000}"/>
    <cellStyle name="Porcentual 219 6 2" xfId="7313" xr:uid="{00000000-0005-0000-0000-0000512C0000}"/>
    <cellStyle name="Porcentual 219 6 3" xfId="9293" xr:uid="{00000000-0005-0000-0000-0000522C0000}"/>
    <cellStyle name="Porcentual 219 7" xfId="3771" xr:uid="{00000000-0005-0000-0000-0000532C0000}"/>
    <cellStyle name="Porcentual 219 7 2" xfId="7314" xr:uid="{00000000-0005-0000-0000-0000542C0000}"/>
    <cellStyle name="Porcentual 219 7 3" xfId="9294" xr:uid="{00000000-0005-0000-0000-0000552C0000}"/>
    <cellStyle name="Porcentual 219 8" xfId="3772" xr:uid="{00000000-0005-0000-0000-0000562C0000}"/>
    <cellStyle name="Porcentual 219 8 2" xfId="7315" xr:uid="{00000000-0005-0000-0000-0000572C0000}"/>
    <cellStyle name="Porcentual 219 8 3" xfId="9295" xr:uid="{00000000-0005-0000-0000-0000582C0000}"/>
    <cellStyle name="Porcentual 219 9" xfId="3773" xr:uid="{00000000-0005-0000-0000-0000592C0000}"/>
    <cellStyle name="Porcentual 219 9 2" xfId="7316" xr:uid="{00000000-0005-0000-0000-00005A2C0000}"/>
    <cellStyle name="Porcentual 219 9 3" xfId="9296" xr:uid="{00000000-0005-0000-0000-00005B2C0000}"/>
    <cellStyle name="Porcentual 22" xfId="3774" xr:uid="{00000000-0005-0000-0000-00005C2C0000}"/>
    <cellStyle name="Porcentual 22 10" xfId="3775" xr:uid="{00000000-0005-0000-0000-00005D2C0000}"/>
    <cellStyle name="Porcentual 22 10 2" xfId="7317" xr:uid="{00000000-0005-0000-0000-00005E2C0000}"/>
    <cellStyle name="Porcentual 22 10 3" xfId="9298" xr:uid="{00000000-0005-0000-0000-00005F2C0000}"/>
    <cellStyle name="Porcentual 22 11" xfId="3776" xr:uid="{00000000-0005-0000-0000-0000602C0000}"/>
    <cellStyle name="Porcentual 22 11 2" xfId="7318" xr:uid="{00000000-0005-0000-0000-0000612C0000}"/>
    <cellStyle name="Porcentual 22 11 3" xfId="9299" xr:uid="{00000000-0005-0000-0000-0000622C0000}"/>
    <cellStyle name="Porcentual 22 12" xfId="3777" xr:uid="{00000000-0005-0000-0000-0000632C0000}"/>
    <cellStyle name="Porcentual 22 12 2" xfId="7319" xr:uid="{00000000-0005-0000-0000-0000642C0000}"/>
    <cellStyle name="Porcentual 22 12 3" xfId="9300" xr:uid="{00000000-0005-0000-0000-0000652C0000}"/>
    <cellStyle name="Porcentual 22 13" xfId="3778" xr:uid="{00000000-0005-0000-0000-0000662C0000}"/>
    <cellStyle name="Porcentual 22 13 2" xfId="7320" xr:uid="{00000000-0005-0000-0000-0000672C0000}"/>
    <cellStyle name="Porcentual 22 13 3" xfId="9301" xr:uid="{00000000-0005-0000-0000-0000682C0000}"/>
    <cellStyle name="Porcentual 22 14" xfId="3779" xr:uid="{00000000-0005-0000-0000-0000692C0000}"/>
    <cellStyle name="Porcentual 22 14 2" xfId="7321" xr:uid="{00000000-0005-0000-0000-00006A2C0000}"/>
    <cellStyle name="Porcentual 22 14 3" xfId="9302" xr:uid="{00000000-0005-0000-0000-00006B2C0000}"/>
    <cellStyle name="Porcentual 22 15" xfId="3780" xr:uid="{00000000-0005-0000-0000-00006C2C0000}"/>
    <cellStyle name="Porcentual 22 15 2" xfId="7322" xr:uid="{00000000-0005-0000-0000-00006D2C0000}"/>
    <cellStyle name="Porcentual 22 15 3" xfId="9303" xr:uid="{00000000-0005-0000-0000-00006E2C0000}"/>
    <cellStyle name="Porcentual 22 16" xfId="3781" xr:uid="{00000000-0005-0000-0000-00006F2C0000}"/>
    <cellStyle name="Porcentual 22 16 2" xfId="7323" xr:uid="{00000000-0005-0000-0000-0000702C0000}"/>
    <cellStyle name="Porcentual 22 16 3" xfId="9304" xr:uid="{00000000-0005-0000-0000-0000712C0000}"/>
    <cellStyle name="Porcentual 22 17" xfId="3782" xr:uid="{00000000-0005-0000-0000-0000722C0000}"/>
    <cellStyle name="Porcentual 22 17 2" xfId="7324" xr:uid="{00000000-0005-0000-0000-0000732C0000}"/>
    <cellStyle name="Porcentual 22 17 3" xfId="9305" xr:uid="{00000000-0005-0000-0000-0000742C0000}"/>
    <cellStyle name="Porcentual 22 18" xfId="3783" xr:uid="{00000000-0005-0000-0000-0000752C0000}"/>
    <cellStyle name="Porcentual 22 18 2" xfId="7325" xr:uid="{00000000-0005-0000-0000-0000762C0000}"/>
    <cellStyle name="Porcentual 22 18 3" xfId="9306" xr:uid="{00000000-0005-0000-0000-0000772C0000}"/>
    <cellStyle name="Porcentual 22 19" xfId="3784" xr:uid="{00000000-0005-0000-0000-0000782C0000}"/>
    <cellStyle name="Porcentual 22 19 2" xfId="7326" xr:uid="{00000000-0005-0000-0000-0000792C0000}"/>
    <cellStyle name="Porcentual 22 19 3" xfId="9307" xr:uid="{00000000-0005-0000-0000-00007A2C0000}"/>
    <cellStyle name="Porcentual 22 2" xfId="3785" xr:uid="{00000000-0005-0000-0000-00007B2C0000}"/>
    <cellStyle name="Porcentual 22 2 2" xfId="7327" xr:uid="{00000000-0005-0000-0000-00007C2C0000}"/>
    <cellStyle name="Porcentual 22 2 3" xfId="9308" xr:uid="{00000000-0005-0000-0000-00007D2C0000}"/>
    <cellStyle name="Porcentual 22 20" xfId="3786" xr:uid="{00000000-0005-0000-0000-00007E2C0000}"/>
    <cellStyle name="Porcentual 22 20 2" xfId="7328" xr:uid="{00000000-0005-0000-0000-00007F2C0000}"/>
    <cellStyle name="Porcentual 22 20 3" xfId="9309" xr:uid="{00000000-0005-0000-0000-0000802C0000}"/>
    <cellStyle name="Porcentual 22 21" xfId="3787" xr:uid="{00000000-0005-0000-0000-0000812C0000}"/>
    <cellStyle name="Porcentual 22 21 2" xfId="7329" xr:uid="{00000000-0005-0000-0000-0000822C0000}"/>
    <cellStyle name="Porcentual 22 21 3" xfId="9310" xr:uid="{00000000-0005-0000-0000-0000832C0000}"/>
    <cellStyle name="Porcentual 22 22" xfId="3788" xr:uid="{00000000-0005-0000-0000-0000842C0000}"/>
    <cellStyle name="Porcentual 22 22 2" xfId="7330" xr:uid="{00000000-0005-0000-0000-0000852C0000}"/>
    <cellStyle name="Porcentual 22 22 3" xfId="9311" xr:uid="{00000000-0005-0000-0000-0000862C0000}"/>
    <cellStyle name="Porcentual 22 23" xfId="3789" xr:uid="{00000000-0005-0000-0000-0000872C0000}"/>
    <cellStyle name="Porcentual 22 23 2" xfId="7331" xr:uid="{00000000-0005-0000-0000-0000882C0000}"/>
    <cellStyle name="Porcentual 22 23 3" xfId="9312" xr:uid="{00000000-0005-0000-0000-0000892C0000}"/>
    <cellStyle name="Porcentual 22 24" xfId="3790" xr:uid="{00000000-0005-0000-0000-00008A2C0000}"/>
    <cellStyle name="Porcentual 22 24 2" xfId="7332" xr:uid="{00000000-0005-0000-0000-00008B2C0000}"/>
    <cellStyle name="Porcentual 22 24 3" xfId="9313" xr:uid="{00000000-0005-0000-0000-00008C2C0000}"/>
    <cellStyle name="Porcentual 22 25" xfId="3791" xr:uid="{00000000-0005-0000-0000-00008D2C0000}"/>
    <cellStyle name="Porcentual 22 25 2" xfId="7333" xr:uid="{00000000-0005-0000-0000-00008E2C0000}"/>
    <cellStyle name="Porcentual 22 25 3" xfId="9314" xr:uid="{00000000-0005-0000-0000-00008F2C0000}"/>
    <cellStyle name="Porcentual 22 26" xfId="3792" xr:uid="{00000000-0005-0000-0000-0000902C0000}"/>
    <cellStyle name="Porcentual 22 26 2" xfId="7334" xr:uid="{00000000-0005-0000-0000-0000912C0000}"/>
    <cellStyle name="Porcentual 22 26 3" xfId="9315" xr:uid="{00000000-0005-0000-0000-0000922C0000}"/>
    <cellStyle name="Porcentual 22 27" xfId="3793" xr:uid="{00000000-0005-0000-0000-0000932C0000}"/>
    <cellStyle name="Porcentual 22 27 2" xfId="7335" xr:uid="{00000000-0005-0000-0000-0000942C0000}"/>
    <cellStyle name="Porcentual 22 27 3" xfId="9316" xr:uid="{00000000-0005-0000-0000-0000952C0000}"/>
    <cellStyle name="Porcentual 22 28" xfId="3794" xr:uid="{00000000-0005-0000-0000-0000962C0000}"/>
    <cellStyle name="Porcentual 22 28 2" xfId="7336" xr:uid="{00000000-0005-0000-0000-0000972C0000}"/>
    <cellStyle name="Porcentual 22 28 3" xfId="9317" xr:uid="{00000000-0005-0000-0000-0000982C0000}"/>
    <cellStyle name="Porcentual 22 29" xfId="7337" xr:uid="{00000000-0005-0000-0000-0000992C0000}"/>
    <cellStyle name="Porcentual 22 3" xfId="3795" xr:uid="{00000000-0005-0000-0000-00009A2C0000}"/>
    <cellStyle name="Porcentual 22 3 2" xfId="7338" xr:uid="{00000000-0005-0000-0000-00009B2C0000}"/>
    <cellStyle name="Porcentual 22 3 3" xfId="9318" xr:uid="{00000000-0005-0000-0000-00009C2C0000}"/>
    <cellStyle name="Porcentual 22 30" xfId="9297" xr:uid="{00000000-0005-0000-0000-00009D2C0000}"/>
    <cellStyle name="Porcentual 22 4" xfId="3796" xr:uid="{00000000-0005-0000-0000-00009E2C0000}"/>
    <cellStyle name="Porcentual 22 4 2" xfId="7339" xr:uid="{00000000-0005-0000-0000-00009F2C0000}"/>
    <cellStyle name="Porcentual 22 4 3" xfId="9319" xr:uid="{00000000-0005-0000-0000-0000A02C0000}"/>
    <cellStyle name="Porcentual 22 5" xfId="3797" xr:uid="{00000000-0005-0000-0000-0000A12C0000}"/>
    <cellStyle name="Porcentual 22 5 2" xfId="7340" xr:uid="{00000000-0005-0000-0000-0000A22C0000}"/>
    <cellStyle name="Porcentual 22 5 3" xfId="9320" xr:uid="{00000000-0005-0000-0000-0000A32C0000}"/>
    <cellStyle name="Porcentual 22 6" xfId="3798" xr:uid="{00000000-0005-0000-0000-0000A42C0000}"/>
    <cellStyle name="Porcentual 22 6 2" xfId="7341" xr:uid="{00000000-0005-0000-0000-0000A52C0000}"/>
    <cellStyle name="Porcentual 22 6 3" xfId="9321" xr:uid="{00000000-0005-0000-0000-0000A62C0000}"/>
    <cellStyle name="Porcentual 22 7" xfId="3799" xr:uid="{00000000-0005-0000-0000-0000A72C0000}"/>
    <cellStyle name="Porcentual 22 7 2" xfId="7342" xr:uid="{00000000-0005-0000-0000-0000A82C0000}"/>
    <cellStyle name="Porcentual 22 7 3" xfId="9322" xr:uid="{00000000-0005-0000-0000-0000A92C0000}"/>
    <cellStyle name="Porcentual 22 8" xfId="3800" xr:uid="{00000000-0005-0000-0000-0000AA2C0000}"/>
    <cellStyle name="Porcentual 22 8 2" xfId="7343" xr:uid="{00000000-0005-0000-0000-0000AB2C0000}"/>
    <cellStyle name="Porcentual 22 8 3" xfId="9323" xr:uid="{00000000-0005-0000-0000-0000AC2C0000}"/>
    <cellStyle name="Porcentual 22 9" xfId="3801" xr:uid="{00000000-0005-0000-0000-0000AD2C0000}"/>
    <cellStyle name="Porcentual 22 9 2" xfId="7344" xr:uid="{00000000-0005-0000-0000-0000AE2C0000}"/>
    <cellStyle name="Porcentual 22 9 3" xfId="9324" xr:uid="{00000000-0005-0000-0000-0000AF2C0000}"/>
    <cellStyle name="Porcentual 220 10" xfId="3802" xr:uid="{00000000-0005-0000-0000-0000B02C0000}"/>
    <cellStyle name="Porcentual 220 10 2" xfId="7345" xr:uid="{00000000-0005-0000-0000-0000B12C0000}"/>
    <cellStyle name="Porcentual 220 10 3" xfId="9325" xr:uid="{00000000-0005-0000-0000-0000B22C0000}"/>
    <cellStyle name="Porcentual 220 11" xfId="3803" xr:uid="{00000000-0005-0000-0000-0000B32C0000}"/>
    <cellStyle name="Porcentual 220 11 2" xfId="7346" xr:uid="{00000000-0005-0000-0000-0000B42C0000}"/>
    <cellStyle name="Porcentual 220 11 3" xfId="9326" xr:uid="{00000000-0005-0000-0000-0000B52C0000}"/>
    <cellStyle name="Porcentual 220 12" xfId="3804" xr:uid="{00000000-0005-0000-0000-0000B62C0000}"/>
    <cellStyle name="Porcentual 220 12 2" xfId="7347" xr:uid="{00000000-0005-0000-0000-0000B72C0000}"/>
    <cellStyle name="Porcentual 220 12 3" xfId="9327" xr:uid="{00000000-0005-0000-0000-0000B82C0000}"/>
    <cellStyle name="Porcentual 220 13" xfId="3805" xr:uid="{00000000-0005-0000-0000-0000B92C0000}"/>
    <cellStyle name="Porcentual 220 13 2" xfId="7348" xr:uid="{00000000-0005-0000-0000-0000BA2C0000}"/>
    <cellStyle name="Porcentual 220 13 3" xfId="9328" xr:uid="{00000000-0005-0000-0000-0000BB2C0000}"/>
    <cellStyle name="Porcentual 220 14" xfId="3806" xr:uid="{00000000-0005-0000-0000-0000BC2C0000}"/>
    <cellStyle name="Porcentual 220 14 2" xfId="7349" xr:uid="{00000000-0005-0000-0000-0000BD2C0000}"/>
    <cellStyle name="Porcentual 220 14 3" xfId="9329" xr:uid="{00000000-0005-0000-0000-0000BE2C0000}"/>
    <cellStyle name="Porcentual 220 15" xfId="3807" xr:uid="{00000000-0005-0000-0000-0000BF2C0000}"/>
    <cellStyle name="Porcentual 220 15 2" xfId="7350" xr:uid="{00000000-0005-0000-0000-0000C02C0000}"/>
    <cellStyle name="Porcentual 220 15 3" xfId="9330" xr:uid="{00000000-0005-0000-0000-0000C12C0000}"/>
    <cellStyle name="Porcentual 220 16" xfId="3808" xr:uid="{00000000-0005-0000-0000-0000C22C0000}"/>
    <cellStyle name="Porcentual 220 16 2" xfId="7351" xr:uid="{00000000-0005-0000-0000-0000C32C0000}"/>
    <cellStyle name="Porcentual 220 16 3" xfId="9331" xr:uid="{00000000-0005-0000-0000-0000C42C0000}"/>
    <cellStyle name="Porcentual 220 17" xfId="3809" xr:uid="{00000000-0005-0000-0000-0000C52C0000}"/>
    <cellStyle name="Porcentual 220 17 2" xfId="7352" xr:uid="{00000000-0005-0000-0000-0000C62C0000}"/>
    <cellStyle name="Porcentual 220 17 3" xfId="9332" xr:uid="{00000000-0005-0000-0000-0000C72C0000}"/>
    <cellStyle name="Porcentual 220 18" xfId="3810" xr:uid="{00000000-0005-0000-0000-0000C82C0000}"/>
    <cellStyle name="Porcentual 220 18 2" xfId="7353" xr:uid="{00000000-0005-0000-0000-0000C92C0000}"/>
    <cellStyle name="Porcentual 220 18 3" xfId="9333" xr:uid="{00000000-0005-0000-0000-0000CA2C0000}"/>
    <cellStyle name="Porcentual 220 19" xfId="3811" xr:uid="{00000000-0005-0000-0000-0000CB2C0000}"/>
    <cellStyle name="Porcentual 220 19 2" xfId="7354" xr:uid="{00000000-0005-0000-0000-0000CC2C0000}"/>
    <cellStyle name="Porcentual 220 19 3" xfId="9334" xr:uid="{00000000-0005-0000-0000-0000CD2C0000}"/>
    <cellStyle name="Porcentual 220 2" xfId="3812" xr:uid="{00000000-0005-0000-0000-0000CE2C0000}"/>
    <cellStyle name="Porcentual 220 2 2" xfId="7355" xr:uid="{00000000-0005-0000-0000-0000CF2C0000}"/>
    <cellStyle name="Porcentual 220 2 3" xfId="9335" xr:uid="{00000000-0005-0000-0000-0000D02C0000}"/>
    <cellStyle name="Porcentual 220 20" xfId="3813" xr:uid="{00000000-0005-0000-0000-0000D12C0000}"/>
    <cellStyle name="Porcentual 220 20 2" xfId="7356" xr:uid="{00000000-0005-0000-0000-0000D22C0000}"/>
    <cellStyle name="Porcentual 220 20 3" xfId="9336" xr:uid="{00000000-0005-0000-0000-0000D32C0000}"/>
    <cellStyle name="Porcentual 220 21" xfId="3814" xr:uid="{00000000-0005-0000-0000-0000D42C0000}"/>
    <cellStyle name="Porcentual 220 21 2" xfId="7357" xr:uid="{00000000-0005-0000-0000-0000D52C0000}"/>
    <cellStyle name="Porcentual 220 21 3" xfId="9337" xr:uid="{00000000-0005-0000-0000-0000D62C0000}"/>
    <cellStyle name="Porcentual 220 22" xfId="3815" xr:uid="{00000000-0005-0000-0000-0000D72C0000}"/>
    <cellStyle name="Porcentual 220 22 2" xfId="7358" xr:uid="{00000000-0005-0000-0000-0000D82C0000}"/>
    <cellStyle name="Porcentual 220 22 3" xfId="9338" xr:uid="{00000000-0005-0000-0000-0000D92C0000}"/>
    <cellStyle name="Porcentual 220 23" xfId="3816" xr:uid="{00000000-0005-0000-0000-0000DA2C0000}"/>
    <cellStyle name="Porcentual 220 23 2" xfId="7359" xr:uid="{00000000-0005-0000-0000-0000DB2C0000}"/>
    <cellStyle name="Porcentual 220 23 3" xfId="9339" xr:uid="{00000000-0005-0000-0000-0000DC2C0000}"/>
    <cellStyle name="Porcentual 220 24" xfId="3817" xr:uid="{00000000-0005-0000-0000-0000DD2C0000}"/>
    <cellStyle name="Porcentual 220 24 2" xfId="7360" xr:uid="{00000000-0005-0000-0000-0000DE2C0000}"/>
    <cellStyle name="Porcentual 220 24 3" xfId="9340" xr:uid="{00000000-0005-0000-0000-0000DF2C0000}"/>
    <cellStyle name="Porcentual 220 25" xfId="3818" xr:uid="{00000000-0005-0000-0000-0000E02C0000}"/>
    <cellStyle name="Porcentual 220 25 2" xfId="7361" xr:uid="{00000000-0005-0000-0000-0000E12C0000}"/>
    <cellStyle name="Porcentual 220 25 3" xfId="9341" xr:uid="{00000000-0005-0000-0000-0000E22C0000}"/>
    <cellStyle name="Porcentual 220 26" xfId="3819" xr:uid="{00000000-0005-0000-0000-0000E32C0000}"/>
    <cellStyle name="Porcentual 220 26 2" xfId="7362" xr:uid="{00000000-0005-0000-0000-0000E42C0000}"/>
    <cellStyle name="Porcentual 220 26 3" xfId="9342" xr:uid="{00000000-0005-0000-0000-0000E52C0000}"/>
    <cellStyle name="Porcentual 220 27" xfId="3820" xr:uid="{00000000-0005-0000-0000-0000E62C0000}"/>
    <cellStyle name="Porcentual 220 27 2" xfId="7363" xr:uid="{00000000-0005-0000-0000-0000E72C0000}"/>
    <cellStyle name="Porcentual 220 27 3" xfId="9343" xr:uid="{00000000-0005-0000-0000-0000E82C0000}"/>
    <cellStyle name="Porcentual 220 28" xfId="3821" xr:uid="{00000000-0005-0000-0000-0000E92C0000}"/>
    <cellStyle name="Porcentual 220 28 2" xfId="7364" xr:uid="{00000000-0005-0000-0000-0000EA2C0000}"/>
    <cellStyle name="Porcentual 220 28 3" xfId="9344" xr:uid="{00000000-0005-0000-0000-0000EB2C0000}"/>
    <cellStyle name="Porcentual 220 3" xfId="3822" xr:uid="{00000000-0005-0000-0000-0000EC2C0000}"/>
    <cellStyle name="Porcentual 220 3 2" xfId="7365" xr:uid="{00000000-0005-0000-0000-0000ED2C0000}"/>
    <cellStyle name="Porcentual 220 3 3" xfId="9345" xr:uid="{00000000-0005-0000-0000-0000EE2C0000}"/>
    <cellStyle name="Porcentual 220 4" xfId="3823" xr:uid="{00000000-0005-0000-0000-0000EF2C0000}"/>
    <cellStyle name="Porcentual 220 4 2" xfId="7366" xr:uid="{00000000-0005-0000-0000-0000F02C0000}"/>
    <cellStyle name="Porcentual 220 4 3" xfId="9346" xr:uid="{00000000-0005-0000-0000-0000F12C0000}"/>
    <cellStyle name="Porcentual 220 5" xfId="3824" xr:uid="{00000000-0005-0000-0000-0000F22C0000}"/>
    <cellStyle name="Porcentual 220 5 2" xfId="7367" xr:uid="{00000000-0005-0000-0000-0000F32C0000}"/>
    <cellStyle name="Porcentual 220 5 3" xfId="9347" xr:uid="{00000000-0005-0000-0000-0000F42C0000}"/>
    <cellStyle name="Porcentual 220 6" xfId="3825" xr:uid="{00000000-0005-0000-0000-0000F52C0000}"/>
    <cellStyle name="Porcentual 220 6 2" xfId="7368" xr:uid="{00000000-0005-0000-0000-0000F62C0000}"/>
    <cellStyle name="Porcentual 220 6 3" xfId="9348" xr:uid="{00000000-0005-0000-0000-0000F72C0000}"/>
    <cellStyle name="Porcentual 220 7" xfId="3826" xr:uid="{00000000-0005-0000-0000-0000F82C0000}"/>
    <cellStyle name="Porcentual 220 7 2" xfId="7369" xr:uid="{00000000-0005-0000-0000-0000F92C0000}"/>
    <cellStyle name="Porcentual 220 7 3" xfId="9349" xr:uid="{00000000-0005-0000-0000-0000FA2C0000}"/>
    <cellStyle name="Porcentual 220 8" xfId="3827" xr:uid="{00000000-0005-0000-0000-0000FB2C0000}"/>
    <cellStyle name="Porcentual 220 8 2" xfId="7370" xr:uid="{00000000-0005-0000-0000-0000FC2C0000}"/>
    <cellStyle name="Porcentual 220 8 3" xfId="9350" xr:uid="{00000000-0005-0000-0000-0000FD2C0000}"/>
    <cellStyle name="Porcentual 220 9" xfId="3828" xr:uid="{00000000-0005-0000-0000-0000FE2C0000}"/>
    <cellStyle name="Porcentual 220 9 2" xfId="7371" xr:uid="{00000000-0005-0000-0000-0000FF2C0000}"/>
    <cellStyle name="Porcentual 220 9 3" xfId="9351" xr:uid="{00000000-0005-0000-0000-0000002D0000}"/>
    <cellStyle name="Porcentual 221 10" xfId="3829" xr:uid="{00000000-0005-0000-0000-0000012D0000}"/>
    <cellStyle name="Porcentual 221 10 2" xfId="7372" xr:uid="{00000000-0005-0000-0000-0000022D0000}"/>
    <cellStyle name="Porcentual 221 10 3" xfId="9352" xr:uid="{00000000-0005-0000-0000-0000032D0000}"/>
    <cellStyle name="Porcentual 221 11" xfId="3830" xr:uid="{00000000-0005-0000-0000-0000042D0000}"/>
    <cellStyle name="Porcentual 221 11 2" xfId="7373" xr:uid="{00000000-0005-0000-0000-0000052D0000}"/>
    <cellStyle name="Porcentual 221 11 3" xfId="9353" xr:uid="{00000000-0005-0000-0000-0000062D0000}"/>
    <cellStyle name="Porcentual 221 12" xfId="3831" xr:uid="{00000000-0005-0000-0000-0000072D0000}"/>
    <cellStyle name="Porcentual 221 12 2" xfId="7374" xr:uid="{00000000-0005-0000-0000-0000082D0000}"/>
    <cellStyle name="Porcentual 221 12 3" xfId="9354" xr:uid="{00000000-0005-0000-0000-0000092D0000}"/>
    <cellStyle name="Porcentual 221 13" xfId="3832" xr:uid="{00000000-0005-0000-0000-00000A2D0000}"/>
    <cellStyle name="Porcentual 221 13 2" xfId="7375" xr:uid="{00000000-0005-0000-0000-00000B2D0000}"/>
    <cellStyle name="Porcentual 221 13 3" xfId="9355" xr:uid="{00000000-0005-0000-0000-00000C2D0000}"/>
    <cellStyle name="Porcentual 221 14" xfId="3833" xr:uid="{00000000-0005-0000-0000-00000D2D0000}"/>
    <cellStyle name="Porcentual 221 14 2" xfId="7376" xr:uid="{00000000-0005-0000-0000-00000E2D0000}"/>
    <cellStyle name="Porcentual 221 14 3" xfId="9356" xr:uid="{00000000-0005-0000-0000-00000F2D0000}"/>
    <cellStyle name="Porcentual 221 15" xfId="3834" xr:uid="{00000000-0005-0000-0000-0000102D0000}"/>
    <cellStyle name="Porcentual 221 15 2" xfId="7377" xr:uid="{00000000-0005-0000-0000-0000112D0000}"/>
    <cellStyle name="Porcentual 221 15 3" xfId="9357" xr:uid="{00000000-0005-0000-0000-0000122D0000}"/>
    <cellStyle name="Porcentual 221 16" xfId="3835" xr:uid="{00000000-0005-0000-0000-0000132D0000}"/>
    <cellStyle name="Porcentual 221 16 2" xfId="7378" xr:uid="{00000000-0005-0000-0000-0000142D0000}"/>
    <cellStyle name="Porcentual 221 16 3" xfId="9358" xr:uid="{00000000-0005-0000-0000-0000152D0000}"/>
    <cellStyle name="Porcentual 221 17" xfId="3836" xr:uid="{00000000-0005-0000-0000-0000162D0000}"/>
    <cellStyle name="Porcentual 221 17 2" xfId="7379" xr:uid="{00000000-0005-0000-0000-0000172D0000}"/>
    <cellStyle name="Porcentual 221 17 3" xfId="9359" xr:uid="{00000000-0005-0000-0000-0000182D0000}"/>
    <cellStyle name="Porcentual 221 18" xfId="3837" xr:uid="{00000000-0005-0000-0000-0000192D0000}"/>
    <cellStyle name="Porcentual 221 18 2" xfId="7380" xr:uid="{00000000-0005-0000-0000-00001A2D0000}"/>
    <cellStyle name="Porcentual 221 18 3" xfId="9360" xr:uid="{00000000-0005-0000-0000-00001B2D0000}"/>
    <cellStyle name="Porcentual 221 19" xfId="3838" xr:uid="{00000000-0005-0000-0000-00001C2D0000}"/>
    <cellStyle name="Porcentual 221 19 2" xfId="7381" xr:uid="{00000000-0005-0000-0000-00001D2D0000}"/>
    <cellStyle name="Porcentual 221 19 3" xfId="9361" xr:uid="{00000000-0005-0000-0000-00001E2D0000}"/>
    <cellStyle name="Porcentual 221 2" xfId="3839" xr:uid="{00000000-0005-0000-0000-00001F2D0000}"/>
    <cellStyle name="Porcentual 221 2 2" xfId="7382" xr:uid="{00000000-0005-0000-0000-0000202D0000}"/>
    <cellStyle name="Porcentual 221 2 3" xfId="9362" xr:uid="{00000000-0005-0000-0000-0000212D0000}"/>
    <cellStyle name="Porcentual 221 20" xfId="3840" xr:uid="{00000000-0005-0000-0000-0000222D0000}"/>
    <cellStyle name="Porcentual 221 20 2" xfId="7383" xr:uid="{00000000-0005-0000-0000-0000232D0000}"/>
    <cellStyle name="Porcentual 221 20 3" xfId="9363" xr:uid="{00000000-0005-0000-0000-0000242D0000}"/>
    <cellStyle name="Porcentual 221 21" xfId="3841" xr:uid="{00000000-0005-0000-0000-0000252D0000}"/>
    <cellStyle name="Porcentual 221 21 2" xfId="7384" xr:uid="{00000000-0005-0000-0000-0000262D0000}"/>
    <cellStyle name="Porcentual 221 21 3" xfId="9364" xr:uid="{00000000-0005-0000-0000-0000272D0000}"/>
    <cellStyle name="Porcentual 221 22" xfId="3842" xr:uid="{00000000-0005-0000-0000-0000282D0000}"/>
    <cellStyle name="Porcentual 221 22 2" xfId="7385" xr:uid="{00000000-0005-0000-0000-0000292D0000}"/>
    <cellStyle name="Porcentual 221 22 3" xfId="9365" xr:uid="{00000000-0005-0000-0000-00002A2D0000}"/>
    <cellStyle name="Porcentual 221 23" xfId="3843" xr:uid="{00000000-0005-0000-0000-00002B2D0000}"/>
    <cellStyle name="Porcentual 221 23 2" xfId="7386" xr:uid="{00000000-0005-0000-0000-00002C2D0000}"/>
    <cellStyle name="Porcentual 221 23 3" xfId="9366" xr:uid="{00000000-0005-0000-0000-00002D2D0000}"/>
    <cellStyle name="Porcentual 221 24" xfId="3844" xr:uid="{00000000-0005-0000-0000-00002E2D0000}"/>
    <cellStyle name="Porcentual 221 24 2" xfId="7387" xr:uid="{00000000-0005-0000-0000-00002F2D0000}"/>
    <cellStyle name="Porcentual 221 24 3" xfId="9367" xr:uid="{00000000-0005-0000-0000-0000302D0000}"/>
    <cellStyle name="Porcentual 221 25" xfId="3845" xr:uid="{00000000-0005-0000-0000-0000312D0000}"/>
    <cellStyle name="Porcentual 221 25 2" xfId="7388" xr:uid="{00000000-0005-0000-0000-0000322D0000}"/>
    <cellStyle name="Porcentual 221 25 3" xfId="9368" xr:uid="{00000000-0005-0000-0000-0000332D0000}"/>
    <cellStyle name="Porcentual 221 26" xfId="3846" xr:uid="{00000000-0005-0000-0000-0000342D0000}"/>
    <cellStyle name="Porcentual 221 26 2" xfId="7389" xr:uid="{00000000-0005-0000-0000-0000352D0000}"/>
    <cellStyle name="Porcentual 221 26 3" xfId="9369" xr:uid="{00000000-0005-0000-0000-0000362D0000}"/>
    <cellStyle name="Porcentual 221 27" xfId="3847" xr:uid="{00000000-0005-0000-0000-0000372D0000}"/>
    <cellStyle name="Porcentual 221 27 2" xfId="7390" xr:uid="{00000000-0005-0000-0000-0000382D0000}"/>
    <cellStyle name="Porcentual 221 27 3" xfId="9370" xr:uid="{00000000-0005-0000-0000-0000392D0000}"/>
    <cellStyle name="Porcentual 221 28" xfId="3848" xr:uid="{00000000-0005-0000-0000-00003A2D0000}"/>
    <cellStyle name="Porcentual 221 28 2" xfId="7391" xr:uid="{00000000-0005-0000-0000-00003B2D0000}"/>
    <cellStyle name="Porcentual 221 28 3" xfId="9371" xr:uid="{00000000-0005-0000-0000-00003C2D0000}"/>
    <cellStyle name="Porcentual 221 3" xfId="3849" xr:uid="{00000000-0005-0000-0000-00003D2D0000}"/>
    <cellStyle name="Porcentual 221 3 2" xfId="7392" xr:uid="{00000000-0005-0000-0000-00003E2D0000}"/>
    <cellStyle name="Porcentual 221 3 3" xfId="9372" xr:uid="{00000000-0005-0000-0000-00003F2D0000}"/>
    <cellStyle name="Porcentual 221 4" xfId="3850" xr:uid="{00000000-0005-0000-0000-0000402D0000}"/>
    <cellStyle name="Porcentual 221 4 2" xfId="7393" xr:uid="{00000000-0005-0000-0000-0000412D0000}"/>
    <cellStyle name="Porcentual 221 4 3" xfId="9373" xr:uid="{00000000-0005-0000-0000-0000422D0000}"/>
    <cellStyle name="Porcentual 221 5" xfId="3851" xr:uid="{00000000-0005-0000-0000-0000432D0000}"/>
    <cellStyle name="Porcentual 221 5 2" xfId="7394" xr:uid="{00000000-0005-0000-0000-0000442D0000}"/>
    <cellStyle name="Porcentual 221 5 3" xfId="9374" xr:uid="{00000000-0005-0000-0000-0000452D0000}"/>
    <cellStyle name="Porcentual 221 6" xfId="3852" xr:uid="{00000000-0005-0000-0000-0000462D0000}"/>
    <cellStyle name="Porcentual 221 6 2" xfId="7395" xr:uid="{00000000-0005-0000-0000-0000472D0000}"/>
    <cellStyle name="Porcentual 221 6 3" xfId="9375" xr:uid="{00000000-0005-0000-0000-0000482D0000}"/>
    <cellStyle name="Porcentual 221 7" xfId="3853" xr:uid="{00000000-0005-0000-0000-0000492D0000}"/>
    <cellStyle name="Porcentual 221 7 2" xfId="7396" xr:uid="{00000000-0005-0000-0000-00004A2D0000}"/>
    <cellStyle name="Porcentual 221 7 3" xfId="9376" xr:uid="{00000000-0005-0000-0000-00004B2D0000}"/>
    <cellStyle name="Porcentual 221 8" xfId="3854" xr:uid="{00000000-0005-0000-0000-00004C2D0000}"/>
    <cellStyle name="Porcentual 221 8 2" xfId="7397" xr:uid="{00000000-0005-0000-0000-00004D2D0000}"/>
    <cellStyle name="Porcentual 221 8 3" xfId="9377" xr:uid="{00000000-0005-0000-0000-00004E2D0000}"/>
    <cellStyle name="Porcentual 221 9" xfId="3855" xr:uid="{00000000-0005-0000-0000-00004F2D0000}"/>
    <cellStyle name="Porcentual 221 9 2" xfId="7398" xr:uid="{00000000-0005-0000-0000-0000502D0000}"/>
    <cellStyle name="Porcentual 221 9 3" xfId="9378" xr:uid="{00000000-0005-0000-0000-0000512D0000}"/>
    <cellStyle name="Porcentual 222 10" xfId="3856" xr:uid="{00000000-0005-0000-0000-0000522D0000}"/>
    <cellStyle name="Porcentual 222 10 2" xfId="7399" xr:uid="{00000000-0005-0000-0000-0000532D0000}"/>
    <cellStyle name="Porcentual 222 10 3" xfId="9379" xr:uid="{00000000-0005-0000-0000-0000542D0000}"/>
    <cellStyle name="Porcentual 222 11" xfId="3857" xr:uid="{00000000-0005-0000-0000-0000552D0000}"/>
    <cellStyle name="Porcentual 222 11 2" xfId="7400" xr:uid="{00000000-0005-0000-0000-0000562D0000}"/>
    <cellStyle name="Porcentual 222 11 3" xfId="9380" xr:uid="{00000000-0005-0000-0000-0000572D0000}"/>
    <cellStyle name="Porcentual 222 12" xfId="3858" xr:uid="{00000000-0005-0000-0000-0000582D0000}"/>
    <cellStyle name="Porcentual 222 12 2" xfId="7401" xr:uid="{00000000-0005-0000-0000-0000592D0000}"/>
    <cellStyle name="Porcentual 222 12 3" xfId="9381" xr:uid="{00000000-0005-0000-0000-00005A2D0000}"/>
    <cellStyle name="Porcentual 222 13" xfId="3859" xr:uid="{00000000-0005-0000-0000-00005B2D0000}"/>
    <cellStyle name="Porcentual 222 13 2" xfId="7402" xr:uid="{00000000-0005-0000-0000-00005C2D0000}"/>
    <cellStyle name="Porcentual 222 13 3" xfId="9382" xr:uid="{00000000-0005-0000-0000-00005D2D0000}"/>
    <cellStyle name="Porcentual 222 14" xfId="3860" xr:uid="{00000000-0005-0000-0000-00005E2D0000}"/>
    <cellStyle name="Porcentual 222 14 2" xfId="7403" xr:uid="{00000000-0005-0000-0000-00005F2D0000}"/>
    <cellStyle name="Porcentual 222 14 3" xfId="9383" xr:uid="{00000000-0005-0000-0000-0000602D0000}"/>
    <cellStyle name="Porcentual 222 15" xfId="3861" xr:uid="{00000000-0005-0000-0000-0000612D0000}"/>
    <cellStyle name="Porcentual 222 15 2" xfId="7404" xr:uid="{00000000-0005-0000-0000-0000622D0000}"/>
    <cellStyle name="Porcentual 222 15 3" xfId="9384" xr:uid="{00000000-0005-0000-0000-0000632D0000}"/>
    <cellStyle name="Porcentual 222 16" xfId="3862" xr:uid="{00000000-0005-0000-0000-0000642D0000}"/>
    <cellStyle name="Porcentual 222 16 2" xfId="7405" xr:uid="{00000000-0005-0000-0000-0000652D0000}"/>
    <cellStyle name="Porcentual 222 16 3" xfId="9385" xr:uid="{00000000-0005-0000-0000-0000662D0000}"/>
    <cellStyle name="Porcentual 222 17" xfId="3863" xr:uid="{00000000-0005-0000-0000-0000672D0000}"/>
    <cellStyle name="Porcentual 222 17 2" xfId="7406" xr:uid="{00000000-0005-0000-0000-0000682D0000}"/>
    <cellStyle name="Porcentual 222 17 3" xfId="9386" xr:uid="{00000000-0005-0000-0000-0000692D0000}"/>
    <cellStyle name="Porcentual 222 18" xfId="3864" xr:uid="{00000000-0005-0000-0000-00006A2D0000}"/>
    <cellStyle name="Porcentual 222 18 2" xfId="7407" xr:uid="{00000000-0005-0000-0000-00006B2D0000}"/>
    <cellStyle name="Porcentual 222 18 3" xfId="9387" xr:uid="{00000000-0005-0000-0000-00006C2D0000}"/>
    <cellStyle name="Porcentual 222 19" xfId="3865" xr:uid="{00000000-0005-0000-0000-00006D2D0000}"/>
    <cellStyle name="Porcentual 222 19 2" xfId="7408" xr:uid="{00000000-0005-0000-0000-00006E2D0000}"/>
    <cellStyle name="Porcentual 222 19 3" xfId="9388" xr:uid="{00000000-0005-0000-0000-00006F2D0000}"/>
    <cellStyle name="Porcentual 222 2" xfId="3866" xr:uid="{00000000-0005-0000-0000-0000702D0000}"/>
    <cellStyle name="Porcentual 222 2 2" xfId="7409" xr:uid="{00000000-0005-0000-0000-0000712D0000}"/>
    <cellStyle name="Porcentual 222 2 3" xfId="9389" xr:uid="{00000000-0005-0000-0000-0000722D0000}"/>
    <cellStyle name="Porcentual 222 20" xfId="3867" xr:uid="{00000000-0005-0000-0000-0000732D0000}"/>
    <cellStyle name="Porcentual 222 20 2" xfId="7410" xr:uid="{00000000-0005-0000-0000-0000742D0000}"/>
    <cellStyle name="Porcentual 222 20 3" xfId="9390" xr:uid="{00000000-0005-0000-0000-0000752D0000}"/>
    <cellStyle name="Porcentual 222 21" xfId="3868" xr:uid="{00000000-0005-0000-0000-0000762D0000}"/>
    <cellStyle name="Porcentual 222 21 2" xfId="7411" xr:uid="{00000000-0005-0000-0000-0000772D0000}"/>
    <cellStyle name="Porcentual 222 21 3" xfId="9391" xr:uid="{00000000-0005-0000-0000-0000782D0000}"/>
    <cellStyle name="Porcentual 222 22" xfId="3869" xr:uid="{00000000-0005-0000-0000-0000792D0000}"/>
    <cellStyle name="Porcentual 222 22 2" xfId="7412" xr:uid="{00000000-0005-0000-0000-00007A2D0000}"/>
    <cellStyle name="Porcentual 222 22 3" xfId="9392" xr:uid="{00000000-0005-0000-0000-00007B2D0000}"/>
    <cellStyle name="Porcentual 222 23" xfId="3870" xr:uid="{00000000-0005-0000-0000-00007C2D0000}"/>
    <cellStyle name="Porcentual 222 23 2" xfId="7413" xr:uid="{00000000-0005-0000-0000-00007D2D0000}"/>
    <cellStyle name="Porcentual 222 23 3" xfId="9393" xr:uid="{00000000-0005-0000-0000-00007E2D0000}"/>
    <cellStyle name="Porcentual 222 24" xfId="3871" xr:uid="{00000000-0005-0000-0000-00007F2D0000}"/>
    <cellStyle name="Porcentual 222 24 2" xfId="7414" xr:uid="{00000000-0005-0000-0000-0000802D0000}"/>
    <cellStyle name="Porcentual 222 24 3" xfId="9394" xr:uid="{00000000-0005-0000-0000-0000812D0000}"/>
    <cellStyle name="Porcentual 222 25" xfId="3872" xr:uid="{00000000-0005-0000-0000-0000822D0000}"/>
    <cellStyle name="Porcentual 222 25 2" xfId="7415" xr:uid="{00000000-0005-0000-0000-0000832D0000}"/>
    <cellStyle name="Porcentual 222 25 3" xfId="9395" xr:uid="{00000000-0005-0000-0000-0000842D0000}"/>
    <cellStyle name="Porcentual 222 26" xfId="3873" xr:uid="{00000000-0005-0000-0000-0000852D0000}"/>
    <cellStyle name="Porcentual 222 26 2" xfId="7416" xr:uid="{00000000-0005-0000-0000-0000862D0000}"/>
    <cellStyle name="Porcentual 222 26 3" xfId="9396" xr:uid="{00000000-0005-0000-0000-0000872D0000}"/>
    <cellStyle name="Porcentual 222 27" xfId="3874" xr:uid="{00000000-0005-0000-0000-0000882D0000}"/>
    <cellStyle name="Porcentual 222 27 2" xfId="7417" xr:uid="{00000000-0005-0000-0000-0000892D0000}"/>
    <cellStyle name="Porcentual 222 27 3" xfId="9397" xr:uid="{00000000-0005-0000-0000-00008A2D0000}"/>
    <cellStyle name="Porcentual 222 28" xfId="3875" xr:uid="{00000000-0005-0000-0000-00008B2D0000}"/>
    <cellStyle name="Porcentual 222 28 2" xfId="7418" xr:uid="{00000000-0005-0000-0000-00008C2D0000}"/>
    <cellStyle name="Porcentual 222 28 3" xfId="9398" xr:uid="{00000000-0005-0000-0000-00008D2D0000}"/>
    <cellStyle name="Porcentual 222 3" xfId="3876" xr:uid="{00000000-0005-0000-0000-00008E2D0000}"/>
    <cellStyle name="Porcentual 222 3 2" xfId="7419" xr:uid="{00000000-0005-0000-0000-00008F2D0000}"/>
    <cellStyle name="Porcentual 222 3 3" xfId="9399" xr:uid="{00000000-0005-0000-0000-0000902D0000}"/>
    <cellStyle name="Porcentual 222 4" xfId="3877" xr:uid="{00000000-0005-0000-0000-0000912D0000}"/>
    <cellStyle name="Porcentual 222 4 2" xfId="7420" xr:uid="{00000000-0005-0000-0000-0000922D0000}"/>
    <cellStyle name="Porcentual 222 4 3" xfId="9400" xr:uid="{00000000-0005-0000-0000-0000932D0000}"/>
    <cellStyle name="Porcentual 222 5" xfId="3878" xr:uid="{00000000-0005-0000-0000-0000942D0000}"/>
    <cellStyle name="Porcentual 222 5 2" xfId="7421" xr:uid="{00000000-0005-0000-0000-0000952D0000}"/>
    <cellStyle name="Porcentual 222 5 3" xfId="9401" xr:uid="{00000000-0005-0000-0000-0000962D0000}"/>
    <cellStyle name="Porcentual 222 6" xfId="3879" xr:uid="{00000000-0005-0000-0000-0000972D0000}"/>
    <cellStyle name="Porcentual 222 6 2" xfId="7422" xr:uid="{00000000-0005-0000-0000-0000982D0000}"/>
    <cellStyle name="Porcentual 222 6 3" xfId="9402" xr:uid="{00000000-0005-0000-0000-0000992D0000}"/>
    <cellStyle name="Porcentual 222 7" xfId="3880" xr:uid="{00000000-0005-0000-0000-00009A2D0000}"/>
    <cellStyle name="Porcentual 222 7 2" xfId="7423" xr:uid="{00000000-0005-0000-0000-00009B2D0000}"/>
    <cellStyle name="Porcentual 222 7 3" xfId="9403" xr:uid="{00000000-0005-0000-0000-00009C2D0000}"/>
    <cellStyle name="Porcentual 222 8" xfId="3881" xr:uid="{00000000-0005-0000-0000-00009D2D0000}"/>
    <cellStyle name="Porcentual 222 8 2" xfId="7424" xr:uid="{00000000-0005-0000-0000-00009E2D0000}"/>
    <cellStyle name="Porcentual 222 8 3" xfId="9404" xr:uid="{00000000-0005-0000-0000-00009F2D0000}"/>
    <cellStyle name="Porcentual 222 9" xfId="3882" xr:uid="{00000000-0005-0000-0000-0000A02D0000}"/>
    <cellStyle name="Porcentual 222 9 2" xfId="7425" xr:uid="{00000000-0005-0000-0000-0000A12D0000}"/>
    <cellStyle name="Porcentual 222 9 3" xfId="9405" xr:uid="{00000000-0005-0000-0000-0000A22D0000}"/>
    <cellStyle name="Porcentual 23" xfId="3883" xr:uid="{00000000-0005-0000-0000-0000A32D0000}"/>
    <cellStyle name="Porcentual 23 10" xfId="3884" xr:uid="{00000000-0005-0000-0000-0000A42D0000}"/>
    <cellStyle name="Porcentual 23 10 2" xfId="7426" xr:uid="{00000000-0005-0000-0000-0000A52D0000}"/>
    <cellStyle name="Porcentual 23 10 3" xfId="9407" xr:uid="{00000000-0005-0000-0000-0000A62D0000}"/>
    <cellStyle name="Porcentual 23 11" xfId="3885" xr:uid="{00000000-0005-0000-0000-0000A72D0000}"/>
    <cellStyle name="Porcentual 23 11 2" xfId="7427" xr:uid="{00000000-0005-0000-0000-0000A82D0000}"/>
    <cellStyle name="Porcentual 23 11 3" xfId="9408" xr:uid="{00000000-0005-0000-0000-0000A92D0000}"/>
    <cellStyle name="Porcentual 23 12" xfId="3886" xr:uid="{00000000-0005-0000-0000-0000AA2D0000}"/>
    <cellStyle name="Porcentual 23 12 2" xfId="7428" xr:uid="{00000000-0005-0000-0000-0000AB2D0000}"/>
    <cellStyle name="Porcentual 23 12 3" xfId="9409" xr:uid="{00000000-0005-0000-0000-0000AC2D0000}"/>
    <cellStyle name="Porcentual 23 13" xfId="3887" xr:uid="{00000000-0005-0000-0000-0000AD2D0000}"/>
    <cellStyle name="Porcentual 23 13 2" xfId="7429" xr:uid="{00000000-0005-0000-0000-0000AE2D0000}"/>
    <cellStyle name="Porcentual 23 13 3" xfId="9410" xr:uid="{00000000-0005-0000-0000-0000AF2D0000}"/>
    <cellStyle name="Porcentual 23 14" xfId="3888" xr:uid="{00000000-0005-0000-0000-0000B02D0000}"/>
    <cellStyle name="Porcentual 23 14 2" xfId="7430" xr:uid="{00000000-0005-0000-0000-0000B12D0000}"/>
    <cellStyle name="Porcentual 23 14 3" xfId="9411" xr:uid="{00000000-0005-0000-0000-0000B22D0000}"/>
    <cellStyle name="Porcentual 23 15" xfId="3889" xr:uid="{00000000-0005-0000-0000-0000B32D0000}"/>
    <cellStyle name="Porcentual 23 15 2" xfId="7431" xr:uid="{00000000-0005-0000-0000-0000B42D0000}"/>
    <cellStyle name="Porcentual 23 15 3" xfId="9412" xr:uid="{00000000-0005-0000-0000-0000B52D0000}"/>
    <cellStyle name="Porcentual 23 16" xfId="3890" xr:uid="{00000000-0005-0000-0000-0000B62D0000}"/>
    <cellStyle name="Porcentual 23 16 2" xfId="7432" xr:uid="{00000000-0005-0000-0000-0000B72D0000}"/>
    <cellStyle name="Porcentual 23 16 3" xfId="9413" xr:uid="{00000000-0005-0000-0000-0000B82D0000}"/>
    <cellStyle name="Porcentual 23 17" xfId="3891" xr:uid="{00000000-0005-0000-0000-0000B92D0000}"/>
    <cellStyle name="Porcentual 23 17 2" xfId="7433" xr:uid="{00000000-0005-0000-0000-0000BA2D0000}"/>
    <cellStyle name="Porcentual 23 17 3" xfId="9414" xr:uid="{00000000-0005-0000-0000-0000BB2D0000}"/>
    <cellStyle name="Porcentual 23 18" xfId="3892" xr:uid="{00000000-0005-0000-0000-0000BC2D0000}"/>
    <cellStyle name="Porcentual 23 18 2" xfId="7434" xr:uid="{00000000-0005-0000-0000-0000BD2D0000}"/>
    <cellStyle name="Porcentual 23 18 3" xfId="9415" xr:uid="{00000000-0005-0000-0000-0000BE2D0000}"/>
    <cellStyle name="Porcentual 23 19" xfId="3893" xr:uid="{00000000-0005-0000-0000-0000BF2D0000}"/>
    <cellStyle name="Porcentual 23 19 2" xfId="7435" xr:uid="{00000000-0005-0000-0000-0000C02D0000}"/>
    <cellStyle name="Porcentual 23 19 3" xfId="9416" xr:uid="{00000000-0005-0000-0000-0000C12D0000}"/>
    <cellStyle name="Porcentual 23 2" xfId="3894" xr:uid="{00000000-0005-0000-0000-0000C22D0000}"/>
    <cellStyle name="Porcentual 23 2 2" xfId="7436" xr:uid="{00000000-0005-0000-0000-0000C32D0000}"/>
    <cellStyle name="Porcentual 23 2 3" xfId="9417" xr:uid="{00000000-0005-0000-0000-0000C42D0000}"/>
    <cellStyle name="Porcentual 23 20" xfId="3895" xr:uid="{00000000-0005-0000-0000-0000C52D0000}"/>
    <cellStyle name="Porcentual 23 20 2" xfId="7437" xr:uid="{00000000-0005-0000-0000-0000C62D0000}"/>
    <cellStyle name="Porcentual 23 20 3" xfId="9418" xr:uid="{00000000-0005-0000-0000-0000C72D0000}"/>
    <cellStyle name="Porcentual 23 21" xfId="3896" xr:uid="{00000000-0005-0000-0000-0000C82D0000}"/>
    <cellStyle name="Porcentual 23 21 2" xfId="7438" xr:uid="{00000000-0005-0000-0000-0000C92D0000}"/>
    <cellStyle name="Porcentual 23 21 3" xfId="9419" xr:uid="{00000000-0005-0000-0000-0000CA2D0000}"/>
    <cellStyle name="Porcentual 23 22" xfId="3897" xr:uid="{00000000-0005-0000-0000-0000CB2D0000}"/>
    <cellStyle name="Porcentual 23 22 2" xfId="7439" xr:uid="{00000000-0005-0000-0000-0000CC2D0000}"/>
    <cellStyle name="Porcentual 23 22 3" xfId="9420" xr:uid="{00000000-0005-0000-0000-0000CD2D0000}"/>
    <cellStyle name="Porcentual 23 23" xfId="3898" xr:uid="{00000000-0005-0000-0000-0000CE2D0000}"/>
    <cellStyle name="Porcentual 23 23 2" xfId="7440" xr:uid="{00000000-0005-0000-0000-0000CF2D0000}"/>
    <cellStyle name="Porcentual 23 23 3" xfId="9421" xr:uid="{00000000-0005-0000-0000-0000D02D0000}"/>
    <cellStyle name="Porcentual 23 24" xfId="3899" xr:uid="{00000000-0005-0000-0000-0000D12D0000}"/>
    <cellStyle name="Porcentual 23 24 2" xfId="7441" xr:uid="{00000000-0005-0000-0000-0000D22D0000}"/>
    <cellStyle name="Porcentual 23 24 3" xfId="9422" xr:uid="{00000000-0005-0000-0000-0000D32D0000}"/>
    <cellStyle name="Porcentual 23 25" xfId="3900" xr:uid="{00000000-0005-0000-0000-0000D42D0000}"/>
    <cellStyle name="Porcentual 23 25 2" xfId="7442" xr:uid="{00000000-0005-0000-0000-0000D52D0000}"/>
    <cellStyle name="Porcentual 23 25 3" xfId="9423" xr:uid="{00000000-0005-0000-0000-0000D62D0000}"/>
    <cellStyle name="Porcentual 23 26" xfId="3901" xr:uid="{00000000-0005-0000-0000-0000D72D0000}"/>
    <cellStyle name="Porcentual 23 26 2" xfId="7443" xr:uid="{00000000-0005-0000-0000-0000D82D0000}"/>
    <cellStyle name="Porcentual 23 26 3" xfId="9424" xr:uid="{00000000-0005-0000-0000-0000D92D0000}"/>
    <cellStyle name="Porcentual 23 27" xfId="3902" xr:uid="{00000000-0005-0000-0000-0000DA2D0000}"/>
    <cellStyle name="Porcentual 23 27 2" xfId="7444" xr:uid="{00000000-0005-0000-0000-0000DB2D0000}"/>
    <cellStyle name="Porcentual 23 27 3" xfId="9425" xr:uid="{00000000-0005-0000-0000-0000DC2D0000}"/>
    <cellStyle name="Porcentual 23 28" xfId="3903" xr:uid="{00000000-0005-0000-0000-0000DD2D0000}"/>
    <cellStyle name="Porcentual 23 28 2" xfId="7445" xr:uid="{00000000-0005-0000-0000-0000DE2D0000}"/>
    <cellStyle name="Porcentual 23 28 3" xfId="9426" xr:uid="{00000000-0005-0000-0000-0000DF2D0000}"/>
    <cellStyle name="Porcentual 23 29" xfId="7446" xr:uid="{00000000-0005-0000-0000-0000E02D0000}"/>
    <cellStyle name="Porcentual 23 3" xfId="3904" xr:uid="{00000000-0005-0000-0000-0000E12D0000}"/>
    <cellStyle name="Porcentual 23 3 2" xfId="7447" xr:uid="{00000000-0005-0000-0000-0000E22D0000}"/>
    <cellStyle name="Porcentual 23 3 3" xfId="9427" xr:uid="{00000000-0005-0000-0000-0000E32D0000}"/>
    <cellStyle name="Porcentual 23 30" xfId="9406" xr:uid="{00000000-0005-0000-0000-0000E42D0000}"/>
    <cellStyle name="Porcentual 23 4" xfId="3905" xr:uid="{00000000-0005-0000-0000-0000E52D0000}"/>
    <cellStyle name="Porcentual 23 4 2" xfId="7448" xr:uid="{00000000-0005-0000-0000-0000E62D0000}"/>
    <cellStyle name="Porcentual 23 4 3" xfId="9428" xr:uid="{00000000-0005-0000-0000-0000E72D0000}"/>
    <cellStyle name="Porcentual 23 5" xfId="3906" xr:uid="{00000000-0005-0000-0000-0000E82D0000}"/>
    <cellStyle name="Porcentual 23 5 2" xfId="7449" xr:uid="{00000000-0005-0000-0000-0000E92D0000}"/>
    <cellStyle name="Porcentual 23 5 3" xfId="9429" xr:uid="{00000000-0005-0000-0000-0000EA2D0000}"/>
    <cellStyle name="Porcentual 23 6" xfId="3907" xr:uid="{00000000-0005-0000-0000-0000EB2D0000}"/>
    <cellStyle name="Porcentual 23 6 2" xfId="7450" xr:uid="{00000000-0005-0000-0000-0000EC2D0000}"/>
    <cellStyle name="Porcentual 23 6 3" xfId="9430" xr:uid="{00000000-0005-0000-0000-0000ED2D0000}"/>
    <cellStyle name="Porcentual 23 7" xfId="3908" xr:uid="{00000000-0005-0000-0000-0000EE2D0000}"/>
    <cellStyle name="Porcentual 23 7 2" xfId="7451" xr:uid="{00000000-0005-0000-0000-0000EF2D0000}"/>
    <cellStyle name="Porcentual 23 7 3" xfId="9431" xr:uid="{00000000-0005-0000-0000-0000F02D0000}"/>
    <cellStyle name="Porcentual 23 8" xfId="3909" xr:uid="{00000000-0005-0000-0000-0000F12D0000}"/>
    <cellStyle name="Porcentual 23 8 2" xfId="7452" xr:uid="{00000000-0005-0000-0000-0000F22D0000}"/>
    <cellStyle name="Porcentual 23 8 3" xfId="9432" xr:uid="{00000000-0005-0000-0000-0000F32D0000}"/>
    <cellStyle name="Porcentual 23 9" xfId="3910" xr:uid="{00000000-0005-0000-0000-0000F42D0000}"/>
    <cellStyle name="Porcentual 23 9 2" xfId="7453" xr:uid="{00000000-0005-0000-0000-0000F52D0000}"/>
    <cellStyle name="Porcentual 23 9 3" xfId="9433" xr:uid="{00000000-0005-0000-0000-0000F62D0000}"/>
    <cellStyle name="Porcentual 24" xfId="3911" xr:uid="{00000000-0005-0000-0000-0000F72D0000}"/>
    <cellStyle name="Porcentual 24 10" xfId="3912" xr:uid="{00000000-0005-0000-0000-0000F82D0000}"/>
    <cellStyle name="Porcentual 24 10 2" xfId="7454" xr:uid="{00000000-0005-0000-0000-0000F92D0000}"/>
    <cellStyle name="Porcentual 24 10 3" xfId="9435" xr:uid="{00000000-0005-0000-0000-0000FA2D0000}"/>
    <cellStyle name="Porcentual 24 11" xfId="3913" xr:uid="{00000000-0005-0000-0000-0000FB2D0000}"/>
    <cellStyle name="Porcentual 24 11 2" xfId="7455" xr:uid="{00000000-0005-0000-0000-0000FC2D0000}"/>
    <cellStyle name="Porcentual 24 11 3" xfId="9436" xr:uid="{00000000-0005-0000-0000-0000FD2D0000}"/>
    <cellStyle name="Porcentual 24 12" xfId="3914" xr:uid="{00000000-0005-0000-0000-0000FE2D0000}"/>
    <cellStyle name="Porcentual 24 12 2" xfId="7456" xr:uid="{00000000-0005-0000-0000-0000FF2D0000}"/>
    <cellStyle name="Porcentual 24 12 3" xfId="9437" xr:uid="{00000000-0005-0000-0000-0000002E0000}"/>
    <cellStyle name="Porcentual 24 13" xfId="3915" xr:uid="{00000000-0005-0000-0000-0000012E0000}"/>
    <cellStyle name="Porcentual 24 13 2" xfId="7457" xr:uid="{00000000-0005-0000-0000-0000022E0000}"/>
    <cellStyle name="Porcentual 24 13 3" xfId="9438" xr:uid="{00000000-0005-0000-0000-0000032E0000}"/>
    <cellStyle name="Porcentual 24 14" xfId="3916" xr:uid="{00000000-0005-0000-0000-0000042E0000}"/>
    <cellStyle name="Porcentual 24 14 2" xfId="7458" xr:uid="{00000000-0005-0000-0000-0000052E0000}"/>
    <cellStyle name="Porcentual 24 14 3" xfId="9439" xr:uid="{00000000-0005-0000-0000-0000062E0000}"/>
    <cellStyle name="Porcentual 24 15" xfId="3917" xr:uid="{00000000-0005-0000-0000-0000072E0000}"/>
    <cellStyle name="Porcentual 24 15 2" xfId="7459" xr:uid="{00000000-0005-0000-0000-0000082E0000}"/>
    <cellStyle name="Porcentual 24 15 3" xfId="9440" xr:uid="{00000000-0005-0000-0000-0000092E0000}"/>
    <cellStyle name="Porcentual 24 16" xfId="3918" xr:uid="{00000000-0005-0000-0000-00000A2E0000}"/>
    <cellStyle name="Porcentual 24 16 2" xfId="7460" xr:uid="{00000000-0005-0000-0000-00000B2E0000}"/>
    <cellStyle name="Porcentual 24 16 3" xfId="9441" xr:uid="{00000000-0005-0000-0000-00000C2E0000}"/>
    <cellStyle name="Porcentual 24 17" xfId="3919" xr:uid="{00000000-0005-0000-0000-00000D2E0000}"/>
    <cellStyle name="Porcentual 24 17 2" xfId="7461" xr:uid="{00000000-0005-0000-0000-00000E2E0000}"/>
    <cellStyle name="Porcentual 24 17 3" xfId="9442" xr:uid="{00000000-0005-0000-0000-00000F2E0000}"/>
    <cellStyle name="Porcentual 24 18" xfId="3920" xr:uid="{00000000-0005-0000-0000-0000102E0000}"/>
    <cellStyle name="Porcentual 24 18 2" xfId="7462" xr:uid="{00000000-0005-0000-0000-0000112E0000}"/>
    <cellStyle name="Porcentual 24 18 3" xfId="9443" xr:uid="{00000000-0005-0000-0000-0000122E0000}"/>
    <cellStyle name="Porcentual 24 19" xfId="3921" xr:uid="{00000000-0005-0000-0000-0000132E0000}"/>
    <cellStyle name="Porcentual 24 19 2" xfId="7463" xr:uid="{00000000-0005-0000-0000-0000142E0000}"/>
    <cellStyle name="Porcentual 24 19 3" xfId="9444" xr:uid="{00000000-0005-0000-0000-0000152E0000}"/>
    <cellStyle name="Porcentual 24 2" xfId="3922" xr:uid="{00000000-0005-0000-0000-0000162E0000}"/>
    <cellStyle name="Porcentual 24 2 2" xfId="7464" xr:uid="{00000000-0005-0000-0000-0000172E0000}"/>
    <cellStyle name="Porcentual 24 2 3" xfId="9445" xr:uid="{00000000-0005-0000-0000-0000182E0000}"/>
    <cellStyle name="Porcentual 24 20" xfId="3923" xr:uid="{00000000-0005-0000-0000-0000192E0000}"/>
    <cellStyle name="Porcentual 24 20 2" xfId="7465" xr:uid="{00000000-0005-0000-0000-00001A2E0000}"/>
    <cellStyle name="Porcentual 24 20 3" xfId="9446" xr:uid="{00000000-0005-0000-0000-00001B2E0000}"/>
    <cellStyle name="Porcentual 24 21" xfId="3924" xr:uid="{00000000-0005-0000-0000-00001C2E0000}"/>
    <cellStyle name="Porcentual 24 21 2" xfId="7466" xr:uid="{00000000-0005-0000-0000-00001D2E0000}"/>
    <cellStyle name="Porcentual 24 21 3" xfId="9447" xr:uid="{00000000-0005-0000-0000-00001E2E0000}"/>
    <cellStyle name="Porcentual 24 22" xfId="3925" xr:uid="{00000000-0005-0000-0000-00001F2E0000}"/>
    <cellStyle name="Porcentual 24 22 2" xfId="7467" xr:uid="{00000000-0005-0000-0000-0000202E0000}"/>
    <cellStyle name="Porcentual 24 22 3" xfId="9448" xr:uid="{00000000-0005-0000-0000-0000212E0000}"/>
    <cellStyle name="Porcentual 24 23" xfId="3926" xr:uid="{00000000-0005-0000-0000-0000222E0000}"/>
    <cellStyle name="Porcentual 24 23 2" xfId="7468" xr:uid="{00000000-0005-0000-0000-0000232E0000}"/>
    <cellStyle name="Porcentual 24 23 3" xfId="9449" xr:uid="{00000000-0005-0000-0000-0000242E0000}"/>
    <cellStyle name="Porcentual 24 24" xfId="3927" xr:uid="{00000000-0005-0000-0000-0000252E0000}"/>
    <cellStyle name="Porcentual 24 24 2" xfId="7469" xr:uid="{00000000-0005-0000-0000-0000262E0000}"/>
    <cellStyle name="Porcentual 24 24 3" xfId="9450" xr:uid="{00000000-0005-0000-0000-0000272E0000}"/>
    <cellStyle name="Porcentual 24 25" xfId="3928" xr:uid="{00000000-0005-0000-0000-0000282E0000}"/>
    <cellStyle name="Porcentual 24 25 2" xfId="7470" xr:uid="{00000000-0005-0000-0000-0000292E0000}"/>
    <cellStyle name="Porcentual 24 25 3" xfId="9451" xr:uid="{00000000-0005-0000-0000-00002A2E0000}"/>
    <cellStyle name="Porcentual 24 26" xfId="3929" xr:uid="{00000000-0005-0000-0000-00002B2E0000}"/>
    <cellStyle name="Porcentual 24 26 2" xfId="7471" xr:uid="{00000000-0005-0000-0000-00002C2E0000}"/>
    <cellStyle name="Porcentual 24 26 3" xfId="9452" xr:uid="{00000000-0005-0000-0000-00002D2E0000}"/>
    <cellStyle name="Porcentual 24 27" xfId="3930" xr:uid="{00000000-0005-0000-0000-00002E2E0000}"/>
    <cellStyle name="Porcentual 24 27 2" xfId="7472" xr:uid="{00000000-0005-0000-0000-00002F2E0000}"/>
    <cellStyle name="Porcentual 24 27 3" xfId="9453" xr:uid="{00000000-0005-0000-0000-0000302E0000}"/>
    <cellStyle name="Porcentual 24 28" xfId="3931" xr:uid="{00000000-0005-0000-0000-0000312E0000}"/>
    <cellStyle name="Porcentual 24 28 2" xfId="7473" xr:uid="{00000000-0005-0000-0000-0000322E0000}"/>
    <cellStyle name="Porcentual 24 28 3" xfId="9454" xr:uid="{00000000-0005-0000-0000-0000332E0000}"/>
    <cellStyle name="Porcentual 24 29" xfId="7474" xr:uid="{00000000-0005-0000-0000-0000342E0000}"/>
    <cellStyle name="Porcentual 24 3" xfId="3932" xr:uid="{00000000-0005-0000-0000-0000352E0000}"/>
    <cellStyle name="Porcentual 24 3 2" xfId="7475" xr:uid="{00000000-0005-0000-0000-0000362E0000}"/>
    <cellStyle name="Porcentual 24 3 3" xfId="9455" xr:uid="{00000000-0005-0000-0000-0000372E0000}"/>
    <cellStyle name="Porcentual 24 30" xfId="9434" xr:uid="{00000000-0005-0000-0000-0000382E0000}"/>
    <cellStyle name="Porcentual 24 4" xfId="3933" xr:uid="{00000000-0005-0000-0000-0000392E0000}"/>
    <cellStyle name="Porcentual 24 4 2" xfId="7476" xr:uid="{00000000-0005-0000-0000-00003A2E0000}"/>
    <cellStyle name="Porcentual 24 4 3" xfId="9456" xr:uid="{00000000-0005-0000-0000-00003B2E0000}"/>
    <cellStyle name="Porcentual 24 5" xfId="3934" xr:uid="{00000000-0005-0000-0000-00003C2E0000}"/>
    <cellStyle name="Porcentual 24 5 2" xfId="7477" xr:uid="{00000000-0005-0000-0000-00003D2E0000}"/>
    <cellStyle name="Porcentual 24 5 3" xfId="9457" xr:uid="{00000000-0005-0000-0000-00003E2E0000}"/>
    <cellStyle name="Porcentual 24 6" xfId="3935" xr:uid="{00000000-0005-0000-0000-00003F2E0000}"/>
    <cellStyle name="Porcentual 24 6 2" xfId="7478" xr:uid="{00000000-0005-0000-0000-0000402E0000}"/>
    <cellStyle name="Porcentual 24 6 3" xfId="9458" xr:uid="{00000000-0005-0000-0000-0000412E0000}"/>
    <cellStyle name="Porcentual 24 7" xfId="3936" xr:uid="{00000000-0005-0000-0000-0000422E0000}"/>
    <cellStyle name="Porcentual 24 7 2" xfId="7479" xr:uid="{00000000-0005-0000-0000-0000432E0000}"/>
    <cellStyle name="Porcentual 24 7 3" xfId="9459" xr:uid="{00000000-0005-0000-0000-0000442E0000}"/>
    <cellStyle name="Porcentual 24 8" xfId="3937" xr:uid="{00000000-0005-0000-0000-0000452E0000}"/>
    <cellStyle name="Porcentual 24 8 2" xfId="7480" xr:uid="{00000000-0005-0000-0000-0000462E0000}"/>
    <cellStyle name="Porcentual 24 8 3" xfId="9460" xr:uid="{00000000-0005-0000-0000-0000472E0000}"/>
    <cellStyle name="Porcentual 24 9" xfId="3938" xr:uid="{00000000-0005-0000-0000-0000482E0000}"/>
    <cellStyle name="Porcentual 24 9 2" xfId="7481" xr:uid="{00000000-0005-0000-0000-0000492E0000}"/>
    <cellStyle name="Porcentual 24 9 3" xfId="9461" xr:uid="{00000000-0005-0000-0000-00004A2E0000}"/>
    <cellStyle name="Porcentual 25" xfId="3939" xr:uid="{00000000-0005-0000-0000-00004B2E0000}"/>
    <cellStyle name="Porcentual 25 10" xfId="3940" xr:uid="{00000000-0005-0000-0000-00004C2E0000}"/>
    <cellStyle name="Porcentual 25 10 2" xfId="7482" xr:uid="{00000000-0005-0000-0000-00004D2E0000}"/>
    <cellStyle name="Porcentual 25 10 3" xfId="9463" xr:uid="{00000000-0005-0000-0000-00004E2E0000}"/>
    <cellStyle name="Porcentual 25 11" xfId="3941" xr:uid="{00000000-0005-0000-0000-00004F2E0000}"/>
    <cellStyle name="Porcentual 25 11 2" xfId="7483" xr:uid="{00000000-0005-0000-0000-0000502E0000}"/>
    <cellStyle name="Porcentual 25 11 3" xfId="9464" xr:uid="{00000000-0005-0000-0000-0000512E0000}"/>
    <cellStyle name="Porcentual 25 12" xfId="3942" xr:uid="{00000000-0005-0000-0000-0000522E0000}"/>
    <cellStyle name="Porcentual 25 12 2" xfId="7484" xr:uid="{00000000-0005-0000-0000-0000532E0000}"/>
    <cellStyle name="Porcentual 25 12 3" xfId="9465" xr:uid="{00000000-0005-0000-0000-0000542E0000}"/>
    <cellStyle name="Porcentual 25 13" xfId="3943" xr:uid="{00000000-0005-0000-0000-0000552E0000}"/>
    <cellStyle name="Porcentual 25 13 2" xfId="7485" xr:uid="{00000000-0005-0000-0000-0000562E0000}"/>
    <cellStyle name="Porcentual 25 13 3" xfId="9466" xr:uid="{00000000-0005-0000-0000-0000572E0000}"/>
    <cellStyle name="Porcentual 25 14" xfId="3944" xr:uid="{00000000-0005-0000-0000-0000582E0000}"/>
    <cellStyle name="Porcentual 25 14 2" xfId="7486" xr:uid="{00000000-0005-0000-0000-0000592E0000}"/>
    <cellStyle name="Porcentual 25 14 3" xfId="9467" xr:uid="{00000000-0005-0000-0000-00005A2E0000}"/>
    <cellStyle name="Porcentual 25 15" xfId="3945" xr:uid="{00000000-0005-0000-0000-00005B2E0000}"/>
    <cellStyle name="Porcentual 25 15 2" xfId="7487" xr:uid="{00000000-0005-0000-0000-00005C2E0000}"/>
    <cellStyle name="Porcentual 25 15 3" xfId="9468" xr:uid="{00000000-0005-0000-0000-00005D2E0000}"/>
    <cellStyle name="Porcentual 25 16" xfId="3946" xr:uid="{00000000-0005-0000-0000-00005E2E0000}"/>
    <cellStyle name="Porcentual 25 16 2" xfId="7488" xr:uid="{00000000-0005-0000-0000-00005F2E0000}"/>
    <cellStyle name="Porcentual 25 16 3" xfId="9469" xr:uid="{00000000-0005-0000-0000-0000602E0000}"/>
    <cellStyle name="Porcentual 25 17" xfId="3947" xr:uid="{00000000-0005-0000-0000-0000612E0000}"/>
    <cellStyle name="Porcentual 25 17 2" xfId="7489" xr:uid="{00000000-0005-0000-0000-0000622E0000}"/>
    <cellStyle name="Porcentual 25 17 3" xfId="9470" xr:uid="{00000000-0005-0000-0000-0000632E0000}"/>
    <cellStyle name="Porcentual 25 18" xfId="3948" xr:uid="{00000000-0005-0000-0000-0000642E0000}"/>
    <cellStyle name="Porcentual 25 18 2" xfId="7490" xr:uid="{00000000-0005-0000-0000-0000652E0000}"/>
    <cellStyle name="Porcentual 25 18 3" xfId="9471" xr:uid="{00000000-0005-0000-0000-0000662E0000}"/>
    <cellStyle name="Porcentual 25 19" xfId="3949" xr:uid="{00000000-0005-0000-0000-0000672E0000}"/>
    <cellStyle name="Porcentual 25 19 2" xfId="7491" xr:uid="{00000000-0005-0000-0000-0000682E0000}"/>
    <cellStyle name="Porcentual 25 19 3" xfId="9472" xr:uid="{00000000-0005-0000-0000-0000692E0000}"/>
    <cellStyle name="Porcentual 25 2" xfId="3950" xr:uid="{00000000-0005-0000-0000-00006A2E0000}"/>
    <cellStyle name="Porcentual 25 2 2" xfId="7492" xr:uid="{00000000-0005-0000-0000-00006B2E0000}"/>
    <cellStyle name="Porcentual 25 2 3" xfId="9473" xr:uid="{00000000-0005-0000-0000-00006C2E0000}"/>
    <cellStyle name="Porcentual 25 20" xfId="3951" xr:uid="{00000000-0005-0000-0000-00006D2E0000}"/>
    <cellStyle name="Porcentual 25 20 2" xfId="7493" xr:uid="{00000000-0005-0000-0000-00006E2E0000}"/>
    <cellStyle name="Porcentual 25 20 3" xfId="9474" xr:uid="{00000000-0005-0000-0000-00006F2E0000}"/>
    <cellStyle name="Porcentual 25 21" xfId="3952" xr:uid="{00000000-0005-0000-0000-0000702E0000}"/>
    <cellStyle name="Porcentual 25 21 2" xfId="7494" xr:uid="{00000000-0005-0000-0000-0000712E0000}"/>
    <cellStyle name="Porcentual 25 21 3" xfId="9475" xr:uid="{00000000-0005-0000-0000-0000722E0000}"/>
    <cellStyle name="Porcentual 25 22" xfId="3953" xr:uid="{00000000-0005-0000-0000-0000732E0000}"/>
    <cellStyle name="Porcentual 25 22 2" xfId="7495" xr:uid="{00000000-0005-0000-0000-0000742E0000}"/>
    <cellStyle name="Porcentual 25 22 3" xfId="9476" xr:uid="{00000000-0005-0000-0000-0000752E0000}"/>
    <cellStyle name="Porcentual 25 23" xfId="3954" xr:uid="{00000000-0005-0000-0000-0000762E0000}"/>
    <cellStyle name="Porcentual 25 23 2" xfId="7496" xr:uid="{00000000-0005-0000-0000-0000772E0000}"/>
    <cellStyle name="Porcentual 25 23 3" xfId="9477" xr:uid="{00000000-0005-0000-0000-0000782E0000}"/>
    <cellStyle name="Porcentual 25 24" xfId="3955" xr:uid="{00000000-0005-0000-0000-0000792E0000}"/>
    <cellStyle name="Porcentual 25 24 2" xfId="7497" xr:uid="{00000000-0005-0000-0000-00007A2E0000}"/>
    <cellStyle name="Porcentual 25 24 3" xfId="9478" xr:uid="{00000000-0005-0000-0000-00007B2E0000}"/>
    <cellStyle name="Porcentual 25 25" xfId="3956" xr:uid="{00000000-0005-0000-0000-00007C2E0000}"/>
    <cellStyle name="Porcentual 25 25 2" xfId="7498" xr:uid="{00000000-0005-0000-0000-00007D2E0000}"/>
    <cellStyle name="Porcentual 25 25 3" xfId="9479" xr:uid="{00000000-0005-0000-0000-00007E2E0000}"/>
    <cellStyle name="Porcentual 25 26" xfId="3957" xr:uid="{00000000-0005-0000-0000-00007F2E0000}"/>
    <cellStyle name="Porcentual 25 26 2" xfId="7499" xr:uid="{00000000-0005-0000-0000-0000802E0000}"/>
    <cellStyle name="Porcentual 25 26 3" xfId="9480" xr:uid="{00000000-0005-0000-0000-0000812E0000}"/>
    <cellStyle name="Porcentual 25 27" xfId="3958" xr:uid="{00000000-0005-0000-0000-0000822E0000}"/>
    <cellStyle name="Porcentual 25 27 2" xfId="7500" xr:uid="{00000000-0005-0000-0000-0000832E0000}"/>
    <cellStyle name="Porcentual 25 27 3" xfId="9481" xr:uid="{00000000-0005-0000-0000-0000842E0000}"/>
    <cellStyle name="Porcentual 25 28" xfId="3959" xr:uid="{00000000-0005-0000-0000-0000852E0000}"/>
    <cellStyle name="Porcentual 25 28 2" xfId="7501" xr:uid="{00000000-0005-0000-0000-0000862E0000}"/>
    <cellStyle name="Porcentual 25 28 3" xfId="9482" xr:uid="{00000000-0005-0000-0000-0000872E0000}"/>
    <cellStyle name="Porcentual 25 29" xfId="7502" xr:uid="{00000000-0005-0000-0000-0000882E0000}"/>
    <cellStyle name="Porcentual 25 3" xfId="3960" xr:uid="{00000000-0005-0000-0000-0000892E0000}"/>
    <cellStyle name="Porcentual 25 3 2" xfId="7503" xr:uid="{00000000-0005-0000-0000-00008A2E0000}"/>
    <cellStyle name="Porcentual 25 3 3" xfId="9483" xr:uid="{00000000-0005-0000-0000-00008B2E0000}"/>
    <cellStyle name="Porcentual 25 30" xfId="9462" xr:uid="{00000000-0005-0000-0000-00008C2E0000}"/>
    <cellStyle name="Porcentual 25 4" xfId="3961" xr:uid="{00000000-0005-0000-0000-00008D2E0000}"/>
    <cellStyle name="Porcentual 25 4 2" xfId="7504" xr:uid="{00000000-0005-0000-0000-00008E2E0000}"/>
    <cellStyle name="Porcentual 25 4 3" xfId="9484" xr:uid="{00000000-0005-0000-0000-00008F2E0000}"/>
    <cellStyle name="Porcentual 25 5" xfId="3962" xr:uid="{00000000-0005-0000-0000-0000902E0000}"/>
    <cellStyle name="Porcentual 25 5 2" xfId="7505" xr:uid="{00000000-0005-0000-0000-0000912E0000}"/>
    <cellStyle name="Porcentual 25 5 3" xfId="9485" xr:uid="{00000000-0005-0000-0000-0000922E0000}"/>
    <cellStyle name="Porcentual 25 6" xfId="3963" xr:uid="{00000000-0005-0000-0000-0000932E0000}"/>
    <cellStyle name="Porcentual 25 6 2" xfId="7506" xr:uid="{00000000-0005-0000-0000-0000942E0000}"/>
    <cellStyle name="Porcentual 25 6 3" xfId="9486" xr:uid="{00000000-0005-0000-0000-0000952E0000}"/>
    <cellStyle name="Porcentual 25 7" xfId="3964" xr:uid="{00000000-0005-0000-0000-0000962E0000}"/>
    <cellStyle name="Porcentual 25 7 2" xfId="7507" xr:uid="{00000000-0005-0000-0000-0000972E0000}"/>
    <cellStyle name="Porcentual 25 7 3" xfId="9487" xr:uid="{00000000-0005-0000-0000-0000982E0000}"/>
    <cellStyle name="Porcentual 25 8" xfId="3965" xr:uid="{00000000-0005-0000-0000-0000992E0000}"/>
    <cellStyle name="Porcentual 25 8 2" xfId="7508" xr:uid="{00000000-0005-0000-0000-00009A2E0000}"/>
    <cellStyle name="Porcentual 25 8 3" xfId="9488" xr:uid="{00000000-0005-0000-0000-00009B2E0000}"/>
    <cellStyle name="Porcentual 25 9" xfId="3966" xr:uid="{00000000-0005-0000-0000-00009C2E0000}"/>
    <cellStyle name="Porcentual 25 9 2" xfId="7509" xr:uid="{00000000-0005-0000-0000-00009D2E0000}"/>
    <cellStyle name="Porcentual 25 9 3" xfId="9489" xr:uid="{00000000-0005-0000-0000-00009E2E0000}"/>
    <cellStyle name="Porcentual 250" xfId="3967" xr:uid="{00000000-0005-0000-0000-00009F2E0000}"/>
    <cellStyle name="Porcentual 250 2" xfId="7510" xr:uid="{00000000-0005-0000-0000-0000A02E0000}"/>
    <cellStyle name="Porcentual 26" xfId="3968" xr:uid="{00000000-0005-0000-0000-0000A12E0000}"/>
    <cellStyle name="Porcentual 26 10" xfId="3969" xr:uid="{00000000-0005-0000-0000-0000A22E0000}"/>
    <cellStyle name="Porcentual 26 10 2" xfId="7511" xr:uid="{00000000-0005-0000-0000-0000A32E0000}"/>
    <cellStyle name="Porcentual 26 10 3" xfId="9491" xr:uid="{00000000-0005-0000-0000-0000A42E0000}"/>
    <cellStyle name="Porcentual 26 11" xfId="3970" xr:uid="{00000000-0005-0000-0000-0000A52E0000}"/>
    <cellStyle name="Porcentual 26 11 2" xfId="7512" xr:uid="{00000000-0005-0000-0000-0000A62E0000}"/>
    <cellStyle name="Porcentual 26 11 3" xfId="9492" xr:uid="{00000000-0005-0000-0000-0000A72E0000}"/>
    <cellStyle name="Porcentual 26 12" xfId="3971" xr:uid="{00000000-0005-0000-0000-0000A82E0000}"/>
    <cellStyle name="Porcentual 26 12 2" xfId="7513" xr:uid="{00000000-0005-0000-0000-0000A92E0000}"/>
    <cellStyle name="Porcentual 26 12 3" xfId="9493" xr:uid="{00000000-0005-0000-0000-0000AA2E0000}"/>
    <cellStyle name="Porcentual 26 13" xfId="3972" xr:uid="{00000000-0005-0000-0000-0000AB2E0000}"/>
    <cellStyle name="Porcentual 26 13 2" xfId="7514" xr:uid="{00000000-0005-0000-0000-0000AC2E0000}"/>
    <cellStyle name="Porcentual 26 13 3" xfId="9494" xr:uid="{00000000-0005-0000-0000-0000AD2E0000}"/>
    <cellStyle name="Porcentual 26 14" xfId="3973" xr:uid="{00000000-0005-0000-0000-0000AE2E0000}"/>
    <cellStyle name="Porcentual 26 14 2" xfId="7515" xr:uid="{00000000-0005-0000-0000-0000AF2E0000}"/>
    <cellStyle name="Porcentual 26 14 3" xfId="9495" xr:uid="{00000000-0005-0000-0000-0000B02E0000}"/>
    <cellStyle name="Porcentual 26 15" xfId="3974" xr:uid="{00000000-0005-0000-0000-0000B12E0000}"/>
    <cellStyle name="Porcentual 26 15 2" xfId="7516" xr:uid="{00000000-0005-0000-0000-0000B22E0000}"/>
    <cellStyle name="Porcentual 26 15 3" xfId="9496" xr:uid="{00000000-0005-0000-0000-0000B32E0000}"/>
    <cellStyle name="Porcentual 26 16" xfId="3975" xr:uid="{00000000-0005-0000-0000-0000B42E0000}"/>
    <cellStyle name="Porcentual 26 16 2" xfId="7517" xr:uid="{00000000-0005-0000-0000-0000B52E0000}"/>
    <cellStyle name="Porcentual 26 16 3" xfId="9497" xr:uid="{00000000-0005-0000-0000-0000B62E0000}"/>
    <cellStyle name="Porcentual 26 17" xfId="3976" xr:uid="{00000000-0005-0000-0000-0000B72E0000}"/>
    <cellStyle name="Porcentual 26 17 2" xfId="7518" xr:uid="{00000000-0005-0000-0000-0000B82E0000}"/>
    <cellStyle name="Porcentual 26 17 3" xfId="9498" xr:uid="{00000000-0005-0000-0000-0000B92E0000}"/>
    <cellStyle name="Porcentual 26 18" xfId="3977" xr:uid="{00000000-0005-0000-0000-0000BA2E0000}"/>
    <cellStyle name="Porcentual 26 18 2" xfId="7519" xr:uid="{00000000-0005-0000-0000-0000BB2E0000}"/>
    <cellStyle name="Porcentual 26 18 3" xfId="9499" xr:uid="{00000000-0005-0000-0000-0000BC2E0000}"/>
    <cellStyle name="Porcentual 26 19" xfId="3978" xr:uid="{00000000-0005-0000-0000-0000BD2E0000}"/>
    <cellStyle name="Porcentual 26 19 2" xfId="7520" xr:uid="{00000000-0005-0000-0000-0000BE2E0000}"/>
    <cellStyle name="Porcentual 26 19 3" xfId="9500" xr:uid="{00000000-0005-0000-0000-0000BF2E0000}"/>
    <cellStyle name="Porcentual 26 2" xfId="3979" xr:uid="{00000000-0005-0000-0000-0000C02E0000}"/>
    <cellStyle name="Porcentual 26 2 2" xfId="7521" xr:uid="{00000000-0005-0000-0000-0000C12E0000}"/>
    <cellStyle name="Porcentual 26 2 3" xfId="9501" xr:uid="{00000000-0005-0000-0000-0000C22E0000}"/>
    <cellStyle name="Porcentual 26 20" xfId="3980" xr:uid="{00000000-0005-0000-0000-0000C32E0000}"/>
    <cellStyle name="Porcentual 26 20 2" xfId="7522" xr:uid="{00000000-0005-0000-0000-0000C42E0000}"/>
    <cellStyle name="Porcentual 26 20 3" xfId="9502" xr:uid="{00000000-0005-0000-0000-0000C52E0000}"/>
    <cellStyle name="Porcentual 26 21" xfId="3981" xr:uid="{00000000-0005-0000-0000-0000C62E0000}"/>
    <cellStyle name="Porcentual 26 21 2" xfId="7523" xr:uid="{00000000-0005-0000-0000-0000C72E0000}"/>
    <cellStyle name="Porcentual 26 21 3" xfId="9503" xr:uid="{00000000-0005-0000-0000-0000C82E0000}"/>
    <cellStyle name="Porcentual 26 22" xfId="3982" xr:uid="{00000000-0005-0000-0000-0000C92E0000}"/>
    <cellStyle name="Porcentual 26 22 2" xfId="7524" xr:uid="{00000000-0005-0000-0000-0000CA2E0000}"/>
    <cellStyle name="Porcentual 26 22 3" xfId="9504" xr:uid="{00000000-0005-0000-0000-0000CB2E0000}"/>
    <cellStyle name="Porcentual 26 23" xfId="3983" xr:uid="{00000000-0005-0000-0000-0000CC2E0000}"/>
    <cellStyle name="Porcentual 26 23 2" xfId="7525" xr:uid="{00000000-0005-0000-0000-0000CD2E0000}"/>
    <cellStyle name="Porcentual 26 23 3" xfId="9505" xr:uid="{00000000-0005-0000-0000-0000CE2E0000}"/>
    <cellStyle name="Porcentual 26 24" xfId="3984" xr:uid="{00000000-0005-0000-0000-0000CF2E0000}"/>
    <cellStyle name="Porcentual 26 24 2" xfId="7526" xr:uid="{00000000-0005-0000-0000-0000D02E0000}"/>
    <cellStyle name="Porcentual 26 24 3" xfId="9506" xr:uid="{00000000-0005-0000-0000-0000D12E0000}"/>
    <cellStyle name="Porcentual 26 25" xfId="3985" xr:uid="{00000000-0005-0000-0000-0000D22E0000}"/>
    <cellStyle name="Porcentual 26 25 2" xfId="7527" xr:uid="{00000000-0005-0000-0000-0000D32E0000}"/>
    <cellStyle name="Porcentual 26 25 3" xfId="9507" xr:uid="{00000000-0005-0000-0000-0000D42E0000}"/>
    <cellStyle name="Porcentual 26 26" xfId="3986" xr:uid="{00000000-0005-0000-0000-0000D52E0000}"/>
    <cellStyle name="Porcentual 26 26 2" xfId="7528" xr:uid="{00000000-0005-0000-0000-0000D62E0000}"/>
    <cellStyle name="Porcentual 26 26 3" xfId="9508" xr:uid="{00000000-0005-0000-0000-0000D72E0000}"/>
    <cellStyle name="Porcentual 26 27" xfId="3987" xr:uid="{00000000-0005-0000-0000-0000D82E0000}"/>
    <cellStyle name="Porcentual 26 27 2" xfId="7529" xr:uid="{00000000-0005-0000-0000-0000D92E0000}"/>
    <cellStyle name="Porcentual 26 27 3" xfId="9509" xr:uid="{00000000-0005-0000-0000-0000DA2E0000}"/>
    <cellStyle name="Porcentual 26 28" xfId="3988" xr:uid="{00000000-0005-0000-0000-0000DB2E0000}"/>
    <cellStyle name="Porcentual 26 28 2" xfId="7530" xr:uid="{00000000-0005-0000-0000-0000DC2E0000}"/>
    <cellStyle name="Porcentual 26 28 3" xfId="9510" xr:uid="{00000000-0005-0000-0000-0000DD2E0000}"/>
    <cellStyle name="Porcentual 26 29" xfId="7531" xr:uid="{00000000-0005-0000-0000-0000DE2E0000}"/>
    <cellStyle name="Porcentual 26 3" xfId="3989" xr:uid="{00000000-0005-0000-0000-0000DF2E0000}"/>
    <cellStyle name="Porcentual 26 3 2" xfId="7532" xr:uid="{00000000-0005-0000-0000-0000E02E0000}"/>
    <cellStyle name="Porcentual 26 3 3" xfId="9511" xr:uid="{00000000-0005-0000-0000-0000E12E0000}"/>
    <cellStyle name="Porcentual 26 30" xfId="9490" xr:uid="{00000000-0005-0000-0000-0000E22E0000}"/>
    <cellStyle name="Porcentual 26 4" xfId="3990" xr:uid="{00000000-0005-0000-0000-0000E32E0000}"/>
    <cellStyle name="Porcentual 26 4 2" xfId="7533" xr:uid="{00000000-0005-0000-0000-0000E42E0000}"/>
    <cellStyle name="Porcentual 26 4 3" xfId="9512" xr:uid="{00000000-0005-0000-0000-0000E52E0000}"/>
    <cellStyle name="Porcentual 26 5" xfId="3991" xr:uid="{00000000-0005-0000-0000-0000E62E0000}"/>
    <cellStyle name="Porcentual 26 5 2" xfId="7534" xr:uid="{00000000-0005-0000-0000-0000E72E0000}"/>
    <cellStyle name="Porcentual 26 5 3" xfId="9513" xr:uid="{00000000-0005-0000-0000-0000E82E0000}"/>
    <cellStyle name="Porcentual 26 6" xfId="3992" xr:uid="{00000000-0005-0000-0000-0000E92E0000}"/>
    <cellStyle name="Porcentual 26 6 2" xfId="7535" xr:uid="{00000000-0005-0000-0000-0000EA2E0000}"/>
    <cellStyle name="Porcentual 26 6 3" xfId="9514" xr:uid="{00000000-0005-0000-0000-0000EB2E0000}"/>
    <cellStyle name="Porcentual 26 7" xfId="3993" xr:uid="{00000000-0005-0000-0000-0000EC2E0000}"/>
    <cellStyle name="Porcentual 26 7 2" xfId="7536" xr:uid="{00000000-0005-0000-0000-0000ED2E0000}"/>
    <cellStyle name="Porcentual 26 7 3" xfId="9515" xr:uid="{00000000-0005-0000-0000-0000EE2E0000}"/>
    <cellStyle name="Porcentual 26 8" xfId="3994" xr:uid="{00000000-0005-0000-0000-0000EF2E0000}"/>
    <cellStyle name="Porcentual 26 8 2" xfId="7537" xr:uid="{00000000-0005-0000-0000-0000F02E0000}"/>
    <cellStyle name="Porcentual 26 8 3" xfId="9516" xr:uid="{00000000-0005-0000-0000-0000F12E0000}"/>
    <cellStyle name="Porcentual 26 9" xfId="3995" xr:uid="{00000000-0005-0000-0000-0000F22E0000}"/>
    <cellStyle name="Porcentual 26 9 2" xfId="7538" xr:uid="{00000000-0005-0000-0000-0000F32E0000}"/>
    <cellStyle name="Porcentual 26 9 3" xfId="9517" xr:uid="{00000000-0005-0000-0000-0000F42E0000}"/>
    <cellStyle name="Porcentual 27" xfId="3996" xr:uid="{00000000-0005-0000-0000-0000F52E0000}"/>
    <cellStyle name="Porcentual 27 2" xfId="7539" xr:uid="{00000000-0005-0000-0000-0000F62E0000}"/>
    <cellStyle name="Porcentual 27 2 2" xfId="9790" xr:uid="{00000000-0005-0000-0000-0000F72E0000}"/>
    <cellStyle name="Porcentual 27 2 2 2" xfId="10489" xr:uid="{00000000-0005-0000-0000-0000F82E0000}"/>
    <cellStyle name="Porcentual 27 2 2 2 2" xfId="12224" xr:uid="{00000000-0005-0000-0000-0000F92E0000}"/>
    <cellStyle name="Porcentual 27 2 2 3" xfId="11577" xr:uid="{00000000-0005-0000-0000-0000FA2E0000}"/>
    <cellStyle name="Porcentual 27 2 3" xfId="10202" xr:uid="{00000000-0005-0000-0000-0000FB2E0000}"/>
    <cellStyle name="Porcentual 27 2 3 2" xfId="11938" xr:uid="{00000000-0005-0000-0000-0000FC2E0000}"/>
    <cellStyle name="Porcentual 27 2 4" xfId="11212" xr:uid="{00000000-0005-0000-0000-0000FD2E0000}"/>
    <cellStyle name="Porcentual 27 3" xfId="7540" xr:uid="{00000000-0005-0000-0000-0000FE2E0000}"/>
    <cellStyle name="Porcentual 27 3 2" xfId="9791" xr:uid="{00000000-0005-0000-0000-0000FF2E0000}"/>
    <cellStyle name="Porcentual 27 3 2 2" xfId="10490" xr:uid="{00000000-0005-0000-0000-0000002F0000}"/>
    <cellStyle name="Porcentual 27 3 2 2 2" xfId="12225" xr:uid="{00000000-0005-0000-0000-0000012F0000}"/>
    <cellStyle name="Porcentual 27 3 2 3" xfId="11578" xr:uid="{00000000-0005-0000-0000-0000022F0000}"/>
    <cellStyle name="Porcentual 27 3 3" xfId="10203" xr:uid="{00000000-0005-0000-0000-0000032F0000}"/>
    <cellStyle name="Porcentual 27 3 3 2" xfId="11939" xr:uid="{00000000-0005-0000-0000-0000042F0000}"/>
    <cellStyle name="Porcentual 27 3 4" xfId="11213" xr:uid="{00000000-0005-0000-0000-0000052F0000}"/>
    <cellStyle name="Porcentual 27 4" xfId="9518" xr:uid="{00000000-0005-0000-0000-0000062F0000}"/>
    <cellStyle name="Porcentual 28" xfId="3997" xr:uid="{00000000-0005-0000-0000-0000072F0000}"/>
    <cellStyle name="Porcentual 28 2" xfId="7541" xr:uid="{00000000-0005-0000-0000-0000082F0000}"/>
    <cellStyle name="Porcentual 28 2 2" xfId="9792" xr:uid="{00000000-0005-0000-0000-0000092F0000}"/>
    <cellStyle name="Porcentual 28 2 2 2" xfId="10491" xr:uid="{00000000-0005-0000-0000-00000A2F0000}"/>
    <cellStyle name="Porcentual 28 2 2 2 2" xfId="12226" xr:uid="{00000000-0005-0000-0000-00000B2F0000}"/>
    <cellStyle name="Porcentual 28 2 2 3" xfId="11579" xr:uid="{00000000-0005-0000-0000-00000C2F0000}"/>
    <cellStyle name="Porcentual 28 2 3" xfId="10204" xr:uid="{00000000-0005-0000-0000-00000D2F0000}"/>
    <cellStyle name="Porcentual 28 2 3 2" xfId="11940" xr:uid="{00000000-0005-0000-0000-00000E2F0000}"/>
    <cellStyle name="Porcentual 28 2 4" xfId="11214" xr:uid="{00000000-0005-0000-0000-00000F2F0000}"/>
    <cellStyle name="Porcentual 28 3" xfId="7542" xr:uid="{00000000-0005-0000-0000-0000102F0000}"/>
    <cellStyle name="Porcentual 28 3 2" xfId="9793" xr:uid="{00000000-0005-0000-0000-0000112F0000}"/>
    <cellStyle name="Porcentual 28 3 2 2" xfId="10492" xr:uid="{00000000-0005-0000-0000-0000122F0000}"/>
    <cellStyle name="Porcentual 28 3 2 2 2" xfId="12227" xr:uid="{00000000-0005-0000-0000-0000132F0000}"/>
    <cellStyle name="Porcentual 28 3 2 3" xfId="11580" xr:uid="{00000000-0005-0000-0000-0000142F0000}"/>
    <cellStyle name="Porcentual 28 3 3" xfId="10205" xr:uid="{00000000-0005-0000-0000-0000152F0000}"/>
    <cellStyle name="Porcentual 28 3 3 2" xfId="11941" xr:uid="{00000000-0005-0000-0000-0000162F0000}"/>
    <cellStyle name="Porcentual 28 3 4" xfId="11215" xr:uid="{00000000-0005-0000-0000-0000172F0000}"/>
    <cellStyle name="Porcentual 28 4" xfId="9519" xr:uid="{00000000-0005-0000-0000-0000182F0000}"/>
    <cellStyle name="Porcentual 29" xfId="3998" xr:uid="{00000000-0005-0000-0000-0000192F0000}"/>
    <cellStyle name="Porcentual 29 2" xfId="7543" xr:uid="{00000000-0005-0000-0000-00001A2F0000}"/>
    <cellStyle name="Porcentual 29 2 2" xfId="9794" xr:uid="{00000000-0005-0000-0000-00001B2F0000}"/>
    <cellStyle name="Porcentual 29 2 2 2" xfId="10493" xr:uid="{00000000-0005-0000-0000-00001C2F0000}"/>
    <cellStyle name="Porcentual 29 2 2 2 2" xfId="12228" xr:uid="{00000000-0005-0000-0000-00001D2F0000}"/>
    <cellStyle name="Porcentual 29 2 2 3" xfId="11581" xr:uid="{00000000-0005-0000-0000-00001E2F0000}"/>
    <cellStyle name="Porcentual 29 2 3" xfId="10206" xr:uid="{00000000-0005-0000-0000-00001F2F0000}"/>
    <cellStyle name="Porcentual 29 2 3 2" xfId="11942" xr:uid="{00000000-0005-0000-0000-0000202F0000}"/>
    <cellStyle name="Porcentual 29 2 4" xfId="11216" xr:uid="{00000000-0005-0000-0000-0000212F0000}"/>
    <cellStyle name="Porcentual 29 3" xfId="7544" xr:uid="{00000000-0005-0000-0000-0000222F0000}"/>
    <cellStyle name="Porcentual 29 3 2" xfId="9795" xr:uid="{00000000-0005-0000-0000-0000232F0000}"/>
    <cellStyle name="Porcentual 29 3 2 2" xfId="10494" xr:uid="{00000000-0005-0000-0000-0000242F0000}"/>
    <cellStyle name="Porcentual 29 3 2 2 2" xfId="12229" xr:uid="{00000000-0005-0000-0000-0000252F0000}"/>
    <cellStyle name="Porcentual 29 3 2 3" xfId="11582" xr:uid="{00000000-0005-0000-0000-0000262F0000}"/>
    <cellStyle name="Porcentual 29 3 3" xfId="10207" xr:uid="{00000000-0005-0000-0000-0000272F0000}"/>
    <cellStyle name="Porcentual 29 3 3 2" xfId="11943" xr:uid="{00000000-0005-0000-0000-0000282F0000}"/>
    <cellStyle name="Porcentual 29 3 4" xfId="11217" xr:uid="{00000000-0005-0000-0000-0000292F0000}"/>
    <cellStyle name="Porcentual 29 4" xfId="9520" xr:uid="{00000000-0005-0000-0000-00002A2F0000}"/>
    <cellStyle name="Porcentual 3" xfId="127" xr:uid="{00000000-0005-0000-0000-00002B2F0000}"/>
    <cellStyle name="Porcentual 3 10" xfId="4357" xr:uid="{00000000-0005-0000-0000-00002C2F0000}"/>
    <cellStyle name="Porcentual 3 2" xfId="128" xr:uid="{00000000-0005-0000-0000-00002D2F0000}"/>
    <cellStyle name="Porcentual 3 2 2" xfId="4000" xr:uid="{00000000-0005-0000-0000-00002E2F0000}"/>
    <cellStyle name="Porcentual 3 2 2 2" xfId="9521" xr:uid="{00000000-0005-0000-0000-00002F2F0000}"/>
    <cellStyle name="Porcentual 3 2 3" xfId="4001" xr:uid="{00000000-0005-0000-0000-0000302F0000}"/>
    <cellStyle name="Porcentual 3 2 3 2" xfId="9522" xr:uid="{00000000-0005-0000-0000-0000312F0000}"/>
    <cellStyle name="Porcentual 3 2 4" xfId="4002" xr:uid="{00000000-0005-0000-0000-0000322F0000}"/>
    <cellStyle name="Porcentual 3 2 4 2" xfId="9523" xr:uid="{00000000-0005-0000-0000-0000332F0000}"/>
    <cellStyle name="Porcentual 3 2 5" xfId="4003" xr:uid="{00000000-0005-0000-0000-0000342F0000}"/>
    <cellStyle name="Porcentual 3 2 5 2" xfId="9524" xr:uid="{00000000-0005-0000-0000-0000352F0000}"/>
    <cellStyle name="Porcentual 3 2 6" xfId="4004" xr:uid="{00000000-0005-0000-0000-0000362F0000}"/>
    <cellStyle name="Porcentual 3 2 6 2" xfId="9525" xr:uid="{00000000-0005-0000-0000-0000372F0000}"/>
    <cellStyle name="Porcentual 3 2 7" xfId="4005" xr:uid="{00000000-0005-0000-0000-0000382F0000}"/>
    <cellStyle name="Porcentual 3 2 7 2" xfId="9526" xr:uid="{00000000-0005-0000-0000-0000392F0000}"/>
    <cellStyle name="Porcentual 3 2 8" xfId="4006" xr:uid="{00000000-0005-0000-0000-00003A2F0000}"/>
    <cellStyle name="Porcentual 3 2 8 2" xfId="9527" xr:uid="{00000000-0005-0000-0000-00003B2F0000}"/>
    <cellStyle name="Porcentual 3 2 9" xfId="3999" xr:uid="{00000000-0005-0000-0000-00003C2F0000}"/>
    <cellStyle name="Porcentual 3 3" xfId="4007" xr:uid="{00000000-0005-0000-0000-00003D2F0000}"/>
    <cellStyle name="Porcentual 3 3 2" xfId="9528" xr:uid="{00000000-0005-0000-0000-00003E2F0000}"/>
    <cellStyle name="Porcentual 3 4" xfId="4008" xr:uid="{00000000-0005-0000-0000-00003F2F0000}"/>
    <cellStyle name="Porcentual 3 5" xfId="4009" xr:uid="{00000000-0005-0000-0000-0000402F0000}"/>
    <cellStyle name="Porcentual 3 6" xfId="4010" xr:uid="{00000000-0005-0000-0000-0000412F0000}"/>
    <cellStyle name="Porcentual 3 7" xfId="4011" xr:uid="{00000000-0005-0000-0000-0000422F0000}"/>
    <cellStyle name="Porcentual 3 8" xfId="4012" xr:uid="{00000000-0005-0000-0000-0000432F0000}"/>
    <cellStyle name="Porcentual 3 9" xfId="4013" xr:uid="{00000000-0005-0000-0000-0000442F0000}"/>
    <cellStyle name="Porcentual 30" xfId="4014" xr:uid="{00000000-0005-0000-0000-0000452F0000}"/>
    <cellStyle name="Porcentual 30 2" xfId="7545" xr:uid="{00000000-0005-0000-0000-0000462F0000}"/>
    <cellStyle name="Porcentual 30 2 2" xfId="9796" xr:uid="{00000000-0005-0000-0000-0000472F0000}"/>
    <cellStyle name="Porcentual 30 2 2 2" xfId="10495" xr:uid="{00000000-0005-0000-0000-0000482F0000}"/>
    <cellStyle name="Porcentual 30 2 2 2 2" xfId="12230" xr:uid="{00000000-0005-0000-0000-0000492F0000}"/>
    <cellStyle name="Porcentual 30 2 2 3" xfId="11583" xr:uid="{00000000-0005-0000-0000-00004A2F0000}"/>
    <cellStyle name="Porcentual 30 2 3" xfId="10208" xr:uid="{00000000-0005-0000-0000-00004B2F0000}"/>
    <cellStyle name="Porcentual 30 2 3 2" xfId="11944" xr:uid="{00000000-0005-0000-0000-00004C2F0000}"/>
    <cellStyle name="Porcentual 30 2 4" xfId="11218" xr:uid="{00000000-0005-0000-0000-00004D2F0000}"/>
    <cellStyle name="Porcentual 30 3" xfId="7546" xr:uid="{00000000-0005-0000-0000-00004E2F0000}"/>
    <cellStyle name="Porcentual 30 3 2" xfId="9797" xr:uid="{00000000-0005-0000-0000-00004F2F0000}"/>
    <cellStyle name="Porcentual 30 3 2 2" xfId="10496" xr:uid="{00000000-0005-0000-0000-0000502F0000}"/>
    <cellStyle name="Porcentual 30 3 2 2 2" xfId="12231" xr:uid="{00000000-0005-0000-0000-0000512F0000}"/>
    <cellStyle name="Porcentual 30 3 2 3" xfId="11584" xr:uid="{00000000-0005-0000-0000-0000522F0000}"/>
    <cellStyle name="Porcentual 30 3 3" xfId="10209" xr:uid="{00000000-0005-0000-0000-0000532F0000}"/>
    <cellStyle name="Porcentual 30 3 3 2" xfId="11945" xr:uid="{00000000-0005-0000-0000-0000542F0000}"/>
    <cellStyle name="Porcentual 30 3 4" xfId="11219" xr:uid="{00000000-0005-0000-0000-0000552F0000}"/>
    <cellStyle name="Porcentual 30 4" xfId="9529" xr:uid="{00000000-0005-0000-0000-0000562F0000}"/>
    <cellStyle name="Porcentual 31" xfId="4015" xr:uid="{00000000-0005-0000-0000-0000572F0000}"/>
    <cellStyle name="Porcentual 31 2" xfId="7547" xr:uid="{00000000-0005-0000-0000-0000582F0000}"/>
    <cellStyle name="Porcentual 31 2 2" xfId="9798" xr:uid="{00000000-0005-0000-0000-0000592F0000}"/>
    <cellStyle name="Porcentual 31 2 2 2" xfId="10497" xr:uid="{00000000-0005-0000-0000-00005A2F0000}"/>
    <cellStyle name="Porcentual 31 2 2 2 2" xfId="12232" xr:uid="{00000000-0005-0000-0000-00005B2F0000}"/>
    <cellStyle name="Porcentual 31 2 2 3" xfId="11585" xr:uid="{00000000-0005-0000-0000-00005C2F0000}"/>
    <cellStyle name="Porcentual 31 2 3" xfId="10210" xr:uid="{00000000-0005-0000-0000-00005D2F0000}"/>
    <cellStyle name="Porcentual 31 2 3 2" xfId="11946" xr:uid="{00000000-0005-0000-0000-00005E2F0000}"/>
    <cellStyle name="Porcentual 31 2 4" xfId="11220" xr:uid="{00000000-0005-0000-0000-00005F2F0000}"/>
    <cellStyle name="Porcentual 31 3" xfId="9530" xr:uid="{00000000-0005-0000-0000-0000602F0000}"/>
    <cellStyle name="Porcentual 32" xfId="4016" xr:uid="{00000000-0005-0000-0000-0000612F0000}"/>
    <cellStyle name="Porcentual 32 2" xfId="7548" xr:uid="{00000000-0005-0000-0000-0000622F0000}"/>
    <cellStyle name="Porcentual 32 2 2" xfId="9799" xr:uid="{00000000-0005-0000-0000-0000632F0000}"/>
    <cellStyle name="Porcentual 32 2 2 2" xfId="10498" xr:uid="{00000000-0005-0000-0000-0000642F0000}"/>
    <cellStyle name="Porcentual 32 2 2 2 2" xfId="12233" xr:uid="{00000000-0005-0000-0000-0000652F0000}"/>
    <cellStyle name="Porcentual 32 2 2 3" xfId="11586" xr:uid="{00000000-0005-0000-0000-0000662F0000}"/>
    <cellStyle name="Porcentual 32 2 3" xfId="10211" xr:uid="{00000000-0005-0000-0000-0000672F0000}"/>
    <cellStyle name="Porcentual 32 2 3 2" xfId="11947" xr:uid="{00000000-0005-0000-0000-0000682F0000}"/>
    <cellStyle name="Porcentual 32 2 4" xfId="11221" xr:uid="{00000000-0005-0000-0000-0000692F0000}"/>
    <cellStyle name="Porcentual 32 3" xfId="9531" xr:uid="{00000000-0005-0000-0000-00006A2F0000}"/>
    <cellStyle name="Porcentual 33" xfId="4017" xr:uid="{00000000-0005-0000-0000-00006B2F0000}"/>
    <cellStyle name="Porcentual 33 2" xfId="7549" xr:uid="{00000000-0005-0000-0000-00006C2F0000}"/>
    <cellStyle name="Porcentual 33 2 2" xfId="9800" xr:uid="{00000000-0005-0000-0000-00006D2F0000}"/>
    <cellStyle name="Porcentual 33 2 2 2" xfId="10499" xr:uid="{00000000-0005-0000-0000-00006E2F0000}"/>
    <cellStyle name="Porcentual 33 2 2 2 2" xfId="12234" xr:uid="{00000000-0005-0000-0000-00006F2F0000}"/>
    <cellStyle name="Porcentual 33 2 2 3" xfId="11587" xr:uid="{00000000-0005-0000-0000-0000702F0000}"/>
    <cellStyle name="Porcentual 33 2 3" xfId="10212" xr:uid="{00000000-0005-0000-0000-0000712F0000}"/>
    <cellStyle name="Porcentual 33 2 3 2" xfId="11948" xr:uid="{00000000-0005-0000-0000-0000722F0000}"/>
    <cellStyle name="Porcentual 33 2 4" xfId="11222" xr:uid="{00000000-0005-0000-0000-0000732F0000}"/>
    <cellStyle name="Porcentual 33 3" xfId="9532" xr:uid="{00000000-0005-0000-0000-0000742F0000}"/>
    <cellStyle name="Porcentual 34" xfId="4018" xr:uid="{00000000-0005-0000-0000-0000752F0000}"/>
    <cellStyle name="Porcentual 34 2" xfId="7550" xr:uid="{00000000-0005-0000-0000-0000762F0000}"/>
    <cellStyle name="Porcentual 34 2 2" xfId="9801" xr:uid="{00000000-0005-0000-0000-0000772F0000}"/>
    <cellStyle name="Porcentual 34 2 2 2" xfId="10500" xr:uid="{00000000-0005-0000-0000-0000782F0000}"/>
    <cellStyle name="Porcentual 34 2 2 2 2" xfId="12235" xr:uid="{00000000-0005-0000-0000-0000792F0000}"/>
    <cellStyle name="Porcentual 34 2 2 3" xfId="11588" xr:uid="{00000000-0005-0000-0000-00007A2F0000}"/>
    <cellStyle name="Porcentual 34 2 3" xfId="10213" xr:uid="{00000000-0005-0000-0000-00007B2F0000}"/>
    <cellStyle name="Porcentual 34 2 3 2" xfId="11949" xr:uid="{00000000-0005-0000-0000-00007C2F0000}"/>
    <cellStyle name="Porcentual 34 2 4" xfId="11223" xr:uid="{00000000-0005-0000-0000-00007D2F0000}"/>
    <cellStyle name="Porcentual 34 3" xfId="9533" xr:uid="{00000000-0005-0000-0000-00007E2F0000}"/>
    <cellStyle name="Porcentual 35" xfId="4019" xr:uid="{00000000-0005-0000-0000-00007F2F0000}"/>
    <cellStyle name="Porcentual 35 2" xfId="7551" xr:uid="{00000000-0005-0000-0000-0000802F0000}"/>
    <cellStyle name="Porcentual 35 2 2" xfId="9802" xr:uid="{00000000-0005-0000-0000-0000812F0000}"/>
    <cellStyle name="Porcentual 35 2 2 2" xfId="10501" xr:uid="{00000000-0005-0000-0000-0000822F0000}"/>
    <cellStyle name="Porcentual 35 2 2 2 2" xfId="12236" xr:uid="{00000000-0005-0000-0000-0000832F0000}"/>
    <cellStyle name="Porcentual 35 2 2 3" xfId="11589" xr:uid="{00000000-0005-0000-0000-0000842F0000}"/>
    <cellStyle name="Porcentual 35 2 3" xfId="10214" xr:uid="{00000000-0005-0000-0000-0000852F0000}"/>
    <cellStyle name="Porcentual 35 2 3 2" xfId="11950" xr:uid="{00000000-0005-0000-0000-0000862F0000}"/>
    <cellStyle name="Porcentual 35 2 4" xfId="11224" xr:uid="{00000000-0005-0000-0000-0000872F0000}"/>
    <cellStyle name="Porcentual 35 3" xfId="9534" xr:uid="{00000000-0005-0000-0000-0000882F0000}"/>
    <cellStyle name="Porcentual 36" xfId="4020" xr:uid="{00000000-0005-0000-0000-0000892F0000}"/>
    <cellStyle name="Porcentual 36 2" xfId="7552" xr:uid="{00000000-0005-0000-0000-00008A2F0000}"/>
    <cellStyle name="Porcentual 36 2 2" xfId="9803" xr:uid="{00000000-0005-0000-0000-00008B2F0000}"/>
    <cellStyle name="Porcentual 36 2 2 2" xfId="10502" xr:uid="{00000000-0005-0000-0000-00008C2F0000}"/>
    <cellStyle name="Porcentual 36 2 2 2 2" xfId="12237" xr:uid="{00000000-0005-0000-0000-00008D2F0000}"/>
    <cellStyle name="Porcentual 36 2 2 3" xfId="11590" xr:uid="{00000000-0005-0000-0000-00008E2F0000}"/>
    <cellStyle name="Porcentual 36 2 3" xfId="10215" xr:uid="{00000000-0005-0000-0000-00008F2F0000}"/>
    <cellStyle name="Porcentual 36 2 3 2" xfId="11951" xr:uid="{00000000-0005-0000-0000-0000902F0000}"/>
    <cellStyle name="Porcentual 36 2 4" xfId="11225" xr:uid="{00000000-0005-0000-0000-0000912F0000}"/>
    <cellStyle name="Porcentual 36 3" xfId="9535" xr:uid="{00000000-0005-0000-0000-0000922F0000}"/>
    <cellStyle name="Porcentual 37" xfId="4021" xr:uid="{00000000-0005-0000-0000-0000932F0000}"/>
    <cellStyle name="Porcentual 37 2" xfId="7553" xr:uid="{00000000-0005-0000-0000-0000942F0000}"/>
    <cellStyle name="Porcentual 37 2 2" xfId="9804" xr:uid="{00000000-0005-0000-0000-0000952F0000}"/>
    <cellStyle name="Porcentual 37 2 2 2" xfId="10503" xr:uid="{00000000-0005-0000-0000-0000962F0000}"/>
    <cellStyle name="Porcentual 37 2 2 2 2" xfId="12238" xr:uid="{00000000-0005-0000-0000-0000972F0000}"/>
    <cellStyle name="Porcentual 37 2 2 3" xfId="11591" xr:uid="{00000000-0005-0000-0000-0000982F0000}"/>
    <cellStyle name="Porcentual 37 2 3" xfId="10216" xr:uid="{00000000-0005-0000-0000-0000992F0000}"/>
    <cellStyle name="Porcentual 37 2 3 2" xfId="11952" xr:uid="{00000000-0005-0000-0000-00009A2F0000}"/>
    <cellStyle name="Porcentual 37 2 4" xfId="11226" xr:uid="{00000000-0005-0000-0000-00009B2F0000}"/>
    <cellStyle name="Porcentual 37 3" xfId="9536" xr:uid="{00000000-0005-0000-0000-00009C2F0000}"/>
    <cellStyle name="Porcentual 38" xfId="4022" xr:uid="{00000000-0005-0000-0000-00009D2F0000}"/>
    <cellStyle name="Porcentual 38 2" xfId="7554" xr:uid="{00000000-0005-0000-0000-00009E2F0000}"/>
    <cellStyle name="Porcentual 38 2 2" xfId="9805" xr:uid="{00000000-0005-0000-0000-00009F2F0000}"/>
    <cellStyle name="Porcentual 38 2 2 2" xfId="10504" xr:uid="{00000000-0005-0000-0000-0000A02F0000}"/>
    <cellStyle name="Porcentual 38 2 2 2 2" xfId="12239" xr:uid="{00000000-0005-0000-0000-0000A12F0000}"/>
    <cellStyle name="Porcentual 38 2 2 3" xfId="11592" xr:uid="{00000000-0005-0000-0000-0000A22F0000}"/>
    <cellStyle name="Porcentual 38 2 3" xfId="10217" xr:uid="{00000000-0005-0000-0000-0000A32F0000}"/>
    <cellStyle name="Porcentual 38 2 3 2" xfId="11953" xr:uid="{00000000-0005-0000-0000-0000A42F0000}"/>
    <cellStyle name="Porcentual 38 2 4" xfId="11227" xr:uid="{00000000-0005-0000-0000-0000A52F0000}"/>
    <cellStyle name="Porcentual 38 3" xfId="9537" xr:uid="{00000000-0005-0000-0000-0000A62F0000}"/>
    <cellStyle name="Porcentual 39" xfId="4023" xr:uid="{00000000-0005-0000-0000-0000A72F0000}"/>
    <cellStyle name="Porcentual 39 2" xfId="7555" xr:uid="{00000000-0005-0000-0000-0000A82F0000}"/>
    <cellStyle name="Porcentual 39 2 2" xfId="9806" xr:uid="{00000000-0005-0000-0000-0000A92F0000}"/>
    <cellStyle name="Porcentual 39 2 2 2" xfId="10505" xr:uid="{00000000-0005-0000-0000-0000AA2F0000}"/>
    <cellStyle name="Porcentual 39 2 2 2 2" xfId="12240" xr:uid="{00000000-0005-0000-0000-0000AB2F0000}"/>
    <cellStyle name="Porcentual 39 2 2 3" xfId="11593" xr:uid="{00000000-0005-0000-0000-0000AC2F0000}"/>
    <cellStyle name="Porcentual 39 2 3" xfId="10218" xr:uid="{00000000-0005-0000-0000-0000AD2F0000}"/>
    <cellStyle name="Porcentual 39 2 3 2" xfId="11954" xr:uid="{00000000-0005-0000-0000-0000AE2F0000}"/>
    <cellStyle name="Porcentual 39 2 4" xfId="11228" xr:uid="{00000000-0005-0000-0000-0000AF2F0000}"/>
    <cellStyle name="Porcentual 39 3" xfId="9538" xr:uid="{00000000-0005-0000-0000-0000B02F0000}"/>
    <cellStyle name="Porcentual 4" xfId="129" xr:uid="{00000000-0005-0000-0000-0000B12F0000}"/>
    <cellStyle name="Porcentual 4 2" xfId="130" xr:uid="{00000000-0005-0000-0000-0000B22F0000}"/>
    <cellStyle name="Porcentual 4 2 2" xfId="7556" xr:uid="{00000000-0005-0000-0000-0000B32F0000}"/>
    <cellStyle name="Porcentual 4 2 3" xfId="4025" xr:uid="{00000000-0005-0000-0000-0000B42F0000}"/>
    <cellStyle name="Porcentual 4 3" xfId="7557" xr:uid="{00000000-0005-0000-0000-0000B52F0000}"/>
    <cellStyle name="Porcentual 4 4" xfId="4024" xr:uid="{00000000-0005-0000-0000-0000B62F0000}"/>
    <cellStyle name="Porcentual 40" xfId="4026" xr:uid="{00000000-0005-0000-0000-0000B72F0000}"/>
    <cellStyle name="Porcentual 40 2" xfId="7558" xr:uid="{00000000-0005-0000-0000-0000B82F0000}"/>
    <cellStyle name="Porcentual 40 2 2" xfId="9807" xr:uid="{00000000-0005-0000-0000-0000B92F0000}"/>
    <cellStyle name="Porcentual 40 2 2 2" xfId="10506" xr:uid="{00000000-0005-0000-0000-0000BA2F0000}"/>
    <cellStyle name="Porcentual 40 2 2 2 2" xfId="12241" xr:uid="{00000000-0005-0000-0000-0000BB2F0000}"/>
    <cellStyle name="Porcentual 40 2 2 3" xfId="11594" xr:uid="{00000000-0005-0000-0000-0000BC2F0000}"/>
    <cellStyle name="Porcentual 40 2 3" xfId="10219" xr:uid="{00000000-0005-0000-0000-0000BD2F0000}"/>
    <cellStyle name="Porcentual 40 2 3 2" xfId="11955" xr:uid="{00000000-0005-0000-0000-0000BE2F0000}"/>
    <cellStyle name="Porcentual 40 2 4" xfId="11229" xr:uid="{00000000-0005-0000-0000-0000BF2F0000}"/>
    <cellStyle name="Porcentual 40 3" xfId="9539" xr:uid="{00000000-0005-0000-0000-0000C02F0000}"/>
    <cellStyle name="Porcentual 41" xfId="4027" xr:uid="{00000000-0005-0000-0000-0000C12F0000}"/>
    <cellStyle name="Porcentual 41 2" xfId="7559" xr:uid="{00000000-0005-0000-0000-0000C22F0000}"/>
    <cellStyle name="Porcentual 41 2 2" xfId="9808" xr:uid="{00000000-0005-0000-0000-0000C32F0000}"/>
    <cellStyle name="Porcentual 41 2 2 2" xfId="10507" xr:uid="{00000000-0005-0000-0000-0000C42F0000}"/>
    <cellStyle name="Porcentual 41 2 2 2 2" xfId="12242" xr:uid="{00000000-0005-0000-0000-0000C52F0000}"/>
    <cellStyle name="Porcentual 41 2 2 3" xfId="11595" xr:uid="{00000000-0005-0000-0000-0000C62F0000}"/>
    <cellStyle name="Porcentual 41 2 3" xfId="10220" xr:uid="{00000000-0005-0000-0000-0000C72F0000}"/>
    <cellStyle name="Porcentual 41 2 3 2" xfId="11956" xr:uid="{00000000-0005-0000-0000-0000C82F0000}"/>
    <cellStyle name="Porcentual 41 2 4" xfId="11230" xr:uid="{00000000-0005-0000-0000-0000C92F0000}"/>
    <cellStyle name="Porcentual 41 3" xfId="9540" xr:uid="{00000000-0005-0000-0000-0000CA2F0000}"/>
    <cellStyle name="Porcentual 42" xfId="4028" xr:uid="{00000000-0005-0000-0000-0000CB2F0000}"/>
    <cellStyle name="Porcentual 42 2" xfId="7560" xr:uid="{00000000-0005-0000-0000-0000CC2F0000}"/>
    <cellStyle name="Porcentual 42 2 2" xfId="9809" xr:uid="{00000000-0005-0000-0000-0000CD2F0000}"/>
    <cellStyle name="Porcentual 42 2 2 2" xfId="10508" xr:uid="{00000000-0005-0000-0000-0000CE2F0000}"/>
    <cellStyle name="Porcentual 42 2 2 2 2" xfId="12243" xr:uid="{00000000-0005-0000-0000-0000CF2F0000}"/>
    <cellStyle name="Porcentual 42 2 2 3" xfId="11596" xr:uid="{00000000-0005-0000-0000-0000D02F0000}"/>
    <cellStyle name="Porcentual 42 2 3" xfId="10221" xr:uid="{00000000-0005-0000-0000-0000D12F0000}"/>
    <cellStyle name="Porcentual 42 2 3 2" xfId="11957" xr:uid="{00000000-0005-0000-0000-0000D22F0000}"/>
    <cellStyle name="Porcentual 42 2 4" xfId="11231" xr:uid="{00000000-0005-0000-0000-0000D32F0000}"/>
    <cellStyle name="Porcentual 42 3" xfId="9541" xr:uid="{00000000-0005-0000-0000-0000D42F0000}"/>
    <cellStyle name="Porcentual 45" xfId="4029" xr:uid="{00000000-0005-0000-0000-0000D52F0000}"/>
    <cellStyle name="Porcentual 45 2" xfId="7561" xr:uid="{00000000-0005-0000-0000-0000D62F0000}"/>
    <cellStyle name="Porcentual 45 2 2" xfId="9810" xr:uid="{00000000-0005-0000-0000-0000D72F0000}"/>
    <cellStyle name="Porcentual 45 2 2 2" xfId="10509" xr:uid="{00000000-0005-0000-0000-0000D82F0000}"/>
    <cellStyle name="Porcentual 45 2 2 2 2" xfId="12244" xr:uid="{00000000-0005-0000-0000-0000D92F0000}"/>
    <cellStyle name="Porcentual 45 2 2 3" xfId="11597" xr:uid="{00000000-0005-0000-0000-0000DA2F0000}"/>
    <cellStyle name="Porcentual 45 2 3" xfId="10222" xr:uid="{00000000-0005-0000-0000-0000DB2F0000}"/>
    <cellStyle name="Porcentual 45 2 3 2" xfId="11958" xr:uid="{00000000-0005-0000-0000-0000DC2F0000}"/>
    <cellStyle name="Porcentual 45 2 4" xfId="11232" xr:uid="{00000000-0005-0000-0000-0000DD2F0000}"/>
    <cellStyle name="Porcentual 45 3" xfId="9542" xr:uid="{00000000-0005-0000-0000-0000DE2F0000}"/>
    <cellStyle name="Porcentual 46" xfId="4030" xr:uid="{00000000-0005-0000-0000-0000DF2F0000}"/>
    <cellStyle name="Porcentual 46 2" xfId="7562" xr:uid="{00000000-0005-0000-0000-0000E02F0000}"/>
    <cellStyle name="Porcentual 46 2 2" xfId="9811" xr:uid="{00000000-0005-0000-0000-0000E12F0000}"/>
    <cellStyle name="Porcentual 46 2 2 2" xfId="10510" xr:uid="{00000000-0005-0000-0000-0000E22F0000}"/>
    <cellStyle name="Porcentual 46 2 2 2 2" xfId="12245" xr:uid="{00000000-0005-0000-0000-0000E32F0000}"/>
    <cellStyle name="Porcentual 46 2 2 3" xfId="11598" xr:uid="{00000000-0005-0000-0000-0000E42F0000}"/>
    <cellStyle name="Porcentual 46 2 3" xfId="10223" xr:uid="{00000000-0005-0000-0000-0000E52F0000}"/>
    <cellStyle name="Porcentual 46 2 3 2" xfId="11959" xr:uid="{00000000-0005-0000-0000-0000E62F0000}"/>
    <cellStyle name="Porcentual 46 2 4" xfId="11233" xr:uid="{00000000-0005-0000-0000-0000E72F0000}"/>
    <cellStyle name="Porcentual 46 3" xfId="9543" xr:uid="{00000000-0005-0000-0000-0000E82F0000}"/>
    <cellStyle name="Porcentual 47" xfId="4031" xr:uid="{00000000-0005-0000-0000-0000E92F0000}"/>
    <cellStyle name="Porcentual 47 2" xfId="7563" xr:uid="{00000000-0005-0000-0000-0000EA2F0000}"/>
    <cellStyle name="Porcentual 47 2 2" xfId="9812" xr:uid="{00000000-0005-0000-0000-0000EB2F0000}"/>
    <cellStyle name="Porcentual 47 2 2 2" xfId="10511" xr:uid="{00000000-0005-0000-0000-0000EC2F0000}"/>
    <cellStyle name="Porcentual 47 2 2 2 2" xfId="12246" xr:uid="{00000000-0005-0000-0000-0000ED2F0000}"/>
    <cellStyle name="Porcentual 47 2 2 3" xfId="11599" xr:uid="{00000000-0005-0000-0000-0000EE2F0000}"/>
    <cellStyle name="Porcentual 47 2 3" xfId="10224" xr:uid="{00000000-0005-0000-0000-0000EF2F0000}"/>
    <cellStyle name="Porcentual 47 2 3 2" xfId="11960" xr:uid="{00000000-0005-0000-0000-0000F02F0000}"/>
    <cellStyle name="Porcentual 47 2 4" xfId="11234" xr:uid="{00000000-0005-0000-0000-0000F12F0000}"/>
    <cellStyle name="Porcentual 47 3" xfId="9544" xr:uid="{00000000-0005-0000-0000-0000F22F0000}"/>
    <cellStyle name="Porcentual 48" xfId="4032" xr:uid="{00000000-0005-0000-0000-0000F32F0000}"/>
    <cellStyle name="Porcentual 48 2" xfId="7564" xr:uid="{00000000-0005-0000-0000-0000F42F0000}"/>
    <cellStyle name="Porcentual 48 2 2" xfId="9813" xr:uid="{00000000-0005-0000-0000-0000F52F0000}"/>
    <cellStyle name="Porcentual 48 2 2 2" xfId="10512" xr:uid="{00000000-0005-0000-0000-0000F62F0000}"/>
    <cellStyle name="Porcentual 48 2 2 2 2" xfId="12247" xr:uid="{00000000-0005-0000-0000-0000F72F0000}"/>
    <cellStyle name="Porcentual 48 2 2 3" xfId="11600" xr:uid="{00000000-0005-0000-0000-0000F82F0000}"/>
    <cellStyle name="Porcentual 48 2 3" xfId="10225" xr:uid="{00000000-0005-0000-0000-0000F92F0000}"/>
    <cellStyle name="Porcentual 48 2 3 2" xfId="11961" xr:uid="{00000000-0005-0000-0000-0000FA2F0000}"/>
    <cellStyle name="Porcentual 48 2 4" xfId="11235" xr:uid="{00000000-0005-0000-0000-0000FB2F0000}"/>
    <cellStyle name="Porcentual 48 3" xfId="9545" xr:uid="{00000000-0005-0000-0000-0000FC2F0000}"/>
    <cellStyle name="Porcentual 49" xfId="4033" xr:uid="{00000000-0005-0000-0000-0000FD2F0000}"/>
    <cellStyle name="Porcentual 49 2" xfId="7565" xr:uid="{00000000-0005-0000-0000-0000FE2F0000}"/>
    <cellStyle name="Porcentual 49 2 2" xfId="9814" xr:uid="{00000000-0005-0000-0000-0000FF2F0000}"/>
    <cellStyle name="Porcentual 49 2 2 2" xfId="10513" xr:uid="{00000000-0005-0000-0000-000000300000}"/>
    <cellStyle name="Porcentual 49 2 2 2 2" xfId="12248" xr:uid="{00000000-0005-0000-0000-000001300000}"/>
    <cellStyle name="Porcentual 49 2 2 3" xfId="11601" xr:uid="{00000000-0005-0000-0000-000002300000}"/>
    <cellStyle name="Porcentual 49 2 3" xfId="10226" xr:uid="{00000000-0005-0000-0000-000003300000}"/>
    <cellStyle name="Porcentual 49 2 3 2" xfId="11962" xr:uid="{00000000-0005-0000-0000-000004300000}"/>
    <cellStyle name="Porcentual 49 2 4" xfId="11236" xr:uid="{00000000-0005-0000-0000-000005300000}"/>
    <cellStyle name="Porcentual 49 3" xfId="9546" xr:uid="{00000000-0005-0000-0000-000006300000}"/>
    <cellStyle name="Porcentual 5" xfId="131" xr:uid="{00000000-0005-0000-0000-000007300000}"/>
    <cellStyle name="Porcentual 5 2" xfId="4034" xr:uid="{00000000-0005-0000-0000-000008300000}"/>
    <cellStyle name="Porcentual 50" xfId="4035" xr:uid="{00000000-0005-0000-0000-000009300000}"/>
    <cellStyle name="Porcentual 50 2" xfId="7566" xr:uid="{00000000-0005-0000-0000-00000A300000}"/>
    <cellStyle name="Porcentual 50 2 2" xfId="9815" xr:uid="{00000000-0005-0000-0000-00000B300000}"/>
    <cellStyle name="Porcentual 50 2 2 2" xfId="10514" xr:uid="{00000000-0005-0000-0000-00000C300000}"/>
    <cellStyle name="Porcentual 50 2 2 2 2" xfId="12249" xr:uid="{00000000-0005-0000-0000-00000D300000}"/>
    <cellStyle name="Porcentual 50 2 2 3" xfId="11602" xr:uid="{00000000-0005-0000-0000-00000E300000}"/>
    <cellStyle name="Porcentual 50 2 3" xfId="10227" xr:uid="{00000000-0005-0000-0000-00000F300000}"/>
    <cellStyle name="Porcentual 50 2 3 2" xfId="11963" xr:uid="{00000000-0005-0000-0000-000010300000}"/>
    <cellStyle name="Porcentual 50 2 4" xfId="11237" xr:uid="{00000000-0005-0000-0000-000011300000}"/>
    <cellStyle name="Porcentual 50 3" xfId="9547" xr:uid="{00000000-0005-0000-0000-000012300000}"/>
    <cellStyle name="Porcentual 52" xfId="4036" xr:uid="{00000000-0005-0000-0000-000013300000}"/>
    <cellStyle name="Porcentual 52 2" xfId="7567" xr:uid="{00000000-0005-0000-0000-000014300000}"/>
    <cellStyle name="Porcentual 52 2 2" xfId="9816" xr:uid="{00000000-0005-0000-0000-000015300000}"/>
    <cellStyle name="Porcentual 52 2 2 2" xfId="10515" xr:uid="{00000000-0005-0000-0000-000016300000}"/>
    <cellStyle name="Porcentual 52 2 2 2 2" xfId="12250" xr:uid="{00000000-0005-0000-0000-000017300000}"/>
    <cellStyle name="Porcentual 52 2 2 3" xfId="11603" xr:uid="{00000000-0005-0000-0000-000018300000}"/>
    <cellStyle name="Porcentual 52 2 3" xfId="10228" xr:uid="{00000000-0005-0000-0000-000019300000}"/>
    <cellStyle name="Porcentual 52 2 3 2" xfId="11964" xr:uid="{00000000-0005-0000-0000-00001A300000}"/>
    <cellStyle name="Porcentual 52 2 4" xfId="11238" xr:uid="{00000000-0005-0000-0000-00001B300000}"/>
    <cellStyle name="Porcentual 52 3" xfId="9548" xr:uid="{00000000-0005-0000-0000-00001C300000}"/>
    <cellStyle name="Porcentual 53" xfId="4037" xr:uid="{00000000-0005-0000-0000-00001D300000}"/>
    <cellStyle name="Porcentual 53 2" xfId="7568" xr:uid="{00000000-0005-0000-0000-00001E300000}"/>
    <cellStyle name="Porcentual 53 2 2" xfId="9817" xr:uid="{00000000-0005-0000-0000-00001F300000}"/>
    <cellStyle name="Porcentual 53 2 2 2" xfId="10516" xr:uid="{00000000-0005-0000-0000-000020300000}"/>
    <cellStyle name="Porcentual 53 2 2 2 2" xfId="12251" xr:uid="{00000000-0005-0000-0000-000021300000}"/>
    <cellStyle name="Porcentual 53 2 2 3" xfId="11604" xr:uid="{00000000-0005-0000-0000-000022300000}"/>
    <cellStyle name="Porcentual 53 2 3" xfId="10229" xr:uid="{00000000-0005-0000-0000-000023300000}"/>
    <cellStyle name="Porcentual 53 2 3 2" xfId="11965" xr:uid="{00000000-0005-0000-0000-000024300000}"/>
    <cellStyle name="Porcentual 53 2 4" xfId="11239" xr:uid="{00000000-0005-0000-0000-000025300000}"/>
    <cellStyle name="Porcentual 53 3" xfId="9549" xr:uid="{00000000-0005-0000-0000-000026300000}"/>
    <cellStyle name="Porcentual 55" xfId="4038" xr:uid="{00000000-0005-0000-0000-000027300000}"/>
    <cellStyle name="Porcentual 55 2" xfId="7569" xr:uid="{00000000-0005-0000-0000-000028300000}"/>
    <cellStyle name="Porcentual 55 2 2" xfId="9818" xr:uid="{00000000-0005-0000-0000-000029300000}"/>
    <cellStyle name="Porcentual 55 2 2 2" xfId="10517" xr:uid="{00000000-0005-0000-0000-00002A300000}"/>
    <cellStyle name="Porcentual 55 2 2 2 2" xfId="12252" xr:uid="{00000000-0005-0000-0000-00002B300000}"/>
    <cellStyle name="Porcentual 55 2 2 3" xfId="11605" xr:uid="{00000000-0005-0000-0000-00002C300000}"/>
    <cellStyle name="Porcentual 55 2 3" xfId="10230" xr:uid="{00000000-0005-0000-0000-00002D300000}"/>
    <cellStyle name="Porcentual 55 2 3 2" xfId="11966" xr:uid="{00000000-0005-0000-0000-00002E300000}"/>
    <cellStyle name="Porcentual 55 2 4" xfId="11240" xr:uid="{00000000-0005-0000-0000-00002F300000}"/>
    <cellStyle name="Porcentual 55 3" xfId="9550" xr:uid="{00000000-0005-0000-0000-000030300000}"/>
    <cellStyle name="Porcentual 56" xfId="4039" xr:uid="{00000000-0005-0000-0000-000031300000}"/>
    <cellStyle name="Porcentual 56 2" xfId="7570" xr:uid="{00000000-0005-0000-0000-000032300000}"/>
    <cellStyle name="Porcentual 56 2 2" xfId="9819" xr:uid="{00000000-0005-0000-0000-000033300000}"/>
    <cellStyle name="Porcentual 56 2 2 2" xfId="10518" xr:uid="{00000000-0005-0000-0000-000034300000}"/>
    <cellStyle name="Porcentual 56 2 2 2 2" xfId="12253" xr:uid="{00000000-0005-0000-0000-000035300000}"/>
    <cellStyle name="Porcentual 56 2 2 3" xfId="11606" xr:uid="{00000000-0005-0000-0000-000036300000}"/>
    <cellStyle name="Porcentual 56 2 3" xfId="10231" xr:uid="{00000000-0005-0000-0000-000037300000}"/>
    <cellStyle name="Porcentual 56 2 3 2" xfId="11967" xr:uid="{00000000-0005-0000-0000-000038300000}"/>
    <cellStyle name="Porcentual 56 2 4" xfId="11241" xr:uid="{00000000-0005-0000-0000-000039300000}"/>
    <cellStyle name="Porcentual 56 3" xfId="9551" xr:uid="{00000000-0005-0000-0000-00003A300000}"/>
    <cellStyle name="Porcentual 6" xfId="132" xr:uid="{00000000-0005-0000-0000-00003B300000}"/>
    <cellStyle name="Porcentual 6 2" xfId="9552" xr:uid="{00000000-0005-0000-0000-00003C300000}"/>
    <cellStyle name="Porcentual 7" xfId="4040" xr:uid="{00000000-0005-0000-0000-00003D300000}"/>
    <cellStyle name="Porcentual 7 2" xfId="7571" xr:uid="{00000000-0005-0000-0000-00003E300000}"/>
    <cellStyle name="Porcentual 8" xfId="4041" xr:uid="{00000000-0005-0000-0000-00003F300000}"/>
    <cellStyle name="Porcentual 8 2" xfId="7572" xr:uid="{00000000-0005-0000-0000-000040300000}"/>
    <cellStyle name="Porcentual 8 2 2" xfId="7573" xr:uid="{00000000-0005-0000-0000-000041300000}"/>
    <cellStyle name="Porcentual 8 2 2 2" xfId="9821" xr:uid="{00000000-0005-0000-0000-000042300000}"/>
    <cellStyle name="Porcentual 8 2 2 2 2" xfId="10520" xr:uid="{00000000-0005-0000-0000-000043300000}"/>
    <cellStyle name="Porcentual 8 2 2 2 2 2" xfId="12255" xr:uid="{00000000-0005-0000-0000-000044300000}"/>
    <cellStyle name="Porcentual 8 2 2 2 3" xfId="11608" xr:uid="{00000000-0005-0000-0000-000045300000}"/>
    <cellStyle name="Porcentual 8 2 2 3" xfId="10233" xr:uid="{00000000-0005-0000-0000-000046300000}"/>
    <cellStyle name="Porcentual 8 2 2 3 2" xfId="11969" xr:uid="{00000000-0005-0000-0000-000047300000}"/>
    <cellStyle name="Porcentual 8 2 2 4" xfId="11243" xr:uid="{00000000-0005-0000-0000-000048300000}"/>
    <cellStyle name="Porcentual 8 2 3" xfId="9820" xr:uid="{00000000-0005-0000-0000-000049300000}"/>
    <cellStyle name="Porcentual 8 2 3 2" xfId="10519" xr:uid="{00000000-0005-0000-0000-00004A300000}"/>
    <cellStyle name="Porcentual 8 2 3 2 2" xfId="12254" xr:uid="{00000000-0005-0000-0000-00004B300000}"/>
    <cellStyle name="Porcentual 8 2 3 3" xfId="11607" xr:uid="{00000000-0005-0000-0000-00004C300000}"/>
    <cellStyle name="Porcentual 8 2 4" xfId="10232" xr:uid="{00000000-0005-0000-0000-00004D300000}"/>
    <cellStyle name="Porcentual 8 2 4 2" xfId="11968" xr:uid="{00000000-0005-0000-0000-00004E300000}"/>
    <cellStyle name="Porcentual 8 2 5" xfId="11242" xr:uid="{00000000-0005-0000-0000-00004F300000}"/>
    <cellStyle name="Porcentual 8 3" xfId="9553" xr:uid="{00000000-0005-0000-0000-000050300000}"/>
    <cellStyle name="Porcentual 9" xfId="4042" xr:uid="{00000000-0005-0000-0000-000051300000}"/>
    <cellStyle name="Porcentual 9 2" xfId="7574" xr:uid="{00000000-0005-0000-0000-000052300000}"/>
    <cellStyle name="Porcentual 9 2 2" xfId="9822" xr:uid="{00000000-0005-0000-0000-000053300000}"/>
    <cellStyle name="Porcentual 9 2 2 2" xfId="10521" xr:uid="{00000000-0005-0000-0000-000054300000}"/>
    <cellStyle name="Porcentual 9 2 2 2 2" xfId="12256" xr:uid="{00000000-0005-0000-0000-000055300000}"/>
    <cellStyle name="Porcentual 9 2 2 3" xfId="11609" xr:uid="{00000000-0005-0000-0000-000056300000}"/>
    <cellStyle name="Porcentual 9 2 3" xfId="10234" xr:uid="{00000000-0005-0000-0000-000057300000}"/>
    <cellStyle name="Porcentual 9 2 3 2" xfId="11970" xr:uid="{00000000-0005-0000-0000-000058300000}"/>
    <cellStyle name="Porcentual 9 2 4" xfId="11244" xr:uid="{00000000-0005-0000-0000-000059300000}"/>
    <cellStyle name="Porcentual 9 3" xfId="9554" xr:uid="{00000000-0005-0000-0000-00005A300000}"/>
    <cellStyle name="Punto" xfId="4043" xr:uid="{00000000-0005-0000-0000-00005B300000}"/>
    <cellStyle name="Punto0" xfId="133" xr:uid="{00000000-0005-0000-0000-00005C300000}"/>
    <cellStyle name="Punto0 2" xfId="4044" xr:uid="{00000000-0005-0000-0000-00005D300000}"/>
    <cellStyle name="Punto0 3" xfId="10625" xr:uid="{00000000-0005-0000-0000-00005E300000}"/>
    <cellStyle name="Salida" xfId="44" builtinId="21" customBuiltin="1"/>
    <cellStyle name="Salida 2" xfId="9918" xr:uid="{00000000-0005-0000-0000-000060300000}"/>
    <cellStyle name="Salida 2 2" xfId="12364" xr:uid="{00000000-0005-0000-0000-000061300000}"/>
    <cellStyle name="Salida 2 3" xfId="12356" xr:uid="{00000000-0005-0000-0000-000062300000}"/>
    <cellStyle name="Texto de advertencia" xfId="48" builtinId="11" customBuiltin="1"/>
    <cellStyle name="Texto de advertencia 2" xfId="9919" xr:uid="{00000000-0005-0000-0000-000064300000}"/>
    <cellStyle name="Texto explicativo" xfId="49" builtinId="53" customBuiltin="1"/>
    <cellStyle name="Texto explicativo 2" xfId="9920" xr:uid="{00000000-0005-0000-0000-000066300000}"/>
    <cellStyle name="Texto explicativo 3" xfId="10586" xr:uid="{00000000-0005-0000-0000-000067300000}"/>
    <cellStyle name="Título" xfId="35" builtinId="15" customBuiltin="1"/>
    <cellStyle name="Título 1" xfId="9922" xr:uid="{00000000-0005-0000-0000-000069300000}"/>
    <cellStyle name="Título 2" xfId="37" builtinId="17" customBuiltin="1"/>
    <cellStyle name="Título 2 2" xfId="9923" xr:uid="{00000000-0005-0000-0000-00006B300000}"/>
    <cellStyle name="Título 3" xfId="38" builtinId="18" customBuiltin="1"/>
    <cellStyle name="Título 3 2" xfId="9924" xr:uid="{00000000-0005-0000-0000-00006D300000}"/>
    <cellStyle name="Título 4" xfId="9921" xr:uid="{00000000-0005-0000-0000-00006E300000}"/>
    <cellStyle name="Total" xfId="20" builtinId="25" customBuiltin="1"/>
    <cellStyle name="Total 2" xfId="76" xr:uid="{00000000-0005-0000-0000-000070300000}"/>
    <cellStyle name="Total 2 2" xfId="85" xr:uid="{00000000-0005-0000-0000-000071300000}"/>
    <cellStyle name="Total 2 2 2" xfId="4076" xr:uid="{00000000-0005-0000-0000-000072300000}"/>
    <cellStyle name="Total 2 3" xfId="4046" xr:uid="{00000000-0005-0000-0000-000073300000}"/>
    <cellStyle name="Total 3" xfId="4141" xr:uid="{00000000-0005-0000-0000-000074300000}"/>
    <cellStyle name="Total 4" xfId="4068" xr:uid="{00000000-0005-0000-0000-000075300000}"/>
    <cellStyle name="Total 5" xfId="4187" xr:uid="{00000000-0005-0000-0000-000076300000}"/>
    <cellStyle name="Total 6" xfId="9555" xr:uid="{00000000-0005-0000-0000-000077300000}"/>
    <cellStyle name="Total 7" xfId="4045" xr:uid="{00000000-0005-0000-0000-000078300000}"/>
    <cellStyle name="Total 8" xfId="9925" xr:uid="{00000000-0005-0000-0000-000079300000}"/>
    <cellStyle name="Total 8 2" xfId="12365" xr:uid="{00000000-0005-0000-0000-00007A300000}"/>
    <cellStyle name="Total 8 3" xfId="12359" xr:uid="{00000000-0005-0000-0000-00007B300000}"/>
    <cellStyle name="Total 9" xfId="10646" xr:uid="{00000000-0005-0000-0000-00007C300000}"/>
  </cellStyles>
  <dxfs count="4">
    <dxf>
      <font>
        <b/>
        <i val="0"/>
        <condense val="0"/>
        <extend val="0"/>
        <color indexed="12"/>
      </font>
      <fill>
        <patternFill>
          <bgColor indexed="22"/>
        </patternFill>
      </fill>
    </dxf>
    <dxf>
      <font>
        <b/>
        <i val="0"/>
        <condense val="0"/>
        <extend val="0"/>
        <color indexed="10"/>
      </font>
      <fill>
        <patternFill>
          <bgColor indexed="22"/>
        </patternFill>
      </fill>
    </dxf>
    <dxf>
      <font>
        <b/>
        <i val="0"/>
        <condense val="0"/>
        <extend val="0"/>
        <color indexed="16"/>
      </font>
      <fill>
        <patternFill>
          <bgColor indexed="45"/>
        </patternFill>
      </fill>
    </dxf>
    <dxf>
      <font>
        <b/>
        <i val="0"/>
        <condense val="0"/>
        <extend val="0"/>
        <color indexed="16"/>
      </font>
      <fill>
        <patternFill>
          <bgColor indexed="45"/>
        </patternFill>
      </fill>
    </dxf>
  </dxfs>
  <tableStyles count="0" defaultTableStyle="TableStyleMedium2" defaultPivotStyle="PivotStyleLight16"/>
  <colors>
    <mruColors>
      <color rgb="FF008000"/>
      <color rgb="FF009900"/>
      <color rgb="FFFF3300"/>
      <color rgb="FF996600"/>
      <color rgb="FFFF99CC"/>
      <color rgb="FF5439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92</xdr:row>
      <xdr:rowOff>28575</xdr:rowOff>
    </xdr:from>
    <xdr:to>
      <xdr:col>8</xdr:col>
      <xdr:colOff>0</xdr:colOff>
      <xdr:row>100</xdr:row>
      <xdr:rowOff>53340</xdr:rowOff>
    </xdr:to>
    <xdr:sp macro="" textlink="">
      <xdr:nvSpPr>
        <xdr:cNvPr id="30725" name="Rectangle 5">
          <a:extLst>
            <a:ext uri="{FF2B5EF4-FFF2-40B4-BE49-F238E27FC236}">
              <a16:creationId xmlns:a16="http://schemas.microsoft.com/office/drawing/2014/main" id="{00000000-0008-0000-0000-000005780000}"/>
            </a:ext>
          </a:extLst>
        </xdr:cNvPr>
        <xdr:cNvSpPr>
          <a:spLocks noChangeArrowheads="1"/>
        </xdr:cNvSpPr>
      </xdr:nvSpPr>
      <xdr:spPr bwMode="auto">
        <a:xfrm>
          <a:off x="280035" y="19253835"/>
          <a:ext cx="7873365" cy="1419225"/>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44000" tIns="0" rIns="144000" bIns="0" anchor="ctr" upright="1"/>
        <a:lstStyle/>
        <a:p>
          <a:pPr algn="just" rtl="0">
            <a:defRPr sz="1000"/>
          </a:pPr>
          <a:r>
            <a:rPr lang="es-AR" sz="1000" b="0" i="0" u="none" strike="noStrike" baseline="0">
              <a:solidFill>
                <a:srgbClr val="000000"/>
              </a:solidFill>
              <a:latin typeface="Arial"/>
              <a:cs typeface="Arial"/>
            </a:rPr>
            <a:t>La siguiente base de datos se actualiza en forma mensual con la agradecida ayuda que nos brindan diferentes instituciones al suministrarnos acceso a sus registros estadísticos. En cuanto a su contenido, incluye una extensa lista de series temporales ordenadas por tema y que, en su gran mayoría, presentan un alcance provincial. </a:t>
          </a:r>
        </a:p>
        <a:p>
          <a:pPr algn="just" rtl="0">
            <a:defRPr sz="1000"/>
          </a:pPr>
          <a:r>
            <a:rPr lang="es-AR" sz="1000" b="0" i="0" u="none" strike="noStrike" baseline="0">
              <a:solidFill>
                <a:srgbClr val="000000"/>
              </a:solidFill>
              <a:latin typeface="Arial"/>
              <a:cs typeface="Arial"/>
            </a:rPr>
            <a:t>Los datos son expuestos en forma bruta de la misma manera en que son publicados originalmente. Sin embargo, dicha información es procesada todos los meses por los economistas del CES con el objeto de obtener valores filtrados de irregularidades extremas, estacionalidad y otras frecuencias intra-anuales, pudiendo conocer el componente de tendencia-ciclo de cada una de las series (el software utilizado a estos fines es </a:t>
          </a:r>
          <a:r>
            <a:rPr lang="es-AR" sz="1000" b="0" i="0" u="none" strike="noStrike" baseline="0">
              <a:solidFill>
                <a:srgbClr val="000000"/>
              </a:solidFill>
              <a:latin typeface="Arial"/>
              <a:ea typeface="+mn-ea"/>
              <a:cs typeface="Arial"/>
            </a:rPr>
            <a:t>el X-13ARIMA-SEATS</a:t>
          </a:r>
          <a:r>
            <a:rPr lang="es-AR" sz="1000" b="0" i="0" u="none" strike="noStrike" baseline="0">
              <a:solidFill>
                <a:srgbClr val="000000"/>
              </a:solidFill>
              <a:latin typeface="Arial"/>
              <a:cs typeface="Arial"/>
            </a:rPr>
            <a:t>). Estos resultados no son expuestos en la base de datos pero pueden solicitarse a nuestro equipo de trabajo.</a:t>
          </a:r>
          <a:endParaRPr lang="es-AR" sz="1200" b="1" i="0" u="none" strike="noStrike" baseline="0">
            <a:solidFill>
              <a:srgbClr val="000000"/>
            </a:solidFill>
            <a:latin typeface="Arial"/>
            <a:cs typeface="Arial"/>
          </a:endParaRPr>
        </a:p>
      </xdr:txBody>
    </xdr:sp>
    <xdr:clientData/>
  </xdr:twoCellAnchor>
  <xdr:twoCellAnchor>
    <xdr:from>
      <xdr:col>2</xdr:col>
      <xdr:colOff>1209675</xdr:colOff>
      <xdr:row>84</xdr:row>
      <xdr:rowOff>66675</xdr:rowOff>
    </xdr:from>
    <xdr:to>
      <xdr:col>2</xdr:col>
      <xdr:colOff>1209675</xdr:colOff>
      <xdr:row>88</xdr:row>
      <xdr:rowOff>47625</xdr:rowOff>
    </xdr:to>
    <xdr:sp macro="" textlink="">
      <xdr:nvSpPr>
        <xdr:cNvPr id="30728" name="Line 8">
          <a:extLst>
            <a:ext uri="{FF2B5EF4-FFF2-40B4-BE49-F238E27FC236}">
              <a16:creationId xmlns:a16="http://schemas.microsoft.com/office/drawing/2014/main" id="{00000000-0008-0000-0000-000008780000}"/>
            </a:ext>
          </a:extLst>
        </xdr:cNvPr>
        <xdr:cNvSpPr>
          <a:spLocks noChangeShapeType="1"/>
        </xdr:cNvSpPr>
      </xdr:nvSpPr>
      <xdr:spPr bwMode="auto">
        <a:xfrm>
          <a:off x="1457325" y="17916525"/>
          <a:ext cx="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685800</xdr:colOff>
      <xdr:row>84</xdr:row>
      <xdr:rowOff>89535</xdr:rowOff>
    </xdr:from>
    <xdr:to>
      <xdr:col>7</xdr:col>
      <xdr:colOff>685800</xdr:colOff>
      <xdr:row>88</xdr:row>
      <xdr:rowOff>70485</xdr:rowOff>
    </xdr:to>
    <xdr:sp macro="" textlink="">
      <xdr:nvSpPr>
        <xdr:cNvPr id="30729" name="Line 9">
          <a:extLst>
            <a:ext uri="{FF2B5EF4-FFF2-40B4-BE49-F238E27FC236}">
              <a16:creationId xmlns:a16="http://schemas.microsoft.com/office/drawing/2014/main" id="{00000000-0008-0000-0000-000009780000}"/>
            </a:ext>
          </a:extLst>
        </xdr:cNvPr>
        <xdr:cNvSpPr>
          <a:spLocks noChangeShapeType="1"/>
        </xdr:cNvSpPr>
      </xdr:nvSpPr>
      <xdr:spPr bwMode="auto">
        <a:xfrm>
          <a:off x="7665720" y="18072735"/>
          <a:ext cx="0" cy="57531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619125</xdr:colOff>
      <xdr:row>84</xdr:row>
      <xdr:rowOff>76200</xdr:rowOff>
    </xdr:from>
    <xdr:to>
      <xdr:col>2</xdr:col>
      <xdr:colOff>619125</xdr:colOff>
      <xdr:row>88</xdr:row>
      <xdr:rowOff>57150</xdr:rowOff>
    </xdr:to>
    <xdr:sp macro="" textlink="">
      <xdr:nvSpPr>
        <xdr:cNvPr id="30731" name="Line 11">
          <a:extLst>
            <a:ext uri="{FF2B5EF4-FFF2-40B4-BE49-F238E27FC236}">
              <a16:creationId xmlns:a16="http://schemas.microsoft.com/office/drawing/2014/main" id="{00000000-0008-0000-0000-00000B780000}"/>
            </a:ext>
          </a:extLst>
        </xdr:cNvPr>
        <xdr:cNvSpPr>
          <a:spLocks noChangeShapeType="1"/>
        </xdr:cNvSpPr>
      </xdr:nvSpPr>
      <xdr:spPr bwMode="auto">
        <a:xfrm>
          <a:off x="866775" y="17926050"/>
          <a:ext cx="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1</xdr:row>
      <xdr:rowOff>19050</xdr:rowOff>
    </xdr:from>
    <xdr:to>
      <xdr:col>2</xdr:col>
      <xdr:colOff>1539518</xdr:colOff>
      <xdr:row>5</xdr:row>
      <xdr:rowOff>142875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51"/>
        <a:stretch/>
      </xdr:blipFill>
      <xdr:spPr>
        <a:xfrm>
          <a:off x="257175" y="180975"/>
          <a:ext cx="1558568" cy="7715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32.bin"/><Relationship Id="rId1" Type="http://schemas.openxmlformats.org/officeDocument/2006/relationships/hyperlink" Target="https://servicios.mae.com.ar/estadisticas/volumenes_rfcv.aspx" TargetMode="External"/><Relationship Id="rId4" Type="http://schemas.openxmlformats.org/officeDocument/2006/relationships/comments" Target="../comments2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499984740745262"/>
  </sheetPr>
  <dimension ref="A2:AG110"/>
  <sheetViews>
    <sheetView tabSelected="1" zoomScaleNormal="100" workbookViewId="0">
      <pane xSplit="1" ySplit="12" topLeftCell="B13" activePane="bottomRight" state="frozen"/>
      <selection pane="topRight" activeCell="B1" sqref="B1"/>
      <selection pane="bottomLeft" activeCell="A10" sqref="A10"/>
      <selection pane="bottomRight" activeCell="F11" sqref="F11"/>
    </sheetView>
  </sheetViews>
  <sheetFormatPr baseColWidth="10" defaultColWidth="11.42578125" defaultRowHeight="12.75"/>
  <cols>
    <col min="1" max="1" width="2.140625" style="2" bestFit="1" customWidth="1"/>
    <col min="2" max="2" width="2" style="2" customWidth="1"/>
    <col min="3" max="3" width="25.28515625" style="2" customWidth="1"/>
    <col min="4" max="4" width="1.5703125" style="2" customWidth="1"/>
    <col min="5" max="5" width="46.28515625" style="2" customWidth="1"/>
    <col min="6" max="6" width="13.28515625" style="2" customWidth="1"/>
    <col min="7" max="7" width="15.28515625" style="2" customWidth="1"/>
    <col min="8" max="8" width="17.28515625" style="2" customWidth="1"/>
    <col min="9" max="9" width="11.42578125" style="2" customWidth="1"/>
    <col min="10" max="16384" width="11.42578125" style="2"/>
  </cols>
  <sheetData>
    <row r="2" spans="1:9">
      <c r="E2" s="18" t="s">
        <v>186</v>
      </c>
    </row>
    <row r="3" spans="1:9">
      <c r="E3" s="18" t="s">
        <v>348</v>
      </c>
    </row>
    <row r="4" spans="1:9">
      <c r="E4" s="18" t="s">
        <v>1250</v>
      </c>
    </row>
    <row r="5" spans="1:9">
      <c r="E5" s="18" t="s">
        <v>121</v>
      </c>
    </row>
    <row r="6" spans="1:9">
      <c r="E6" s="18" t="s">
        <v>347</v>
      </c>
    </row>
    <row r="7" spans="1:9">
      <c r="A7" s="2" t="s">
        <v>74</v>
      </c>
      <c r="E7" s="18"/>
    </row>
    <row r="8" spans="1:9" s="492" customFormat="1" ht="20.100000000000001" customHeight="1">
      <c r="C8" s="492" t="s">
        <v>187</v>
      </c>
    </row>
    <row r="9" spans="1:9" s="187" customFormat="1" ht="4.5" customHeight="1"/>
    <row r="10" spans="1:9" s="187" customFormat="1" ht="19.5" customHeight="1">
      <c r="C10" s="188" t="s">
        <v>1672</v>
      </c>
      <c r="F10" s="489" t="s">
        <v>1673</v>
      </c>
    </row>
    <row r="11" spans="1:9" s="187" customFormat="1" ht="14.1" customHeight="1">
      <c r="C11" s="188" t="s">
        <v>1249</v>
      </c>
    </row>
    <row r="12" spans="1:9" s="17" customFormat="1" ht="8.25" customHeight="1"/>
    <row r="13" spans="1:9" s="487" customFormat="1" ht="20.100000000000001" customHeight="1">
      <c r="C13" s="487" t="s">
        <v>195</v>
      </c>
      <c r="F13" s="488" t="s">
        <v>205</v>
      </c>
      <c r="G13" s="488" t="s">
        <v>201</v>
      </c>
      <c r="H13" s="488" t="s">
        <v>220</v>
      </c>
    </row>
    <row r="14" spans="1:9" s="23" customFormat="1" ht="19.5" customHeight="1">
      <c r="C14" s="490" t="s">
        <v>704</v>
      </c>
      <c r="D14" s="607"/>
      <c r="E14" s="607"/>
      <c r="F14" s="608" t="s">
        <v>188</v>
      </c>
      <c r="G14" s="608">
        <f>COLUMNS('1.1'!C:E)</f>
        <v>3</v>
      </c>
      <c r="H14" s="608">
        <v>1994.01</v>
      </c>
      <c r="I14" s="607"/>
    </row>
    <row r="15" spans="1:9" s="23" customFormat="1" ht="19.5" customHeight="1">
      <c r="B15" s="490"/>
      <c r="C15" s="490" t="s">
        <v>1414</v>
      </c>
      <c r="D15" s="607"/>
      <c r="E15" s="607"/>
      <c r="F15" s="2511" t="s">
        <v>188</v>
      </c>
      <c r="G15" s="608">
        <f>COLUMNS('1.2'!B:P)</f>
        <v>15</v>
      </c>
      <c r="H15" s="2511">
        <v>1998.06</v>
      </c>
      <c r="I15" s="607"/>
    </row>
    <row r="16" spans="1:9" s="23" customFormat="1" ht="19.5" customHeight="1">
      <c r="B16" s="490"/>
      <c r="C16" s="490" t="s">
        <v>1577</v>
      </c>
      <c r="D16" s="607"/>
      <c r="E16" s="607"/>
      <c r="F16" s="2511" t="s">
        <v>188</v>
      </c>
      <c r="G16" s="608">
        <f>COLUMNS('1.2.b'!B:T)</f>
        <v>19</v>
      </c>
      <c r="H16" s="2511">
        <v>2004.01</v>
      </c>
      <c r="I16" s="607"/>
    </row>
    <row r="17" spans="1:12" s="23" customFormat="1" ht="20.100000000000001" customHeight="1">
      <c r="A17" s="23" t="s">
        <v>960</v>
      </c>
      <c r="B17" s="490"/>
      <c r="C17" s="490" t="s">
        <v>1376</v>
      </c>
      <c r="D17" s="607"/>
      <c r="E17" s="607"/>
      <c r="F17" s="608" t="s">
        <v>188</v>
      </c>
      <c r="G17" s="608">
        <f>COLUMNS('1.3'!B:H)</f>
        <v>7</v>
      </c>
      <c r="H17" s="608">
        <v>1993.01</v>
      </c>
      <c r="I17" s="607"/>
    </row>
    <row r="18" spans="1:12" s="23" customFormat="1" ht="20.100000000000001" customHeight="1">
      <c r="B18" s="490"/>
      <c r="C18" s="490" t="s">
        <v>1377</v>
      </c>
      <c r="D18" s="607"/>
      <c r="E18" s="607"/>
      <c r="F18" s="608" t="s">
        <v>188</v>
      </c>
      <c r="G18" s="608">
        <f>COLUMNS('1.4'!B:B)</f>
        <v>1</v>
      </c>
      <c r="H18" s="608">
        <v>1993.01</v>
      </c>
      <c r="I18" s="607"/>
    </row>
    <row r="19" spans="1:12" s="23" customFormat="1" ht="20.100000000000001" customHeight="1">
      <c r="B19" s="490"/>
      <c r="C19" s="490" t="s">
        <v>1378</v>
      </c>
      <c r="D19" s="607"/>
      <c r="E19" s="607"/>
      <c r="F19" s="608" t="s">
        <v>189</v>
      </c>
      <c r="G19" s="608">
        <f>COLUMNS('1.5'!B:U)</f>
        <v>20</v>
      </c>
      <c r="H19" s="608">
        <v>1884</v>
      </c>
      <c r="I19" s="607"/>
    </row>
    <row r="20" spans="1:12" s="23" customFormat="1" ht="20.100000000000001" customHeight="1">
      <c r="B20" s="490"/>
      <c r="C20" s="490" t="s">
        <v>1379</v>
      </c>
      <c r="D20" s="607"/>
      <c r="E20" s="607"/>
      <c r="F20" s="608" t="s">
        <v>190</v>
      </c>
      <c r="G20" s="608">
        <f>COLUMNS('1.6'!B:Z)</f>
        <v>25</v>
      </c>
      <c r="H20" s="608" t="s">
        <v>867</v>
      </c>
      <c r="I20" s="607"/>
    </row>
    <row r="21" spans="1:12" s="23" customFormat="1" ht="20.100000000000001" customHeight="1">
      <c r="B21" s="490"/>
      <c r="C21" s="490" t="s">
        <v>1380</v>
      </c>
      <c r="D21" s="607"/>
      <c r="E21" s="607"/>
      <c r="F21" s="608" t="s">
        <v>188</v>
      </c>
      <c r="G21" s="608">
        <f>COLUMNS('1.7'!B:C)</f>
        <v>2</v>
      </c>
      <c r="H21" s="608">
        <v>1991.07</v>
      </c>
      <c r="I21" s="607"/>
    </row>
    <row r="22" spans="1:12" s="487" customFormat="1" ht="20.100000000000001" customHeight="1">
      <c r="C22" s="487" t="s">
        <v>196</v>
      </c>
      <c r="F22" s="488" t="s">
        <v>205</v>
      </c>
      <c r="G22" s="488" t="s">
        <v>201</v>
      </c>
      <c r="H22" s="488" t="s">
        <v>220</v>
      </c>
    </row>
    <row r="23" spans="1:12" s="23" customFormat="1" ht="19.5" customHeight="1">
      <c r="C23" s="490" t="s">
        <v>1348</v>
      </c>
      <c r="F23" s="189" t="s">
        <v>188</v>
      </c>
      <c r="G23" s="189">
        <f>COLUMNS('2.1'!B:O)</f>
        <v>14</v>
      </c>
      <c r="H23" s="1128">
        <v>2004.06</v>
      </c>
    </row>
    <row r="24" spans="1:12" s="23" customFormat="1" ht="20.100000000000001" customHeight="1">
      <c r="C24" s="490" t="s">
        <v>1492</v>
      </c>
      <c r="F24" s="189" t="s">
        <v>188</v>
      </c>
      <c r="G24" s="189">
        <f>COLUMNS('2.2'!B:AG)</f>
        <v>32</v>
      </c>
      <c r="H24" s="380">
        <v>1994.01</v>
      </c>
    </row>
    <row r="25" spans="1:12" s="23" customFormat="1" ht="20.100000000000001" customHeight="1">
      <c r="C25" s="606" t="s">
        <v>1493</v>
      </c>
      <c r="F25" s="801" t="s">
        <v>188</v>
      </c>
      <c r="G25" s="189">
        <f>COLUMNS('2.2.a'!B:H)</f>
        <v>7</v>
      </c>
      <c r="H25" s="841">
        <v>2008.01</v>
      </c>
    </row>
    <row r="26" spans="1:12" s="23" customFormat="1" ht="20.100000000000001" customHeight="1">
      <c r="C26" s="606" t="s">
        <v>1214</v>
      </c>
      <c r="F26" s="801" t="s">
        <v>188</v>
      </c>
      <c r="G26" s="189">
        <f>COLUMNS('2.2.b'!B:F)</f>
        <v>5</v>
      </c>
      <c r="H26" s="1120">
        <v>2001.1</v>
      </c>
    </row>
    <row r="27" spans="1:12" s="23" customFormat="1" ht="20.100000000000001" customHeight="1">
      <c r="C27" s="606" t="s">
        <v>1279</v>
      </c>
      <c r="D27" s="606"/>
      <c r="E27" s="606"/>
      <c r="F27" s="801" t="s">
        <v>188</v>
      </c>
      <c r="G27" s="189">
        <f>COLUMNS('2.2.c'!B8:D8)</f>
        <v>3</v>
      </c>
      <c r="H27" s="1120">
        <v>2013.01</v>
      </c>
      <c r="L27" s="2516"/>
    </row>
    <row r="28" spans="1:12" s="23" customFormat="1" ht="20.100000000000001" customHeight="1">
      <c r="C28" s="606" t="s">
        <v>1278</v>
      </c>
      <c r="D28" s="606"/>
      <c r="E28" s="606"/>
      <c r="F28" s="801" t="s">
        <v>188</v>
      </c>
      <c r="G28" s="189">
        <f>COLUMNS('2.2.d'!B8:H8)</f>
        <v>7</v>
      </c>
      <c r="H28" s="1120">
        <v>2012.01</v>
      </c>
    </row>
    <row r="29" spans="1:12" s="23" customFormat="1" ht="20.100000000000001" customHeight="1">
      <c r="C29" s="606" t="s">
        <v>1299</v>
      </c>
      <c r="D29" s="606"/>
      <c r="E29" s="606"/>
      <c r="F29" s="801" t="s">
        <v>188</v>
      </c>
      <c r="G29" s="189">
        <f>COLUMNS('2.2.e'!B9:E9)</f>
        <v>4</v>
      </c>
      <c r="H29" s="1120">
        <v>2013.01</v>
      </c>
    </row>
    <row r="30" spans="1:12" s="23" customFormat="1" ht="20.100000000000001" customHeight="1">
      <c r="C30" s="490" t="s">
        <v>191</v>
      </c>
      <c r="F30" s="189" t="s">
        <v>190</v>
      </c>
      <c r="G30" s="189">
        <f>COLUMNS('2.3'!B9:U9)</f>
        <v>20</v>
      </c>
      <c r="H30" s="189" t="s">
        <v>868</v>
      </c>
    </row>
    <row r="31" spans="1:12" s="23" customFormat="1" ht="20.100000000000001" customHeight="1">
      <c r="C31" s="490" t="s">
        <v>192</v>
      </c>
      <c r="F31" s="189" t="s">
        <v>190</v>
      </c>
      <c r="G31" s="189">
        <f>COLUMNS('2.4'!B10:Y10)</f>
        <v>24</v>
      </c>
      <c r="H31" s="189" t="s">
        <v>868</v>
      </c>
    </row>
    <row r="32" spans="1:12" s="23" customFormat="1" ht="20.100000000000001" customHeight="1">
      <c r="A32" s="304"/>
      <c r="C32" s="490" t="s">
        <v>207</v>
      </c>
      <c r="F32" s="189" t="s">
        <v>302</v>
      </c>
      <c r="G32" s="189">
        <f>COLUMNS('2.5'!B:V)</f>
        <v>21</v>
      </c>
      <c r="H32" s="189" t="s">
        <v>869</v>
      </c>
    </row>
    <row r="33" spans="3:12" s="23" customFormat="1" ht="20.100000000000001" customHeight="1">
      <c r="C33" s="490" t="s">
        <v>917</v>
      </c>
      <c r="F33" s="189" t="s">
        <v>189</v>
      </c>
      <c r="G33" s="189">
        <f>COLUMNS('2.6'!B:D)</f>
        <v>3</v>
      </c>
      <c r="H33" s="189">
        <v>1810</v>
      </c>
    </row>
    <row r="34" spans="3:12" s="487" customFormat="1" ht="20.100000000000001" customHeight="1">
      <c r="C34" s="487" t="s">
        <v>197</v>
      </c>
      <c r="F34" s="488" t="s">
        <v>205</v>
      </c>
      <c r="G34" s="488" t="s">
        <v>201</v>
      </c>
      <c r="H34" s="488" t="s">
        <v>220</v>
      </c>
    </row>
    <row r="35" spans="3:12" s="23" customFormat="1" ht="20.100000000000001" customHeight="1">
      <c r="C35" s="490" t="s">
        <v>387</v>
      </c>
      <c r="F35" s="189" t="s">
        <v>188</v>
      </c>
      <c r="G35" s="189">
        <f>COLUMNS('3.1'!B:F)</f>
        <v>5</v>
      </c>
      <c r="H35" s="189">
        <v>1991.01</v>
      </c>
    </row>
    <row r="36" spans="3:12" s="23" customFormat="1" ht="20.100000000000001" customHeight="1">
      <c r="C36" s="490" t="s">
        <v>328</v>
      </c>
      <c r="F36" s="189" t="s">
        <v>188</v>
      </c>
      <c r="G36" s="189">
        <f>COLUMNS('3.2'!B:AG)</f>
        <v>32</v>
      </c>
      <c r="H36" s="189">
        <v>1993.01</v>
      </c>
      <c r="I36" s="306"/>
    </row>
    <row r="37" spans="3:12" s="23" customFormat="1" ht="20.100000000000001" customHeight="1">
      <c r="C37" s="490" t="s">
        <v>193</v>
      </c>
      <c r="F37" s="189" t="s">
        <v>188</v>
      </c>
      <c r="G37" s="189">
        <f>COLUMNS('3.3'!B:M)</f>
        <v>12</v>
      </c>
      <c r="H37" s="189">
        <v>1994.01</v>
      </c>
    </row>
    <row r="38" spans="3:12" s="23" customFormat="1" ht="20.100000000000001" customHeight="1">
      <c r="C38" s="490" t="s">
        <v>1021</v>
      </c>
      <c r="F38" s="189" t="s">
        <v>188</v>
      </c>
      <c r="G38" s="189">
        <f>COLUMNS('3.4'!B:O)</f>
        <v>14</v>
      </c>
      <c r="H38" s="189">
        <v>2000.01</v>
      </c>
    </row>
    <row r="39" spans="3:12" s="23" customFormat="1" ht="20.100000000000001" customHeight="1">
      <c r="C39" s="490" t="s">
        <v>355</v>
      </c>
      <c r="F39" s="189" t="s">
        <v>188</v>
      </c>
      <c r="G39" s="189">
        <f>COLUMNS('3.5'!B:Q)</f>
        <v>16</v>
      </c>
      <c r="H39" s="189">
        <v>1991.01</v>
      </c>
    </row>
    <row r="40" spans="3:12" s="23" customFormat="1" ht="20.100000000000001" customHeight="1">
      <c r="C40" s="610" t="s">
        <v>194</v>
      </c>
      <c r="D40" s="610"/>
      <c r="E40" s="610"/>
      <c r="F40" s="609" t="s">
        <v>188</v>
      </c>
      <c r="G40" s="609">
        <f>COLUMNS('3.6'!B:Q)</f>
        <v>16</v>
      </c>
      <c r="H40" s="609">
        <v>1994.01</v>
      </c>
      <c r="I40" s="638" t="s">
        <v>846</v>
      </c>
    </row>
    <row r="41" spans="3:12" s="23" customFormat="1" ht="20.100000000000001" customHeight="1">
      <c r="C41" s="491" t="s">
        <v>1228</v>
      </c>
      <c r="D41" s="1129"/>
      <c r="E41" s="1129"/>
      <c r="F41" s="1130" t="s">
        <v>190</v>
      </c>
      <c r="G41" s="1130">
        <f>COLUMNS('3.7'!B8:M8)</f>
        <v>12</v>
      </c>
      <c r="H41" s="1130" t="s">
        <v>1233</v>
      </c>
      <c r="I41" s="1131"/>
      <c r="J41" s="1129"/>
      <c r="K41" s="1129"/>
      <c r="L41" s="1129"/>
    </row>
    <row r="42" spans="3:12" s="23" customFormat="1" ht="20.100000000000001" customHeight="1">
      <c r="C42" s="491" t="s">
        <v>322</v>
      </c>
      <c r="F42" s="189" t="s">
        <v>188</v>
      </c>
      <c r="G42" s="189">
        <f>COLUMNS('3.8'!B:Q)</f>
        <v>16</v>
      </c>
      <c r="H42" s="189">
        <v>1993.01</v>
      </c>
      <c r="I42" s="306"/>
    </row>
    <row r="43" spans="3:12" s="23" customFormat="1" ht="20.100000000000001" customHeight="1">
      <c r="C43" s="491" t="s">
        <v>1237</v>
      </c>
      <c r="F43" s="189" t="s">
        <v>188</v>
      </c>
      <c r="G43" s="189">
        <f>COLUMNS('3.9'!B8:N8)</f>
        <v>13</v>
      </c>
      <c r="H43" s="189">
        <v>2002.01</v>
      </c>
      <c r="I43" s="306"/>
    </row>
    <row r="44" spans="3:12" s="23" customFormat="1" ht="20.100000000000001" customHeight="1">
      <c r="C44" s="491" t="s">
        <v>1115</v>
      </c>
      <c r="F44" s="189" t="s">
        <v>188</v>
      </c>
      <c r="G44" s="189">
        <f>COLUMNS('3.10'!B:T)</f>
        <v>19</v>
      </c>
      <c r="H44" s="189">
        <v>1994.01</v>
      </c>
      <c r="I44" s="306"/>
    </row>
    <row r="45" spans="3:12" s="23" customFormat="1" ht="20.100000000000001" customHeight="1">
      <c r="C45" s="491" t="s">
        <v>1169</v>
      </c>
      <c r="F45" s="189" t="s">
        <v>188</v>
      </c>
      <c r="G45" s="189">
        <f>COLUMNS('3.11'!B:S)</f>
        <v>18</v>
      </c>
      <c r="H45" s="189">
        <v>2004.01</v>
      </c>
      <c r="I45" s="306"/>
    </row>
    <row r="46" spans="3:12" s="487" customFormat="1" ht="20.100000000000001" customHeight="1">
      <c r="C46" s="487" t="s">
        <v>198</v>
      </c>
      <c r="F46" s="488" t="s">
        <v>205</v>
      </c>
      <c r="G46" s="488" t="s">
        <v>201</v>
      </c>
      <c r="H46" s="488" t="s">
        <v>220</v>
      </c>
    </row>
    <row r="47" spans="3:12" s="23" customFormat="1" ht="20.100000000000001" customHeight="1">
      <c r="C47" s="491" t="s">
        <v>199</v>
      </c>
      <c r="F47" s="189" t="s">
        <v>190</v>
      </c>
      <c r="G47" s="189">
        <f>COLUMNS('4.1'!B:P)</f>
        <v>15</v>
      </c>
      <c r="H47" s="189" t="s">
        <v>870</v>
      </c>
    </row>
    <row r="48" spans="3:12" s="23" customFormat="1" ht="20.100000000000001" customHeight="1">
      <c r="C48" s="491" t="s">
        <v>1195</v>
      </c>
      <c r="F48" s="189" t="s">
        <v>188</v>
      </c>
      <c r="G48" s="189">
        <f>COLUMNS('4.2'!B:F)</f>
        <v>5</v>
      </c>
      <c r="H48" s="189">
        <v>1994.01</v>
      </c>
    </row>
    <row r="49" spans="1:10" s="23" customFormat="1" ht="20.100000000000001" customHeight="1">
      <c r="A49" s="304"/>
      <c r="C49" s="491" t="s">
        <v>905</v>
      </c>
      <c r="F49" s="189" t="s">
        <v>188</v>
      </c>
      <c r="G49" s="189">
        <f>COLUMNS('4.3'!B:Y)</f>
        <v>24</v>
      </c>
      <c r="H49" s="189">
        <v>1997.01</v>
      </c>
    </row>
    <row r="50" spans="1:10" s="23" customFormat="1" ht="20.100000000000001" customHeight="1">
      <c r="C50" s="491" t="s">
        <v>200</v>
      </c>
      <c r="F50" s="189" t="s">
        <v>188</v>
      </c>
      <c r="G50" s="189">
        <f>COLUMNS('4.4'!B:H)</f>
        <v>7</v>
      </c>
      <c r="H50" s="189">
        <v>1998.07</v>
      </c>
    </row>
    <row r="51" spans="1:10" s="23" customFormat="1" ht="20.100000000000001" customHeight="1">
      <c r="C51" s="491" t="s">
        <v>364</v>
      </c>
      <c r="F51" s="189" t="s">
        <v>188</v>
      </c>
      <c r="G51" s="189">
        <f>COLUMNS('4.5'!B:J)</f>
        <v>9</v>
      </c>
      <c r="H51" s="189">
        <v>2007.01</v>
      </c>
    </row>
    <row r="52" spans="1:10" s="23" customFormat="1" ht="20.100000000000001" customHeight="1">
      <c r="C52" s="491" t="s">
        <v>46</v>
      </c>
      <c r="F52" s="609" t="s">
        <v>188</v>
      </c>
      <c r="G52" s="609" t="e">
        <f>COLUMNS('4.6'!#REF!)</f>
        <v>#REF!</v>
      </c>
      <c r="H52" s="609">
        <v>1995.12</v>
      </c>
      <c r="I52" s="385" t="s">
        <v>400</v>
      </c>
    </row>
    <row r="53" spans="1:10" s="23" customFormat="1" ht="20.100000000000001" customHeight="1">
      <c r="C53" s="491" t="s">
        <v>1632</v>
      </c>
      <c r="F53" s="841" t="s">
        <v>190</v>
      </c>
      <c r="G53" s="189">
        <f>COLUMNS('4.7'!B:Q)</f>
        <v>16</v>
      </c>
      <c r="H53" s="189" t="s">
        <v>1631</v>
      </c>
    </row>
    <row r="54" spans="1:10" s="487" customFormat="1" ht="20.100000000000001" customHeight="1">
      <c r="C54" s="487" t="s">
        <v>202</v>
      </c>
      <c r="F54" s="488" t="s">
        <v>205</v>
      </c>
      <c r="G54" s="488" t="s">
        <v>201</v>
      </c>
      <c r="H54" s="488" t="s">
        <v>220</v>
      </c>
    </row>
    <row r="55" spans="1:10" s="23" customFormat="1" ht="20.100000000000001" customHeight="1">
      <c r="C55" s="491" t="s">
        <v>203</v>
      </c>
      <c r="F55" s="189" t="s">
        <v>188</v>
      </c>
      <c r="G55" s="189">
        <f>COLUMNS('5.1'!B:N)</f>
        <v>13</v>
      </c>
      <c r="H55" s="189">
        <v>1993.01</v>
      </c>
    </row>
    <row r="56" spans="1:10" s="23" customFormat="1" ht="24" customHeight="1">
      <c r="C56" s="428" t="s">
        <v>753</v>
      </c>
      <c r="D56" s="429"/>
      <c r="E56" s="429"/>
      <c r="F56" s="305" t="s">
        <v>188</v>
      </c>
      <c r="G56" s="305" t="e">
        <f>COLUMNS('5.2'!#REF!)</f>
        <v>#REF!</v>
      </c>
      <c r="H56" s="305">
        <v>1994.01</v>
      </c>
      <c r="I56" s="385" t="s">
        <v>400</v>
      </c>
      <c r="J56" s="385"/>
    </row>
    <row r="57" spans="1:10" s="23" customFormat="1" ht="20.100000000000001" customHeight="1">
      <c r="C57" s="491" t="s">
        <v>204</v>
      </c>
      <c r="F57" s="189" t="s">
        <v>188</v>
      </c>
      <c r="G57" s="189">
        <f>COLUMNS('5.3'!B:V)</f>
        <v>21</v>
      </c>
      <c r="H57" s="189">
        <v>1994.01</v>
      </c>
    </row>
    <row r="58" spans="1:10" s="487" customFormat="1" ht="20.100000000000001" customHeight="1">
      <c r="C58" s="487" t="s">
        <v>206</v>
      </c>
      <c r="F58" s="488" t="s">
        <v>205</v>
      </c>
      <c r="G58" s="488" t="s">
        <v>201</v>
      </c>
      <c r="H58" s="488" t="s">
        <v>220</v>
      </c>
    </row>
    <row r="59" spans="1:10" s="23" customFormat="1" ht="20.100000000000001" customHeight="1">
      <c r="C59" s="491" t="s">
        <v>718</v>
      </c>
      <c r="F59" s="189" t="s">
        <v>188</v>
      </c>
      <c r="G59" s="189">
        <f>COLUMNS('6.1'!B:Q)</f>
        <v>16</v>
      </c>
      <c r="H59" s="189">
        <v>1993.01</v>
      </c>
      <c r="I59" s="306"/>
    </row>
    <row r="60" spans="1:10" s="23" customFormat="1" ht="20.100000000000001" customHeight="1">
      <c r="C60" s="491" t="s">
        <v>847</v>
      </c>
      <c r="F60" s="189" t="s">
        <v>188</v>
      </c>
      <c r="G60" s="189">
        <f>COLUMNS('6.2'!B:E)</f>
        <v>4</v>
      </c>
      <c r="H60" s="189">
        <v>1990.01</v>
      </c>
    </row>
    <row r="61" spans="1:10" s="23" customFormat="1" ht="20.100000000000001" customHeight="1">
      <c r="C61" s="491" t="s">
        <v>1176</v>
      </c>
      <c r="F61" s="841" t="s">
        <v>190</v>
      </c>
      <c r="G61" s="841">
        <f>COLUMNS('6.2.b'!B:I)</f>
        <v>8</v>
      </c>
      <c r="H61" s="841" t="s">
        <v>1196</v>
      </c>
    </row>
    <row r="62" spans="1:10" s="23" customFormat="1" ht="20.100000000000001" customHeight="1">
      <c r="C62" s="491" t="s">
        <v>744</v>
      </c>
      <c r="F62" s="189" t="s">
        <v>189</v>
      </c>
      <c r="G62" s="189">
        <f>COLUMNS('6.3'!B:N)</f>
        <v>13</v>
      </c>
      <c r="H62" s="189">
        <v>1994</v>
      </c>
    </row>
    <row r="63" spans="1:10" s="23" customFormat="1" ht="20.100000000000001" customHeight="1">
      <c r="C63" s="491" t="s">
        <v>928</v>
      </c>
      <c r="F63" s="189" t="s">
        <v>188</v>
      </c>
      <c r="G63" s="189">
        <f>COLUMNS('6.4'!B:F)</f>
        <v>5</v>
      </c>
      <c r="H63" s="189">
        <v>1991.01</v>
      </c>
    </row>
    <row r="64" spans="1:10" s="487" customFormat="1" ht="20.100000000000001" customHeight="1">
      <c r="C64" s="487" t="s">
        <v>334</v>
      </c>
      <c r="F64" s="488" t="s">
        <v>205</v>
      </c>
      <c r="G64" s="488" t="s">
        <v>201</v>
      </c>
      <c r="H64" s="488" t="s">
        <v>220</v>
      </c>
    </row>
    <row r="65" spans="3:8" s="23" customFormat="1" ht="20.100000000000001" customHeight="1">
      <c r="C65" s="491" t="s">
        <v>389</v>
      </c>
      <c r="F65" s="189" t="s">
        <v>188</v>
      </c>
      <c r="G65" s="189">
        <f>COLUMNS('7.1'!B:H)</f>
        <v>7</v>
      </c>
      <c r="H65" s="189">
        <v>1994.01</v>
      </c>
    </row>
    <row r="66" spans="3:8" s="23" customFormat="1" ht="20.100000000000001" customHeight="1">
      <c r="C66" s="491" t="s">
        <v>1302</v>
      </c>
      <c r="F66" s="189" t="s">
        <v>188</v>
      </c>
      <c r="G66" s="189">
        <f>COLUMNS('7.2'!B:B)</f>
        <v>1</v>
      </c>
      <c r="H66" s="189">
        <v>1992.01</v>
      </c>
    </row>
    <row r="67" spans="3:8" s="23" customFormat="1" ht="20.100000000000001" customHeight="1">
      <c r="C67" s="491" t="s">
        <v>335</v>
      </c>
      <c r="F67" s="189" t="s">
        <v>188</v>
      </c>
      <c r="G67" s="189">
        <f>COLUMNS('7.3'!B:E)</f>
        <v>4</v>
      </c>
      <c r="H67" s="189">
        <v>1992.01</v>
      </c>
    </row>
    <row r="68" spans="3:8" s="23" customFormat="1" ht="20.100000000000001" customHeight="1">
      <c r="C68" s="491" t="s">
        <v>336</v>
      </c>
      <c r="F68" s="189" t="s">
        <v>188</v>
      </c>
      <c r="G68" s="189">
        <f>COLUMNS('7.4'!B:C)</f>
        <v>2</v>
      </c>
      <c r="H68" s="189">
        <v>1994.01</v>
      </c>
    </row>
    <row r="69" spans="3:8" s="487" customFormat="1" ht="18.75" customHeight="1">
      <c r="C69" s="487" t="s">
        <v>116</v>
      </c>
      <c r="F69" s="488" t="s">
        <v>205</v>
      </c>
      <c r="G69" s="488" t="s">
        <v>201</v>
      </c>
      <c r="H69" s="488" t="s">
        <v>220</v>
      </c>
    </row>
    <row r="70" spans="3:8" s="23" customFormat="1" ht="20.100000000000001" customHeight="1">
      <c r="C70" s="491" t="s">
        <v>209</v>
      </c>
      <c r="D70" s="491"/>
      <c r="E70" s="491"/>
      <c r="F70" s="189" t="s">
        <v>188</v>
      </c>
      <c r="G70" s="189">
        <f>COLUMNS('8.1'!B:L)</f>
        <v>11</v>
      </c>
      <c r="H70" s="189">
        <v>1991.01</v>
      </c>
    </row>
    <row r="71" spans="3:8" s="23" customFormat="1" ht="20.100000000000001" customHeight="1">
      <c r="C71" s="491" t="s">
        <v>1361</v>
      </c>
      <c r="D71" s="491"/>
      <c r="E71" s="491"/>
      <c r="F71" s="189" t="s">
        <v>188</v>
      </c>
      <c r="G71" s="189">
        <f>COLUMNS('8.2'!B:O)</f>
        <v>14</v>
      </c>
      <c r="H71" s="189">
        <v>2012.07</v>
      </c>
    </row>
    <row r="72" spans="3:8" s="23" customFormat="1" ht="20.100000000000001" customHeight="1">
      <c r="C72" s="491" t="s">
        <v>972</v>
      </c>
      <c r="D72" s="610"/>
      <c r="E72" s="610"/>
      <c r="F72" s="189" t="s">
        <v>188</v>
      </c>
      <c r="G72" s="189">
        <f>COLUMNS('8.3'!B:Y)</f>
        <v>24</v>
      </c>
      <c r="H72" s="189">
        <v>2017.01</v>
      </c>
    </row>
    <row r="73" spans="3:8" s="23" customFormat="1" ht="20.100000000000001" customHeight="1">
      <c r="C73" s="491" t="s">
        <v>973</v>
      </c>
      <c r="F73" s="189" t="s">
        <v>188</v>
      </c>
      <c r="G73" s="189">
        <f>COLUMNS('8.4'!B:E)</f>
        <v>4</v>
      </c>
      <c r="H73" s="189">
        <v>1969.01</v>
      </c>
    </row>
    <row r="74" spans="3:8" s="23" customFormat="1" ht="20.100000000000001" customHeight="1">
      <c r="C74" s="491" t="s">
        <v>845</v>
      </c>
      <c r="F74" s="189" t="s">
        <v>188</v>
      </c>
      <c r="G74" s="189">
        <f>COLUMNS('8.5'!B:E)</f>
        <v>4</v>
      </c>
      <c r="H74" s="189">
        <v>1996.01</v>
      </c>
    </row>
    <row r="75" spans="3:8" s="23" customFormat="1" ht="20.100000000000001" customHeight="1">
      <c r="C75" s="491" t="s">
        <v>1063</v>
      </c>
      <c r="F75" s="189" t="s">
        <v>188</v>
      </c>
      <c r="G75" s="189">
        <f>COLUMNS('8.6'!B:N)</f>
        <v>13</v>
      </c>
      <c r="H75" s="189">
        <v>2016.01</v>
      </c>
    </row>
    <row r="76" spans="3:8" s="23" customFormat="1" ht="20.100000000000001" customHeight="1">
      <c r="C76" s="491" t="s">
        <v>1010</v>
      </c>
      <c r="F76" s="189" t="s">
        <v>188</v>
      </c>
      <c r="G76" s="189">
        <f>COLUMNS('8.7'!B:B)</f>
        <v>1</v>
      </c>
      <c r="H76" s="189">
        <v>1996.01</v>
      </c>
    </row>
    <row r="77" spans="3:8" s="23" customFormat="1" ht="20.100000000000001" customHeight="1">
      <c r="C77" s="491" t="s">
        <v>833</v>
      </c>
      <c r="F77" s="189" t="s">
        <v>188</v>
      </c>
      <c r="G77" s="558">
        <f>COLUMNS('8.8'!B:K)</f>
        <v>10</v>
      </c>
      <c r="H77" s="189">
        <v>1990.01</v>
      </c>
    </row>
    <row r="78" spans="3:8" s="23" customFormat="1" ht="20.100000000000001" customHeight="1">
      <c r="C78" s="491" t="s">
        <v>840</v>
      </c>
      <c r="F78" s="189" t="s">
        <v>188</v>
      </c>
      <c r="G78" s="558">
        <f>COLUMNS('8.9'!B:P)</f>
        <v>15</v>
      </c>
      <c r="H78" s="189">
        <v>1973.01</v>
      </c>
    </row>
    <row r="79" spans="3:8" s="23" customFormat="1" ht="20.100000000000001" customHeight="1">
      <c r="C79" s="491" t="s">
        <v>305</v>
      </c>
      <c r="F79" s="189" t="s">
        <v>188</v>
      </c>
      <c r="G79" s="189">
        <f>COLUMNS('8.10'!B:G)</f>
        <v>6</v>
      </c>
      <c r="H79" s="189">
        <v>2006.08</v>
      </c>
    </row>
    <row r="80" spans="3:8" s="487" customFormat="1" ht="20.100000000000001" customHeight="1">
      <c r="C80" s="487" t="s">
        <v>208</v>
      </c>
      <c r="F80" s="488" t="s">
        <v>205</v>
      </c>
      <c r="G80" s="488" t="s">
        <v>201</v>
      </c>
      <c r="H80" s="488" t="s">
        <v>220</v>
      </c>
    </row>
    <row r="81" spans="1:33" s="23" customFormat="1" ht="17.25" customHeight="1">
      <c r="C81" s="491" t="s">
        <v>1633</v>
      </c>
      <c r="D81" s="429"/>
      <c r="E81" s="429"/>
      <c r="F81" s="3293" t="s">
        <v>188</v>
      </c>
      <c r="G81" s="3293">
        <f>COLUMNS('9.1'!B:J)</f>
        <v>9</v>
      </c>
      <c r="H81" s="3293">
        <v>1994.01</v>
      </c>
      <c r="I81" s="383"/>
      <c r="J81" s="384"/>
    </row>
    <row r="82" spans="1:33" s="23" customFormat="1" ht="17.25" customHeight="1">
      <c r="C82" s="491" t="s">
        <v>1666</v>
      </c>
      <c r="F82" s="189" t="s">
        <v>188</v>
      </c>
      <c r="G82" s="189">
        <f>COLUMNS('9.2'!E:T)</f>
        <v>16</v>
      </c>
      <c r="H82" s="189">
        <v>1998.02</v>
      </c>
    </row>
    <row r="83" spans="1:33" s="23" customFormat="1" ht="17.25" customHeight="1">
      <c r="C83" s="3292" t="s">
        <v>1667</v>
      </c>
      <c r="D83" s="429"/>
      <c r="E83" s="429"/>
      <c r="F83" s="305" t="s">
        <v>188</v>
      </c>
      <c r="G83" s="609" t="e">
        <f>COLUMNS('9.3'!#REF!)</f>
        <v>#REF!</v>
      </c>
      <c r="H83" s="3294">
        <v>1996.01</v>
      </c>
      <c r="I83" s="3291" t="s">
        <v>400</v>
      </c>
      <c r="J83" s="3291"/>
    </row>
    <row r="84" spans="1:33" s="23" customFormat="1" ht="3.75" customHeight="1">
      <c r="C84" s="25"/>
      <c r="F84" s="190"/>
      <c r="G84" s="189"/>
      <c r="H84" s="191"/>
    </row>
    <row r="85" spans="1:33" s="23" customFormat="1" ht="20.100000000000001" customHeight="1">
      <c r="C85" s="25"/>
      <c r="E85" s="192" t="s">
        <v>245</v>
      </c>
      <c r="F85" s="193"/>
      <c r="G85" s="950" t="e">
        <f>SUM(G14:G18,G21,G23:G25,G35:G40,G42:G45,G48:G52,G55:G57,G59:G60,G63,G65:G68,G70:G79,G81:G83,G26:G29)</f>
        <v>#REF!</v>
      </c>
      <c r="H85" s="191"/>
    </row>
    <row r="86" spans="1:33" s="23" customFormat="1" ht="3.75" customHeight="1">
      <c r="C86" s="25"/>
      <c r="F86" s="27"/>
      <c r="G86" s="189"/>
      <c r="H86" s="24"/>
    </row>
    <row r="87" spans="1:33" s="23" customFormat="1" ht="20.100000000000001" customHeight="1">
      <c r="C87" s="25"/>
      <c r="E87" s="192" t="s">
        <v>247</v>
      </c>
      <c r="F87" s="193"/>
      <c r="G87" s="950">
        <f>SUM(G20,G30,G31,G41,G47,G61+G53)</f>
        <v>120</v>
      </c>
      <c r="H87" s="191"/>
    </row>
    <row r="88" spans="1:33" s="23" customFormat="1" ht="3.75" customHeight="1">
      <c r="C88" s="25"/>
      <c r="F88" s="27"/>
      <c r="G88" s="189"/>
      <c r="H88" s="24"/>
    </row>
    <row r="89" spans="1:33" s="23" customFormat="1" ht="19.5" customHeight="1">
      <c r="C89" s="25"/>
      <c r="E89" s="192" t="s">
        <v>303</v>
      </c>
      <c r="F89" s="193"/>
      <c r="G89" s="950">
        <f>G32</f>
        <v>21</v>
      </c>
      <c r="H89" s="191"/>
    </row>
    <row r="90" spans="1:33" s="23" customFormat="1" ht="3.75" customHeight="1">
      <c r="C90" s="25"/>
      <c r="F90" s="27"/>
      <c r="G90" s="189"/>
      <c r="H90" s="24"/>
    </row>
    <row r="91" spans="1:33" s="23" customFormat="1" ht="19.5" customHeight="1">
      <c r="C91" s="25"/>
      <c r="E91" s="192" t="s">
        <v>246</v>
      </c>
      <c r="F91" s="193"/>
      <c r="G91" s="950">
        <f>G19+G62+G33</f>
        <v>36</v>
      </c>
      <c r="H91" s="191"/>
    </row>
    <row r="92" spans="1:33" s="23" customFormat="1" ht="3.75" customHeight="1">
      <c r="C92" s="25"/>
      <c r="F92" s="27"/>
      <c r="G92" s="26"/>
      <c r="H92" s="24"/>
    </row>
    <row r="93" spans="1:33" s="23" customFormat="1" ht="20.100000000000001" customHeight="1">
      <c r="C93" s="188"/>
      <c r="F93" s="27"/>
      <c r="G93" s="26"/>
      <c r="H93" s="24"/>
    </row>
    <row r="94" spans="1:33" s="23" customFormat="1" ht="20.100000000000001" customHeight="1">
      <c r="C94" s="25"/>
      <c r="F94" s="27"/>
      <c r="G94" s="26"/>
      <c r="H94" s="24"/>
    </row>
    <row r="95" spans="1:33" customFormat="1" ht="4.5" customHeight="1">
      <c r="A95" s="2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customForma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customForma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customForma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customForma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customForma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customForma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customForma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customForma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customForma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customForma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customForma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customForma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customForma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customForma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customForma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sheetData>
  <phoneticPr fontId="58" type="noConversion"/>
  <hyperlinks>
    <hyperlink ref="C38" location="'3.4'!B82" display="3.4. Despacho de cemento" xr:uid="{00000000-0004-0000-0000-000000000000}"/>
    <hyperlink ref="C23" location="'2.1'!B91" display="2.1. Demanda laboral, expectativas empresarias y puestos vacantes" xr:uid="{00000000-0004-0000-0000-000002000000}"/>
    <hyperlink ref="C36" location="'3.2'!B10" display="3.2. Molienda oleaginosa" xr:uid="{00000000-0004-0000-0000-000003000000}"/>
    <hyperlink ref="C35" location="'3.1'!B10" display="3.1. Producción de la industria láctea" xr:uid="{00000000-0004-0000-0000-000004000000}"/>
    <hyperlink ref="C37" location="'3.3'!B10" display="3.3. Faena bovina y porcina" xr:uid="{00000000-0004-0000-0000-000005000000}"/>
    <hyperlink ref="C41" location="'3.7'!B10" display="3.7. Maquinaria agrícola (AFAT)" xr:uid="{00000000-0004-0000-0000-000006000000}"/>
    <hyperlink ref="C60" location="'6.2'!B10" display="6.2. Balanza comercial argetina" xr:uid="{00000000-0004-0000-0000-000008000000}"/>
    <hyperlink ref="C59" location="'6.1'!B10" display="6.1. Exportación de cereales por puertos santafesinos" xr:uid="{00000000-0004-0000-0000-000009000000}"/>
    <hyperlink ref="C65" location="'7.1'!B10" display="7.1. Recaudación de impuestos provinciales" xr:uid="{00000000-0004-0000-0000-00000A000000}"/>
    <hyperlink ref="C68" location="'7.4'!B10" display="7.4. Recaudación de IVA" xr:uid="{00000000-0004-0000-0000-00000B000000}"/>
    <hyperlink ref="C40" location="'3.6'!B10" display="3.6. Patentamientos, transferencias y producción vehicular" xr:uid="{00000000-0004-0000-0000-00000C000000}"/>
    <hyperlink ref="C39" location="'3.5'!B10" display="3.5. Permisos de construcción" xr:uid="{00000000-0004-0000-0000-00000D000000}"/>
    <hyperlink ref="C56" location="'5.2'!B10" display="5.2. Consumo y facturación de energía eléctrica" xr:uid="{00000000-0004-0000-0000-00000E000000}"/>
    <hyperlink ref="C57" location="'5.3'!B10" display="5.3. Ventas de combustibles" xr:uid="{00000000-0004-0000-0000-00000F000000}"/>
    <hyperlink ref="C55" location="'5.1'!B10" display="5.1. Consumo de gas" xr:uid="{00000000-0004-0000-0000-000010000000}"/>
    <hyperlink ref="C24" location="'2.2'!B10" display="2.2. Nivel de empleo y remuneraciones (fuente ministerial)" xr:uid="{00000000-0004-0000-0000-000011000000}"/>
    <hyperlink ref="C31" location="'2.4'!B10" display="2.4. Tasas de actividad, empleo, desocupación y subempleo (EPH)" xr:uid="{00000000-0004-0000-0000-000012000000}"/>
    <hyperlink ref="C30" location="'2.3'!B10" display="2.3. PEA, empleo, desocupación y subocupación (EPH)" xr:uid="{00000000-0004-0000-0000-000013000000}"/>
    <hyperlink ref="C32" location="'2.5'!B10" display="2.5. Pobreza e indigencia (EPH)" xr:uid="{00000000-0004-0000-0000-000014000000}"/>
    <hyperlink ref="C70" location="'8.1'!B10" display="8.1. IPC Santa Fe" xr:uid="{00000000-0004-0000-0000-000015000000}"/>
    <hyperlink ref="C72" location="'8.3'!B14" display="8.3. IPC Nacional y regiones  - oficial - " xr:uid="{00000000-0004-0000-0000-000016000000}"/>
    <hyperlink ref="C74" location="'8.5'!B10" display="8.5. IPC Bahía Blanca (BB)" xr:uid="{00000000-0004-0000-0000-000017000000}"/>
    <hyperlink ref="C75" location="'8.6'!B10" display="8.6. Índice de Precios Internos Mayoristas (IPIM)" xr:uid="{00000000-0004-0000-0000-000018000000}"/>
    <hyperlink ref="C79" location="'8.10'!B17" display="8.10. Expectativas inflacionarias para 12 meses" xr:uid="{00000000-0004-0000-0000-000019000000}"/>
    <hyperlink ref="C17" location="'1.3'!B142" display="1.3. Actividad económica coincidente - Argentina -" xr:uid="{00000000-0004-0000-0000-00001A000000}"/>
    <hyperlink ref="C18" location="'1.4'!B10" display="1.4. Actividad económica líder - Argentina -" xr:uid="{00000000-0004-0000-0000-00001B000000}"/>
    <hyperlink ref="C42" location="'3.8'!B10" display="3.8. Índice de Producción Industrial (IPI) - Argentina -" xr:uid="{00000000-0004-0000-0000-00001C000000}"/>
    <hyperlink ref="C63" location="'6.4'!B10" display="6.4. Índice de Tipo de Cambio Real Multilateral (ITCRM) - Argentina -" xr:uid="{00000000-0004-0000-0000-00001D000000}"/>
    <hyperlink ref="C73" location="'8.4'!B518" display="8.4. Precios minoristas  - serie histórica GBA y fuentes alternativas -" xr:uid="{00000000-0004-0000-0000-00001E000000}"/>
    <hyperlink ref="C66" location="'7.2'!B10" display="7.2. Recursos tributarios de origen nacional (coparticipación)" xr:uid="{00000000-0004-0000-0000-000020000000}"/>
    <hyperlink ref="C67" location="'7.3'!B10" display="7.3. Gasto público provincial" xr:uid="{00000000-0004-0000-0000-000021000000}"/>
    <hyperlink ref="C62" location="'6.3'!B10" display="6.3. Exportaciones con origen en la provincia de SantaFe" xr:uid="{00000000-0004-0000-0000-000022000000}"/>
    <hyperlink ref="C52" location="'4.6'!B94" display="4.6. Transferencias de inmuebles y estadísticas afines" xr:uid="{00000000-0004-0000-0000-000023000000}"/>
    <hyperlink ref="C51" location="'4.5'!B10" display="4.5. Encuesta de Ocupación Hotelera (EOH)" xr:uid="{00000000-0004-0000-0000-000024000000}"/>
    <hyperlink ref="C47" location="'4.1'!B10" display="4.1. Mercado financiero bancario" xr:uid="{00000000-0004-0000-0000-000025000000}"/>
    <hyperlink ref="C49" location="'4.3'!B10" display="4.3. Ventas de supermercados" xr:uid="{00000000-0004-0000-0000-000026000000}"/>
    <hyperlink ref="C50" location="'4.4'!B16" display="4.4. Índice de Confianza del Consumidor (ICC)" xr:uid="{00000000-0004-0000-0000-000027000000}"/>
    <hyperlink ref="C48" location="'4.2'!B10" display="4.2. Mercados de capitales" xr:uid="{00000000-0004-0000-0000-000028000000}"/>
    <hyperlink ref="C71" location="'8.2'!B232" display="8.2.  Índice de Precios al Consumidor de la Ciudad de Buenos Aires (IPCBA) " xr:uid="{00000000-0004-0000-0000-000029000000}"/>
    <hyperlink ref="C77" location="'8.8'!B10" display="8.8. Valor de la tierra destinada a la explotación agrícola y ganadera " xr:uid="{00000000-0004-0000-0000-00002A000000}"/>
    <hyperlink ref="C78" location="'8.9'!B10" display="8.9. Valor del dólar norteamericano respecto al peso y a otras monedas" xr:uid="{00000000-0004-0000-0000-00002B000000}"/>
    <hyperlink ref="C19" location="'1.5'!B119" display="1.5. Producto Bruto Geográfico de Santa Fe (PBG)" xr:uid="{00000000-0004-0000-0000-00002C000000}"/>
    <hyperlink ref="C20" location="'1.6'!B146" display="1.6. Producto Bruto Interno (PBI) de Argentina y subcomponentes" xr:uid="{00000000-0004-0000-0000-00002D000000}"/>
    <hyperlink ref="C33" location="'2.6'!B10" display="2.6. Población provincial y nacional" xr:uid="{00000000-0004-0000-0000-00002E000000}"/>
    <hyperlink ref="C76" location="'8.7'!B10" display="8.7. Índice de precios de las materias primas de exportación" xr:uid="{00000000-0004-0000-0000-00002F000000}"/>
    <hyperlink ref="C25" location="'2.2.a'!B10" display="2.2.b. Número de empleos registrados y remuneraciones (SIPA)" xr:uid="{00000000-0004-0000-0000-000030000000}"/>
    <hyperlink ref="C44" location="'3.10'!B274" display="3.10. Índice de Producción Industrial Manufacturera (IPIM) - Argentina -" xr:uid="{00000000-0004-0000-0000-000031000000}"/>
    <hyperlink ref="C45" location="'3.11'!B10" display="3.11. Índice Provincial de Actividad Industrial (IPAI)" xr:uid="{00000000-0004-0000-0000-000032000000}"/>
    <hyperlink ref="C61" location="'6.2.b'!B10" display="6.2.b. Terminos de Intercambio comercial" xr:uid="{00000000-0004-0000-0000-000033000000}"/>
    <hyperlink ref="C26" location="'2.2.b'!B19" display="2.2.b. Indice de salarios" xr:uid="{00000000-0004-0000-0000-000034000000}"/>
    <hyperlink ref="C43" location="'3.9'!B274" display="3.9. Utilización de la capacidad instalada en la industria" xr:uid="{00000000-0004-0000-0000-000035000000}"/>
    <hyperlink ref="C14" location="'1.1'!C10" display="1.1. Índice de Actividad Económica (ICASFe) - provincia de Santa Fe -" xr:uid="{00000000-0004-0000-0000-000036000000}"/>
    <hyperlink ref="C27" location="'2.2.c'!B10" display="2.2.c. Jubilaciones y pensiones por tipo de prestación" xr:uid="{00000000-0004-0000-0000-000037000000}"/>
    <hyperlink ref="C28" location="'2.2.d'!B10" display="2.2.d. Trabajadores registrados según modalidad ocupacional principal" xr:uid="{00000000-0004-0000-0000-000038000000}"/>
    <hyperlink ref="C29" location="'2.2.e'!B10" display="2.2.e. Titulares de derecho de la Asignacion Universal por Hijo (AUH)" xr:uid="{00000000-0004-0000-0000-000039000000}"/>
    <hyperlink ref="C21" location="'1.7'!B10" display="1.7. Actividad económica global" xr:uid="{00000000-0004-0000-0000-00003A000000}"/>
    <hyperlink ref="C15" location="'1.2'!B15" display="1.2. Indicador Sintético de Actividad Económica (ISAE) - provincia de Santa Fe -" xr:uid="{00000000-0004-0000-0000-00003B000000}"/>
    <hyperlink ref="C16" location="'1.2.b'!B10" display="1.2.b.  Indicador Mensual de la Actividad Económica (IMAE) - provincia de Santa Fe -" xr:uid="{B5F40F4D-192D-4E4E-B34E-E44FA999E4B4}"/>
    <hyperlink ref="C53" location="'4.7'!B10" display="4.7. Movimientos portuarios" xr:uid="{E6619217-3829-4ACF-9465-9DC5F949E28F}"/>
    <hyperlink ref="C83" location="'9.3'!B10" display="9.3. Tránsito vehicular" xr:uid="{F5EA7E42-79FB-4798-90A8-287F27A09090}"/>
    <hyperlink ref="C81" location="'9.1'!B10" display="9.1. Circulación de periódicos" xr:uid="{9FF0A9F6-DA64-4F23-9F83-C7842DEE8156}"/>
    <hyperlink ref="C82" location="'9.2'!B10" display="9.2. Nº total de empresas empleadoras" xr:uid="{C9F6E621-5C0D-4354-8B76-03346220883C}"/>
  </hyperlinks>
  <pageMargins left="0.2" right="0.2" top="0.2" bottom="0.22"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autoPageBreaks="0"/>
  </sheetPr>
  <dimension ref="A1:O381"/>
  <sheetViews>
    <sheetView zoomScale="110" zoomScaleNormal="110" workbookViewId="0">
      <pane xSplit="1" ySplit="9" topLeftCell="B285"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9" style="664" customWidth="1"/>
    <col min="2" max="7" width="17.42578125" style="661" customWidth="1"/>
    <col min="8" max="8" width="11.42578125" style="661"/>
    <col min="9" max="9" width="15.28515625" style="661" bestFit="1" customWidth="1"/>
    <col min="10" max="16384" width="11.42578125" style="661"/>
  </cols>
  <sheetData>
    <row r="1" spans="1:15" ht="3" customHeight="1">
      <c r="A1" s="37"/>
      <c r="B1" s="660"/>
      <c r="E1" s="660"/>
      <c r="G1" s="2388"/>
      <c r="H1" s="2385"/>
      <c r="I1" s="2365"/>
      <c r="J1" s="2366"/>
      <c r="K1" s="2367"/>
      <c r="L1" s="2368"/>
      <c r="M1" s="2365"/>
      <c r="N1" s="2366"/>
      <c r="O1" s="2405"/>
    </row>
    <row r="2" spans="1:15" ht="22.5">
      <c r="A2" s="121" t="s">
        <v>212</v>
      </c>
      <c r="B2" s="659" t="s">
        <v>931</v>
      </c>
      <c r="C2" s="662"/>
      <c r="D2" s="662"/>
      <c r="E2" s="659" t="s">
        <v>932</v>
      </c>
      <c r="F2" s="662"/>
      <c r="G2" s="2389"/>
      <c r="H2" s="2386" t="s">
        <v>1343</v>
      </c>
      <c r="I2" s="662"/>
      <c r="J2" s="2369"/>
      <c r="K2" s="2370"/>
      <c r="L2" s="659" t="s">
        <v>1344</v>
      </c>
      <c r="M2" s="662"/>
      <c r="N2" s="2369"/>
      <c r="O2" s="2406"/>
    </row>
    <row r="3" spans="1:15">
      <c r="A3" s="121" t="s">
        <v>211</v>
      </c>
      <c r="B3" s="659" t="s">
        <v>1598</v>
      </c>
      <c r="C3" s="662"/>
      <c r="D3" s="662"/>
      <c r="E3" s="662"/>
      <c r="F3" s="662"/>
      <c r="G3" s="2389"/>
      <c r="H3" s="2386" t="s">
        <v>1598</v>
      </c>
      <c r="I3" s="2371"/>
      <c r="J3" s="2371"/>
      <c r="K3" s="2372"/>
      <c r="L3" s="2373"/>
      <c r="M3" s="2371"/>
      <c r="N3" s="2371"/>
      <c r="O3" s="2407"/>
    </row>
    <row r="4" spans="1:15" ht="9" customHeight="1">
      <c r="A4" s="37"/>
      <c r="B4" s="660"/>
      <c r="E4" s="666"/>
      <c r="G4" s="2390"/>
      <c r="H4" s="2375"/>
      <c r="I4" s="2374"/>
      <c r="J4" s="2375"/>
      <c r="K4" s="2376"/>
      <c r="L4" s="2377"/>
      <c r="M4" s="2374"/>
      <c r="N4" s="2375"/>
      <c r="O4" s="2408"/>
    </row>
    <row r="5" spans="1:15" ht="22.5">
      <c r="A5" s="45" t="s">
        <v>213</v>
      </c>
      <c r="B5" s="665" t="s">
        <v>929</v>
      </c>
      <c r="C5" s="1455" t="s">
        <v>930</v>
      </c>
      <c r="D5" s="1447" t="s">
        <v>12</v>
      </c>
      <c r="E5" s="665" t="s">
        <v>929</v>
      </c>
      <c r="F5" s="1455" t="s">
        <v>930</v>
      </c>
      <c r="G5" s="2379" t="s">
        <v>12</v>
      </c>
      <c r="H5" s="1447" t="s">
        <v>12</v>
      </c>
      <c r="I5" s="1455" t="s">
        <v>1345</v>
      </c>
      <c r="J5" s="2378" t="s">
        <v>1346</v>
      </c>
      <c r="K5" s="2379" t="s">
        <v>1347</v>
      </c>
      <c r="L5" s="665" t="s">
        <v>12</v>
      </c>
      <c r="M5" s="1455" t="s">
        <v>1345</v>
      </c>
      <c r="N5" s="2378" t="s">
        <v>1346</v>
      </c>
      <c r="O5" s="1456" t="s">
        <v>1347</v>
      </c>
    </row>
    <row r="6" spans="1:15" ht="5.25" customHeight="1">
      <c r="A6" s="171"/>
      <c r="B6" s="660"/>
      <c r="E6" s="660"/>
      <c r="G6" s="2382"/>
      <c r="I6" s="2380"/>
      <c r="J6" s="2381"/>
      <c r="K6" s="2382"/>
      <c r="L6" s="660"/>
      <c r="M6" s="2380"/>
      <c r="N6" s="2381"/>
      <c r="O6" s="670"/>
    </row>
    <row r="7" spans="1:15" ht="22.5">
      <c r="A7" s="47" t="s">
        <v>210</v>
      </c>
      <c r="B7" s="2354" t="s">
        <v>793</v>
      </c>
      <c r="C7" s="2353" t="s">
        <v>793</v>
      </c>
      <c r="D7" s="2352" t="s">
        <v>793</v>
      </c>
      <c r="E7" s="2354" t="s">
        <v>793</v>
      </c>
      <c r="F7" s="2353" t="s">
        <v>793</v>
      </c>
      <c r="G7" s="2391" t="s">
        <v>793</v>
      </c>
      <c r="H7" s="2387" t="s">
        <v>793</v>
      </c>
      <c r="I7" s="2353" t="s">
        <v>793</v>
      </c>
      <c r="J7" s="2383" t="s">
        <v>793</v>
      </c>
      <c r="K7" s="2379" t="s">
        <v>793</v>
      </c>
      <c r="L7" s="2354" t="s">
        <v>793</v>
      </c>
      <c r="M7" s="2353" t="s">
        <v>793</v>
      </c>
      <c r="N7" s="2383" t="s">
        <v>793</v>
      </c>
      <c r="O7" s="1456" t="s">
        <v>793</v>
      </c>
    </row>
    <row r="8" spans="1:15">
      <c r="A8" s="390" t="s">
        <v>412</v>
      </c>
      <c r="B8" s="398" t="s">
        <v>417</v>
      </c>
      <c r="C8" s="1290" t="s">
        <v>933</v>
      </c>
      <c r="D8" s="396" t="s">
        <v>934</v>
      </c>
      <c r="E8" s="398" t="s">
        <v>935</v>
      </c>
      <c r="F8" s="1290" t="s">
        <v>936</v>
      </c>
      <c r="G8" s="396" t="s">
        <v>937</v>
      </c>
      <c r="H8" s="2413" t="s">
        <v>1349</v>
      </c>
      <c r="I8" s="2414" t="s">
        <v>1350</v>
      </c>
      <c r="J8" s="2414" t="s">
        <v>1351</v>
      </c>
      <c r="K8" s="2415" t="s">
        <v>1352</v>
      </c>
      <c r="L8" s="2413" t="s">
        <v>1353</v>
      </c>
      <c r="M8" s="2414" t="s">
        <v>1354</v>
      </c>
      <c r="N8" s="2414" t="s">
        <v>1355</v>
      </c>
      <c r="O8" s="2416" t="s">
        <v>1356</v>
      </c>
    </row>
    <row r="9" spans="1:15" ht="13.5" thickBot="1">
      <c r="A9" s="152"/>
      <c r="B9" s="667"/>
      <c r="C9" s="1452"/>
      <c r="D9" s="669"/>
      <c r="E9" s="668"/>
      <c r="F9" s="1452"/>
      <c r="G9" s="669"/>
      <c r="H9" s="668"/>
      <c r="I9" s="1452"/>
      <c r="J9" s="2384"/>
      <c r="K9" s="669"/>
      <c r="L9" s="667"/>
      <c r="M9" s="1452"/>
      <c r="N9" s="2384"/>
      <c r="O9" s="671"/>
    </row>
    <row r="10" spans="1:15">
      <c r="A10" s="663">
        <v>2000.01</v>
      </c>
      <c r="B10" s="1448"/>
      <c r="C10" s="1453"/>
      <c r="D10" s="1450"/>
      <c r="E10" s="1448"/>
      <c r="F10" s="1453"/>
      <c r="G10" s="1450"/>
      <c r="H10" s="2400">
        <f t="shared" ref="H10:H63" si="0">+I10+J10+K10</f>
        <v>1</v>
      </c>
      <c r="I10" s="2392">
        <v>0.84145999999999999</v>
      </c>
      <c r="J10" s="2393">
        <v>0.10183999999999999</v>
      </c>
      <c r="K10" s="2394">
        <v>5.67E-2</v>
      </c>
      <c r="L10" s="2404"/>
      <c r="M10" s="1454"/>
      <c r="N10" s="1454"/>
      <c r="O10" s="2409"/>
    </row>
    <row r="11" spans="1:15">
      <c r="A11" s="663">
        <v>2000.02</v>
      </c>
      <c r="B11" s="1449"/>
      <c r="C11" s="1454"/>
      <c r="D11" s="1451"/>
      <c r="E11" s="1449"/>
      <c r="F11" s="1454"/>
      <c r="G11" s="1451"/>
      <c r="H11" s="2401">
        <f t="shared" si="0"/>
        <v>1</v>
      </c>
      <c r="I11" s="2396">
        <v>0.87629000000000001</v>
      </c>
      <c r="J11" s="2397">
        <v>3.8670000000000003E-2</v>
      </c>
      <c r="K11" s="2398">
        <v>8.5039999999999991E-2</v>
      </c>
      <c r="L11" s="2404"/>
      <c r="M11" s="1454"/>
      <c r="N11" s="1454"/>
      <c r="O11" s="2409"/>
    </row>
    <row r="12" spans="1:15">
      <c r="A12" s="663">
        <v>2000.03</v>
      </c>
      <c r="B12" s="1449"/>
      <c r="C12" s="1454"/>
      <c r="D12" s="1451"/>
      <c r="E12" s="1449"/>
      <c r="F12" s="1454"/>
      <c r="G12" s="1451"/>
      <c r="H12" s="2401">
        <f t="shared" si="0"/>
        <v>0.99999999999999989</v>
      </c>
      <c r="I12" s="2396">
        <v>0.85397999999999996</v>
      </c>
      <c r="J12" s="2397">
        <v>6.1189999999999994E-2</v>
      </c>
      <c r="K12" s="2398">
        <v>8.4830000000000003E-2</v>
      </c>
      <c r="L12" s="2404"/>
      <c r="M12" s="1454"/>
      <c r="N12" s="1454"/>
      <c r="O12" s="2409"/>
    </row>
    <row r="13" spans="1:15">
      <c r="A13" s="663">
        <v>2000.04</v>
      </c>
      <c r="B13" s="1449"/>
      <c r="C13" s="1454"/>
      <c r="D13" s="1451"/>
      <c r="E13" s="1449"/>
      <c r="F13" s="1454"/>
      <c r="G13" s="1451"/>
      <c r="H13" s="2401">
        <f t="shared" si="0"/>
        <v>1</v>
      </c>
      <c r="I13" s="2396">
        <v>0.92052999999999996</v>
      </c>
      <c r="J13" s="2397">
        <v>3.3370000000000004E-2</v>
      </c>
      <c r="K13" s="2398">
        <v>4.6100000000000002E-2</v>
      </c>
      <c r="L13" s="2404"/>
      <c r="M13" s="1454"/>
      <c r="N13" s="1454"/>
      <c r="O13" s="2409"/>
    </row>
    <row r="14" spans="1:15">
      <c r="A14" s="663">
        <v>2000.05</v>
      </c>
      <c r="B14" s="1449"/>
      <c r="C14" s="1454"/>
      <c r="D14" s="1451"/>
      <c r="E14" s="1449"/>
      <c r="F14" s="1454"/>
      <c r="G14" s="1451"/>
      <c r="H14" s="2401">
        <f t="shared" si="0"/>
        <v>1</v>
      </c>
      <c r="I14" s="2396">
        <v>0.83848</v>
      </c>
      <c r="J14" s="2397">
        <v>5.3689999999999995E-2</v>
      </c>
      <c r="K14" s="2398">
        <v>0.10783</v>
      </c>
      <c r="L14" s="2404"/>
      <c r="M14" s="1454"/>
      <c r="N14" s="1454"/>
      <c r="O14" s="2409"/>
    </row>
    <row r="15" spans="1:15">
      <c r="A15" s="663">
        <v>2000.06</v>
      </c>
      <c r="B15" s="1449"/>
      <c r="C15" s="1454"/>
      <c r="D15" s="1451"/>
      <c r="E15" s="1449"/>
      <c r="F15" s="1454"/>
      <c r="G15" s="1451"/>
      <c r="H15" s="2401">
        <f t="shared" si="0"/>
        <v>1</v>
      </c>
      <c r="I15" s="2396">
        <v>0.83196999999999999</v>
      </c>
      <c r="J15" s="2397">
        <v>6.9839999999999999E-2</v>
      </c>
      <c r="K15" s="2398">
        <v>9.8190000000000013E-2</v>
      </c>
      <c r="L15" s="2404"/>
      <c r="M15" s="1454"/>
      <c r="N15" s="1454"/>
      <c r="O15" s="2409"/>
    </row>
    <row r="16" spans="1:15">
      <c r="A16" s="663">
        <v>2000.07</v>
      </c>
      <c r="B16" s="1449"/>
      <c r="C16" s="1454"/>
      <c r="D16" s="1451"/>
      <c r="E16" s="1449"/>
      <c r="F16" s="1454"/>
      <c r="G16" s="1451"/>
      <c r="H16" s="2401">
        <f t="shared" si="0"/>
        <v>1</v>
      </c>
      <c r="I16" s="2396">
        <v>0.82783000000000007</v>
      </c>
      <c r="J16" s="2397">
        <v>7.3579999999999993E-2</v>
      </c>
      <c r="K16" s="2398">
        <v>9.8589999999999997E-2</v>
      </c>
      <c r="L16" s="2404"/>
      <c r="M16" s="1454"/>
      <c r="N16" s="1454"/>
      <c r="O16" s="2409"/>
    </row>
    <row r="17" spans="1:15">
      <c r="A17" s="663">
        <v>2000.08</v>
      </c>
      <c r="B17" s="1449"/>
      <c r="C17" s="1454"/>
      <c r="D17" s="1451"/>
      <c r="E17" s="1449"/>
      <c r="F17" s="1454"/>
      <c r="G17" s="1451"/>
      <c r="H17" s="2401">
        <f t="shared" si="0"/>
        <v>0.99999000000000016</v>
      </c>
      <c r="I17" s="2396">
        <v>0.81793000000000005</v>
      </c>
      <c r="J17" s="2397">
        <v>7.8880000000000006E-2</v>
      </c>
      <c r="K17" s="2398">
        <v>0.10317999999999999</v>
      </c>
      <c r="L17" s="2404"/>
      <c r="M17" s="1454"/>
      <c r="N17" s="1454"/>
      <c r="O17" s="2409"/>
    </row>
    <row r="18" spans="1:15">
      <c r="A18" s="663">
        <v>2000.09</v>
      </c>
      <c r="B18" s="1449"/>
      <c r="C18" s="1454"/>
      <c r="D18" s="1451"/>
      <c r="E18" s="1449"/>
      <c r="F18" s="1454"/>
      <c r="G18" s="1451"/>
      <c r="H18" s="2401">
        <f t="shared" si="0"/>
        <v>1</v>
      </c>
      <c r="I18" s="2396">
        <v>0.79968000000000006</v>
      </c>
      <c r="J18" s="2397">
        <v>9.2669999999999988E-2</v>
      </c>
      <c r="K18" s="2398">
        <v>0.10765000000000001</v>
      </c>
      <c r="L18" s="2404"/>
      <c r="M18" s="1454"/>
      <c r="N18" s="1454"/>
      <c r="O18" s="2409"/>
    </row>
    <row r="19" spans="1:15">
      <c r="A19" s="663">
        <v>2000.1</v>
      </c>
      <c r="B19" s="1449"/>
      <c r="C19" s="1454"/>
      <c r="D19" s="1451"/>
      <c r="E19" s="1449"/>
      <c r="F19" s="1454"/>
      <c r="G19" s="1451"/>
      <c r="H19" s="2401">
        <f t="shared" si="0"/>
        <v>0.99999999999999989</v>
      </c>
      <c r="I19" s="2396">
        <v>0.79284999999999994</v>
      </c>
      <c r="J19" s="2397">
        <v>0.11156000000000001</v>
      </c>
      <c r="K19" s="2398">
        <v>9.5589999999999994E-2</v>
      </c>
      <c r="L19" s="2404"/>
      <c r="M19" s="1454"/>
      <c r="N19" s="1454"/>
      <c r="O19" s="2409"/>
    </row>
    <row r="20" spans="1:15">
      <c r="A20" s="663">
        <v>2000.11</v>
      </c>
      <c r="B20" s="1449"/>
      <c r="C20" s="1454"/>
      <c r="D20" s="1451"/>
      <c r="E20" s="1449"/>
      <c r="F20" s="1454"/>
      <c r="G20" s="1451"/>
      <c r="H20" s="2401">
        <f t="shared" si="0"/>
        <v>1</v>
      </c>
      <c r="I20" s="2396">
        <v>0.77891999999999995</v>
      </c>
      <c r="J20" s="2397">
        <v>0.10157999999999999</v>
      </c>
      <c r="K20" s="2398">
        <v>0.1195</v>
      </c>
      <c r="L20" s="2404"/>
      <c r="M20" s="1454"/>
      <c r="N20" s="1454"/>
      <c r="O20" s="2409"/>
    </row>
    <row r="21" spans="1:15">
      <c r="A21" s="663">
        <v>2000.12</v>
      </c>
      <c r="B21" s="1449"/>
      <c r="C21" s="1454"/>
      <c r="D21" s="1451"/>
      <c r="E21" s="1449"/>
      <c r="F21" s="1454"/>
      <c r="G21" s="1451"/>
      <c r="H21" s="2401">
        <f t="shared" si="0"/>
        <v>1</v>
      </c>
      <c r="I21" s="2396">
        <v>0.78760000000000008</v>
      </c>
      <c r="J21" s="2397">
        <v>8.7159999999999987E-2</v>
      </c>
      <c r="K21" s="2398">
        <v>0.12523999999999999</v>
      </c>
      <c r="L21" s="2404"/>
      <c r="M21" s="1454"/>
      <c r="N21" s="1454"/>
      <c r="O21" s="2409"/>
    </row>
    <row r="22" spans="1:15">
      <c r="A22" s="663">
        <v>2001.01</v>
      </c>
      <c r="B22" s="1449"/>
      <c r="C22" s="1454"/>
      <c r="D22" s="1451"/>
      <c r="E22" s="1449"/>
      <c r="F22" s="1454"/>
      <c r="G22" s="1451"/>
      <c r="H22" s="2401">
        <f t="shared" si="0"/>
        <v>1</v>
      </c>
      <c r="I22" s="2396">
        <v>0.82671000000000006</v>
      </c>
      <c r="J22" s="2397">
        <v>8.7750000000000009E-2</v>
      </c>
      <c r="K22" s="2398">
        <v>8.5540000000000005E-2</v>
      </c>
      <c r="L22" s="2404"/>
      <c r="M22" s="1454"/>
      <c r="N22" s="1454"/>
      <c r="O22" s="2409"/>
    </row>
    <row r="23" spans="1:15">
      <c r="A23" s="663">
        <v>2001.02</v>
      </c>
      <c r="B23" s="1449"/>
      <c r="C23" s="1454"/>
      <c r="D23" s="1451"/>
      <c r="E23" s="1449"/>
      <c r="F23" s="1454"/>
      <c r="G23" s="1451"/>
      <c r="H23" s="2401">
        <f t="shared" si="0"/>
        <v>1</v>
      </c>
      <c r="I23" s="2396">
        <v>0.79154999999999998</v>
      </c>
      <c r="J23" s="2397">
        <v>7.5800000000000006E-2</v>
      </c>
      <c r="K23" s="2398">
        <v>0.13265000000000002</v>
      </c>
      <c r="L23" s="2404"/>
      <c r="M23" s="1454"/>
      <c r="N23" s="1454"/>
      <c r="O23" s="2409"/>
    </row>
    <row r="24" spans="1:15">
      <c r="A24" s="663">
        <v>2001.03</v>
      </c>
      <c r="B24" s="1449"/>
      <c r="C24" s="1454"/>
      <c r="D24" s="1451"/>
      <c r="E24" s="1449"/>
      <c r="F24" s="1454"/>
      <c r="G24" s="1451"/>
      <c r="H24" s="2401">
        <f t="shared" si="0"/>
        <v>0.99999999999999989</v>
      </c>
      <c r="I24" s="2396">
        <v>0.8107899999999999</v>
      </c>
      <c r="J24" s="2397">
        <v>6.0890000000000007E-2</v>
      </c>
      <c r="K24" s="2398">
        <v>0.12832000000000002</v>
      </c>
      <c r="L24" s="2404"/>
      <c r="M24" s="1454"/>
      <c r="N24" s="1454"/>
      <c r="O24" s="2409"/>
    </row>
    <row r="25" spans="1:15">
      <c r="A25" s="663">
        <v>2001.04</v>
      </c>
      <c r="B25" s="1449"/>
      <c r="C25" s="1454"/>
      <c r="D25" s="1451"/>
      <c r="E25" s="1449"/>
      <c r="F25" s="1454"/>
      <c r="G25" s="1451"/>
      <c r="H25" s="2401">
        <f t="shared" si="0"/>
        <v>0.99999999999999989</v>
      </c>
      <c r="I25" s="2396">
        <v>0.86356999999999995</v>
      </c>
      <c r="J25" s="2397">
        <v>4.5990000000000003E-2</v>
      </c>
      <c r="K25" s="2398">
        <v>9.0440000000000006E-2</v>
      </c>
      <c r="L25" s="2404"/>
      <c r="M25" s="1454"/>
      <c r="N25" s="1454"/>
      <c r="O25" s="2409"/>
    </row>
    <row r="26" spans="1:15">
      <c r="A26" s="663">
        <v>2001.05</v>
      </c>
      <c r="B26" s="1449"/>
      <c r="C26" s="1454"/>
      <c r="D26" s="1451"/>
      <c r="E26" s="1449"/>
      <c r="F26" s="1454"/>
      <c r="G26" s="1451"/>
      <c r="H26" s="2401">
        <f t="shared" si="0"/>
        <v>1.0000100000000001</v>
      </c>
      <c r="I26" s="2396">
        <v>0.73784000000000005</v>
      </c>
      <c r="J26" s="2397">
        <v>4.5650000000000003E-2</v>
      </c>
      <c r="K26" s="2398">
        <v>0.21652000000000002</v>
      </c>
      <c r="L26" s="2404"/>
      <c r="M26" s="1454"/>
      <c r="N26" s="1454"/>
      <c r="O26" s="2409"/>
    </row>
    <row r="27" spans="1:15">
      <c r="A27" s="663">
        <v>2001.06</v>
      </c>
      <c r="B27" s="1449"/>
      <c r="C27" s="1454"/>
      <c r="D27" s="1451"/>
      <c r="E27" s="1449"/>
      <c r="F27" s="1454"/>
      <c r="G27" s="1451"/>
      <c r="H27" s="2401">
        <f t="shared" si="0"/>
        <v>1</v>
      </c>
      <c r="I27" s="2396">
        <v>0.75065999999999999</v>
      </c>
      <c r="J27" s="2397">
        <v>9.512000000000001E-2</v>
      </c>
      <c r="K27" s="2398">
        <v>0.15422</v>
      </c>
      <c r="L27" s="2404"/>
      <c r="M27" s="1454"/>
      <c r="N27" s="1454"/>
      <c r="O27" s="2409"/>
    </row>
    <row r="28" spans="1:15">
      <c r="A28" s="663">
        <v>2001.07</v>
      </c>
      <c r="B28" s="1449"/>
      <c r="C28" s="1454"/>
      <c r="D28" s="1451"/>
      <c r="E28" s="1449"/>
      <c r="F28" s="1454"/>
      <c r="G28" s="1451"/>
      <c r="H28" s="2401">
        <f t="shared" si="0"/>
        <v>0.99999000000000005</v>
      </c>
      <c r="I28" s="2396">
        <v>0.69947000000000004</v>
      </c>
      <c r="J28" s="2397">
        <v>0.10416</v>
      </c>
      <c r="K28" s="2398">
        <v>0.19635999999999998</v>
      </c>
      <c r="L28" s="2404"/>
      <c r="M28" s="1454"/>
      <c r="N28" s="1454"/>
      <c r="O28" s="2409"/>
    </row>
    <row r="29" spans="1:15">
      <c r="A29" s="663">
        <v>2001.08</v>
      </c>
      <c r="B29" s="1449"/>
      <c r="C29" s="1454"/>
      <c r="D29" s="1451"/>
      <c r="E29" s="1449"/>
      <c r="F29" s="1454"/>
      <c r="G29" s="1451"/>
      <c r="H29" s="2401">
        <f t="shared" si="0"/>
        <v>1</v>
      </c>
      <c r="I29" s="2396">
        <v>0.78665000000000007</v>
      </c>
      <c r="J29" s="2397">
        <v>6.1490000000000003E-2</v>
      </c>
      <c r="K29" s="2398">
        <v>0.15185999999999999</v>
      </c>
      <c r="L29" s="2404"/>
      <c r="M29" s="1454"/>
      <c r="N29" s="1454"/>
      <c r="O29" s="2409"/>
    </row>
    <row r="30" spans="1:15">
      <c r="A30" s="663">
        <v>2001.09</v>
      </c>
      <c r="B30" s="1449"/>
      <c r="C30" s="1454"/>
      <c r="D30" s="1451"/>
      <c r="E30" s="1449"/>
      <c r="F30" s="1454"/>
      <c r="G30" s="1451"/>
      <c r="H30" s="2401">
        <f t="shared" si="0"/>
        <v>1</v>
      </c>
      <c r="I30" s="2396">
        <v>0.83329999999999993</v>
      </c>
      <c r="J30" s="2397">
        <v>4.4610000000000004E-2</v>
      </c>
      <c r="K30" s="2398">
        <v>0.12208999999999999</v>
      </c>
      <c r="L30" s="2404"/>
      <c r="M30" s="1454"/>
      <c r="N30" s="1454"/>
      <c r="O30" s="2409"/>
    </row>
    <row r="31" spans="1:15">
      <c r="A31" s="663">
        <v>2001.1</v>
      </c>
      <c r="B31" s="1449"/>
      <c r="C31" s="1454"/>
      <c r="D31" s="1451"/>
      <c r="E31" s="1449"/>
      <c r="F31" s="1454"/>
      <c r="G31" s="1451"/>
      <c r="H31" s="2401">
        <f t="shared" si="0"/>
        <v>1.0000099999999998</v>
      </c>
      <c r="I31" s="2396">
        <v>0.82453999999999994</v>
      </c>
      <c r="J31" s="2397">
        <v>6.0229999999999999E-2</v>
      </c>
      <c r="K31" s="2398">
        <v>0.11524</v>
      </c>
      <c r="L31" s="2404"/>
      <c r="M31" s="1454"/>
      <c r="N31" s="1454"/>
      <c r="O31" s="2409"/>
    </row>
    <row r="32" spans="1:15">
      <c r="A32" s="663">
        <v>2001.11</v>
      </c>
      <c r="B32" s="1449"/>
      <c r="C32" s="1454"/>
      <c r="D32" s="1451"/>
      <c r="E32" s="1449"/>
      <c r="F32" s="1454"/>
      <c r="G32" s="1451"/>
      <c r="H32" s="2401">
        <f t="shared" si="0"/>
        <v>0.99999999999999989</v>
      </c>
      <c r="I32" s="2396">
        <v>0.75900999999999996</v>
      </c>
      <c r="J32" s="2397">
        <v>5.9950000000000003E-2</v>
      </c>
      <c r="K32" s="2398">
        <v>0.18103999999999998</v>
      </c>
      <c r="L32" s="2404"/>
      <c r="M32" s="1454"/>
      <c r="N32" s="1454"/>
      <c r="O32" s="2409"/>
    </row>
    <row r="33" spans="1:15">
      <c r="A33" s="663">
        <v>2001.12</v>
      </c>
      <c r="B33" s="1449"/>
      <c r="C33" s="1454"/>
      <c r="D33" s="1451"/>
      <c r="E33" s="1449"/>
      <c r="F33" s="1454"/>
      <c r="G33" s="1451"/>
      <c r="H33" s="2401">
        <f t="shared" si="0"/>
        <v>1</v>
      </c>
      <c r="I33" s="2396">
        <v>0.81901000000000002</v>
      </c>
      <c r="J33" s="2397">
        <v>2.2380000000000001E-2</v>
      </c>
      <c r="K33" s="2398">
        <v>0.15861</v>
      </c>
      <c r="L33" s="2404"/>
      <c r="M33" s="1454"/>
      <c r="N33" s="1454"/>
      <c r="O33" s="2409"/>
    </row>
    <row r="34" spans="1:15">
      <c r="A34" s="663">
        <v>2002.01</v>
      </c>
      <c r="B34" s="1449"/>
      <c r="C34" s="1454"/>
      <c r="D34" s="1451"/>
      <c r="E34" s="1449"/>
      <c r="F34" s="1454"/>
      <c r="G34" s="1451"/>
      <c r="H34" s="2401">
        <f t="shared" si="0"/>
        <v>1</v>
      </c>
      <c r="I34" s="2396">
        <v>0.65165000000000006</v>
      </c>
      <c r="J34" s="2397">
        <v>3.3610000000000001E-2</v>
      </c>
      <c r="K34" s="2398">
        <v>0.31474000000000002</v>
      </c>
      <c r="L34" s="2404"/>
      <c r="M34" s="1454"/>
      <c r="N34" s="1454"/>
      <c r="O34" s="2409"/>
    </row>
    <row r="35" spans="1:15">
      <c r="A35" s="663">
        <v>2002.02</v>
      </c>
      <c r="B35" s="1449"/>
      <c r="C35" s="1454"/>
      <c r="D35" s="1451"/>
      <c r="E35" s="1449"/>
      <c r="F35" s="1454"/>
      <c r="G35" s="1451"/>
      <c r="H35" s="2401">
        <f t="shared" si="0"/>
        <v>0.99999999999999989</v>
      </c>
      <c r="I35" s="2396">
        <v>0.69519999999999993</v>
      </c>
      <c r="J35" s="2397">
        <v>5.5990000000000005E-2</v>
      </c>
      <c r="K35" s="2398">
        <v>0.24881</v>
      </c>
      <c r="L35" s="2404"/>
      <c r="M35" s="1454"/>
      <c r="N35" s="1454"/>
      <c r="O35" s="2409"/>
    </row>
    <row r="36" spans="1:15">
      <c r="A36" s="663">
        <v>2002.03</v>
      </c>
      <c r="B36" s="1449"/>
      <c r="C36" s="1454"/>
      <c r="D36" s="1451"/>
      <c r="E36" s="1449"/>
      <c r="F36" s="1454"/>
      <c r="G36" s="1451"/>
      <c r="H36" s="2401">
        <f t="shared" si="0"/>
        <v>1</v>
      </c>
      <c r="I36" s="2396">
        <v>0.79921000000000009</v>
      </c>
      <c r="J36" s="2397">
        <v>2.6329999999999999E-2</v>
      </c>
      <c r="K36" s="2398">
        <v>0.17446</v>
      </c>
      <c r="L36" s="2404"/>
      <c r="M36" s="1454"/>
      <c r="N36" s="1454"/>
      <c r="O36" s="2409"/>
    </row>
    <row r="37" spans="1:15">
      <c r="A37" s="663">
        <v>2002.04</v>
      </c>
      <c r="B37" s="1449"/>
      <c r="C37" s="1454"/>
      <c r="D37" s="1451"/>
      <c r="E37" s="1449"/>
      <c r="F37" s="1454"/>
      <c r="G37" s="1451"/>
      <c r="H37" s="2401">
        <f t="shared" si="0"/>
        <v>1.0000100000000001</v>
      </c>
      <c r="I37" s="2396">
        <v>0.81589</v>
      </c>
      <c r="J37" s="2397">
        <v>1.9870000000000002E-2</v>
      </c>
      <c r="K37" s="2398">
        <v>0.16425000000000001</v>
      </c>
      <c r="L37" s="2404"/>
      <c r="M37" s="1454"/>
      <c r="N37" s="1454"/>
      <c r="O37" s="2409"/>
    </row>
    <row r="38" spans="1:15">
      <c r="A38" s="663">
        <v>2002.05</v>
      </c>
      <c r="B38" s="1449"/>
      <c r="C38" s="1454"/>
      <c r="D38" s="1451"/>
      <c r="E38" s="1449"/>
      <c r="F38" s="1454"/>
      <c r="G38" s="1451"/>
      <c r="H38" s="2401">
        <f t="shared" si="0"/>
        <v>0.99999999999999989</v>
      </c>
      <c r="I38" s="2396">
        <v>0.85368999999999995</v>
      </c>
      <c r="J38" s="2397">
        <v>3.5019999999999996E-2</v>
      </c>
      <c r="K38" s="2398">
        <v>0.11129</v>
      </c>
      <c r="L38" s="2404"/>
      <c r="M38" s="1454"/>
      <c r="N38" s="1454"/>
      <c r="O38" s="2409"/>
    </row>
    <row r="39" spans="1:15">
      <c r="A39" s="663">
        <v>2002.06</v>
      </c>
      <c r="B39" s="1449"/>
      <c r="C39" s="1454"/>
      <c r="D39" s="1451"/>
      <c r="E39" s="1449"/>
      <c r="F39" s="1454"/>
      <c r="G39" s="1451"/>
      <c r="H39" s="2401">
        <f t="shared" si="0"/>
        <v>0.99999000000000005</v>
      </c>
      <c r="I39" s="2396">
        <v>0.87934000000000001</v>
      </c>
      <c r="J39" s="2397">
        <v>1.678E-2</v>
      </c>
      <c r="K39" s="2398">
        <v>0.10387</v>
      </c>
      <c r="L39" s="2404"/>
      <c r="M39" s="1454"/>
      <c r="N39" s="1454"/>
      <c r="O39" s="2409"/>
    </row>
    <row r="40" spans="1:15">
      <c r="A40" s="663">
        <v>2002.07</v>
      </c>
      <c r="B40" s="1449"/>
      <c r="C40" s="1454"/>
      <c r="D40" s="1451"/>
      <c r="E40" s="1449"/>
      <c r="F40" s="1454"/>
      <c r="G40" s="1451"/>
      <c r="H40" s="2401">
        <f t="shared" si="0"/>
        <v>1</v>
      </c>
      <c r="I40" s="2396">
        <v>0.86111000000000004</v>
      </c>
      <c r="J40" s="2397">
        <v>6.4610000000000001E-2</v>
      </c>
      <c r="K40" s="2398">
        <v>7.4279999999999999E-2</v>
      </c>
      <c r="L40" s="2404"/>
      <c r="M40" s="1454"/>
      <c r="N40" s="1454"/>
      <c r="O40" s="2409"/>
    </row>
    <row r="41" spans="1:15">
      <c r="A41" s="663">
        <v>2002.08</v>
      </c>
      <c r="B41" s="1449"/>
      <c r="C41" s="1454"/>
      <c r="D41" s="1451"/>
      <c r="E41" s="1449"/>
      <c r="F41" s="1454"/>
      <c r="G41" s="1451"/>
      <c r="H41" s="2401">
        <f t="shared" si="0"/>
        <v>1</v>
      </c>
      <c r="I41" s="2396">
        <v>0.90233999999999992</v>
      </c>
      <c r="J41" s="2397">
        <v>1.8189999999999998E-2</v>
      </c>
      <c r="K41" s="2398">
        <v>7.9469999999999999E-2</v>
      </c>
      <c r="L41" s="2404"/>
      <c r="M41" s="1454"/>
      <c r="N41" s="1454"/>
      <c r="O41" s="2409"/>
    </row>
    <row r="42" spans="1:15">
      <c r="A42" s="663">
        <v>2002.09</v>
      </c>
      <c r="B42" s="1449"/>
      <c r="C42" s="1454"/>
      <c r="D42" s="1451"/>
      <c r="E42" s="1449"/>
      <c r="F42" s="1454"/>
      <c r="G42" s="1451"/>
      <c r="H42" s="2401">
        <f t="shared" si="0"/>
        <v>1</v>
      </c>
      <c r="I42" s="2396">
        <v>0.89555000000000007</v>
      </c>
      <c r="J42" s="2397">
        <v>3.3599999999999998E-2</v>
      </c>
      <c r="K42" s="2398">
        <v>7.0849999999999996E-2</v>
      </c>
      <c r="L42" s="2404"/>
      <c r="M42" s="1454"/>
      <c r="N42" s="1454"/>
      <c r="O42" s="2409"/>
    </row>
    <row r="43" spans="1:15">
      <c r="A43" s="663">
        <v>2002.1</v>
      </c>
      <c r="B43" s="1449"/>
      <c r="C43" s="1454"/>
      <c r="D43" s="1451"/>
      <c r="E43" s="1449"/>
      <c r="F43" s="1454"/>
      <c r="G43" s="1451"/>
      <c r="H43" s="2401">
        <f t="shared" si="0"/>
        <v>0.99999999999999989</v>
      </c>
      <c r="I43" s="2396">
        <v>0.88650999999999991</v>
      </c>
      <c r="J43" s="2397">
        <v>6.8460000000000007E-2</v>
      </c>
      <c r="K43" s="2398">
        <v>4.5030000000000001E-2</v>
      </c>
      <c r="L43" s="2404"/>
      <c r="M43" s="1454"/>
      <c r="N43" s="1454"/>
      <c r="O43" s="2409"/>
    </row>
    <row r="44" spans="1:15">
      <c r="A44" s="663">
        <v>2002.11</v>
      </c>
      <c r="B44" s="1449"/>
      <c r="C44" s="1454"/>
      <c r="D44" s="1451"/>
      <c r="E44" s="1449"/>
      <c r="F44" s="1454"/>
      <c r="G44" s="1451"/>
      <c r="H44" s="2401">
        <f t="shared" si="0"/>
        <v>1</v>
      </c>
      <c r="I44" s="2396">
        <v>0.89056000000000002</v>
      </c>
      <c r="J44" s="2397">
        <v>8.0090000000000008E-2</v>
      </c>
      <c r="K44" s="2398">
        <v>2.9350000000000001E-2</v>
      </c>
      <c r="L44" s="2404"/>
      <c r="M44" s="1454"/>
      <c r="N44" s="1454"/>
      <c r="O44" s="2409"/>
    </row>
    <row r="45" spans="1:15">
      <c r="A45" s="663">
        <v>2002.12</v>
      </c>
      <c r="B45" s="1449"/>
      <c r="C45" s="1454"/>
      <c r="D45" s="1451"/>
      <c r="E45" s="1449"/>
      <c r="F45" s="1454"/>
      <c r="G45" s="1451"/>
      <c r="H45" s="2401">
        <f t="shared" si="0"/>
        <v>1</v>
      </c>
      <c r="I45" s="2396">
        <v>0.86112</v>
      </c>
      <c r="J45" s="2397">
        <v>6.973E-2</v>
      </c>
      <c r="K45" s="2398">
        <v>6.9150000000000003E-2</v>
      </c>
      <c r="L45" s="2404"/>
      <c r="M45" s="1454"/>
      <c r="N45" s="1454"/>
      <c r="O45" s="2409"/>
    </row>
    <row r="46" spans="1:15">
      <c r="A46" s="663">
        <v>2003.01</v>
      </c>
      <c r="B46" s="1449"/>
      <c r="C46" s="1454"/>
      <c r="D46" s="1451"/>
      <c r="E46" s="1449"/>
      <c r="F46" s="1454"/>
      <c r="G46" s="1451"/>
      <c r="H46" s="2401">
        <f t="shared" si="0"/>
        <v>1</v>
      </c>
      <c r="I46" s="2396">
        <v>0.87458000000000002</v>
      </c>
      <c r="J46" s="2397">
        <v>9.443E-2</v>
      </c>
      <c r="K46" s="2398">
        <v>3.0990000000000004E-2</v>
      </c>
      <c r="L46" s="2404"/>
      <c r="M46" s="1454"/>
      <c r="N46" s="1454"/>
      <c r="O46" s="2409"/>
    </row>
    <row r="47" spans="1:15">
      <c r="A47" s="663">
        <v>2003.02</v>
      </c>
      <c r="B47" s="1449"/>
      <c r="C47" s="1454"/>
      <c r="D47" s="1451"/>
      <c r="E47" s="1449"/>
      <c r="F47" s="1454"/>
      <c r="G47" s="1451"/>
      <c r="H47" s="2401">
        <f t="shared" si="0"/>
        <v>0.99999999999999989</v>
      </c>
      <c r="I47" s="2396">
        <v>0.82590999999999992</v>
      </c>
      <c r="J47" s="2397">
        <v>0.10949999999999999</v>
      </c>
      <c r="K47" s="2398">
        <v>6.4589999999999995E-2</v>
      </c>
      <c r="L47" s="2404"/>
      <c r="M47" s="1454"/>
      <c r="N47" s="1454"/>
      <c r="O47" s="2409"/>
    </row>
    <row r="48" spans="1:15">
      <c r="A48" s="663">
        <v>2003.03</v>
      </c>
      <c r="B48" s="1449"/>
      <c r="C48" s="1454"/>
      <c r="D48" s="1451"/>
      <c r="E48" s="1449"/>
      <c r="F48" s="1454"/>
      <c r="G48" s="1451"/>
      <c r="H48" s="2401">
        <f t="shared" si="0"/>
        <v>0.99998999999999993</v>
      </c>
      <c r="I48" s="2396">
        <v>0.8494799999999999</v>
      </c>
      <c r="J48" s="2397">
        <v>0.11349000000000001</v>
      </c>
      <c r="K48" s="2398">
        <v>3.7019999999999997E-2</v>
      </c>
      <c r="L48" s="2404"/>
      <c r="M48" s="1454"/>
      <c r="N48" s="1454"/>
      <c r="O48" s="2409"/>
    </row>
    <row r="49" spans="1:15">
      <c r="A49" s="663">
        <v>2003.04</v>
      </c>
      <c r="B49" s="1449"/>
      <c r="C49" s="1454"/>
      <c r="D49" s="1451"/>
      <c r="E49" s="1449"/>
      <c r="F49" s="1454"/>
      <c r="G49" s="1451"/>
      <c r="H49" s="2401">
        <f t="shared" si="0"/>
        <v>0.99999999999999989</v>
      </c>
      <c r="I49" s="2396">
        <v>0.89575999999999989</v>
      </c>
      <c r="J49" s="2397">
        <v>7.2300000000000003E-2</v>
      </c>
      <c r="K49" s="2398">
        <v>3.1939999999999996E-2</v>
      </c>
      <c r="L49" s="2404"/>
      <c r="M49" s="1454"/>
      <c r="N49" s="1454"/>
      <c r="O49" s="2409"/>
    </row>
    <row r="50" spans="1:15">
      <c r="A50" s="663">
        <v>2003.05</v>
      </c>
      <c r="B50" s="1449"/>
      <c r="C50" s="1454"/>
      <c r="D50" s="1451"/>
      <c r="E50" s="1449"/>
      <c r="F50" s="1454"/>
      <c r="G50" s="1451"/>
      <c r="H50" s="2401">
        <f t="shared" si="0"/>
        <v>1</v>
      </c>
      <c r="I50" s="2396">
        <v>0.86900999999999995</v>
      </c>
      <c r="J50" s="2397">
        <v>8.4330000000000002E-2</v>
      </c>
      <c r="K50" s="2398">
        <v>4.6660000000000007E-2</v>
      </c>
      <c r="L50" s="2404"/>
      <c r="M50" s="1454"/>
      <c r="N50" s="1454"/>
      <c r="O50" s="2409"/>
    </row>
    <row r="51" spans="1:15">
      <c r="A51" s="663">
        <v>2003.06</v>
      </c>
      <c r="B51" s="1449"/>
      <c r="C51" s="1454"/>
      <c r="D51" s="1451"/>
      <c r="E51" s="1449"/>
      <c r="F51" s="1454"/>
      <c r="G51" s="1451"/>
      <c r="H51" s="2401">
        <f t="shared" si="0"/>
        <v>1</v>
      </c>
      <c r="I51" s="2396">
        <v>0.87104999999999999</v>
      </c>
      <c r="J51" s="2397">
        <v>8.3089999999999997E-2</v>
      </c>
      <c r="K51" s="2398">
        <v>4.5860000000000005E-2</v>
      </c>
      <c r="L51" s="2404"/>
      <c r="M51" s="1454"/>
      <c r="N51" s="1454"/>
      <c r="O51" s="2409"/>
    </row>
    <row r="52" spans="1:15">
      <c r="A52" s="663">
        <v>2003.07</v>
      </c>
      <c r="B52" s="1449"/>
      <c r="C52" s="1454"/>
      <c r="D52" s="1451"/>
      <c r="E52" s="1449"/>
      <c r="F52" s="1454"/>
      <c r="G52" s="1451"/>
      <c r="H52" s="2401">
        <f t="shared" si="0"/>
        <v>1</v>
      </c>
      <c r="I52" s="2396">
        <v>0.82245999999999997</v>
      </c>
      <c r="J52" s="2397">
        <v>0.15032000000000001</v>
      </c>
      <c r="K52" s="2398">
        <v>2.7220000000000001E-2</v>
      </c>
      <c r="L52" s="2404"/>
      <c r="M52" s="1454"/>
      <c r="N52" s="1454"/>
      <c r="O52" s="2409"/>
    </row>
    <row r="53" spans="1:15">
      <c r="A53" s="663">
        <v>2003.08</v>
      </c>
      <c r="B53" s="1449"/>
      <c r="C53" s="1454"/>
      <c r="D53" s="1451"/>
      <c r="E53" s="1449"/>
      <c r="F53" s="1454"/>
      <c r="G53" s="1451"/>
      <c r="H53" s="2401">
        <f t="shared" si="0"/>
        <v>0.99999999999999989</v>
      </c>
      <c r="I53" s="2396">
        <v>0.83451999999999993</v>
      </c>
      <c r="J53" s="2397">
        <v>0.1356</v>
      </c>
      <c r="K53" s="2398">
        <v>2.988E-2</v>
      </c>
      <c r="L53" s="2404"/>
      <c r="M53" s="1454"/>
      <c r="N53" s="1454"/>
      <c r="O53" s="2409"/>
    </row>
    <row r="54" spans="1:15">
      <c r="A54" s="663">
        <v>2003.09</v>
      </c>
      <c r="B54" s="1449"/>
      <c r="C54" s="1454"/>
      <c r="D54" s="1451"/>
      <c r="E54" s="1449"/>
      <c r="F54" s="1454"/>
      <c r="G54" s="1451"/>
      <c r="H54" s="2401">
        <f t="shared" si="0"/>
        <v>1.0000100000000001</v>
      </c>
      <c r="I54" s="2396">
        <v>0.86296000000000006</v>
      </c>
      <c r="J54" s="2397">
        <v>0.12086999999999999</v>
      </c>
      <c r="K54" s="2398">
        <v>1.618E-2</v>
      </c>
      <c r="L54" s="2404"/>
      <c r="M54" s="1454"/>
      <c r="N54" s="1454"/>
      <c r="O54" s="2409"/>
    </row>
    <row r="55" spans="1:15">
      <c r="A55" s="663">
        <v>2003.1</v>
      </c>
      <c r="B55" s="1449"/>
      <c r="C55" s="1454"/>
      <c r="D55" s="1451"/>
      <c r="E55" s="1449"/>
      <c r="F55" s="1454"/>
      <c r="G55" s="1451"/>
      <c r="H55" s="2401">
        <f t="shared" si="0"/>
        <v>1</v>
      </c>
      <c r="I55" s="2396">
        <v>0.85668999999999995</v>
      </c>
      <c r="J55" s="2397">
        <v>0.11343</v>
      </c>
      <c r="K55" s="2398">
        <v>2.988E-2</v>
      </c>
      <c r="L55" s="2404"/>
      <c r="M55" s="1454"/>
      <c r="N55" s="1454"/>
      <c r="O55" s="2409"/>
    </row>
    <row r="56" spans="1:15">
      <c r="A56" s="663">
        <v>2003.11</v>
      </c>
      <c r="B56" s="1449"/>
      <c r="C56" s="1454"/>
      <c r="D56" s="1451"/>
      <c r="E56" s="1449"/>
      <c r="F56" s="1454"/>
      <c r="G56" s="1451"/>
      <c r="H56" s="2401">
        <f t="shared" si="0"/>
        <v>1</v>
      </c>
      <c r="I56" s="2396">
        <v>0.81589</v>
      </c>
      <c r="J56" s="2397">
        <v>0.13244</v>
      </c>
      <c r="K56" s="2398">
        <v>5.1670000000000001E-2</v>
      </c>
      <c r="L56" s="2404"/>
      <c r="M56" s="1454"/>
      <c r="N56" s="1454"/>
      <c r="O56" s="2409"/>
    </row>
    <row r="57" spans="1:15">
      <c r="A57" s="663">
        <v>2003.12</v>
      </c>
      <c r="B57" s="1449"/>
      <c r="C57" s="1454"/>
      <c r="D57" s="1451"/>
      <c r="E57" s="1449"/>
      <c r="F57" s="1454"/>
      <c r="G57" s="1451"/>
      <c r="H57" s="2401">
        <f t="shared" si="0"/>
        <v>1</v>
      </c>
      <c r="I57" s="2396">
        <v>0.85367999999999999</v>
      </c>
      <c r="J57" s="2397">
        <v>0.11090999999999999</v>
      </c>
      <c r="K57" s="2398">
        <v>3.5409999999999997E-2</v>
      </c>
      <c r="L57" s="2404"/>
      <c r="M57" s="1454"/>
      <c r="N57" s="1454"/>
      <c r="O57" s="2409"/>
    </row>
    <row r="58" spans="1:15">
      <c r="A58" s="663">
        <v>2004.01</v>
      </c>
      <c r="B58" s="1449"/>
      <c r="C58" s="1454"/>
      <c r="D58" s="1451"/>
      <c r="E58" s="1449"/>
      <c r="F58" s="1454"/>
      <c r="G58" s="1451"/>
      <c r="H58" s="2401">
        <f t="shared" si="0"/>
        <v>0.99998999999999993</v>
      </c>
      <c r="I58" s="2396">
        <v>0.82602999999999993</v>
      </c>
      <c r="J58" s="2397">
        <v>0.13833999999999999</v>
      </c>
      <c r="K58" s="2398">
        <v>3.5619999999999999E-2</v>
      </c>
      <c r="L58" s="2404"/>
      <c r="M58" s="1454"/>
      <c r="N58" s="1454"/>
      <c r="O58" s="2409"/>
    </row>
    <row r="59" spans="1:15">
      <c r="A59" s="663">
        <v>2004.02</v>
      </c>
      <c r="B59" s="1449"/>
      <c r="C59" s="1454"/>
      <c r="D59" s="1451"/>
      <c r="E59" s="1449"/>
      <c r="F59" s="1454"/>
      <c r="G59" s="1451"/>
      <c r="H59" s="2401">
        <f t="shared" si="0"/>
        <v>1</v>
      </c>
      <c r="I59" s="2396">
        <v>0.88655000000000006</v>
      </c>
      <c r="J59" s="2397">
        <v>0.10253</v>
      </c>
      <c r="K59" s="2398">
        <v>1.0920000000000001E-2</v>
      </c>
      <c r="L59" s="2404"/>
      <c r="M59" s="1454"/>
      <c r="N59" s="1454"/>
      <c r="O59" s="2409"/>
    </row>
    <row r="60" spans="1:15">
      <c r="A60" s="663">
        <v>2004.03</v>
      </c>
      <c r="B60" s="1449"/>
      <c r="C60" s="1454"/>
      <c r="D60" s="1451"/>
      <c r="E60" s="1449"/>
      <c r="F60" s="1454"/>
      <c r="G60" s="1451"/>
      <c r="H60" s="2401">
        <f t="shared" si="0"/>
        <v>1</v>
      </c>
      <c r="I60" s="2396">
        <v>0.89161000000000001</v>
      </c>
      <c r="J60" s="2397">
        <v>0.10003000000000001</v>
      </c>
      <c r="K60" s="2398">
        <v>8.3599999999999994E-3</v>
      </c>
      <c r="L60" s="2404"/>
      <c r="M60" s="1454"/>
      <c r="N60" s="1454"/>
      <c r="O60" s="2409"/>
    </row>
    <row r="61" spans="1:15">
      <c r="A61" s="663">
        <v>2004.04</v>
      </c>
      <c r="B61" s="1449"/>
      <c r="C61" s="1454"/>
      <c r="D61" s="1451"/>
      <c r="E61" s="1449"/>
      <c r="F61" s="1454"/>
      <c r="G61" s="1451"/>
      <c r="H61" s="2401">
        <f t="shared" si="0"/>
        <v>1</v>
      </c>
      <c r="I61" s="2396">
        <v>0.91712000000000005</v>
      </c>
      <c r="J61" s="2397">
        <v>5.8349999999999999E-2</v>
      </c>
      <c r="K61" s="2398">
        <v>2.453E-2</v>
      </c>
      <c r="L61" s="2404"/>
      <c r="M61" s="1454"/>
      <c r="N61" s="1454"/>
      <c r="O61" s="2409"/>
    </row>
    <row r="62" spans="1:15">
      <c r="A62" s="663">
        <v>2004.05</v>
      </c>
      <c r="B62" s="1449"/>
      <c r="C62" s="1454"/>
      <c r="D62" s="1451"/>
      <c r="E62" s="1449"/>
      <c r="F62" s="1454"/>
      <c r="G62" s="1451"/>
      <c r="H62" s="2401">
        <f t="shared" si="0"/>
        <v>0.99998999999999993</v>
      </c>
      <c r="I62" s="2396">
        <v>0.86671999999999993</v>
      </c>
      <c r="J62" s="2397">
        <v>8.8510000000000005E-2</v>
      </c>
      <c r="K62" s="2398">
        <v>4.4760000000000001E-2</v>
      </c>
      <c r="L62" s="2404"/>
      <c r="M62" s="1454"/>
      <c r="N62" s="1454"/>
      <c r="O62" s="2409"/>
    </row>
    <row r="63" spans="1:15">
      <c r="A63" s="663">
        <v>2004.06</v>
      </c>
      <c r="B63" s="1449"/>
      <c r="C63" s="1454"/>
      <c r="D63" s="1451"/>
      <c r="E63" s="1449"/>
      <c r="F63" s="1454"/>
      <c r="G63" s="2395"/>
      <c r="H63" s="2401">
        <f t="shared" si="0"/>
        <v>1</v>
      </c>
      <c r="I63" s="2396">
        <v>0.88861999999999997</v>
      </c>
      <c r="J63" s="2397">
        <v>8.9019999999999988E-2</v>
      </c>
      <c r="K63" s="2398">
        <v>2.2360000000000001E-2</v>
      </c>
      <c r="L63" s="2395"/>
      <c r="M63" s="1454"/>
      <c r="N63" s="2395"/>
      <c r="O63" s="2409"/>
    </row>
    <row r="64" spans="1:15">
      <c r="A64" s="663">
        <v>2004.07</v>
      </c>
      <c r="B64" s="1449"/>
      <c r="C64" s="1454"/>
      <c r="D64" s="1451"/>
      <c r="E64" s="1449"/>
      <c r="F64" s="1454"/>
      <c r="G64" s="2395"/>
      <c r="H64" s="2401">
        <f>+I64+J64+K64</f>
        <v>0.99998999999999993</v>
      </c>
      <c r="I64" s="2396">
        <v>0.89878000000000002</v>
      </c>
      <c r="J64" s="2397">
        <v>8.0169999999999991E-2</v>
      </c>
      <c r="K64" s="2398">
        <v>2.104E-2</v>
      </c>
      <c r="L64" s="1449"/>
      <c r="M64" s="1454"/>
      <c r="N64" s="2395"/>
      <c r="O64" s="2409"/>
    </row>
    <row r="65" spans="1:15">
      <c r="A65" s="663">
        <v>2004.08</v>
      </c>
      <c r="B65" s="1449"/>
      <c r="C65" s="1454"/>
      <c r="D65" s="1451"/>
      <c r="E65" s="1449"/>
      <c r="F65" s="1454"/>
      <c r="G65" s="2395"/>
      <c r="H65" s="2401">
        <f t="shared" ref="H65:H128" si="1">+I65+J65+K65</f>
        <v>0.99999999999999989</v>
      </c>
      <c r="I65" s="2396">
        <v>0.84767999999999999</v>
      </c>
      <c r="J65" s="2397">
        <v>0.13299</v>
      </c>
      <c r="K65" s="2398">
        <v>1.933E-2</v>
      </c>
      <c r="L65" s="1449"/>
      <c r="M65" s="1454"/>
      <c r="N65" s="2395"/>
      <c r="O65" s="2409"/>
    </row>
    <row r="66" spans="1:15">
      <c r="A66" s="663">
        <v>2004.09</v>
      </c>
      <c r="B66" s="1449"/>
      <c r="C66" s="1454"/>
      <c r="D66" s="1451"/>
      <c r="E66" s="1449"/>
      <c r="F66" s="1454"/>
      <c r="G66" s="2395"/>
      <c r="H66" s="2401">
        <f t="shared" si="1"/>
        <v>1</v>
      </c>
      <c r="I66" s="2396">
        <v>0.91189999999999993</v>
      </c>
      <c r="J66" s="2397">
        <v>8.4739999999999996E-2</v>
      </c>
      <c r="K66" s="2398">
        <v>3.3600000000000001E-3</v>
      </c>
      <c r="L66" s="1449"/>
      <c r="M66" s="1454"/>
      <c r="N66" s="2395"/>
      <c r="O66" s="2409"/>
    </row>
    <row r="67" spans="1:15">
      <c r="A67" s="663">
        <v>2004.1</v>
      </c>
      <c r="B67" s="1449"/>
      <c r="C67" s="1454"/>
      <c r="D67" s="1451"/>
      <c r="E67" s="1449"/>
      <c r="F67" s="1454"/>
      <c r="G67" s="2395"/>
      <c r="H67" s="2401">
        <f t="shared" si="1"/>
        <v>1.0000099999999998</v>
      </c>
      <c r="I67" s="2396">
        <v>0.85948999999999998</v>
      </c>
      <c r="J67" s="2397">
        <v>0.11747</v>
      </c>
      <c r="K67" s="2398">
        <v>2.3050000000000001E-2</v>
      </c>
      <c r="L67" s="1449"/>
      <c r="M67" s="1454"/>
      <c r="N67" s="2395"/>
      <c r="O67" s="2409"/>
    </row>
    <row r="68" spans="1:15">
      <c r="A68" s="663">
        <v>2004.11</v>
      </c>
      <c r="B68" s="1449"/>
      <c r="C68" s="1454"/>
      <c r="D68" s="1451"/>
      <c r="E68" s="1449"/>
      <c r="F68" s="1454"/>
      <c r="G68" s="2395"/>
      <c r="H68" s="2401">
        <f t="shared" si="1"/>
        <v>1</v>
      </c>
      <c r="I68" s="2396">
        <v>0.89165000000000005</v>
      </c>
      <c r="J68" s="2397">
        <v>8.2959999999999992E-2</v>
      </c>
      <c r="K68" s="2398">
        <v>2.5390000000000003E-2</v>
      </c>
      <c r="L68" s="1449"/>
      <c r="M68" s="1454"/>
      <c r="N68" s="2395"/>
      <c r="O68" s="2409"/>
    </row>
    <row r="69" spans="1:15">
      <c r="A69" s="663">
        <v>2004.12</v>
      </c>
      <c r="B69" s="1449"/>
      <c r="C69" s="1454"/>
      <c r="D69" s="1451"/>
      <c r="E69" s="1449"/>
      <c r="F69" s="1454"/>
      <c r="G69" s="2395"/>
      <c r="H69" s="2401">
        <f t="shared" si="1"/>
        <v>1</v>
      </c>
      <c r="I69" s="2396">
        <v>0.88043000000000005</v>
      </c>
      <c r="J69" s="2397">
        <v>7.6799999999999993E-2</v>
      </c>
      <c r="K69" s="2398">
        <v>4.2770000000000002E-2</v>
      </c>
      <c r="L69" s="1449"/>
      <c r="M69" s="1454"/>
      <c r="N69" s="2395"/>
      <c r="O69" s="2409"/>
    </row>
    <row r="70" spans="1:15">
      <c r="A70" s="663">
        <v>2005.01</v>
      </c>
      <c r="B70" s="1449"/>
      <c r="C70" s="1454"/>
      <c r="D70" s="1451"/>
      <c r="E70" s="1449"/>
      <c r="F70" s="1454"/>
      <c r="G70" s="2395"/>
      <c r="H70" s="2401">
        <f t="shared" si="1"/>
        <v>0.99999999999999989</v>
      </c>
      <c r="I70" s="2396">
        <v>0.86950999999999989</v>
      </c>
      <c r="J70" s="2397">
        <v>8.1159999999999996E-2</v>
      </c>
      <c r="K70" s="2398">
        <v>4.9329999999999999E-2</v>
      </c>
      <c r="L70" s="1449"/>
      <c r="M70" s="1454"/>
      <c r="N70" s="2395"/>
      <c r="O70" s="2409"/>
    </row>
    <row r="71" spans="1:15">
      <c r="A71" s="663">
        <v>2005.02</v>
      </c>
      <c r="B71" s="1449"/>
      <c r="C71" s="1454"/>
      <c r="D71" s="1451"/>
      <c r="E71" s="1449"/>
      <c r="F71" s="1454"/>
      <c r="G71" s="2395"/>
      <c r="H71" s="2401">
        <f t="shared" si="1"/>
        <v>0.99999999999999989</v>
      </c>
      <c r="I71" s="2396">
        <v>0.80110602931716801</v>
      </c>
      <c r="J71" s="2397">
        <v>0.15143989264497648</v>
      </c>
      <c r="K71" s="2398">
        <v>4.7454078037855431E-2</v>
      </c>
      <c r="L71" s="1449"/>
      <c r="M71" s="1454"/>
      <c r="N71" s="2395"/>
      <c r="O71" s="2409"/>
    </row>
    <row r="72" spans="1:15">
      <c r="A72" s="663">
        <v>2005.03</v>
      </c>
      <c r="B72" s="1449"/>
      <c r="C72" s="1454"/>
      <c r="D72" s="1451"/>
      <c r="E72" s="1449"/>
      <c r="F72" s="1454"/>
      <c r="G72" s="2395"/>
      <c r="H72" s="2401">
        <f t="shared" si="1"/>
        <v>1</v>
      </c>
      <c r="I72" s="2396">
        <v>0.82647992296144612</v>
      </c>
      <c r="J72" s="2397">
        <v>0.1083650517130475</v>
      </c>
      <c r="K72" s="2398">
        <v>6.5155025325506474E-2</v>
      </c>
      <c r="L72" s="1449"/>
      <c r="M72" s="1454"/>
      <c r="N72" s="2395"/>
      <c r="O72" s="2409"/>
    </row>
    <row r="73" spans="1:15">
      <c r="A73" s="663">
        <v>2005.04</v>
      </c>
      <c r="B73" s="1449"/>
      <c r="C73" s="1454"/>
      <c r="D73" s="1451"/>
      <c r="E73" s="1449"/>
      <c r="F73" s="1454"/>
      <c r="G73" s="2395"/>
      <c r="H73" s="2401">
        <f t="shared" si="1"/>
        <v>0.99999999999999989</v>
      </c>
      <c r="I73" s="2396">
        <v>0.87111586615652536</v>
      </c>
      <c r="J73" s="2397">
        <v>7.9852625053181109E-2</v>
      </c>
      <c r="K73" s="2398">
        <v>4.9031508790293436E-2</v>
      </c>
      <c r="L73" s="1449"/>
      <c r="M73" s="1454"/>
      <c r="N73" s="2395"/>
      <c r="O73" s="2409"/>
    </row>
    <row r="74" spans="1:15">
      <c r="A74" s="663">
        <v>2005.05</v>
      </c>
      <c r="B74" s="1449"/>
      <c r="C74" s="1454"/>
      <c r="D74" s="1451"/>
      <c r="E74" s="1449"/>
      <c r="F74" s="1454"/>
      <c r="G74" s="2395"/>
      <c r="H74" s="2401">
        <f t="shared" si="1"/>
        <v>1</v>
      </c>
      <c r="I74" s="2396">
        <v>0.84550486431775662</v>
      </c>
      <c r="J74" s="2397">
        <v>0.11564816801565088</v>
      </c>
      <c r="K74" s="2398">
        <v>3.8846967666592548E-2</v>
      </c>
      <c r="L74" s="1449"/>
      <c r="M74" s="1454"/>
      <c r="N74" s="2395"/>
      <c r="O74" s="2409"/>
    </row>
    <row r="75" spans="1:15">
      <c r="A75" s="663">
        <v>2005.06</v>
      </c>
      <c r="B75" s="1449"/>
      <c r="C75" s="1454"/>
      <c r="D75" s="1451"/>
      <c r="E75" s="1449"/>
      <c r="F75" s="1454"/>
      <c r="G75" s="2395"/>
      <c r="H75" s="2401">
        <f t="shared" si="1"/>
        <v>0.99999999999999989</v>
      </c>
      <c r="I75" s="2396">
        <v>0.89456985347081641</v>
      </c>
      <c r="J75" s="2397">
        <v>7.9960745085485271E-2</v>
      </c>
      <c r="K75" s="2398">
        <v>2.5469401443698244E-2</v>
      </c>
      <c r="L75" s="1449"/>
      <c r="M75" s="1454"/>
      <c r="N75" s="2395"/>
      <c r="O75" s="2409"/>
    </row>
    <row r="76" spans="1:15">
      <c r="A76" s="663">
        <v>2005.07</v>
      </c>
      <c r="B76" s="1449"/>
      <c r="C76" s="1454"/>
      <c r="D76" s="1451"/>
      <c r="E76" s="1449"/>
      <c r="F76" s="1454"/>
      <c r="G76" s="2395"/>
      <c r="H76" s="2401">
        <f t="shared" si="1"/>
        <v>1</v>
      </c>
      <c r="I76" s="2396">
        <v>0.86505933460237339</v>
      </c>
      <c r="J76" s="2397">
        <v>0.11344930453797217</v>
      </c>
      <c r="K76" s="2398">
        <v>2.1491360859654432E-2</v>
      </c>
      <c r="L76" s="1449"/>
      <c r="M76" s="1454"/>
      <c r="N76" s="2395"/>
      <c r="O76" s="2409"/>
    </row>
    <row r="77" spans="1:15">
      <c r="A77" s="663">
        <v>2005.08</v>
      </c>
      <c r="B77" s="1449"/>
      <c r="C77" s="1454"/>
      <c r="D77" s="1451"/>
      <c r="E77" s="1449"/>
      <c r="F77" s="1454"/>
      <c r="G77" s="2395"/>
      <c r="H77" s="2401">
        <f t="shared" si="1"/>
        <v>1</v>
      </c>
      <c r="I77" s="2396">
        <v>0.83032975093559513</v>
      </c>
      <c r="J77" s="2397">
        <v>0.15287645157958715</v>
      </c>
      <c r="K77" s="2398">
        <v>1.6793797484817696E-2</v>
      </c>
      <c r="L77" s="1449"/>
      <c r="M77" s="1454"/>
      <c r="N77" s="2395"/>
      <c r="O77" s="2409"/>
    </row>
    <row r="78" spans="1:15">
      <c r="A78" s="663">
        <v>2005.09</v>
      </c>
      <c r="B78" s="1449"/>
      <c r="C78" s="1454"/>
      <c r="D78" s="1451"/>
      <c r="E78" s="1449"/>
      <c r="F78" s="1454"/>
      <c r="G78" s="2395"/>
      <c r="H78" s="2401">
        <f t="shared" si="1"/>
        <v>1</v>
      </c>
      <c r="I78" s="2396">
        <v>0.87658968393839942</v>
      </c>
      <c r="J78" s="2397">
        <v>0.10452717689446615</v>
      </c>
      <c r="K78" s="2398">
        <v>1.8883139167134411E-2</v>
      </c>
      <c r="L78" s="1449"/>
      <c r="M78" s="1454"/>
      <c r="N78" s="2395"/>
      <c r="O78" s="2409"/>
    </row>
    <row r="79" spans="1:15">
      <c r="A79" s="663">
        <v>2005.1</v>
      </c>
      <c r="B79" s="1449"/>
      <c r="C79" s="1454"/>
      <c r="D79" s="1451"/>
      <c r="E79" s="1449"/>
      <c r="F79" s="1454"/>
      <c r="G79" s="2395"/>
      <c r="H79" s="2401">
        <f t="shared" si="1"/>
        <v>1</v>
      </c>
      <c r="I79" s="2396">
        <v>0.88038966734600099</v>
      </c>
      <c r="J79" s="2397">
        <v>0.10131802692590734</v>
      </c>
      <c r="K79" s="2398">
        <v>1.8292305728091748E-2</v>
      </c>
      <c r="L79" s="1449"/>
      <c r="M79" s="1454"/>
      <c r="N79" s="2395"/>
      <c r="O79" s="2409"/>
    </row>
    <row r="80" spans="1:15">
      <c r="A80" s="663">
        <v>2005.11</v>
      </c>
      <c r="B80" s="1449"/>
      <c r="C80" s="1454"/>
      <c r="D80" s="1451"/>
      <c r="E80" s="1449"/>
      <c r="F80" s="1454"/>
      <c r="G80" s="2395"/>
      <c r="H80" s="2401">
        <f t="shared" si="1"/>
        <v>1</v>
      </c>
      <c r="I80" s="2396">
        <v>0.80834172216482114</v>
      </c>
      <c r="J80" s="2397">
        <v>0.16267846421073787</v>
      </c>
      <c r="K80" s="2398">
        <v>2.8979813624440999E-2</v>
      </c>
      <c r="L80" s="1449"/>
      <c r="M80" s="1454"/>
      <c r="N80" s="2395"/>
      <c r="O80" s="2409"/>
    </row>
    <row r="81" spans="1:15">
      <c r="A81" s="663">
        <v>2005.12</v>
      </c>
      <c r="B81" s="1449"/>
      <c r="C81" s="1454"/>
      <c r="D81" s="1451"/>
      <c r="E81" s="1449"/>
      <c r="F81" s="1454"/>
      <c r="G81" s="2395"/>
      <c r="H81" s="2401">
        <f t="shared" si="1"/>
        <v>0.99999999999999989</v>
      </c>
      <c r="I81" s="2396">
        <v>0.88552591141351045</v>
      </c>
      <c r="J81" s="2397">
        <v>7.9055908226172339E-2</v>
      </c>
      <c r="K81" s="2398">
        <v>3.541818036031711E-2</v>
      </c>
      <c r="L81" s="1449"/>
      <c r="M81" s="1454"/>
      <c r="N81" s="2395"/>
      <c r="O81" s="2409"/>
    </row>
    <row r="82" spans="1:15">
      <c r="A82" s="663">
        <v>2006.01</v>
      </c>
      <c r="B82" s="1449"/>
      <c r="C82" s="1454"/>
      <c r="D82" s="1451"/>
      <c r="E82" s="1449"/>
      <c r="F82" s="1454"/>
      <c r="G82" s="2395"/>
      <c r="H82" s="2401">
        <f t="shared" si="1"/>
        <v>1</v>
      </c>
      <c r="I82" s="2396">
        <v>0.8547292282238339</v>
      </c>
      <c r="J82" s="2397">
        <v>0.11459199454125291</v>
      </c>
      <c r="K82" s="2398">
        <v>3.0678777234913211E-2</v>
      </c>
      <c r="L82" s="1449"/>
      <c r="M82" s="1454"/>
      <c r="N82" s="2395"/>
      <c r="O82" s="2409"/>
    </row>
    <row r="83" spans="1:15">
      <c r="A83" s="663">
        <v>2006.02</v>
      </c>
      <c r="B83" s="1449"/>
      <c r="C83" s="1454"/>
      <c r="D83" s="1451"/>
      <c r="E83" s="1449"/>
      <c r="F83" s="1454"/>
      <c r="G83" s="2395"/>
      <c r="H83" s="2401">
        <f t="shared" si="1"/>
        <v>1</v>
      </c>
      <c r="I83" s="2396">
        <v>0.85973877963657086</v>
      </c>
      <c r="J83" s="2397">
        <v>9.3335596933016435E-2</v>
      </c>
      <c r="K83" s="2398">
        <v>4.6925623430412712E-2</v>
      </c>
      <c r="L83" s="1449"/>
      <c r="M83" s="1454"/>
      <c r="N83" s="2395"/>
      <c r="O83" s="2409"/>
    </row>
    <row r="84" spans="1:15">
      <c r="A84" s="663">
        <v>2006.03</v>
      </c>
      <c r="B84" s="1449"/>
      <c r="C84" s="1454"/>
      <c r="D84" s="1451"/>
      <c r="E84" s="1449"/>
      <c r="F84" s="1454"/>
      <c r="G84" s="2395"/>
      <c r="H84" s="2401">
        <f t="shared" si="1"/>
        <v>1</v>
      </c>
      <c r="I84" s="2396">
        <v>0.83978343023250002</v>
      </c>
      <c r="J84" s="2397">
        <v>0.13072914830672103</v>
      </c>
      <c r="K84" s="2398">
        <v>2.9487421460779002E-2</v>
      </c>
      <c r="L84" s="1449"/>
      <c r="M84" s="1454"/>
      <c r="N84" s="2395"/>
      <c r="O84" s="2409"/>
    </row>
    <row r="85" spans="1:15">
      <c r="A85" s="663">
        <v>2006.04</v>
      </c>
      <c r="B85" s="1449"/>
      <c r="C85" s="1454"/>
      <c r="D85" s="1451"/>
      <c r="E85" s="1449"/>
      <c r="F85" s="1454"/>
      <c r="G85" s="2395"/>
      <c r="H85" s="2401">
        <f t="shared" si="1"/>
        <v>1</v>
      </c>
      <c r="I85" s="2396">
        <v>0.84249680231504842</v>
      </c>
      <c r="J85" s="2397">
        <v>0.11815384494223233</v>
      </c>
      <c r="K85" s="2398">
        <v>3.934935274271921E-2</v>
      </c>
      <c r="L85" s="1449"/>
      <c r="M85" s="1454"/>
      <c r="N85" s="2395"/>
      <c r="O85" s="2409"/>
    </row>
    <row r="86" spans="1:15">
      <c r="A86" s="663">
        <v>2006.05</v>
      </c>
      <c r="B86" s="1449"/>
      <c r="C86" s="1454"/>
      <c r="D86" s="1451"/>
      <c r="E86" s="1449"/>
      <c r="F86" s="1454"/>
      <c r="G86" s="2395"/>
      <c r="H86" s="2401">
        <f t="shared" si="1"/>
        <v>1</v>
      </c>
      <c r="I86" s="2396">
        <v>0.85636314877187403</v>
      </c>
      <c r="J86" s="2397">
        <v>0.12936195841039569</v>
      </c>
      <c r="K86" s="2398">
        <v>1.4274892817730409E-2</v>
      </c>
      <c r="L86" s="1449"/>
      <c r="M86" s="1454"/>
      <c r="N86" s="2395"/>
      <c r="O86" s="2409"/>
    </row>
    <row r="87" spans="1:15">
      <c r="A87" s="663">
        <v>2006.06</v>
      </c>
      <c r="B87" s="1449"/>
      <c r="C87" s="1454"/>
      <c r="D87" s="1451"/>
      <c r="E87" s="1449"/>
      <c r="F87" s="1454"/>
      <c r="G87" s="2395"/>
      <c r="H87" s="2401">
        <f t="shared" si="1"/>
        <v>1.0000000000000002</v>
      </c>
      <c r="I87" s="2396">
        <v>0.87857270686862265</v>
      </c>
      <c r="J87" s="2397">
        <v>8.3755014235729675E-2</v>
      </c>
      <c r="K87" s="2398">
        <v>3.7672278895647733E-2</v>
      </c>
      <c r="L87" s="1449"/>
      <c r="M87" s="1454"/>
      <c r="N87" s="2395"/>
      <c r="O87" s="2409"/>
    </row>
    <row r="88" spans="1:15">
      <c r="A88" s="663">
        <v>2006.07</v>
      </c>
      <c r="B88" s="1449"/>
      <c r="C88" s="1454"/>
      <c r="D88" s="1451"/>
      <c r="E88" s="1449"/>
      <c r="F88" s="1454"/>
      <c r="G88" s="2395"/>
      <c r="H88" s="2401">
        <f t="shared" si="1"/>
        <v>1.0000000000000002</v>
      </c>
      <c r="I88" s="2396">
        <v>0.82350443174382737</v>
      </c>
      <c r="J88" s="2397">
        <v>0.12920636067977992</v>
      </c>
      <c r="K88" s="2398">
        <v>4.7289207576392774E-2</v>
      </c>
      <c r="L88" s="1449"/>
      <c r="M88" s="1454"/>
      <c r="N88" s="2395"/>
      <c r="O88" s="2409"/>
    </row>
    <row r="89" spans="1:15">
      <c r="A89" s="663">
        <v>2006.08</v>
      </c>
      <c r="B89" s="1449"/>
      <c r="C89" s="1454"/>
      <c r="D89" s="1451"/>
      <c r="E89" s="1449"/>
      <c r="F89" s="1454"/>
      <c r="G89" s="2395"/>
      <c r="H89" s="2401">
        <f t="shared" si="1"/>
        <v>0.99999999999999989</v>
      </c>
      <c r="I89" s="2396">
        <v>0.87805503054059886</v>
      </c>
      <c r="J89" s="2397">
        <v>8.9470831514978311E-2</v>
      </c>
      <c r="K89" s="2398">
        <v>3.2474137944422783E-2</v>
      </c>
      <c r="L89" s="1449"/>
      <c r="M89" s="1454"/>
      <c r="N89" s="2395"/>
      <c r="O89" s="2409"/>
    </row>
    <row r="90" spans="1:15" ht="13.5" thickBot="1">
      <c r="A90" s="663">
        <v>2006.09</v>
      </c>
      <c r="B90" s="1449"/>
      <c r="C90" s="1454"/>
      <c r="D90" s="1451"/>
      <c r="E90" s="1449"/>
      <c r="F90" s="1454"/>
      <c r="G90" s="2395"/>
      <c r="H90" s="2401">
        <f t="shared" si="1"/>
        <v>1</v>
      </c>
      <c r="I90" s="2396">
        <v>0.88588450390135609</v>
      </c>
      <c r="J90" s="2397">
        <v>9.7802858284941757E-2</v>
      </c>
      <c r="K90" s="2398">
        <v>1.6312637813702267E-2</v>
      </c>
      <c r="L90" s="1449"/>
      <c r="M90" s="1454"/>
      <c r="N90" s="2395"/>
      <c r="O90" s="2409"/>
    </row>
    <row r="91" spans="1:15">
      <c r="A91" s="663">
        <v>2006.1</v>
      </c>
      <c r="B91" s="2355">
        <v>0.68654256914038081</v>
      </c>
      <c r="C91" s="2356">
        <v>0.31345743085961908</v>
      </c>
      <c r="D91" s="2359">
        <f>B91+C91</f>
        <v>0.99999999999999989</v>
      </c>
      <c r="E91" s="1449"/>
      <c r="F91" s="1454"/>
      <c r="G91" s="2395"/>
      <c r="H91" s="2401">
        <f t="shared" si="1"/>
        <v>1</v>
      </c>
      <c r="I91" s="2396">
        <v>0.91736080620497373</v>
      </c>
      <c r="J91" s="2397">
        <v>5.8198482697931618E-2</v>
      </c>
      <c r="K91" s="2398">
        <v>2.444071109709469E-2</v>
      </c>
      <c r="L91" s="1449"/>
      <c r="M91" s="1454"/>
      <c r="N91" s="2395"/>
      <c r="O91" s="2409"/>
    </row>
    <row r="92" spans="1:15">
      <c r="A92" s="663">
        <v>2006.11</v>
      </c>
      <c r="B92" s="2357">
        <v>0.66153392957661739</v>
      </c>
      <c r="C92" s="2358">
        <v>0.33846607042338278</v>
      </c>
      <c r="D92" s="2360">
        <f>B92+C92</f>
        <v>1.0000000000000002</v>
      </c>
      <c r="E92" s="1449"/>
      <c r="F92" s="1454"/>
      <c r="G92" s="2395"/>
      <c r="H92" s="2401">
        <f t="shared" si="1"/>
        <v>0.99999999999999989</v>
      </c>
      <c r="I92" s="2396">
        <v>0.86453018837384532</v>
      </c>
      <c r="J92" s="2397">
        <v>0.10587141988425187</v>
      </c>
      <c r="K92" s="2398">
        <v>2.9598391741902673E-2</v>
      </c>
      <c r="L92" s="1449"/>
      <c r="M92" s="1454"/>
      <c r="N92" s="2395"/>
      <c r="O92" s="2409"/>
    </row>
    <row r="93" spans="1:15">
      <c r="A93" s="663">
        <v>2006.12</v>
      </c>
      <c r="B93" s="2357">
        <v>0.75773356705581651</v>
      </c>
      <c r="C93" s="2358">
        <v>0.24226643294418335</v>
      </c>
      <c r="D93" s="2360">
        <f t="shared" ref="D93:D156" si="2">B93+C93</f>
        <v>0.99999999999999989</v>
      </c>
      <c r="E93" s="1449"/>
      <c r="F93" s="1454"/>
      <c r="G93" s="2395"/>
      <c r="H93" s="2401">
        <f t="shared" si="1"/>
        <v>0.99999999999999989</v>
      </c>
      <c r="I93" s="2396">
        <v>0.88773772434187104</v>
      </c>
      <c r="J93" s="2397">
        <v>8.1064839955671389E-2</v>
      </c>
      <c r="K93" s="2398">
        <v>3.1197435702457525E-2</v>
      </c>
      <c r="L93" s="1449"/>
      <c r="M93" s="1454"/>
      <c r="N93" s="2395"/>
      <c r="O93" s="2409"/>
    </row>
    <row r="94" spans="1:15">
      <c r="A94" s="663">
        <v>2007.01</v>
      </c>
      <c r="B94" s="2357">
        <v>0.69552911076173174</v>
      </c>
      <c r="C94" s="2358">
        <v>0.30447088923826815</v>
      </c>
      <c r="D94" s="2360">
        <f t="shared" si="2"/>
        <v>0.99999999999999989</v>
      </c>
      <c r="E94" s="1449"/>
      <c r="F94" s="1454"/>
      <c r="G94" s="2395"/>
      <c r="H94" s="2401">
        <f t="shared" si="1"/>
        <v>1</v>
      </c>
      <c r="I94" s="2396">
        <v>0.86277973973059185</v>
      </c>
      <c r="J94" s="2397">
        <v>0.11790200449329355</v>
      </c>
      <c r="K94" s="2398">
        <v>1.9318255776114564E-2</v>
      </c>
      <c r="L94" s="1449"/>
      <c r="M94" s="1454"/>
      <c r="N94" s="2395"/>
      <c r="O94" s="2409"/>
    </row>
    <row r="95" spans="1:15">
      <c r="A95" s="663">
        <v>2007.02</v>
      </c>
      <c r="B95" s="2357">
        <v>0.66894798401507516</v>
      </c>
      <c r="C95" s="2358">
        <v>0.33105201598492484</v>
      </c>
      <c r="D95" s="2360">
        <f t="shared" si="2"/>
        <v>1</v>
      </c>
      <c r="E95" s="1449"/>
      <c r="F95" s="1454"/>
      <c r="G95" s="2395"/>
      <c r="H95" s="2401">
        <f t="shared" si="1"/>
        <v>0.99999999999999989</v>
      </c>
      <c r="I95" s="2396">
        <v>0.90353478742721394</v>
      </c>
      <c r="J95" s="2397">
        <v>6.8965943590687792E-2</v>
      </c>
      <c r="K95" s="2398">
        <v>2.7499268982098212E-2</v>
      </c>
      <c r="L95" s="1449"/>
      <c r="M95" s="1454"/>
      <c r="N95" s="2395"/>
      <c r="O95" s="2409"/>
    </row>
    <row r="96" spans="1:15">
      <c r="A96" s="663">
        <v>2007.03</v>
      </c>
      <c r="B96" s="2357">
        <v>0.6028707527486874</v>
      </c>
      <c r="C96" s="2358">
        <v>0.39712924725131243</v>
      </c>
      <c r="D96" s="2360">
        <f t="shared" si="2"/>
        <v>0.99999999999999978</v>
      </c>
      <c r="E96" s="1449"/>
      <c r="F96" s="1454"/>
      <c r="G96" s="2395"/>
      <c r="H96" s="2401">
        <f t="shared" si="1"/>
        <v>0.99999999999999989</v>
      </c>
      <c r="I96" s="2396">
        <v>0.84249456853782756</v>
      </c>
      <c r="J96" s="2397">
        <v>0.11555261483391258</v>
      </c>
      <c r="K96" s="2398">
        <v>4.1952816628259823E-2</v>
      </c>
      <c r="L96" s="1449"/>
      <c r="M96" s="1454"/>
      <c r="N96" s="2395"/>
      <c r="O96" s="2409"/>
    </row>
    <row r="97" spans="1:15">
      <c r="A97" s="663">
        <v>2007.04</v>
      </c>
      <c r="B97" s="2357">
        <v>0.69481964955985998</v>
      </c>
      <c r="C97" s="2358">
        <v>0.3051803504401398</v>
      </c>
      <c r="D97" s="2360">
        <f t="shared" si="2"/>
        <v>0.99999999999999978</v>
      </c>
      <c r="E97" s="1449"/>
      <c r="F97" s="1454"/>
      <c r="G97" s="2395"/>
      <c r="H97" s="2401">
        <f t="shared" si="1"/>
        <v>0.99999999999999989</v>
      </c>
      <c r="I97" s="2396">
        <v>0.86914664583122114</v>
      </c>
      <c r="J97" s="2397">
        <v>9.4487113939294834E-2</v>
      </c>
      <c r="K97" s="2398">
        <v>3.6366240229483898E-2</v>
      </c>
      <c r="L97" s="1449"/>
      <c r="M97" s="1454"/>
      <c r="N97" s="2395"/>
      <c r="O97" s="2409"/>
    </row>
    <row r="98" spans="1:15">
      <c r="A98" s="663">
        <v>2007.05</v>
      </c>
      <c r="B98" s="2357">
        <v>0.68199429505087461</v>
      </c>
      <c r="C98" s="2358">
        <v>0.31800570494912522</v>
      </c>
      <c r="D98" s="2360">
        <f t="shared" si="2"/>
        <v>0.99999999999999978</v>
      </c>
      <c r="E98" s="1449"/>
      <c r="F98" s="1454"/>
      <c r="G98" s="2395"/>
      <c r="H98" s="2401">
        <f t="shared" si="1"/>
        <v>0.99999999999999989</v>
      </c>
      <c r="I98" s="2396">
        <v>0.93837581337939691</v>
      </c>
      <c r="J98" s="2397">
        <v>3.8405566407163652E-2</v>
      </c>
      <c r="K98" s="2398">
        <v>2.3218620213439387E-2</v>
      </c>
      <c r="L98" s="1449"/>
      <c r="M98" s="1454"/>
      <c r="N98" s="2395"/>
      <c r="O98" s="2409"/>
    </row>
    <row r="99" spans="1:15">
      <c r="A99" s="663">
        <v>2007.06</v>
      </c>
      <c r="B99" s="2357">
        <v>0.71820146036436239</v>
      </c>
      <c r="C99" s="2358">
        <v>0.28179853963563745</v>
      </c>
      <c r="D99" s="2360">
        <f t="shared" si="2"/>
        <v>0.99999999999999978</v>
      </c>
      <c r="E99" s="1449"/>
      <c r="F99" s="1454"/>
      <c r="G99" s="2395"/>
      <c r="H99" s="2401">
        <f t="shared" si="1"/>
        <v>1</v>
      </c>
      <c r="I99" s="2396">
        <v>0.94251067777761821</v>
      </c>
      <c r="J99" s="2397">
        <v>5.2641044786835352E-2</v>
      </c>
      <c r="K99" s="2398">
        <v>4.8482774355464303E-3</v>
      </c>
      <c r="L99" s="1449"/>
      <c r="M99" s="1454"/>
      <c r="N99" s="2395"/>
      <c r="O99" s="2409"/>
    </row>
    <row r="100" spans="1:15">
      <c r="A100" s="663">
        <v>2007.07</v>
      </c>
      <c r="B100" s="2357">
        <v>0.67089570633232343</v>
      </c>
      <c r="C100" s="2358">
        <v>0.32910429366767674</v>
      </c>
      <c r="D100" s="2360">
        <f t="shared" si="2"/>
        <v>1.0000000000000002</v>
      </c>
      <c r="E100" s="1449"/>
      <c r="F100" s="1454"/>
      <c r="G100" s="2395"/>
      <c r="H100" s="2401">
        <f t="shared" si="1"/>
        <v>0.99999999999999989</v>
      </c>
      <c r="I100" s="2396">
        <v>0.92509440440246504</v>
      </c>
      <c r="J100" s="2397">
        <v>5.452452921598043E-2</v>
      </c>
      <c r="K100" s="2398">
        <v>2.0381066381554458E-2</v>
      </c>
      <c r="L100" s="1449"/>
      <c r="M100" s="1454"/>
      <c r="N100" s="2395"/>
      <c r="O100" s="2409"/>
    </row>
    <row r="101" spans="1:15">
      <c r="A101" s="663">
        <v>2007.08</v>
      </c>
      <c r="B101" s="2357">
        <v>0.63742967897952318</v>
      </c>
      <c r="C101" s="2358">
        <v>0.36257032102047687</v>
      </c>
      <c r="D101" s="2360">
        <f t="shared" si="2"/>
        <v>1</v>
      </c>
      <c r="E101" s="1449"/>
      <c r="F101" s="1454"/>
      <c r="G101" s="2395"/>
      <c r="H101" s="2401">
        <f t="shared" si="1"/>
        <v>1</v>
      </c>
      <c r="I101" s="2396">
        <v>0.9589215476756473</v>
      </c>
      <c r="J101" s="2397">
        <v>4.1078452324352657E-2</v>
      </c>
      <c r="K101" s="2398">
        <v>0</v>
      </c>
      <c r="L101" s="1449"/>
      <c r="M101" s="1454"/>
      <c r="N101" s="2395"/>
      <c r="O101" s="2409"/>
    </row>
    <row r="102" spans="1:15">
      <c r="A102" s="663">
        <v>2007.09</v>
      </c>
      <c r="B102" s="2357">
        <v>0.67998658452417227</v>
      </c>
      <c r="C102" s="2358">
        <v>0.32001341547582768</v>
      </c>
      <c r="D102" s="2360">
        <f t="shared" si="2"/>
        <v>1</v>
      </c>
      <c r="E102" s="1449"/>
      <c r="F102" s="1454"/>
      <c r="G102" s="2395"/>
      <c r="H102" s="2401">
        <f t="shared" si="1"/>
        <v>1</v>
      </c>
      <c r="I102" s="2396">
        <v>0.96666391502133575</v>
      </c>
      <c r="J102" s="2397">
        <v>3.3103634947689725E-2</v>
      </c>
      <c r="K102" s="2398">
        <v>2.3245003097448715E-4</v>
      </c>
      <c r="L102" s="1449"/>
      <c r="M102" s="1454"/>
      <c r="N102" s="2395"/>
      <c r="O102" s="2409"/>
    </row>
    <row r="103" spans="1:15">
      <c r="A103" s="663">
        <v>2007.1</v>
      </c>
      <c r="B103" s="2357">
        <v>0.68331650296774515</v>
      </c>
      <c r="C103" s="2358">
        <v>0.31668349703225501</v>
      </c>
      <c r="D103" s="2360">
        <f t="shared" si="2"/>
        <v>1.0000000000000002</v>
      </c>
      <c r="E103" s="1449"/>
      <c r="F103" s="1454"/>
      <c r="G103" s="2395"/>
      <c r="H103" s="2401">
        <f t="shared" si="1"/>
        <v>1</v>
      </c>
      <c r="I103" s="2396">
        <v>0.98341690157225148</v>
      </c>
      <c r="J103" s="2397">
        <v>1.12350464012107E-2</v>
      </c>
      <c r="K103" s="2398">
        <v>5.3480520265379436E-3</v>
      </c>
      <c r="L103" s="1449"/>
      <c r="M103" s="1454"/>
      <c r="N103" s="2395"/>
      <c r="O103" s="2409"/>
    </row>
    <row r="104" spans="1:15">
      <c r="A104" s="663">
        <v>2007.11</v>
      </c>
      <c r="B104" s="2357">
        <v>0.70545906613670373</v>
      </c>
      <c r="C104" s="2358">
        <v>0.29454093386329627</v>
      </c>
      <c r="D104" s="2360">
        <f t="shared" si="2"/>
        <v>1</v>
      </c>
      <c r="E104" s="1449"/>
      <c r="F104" s="1454"/>
      <c r="G104" s="2395"/>
      <c r="H104" s="2401">
        <f t="shared" si="1"/>
        <v>1</v>
      </c>
      <c r="I104" s="2396">
        <v>0.96126274292902059</v>
      </c>
      <c r="J104" s="2397">
        <v>3.8737257070979463E-2</v>
      </c>
      <c r="K104" s="2398">
        <v>0</v>
      </c>
      <c r="L104" s="1449"/>
      <c r="M104" s="1454"/>
      <c r="N104" s="2395"/>
      <c r="O104" s="2409"/>
    </row>
    <row r="105" spans="1:15">
      <c r="A105" s="663">
        <v>2007.12</v>
      </c>
      <c r="B105" s="2357">
        <v>0.69260800314938886</v>
      </c>
      <c r="C105" s="2358">
        <v>0.30739199685061086</v>
      </c>
      <c r="D105" s="2360">
        <f t="shared" si="2"/>
        <v>0.99999999999999978</v>
      </c>
      <c r="E105" s="1449"/>
      <c r="F105" s="1454"/>
      <c r="G105" s="2395"/>
      <c r="H105" s="2401">
        <f t="shared" si="1"/>
        <v>0.99999999999999989</v>
      </c>
      <c r="I105" s="2396">
        <v>0.95192319371580381</v>
      </c>
      <c r="J105" s="2397">
        <v>3.9026069346091666E-2</v>
      </c>
      <c r="K105" s="2398">
        <v>9.0507369381043826E-3</v>
      </c>
      <c r="L105" s="1449"/>
      <c r="M105" s="1454"/>
      <c r="N105" s="2395"/>
      <c r="O105" s="2409"/>
    </row>
    <row r="106" spans="1:15">
      <c r="A106" s="663">
        <f t="shared" ref="A106:A169" si="3">A94+1</f>
        <v>2008.01</v>
      </c>
      <c r="B106" s="2357">
        <v>0.671495962901274</v>
      </c>
      <c r="C106" s="2358">
        <v>0.32850403709872666</v>
      </c>
      <c r="D106" s="2360">
        <f t="shared" si="2"/>
        <v>1.0000000000000007</v>
      </c>
      <c r="E106" s="1449"/>
      <c r="F106" s="1454"/>
      <c r="G106" s="2395"/>
      <c r="H106" s="2401">
        <f t="shared" si="1"/>
        <v>1</v>
      </c>
      <c r="I106" s="2396">
        <v>0.92461758380957848</v>
      </c>
      <c r="J106" s="2397">
        <v>5.5810369183774716E-2</v>
      </c>
      <c r="K106" s="2398">
        <v>1.9572047006646897E-2</v>
      </c>
      <c r="L106" s="1449"/>
      <c r="M106" s="1454"/>
      <c r="N106" s="2395"/>
      <c r="O106" s="2409"/>
    </row>
    <row r="107" spans="1:15">
      <c r="A107" s="663">
        <f t="shared" si="3"/>
        <v>2008.02</v>
      </c>
      <c r="B107" s="2357">
        <v>0.64289108087943536</v>
      </c>
      <c r="C107" s="2358">
        <v>0.35710891912056481</v>
      </c>
      <c r="D107" s="2360">
        <f t="shared" si="2"/>
        <v>1.0000000000000002</v>
      </c>
      <c r="E107" s="1449"/>
      <c r="F107" s="1454"/>
      <c r="G107" s="2395"/>
      <c r="H107" s="2401">
        <f t="shared" si="1"/>
        <v>0.99999999999999989</v>
      </c>
      <c r="I107" s="2396">
        <v>0.94638847436856077</v>
      </c>
      <c r="J107" s="2397">
        <v>4.1358233622791028E-2</v>
      </c>
      <c r="K107" s="2398">
        <v>1.2253292008648119E-2</v>
      </c>
      <c r="L107" s="1449"/>
      <c r="M107" s="1454"/>
      <c r="N107" s="2395"/>
      <c r="O107" s="2409"/>
    </row>
    <row r="108" spans="1:15">
      <c r="A108" s="663">
        <f t="shared" si="3"/>
        <v>2008.03</v>
      </c>
      <c r="B108" s="2357">
        <v>0.6175393199990894</v>
      </c>
      <c r="C108" s="2358">
        <v>0.38246068000090949</v>
      </c>
      <c r="D108" s="2360">
        <f t="shared" si="2"/>
        <v>0.99999999999999889</v>
      </c>
      <c r="E108" s="1449"/>
      <c r="F108" s="1454"/>
      <c r="G108" s="2395"/>
      <c r="H108" s="2401">
        <f t="shared" si="1"/>
        <v>0.99999999999999967</v>
      </c>
      <c r="I108" s="2396">
        <v>0.92562642998422362</v>
      </c>
      <c r="J108" s="2397">
        <v>6.4709841273455998E-2</v>
      </c>
      <c r="K108" s="2398">
        <v>9.6637287423200196E-3</v>
      </c>
      <c r="L108" s="1449"/>
      <c r="M108" s="1454"/>
      <c r="N108" s="2395"/>
      <c r="O108" s="2409"/>
    </row>
    <row r="109" spans="1:15">
      <c r="A109" s="663">
        <f t="shared" si="3"/>
        <v>2008.04</v>
      </c>
      <c r="B109" s="2357">
        <v>0.6531959837000525</v>
      </c>
      <c r="C109" s="2358">
        <v>0.34680401629994706</v>
      </c>
      <c r="D109" s="2360">
        <f t="shared" si="2"/>
        <v>0.99999999999999956</v>
      </c>
      <c r="E109" s="1449"/>
      <c r="F109" s="1454"/>
      <c r="G109" s="2395"/>
      <c r="H109" s="2401">
        <f t="shared" si="1"/>
        <v>1.0000000000000002</v>
      </c>
      <c r="I109" s="2396">
        <v>0.92663682370701306</v>
      </c>
      <c r="J109" s="2397">
        <v>6.8920294062549181E-2</v>
      </c>
      <c r="K109" s="2398">
        <v>4.4428822304380562E-3</v>
      </c>
      <c r="L109" s="1449"/>
      <c r="M109" s="1454"/>
      <c r="N109" s="2395"/>
      <c r="O109" s="2409"/>
    </row>
    <row r="110" spans="1:15">
      <c r="A110" s="663">
        <f t="shared" si="3"/>
        <v>2008.05</v>
      </c>
      <c r="B110" s="2357">
        <v>0.56300641233237947</v>
      </c>
      <c r="C110" s="2358">
        <v>0.4369935876676197</v>
      </c>
      <c r="D110" s="2360">
        <f t="shared" si="2"/>
        <v>0.99999999999999911</v>
      </c>
      <c r="E110" s="1449"/>
      <c r="F110" s="1454"/>
      <c r="G110" s="2395"/>
      <c r="H110" s="2401">
        <f t="shared" si="1"/>
        <v>0.99999999999999989</v>
      </c>
      <c r="I110" s="2396">
        <v>0.91901703841944882</v>
      </c>
      <c r="J110" s="2397">
        <v>4.9364047237559279E-2</v>
      </c>
      <c r="K110" s="2398">
        <v>3.161891434299182E-2</v>
      </c>
      <c r="L110" s="1449"/>
      <c r="M110" s="1454"/>
      <c r="N110" s="2395"/>
      <c r="O110" s="2409"/>
    </row>
    <row r="111" spans="1:15">
      <c r="A111" s="663">
        <f t="shared" si="3"/>
        <v>2008.06</v>
      </c>
      <c r="B111" s="2357">
        <v>0.67226215352755714</v>
      </c>
      <c r="C111" s="2358">
        <v>0.32773784647244314</v>
      </c>
      <c r="D111" s="2360">
        <f t="shared" si="2"/>
        <v>1.0000000000000002</v>
      </c>
      <c r="E111" s="1449"/>
      <c r="F111" s="1454"/>
      <c r="G111" s="2395"/>
      <c r="H111" s="2401">
        <f t="shared" si="1"/>
        <v>1</v>
      </c>
      <c r="I111" s="2396">
        <v>0.95717166858805769</v>
      </c>
      <c r="J111" s="2397">
        <v>4.2599341266751439E-2</v>
      </c>
      <c r="K111" s="2398">
        <v>2.289901451908742E-4</v>
      </c>
      <c r="L111" s="1449"/>
      <c r="M111" s="1454"/>
      <c r="N111" s="2395"/>
      <c r="O111" s="2409"/>
    </row>
    <row r="112" spans="1:15">
      <c r="A112" s="663">
        <f t="shared" si="3"/>
        <v>2008.07</v>
      </c>
      <c r="B112" s="2357">
        <v>0.63666924937181724</v>
      </c>
      <c r="C112" s="2358">
        <v>0.36333075062818337</v>
      </c>
      <c r="D112" s="2360">
        <f t="shared" si="2"/>
        <v>1.0000000000000007</v>
      </c>
      <c r="E112" s="1449"/>
      <c r="F112" s="1454"/>
      <c r="G112" s="2395"/>
      <c r="H112" s="2401">
        <f t="shared" si="1"/>
        <v>1.0000000000000007</v>
      </c>
      <c r="I112" s="2396">
        <v>0.93126921582045474</v>
      </c>
      <c r="J112" s="2397">
        <v>5.0671098950026146E-2</v>
      </c>
      <c r="K112" s="2398">
        <v>1.8059685229519826E-2</v>
      </c>
      <c r="L112" s="1449"/>
      <c r="M112" s="1454"/>
      <c r="N112" s="2395"/>
      <c r="O112" s="2409"/>
    </row>
    <row r="113" spans="1:15">
      <c r="A113" s="663">
        <f t="shared" si="3"/>
        <v>2008.08</v>
      </c>
      <c r="B113" s="2357">
        <v>0.70404148083603912</v>
      </c>
      <c r="C113" s="2358">
        <v>0.29595851916396143</v>
      </c>
      <c r="D113" s="2360">
        <f t="shared" si="2"/>
        <v>1.0000000000000004</v>
      </c>
      <c r="E113" s="1449"/>
      <c r="F113" s="1454"/>
      <c r="G113" s="2395"/>
      <c r="H113" s="2401">
        <f t="shared" si="1"/>
        <v>1.0000000000000002</v>
      </c>
      <c r="I113" s="2396">
        <v>0.9539633449897954</v>
      </c>
      <c r="J113" s="2397">
        <v>4.013680630717803E-2</v>
      </c>
      <c r="K113" s="2398">
        <v>5.8998487030268616E-3</v>
      </c>
      <c r="L113" s="1449"/>
      <c r="M113" s="1454"/>
      <c r="N113" s="2395"/>
      <c r="O113" s="2409"/>
    </row>
    <row r="114" spans="1:15">
      <c r="A114" s="663">
        <f t="shared" si="3"/>
        <v>2008.09</v>
      </c>
      <c r="B114" s="2357">
        <v>0.67858407422636757</v>
      </c>
      <c r="C114" s="2358">
        <v>0.32141592577363298</v>
      </c>
      <c r="D114" s="2360">
        <f t="shared" si="2"/>
        <v>1.0000000000000004</v>
      </c>
      <c r="E114" s="1449"/>
      <c r="F114" s="1454"/>
      <c r="G114" s="2395"/>
      <c r="H114" s="2401">
        <f t="shared" si="1"/>
        <v>1.0000000000000002</v>
      </c>
      <c r="I114" s="2396">
        <v>0.97264799885190256</v>
      </c>
      <c r="J114" s="2397">
        <v>1.8178099434583841E-2</v>
      </c>
      <c r="K114" s="2398">
        <v>9.1739017135137862E-3</v>
      </c>
      <c r="L114" s="1449"/>
      <c r="M114" s="1454"/>
      <c r="N114" s="2395"/>
      <c r="O114" s="2409"/>
    </row>
    <row r="115" spans="1:15" ht="13.5" thickBot="1">
      <c r="A115" s="663">
        <f t="shared" si="3"/>
        <v>2008.1</v>
      </c>
      <c r="B115" s="2357">
        <v>0.74492525548267452</v>
      </c>
      <c r="C115" s="2358">
        <v>0.25507474451732537</v>
      </c>
      <c r="D115" s="2360">
        <f t="shared" si="2"/>
        <v>0.99999999999999989</v>
      </c>
      <c r="E115" s="1449"/>
      <c r="F115" s="1454"/>
      <c r="G115" s="2395"/>
      <c r="H115" s="2401">
        <f t="shared" si="1"/>
        <v>0.99999999999999956</v>
      </c>
      <c r="I115" s="2396">
        <v>0.94243744955057818</v>
      </c>
      <c r="J115" s="2397">
        <v>3.6823276528673128E-2</v>
      </c>
      <c r="K115" s="2398">
        <v>2.0739273920748254E-2</v>
      </c>
      <c r="L115" s="1449"/>
      <c r="M115" s="2399"/>
      <c r="N115" s="2395"/>
      <c r="O115" s="2409"/>
    </row>
    <row r="116" spans="1:15">
      <c r="A116" s="663">
        <f t="shared" si="3"/>
        <v>2008.11</v>
      </c>
      <c r="B116" s="2357">
        <v>0.75840140166411973</v>
      </c>
      <c r="C116" s="2358">
        <v>0.24159859833588029</v>
      </c>
      <c r="D116" s="2360">
        <f t="shared" si="2"/>
        <v>1</v>
      </c>
      <c r="E116" s="2355">
        <v>0.79728414762713218</v>
      </c>
      <c r="F116" s="2356">
        <v>0.20271585237286729</v>
      </c>
      <c r="G116" s="2359">
        <f>E116+F116</f>
        <v>0.99999999999999944</v>
      </c>
      <c r="H116" s="2401">
        <f t="shared" si="1"/>
        <v>0.99999999999999989</v>
      </c>
      <c r="I116" s="2396">
        <v>0.95999184810623628</v>
      </c>
      <c r="J116" s="2397">
        <v>2.6217712207405933E-2</v>
      </c>
      <c r="K116" s="2398">
        <v>1.3790439686357576E-2</v>
      </c>
      <c r="L116" s="2412">
        <f t="shared" ref="L116:L179" si="4">M116+N116+O116</f>
        <v>1.0000000000000004</v>
      </c>
      <c r="M116" s="2392">
        <v>0.96275557846464321</v>
      </c>
      <c r="N116" s="2393">
        <v>1.560340324836727E-2</v>
      </c>
      <c r="O116" s="2410">
        <v>2.1641018286989867E-2</v>
      </c>
    </row>
    <row r="117" spans="1:15">
      <c r="A117" s="663">
        <f t="shared" si="3"/>
        <v>2008.12</v>
      </c>
      <c r="B117" s="2357">
        <v>0.78920351809105949</v>
      </c>
      <c r="C117" s="2358">
        <v>0.21079648190894049</v>
      </c>
      <c r="D117" s="2360">
        <f t="shared" si="2"/>
        <v>1</v>
      </c>
      <c r="E117" s="2361">
        <v>0.84885875073694395</v>
      </c>
      <c r="F117" s="2362">
        <v>0.15114124926305592</v>
      </c>
      <c r="G117" s="2403">
        <f>E117+F117</f>
        <v>0.99999999999999989</v>
      </c>
      <c r="H117" s="2401">
        <f t="shared" si="1"/>
        <v>1</v>
      </c>
      <c r="I117" s="2396">
        <v>0.95612169680556025</v>
      </c>
      <c r="J117" s="2397">
        <v>1.6890990832982372E-2</v>
      </c>
      <c r="K117" s="2398">
        <v>2.698731236145737E-2</v>
      </c>
      <c r="L117" s="2401">
        <f t="shared" si="4"/>
        <v>1</v>
      </c>
      <c r="M117" s="2396">
        <v>0.93781215790908501</v>
      </c>
      <c r="N117" s="2397">
        <v>2.9652731508886702E-2</v>
      </c>
      <c r="O117" s="2411">
        <v>3.2535110582028279E-2</v>
      </c>
    </row>
    <row r="118" spans="1:15">
      <c r="A118" s="663">
        <f t="shared" si="3"/>
        <v>2009.01</v>
      </c>
      <c r="B118" s="2357">
        <v>0.84435121375762123</v>
      </c>
      <c r="C118" s="2358">
        <v>0.15564878624237863</v>
      </c>
      <c r="D118" s="2360">
        <f t="shared" si="2"/>
        <v>0.99999999999999989</v>
      </c>
      <c r="E118" s="2361">
        <v>0.85974264602636363</v>
      </c>
      <c r="F118" s="2362">
        <v>0.1402573539736359</v>
      </c>
      <c r="G118" s="2403">
        <f t="shared" ref="G118:G181" si="5">E118+F118</f>
        <v>0.99999999999999956</v>
      </c>
      <c r="H118" s="2401">
        <f t="shared" si="1"/>
        <v>1</v>
      </c>
      <c r="I118" s="2396">
        <v>0.95276828213138276</v>
      </c>
      <c r="J118" s="2397">
        <v>1.6134892196043395E-2</v>
      </c>
      <c r="K118" s="2398">
        <v>3.1096825672573963E-2</v>
      </c>
      <c r="L118" s="2401">
        <f t="shared" si="4"/>
        <v>1</v>
      </c>
      <c r="M118" s="2396">
        <v>0.9531592193775501</v>
      </c>
      <c r="N118" s="2397">
        <v>2.0769433366091637E-2</v>
      </c>
      <c r="O118" s="2411">
        <v>2.6071347256358353E-2</v>
      </c>
    </row>
    <row r="119" spans="1:15">
      <c r="A119" s="663">
        <f t="shared" si="3"/>
        <v>2009.02</v>
      </c>
      <c r="B119" s="2357">
        <v>0.77391623530817844</v>
      </c>
      <c r="C119" s="2358">
        <v>0.22608376469182134</v>
      </c>
      <c r="D119" s="2360">
        <f t="shared" si="2"/>
        <v>0.99999999999999978</v>
      </c>
      <c r="E119" s="2361">
        <v>0.83686692720854705</v>
      </c>
      <c r="F119" s="2362">
        <v>0.16313307279145264</v>
      </c>
      <c r="G119" s="2403">
        <f t="shared" si="5"/>
        <v>0.99999999999999967</v>
      </c>
      <c r="H119" s="2401">
        <f t="shared" si="1"/>
        <v>0.99999999999999989</v>
      </c>
      <c r="I119" s="2396">
        <v>0.91318814196488096</v>
      </c>
      <c r="J119" s="2397">
        <v>4.8183832196973586E-2</v>
      </c>
      <c r="K119" s="2398">
        <v>3.8628025838145445E-2</v>
      </c>
      <c r="L119" s="2401">
        <f t="shared" si="4"/>
        <v>1.0000000000000002</v>
      </c>
      <c r="M119" s="2396">
        <v>0.92377538987315111</v>
      </c>
      <c r="N119" s="2397">
        <v>3.8146262660244887E-2</v>
      </c>
      <c r="O119" s="2411">
        <v>3.8078347466604177E-2</v>
      </c>
    </row>
    <row r="120" spans="1:15">
      <c r="A120" s="663">
        <f t="shared" si="3"/>
        <v>2009.03</v>
      </c>
      <c r="B120" s="2357">
        <v>0.74286379140704573</v>
      </c>
      <c r="C120" s="2358">
        <v>0.25713620859295433</v>
      </c>
      <c r="D120" s="2360">
        <f t="shared" si="2"/>
        <v>1</v>
      </c>
      <c r="E120" s="2361">
        <v>0.82036562338535635</v>
      </c>
      <c r="F120" s="2362">
        <v>0.17963437661464227</v>
      </c>
      <c r="G120" s="2403">
        <f t="shared" si="5"/>
        <v>0.99999999999999867</v>
      </c>
      <c r="H120" s="2401">
        <f t="shared" si="1"/>
        <v>1</v>
      </c>
      <c r="I120" s="2396">
        <v>0.95276828213138276</v>
      </c>
      <c r="J120" s="2397">
        <v>1.6134892196043395E-2</v>
      </c>
      <c r="K120" s="2398">
        <v>3.1096825672573963E-2</v>
      </c>
      <c r="L120" s="2401">
        <f t="shared" si="4"/>
        <v>0.99999999999999944</v>
      </c>
      <c r="M120" s="2396">
        <v>0.91918058199146802</v>
      </c>
      <c r="N120" s="2397">
        <v>3.5194174458948783E-2</v>
      </c>
      <c r="O120" s="2411">
        <v>4.5625243549582646E-2</v>
      </c>
    </row>
    <row r="121" spans="1:15">
      <c r="A121" s="663">
        <f t="shared" si="3"/>
        <v>2009.04</v>
      </c>
      <c r="B121" s="2357">
        <v>0.7410045458327994</v>
      </c>
      <c r="C121" s="2358">
        <v>0.2589954541672006</v>
      </c>
      <c r="D121" s="2360">
        <f t="shared" si="2"/>
        <v>1</v>
      </c>
      <c r="E121" s="2361">
        <v>0.84350186118307624</v>
      </c>
      <c r="F121" s="2362">
        <v>0.15649813881692395</v>
      </c>
      <c r="G121" s="2403">
        <f t="shared" si="5"/>
        <v>1.0000000000000002</v>
      </c>
      <c r="H121" s="2401">
        <f t="shared" si="1"/>
        <v>1</v>
      </c>
      <c r="I121" s="2396">
        <v>0.90145790726522734</v>
      </c>
      <c r="J121" s="2397">
        <v>7.3823585198358133E-2</v>
      </c>
      <c r="K121" s="2398">
        <v>2.4718507536414538E-2</v>
      </c>
      <c r="L121" s="2401">
        <f t="shared" si="4"/>
        <v>1</v>
      </c>
      <c r="M121" s="2396">
        <v>0.93759212168117545</v>
      </c>
      <c r="N121" s="2397">
        <v>2.8573734688331395E-2</v>
      </c>
      <c r="O121" s="2411">
        <v>3.3834143630493141E-2</v>
      </c>
    </row>
    <row r="122" spans="1:15">
      <c r="A122" s="663">
        <f t="shared" si="3"/>
        <v>2009.05</v>
      </c>
      <c r="B122" s="2357">
        <v>0.76037857813224252</v>
      </c>
      <c r="C122" s="2358">
        <v>0.23962142186775751</v>
      </c>
      <c r="D122" s="2360">
        <f t="shared" si="2"/>
        <v>1</v>
      </c>
      <c r="E122" s="2361">
        <v>0.80968052723899619</v>
      </c>
      <c r="F122" s="2362">
        <v>0.19031947276100383</v>
      </c>
      <c r="G122" s="2403">
        <f t="shared" si="5"/>
        <v>1</v>
      </c>
      <c r="H122" s="2401">
        <f t="shared" si="1"/>
        <v>1</v>
      </c>
      <c r="I122" s="2396">
        <v>0.94268169978051219</v>
      </c>
      <c r="J122" s="2397">
        <v>3.34745461084947E-2</v>
      </c>
      <c r="K122" s="2398">
        <v>2.3843754110993126E-2</v>
      </c>
      <c r="L122" s="2401">
        <f t="shared" si="4"/>
        <v>1</v>
      </c>
      <c r="M122" s="2396">
        <v>0.93440497230001585</v>
      </c>
      <c r="N122" s="2397">
        <v>1.5239661746600568E-2</v>
      </c>
      <c r="O122" s="2411">
        <v>5.0355365953383628E-2</v>
      </c>
    </row>
    <row r="123" spans="1:15">
      <c r="A123" s="663">
        <f t="shared" si="3"/>
        <v>2009.06</v>
      </c>
      <c r="B123" s="2357">
        <v>0.78246312944750929</v>
      </c>
      <c r="C123" s="2358">
        <v>0.2175368705524906</v>
      </c>
      <c r="D123" s="2360">
        <f t="shared" si="2"/>
        <v>0.99999999999999989</v>
      </c>
      <c r="E123" s="2361">
        <v>0.86404876166927547</v>
      </c>
      <c r="F123" s="2362">
        <v>0.13595123833072451</v>
      </c>
      <c r="G123" s="2403">
        <f t="shared" si="5"/>
        <v>1</v>
      </c>
      <c r="H123" s="2401">
        <f t="shared" si="1"/>
        <v>1</v>
      </c>
      <c r="I123" s="2396">
        <v>0.969975580133562</v>
      </c>
      <c r="J123" s="2397">
        <v>3.0024419866437991E-2</v>
      </c>
      <c r="K123" s="2398">
        <v>0</v>
      </c>
      <c r="L123" s="2401">
        <f t="shared" si="4"/>
        <v>1</v>
      </c>
      <c r="M123" s="2396">
        <v>0.94567392118447779</v>
      </c>
      <c r="N123" s="2397">
        <v>2.4406691338463835E-2</v>
      </c>
      <c r="O123" s="2411">
        <v>2.9919387477058371E-2</v>
      </c>
    </row>
    <row r="124" spans="1:15">
      <c r="A124" s="663">
        <f t="shared" si="3"/>
        <v>2009.07</v>
      </c>
      <c r="B124" s="2357">
        <v>0.75768371175015181</v>
      </c>
      <c r="C124" s="2358">
        <v>0.24231628824984824</v>
      </c>
      <c r="D124" s="2360">
        <f t="shared" si="2"/>
        <v>1</v>
      </c>
      <c r="E124" s="2361">
        <v>0.88702955310592191</v>
      </c>
      <c r="F124" s="2362">
        <v>0.11297044689407812</v>
      </c>
      <c r="G124" s="2403">
        <f t="shared" si="5"/>
        <v>1</v>
      </c>
      <c r="H124" s="2401">
        <f t="shared" si="1"/>
        <v>1</v>
      </c>
      <c r="I124" s="2396">
        <v>0.92185782757353718</v>
      </c>
      <c r="J124" s="2397">
        <v>2.7602005763849868E-2</v>
      </c>
      <c r="K124" s="2398">
        <v>5.0540166662612955E-2</v>
      </c>
      <c r="L124" s="2401">
        <f t="shared" si="4"/>
        <v>1.0000000000000002</v>
      </c>
      <c r="M124" s="2396">
        <v>0.92663155838144251</v>
      </c>
      <c r="N124" s="2397">
        <v>3.3488245108966273E-2</v>
      </c>
      <c r="O124" s="2411">
        <v>3.9880196509591508E-2</v>
      </c>
    </row>
    <row r="125" spans="1:15">
      <c r="A125" s="663">
        <f t="shared" si="3"/>
        <v>2009.08</v>
      </c>
      <c r="B125" s="2357">
        <v>0.78174726586775523</v>
      </c>
      <c r="C125" s="2358">
        <v>0.21825273413224466</v>
      </c>
      <c r="D125" s="2360">
        <f t="shared" si="2"/>
        <v>0.99999999999999989</v>
      </c>
      <c r="E125" s="2361">
        <v>0.88713925644586622</v>
      </c>
      <c r="F125" s="2362">
        <v>0.11286074355413377</v>
      </c>
      <c r="G125" s="2403">
        <f t="shared" si="5"/>
        <v>1</v>
      </c>
      <c r="H125" s="2401">
        <f t="shared" si="1"/>
        <v>1</v>
      </c>
      <c r="I125" s="2396">
        <v>0.92170442918909801</v>
      </c>
      <c r="J125" s="2397">
        <v>5.6751039715317718E-2</v>
      </c>
      <c r="K125" s="2398">
        <v>2.15445310955843E-2</v>
      </c>
      <c r="L125" s="2401">
        <f t="shared" si="4"/>
        <v>1</v>
      </c>
      <c r="M125" s="2396">
        <v>0.96193130328224119</v>
      </c>
      <c r="N125" s="2397">
        <v>1.5015401312411416E-2</v>
      </c>
      <c r="O125" s="2411">
        <v>2.3053295405347396E-2</v>
      </c>
    </row>
    <row r="126" spans="1:15">
      <c r="A126" s="663">
        <f t="shared" si="3"/>
        <v>2009.09</v>
      </c>
      <c r="B126" s="2357">
        <v>0.73127656516985884</v>
      </c>
      <c r="C126" s="2358">
        <v>0.26872343483014122</v>
      </c>
      <c r="D126" s="2360">
        <f t="shared" si="2"/>
        <v>1</v>
      </c>
      <c r="E126" s="2361">
        <v>0.80184946933966184</v>
      </c>
      <c r="F126" s="2362">
        <v>0.19815053066033811</v>
      </c>
      <c r="G126" s="2403">
        <f t="shared" si="5"/>
        <v>1</v>
      </c>
      <c r="H126" s="2401">
        <f t="shared" si="1"/>
        <v>1</v>
      </c>
      <c r="I126" s="2396">
        <v>0.92170442918909801</v>
      </c>
      <c r="J126" s="2397">
        <v>5.6751039715317718E-2</v>
      </c>
      <c r="K126" s="2398">
        <v>2.15445310955843E-2</v>
      </c>
      <c r="L126" s="2401">
        <f t="shared" si="4"/>
        <v>1</v>
      </c>
      <c r="M126" s="2396">
        <v>0.96151868355721404</v>
      </c>
      <c r="N126" s="2397">
        <v>9.5176172363919554E-3</v>
      </c>
      <c r="O126" s="2411">
        <v>2.8963699206394009E-2</v>
      </c>
    </row>
    <row r="127" spans="1:15">
      <c r="A127" s="663">
        <f t="shared" si="3"/>
        <v>2009.1</v>
      </c>
      <c r="B127" s="2357">
        <v>0.78027772578108667</v>
      </c>
      <c r="C127" s="2358">
        <v>0.21972227421891333</v>
      </c>
      <c r="D127" s="2360">
        <f t="shared" si="2"/>
        <v>1</v>
      </c>
      <c r="E127" s="2361">
        <v>0.77038458050419123</v>
      </c>
      <c r="F127" s="2362">
        <v>0.22961541949580863</v>
      </c>
      <c r="G127" s="2403">
        <f t="shared" si="5"/>
        <v>0.99999999999999989</v>
      </c>
      <c r="H127" s="2401">
        <f t="shared" si="1"/>
        <v>1</v>
      </c>
      <c r="I127" s="2396">
        <v>0.94777580542752404</v>
      </c>
      <c r="J127" s="2397">
        <v>4.6932626846952041E-2</v>
      </c>
      <c r="K127" s="2398">
        <v>5.2915677255238906E-3</v>
      </c>
      <c r="L127" s="2401">
        <f t="shared" si="4"/>
        <v>1</v>
      </c>
      <c r="M127" s="2396">
        <v>0.93934025314117198</v>
      </c>
      <c r="N127" s="2397">
        <v>2.8275894741109961E-2</v>
      </c>
      <c r="O127" s="2411">
        <v>3.238385211771809E-2</v>
      </c>
    </row>
    <row r="128" spans="1:15">
      <c r="A128" s="663">
        <f t="shared" si="3"/>
        <v>2009.11</v>
      </c>
      <c r="B128" s="2357">
        <v>0.7228596427120767</v>
      </c>
      <c r="C128" s="2358">
        <v>0.27714035728792324</v>
      </c>
      <c r="D128" s="2360">
        <f t="shared" si="2"/>
        <v>1</v>
      </c>
      <c r="E128" s="2361">
        <v>0.83076177217124114</v>
      </c>
      <c r="F128" s="2362">
        <v>0.16923822782875889</v>
      </c>
      <c r="G128" s="2403">
        <f t="shared" si="5"/>
        <v>1</v>
      </c>
      <c r="H128" s="2401">
        <f t="shared" si="1"/>
        <v>1</v>
      </c>
      <c r="I128" s="2396">
        <v>0.9374955367627511</v>
      </c>
      <c r="J128" s="2397">
        <v>5.333997094474615E-2</v>
      </c>
      <c r="K128" s="2398">
        <v>9.1644922925027909E-3</v>
      </c>
      <c r="L128" s="2401">
        <f t="shared" si="4"/>
        <v>1</v>
      </c>
      <c r="M128" s="2396">
        <v>0.97403703352195037</v>
      </c>
      <c r="N128" s="2397">
        <v>8.9536417428036502E-3</v>
      </c>
      <c r="O128" s="2411">
        <v>1.7009324735245929E-2</v>
      </c>
    </row>
    <row r="129" spans="1:15">
      <c r="A129" s="663">
        <f t="shared" si="3"/>
        <v>2009.12</v>
      </c>
      <c r="B129" s="2357">
        <v>0.7467342801080824</v>
      </c>
      <c r="C129" s="2358">
        <v>0.25326571989191765</v>
      </c>
      <c r="D129" s="2360">
        <f t="shared" si="2"/>
        <v>1</v>
      </c>
      <c r="E129" s="2361">
        <v>0.83527763937318555</v>
      </c>
      <c r="F129" s="2362">
        <v>0.16472236062681447</v>
      </c>
      <c r="G129" s="2403">
        <f t="shared" si="5"/>
        <v>1</v>
      </c>
      <c r="H129" s="2401">
        <f t="shared" ref="H129:H192" si="6">+I129+J129+K129</f>
        <v>1.0000000000000002</v>
      </c>
      <c r="I129" s="2396">
        <v>0.95179183400575074</v>
      </c>
      <c r="J129" s="2397">
        <v>3.5476662627028394E-2</v>
      </c>
      <c r="K129" s="2398">
        <v>1.2731503367220964E-2</v>
      </c>
      <c r="L129" s="2401">
        <f t="shared" si="4"/>
        <v>1</v>
      </c>
      <c r="M129" s="2396">
        <v>0.97867782577591955</v>
      </c>
      <c r="N129" s="2397">
        <v>2.0743206298062832E-2</v>
      </c>
      <c r="O129" s="2411">
        <v>5.78967926017625E-4</v>
      </c>
    </row>
    <row r="130" spans="1:15">
      <c r="A130" s="663">
        <f t="shared" si="3"/>
        <v>2010.01</v>
      </c>
      <c r="B130" s="2357">
        <v>0.74494323249911087</v>
      </c>
      <c r="C130" s="2358">
        <v>0.25505676750088896</v>
      </c>
      <c r="D130" s="2360">
        <f t="shared" si="2"/>
        <v>0.99999999999999978</v>
      </c>
      <c r="E130" s="2361">
        <v>0.82715249711618555</v>
      </c>
      <c r="F130" s="2362">
        <v>0.17284750288381445</v>
      </c>
      <c r="G130" s="2403">
        <f t="shared" si="5"/>
        <v>1</v>
      </c>
      <c r="H130" s="2401">
        <f t="shared" si="6"/>
        <v>1.0000000000000002</v>
      </c>
      <c r="I130" s="2396">
        <v>0.95179183400575074</v>
      </c>
      <c r="J130" s="2397">
        <v>3.5476662627028394E-2</v>
      </c>
      <c r="K130" s="2398">
        <v>1.2731503367220964E-2</v>
      </c>
      <c r="L130" s="2401">
        <f t="shared" si="4"/>
        <v>0.99999999999999989</v>
      </c>
      <c r="M130" s="2396">
        <v>0.95761150856902599</v>
      </c>
      <c r="N130" s="2397">
        <v>2.501507651271016E-2</v>
      </c>
      <c r="O130" s="2411">
        <v>1.7373414918263771E-2</v>
      </c>
    </row>
    <row r="131" spans="1:15">
      <c r="A131" s="663">
        <f t="shared" si="3"/>
        <v>2010.02</v>
      </c>
      <c r="B131" s="2357">
        <v>0.76595748984170842</v>
      </c>
      <c r="C131" s="2358">
        <v>0.23404251015829161</v>
      </c>
      <c r="D131" s="2360">
        <f t="shared" si="2"/>
        <v>1</v>
      </c>
      <c r="E131" s="2361">
        <v>0.84386885913902021</v>
      </c>
      <c r="F131" s="2362">
        <v>0.15613114086097979</v>
      </c>
      <c r="G131" s="2403">
        <f t="shared" si="5"/>
        <v>1</v>
      </c>
      <c r="H131" s="2401">
        <f t="shared" si="6"/>
        <v>1.0000000000000002</v>
      </c>
      <c r="I131" s="2396">
        <v>0.95179183400575074</v>
      </c>
      <c r="J131" s="2397">
        <v>3.5476662627028394E-2</v>
      </c>
      <c r="K131" s="2398">
        <v>1.2731503367220964E-2</v>
      </c>
      <c r="L131" s="2401">
        <f t="shared" si="4"/>
        <v>1</v>
      </c>
      <c r="M131" s="2396">
        <v>0.95586970741744726</v>
      </c>
      <c r="N131" s="2397">
        <v>2.7152939272831574E-2</v>
      </c>
      <c r="O131" s="2411">
        <v>1.6977353309721173E-2</v>
      </c>
    </row>
    <row r="132" spans="1:15">
      <c r="A132" s="663">
        <f t="shared" si="3"/>
        <v>2010.03</v>
      </c>
      <c r="B132" s="2357">
        <v>0.73215936246952606</v>
      </c>
      <c r="C132" s="2358">
        <v>0.26784063753047399</v>
      </c>
      <c r="D132" s="2360">
        <f t="shared" si="2"/>
        <v>1</v>
      </c>
      <c r="E132" s="2361">
        <v>0.82958035344092051</v>
      </c>
      <c r="F132" s="2362">
        <v>0.17041964655907957</v>
      </c>
      <c r="G132" s="2403">
        <f t="shared" si="5"/>
        <v>1</v>
      </c>
      <c r="H132" s="2401">
        <f t="shared" si="6"/>
        <v>1</v>
      </c>
      <c r="I132" s="2396">
        <v>0.94900391328812939</v>
      </c>
      <c r="J132" s="2397">
        <v>3.4969881381929774E-2</v>
      </c>
      <c r="K132" s="2398">
        <v>1.6026205329940868E-2</v>
      </c>
      <c r="L132" s="2401">
        <f t="shared" si="4"/>
        <v>1</v>
      </c>
      <c r="M132" s="2396">
        <v>0.95859761251631537</v>
      </c>
      <c r="N132" s="2397">
        <v>1.8858987870349484E-2</v>
      </c>
      <c r="O132" s="2411">
        <v>2.2543399613335138E-2</v>
      </c>
    </row>
    <row r="133" spans="1:15">
      <c r="A133" s="663">
        <f t="shared" si="3"/>
        <v>2010.04</v>
      </c>
      <c r="B133" s="2357">
        <v>0.67513886374484888</v>
      </c>
      <c r="C133" s="2358">
        <v>0.32486113625515101</v>
      </c>
      <c r="D133" s="2360">
        <f t="shared" si="2"/>
        <v>0.99999999999999989</v>
      </c>
      <c r="E133" s="2361">
        <v>0.84553134545213338</v>
      </c>
      <c r="F133" s="2362">
        <v>0.15446865454786651</v>
      </c>
      <c r="G133" s="2403">
        <f t="shared" si="5"/>
        <v>0.99999999999999989</v>
      </c>
      <c r="H133" s="2401">
        <f t="shared" si="6"/>
        <v>1</v>
      </c>
      <c r="I133" s="2396">
        <v>0.97272089074581236</v>
      </c>
      <c r="J133" s="2397">
        <v>2.7064147950417873E-2</v>
      </c>
      <c r="K133" s="2398">
        <v>2.1496130376983606E-4</v>
      </c>
      <c r="L133" s="2401">
        <f t="shared" si="4"/>
        <v>0.99999999999999989</v>
      </c>
      <c r="M133" s="2396">
        <v>0.99010725957632717</v>
      </c>
      <c r="N133" s="2397">
        <v>9.3170351832537052E-3</v>
      </c>
      <c r="O133" s="2411">
        <v>5.7570524041906641E-4</v>
      </c>
    </row>
    <row r="134" spans="1:15">
      <c r="A134" s="663">
        <f t="shared" si="3"/>
        <v>2010.05</v>
      </c>
      <c r="B134" s="2357">
        <v>0.82540649503232189</v>
      </c>
      <c r="C134" s="2358">
        <v>0.1745935049676782</v>
      </c>
      <c r="D134" s="2360">
        <f t="shared" si="2"/>
        <v>1</v>
      </c>
      <c r="E134" s="2361">
        <v>0.78857325316271043</v>
      </c>
      <c r="F134" s="2362">
        <v>0.21142674683728957</v>
      </c>
      <c r="G134" s="2403">
        <f t="shared" si="5"/>
        <v>1</v>
      </c>
      <c r="H134" s="2401">
        <f t="shared" si="6"/>
        <v>1.0000000000000002</v>
      </c>
      <c r="I134" s="2396">
        <v>0.93351411754355074</v>
      </c>
      <c r="J134" s="2397">
        <v>4.8659773513971744E-2</v>
      </c>
      <c r="K134" s="2398">
        <v>1.7826108942477652E-2</v>
      </c>
      <c r="L134" s="2401">
        <f t="shared" si="4"/>
        <v>1</v>
      </c>
      <c r="M134" s="2396">
        <v>0.96258598796249961</v>
      </c>
      <c r="N134" s="2397">
        <v>3.3626133215413329E-2</v>
      </c>
      <c r="O134" s="2411">
        <v>3.7878788220871455E-3</v>
      </c>
    </row>
    <row r="135" spans="1:15">
      <c r="A135" s="663">
        <f t="shared" si="3"/>
        <v>2010.06</v>
      </c>
      <c r="B135" s="2357">
        <v>0.72105445491623366</v>
      </c>
      <c r="C135" s="2358">
        <v>0.27894554508376629</v>
      </c>
      <c r="D135" s="2360">
        <f t="shared" si="2"/>
        <v>1</v>
      </c>
      <c r="E135" s="2361">
        <v>0.86287596303290681</v>
      </c>
      <c r="F135" s="2362">
        <v>0.13712403696709319</v>
      </c>
      <c r="G135" s="2403">
        <f t="shared" si="5"/>
        <v>1</v>
      </c>
      <c r="H135" s="2401">
        <f t="shared" si="6"/>
        <v>0.99999999999999989</v>
      </c>
      <c r="I135" s="2396">
        <v>0.9373328193887065</v>
      </c>
      <c r="J135" s="2397">
        <v>4.9506836921183434E-2</v>
      </c>
      <c r="K135" s="2398">
        <v>1.3160343690110023E-2</v>
      </c>
      <c r="L135" s="2401">
        <f t="shared" si="4"/>
        <v>0.99999999999999989</v>
      </c>
      <c r="M135" s="2396">
        <v>0.95238110370004991</v>
      </c>
      <c r="N135" s="2397">
        <v>2.9552582240220556E-2</v>
      </c>
      <c r="O135" s="2411">
        <v>1.8066314059729482E-2</v>
      </c>
    </row>
    <row r="136" spans="1:15">
      <c r="A136" s="663">
        <f t="shared" si="3"/>
        <v>2010.07</v>
      </c>
      <c r="B136" s="2357">
        <v>0.73193543758877855</v>
      </c>
      <c r="C136" s="2358">
        <v>0.26806456241122151</v>
      </c>
      <c r="D136" s="2360">
        <f t="shared" si="2"/>
        <v>1</v>
      </c>
      <c r="E136" s="2361">
        <v>0.8617361285781403</v>
      </c>
      <c r="F136" s="2362">
        <v>0.13826387142185961</v>
      </c>
      <c r="G136" s="2403">
        <f t="shared" si="5"/>
        <v>0.99999999999999989</v>
      </c>
      <c r="H136" s="2401">
        <f t="shared" si="6"/>
        <v>1</v>
      </c>
      <c r="I136" s="2396">
        <v>0.92939608655521366</v>
      </c>
      <c r="J136" s="2397">
        <v>5.1471682777631186E-2</v>
      </c>
      <c r="K136" s="2398">
        <v>1.913223066715514E-2</v>
      </c>
      <c r="L136" s="2401">
        <f t="shared" si="4"/>
        <v>1</v>
      </c>
      <c r="M136" s="2396">
        <v>0.96507205883967528</v>
      </c>
      <c r="N136" s="2397">
        <v>2.1319426280471353E-2</v>
      </c>
      <c r="O136" s="2411">
        <v>1.3608514879853395E-2</v>
      </c>
    </row>
    <row r="137" spans="1:15">
      <c r="A137" s="663">
        <f t="shared" si="3"/>
        <v>2010.08</v>
      </c>
      <c r="B137" s="2357">
        <v>0.7667144425602177</v>
      </c>
      <c r="C137" s="2358">
        <v>0.23328555743978219</v>
      </c>
      <c r="D137" s="2360">
        <f t="shared" si="2"/>
        <v>0.99999999999999989</v>
      </c>
      <c r="E137" s="2361">
        <v>0.85648290666389659</v>
      </c>
      <c r="F137" s="2362">
        <v>0.14351709333610338</v>
      </c>
      <c r="G137" s="2403">
        <f t="shared" si="5"/>
        <v>1</v>
      </c>
      <c r="H137" s="2401">
        <f t="shared" si="6"/>
        <v>1</v>
      </c>
      <c r="I137" s="2396">
        <v>0.8839268913774605</v>
      </c>
      <c r="J137" s="2397">
        <v>0.10771264680903167</v>
      </c>
      <c r="K137" s="2398">
        <v>8.3604618135078527E-3</v>
      </c>
      <c r="L137" s="2401">
        <f t="shared" si="4"/>
        <v>1</v>
      </c>
      <c r="M137" s="2396">
        <v>0.95458737275149441</v>
      </c>
      <c r="N137" s="2397">
        <v>1.4074207792771843E-2</v>
      </c>
      <c r="O137" s="2411">
        <v>3.1338419455733776E-2</v>
      </c>
    </row>
    <row r="138" spans="1:15">
      <c r="A138" s="663">
        <f t="shared" si="3"/>
        <v>2010.09</v>
      </c>
      <c r="B138" s="2357">
        <v>0.67676233152428222</v>
      </c>
      <c r="C138" s="2358">
        <v>0.32323766847571767</v>
      </c>
      <c r="D138" s="2360">
        <f t="shared" si="2"/>
        <v>0.99999999999999989</v>
      </c>
      <c r="E138" s="2361">
        <v>0.86167792624481943</v>
      </c>
      <c r="F138" s="2362">
        <v>0.1383220737551806</v>
      </c>
      <c r="G138" s="2403">
        <f t="shared" si="5"/>
        <v>1</v>
      </c>
      <c r="H138" s="2401">
        <f t="shared" si="6"/>
        <v>1</v>
      </c>
      <c r="I138" s="2396">
        <v>0.92529050876759977</v>
      </c>
      <c r="J138" s="2397">
        <v>7.0231340471440362E-2</v>
      </c>
      <c r="K138" s="2398">
        <v>4.478150760959883E-3</v>
      </c>
      <c r="L138" s="2401">
        <f t="shared" si="4"/>
        <v>1</v>
      </c>
      <c r="M138" s="2396">
        <v>0.95407895689326438</v>
      </c>
      <c r="N138" s="2397">
        <v>3.2308777362837569E-2</v>
      </c>
      <c r="O138" s="2411">
        <v>1.3612265743898027E-2</v>
      </c>
    </row>
    <row r="139" spans="1:15">
      <c r="A139" s="663">
        <f t="shared" si="3"/>
        <v>2010.1</v>
      </c>
      <c r="B139" s="2357">
        <v>0.64738551530579647</v>
      </c>
      <c r="C139" s="2358">
        <v>0.35261448469420353</v>
      </c>
      <c r="D139" s="2360">
        <f t="shared" si="2"/>
        <v>1</v>
      </c>
      <c r="E139" s="2361">
        <v>0.86983392560937878</v>
      </c>
      <c r="F139" s="2362">
        <v>0.13016607439062131</v>
      </c>
      <c r="G139" s="2403">
        <f t="shared" si="5"/>
        <v>1</v>
      </c>
      <c r="H139" s="2401">
        <f t="shared" si="6"/>
        <v>1</v>
      </c>
      <c r="I139" s="2396">
        <v>0.88997667233002931</v>
      </c>
      <c r="J139" s="2397">
        <v>8.1913217494705717E-2</v>
      </c>
      <c r="K139" s="2398">
        <v>2.8110110175265057E-2</v>
      </c>
      <c r="L139" s="2401">
        <f t="shared" si="4"/>
        <v>1</v>
      </c>
      <c r="M139" s="2396">
        <v>0.98422151308941608</v>
      </c>
      <c r="N139" s="2397">
        <v>1.2328692380992316E-2</v>
      </c>
      <c r="O139" s="2411">
        <v>3.4497945295916032E-3</v>
      </c>
    </row>
    <row r="140" spans="1:15">
      <c r="A140" s="663">
        <f t="shared" si="3"/>
        <v>2010.11</v>
      </c>
      <c r="B140" s="2357">
        <v>0.66945584284304127</v>
      </c>
      <c r="C140" s="2358">
        <v>0.33054415715695884</v>
      </c>
      <c r="D140" s="2360">
        <f t="shared" si="2"/>
        <v>1</v>
      </c>
      <c r="E140" s="2361">
        <v>0.82100613187198268</v>
      </c>
      <c r="F140" s="2362">
        <v>0.17899386812801724</v>
      </c>
      <c r="G140" s="2403">
        <f t="shared" si="5"/>
        <v>0.99999999999999989</v>
      </c>
      <c r="H140" s="2401">
        <f t="shared" si="6"/>
        <v>0.99999999999999978</v>
      </c>
      <c r="I140" s="2396">
        <v>0.88230996228218028</v>
      </c>
      <c r="J140" s="2397">
        <v>9.7334175652052879E-2</v>
      </c>
      <c r="K140" s="2398">
        <v>2.0355862065766638E-2</v>
      </c>
      <c r="L140" s="2401">
        <f t="shared" si="4"/>
        <v>1</v>
      </c>
      <c r="M140" s="2396">
        <v>0.9792464236649433</v>
      </c>
      <c r="N140" s="2397">
        <v>2.0753576335056648E-2</v>
      </c>
      <c r="O140" s="2411">
        <v>0</v>
      </c>
    </row>
    <row r="141" spans="1:15">
      <c r="A141" s="663">
        <f t="shared" si="3"/>
        <v>2010.12</v>
      </c>
      <c r="B141" s="2357">
        <v>0.7344128892658125</v>
      </c>
      <c r="C141" s="2358">
        <v>0.26558711073418745</v>
      </c>
      <c r="D141" s="2360">
        <f t="shared" si="2"/>
        <v>1</v>
      </c>
      <c r="E141" s="2361">
        <v>0.85692945080154903</v>
      </c>
      <c r="F141" s="2362">
        <v>0.14307054919845097</v>
      </c>
      <c r="G141" s="2403">
        <f t="shared" si="5"/>
        <v>1</v>
      </c>
      <c r="H141" s="2401">
        <f t="shared" si="6"/>
        <v>0.99999999999999989</v>
      </c>
      <c r="I141" s="2396">
        <v>0.94840852527269559</v>
      </c>
      <c r="J141" s="2397">
        <v>4.5234113419538424E-2</v>
      </c>
      <c r="K141" s="2398">
        <v>6.3573613077659193E-3</v>
      </c>
      <c r="L141" s="2401">
        <f t="shared" si="4"/>
        <v>0.99999999999999989</v>
      </c>
      <c r="M141" s="2396">
        <v>0.92370485801727586</v>
      </c>
      <c r="N141" s="2397">
        <v>5.9420208636409455E-2</v>
      </c>
      <c r="O141" s="2411">
        <v>1.6874933346314638E-2</v>
      </c>
    </row>
    <row r="142" spans="1:15">
      <c r="A142" s="663">
        <f t="shared" si="3"/>
        <v>2011.01</v>
      </c>
      <c r="B142" s="2357">
        <v>0.73853646244203364</v>
      </c>
      <c r="C142" s="2358">
        <v>0.26146353755796636</v>
      </c>
      <c r="D142" s="2360">
        <f t="shared" si="2"/>
        <v>1</v>
      </c>
      <c r="E142" s="2361">
        <v>0.85267207461904027</v>
      </c>
      <c r="F142" s="2362">
        <v>0.14732792538095976</v>
      </c>
      <c r="G142" s="2403">
        <f t="shared" si="5"/>
        <v>1</v>
      </c>
      <c r="H142" s="2401">
        <f t="shared" si="6"/>
        <v>0.99999999999999989</v>
      </c>
      <c r="I142" s="2396">
        <v>0.88973125258156638</v>
      </c>
      <c r="J142" s="2397">
        <v>9.0149705989120074E-2</v>
      </c>
      <c r="K142" s="2398">
        <v>2.0119041429313426E-2</v>
      </c>
      <c r="L142" s="2401">
        <f t="shared" si="4"/>
        <v>1</v>
      </c>
      <c r="M142" s="2396">
        <v>0.97968891442499628</v>
      </c>
      <c r="N142" s="2397">
        <v>1.4448817323025352E-2</v>
      </c>
      <c r="O142" s="2411">
        <v>5.8622682519783873E-3</v>
      </c>
    </row>
    <row r="143" spans="1:15">
      <c r="A143" s="663">
        <f t="shared" si="3"/>
        <v>2011.02</v>
      </c>
      <c r="B143" s="2357">
        <v>0.6612059292071083</v>
      </c>
      <c r="C143" s="2358">
        <v>0.33879407079289153</v>
      </c>
      <c r="D143" s="2360">
        <f t="shared" si="2"/>
        <v>0.99999999999999978</v>
      </c>
      <c r="E143" s="2361">
        <v>0.82791632769386647</v>
      </c>
      <c r="F143" s="2362">
        <v>0.17208367230613336</v>
      </c>
      <c r="G143" s="2403">
        <f t="shared" si="5"/>
        <v>0.99999999999999978</v>
      </c>
      <c r="H143" s="2401">
        <f t="shared" si="6"/>
        <v>1</v>
      </c>
      <c r="I143" s="2396">
        <v>0.88680496075508231</v>
      </c>
      <c r="J143" s="2397">
        <v>6.3835974933347986E-2</v>
      </c>
      <c r="K143" s="2398">
        <v>4.9359064311569625E-2</v>
      </c>
      <c r="L143" s="2401">
        <f t="shared" si="4"/>
        <v>0.99999999999999989</v>
      </c>
      <c r="M143" s="2396">
        <v>0.94941776698114244</v>
      </c>
      <c r="N143" s="2397">
        <v>4.5130273323225667E-2</v>
      </c>
      <c r="O143" s="2411">
        <v>5.4519596956318188E-3</v>
      </c>
    </row>
    <row r="144" spans="1:15">
      <c r="A144" s="663">
        <f t="shared" si="3"/>
        <v>2011.03</v>
      </c>
      <c r="B144" s="2357">
        <v>0.67112302609069263</v>
      </c>
      <c r="C144" s="2358">
        <v>0.32887697390930731</v>
      </c>
      <c r="D144" s="2360">
        <f t="shared" si="2"/>
        <v>1</v>
      </c>
      <c r="E144" s="2361">
        <v>0.77810105431562493</v>
      </c>
      <c r="F144" s="2362">
        <v>0.22189894568437513</v>
      </c>
      <c r="G144" s="2403">
        <f t="shared" si="5"/>
        <v>1</v>
      </c>
      <c r="H144" s="2401">
        <f t="shared" si="6"/>
        <v>1</v>
      </c>
      <c r="I144" s="2396">
        <v>0.86309546178006413</v>
      </c>
      <c r="J144" s="2397">
        <v>0.1090804716253297</v>
      </c>
      <c r="K144" s="2398">
        <v>2.7824066594606168E-2</v>
      </c>
      <c r="L144" s="2401">
        <f t="shared" si="4"/>
        <v>1</v>
      </c>
      <c r="M144" s="2396">
        <v>0.98001567226870834</v>
      </c>
      <c r="N144" s="2397">
        <v>1.2563489817299055E-2</v>
      </c>
      <c r="O144" s="2411">
        <v>7.4208379139925722E-3</v>
      </c>
    </row>
    <row r="145" spans="1:15">
      <c r="A145" s="663">
        <f t="shared" si="3"/>
        <v>2011.04</v>
      </c>
      <c r="B145" s="2357">
        <v>0.65519296538735394</v>
      </c>
      <c r="C145" s="2358">
        <v>0.34480703461264611</v>
      </c>
      <c r="D145" s="2360">
        <f t="shared" si="2"/>
        <v>1</v>
      </c>
      <c r="E145" s="2361">
        <v>0.81968580456240592</v>
      </c>
      <c r="F145" s="2362">
        <v>0.18031419543759403</v>
      </c>
      <c r="G145" s="2403">
        <f t="shared" si="5"/>
        <v>1</v>
      </c>
      <c r="H145" s="2401">
        <f t="shared" si="6"/>
        <v>0.99999999999999978</v>
      </c>
      <c r="I145" s="2396">
        <v>0.89027055781299902</v>
      </c>
      <c r="J145" s="2397">
        <v>8.3039054072624519E-2</v>
      </c>
      <c r="K145" s="2398">
        <v>2.6690388114376323E-2</v>
      </c>
      <c r="L145" s="2401">
        <f t="shared" si="4"/>
        <v>1</v>
      </c>
      <c r="M145" s="2396">
        <v>0.95166364808822612</v>
      </c>
      <c r="N145" s="2397">
        <v>4.6192887951273465E-2</v>
      </c>
      <c r="O145" s="2411">
        <v>2.1434639605004478E-3</v>
      </c>
    </row>
    <row r="146" spans="1:15">
      <c r="A146" s="663">
        <f t="shared" si="3"/>
        <v>2011.05</v>
      </c>
      <c r="B146" s="2357">
        <v>0.63342991218461042</v>
      </c>
      <c r="C146" s="2358">
        <v>0.36657008781538958</v>
      </c>
      <c r="D146" s="2360">
        <f t="shared" si="2"/>
        <v>1</v>
      </c>
      <c r="E146" s="2361">
        <v>0.84138728818705966</v>
      </c>
      <c r="F146" s="2362">
        <v>0.15861271181294026</v>
      </c>
      <c r="G146" s="2403">
        <f t="shared" si="5"/>
        <v>0.99999999999999989</v>
      </c>
      <c r="H146" s="2401">
        <f t="shared" si="6"/>
        <v>1</v>
      </c>
      <c r="I146" s="2396">
        <v>0.88584592005980212</v>
      </c>
      <c r="J146" s="2397">
        <v>9.6715609779839382E-2</v>
      </c>
      <c r="K146" s="2398">
        <v>1.7438470160358474E-2</v>
      </c>
      <c r="L146" s="2401">
        <f t="shared" si="4"/>
        <v>1</v>
      </c>
      <c r="M146" s="2396">
        <v>0.97554318899912162</v>
      </c>
      <c r="N146" s="2397">
        <v>1.6690518684471269E-2</v>
      </c>
      <c r="O146" s="2411">
        <v>7.7662923164071272E-3</v>
      </c>
    </row>
    <row r="147" spans="1:15">
      <c r="A147" s="663">
        <f t="shared" si="3"/>
        <v>2011.06</v>
      </c>
      <c r="B147" s="2357">
        <v>0.63873845759395398</v>
      </c>
      <c r="C147" s="2358">
        <v>0.36126154240604608</v>
      </c>
      <c r="D147" s="2360">
        <f t="shared" si="2"/>
        <v>1</v>
      </c>
      <c r="E147" s="2361">
        <v>0.85783442884801264</v>
      </c>
      <c r="F147" s="2362">
        <v>0.14216557115198744</v>
      </c>
      <c r="G147" s="2403">
        <f t="shared" si="5"/>
        <v>1</v>
      </c>
      <c r="H147" s="2401">
        <f t="shared" si="6"/>
        <v>1</v>
      </c>
      <c r="I147" s="2396">
        <v>0.89518630066064819</v>
      </c>
      <c r="J147" s="2397">
        <v>0.10460223814273725</v>
      </c>
      <c r="K147" s="2398">
        <v>2.1146119661450809E-4</v>
      </c>
      <c r="L147" s="2401">
        <f t="shared" si="4"/>
        <v>0.99999999999999989</v>
      </c>
      <c r="M147" s="2396">
        <v>0.97984219532285433</v>
      </c>
      <c r="N147" s="2397">
        <v>9.7560976801139791E-3</v>
      </c>
      <c r="O147" s="2411">
        <v>1.0401706997031619E-2</v>
      </c>
    </row>
    <row r="148" spans="1:15">
      <c r="A148" s="663">
        <f t="shared" si="3"/>
        <v>2011.07</v>
      </c>
      <c r="B148" s="2357">
        <v>0.58584686158459676</v>
      </c>
      <c r="C148" s="2358">
        <v>0.41415313841540324</v>
      </c>
      <c r="D148" s="2360">
        <f t="shared" si="2"/>
        <v>1</v>
      </c>
      <c r="E148" s="2361">
        <v>0.84043755281674648</v>
      </c>
      <c r="F148" s="2362">
        <v>0.15956244718325338</v>
      </c>
      <c r="G148" s="2403">
        <f t="shared" si="5"/>
        <v>0.99999999999999989</v>
      </c>
      <c r="H148" s="2401">
        <f t="shared" si="6"/>
        <v>1</v>
      </c>
      <c r="I148" s="2396">
        <v>0.9001224987509947</v>
      </c>
      <c r="J148" s="2397">
        <v>8.0889440113141045E-2</v>
      </c>
      <c r="K148" s="2398">
        <v>1.8988061135864251E-2</v>
      </c>
      <c r="L148" s="2401">
        <f t="shared" si="4"/>
        <v>1</v>
      </c>
      <c r="M148" s="2396">
        <v>0.9666691554892537</v>
      </c>
      <c r="N148" s="2397">
        <v>1.7001602501761175E-2</v>
      </c>
      <c r="O148" s="2411">
        <v>1.6329242008985129E-2</v>
      </c>
    </row>
    <row r="149" spans="1:15">
      <c r="A149" s="663">
        <f t="shared" si="3"/>
        <v>2011.08</v>
      </c>
      <c r="B149" s="2357">
        <v>0.63180146848932395</v>
      </c>
      <c r="C149" s="2358">
        <v>0.368198531510676</v>
      </c>
      <c r="D149" s="2360">
        <f t="shared" si="2"/>
        <v>1</v>
      </c>
      <c r="E149" s="2361">
        <v>0.87157654487551572</v>
      </c>
      <c r="F149" s="2362">
        <v>0.12842345512448447</v>
      </c>
      <c r="G149" s="2403">
        <f t="shared" si="5"/>
        <v>1.0000000000000002</v>
      </c>
      <c r="H149" s="2401">
        <f t="shared" si="6"/>
        <v>1</v>
      </c>
      <c r="I149" s="2396">
        <v>0.92938462221774298</v>
      </c>
      <c r="J149" s="2397">
        <v>7.0615377782257016E-2</v>
      </c>
      <c r="K149" s="2398">
        <v>0</v>
      </c>
      <c r="L149" s="2401">
        <f t="shared" si="4"/>
        <v>0.99999999999999989</v>
      </c>
      <c r="M149" s="2396">
        <v>0.95932247160813799</v>
      </c>
      <c r="N149" s="2397">
        <v>3.2721781248675558E-2</v>
      </c>
      <c r="O149" s="2411">
        <v>7.9557471431863976E-3</v>
      </c>
    </row>
    <row r="150" spans="1:15">
      <c r="A150" s="663">
        <f t="shared" si="3"/>
        <v>2011.09</v>
      </c>
      <c r="B150" s="2357">
        <v>0.63555021443097304</v>
      </c>
      <c r="C150" s="2358">
        <v>0.36444978556902702</v>
      </c>
      <c r="D150" s="2360">
        <f t="shared" si="2"/>
        <v>1</v>
      </c>
      <c r="E150" s="2361">
        <v>0.89132760313246739</v>
      </c>
      <c r="F150" s="2362">
        <v>0.10867239686753258</v>
      </c>
      <c r="G150" s="2403">
        <f t="shared" si="5"/>
        <v>1</v>
      </c>
      <c r="H150" s="2401">
        <f t="shared" si="6"/>
        <v>1</v>
      </c>
      <c r="I150" s="2396">
        <v>0.88691790517608782</v>
      </c>
      <c r="J150" s="2397">
        <v>0.11308209482391222</v>
      </c>
      <c r="K150" s="2398">
        <v>0</v>
      </c>
      <c r="L150" s="2401">
        <f t="shared" si="4"/>
        <v>1.0000000000000002</v>
      </c>
      <c r="M150" s="2396">
        <v>0.97549986214906459</v>
      </c>
      <c r="N150" s="2397">
        <v>1.5959138621566133E-2</v>
      </c>
      <c r="O150" s="2411">
        <v>8.540999229369392E-3</v>
      </c>
    </row>
    <row r="151" spans="1:15">
      <c r="A151" s="663">
        <f t="shared" si="3"/>
        <v>2011.1</v>
      </c>
      <c r="B151" s="2357">
        <v>0.6847677624602333</v>
      </c>
      <c r="C151" s="2358">
        <v>0.3152322375397667</v>
      </c>
      <c r="D151" s="2360">
        <f t="shared" si="2"/>
        <v>1</v>
      </c>
      <c r="E151" s="2361">
        <v>0.80728214954071387</v>
      </c>
      <c r="F151" s="2362">
        <v>0.19271785045928602</v>
      </c>
      <c r="G151" s="2403">
        <f t="shared" si="5"/>
        <v>0.99999999999999989</v>
      </c>
      <c r="H151" s="2401">
        <f t="shared" si="6"/>
        <v>1</v>
      </c>
      <c r="I151" s="2396">
        <v>0.86654082714740199</v>
      </c>
      <c r="J151" s="2397">
        <v>8.7677624602332999E-2</v>
      </c>
      <c r="K151" s="2398">
        <v>4.5781548250265126E-2</v>
      </c>
      <c r="L151" s="2401">
        <f t="shared" si="4"/>
        <v>1</v>
      </c>
      <c r="M151" s="2396">
        <v>0.97321721415454288</v>
      </c>
      <c r="N151" s="2397">
        <v>1.691224710492081E-2</v>
      </c>
      <c r="O151" s="2411">
        <v>9.870538740536285E-3</v>
      </c>
    </row>
    <row r="152" spans="1:15">
      <c r="A152" s="663">
        <f t="shared" si="3"/>
        <v>2011.11</v>
      </c>
      <c r="B152" s="2357">
        <v>0.54982815942208141</v>
      </c>
      <c r="C152" s="2358">
        <v>0.45017184057791865</v>
      </c>
      <c r="D152" s="2360">
        <f t="shared" si="2"/>
        <v>1</v>
      </c>
      <c r="E152" s="2361">
        <v>0.79088826081770014</v>
      </c>
      <c r="F152" s="2362">
        <v>0.20911173918229994</v>
      </c>
      <c r="G152" s="2403">
        <f t="shared" si="5"/>
        <v>1</v>
      </c>
      <c r="H152" s="2401">
        <f t="shared" si="6"/>
        <v>1.0000000000000002</v>
      </c>
      <c r="I152" s="2396">
        <v>0.84611654393687075</v>
      </c>
      <c r="J152" s="2397">
        <v>0.10245593641007607</v>
      </c>
      <c r="K152" s="2398">
        <v>5.1427519653053304E-2</v>
      </c>
      <c r="L152" s="2401">
        <f t="shared" si="4"/>
        <v>1</v>
      </c>
      <c r="M152" s="2396">
        <v>0.95027572180129194</v>
      </c>
      <c r="N152" s="2397">
        <v>3.5207185993198817E-2</v>
      </c>
      <c r="O152" s="2411">
        <v>1.4517092205509188E-2</v>
      </c>
    </row>
    <row r="153" spans="1:15">
      <c r="A153" s="663">
        <f t="shared" si="3"/>
        <v>2011.12</v>
      </c>
      <c r="B153" s="2357">
        <v>0.65710085933966522</v>
      </c>
      <c r="C153" s="2358">
        <v>0.34289914066033467</v>
      </c>
      <c r="D153" s="2360">
        <f t="shared" si="2"/>
        <v>0.99999999999999989</v>
      </c>
      <c r="E153" s="2361">
        <v>0.63095802130490219</v>
      </c>
      <c r="F153" s="2362">
        <v>0.36904197869509786</v>
      </c>
      <c r="G153" s="2403">
        <f t="shared" si="5"/>
        <v>1</v>
      </c>
      <c r="H153" s="2401">
        <f t="shared" si="6"/>
        <v>1</v>
      </c>
      <c r="I153" s="2396">
        <v>0.92457242101406834</v>
      </c>
      <c r="J153" s="2397">
        <v>3.7573581125239994E-2</v>
      </c>
      <c r="K153" s="2398">
        <v>3.7853997860691678E-2</v>
      </c>
      <c r="L153" s="2401">
        <f t="shared" si="4"/>
        <v>1.0000000000000002</v>
      </c>
      <c r="M153" s="2396">
        <v>0.85990607924213913</v>
      </c>
      <c r="N153" s="2397">
        <v>3.8122050546066884E-2</v>
      </c>
      <c r="O153" s="2411">
        <v>0.10197187021179412</v>
      </c>
    </row>
    <row r="154" spans="1:15">
      <c r="A154" s="663">
        <f t="shared" si="3"/>
        <v>2012.01</v>
      </c>
      <c r="B154" s="2357">
        <v>0.61288493672459221</v>
      </c>
      <c r="C154" s="2358">
        <v>0.38711506327540773</v>
      </c>
      <c r="D154" s="2360">
        <f t="shared" si="2"/>
        <v>1</v>
      </c>
      <c r="E154" s="2361">
        <v>0.87741156404248755</v>
      </c>
      <c r="F154" s="2362">
        <v>0.12258843595751241</v>
      </c>
      <c r="G154" s="2403">
        <f t="shared" si="5"/>
        <v>1</v>
      </c>
      <c r="H154" s="2401">
        <f t="shared" si="6"/>
        <v>1.0000000000000002</v>
      </c>
      <c r="I154" s="2396">
        <v>0.89392385480762482</v>
      </c>
      <c r="J154" s="2397">
        <v>9.0412835179726828E-2</v>
      </c>
      <c r="K154" s="2398">
        <v>1.5663310012648458E-2</v>
      </c>
      <c r="L154" s="2401">
        <f t="shared" si="4"/>
        <v>1</v>
      </c>
      <c r="M154" s="2396">
        <v>0.97354430108905565</v>
      </c>
      <c r="N154" s="2397">
        <v>1.7194769273185931E-2</v>
      </c>
      <c r="O154" s="2411">
        <v>9.2609296377583646E-3</v>
      </c>
    </row>
    <row r="155" spans="1:15">
      <c r="A155" s="663">
        <f t="shared" si="3"/>
        <v>2012.02</v>
      </c>
      <c r="B155" s="2357">
        <v>0.68377646680106208</v>
      </c>
      <c r="C155" s="2358">
        <v>0.31622353319893798</v>
      </c>
      <c r="D155" s="2360">
        <f t="shared" si="2"/>
        <v>1</v>
      </c>
      <c r="E155" s="2361">
        <v>0.75360365597271173</v>
      </c>
      <c r="F155" s="2362">
        <v>0.24639634402728816</v>
      </c>
      <c r="G155" s="2403">
        <f t="shared" si="5"/>
        <v>0.99999999999999989</v>
      </c>
      <c r="H155" s="2401">
        <f t="shared" si="6"/>
        <v>1.0000000000000002</v>
      </c>
      <c r="I155" s="2396">
        <v>0.85598988038035495</v>
      </c>
      <c r="J155" s="2397">
        <v>0.11652740589153415</v>
      </c>
      <c r="K155" s="2398">
        <v>2.7482713728110984E-2</v>
      </c>
      <c r="L155" s="2401">
        <f t="shared" si="4"/>
        <v>1.0000000000000002</v>
      </c>
      <c r="M155" s="2396">
        <v>0.9005596050778979</v>
      </c>
      <c r="N155" s="2397">
        <v>2.9366029288678569E-2</v>
      </c>
      <c r="O155" s="2411">
        <v>7.0074365633423633E-2</v>
      </c>
    </row>
    <row r="156" spans="1:15">
      <c r="A156" s="663">
        <f t="shared" si="3"/>
        <v>2012.03</v>
      </c>
      <c r="B156" s="2357">
        <v>0.67723142229301037</v>
      </c>
      <c r="C156" s="2358">
        <v>0.32276857770698969</v>
      </c>
      <c r="D156" s="2360">
        <f t="shared" si="2"/>
        <v>1</v>
      </c>
      <c r="E156" s="2361">
        <v>0.73171568683298815</v>
      </c>
      <c r="F156" s="2362">
        <v>0.2682843131670119</v>
      </c>
      <c r="G156" s="2403">
        <f t="shared" si="5"/>
        <v>1</v>
      </c>
      <c r="H156" s="2401">
        <f t="shared" si="6"/>
        <v>1</v>
      </c>
      <c r="I156" s="2396">
        <v>0.88632506915476017</v>
      </c>
      <c r="J156" s="2397">
        <v>0.10507514680456795</v>
      </c>
      <c r="K156" s="2398">
        <v>8.5997840406718193E-3</v>
      </c>
      <c r="L156" s="2401">
        <f t="shared" si="4"/>
        <v>1</v>
      </c>
      <c r="M156" s="2396">
        <v>0.91896088975529766</v>
      </c>
      <c r="N156" s="2397">
        <v>4.8971874334219463E-2</v>
      </c>
      <c r="O156" s="2411">
        <v>3.2067235910482841E-2</v>
      </c>
    </row>
    <row r="157" spans="1:15">
      <c r="A157" s="663">
        <f t="shared" si="3"/>
        <v>2012.04</v>
      </c>
      <c r="B157" s="2357">
        <v>0.673427086683965</v>
      </c>
      <c r="C157" s="2358">
        <v>0.32657291331603494</v>
      </c>
      <c r="D157" s="2360">
        <f t="shared" ref="D157:D220" si="7">B157+C157</f>
        <v>1</v>
      </c>
      <c r="E157" s="2361">
        <v>0.79468953363653694</v>
      </c>
      <c r="F157" s="2362">
        <v>0.20531046636346315</v>
      </c>
      <c r="G157" s="2403">
        <f t="shared" si="5"/>
        <v>1</v>
      </c>
      <c r="H157" s="2401">
        <f t="shared" si="6"/>
        <v>1.0000000000000002</v>
      </c>
      <c r="I157" s="2396">
        <v>0.91089797785365367</v>
      </c>
      <c r="J157" s="2397">
        <v>7.2391497556706569E-2</v>
      </c>
      <c r="K157" s="2398">
        <v>1.6710524589639859E-2</v>
      </c>
      <c r="L157" s="2401">
        <f t="shared" si="4"/>
        <v>1</v>
      </c>
      <c r="M157" s="2396">
        <v>0.94010909930500208</v>
      </c>
      <c r="N157" s="2397">
        <v>3.1402386916646166E-2</v>
      </c>
      <c r="O157" s="2411">
        <v>2.8488513778351668E-2</v>
      </c>
    </row>
    <row r="158" spans="1:15">
      <c r="A158" s="663">
        <f t="shared" si="3"/>
        <v>2012.05</v>
      </c>
      <c r="B158" s="2357">
        <v>0.60766242551654381</v>
      </c>
      <c r="C158" s="2358">
        <v>0.39233757448345613</v>
      </c>
      <c r="D158" s="2360">
        <f t="shared" si="7"/>
        <v>1</v>
      </c>
      <c r="E158" s="2361">
        <v>0.75303481873483957</v>
      </c>
      <c r="F158" s="2362">
        <v>0.24696518126516037</v>
      </c>
      <c r="G158" s="2403">
        <f t="shared" si="5"/>
        <v>1</v>
      </c>
      <c r="H158" s="2401">
        <f t="shared" si="6"/>
        <v>0.99999999999999989</v>
      </c>
      <c r="I158" s="2396">
        <v>0.89565057073178944</v>
      </c>
      <c r="J158" s="2397">
        <v>7.5800599383768083E-2</v>
      </c>
      <c r="K158" s="2398">
        <v>2.8548829884442409E-2</v>
      </c>
      <c r="L158" s="2401">
        <f t="shared" si="4"/>
        <v>0.99999999999999989</v>
      </c>
      <c r="M158" s="2396">
        <v>0.96725925132840118</v>
      </c>
      <c r="N158" s="2397">
        <v>2.5040411926810054E-2</v>
      </c>
      <c r="O158" s="2411">
        <v>7.7003367447886417E-3</v>
      </c>
    </row>
    <row r="159" spans="1:15">
      <c r="A159" s="663">
        <f t="shared" si="3"/>
        <v>2012.06</v>
      </c>
      <c r="B159" s="2357">
        <v>0.72808220184244565</v>
      </c>
      <c r="C159" s="2358">
        <v>0.2719177981575544</v>
      </c>
      <c r="D159" s="2360">
        <f t="shared" si="7"/>
        <v>1</v>
      </c>
      <c r="E159" s="2361">
        <v>0.83516531760001489</v>
      </c>
      <c r="F159" s="2362">
        <v>0.16483468239998497</v>
      </c>
      <c r="G159" s="2403">
        <f t="shared" si="5"/>
        <v>0.99999999999999989</v>
      </c>
      <c r="H159" s="2401">
        <f t="shared" si="6"/>
        <v>0.99999999999999989</v>
      </c>
      <c r="I159" s="2396">
        <v>0.86984191005293876</v>
      </c>
      <c r="J159" s="2397">
        <v>9.1410933785654153E-2</v>
      </c>
      <c r="K159" s="2398">
        <v>3.8747156161407038E-2</v>
      </c>
      <c r="L159" s="2401">
        <f t="shared" si="4"/>
        <v>1.0000000000000002</v>
      </c>
      <c r="M159" s="2396">
        <v>0.96432806840540086</v>
      </c>
      <c r="N159" s="2397">
        <v>1.7019477335122983E-2</v>
      </c>
      <c r="O159" s="2411">
        <v>1.8652454259476266E-2</v>
      </c>
    </row>
    <row r="160" spans="1:15">
      <c r="A160" s="663">
        <f t="shared" si="3"/>
        <v>2012.07</v>
      </c>
      <c r="B160" s="2357">
        <v>0.71511040191002873</v>
      </c>
      <c r="C160" s="2358">
        <v>0.28488959808997122</v>
      </c>
      <c r="D160" s="2360">
        <f t="shared" si="7"/>
        <v>1</v>
      </c>
      <c r="E160" s="2361">
        <v>0.82735179492469835</v>
      </c>
      <c r="F160" s="2362">
        <v>0.17264820507530157</v>
      </c>
      <c r="G160" s="2403">
        <f t="shared" si="5"/>
        <v>0.99999999999999989</v>
      </c>
      <c r="H160" s="2401">
        <f t="shared" si="6"/>
        <v>1</v>
      </c>
      <c r="I160" s="2396">
        <v>0.92328994692927568</v>
      </c>
      <c r="J160" s="2397">
        <v>2.8187980180178006E-2</v>
      </c>
      <c r="K160" s="2398">
        <v>4.8522072890546344E-2</v>
      </c>
      <c r="L160" s="2401">
        <f t="shared" si="4"/>
        <v>1</v>
      </c>
      <c r="M160" s="2396">
        <v>0.91221962883450947</v>
      </c>
      <c r="N160" s="2397">
        <v>5.9154199910476747E-2</v>
      </c>
      <c r="O160" s="2411">
        <v>2.8626171255013724E-2</v>
      </c>
    </row>
    <row r="161" spans="1:15">
      <c r="A161" s="663">
        <f t="shared" si="3"/>
        <v>2012.08</v>
      </c>
      <c r="B161" s="2357">
        <v>0.72196177935939587</v>
      </c>
      <c r="C161" s="2358">
        <v>0.27803822064060407</v>
      </c>
      <c r="D161" s="2360">
        <f t="shared" si="7"/>
        <v>1</v>
      </c>
      <c r="E161" s="2361">
        <v>0.80632685556805739</v>
      </c>
      <c r="F161" s="2362">
        <v>0.1936731444319425</v>
      </c>
      <c r="G161" s="2403">
        <f t="shared" si="5"/>
        <v>0.99999999999999989</v>
      </c>
      <c r="H161" s="2401">
        <f t="shared" si="6"/>
        <v>1</v>
      </c>
      <c r="I161" s="2396">
        <v>0.87502096262010509</v>
      </c>
      <c r="J161" s="2397">
        <v>8.9369020464822368E-2</v>
      </c>
      <c r="K161" s="2398">
        <v>3.5610016915072644E-2</v>
      </c>
      <c r="L161" s="2401">
        <f t="shared" si="4"/>
        <v>1</v>
      </c>
      <c r="M161" s="2396">
        <v>0.98500000018816791</v>
      </c>
      <c r="N161" s="2397">
        <v>1.1213503597754082E-2</v>
      </c>
      <c r="O161" s="2411">
        <v>3.7864962140779718E-3</v>
      </c>
    </row>
    <row r="162" spans="1:15">
      <c r="A162" s="663">
        <f t="shared" si="3"/>
        <v>2012.09</v>
      </c>
      <c r="B162" s="2357">
        <v>0.64023333558266871</v>
      </c>
      <c r="C162" s="2358">
        <v>0.35976666441733129</v>
      </c>
      <c r="D162" s="2360">
        <f t="shared" si="7"/>
        <v>1</v>
      </c>
      <c r="E162" s="2361">
        <v>0.76365022617784817</v>
      </c>
      <c r="F162" s="2362">
        <v>0.23634977382215192</v>
      </c>
      <c r="G162" s="2403">
        <f t="shared" si="5"/>
        <v>1</v>
      </c>
      <c r="H162" s="2401">
        <f t="shared" si="6"/>
        <v>1</v>
      </c>
      <c r="I162" s="2396">
        <v>0.92881784519698929</v>
      </c>
      <c r="J162" s="2397">
        <v>4.615256174695171E-2</v>
      </c>
      <c r="K162" s="2398">
        <v>2.502959305605899E-2</v>
      </c>
      <c r="L162" s="2401">
        <f t="shared" si="4"/>
        <v>1.0000000000000002</v>
      </c>
      <c r="M162" s="2396">
        <v>0.97966732247421495</v>
      </c>
      <c r="N162" s="2397">
        <v>7.8526688961391301E-3</v>
      </c>
      <c r="O162" s="2411">
        <v>1.2480008629646055E-2</v>
      </c>
    </row>
    <row r="163" spans="1:15">
      <c r="A163" s="663">
        <f t="shared" si="3"/>
        <v>2012.1</v>
      </c>
      <c r="B163" s="2357">
        <v>0.70889420247663437</v>
      </c>
      <c r="C163" s="2358">
        <v>0.29110579752336557</v>
      </c>
      <c r="D163" s="2360">
        <f t="shared" si="7"/>
        <v>1</v>
      </c>
      <c r="E163" s="2361">
        <v>0.79209052171586269</v>
      </c>
      <c r="F163" s="2362">
        <v>0.20790947828413739</v>
      </c>
      <c r="G163" s="2403">
        <f t="shared" si="5"/>
        <v>1</v>
      </c>
      <c r="H163" s="2401">
        <f t="shared" si="6"/>
        <v>1</v>
      </c>
      <c r="I163" s="2396">
        <v>0.87829077302380165</v>
      </c>
      <c r="J163" s="2397">
        <v>8.7938237875782643E-2</v>
      </c>
      <c r="K163" s="2398">
        <v>3.3770989100415719E-2</v>
      </c>
      <c r="L163" s="2401">
        <f t="shared" si="4"/>
        <v>1</v>
      </c>
      <c r="M163" s="2396">
        <v>0.98105247550811436</v>
      </c>
      <c r="N163" s="2397">
        <v>1.6674170251130806E-2</v>
      </c>
      <c r="O163" s="2411">
        <v>2.2733542407548258E-3</v>
      </c>
    </row>
    <row r="164" spans="1:15">
      <c r="A164" s="663">
        <f t="shared" si="3"/>
        <v>2012.11</v>
      </c>
      <c r="B164" s="2357">
        <v>0.63571194166258305</v>
      </c>
      <c r="C164" s="2358">
        <v>0.3642880583374169</v>
      </c>
      <c r="D164" s="2360">
        <f t="shared" si="7"/>
        <v>1</v>
      </c>
      <c r="E164" s="2361">
        <v>0.77264116208132483</v>
      </c>
      <c r="F164" s="2362">
        <v>0.22735883791867523</v>
      </c>
      <c r="G164" s="2403">
        <f t="shared" si="5"/>
        <v>1</v>
      </c>
      <c r="H164" s="2401">
        <f t="shared" si="6"/>
        <v>1</v>
      </c>
      <c r="I164" s="2396">
        <v>0.90113955550362834</v>
      </c>
      <c r="J164" s="2397">
        <v>8.1549821696682526E-2</v>
      </c>
      <c r="K164" s="2398">
        <v>1.7310622799689094E-2</v>
      </c>
      <c r="L164" s="2401">
        <f t="shared" si="4"/>
        <v>1</v>
      </c>
      <c r="M164" s="2396">
        <v>0.9682860522710961</v>
      </c>
      <c r="N164" s="2397">
        <v>1.8501459412479881E-2</v>
      </c>
      <c r="O164" s="2411">
        <v>1.3212488316424074E-2</v>
      </c>
    </row>
    <row r="165" spans="1:15">
      <c r="A165" s="663">
        <f t="shared" si="3"/>
        <v>2012.12</v>
      </c>
      <c r="B165" s="2357">
        <v>0.79282346714625052</v>
      </c>
      <c r="C165" s="2358">
        <v>0.20717653285374954</v>
      </c>
      <c r="D165" s="2360">
        <f t="shared" si="7"/>
        <v>1</v>
      </c>
      <c r="E165" s="2361">
        <v>0.84557028302448078</v>
      </c>
      <c r="F165" s="2362">
        <v>0.15442971697551935</v>
      </c>
      <c r="G165" s="2403">
        <f t="shared" si="5"/>
        <v>1.0000000000000002</v>
      </c>
      <c r="H165" s="2401">
        <f t="shared" si="6"/>
        <v>1</v>
      </c>
      <c r="I165" s="2396">
        <v>0.88967299371338204</v>
      </c>
      <c r="J165" s="2397">
        <v>0.10073190213357371</v>
      </c>
      <c r="K165" s="2398">
        <v>9.595104153044258E-3</v>
      </c>
      <c r="L165" s="2401">
        <f t="shared" si="4"/>
        <v>1</v>
      </c>
      <c r="M165" s="2396">
        <v>0.96967773726191553</v>
      </c>
      <c r="N165" s="2397">
        <v>1.1585996454790517E-2</v>
      </c>
      <c r="O165" s="2411">
        <v>1.8736266283293952E-2</v>
      </c>
    </row>
    <row r="166" spans="1:15">
      <c r="A166" s="663">
        <f t="shared" si="3"/>
        <v>2013.01</v>
      </c>
      <c r="B166" s="2357">
        <v>0.64467088244085446</v>
      </c>
      <c r="C166" s="2358">
        <v>0.35532911755914548</v>
      </c>
      <c r="D166" s="2360">
        <f t="shared" si="7"/>
        <v>1</v>
      </c>
      <c r="E166" s="2361">
        <v>0.83986710631646266</v>
      </c>
      <c r="F166" s="2362">
        <v>0.16013289368353728</v>
      </c>
      <c r="G166" s="2403">
        <f t="shared" si="5"/>
        <v>1</v>
      </c>
      <c r="H166" s="2401">
        <f t="shared" si="6"/>
        <v>0.99999999999999989</v>
      </c>
      <c r="I166" s="2396">
        <v>0.8740529052518311</v>
      </c>
      <c r="J166" s="2397">
        <v>6.4490594362692333E-2</v>
      </c>
      <c r="K166" s="2398">
        <v>6.1456500385476447E-2</v>
      </c>
      <c r="L166" s="2401">
        <f t="shared" si="4"/>
        <v>1</v>
      </c>
      <c r="M166" s="2396">
        <v>0.97037489688809131</v>
      </c>
      <c r="N166" s="2397">
        <v>1.7808285961937953E-2</v>
      </c>
      <c r="O166" s="2411">
        <v>1.1816817149970764E-2</v>
      </c>
    </row>
    <row r="167" spans="1:15">
      <c r="A167" s="663">
        <f t="shared" si="3"/>
        <v>2013.02</v>
      </c>
      <c r="B167" s="2357">
        <v>0.76595214311126114</v>
      </c>
      <c r="C167" s="2358">
        <v>0.23404785688873897</v>
      </c>
      <c r="D167" s="2360">
        <f t="shared" si="7"/>
        <v>1</v>
      </c>
      <c r="E167" s="2361">
        <v>0.82335160232924087</v>
      </c>
      <c r="F167" s="2362">
        <v>0.1766483976707591</v>
      </c>
      <c r="G167" s="2403">
        <f t="shared" si="5"/>
        <v>1</v>
      </c>
      <c r="H167" s="2401">
        <f t="shared" si="6"/>
        <v>1</v>
      </c>
      <c r="I167" s="2396">
        <v>0.83192461665768036</v>
      </c>
      <c r="J167" s="2397">
        <v>0.10441436936867386</v>
      </c>
      <c r="K167" s="2398">
        <v>6.3661013973645791E-2</v>
      </c>
      <c r="L167" s="2401">
        <f t="shared" si="4"/>
        <v>0.99999999999999989</v>
      </c>
      <c r="M167" s="2396">
        <v>0.98137705266424435</v>
      </c>
      <c r="N167" s="2397">
        <v>9.7699547008120429E-3</v>
      </c>
      <c r="O167" s="2411">
        <v>8.8529926349435982E-3</v>
      </c>
    </row>
    <row r="168" spans="1:15">
      <c r="A168" s="663">
        <f t="shared" si="3"/>
        <v>2013.03</v>
      </c>
      <c r="B168" s="2357">
        <v>0.70040504530876457</v>
      </c>
      <c r="C168" s="2358">
        <v>0.29959495469123548</v>
      </c>
      <c r="D168" s="2360">
        <f t="shared" si="7"/>
        <v>1</v>
      </c>
      <c r="E168" s="2361">
        <v>0.82486444446916452</v>
      </c>
      <c r="F168" s="2362">
        <v>0.17513555553083557</v>
      </c>
      <c r="G168" s="2403">
        <f t="shared" si="5"/>
        <v>1</v>
      </c>
      <c r="H168" s="2401">
        <f t="shared" si="6"/>
        <v>1</v>
      </c>
      <c r="I168" s="2396">
        <v>0.95899528889772556</v>
      </c>
      <c r="J168" s="2397">
        <v>3.0211712708367068E-2</v>
      </c>
      <c r="K168" s="2398">
        <v>1.079299839390736E-2</v>
      </c>
      <c r="L168" s="2401">
        <f t="shared" si="4"/>
        <v>1</v>
      </c>
      <c r="M168" s="2396">
        <v>0.98049570565949351</v>
      </c>
      <c r="N168" s="2397">
        <v>1.4879349039141848E-2</v>
      </c>
      <c r="O168" s="2411">
        <v>4.6249453013646191E-3</v>
      </c>
    </row>
    <row r="169" spans="1:15">
      <c r="A169" s="663">
        <f t="shared" si="3"/>
        <v>2013.04</v>
      </c>
      <c r="B169" s="2357">
        <v>0.70818884565396245</v>
      </c>
      <c r="C169" s="2358">
        <v>0.2918111543460376</v>
      </c>
      <c r="D169" s="2360">
        <f t="shared" si="7"/>
        <v>1</v>
      </c>
      <c r="E169" s="2361">
        <v>0.79468056749847205</v>
      </c>
      <c r="F169" s="2362">
        <v>0.20531943250152801</v>
      </c>
      <c r="G169" s="2403">
        <f t="shared" si="5"/>
        <v>1</v>
      </c>
      <c r="H169" s="2401">
        <f t="shared" si="6"/>
        <v>1</v>
      </c>
      <c r="I169" s="2396">
        <v>0.87602444629260134</v>
      </c>
      <c r="J169" s="2397">
        <v>7.5450541764424103E-2</v>
      </c>
      <c r="K169" s="2398">
        <v>4.8525011942974532E-2</v>
      </c>
      <c r="L169" s="2401">
        <f t="shared" si="4"/>
        <v>1</v>
      </c>
      <c r="M169" s="2396">
        <v>0.95948536167825083</v>
      </c>
      <c r="N169" s="2397">
        <v>2.5086710308618216E-2</v>
      </c>
      <c r="O169" s="2411">
        <v>1.5427928013130969E-2</v>
      </c>
    </row>
    <row r="170" spans="1:15">
      <c r="A170" s="663">
        <f t="shared" ref="A170:A233" si="8">A158+1</f>
        <v>2013.05</v>
      </c>
      <c r="B170" s="2357">
        <v>0.69057195289227957</v>
      </c>
      <c r="C170" s="2358">
        <v>0.30942804710772048</v>
      </c>
      <c r="D170" s="2360">
        <f t="shared" si="7"/>
        <v>1</v>
      </c>
      <c r="E170" s="2361">
        <v>0.83544989858299412</v>
      </c>
      <c r="F170" s="2362">
        <v>0.16455010141700574</v>
      </c>
      <c r="G170" s="2403">
        <f t="shared" si="5"/>
        <v>0.99999999999999989</v>
      </c>
      <c r="H170" s="2401">
        <f t="shared" si="6"/>
        <v>1.0000000000000002</v>
      </c>
      <c r="I170" s="2396">
        <v>0.91476929364505599</v>
      </c>
      <c r="J170" s="2397">
        <v>2.7332769324273153E-2</v>
      </c>
      <c r="K170" s="2398">
        <v>5.7897937030671025E-2</v>
      </c>
      <c r="L170" s="2401">
        <f t="shared" si="4"/>
        <v>1</v>
      </c>
      <c r="M170" s="2396">
        <v>0.97587266091798597</v>
      </c>
      <c r="N170" s="2397">
        <v>8.5742672801420849E-3</v>
      </c>
      <c r="O170" s="2411">
        <v>1.5553071801872001E-2</v>
      </c>
    </row>
    <row r="171" spans="1:15">
      <c r="A171" s="663">
        <f t="shared" si="8"/>
        <v>2013.06</v>
      </c>
      <c r="B171" s="2357">
        <v>0.80461374191296942</v>
      </c>
      <c r="C171" s="2358">
        <v>0.19538625808703067</v>
      </c>
      <c r="D171" s="2360">
        <f t="shared" si="7"/>
        <v>1</v>
      </c>
      <c r="E171" s="2361">
        <v>0.82328972034378001</v>
      </c>
      <c r="F171" s="2362">
        <v>0.17671027965621999</v>
      </c>
      <c r="G171" s="2403">
        <f t="shared" si="5"/>
        <v>1</v>
      </c>
      <c r="H171" s="2401">
        <f t="shared" si="6"/>
        <v>0.99999999999999989</v>
      </c>
      <c r="I171" s="2396">
        <v>0.88293456242370028</v>
      </c>
      <c r="J171" s="2397">
        <v>6.8333244776290991E-2</v>
      </c>
      <c r="K171" s="2398">
        <v>4.873219280000865E-2</v>
      </c>
      <c r="L171" s="2401">
        <f t="shared" si="4"/>
        <v>1</v>
      </c>
      <c r="M171" s="2396">
        <v>0.99175621109366963</v>
      </c>
      <c r="N171" s="2397">
        <v>8.2437889063303998E-3</v>
      </c>
      <c r="O171" s="2411">
        <v>0</v>
      </c>
    </row>
    <row r="172" spans="1:15">
      <c r="A172" s="663">
        <f t="shared" si="8"/>
        <v>2013.07</v>
      </c>
      <c r="B172" s="2357">
        <v>0.7581859003237309</v>
      </c>
      <c r="C172" s="2358">
        <v>0.24181409967626899</v>
      </c>
      <c r="D172" s="2360">
        <f t="shared" si="7"/>
        <v>0.99999999999999989</v>
      </c>
      <c r="E172" s="2361">
        <v>0.8292191795771322</v>
      </c>
      <c r="F172" s="2362">
        <v>0.1707808204228678</v>
      </c>
      <c r="G172" s="2403">
        <f t="shared" si="5"/>
        <v>1</v>
      </c>
      <c r="H172" s="2401">
        <f t="shared" si="6"/>
        <v>1</v>
      </c>
      <c r="I172" s="2396">
        <v>0.89285283272739724</v>
      </c>
      <c r="J172" s="2397">
        <v>7.754438584896485E-2</v>
      </c>
      <c r="K172" s="2398">
        <v>2.9602781423638015E-2</v>
      </c>
      <c r="L172" s="2401">
        <f t="shared" si="4"/>
        <v>1</v>
      </c>
      <c r="M172" s="2396">
        <v>0.99591078063217675</v>
      </c>
      <c r="N172" s="2397">
        <v>7.4349443051331427E-4</v>
      </c>
      <c r="O172" s="2411">
        <v>3.3457249373099098E-3</v>
      </c>
    </row>
    <row r="173" spans="1:15">
      <c r="A173" s="663">
        <f t="shared" si="8"/>
        <v>2013.08</v>
      </c>
      <c r="B173" s="2357">
        <v>0.65148508047410525</v>
      </c>
      <c r="C173" s="2358">
        <v>0.34851491952589464</v>
      </c>
      <c r="D173" s="2360">
        <f t="shared" si="7"/>
        <v>0.99999999999999989</v>
      </c>
      <c r="E173" s="2361">
        <v>0.79905776174836063</v>
      </c>
      <c r="F173" s="2362">
        <v>0.20094223825163943</v>
      </c>
      <c r="G173" s="2403">
        <f t="shared" si="5"/>
        <v>1</v>
      </c>
      <c r="H173" s="2401">
        <f t="shared" si="6"/>
        <v>1</v>
      </c>
      <c r="I173" s="2396">
        <v>0.86430832583868134</v>
      </c>
      <c r="J173" s="2397">
        <v>4.8359040381934754E-2</v>
      </c>
      <c r="K173" s="2398">
        <v>8.7332633779383967E-2</v>
      </c>
      <c r="L173" s="2401">
        <f t="shared" si="4"/>
        <v>1</v>
      </c>
      <c r="M173" s="2396">
        <v>0.95787602387190196</v>
      </c>
      <c r="N173" s="2397">
        <v>1.6862124557867644E-2</v>
      </c>
      <c r="O173" s="2411">
        <v>2.5261851570230375E-2</v>
      </c>
    </row>
    <row r="174" spans="1:15">
      <c r="A174" s="663">
        <f t="shared" si="8"/>
        <v>2013.09</v>
      </c>
      <c r="B174" s="2357">
        <v>0.64447822237196273</v>
      </c>
      <c r="C174" s="2358">
        <v>0.35552177762803711</v>
      </c>
      <c r="D174" s="2360">
        <f t="shared" si="7"/>
        <v>0.99999999999999978</v>
      </c>
      <c r="E174" s="2361">
        <v>0.82496842924246661</v>
      </c>
      <c r="F174" s="2362">
        <v>0.17503157075753342</v>
      </c>
      <c r="G174" s="2403">
        <f t="shared" si="5"/>
        <v>1</v>
      </c>
      <c r="H174" s="2401">
        <f t="shared" si="6"/>
        <v>1.0000000000000002</v>
      </c>
      <c r="I174" s="2396">
        <v>0.91810471611589439</v>
      </c>
      <c r="J174" s="2397">
        <v>6.7826262858544123E-2</v>
      </c>
      <c r="K174" s="2398">
        <v>1.4069021025561687E-2</v>
      </c>
      <c r="L174" s="2401">
        <f t="shared" si="4"/>
        <v>1</v>
      </c>
      <c r="M174" s="2396">
        <v>0.97517001373769863</v>
      </c>
      <c r="N174" s="2397">
        <v>1.6629191052136963E-2</v>
      </c>
      <c r="O174" s="2411">
        <v>8.200795210164414E-3</v>
      </c>
    </row>
    <row r="175" spans="1:15">
      <c r="A175" s="663">
        <f t="shared" si="8"/>
        <v>2013.1</v>
      </c>
      <c r="B175" s="2357">
        <v>0.68730244568344323</v>
      </c>
      <c r="C175" s="2358">
        <v>0.31269755431655694</v>
      </c>
      <c r="D175" s="2360">
        <f t="shared" si="7"/>
        <v>1.0000000000000002</v>
      </c>
      <c r="E175" s="2361">
        <v>0.86183930291031519</v>
      </c>
      <c r="F175" s="2362">
        <v>0.13816069708968484</v>
      </c>
      <c r="G175" s="2403">
        <f t="shared" si="5"/>
        <v>1</v>
      </c>
      <c r="H175" s="2401">
        <f t="shared" si="6"/>
        <v>0.99999999999999989</v>
      </c>
      <c r="I175" s="2396">
        <v>0.9075356116862594</v>
      </c>
      <c r="J175" s="2397">
        <v>8.5392143186577452E-2</v>
      </c>
      <c r="K175" s="2398">
        <v>7.0722451271631077E-3</v>
      </c>
      <c r="L175" s="2401">
        <f t="shared" si="4"/>
        <v>1.0000000000000002</v>
      </c>
      <c r="M175" s="2396">
        <v>0.96897786454719015</v>
      </c>
      <c r="N175" s="2397">
        <v>3.1022135452810004E-2</v>
      </c>
      <c r="O175" s="2411">
        <v>0</v>
      </c>
    </row>
    <row r="176" spans="1:15">
      <c r="A176" s="663">
        <f t="shared" si="8"/>
        <v>2013.11</v>
      </c>
      <c r="B176" s="2357">
        <v>0.69932451954669828</v>
      </c>
      <c r="C176" s="2358">
        <v>0.30067548045330178</v>
      </c>
      <c r="D176" s="2360">
        <f t="shared" si="7"/>
        <v>1</v>
      </c>
      <c r="E176" s="2361">
        <v>0.84824261226124276</v>
      </c>
      <c r="F176" s="2362">
        <v>0.15175738773875724</v>
      </c>
      <c r="G176" s="2403">
        <f t="shared" si="5"/>
        <v>1</v>
      </c>
      <c r="H176" s="2401">
        <f t="shared" si="6"/>
        <v>1</v>
      </c>
      <c r="I176" s="2396">
        <v>0.82948885178864484</v>
      </c>
      <c r="J176" s="2397">
        <v>0.14594678746369805</v>
      </c>
      <c r="K176" s="2398">
        <v>2.4564360747657124E-2</v>
      </c>
      <c r="L176" s="2401">
        <f t="shared" si="4"/>
        <v>1</v>
      </c>
      <c r="M176" s="2396">
        <v>0.98351961678840549</v>
      </c>
      <c r="N176" s="2397">
        <v>1.1830745311431303E-2</v>
      </c>
      <c r="O176" s="2411">
        <v>4.6496379001632242E-3</v>
      </c>
    </row>
    <row r="177" spans="1:15">
      <c r="A177" s="663">
        <f t="shared" si="8"/>
        <v>2013.12</v>
      </c>
      <c r="B177" s="2357">
        <v>0.66921761838655447</v>
      </c>
      <c r="C177" s="2358">
        <v>0.3307823816134457</v>
      </c>
      <c r="D177" s="2360">
        <f t="shared" si="7"/>
        <v>1.0000000000000002</v>
      </c>
      <c r="E177" s="2361">
        <v>0.84148664997592004</v>
      </c>
      <c r="F177" s="2362">
        <v>0.15851335002407996</v>
      </c>
      <c r="G177" s="2403">
        <f t="shared" si="5"/>
        <v>1</v>
      </c>
      <c r="H177" s="2401">
        <f t="shared" si="6"/>
        <v>1</v>
      </c>
      <c r="I177" s="2396">
        <v>0.90865260555904281</v>
      </c>
      <c r="J177" s="2397">
        <v>7.2816639340141806E-2</v>
      </c>
      <c r="K177" s="2398">
        <v>1.8530755100815414E-2</v>
      </c>
      <c r="L177" s="2401">
        <f t="shared" si="4"/>
        <v>1</v>
      </c>
      <c r="M177" s="2396">
        <v>0.97490612446748992</v>
      </c>
      <c r="N177" s="2397">
        <v>1.5123656603074347E-2</v>
      </c>
      <c r="O177" s="2411">
        <v>9.970218929435783E-3</v>
      </c>
    </row>
    <row r="178" spans="1:15">
      <c r="A178" s="663">
        <f t="shared" si="8"/>
        <v>2014.01</v>
      </c>
      <c r="B178" s="2357">
        <v>0.63451512874285609</v>
      </c>
      <c r="C178" s="2358">
        <v>0.36548487125714396</v>
      </c>
      <c r="D178" s="2360">
        <f t="shared" si="7"/>
        <v>1</v>
      </c>
      <c r="E178" s="2361">
        <v>0.85241709877125349</v>
      </c>
      <c r="F178" s="2362">
        <v>0.14758290122874665</v>
      </c>
      <c r="G178" s="2403">
        <f t="shared" si="5"/>
        <v>1.0000000000000002</v>
      </c>
      <c r="H178" s="2401">
        <f t="shared" si="6"/>
        <v>1</v>
      </c>
      <c r="I178" s="2396">
        <v>0.8434213154468001</v>
      </c>
      <c r="J178" s="2397">
        <v>0.10722759281674735</v>
      </c>
      <c r="K178" s="2398">
        <v>4.9351091736452551E-2</v>
      </c>
      <c r="L178" s="2401">
        <f t="shared" si="4"/>
        <v>1.0000000000000002</v>
      </c>
      <c r="M178" s="2396">
        <v>0.99620894653874847</v>
      </c>
      <c r="N178" s="2397">
        <v>0</v>
      </c>
      <c r="O178" s="2411">
        <v>3.79105346125169E-3</v>
      </c>
    </row>
    <row r="179" spans="1:15">
      <c r="A179" s="663">
        <f t="shared" si="8"/>
        <v>2014.02</v>
      </c>
      <c r="B179" s="2357">
        <v>0.72747339745344708</v>
      </c>
      <c r="C179" s="2358">
        <v>0.27252660254655292</v>
      </c>
      <c r="D179" s="2360">
        <f t="shared" si="7"/>
        <v>1</v>
      </c>
      <c r="E179" s="2361">
        <v>0.85974912530297065</v>
      </c>
      <c r="F179" s="2362">
        <v>0.14025087469702935</v>
      </c>
      <c r="G179" s="2403">
        <f t="shared" si="5"/>
        <v>1</v>
      </c>
      <c r="H179" s="2401">
        <f t="shared" si="6"/>
        <v>1</v>
      </c>
      <c r="I179" s="2396">
        <v>0.88091662628734457</v>
      </c>
      <c r="J179" s="2397">
        <v>7.1768374745672214E-2</v>
      </c>
      <c r="K179" s="2398">
        <v>4.7314998966983296E-2</v>
      </c>
      <c r="L179" s="2401">
        <f t="shared" si="4"/>
        <v>1</v>
      </c>
      <c r="M179" s="2396">
        <v>0.98969478705057223</v>
      </c>
      <c r="N179" s="2397">
        <v>9.4807959134735886E-3</v>
      </c>
      <c r="O179" s="2411">
        <v>8.2441703595422531E-4</v>
      </c>
    </row>
    <row r="180" spans="1:15">
      <c r="A180" s="663">
        <f t="shared" si="8"/>
        <v>2014.03</v>
      </c>
      <c r="B180" s="2357">
        <v>0.79000750698489308</v>
      </c>
      <c r="C180" s="2358">
        <v>0.2099924930151067</v>
      </c>
      <c r="D180" s="2360">
        <f t="shared" si="7"/>
        <v>0.99999999999999978</v>
      </c>
      <c r="E180" s="2361">
        <v>0.84703402755910318</v>
      </c>
      <c r="F180" s="2362">
        <v>0.1529659724408968</v>
      </c>
      <c r="G180" s="2403">
        <f t="shared" si="5"/>
        <v>1</v>
      </c>
      <c r="H180" s="2401">
        <f t="shared" si="6"/>
        <v>1</v>
      </c>
      <c r="I180" s="2396">
        <v>0.85203193005202249</v>
      </c>
      <c r="J180" s="2397">
        <v>8.6121727619641639E-2</v>
      </c>
      <c r="K180" s="2398">
        <v>6.1846342328335933E-2</v>
      </c>
      <c r="L180" s="2401">
        <f t="shared" ref="L180:L243" si="9">M180+N180+O180</f>
        <v>1</v>
      </c>
      <c r="M180" s="2396">
        <v>0.95951011226165095</v>
      </c>
      <c r="N180" s="2397">
        <v>5.6629213404261148E-3</v>
      </c>
      <c r="O180" s="2411">
        <v>3.4826966397922973E-2</v>
      </c>
    </row>
    <row r="181" spans="1:15">
      <c r="A181" s="663">
        <f t="shared" si="8"/>
        <v>2014.04</v>
      </c>
      <c r="B181" s="2357">
        <v>0.70538961856620119</v>
      </c>
      <c r="C181" s="2358">
        <v>0.29461038143379886</v>
      </c>
      <c r="D181" s="2360">
        <f t="shared" si="7"/>
        <v>1</v>
      </c>
      <c r="E181" s="2361">
        <v>0.82792036101747546</v>
      </c>
      <c r="F181" s="2362">
        <v>0.17207963898252454</v>
      </c>
      <c r="G181" s="2403">
        <f t="shared" si="5"/>
        <v>1</v>
      </c>
      <c r="H181" s="2401">
        <f t="shared" si="6"/>
        <v>1</v>
      </c>
      <c r="I181" s="2396">
        <v>0.83227805796586263</v>
      </c>
      <c r="J181" s="2397">
        <v>5.5532967241886978E-2</v>
      </c>
      <c r="K181" s="2398">
        <v>0.11218897479225041</v>
      </c>
      <c r="L181" s="2401">
        <f t="shared" si="9"/>
        <v>0.99999999999999989</v>
      </c>
      <c r="M181" s="2396">
        <v>0.96992887311350529</v>
      </c>
      <c r="N181" s="2397">
        <v>1.7587012675046074E-2</v>
      </c>
      <c r="O181" s="2411">
        <v>1.2484114211448625E-2</v>
      </c>
    </row>
    <row r="182" spans="1:15">
      <c r="A182" s="663">
        <f t="shared" si="8"/>
        <v>2014.05</v>
      </c>
      <c r="B182" s="2357">
        <v>0.74861686576395525</v>
      </c>
      <c r="C182" s="2358">
        <v>0.25138313423604486</v>
      </c>
      <c r="D182" s="2360">
        <f t="shared" si="7"/>
        <v>1</v>
      </c>
      <c r="E182" s="2361">
        <v>0.79831971447186423</v>
      </c>
      <c r="F182" s="2362">
        <v>0.20168028552813591</v>
      </c>
      <c r="G182" s="2403">
        <f t="shared" ref="G182:G245" si="10">E182+F182</f>
        <v>1.0000000000000002</v>
      </c>
      <c r="H182" s="2401">
        <f t="shared" si="6"/>
        <v>1</v>
      </c>
      <c r="I182" s="2396">
        <v>0.82721384999304892</v>
      </c>
      <c r="J182" s="2397">
        <v>0.10600647508173525</v>
      </c>
      <c r="K182" s="2398">
        <v>6.677967492521597E-2</v>
      </c>
      <c r="L182" s="2401">
        <f t="shared" si="9"/>
        <v>1</v>
      </c>
      <c r="M182" s="2396">
        <v>0.98345100148340436</v>
      </c>
      <c r="N182" s="2397">
        <v>3.252166296290878E-3</v>
      </c>
      <c r="O182" s="2411">
        <v>1.3296832220304701E-2</v>
      </c>
    </row>
    <row r="183" spans="1:15">
      <c r="A183" s="663">
        <f t="shared" si="8"/>
        <v>2014.06</v>
      </c>
      <c r="B183" s="2357">
        <v>0.64713124367506425</v>
      </c>
      <c r="C183" s="2358">
        <v>0.35286875632493575</v>
      </c>
      <c r="D183" s="2360">
        <f t="shared" si="7"/>
        <v>1</v>
      </c>
      <c r="E183" s="2361">
        <v>0.87725885495625888</v>
      </c>
      <c r="F183" s="2362">
        <v>0.12274114504374108</v>
      </c>
      <c r="G183" s="2403">
        <f t="shared" si="10"/>
        <v>1</v>
      </c>
      <c r="H183" s="2401">
        <f t="shared" si="6"/>
        <v>1</v>
      </c>
      <c r="I183" s="2396">
        <v>0.86386586439281876</v>
      </c>
      <c r="J183" s="2397">
        <v>9.3922832073170259E-2</v>
      </c>
      <c r="K183" s="2398">
        <v>4.2211303534011105E-2</v>
      </c>
      <c r="L183" s="2401">
        <f t="shared" si="9"/>
        <v>1</v>
      </c>
      <c r="M183" s="2396">
        <v>0.99491421229010479</v>
      </c>
      <c r="N183" s="2397">
        <v>0</v>
      </c>
      <c r="O183" s="2411">
        <v>5.0857877098952429E-3</v>
      </c>
    </row>
    <row r="184" spans="1:15">
      <c r="A184" s="663">
        <f t="shared" si="8"/>
        <v>2014.07</v>
      </c>
      <c r="B184" s="2357">
        <v>0.70098503368904796</v>
      </c>
      <c r="C184" s="2358">
        <v>0.29901496631095204</v>
      </c>
      <c r="D184" s="2360">
        <f t="shared" si="7"/>
        <v>1</v>
      </c>
      <c r="E184" s="2361">
        <v>0.77740109246458933</v>
      </c>
      <c r="F184" s="2362">
        <v>0.22259890753541076</v>
      </c>
      <c r="G184" s="2403">
        <f t="shared" si="10"/>
        <v>1</v>
      </c>
      <c r="H184" s="2401">
        <f t="shared" si="6"/>
        <v>1</v>
      </c>
      <c r="I184" s="2396">
        <v>0.85455427658616334</v>
      </c>
      <c r="J184" s="2397">
        <v>0.10129780482924854</v>
      </c>
      <c r="K184" s="2398">
        <v>4.4147918584588088E-2</v>
      </c>
      <c r="L184" s="2401">
        <f t="shared" si="9"/>
        <v>1</v>
      </c>
      <c r="M184" s="2396">
        <v>0.9824202178837167</v>
      </c>
      <c r="N184" s="2397">
        <v>9.5942905582822209E-3</v>
      </c>
      <c r="O184" s="2411">
        <v>7.9854915580010542E-3</v>
      </c>
    </row>
    <row r="185" spans="1:15">
      <c r="A185" s="663">
        <f t="shared" si="8"/>
        <v>2014.08</v>
      </c>
      <c r="B185" s="2357">
        <v>0.69175223118198725</v>
      </c>
      <c r="C185" s="2358">
        <v>0.30824776881801258</v>
      </c>
      <c r="D185" s="2360">
        <f t="shared" si="7"/>
        <v>0.99999999999999978</v>
      </c>
      <c r="E185" s="2361">
        <v>0.85221200079187687</v>
      </c>
      <c r="F185" s="2362">
        <v>0.14778799920812324</v>
      </c>
      <c r="G185" s="2403">
        <f t="shared" si="10"/>
        <v>1</v>
      </c>
      <c r="H185" s="2401">
        <f t="shared" si="6"/>
        <v>1.0000000000000002</v>
      </c>
      <c r="I185" s="2396">
        <v>0.83473363652760069</v>
      </c>
      <c r="J185" s="2397">
        <v>0.10296189478883098</v>
      </c>
      <c r="K185" s="2398">
        <v>6.2304468683568447E-2</v>
      </c>
      <c r="L185" s="2401">
        <f t="shared" si="9"/>
        <v>1</v>
      </c>
      <c r="M185" s="2396">
        <v>0.99158875949130487</v>
      </c>
      <c r="N185" s="2397">
        <v>8.4112405086951697E-3</v>
      </c>
      <c r="O185" s="2411">
        <v>0</v>
      </c>
    </row>
    <row r="186" spans="1:15">
      <c r="A186" s="663">
        <f t="shared" si="8"/>
        <v>2014.09</v>
      </c>
      <c r="B186" s="2357">
        <v>0.75499167636304032</v>
      </c>
      <c r="C186" s="2358">
        <v>0.24500832363695957</v>
      </c>
      <c r="D186" s="2360">
        <f t="shared" si="7"/>
        <v>0.99999999999999989</v>
      </c>
      <c r="E186" s="2361">
        <v>0.81149271821660629</v>
      </c>
      <c r="F186" s="2362">
        <v>0.18850728178339363</v>
      </c>
      <c r="G186" s="2403">
        <f t="shared" si="10"/>
        <v>0.99999999999999989</v>
      </c>
      <c r="H186" s="2401">
        <f t="shared" si="6"/>
        <v>0.99999999999999989</v>
      </c>
      <c r="I186" s="2396">
        <v>0.88443978046451843</v>
      </c>
      <c r="J186" s="2397">
        <v>7.7567660528084809E-2</v>
      </c>
      <c r="K186" s="2398">
        <v>3.799255900739662E-2</v>
      </c>
      <c r="L186" s="2401">
        <f t="shared" si="9"/>
        <v>1</v>
      </c>
      <c r="M186" s="2396">
        <v>0.98956603503508045</v>
      </c>
      <c r="N186" s="2397">
        <v>7.6374745436058242E-4</v>
      </c>
      <c r="O186" s="2411">
        <v>9.6702175105589788E-3</v>
      </c>
    </row>
    <row r="187" spans="1:15">
      <c r="A187" s="663">
        <f t="shared" si="8"/>
        <v>2014.1</v>
      </c>
      <c r="B187" s="2357">
        <v>0.74024804375313191</v>
      </c>
      <c r="C187" s="2358">
        <v>0.2597519562468682</v>
      </c>
      <c r="D187" s="2360">
        <f t="shared" si="7"/>
        <v>1</v>
      </c>
      <c r="E187" s="2361">
        <v>0.80598914461718829</v>
      </c>
      <c r="F187" s="2362">
        <v>0.19401085538281168</v>
      </c>
      <c r="G187" s="2403">
        <f t="shared" si="10"/>
        <v>1</v>
      </c>
      <c r="H187" s="2401">
        <f t="shared" si="6"/>
        <v>1</v>
      </c>
      <c r="I187" s="2396">
        <v>0.84560764191743787</v>
      </c>
      <c r="J187" s="2397">
        <v>0.12008651130870147</v>
      </c>
      <c r="K187" s="2398">
        <v>3.4305846773860595E-2</v>
      </c>
      <c r="L187" s="2401">
        <f t="shared" si="9"/>
        <v>0.99999999999999989</v>
      </c>
      <c r="M187" s="2396">
        <v>0.85815351898130809</v>
      </c>
      <c r="N187" s="2397">
        <v>8.5036720171903696E-2</v>
      </c>
      <c r="O187" s="2411">
        <v>5.6809760846788106E-2</v>
      </c>
    </row>
    <row r="188" spans="1:15">
      <c r="A188" s="663">
        <f t="shared" si="8"/>
        <v>2014.11</v>
      </c>
      <c r="B188" s="2357">
        <v>0.66435025149555105</v>
      </c>
      <c r="C188" s="2358">
        <v>0.3356497485044489</v>
      </c>
      <c r="D188" s="2360">
        <f t="shared" si="7"/>
        <v>1</v>
      </c>
      <c r="E188" s="2361">
        <v>0.82799491387457802</v>
      </c>
      <c r="F188" s="2362">
        <v>0.17200508612542187</v>
      </c>
      <c r="G188" s="2403">
        <f t="shared" si="10"/>
        <v>0.99999999999999989</v>
      </c>
      <c r="H188" s="2401">
        <f t="shared" si="6"/>
        <v>1</v>
      </c>
      <c r="I188" s="2396">
        <v>0.81789777920640039</v>
      </c>
      <c r="J188" s="2397">
        <v>0.12120645236028092</v>
      </c>
      <c r="K188" s="2398">
        <v>6.0895768433318703E-2</v>
      </c>
      <c r="L188" s="2401">
        <f t="shared" si="9"/>
        <v>0.99999999999999989</v>
      </c>
      <c r="M188" s="2396">
        <v>0.87609158295874312</v>
      </c>
      <c r="N188" s="2397">
        <v>4.9200067074161177E-2</v>
      </c>
      <c r="O188" s="2411">
        <v>7.4708349967095619E-2</v>
      </c>
    </row>
    <row r="189" spans="1:15">
      <c r="A189" s="663">
        <f t="shared" si="8"/>
        <v>2014.12</v>
      </c>
      <c r="B189" s="2357">
        <v>0.68699916963505947</v>
      </c>
      <c r="C189" s="2358">
        <v>0.31300083036494042</v>
      </c>
      <c r="D189" s="2360">
        <f t="shared" si="7"/>
        <v>0.99999999999999989</v>
      </c>
      <c r="E189" s="2361">
        <v>0.76755659850317259</v>
      </c>
      <c r="F189" s="2362">
        <v>0.23244340149682741</v>
      </c>
      <c r="G189" s="2403">
        <f t="shared" si="10"/>
        <v>1</v>
      </c>
      <c r="H189" s="2401">
        <f t="shared" si="6"/>
        <v>1</v>
      </c>
      <c r="I189" s="2396">
        <v>0.88055345425675469</v>
      </c>
      <c r="J189" s="2397">
        <v>9.4169905185063824E-2</v>
      </c>
      <c r="K189" s="2398">
        <v>2.5276640558181421E-2</v>
      </c>
      <c r="L189" s="2401">
        <f t="shared" si="9"/>
        <v>1</v>
      </c>
      <c r="M189" s="2396">
        <v>0.89232703876156294</v>
      </c>
      <c r="N189" s="2397">
        <v>6.1884131570403449E-2</v>
      </c>
      <c r="O189" s="2411">
        <v>4.5788829668033638E-2</v>
      </c>
    </row>
    <row r="190" spans="1:15">
      <c r="A190" s="663">
        <f t="shared" si="8"/>
        <v>2015.01</v>
      </c>
      <c r="B190" s="2357">
        <v>0.6704058607127229</v>
      </c>
      <c r="C190" s="2358">
        <v>0.32959413928727704</v>
      </c>
      <c r="D190" s="2360">
        <f t="shared" si="7"/>
        <v>1</v>
      </c>
      <c r="E190" s="2361">
        <v>0.74994226778977724</v>
      </c>
      <c r="F190" s="2362">
        <v>0.25005773221022293</v>
      </c>
      <c r="G190" s="2403">
        <f t="shared" si="10"/>
        <v>1.0000000000000002</v>
      </c>
      <c r="H190" s="2401">
        <f t="shared" si="6"/>
        <v>1</v>
      </c>
      <c r="I190" s="2396">
        <v>0.86301174224558674</v>
      </c>
      <c r="J190" s="2397">
        <v>7.8320844274425525E-2</v>
      </c>
      <c r="K190" s="2398">
        <v>5.8667413479987725E-2</v>
      </c>
      <c r="L190" s="2401">
        <f t="shared" si="9"/>
        <v>1</v>
      </c>
      <c r="M190" s="2396">
        <v>0.88519364277719748</v>
      </c>
      <c r="N190" s="2397">
        <v>7.9791995257673387E-2</v>
      </c>
      <c r="O190" s="2411">
        <v>3.5014361965129151E-2</v>
      </c>
    </row>
    <row r="191" spans="1:15">
      <c r="A191" s="663">
        <f t="shared" si="8"/>
        <v>2015.02</v>
      </c>
      <c r="B191" s="2357">
        <v>0.71281169602672345</v>
      </c>
      <c r="C191" s="2358">
        <v>0.28718830397327638</v>
      </c>
      <c r="D191" s="2360">
        <f t="shared" si="7"/>
        <v>0.99999999999999978</v>
      </c>
      <c r="E191" s="2361">
        <v>0.74762169029947823</v>
      </c>
      <c r="F191" s="2362">
        <v>0.25237830970052177</v>
      </c>
      <c r="G191" s="2403">
        <f t="shared" si="10"/>
        <v>1</v>
      </c>
      <c r="H191" s="2401">
        <f t="shared" si="6"/>
        <v>1</v>
      </c>
      <c r="I191" s="2396">
        <v>0.89572352895420426</v>
      </c>
      <c r="J191" s="2397">
        <v>4.2699125603547487E-2</v>
      </c>
      <c r="K191" s="2398">
        <v>6.1577345442248327E-2</v>
      </c>
      <c r="L191" s="2401">
        <f t="shared" si="9"/>
        <v>1</v>
      </c>
      <c r="M191" s="2396">
        <v>0.91418205713099931</v>
      </c>
      <c r="N191" s="2397">
        <v>6.5118467897077481E-2</v>
      </c>
      <c r="O191" s="2411">
        <v>2.069947497192326E-2</v>
      </c>
    </row>
    <row r="192" spans="1:15">
      <c r="A192" s="663">
        <f t="shared" si="8"/>
        <v>2015.03</v>
      </c>
      <c r="B192" s="2357">
        <v>0.63121097472132781</v>
      </c>
      <c r="C192" s="2358">
        <v>0.36878902527867202</v>
      </c>
      <c r="D192" s="2360">
        <f t="shared" si="7"/>
        <v>0.99999999999999978</v>
      </c>
      <c r="E192" s="2361">
        <v>0.78060736661145558</v>
      </c>
      <c r="F192" s="2362">
        <v>0.21939263338854439</v>
      </c>
      <c r="G192" s="2403">
        <f t="shared" si="10"/>
        <v>1</v>
      </c>
      <c r="H192" s="2401">
        <f t="shared" si="6"/>
        <v>0.99999999999999989</v>
      </c>
      <c r="I192" s="2396">
        <v>0.84016460475719057</v>
      </c>
      <c r="J192" s="2397">
        <v>0.11037412545332094</v>
      </c>
      <c r="K192" s="2398">
        <v>4.9461269789488421E-2</v>
      </c>
      <c r="L192" s="2401">
        <f t="shared" si="9"/>
        <v>1</v>
      </c>
      <c r="M192" s="2396">
        <v>0.8921540858191378</v>
      </c>
      <c r="N192" s="2397">
        <v>7.6670937480192727E-2</v>
      </c>
      <c r="O192" s="2411">
        <v>3.1174976700669457E-2</v>
      </c>
    </row>
    <row r="193" spans="1:15">
      <c r="A193" s="663">
        <f t="shared" si="8"/>
        <v>2015.04</v>
      </c>
      <c r="B193" s="2357">
        <v>0.73101348948769451</v>
      </c>
      <c r="C193" s="2358">
        <v>0.26898651051230538</v>
      </c>
      <c r="D193" s="2360">
        <f t="shared" si="7"/>
        <v>0.99999999999999989</v>
      </c>
      <c r="E193" s="2361">
        <v>0.75193553311463512</v>
      </c>
      <c r="F193" s="2362">
        <v>0.24806446688536485</v>
      </c>
      <c r="G193" s="2403">
        <f t="shared" si="10"/>
        <v>1</v>
      </c>
      <c r="H193" s="2401">
        <f t="shared" ref="H193:H254" si="11">+I193+J193+K193</f>
        <v>1</v>
      </c>
      <c r="I193" s="2396">
        <v>0.87969353173688447</v>
      </c>
      <c r="J193" s="2397">
        <v>8.9114158446309308E-2</v>
      </c>
      <c r="K193" s="2398">
        <v>3.1192309816806197E-2</v>
      </c>
      <c r="L193" s="2401">
        <f t="shared" si="9"/>
        <v>1</v>
      </c>
      <c r="M193" s="2396">
        <v>0.89630256309023659</v>
      </c>
      <c r="N193" s="2397">
        <v>6.8123336454638167E-2</v>
      </c>
      <c r="O193" s="2411">
        <v>3.5574100455125227E-2</v>
      </c>
    </row>
    <row r="194" spans="1:15">
      <c r="A194" s="663">
        <f t="shared" si="8"/>
        <v>2015.05</v>
      </c>
      <c r="B194" s="2357">
        <v>0.67713000248580701</v>
      </c>
      <c r="C194" s="2358">
        <v>0.32286999751419304</v>
      </c>
      <c r="D194" s="2360">
        <f t="shared" si="7"/>
        <v>1</v>
      </c>
      <c r="E194" s="2361">
        <v>0.78767242192602249</v>
      </c>
      <c r="F194" s="2362">
        <v>0.21232757807397729</v>
      </c>
      <c r="G194" s="2403">
        <f t="shared" si="10"/>
        <v>0.99999999999999978</v>
      </c>
      <c r="H194" s="2401">
        <f t="shared" si="11"/>
        <v>1</v>
      </c>
      <c r="I194" s="2396">
        <v>0.86968465638466208</v>
      </c>
      <c r="J194" s="2397">
        <v>0.10696378601591597</v>
      </c>
      <c r="K194" s="2398">
        <v>2.3351557599422011E-2</v>
      </c>
      <c r="L194" s="2401">
        <f t="shared" si="9"/>
        <v>1.0000000000000002</v>
      </c>
      <c r="M194" s="2396">
        <v>0.89698101673661801</v>
      </c>
      <c r="N194" s="2397">
        <v>5.8395231554878774E-2</v>
      </c>
      <c r="O194" s="2411">
        <v>4.4623751708503342E-2</v>
      </c>
    </row>
    <row r="195" spans="1:15">
      <c r="A195" s="663">
        <f t="shared" si="8"/>
        <v>2015.06</v>
      </c>
      <c r="B195" s="2357">
        <v>0.71176725663740525</v>
      </c>
      <c r="C195" s="2358">
        <v>0.28823274336259475</v>
      </c>
      <c r="D195" s="2360">
        <f t="shared" si="7"/>
        <v>1</v>
      </c>
      <c r="E195" s="2361">
        <v>0.81724332709264158</v>
      </c>
      <c r="F195" s="2362">
        <v>0.18275667290735842</v>
      </c>
      <c r="G195" s="2403">
        <f t="shared" si="10"/>
        <v>1</v>
      </c>
      <c r="H195" s="2401">
        <f t="shared" si="11"/>
        <v>0.99999999999999989</v>
      </c>
      <c r="I195" s="2396">
        <v>0.84787819026951705</v>
      </c>
      <c r="J195" s="2397">
        <v>0.11815505502893262</v>
      </c>
      <c r="K195" s="2398">
        <v>3.396675470155016E-2</v>
      </c>
      <c r="L195" s="2401">
        <f t="shared" si="9"/>
        <v>1</v>
      </c>
      <c r="M195" s="2396">
        <v>0.90819541201943788</v>
      </c>
      <c r="N195" s="2397">
        <v>7.5302995234475298E-2</v>
      </c>
      <c r="O195" s="2411">
        <v>1.6501592746086854E-2</v>
      </c>
    </row>
    <row r="196" spans="1:15">
      <c r="A196" s="663">
        <f t="shared" si="8"/>
        <v>2015.07</v>
      </c>
      <c r="B196" s="2357">
        <v>0.69605914909684174</v>
      </c>
      <c r="C196" s="2358">
        <v>0.30394085090315814</v>
      </c>
      <c r="D196" s="2360">
        <f t="shared" si="7"/>
        <v>0.99999999999999989</v>
      </c>
      <c r="E196" s="2361">
        <v>0.87308594966524633</v>
      </c>
      <c r="F196" s="2362">
        <v>0.1269140503347535</v>
      </c>
      <c r="G196" s="2403">
        <f t="shared" si="10"/>
        <v>0.99999999999999978</v>
      </c>
      <c r="H196" s="2401">
        <f t="shared" si="11"/>
        <v>1</v>
      </c>
      <c r="I196" s="2396">
        <v>0.84470263756125763</v>
      </c>
      <c r="J196" s="2397">
        <v>0.1020295402530333</v>
      </c>
      <c r="K196" s="2398">
        <v>5.3267822185709107E-2</v>
      </c>
      <c r="L196" s="2401">
        <f t="shared" si="9"/>
        <v>1</v>
      </c>
      <c r="M196" s="2396">
        <v>0.91277495572047362</v>
      </c>
      <c r="N196" s="2397">
        <v>4.9333541361334256E-2</v>
      </c>
      <c r="O196" s="2411">
        <v>3.7891502918192148E-2</v>
      </c>
    </row>
    <row r="197" spans="1:15">
      <c r="A197" s="663">
        <f t="shared" si="8"/>
        <v>2015.08</v>
      </c>
      <c r="B197" s="2357">
        <v>0.60020767260987695</v>
      </c>
      <c r="C197" s="2358">
        <v>0.39979232739012294</v>
      </c>
      <c r="D197" s="2360">
        <f t="shared" si="7"/>
        <v>0.99999999999999989</v>
      </c>
      <c r="E197" s="2361">
        <v>0.86618657122411169</v>
      </c>
      <c r="F197" s="2362">
        <v>0.13381342877588839</v>
      </c>
      <c r="G197" s="2403">
        <f t="shared" si="10"/>
        <v>1</v>
      </c>
      <c r="H197" s="2401">
        <f t="shared" si="11"/>
        <v>0.99999999999999989</v>
      </c>
      <c r="I197" s="2396">
        <v>0.82748152270962994</v>
      </c>
      <c r="J197" s="2397">
        <v>0.11116253111778369</v>
      </c>
      <c r="K197" s="2398">
        <v>6.1355946172586245E-2</v>
      </c>
      <c r="L197" s="2401">
        <f t="shared" si="9"/>
        <v>1</v>
      </c>
      <c r="M197" s="2396">
        <v>0.93090798899131599</v>
      </c>
      <c r="N197" s="2397">
        <v>3.6372319310456244E-2</v>
      </c>
      <c r="O197" s="2411">
        <v>3.2719691698227804E-2</v>
      </c>
    </row>
    <row r="198" spans="1:15">
      <c r="A198" s="663">
        <f t="shared" si="8"/>
        <v>2015.09</v>
      </c>
      <c r="B198" s="2357">
        <v>0.68163750403205214</v>
      </c>
      <c r="C198" s="2358">
        <v>0.3183624959679478</v>
      </c>
      <c r="D198" s="2360">
        <f t="shared" si="7"/>
        <v>1</v>
      </c>
      <c r="E198" s="2361">
        <v>0.84248867115572712</v>
      </c>
      <c r="F198" s="2362">
        <v>0.15751132884427282</v>
      </c>
      <c r="G198" s="2403">
        <f t="shared" si="10"/>
        <v>1</v>
      </c>
      <c r="H198" s="2401">
        <f t="shared" si="11"/>
        <v>0.99999999999999989</v>
      </c>
      <c r="I198" s="2396">
        <v>0.87021990222627821</v>
      </c>
      <c r="J198" s="2397">
        <v>6.949892414772961E-2</v>
      </c>
      <c r="K198" s="2398">
        <v>6.0281173625992064E-2</v>
      </c>
      <c r="L198" s="2401">
        <f t="shared" si="9"/>
        <v>1</v>
      </c>
      <c r="M198" s="2396">
        <v>0.93764506958916183</v>
      </c>
      <c r="N198" s="2397">
        <v>4.5143091182741131E-2</v>
      </c>
      <c r="O198" s="2411">
        <v>1.7211839228097079E-2</v>
      </c>
    </row>
    <row r="199" spans="1:15">
      <c r="A199" s="663">
        <f t="shared" si="8"/>
        <v>2015.1</v>
      </c>
      <c r="B199" s="2357">
        <v>0.63047768867509835</v>
      </c>
      <c r="C199" s="2358">
        <v>0.36952231132490154</v>
      </c>
      <c r="D199" s="2360">
        <f t="shared" si="7"/>
        <v>0.99999999999999989</v>
      </c>
      <c r="E199" s="2361">
        <v>0.87110255672227477</v>
      </c>
      <c r="F199" s="2362">
        <v>0.12889744327772504</v>
      </c>
      <c r="G199" s="2403">
        <f t="shared" si="10"/>
        <v>0.99999999999999978</v>
      </c>
      <c r="H199" s="2401">
        <f t="shared" si="11"/>
        <v>1</v>
      </c>
      <c r="I199" s="2396">
        <v>0.86502966990696062</v>
      </c>
      <c r="J199" s="2397">
        <v>8.4275161016411582E-2</v>
      </c>
      <c r="K199" s="2398">
        <v>5.0695169076627751E-2</v>
      </c>
      <c r="L199" s="2401">
        <f t="shared" si="9"/>
        <v>1</v>
      </c>
      <c r="M199" s="2396">
        <v>0.96361140985726212</v>
      </c>
      <c r="N199" s="2397">
        <v>3.6388590142737876E-2</v>
      </c>
      <c r="O199" s="2411">
        <v>0</v>
      </c>
    </row>
    <row r="200" spans="1:15">
      <c r="A200" s="663">
        <f t="shared" si="8"/>
        <v>2015.11</v>
      </c>
      <c r="B200" s="2357">
        <v>0.6500492849088042</v>
      </c>
      <c r="C200" s="2358">
        <v>0.34995071509119569</v>
      </c>
      <c r="D200" s="2360">
        <f t="shared" si="7"/>
        <v>0.99999999999999989</v>
      </c>
      <c r="E200" s="2361">
        <v>0.85444979210690131</v>
      </c>
      <c r="F200" s="2362">
        <v>0.14555020789309858</v>
      </c>
      <c r="G200" s="2403">
        <f t="shared" si="10"/>
        <v>0.99999999999999989</v>
      </c>
      <c r="H200" s="2401">
        <f t="shared" si="11"/>
        <v>1</v>
      </c>
      <c r="I200" s="2396">
        <v>0.90998734839655782</v>
      </c>
      <c r="J200" s="2397">
        <v>6.9772741856046691E-2</v>
      </c>
      <c r="K200" s="2398">
        <v>2.0239909747395486E-2</v>
      </c>
      <c r="L200" s="2401">
        <f t="shared" si="9"/>
        <v>0.99999999999999989</v>
      </c>
      <c r="M200" s="2396">
        <v>0.92658511896432583</v>
      </c>
      <c r="N200" s="2397">
        <v>3.882512391983594E-2</v>
      </c>
      <c r="O200" s="2411">
        <v>3.4589757115838136E-2</v>
      </c>
    </row>
    <row r="201" spans="1:15">
      <c r="A201" s="663">
        <f t="shared" si="8"/>
        <v>2015.12</v>
      </c>
      <c r="B201" s="2357">
        <v>0.67552873373130962</v>
      </c>
      <c r="C201" s="2358">
        <v>0.32447126626869044</v>
      </c>
      <c r="D201" s="2360">
        <f t="shared" si="7"/>
        <v>1</v>
      </c>
      <c r="E201" s="2361">
        <v>0.83920070621802656</v>
      </c>
      <c r="F201" s="2362">
        <v>0.16079929378197344</v>
      </c>
      <c r="G201" s="2403">
        <f t="shared" si="10"/>
        <v>1</v>
      </c>
      <c r="H201" s="2401">
        <f t="shared" si="11"/>
        <v>1</v>
      </c>
      <c r="I201" s="2396">
        <v>0.9156769701015095</v>
      </c>
      <c r="J201" s="2397">
        <v>6.7800358478744285E-2</v>
      </c>
      <c r="K201" s="2398">
        <v>1.6522671419746206E-2</v>
      </c>
      <c r="L201" s="2401">
        <f t="shared" si="9"/>
        <v>1</v>
      </c>
      <c r="M201" s="2396">
        <v>0.93923558919521044</v>
      </c>
      <c r="N201" s="2397">
        <v>2.4819374671804999E-2</v>
      </c>
      <c r="O201" s="2411">
        <v>3.5945036132984588E-2</v>
      </c>
    </row>
    <row r="202" spans="1:15">
      <c r="A202" s="663">
        <f t="shared" si="8"/>
        <v>2016.01</v>
      </c>
      <c r="B202" s="2357">
        <v>0.66793922575252973</v>
      </c>
      <c r="C202" s="2358">
        <v>0.33206077424747021</v>
      </c>
      <c r="D202" s="2360">
        <f t="shared" si="7"/>
        <v>1</v>
      </c>
      <c r="E202" s="2361">
        <v>0.85264702615192989</v>
      </c>
      <c r="F202" s="2362">
        <v>0.1473529738480702</v>
      </c>
      <c r="G202" s="2403">
        <f t="shared" si="10"/>
        <v>1</v>
      </c>
      <c r="H202" s="2401">
        <f t="shared" si="11"/>
        <v>0.99999999999999989</v>
      </c>
      <c r="I202" s="2396">
        <v>0.90062039480402656</v>
      </c>
      <c r="J202" s="2397">
        <v>7.0528005908881142E-2</v>
      </c>
      <c r="K202" s="2398">
        <v>2.8851599287092248E-2</v>
      </c>
      <c r="L202" s="2401">
        <f t="shared" si="9"/>
        <v>1</v>
      </c>
      <c r="M202" s="2396">
        <v>0.90838598516309887</v>
      </c>
      <c r="N202" s="2397">
        <v>5.0222527901413273E-2</v>
      </c>
      <c r="O202" s="2411">
        <v>4.1391486935487831E-2</v>
      </c>
    </row>
    <row r="203" spans="1:15">
      <c r="A203" s="663">
        <f t="shared" si="8"/>
        <v>2016.02</v>
      </c>
      <c r="B203" s="2357">
        <v>0.7028752216990497</v>
      </c>
      <c r="C203" s="2358">
        <v>0.29712477830095024</v>
      </c>
      <c r="D203" s="2360">
        <f t="shared" si="7"/>
        <v>1</v>
      </c>
      <c r="E203" s="2361">
        <v>0.82675813200895154</v>
      </c>
      <c r="F203" s="2362">
        <v>0.17324186799104863</v>
      </c>
      <c r="G203" s="2403">
        <f t="shared" si="10"/>
        <v>1.0000000000000002</v>
      </c>
      <c r="H203" s="2401">
        <f t="shared" si="11"/>
        <v>0.99999999999999978</v>
      </c>
      <c r="I203" s="2396">
        <v>0.91535650866467999</v>
      </c>
      <c r="J203" s="2397">
        <v>6.184431590307108E-2</v>
      </c>
      <c r="K203" s="2398">
        <v>2.2799175432248756E-2</v>
      </c>
      <c r="L203" s="2401">
        <f t="shared" si="9"/>
        <v>1</v>
      </c>
      <c r="M203" s="2396">
        <v>0.90374713298571441</v>
      </c>
      <c r="N203" s="2397">
        <v>5.7498312176471458E-2</v>
      </c>
      <c r="O203" s="2411">
        <v>3.8754554837814148E-2</v>
      </c>
    </row>
    <row r="204" spans="1:15">
      <c r="A204" s="663">
        <f t="shared" si="8"/>
        <v>2016.03</v>
      </c>
      <c r="B204" s="2357">
        <v>0.64721694386615736</v>
      </c>
      <c r="C204" s="2358">
        <v>0.3527830561338427</v>
      </c>
      <c r="D204" s="2360">
        <f t="shared" si="7"/>
        <v>1</v>
      </c>
      <c r="E204" s="2361">
        <v>0.82182928138348077</v>
      </c>
      <c r="F204" s="2362">
        <v>0.17817071861651923</v>
      </c>
      <c r="G204" s="2403">
        <f t="shared" si="10"/>
        <v>1</v>
      </c>
      <c r="H204" s="2401">
        <f t="shared" si="11"/>
        <v>0.99999999999999978</v>
      </c>
      <c r="I204" s="2396">
        <v>0.85292665327038231</v>
      </c>
      <c r="J204" s="2397">
        <v>8.007660882378681E-2</v>
      </c>
      <c r="K204" s="2398">
        <v>6.6996737905830661E-2</v>
      </c>
      <c r="L204" s="2401">
        <f t="shared" si="9"/>
        <v>1</v>
      </c>
      <c r="M204" s="2396">
        <v>0.82882177600056239</v>
      </c>
      <c r="N204" s="2397">
        <v>9.6636559951280343E-2</v>
      </c>
      <c r="O204" s="2411">
        <v>7.4541664048157361E-2</v>
      </c>
    </row>
    <row r="205" spans="1:15">
      <c r="A205" s="663">
        <f t="shared" si="8"/>
        <v>2016.04</v>
      </c>
      <c r="B205" s="2357">
        <v>0.64198446297392664</v>
      </c>
      <c r="C205" s="2358">
        <v>0.35801553702607336</v>
      </c>
      <c r="D205" s="2360">
        <f t="shared" si="7"/>
        <v>1</v>
      </c>
      <c r="E205" s="2361">
        <v>0.87049216441906141</v>
      </c>
      <c r="F205" s="2362">
        <v>0.12950783558093854</v>
      </c>
      <c r="G205" s="2403">
        <f t="shared" si="10"/>
        <v>1</v>
      </c>
      <c r="H205" s="2401">
        <f t="shared" si="11"/>
        <v>1</v>
      </c>
      <c r="I205" s="2396">
        <v>0.9014816245996764</v>
      </c>
      <c r="J205" s="2397">
        <v>5.9630855541473696E-2</v>
      </c>
      <c r="K205" s="2398">
        <v>3.888751985884991E-2</v>
      </c>
      <c r="L205" s="2401">
        <f t="shared" si="9"/>
        <v>1</v>
      </c>
      <c r="M205" s="2396">
        <v>0.84799467702046916</v>
      </c>
      <c r="N205" s="2397">
        <v>6.5464724829740195E-2</v>
      </c>
      <c r="O205" s="2411">
        <v>8.6540598149790635E-2</v>
      </c>
    </row>
    <row r="206" spans="1:15">
      <c r="A206" s="663">
        <f t="shared" si="8"/>
        <v>2016.05</v>
      </c>
      <c r="B206" s="2357">
        <v>0.73108360425915497</v>
      </c>
      <c r="C206" s="2358">
        <v>0.26891639574084508</v>
      </c>
      <c r="D206" s="2360">
        <f t="shared" si="7"/>
        <v>1</v>
      </c>
      <c r="E206" s="2361">
        <v>0.76631647857920238</v>
      </c>
      <c r="F206" s="2362">
        <v>0.23368352142079751</v>
      </c>
      <c r="G206" s="2403">
        <f t="shared" si="10"/>
        <v>0.99999999999999989</v>
      </c>
      <c r="H206" s="2401">
        <f t="shared" si="11"/>
        <v>0.99999999999999989</v>
      </c>
      <c r="I206" s="2396">
        <v>0.93301654867760186</v>
      </c>
      <c r="J206" s="2397">
        <v>5.2359248983717743E-2</v>
      </c>
      <c r="K206" s="2398">
        <v>1.4624202338680361E-2</v>
      </c>
      <c r="L206" s="2401">
        <f t="shared" si="9"/>
        <v>1</v>
      </c>
      <c r="M206" s="2396">
        <v>0.89681554665394347</v>
      </c>
      <c r="N206" s="2397">
        <v>4.5207741208428937E-2</v>
      </c>
      <c r="O206" s="2411">
        <v>5.7976712137627562E-2</v>
      </c>
    </row>
    <row r="207" spans="1:15">
      <c r="A207" s="663">
        <f t="shared" si="8"/>
        <v>2016.06</v>
      </c>
      <c r="B207" s="2357">
        <v>0.71877365474436739</v>
      </c>
      <c r="C207" s="2358">
        <v>0.28122634525563267</v>
      </c>
      <c r="D207" s="2360">
        <f t="shared" si="7"/>
        <v>1</v>
      </c>
      <c r="E207" s="2361">
        <v>0.90359436971004437</v>
      </c>
      <c r="F207" s="2362">
        <v>9.6405630289955649E-2</v>
      </c>
      <c r="G207" s="2403">
        <f t="shared" si="10"/>
        <v>1</v>
      </c>
      <c r="H207" s="2401">
        <f t="shared" si="11"/>
        <v>1</v>
      </c>
      <c r="I207" s="2396">
        <v>0.89388657640806202</v>
      </c>
      <c r="J207" s="2397">
        <v>7.9480318093636648E-2</v>
      </c>
      <c r="K207" s="2398">
        <v>2.66331054983013E-2</v>
      </c>
      <c r="L207" s="2401">
        <f t="shared" si="9"/>
        <v>1</v>
      </c>
      <c r="M207" s="2396">
        <v>0.89326336676532236</v>
      </c>
      <c r="N207" s="2397">
        <v>6.0008033824108423E-2</v>
      </c>
      <c r="O207" s="2411">
        <v>4.6728599410569227E-2</v>
      </c>
    </row>
    <row r="208" spans="1:15">
      <c r="A208" s="663">
        <f t="shared" si="8"/>
        <v>2016.07</v>
      </c>
      <c r="B208" s="2357">
        <v>0.75184377566532179</v>
      </c>
      <c r="C208" s="2358">
        <v>0.2481562243346781</v>
      </c>
      <c r="D208" s="2360">
        <f>B208+C208</f>
        <v>0.99999999999999989</v>
      </c>
      <c r="E208" s="2361">
        <v>0.82782523659867446</v>
      </c>
      <c r="F208" s="2362">
        <v>0.17217476340132543</v>
      </c>
      <c r="G208" s="2403">
        <f t="shared" si="10"/>
        <v>0.99999999999999989</v>
      </c>
      <c r="H208" s="2401">
        <f t="shared" si="11"/>
        <v>1</v>
      </c>
      <c r="I208" s="2396">
        <v>0.88219580183260804</v>
      </c>
      <c r="J208" s="2397">
        <v>7.8013863783828283E-2</v>
      </c>
      <c r="K208" s="2398">
        <v>3.9790334383563719E-2</v>
      </c>
      <c r="L208" s="2401">
        <f t="shared" si="9"/>
        <v>1</v>
      </c>
      <c r="M208" s="2396">
        <v>0.9175768609710615</v>
      </c>
      <c r="N208" s="2397">
        <v>3.9700170153844846E-2</v>
      </c>
      <c r="O208" s="2411">
        <v>4.2722968875093678E-2</v>
      </c>
    </row>
    <row r="209" spans="1:15">
      <c r="A209" s="663">
        <f t="shared" si="8"/>
        <v>2016.08</v>
      </c>
      <c r="B209" s="2357">
        <v>0.71652556058741257</v>
      </c>
      <c r="C209" s="2358">
        <v>0.28347443941258743</v>
      </c>
      <c r="D209" s="2360">
        <f>B209+C209</f>
        <v>1</v>
      </c>
      <c r="E209" s="2361">
        <v>0.83923017624209673</v>
      </c>
      <c r="F209" s="2362">
        <v>0.16076982375790316</v>
      </c>
      <c r="G209" s="2403">
        <f t="shared" si="10"/>
        <v>0.99999999999999989</v>
      </c>
      <c r="H209" s="2401">
        <f t="shared" si="11"/>
        <v>1</v>
      </c>
      <c r="I209" s="2396">
        <v>0.88087760244087232</v>
      </c>
      <c r="J209" s="2397">
        <v>6.0641723318616565E-2</v>
      </c>
      <c r="K209" s="2398">
        <v>5.8480674240511149E-2</v>
      </c>
      <c r="L209" s="2401">
        <f t="shared" si="9"/>
        <v>1</v>
      </c>
      <c r="M209" s="2396">
        <v>0.90957512345984892</v>
      </c>
      <c r="N209" s="2397">
        <v>7.2495845871023465E-2</v>
      </c>
      <c r="O209" s="2411">
        <v>1.7929030669127648E-2</v>
      </c>
    </row>
    <row r="210" spans="1:15">
      <c r="A210" s="663">
        <f t="shared" si="8"/>
        <v>2016.09</v>
      </c>
      <c r="B210" s="2357">
        <v>0.64484945646187763</v>
      </c>
      <c r="C210" s="2358">
        <v>0.35515054353812225</v>
      </c>
      <c r="D210" s="2360">
        <f t="shared" si="7"/>
        <v>0.99999999999999989</v>
      </c>
      <c r="E210" s="2361">
        <v>0.84669041461538508</v>
      </c>
      <c r="F210" s="2362">
        <v>0.15330958538461492</v>
      </c>
      <c r="G210" s="2403">
        <f t="shared" si="10"/>
        <v>1</v>
      </c>
      <c r="H210" s="2401">
        <f t="shared" si="11"/>
        <v>1</v>
      </c>
      <c r="I210" s="2396">
        <v>0.87384973106047492</v>
      </c>
      <c r="J210" s="2397">
        <v>7.6595153300340127E-2</v>
      </c>
      <c r="K210" s="2398">
        <v>4.9555115639184855E-2</v>
      </c>
      <c r="L210" s="2401">
        <f t="shared" si="9"/>
        <v>1</v>
      </c>
      <c r="M210" s="2396">
        <v>0.89908696337121352</v>
      </c>
      <c r="N210" s="2397">
        <v>6.0612910123550592E-2</v>
      </c>
      <c r="O210" s="2411">
        <v>4.0300126505235824E-2</v>
      </c>
    </row>
    <row r="211" spans="1:15">
      <c r="A211" s="663">
        <f t="shared" si="8"/>
        <v>2016.1</v>
      </c>
      <c r="B211" s="2357">
        <v>0.66999141993134559</v>
      </c>
      <c r="C211" s="2358">
        <v>0.33000858006865436</v>
      </c>
      <c r="D211" s="2360">
        <f t="shared" si="7"/>
        <v>1</v>
      </c>
      <c r="E211" s="2361">
        <v>0.86122327653104103</v>
      </c>
      <c r="F211" s="2362">
        <v>0.13877672346895903</v>
      </c>
      <c r="G211" s="2403">
        <f t="shared" si="10"/>
        <v>1</v>
      </c>
      <c r="H211" s="2401">
        <f t="shared" si="11"/>
        <v>1</v>
      </c>
      <c r="I211" s="2396">
        <v>0.87955801109248721</v>
      </c>
      <c r="J211" s="2397">
        <v>6.8129612475930704E-2</v>
      </c>
      <c r="K211" s="2398">
        <v>5.2312376431582125E-2</v>
      </c>
      <c r="L211" s="2401">
        <f t="shared" si="9"/>
        <v>1</v>
      </c>
      <c r="M211" s="2396">
        <v>0.92092944514979647</v>
      </c>
      <c r="N211" s="2397">
        <v>3.6876596289452758E-2</v>
      </c>
      <c r="O211" s="2411">
        <v>4.2193958560750817E-2</v>
      </c>
    </row>
    <row r="212" spans="1:15">
      <c r="A212" s="663">
        <f t="shared" si="8"/>
        <v>2016.11</v>
      </c>
      <c r="B212" s="2357">
        <v>0.74280372467742073</v>
      </c>
      <c r="C212" s="2358">
        <v>0.25719627532257938</v>
      </c>
      <c r="D212" s="2360">
        <f t="shared" si="7"/>
        <v>1</v>
      </c>
      <c r="E212" s="2361">
        <v>0.84435138915321883</v>
      </c>
      <c r="F212" s="2362">
        <v>0.15564861084678117</v>
      </c>
      <c r="G212" s="2403">
        <f t="shared" si="10"/>
        <v>1</v>
      </c>
      <c r="H212" s="2401">
        <f t="shared" si="11"/>
        <v>1</v>
      </c>
      <c r="I212" s="2396">
        <v>0.87147841944301763</v>
      </c>
      <c r="J212" s="2397">
        <v>5.915480763832557E-2</v>
      </c>
      <c r="K212" s="2398">
        <v>6.9366772918656852E-2</v>
      </c>
      <c r="L212" s="2401">
        <f t="shared" si="9"/>
        <v>0.99999999999999989</v>
      </c>
      <c r="M212" s="2396">
        <v>0.8983685692718848</v>
      </c>
      <c r="N212" s="2397">
        <v>6.7274631544435748E-2</v>
      </c>
      <c r="O212" s="2411">
        <v>3.4356799183679392E-2</v>
      </c>
    </row>
    <row r="213" spans="1:15">
      <c r="A213" s="663">
        <f t="shared" si="8"/>
        <v>2016.12</v>
      </c>
      <c r="B213" s="2357">
        <v>0.72324572565159795</v>
      </c>
      <c r="C213" s="2358">
        <v>0.27675427434840211</v>
      </c>
      <c r="D213" s="2360">
        <f t="shared" si="7"/>
        <v>1</v>
      </c>
      <c r="E213" s="2361">
        <v>0.83043429456767914</v>
      </c>
      <c r="F213" s="2362">
        <v>0.16956570543232097</v>
      </c>
      <c r="G213" s="2403">
        <f t="shared" si="10"/>
        <v>1</v>
      </c>
      <c r="H213" s="2401">
        <f t="shared" si="11"/>
        <v>1</v>
      </c>
      <c r="I213" s="2396">
        <v>0.84017140793964318</v>
      </c>
      <c r="J213" s="2397">
        <v>0.12092955673700176</v>
      </c>
      <c r="K213" s="2398">
        <v>3.8899035323355119E-2</v>
      </c>
      <c r="L213" s="2401">
        <f t="shared" si="9"/>
        <v>0.99999999999999989</v>
      </c>
      <c r="M213" s="2396">
        <v>0.909938932119711</v>
      </c>
      <c r="N213" s="2397">
        <v>4.5269567135824446E-2</v>
      </c>
      <c r="O213" s="2411">
        <v>4.4791500744464523E-2</v>
      </c>
    </row>
    <row r="214" spans="1:15">
      <c r="A214" s="663">
        <f t="shared" si="8"/>
        <v>2017.01</v>
      </c>
      <c r="B214" s="2357">
        <v>0.68873329140973349</v>
      </c>
      <c r="C214" s="2358">
        <v>0.31126670859026645</v>
      </c>
      <c r="D214" s="2360">
        <f t="shared" si="7"/>
        <v>1</v>
      </c>
      <c r="E214" s="2361">
        <v>0.86835699538614275</v>
      </c>
      <c r="F214" s="2362">
        <v>0.13164300461385728</v>
      </c>
      <c r="G214" s="2403">
        <f t="shared" si="10"/>
        <v>1</v>
      </c>
      <c r="H214" s="2401">
        <f t="shared" si="11"/>
        <v>1</v>
      </c>
      <c r="I214" s="2396">
        <v>0.86057649938634739</v>
      </c>
      <c r="J214" s="2397">
        <v>8.3596735331969901E-2</v>
      </c>
      <c r="K214" s="2398">
        <v>5.5826765281682705E-2</v>
      </c>
      <c r="L214" s="2401">
        <f t="shared" si="9"/>
        <v>1</v>
      </c>
      <c r="M214" s="2396">
        <v>0.88860635696595069</v>
      </c>
      <c r="N214" s="2397">
        <v>8.0843970679132293E-2</v>
      </c>
      <c r="O214" s="2411">
        <v>3.054967235491703E-2</v>
      </c>
    </row>
    <row r="215" spans="1:15">
      <c r="A215" s="663">
        <f t="shared" si="8"/>
        <v>2017.02</v>
      </c>
      <c r="B215" s="2357">
        <v>0.72824135808032064</v>
      </c>
      <c r="C215" s="2358">
        <v>0.27175864191967941</v>
      </c>
      <c r="D215" s="2360">
        <f t="shared" si="7"/>
        <v>1</v>
      </c>
      <c r="E215" s="2361">
        <v>0.84189101234200014</v>
      </c>
      <c r="F215" s="2362">
        <v>0.15810898765799988</v>
      </c>
      <c r="G215" s="2403">
        <f t="shared" si="10"/>
        <v>1</v>
      </c>
      <c r="H215" s="2401">
        <f t="shared" si="11"/>
        <v>0.99999999999999989</v>
      </c>
      <c r="I215" s="2396">
        <v>0.87917978488858139</v>
      </c>
      <c r="J215" s="2397">
        <v>9.8768561440625846E-2</v>
      </c>
      <c r="K215" s="2398">
        <v>2.2051653670792683E-2</v>
      </c>
      <c r="L215" s="2401">
        <f t="shared" si="9"/>
        <v>1.0000000000000002</v>
      </c>
      <c r="M215" s="2396">
        <v>0.87154323036451875</v>
      </c>
      <c r="N215" s="2397">
        <v>0.1014885332434618</v>
      </c>
      <c r="O215" s="2411">
        <v>2.6968236392019528E-2</v>
      </c>
    </row>
    <row r="216" spans="1:15">
      <c r="A216" s="663">
        <f t="shared" si="8"/>
        <v>2017.03</v>
      </c>
      <c r="B216" s="2357">
        <v>0.65129809836082331</v>
      </c>
      <c r="C216" s="2358">
        <v>0.34870190163917658</v>
      </c>
      <c r="D216" s="2360">
        <f t="shared" si="7"/>
        <v>0.99999999999999989</v>
      </c>
      <c r="E216" s="2361">
        <v>0.81705513966205023</v>
      </c>
      <c r="F216" s="2362">
        <v>0.18294486033794982</v>
      </c>
      <c r="G216" s="2403">
        <f t="shared" si="10"/>
        <v>1</v>
      </c>
      <c r="H216" s="2401">
        <f t="shared" si="11"/>
        <v>1</v>
      </c>
      <c r="I216" s="2396">
        <v>0.86396673125255941</v>
      </c>
      <c r="J216" s="2397">
        <v>8.8979944996704752E-2</v>
      </c>
      <c r="K216" s="2398">
        <v>4.7053323750735815E-2</v>
      </c>
      <c r="L216" s="2401">
        <f t="shared" si="9"/>
        <v>1</v>
      </c>
      <c r="M216" s="2396">
        <v>0.8934715271756406</v>
      </c>
      <c r="N216" s="2397">
        <v>6.9646626286741245E-2</v>
      </c>
      <c r="O216" s="2411">
        <v>3.688184653761812E-2</v>
      </c>
    </row>
    <row r="217" spans="1:15">
      <c r="A217" s="663">
        <f t="shared" si="8"/>
        <v>2017.04</v>
      </c>
      <c r="B217" s="2357">
        <v>0.65729548408952165</v>
      </c>
      <c r="C217" s="2358">
        <v>0.34270451591047846</v>
      </c>
      <c r="D217" s="2360">
        <f t="shared" si="7"/>
        <v>1</v>
      </c>
      <c r="E217" s="2361">
        <v>0.85253563234453267</v>
      </c>
      <c r="F217" s="2362">
        <v>0.14746436765546739</v>
      </c>
      <c r="G217" s="2403">
        <f t="shared" si="10"/>
        <v>1</v>
      </c>
      <c r="H217" s="2401">
        <f t="shared" si="11"/>
        <v>1</v>
      </c>
      <c r="I217" s="2396">
        <v>0.89799885338980445</v>
      </c>
      <c r="J217" s="2397">
        <v>7.8433662377317831E-2</v>
      </c>
      <c r="K217" s="2398">
        <v>2.356748423287764E-2</v>
      </c>
      <c r="L217" s="2401">
        <f t="shared" si="9"/>
        <v>0.99999999999999989</v>
      </c>
      <c r="M217" s="2396">
        <v>0.93491538239276895</v>
      </c>
      <c r="N217" s="2397">
        <v>5.3147604174492755E-2</v>
      </c>
      <c r="O217" s="2411">
        <v>1.1937013432738276E-2</v>
      </c>
    </row>
    <row r="218" spans="1:15">
      <c r="A218" s="663">
        <f t="shared" si="8"/>
        <v>2017.05</v>
      </c>
      <c r="B218" s="2357">
        <v>0.68714411083871041</v>
      </c>
      <c r="C218" s="2358">
        <v>0.31285588916128959</v>
      </c>
      <c r="D218" s="2360">
        <f t="shared" si="7"/>
        <v>1</v>
      </c>
      <c r="E218" s="2361">
        <v>0.86667422057528709</v>
      </c>
      <c r="F218" s="2362">
        <v>0.13332577942471291</v>
      </c>
      <c r="G218" s="2403">
        <f t="shared" si="10"/>
        <v>1</v>
      </c>
      <c r="H218" s="2401">
        <f t="shared" si="11"/>
        <v>1</v>
      </c>
      <c r="I218" s="2396">
        <v>0.8915766098820338</v>
      </c>
      <c r="J218" s="2397">
        <v>7.3139207649059276E-2</v>
      </c>
      <c r="K218" s="2398">
        <v>3.5284182468906966E-2</v>
      </c>
      <c r="L218" s="2401">
        <f t="shared" si="9"/>
        <v>1</v>
      </c>
      <c r="M218" s="2396">
        <v>0.89689222135141644</v>
      </c>
      <c r="N218" s="2397">
        <v>7.8939576049710344E-2</v>
      </c>
      <c r="O218" s="2411">
        <v>2.416820259887319E-2</v>
      </c>
    </row>
    <row r="219" spans="1:15">
      <c r="A219" s="663">
        <f t="shared" si="8"/>
        <v>2017.06</v>
      </c>
      <c r="B219" s="2357">
        <v>0.74037706798619252</v>
      </c>
      <c r="C219" s="2358">
        <v>0.25962293201380754</v>
      </c>
      <c r="D219" s="2360">
        <f t="shared" si="7"/>
        <v>1</v>
      </c>
      <c r="E219" s="2361">
        <v>0.83099611320425826</v>
      </c>
      <c r="F219" s="2362">
        <v>0.16900388679574177</v>
      </c>
      <c r="G219" s="2403">
        <f t="shared" si="10"/>
        <v>1</v>
      </c>
      <c r="H219" s="2401">
        <f t="shared" si="11"/>
        <v>1.0000000000000002</v>
      </c>
      <c r="I219" s="2396">
        <v>0.8476229559533347</v>
      </c>
      <c r="J219" s="2397">
        <v>0.10839519546122395</v>
      </c>
      <c r="K219" s="2398">
        <v>4.3981848585441456E-2</v>
      </c>
      <c r="L219" s="2401">
        <f t="shared" si="9"/>
        <v>1</v>
      </c>
      <c r="M219" s="2396">
        <v>0.92222776894931646</v>
      </c>
      <c r="N219" s="2397">
        <v>6.028631113495856E-2</v>
      </c>
      <c r="O219" s="2411">
        <v>1.7485919915724991E-2</v>
      </c>
    </row>
    <row r="220" spans="1:15">
      <c r="A220" s="663">
        <f t="shared" si="8"/>
        <v>2017.07</v>
      </c>
      <c r="B220" s="2357">
        <v>0.75773243801521117</v>
      </c>
      <c r="C220" s="2358">
        <v>0.24226756198478877</v>
      </c>
      <c r="D220" s="2360">
        <f t="shared" si="7"/>
        <v>1</v>
      </c>
      <c r="E220" s="2361">
        <v>0.83023911907895298</v>
      </c>
      <c r="F220" s="2362">
        <v>0.16976088092104694</v>
      </c>
      <c r="G220" s="2403">
        <f t="shared" si="10"/>
        <v>0.99999999999999989</v>
      </c>
      <c r="H220" s="2401">
        <f t="shared" si="11"/>
        <v>1</v>
      </c>
      <c r="I220" s="2396">
        <v>0.85961912572737542</v>
      </c>
      <c r="J220" s="2397">
        <v>0.11673660742213146</v>
      </c>
      <c r="K220" s="2398">
        <v>2.3644266850493215E-2</v>
      </c>
      <c r="L220" s="2401">
        <f t="shared" si="9"/>
        <v>1</v>
      </c>
      <c r="M220" s="2396">
        <v>0.9303062605823379</v>
      </c>
      <c r="N220" s="2397">
        <v>5.8642162405718547E-2</v>
      </c>
      <c r="O220" s="2411">
        <v>1.1051577011943601E-2</v>
      </c>
    </row>
    <row r="221" spans="1:15">
      <c r="A221" s="663">
        <f t="shared" si="8"/>
        <v>2017.08</v>
      </c>
      <c r="B221" s="2357">
        <v>0.71182667586617077</v>
      </c>
      <c r="C221" s="2358">
        <v>0.2881733241338294</v>
      </c>
      <c r="D221" s="2360">
        <f t="shared" ref="D221:D251" si="12">B221+C221</f>
        <v>1.0000000000000002</v>
      </c>
      <c r="E221" s="2361">
        <v>0.88731441576352021</v>
      </c>
      <c r="F221" s="2362">
        <v>0.11268558423647984</v>
      </c>
      <c r="G221" s="2403">
        <f t="shared" si="10"/>
        <v>1</v>
      </c>
      <c r="H221" s="2401">
        <f t="shared" si="11"/>
        <v>1</v>
      </c>
      <c r="I221" s="2396">
        <v>0.88147339958416271</v>
      </c>
      <c r="J221" s="2397">
        <v>9.5090128910511537E-2</v>
      </c>
      <c r="K221" s="2398">
        <v>2.3436471505325775E-2</v>
      </c>
      <c r="L221" s="2401">
        <f t="shared" si="9"/>
        <v>1</v>
      </c>
      <c r="M221" s="2396">
        <v>0.93710484507683944</v>
      </c>
      <c r="N221" s="2397">
        <v>4.774275978798926E-2</v>
      </c>
      <c r="O221" s="2411">
        <v>1.5152395135171345E-2</v>
      </c>
    </row>
    <row r="222" spans="1:15">
      <c r="A222" s="663">
        <f t="shared" si="8"/>
        <v>2017.09</v>
      </c>
      <c r="B222" s="2357">
        <v>0.720983239767922</v>
      </c>
      <c r="C222" s="2358">
        <v>0.279016760232078</v>
      </c>
      <c r="D222" s="2360">
        <f t="shared" si="12"/>
        <v>1</v>
      </c>
      <c r="E222" s="2361">
        <v>0.84825725191472467</v>
      </c>
      <c r="F222" s="2362">
        <v>0.15174274808527535</v>
      </c>
      <c r="G222" s="2403">
        <f t="shared" si="10"/>
        <v>1</v>
      </c>
      <c r="H222" s="2401">
        <f t="shared" si="11"/>
        <v>0.99999999999999989</v>
      </c>
      <c r="I222" s="2396">
        <v>0.83863545369004333</v>
      </c>
      <c r="J222" s="2397">
        <v>0.14916150894855851</v>
      </c>
      <c r="K222" s="2398">
        <v>1.2203037361398071E-2</v>
      </c>
      <c r="L222" s="2401">
        <f t="shared" si="9"/>
        <v>1</v>
      </c>
      <c r="M222" s="2396">
        <v>0.90543318712282717</v>
      </c>
      <c r="N222" s="2397">
        <v>8.5673730770067499E-2</v>
      </c>
      <c r="O222" s="2411">
        <v>8.8930821071053871E-3</v>
      </c>
    </row>
    <row r="223" spans="1:15">
      <c r="A223" s="663">
        <f t="shared" si="8"/>
        <v>2017.1</v>
      </c>
      <c r="B223" s="2357">
        <v>0.72122904134081811</v>
      </c>
      <c r="C223" s="2358">
        <v>0.27877095865918194</v>
      </c>
      <c r="D223" s="2360">
        <f t="shared" si="12"/>
        <v>1</v>
      </c>
      <c r="E223" s="2361">
        <v>0.87345363719668578</v>
      </c>
      <c r="F223" s="2362">
        <v>0.12654636280331427</v>
      </c>
      <c r="G223" s="2403">
        <f t="shared" si="10"/>
        <v>1</v>
      </c>
      <c r="H223" s="2401">
        <f t="shared" si="11"/>
        <v>0.99999999999999989</v>
      </c>
      <c r="I223" s="2396">
        <v>0.83529852157349482</v>
      </c>
      <c r="J223" s="2397">
        <v>0.1355890699051491</v>
      </c>
      <c r="K223" s="2398">
        <v>2.9112408521356027E-2</v>
      </c>
      <c r="L223" s="2401">
        <f t="shared" si="9"/>
        <v>1</v>
      </c>
      <c r="M223" s="2396">
        <v>0.87022936439522303</v>
      </c>
      <c r="N223" s="2397">
        <v>0.12423369458907056</v>
      </c>
      <c r="O223" s="2411">
        <v>5.5369410157064891E-3</v>
      </c>
    </row>
    <row r="224" spans="1:15">
      <c r="A224" s="663">
        <f t="shared" si="8"/>
        <v>2017.11</v>
      </c>
      <c r="B224" s="2357">
        <v>0.69567285914150123</v>
      </c>
      <c r="C224" s="2358">
        <v>0.30432714085849882</v>
      </c>
      <c r="D224" s="2360">
        <f t="shared" si="12"/>
        <v>1</v>
      </c>
      <c r="E224" s="2361">
        <v>0.81794512010902121</v>
      </c>
      <c r="F224" s="2362">
        <v>0.18205487989097879</v>
      </c>
      <c r="G224" s="2403">
        <f t="shared" si="10"/>
        <v>1</v>
      </c>
      <c r="H224" s="2401">
        <f t="shared" si="11"/>
        <v>0.99999999999999967</v>
      </c>
      <c r="I224" s="2396">
        <v>0.83592885453494314</v>
      </c>
      <c r="J224" s="2397">
        <v>0.12247730599105149</v>
      </c>
      <c r="K224" s="2398">
        <v>4.159383947400512E-2</v>
      </c>
      <c r="L224" s="2401">
        <f t="shared" si="9"/>
        <v>1</v>
      </c>
      <c r="M224" s="2396">
        <v>0.91545560346378962</v>
      </c>
      <c r="N224" s="2397">
        <v>6.6681759873800261E-2</v>
      </c>
      <c r="O224" s="2411">
        <v>1.7862636662410135E-2</v>
      </c>
    </row>
    <row r="225" spans="1:15">
      <c r="A225" s="663">
        <f t="shared" si="8"/>
        <v>2017.12</v>
      </c>
      <c r="B225" s="2357">
        <v>0.74077774505072758</v>
      </c>
      <c r="C225" s="2358">
        <v>0.25922225494927231</v>
      </c>
      <c r="D225" s="2360">
        <f t="shared" si="12"/>
        <v>0.99999999999999989</v>
      </c>
      <c r="E225" s="2361">
        <v>0.8286879358884458</v>
      </c>
      <c r="F225" s="2362">
        <v>0.17131206411155417</v>
      </c>
      <c r="G225" s="2403">
        <f t="shared" si="10"/>
        <v>1</v>
      </c>
      <c r="H225" s="2401">
        <f t="shared" si="11"/>
        <v>1.0000000000000002</v>
      </c>
      <c r="I225" s="2396">
        <v>0.83512067005108737</v>
      </c>
      <c r="J225" s="2397">
        <v>0.10029264783402086</v>
      </c>
      <c r="K225" s="2398">
        <v>6.4586682114891866E-2</v>
      </c>
      <c r="L225" s="2401">
        <f t="shared" si="9"/>
        <v>1</v>
      </c>
      <c r="M225" s="2396">
        <v>0.8976152998200484</v>
      </c>
      <c r="N225" s="2397">
        <v>7.0934764412312473E-2</v>
      </c>
      <c r="O225" s="2411">
        <v>3.1449935767639096E-2</v>
      </c>
    </row>
    <row r="226" spans="1:15">
      <c r="A226" s="663">
        <f t="shared" si="8"/>
        <v>2018.01</v>
      </c>
      <c r="B226" s="2357">
        <v>0.68085232134891971</v>
      </c>
      <c r="C226" s="2358">
        <v>0.31914767865108018</v>
      </c>
      <c r="D226" s="2360">
        <f t="shared" si="12"/>
        <v>0.99999999999999989</v>
      </c>
      <c r="E226" s="2361">
        <v>0.85261519390561513</v>
      </c>
      <c r="F226" s="2362">
        <v>0.1473848060943849</v>
      </c>
      <c r="G226" s="2403">
        <f t="shared" si="10"/>
        <v>1</v>
      </c>
      <c r="H226" s="2401">
        <f t="shared" si="11"/>
        <v>1.0000000000000002</v>
      </c>
      <c r="I226" s="2396">
        <v>0.89978607880134431</v>
      </c>
      <c r="J226" s="2397">
        <v>7.3788932009860572E-2</v>
      </c>
      <c r="K226" s="2398">
        <v>2.6424989188795222E-2</v>
      </c>
      <c r="L226" s="2401">
        <f t="shared" si="9"/>
        <v>1</v>
      </c>
      <c r="M226" s="2396">
        <v>0.90875459743904907</v>
      </c>
      <c r="N226" s="2397">
        <v>4.7064967384697065E-2</v>
      </c>
      <c r="O226" s="2411">
        <v>4.4180435176253779E-2</v>
      </c>
    </row>
    <row r="227" spans="1:15">
      <c r="A227" s="663">
        <f t="shared" si="8"/>
        <v>2018.02</v>
      </c>
      <c r="B227" s="2357">
        <v>0.76721418812960673</v>
      </c>
      <c r="C227" s="2358">
        <v>0.23278581187039327</v>
      </c>
      <c r="D227" s="2360">
        <f t="shared" si="12"/>
        <v>1</v>
      </c>
      <c r="E227" s="2361">
        <v>0.85713960339738715</v>
      </c>
      <c r="F227" s="2362">
        <v>0.14286039660261268</v>
      </c>
      <c r="G227" s="2403">
        <f t="shared" si="10"/>
        <v>0.99999999999999978</v>
      </c>
      <c r="H227" s="2401">
        <f t="shared" si="11"/>
        <v>1</v>
      </c>
      <c r="I227" s="2396">
        <v>0.79547487889501511</v>
      </c>
      <c r="J227" s="2397">
        <v>0.18251662739703492</v>
      </c>
      <c r="K227" s="2398">
        <v>2.2008493707950029E-2</v>
      </c>
      <c r="L227" s="2401">
        <f t="shared" si="9"/>
        <v>1</v>
      </c>
      <c r="M227" s="2396">
        <v>0.82764137650182201</v>
      </c>
      <c r="N227" s="2397">
        <v>0.1367356040413325</v>
      </c>
      <c r="O227" s="2411">
        <v>3.5623019456845456E-2</v>
      </c>
    </row>
    <row r="228" spans="1:15">
      <c r="A228" s="663">
        <f t="shared" si="8"/>
        <v>2018.03</v>
      </c>
      <c r="B228" s="2357">
        <v>0.7197505060858258</v>
      </c>
      <c r="C228" s="2358">
        <v>0.28024949391417425</v>
      </c>
      <c r="D228" s="2360">
        <f t="shared" si="12"/>
        <v>1</v>
      </c>
      <c r="E228" s="2361">
        <v>0.88082891568153954</v>
      </c>
      <c r="F228" s="2362">
        <v>0.11917108431846053</v>
      </c>
      <c r="G228" s="2403">
        <f t="shared" si="10"/>
        <v>1</v>
      </c>
      <c r="H228" s="2401">
        <f t="shared" si="11"/>
        <v>1</v>
      </c>
      <c r="I228" s="2396">
        <v>0.86958881028914381</v>
      </c>
      <c r="J228" s="2397">
        <v>8.8007715451194415E-2</v>
      </c>
      <c r="K228" s="2398">
        <v>4.2403474259661775E-2</v>
      </c>
      <c r="L228" s="2401">
        <f t="shared" si="9"/>
        <v>1</v>
      </c>
      <c r="M228" s="2396">
        <v>0.91643565891553935</v>
      </c>
      <c r="N228" s="2397">
        <v>6.1060072861382174E-2</v>
      </c>
      <c r="O228" s="2411">
        <v>2.2504268223078452E-2</v>
      </c>
    </row>
    <row r="229" spans="1:15">
      <c r="A229" s="663">
        <f t="shared" si="8"/>
        <v>2018.04</v>
      </c>
      <c r="B229" s="2357">
        <v>0.73503014340306183</v>
      </c>
      <c r="C229" s="2358">
        <v>0.26496985659693817</v>
      </c>
      <c r="D229" s="2360">
        <f t="shared" si="12"/>
        <v>1</v>
      </c>
      <c r="E229" s="2361">
        <v>0.80441695236154587</v>
      </c>
      <c r="F229" s="2362">
        <v>0.19558304763845413</v>
      </c>
      <c r="G229" s="2403">
        <f t="shared" si="10"/>
        <v>1</v>
      </c>
      <c r="H229" s="2401">
        <f t="shared" si="11"/>
        <v>1</v>
      </c>
      <c r="I229" s="2396">
        <v>0.85419809921833079</v>
      </c>
      <c r="J229" s="2397">
        <v>9.8543944549954687E-2</v>
      </c>
      <c r="K229" s="2398">
        <v>4.725795623171454E-2</v>
      </c>
      <c r="L229" s="2401">
        <f t="shared" si="9"/>
        <v>1</v>
      </c>
      <c r="M229" s="2396">
        <v>0.95944415148168294</v>
      </c>
      <c r="N229" s="2397">
        <v>2.1635386941666876E-2</v>
      </c>
      <c r="O229" s="2411">
        <v>1.8920461576650126E-2</v>
      </c>
    </row>
    <row r="230" spans="1:15">
      <c r="A230" s="663">
        <f t="shared" si="8"/>
        <v>2018.05</v>
      </c>
      <c r="B230" s="2357">
        <v>0.74686418520936204</v>
      </c>
      <c r="C230" s="2358">
        <v>0.25313581479063796</v>
      </c>
      <c r="D230" s="2360">
        <f t="shared" si="12"/>
        <v>1</v>
      </c>
      <c r="E230" s="2361">
        <v>0.91723337412466921</v>
      </c>
      <c r="F230" s="2362">
        <v>8.2766625875330693E-2</v>
      </c>
      <c r="G230" s="2403">
        <f t="shared" si="10"/>
        <v>0.99999999999999989</v>
      </c>
      <c r="H230" s="2401">
        <f t="shared" si="11"/>
        <v>1</v>
      </c>
      <c r="I230" s="2396">
        <v>0.91237540850303911</v>
      </c>
      <c r="J230" s="2397">
        <v>5.8768450125108534E-2</v>
      </c>
      <c r="K230" s="2398">
        <v>2.885614137185237E-2</v>
      </c>
      <c r="L230" s="2401">
        <f t="shared" si="9"/>
        <v>1</v>
      </c>
      <c r="M230" s="2396">
        <v>0.95512708878676478</v>
      </c>
      <c r="N230" s="2397">
        <v>2.6318696319788986E-2</v>
      </c>
      <c r="O230" s="2411">
        <v>1.8554214893446282E-2</v>
      </c>
    </row>
    <row r="231" spans="1:15">
      <c r="A231" s="663">
        <f t="shared" si="8"/>
        <v>2018.06</v>
      </c>
      <c r="B231" s="2357">
        <v>0.7629103881121867</v>
      </c>
      <c r="C231" s="2358">
        <v>0.2370896118878133</v>
      </c>
      <c r="D231" s="2360">
        <f t="shared" si="12"/>
        <v>1</v>
      </c>
      <c r="E231" s="2361">
        <v>0.93274311149282885</v>
      </c>
      <c r="F231" s="2362">
        <v>6.7256888507171333E-2</v>
      </c>
      <c r="G231" s="2403">
        <f t="shared" si="10"/>
        <v>1.0000000000000002</v>
      </c>
      <c r="H231" s="2401">
        <f t="shared" si="11"/>
        <v>1</v>
      </c>
      <c r="I231" s="2396">
        <v>0.91104992208358948</v>
      </c>
      <c r="J231" s="2397">
        <v>4.2165633029712594E-2</v>
      </c>
      <c r="K231" s="2398">
        <v>4.678444488669798E-2</v>
      </c>
      <c r="L231" s="2401">
        <f t="shared" si="9"/>
        <v>1</v>
      </c>
      <c r="M231" s="2396">
        <v>0.91740325264119349</v>
      </c>
      <c r="N231" s="2397">
        <v>2.7977349615832425E-2</v>
      </c>
      <c r="O231" s="2411">
        <v>5.461939774297403E-2</v>
      </c>
    </row>
    <row r="232" spans="1:15">
      <c r="A232" s="663">
        <f t="shared" si="8"/>
        <v>2018.07</v>
      </c>
      <c r="B232" s="2357">
        <v>0.7582145889444718</v>
      </c>
      <c r="C232" s="2358">
        <v>0.24178541105552814</v>
      </c>
      <c r="D232" s="2360">
        <f t="shared" si="12"/>
        <v>1</v>
      </c>
      <c r="E232" s="2361">
        <v>0.90744983039780536</v>
      </c>
      <c r="F232" s="2362">
        <v>9.2550169602194587E-2</v>
      </c>
      <c r="G232" s="2403">
        <f t="shared" si="10"/>
        <v>1</v>
      </c>
      <c r="H232" s="2401">
        <f t="shared" si="11"/>
        <v>0.99999999999999989</v>
      </c>
      <c r="I232" s="2396">
        <v>0.88414510216724007</v>
      </c>
      <c r="J232" s="2397">
        <v>8.3034874328480029E-2</v>
      </c>
      <c r="K232" s="2398">
        <v>3.2820023504279823E-2</v>
      </c>
      <c r="L232" s="2401">
        <f t="shared" si="9"/>
        <v>1</v>
      </c>
      <c r="M232" s="2396">
        <v>0.94616535845037719</v>
      </c>
      <c r="N232" s="2397">
        <v>1.8550364814279116E-2</v>
      </c>
      <c r="O232" s="2411">
        <v>3.5284276735343699E-2</v>
      </c>
    </row>
    <row r="233" spans="1:15">
      <c r="A233" s="663">
        <f t="shared" si="8"/>
        <v>2018.08</v>
      </c>
      <c r="B233" s="2357">
        <v>0.78424649997863294</v>
      </c>
      <c r="C233" s="2358">
        <v>0.21575350002136687</v>
      </c>
      <c r="D233" s="2360">
        <f t="shared" si="12"/>
        <v>0.99999999999999978</v>
      </c>
      <c r="E233" s="2361">
        <v>0.90553031109123949</v>
      </c>
      <c r="F233" s="2362">
        <v>9.446968890876048E-2</v>
      </c>
      <c r="G233" s="2403">
        <f t="shared" si="10"/>
        <v>1</v>
      </c>
      <c r="H233" s="2401">
        <f t="shared" si="11"/>
        <v>0.99999999999999989</v>
      </c>
      <c r="I233" s="2396">
        <v>0.90759334282288895</v>
      </c>
      <c r="J233" s="2397">
        <v>4.213189879062753E-2</v>
      </c>
      <c r="K233" s="2398">
        <v>5.0274758386483459E-2</v>
      </c>
      <c r="L233" s="2401">
        <f t="shared" si="9"/>
        <v>1</v>
      </c>
      <c r="M233" s="2396">
        <v>0.93641674777479689</v>
      </c>
      <c r="N233" s="2397">
        <v>2.3250753978290864E-2</v>
      </c>
      <c r="O233" s="2411">
        <v>4.0332498246912214E-2</v>
      </c>
    </row>
    <row r="234" spans="1:15">
      <c r="A234" s="663">
        <f t="shared" ref="A234:A297" si="13">A222+1</f>
        <v>2018.09</v>
      </c>
      <c r="B234" s="2357">
        <v>0.80168855179089182</v>
      </c>
      <c r="C234" s="2358">
        <v>0.19831144820910818</v>
      </c>
      <c r="D234" s="2360">
        <f t="shared" si="12"/>
        <v>1</v>
      </c>
      <c r="E234" s="2361">
        <v>0.86876421764282097</v>
      </c>
      <c r="F234" s="2362">
        <v>0.13123578235717895</v>
      </c>
      <c r="G234" s="2403">
        <f t="shared" si="10"/>
        <v>0.99999999999999989</v>
      </c>
      <c r="H234" s="2401">
        <f t="shared" si="11"/>
        <v>0.99999999999999989</v>
      </c>
      <c r="I234" s="2396">
        <v>0.81458606067106132</v>
      </c>
      <c r="J234" s="2397">
        <v>8.3341268021645223E-2</v>
      </c>
      <c r="K234" s="2398">
        <v>0.10207267130729335</v>
      </c>
      <c r="L234" s="2401">
        <f t="shared" si="9"/>
        <v>0.99999999999999989</v>
      </c>
      <c r="M234" s="2396">
        <v>0.91971699910045923</v>
      </c>
      <c r="N234" s="2397">
        <v>3.3024779499483473E-2</v>
      </c>
      <c r="O234" s="2411">
        <v>4.7258221400057199E-2</v>
      </c>
    </row>
    <row r="235" spans="1:15">
      <c r="A235" s="663">
        <f t="shared" si="13"/>
        <v>2018.1</v>
      </c>
      <c r="B235" s="2357">
        <v>0.73352461110782674</v>
      </c>
      <c r="C235" s="2358">
        <v>0.26647538889217315</v>
      </c>
      <c r="D235" s="2360">
        <f t="shared" si="12"/>
        <v>0.99999999999999989</v>
      </c>
      <c r="E235" s="2361">
        <v>0.92144168514102431</v>
      </c>
      <c r="F235" s="2362">
        <v>7.8558314858975714E-2</v>
      </c>
      <c r="G235" s="2403">
        <f t="shared" si="10"/>
        <v>1</v>
      </c>
      <c r="H235" s="2401">
        <f t="shared" si="11"/>
        <v>0.99999999999999989</v>
      </c>
      <c r="I235" s="2396">
        <v>0.8538380573235913</v>
      </c>
      <c r="J235" s="2397">
        <v>9.0549466292262529E-2</v>
      </c>
      <c r="K235" s="2398">
        <v>5.5612476384146056E-2</v>
      </c>
      <c r="L235" s="2401">
        <f t="shared" si="9"/>
        <v>1</v>
      </c>
      <c r="M235" s="2396">
        <v>0.9120829329488519</v>
      </c>
      <c r="N235" s="2397">
        <v>3.6617868321602638E-2</v>
      </c>
      <c r="O235" s="2411">
        <v>5.1299198729545435E-2</v>
      </c>
    </row>
    <row r="236" spans="1:15">
      <c r="A236" s="663">
        <f t="shared" si="13"/>
        <v>2018.11</v>
      </c>
      <c r="B236" s="2357">
        <v>0.72883036028929438</v>
      </c>
      <c r="C236" s="2358">
        <v>0.27116963971070568</v>
      </c>
      <c r="D236" s="2360">
        <f t="shared" si="12"/>
        <v>1</v>
      </c>
      <c r="E236" s="2361">
        <v>0.91411987721860388</v>
      </c>
      <c r="F236" s="2362">
        <v>8.5880122781396034E-2</v>
      </c>
      <c r="G236" s="2403">
        <f t="shared" si="10"/>
        <v>0.99999999999999989</v>
      </c>
      <c r="H236" s="2401">
        <f t="shared" si="11"/>
        <v>1</v>
      </c>
      <c r="I236" s="2396">
        <v>0.88908085666429726</v>
      </c>
      <c r="J236" s="2397">
        <v>3.4745059771141201E-2</v>
      </c>
      <c r="K236" s="2398">
        <v>7.6174083564561609E-2</v>
      </c>
      <c r="L236" s="2401">
        <f t="shared" si="9"/>
        <v>1</v>
      </c>
      <c r="M236" s="2396">
        <v>0.89091078862048401</v>
      </c>
      <c r="N236" s="2397">
        <v>6.4570663087134092E-2</v>
      </c>
      <c r="O236" s="2411">
        <v>4.4518548292381895E-2</v>
      </c>
    </row>
    <row r="237" spans="1:15">
      <c r="A237" s="663">
        <f t="shared" si="13"/>
        <v>2018.12</v>
      </c>
      <c r="B237" s="2357">
        <v>0.78000878217716418</v>
      </c>
      <c r="C237" s="2358">
        <v>0.21999121782283587</v>
      </c>
      <c r="D237" s="2360">
        <f t="shared" si="12"/>
        <v>1</v>
      </c>
      <c r="E237" s="2361">
        <v>0.88130296777688388</v>
      </c>
      <c r="F237" s="2362">
        <v>0.11869703222311609</v>
      </c>
      <c r="G237" s="2403">
        <f t="shared" si="10"/>
        <v>1</v>
      </c>
      <c r="H237" s="2401">
        <f t="shared" si="11"/>
        <v>0.99999999999999989</v>
      </c>
      <c r="I237" s="2396">
        <v>0.82664602840887003</v>
      </c>
      <c r="J237" s="2397">
        <v>8.8686014785823192E-2</v>
      </c>
      <c r="K237" s="2398">
        <v>8.4667956805306671E-2</v>
      </c>
      <c r="L237" s="2401">
        <f t="shared" si="9"/>
        <v>1</v>
      </c>
      <c r="M237" s="2396">
        <v>0.85266082608614657</v>
      </c>
      <c r="N237" s="2397">
        <v>5.7613056297381685E-2</v>
      </c>
      <c r="O237" s="2411">
        <v>8.9726117616471743E-2</v>
      </c>
    </row>
    <row r="238" spans="1:15">
      <c r="A238" s="663">
        <f t="shared" si="13"/>
        <v>2019.01</v>
      </c>
      <c r="B238" s="2357">
        <v>0.78799999999999992</v>
      </c>
      <c r="C238" s="2358">
        <v>0.21199999999999999</v>
      </c>
      <c r="D238" s="2360">
        <f t="shared" si="12"/>
        <v>0.99999999999999989</v>
      </c>
      <c r="E238" s="2361">
        <v>0.86900000000000011</v>
      </c>
      <c r="F238" s="2362">
        <v>0.13100000000000001</v>
      </c>
      <c r="G238" s="2403">
        <f t="shared" si="10"/>
        <v>1</v>
      </c>
      <c r="H238" s="2401">
        <f t="shared" si="11"/>
        <v>1</v>
      </c>
      <c r="I238" s="2396">
        <v>0.83438035902862628</v>
      </c>
      <c r="J238" s="2397">
        <v>6.383645669502272E-2</v>
      </c>
      <c r="K238" s="2398">
        <v>0.10178318427635108</v>
      </c>
      <c r="L238" s="2401">
        <f t="shared" si="9"/>
        <v>1</v>
      </c>
      <c r="M238" s="2396">
        <v>0.93051424500599733</v>
      </c>
      <c r="N238" s="2397">
        <v>2.7374391388964761E-2</v>
      </c>
      <c r="O238" s="2411">
        <v>4.2111363605037866E-2</v>
      </c>
    </row>
    <row r="239" spans="1:15">
      <c r="A239" s="663">
        <f t="shared" si="13"/>
        <v>2019.02</v>
      </c>
      <c r="B239" s="2357">
        <v>0.75532838093600985</v>
      </c>
      <c r="C239" s="2358">
        <v>0.24467161906399013</v>
      </c>
      <c r="D239" s="2360">
        <f t="shared" si="12"/>
        <v>1</v>
      </c>
      <c r="E239" s="2361">
        <v>0.83211516208776781</v>
      </c>
      <c r="F239" s="2362">
        <v>0.16788483791223208</v>
      </c>
      <c r="G239" s="2403">
        <f t="shared" si="10"/>
        <v>0.99999999999999989</v>
      </c>
      <c r="H239" s="2401">
        <f t="shared" si="11"/>
        <v>1</v>
      </c>
      <c r="I239" s="2396">
        <v>0.86921399917549325</v>
      </c>
      <c r="J239" s="2397">
        <v>7.233817839048548E-2</v>
      </c>
      <c r="K239" s="2398">
        <v>5.8447822434021267E-2</v>
      </c>
      <c r="L239" s="2401">
        <f t="shared" si="9"/>
        <v>1.0000000000000002</v>
      </c>
      <c r="M239" s="2396">
        <v>0.90427939998368378</v>
      </c>
      <c r="N239" s="2397">
        <v>3.6324856643908054E-2</v>
      </c>
      <c r="O239" s="2411">
        <v>5.9395743372408299E-2</v>
      </c>
    </row>
    <row r="240" spans="1:15">
      <c r="A240" s="663">
        <f t="shared" si="13"/>
        <v>2019.03</v>
      </c>
      <c r="B240" s="2357">
        <v>0.76914248843041533</v>
      </c>
      <c r="C240" s="2358">
        <v>0.2308575115695847</v>
      </c>
      <c r="D240" s="2360">
        <f t="shared" si="12"/>
        <v>1</v>
      </c>
      <c r="E240" s="2361">
        <v>0.86579494105823362</v>
      </c>
      <c r="F240" s="2362">
        <v>0.13420505894176629</v>
      </c>
      <c r="G240" s="2403">
        <f t="shared" si="10"/>
        <v>0.99999999999999989</v>
      </c>
      <c r="H240" s="2401">
        <f t="shared" si="11"/>
        <v>1</v>
      </c>
      <c r="I240" s="2396">
        <v>0.85121882129137594</v>
      </c>
      <c r="J240" s="2397">
        <v>8.383910197182852E-2</v>
      </c>
      <c r="K240" s="2398">
        <v>6.4942076736795556E-2</v>
      </c>
      <c r="L240" s="2401">
        <f t="shared" si="9"/>
        <v>1</v>
      </c>
      <c r="M240" s="2396">
        <v>0.88558695482079586</v>
      </c>
      <c r="N240" s="2397">
        <v>1.6873968278995271E-2</v>
      </c>
      <c r="O240" s="2411">
        <v>9.7539076900208868E-2</v>
      </c>
    </row>
    <row r="241" spans="1:15">
      <c r="A241" s="663">
        <f t="shared" si="13"/>
        <v>2019.04</v>
      </c>
      <c r="B241" s="2357">
        <v>0.74944040086115604</v>
      </c>
      <c r="C241" s="2358">
        <v>0.2505595991388439</v>
      </c>
      <c r="D241" s="2360">
        <f t="shared" si="12"/>
        <v>1</v>
      </c>
      <c r="E241" s="2361">
        <v>0.86718373950572958</v>
      </c>
      <c r="F241" s="2362">
        <v>0.13281626049427048</v>
      </c>
      <c r="G241" s="2403">
        <f t="shared" si="10"/>
        <v>1</v>
      </c>
      <c r="H241" s="2401">
        <f t="shared" si="11"/>
        <v>1</v>
      </c>
      <c r="I241" s="2396">
        <v>0.89598925433809085</v>
      </c>
      <c r="J241" s="2397">
        <v>6.0482475334069606E-2</v>
      </c>
      <c r="K241" s="2398">
        <v>4.3528270327839548E-2</v>
      </c>
      <c r="L241" s="2401">
        <f t="shared" si="9"/>
        <v>1</v>
      </c>
      <c r="M241" s="2396">
        <v>0.88654999612554786</v>
      </c>
      <c r="N241" s="2397">
        <v>4.3476370878841347E-2</v>
      </c>
      <c r="O241" s="2411">
        <v>6.9973632995610838E-2</v>
      </c>
    </row>
    <row r="242" spans="1:15">
      <c r="A242" s="663">
        <f t="shared" si="13"/>
        <v>2019.05</v>
      </c>
      <c r="B242" s="2357">
        <v>0.70598762423800976</v>
      </c>
      <c r="C242" s="2358">
        <v>0.29401237576199013</v>
      </c>
      <c r="D242" s="2360">
        <f t="shared" si="12"/>
        <v>0.99999999999999989</v>
      </c>
      <c r="E242" s="2361">
        <v>0.86328077005212278</v>
      </c>
      <c r="F242" s="2362">
        <v>0.13671922994787711</v>
      </c>
      <c r="G242" s="2403">
        <f t="shared" si="10"/>
        <v>0.99999999999999989</v>
      </c>
      <c r="H242" s="2401">
        <f t="shared" si="11"/>
        <v>0.99999999999999989</v>
      </c>
      <c r="I242" s="2396">
        <v>0.91466085477964099</v>
      </c>
      <c r="J242" s="2397">
        <v>4.968307584103554E-2</v>
      </c>
      <c r="K242" s="2398">
        <v>3.5656069379323467E-2</v>
      </c>
      <c r="L242" s="2401">
        <f t="shared" si="9"/>
        <v>0.99999999999999989</v>
      </c>
      <c r="M242" s="2396">
        <v>0.94843571434022067</v>
      </c>
      <c r="N242" s="2397">
        <v>2.819895779693736E-2</v>
      </c>
      <c r="O242" s="2411">
        <v>2.3365327862841886E-2</v>
      </c>
    </row>
    <row r="243" spans="1:15">
      <c r="A243" s="663">
        <f t="shared" si="13"/>
        <v>2019.06</v>
      </c>
      <c r="B243" s="2357">
        <v>0.79259534091091444</v>
      </c>
      <c r="C243" s="2358">
        <v>0.20740465908908565</v>
      </c>
      <c r="D243" s="2360">
        <f t="shared" si="12"/>
        <v>1</v>
      </c>
      <c r="E243" s="2361">
        <v>0.88156174795800768</v>
      </c>
      <c r="F243" s="2362">
        <v>0.11843825204199235</v>
      </c>
      <c r="G243" s="2403">
        <f t="shared" si="10"/>
        <v>1</v>
      </c>
      <c r="H243" s="2401">
        <f t="shared" si="11"/>
        <v>1</v>
      </c>
      <c r="I243" s="2396">
        <v>0.88376046738355507</v>
      </c>
      <c r="J243" s="2397">
        <v>7.0296177641260615E-2</v>
      </c>
      <c r="K243" s="2398">
        <v>4.5943354975184321E-2</v>
      </c>
      <c r="L243" s="2401">
        <f t="shared" si="9"/>
        <v>1</v>
      </c>
      <c r="M243" s="2396">
        <v>0.93294301510531985</v>
      </c>
      <c r="N243" s="2397">
        <v>4.3550302598167868E-2</v>
      </c>
      <c r="O243" s="2411">
        <v>2.3506682296512375E-2</v>
      </c>
    </row>
    <row r="244" spans="1:15">
      <c r="A244" s="663">
        <f t="shared" si="13"/>
        <v>2019.07</v>
      </c>
      <c r="B244" s="2357">
        <v>0.7800972286225839</v>
      </c>
      <c r="C244" s="2358">
        <v>0.21990277137741618</v>
      </c>
      <c r="D244" s="2360">
        <f t="shared" si="12"/>
        <v>1</v>
      </c>
      <c r="E244" s="2361">
        <v>0.87825078542691737</v>
      </c>
      <c r="F244" s="2362">
        <v>0.12174921457308244</v>
      </c>
      <c r="G244" s="2403">
        <f t="shared" si="10"/>
        <v>0.99999999999999978</v>
      </c>
      <c r="H244" s="2401">
        <f t="shared" si="11"/>
        <v>1</v>
      </c>
      <c r="I244" s="2396">
        <v>0.88705236808834087</v>
      </c>
      <c r="J244" s="2397">
        <v>5.689195592600868E-2</v>
      </c>
      <c r="K244" s="2398">
        <v>5.6055675985650505E-2</v>
      </c>
      <c r="L244" s="2401">
        <f t="shared" ref="L244:L256" si="14">M244+N244+O244</f>
        <v>1</v>
      </c>
      <c r="M244" s="2396">
        <v>0.92321249691921314</v>
      </c>
      <c r="N244" s="2397">
        <v>3.849762509814271E-2</v>
      </c>
      <c r="O244" s="2411">
        <v>3.8289877982644223E-2</v>
      </c>
    </row>
    <row r="245" spans="1:15">
      <c r="A245" s="663">
        <f t="shared" si="13"/>
        <v>2019.08</v>
      </c>
      <c r="B245" s="2357">
        <v>0.73908408578276863</v>
      </c>
      <c r="C245" s="2358">
        <v>0.26091591421723132</v>
      </c>
      <c r="D245" s="2360">
        <f t="shared" si="12"/>
        <v>1</v>
      </c>
      <c r="E245" s="2361">
        <v>0.8595489061280962</v>
      </c>
      <c r="F245" s="2362">
        <v>0.14045109387190374</v>
      </c>
      <c r="G245" s="2403">
        <f t="shared" si="10"/>
        <v>1</v>
      </c>
      <c r="H245" s="2401">
        <f t="shared" si="11"/>
        <v>0.99999999999999989</v>
      </c>
      <c r="I245" s="2396">
        <v>0.89415165104754413</v>
      </c>
      <c r="J245" s="2397">
        <v>3.9717984653071241E-2</v>
      </c>
      <c r="K245" s="2398">
        <v>6.6130364299384584E-2</v>
      </c>
      <c r="L245" s="2401">
        <f t="shared" si="14"/>
        <v>1</v>
      </c>
      <c r="M245" s="2396">
        <v>0.93974213117865579</v>
      </c>
      <c r="N245" s="2397">
        <v>3.789758445690683E-2</v>
      </c>
      <c r="O245" s="2411">
        <v>2.2360284364437388E-2</v>
      </c>
    </row>
    <row r="246" spans="1:15">
      <c r="A246" s="663">
        <f t="shared" si="13"/>
        <v>2019.09</v>
      </c>
      <c r="B246" s="2357">
        <v>0.69353003314456041</v>
      </c>
      <c r="C246" s="2358">
        <v>0.30646996685543948</v>
      </c>
      <c r="D246" s="2360">
        <f t="shared" si="12"/>
        <v>0.99999999999999989</v>
      </c>
      <c r="E246" s="2361">
        <v>0.81451245145425333</v>
      </c>
      <c r="F246" s="2362">
        <v>0.18548754854574664</v>
      </c>
      <c r="G246" s="2403">
        <f t="shared" ref="G246:G251" si="15">E246+F246</f>
        <v>1</v>
      </c>
      <c r="H246" s="2401">
        <f t="shared" si="11"/>
        <v>0.99999999999999978</v>
      </c>
      <c r="I246" s="2396">
        <v>0.89344561797303224</v>
      </c>
      <c r="J246" s="2397">
        <v>4.5912550572980881E-2</v>
      </c>
      <c r="K246" s="2398">
        <v>6.0641831453986758E-2</v>
      </c>
      <c r="L246" s="2401">
        <f t="shared" si="14"/>
        <v>1</v>
      </c>
      <c r="M246" s="2396">
        <v>0.91704522158412449</v>
      </c>
      <c r="N246" s="2397">
        <v>3.6116316310938826E-2</v>
      </c>
      <c r="O246" s="2411">
        <v>4.683846210493673E-2</v>
      </c>
    </row>
    <row r="247" spans="1:15">
      <c r="A247" s="663">
        <f t="shared" si="13"/>
        <v>2019.1</v>
      </c>
      <c r="B247" s="2357">
        <v>0.74099999999999999</v>
      </c>
      <c r="C247" s="2358">
        <v>0.25900000000000001</v>
      </c>
      <c r="D247" s="2360">
        <f t="shared" si="12"/>
        <v>1</v>
      </c>
      <c r="E247" s="2361">
        <v>0.83200000000000007</v>
      </c>
      <c r="F247" s="2362">
        <v>0.16800000000000001</v>
      </c>
      <c r="G247" s="2403">
        <f t="shared" si="15"/>
        <v>1</v>
      </c>
      <c r="H247" s="2401">
        <f t="shared" si="11"/>
        <v>1</v>
      </c>
      <c r="I247" s="2396">
        <v>0.90721016018990053</v>
      </c>
      <c r="J247" s="2397">
        <v>7.061572182796047E-2</v>
      </c>
      <c r="K247" s="2398">
        <v>2.2174117982139075E-2</v>
      </c>
      <c r="L247" s="2401">
        <f t="shared" si="14"/>
        <v>0.99999999999999989</v>
      </c>
      <c r="M247" s="2396">
        <v>0.93385369152986963</v>
      </c>
      <c r="N247" s="2397">
        <v>2.7926219631629081E-2</v>
      </c>
      <c r="O247" s="2411">
        <v>3.8220088838501177E-2</v>
      </c>
    </row>
    <row r="248" spans="1:15">
      <c r="A248" s="663">
        <f t="shared" si="13"/>
        <v>2019.11</v>
      </c>
      <c r="B248" s="2357">
        <v>0.72699999999999998</v>
      </c>
      <c r="C248" s="2358">
        <v>0.27300000000000002</v>
      </c>
      <c r="D248" s="2360">
        <f t="shared" si="12"/>
        <v>1</v>
      </c>
      <c r="E248" s="2361">
        <v>0.87</v>
      </c>
      <c r="F248" s="2362">
        <v>0.13</v>
      </c>
      <c r="G248" s="2403">
        <f t="shared" si="15"/>
        <v>1</v>
      </c>
      <c r="H248" s="2401">
        <f t="shared" si="11"/>
        <v>0.99999999999999989</v>
      </c>
      <c r="I248" s="2396">
        <v>0.92616879859500489</v>
      </c>
      <c r="J248" s="2397">
        <v>4.1056095734709065E-2</v>
      </c>
      <c r="K248" s="2398">
        <v>3.2775105670285999E-2</v>
      </c>
      <c r="L248" s="2401">
        <f t="shared" si="14"/>
        <v>1</v>
      </c>
      <c r="M248" s="2396">
        <v>0.92068648755892013</v>
      </c>
      <c r="N248" s="2397">
        <v>3.6625435299830235E-2</v>
      </c>
      <c r="O248" s="2411">
        <v>4.2688077141249628E-2</v>
      </c>
    </row>
    <row r="249" spans="1:15">
      <c r="A249" s="663">
        <f t="shared" si="13"/>
        <v>2019.12</v>
      </c>
      <c r="B249" s="2357">
        <v>0.75069860947863631</v>
      </c>
      <c r="C249" s="2358">
        <v>0.24930139052136371</v>
      </c>
      <c r="D249" s="2360">
        <f t="shared" si="12"/>
        <v>1</v>
      </c>
      <c r="E249" s="2361">
        <v>0.80168198127858759</v>
      </c>
      <c r="F249" s="2362">
        <v>0.19831801872141233</v>
      </c>
      <c r="G249" s="2403">
        <f t="shared" si="15"/>
        <v>0.99999999999999989</v>
      </c>
      <c r="H249" s="2401">
        <f t="shared" si="11"/>
        <v>1</v>
      </c>
      <c r="I249" s="2396">
        <v>0.8601255922373684</v>
      </c>
      <c r="J249" s="2397">
        <v>9.9631955979191028E-2</v>
      </c>
      <c r="K249" s="2398">
        <v>4.0242451783440575E-2</v>
      </c>
      <c r="L249" s="2401">
        <f t="shared" si="14"/>
        <v>1</v>
      </c>
      <c r="M249" s="2396">
        <v>0.94338974123470143</v>
      </c>
      <c r="N249" s="2397">
        <v>3.615714799198811E-2</v>
      </c>
      <c r="O249" s="2411">
        <v>2.0453110773310544E-2</v>
      </c>
    </row>
    <row r="250" spans="1:15">
      <c r="A250" s="663">
        <f t="shared" si="13"/>
        <v>2020.01</v>
      </c>
      <c r="B250" s="2357">
        <v>0.71370420653777433</v>
      </c>
      <c r="C250" s="2358">
        <v>0.28629579346222572</v>
      </c>
      <c r="D250" s="2360">
        <f t="shared" si="12"/>
        <v>1</v>
      </c>
      <c r="E250" s="2361">
        <v>0.8823456050365277</v>
      </c>
      <c r="F250" s="2362">
        <v>0.11765439496347231</v>
      </c>
      <c r="G250" s="2403">
        <f t="shared" si="15"/>
        <v>1</v>
      </c>
      <c r="H250" s="2401">
        <f t="shared" si="11"/>
        <v>0.99999999999999989</v>
      </c>
      <c r="I250" s="2396">
        <v>0.89301620165480211</v>
      </c>
      <c r="J250" s="2397">
        <v>8.3532449345671514E-2</v>
      </c>
      <c r="K250" s="2398">
        <v>2.345134899952625E-2</v>
      </c>
      <c r="L250" s="2401">
        <f t="shared" si="14"/>
        <v>1</v>
      </c>
      <c r="M250" s="2396">
        <v>0.91423176713222976</v>
      </c>
      <c r="N250" s="2397">
        <v>3.6596364756671475E-2</v>
      </c>
      <c r="O250" s="2411">
        <v>4.9171868111098763E-2</v>
      </c>
    </row>
    <row r="251" spans="1:15">
      <c r="A251" s="663">
        <f t="shared" si="13"/>
        <v>2020.02</v>
      </c>
      <c r="B251" s="2357">
        <v>0.79994971232084755</v>
      </c>
      <c r="C251" s="2358">
        <v>0.20005028767915239</v>
      </c>
      <c r="D251" s="2360">
        <f t="shared" si="12"/>
        <v>1</v>
      </c>
      <c r="E251" s="2361">
        <v>0.86870187458958892</v>
      </c>
      <c r="F251" s="2362">
        <v>0.13129812541041111</v>
      </c>
      <c r="G251" s="2403">
        <f t="shared" si="15"/>
        <v>1</v>
      </c>
      <c r="H251" s="2401">
        <f t="shared" si="11"/>
        <v>1</v>
      </c>
      <c r="I251" s="2396">
        <v>0.85963324688320897</v>
      </c>
      <c r="J251" s="2397">
        <v>7.0775581944500496E-2</v>
      </c>
      <c r="K251" s="2398">
        <v>6.9591171172290495E-2</v>
      </c>
      <c r="L251" s="2401">
        <f t="shared" si="14"/>
        <v>1</v>
      </c>
      <c r="M251" s="2396">
        <v>0.90633772640298826</v>
      </c>
      <c r="N251" s="2397">
        <v>4.1718460102239237E-2</v>
      </c>
      <c r="O251" s="2411">
        <v>5.1943813494772513E-2</v>
      </c>
    </row>
    <row r="252" spans="1:15">
      <c r="A252" s="663">
        <f t="shared" si="13"/>
        <v>2020.03</v>
      </c>
      <c r="B252" s="2425" t="s">
        <v>230</v>
      </c>
      <c r="C252" s="2427" t="s">
        <v>230</v>
      </c>
      <c r="D252" s="2685" t="s">
        <v>230</v>
      </c>
      <c r="E252" s="2686" t="s">
        <v>230</v>
      </c>
      <c r="F252" s="2427" t="s">
        <v>230</v>
      </c>
      <c r="G252" s="2426" t="s">
        <v>230</v>
      </c>
      <c r="H252" s="2401">
        <f t="shared" si="11"/>
        <v>1.0000001799999998</v>
      </c>
      <c r="I252" s="2396">
        <v>0.91674199999999995</v>
      </c>
      <c r="J252" s="2397">
        <v>2.9517799999999998E-3</v>
      </c>
      <c r="K252" s="2398">
        <v>8.03064E-2</v>
      </c>
      <c r="L252" s="2401">
        <f t="shared" si="14"/>
        <v>0.99999979999999988</v>
      </c>
      <c r="M252" s="2396">
        <v>0.91226299999999994</v>
      </c>
      <c r="N252" s="2397">
        <v>1.2544699999999999E-2</v>
      </c>
      <c r="O252" s="2411">
        <v>7.5192099999999998E-2</v>
      </c>
    </row>
    <row r="253" spans="1:15">
      <c r="A253" s="663">
        <f t="shared" si="13"/>
        <v>2020.04</v>
      </c>
      <c r="B253" s="2428"/>
      <c r="C253" s="2429"/>
      <c r="D253" s="2430"/>
      <c r="E253" s="2428"/>
      <c r="F253" s="2429"/>
      <c r="G253" s="2430"/>
      <c r="H253" s="2401">
        <f t="shared" si="11"/>
        <v>0.99999961999999998</v>
      </c>
      <c r="I253" s="2396">
        <v>0.89935900000000002</v>
      </c>
      <c r="J253" s="2397">
        <v>3.42232E-3</v>
      </c>
      <c r="K253" s="2398">
        <v>9.7218300000000007E-2</v>
      </c>
      <c r="L253" s="2401">
        <f t="shared" si="14"/>
        <v>1.0000002000000001</v>
      </c>
      <c r="M253" s="2396">
        <v>0.88661500000000004</v>
      </c>
      <c r="N253" s="2397">
        <v>1.14062E-2</v>
      </c>
      <c r="O253" s="2411">
        <v>0.101979</v>
      </c>
    </row>
    <row r="254" spans="1:15">
      <c r="A254" s="663">
        <f t="shared" si="13"/>
        <v>2020.05</v>
      </c>
      <c r="B254" s="2428"/>
      <c r="C254" s="2429"/>
      <c r="D254" s="2430"/>
      <c r="E254" s="2428"/>
      <c r="F254" s="2429"/>
      <c r="G254" s="2430"/>
      <c r="H254" s="2401">
        <f t="shared" si="11"/>
        <v>1.0000000000000004</v>
      </c>
      <c r="I254" s="2396">
        <v>0.91360475883112702</v>
      </c>
      <c r="J254" s="2397">
        <v>2.4179841871931299E-2</v>
      </c>
      <c r="K254" s="2398">
        <v>6.2215399296941996E-2</v>
      </c>
      <c r="L254" s="2401">
        <f t="shared" si="14"/>
        <v>1.0000000000000004</v>
      </c>
      <c r="M254" s="2396">
        <v>0.91172006746108591</v>
      </c>
      <c r="N254" s="2397">
        <v>1.7317356129238799E-2</v>
      </c>
      <c r="O254" s="2411">
        <v>7.0962576409675793E-2</v>
      </c>
    </row>
    <row r="255" spans="1:15">
      <c r="A255" s="663">
        <f t="shared" si="13"/>
        <v>2020.06</v>
      </c>
      <c r="B255" s="2428"/>
      <c r="C255" s="2429"/>
      <c r="D255" s="2430"/>
      <c r="E255" s="2428"/>
      <c r="F255" s="2429"/>
      <c r="G255" s="2430"/>
      <c r="H255" s="2401">
        <f>+I255+J255+K255</f>
        <v>1.0000000000000004</v>
      </c>
      <c r="I255" s="2396">
        <v>0.92726914903818891</v>
      </c>
      <c r="J255" s="2397">
        <v>2.5362607272739698E-2</v>
      </c>
      <c r="K255" s="2398">
        <v>4.7368243689071797E-2</v>
      </c>
      <c r="L255" s="2401">
        <f t="shared" si="14"/>
        <v>0.99999999999999967</v>
      </c>
      <c r="M255" s="2396">
        <v>0.93876454579921897</v>
      </c>
      <c r="N255" s="2397">
        <v>1.6958012146108602E-2</v>
      </c>
      <c r="O255" s="2411">
        <v>4.42774420546721E-2</v>
      </c>
    </row>
    <row r="256" spans="1:15">
      <c r="A256" s="663">
        <f t="shared" si="13"/>
        <v>2020.07</v>
      </c>
      <c r="B256" s="2428"/>
      <c r="C256" s="2429"/>
      <c r="D256" s="2430"/>
      <c r="E256" s="2428"/>
      <c r="F256" s="2429"/>
      <c r="G256" s="2430"/>
      <c r="H256" s="2401">
        <f>+M256+N256+O256</f>
        <v>0.99999999999999956</v>
      </c>
      <c r="I256" s="2396">
        <v>0.91476918391170403</v>
      </c>
      <c r="J256" s="2397">
        <v>4.2535510201644901E-2</v>
      </c>
      <c r="K256" s="2398">
        <v>4.26953058866507E-2</v>
      </c>
      <c r="L256" s="2401">
        <f t="shared" si="14"/>
        <v>0.99999999999999956</v>
      </c>
      <c r="M256" s="2396">
        <v>0.89373689655205202</v>
      </c>
      <c r="N256" s="2397">
        <v>6.5387612884167293E-2</v>
      </c>
      <c r="O256" s="2411">
        <v>4.0875490563780301E-2</v>
      </c>
    </row>
    <row r="257" spans="1:15">
      <c r="A257" s="663">
        <f t="shared" si="13"/>
        <v>2020.08</v>
      </c>
      <c r="B257" s="2428"/>
      <c r="C257" s="2429"/>
      <c r="D257" s="2430"/>
      <c r="E257" s="2428"/>
      <c r="F257" s="2429"/>
      <c r="G257" s="2430"/>
      <c r="H257" s="2401">
        <f t="shared" ref="H257:H320" si="16">+I257+J257+K257</f>
        <v>0.99999999999999989</v>
      </c>
      <c r="I257" s="2402">
        <v>0.93089937192416405</v>
      </c>
      <c r="J257" s="2397">
        <v>4.7499558004178696E-2</v>
      </c>
      <c r="K257" s="2398">
        <v>2.1601070071657097E-2</v>
      </c>
      <c r="L257" s="2401">
        <f t="shared" ref="L257:L320" si="17">M257+N257+O257</f>
        <v>0.99999999999999989</v>
      </c>
      <c r="M257" s="2362">
        <v>0.94355512990650192</v>
      </c>
      <c r="N257" s="2362">
        <v>4.2506016124508996E-3</v>
      </c>
      <c r="O257" s="2417">
        <v>5.2194268481046996E-2</v>
      </c>
    </row>
    <row r="258" spans="1:15">
      <c r="A258" s="663">
        <f t="shared" si="13"/>
        <v>2020.09</v>
      </c>
      <c r="B258" s="2428"/>
      <c r="C258" s="2429"/>
      <c r="D258" s="2430"/>
      <c r="E258" s="2428"/>
      <c r="F258" s="2429"/>
      <c r="G258" s="2430"/>
      <c r="H258" s="2401">
        <f>+I258+J258+K258</f>
        <v>1</v>
      </c>
      <c r="I258" s="2402">
        <v>0.92855225260484209</v>
      </c>
      <c r="J258" s="2402">
        <v>5.3225926393468598E-2</v>
      </c>
      <c r="K258" s="2398">
        <v>1.8221821001689401E-2</v>
      </c>
      <c r="L258" s="2401">
        <f>M258+N258+O258</f>
        <v>1</v>
      </c>
      <c r="M258" s="2402">
        <v>0.90294144089019701</v>
      </c>
      <c r="N258" s="2402">
        <v>4.21765750681872E-2</v>
      </c>
      <c r="O258" s="2411">
        <v>5.48819840416159E-2</v>
      </c>
    </row>
    <row r="259" spans="1:15">
      <c r="A259" s="663">
        <f t="shared" si="13"/>
        <v>2020.1</v>
      </c>
      <c r="B259" s="2428"/>
      <c r="C259" s="2429"/>
      <c r="D259" s="2430"/>
      <c r="E259" s="2428"/>
      <c r="F259" s="2429"/>
      <c r="G259" s="2430"/>
      <c r="H259" s="2401">
        <f>+I259+J259+K259</f>
        <v>1.0000000000000002</v>
      </c>
      <c r="I259" s="2402">
        <v>0.90578776268088501</v>
      </c>
      <c r="J259" s="2402">
        <v>6.2233254896643803E-2</v>
      </c>
      <c r="K259" s="2398">
        <v>3.1978982422471498E-2</v>
      </c>
      <c r="L259" s="2401">
        <f t="shared" si="17"/>
        <v>1.0000000000000004</v>
      </c>
      <c r="M259" s="2402">
        <v>0.91855157539296006</v>
      </c>
      <c r="N259" s="2402">
        <v>2.9004176916389502E-2</v>
      </c>
      <c r="O259" s="2411">
        <v>5.2444247690650904E-2</v>
      </c>
    </row>
    <row r="260" spans="1:15">
      <c r="A260" s="663">
        <f t="shared" si="13"/>
        <v>2020.11</v>
      </c>
      <c r="B260" s="2428"/>
      <c r="C260" s="2429"/>
      <c r="D260" s="2430"/>
      <c r="E260" s="2428"/>
      <c r="F260" s="2429"/>
      <c r="G260" s="2430"/>
      <c r="H260" s="2401">
        <f t="shared" si="16"/>
        <v>0.99999999999999978</v>
      </c>
      <c r="I260" s="2402">
        <v>0.90112881794539401</v>
      </c>
      <c r="J260" s="2402">
        <v>8.4221510639012995E-2</v>
      </c>
      <c r="K260" s="2398">
        <v>1.4649671415592799E-2</v>
      </c>
      <c r="L260" s="2401">
        <f t="shared" si="17"/>
        <v>0.99999999999999967</v>
      </c>
      <c r="M260" s="2402">
        <v>0.94208206960059793</v>
      </c>
      <c r="N260" s="2402">
        <v>3.5701926347825499E-2</v>
      </c>
      <c r="O260" s="2411">
        <v>2.2216004051576199E-2</v>
      </c>
    </row>
    <row r="261" spans="1:15">
      <c r="A261" s="663">
        <f t="shared" si="13"/>
        <v>2020.12</v>
      </c>
      <c r="B261" s="2428"/>
      <c r="C261" s="2429"/>
      <c r="D261" s="2430"/>
      <c r="E261" s="2428"/>
      <c r="F261" s="2429"/>
      <c r="G261" s="2430"/>
      <c r="H261" s="2401">
        <f t="shared" si="16"/>
        <v>1.0000000000000004</v>
      </c>
      <c r="I261" s="2402">
        <v>0.92718090669314401</v>
      </c>
      <c r="J261" s="2402">
        <v>6.8386570492598595E-2</v>
      </c>
      <c r="K261" s="2398">
        <v>4.4325228142579097E-3</v>
      </c>
      <c r="L261" s="2401">
        <f t="shared" si="17"/>
        <v>0.99999999999999967</v>
      </c>
      <c r="M261" s="2402">
        <v>0.94749008806151191</v>
      </c>
      <c r="N261" s="2402">
        <v>2.6856716523094799E-2</v>
      </c>
      <c r="O261" s="2411">
        <v>2.5653195415392901E-2</v>
      </c>
    </row>
    <row r="262" spans="1:15">
      <c r="A262" s="663">
        <f t="shared" si="13"/>
        <v>2021.01</v>
      </c>
      <c r="B262" s="2428"/>
      <c r="C262" s="2429"/>
      <c r="D262" s="2430"/>
      <c r="E262" s="2428"/>
      <c r="F262" s="2429"/>
      <c r="G262" s="2430"/>
      <c r="H262" s="2401">
        <f t="shared" si="16"/>
        <v>0.99999999999999989</v>
      </c>
      <c r="I262" s="2402">
        <v>0.92414189137640801</v>
      </c>
      <c r="J262" s="2402">
        <v>5.3845166233722E-2</v>
      </c>
      <c r="K262" s="2398">
        <v>2.2012942389869797E-2</v>
      </c>
      <c r="L262" s="2401">
        <f t="shared" si="17"/>
        <v>0.99999999999999989</v>
      </c>
      <c r="M262" s="2402">
        <v>0.94948506916285491</v>
      </c>
      <c r="N262" s="2402">
        <v>3.32290543265902E-2</v>
      </c>
      <c r="O262" s="2411">
        <v>1.7285876510554802E-2</v>
      </c>
    </row>
    <row r="263" spans="1:15">
      <c r="A263" s="663">
        <f t="shared" si="13"/>
        <v>2021.02</v>
      </c>
      <c r="B263" s="2428"/>
      <c r="C263" s="2429"/>
      <c r="D263" s="2430"/>
      <c r="E263" s="2428"/>
      <c r="F263" s="2429"/>
      <c r="G263" s="2430"/>
      <c r="H263" s="2401">
        <f t="shared" si="16"/>
        <v>1.0000000000000002</v>
      </c>
      <c r="I263" s="2402">
        <v>0.92320484916170897</v>
      </c>
      <c r="J263" s="2402">
        <v>6.4718110085514896E-2</v>
      </c>
      <c r="K263" s="2398">
        <v>1.2077040752776401E-2</v>
      </c>
      <c r="L263" s="2401">
        <f t="shared" si="17"/>
        <v>0.99999999999999967</v>
      </c>
      <c r="M263" s="2402">
        <v>0.91176139833054193</v>
      </c>
      <c r="N263" s="2402">
        <v>6.7838425434595201E-2</v>
      </c>
      <c r="O263" s="2411">
        <v>2.0400176234862601E-2</v>
      </c>
    </row>
    <row r="264" spans="1:15">
      <c r="A264" s="663">
        <f t="shared" si="13"/>
        <v>2021.03</v>
      </c>
      <c r="B264" s="2428"/>
      <c r="C264" s="2429"/>
      <c r="D264" s="2430"/>
      <c r="E264" s="2428"/>
      <c r="F264" s="2429"/>
      <c r="G264" s="2430"/>
      <c r="H264" s="2401">
        <f t="shared" si="16"/>
        <v>0.99999999999999944</v>
      </c>
      <c r="I264" s="2402">
        <v>0.91778437114846101</v>
      </c>
      <c r="J264" s="2402">
        <v>6.6972540952164802E-2</v>
      </c>
      <c r="K264" s="2398">
        <v>1.5243087899373699E-2</v>
      </c>
      <c r="L264" s="2401">
        <f t="shared" si="17"/>
        <v>0.99999999999999978</v>
      </c>
      <c r="M264" s="2402">
        <v>0.95017127997204998</v>
      </c>
      <c r="N264" s="2402">
        <v>4.4180395252543796E-2</v>
      </c>
      <c r="O264" s="2411">
        <v>5.6483247754060299E-3</v>
      </c>
    </row>
    <row r="265" spans="1:15">
      <c r="A265" s="663">
        <f t="shared" si="13"/>
        <v>2021.04</v>
      </c>
      <c r="B265" s="2428"/>
      <c r="C265" s="2429"/>
      <c r="D265" s="2430"/>
      <c r="E265" s="2428"/>
      <c r="F265" s="2429"/>
      <c r="G265" s="2430"/>
      <c r="H265" s="2401">
        <f t="shared" si="16"/>
        <v>1.0000000000000002</v>
      </c>
      <c r="I265" s="2402">
        <v>0.89830070397736805</v>
      </c>
      <c r="J265" s="2402">
        <v>8.579817898174151E-2</v>
      </c>
      <c r="K265" s="2398">
        <v>1.5901117040890599E-2</v>
      </c>
      <c r="L265" s="2401">
        <f t="shared" si="17"/>
        <v>1.0000000000000002</v>
      </c>
      <c r="M265" s="2402">
        <v>0.91404515278220599</v>
      </c>
      <c r="N265" s="2402">
        <v>4.3679114756567897E-2</v>
      </c>
      <c r="O265" s="2411">
        <v>4.2275732461226304E-2</v>
      </c>
    </row>
    <row r="266" spans="1:15">
      <c r="A266" s="663">
        <f t="shared" si="13"/>
        <v>2021.05</v>
      </c>
      <c r="B266" s="2428"/>
      <c r="C266" s="2429"/>
      <c r="D266" s="2430"/>
      <c r="E266" s="2428"/>
      <c r="F266" s="2429"/>
      <c r="G266" s="2430"/>
      <c r="H266" s="2401">
        <f t="shared" si="16"/>
        <v>0.99999999999999989</v>
      </c>
      <c r="I266" s="2402">
        <v>0.91304814758297892</v>
      </c>
      <c r="J266" s="2402">
        <v>6.23824080094545E-2</v>
      </c>
      <c r="K266" s="2398">
        <v>2.4569444407566497E-2</v>
      </c>
      <c r="L266" s="2401">
        <f t="shared" si="17"/>
        <v>1.0000000000000007</v>
      </c>
      <c r="M266" s="2402">
        <v>0.97605886726610391</v>
      </c>
      <c r="N266" s="2402">
        <v>6.5293996866715798E-3</v>
      </c>
      <c r="O266" s="2411">
        <v>1.7411733047225101E-2</v>
      </c>
    </row>
    <row r="267" spans="1:15">
      <c r="A267" s="663">
        <f t="shared" si="13"/>
        <v>2021.06</v>
      </c>
      <c r="B267" s="2428"/>
      <c r="C267" s="2429"/>
      <c r="D267" s="2430"/>
      <c r="E267" s="2428"/>
      <c r="F267" s="2429"/>
      <c r="G267" s="2430"/>
      <c r="H267" s="2401">
        <f t="shared" si="16"/>
        <v>1</v>
      </c>
      <c r="I267" s="2402">
        <v>0.89628757389853997</v>
      </c>
      <c r="J267" s="2402">
        <v>9.5654446788004902E-2</v>
      </c>
      <c r="K267" s="2398">
        <v>8.0579793134551211E-3</v>
      </c>
      <c r="L267" s="2401">
        <f t="shared" si="17"/>
        <v>0.99999999999999956</v>
      </c>
      <c r="M267" s="2402">
        <v>0.93668782292673791</v>
      </c>
      <c r="N267" s="2402">
        <v>2.7697773902722E-2</v>
      </c>
      <c r="O267" s="2411">
        <v>3.5614403170539696E-2</v>
      </c>
    </row>
    <row r="268" spans="1:15">
      <c r="A268" s="663">
        <f t="shared" si="13"/>
        <v>2021.07</v>
      </c>
      <c r="B268" s="2428"/>
      <c r="C268" s="2429"/>
      <c r="D268" s="2430"/>
      <c r="E268" s="2428"/>
      <c r="F268" s="2429"/>
      <c r="G268" s="2430"/>
      <c r="H268" s="2401">
        <f t="shared" si="16"/>
        <v>0.99999999999999989</v>
      </c>
      <c r="I268" s="2402">
        <v>0.91287496821923597</v>
      </c>
      <c r="J268" s="2402">
        <v>7.5276823346143398E-2</v>
      </c>
      <c r="K268" s="2398">
        <v>1.18482084346205E-2</v>
      </c>
      <c r="L268" s="2401">
        <f t="shared" si="17"/>
        <v>1.0000000000000004</v>
      </c>
      <c r="M268" s="2402">
        <v>0.9374944003173481</v>
      </c>
      <c r="N268" s="2402">
        <v>3.6728622762410096E-2</v>
      </c>
      <c r="O268" s="2411">
        <v>2.5776976920242299E-2</v>
      </c>
    </row>
    <row r="269" spans="1:15">
      <c r="A269" s="663">
        <f t="shared" si="13"/>
        <v>2021.08</v>
      </c>
      <c r="B269" s="2428"/>
      <c r="C269" s="2429"/>
      <c r="D269" s="2430"/>
      <c r="E269" s="2428"/>
      <c r="F269" s="2429"/>
      <c r="G269" s="2430"/>
      <c r="H269" s="2401">
        <f t="shared" si="16"/>
        <v>1.0000000000000004</v>
      </c>
      <c r="I269" s="2402">
        <v>0.89013025051132</v>
      </c>
      <c r="J269" s="2402">
        <v>9.5626532802135789E-2</v>
      </c>
      <c r="K269" s="2398">
        <v>1.42432166865448E-2</v>
      </c>
      <c r="L269" s="2401">
        <f t="shared" si="17"/>
        <v>1.0000000000000002</v>
      </c>
      <c r="M269" s="2402">
        <v>0.93356396392965091</v>
      </c>
      <c r="N269" s="2402">
        <v>5.1740130584541702E-2</v>
      </c>
      <c r="O269" s="2411">
        <v>1.4695905485807499E-2</v>
      </c>
    </row>
    <row r="270" spans="1:15">
      <c r="A270" s="663">
        <f t="shared" si="13"/>
        <v>2021.09</v>
      </c>
      <c r="B270" s="2428"/>
      <c r="C270" s="2429"/>
      <c r="D270" s="2430"/>
      <c r="E270" s="2428"/>
      <c r="F270" s="2429"/>
      <c r="G270" s="2430"/>
      <c r="H270" s="2401">
        <f t="shared" si="16"/>
        <v>0.99999999999999978</v>
      </c>
      <c r="I270" s="2402">
        <v>0.91716365211988404</v>
      </c>
      <c r="J270" s="2402">
        <v>6.9939953196901494E-2</v>
      </c>
      <c r="K270" s="2398">
        <v>1.2896394683214201E-2</v>
      </c>
      <c r="L270" s="2401">
        <f t="shared" si="17"/>
        <v>1.0000000000000004</v>
      </c>
      <c r="M270" s="2402">
        <v>0.94351842155098797</v>
      </c>
      <c r="N270" s="2402">
        <v>4.0463912863915999E-2</v>
      </c>
      <c r="O270" s="2411">
        <v>1.6017665585096399E-2</v>
      </c>
    </row>
    <row r="271" spans="1:15">
      <c r="A271" s="663">
        <f t="shared" si="13"/>
        <v>2021.1</v>
      </c>
      <c r="B271" s="2428"/>
      <c r="C271" s="2429"/>
      <c r="D271" s="2430"/>
      <c r="E271" s="2428"/>
      <c r="F271" s="2429"/>
      <c r="G271" s="2430"/>
      <c r="H271" s="2401">
        <f t="shared" si="16"/>
        <v>0.99999999999999889</v>
      </c>
      <c r="I271" s="2402">
        <v>0.84816910204083995</v>
      </c>
      <c r="J271" s="2402">
        <v>0.13459444318133601</v>
      </c>
      <c r="K271" s="2398">
        <v>1.7236454777822999E-2</v>
      </c>
      <c r="L271" s="2401">
        <f t="shared" si="17"/>
        <v>1.0000000000000002</v>
      </c>
      <c r="M271" s="2402">
        <v>0.94570013094388106</v>
      </c>
      <c r="N271" s="2402">
        <v>4.2323218210687498E-2</v>
      </c>
      <c r="O271" s="2411">
        <v>1.19766508454316E-2</v>
      </c>
    </row>
    <row r="272" spans="1:15">
      <c r="A272" s="663">
        <f t="shared" si="13"/>
        <v>2021.11</v>
      </c>
      <c r="B272" s="2428"/>
      <c r="C272" s="2429"/>
      <c r="D272" s="2430"/>
      <c r="E272" s="2428"/>
      <c r="F272" s="2429"/>
      <c r="G272" s="2430"/>
      <c r="H272" s="2401">
        <f t="shared" si="16"/>
        <v>0.99999999999999967</v>
      </c>
      <c r="I272" s="2402">
        <v>0.89973661949577599</v>
      </c>
      <c r="J272" s="2402">
        <v>9.2327022537391501E-2</v>
      </c>
      <c r="K272" s="2398">
        <v>7.9363579668322807E-3</v>
      </c>
      <c r="L272" s="2401">
        <f t="shared" si="17"/>
        <v>1.0000000000000002</v>
      </c>
      <c r="M272" s="2402">
        <v>0.9585412905596119</v>
      </c>
      <c r="N272" s="2402">
        <v>2.5390156002205198E-2</v>
      </c>
      <c r="O272" s="2411">
        <v>1.6068553438183201E-2</v>
      </c>
    </row>
    <row r="273" spans="1:15">
      <c r="A273" s="663">
        <f t="shared" si="13"/>
        <v>2021.12</v>
      </c>
      <c r="B273" s="2428"/>
      <c r="C273" s="2429"/>
      <c r="D273" s="2430"/>
      <c r="E273" s="2428"/>
      <c r="F273" s="2429"/>
      <c r="G273" s="2430"/>
      <c r="H273" s="2401">
        <f t="shared" si="16"/>
        <v>1.0000000000000004</v>
      </c>
      <c r="I273" s="2402">
        <v>0.87617851283410308</v>
      </c>
      <c r="J273" s="2402">
        <v>0.10367766181952201</v>
      </c>
      <c r="K273" s="2398">
        <v>2.0143825346375301E-2</v>
      </c>
      <c r="L273" s="2401">
        <f>M273+N273+O273</f>
        <v>0.99999999999999956</v>
      </c>
      <c r="M273" s="2402">
        <v>0.91995955333684809</v>
      </c>
      <c r="N273" s="2402">
        <v>4.5824469958177801E-2</v>
      </c>
      <c r="O273" s="2411">
        <v>3.42159767049737E-2</v>
      </c>
    </row>
    <row r="274" spans="1:15">
      <c r="A274" s="663">
        <f t="shared" si="13"/>
        <v>2022.01</v>
      </c>
      <c r="B274" s="2428"/>
      <c r="C274" s="2429"/>
      <c r="D274" s="2430"/>
      <c r="E274" s="2428"/>
      <c r="F274" s="2429"/>
      <c r="G274" s="2430"/>
      <c r="H274" s="2401">
        <f t="shared" si="16"/>
        <v>0.99999999999999989</v>
      </c>
      <c r="I274" s="2402">
        <v>0.86795774034592399</v>
      </c>
      <c r="J274" s="2402">
        <v>0.121230751517079</v>
      </c>
      <c r="K274" s="2398">
        <v>1.0811508136996899E-2</v>
      </c>
      <c r="L274" s="2401">
        <f t="shared" si="17"/>
        <v>1</v>
      </c>
      <c r="M274" s="2402">
        <v>0.94586741053746703</v>
      </c>
      <c r="N274" s="2402">
        <v>3.52331299950219E-2</v>
      </c>
      <c r="O274" s="2411">
        <v>1.88994594675111E-2</v>
      </c>
    </row>
    <row r="275" spans="1:15">
      <c r="A275" s="663">
        <f t="shared" si="13"/>
        <v>2022.02</v>
      </c>
      <c r="B275" s="2428"/>
      <c r="C275" s="2429"/>
      <c r="D275" s="2430"/>
      <c r="E275" s="2428"/>
      <c r="F275" s="2429"/>
      <c r="G275" s="2430"/>
      <c r="H275" s="2401">
        <f t="shared" si="16"/>
        <v>1.0000000000000002</v>
      </c>
      <c r="I275" s="2402">
        <v>0.90441845930889597</v>
      </c>
      <c r="J275" s="2402">
        <v>8.5616597295050292E-2</v>
      </c>
      <c r="K275" s="2402">
        <v>9.9649433960538603E-3</v>
      </c>
      <c r="L275" s="2401">
        <f>M275+N275+O275</f>
        <v>0.99999999999999989</v>
      </c>
      <c r="M275" s="2402">
        <v>0.92945308936106796</v>
      </c>
      <c r="N275" s="2402">
        <v>5.4969139075540199E-2</v>
      </c>
      <c r="O275" s="2411">
        <v>1.55777715633917E-2</v>
      </c>
    </row>
    <row r="276" spans="1:15">
      <c r="A276" s="663">
        <f t="shared" si="13"/>
        <v>2022.03</v>
      </c>
      <c r="B276" s="2428"/>
      <c r="C276" s="2429"/>
      <c r="D276" s="2430"/>
      <c r="E276" s="2428"/>
      <c r="F276" s="2429"/>
      <c r="G276" s="2430"/>
      <c r="H276" s="2401">
        <f t="shared" si="16"/>
        <v>1.0000000000000002</v>
      </c>
      <c r="I276" s="2402">
        <v>0.89133737772536403</v>
      </c>
      <c r="J276" s="2402">
        <v>8.5770660570840804E-2</v>
      </c>
      <c r="K276" s="2398">
        <v>2.2891961703795399E-2</v>
      </c>
      <c r="L276" s="2401">
        <f t="shared" si="17"/>
        <v>0.99999999999999989</v>
      </c>
      <c r="M276" s="2402">
        <v>0.93048639066649297</v>
      </c>
      <c r="N276" s="2402">
        <v>5.4951517047959503E-2</v>
      </c>
      <c r="O276" s="2411">
        <v>1.45620922855474E-2</v>
      </c>
    </row>
    <row r="277" spans="1:15">
      <c r="A277" s="663">
        <f t="shared" si="13"/>
        <v>2022.04</v>
      </c>
      <c r="B277" s="2428"/>
      <c r="C277" s="2429"/>
      <c r="D277" s="2430"/>
      <c r="E277" s="2428"/>
      <c r="F277" s="2429"/>
      <c r="G277" s="2430"/>
      <c r="H277" s="2401">
        <f t="shared" si="16"/>
        <v>0.99999999999999989</v>
      </c>
      <c r="I277" s="2402">
        <v>0.90922909847463496</v>
      </c>
      <c r="J277" s="2402">
        <v>8.4434967865178609E-2</v>
      </c>
      <c r="K277" s="2398">
        <v>6.3359336601863702E-3</v>
      </c>
      <c r="L277" s="2401">
        <f t="shared" si="17"/>
        <v>1.0000000000000002</v>
      </c>
      <c r="M277" s="2402">
        <v>0.94357884968500894</v>
      </c>
      <c r="N277" s="2402">
        <v>4.4579624189037804E-2</v>
      </c>
      <c r="O277" s="2411">
        <v>1.1841526125953501E-2</v>
      </c>
    </row>
    <row r="278" spans="1:15">
      <c r="A278" s="663">
        <f t="shared" si="13"/>
        <v>2022.05</v>
      </c>
      <c r="B278" s="2428"/>
      <c r="C278" s="2429"/>
      <c r="D278" s="2430"/>
      <c r="E278" s="2428"/>
      <c r="F278" s="2429"/>
      <c r="G278" s="2430"/>
      <c r="H278" s="2401">
        <f t="shared" si="16"/>
        <v>0.99999999999999933</v>
      </c>
      <c r="I278" s="2402">
        <v>0.86916208215456603</v>
      </c>
      <c r="J278" s="2402">
        <v>0.123263687612836</v>
      </c>
      <c r="K278" s="2398">
        <v>7.5742302325972595E-3</v>
      </c>
      <c r="L278" s="2401">
        <f t="shared" si="17"/>
        <v>0.99999999999999989</v>
      </c>
      <c r="M278" s="2402">
        <v>0.93202887398463796</v>
      </c>
      <c r="N278" s="2402">
        <v>5.5078962035772901E-2</v>
      </c>
      <c r="O278" s="2411">
        <v>1.2892163979589E-2</v>
      </c>
    </row>
    <row r="279" spans="1:15">
      <c r="A279" s="663">
        <f t="shared" si="13"/>
        <v>2022.06</v>
      </c>
      <c r="B279" s="2428"/>
      <c r="C279" s="2429"/>
      <c r="D279" s="2430"/>
      <c r="E279" s="2428"/>
      <c r="F279" s="2429"/>
      <c r="G279" s="2430"/>
      <c r="H279" s="2401">
        <f t="shared" si="16"/>
        <v>0.99999999999999989</v>
      </c>
      <c r="I279" s="2402">
        <v>0.92186282785727902</v>
      </c>
      <c r="J279" s="2402">
        <v>7.0867272911047191E-2</v>
      </c>
      <c r="K279" s="2398">
        <v>7.2698992316736002E-3</v>
      </c>
      <c r="L279" s="2401">
        <f t="shared" si="17"/>
        <v>1.0000000000000002</v>
      </c>
      <c r="M279" s="2402">
        <v>0.92947429973054696</v>
      </c>
      <c r="N279" s="2402">
        <v>5.9240187577462598E-2</v>
      </c>
      <c r="O279" s="2411">
        <v>1.12855126919907E-2</v>
      </c>
    </row>
    <row r="280" spans="1:15">
      <c r="A280" s="663">
        <f t="shared" si="13"/>
        <v>2022.07</v>
      </c>
      <c r="B280" s="2428"/>
      <c r="C280" s="2429"/>
      <c r="D280" s="2430"/>
      <c r="E280" s="2428"/>
      <c r="F280" s="2429"/>
      <c r="G280" s="2430"/>
      <c r="H280" s="2401">
        <f t="shared" si="16"/>
        <v>1</v>
      </c>
      <c r="I280" s="2402">
        <v>0.86846551699665597</v>
      </c>
      <c r="J280" s="2402">
        <v>0.10812946060336501</v>
      </c>
      <c r="K280" s="2398">
        <v>2.3405022399979002E-2</v>
      </c>
      <c r="L280" s="2401">
        <f t="shared" si="17"/>
        <v>0.99999999999999956</v>
      </c>
      <c r="M280" s="2402">
        <v>0.92837259634271108</v>
      </c>
      <c r="N280" s="2402">
        <v>6.1606247861642698E-2</v>
      </c>
      <c r="O280" s="2411">
        <v>1.00211557956458E-2</v>
      </c>
    </row>
    <row r="281" spans="1:15">
      <c r="A281" s="663">
        <f t="shared" si="13"/>
        <v>2022.08</v>
      </c>
      <c r="B281" s="2428"/>
      <c r="C281" s="2429"/>
      <c r="D281" s="2430"/>
      <c r="E281" s="2428"/>
      <c r="F281" s="2429"/>
      <c r="G281" s="2430"/>
      <c r="H281" s="2401">
        <f t="shared" si="16"/>
        <v>0.99999999999999911</v>
      </c>
      <c r="I281" s="2402">
        <v>0.87299151052617807</v>
      </c>
      <c r="J281" s="2402">
        <v>0.104823471891411</v>
      </c>
      <c r="K281" s="2398">
        <v>2.2185017582410097E-2</v>
      </c>
      <c r="L281" s="2401">
        <f t="shared" si="17"/>
        <v>1.0000000000000002</v>
      </c>
      <c r="M281" s="2402">
        <v>0.9076914217628359</v>
      </c>
      <c r="N281" s="2402">
        <v>7.7610064205462501E-2</v>
      </c>
      <c r="O281" s="2411">
        <v>1.4698514031701899E-2</v>
      </c>
    </row>
    <row r="282" spans="1:15">
      <c r="A282" s="663">
        <f t="shared" si="13"/>
        <v>2022.09</v>
      </c>
      <c r="B282" s="2428"/>
      <c r="C282" s="2429"/>
      <c r="D282" s="2430"/>
      <c r="E282" s="2428"/>
      <c r="F282" s="2429"/>
      <c r="G282" s="2430"/>
      <c r="H282" s="2401">
        <f t="shared" si="16"/>
        <v>0.99999999999999978</v>
      </c>
      <c r="I282" s="2402">
        <v>0.90998296778473498</v>
      </c>
      <c r="J282" s="2402">
        <v>6.8376888103905104E-2</v>
      </c>
      <c r="K282" s="2398">
        <v>2.1640144111359699E-2</v>
      </c>
      <c r="L282" s="2401">
        <f t="shared" si="17"/>
        <v>1</v>
      </c>
      <c r="M282" s="2402">
        <v>0.94672984968532903</v>
      </c>
      <c r="N282" s="2402">
        <v>4.5549246699831396E-2</v>
      </c>
      <c r="O282" s="2411">
        <v>7.72090361483963E-3</v>
      </c>
    </row>
    <row r="283" spans="1:15">
      <c r="A283" s="663">
        <f t="shared" si="13"/>
        <v>2022.1</v>
      </c>
      <c r="B283" s="2428"/>
      <c r="C283" s="2429"/>
      <c r="D283" s="2430"/>
      <c r="E283" s="2428"/>
      <c r="F283" s="2429"/>
      <c r="G283" s="2430"/>
      <c r="H283" s="2401">
        <f t="shared" si="16"/>
        <v>0.99999999999999967</v>
      </c>
      <c r="I283" s="2402">
        <v>0.88863570946303294</v>
      </c>
      <c r="J283" s="2402">
        <v>9.00786215199227E-2</v>
      </c>
      <c r="K283" s="2398">
        <v>2.1285669017044002E-2</v>
      </c>
      <c r="L283" s="2401">
        <f t="shared" si="17"/>
        <v>0.99999999999999944</v>
      </c>
      <c r="M283" s="2402">
        <v>0.92133347546301192</v>
      </c>
      <c r="N283" s="2402">
        <v>7.5013438760475906E-2</v>
      </c>
      <c r="O283" s="2411">
        <v>3.6530857765115898E-3</v>
      </c>
    </row>
    <row r="284" spans="1:15">
      <c r="A284" s="663">
        <f t="shared" si="13"/>
        <v>2022.11</v>
      </c>
      <c r="B284" s="2428"/>
      <c r="C284" s="2429"/>
      <c r="D284" s="2430"/>
      <c r="E284" s="2428"/>
      <c r="F284" s="2429"/>
      <c r="G284" s="2430"/>
      <c r="H284" s="2401">
        <f t="shared" si="16"/>
        <v>0.99999999999999967</v>
      </c>
      <c r="I284" s="2402">
        <v>0.92302840981187406</v>
      </c>
      <c r="J284" s="2402">
        <v>6.5750898025538393E-2</v>
      </c>
      <c r="K284" s="2398">
        <v>1.12206921625873E-2</v>
      </c>
      <c r="L284" s="2401">
        <f t="shared" si="17"/>
        <v>1</v>
      </c>
      <c r="M284" s="2402">
        <v>0.95287338594495496</v>
      </c>
      <c r="N284" s="2402">
        <v>3.9598023825851002E-2</v>
      </c>
      <c r="O284" s="2411">
        <v>7.5285902291939997E-3</v>
      </c>
    </row>
    <row r="285" spans="1:15">
      <c r="A285" s="663">
        <f t="shared" si="13"/>
        <v>2022.12</v>
      </c>
      <c r="B285" s="2428"/>
      <c r="C285" s="2429"/>
      <c r="D285" s="2430"/>
      <c r="E285" s="2428"/>
      <c r="F285" s="2429"/>
      <c r="G285" s="2430"/>
      <c r="H285" s="2401">
        <f t="shared" si="16"/>
        <v>1.0000000000000002</v>
      </c>
      <c r="I285" s="2402">
        <v>0.92695926262379003</v>
      </c>
      <c r="J285" s="2402">
        <v>6.8680994116620903E-2</v>
      </c>
      <c r="K285" s="2398">
        <v>4.3597432595893302E-3</v>
      </c>
      <c r="L285" s="2401">
        <f t="shared" si="17"/>
        <v>1.0000000000000002</v>
      </c>
      <c r="M285" s="2402">
        <v>0.92855570716707503</v>
      </c>
      <c r="N285" s="2402">
        <v>4.5310653062327601E-2</v>
      </c>
      <c r="O285" s="2411">
        <v>2.61336397705976E-2</v>
      </c>
    </row>
    <row r="286" spans="1:15">
      <c r="A286" s="663">
        <f t="shared" si="13"/>
        <v>2023.01</v>
      </c>
      <c r="B286" s="2428"/>
      <c r="C286" s="2429"/>
      <c r="D286" s="2430"/>
      <c r="E286" s="2428"/>
      <c r="F286" s="2429"/>
      <c r="G286" s="2430"/>
      <c r="H286" s="2401">
        <f t="shared" si="16"/>
        <v>1.0000000000000002</v>
      </c>
      <c r="I286" s="2402">
        <v>0.92489874379673098</v>
      </c>
      <c r="J286" s="2402">
        <v>6.1841835316882594E-2</v>
      </c>
      <c r="K286" s="2398">
        <v>1.3259420886386599E-2</v>
      </c>
      <c r="L286" s="2401">
        <f t="shared" si="17"/>
        <v>1.0000000000000002</v>
      </c>
      <c r="M286" s="2402">
        <v>0.90540344331087097</v>
      </c>
      <c r="N286" s="2402">
        <v>7.4560677757104704E-2</v>
      </c>
      <c r="O286" s="2411">
        <v>2.00358789320246E-2</v>
      </c>
    </row>
    <row r="287" spans="1:15">
      <c r="A287" s="663">
        <f t="shared" si="13"/>
        <v>2023.02</v>
      </c>
      <c r="B287" s="2428"/>
      <c r="C287" s="2429"/>
      <c r="D287" s="2430"/>
      <c r="E287" s="2428"/>
      <c r="F287" s="2429"/>
      <c r="G287" s="2430"/>
      <c r="H287" s="2401">
        <f t="shared" si="16"/>
        <v>0.99999999999999967</v>
      </c>
      <c r="I287" s="2402">
        <v>0.92548521066104106</v>
      </c>
      <c r="J287" s="2402">
        <v>5.4342024612313994E-2</v>
      </c>
      <c r="K287" s="2398">
        <v>2.0172764726644598E-2</v>
      </c>
      <c r="L287" s="2401">
        <f t="shared" si="17"/>
        <v>0.99999999999999944</v>
      </c>
      <c r="M287" s="2402">
        <v>0.92263929206133599</v>
      </c>
      <c r="N287" s="2402">
        <v>5.3817725071451702E-2</v>
      </c>
      <c r="O287" s="2411">
        <v>2.3542982867211803E-2</v>
      </c>
    </row>
    <row r="288" spans="1:15">
      <c r="A288" s="663">
        <f t="shared" si="13"/>
        <v>2023.03</v>
      </c>
      <c r="B288" s="2428"/>
      <c r="C288" s="2429"/>
      <c r="D288" s="2430"/>
      <c r="E288" s="2428"/>
      <c r="F288" s="2429"/>
      <c r="G288" s="2430"/>
      <c r="H288" s="2401">
        <f t="shared" si="16"/>
        <v>0.99999999999999956</v>
      </c>
      <c r="I288" s="2402">
        <v>0.88527919673546096</v>
      </c>
      <c r="J288" s="2402">
        <v>8.6639409101123804E-2</v>
      </c>
      <c r="K288" s="2398">
        <v>2.8081394163414802E-2</v>
      </c>
      <c r="L288" s="2401">
        <f t="shared" si="17"/>
        <v>0.99999999999999956</v>
      </c>
      <c r="M288" s="2402">
        <v>0.91547701112436097</v>
      </c>
      <c r="N288" s="2402">
        <v>7.1825650921800099E-2</v>
      </c>
      <c r="O288" s="2411">
        <v>1.2697337953838398E-2</v>
      </c>
    </row>
    <row r="289" spans="1:15">
      <c r="A289" s="663">
        <f t="shared" si="13"/>
        <v>2023.04</v>
      </c>
      <c r="B289" s="2428"/>
      <c r="C289" s="2429"/>
      <c r="D289" s="2430"/>
      <c r="E289" s="2428"/>
      <c r="F289" s="2429"/>
      <c r="G289" s="2430"/>
      <c r="H289" s="2401">
        <f t="shared" si="16"/>
        <v>1</v>
      </c>
      <c r="I289" s="2402">
        <v>0.914067340469084</v>
      </c>
      <c r="J289" s="2402">
        <v>7.1126944776527701E-2</v>
      </c>
      <c r="K289" s="2398">
        <v>1.48057147543884E-2</v>
      </c>
      <c r="L289" s="2401">
        <f t="shared" si="17"/>
        <v>1.0000000000000002</v>
      </c>
      <c r="M289" s="2402">
        <v>0.91006719382615797</v>
      </c>
      <c r="N289" s="2402">
        <v>6.7181580732189897E-2</v>
      </c>
      <c r="O289" s="2411">
        <v>2.2751225441652298E-2</v>
      </c>
    </row>
    <row r="290" spans="1:15">
      <c r="A290" s="663">
        <f t="shared" si="13"/>
        <v>2023.05</v>
      </c>
      <c r="B290" s="2428"/>
      <c r="C290" s="2429"/>
      <c r="D290" s="2430"/>
      <c r="E290" s="2428"/>
      <c r="F290" s="2429"/>
      <c r="G290" s="2430"/>
      <c r="H290" s="2401">
        <f t="shared" si="16"/>
        <v>0.99999999999999956</v>
      </c>
      <c r="I290" s="2402">
        <v>0.91223808179156196</v>
      </c>
      <c r="J290" s="2402">
        <v>6.3287171963216801E-2</v>
      </c>
      <c r="K290" s="2398">
        <v>2.4474746245220801E-2</v>
      </c>
      <c r="L290" s="2401">
        <f t="shared" si="17"/>
        <v>0.99999999999999978</v>
      </c>
      <c r="M290" s="2402">
        <v>0.92320625866768591</v>
      </c>
      <c r="N290" s="2402">
        <v>5.2029037703072295E-2</v>
      </c>
      <c r="O290" s="2411">
        <v>2.4764703629241498E-2</v>
      </c>
    </row>
    <row r="291" spans="1:15">
      <c r="A291" s="663">
        <f t="shared" si="13"/>
        <v>2023.06</v>
      </c>
      <c r="B291" s="2428"/>
      <c r="C291" s="2429"/>
      <c r="D291" s="2430"/>
      <c r="E291" s="2428"/>
      <c r="F291" s="2429"/>
      <c r="G291" s="2430"/>
      <c r="H291" s="2401">
        <f t="shared" si="16"/>
        <v>1.0000000000000004</v>
      </c>
      <c r="I291" s="2402">
        <v>0.95089956490837391</v>
      </c>
      <c r="J291" s="2402">
        <v>3.9056136642927404E-2</v>
      </c>
      <c r="K291" s="2398">
        <v>1.0044298448699101E-2</v>
      </c>
      <c r="L291" s="2401">
        <f t="shared" si="17"/>
        <v>0.99999999999999978</v>
      </c>
      <c r="M291" s="2402">
        <v>0.92488191949011811</v>
      </c>
      <c r="N291" s="2402">
        <v>6.5143889668171001E-2</v>
      </c>
      <c r="O291" s="2411">
        <v>9.9741908417107297E-3</v>
      </c>
    </row>
    <row r="292" spans="1:15">
      <c r="A292" s="663">
        <f t="shared" si="13"/>
        <v>2023.07</v>
      </c>
      <c r="B292" s="2428"/>
      <c r="C292" s="2429"/>
      <c r="D292" s="2430"/>
      <c r="E292" s="2428"/>
      <c r="F292" s="2429"/>
      <c r="G292" s="2430"/>
      <c r="H292" s="2401">
        <f t="shared" si="16"/>
        <v>0.99999999999999956</v>
      </c>
      <c r="I292" s="2402">
        <v>0.932320353800136</v>
      </c>
      <c r="J292" s="2402">
        <v>5.8368531843976897E-2</v>
      </c>
      <c r="K292" s="2398">
        <v>9.3111143558865898E-3</v>
      </c>
      <c r="L292" s="2401">
        <f t="shared" si="17"/>
        <v>0.99999999999999978</v>
      </c>
      <c r="M292" s="2402">
        <v>0.92395018932467299</v>
      </c>
      <c r="N292" s="2402">
        <v>5.6441967585552602E-2</v>
      </c>
      <c r="O292" s="2411">
        <v>1.9607843089774198E-2</v>
      </c>
    </row>
    <row r="293" spans="1:15">
      <c r="A293" s="663">
        <f t="shared" si="13"/>
        <v>2023.08</v>
      </c>
      <c r="B293" s="2428"/>
      <c r="C293" s="2429"/>
      <c r="D293" s="2430"/>
      <c r="E293" s="2428"/>
      <c r="F293" s="2429"/>
      <c r="G293" s="2430"/>
      <c r="H293" s="2401">
        <f t="shared" si="16"/>
        <v>0.99999999999999978</v>
      </c>
      <c r="I293" s="2402">
        <v>0.95792345175563098</v>
      </c>
      <c r="J293" s="2402">
        <v>3.1915940986488998E-2</v>
      </c>
      <c r="K293" s="2398">
        <v>1.0160607257879799E-2</v>
      </c>
      <c r="L293" s="2401">
        <f t="shared" si="17"/>
        <v>1.0000000000000002</v>
      </c>
      <c r="M293" s="2402">
        <v>0.91147073303842208</v>
      </c>
      <c r="N293" s="2402">
        <v>7.9454107729593104E-2</v>
      </c>
      <c r="O293" s="2411">
        <v>9.075159231985111E-3</v>
      </c>
    </row>
    <row r="294" spans="1:15">
      <c r="A294" s="663">
        <f t="shared" si="13"/>
        <v>2023.09</v>
      </c>
      <c r="B294" s="2428"/>
      <c r="C294" s="2429"/>
      <c r="D294" s="2430"/>
      <c r="E294" s="2428"/>
      <c r="F294" s="2429"/>
      <c r="G294" s="2430"/>
      <c r="H294" s="2401">
        <f t="shared" si="16"/>
        <v>0.99999999999999978</v>
      </c>
      <c r="I294" s="2402">
        <v>0.94125430669013399</v>
      </c>
      <c r="J294" s="2402">
        <v>4.67115936776962E-2</v>
      </c>
      <c r="K294" s="2398">
        <v>1.2034099632169599E-2</v>
      </c>
      <c r="L294" s="2401">
        <f t="shared" si="17"/>
        <v>1.0000000000000004</v>
      </c>
      <c r="M294" s="2402">
        <v>0.96893385021340406</v>
      </c>
      <c r="N294" s="2402">
        <v>1.9029853247656502E-2</v>
      </c>
      <c r="O294" s="2411">
        <v>1.20362965389399E-2</v>
      </c>
    </row>
    <row r="295" spans="1:15">
      <c r="A295" s="663">
        <f t="shared" si="13"/>
        <v>2023.1</v>
      </c>
      <c r="B295" s="2428"/>
      <c r="C295" s="2429"/>
      <c r="D295" s="2430"/>
      <c r="E295" s="2428"/>
      <c r="F295" s="2429"/>
      <c r="G295" s="2430"/>
      <c r="H295" s="2401">
        <f t="shared" si="16"/>
        <v>0.99999999999999956</v>
      </c>
      <c r="I295" s="2402">
        <v>0.938109473102962</v>
      </c>
      <c r="J295" s="2402">
        <v>4.5360453474031906E-2</v>
      </c>
      <c r="K295" s="2398">
        <v>1.6530073423005599E-2</v>
      </c>
      <c r="L295" s="2401">
        <f t="shared" si="17"/>
        <v>0.99999999999999944</v>
      </c>
      <c r="M295" s="2402">
        <v>0.96539721191146899</v>
      </c>
      <c r="N295" s="2402">
        <v>1.9668212439936703E-2</v>
      </c>
      <c r="O295" s="2411">
        <v>1.49345756485938E-2</v>
      </c>
    </row>
    <row r="296" spans="1:15">
      <c r="A296" s="663">
        <f t="shared" si="13"/>
        <v>2023.11</v>
      </c>
      <c r="B296" s="2428"/>
      <c r="C296" s="2429"/>
      <c r="D296" s="2430"/>
      <c r="E296" s="2428"/>
      <c r="F296" s="2429"/>
      <c r="G296" s="2430"/>
      <c r="H296" s="2401">
        <f t="shared" si="16"/>
        <v>0.99999999999999967</v>
      </c>
      <c r="I296" s="2402">
        <v>0.93615305812362293</v>
      </c>
      <c r="J296" s="2402">
        <v>3.76675590701573E-2</v>
      </c>
      <c r="K296" s="2398">
        <v>2.6179382806219502E-2</v>
      </c>
      <c r="L296" s="2401">
        <f t="shared" si="17"/>
        <v>0.99999999999999978</v>
      </c>
      <c r="M296" s="2402">
        <v>0.9559533047714569</v>
      </c>
      <c r="N296" s="2402">
        <v>2.1379601314979301E-2</v>
      </c>
      <c r="O296" s="2411">
        <v>2.2667093913563599E-2</v>
      </c>
    </row>
    <row r="297" spans="1:15">
      <c r="A297" s="663">
        <f t="shared" si="13"/>
        <v>2023.12</v>
      </c>
      <c r="B297" s="2428"/>
      <c r="C297" s="2429"/>
      <c r="D297" s="2430"/>
      <c r="E297" s="2428"/>
      <c r="F297" s="2429"/>
      <c r="G297" s="2430"/>
      <c r="H297" s="2401">
        <f t="shared" si="16"/>
        <v>1.0000000000000004</v>
      </c>
      <c r="I297" s="2402">
        <v>0.89855845969616099</v>
      </c>
      <c r="J297" s="2402">
        <v>5.1116159796461599E-2</v>
      </c>
      <c r="K297" s="2398">
        <v>5.0325380507377802E-2</v>
      </c>
      <c r="L297" s="2401">
        <f t="shared" si="17"/>
        <v>0.99999999999999967</v>
      </c>
      <c r="M297" s="2402">
        <v>0.94712743384877196</v>
      </c>
      <c r="N297" s="2402">
        <v>2.9898464232003697E-2</v>
      </c>
      <c r="O297" s="2411">
        <v>2.2974101919223999E-2</v>
      </c>
    </row>
    <row r="298" spans="1:15">
      <c r="A298" s="663">
        <f t="shared" ref="A298:A361" si="18">A286+1</f>
        <v>2024.01</v>
      </c>
      <c r="B298" s="2428"/>
      <c r="C298" s="2429"/>
      <c r="D298" s="2430"/>
      <c r="E298" s="2428"/>
      <c r="F298" s="2429"/>
      <c r="G298" s="2430"/>
      <c r="H298" s="2401">
        <f t="shared" si="16"/>
        <v>1.0000000000000004</v>
      </c>
      <c r="I298" s="2402">
        <v>0.93693242104975194</v>
      </c>
      <c r="J298" s="2402">
        <v>4.1535821272803704E-2</v>
      </c>
      <c r="K298" s="2398">
        <v>2.15317576774447E-2</v>
      </c>
      <c r="L298" s="2401">
        <f t="shared" si="17"/>
        <v>0.99999999999999967</v>
      </c>
      <c r="M298" s="2402">
        <v>0.96918192821131199</v>
      </c>
      <c r="N298" s="2402">
        <v>1.49277922071438E-3</v>
      </c>
      <c r="O298" s="2411">
        <v>2.9325292567973296E-2</v>
      </c>
    </row>
    <row r="299" spans="1:15">
      <c r="A299" s="663">
        <f t="shared" si="18"/>
        <v>2024.02</v>
      </c>
      <c r="B299" s="2428"/>
      <c r="C299" s="2429"/>
      <c r="D299" s="2430"/>
      <c r="E299" s="2428"/>
      <c r="F299" s="2429"/>
      <c r="G299" s="2430"/>
      <c r="H299" s="2401">
        <f t="shared" si="16"/>
        <v>0.99999999999999978</v>
      </c>
      <c r="I299" s="2402">
        <v>0.92983623984615504</v>
      </c>
      <c r="J299" s="2402">
        <v>2.9931131221887203E-2</v>
      </c>
      <c r="K299" s="2398">
        <v>4.0232628931957504E-2</v>
      </c>
      <c r="L299" s="2401">
        <f t="shared" si="17"/>
        <v>0.99999999999999956</v>
      </c>
      <c r="M299" s="2402">
        <v>0.95015295182844595</v>
      </c>
      <c r="N299" s="2402">
        <v>2.5978621911299002E-2</v>
      </c>
      <c r="O299" s="2411">
        <v>2.3868426260254698E-2</v>
      </c>
    </row>
    <row r="300" spans="1:15">
      <c r="A300" s="663">
        <f t="shared" si="18"/>
        <v>2024.03</v>
      </c>
      <c r="B300" s="2428"/>
      <c r="C300" s="2429"/>
      <c r="D300" s="2430"/>
      <c r="E300" s="2428"/>
      <c r="F300" s="2429"/>
      <c r="G300" s="2430"/>
      <c r="H300" s="2401">
        <f t="shared" si="16"/>
        <v>0.99999999999999978</v>
      </c>
      <c r="I300" s="2402">
        <v>0.94553748948638205</v>
      </c>
      <c r="J300" s="2402">
        <v>3.6397910483170801E-2</v>
      </c>
      <c r="K300" s="2398">
        <v>1.8064600030446999E-2</v>
      </c>
      <c r="L300" s="2401">
        <f t="shared" si="17"/>
        <v>0.99999999999999956</v>
      </c>
      <c r="M300" s="2402">
        <v>0.90215637954774708</v>
      </c>
      <c r="N300" s="2402">
        <v>6.3909391622893302E-2</v>
      </c>
      <c r="O300" s="2411">
        <v>3.3934228829359203E-2</v>
      </c>
    </row>
    <row r="301" spans="1:15">
      <c r="A301" s="663">
        <f t="shared" si="18"/>
        <v>2024.04</v>
      </c>
      <c r="B301" s="2428"/>
      <c r="C301" s="2429"/>
      <c r="D301" s="2430"/>
      <c r="E301" s="2428"/>
      <c r="F301" s="2429"/>
      <c r="G301" s="2430"/>
      <c r="H301" s="2401" t="e">
        <f t="shared" si="16"/>
        <v>#N/A</v>
      </c>
      <c r="I301" s="2402" t="e">
        <v>#N/A</v>
      </c>
      <c r="J301" s="2402" t="e">
        <v>#N/A</v>
      </c>
      <c r="K301" s="2398" t="e">
        <v>#N/A</v>
      </c>
      <c r="L301" s="2401" t="e">
        <f t="shared" si="17"/>
        <v>#N/A</v>
      </c>
      <c r="M301" s="2402" t="e">
        <v>#N/A</v>
      </c>
      <c r="N301" s="2402" t="e">
        <v>#N/A</v>
      </c>
      <c r="O301" s="2411" t="e">
        <v>#N/A</v>
      </c>
    </row>
    <row r="302" spans="1:15">
      <c r="A302" s="663">
        <f t="shared" si="18"/>
        <v>2024.05</v>
      </c>
      <c r="B302" s="2428"/>
      <c r="C302" s="2429"/>
      <c r="D302" s="2430"/>
      <c r="E302" s="2428"/>
      <c r="F302" s="2429"/>
      <c r="G302" s="2430"/>
      <c r="H302" s="2401" t="e">
        <f t="shared" si="16"/>
        <v>#N/A</v>
      </c>
      <c r="I302" s="2402" t="e">
        <v>#N/A</v>
      </c>
      <c r="J302" s="2402" t="e">
        <v>#N/A</v>
      </c>
      <c r="K302" s="2398" t="e">
        <v>#N/A</v>
      </c>
      <c r="L302" s="2401" t="e">
        <f t="shared" si="17"/>
        <v>#N/A</v>
      </c>
      <c r="M302" s="2402" t="e">
        <v>#N/A</v>
      </c>
      <c r="N302" s="2402" t="e">
        <v>#N/A</v>
      </c>
      <c r="O302" s="2411" t="e">
        <v>#N/A</v>
      </c>
    </row>
    <row r="303" spans="1:15">
      <c r="A303" s="663">
        <f t="shared" si="18"/>
        <v>2024.06</v>
      </c>
      <c r="B303" s="2428"/>
      <c r="C303" s="2429"/>
      <c r="D303" s="2430"/>
      <c r="E303" s="2428"/>
      <c r="F303" s="2429"/>
      <c r="G303" s="2430"/>
      <c r="H303" s="2401" t="e">
        <f t="shared" si="16"/>
        <v>#N/A</v>
      </c>
      <c r="I303" s="2402" t="e">
        <v>#N/A</v>
      </c>
      <c r="J303" s="2402" t="e">
        <v>#N/A</v>
      </c>
      <c r="K303" s="2398" t="e">
        <v>#N/A</v>
      </c>
      <c r="L303" s="2401" t="e">
        <f t="shared" si="17"/>
        <v>#N/A</v>
      </c>
      <c r="M303" s="2402" t="e">
        <v>#N/A</v>
      </c>
      <c r="N303" s="2402" t="e">
        <v>#N/A</v>
      </c>
      <c r="O303" s="2411" t="e">
        <v>#N/A</v>
      </c>
    </row>
    <row r="304" spans="1:15">
      <c r="A304" s="663">
        <f t="shared" si="18"/>
        <v>2024.07</v>
      </c>
      <c r="B304" s="2428"/>
      <c r="C304" s="2429"/>
      <c r="D304" s="2430"/>
      <c r="E304" s="2428"/>
      <c r="F304" s="2429"/>
      <c r="G304" s="2430"/>
      <c r="H304" s="2401" t="e">
        <f t="shared" si="16"/>
        <v>#N/A</v>
      </c>
      <c r="I304" s="2402" t="e">
        <v>#N/A</v>
      </c>
      <c r="J304" s="2402" t="e">
        <v>#N/A</v>
      </c>
      <c r="K304" s="2398" t="e">
        <v>#N/A</v>
      </c>
      <c r="L304" s="2401" t="e">
        <f t="shared" si="17"/>
        <v>#N/A</v>
      </c>
      <c r="M304" s="2402" t="e">
        <v>#N/A</v>
      </c>
      <c r="N304" s="2402" t="e">
        <v>#N/A</v>
      </c>
      <c r="O304" s="2411" t="e">
        <v>#N/A</v>
      </c>
    </row>
    <row r="305" spans="1:15">
      <c r="A305" s="663">
        <f t="shared" si="18"/>
        <v>2024.08</v>
      </c>
      <c r="B305" s="2428"/>
      <c r="C305" s="2429"/>
      <c r="D305" s="2430"/>
      <c r="E305" s="2428"/>
      <c r="F305" s="2429"/>
      <c r="G305" s="2430"/>
      <c r="H305" s="2401" t="e">
        <f t="shared" si="16"/>
        <v>#N/A</v>
      </c>
      <c r="I305" s="2402" t="e">
        <v>#N/A</v>
      </c>
      <c r="J305" s="2402" t="e">
        <v>#N/A</v>
      </c>
      <c r="K305" s="2398" t="e">
        <v>#N/A</v>
      </c>
      <c r="L305" s="2401" t="e">
        <f t="shared" si="17"/>
        <v>#N/A</v>
      </c>
      <c r="M305" s="2402" t="e">
        <v>#N/A</v>
      </c>
      <c r="N305" s="2402" t="e">
        <v>#N/A</v>
      </c>
      <c r="O305" s="2411" t="e">
        <v>#N/A</v>
      </c>
    </row>
    <row r="306" spans="1:15">
      <c r="A306" s="663">
        <f t="shared" si="18"/>
        <v>2024.09</v>
      </c>
      <c r="B306" s="2428"/>
      <c r="C306" s="2429"/>
      <c r="D306" s="2430"/>
      <c r="E306" s="2428"/>
      <c r="F306" s="2429"/>
      <c r="G306" s="2430"/>
      <c r="H306" s="2401" t="e">
        <f t="shared" si="16"/>
        <v>#N/A</v>
      </c>
      <c r="I306" s="2402" t="e">
        <v>#N/A</v>
      </c>
      <c r="J306" s="2402" t="e">
        <v>#N/A</v>
      </c>
      <c r="K306" s="2398" t="e">
        <v>#N/A</v>
      </c>
      <c r="L306" s="2401" t="e">
        <f t="shared" si="17"/>
        <v>#N/A</v>
      </c>
      <c r="M306" s="2402" t="e">
        <v>#N/A</v>
      </c>
      <c r="N306" s="2402" t="e">
        <v>#N/A</v>
      </c>
      <c r="O306" s="2411" t="e">
        <v>#N/A</v>
      </c>
    </row>
    <row r="307" spans="1:15">
      <c r="A307" s="663">
        <f t="shared" si="18"/>
        <v>2024.1</v>
      </c>
      <c r="B307" s="2428"/>
      <c r="C307" s="2429"/>
      <c r="D307" s="2430"/>
      <c r="E307" s="2428"/>
      <c r="F307" s="2429"/>
      <c r="G307" s="2430"/>
      <c r="H307" s="2401" t="e">
        <f t="shared" si="16"/>
        <v>#N/A</v>
      </c>
      <c r="I307" s="2402" t="e">
        <v>#N/A</v>
      </c>
      <c r="J307" s="2402" t="e">
        <v>#N/A</v>
      </c>
      <c r="K307" s="2398" t="e">
        <v>#N/A</v>
      </c>
      <c r="L307" s="2401" t="e">
        <f t="shared" si="17"/>
        <v>#N/A</v>
      </c>
      <c r="M307" s="2402" t="e">
        <v>#N/A</v>
      </c>
      <c r="N307" s="2402" t="e">
        <v>#N/A</v>
      </c>
      <c r="O307" s="2411" t="e">
        <v>#N/A</v>
      </c>
    </row>
    <row r="308" spans="1:15">
      <c r="A308" s="663">
        <f t="shared" si="18"/>
        <v>2024.11</v>
      </c>
      <c r="B308" s="2428"/>
      <c r="C308" s="2429"/>
      <c r="D308" s="2430"/>
      <c r="E308" s="2428"/>
      <c r="F308" s="2429"/>
      <c r="G308" s="2430"/>
      <c r="H308" s="2401" t="e">
        <f t="shared" si="16"/>
        <v>#N/A</v>
      </c>
      <c r="I308" s="2402" t="e">
        <v>#N/A</v>
      </c>
      <c r="J308" s="2402" t="e">
        <v>#N/A</v>
      </c>
      <c r="K308" s="2398" t="e">
        <v>#N/A</v>
      </c>
      <c r="L308" s="2401" t="e">
        <f t="shared" si="17"/>
        <v>#N/A</v>
      </c>
      <c r="M308" s="2402" t="e">
        <v>#N/A</v>
      </c>
      <c r="N308" s="2402" t="e">
        <v>#N/A</v>
      </c>
      <c r="O308" s="2411" t="e">
        <v>#N/A</v>
      </c>
    </row>
    <row r="309" spans="1:15">
      <c r="A309" s="663">
        <f t="shared" si="18"/>
        <v>2024.12</v>
      </c>
      <c r="B309" s="2428"/>
      <c r="C309" s="2429"/>
      <c r="D309" s="2430"/>
      <c r="E309" s="2428"/>
      <c r="F309" s="2429"/>
      <c r="G309" s="2430"/>
      <c r="H309" s="2401" t="e">
        <f t="shared" si="16"/>
        <v>#N/A</v>
      </c>
      <c r="I309" s="2402" t="e">
        <v>#N/A</v>
      </c>
      <c r="J309" s="2402" t="e">
        <v>#N/A</v>
      </c>
      <c r="K309" s="2398" t="e">
        <v>#N/A</v>
      </c>
      <c r="L309" s="2401" t="e">
        <f t="shared" si="17"/>
        <v>#N/A</v>
      </c>
      <c r="M309" s="2402" t="e">
        <v>#N/A</v>
      </c>
      <c r="N309" s="2402" t="e">
        <v>#N/A</v>
      </c>
      <c r="O309" s="2411" t="e">
        <v>#N/A</v>
      </c>
    </row>
    <row r="310" spans="1:15">
      <c r="A310" s="663">
        <f t="shared" si="18"/>
        <v>2025.01</v>
      </c>
      <c r="B310" s="2428"/>
      <c r="C310" s="2429"/>
      <c r="D310" s="2430"/>
      <c r="E310" s="2428"/>
      <c r="F310" s="2429"/>
      <c r="G310" s="2430"/>
      <c r="H310" s="2401" t="e">
        <f t="shared" si="16"/>
        <v>#N/A</v>
      </c>
      <c r="I310" s="2402" t="e">
        <v>#N/A</v>
      </c>
      <c r="J310" s="2402" t="e">
        <v>#N/A</v>
      </c>
      <c r="K310" s="2398" t="e">
        <v>#N/A</v>
      </c>
      <c r="L310" s="2401" t="e">
        <f t="shared" si="17"/>
        <v>#N/A</v>
      </c>
      <c r="M310" s="2402" t="e">
        <v>#N/A</v>
      </c>
      <c r="N310" s="2402" t="e">
        <v>#N/A</v>
      </c>
      <c r="O310" s="2411" t="e">
        <v>#N/A</v>
      </c>
    </row>
    <row r="311" spans="1:15">
      <c r="A311" s="663">
        <f t="shared" si="18"/>
        <v>2025.02</v>
      </c>
      <c r="B311" s="2428"/>
      <c r="C311" s="2429"/>
      <c r="D311" s="2430"/>
      <c r="E311" s="2428"/>
      <c r="F311" s="2429"/>
      <c r="G311" s="2430"/>
      <c r="H311" s="2401" t="e">
        <f t="shared" si="16"/>
        <v>#N/A</v>
      </c>
      <c r="I311" s="2402" t="e">
        <v>#N/A</v>
      </c>
      <c r="J311" s="2402" t="e">
        <v>#N/A</v>
      </c>
      <c r="K311" s="2398" t="e">
        <v>#N/A</v>
      </c>
      <c r="L311" s="2401" t="e">
        <f t="shared" si="17"/>
        <v>#N/A</v>
      </c>
      <c r="M311" s="2402" t="e">
        <v>#N/A</v>
      </c>
      <c r="N311" s="2402" t="e">
        <v>#N/A</v>
      </c>
      <c r="O311" s="2411" t="e">
        <v>#N/A</v>
      </c>
    </row>
    <row r="312" spans="1:15">
      <c r="A312" s="663">
        <f t="shared" si="18"/>
        <v>2025.03</v>
      </c>
      <c r="B312" s="2428"/>
      <c r="C312" s="2429"/>
      <c r="D312" s="2430"/>
      <c r="E312" s="2428"/>
      <c r="F312" s="2429"/>
      <c r="G312" s="2430"/>
      <c r="H312" s="2401" t="e">
        <f t="shared" si="16"/>
        <v>#N/A</v>
      </c>
      <c r="I312" s="2402" t="e">
        <v>#N/A</v>
      </c>
      <c r="J312" s="2402" t="e">
        <v>#N/A</v>
      </c>
      <c r="K312" s="2398" t="e">
        <v>#N/A</v>
      </c>
      <c r="L312" s="2401" t="e">
        <f t="shared" si="17"/>
        <v>#N/A</v>
      </c>
      <c r="M312" s="2402" t="e">
        <v>#N/A</v>
      </c>
      <c r="N312" s="2402" t="e">
        <v>#N/A</v>
      </c>
      <c r="O312" s="2411" t="e">
        <v>#N/A</v>
      </c>
    </row>
    <row r="313" spans="1:15">
      <c r="A313" s="663">
        <f t="shared" si="18"/>
        <v>2025.04</v>
      </c>
      <c r="B313" s="2428"/>
      <c r="C313" s="2429"/>
      <c r="D313" s="2430"/>
      <c r="E313" s="2428"/>
      <c r="F313" s="2429"/>
      <c r="G313" s="2430"/>
      <c r="H313" s="2401" t="e">
        <f t="shared" si="16"/>
        <v>#N/A</v>
      </c>
      <c r="I313" s="2402" t="e">
        <v>#N/A</v>
      </c>
      <c r="J313" s="2402" t="e">
        <v>#N/A</v>
      </c>
      <c r="K313" s="2398" t="e">
        <v>#N/A</v>
      </c>
      <c r="L313" s="2401" t="e">
        <f t="shared" si="17"/>
        <v>#N/A</v>
      </c>
      <c r="M313" s="2402" t="e">
        <v>#N/A</v>
      </c>
      <c r="N313" s="2402" t="e">
        <v>#N/A</v>
      </c>
      <c r="O313" s="2411" t="e">
        <v>#N/A</v>
      </c>
    </row>
    <row r="314" spans="1:15">
      <c r="A314" s="663">
        <f t="shared" si="18"/>
        <v>2025.05</v>
      </c>
      <c r="B314" s="2428"/>
      <c r="C314" s="2429"/>
      <c r="D314" s="2430"/>
      <c r="E314" s="2428"/>
      <c r="F314" s="2429"/>
      <c r="G314" s="2430"/>
      <c r="H314" s="2401" t="e">
        <f t="shared" si="16"/>
        <v>#N/A</v>
      </c>
      <c r="I314" s="2402" t="e">
        <v>#N/A</v>
      </c>
      <c r="J314" s="2402" t="e">
        <v>#N/A</v>
      </c>
      <c r="K314" s="2398" t="e">
        <v>#N/A</v>
      </c>
      <c r="L314" s="2401" t="e">
        <f t="shared" si="17"/>
        <v>#N/A</v>
      </c>
      <c r="M314" s="2402" t="e">
        <v>#N/A</v>
      </c>
      <c r="N314" s="2402" t="e">
        <v>#N/A</v>
      </c>
      <c r="O314" s="2411" t="e">
        <v>#N/A</v>
      </c>
    </row>
    <row r="315" spans="1:15">
      <c r="A315" s="663">
        <f t="shared" si="18"/>
        <v>2025.06</v>
      </c>
      <c r="B315" s="2428"/>
      <c r="C315" s="2429"/>
      <c r="D315" s="2430"/>
      <c r="E315" s="2428"/>
      <c r="F315" s="2429"/>
      <c r="G315" s="2430"/>
      <c r="H315" s="2401" t="e">
        <f t="shared" si="16"/>
        <v>#N/A</v>
      </c>
      <c r="I315" s="2402" t="e">
        <v>#N/A</v>
      </c>
      <c r="J315" s="2402" t="e">
        <v>#N/A</v>
      </c>
      <c r="K315" s="2398" t="e">
        <v>#N/A</v>
      </c>
      <c r="L315" s="2401" t="e">
        <f t="shared" si="17"/>
        <v>#N/A</v>
      </c>
      <c r="M315" s="2402" t="e">
        <v>#N/A</v>
      </c>
      <c r="N315" s="2402" t="e">
        <v>#N/A</v>
      </c>
      <c r="O315" s="2411" t="e">
        <v>#N/A</v>
      </c>
    </row>
    <row r="316" spans="1:15">
      <c r="A316" s="663">
        <f t="shared" si="18"/>
        <v>2025.07</v>
      </c>
      <c r="B316" s="2428"/>
      <c r="C316" s="2429"/>
      <c r="D316" s="2430"/>
      <c r="E316" s="2428"/>
      <c r="F316" s="2429"/>
      <c r="G316" s="2430"/>
      <c r="H316" s="2401" t="e">
        <f t="shared" si="16"/>
        <v>#N/A</v>
      </c>
      <c r="I316" s="2402" t="e">
        <v>#N/A</v>
      </c>
      <c r="J316" s="2402" t="e">
        <v>#N/A</v>
      </c>
      <c r="K316" s="2398" t="e">
        <v>#N/A</v>
      </c>
      <c r="L316" s="2401" t="e">
        <f t="shared" si="17"/>
        <v>#N/A</v>
      </c>
      <c r="M316" s="2402" t="e">
        <v>#N/A</v>
      </c>
      <c r="N316" s="2402" t="e">
        <v>#N/A</v>
      </c>
      <c r="O316" s="2411" t="e">
        <v>#N/A</v>
      </c>
    </row>
    <row r="317" spans="1:15">
      <c r="A317" s="663">
        <f t="shared" si="18"/>
        <v>2025.08</v>
      </c>
      <c r="B317" s="2428"/>
      <c r="C317" s="2429"/>
      <c r="D317" s="2430"/>
      <c r="E317" s="2428"/>
      <c r="F317" s="2429"/>
      <c r="G317" s="2430"/>
      <c r="H317" s="2401" t="e">
        <f t="shared" si="16"/>
        <v>#N/A</v>
      </c>
      <c r="I317" s="2402" t="e">
        <v>#N/A</v>
      </c>
      <c r="J317" s="2402" t="e">
        <v>#N/A</v>
      </c>
      <c r="K317" s="2398" t="e">
        <v>#N/A</v>
      </c>
      <c r="L317" s="2401" t="e">
        <f t="shared" si="17"/>
        <v>#N/A</v>
      </c>
      <c r="M317" s="2402" t="e">
        <v>#N/A</v>
      </c>
      <c r="N317" s="2402" t="e">
        <v>#N/A</v>
      </c>
      <c r="O317" s="2411" t="e">
        <v>#N/A</v>
      </c>
    </row>
    <row r="318" spans="1:15">
      <c r="A318" s="663">
        <f t="shared" si="18"/>
        <v>2025.09</v>
      </c>
      <c r="B318" s="2428"/>
      <c r="C318" s="2429"/>
      <c r="D318" s="2430"/>
      <c r="E318" s="2428"/>
      <c r="F318" s="2429"/>
      <c r="G318" s="2430"/>
      <c r="H318" s="2401" t="e">
        <f t="shared" si="16"/>
        <v>#N/A</v>
      </c>
      <c r="I318" s="2402" t="e">
        <v>#N/A</v>
      </c>
      <c r="J318" s="2402" t="e">
        <v>#N/A</v>
      </c>
      <c r="K318" s="2398" t="e">
        <v>#N/A</v>
      </c>
      <c r="L318" s="2401" t="e">
        <f t="shared" si="17"/>
        <v>#N/A</v>
      </c>
      <c r="M318" s="2402" t="e">
        <v>#N/A</v>
      </c>
      <c r="N318" s="2402" t="e">
        <v>#N/A</v>
      </c>
      <c r="O318" s="2411" t="e">
        <v>#N/A</v>
      </c>
    </row>
    <row r="319" spans="1:15">
      <c r="A319" s="663">
        <f t="shared" si="18"/>
        <v>2025.1</v>
      </c>
      <c r="B319" s="2428"/>
      <c r="C319" s="2429"/>
      <c r="D319" s="2430"/>
      <c r="E319" s="2428"/>
      <c r="F319" s="2429"/>
      <c r="G319" s="2430"/>
      <c r="H319" s="2401" t="e">
        <f t="shared" si="16"/>
        <v>#N/A</v>
      </c>
      <c r="I319" s="2402" t="e">
        <v>#N/A</v>
      </c>
      <c r="J319" s="2402" t="e">
        <v>#N/A</v>
      </c>
      <c r="K319" s="2398" t="e">
        <v>#N/A</v>
      </c>
      <c r="L319" s="2401" t="e">
        <f t="shared" si="17"/>
        <v>#N/A</v>
      </c>
      <c r="M319" s="2402" t="e">
        <v>#N/A</v>
      </c>
      <c r="N319" s="2402" t="e">
        <v>#N/A</v>
      </c>
      <c r="O319" s="2411" t="e">
        <v>#N/A</v>
      </c>
    </row>
    <row r="320" spans="1:15">
      <c r="A320" s="663">
        <f t="shared" si="18"/>
        <v>2025.11</v>
      </c>
      <c r="B320" s="2428"/>
      <c r="C320" s="2429"/>
      <c r="D320" s="2430"/>
      <c r="E320" s="2428"/>
      <c r="F320" s="2429"/>
      <c r="G320" s="2430"/>
      <c r="H320" s="2401" t="e">
        <f t="shared" si="16"/>
        <v>#N/A</v>
      </c>
      <c r="I320" s="2402" t="e">
        <v>#N/A</v>
      </c>
      <c r="J320" s="2402" t="e">
        <v>#N/A</v>
      </c>
      <c r="K320" s="2398" t="e">
        <v>#N/A</v>
      </c>
      <c r="L320" s="2401" t="e">
        <f t="shared" si="17"/>
        <v>#N/A</v>
      </c>
      <c r="M320" s="2402" t="e">
        <v>#N/A</v>
      </c>
      <c r="N320" s="2402" t="e">
        <v>#N/A</v>
      </c>
      <c r="O320" s="2411" t="e">
        <v>#N/A</v>
      </c>
    </row>
    <row r="321" spans="1:15">
      <c r="A321" s="663">
        <f t="shared" si="18"/>
        <v>2025.12</v>
      </c>
      <c r="B321" s="2428"/>
      <c r="C321" s="2429"/>
      <c r="D321" s="2430"/>
      <c r="E321" s="2428"/>
      <c r="F321" s="2429"/>
      <c r="G321" s="2430"/>
      <c r="H321" s="2401" t="e">
        <f t="shared" ref="H321" si="19">+I321+J321+K321</f>
        <v>#N/A</v>
      </c>
      <c r="I321" s="2402" t="e">
        <v>#N/A</v>
      </c>
      <c r="J321" s="2402" t="e">
        <v>#N/A</v>
      </c>
      <c r="K321" s="2398" t="e">
        <v>#N/A</v>
      </c>
      <c r="L321" s="2401" t="e">
        <f t="shared" ref="L321" si="20">M321+N321+O321</f>
        <v>#N/A</v>
      </c>
      <c r="M321" s="2402" t="e">
        <v>#N/A</v>
      </c>
      <c r="N321" s="2402" t="e">
        <v>#N/A</v>
      </c>
      <c r="O321" s="2411" t="e">
        <v>#N/A</v>
      </c>
    </row>
    <row r="322" spans="1:15">
      <c r="A322" s="663">
        <f t="shared" si="18"/>
        <v>2026.01</v>
      </c>
      <c r="B322" s="2428"/>
      <c r="C322" s="2429"/>
      <c r="D322" s="2430"/>
      <c r="E322" s="2428"/>
      <c r="F322" s="2429"/>
      <c r="G322" s="2430"/>
      <c r="H322" s="2401" t="e">
        <f t="shared" ref="H322:H335" si="21">+I322+J322+K322</f>
        <v>#N/A</v>
      </c>
      <c r="I322" s="2402" t="e">
        <v>#N/A</v>
      </c>
      <c r="J322" s="2402" t="e">
        <v>#N/A</v>
      </c>
      <c r="K322" s="2398" t="e">
        <v>#N/A</v>
      </c>
      <c r="L322" s="2401" t="e">
        <f t="shared" ref="L322:L335" si="22">M322+N322+O322</f>
        <v>#N/A</v>
      </c>
      <c r="M322" s="2402" t="e">
        <v>#N/A</v>
      </c>
      <c r="N322" s="2402" t="e">
        <v>#N/A</v>
      </c>
      <c r="O322" s="2411" t="e">
        <v>#N/A</v>
      </c>
    </row>
    <row r="323" spans="1:15">
      <c r="A323" s="663">
        <f t="shared" si="18"/>
        <v>2026.02</v>
      </c>
      <c r="B323" s="2428"/>
      <c r="C323" s="2429"/>
      <c r="D323" s="2430"/>
      <c r="E323" s="2428"/>
      <c r="F323" s="2429"/>
      <c r="G323" s="2430"/>
      <c r="H323" s="2401" t="e">
        <f t="shared" si="21"/>
        <v>#N/A</v>
      </c>
      <c r="I323" s="2402" t="e">
        <v>#N/A</v>
      </c>
      <c r="J323" s="2402" t="e">
        <v>#N/A</v>
      </c>
      <c r="K323" s="2398" t="e">
        <v>#N/A</v>
      </c>
      <c r="L323" s="2401" t="e">
        <f t="shared" si="22"/>
        <v>#N/A</v>
      </c>
      <c r="M323" s="2402" t="e">
        <v>#N/A</v>
      </c>
      <c r="N323" s="2402" t="e">
        <v>#N/A</v>
      </c>
      <c r="O323" s="2411" t="e">
        <v>#N/A</v>
      </c>
    </row>
    <row r="324" spans="1:15">
      <c r="A324" s="663">
        <f t="shared" si="18"/>
        <v>2026.03</v>
      </c>
      <c r="B324" s="2428"/>
      <c r="C324" s="2429"/>
      <c r="D324" s="2430"/>
      <c r="E324" s="2428"/>
      <c r="F324" s="2429"/>
      <c r="G324" s="2430"/>
      <c r="H324" s="2401" t="e">
        <f t="shared" si="21"/>
        <v>#N/A</v>
      </c>
      <c r="I324" s="2402" t="e">
        <v>#N/A</v>
      </c>
      <c r="J324" s="2402" t="e">
        <v>#N/A</v>
      </c>
      <c r="K324" s="2398" t="e">
        <v>#N/A</v>
      </c>
      <c r="L324" s="2401" t="e">
        <f t="shared" si="22"/>
        <v>#N/A</v>
      </c>
      <c r="M324" s="2402" t="e">
        <v>#N/A</v>
      </c>
      <c r="N324" s="2402" t="e">
        <v>#N/A</v>
      </c>
      <c r="O324" s="2411" t="e">
        <v>#N/A</v>
      </c>
    </row>
    <row r="325" spans="1:15">
      <c r="A325" s="663">
        <f t="shared" si="18"/>
        <v>2026.04</v>
      </c>
      <c r="B325" s="2428"/>
      <c r="C325" s="2429"/>
      <c r="D325" s="2430"/>
      <c r="E325" s="2428"/>
      <c r="F325" s="2429"/>
      <c r="G325" s="2430"/>
      <c r="H325" s="2401" t="e">
        <f t="shared" si="21"/>
        <v>#N/A</v>
      </c>
      <c r="I325" s="2402" t="e">
        <v>#N/A</v>
      </c>
      <c r="J325" s="2402" t="e">
        <v>#N/A</v>
      </c>
      <c r="K325" s="2398" t="e">
        <v>#N/A</v>
      </c>
      <c r="L325" s="2401" t="e">
        <f t="shared" si="22"/>
        <v>#N/A</v>
      </c>
      <c r="M325" s="2402" t="e">
        <v>#N/A</v>
      </c>
      <c r="N325" s="2402" t="e">
        <v>#N/A</v>
      </c>
      <c r="O325" s="2411" t="e">
        <v>#N/A</v>
      </c>
    </row>
    <row r="326" spans="1:15">
      <c r="A326" s="663">
        <f t="shared" si="18"/>
        <v>2026.05</v>
      </c>
      <c r="B326" s="2428"/>
      <c r="C326" s="2429"/>
      <c r="D326" s="2430"/>
      <c r="E326" s="2428"/>
      <c r="F326" s="2429"/>
      <c r="G326" s="2430"/>
      <c r="H326" s="2401" t="e">
        <f t="shared" si="21"/>
        <v>#N/A</v>
      </c>
      <c r="I326" s="2402" t="e">
        <v>#N/A</v>
      </c>
      <c r="J326" s="2402" t="e">
        <v>#N/A</v>
      </c>
      <c r="K326" s="2398" t="e">
        <v>#N/A</v>
      </c>
      <c r="L326" s="2401" t="e">
        <f t="shared" si="22"/>
        <v>#N/A</v>
      </c>
      <c r="M326" s="2402" t="e">
        <v>#N/A</v>
      </c>
      <c r="N326" s="2402" t="e">
        <v>#N/A</v>
      </c>
      <c r="O326" s="2411" t="e">
        <v>#N/A</v>
      </c>
    </row>
    <row r="327" spans="1:15">
      <c r="A327" s="663">
        <f t="shared" si="18"/>
        <v>2026.06</v>
      </c>
      <c r="B327" s="2428"/>
      <c r="C327" s="2429"/>
      <c r="D327" s="2430"/>
      <c r="E327" s="2428"/>
      <c r="F327" s="2429"/>
      <c r="G327" s="2430"/>
      <c r="H327" s="2401" t="e">
        <f t="shared" si="21"/>
        <v>#N/A</v>
      </c>
      <c r="I327" s="2402" t="e">
        <v>#N/A</v>
      </c>
      <c r="J327" s="2402" t="e">
        <v>#N/A</v>
      </c>
      <c r="K327" s="2398" t="e">
        <v>#N/A</v>
      </c>
      <c r="L327" s="2401" t="e">
        <f t="shared" si="22"/>
        <v>#N/A</v>
      </c>
      <c r="M327" s="2402" t="e">
        <v>#N/A</v>
      </c>
      <c r="N327" s="2402" t="e">
        <v>#N/A</v>
      </c>
      <c r="O327" s="2411" t="e">
        <v>#N/A</v>
      </c>
    </row>
    <row r="328" spans="1:15">
      <c r="A328" s="663">
        <f t="shared" si="18"/>
        <v>2026.07</v>
      </c>
      <c r="B328" s="2428"/>
      <c r="C328" s="2429"/>
      <c r="D328" s="2430"/>
      <c r="E328" s="2428"/>
      <c r="F328" s="2429"/>
      <c r="G328" s="2430"/>
      <c r="H328" s="2401" t="e">
        <f t="shared" si="21"/>
        <v>#N/A</v>
      </c>
      <c r="I328" s="2402" t="e">
        <v>#N/A</v>
      </c>
      <c r="J328" s="2402" t="e">
        <v>#N/A</v>
      </c>
      <c r="K328" s="2398" t="e">
        <v>#N/A</v>
      </c>
      <c r="L328" s="2401" t="e">
        <f t="shared" si="22"/>
        <v>#N/A</v>
      </c>
      <c r="M328" s="2402" t="e">
        <v>#N/A</v>
      </c>
      <c r="N328" s="2402" t="e">
        <v>#N/A</v>
      </c>
      <c r="O328" s="2411" t="e">
        <v>#N/A</v>
      </c>
    </row>
    <row r="329" spans="1:15">
      <c r="A329" s="663">
        <f t="shared" si="18"/>
        <v>2026.08</v>
      </c>
      <c r="B329" s="2428"/>
      <c r="C329" s="2429"/>
      <c r="D329" s="2430"/>
      <c r="E329" s="2428"/>
      <c r="F329" s="2429"/>
      <c r="G329" s="2430"/>
      <c r="H329" s="2401" t="e">
        <f t="shared" si="21"/>
        <v>#N/A</v>
      </c>
      <c r="I329" s="2402" t="e">
        <v>#N/A</v>
      </c>
      <c r="J329" s="2402" t="e">
        <v>#N/A</v>
      </c>
      <c r="K329" s="2398" t="e">
        <v>#N/A</v>
      </c>
      <c r="L329" s="2401" t="e">
        <f t="shared" si="22"/>
        <v>#N/A</v>
      </c>
      <c r="M329" s="2402" t="e">
        <v>#N/A</v>
      </c>
      <c r="N329" s="2402" t="e">
        <v>#N/A</v>
      </c>
      <c r="O329" s="2411" t="e">
        <v>#N/A</v>
      </c>
    </row>
    <row r="330" spans="1:15">
      <c r="A330" s="663">
        <f t="shared" si="18"/>
        <v>2026.09</v>
      </c>
      <c r="B330" s="2428"/>
      <c r="C330" s="2429"/>
      <c r="D330" s="2430"/>
      <c r="E330" s="2428"/>
      <c r="F330" s="2429"/>
      <c r="G330" s="2430"/>
      <c r="H330" s="2401" t="e">
        <f t="shared" si="21"/>
        <v>#N/A</v>
      </c>
      <c r="I330" s="2402" t="e">
        <v>#N/A</v>
      </c>
      <c r="J330" s="2402" t="e">
        <v>#N/A</v>
      </c>
      <c r="K330" s="2398" t="e">
        <v>#N/A</v>
      </c>
      <c r="L330" s="2401" t="e">
        <f t="shared" si="22"/>
        <v>#N/A</v>
      </c>
      <c r="M330" s="2402" t="e">
        <v>#N/A</v>
      </c>
      <c r="N330" s="2402" t="e">
        <v>#N/A</v>
      </c>
      <c r="O330" s="2411" t="e">
        <v>#N/A</v>
      </c>
    </row>
    <row r="331" spans="1:15">
      <c r="A331" s="663">
        <f t="shared" si="18"/>
        <v>2026.1</v>
      </c>
      <c r="B331" s="2428"/>
      <c r="C331" s="2429"/>
      <c r="D331" s="2430"/>
      <c r="E331" s="2428"/>
      <c r="F331" s="2429"/>
      <c r="G331" s="2430"/>
      <c r="H331" s="2401" t="e">
        <f t="shared" si="21"/>
        <v>#N/A</v>
      </c>
      <c r="I331" s="2402" t="e">
        <v>#N/A</v>
      </c>
      <c r="J331" s="2402" t="e">
        <v>#N/A</v>
      </c>
      <c r="K331" s="2398" t="e">
        <v>#N/A</v>
      </c>
      <c r="L331" s="2401" t="e">
        <f t="shared" si="22"/>
        <v>#N/A</v>
      </c>
      <c r="M331" s="2402" t="e">
        <v>#N/A</v>
      </c>
      <c r="N331" s="2402" t="e">
        <v>#N/A</v>
      </c>
      <c r="O331" s="2411" t="e">
        <v>#N/A</v>
      </c>
    </row>
    <row r="332" spans="1:15">
      <c r="A332" s="663">
        <f t="shared" si="18"/>
        <v>2026.11</v>
      </c>
      <c r="B332" s="2428"/>
      <c r="C332" s="2429"/>
      <c r="D332" s="2430"/>
      <c r="E332" s="2428"/>
      <c r="F332" s="2429"/>
      <c r="G332" s="2430"/>
      <c r="H332" s="2401" t="e">
        <f t="shared" si="21"/>
        <v>#N/A</v>
      </c>
      <c r="I332" s="2402" t="e">
        <v>#N/A</v>
      </c>
      <c r="J332" s="2402" t="e">
        <v>#N/A</v>
      </c>
      <c r="K332" s="2398" t="e">
        <v>#N/A</v>
      </c>
      <c r="L332" s="2401" t="e">
        <f t="shared" si="22"/>
        <v>#N/A</v>
      </c>
      <c r="M332" s="2402" t="e">
        <v>#N/A</v>
      </c>
      <c r="N332" s="2402" t="e">
        <v>#N/A</v>
      </c>
      <c r="O332" s="2411" t="e">
        <v>#N/A</v>
      </c>
    </row>
    <row r="333" spans="1:15">
      <c r="A333" s="663">
        <f t="shared" si="18"/>
        <v>2026.12</v>
      </c>
      <c r="B333" s="2428"/>
      <c r="C333" s="2429"/>
      <c r="D333" s="2430"/>
      <c r="E333" s="2428"/>
      <c r="F333" s="2429"/>
      <c r="G333" s="2430"/>
      <c r="H333" s="2401" t="e">
        <f t="shared" si="21"/>
        <v>#N/A</v>
      </c>
      <c r="I333" s="2402" t="e">
        <v>#N/A</v>
      </c>
      <c r="J333" s="2402" t="e">
        <v>#N/A</v>
      </c>
      <c r="K333" s="2398" t="e">
        <v>#N/A</v>
      </c>
      <c r="L333" s="2401" t="e">
        <f t="shared" si="22"/>
        <v>#N/A</v>
      </c>
      <c r="M333" s="2402" t="e">
        <v>#N/A</v>
      </c>
      <c r="N333" s="2402" t="e">
        <v>#N/A</v>
      </c>
      <c r="O333" s="2411" t="e">
        <v>#N/A</v>
      </c>
    </row>
    <row r="334" spans="1:15">
      <c r="A334" s="663">
        <f t="shared" si="18"/>
        <v>2027.01</v>
      </c>
      <c r="B334" s="2428"/>
      <c r="C334" s="2429"/>
      <c r="D334" s="2430"/>
      <c r="E334" s="2428"/>
      <c r="F334" s="2429"/>
      <c r="G334" s="2430"/>
      <c r="H334" s="2401" t="e">
        <f t="shared" si="21"/>
        <v>#N/A</v>
      </c>
      <c r="I334" s="2402" t="e">
        <v>#N/A</v>
      </c>
      <c r="J334" s="2402" t="e">
        <v>#N/A</v>
      </c>
      <c r="K334" s="2398" t="e">
        <v>#N/A</v>
      </c>
      <c r="L334" s="2401" t="e">
        <f t="shared" si="22"/>
        <v>#N/A</v>
      </c>
      <c r="M334" s="2402" t="e">
        <v>#N/A</v>
      </c>
      <c r="N334" s="2402" t="e">
        <v>#N/A</v>
      </c>
      <c r="O334" s="2411" t="e">
        <v>#N/A</v>
      </c>
    </row>
    <row r="335" spans="1:15">
      <c r="A335" s="663">
        <f t="shared" si="18"/>
        <v>2027.02</v>
      </c>
      <c r="B335" s="2428"/>
      <c r="C335" s="2429"/>
      <c r="D335" s="2430"/>
      <c r="E335" s="2428"/>
      <c r="F335" s="2429"/>
      <c r="G335" s="2430"/>
      <c r="H335" s="2401" t="e">
        <f t="shared" si="21"/>
        <v>#N/A</v>
      </c>
      <c r="I335" s="2402" t="e">
        <v>#N/A</v>
      </c>
      <c r="J335" s="2402" t="e">
        <v>#N/A</v>
      </c>
      <c r="K335" s="2398" t="e">
        <v>#N/A</v>
      </c>
      <c r="L335" s="2401" t="e">
        <f t="shared" si="22"/>
        <v>#N/A</v>
      </c>
      <c r="M335" s="2402" t="e">
        <v>#N/A</v>
      </c>
      <c r="N335" s="2402" t="e">
        <v>#N/A</v>
      </c>
      <c r="O335" s="2411" t="e">
        <v>#N/A</v>
      </c>
    </row>
    <row r="336" spans="1:15">
      <c r="A336" s="663">
        <f t="shared" si="18"/>
        <v>2027.03</v>
      </c>
      <c r="B336" s="2428"/>
      <c r="C336" s="2429"/>
      <c r="D336" s="2430"/>
      <c r="E336" s="2428"/>
      <c r="F336" s="2429"/>
      <c r="G336" s="2430"/>
      <c r="H336" s="2401" t="e">
        <f t="shared" ref="H336:H381" si="23">+I336+J336+K336</f>
        <v>#N/A</v>
      </c>
      <c r="I336" s="2402" t="e">
        <v>#N/A</v>
      </c>
      <c r="J336" s="2402" t="e">
        <v>#N/A</v>
      </c>
      <c r="K336" s="2398" t="e">
        <v>#N/A</v>
      </c>
      <c r="L336" s="2401" t="e">
        <f t="shared" ref="L336:L381" si="24">M336+N336+O336</f>
        <v>#N/A</v>
      </c>
      <c r="M336" s="2402" t="e">
        <v>#N/A</v>
      </c>
      <c r="N336" s="2402" t="e">
        <v>#N/A</v>
      </c>
      <c r="O336" s="2411" t="e">
        <v>#N/A</v>
      </c>
    </row>
    <row r="337" spans="1:15">
      <c r="A337" s="663">
        <f t="shared" si="18"/>
        <v>2027.04</v>
      </c>
      <c r="B337" s="2428"/>
      <c r="C337" s="2429"/>
      <c r="D337" s="2430"/>
      <c r="E337" s="2428"/>
      <c r="F337" s="2429"/>
      <c r="G337" s="2430"/>
      <c r="H337" s="2401" t="e">
        <f t="shared" si="23"/>
        <v>#N/A</v>
      </c>
      <c r="I337" s="2402" t="e">
        <v>#N/A</v>
      </c>
      <c r="J337" s="2402" t="e">
        <v>#N/A</v>
      </c>
      <c r="K337" s="2398" t="e">
        <v>#N/A</v>
      </c>
      <c r="L337" s="2401" t="e">
        <f t="shared" si="24"/>
        <v>#N/A</v>
      </c>
      <c r="M337" s="2402" t="e">
        <v>#N/A</v>
      </c>
      <c r="N337" s="2402" t="e">
        <v>#N/A</v>
      </c>
      <c r="O337" s="2411" t="e">
        <v>#N/A</v>
      </c>
    </row>
    <row r="338" spans="1:15">
      <c r="A338" s="663">
        <f t="shared" si="18"/>
        <v>2027.05</v>
      </c>
      <c r="B338" s="2428"/>
      <c r="C338" s="2429"/>
      <c r="D338" s="2430"/>
      <c r="E338" s="2428"/>
      <c r="F338" s="2429"/>
      <c r="G338" s="2430"/>
      <c r="H338" s="2401" t="e">
        <f t="shared" si="23"/>
        <v>#N/A</v>
      </c>
      <c r="I338" s="2402" t="e">
        <v>#N/A</v>
      </c>
      <c r="J338" s="2402" t="e">
        <v>#N/A</v>
      </c>
      <c r="K338" s="2398" t="e">
        <v>#N/A</v>
      </c>
      <c r="L338" s="2401" t="e">
        <f t="shared" si="24"/>
        <v>#N/A</v>
      </c>
      <c r="M338" s="2402" t="e">
        <v>#N/A</v>
      </c>
      <c r="N338" s="2402" t="e">
        <v>#N/A</v>
      </c>
      <c r="O338" s="2411" t="e">
        <v>#N/A</v>
      </c>
    </row>
    <row r="339" spans="1:15">
      <c r="A339" s="663">
        <f t="shared" si="18"/>
        <v>2027.06</v>
      </c>
      <c r="B339" s="2428"/>
      <c r="C339" s="2429"/>
      <c r="D339" s="2430"/>
      <c r="E339" s="2428"/>
      <c r="F339" s="2429"/>
      <c r="G339" s="2430"/>
      <c r="H339" s="2401" t="e">
        <f t="shared" si="23"/>
        <v>#N/A</v>
      </c>
      <c r="I339" s="2402" t="e">
        <v>#N/A</v>
      </c>
      <c r="J339" s="2402" t="e">
        <v>#N/A</v>
      </c>
      <c r="K339" s="2398" t="e">
        <v>#N/A</v>
      </c>
      <c r="L339" s="2401" t="e">
        <f t="shared" si="24"/>
        <v>#N/A</v>
      </c>
      <c r="M339" s="2402" t="e">
        <v>#N/A</v>
      </c>
      <c r="N339" s="2402" t="e">
        <v>#N/A</v>
      </c>
      <c r="O339" s="2411" t="e">
        <v>#N/A</v>
      </c>
    </row>
    <row r="340" spans="1:15">
      <c r="A340" s="663">
        <f t="shared" si="18"/>
        <v>2027.07</v>
      </c>
      <c r="B340" s="2428"/>
      <c r="C340" s="2429"/>
      <c r="D340" s="2430"/>
      <c r="E340" s="2428"/>
      <c r="F340" s="2429"/>
      <c r="G340" s="2430"/>
      <c r="H340" s="2401" t="e">
        <f t="shared" si="23"/>
        <v>#N/A</v>
      </c>
      <c r="I340" s="2402" t="e">
        <v>#N/A</v>
      </c>
      <c r="J340" s="2402" t="e">
        <v>#N/A</v>
      </c>
      <c r="K340" s="2398" t="e">
        <v>#N/A</v>
      </c>
      <c r="L340" s="2401" t="e">
        <f t="shared" si="24"/>
        <v>#N/A</v>
      </c>
      <c r="M340" s="2402" t="e">
        <v>#N/A</v>
      </c>
      <c r="N340" s="2402" t="e">
        <v>#N/A</v>
      </c>
      <c r="O340" s="2411" t="e">
        <v>#N/A</v>
      </c>
    </row>
    <row r="341" spans="1:15">
      <c r="A341" s="663">
        <f t="shared" si="18"/>
        <v>2027.08</v>
      </c>
      <c r="B341" s="2428"/>
      <c r="C341" s="2429"/>
      <c r="D341" s="2430"/>
      <c r="E341" s="2428"/>
      <c r="F341" s="2429"/>
      <c r="G341" s="2430"/>
      <c r="H341" s="2401" t="e">
        <f t="shared" si="23"/>
        <v>#N/A</v>
      </c>
      <c r="I341" s="2402" t="e">
        <v>#N/A</v>
      </c>
      <c r="J341" s="2402" t="e">
        <v>#N/A</v>
      </c>
      <c r="K341" s="2398" t="e">
        <v>#N/A</v>
      </c>
      <c r="L341" s="2401" t="e">
        <f t="shared" si="24"/>
        <v>#N/A</v>
      </c>
      <c r="M341" s="2402" t="e">
        <v>#N/A</v>
      </c>
      <c r="N341" s="2402" t="e">
        <v>#N/A</v>
      </c>
      <c r="O341" s="2411" t="e">
        <v>#N/A</v>
      </c>
    </row>
    <row r="342" spans="1:15">
      <c r="A342" s="663">
        <f t="shared" si="18"/>
        <v>2027.09</v>
      </c>
      <c r="B342" s="2428"/>
      <c r="C342" s="2429"/>
      <c r="D342" s="2430"/>
      <c r="E342" s="2428"/>
      <c r="F342" s="2429"/>
      <c r="G342" s="2430"/>
      <c r="H342" s="2401" t="e">
        <f t="shared" si="23"/>
        <v>#N/A</v>
      </c>
      <c r="I342" s="2402" t="e">
        <v>#N/A</v>
      </c>
      <c r="J342" s="2402" t="e">
        <v>#N/A</v>
      </c>
      <c r="K342" s="2398" t="e">
        <v>#N/A</v>
      </c>
      <c r="L342" s="2401" t="e">
        <f t="shared" si="24"/>
        <v>#N/A</v>
      </c>
      <c r="M342" s="2402" t="e">
        <v>#N/A</v>
      </c>
      <c r="N342" s="2402" t="e">
        <v>#N/A</v>
      </c>
      <c r="O342" s="2411" t="e">
        <v>#N/A</v>
      </c>
    </row>
    <row r="343" spans="1:15">
      <c r="A343" s="663">
        <f t="shared" si="18"/>
        <v>2027.1</v>
      </c>
      <c r="B343" s="2428"/>
      <c r="C343" s="2429"/>
      <c r="D343" s="2430"/>
      <c r="E343" s="2428"/>
      <c r="F343" s="2429"/>
      <c r="G343" s="2430"/>
      <c r="H343" s="2401" t="e">
        <f t="shared" si="23"/>
        <v>#N/A</v>
      </c>
      <c r="I343" s="2402" t="e">
        <v>#N/A</v>
      </c>
      <c r="J343" s="2402" t="e">
        <v>#N/A</v>
      </c>
      <c r="K343" s="2398" t="e">
        <v>#N/A</v>
      </c>
      <c r="L343" s="2401" t="e">
        <f t="shared" si="24"/>
        <v>#N/A</v>
      </c>
      <c r="M343" s="2402" t="e">
        <v>#N/A</v>
      </c>
      <c r="N343" s="2402" t="e">
        <v>#N/A</v>
      </c>
      <c r="O343" s="2411" t="e">
        <v>#N/A</v>
      </c>
    </row>
    <row r="344" spans="1:15">
      <c r="A344" s="663">
        <f t="shared" si="18"/>
        <v>2027.11</v>
      </c>
      <c r="B344" s="2428"/>
      <c r="C344" s="2429"/>
      <c r="D344" s="2430"/>
      <c r="E344" s="2428"/>
      <c r="F344" s="2429"/>
      <c r="G344" s="2430"/>
      <c r="H344" s="2401" t="e">
        <f t="shared" si="23"/>
        <v>#N/A</v>
      </c>
      <c r="I344" s="2402" t="e">
        <v>#N/A</v>
      </c>
      <c r="J344" s="2402" t="e">
        <v>#N/A</v>
      </c>
      <c r="K344" s="2398" t="e">
        <v>#N/A</v>
      </c>
      <c r="L344" s="2401" t="e">
        <f t="shared" si="24"/>
        <v>#N/A</v>
      </c>
      <c r="M344" s="2402" t="e">
        <v>#N/A</v>
      </c>
      <c r="N344" s="2402" t="e">
        <v>#N/A</v>
      </c>
      <c r="O344" s="2411" t="e">
        <v>#N/A</v>
      </c>
    </row>
    <row r="345" spans="1:15">
      <c r="A345" s="663">
        <f t="shared" si="18"/>
        <v>2027.12</v>
      </c>
      <c r="B345" s="2428"/>
      <c r="C345" s="2429"/>
      <c r="D345" s="2430"/>
      <c r="E345" s="2428"/>
      <c r="F345" s="2429"/>
      <c r="G345" s="2430"/>
      <c r="H345" s="2401" t="e">
        <f t="shared" si="23"/>
        <v>#N/A</v>
      </c>
      <c r="I345" s="2402" t="e">
        <v>#N/A</v>
      </c>
      <c r="J345" s="2402" t="e">
        <v>#N/A</v>
      </c>
      <c r="K345" s="2398" t="e">
        <v>#N/A</v>
      </c>
      <c r="L345" s="2401" t="e">
        <f t="shared" si="24"/>
        <v>#N/A</v>
      </c>
      <c r="M345" s="2402" t="e">
        <v>#N/A</v>
      </c>
      <c r="N345" s="2402" t="e">
        <v>#N/A</v>
      </c>
      <c r="O345" s="2411" t="e">
        <v>#N/A</v>
      </c>
    </row>
    <row r="346" spans="1:15">
      <c r="A346" s="663">
        <f t="shared" si="18"/>
        <v>2028.01</v>
      </c>
      <c r="B346" s="2428"/>
      <c r="C346" s="2429"/>
      <c r="D346" s="2430"/>
      <c r="E346" s="2428"/>
      <c r="F346" s="2429"/>
      <c r="G346" s="2430"/>
      <c r="H346" s="2401" t="e">
        <f t="shared" si="23"/>
        <v>#N/A</v>
      </c>
      <c r="I346" s="2402" t="e">
        <v>#N/A</v>
      </c>
      <c r="J346" s="2402" t="e">
        <v>#N/A</v>
      </c>
      <c r="K346" s="2398" t="e">
        <v>#N/A</v>
      </c>
      <c r="L346" s="2401" t="e">
        <f t="shared" si="24"/>
        <v>#N/A</v>
      </c>
      <c r="M346" s="2402" t="e">
        <v>#N/A</v>
      </c>
      <c r="N346" s="2402" t="e">
        <v>#N/A</v>
      </c>
      <c r="O346" s="2411" t="e">
        <v>#N/A</v>
      </c>
    </row>
    <row r="347" spans="1:15">
      <c r="A347" s="663">
        <f t="shared" si="18"/>
        <v>2028.02</v>
      </c>
      <c r="B347" s="2428"/>
      <c r="C347" s="2429"/>
      <c r="D347" s="2430"/>
      <c r="E347" s="2428"/>
      <c r="F347" s="2429"/>
      <c r="G347" s="2430"/>
      <c r="H347" s="2401" t="e">
        <f t="shared" si="23"/>
        <v>#N/A</v>
      </c>
      <c r="I347" s="2402" t="e">
        <v>#N/A</v>
      </c>
      <c r="J347" s="2402" t="e">
        <v>#N/A</v>
      </c>
      <c r="K347" s="2398" t="e">
        <v>#N/A</v>
      </c>
      <c r="L347" s="2401" t="e">
        <f t="shared" si="24"/>
        <v>#N/A</v>
      </c>
      <c r="M347" s="2402" t="e">
        <v>#N/A</v>
      </c>
      <c r="N347" s="2402" t="e">
        <v>#N/A</v>
      </c>
      <c r="O347" s="2411" t="e">
        <v>#N/A</v>
      </c>
    </row>
    <row r="348" spans="1:15">
      <c r="A348" s="663">
        <f t="shared" si="18"/>
        <v>2028.03</v>
      </c>
      <c r="B348" s="2428"/>
      <c r="C348" s="2429"/>
      <c r="D348" s="2430"/>
      <c r="E348" s="2428"/>
      <c r="F348" s="2429"/>
      <c r="G348" s="2430"/>
      <c r="H348" s="2401" t="e">
        <f t="shared" si="23"/>
        <v>#N/A</v>
      </c>
      <c r="I348" s="2402" t="e">
        <v>#N/A</v>
      </c>
      <c r="J348" s="2402" t="e">
        <v>#N/A</v>
      </c>
      <c r="K348" s="2398" t="e">
        <v>#N/A</v>
      </c>
      <c r="L348" s="2401" t="e">
        <f t="shared" si="24"/>
        <v>#N/A</v>
      </c>
      <c r="M348" s="2402" t="e">
        <v>#N/A</v>
      </c>
      <c r="N348" s="2402" t="e">
        <v>#N/A</v>
      </c>
      <c r="O348" s="2411" t="e">
        <v>#N/A</v>
      </c>
    </row>
    <row r="349" spans="1:15">
      <c r="A349" s="663">
        <f t="shared" si="18"/>
        <v>2028.04</v>
      </c>
      <c r="B349" s="2428"/>
      <c r="C349" s="2429"/>
      <c r="D349" s="2430"/>
      <c r="E349" s="2428"/>
      <c r="F349" s="2429"/>
      <c r="G349" s="2430"/>
      <c r="H349" s="2401" t="e">
        <f t="shared" si="23"/>
        <v>#N/A</v>
      </c>
      <c r="I349" s="2402" t="e">
        <v>#N/A</v>
      </c>
      <c r="J349" s="2402" t="e">
        <v>#N/A</v>
      </c>
      <c r="K349" s="2398" t="e">
        <v>#N/A</v>
      </c>
      <c r="L349" s="2401" t="e">
        <f t="shared" si="24"/>
        <v>#N/A</v>
      </c>
      <c r="M349" s="2402" t="e">
        <v>#N/A</v>
      </c>
      <c r="N349" s="2402" t="e">
        <v>#N/A</v>
      </c>
      <c r="O349" s="2411" t="e">
        <v>#N/A</v>
      </c>
    </row>
    <row r="350" spans="1:15">
      <c r="A350" s="663">
        <f t="shared" si="18"/>
        <v>2028.05</v>
      </c>
      <c r="B350" s="2428"/>
      <c r="C350" s="2429"/>
      <c r="D350" s="2430"/>
      <c r="E350" s="2428"/>
      <c r="F350" s="2429"/>
      <c r="G350" s="2430"/>
      <c r="H350" s="2401" t="e">
        <f t="shared" si="23"/>
        <v>#N/A</v>
      </c>
      <c r="I350" s="2402" t="e">
        <v>#N/A</v>
      </c>
      <c r="J350" s="2402" t="e">
        <v>#N/A</v>
      </c>
      <c r="K350" s="2398" t="e">
        <v>#N/A</v>
      </c>
      <c r="L350" s="2401" t="e">
        <f t="shared" si="24"/>
        <v>#N/A</v>
      </c>
      <c r="M350" s="2402" t="e">
        <v>#N/A</v>
      </c>
      <c r="N350" s="2402" t="e">
        <v>#N/A</v>
      </c>
      <c r="O350" s="2411" t="e">
        <v>#N/A</v>
      </c>
    </row>
    <row r="351" spans="1:15">
      <c r="A351" s="663">
        <f t="shared" si="18"/>
        <v>2028.06</v>
      </c>
      <c r="B351" s="2428"/>
      <c r="C351" s="2429"/>
      <c r="D351" s="2430"/>
      <c r="E351" s="2428"/>
      <c r="F351" s="2429"/>
      <c r="G351" s="2430"/>
      <c r="H351" s="2401" t="e">
        <f t="shared" si="23"/>
        <v>#N/A</v>
      </c>
      <c r="I351" s="2402" t="e">
        <v>#N/A</v>
      </c>
      <c r="J351" s="2402" t="e">
        <v>#N/A</v>
      </c>
      <c r="K351" s="2398" t="e">
        <v>#N/A</v>
      </c>
      <c r="L351" s="2401" t="e">
        <f t="shared" si="24"/>
        <v>#N/A</v>
      </c>
      <c r="M351" s="2402" t="e">
        <v>#N/A</v>
      </c>
      <c r="N351" s="2402" t="e">
        <v>#N/A</v>
      </c>
      <c r="O351" s="2411" t="e">
        <v>#N/A</v>
      </c>
    </row>
    <row r="352" spans="1:15">
      <c r="A352" s="663">
        <f t="shared" si="18"/>
        <v>2028.07</v>
      </c>
      <c r="B352" s="2428"/>
      <c r="C352" s="2429"/>
      <c r="D352" s="2430"/>
      <c r="E352" s="2428"/>
      <c r="F352" s="2429"/>
      <c r="G352" s="2430"/>
      <c r="H352" s="2401" t="e">
        <f t="shared" si="23"/>
        <v>#N/A</v>
      </c>
      <c r="I352" s="2402" t="e">
        <v>#N/A</v>
      </c>
      <c r="J352" s="2402" t="e">
        <v>#N/A</v>
      </c>
      <c r="K352" s="2398" t="e">
        <v>#N/A</v>
      </c>
      <c r="L352" s="2401" t="e">
        <f t="shared" si="24"/>
        <v>#N/A</v>
      </c>
      <c r="M352" s="2402" t="e">
        <v>#N/A</v>
      </c>
      <c r="N352" s="2402" t="e">
        <v>#N/A</v>
      </c>
      <c r="O352" s="2411" t="e">
        <v>#N/A</v>
      </c>
    </row>
    <row r="353" spans="1:15">
      <c r="A353" s="663">
        <f t="shared" si="18"/>
        <v>2028.08</v>
      </c>
      <c r="B353" s="2428"/>
      <c r="C353" s="2429"/>
      <c r="D353" s="2430"/>
      <c r="E353" s="2428"/>
      <c r="F353" s="2429"/>
      <c r="G353" s="2430"/>
      <c r="H353" s="2401" t="e">
        <f t="shared" si="23"/>
        <v>#N/A</v>
      </c>
      <c r="I353" s="2402" t="e">
        <v>#N/A</v>
      </c>
      <c r="J353" s="2402" t="e">
        <v>#N/A</v>
      </c>
      <c r="K353" s="2398" t="e">
        <v>#N/A</v>
      </c>
      <c r="L353" s="2401" t="e">
        <f t="shared" si="24"/>
        <v>#N/A</v>
      </c>
      <c r="M353" s="2402" t="e">
        <v>#N/A</v>
      </c>
      <c r="N353" s="2402" t="e">
        <v>#N/A</v>
      </c>
      <c r="O353" s="2411" t="e">
        <v>#N/A</v>
      </c>
    </row>
    <row r="354" spans="1:15">
      <c r="A354" s="663">
        <f t="shared" si="18"/>
        <v>2028.09</v>
      </c>
      <c r="B354" s="2428"/>
      <c r="C354" s="2429"/>
      <c r="D354" s="2430"/>
      <c r="E354" s="2428"/>
      <c r="F354" s="2429"/>
      <c r="G354" s="2430"/>
      <c r="H354" s="2401" t="e">
        <f t="shared" si="23"/>
        <v>#N/A</v>
      </c>
      <c r="I354" s="2402" t="e">
        <v>#N/A</v>
      </c>
      <c r="J354" s="2402" t="e">
        <v>#N/A</v>
      </c>
      <c r="K354" s="2398" t="e">
        <v>#N/A</v>
      </c>
      <c r="L354" s="2401" t="e">
        <f t="shared" si="24"/>
        <v>#N/A</v>
      </c>
      <c r="M354" s="2402" t="e">
        <v>#N/A</v>
      </c>
      <c r="N354" s="2402" t="e">
        <v>#N/A</v>
      </c>
      <c r="O354" s="2411" t="e">
        <v>#N/A</v>
      </c>
    </row>
    <row r="355" spans="1:15">
      <c r="A355" s="663">
        <f t="shared" si="18"/>
        <v>2028.1</v>
      </c>
      <c r="B355" s="2428"/>
      <c r="C355" s="2429"/>
      <c r="D355" s="2430"/>
      <c r="E355" s="2428"/>
      <c r="F355" s="2429"/>
      <c r="G355" s="2430"/>
      <c r="H355" s="2401" t="e">
        <f t="shared" si="23"/>
        <v>#N/A</v>
      </c>
      <c r="I355" s="2402" t="e">
        <v>#N/A</v>
      </c>
      <c r="J355" s="2402" t="e">
        <v>#N/A</v>
      </c>
      <c r="K355" s="2398" t="e">
        <v>#N/A</v>
      </c>
      <c r="L355" s="2401" t="e">
        <f t="shared" si="24"/>
        <v>#N/A</v>
      </c>
      <c r="M355" s="2402" t="e">
        <v>#N/A</v>
      </c>
      <c r="N355" s="2402" t="e">
        <v>#N/A</v>
      </c>
      <c r="O355" s="2411" t="e">
        <v>#N/A</v>
      </c>
    </row>
    <row r="356" spans="1:15">
      <c r="A356" s="663">
        <f t="shared" si="18"/>
        <v>2028.11</v>
      </c>
      <c r="B356" s="2428"/>
      <c r="C356" s="2429"/>
      <c r="D356" s="2430"/>
      <c r="E356" s="2428"/>
      <c r="F356" s="2429"/>
      <c r="G356" s="2430"/>
      <c r="H356" s="2401" t="e">
        <f t="shared" si="23"/>
        <v>#N/A</v>
      </c>
      <c r="I356" s="2402" t="e">
        <v>#N/A</v>
      </c>
      <c r="J356" s="2402" t="e">
        <v>#N/A</v>
      </c>
      <c r="K356" s="2398" t="e">
        <v>#N/A</v>
      </c>
      <c r="L356" s="2401" t="e">
        <f t="shared" si="24"/>
        <v>#N/A</v>
      </c>
      <c r="M356" s="2402" t="e">
        <v>#N/A</v>
      </c>
      <c r="N356" s="2402" t="e">
        <v>#N/A</v>
      </c>
      <c r="O356" s="2411" t="e">
        <v>#N/A</v>
      </c>
    </row>
    <row r="357" spans="1:15">
      <c r="A357" s="663">
        <f t="shared" si="18"/>
        <v>2028.12</v>
      </c>
      <c r="B357" s="2428"/>
      <c r="C357" s="2429"/>
      <c r="D357" s="2430"/>
      <c r="E357" s="2428"/>
      <c r="F357" s="2429"/>
      <c r="G357" s="2430"/>
      <c r="H357" s="2401" t="e">
        <f t="shared" si="23"/>
        <v>#N/A</v>
      </c>
      <c r="I357" s="2402" t="e">
        <v>#N/A</v>
      </c>
      <c r="J357" s="2402" t="e">
        <v>#N/A</v>
      </c>
      <c r="K357" s="2398" t="e">
        <v>#N/A</v>
      </c>
      <c r="L357" s="2401" t="e">
        <f t="shared" si="24"/>
        <v>#N/A</v>
      </c>
      <c r="M357" s="2402" t="e">
        <v>#N/A</v>
      </c>
      <c r="N357" s="2402" t="e">
        <v>#N/A</v>
      </c>
      <c r="O357" s="2411" t="e">
        <v>#N/A</v>
      </c>
    </row>
    <row r="358" spans="1:15">
      <c r="A358" s="663">
        <f t="shared" si="18"/>
        <v>2029.01</v>
      </c>
      <c r="B358" s="2428"/>
      <c r="C358" s="2429"/>
      <c r="D358" s="2430"/>
      <c r="E358" s="2428"/>
      <c r="F358" s="2429"/>
      <c r="G358" s="2430"/>
      <c r="H358" s="2401" t="e">
        <f t="shared" si="23"/>
        <v>#N/A</v>
      </c>
      <c r="I358" s="2402" t="e">
        <v>#N/A</v>
      </c>
      <c r="J358" s="2402" t="e">
        <v>#N/A</v>
      </c>
      <c r="K358" s="2398" t="e">
        <v>#N/A</v>
      </c>
      <c r="L358" s="2401" t="e">
        <f t="shared" si="24"/>
        <v>#N/A</v>
      </c>
      <c r="M358" s="2402" t="e">
        <v>#N/A</v>
      </c>
      <c r="N358" s="2402" t="e">
        <v>#N/A</v>
      </c>
      <c r="O358" s="2411" t="e">
        <v>#N/A</v>
      </c>
    </row>
    <row r="359" spans="1:15">
      <c r="A359" s="663">
        <f t="shared" si="18"/>
        <v>2029.02</v>
      </c>
      <c r="B359" s="2428"/>
      <c r="C359" s="2429"/>
      <c r="D359" s="2430"/>
      <c r="E359" s="2428"/>
      <c r="F359" s="2429"/>
      <c r="G359" s="2430"/>
      <c r="H359" s="2401" t="e">
        <f t="shared" si="23"/>
        <v>#N/A</v>
      </c>
      <c r="I359" s="2402" t="e">
        <v>#N/A</v>
      </c>
      <c r="J359" s="2402" t="e">
        <v>#N/A</v>
      </c>
      <c r="K359" s="2398" t="e">
        <v>#N/A</v>
      </c>
      <c r="L359" s="2401" t="e">
        <f t="shared" si="24"/>
        <v>#N/A</v>
      </c>
      <c r="M359" s="2402" t="e">
        <v>#N/A</v>
      </c>
      <c r="N359" s="2402" t="e">
        <v>#N/A</v>
      </c>
      <c r="O359" s="2411" t="e">
        <v>#N/A</v>
      </c>
    </row>
    <row r="360" spans="1:15">
      <c r="A360" s="663">
        <f t="shared" si="18"/>
        <v>2029.03</v>
      </c>
      <c r="B360" s="2428"/>
      <c r="C360" s="2429"/>
      <c r="D360" s="2430"/>
      <c r="E360" s="2428"/>
      <c r="F360" s="2429"/>
      <c r="G360" s="2430"/>
      <c r="H360" s="2401" t="e">
        <f t="shared" si="23"/>
        <v>#N/A</v>
      </c>
      <c r="I360" s="2402" t="e">
        <v>#N/A</v>
      </c>
      <c r="J360" s="2402" t="e">
        <v>#N/A</v>
      </c>
      <c r="K360" s="2398" t="e">
        <v>#N/A</v>
      </c>
      <c r="L360" s="2401" t="e">
        <f t="shared" si="24"/>
        <v>#N/A</v>
      </c>
      <c r="M360" s="2402" t="e">
        <v>#N/A</v>
      </c>
      <c r="N360" s="2402" t="e">
        <v>#N/A</v>
      </c>
      <c r="O360" s="2411" t="e">
        <v>#N/A</v>
      </c>
    </row>
    <row r="361" spans="1:15">
      <c r="A361" s="663">
        <f t="shared" si="18"/>
        <v>2029.04</v>
      </c>
      <c r="B361" s="2428"/>
      <c r="C361" s="2429"/>
      <c r="D361" s="2430"/>
      <c r="E361" s="2428"/>
      <c r="F361" s="2429"/>
      <c r="G361" s="2430"/>
      <c r="H361" s="2401" t="e">
        <f t="shared" si="23"/>
        <v>#N/A</v>
      </c>
      <c r="I361" s="2402" t="e">
        <v>#N/A</v>
      </c>
      <c r="J361" s="2402" t="e">
        <v>#N/A</v>
      </c>
      <c r="K361" s="2398" t="e">
        <v>#N/A</v>
      </c>
      <c r="L361" s="2401" t="e">
        <f t="shared" si="24"/>
        <v>#N/A</v>
      </c>
      <c r="M361" s="2402" t="e">
        <v>#N/A</v>
      </c>
      <c r="N361" s="2402" t="e">
        <v>#N/A</v>
      </c>
      <c r="O361" s="2411" t="e">
        <v>#N/A</v>
      </c>
    </row>
    <row r="362" spans="1:15">
      <c r="A362" s="663">
        <f t="shared" ref="A362:A381" si="25">A350+1</f>
        <v>2029.05</v>
      </c>
      <c r="B362" s="2428"/>
      <c r="C362" s="2429"/>
      <c r="D362" s="2430"/>
      <c r="E362" s="2428"/>
      <c r="F362" s="2429"/>
      <c r="G362" s="2430"/>
      <c r="H362" s="2401" t="e">
        <f t="shared" si="23"/>
        <v>#N/A</v>
      </c>
      <c r="I362" s="2402" t="e">
        <v>#N/A</v>
      </c>
      <c r="J362" s="2402" t="e">
        <v>#N/A</v>
      </c>
      <c r="K362" s="2398" t="e">
        <v>#N/A</v>
      </c>
      <c r="L362" s="2401" t="e">
        <f t="shared" si="24"/>
        <v>#N/A</v>
      </c>
      <c r="M362" s="2402" t="e">
        <v>#N/A</v>
      </c>
      <c r="N362" s="2402" t="e">
        <v>#N/A</v>
      </c>
      <c r="O362" s="2411" t="e">
        <v>#N/A</v>
      </c>
    </row>
    <row r="363" spans="1:15">
      <c r="A363" s="663">
        <f t="shared" si="25"/>
        <v>2029.06</v>
      </c>
      <c r="B363" s="2428"/>
      <c r="C363" s="2429"/>
      <c r="D363" s="2430"/>
      <c r="E363" s="2428"/>
      <c r="F363" s="2429"/>
      <c r="G363" s="2430"/>
      <c r="H363" s="2401" t="e">
        <f t="shared" si="23"/>
        <v>#N/A</v>
      </c>
      <c r="I363" s="2402" t="e">
        <v>#N/A</v>
      </c>
      <c r="J363" s="2402" t="e">
        <v>#N/A</v>
      </c>
      <c r="K363" s="2398" t="e">
        <v>#N/A</v>
      </c>
      <c r="L363" s="2401" t="e">
        <f t="shared" si="24"/>
        <v>#N/A</v>
      </c>
      <c r="M363" s="2402" t="e">
        <v>#N/A</v>
      </c>
      <c r="N363" s="2402" t="e">
        <v>#N/A</v>
      </c>
      <c r="O363" s="2411" t="e">
        <v>#N/A</v>
      </c>
    </row>
    <row r="364" spans="1:15">
      <c r="A364" s="663">
        <f t="shared" si="25"/>
        <v>2029.07</v>
      </c>
      <c r="B364" s="2428"/>
      <c r="C364" s="2429"/>
      <c r="D364" s="2430"/>
      <c r="E364" s="2428"/>
      <c r="F364" s="2429"/>
      <c r="G364" s="2430"/>
      <c r="H364" s="2401" t="e">
        <f t="shared" si="23"/>
        <v>#N/A</v>
      </c>
      <c r="I364" s="2402" t="e">
        <v>#N/A</v>
      </c>
      <c r="J364" s="2402" t="e">
        <v>#N/A</v>
      </c>
      <c r="K364" s="2398" t="e">
        <v>#N/A</v>
      </c>
      <c r="L364" s="2401" t="e">
        <f t="shared" si="24"/>
        <v>#N/A</v>
      </c>
      <c r="M364" s="2402" t="e">
        <v>#N/A</v>
      </c>
      <c r="N364" s="2402" t="e">
        <v>#N/A</v>
      </c>
      <c r="O364" s="2411" t="e">
        <v>#N/A</v>
      </c>
    </row>
    <row r="365" spans="1:15">
      <c r="A365" s="663">
        <f t="shared" si="25"/>
        <v>2029.08</v>
      </c>
      <c r="B365" s="2428"/>
      <c r="C365" s="2429"/>
      <c r="D365" s="2430"/>
      <c r="E365" s="2428"/>
      <c r="F365" s="2429"/>
      <c r="G365" s="2430"/>
      <c r="H365" s="2401" t="e">
        <f t="shared" si="23"/>
        <v>#N/A</v>
      </c>
      <c r="I365" s="2402" t="e">
        <v>#N/A</v>
      </c>
      <c r="J365" s="2402" t="e">
        <v>#N/A</v>
      </c>
      <c r="K365" s="2398" t="e">
        <v>#N/A</v>
      </c>
      <c r="L365" s="2401" t="e">
        <f t="shared" si="24"/>
        <v>#N/A</v>
      </c>
      <c r="M365" s="2402" t="e">
        <v>#N/A</v>
      </c>
      <c r="N365" s="2402" t="e">
        <v>#N/A</v>
      </c>
      <c r="O365" s="2411" t="e">
        <v>#N/A</v>
      </c>
    </row>
    <row r="366" spans="1:15">
      <c r="A366" s="663">
        <f t="shared" si="25"/>
        <v>2029.09</v>
      </c>
      <c r="B366" s="2428"/>
      <c r="C366" s="2429"/>
      <c r="D366" s="2430"/>
      <c r="E366" s="2428"/>
      <c r="F366" s="2429"/>
      <c r="G366" s="2430"/>
      <c r="H366" s="2401" t="e">
        <f t="shared" si="23"/>
        <v>#N/A</v>
      </c>
      <c r="I366" s="2402" t="e">
        <v>#N/A</v>
      </c>
      <c r="J366" s="2402" t="e">
        <v>#N/A</v>
      </c>
      <c r="K366" s="2398" t="e">
        <v>#N/A</v>
      </c>
      <c r="L366" s="2401" t="e">
        <f t="shared" si="24"/>
        <v>#N/A</v>
      </c>
      <c r="M366" s="2402" t="e">
        <v>#N/A</v>
      </c>
      <c r="N366" s="2402" t="e">
        <v>#N/A</v>
      </c>
      <c r="O366" s="2411" t="e">
        <v>#N/A</v>
      </c>
    </row>
    <row r="367" spans="1:15">
      <c r="A367" s="663">
        <f t="shared" si="25"/>
        <v>2029.1</v>
      </c>
      <c r="B367" s="2428"/>
      <c r="C367" s="2429"/>
      <c r="D367" s="2430"/>
      <c r="E367" s="2428"/>
      <c r="F367" s="2429"/>
      <c r="G367" s="2430"/>
      <c r="H367" s="2401" t="e">
        <f t="shared" si="23"/>
        <v>#N/A</v>
      </c>
      <c r="I367" s="2402" t="e">
        <v>#N/A</v>
      </c>
      <c r="J367" s="2402" t="e">
        <v>#N/A</v>
      </c>
      <c r="K367" s="2398" t="e">
        <v>#N/A</v>
      </c>
      <c r="L367" s="2401" t="e">
        <f t="shared" si="24"/>
        <v>#N/A</v>
      </c>
      <c r="M367" s="2402" t="e">
        <v>#N/A</v>
      </c>
      <c r="N367" s="2402" t="e">
        <v>#N/A</v>
      </c>
      <c r="O367" s="2411" t="e">
        <v>#N/A</v>
      </c>
    </row>
    <row r="368" spans="1:15">
      <c r="A368" s="663">
        <f t="shared" si="25"/>
        <v>2029.11</v>
      </c>
      <c r="B368" s="2428"/>
      <c r="C368" s="2429"/>
      <c r="D368" s="2430"/>
      <c r="E368" s="2428"/>
      <c r="F368" s="2429"/>
      <c r="G368" s="2430"/>
      <c r="H368" s="2401" t="e">
        <f t="shared" si="23"/>
        <v>#N/A</v>
      </c>
      <c r="I368" s="2402" t="e">
        <v>#N/A</v>
      </c>
      <c r="J368" s="2402" t="e">
        <v>#N/A</v>
      </c>
      <c r="K368" s="2398" t="e">
        <v>#N/A</v>
      </c>
      <c r="L368" s="2401" t="e">
        <f t="shared" si="24"/>
        <v>#N/A</v>
      </c>
      <c r="M368" s="2402" t="e">
        <v>#N/A</v>
      </c>
      <c r="N368" s="2402" t="e">
        <v>#N/A</v>
      </c>
      <c r="O368" s="2411" t="e">
        <v>#N/A</v>
      </c>
    </row>
    <row r="369" spans="1:15">
      <c r="A369" s="663">
        <f t="shared" si="25"/>
        <v>2029.12</v>
      </c>
      <c r="B369" s="2428"/>
      <c r="C369" s="2429"/>
      <c r="D369" s="2430"/>
      <c r="E369" s="2428"/>
      <c r="F369" s="2429"/>
      <c r="G369" s="2430"/>
      <c r="H369" s="2401" t="e">
        <f t="shared" si="23"/>
        <v>#N/A</v>
      </c>
      <c r="I369" s="2402" t="e">
        <v>#N/A</v>
      </c>
      <c r="J369" s="2402" t="e">
        <v>#N/A</v>
      </c>
      <c r="K369" s="2398" t="e">
        <v>#N/A</v>
      </c>
      <c r="L369" s="2401" t="e">
        <f t="shared" si="24"/>
        <v>#N/A</v>
      </c>
      <c r="M369" s="2402" t="e">
        <v>#N/A</v>
      </c>
      <c r="N369" s="2402" t="e">
        <v>#N/A</v>
      </c>
      <c r="O369" s="2411" t="e">
        <v>#N/A</v>
      </c>
    </row>
    <row r="370" spans="1:15">
      <c r="A370" s="663">
        <f t="shared" si="25"/>
        <v>2030.01</v>
      </c>
      <c r="B370" s="2428"/>
      <c r="C370" s="2429"/>
      <c r="D370" s="2430"/>
      <c r="E370" s="2428"/>
      <c r="F370" s="2429"/>
      <c r="G370" s="2430"/>
      <c r="H370" s="2401" t="e">
        <f t="shared" si="23"/>
        <v>#N/A</v>
      </c>
      <c r="I370" s="2402" t="e">
        <v>#N/A</v>
      </c>
      <c r="J370" s="2402" t="e">
        <v>#N/A</v>
      </c>
      <c r="K370" s="2398" t="e">
        <v>#N/A</v>
      </c>
      <c r="L370" s="2401" t="e">
        <f t="shared" si="24"/>
        <v>#N/A</v>
      </c>
      <c r="M370" s="2402" t="e">
        <v>#N/A</v>
      </c>
      <c r="N370" s="2402" t="e">
        <v>#N/A</v>
      </c>
      <c r="O370" s="2411" t="e">
        <v>#N/A</v>
      </c>
    </row>
    <row r="371" spans="1:15">
      <c r="A371" s="663">
        <f t="shared" si="25"/>
        <v>2030.02</v>
      </c>
      <c r="B371" s="2428"/>
      <c r="C371" s="2429"/>
      <c r="D371" s="2430"/>
      <c r="E371" s="2428"/>
      <c r="F371" s="2429"/>
      <c r="G371" s="2430"/>
      <c r="H371" s="2401" t="e">
        <f t="shared" si="23"/>
        <v>#N/A</v>
      </c>
      <c r="I371" s="2402" t="e">
        <v>#N/A</v>
      </c>
      <c r="J371" s="2402" t="e">
        <v>#N/A</v>
      </c>
      <c r="K371" s="2398" t="e">
        <v>#N/A</v>
      </c>
      <c r="L371" s="2401" t="e">
        <f t="shared" si="24"/>
        <v>#N/A</v>
      </c>
      <c r="M371" s="2402" t="e">
        <v>#N/A</v>
      </c>
      <c r="N371" s="2402" t="e">
        <v>#N/A</v>
      </c>
      <c r="O371" s="2411" t="e">
        <v>#N/A</v>
      </c>
    </row>
    <row r="372" spans="1:15">
      <c r="A372" s="663">
        <f t="shared" si="25"/>
        <v>2030.03</v>
      </c>
      <c r="B372" s="2428"/>
      <c r="C372" s="2429"/>
      <c r="D372" s="2430"/>
      <c r="E372" s="2428"/>
      <c r="F372" s="2429"/>
      <c r="G372" s="2430"/>
      <c r="H372" s="2401" t="e">
        <f t="shared" si="23"/>
        <v>#N/A</v>
      </c>
      <c r="I372" s="2402" t="e">
        <v>#N/A</v>
      </c>
      <c r="J372" s="2402" t="e">
        <v>#N/A</v>
      </c>
      <c r="K372" s="2398" t="e">
        <v>#N/A</v>
      </c>
      <c r="L372" s="2401" t="e">
        <f t="shared" si="24"/>
        <v>#N/A</v>
      </c>
      <c r="M372" s="2402" t="e">
        <v>#N/A</v>
      </c>
      <c r="N372" s="2402" t="e">
        <v>#N/A</v>
      </c>
      <c r="O372" s="2411" t="e">
        <v>#N/A</v>
      </c>
    </row>
    <row r="373" spans="1:15">
      <c r="A373" s="663">
        <f t="shared" si="25"/>
        <v>2030.04</v>
      </c>
      <c r="B373" s="2428"/>
      <c r="C373" s="2429"/>
      <c r="D373" s="2430"/>
      <c r="E373" s="2428"/>
      <c r="F373" s="2429"/>
      <c r="G373" s="2430"/>
      <c r="H373" s="2401" t="e">
        <f t="shared" si="23"/>
        <v>#N/A</v>
      </c>
      <c r="I373" s="2402" t="e">
        <v>#N/A</v>
      </c>
      <c r="J373" s="2402" t="e">
        <v>#N/A</v>
      </c>
      <c r="K373" s="2398" t="e">
        <v>#N/A</v>
      </c>
      <c r="L373" s="2401" t="e">
        <f t="shared" si="24"/>
        <v>#N/A</v>
      </c>
      <c r="M373" s="2402" t="e">
        <v>#N/A</v>
      </c>
      <c r="N373" s="2402" t="e">
        <v>#N/A</v>
      </c>
      <c r="O373" s="2411" t="e">
        <v>#N/A</v>
      </c>
    </row>
    <row r="374" spans="1:15">
      <c r="A374" s="663">
        <f t="shared" si="25"/>
        <v>2030.05</v>
      </c>
      <c r="B374" s="2428"/>
      <c r="C374" s="2429"/>
      <c r="D374" s="2430"/>
      <c r="E374" s="2428"/>
      <c r="F374" s="2429"/>
      <c r="G374" s="2430"/>
      <c r="H374" s="2401" t="e">
        <f t="shared" si="23"/>
        <v>#N/A</v>
      </c>
      <c r="I374" s="2402" t="e">
        <v>#N/A</v>
      </c>
      <c r="J374" s="2402" t="e">
        <v>#N/A</v>
      </c>
      <c r="K374" s="2398" t="e">
        <v>#N/A</v>
      </c>
      <c r="L374" s="2401" t="e">
        <f t="shared" si="24"/>
        <v>#N/A</v>
      </c>
      <c r="M374" s="2402" t="e">
        <v>#N/A</v>
      </c>
      <c r="N374" s="2402" t="e">
        <v>#N/A</v>
      </c>
      <c r="O374" s="2411" t="e">
        <v>#N/A</v>
      </c>
    </row>
    <row r="375" spans="1:15">
      <c r="A375" s="663">
        <f t="shared" si="25"/>
        <v>2030.06</v>
      </c>
      <c r="B375" s="2428"/>
      <c r="C375" s="2429"/>
      <c r="D375" s="2430"/>
      <c r="E375" s="2428"/>
      <c r="F375" s="2429"/>
      <c r="G375" s="2430"/>
      <c r="H375" s="2401" t="e">
        <f t="shared" si="23"/>
        <v>#N/A</v>
      </c>
      <c r="I375" s="2402" t="e">
        <v>#N/A</v>
      </c>
      <c r="J375" s="2402" t="e">
        <v>#N/A</v>
      </c>
      <c r="K375" s="2398" t="e">
        <v>#N/A</v>
      </c>
      <c r="L375" s="2401" t="e">
        <f t="shared" si="24"/>
        <v>#N/A</v>
      </c>
      <c r="M375" s="2402" t="e">
        <v>#N/A</v>
      </c>
      <c r="N375" s="2402" t="e">
        <v>#N/A</v>
      </c>
      <c r="O375" s="2411" t="e">
        <v>#N/A</v>
      </c>
    </row>
    <row r="376" spans="1:15">
      <c r="A376" s="663">
        <f t="shared" si="25"/>
        <v>2030.07</v>
      </c>
      <c r="B376" s="2428"/>
      <c r="C376" s="2429"/>
      <c r="D376" s="2430"/>
      <c r="E376" s="2428"/>
      <c r="F376" s="2429"/>
      <c r="G376" s="2430"/>
      <c r="H376" s="2401" t="e">
        <f t="shared" si="23"/>
        <v>#N/A</v>
      </c>
      <c r="I376" s="2402" t="e">
        <v>#N/A</v>
      </c>
      <c r="J376" s="2402" t="e">
        <v>#N/A</v>
      </c>
      <c r="K376" s="2398" t="e">
        <v>#N/A</v>
      </c>
      <c r="L376" s="2401" t="e">
        <f t="shared" si="24"/>
        <v>#N/A</v>
      </c>
      <c r="M376" s="2402" t="e">
        <v>#N/A</v>
      </c>
      <c r="N376" s="2402" t="e">
        <v>#N/A</v>
      </c>
      <c r="O376" s="2411" t="e">
        <v>#N/A</v>
      </c>
    </row>
    <row r="377" spans="1:15">
      <c r="A377" s="663">
        <f t="shared" si="25"/>
        <v>2030.08</v>
      </c>
      <c r="B377" s="2428"/>
      <c r="C377" s="2429"/>
      <c r="D377" s="2430"/>
      <c r="E377" s="2428"/>
      <c r="F377" s="2429"/>
      <c r="G377" s="2430"/>
      <c r="H377" s="2401" t="e">
        <f t="shared" si="23"/>
        <v>#N/A</v>
      </c>
      <c r="I377" s="2402" t="e">
        <v>#N/A</v>
      </c>
      <c r="J377" s="2402" t="e">
        <v>#N/A</v>
      </c>
      <c r="K377" s="2398" t="e">
        <v>#N/A</v>
      </c>
      <c r="L377" s="2401" t="e">
        <f t="shared" si="24"/>
        <v>#N/A</v>
      </c>
      <c r="M377" s="2402" t="e">
        <v>#N/A</v>
      </c>
      <c r="N377" s="2402" t="e">
        <v>#N/A</v>
      </c>
      <c r="O377" s="2411" t="e">
        <v>#N/A</v>
      </c>
    </row>
    <row r="378" spans="1:15">
      <c r="A378" s="663">
        <f t="shared" si="25"/>
        <v>2030.09</v>
      </c>
      <c r="B378" s="2428"/>
      <c r="C378" s="2429"/>
      <c r="D378" s="2430"/>
      <c r="E378" s="2428"/>
      <c r="F378" s="2429"/>
      <c r="G378" s="2430"/>
      <c r="H378" s="2401" t="e">
        <f t="shared" si="23"/>
        <v>#N/A</v>
      </c>
      <c r="I378" s="2402" t="e">
        <v>#N/A</v>
      </c>
      <c r="J378" s="2402" t="e">
        <v>#N/A</v>
      </c>
      <c r="K378" s="2398" t="e">
        <v>#N/A</v>
      </c>
      <c r="L378" s="2401" t="e">
        <f t="shared" si="24"/>
        <v>#N/A</v>
      </c>
      <c r="M378" s="2402" t="e">
        <v>#N/A</v>
      </c>
      <c r="N378" s="2402" t="e">
        <v>#N/A</v>
      </c>
      <c r="O378" s="2411" t="e">
        <v>#N/A</v>
      </c>
    </row>
    <row r="379" spans="1:15">
      <c r="A379" s="663">
        <f t="shared" si="25"/>
        <v>2030.1</v>
      </c>
      <c r="B379" s="2428"/>
      <c r="C379" s="2429"/>
      <c r="D379" s="2430"/>
      <c r="E379" s="2428"/>
      <c r="F379" s="2429"/>
      <c r="G379" s="2430"/>
      <c r="H379" s="2401" t="e">
        <f t="shared" si="23"/>
        <v>#N/A</v>
      </c>
      <c r="I379" s="2402" t="e">
        <v>#N/A</v>
      </c>
      <c r="J379" s="2402" t="e">
        <v>#N/A</v>
      </c>
      <c r="K379" s="2398" t="e">
        <v>#N/A</v>
      </c>
      <c r="L379" s="2401" t="e">
        <f t="shared" si="24"/>
        <v>#N/A</v>
      </c>
      <c r="M379" s="2402" t="e">
        <v>#N/A</v>
      </c>
      <c r="N379" s="2402" t="e">
        <v>#N/A</v>
      </c>
      <c r="O379" s="2411" t="e">
        <v>#N/A</v>
      </c>
    </row>
    <row r="380" spans="1:15">
      <c r="A380" s="663">
        <f t="shared" si="25"/>
        <v>2030.11</v>
      </c>
      <c r="B380" s="2428"/>
      <c r="C380" s="2429"/>
      <c r="D380" s="2430"/>
      <c r="E380" s="2428"/>
      <c r="F380" s="2429"/>
      <c r="G380" s="2430"/>
      <c r="H380" s="2401" t="e">
        <f t="shared" si="23"/>
        <v>#N/A</v>
      </c>
      <c r="I380" s="2402" t="e">
        <v>#N/A</v>
      </c>
      <c r="J380" s="2402" t="e">
        <v>#N/A</v>
      </c>
      <c r="K380" s="2398" t="e">
        <v>#N/A</v>
      </c>
      <c r="L380" s="2401" t="e">
        <f t="shared" si="24"/>
        <v>#N/A</v>
      </c>
      <c r="M380" s="2402" t="e">
        <v>#N/A</v>
      </c>
      <c r="N380" s="2402" t="e">
        <v>#N/A</v>
      </c>
      <c r="O380" s="2411" t="e">
        <v>#N/A</v>
      </c>
    </row>
    <row r="381" spans="1:15">
      <c r="A381" s="663">
        <f t="shared" si="25"/>
        <v>2030.12</v>
      </c>
      <c r="B381" s="2428"/>
      <c r="C381" s="2429"/>
      <c r="D381" s="2430"/>
      <c r="E381" s="2428"/>
      <c r="F381" s="2429"/>
      <c r="G381" s="2430"/>
      <c r="H381" s="2401" t="e">
        <f t="shared" si="23"/>
        <v>#N/A</v>
      </c>
      <c r="I381" s="2402" t="e">
        <v>#N/A</v>
      </c>
      <c r="J381" s="2402" t="e">
        <v>#N/A</v>
      </c>
      <c r="K381" s="2398" t="e">
        <v>#N/A</v>
      </c>
      <c r="L381" s="2401" t="e">
        <f t="shared" si="24"/>
        <v>#N/A</v>
      </c>
      <c r="M381" s="2402" t="e">
        <v>#N/A</v>
      </c>
      <c r="N381" s="2402" t="e">
        <v>#N/A</v>
      </c>
      <c r="O381" s="2411" t="e">
        <v>#N/A</v>
      </c>
    </row>
  </sheetData>
  <phoneticPr fontId="62" type="noConversion"/>
  <hyperlinks>
    <hyperlink ref="A5" location="INDICE!A13" display="VOLVER AL INDICE" xr:uid="{00000000-0004-0000-0900-000000000000}"/>
  </hyperlinks>
  <printOptions gridLines="1" gridLinesSet="0"/>
  <pageMargins left="0.75" right="0.75" top="1" bottom="1" header="0.511811024" footer="0.511811024"/>
  <pageSetup paperSize="9" orientation="portrait" horizontalDpi="4294967292" verticalDpi="300" r:id="rId1"/>
  <headerFooter alignWithMargins="0">
    <oddHeader>&amp;A</oddHeader>
    <oddFooter>Página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pageSetUpPr autoPageBreaks="0"/>
  </sheetPr>
  <dimension ref="A1:AG453"/>
  <sheetViews>
    <sheetView zoomScaleNormal="100" workbookViewId="0">
      <pane xSplit="1" ySplit="9" topLeftCell="B358" activePane="bottomRight" state="frozen"/>
      <selection pane="topRight" activeCell="B1" sqref="B1"/>
      <selection pane="bottomLeft" activeCell="A10" sqref="A10"/>
      <selection pane="bottomRight" activeCell="F385" sqref="F385"/>
    </sheetView>
  </sheetViews>
  <sheetFormatPr baseColWidth="10" defaultColWidth="11.42578125" defaultRowHeight="12.75"/>
  <cols>
    <col min="1" max="1" width="9.5703125" style="19" customWidth="1"/>
    <col min="2" max="2" width="18.42578125" style="19" bestFit="1" customWidth="1"/>
    <col min="3" max="4" width="11.5703125" style="19" customWidth="1"/>
    <col min="5" max="5" width="29.42578125" style="19" customWidth="1"/>
    <col min="6" max="6" width="31.42578125" style="1" customWidth="1"/>
    <col min="7" max="33" width="13.7109375" style="1" customWidth="1"/>
    <col min="34" max="16384" width="11.42578125" style="1"/>
  </cols>
  <sheetData>
    <row r="1" spans="1:33" ht="2.25" customHeight="1">
      <c r="A1" s="37"/>
      <c r="B1" s="77"/>
      <c r="C1" s="122"/>
      <c r="D1" s="122"/>
      <c r="E1" s="122"/>
      <c r="F1" s="1219"/>
      <c r="G1" s="2800"/>
      <c r="H1" s="581"/>
      <c r="I1" s="581"/>
      <c r="J1" s="2801"/>
      <c r="K1" s="581"/>
      <c r="L1" s="581"/>
      <c r="M1" s="581"/>
      <c r="N1" s="2801"/>
      <c r="O1" s="581"/>
      <c r="P1" s="581"/>
      <c r="Q1" s="581"/>
      <c r="R1" s="581"/>
      <c r="S1" s="581"/>
      <c r="T1" s="581"/>
      <c r="U1" s="581"/>
      <c r="V1" s="581"/>
      <c r="W1" s="581"/>
      <c r="X1" s="581"/>
      <c r="Y1" s="581"/>
      <c r="Z1" s="581"/>
      <c r="AA1" s="581"/>
      <c r="AB1" s="581"/>
      <c r="AC1" s="581"/>
      <c r="AD1" s="581"/>
      <c r="AE1" s="581"/>
      <c r="AF1" s="581"/>
      <c r="AG1" s="2802"/>
    </row>
    <row r="2" spans="1:33" ht="71.25" customHeight="1">
      <c r="A2" s="121" t="s">
        <v>212</v>
      </c>
      <c r="B2" s="445" t="s">
        <v>1322</v>
      </c>
      <c r="C2" s="446"/>
      <c r="D2" s="446"/>
      <c r="E2" s="2284" t="s">
        <v>1323</v>
      </c>
      <c r="F2" s="2304" t="s">
        <v>1265</v>
      </c>
      <c r="G2" s="2803" t="s">
        <v>1494</v>
      </c>
      <c r="H2" s="2804" t="s">
        <v>1495</v>
      </c>
      <c r="I2" s="2805" t="s">
        <v>1496</v>
      </c>
      <c r="J2" s="2806" t="s">
        <v>1497</v>
      </c>
      <c r="K2" s="2804" t="s">
        <v>1498</v>
      </c>
      <c r="L2" s="2806" t="s">
        <v>1499</v>
      </c>
      <c r="M2" s="2805" t="s">
        <v>1500</v>
      </c>
      <c r="N2" s="2807" t="s">
        <v>1501</v>
      </c>
      <c r="O2" s="2807"/>
      <c r="P2" s="2807"/>
      <c r="Q2" s="2807"/>
      <c r="R2" s="2807"/>
      <c r="S2" s="2807"/>
      <c r="T2" s="2807"/>
      <c r="U2" s="2807"/>
      <c r="V2" s="2807"/>
      <c r="W2" s="2807"/>
      <c r="X2" s="2807"/>
      <c r="Y2" s="2807"/>
      <c r="Z2" s="2807"/>
      <c r="AA2" s="2807"/>
      <c r="AB2" s="2807"/>
      <c r="AC2" s="2808"/>
      <c r="AD2" s="2808"/>
      <c r="AE2" s="2808"/>
      <c r="AF2" s="2808"/>
      <c r="AG2" s="2809"/>
    </row>
    <row r="3" spans="1:33" ht="55.5" customHeight="1">
      <c r="A3" s="195" t="s">
        <v>211</v>
      </c>
      <c r="B3" s="876" t="s">
        <v>1320</v>
      </c>
      <c r="C3" s="876"/>
      <c r="D3" s="876"/>
      <c r="E3" s="257"/>
      <c r="F3" s="1220" t="s">
        <v>1321</v>
      </c>
      <c r="G3" s="2810" t="s">
        <v>1502</v>
      </c>
      <c r="H3" s="2810"/>
      <c r="I3" s="2811"/>
      <c r="J3" s="2807"/>
      <c r="K3" s="2810"/>
      <c r="L3" s="2807"/>
      <c r="M3" s="2811"/>
      <c r="N3" s="2807" t="s">
        <v>1502</v>
      </c>
      <c r="O3" s="2807"/>
      <c r="P3" s="2807"/>
      <c r="Q3" s="2807"/>
      <c r="R3" s="2807"/>
      <c r="S3" s="2807"/>
      <c r="T3" s="2807"/>
      <c r="U3" s="2807"/>
      <c r="V3" s="2807"/>
      <c r="W3" s="2807"/>
      <c r="X3" s="2807"/>
      <c r="Y3" s="2807"/>
      <c r="Z3" s="2807"/>
      <c r="AA3" s="2807"/>
      <c r="AB3" s="2807"/>
      <c r="AC3" s="2810"/>
      <c r="AD3" s="2810"/>
      <c r="AE3" s="2810"/>
      <c r="AF3" s="2810"/>
      <c r="AG3" s="2812"/>
    </row>
    <row r="4" spans="1:33">
      <c r="A4" s="37"/>
      <c r="B4" s="115"/>
      <c r="C4" s="77"/>
      <c r="D4" s="77"/>
      <c r="E4" s="77"/>
      <c r="F4" s="41"/>
      <c r="G4" s="2813" t="s">
        <v>1503</v>
      </c>
      <c r="H4" s="2814"/>
      <c r="I4" s="2815"/>
      <c r="J4" s="2816" t="s">
        <v>1504</v>
      </c>
      <c r="K4" s="2816"/>
      <c r="L4" s="2816"/>
      <c r="M4" s="2817"/>
      <c r="N4" s="2818" t="s">
        <v>84</v>
      </c>
      <c r="O4" s="2819" t="s">
        <v>85</v>
      </c>
      <c r="P4" s="2820" t="s">
        <v>86</v>
      </c>
      <c r="Q4" s="2819" t="s">
        <v>87</v>
      </c>
      <c r="R4" s="2819" t="s">
        <v>88</v>
      </c>
      <c r="S4" s="2820" t="s">
        <v>89</v>
      </c>
      <c r="T4" s="2820" t="s">
        <v>90</v>
      </c>
      <c r="U4" s="2820" t="s">
        <v>91</v>
      </c>
      <c r="V4" s="2819" t="s">
        <v>92</v>
      </c>
      <c r="W4" s="2819" t="s">
        <v>108</v>
      </c>
      <c r="X4" s="2819" t="s">
        <v>109</v>
      </c>
      <c r="Y4" s="2819" t="s">
        <v>110</v>
      </c>
      <c r="Z4" s="2819" t="s">
        <v>111</v>
      </c>
      <c r="AA4" s="2820" t="s">
        <v>112</v>
      </c>
      <c r="AB4" s="2820" t="s">
        <v>1505</v>
      </c>
      <c r="AC4" s="2821" t="s">
        <v>114</v>
      </c>
      <c r="AD4" s="2822" t="s">
        <v>1506</v>
      </c>
      <c r="AE4" s="2822" t="s">
        <v>1507</v>
      </c>
      <c r="AF4" s="2822" t="s">
        <v>1508</v>
      </c>
      <c r="AG4" s="2823" t="s">
        <v>1509</v>
      </c>
    </row>
    <row r="5" spans="1:33" ht="56.25">
      <c r="A5" s="45" t="s">
        <v>213</v>
      </c>
      <c r="B5" s="2285" t="s">
        <v>1327</v>
      </c>
      <c r="C5" s="2286" t="s">
        <v>736</v>
      </c>
      <c r="D5" s="2287" t="s">
        <v>1485</v>
      </c>
      <c r="E5" s="1218" t="s">
        <v>1323</v>
      </c>
      <c r="F5" s="90" t="s">
        <v>1251</v>
      </c>
      <c r="G5" s="2824" t="s">
        <v>1510</v>
      </c>
      <c r="H5" s="2825"/>
      <c r="I5" s="2826"/>
      <c r="J5" s="2827" t="s">
        <v>1511</v>
      </c>
      <c r="K5" s="2825"/>
      <c r="L5" s="2827" t="s">
        <v>1512</v>
      </c>
      <c r="M5" s="2826"/>
      <c r="N5" s="2825" t="s">
        <v>1513</v>
      </c>
      <c r="O5" s="2825" t="s">
        <v>1300</v>
      </c>
      <c r="P5" s="2828" t="s">
        <v>95</v>
      </c>
      <c r="Q5" s="2825" t="s">
        <v>1514</v>
      </c>
      <c r="R5" s="2825" t="s">
        <v>1515</v>
      </c>
      <c r="S5" s="2828" t="s">
        <v>1516</v>
      </c>
      <c r="T5" s="2828" t="s">
        <v>1517</v>
      </c>
      <c r="U5" s="2828" t="s">
        <v>1518</v>
      </c>
      <c r="V5" s="2825" t="s">
        <v>1519</v>
      </c>
      <c r="W5" s="2825" t="s">
        <v>1520</v>
      </c>
      <c r="X5" s="2825" t="s">
        <v>1521</v>
      </c>
      <c r="Y5" s="2825" t="s">
        <v>1522</v>
      </c>
      <c r="Z5" s="2825" t="s">
        <v>1523</v>
      </c>
      <c r="AA5" s="2828" t="s">
        <v>1524</v>
      </c>
      <c r="AB5" s="2828" t="s">
        <v>1525</v>
      </c>
      <c r="AC5" s="2828" t="s">
        <v>104</v>
      </c>
      <c r="AD5" s="2825" t="s">
        <v>1526</v>
      </c>
      <c r="AE5" s="2825" t="s">
        <v>1527</v>
      </c>
      <c r="AF5" s="2825" t="s">
        <v>1528</v>
      </c>
      <c r="AG5" s="2829" t="s">
        <v>73</v>
      </c>
    </row>
    <row r="6" spans="1:33" ht="2.25" customHeight="1">
      <c r="A6" s="37"/>
      <c r="B6" s="115"/>
      <c r="C6" s="1458"/>
      <c r="D6" s="77"/>
      <c r="E6" s="303"/>
      <c r="F6" s="109"/>
      <c r="G6" s="2800"/>
      <c r="H6" s="581"/>
      <c r="I6" s="2830"/>
      <c r="J6" s="581"/>
      <c r="K6" s="581"/>
      <c r="L6" s="581"/>
      <c r="M6" s="2830"/>
      <c r="N6" s="581"/>
      <c r="O6" s="581"/>
      <c r="P6" s="581"/>
      <c r="Q6" s="581"/>
      <c r="R6" s="581"/>
      <c r="S6" s="581"/>
      <c r="T6" s="581"/>
      <c r="U6" s="581"/>
      <c r="V6" s="581"/>
      <c r="W6" s="581"/>
      <c r="X6" s="581"/>
      <c r="Y6" s="581"/>
      <c r="Z6" s="581"/>
      <c r="AA6" s="581"/>
      <c r="AB6" s="581"/>
      <c r="AC6" s="581"/>
      <c r="AD6" s="581"/>
      <c r="AE6" s="581"/>
      <c r="AF6" s="581"/>
      <c r="AG6" s="2802"/>
    </row>
    <row r="7" spans="1:33" ht="22.5" customHeight="1">
      <c r="A7" s="47" t="s">
        <v>210</v>
      </c>
      <c r="B7" s="104" t="s">
        <v>405</v>
      </c>
      <c r="C7" s="1339" t="s">
        <v>405</v>
      </c>
      <c r="D7" s="284" t="s">
        <v>405</v>
      </c>
      <c r="E7" s="877" t="s">
        <v>227</v>
      </c>
      <c r="F7" s="78" t="s">
        <v>228</v>
      </c>
      <c r="G7" s="2831" t="s">
        <v>405</v>
      </c>
      <c r="H7" s="2832" t="s">
        <v>405</v>
      </c>
      <c r="I7" s="2833" t="s">
        <v>405</v>
      </c>
      <c r="J7" s="2834" t="s">
        <v>229</v>
      </c>
      <c r="K7" s="2832" t="s">
        <v>229</v>
      </c>
      <c r="L7" s="2834" t="s">
        <v>229</v>
      </c>
      <c r="M7" s="2833" t="s">
        <v>229</v>
      </c>
      <c r="N7" s="2835" t="s">
        <v>405</v>
      </c>
      <c r="O7" s="2832" t="s">
        <v>405</v>
      </c>
      <c r="P7" s="2832" t="s">
        <v>405</v>
      </c>
      <c r="Q7" s="2832" t="s">
        <v>405</v>
      </c>
      <c r="R7" s="2832" t="s">
        <v>405</v>
      </c>
      <c r="S7" s="2832" t="s">
        <v>405</v>
      </c>
      <c r="T7" s="2832" t="s">
        <v>405</v>
      </c>
      <c r="U7" s="2832" t="s">
        <v>405</v>
      </c>
      <c r="V7" s="2832" t="s">
        <v>405</v>
      </c>
      <c r="W7" s="2832" t="s">
        <v>405</v>
      </c>
      <c r="X7" s="2832" t="s">
        <v>405</v>
      </c>
      <c r="Y7" s="2832" t="s">
        <v>405</v>
      </c>
      <c r="Z7" s="2832" t="s">
        <v>405</v>
      </c>
      <c r="AA7" s="2832" t="s">
        <v>405</v>
      </c>
      <c r="AB7" s="2832" t="s">
        <v>405</v>
      </c>
      <c r="AC7" s="2832" t="s">
        <v>405</v>
      </c>
      <c r="AD7" s="2832" t="s">
        <v>405</v>
      </c>
      <c r="AE7" s="2832" t="s">
        <v>405</v>
      </c>
      <c r="AF7" s="2832" t="s">
        <v>405</v>
      </c>
      <c r="AG7" s="2836" t="s">
        <v>405</v>
      </c>
    </row>
    <row r="8" spans="1:33" ht="15" customHeight="1">
      <c r="A8" s="390" t="s">
        <v>412</v>
      </c>
      <c r="B8" s="398" t="s">
        <v>420</v>
      </c>
      <c r="C8" s="1290" t="s">
        <v>421</v>
      </c>
      <c r="D8" s="396" t="s">
        <v>422</v>
      </c>
      <c r="E8" s="396" t="s">
        <v>423</v>
      </c>
      <c r="F8" s="391" t="s">
        <v>856</v>
      </c>
      <c r="G8" s="2842" t="s">
        <v>1529</v>
      </c>
      <c r="H8" s="2843" t="s">
        <v>1530</v>
      </c>
      <c r="I8" s="2844" t="s">
        <v>1531</v>
      </c>
      <c r="J8" s="2845" t="s">
        <v>1532</v>
      </c>
      <c r="K8" s="2843" t="s">
        <v>1533</v>
      </c>
      <c r="L8" s="2845" t="s">
        <v>1534</v>
      </c>
      <c r="M8" s="2844" t="s">
        <v>1535</v>
      </c>
      <c r="N8" s="2845" t="s">
        <v>1536</v>
      </c>
      <c r="O8" s="2843" t="s">
        <v>1537</v>
      </c>
      <c r="P8" s="2843" t="s">
        <v>1538</v>
      </c>
      <c r="Q8" s="2843" t="s">
        <v>1539</v>
      </c>
      <c r="R8" s="2843" t="s">
        <v>1540</v>
      </c>
      <c r="S8" s="2843" t="s">
        <v>1541</v>
      </c>
      <c r="T8" s="2843" t="s">
        <v>1542</v>
      </c>
      <c r="U8" s="2843" t="s">
        <v>1543</v>
      </c>
      <c r="V8" s="2843" t="s">
        <v>1544</v>
      </c>
      <c r="W8" s="2843" t="s">
        <v>1545</v>
      </c>
      <c r="X8" s="2843" t="s">
        <v>1546</v>
      </c>
      <c r="Y8" s="2843" t="s">
        <v>1547</v>
      </c>
      <c r="Z8" s="2843" t="s">
        <v>1548</v>
      </c>
      <c r="AA8" s="2843" t="s">
        <v>1549</v>
      </c>
      <c r="AB8" s="2843" t="s">
        <v>1550</v>
      </c>
      <c r="AC8" s="2843" t="s">
        <v>1551</v>
      </c>
      <c r="AD8" s="2843" t="s">
        <v>1552</v>
      </c>
      <c r="AE8" s="2843" t="s">
        <v>1553</v>
      </c>
      <c r="AF8" s="2843" t="s">
        <v>1554</v>
      </c>
      <c r="AG8" s="2846" t="s">
        <v>1555</v>
      </c>
    </row>
    <row r="9" spans="1:33" ht="6" customHeight="1">
      <c r="A9" s="52"/>
      <c r="B9" s="379"/>
      <c r="C9" s="1459"/>
      <c r="D9" s="378"/>
      <c r="E9" s="447"/>
      <c r="F9" s="1538"/>
      <c r="G9" s="2837"/>
      <c r="H9" s="2838"/>
      <c r="I9" s="2839"/>
      <c r="J9" s="2840"/>
      <c r="K9" s="2838"/>
      <c r="L9" s="2840"/>
      <c r="M9" s="2839"/>
      <c r="N9" s="2840"/>
      <c r="O9" s="2838"/>
      <c r="P9" s="2838"/>
      <c r="Q9" s="2838"/>
      <c r="R9" s="2838"/>
      <c r="S9" s="2838"/>
      <c r="T9" s="2838"/>
      <c r="U9" s="2838"/>
      <c r="V9" s="2838"/>
      <c r="W9" s="2838"/>
      <c r="X9" s="2838"/>
      <c r="Y9" s="2838"/>
      <c r="Z9" s="2838"/>
      <c r="AA9" s="2838"/>
      <c r="AB9" s="2838"/>
      <c r="AC9" s="2838"/>
      <c r="AD9" s="2838"/>
      <c r="AE9" s="2838"/>
      <c r="AF9" s="2838"/>
      <c r="AG9" s="2841"/>
    </row>
    <row r="10" spans="1:33">
      <c r="A10" s="49">
        <v>1994.01</v>
      </c>
      <c r="B10" s="572">
        <v>84046</v>
      </c>
      <c r="C10" s="1693"/>
      <c r="D10" s="1689"/>
      <c r="E10" s="571">
        <v>89.117163317754191</v>
      </c>
      <c r="F10" s="2870"/>
      <c r="G10" s="2871"/>
      <c r="H10" s="2872"/>
      <c r="I10" s="2873"/>
      <c r="J10" s="2874"/>
      <c r="K10" s="2872"/>
      <c r="L10" s="2874"/>
      <c r="M10" s="2873"/>
      <c r="N10" s="2874"/>
      <c r="O10" s="2872"/>
      <c r="P10" s="2872"/>
      <c r="Q10" s="2872"/>
      <c r="R10" s="2872"/>
      <c r="S10" s="2872"/>
      <c r="T10" s="2872"/>
      <c r="U10" s="2872"/>
      <c r="V10" s="2872"/>
      <c r="W10" s="2872"/>
      <c r="X10" s="2872"/>
      <c r="Y10" s="2872"/>
      <c r="Z10" s="2872"/>
      <c r="AA10" s="2872"/>
      <c r="AB10" s="2872"/>
      <c r="AC10" s="2872"/>
      <c r="AD10" s="2872"/>
      <c r="AE10" s="2872"/>
      <c r="AF10" s="2872"/>
      <c r="AG10" s="2880"/>
    </row>
    <row r="11" spans="1:33">
      <c r="A11" s="49">
        <v>1994.02</v>
      </c>
      <c r="B11" s="631">
        <v>83936</v>
      </c>
      <c r="C11" s="1693"/>
      <c r="D11" s="1689"/>
      <c r="E11" s="571">
        <v>183.90487388272606</v>
      </c>
      <c r="F11" s="2870"/>
      <c r="G11" s="2875"/>
      <c r="H11" s="2876"/>
      <c r="I11" s="2877"/>
      <c r="J11" s="2878"/>
      <c r="K11" s="2876"/>
      <c r="L11" s="2878"/>
      <c r="M11" s="2877"/>
      <c r="N11" s="2878"/>
      <c r="O11" s="2876"/>
      <c r="P11" s="2876"/>
      <c r="Q11" s="2876"/>
      <c r="R11" s="2876"/>
      <c r="S11" s="2876"/>
      <c r="T11" s="2876"/>
      <c r="U11" s="2876"/>
      <c r="V11" s="2876"/>
      <c r="W11" s="2876"/>
      <c r="X11" s="2876"/>
      <c r="Y11" s="2876"/>
      <c r="Z11" s="2876"/>
      <c r="AA11" s="2876"/>
      <c r="AB11" s="2876"/>
      <c r="AC11" s="2876"/>
      <c r="AD11" s="2876"/>
      <c r="AE11" s="2876"/>
      <c r="AF11" s="2876"/>
      <c r="AG11" s="2881"/>
    </row>
    <row r="12" spans="1:33">
      <c r="A12" s="49">
        <v>1994.03</v>
      </c>
      <c r="B12" s="631">
        <v>83957</v>
      </c>
      <c r="C12" s="1693"/>
      <c r="D12" s="1689"/>
      <c r="E12" s="571">
        <v>282.47620293306642</v>
      </c>
      <c r="F12" s="2870"/>
      <c r="G12" s="2875"/>
      <c r="H12" s="2876"/>
      <c r="I12" s="2877"/>
      <c r="J12" s="2878"/>
      <c r="K12" s="2876"/>
      <c r="L12" s="2878"/>
      <c r="M12" s="2877"/>
      <c r="N12" s="2878"/>
      <c r="O12" s="2876"/>
      <c r="P12" s="2876"/>
      <c r="Q12" s="2876"/>
      <c r="R12" s="2876"/>
      <c r="S12" s="2876"/>
      <c r="T12" s="2876"/>
      <c r="U12" s="2876"/>
      <c r="V12" s="2876"/>
      <c r="W12" s="2876"/>
      <c r="X12" s="2876"/>
      <c r="Y12" s="2876"/>
      <c r="Z12" s="2876"/>
      <c r="AA12" s="2876"/>
      <c r="AB12" s="2876"/>
      <c r="AC12" s="2876"/>
      <c r="AD12" s="2876"/>
      <c r="AE12" s="2876"/>
      <c r="AF12" s="2876"/>
      <c r="AG12" s="2881"/>
    </row>
    <row r="13" spans="1:33">
      <c r="A13" s="49">
        <v>1994.04</v>
      </c>
      <c r="B13" s="631">
        <v>83947</v>
      </c>
      <c r="C13" s="1693"/>
      <c r="D13" s="1689"/>
      <c r="E13" s="571">
        <v>382.53865991391666</v>
      </c>
      <c r="F13" s="2870"/>
      <c r="G13" s="2875"/>
      <c r="H13" s="2876"/>
      <c r="I13" s="2877"/>
      <c r="J13" s="2878"/>
      <c r="K13" s="2876"/>
      <c r="L13" s="2878"/>
      <c r="M13" s="2877"/>
      <c r="N13" s="2878"/>
      <c r="O13" s="2876"/>
      <c r="P13" s="2876"/>
      <c r="Q13" s="2876"/>
      <c r="R13" s="2876"/>
      <c r="S13" s="2876"/>
      <c r="T13" s="2876"/>
      <c r="U13" s="2876"/>
      <c r="V13" s="2876"/>
      <c r="W13" s="2876"/>
      <c r="X13" s="2876"/>
      <c r="Y13" s="2876"/>
      <c r="Z13" s="2876"/>
      <c r="AA13" s="2876"/>
      <c r="AB13" s="2876"/>
      <c r="AC13" s="2876"/>
      <c r="AD13" s="2876"/>
      <c r="AE13" s="2876"/>
      <c r="AF13" s="2876"/>
      <c r="AG13" s="2881"/>
    </row>
    <row r="14" spans="1:33">
      <c r="A14" s="49">
        <v>1994.05</v>
      </c>
      <c r="B14" s="631">
        <v>83345</v>
      </c>
      <c r="C14" s="1693"/>
      <c r="D14" s="1689"/>
      <c r="E14" s="571">
        <v>484.01735995447365</v>
      </c>
      <c r="F14" s="2870"/>
      <c r="G14" s="2875"/>
      <c r="H14" s="2876"/>
      <c r="I14" s="2877"/>
      <c r="J14" s="2878"/>
      <c r="K14" s="2876"/>
      <c r="L14" s="2878"/>
      <c r="M14" s="2877"/>
      <c r="N14" s="2878"/>
      <c r="O14" s="2876"/>
      <c r="P14" s="2876"/>
      <c r="Q14" s="2876"/>
      <c r="R14" s="2876"/>
      <c r="S14" s="2876"/>
      <c r="T14" s="2876"/>
      <c r="U14" s="2876"/>
      <c r="V14" s="2876"/>
      <c r="W14" s="2876"/>
      <c r="X14" s="2876"/>
      <c r="Y14" s="2876"/>
      <c r="Z14" s="2876"/>
      <c r="AA14" s="2876"/>
      <c r="AB14" s="2876"/>
      <c r="AC14" s="2876"/>
      <c r="AD14" s="2876"/>
      <c r="AE14" s="2876"/>
      <c r="AF14" s="2876"/>
      <c r="AG14" s="2881"/>
    </row>
    <row r="15" spans="1:33">
      <c r="A15" s="49">
        <v>1994.06</v>
      </c>
      <c r="B15" s="631">
        <v>84442</v>
      </c>
      <c r="C15" s="1693"/>
      <c r="D15" s="1689"/>
      <c r="E15" s="571">
        <v>614.80411129507149</v>
      </c>
      <c r="F15" s="2870"/>
      <c r="G15" s="2875"/>
      <c r="H15" s="2876"/>
      <c r="I15" s="2877"/>
      <c r="J15" s="2878"/>
      <c r="K15" s="2876"/>
      <c r="L15" s="2878"/>
      <c r="M15" s="2877"/>
      <c r="N15" s="2878"/>
      <c r="O15" s="2876"/>
      <c r="P15" s="2876"/>
      <c r="Q15" s="2876"/>
      <c r="R15" s="2876"/>
      <c r="S15" s="2876"/>
      <c r="T15" s="2876"/>
      <c r="U15" s="2876"/>
      <c r="V15" s="2876"/>
      <c r="W15" s="2876"/>
      <c r="X15" s="2876"/>
      <c r="Y15" s="2876"/>
      <c r="Z15" s="2876"/>
      <c r="AA15" s="2876"/>
      <c r="AB15" s="2876"/>
      <c r="AC15" s="2876"/>
      <c r="AD15" s="2876"/>
      <c r="AE15" s="2876"/>
      <c r="AF15" s="2876"/>
      <c r="AG15" s="2881"/>
    </row>
    <row r="16" spans="1:33">
      <c r="A16" s="49">
        <v>1994.07</v>
      </c>
      <c r="B16" s="631">
        <v>84464</v>
      </c>
      <c r="C16" s="1693"/>
      <c r="D16" s="1694"/>
      <c r="E16" s="571">
        <v>717.52801315393094</v>
      </c>
      <c r="F16" s="2870"/>
      <c r="G16" s="2875"/>
      <c r="H16" s="2876"/>
      <c r="I16" s="2877"/>
      <c r="J16" s="2878"/>
      <c r="K16" s="2876"/>
      <c r="L16" s="2878"/>
      <c r="M16" s="2877"/>
      <c r="N16" s="2878"/>
      <c r="O16" s="2876"/>
      <c r="P16" s="2876"/>
      <c r="Q16" s="2876"/>
      <c r="R16" s="2876"/>
      <c r="S16" s="2876"/>
      <c r="T16" s="2876"/>
      <c r="U16" s="2876"/>
      <c r="V16" s="2876"/>
      <c r="W16" s="2876"/>
      <c r="X16" s="2876"/>
      <c r="Y16" s="2876"/>
      <c r="Z16" s="2876"/>
      <c r="AA16" s="2876"/>
      <c r="AB16" s="2876"/>
      <c r="AC16" s="2876"/>
      <c r="AD16" s="2876"/>
      <c r="AE16" s="2876"/>
      <c r="AF16" s="2876"/>
      <c r="AG16" s="2881"/>
    </row>
    <row r="17" spans="1:33">
      <c r="A17" s="49">
        <v>1994.08</v>
      </c>
      <c r="B17" s="631">
        <v>84480</v>
      </c>
      <c r="C17" s="1693"/>
      <c r="D17" s="1694"/>
      <c r="E17" s="571">
        <v>820.00600046979537</v>
      </c>
      <c r="F17" s="2870"/>
      <c r="G17" s="2875"/>
      <c r="H17" s="2876"/>
      <c r="I17" s="2877"/>
      <c r="J17" s="2878"/>
      <c r="K17" s="2876"/>
      <c r="L17" s="2878"/>
      <c r="M17" s="2877"/>
      <c r="N17" s="2878"/>
      <c r="O17" s="2876"/>
      <c r="P17" s="2876"/>
      <c r="Q17" s="2876"/>
      <c r="R17" s="2876"/>
      <c r="S17" s="2876"/>
      <c r="T17" s="2876"/>
      <c r="U17" s="2876"/>
      <c r="V17" s="2876"/>
      <c r="W17" s="2876"/>
      <c r="X17" s="2876"/>
      <c r="Y17" s="2876"/>
      <c r="Z17" s="2876"/>
      <c r="AA17" s="2876"/>
      <c r="AB17" s="2876"/>
      <c r="AC17" s="2876"/>
      <c r="AD17" s="2876"/>
      <c r="AE17" s="2876"/>
      <c r="AF17" s="2876"/>
      <c r="AG17" s="2881"/>
    </row>
    <row r="18" spans="1:33">
      <c r="A18" s="49">
        <v>1994.09</v>
      </c>
      <c r="B18" s="631">
        <v>84402</v>
      </c>
      <c r="C18" s="1693"/>
      <c r="D18" s="1694"/>
      <c r="E18" s="571">
        <v>921.95637693891547</v>
      </c>
      <c r="F18" s="2870"/>
      <c r="G18" s="2875"/>
      <c r="H18" s="2876"/>
      <c r="I18" s="2877"/>
      <c r="J18" s="2878"/>
      <c r="K18" s="2876"/>
      <c r="L18" s="2878"/>
      <c r="M18" s="2877"/>
      <c r="N18" s="2878"/>
      <c r="O18" s="2876"/>
      <c r="P18" s="2876"/>
      <c r="Q18" s="2876"/>
      <c r="R18" s="2876"/>
      <c r="S18" s="2876"/>
      <c r="T18" s="2876"/>
      <c r="U18" s="2876"/>
      <c r="V18" s="2876"/>
      <c r="W18" s="2876"/>
      <c r="X18" s="2876"/>
      <c r="Y18" s="2876"/>
      <c r="Z18" s="2876"/>
      <c r="AA18" s="2876"/>
      <c r="AB18" s="2876"/>
      <c r="AC18" s="2876"/>
      <c r="AD18" s="2876"/>
      <c r="AE18" s="2876"/>
      <c r="AF18" s="2876"/>
      <c r="AG18" s="2881"/>
    </row>
    <row r="19" spans="1:33">
      <c r="A19" s="49">
        <v>1994.1</v>
      </c>
      <c r="B19" s="631">
        <v>84602</v>
      </c>
      <c r="C19" s="1693"/>
      <c r="D19" s="1694"/>
      <c r="E19" s="571">
        <v>1030.9249614173889</v>
      </c>
      <c r="F19" s="2870"/>
      <c r="G19" s="2875"/>
      <c r="H19" s="2876"/>
      <c r="I19" s="2877"/>
      <c r="J19" s="2878"/>
      <c r="K19" s="2876"/>
      <c r="L19" s="2878"/>
      <c r="M19" s="2877"/>
      <c r="N19" s="2878"/>
      <c r="O19" s="2876"/>
      <c r="P19" s="2876"/>
      <c r="Q19" s="2876"/>
      <c r="R19" s="2876"/>
      <c r="S19" s="2876"/>
      <c r="T19" s="2876"/>
      <c r="U19" s="2876"/>
      <c r="V19" s="2876"/>
      <c r="W19" s="2876"/>
      <c r="X19" s="2876"/>
      <c r="Y19" s="2876"/>
      <c r="Z19" s="2876"/>
      <c r="AA19" s="2876"/>
      <c r="AB19" s="2876"/>
      <c r="AC19" s="2876"/>
      <c r="AD19" s="2876"/>
      <c r="AE19" s="2876"/>
      <c r="AF19" s="2876"/>
      <c r="AG19" s="2881"/>
    </row>
    <row r="20" spans="1:33">
      <c r="A20" s="49">
        <v>1994.11</v>
      </c>
      <c r="B20" s="631">
        <v>84499</v>
      </c>
      <c r="C20" s="1693"/>
      <c r="D20" s="1694"/>
      <c r="E20" s="571">
        <v>1147.8784268185689</v>
      </c>
      <c r="F20" s="2870"/>
      <c r="G20" s="2875"/>
      <c r="H20" s="2876"/>
      <c r="I20" s="2877"/>
      <c r="J20" s="2878"/>
      <c r="K20" s="2876"/>
      <c r="L20" s="2878"/>
      <c r="M20" s="2877"/>
      <c r="N20" s="2878"/>
      <c r="O20" s="2876"/>
      <c r="P20" s="2876"/>
      <c r="Q20" s="2876"/>
      <c r="R20" s="2876"/>
      <c r="S20" s="2876"/>
      <c r="T20" s="2876"/>
      <c r="U20" s="2876"/>
      <c r="V20" s="2876"/>
      <c r="W20" s="2876"/>
      <c r="X20" s="2876"/>
      <c r="Y20" s="2876"/>
      <c r="Z20" s="2876"/>
      <c r="AA20" s="2876"/>
      <c r="AB20" s="2876"/>
      <c r="AC20" s="2876"/>
      <c r="AD20" s="2876"/>
      <c r="AE20" s="2876"/>
      <c r="AF20" s="2876"/>
      <c r="AG20" s="2881"/>
    </row>
    <row r="21" spans="1:33">
      <c r="A21" s="49">
        <v>1994.12</v>
      </c>
      <c r="B21" s="631">
        <v>84385</v>
      </c>
      <c r="C21" s="1693"/>
      <c r="D21" s="1694"/>
      <c r="E21" s="571">
        <v>1371.473</v>
      </c>
      <c r="F21" s="2870"/>
      <c r="G21" s="2875"/>
      <c r="H21" s="2876"/>
      <c r="I21" s="2877"/>
      <c r="J21" s="2878"/>
      <c r="K21" s="2876"/>
      <c r="L21" s="2878"/>
      <c r="M21" s="2877"/>
      <c r="N21" s="2878"/>
      <c r="O21" s="2876"/>
      <c r="P21" s="2876"/>
      <c r="Q21" s="2876"/>
      <c r="R21" s="2876"/>
      <c r="S21" s="2876"/>
      <c r="T21" s="2876"/>
      <c r="U21" s="2876"/>
      <c r="V21" s="2876"/>
      <c r="W21" s="2876"/>
      <c r="X21" s="2876"/>
      <c r="Y21" s="2876"/>
      <c r="Z21" s="2876"/>
      <c r="AA21" s="2876"/>
      <c r="AB21" s="2876"/>
      <c r="AC21" s="2876"/>
      <c r="AD21" s="2876"/>
      <c r="AE21" s="2876"/>
      <c r="AF21" s="2876"/>
      <c r="AG21" s="2881"/>
    </row>
    <row r="22" spans="1:33">
      <c r="A22" s="49">
        <v>1995.01</v>
      </c>
      <c r="B22" s="631">
        <v>89755</v>
      </c>
      <c r="C22" s="1693"/>
      <c r="D22" s="1694"/>
      <c r="E22" s="571">
        <v>92.657942717966762</v>
      </c>
      <c r="F22" s="2870"/>
      <c r="G22" s="2875"/>
      <c r="H22" s="2876"/>
      <c r="I22" s="2877"/>
      <c r="J22" s="2878"/>
      <c r="K22" s="2876"/>
      <c r="L22" s="2878"/>
      <c r="M22" s="2877"/>
      <c r="N22" s="2878"/>
      <c r="O22" s="2876"/>
      <c r="P22" s="2876"/>
      <c r="Q22" s="2876"/>
      <c r="R22" s="2876"/>
      <c r="S22" s="2876"/>
      <c r="T22" s="2876"/>
      <c r="U22" s="2876"/>
      <c r="V22" s="2876"/>
      <c r="W22" s="2876"/>
      <c r="X22" s="2876"/>
      <c r="Y22" s="2876"/>
      <c r="Z22" s="2876"/>
      <c r="AA22" s="2876"/>
      <c r="AB22" s="2876"/>
      <c r="AC22" s="2876"/>
      <c r="AD22" s="2876"/>
      <c r="AE22" s="2876"/>
      <c r="AF22" s="2876"/>
      <c r="AG22" s="2881"/>
    </row>
    <row r="23" spans="1:33">
      <c r="A23" s="49">
        <v>1995.02</v>
      </c>
      <c r="B23" s="631">
        <v>90335</v>
      </c>
      <c r="C23" s="1693"/>
      <c r="D23" s="1694"/>
      <c r="E23" s="571">
        <v>191.21173335625824</v>
      </c>
      <c r="F23" s="2870"/>
      <c r="G23" s="2875"/>
      <c r="H23" s="2876"/>
      <c r="I23" s="2877"/>
      <c r="J23" s="2878"/>
      <c r="K23" s="2876"/>
      <c r="L23" s="2878"/>
      <c r="M23" s="2877"/>
      <c r="N23" s="2878"/>
      <c r="O23" s="2876"/>
      <c r="P23" s="2876"/>
      <c r="Q23" s="2876"/>
      <c r="R23" s="2876"/>
      <c r="S23" s="2876"/>
      <c r="T23" s="2876"/>
      <c r="U23" s="2876"/>
      <c r="V23" s="2876"/>
      <c r="W23" s="2876"/>
      <c r="X23" s="2876"/>
      <c r="Y23" s="2876"/>
      <c r="Z23" s="2876"/>
      <c r="AA23" s="2876"/>
      <c r="AB23" s="2876"/>
      <c r="AC23" s="2876"/>
      <c r="AD23" s="2876"/>
      <c r="AE23" s="2876"/>
      <c r="AF23" s="2876"/>
      <c r="AG23" s="2881"/>
    </row>
    <row r="24" spans="1:33">
      <c r="A24" s="49">
        <v>1995.03</v>
      </c>
      <c r="B24" s="631">
        <v>93016</v>
      </c>
      <c r="C24" s="1693"/>
      <c r="D24" s="1694"/>
      <c r="E24" s="571">
        <v>293.6994722019661</v>
      </c>
      <c r="F24" s="2870"/>
      <c r="G24" s="2875"/>
      <c r="H24" s="2876"/>
      <c r="I24" s="2877"/>
      <c r="J24" s="2878"/>
      <c r="K24" s="2876"/>
      <c r="L24" s="2878"/>
      <c r="M24" s="2877"/>
      <c r="N24" s="2878"/>
      <c r="O24" s="2876"/>
      <c r="P24" s="2876"/>
      <c r="Q24" s="2876"/>
      <c r="R24" s="2876"/>
      <c r="S24" s="2876"/>
      <c r="T24" s="2876"/>
      <c r="U24" s="2876"/>
      <c r="V24" s="2876"/>
      <c r="W24" s="2876"/>
      <c r="X24" s="2876"/>
      <c r="Y24" s="2876"/>
      <c r="Z24" s="2876"/>
      <c r="AA24" s="2876"/>
      <c r="AB24" s="2876"/>
      <c r="AC24" s="2876"/>
      <c r="AD24" s="2876"/>
      <c r="AE24" s="2876"/>
      <c r="AF24" s="2876"/>
      <c r="AG24" s="2881"/>
    </row>
    <row r="25" spans="1:33">
      <c r="A25" s="49">
        <v>1995.04</v>
      </c>
      <c r="B25" s="631">
        <v>93096</v>
      </c>
      <c r="C25" s="1693"/>
      <c r="D25" s="1694"/>
      <c r="E25" s="571">
        <v>397.73758407601764</v>
      </c>
      <c r="F25" s="2870"/>
      <c r="G25" s="2875"/>
      <c r="H25" s="2876"/>
      <c r="I25" s="2877"/>
      <c r="J25" s="2878"/>
      <c r="K25" s="2876"/>
      <c r="L25" s="2878"/>
      <c r="M25" s="2877"/>
      <c r="N25" s="2878"/>
      <c r="O25" s="2876"/>
      <c r="P25" s="2876"/>
      <c r="Q25" s="2876"/>
      <c r="R25" s="2876"/>
      <c r="S25" s="2876"/>
      <c r="T25" s="2876"/>
      <c r="U25" s="2876"/>
      <c r="V25" s="2876"/>
      <c r="W25" s="2876"/>
      <c r="X25" s="2876"/>
      <c r="Y25" s="2876"/>
      <c r="Z25" s="2876"/>
      <c r="AA25" s="2876"/>
      <c r="AB25" s="2876"/>
      <c r="AC25" s="2876"/>
      <c r="AD25" s="2876"/>
      <c r="AE25" s="2876"/>
      <c r="AF25" s="2876"/>
      <c r="AG25" s="2881"/>
    </row>
    <row r="26" spans="1:33">
      <c r="A26" s="49">
        <v>1995.05</v>
      </c>
      <c r="B26" s="631">
        <v>93222</v>
      </c>
      <c r="C26" s="1693"/>
      <c r="D26" s="1694"/>
      <c r="E26" s="571">
        <v>503.24820880186559</v>
      </c>
      <c r="F26" s="2870"/>
      <c r="G26" s="2875"/>
      <c r="H26" s="2876"/>
      <c r="I26" s="2877"/>
      <c r="J26" s="2878"/>
      <c r="K26" s="2876"/>
      <c r="L26" s="2878"/>
      <c r="M26" s="2877"/>
      <c r="N26" s="2878"/>
      <c r="O26" s="2876"/>
      <c r="P26" s="2876"/>
      <c r="Q26" s="2876"/>
      <c r="R26" s="2876"/>
      <c r="S26" s="2876"/>
      <c r="T26" s="2876"/>
      <c r="U26" s="2876"/>
      <c r="V26" s="2876"/>
      <c r="W26" s="2876"/>
      <c r="X26" s="2876"/>
      <c r="Y26" s="2876"/>
      <c r="Z26" s="2876"/>
      <c r="AA26" s="2876"/>
      <c r="AB26" s="2876"/>
      <c r="AC26" s="2876"/>
      <c r="AD26" s="2876"/>
      <c r="AE26" s="2876"/>
      <c r="AF26" s="2876"/>
      <c r="AG26" s="2881"/>
    </row>
    <row r="27" spans="1:33">
      <c r="A27" s="49">
        <v>1995.06</v>
      </c>
      <c r="B27" s="631">
        <v>93192</v>
      </c>
      <c r="C27" s="1693"/>
      <c r="D27" s="1694"/>
      <c r="E27" s="571">
        <v>639.23134451700116</v>
      </c>
      <c r="F27" s="2870"/>
      <c r="G27" s="2875"/>
      <c r="H27" s="2876"/>
      <c r="I27" s="2877"/>
      <c r="J27" s="2878"/>
      <c r="K27" s="2876"/>
      <c r="L27" s="2878"/>
      <c r="M27" s="2877"/>
      <c r="N27" s="2878"/>
      <c r="O27" s="2876"/>
      <c r="P27" s="2876"/>
      <c r="Q27" s="2876"/>
      <c r="R27" s="2876"/>
      <c r="S27" s="2876"/>
      <c r="T27" s="2876"/>
      <c r="U27" s="2876"/>
      <c r="V27" s="2876"/>
      <c r="W27" s="2876"/>
      <c r="X27" s="2876"/>
      <c r="Y27" s="2876"/>
      <c r="Z27" s="2876"/>
      <c r="AA27" s="2876"/>
      <c r="AB27" s="2876"/>
      <c r="AC27" s="2876"/>
      <c r="AD27" s="2876"/>
      <c r="AE27" s="2876"/>
      <c r="AF27" s="2876"/>
      <c r="AG27" s="2881"/>
    </row>
    <row r="28" spans="1:33">
      <c r="A28" s="49">
        <v>1995.07</v>
      </c>
      <c r="B28" s="631">
        <v>93171</v>
      </c>
      <c r="C28" s="1693"/>
      <c r="D28" s="1694"/>
      <c r="E28" s="571">
        <v>746.03664508818736</v>
      </c>
      <c r="F28" s="2870"/>
      <c r="G28" s="2875"/>
      <c r="H28" s="2876"/>
      <c r="I28" s="2877"/>
      <c r="J28" s="2878"/>
      <c r="K28" s="2876"/>
      <c r="L28" s="2878"/>
      <c r="M28" s="2877"/>
      <c r="N28" s="2878"/>
      <c r="O28" s="2876"/>
      <c r="P28" s="2876"/>
      <c r="Q28" s="2876"/>
      <c r="R28" s="2876"/>
      <c r="S28" s="2876"/>
      <c r="T28" s="2876"/>
      <c r="U28" s="2876"/>
      <c r="V28" s="2876"/>
      <c r="W28" s="2876"/>
      <c r="X28" s="2876"/>
      <c r="Y28" s="2876"/>
      <c r="Z28" s="2876"/>
      <c r="AA28" s="2876"/>
      <c r="AB28" s="2876"/>
      <c r="AC28" s="2876"/>
      <c r="AD28" s="2876"/>
      <c r="AE28" s="2876"/>
      <c r="AF28" s="2876"/>
      <c r="AG28" s="2881"/>
    </row>
    <row r="29" spans="1:33">
      <c r="A29" s="49">
        <v>1995.08</v>
      </c>
      <c r="B29" s="631">
        <v>93113</v>
      </c>
      <c r="C29" s="1693"/>
      <c r="D29" s="1694"/>
      <c r="E29" s="571">
        <v>852.58626050524583</v>
      </c>
      <c r="F29" s="2870"/>
      <c r="G29" s="2875"/>
      <c r="H29" s="2876"/>
      <c r="I29" s="2877"/>
      <c r="J29" s="2878"/>
      <c r="K29" s="2876"/>
      <c r="L29" s="2878"/>
      <c r="M29" s="2877"/>
      <c r="N29" s="2878"/>
      <c r="O29" s="2876"/>
      <c r="P29" s="2876"/>
      <c r="Q29" s="2876"/>
      <c r="R29" s="2876"/>
      <c r="S29" s="2876"/>
      <c r="T29" s="2876"/>
      <c r="U29" s="2876"/>
      <c r="V29" s="2876"/>
      <c r="W29" s="2876"/>
      <c r="X29" s="2876"/>
      <c r="Y29" s="2876"/>
      <c r="Z29" s="2876"/>
      <c r="AA29" s="2876"/>
      <c r="AB29" s="2876"/>
      <c r="AC29" s="2876"/>
      <c r="AD29" s="2876"/>
      <c r="AE29" s="2876"/>
      <c r="AF29" s="2876"/>
      <c r="AG29" s="2881"/>
    </row>
    <row r="30" spans="1:33">
      <c r="A30" s="49">
        <v>1995.09</v>
      </c>
      <c r="B30" s="631">
        <v>93061</v>
      </c>
      <c r="C30" s="1693"/>
      <c r="D30" s="1694"/>
      <c r="E30" s="571">
        <v>958.58730218190476</v>
      </c>
      <c r="F30" s="2870"/>
      <c r="G30" s="2875"/>
      <c r="H30" s="2876"/>
      <c r="I30" s="2877"/>
      <c r="J30" s="2878"/>
      <c r="K30" s="2876"/>
      <c r="L30" s="2878"/>
      <c r="M30" s="2877"/>
      <c r="N30" s="2878"/>
      <c r="O30" s="2876"/>
      <c r="P30" s="2876"/>
      <c r="Q30" s="2876"/>
      <c r="R30" s="2876"/>
      <c r="S30" s="2876"/>
      <c r="T30" s="2876"/>
      <c r="U30" s="2876"/>
      <c r="V30" s="2876"/>
      <c r="W30" s="2876"/>
      <c r="X30" s="2876"/>
      <c r="Y30" s="2876"/>
      <c r="Z30" s="2876"/>
      <c r="AA30" s="2876"/>
      <c r="AB30" s="2876"/>
      <c r="AC30" s="2876"/>
      <c r="AD30" s="2876"/>
      <c r="AE30" s="2876"/>
      <c r="AF30" s="2876"/>
      <c r="AG30" s="2881"/>
    </row>
    <row r="31" spans="1:33">
      <c r="A31" s="49">
        <v>1995.1</v>
      </c>
      <c r="B31" s="631">
        <v>93005</v>
      </c>
      <c r="C31" s="1693"/>
      <c r="D31" s="1694"/>
      <c r="E31" s="571">
        <v>1071.8853974395306</v>
      </c>
      <c r="F31" s="2870"/>
      <c r="G31" s="2875"/>
      <c r="H31" s="2876"/>
      <c r="I31" s="2877"/>
      <c r="J31" s="2878"/>
      <c r="K31" s="2876"/>
      <c r="L31" s="2878"/>
      <c r="M31" s="2877"/>
      <c r="N31" s="2878"/>
      <c r="O31" s="2876"/>
      <c r="P31" s="2876"/>
      <c r="Q31" s="2876"/>
      <c r="R31" s="2876"/>
      <c r="S31" s="2876"/>
      <c r="T31" s="2876"/>
      <c r="U31" s="2876"/>
      <c r="V31" s="2876"/>
      <c r="W31" s="2876"/>
      <c r="X31" s="2876"/>
      <c r="Y31" s="2876"/>
      <c r="Z31" s="2876"/>
      <c r="AA31" s="2876"/>
      <c r="AB31" s="2876"/>
      <c r="AC31" s="2876"/>
      <c r="AD31" s="2876"/>
      <c r="AE31" s="2876"/>
      <c r="AF31" s="2876"/>
      <c r="AG31" s="2881"/>
    </row>
    <row r="32" spans="1:33">
      <c r="A32" s="49">
        <v>1995.11</v>
      </c>
      <c r="B32" s="631">
        <v>92430</v>
      </c>
      <c r="C32" s="1693"/>
      <c r="D32" s="1694"/>
      <c r="E32" s="571">
        <v>1193.4856267822361</v>
      </c>
      <c r="F32" s="2870"/>
      <c r="G32" s="2875"/>
      <c r="H32" s="2876"/>
      <c r="I32" s="2877"/>
      <c r="J32" s="2878"/>
      <c r="K32" s="2876"/>
      <c r="L32" s="2878"/>
      <c r="M32" s="2877"/>
      <c r="N32" s="2878"/>
      <c r="O32" s="2876"/>
      <c r="P32" s="2876"/>
      <c r="Q32" s="2876"/>
      <c r="R32" s="2876"/>
      <c r="S32" s="2876"/>
      <c r="T32" s="2876"/>
      <c r="U32" s="2876"/>
      <c r="V32" s="2876"/>
      <c r="W32" s="2876"/>
      <c r="X32" s="2876"/>
      <c r="Y32" s="2876"/>
      <c r="Z32" s="2876"/>
      <c r="AA32" s="2876"/>
      <c r="AB32" s="2876"/>
      <c r="AC32" s="2876"/>
      <c r="AD32" s="2876"/>
      <c r="AE32" s="2876"/>
      <c r="AF32" s="2876"/>
      <c r="AG32" s="2881"/>
    </row>
    <row r="33" spans="1:33">
      <c r="A33" s="49">
        <v>1995.12</v>
      </c>
      <c r="B33" s="631">
        <v>92195</v>
      </c>
      <c r="C33" s="1693"/>
      <c r="D33" s="1694"/>
      <c r="E33" s="571">
        <v>1425.9639999999999</v>
      </c>
      <c r="F33" s="2870"/>
      <c r="G33" s="2875"/>
      <c r="H33" s="2876"/>
      <c r="I33" s="2877"/>
      <c r="J33" s="2878"/>
      <c r="K33" s="2876"/>
      <c r="L33" s="2878"/>
      <c r="M33" s="2877"/>
      <c r="N33" s="2878"/>
      <c r="O33" s="2876"/>
      <c r="P33" s="2876"/>
      <c r="Q33" s="2876"/>
      <c r="R33" s="2876"/>
      <c r="S33" s="2876"/>
      <c r="T33" s="2876"/>
      <c r="U33" s="2876"/>
      <c r="V33" s="2876"/>
      <c r="W33" s="2876"/>
      <c r="X33" s="2876"/>
      <c r="Y33" s="2876"/>
      <c r="Z33" s="2876"/>
      <c r="AA33" s="2876"/>
      <c r="AB33" s="2876"/>
      <c r="AC33" s="2876"/>
      <c r="AD33" s="2876"/>
      <c r="AE33" s="2876"/>
      <c r="AF33" s="2876"/>
      <c r="AG33" s="2881"/>
    </row>
    <row r="34" spans="1:33">
      <c r="A34" s="49">
        <v>1996.01</v>
      </c>
      <c r="B34" s="631">
        <v>92046</v>
      </c>
      <c r="C34" s="1693"/>
      <c r="D34" s="1694"/>
      <c r="E34" s="571">
        <v>92.076119320534076</v>
      </c>
      <c r="F34" s="2870"/>
      <c r="G34" s="2875"/>
      <c r="H34" s="2876"/>
      <c r="I34" s="2877"/>
      <c r="J34" s="2878"/>
      <c r="K34" s="2876"/>
      <c r="L34" s="2878"/>
      <c r="M34" s="2877"/>
      <c r="N34" s="2878"/>
      <c r="O34" s="2876"/>
      <c r="P34" s="2876"/>
      <c r="Q34" s="2876"/>
      <c r="R34" s="2876"/>
      <c r="S34" s="2876"/>
      <c r="T34" s="2876"/>
      <c r="U34" s="2876"/>
      <c r="V34" s="2876"/>
      <c r="W34" s="2876"/>
      <c r="X34" s="2876"/>
      <c r="Y34" s="2876"/>
      <c r="Z34" s="2876"/>
      <c r="AA34" s="2876"/>
      <c r="AB34" s="2876"/>
      <c r="AC34" s="2876"/>
      <c r="AD34" s="2876"/>
      <c r="AE34" s="2876"/>
      <c r="AF34" s="2876"/>
      <c r="AG34" s="2881"/>
    </row>
    <row r="35" spans="1:33">
      <c r="A35" s="49">
        <v>1996.02</v>
      </c>
      <c r="B35" s="631">
        <v>91999</v>
      </c>
      <c r="C35" s="1693"/>
      <c r="D35" s="1694"/>
      <c r="E35" s="571">
        <v>190.01106499403312</v>
      </c>
      <c r="F35" s="2870"/>
      <c r="G35" s="2875"/>
      <c r="H35" s="2876"/>
      <c r="I35" s="2877"/>
      <c r="J35" s="2878"/>
      <c r="K35" s="2876"/>
      <c r="L35" s="2878"/>
      <c r="M35" s="2877"/>
      <c r="N35" s="2878"/>
      <c r="O35" s="2876"/>
      <c r="P35" s="2876"/>
      <c r="Q35" s="2876"/>
      <c r="R35" s="2876"/>
      <c r="S35" s="2876"/>
      <c r="T35" s="2876"/>
      <c r="U35" s="2876"/>
      <c r="V35" s="2876"/>
      <c r="W35" s="2876"/>
      <c r="X35" s="2876"/>
      <c r="Y35" s="2876"/>
      <c r="Z35" s="2876"/>
      <c r="AA35" s="2876"/>
      <c r="AB35" s="2876"/>
      <c r="AC35" s="2876"/>
      <c r="AD35" s="2876"/>
      <c r="AE35" s="2876"/>
      <c r="AF35" s="2876"/>
      <c r="AG35" s="2881"/>
    </row>
    <row r="36" spans="1:33">
      <c r="A36" s="49">
        <v>1996.03</v>
      </c>
      <c r="B36" s="631">
        <v>91859</v>
      </c>
      <c r="C36" s="1693"/>
      <c r="D36" s="1694"/>
      <c r="E36" s="571">
        <v>291.85525658775953</v>
      </c>
      <c r="F36" s="2870"/>
      <c r="G36" s="2875"/>
      <c r="H36" s="2876"/>
      <c r="I36" s="2877"/>
      <c r="J36" s="2878"/>
      <c r="K36" s="2876"/>
      <c r="L36" s="2878"/>
      <c r="M36" s="2877"/>
      <c r="N36" s="2878"/>
      <c r="O36" s="2876"/>
      <c r="P36" s="2876"/>
      <c r="Q36" s="2876"/>
      <c r="R36" s="2876"/>
      <c r="S36" s="2876"/>
      <c r="T36" s="2876"/>
      <c r="U36" s="2876"/>
      <c r="V36" s="2876"/>
      <c r="W36" s="2876"/>
      <c r="X36" s="2876"/>
      <c r="Y36" s="2876"/>
      <c r="Z36" s="2876"/>
      <c r="AA36" s="2876"/>
      <c r="AB36" s="2876"/>
      <c r="AC36" s="2876"/>
      <c r="AD36" s="2876"/>
      <c r="AE36" s="2876"/>
      <c r="AF36" s="2876"/>
      <c r="AG36" s="2881"/>
    </row>
    <row r="37" spans="1:33">
      <c r="A37" s="49">
        <v>1996.04</v>
      </c>
      <c r="B37" s="631">
        <v>91791</v>
      </c>
      <c r="C37" s="1693"/>
      <c r="D37" s="1694"/>
      <c r="E37" s="571">
        <v>395.24008601308151</v>
      </c>
      <c r="F37" s="2870"/>
      <c r="G37" s="2875"/>
      <c r="H37" s="2876"/>
      <c r="I37" s="2877"/>
      <c r="J37" s="2878"/>
      <c r="K37" s="2876"/>
      <c r="L37" s="2878"/>
      <c r="M37" s="2877"/>
      <c r="N37" s="2878"/>
      <c r="O37" s="2876"/>
      <c r="P37" s="2876"/>
      <c r="Q37" s="2876"/>
      <c r="R37" s="2876"/>
      <c r="S37" s="2876"/>
      <c r="T37" s="2876"/>
      <c r="U37" s="2876"/>
      <c r="V37" s="2876"/>
      <c r="W37" s="2876"/>
      <c r="X37" s="2876"/>
      <c r="Y37" s="2876"/>
      <c r="Z37" s="2876"/>
      <c r="AA37" s="2876"/>
      <c r="AB37" s="2876"/>
      <c r="AC37" s="2876"/>
      <c r="AD37" s="2876"/>
      <c r="AE37" s="2876"/>
      <c r="AF37" s="2876"/>
      <c r="AG37" s="2881"/>
    </row>
    <row r="38" spans="1:33">
      <c r="A38" s="49">
        <v>1996.05</v>
      </c>
      <c r="B38" s="631">
        <v>91696</v>
      </c>
      <c r="C38" s="1693"/>
      <c r="D38" s="1694"/>
      <c r="E38" s="571">
        <v>500.0881819978145</v>
      </c>
      <c r="F38" s="2870"/>
      <c r="G38" s="2875"/>
      <c r="H38" s="2876"/>
      <c r="I38" s="2877"/>
      <c r="J38" s="2878"/>
      <c r="K38" s="2876"/>
      <c r="L38" s="2878"/>
      <c r="M38" s="2877"/>
      <c r="N38" s="2878"/>
      <c r="O38" s="2876"/>
      <c r="P38" s="2876"/>
      <c r="Q38" s="2876"/>
      <c r="R38" s="2876"/>
      <c r="S38" s="2876"/>
      <c r="T38" s="2876"/>
      <c r="U38" s="2876"/>
      <c r="V38" s="2876"/>
      <c r="W38" s="2876"/>
      <c r="X38" s="2876"/>
      <c r="Y38" s="2876"/>
      <c r="Z38" s="2876"/>
      <c r="AA38" s="2876"/>
      <c r="AB38" s="2876"/>
      <c r="AC38" s="2876"/>
      <c r="AD38" s="2876"/>
      <c r="AE38" s="2876"/>
      <c r="AF38" s="2876"/>
      <c r="AG38" s="2881"/>
    </row>
    <row r="39" spans="1:33">
      <c r="A39" s="49">
        <v>1996.06</v>
      </c>
      <c r="B39" s="631">
        <v>91618</v>
      </c>
      <c r="C39" s="1693"/>
      <c r="D39" s="1694"/>
      <c r="E39" s="571">
        <v>635.21744412484168</v>
      </c>
      <c r="F39" s="2870"/>
      <c r="G39" s="2875"/>
      <c r="H39" s="2876"/>
      <c r="I39" s="2877"/>
      <c r="J39" s="2878"/>
      <c r="K39" s="2876"/>
      <c r="L39" s="2878"/>
      <c r="M39" s="2877"/>
      <c r="N39" s="2878"/>
      <c r="O39" s="2876"/>
      <c r="P39" s="2876"/>
      <c r="Q39" s="2876"/>
      <c r="R39" s="2876"/>
      <c r="S39" s="2876"/>
      <c r="T39" s="2876"/>
      <c r="U39" s="2876"/>
      <c r="V39" s="2876"/>
      <c r="W39" s="2876"/>
      <c r="X39" s="2876"/>
      <c r="Y39" s="2876"/>
      <c r="Z39" s="2876"/>
      <c r="AA39" s="2876"/>
      <c r="AB39" s="2876"/>
      <c r="AC39" s="2876"/>
      <c r="AD39" s="2876"/>
      <c r="AE39" s="2876"/>
      <c r="AF39" s="2876"/>
      <c r="AG39" s="2881"/>
    </row>
    <row r="40" spans="1:33">
      <c r="A40" s="49">
        <v>1996.07</v>
      </c>
      <c r="B40" s="631">
        <v>91244</v>
      </c>
      <c r="C40" s="1693"/>
      <c r="D40" s="1694"/>
      <c r="E40" s="571">
        <v>741.35208634749006</v>
      </c>
      <c r="F40" s="2870"/>
      <c r="G40" s="2875"/>
      <c r="H40" s="2876"/>
      <c r="I40" s="2877"/>
      <c r="J40" s="2878"/>
      <c r="K40" s="2876"/>
      <c r="L40" s="2878"/>
      <c r="M40" s="2877"/>
      <c r="N40" s="2878"/>
      <c r="O40" s="2876"/>
      <c r="P40" s="2876"/>
      <c r="Q40" s="2876"/>
      <c r="R40" s="2876"/>
      <c r="S40" s="2876"/>
      <c r="T40" s="2876"/>
      <c r="U40" s="2876"/>
      <c r="V40" s="2876"/>
      <c r="W40" s="2876"/>
      <c r="X40" s="2876"/>
      <c r="Y40" s="2876"/>
      <c r="Z40" s="2876"/>
      <c r="AA40" s="2876"/>
      <c r="AB40" s="2876"/>
      <c r="AC40" s="2876"/>
      <c r="AD40" s="2876"/>
      <c r="AE40" s="2876"/>
      <c r="AF40" s="2876"/>
      <c r="AG40" s="2881"/>
    </row>
    <row r="41" spans="1:33">
      <c r="A41" s="49">
        <v>1996.08</v>
      </c>
      <c r="B41" s="631">
        <v>91147</v>
      </c>
      <c r="C41" s="1693"/>
      <c r="D41" s="1694"/>
      <c r="E41" s="571">
        <v>847.23264892980353</v>
      </c>
      <c r="F41" s="2870"/>
      <c r="G41" s="2875"/>
      <c r="H41" s="2876"/>
      <c r="I41" s="2877"/>
      <c r="J41" s="2878"/>
      <c r="K41" s="2876"/>
      <c r="L41" s="2878"/>
      <c r="M41" s="2877"/>
      <c r="N41" s="2878"/>
      <c r="O41" s="2876"/>
      <c r="P41" s="2876"/>
      <c r="Q41" s="2876"/>
      <c r="R41" s="2876"/>
      <c r="S41" s="2876"/>
      <c r="T41" s="2876"/>
      <c r="U41" s="2876"/>
      <c r="V41" s="2876"/>
      <c r="W41" s="2876"/>
      <c r="X41" s="2876"/>
      <c r="Y41" s="2876"/>
      <c r="Z41" s="2876"/>
      <c r="AA41" s="2876"/>
      <c r="AB41" s="2876"/>
      <c r="AC41" s="2876"/>
      <c r="AD41" s="2876"/>
      <c r="AE41" s="2876"/>
      <c r="AF41" s="2876"/>
      <c r="AG41" s="2881"/>
    </row>
    <row r="42" spans="1:33">
      <c r="A42" s="49">
        <v>1996.09</v>
      </c>
      <c r="B42" s="631">
        <v>91033</v>
      </c>
      <c r="C42" s="1693"/>
      <c r="D42" s="1694"/>
      <c r="E42" s="571">
        <v>952.56808240936016</v>
      </c>
      <c r="F42" s="2870"/>
      <c r="G42" s="2875"/>
      <c r="H42" s="2876"/>
      <c r="I42" s="2877"/>
      <c r="J42" s="2878"/>
      <c r="K42" s="2876"/>
      <c r="L42" s="2878"/>
      <c r="M42" s="2877"/>
      <c r="N42" s="2878"/>
      <c r="O42" s="2876"/>
      <c r="P42" s="2876"/>
      <c r="Q42" s="2876"/>
      <c r="R42" s="2876"/>
      <c r="S42" s="2876"/>
      <c r="T42" s="2876"/>
      <c r="U42" s="2876"/>
      <c r="V42" s="2876"/>
      <c r="W42" s="2876"/>
      <c r="X42" s="2876"/>
      <c r="Y42" s="2876"/>
      <c r="Z42" s="2876"/>
      <c r="AA42" s="2876"/>
      <c r="AB42" s="2876"/>
      <c r="AC42" s="2876"/>
      <c r="AD42" s="2876"/>
      <c r="AE42" s="2876"/>
      <c r="AF42" s="2876"/>
      <c r="AG42" s="2881"/>
    </row>
    <row r="43" spans="1:33">
      <c r="A43" s="49">
        <v>1996.1</v>
      </c>
      <c r="B43" s="631">
        <v>91052</v>
      </c>
      <c r="C43" s="1693"/>
      <c r="D43" s="1694"/>
      <c r="E43" s="571">
        <v>1065.1547493665964</v>
      </c>
      <c r="F43" s="2870"/>
      <c r="G43" s="2875"/>
      <c r="H43" s="2876"/>
      <c r="I43" s="2877"/>
      <c r="J43" s="2878"/>
      <c r="K43" s="2876"/>
      <c r="L43" s="2878"/>
      <c r="M43" s="2877"/>
      <c r="N43" s="2878"/>
      <c r="O43" s="2876"/>
      <c r="P43" s="2876"/>
      <c r="Q43" s="2876"/>
      <c r="R43" s="2876"/>
      <c r="S43" s="2876"/>
      <c r="T43" s="2876"/>
      <c r="U43" s="2876"/>
      <c r="V43" s="2876"/>
      <c r="W43" s="2876"/>
      <c r="X43" s="2876"/>
      <c r="Y43" s="2876"/>
      <c r="Z43" s="2876"/>
      <c r="AA43" s="2876"/>
      <c r="AB43" s="2876"/>
      <c r="AC43" s="2876"/>
      <c r="AD43" s="2876"/>
      <c r="AE43" s="2876"/>
      <c r="AF43" s="2876"/>
      <c r="AG43" s="2881"/>
    </row>
    <row r="44" spans="1:33">
      <c r="A44" s="49">
        <v>1996.11</v>
      </c>
      <c r="B44" s="631">
        <v>90919</v>
      </c>
      <c r="C44" s="1693"/>
      <c r="D44" s="1694"/>
      <c r="E44" s="571">
        <v>1185.991419142907</v>
      </c>
      <c r="F44" s="2870"/>
      <c r="G44" s="2875"/>
      <c r="H44" s="2876"/>
      <c r="I44" s="2877"/>
      <c r="J44" s="2878"/>
      <c r="K44" s="2876"/>
      <c r="L44" s="2878"/>
      <c r="M44" s="2877"/>
      <c r="N44" s="2878"/>
      <c r="O44" s="2876"/>
      <c r="P44" s="2876"/>
      <c r="Q44" s="2876"/>
      <c r="R44" s="2876"/>
      <c r="S44" s="2876"/>
      <c r="T44" s="2876"/>
      <c r="U44" s="2876"/>
      <c r="V44" s="2876"/>
      <c r="W44" s="2876"/>
      <c r="X44" s="2876"/>
      <c r="Y44" s="2876"/>
      <c r="Z44" s="2876"/>
      <c r="AA44" s="2876"/>
      <c r="AB44" s="2876"/>
      <c r="AC44" s="2876"/>
      <c r="AD44" s="2876"/>
      <c r="AE44" s="2876"/>
      <c r="AF44" s="2876"/>
      <c r="AG44" s="2881"/>
    </row>
    <row r="45" spans="1:33">
      <c r="A45" s="49">
        <v>1996.12</v>
      </c>
      <c r="B45" s="631">
        <v>90981</v>
      </c>
      <c r="C45" s="1693"/>
      <c r="D45" s="1694"/>
      <c r="E45" s="571">
        <v>1417.01</v>
      </c>
      <c r="F45" s="2870"/>
      <c r="G45" s="2875"/>
      <c r="H45" s="2876"/>
      <c r="I45" s="2877"/>
      <c r="J45" s="2878"/>
      <c r="K45" s="2876"/>
      <c r="L45" s="2878"/>
      <c r="M45" s="2877"/>
      <c r="N45" s="2878"/>
      <c r="O45" s="2876"/>
      <c r="P45" s="2876"/>
      <c r="Q45" s="2876"/>
      <c r="R45" s="2876"/>
      <c r="S45" s="2876"/>
      <c r="T45" s="2876"/>
      <c r="U45" s="2876"/>
      <c r="V45" s="2876"/>
      <c r="W45" s="2876"/>
      <c r="X45" s="2876"/>
      <c r="Y45" s="2876"/>
      <c r="Z45" s="2876"/>
      <c r="AA45" s="2876"/>
      <c r="AB45" s="2876"/>
      <c r="AC45" s="2876"/>
      <c r="AD45" s="2876"/>
      <c r="AE45" s="2876"/>
      <c r="AF45" s="2876"/>
      <c r="AG45" s="2881"/>
    </row>
    <row r="46" spans="1:33">
      <c r="A46" s="49">
        <v>1997.01</v>
      </c>
      <c r="B46" s="631">
        <v>90715</v>
      </c>
      <c r="C46" s="1693"/>
      <c r="D46" s="1694"/>
      <c r="E46" s="571">
        <v>92.565542352638488</v>
      </c>
      <c r="F46" s="2870"/>
      <c r="G46" s="2875"/>
      <c r="H46" s="2876"/>
      <c r="I46" s="2877"/>
      <c r="J46" s="2878"/>
      <c r="K46" s="2876"/>
      <c r="L46" s="2878"/>
      <c r="M46" s="2877"/>
      <c r="N46" s="2878"/>
      <c r="O46" s="2876"/>
      <c r="P46" s="2876"/>
      <c r="Q46" s="2876"/>
      <c r="R46" s="2876"/>
      <c r="S46" s="2876"/>
      <c r="T46" s="2876"/>
      <c r="U46" s="2876"/>
      <c r="V46" s="2876"/>
      <c r="W46" s="2876"/>
      <c r="X46" s="2876"/>
      <c r="Y46" s="2876"/>
      <c r="Z46" s="2876"/>
      <c r="AA46" s="2876"/>
      <c r="AB46" s="2876"/>
      <c r="AC46" s="2876"/>
      <c r="AD46" s="2876"/>
      <c r="AE46" s="2876"/>
      <c r="AF46" s="2876"/>
      <c r="AG46" s="2881"/>
    </row>
    <row r="47" spans="1:33">
      <c r="A47" s="49">
        <v>1997.02</v>
      </c>
      <c r="B47" s="631">
        <v>90635</v>
      </c>
      <c r="C47" s="1693"/>
      <c r="D47" s="1694"/>
      <c r="E47" s="571">
        <v>191.02105316739465</v>
      </c>
      <c r="F47" s="2870"/>
      <c r="G47" s="2875"/>
      <c r="H47" s="2876"/>
      <c r="I47" s="2877"/>
      <c r="J47" s="2878"/>
      <c r="K47" s="2876"/>
      <c r="L47" s="2878"/>
      <c r="M47" s="2877"/>
      <c r="N47" s="2878"/>
      <c r="O47" s="2876"/>
      <c r="P47" s="2876"/>
      <c r="Q47" s="2876"/>
      <c r="R47" s="2876"/>
      <c r="S47" s="2876"/>
      <c r="T47" s="2876"/>
      <c r="U47" s="2876"/>
      <c r="V47" s="2876"/>
      <c r="W47" s="2876"/>
      <c r="X47" s="2876"/>
      <c r="Y47" s="2876"/>
      <c r="Z47" s="2876"/>
      <c r="AA47" s="2876"/>
      <c r="AB47" s="2876"/>
      <c r="AC47" s="2876"/>
      <c r="AD47" s="2876"/>
      <c r="AE47" s="2876"/>
      <c r="AF47" s="2876"/>
      <c r="AG47" s="2881"/>
    </row>
    <row r="48" spans="1:33">
      <c r="A48" s="49">
        <v>1997.03</v>
      </c>
      <c r="B48" s="631">
        <v>90625</v>
      </c>
      <c r="C48" s="1693"/>
      <c r="D48" s="1694"/>
      <c r="E48" s="571">
        <v>293.40658917723948</v>
      </c>
      <c r="F48" s="2870"/>
      <c r="G48" s="2875"/>
      <c r="H48" s="2876"/>
      <c r="I48" s="2877"/>
      <c r="J48" s="2878"/>
      <c r="K48" s="2876"/>
      <c r="L48" s="2878"/>
      <c r="M48" s="2877"/>
      <c r="N48" s="2878"/>
      <c r="O48" s="2876"/>
      <c r="P48" s="2876"/>
      <c r="Q48" s="2876"/>
      <c r="R48" s="2876"/>
      <c r="S48" s="2876"/>
      <c r="T48" s="2876"/>
      <c r="U48" s="2876"/>
      <c r="V48" s="2876"/>
      <c r="W48" s="2876"/>
      <c r="X48" s="2876"/>
      <c r="Y48" s="2876"/>
      <c r="Z48" s="2876"/>
      <c r="AA48" s="2876"/>
      <c r="AB48" s="2876"/>
      <c r="AC48" s="2876"/>
      <c r="AD48" s="2876"/>
      <c r="AE48" s="2876"/>
      <c r="AF48" s="2876"/>
      <c r="AG48" s="2881"/>
    </row>
    <row r="49" spans="1:33">
      <c r="A49" s="49">
        <v>1997.04</v>
      </c>
      <c r="B49" s="631">
        <v>90606</v>
      </c>
      <c r="C49" s="1693"/>
      <c r="D49" s="1694"/>
      <c r="E49" s="571">
        <v>397.34095215224102</v>
      </c>
      <c r="F49" s="2870"/>
      <c r="G49" s="2875"/>
      <c r="H49" s="2876"/>
      <c r="I49" s="2877"/>
      <c r="J49" s="2878"/>
      <c r="K49" s="2876"/>
      <c r="L49" s="2878"/>
      <c r="M49" s="2877"/>
      <c r="N49" s="2878"/>
      <c r="O49" s="2876"/>
      <c r="P49" s="2876"/>
      <c r="Q49" s="2876"/>
      <c r="R49" s="2876"/>
      <c r="S49" s="2876"/>
      <c r="T49" s="2876"/>
      <c r="U49" s="2876"/>
      <c r="V49" s="2876"/>
      <c r="W49" s="2876"/>
      <c r="X49" s="2876"/>
      <c r="Y49" s="2876"/>
      <c r="Z49" s="2876"/>
      <c r="AA49" s="2876"/>
      <c r="AB49" s="2876"/>
      <c r="AC49" s="2876"/>
      <c r="AD49" s="2876"/>
      <c r="AE49" s="2876"/>
      <c r="AF49" s="2876"/>
      <c r="AG49" s="2881"/>
    </row>
    <row r="50" spans="1:33">
      <c r="A50" s="49">
        <v>1997.05</v>
      </c>
      <c r="B50" s="631">
        <v>91051</v>
      </c>
      <c r="C50" s="1693"/>
      <c r="D50" s="1694"/>
      <c r="E50" s="571">
        <v>502.74635955958706</v>
      </c>
      <c r="F50" s="2870"/>
      <c r="G50" s="2875"/>
      <c r="H50" s="2876"/>
      <c r="I50" s="2877"/>
      <c r="J50" s="2878"/>
      <c r="K50" s="2876"/>
      <c r="L50" s="2878"/>
      <c r="M50" s="2877"/>
      <c r="N50" s="2878"/>
      <c r="O50" s="2876"/>
      <c r="P50" s="2876"/>
      <c r="Q50" s="2876"/>
      <c r="R50" s="2876"/>
      <c r="S50" s="2876"/>
      <c r="T50" s="2876"/>
      <c r="U50" s="2876"/>
      <c r="V50" s="2876"/>
      <c r="W50" s="2876"/>
      <c r="X50" s="2876"/>
      <c r="Y50" s="2876"/>
      <c r="Z50" s="2876"/>
      <c r="AA50" s="2876"/>
      <c r="AB50" s="2876"/>
      <c r="AC50" s="2876"/>
      <c r="AD50" s="2876"/>
      <c r="AE50" s="2876"/>
      <c r="AF50" s="2876"/>
      <c r="AG50" s="2881"/>
    </row>
    <row r="51" spans="1:33">
      <c r="A51" s="49">
        <v>1997.06</v>
      </c>
      <c r="B51" s="631">
        <v>91034</v>
      </c>
      <c r="C51" s="1693"/>
      <c r="D51" s="1694"/>
      <c r="E51" s="571">
        <v>638.5938901549672</v>
      </c>
      <c r="F51" s="2870"/>
      <c r="G51" s="2875"/>
      <c r="H51" s="2876"/>
      <c r="I51" s="2877"/>
      <c r="J51" s="2878"/>
      <c r="K51" s="2876"/>
      <c r="L51" s="2878"/>
      <c r="M51" s="2877"/>
      <c r="N51" s="2878"/>
      <c r="O51" s="2876"/>
      <c r="P51" s="2876"/>
      <c r="Q51" s="2876"/>
      <c r="R51" s="2876"/>
      <c r="S51" s="2876"/>
      <c r="T51" s="2876"/>
      <c r="U51" s="2876"/>
      <c r="V51" s="2876"/>
      <c r="W51" s="2876"/>
      <c r="X51" s="2876"/>
      <c r="Y51" s="2876"/>
      <c r="Z51" s="2876"/>
      <c r="AA51" s="2876"/>
      <c r="AB51" s="2876"/>
      <c r="AC51" s="2876"/>
      <c r="AD51" s="2876"/>
      <c r="AE51" s="2876"/>
      <c r="AF51" s="2876"/>
      <c r="AG51" s="2881"/>
    </row>
    <row r="52" spans="1:33">
      <c r="A52" s="49">
        <v>1997.07</v>
      </c>
      <c r="B52" s="631">
        <v>91141</v>
      </c>
      <c r="C52" s="1693"/>
      <c r="D52" s="1694"/>
      <c r="E52" s="571">
        <v>745.29268233084179</v>
      </c>
      <c r="F52" s="2870"/>
      <c r="G52" s="2875"/>
      <c r="H52" s="2876"/>
      <c r="I52" s="2877"/>
      <c r="J52" s="2878"/>
      <c r="K52" s="2876"/>
      <c r="L52" s="2878"/>
      <c r="M52" s="2877"/>
      <c r="N52" s="2878"/>
      <c r="O52" s="2876"/>
      <c r="P52" s="2876"/>
      <c r="Q52" s="2876"/>
      <c r="R52" s="2876"/>
      <c r="S52" s="2876"/>
      <c r="T52" s="2876"/>
      <c r="U52" s="2876"/>
      <c r="V52" s="2876"/>
      <c r="W52" s="2876"/>
      <c r="X52" s="2876"/>
      <c r="Y52" s="2876"/>
      <c r="Z52" s="2876"/>
      <c r="AA52" s="2876"/>
      <c r="AB52" s="2876"/>
      <c r="AC52" s="2876"/>
      <c r="AD52" s="2876"/>
      <c r="AE52" s="2876"/>
      <c r="AF52" s="2876"/>
      <c r="AG52" s="2881"/>
    </row>
    <row r="53" spans="1:33">
      <c r="A53" s="49">
        <v>1997.08</v>
      </c>
      <c r="B53" s="631">
        <v>91154</v>
      </c>
      <c r="C53" s="1693"/>
      <c r="D53" s="1694"/>
      <c r="E53" s="571">
        <v>851.73604432697027</v>
      </c>
      <c r="F53" s="2870"/>
      <c r="G53" s="2875"/>
      <c r="H53" s="2876"/>
      <c r="I53" s="2877"/>
      <c r="J53" s="2878"/>
      <c r="K53" s="2876"/>
      <c r="L53" s="2878"/>
      <c r="M53" s="2877"/>
      <c r="N53" s="2878"/>
      <c r="O53" s="2876"/>
      <c r="P53" s="2876"/>
      <c r="Q53" s="2876"/>
      <c r="R53" s="2876"/>
      <c r="S53" s="2876"/>
      <c r="T53" s="2876"/>
      <c r="U53" s="2876"/>
      <c r="V53" s="2876"/>
      <c r="W53" s="2876"/>
      <c r="X53" s="2876"/>
      <c r="Y53" s="2876"/>
      <c r="Z53" s="2876"/>
      <c r="AA53" s="2876"/>
      <c r="AB53" s="2876"/>
      <c r="AC53" s="2876"/>
      <c r="AD53" s="2876"/>
      <c r="AE53" s="2876"/>
      <c r="AF53" s="2876"/>
      <c r="AG53" s="2881"/>
    </row>
    <row r="54" spans="1:33">
      <c r="A54" s="49">
        <v>1997.09</v>
      </c>
      <c r="B54" s="631">
        <v>91117</v>
      </c>
      <c r="C54" s="1693"/>
      <c r="D54" s="1694"/>
      <c r="E54" s="571">
        <v>957.63137963147381</v>
      </c>
      <c r="F54" s="2870"/>
      <c r="G54" s="2875"/>
      <c r="H54" s="2876"/>
      <c r="I54" s="2877"/>
      <c r="J54" s="2878"/>
      <c r="K54" s="2876"/>
      <c r="L54" s="2878"/>
      <c r="M54" s="2877"/>
      <c r="N54" s="2878"/>
      <c r="O54" s="2876"/>
      <c r="P54" s="2876"/>
      <c r="Q54" s="2876"/>
      <c r="R54" s="2876"/>
      <c r="S54" s="2876"/>
      <c r="T54" s="2876"/>
      <c r="U54" s="2876"/>
      <c r="V54" s="2876"/>
      <c r="W54" s="2876"/>
      <c r="X54" s="2876"/>
      <c r="Y54" s="2876"/>
      <c r="Z54" s="2876"/>
      <c r="AA54" s="2876"/>
      <c r="AB54" s="2876"/>
      <c r="AC54" s="2876"/>
      <c r="AD54" s="2876"/>
      <c r="AE54" s="2876"/>
      <c r="AF54" s="2876"/>
      <c r="AG54" s="2881"/>
    </row>
    <row r="55" spans="1:33">
      <c r="A55" s="49">
        <v>1997.1</v>
      </c>
      <c r="B55" s="631">
        <v>91089</v>
      </c>
      <c r="C55" s="1693"/>
      <c r="D55" s="1694"/>
      <c r="E55" s="571">
        <v>1070.8164917482516</v>
      </c>
      <c r="F55" s="2870"/>
      <c r="G55" s="2875"/>
      <c r="H55" s="2876"/>
      <c r="I55" s="2877"/>
      <c r="J55" s="2878"/>
      <c r="K55" s="2876"/>
      <c r="L55" s="2878"/>
      <c r="M55" s="2877"/>
      <c r="N55" s="2878"/>
      <c r="O55" s="2876"/>
      <c r="P55" s="2876"/>
      <c r="Q55" s="2876"/>
      <c r="R55" s="2876"/>
      <c r="S55" s="2876"/>
      <c r="T55" s="2876"/>
      <c r="U55" s="2876"/>
      <c r="V55" s="2876"/>
      <c r="W55" s="2876"/>
      <c r="X55" s="2876"/>
      <c r="Y55" s="2876"/>
      <c r="Z55" s="2876"/>
      <c r="AA55" s="2876"/>
      <c r="AB55" s="2876"/>
      <c r="AC55" s="2876"/>
      <c r="AD55" s="2876"/>
      <c r="AE55" s="2876"/>
      <c r="AF55" s="2876"/>
      <c r="AG55" s="2881"/>
    </row>
    <row r="56" spans="1:33">
      <c r="A56" s="49">
        <v>1997.11</v>
      </c>
      <c r="B56" s="631">
        <v>90986</v>
      </c>
      <c r="C56" s="1693"/>
      <c r="D56" s="1694"/>
      <c r="E56" s="571">
        <v>1192.2954588949092</v>
      </c>
      <c r="F56" s="2870"/>
      <c r="G56" s="2875"/>
      <c r="H56" s="2876"/>
      <c r="I56" s="2877"/>
      <c r="J56" s="2878"/>
      <c r="K56" s="2876"/>
      <c r="L56" s="2878"/>
      <c r="M56" s="2877"/>
      <c r="N56" s="2878"/>
      <c r="O56" s="2876"/>
      <c r="P56" s="2876"/>
      <c r="Q56" s="2876"/>
      <c r="R56" s="2876"/>
      <c r="S56" s="2876"/>
      <c r="T56" s="2876"/>
      <c r="U56" s="2876"/>
      <c r="V56" s="2876"/>
      <c r="W56" s="2876"/>
      <c r="X56" s="2876"/>
      <c r="Y56" s="2876"/>
      <c r="Z56" s="2876"/>
      <c r="AA56" s="2876"/>
      <c r="AB56" s="2876"/>
      <c r="AC56" s="2876"/>
      <c r="AD56" s="2876"/>
      <c r="AE56" s="2876"/>
      <c r="AF56" s="2876"/>
      <c r="AG56" s="2881"/>
    </row>
    <row r="57" spans="1:33">
      <c r="A57" s="49">
        <v>1997.12</v>
      </c>
      <c r="B57" s="631">
        <v>91855</v>
      </c>
      <c r="C57" s="1693"/>
      <c r="D57" s="1694"/>
      <c r="E57" s="571">
        <v>1424.5419999999999</v>
      </c>
      <c r="F57" s="2870"/>
      <c r="G57" s="2875"/>
      <c r="H57" s="2876"/>
      <c r="I57" s="2877"/>
      <c r="J57" s="2878"/>
      <c r="K57" s="2876"/>
      <c r="L57" s="2878"/>
      <c r="M57" s="2877"/>
      <c r="N57" s="2878"/>
      <c r="O57" s="2876"/>
      <c r="P57" s="2876"/>
      <c r="Q57" s="2876"/>
      <c r="R57" s="2876"/>
      <c r="S57" s="2876"/>
      <c r="T57" s="2876"/>
      <c r="U57" s="2876"/>
      <c r="V57" s="2876"/>
      <c r="W57" s="2876"/>
      <c r="X57" s="2876"/>
      <c r="Y57" s="2876"/>
      <c r="Z57" s="2876"/>
      <c r="AA57" s="2876"/>
      <c r="AB57" s="2876"/>
      <c r="AC57" s="2876"/>
      <c r="AD57" s="2876"/>
      <c r="AE57" s="2876"/>
      <c r="AF57" s="2876"/>
      <c r="AG57" s="2881"/>
    </row>
    <row r="58" spans="1:33">
      <c r="A58" s="49">
        <v>1998.01</v>
      </c>
      <c r="B58" s="631">
        <v>94091</v>
      </c>
      <c r="C58" s="1693"/>
      <c r="D58" s="1694"/>
      <c r="E58" s="571">
        <v>94.500751691742792</v>
      </c>
      <c r="F58" s="2870"/>
      <c r="G58" s="2875"/>
      <c r="H58" s="2876"/>
      <c r="I58" s="2877"/>
      <c r="J58" s="2878"/>
      <c r="K58" s="2876"/>
      <c r="L58" s="2878"/>
      <c r="M58" s="2877"/>
      <c r="N58" s="2878"/>
      <c r="O58" s="2876"/>
      <c r="P58" s="2876"/>
      <c r="Q58" s="2876"/>
      <c r="R58" s="2876"/>
      <c r="S58" s="2876"/>
      <c r="T58" s="2876"/>
      <c r="U58" s="2876"/>
      <c r="V58" s="2876"/>
      <c r="W58" s="2876"/>
      <c r="X58" s="2876"/>
      <c r="Y58" s="2876"/>
      <c r="Z58" s="2876"/>
      <c r="AA58" s="2876"/>
      <c r="AB58" s="2876"/>
      <c r="AC58" s="2876"/>
      <c r="AD58" s="2876"/>
      <c r="AE58" s="2876"/>
      <c r="AF58" s="2876"/>
      <c r="AG58" s="2881"/>
    </row>
    <row r="59" spans="1:33">
      <c r="A59" s="49">
        <v>1998.02</v>
      </c>
      <c r="B59" s="631">
        <v>94019</v>
      </c>
      <c r="C59" s="1693"/>
      <c r="D59" s="1694"/>
      <c r="E59" s="571">
        <v>195.01460969674338</v>
      </c>
      <c r="F59" s="2870"/>
      <c r="G59" s="2875"/>
      <c r="H59" s="2876"/>
      <c r="I59" s="2877"/>
      <c r="J59" s="2878"/>
      <c r="K59" s="2876"/>
      <c r="L59" s="2878"/>
      <c r="M59" s="2877"/>
      <c r="N59" s="2878"/>
      <c r="O59" s="2876"/>
      <c r="P59" s="2876"/>
      <c r="Q59" s="2876"/>
      <c r="R59" s="2876"/>
      <c r="S59" s="2876"/>
      <c r="T59" s="2876"/>
      <c r="U59" s="2876"/>
      <c r="V59" s="2876"/>
      <c r="W59" s="2876"/>
      <c r="X59" s="2876"/>
      <c r="Y59" s="2876"/>
      <c r="Z59" s="2876"/>
      <c r="AA59" s="2876"/>
      <c r="AB59" s="2876"/>
      <c r="AC59" s="2876"/>
      <c r="AD59" s="2876"/>
      <c r="AE59" s="2876"/>
      <c r="AF59" s="2876"/>
      <c r="AG59" s="2881"/>
    </row>
    <row r="60" spans="1:33">
      <c r="A60" s="49">
        <v>1998.03</v>
      </c>
      <c r="B60" s="631">
        <v>93946</v>
      </c>
      <c r="C60" s="1693"/>
      <c r="D60" s="1694"/>
      <c r="E60" s="571">
        <v>299.54065545178719</v>
      </c>
      <c r="F60" s="2870"/>
      <c r="G60" s="2875"/>
      <c r="H60" s="2876"/>
      <c r="I60" s="2877"/>
      <c r="J60" s="2878"/>
      <c r="K60" s="2876"/>
      <c r="L60" s="2878"/>
      <c r="M60" s="2877"/>
      <c r="N60" s="2878"/>
      <c r="O60" s="2876"/>
      <c r="P60" s="2876"/>
      <c r="Q60" s="2876"/>
      <c r="R60" s="2876"/>
      <c r="S60" s="2876"/>
      <c r="T60" s="2876"/>
      <c r="U60" s="2876"/>
      <c r="V60" s="2876"/>
      <c r="W60" s="2876"/>
      <c r="X60" s="2876"/>
      <c r="Y60" s="2876"/>
      <c r="Z60" s="2876"/>
      <c r="AA60" s="2876"/>
      <c r="AB60" s="2876"/>
      <c r="AC60" s="2876"/>
      <c r="AD60" s="2876"/>
      <c r="AE60" s="2876"/>
      <c r="AF60" s="2876"/>
      <c r="AG60" s="2881"/>
    </row>
    <row r="61" spans="1:33">
      <c r="A61" s="49">
        <v>1998.04</v>
      </c>
      <c r="B61" s="631">
        <v>93864</v>
      </c>
      <c r="C61" s="1693"/>
      <c r="D61" s="1694"/>
      <c r="E61" s="571">
        <v>405.64790851926864</v>
      </c>
      <c r="F61" s="2870"/>
      <c r="G61" s="2875"/>
      <c r="H61" s="2876"/>
      <c r="I61" s="2877"/>
      <c r="J61" s="2878"/>
      <c r="K61" s="2876"/>
      <c r="L61" s="2878"/>
      <c r="M61" s="2877"/>
      <c r="N61" s="2878"/>
      <c r="O61" s="2876"/>
      <c r="P61" s="2876"/>
      <c r="Q61" s="2876"/>
      <c r="R61" s="2876"/>
      <c r="S61" s="2876"/>
      <c r="T61" s="2876"/>
      <c r="U61" s="2876"/>
      <c r="V61" s="2876"/>
      <c r="W61" s="2876"/>
      <c r="X61" s="2876"/>
      <c r="Y61" s="2876"/>
      <c r="Z61" s="2876"/>
      <c r="AA61" s="2876"/>
      <c r="AB61" s="2876"/>
      <c r="AC61" s="2876"/>
      <c r="AD61" s="2876"/>
      <c r="AE61" s="2876"/>
      <c r="AF61" s="2876"/>
      <c r="AG61" s="2881"/>
    </row>
    <row r="62" spans="1:33">
      <c r="A62" s="49">
        <v>1998.05</v>
      </c>
      <c r="B62" s="631">
        <v>95340.5</v>
      </c>
      <c r="C62" s="1693"/>
      <c r="D62" s="1694"/>
      <c r="E62" s="571">
        <v>513.25696021608155</v>
      </c>
      <c r="F62" s="2870"/>
      <c r="G62" s="2875"/>
      <c r="H62" s="2876"/>
      <c r="I62" s="2877"/>
      <c r="J62" s="2878"/>
      <c r="K62" s="2876"/>
      <c r="L62" s="2878"/>
      <c r="M62" s="2877"/>
      <c r="N62" s="2878"/>
      <c r="O62" s="2876"/>
      <c r="P62" s="2876"/>
      <c r="Q62" s="2876"/>
      <c r="R62" s="2876"/>
      <c r="S62" s="2876"/>
      <c r="T62" s="2876"/>
      <c r="U62" s="2876"/>
      <c r="V62" s="2876"/>
      <c r="W62" s="2876"/>
      <c r="X62" s="2876"/>
      <c r="Y62" s="2876"/>
      <c r="Z62" s="2876"/>
      <c r="AA62" s="2876"/>
      <c r="AB62" s="2876"/>
      <c r="AC62" s="2876"/>
      <c r="AD62" s="2876"/>
      <c r="AE62" s="2876"/>
      <c r="AF62" s="2876"/>
      <c r="AG62" s="2881"/>
    </row>
    <row r="63" spans="1:33">
      <c r="A63" s="49">
        <v>1998.06</v>
      </c>
      <c r="B63" s="631">
        <v>95398.933333333334</v>
      </c>
      <c r="C63" s="1693"/>
      <c r="D63" s="1694"/>
      <c r="E63" s="571">
        <v>651.94456934631125</v>
      </c>
      <c r="F63" s="2870"/>
      <c r="G63" s="2875"/>
      <c r="H63" s="2876"/>
      <c r="I63" s="2877"/>
      <c r="J63" s="2878"/>
      <c r="K63" s="2876"/>
      <c r="L63" s="2878"/>
      <c r="M63" s="2877"/>
      <c r="N63" s="2878"/>
      <c r="O63" s="2876"/>
      <c r="P63" s="2876"/>
      <c r="Q63" s="2876"/>
      <c r="R63" s="2876"/>
      <c r="S63" s="2876"/>
      <c r="T63" s="2876"/>
      <c r="U63" s="2876"/>
      <c r="V63" s="2876"/>
      <c r="W63" s="2876"/>
      <c r="X63" s="2876"/>
      <c r="Y63" s="2876"/>
      <c r="Z63" s="2876"/>
      <c r="AA63" s="2876"/>
      <c r="AB63" s="2876"/>
      <c r="AC63" s="2876"/>
      <c r="AD63" s="2876"/>
      <c r="AE63" s="2876"/>
      <c r="AF63" s="2876"/>
      <c r="AG63" s="2881"/>
    </row>
    <row r="64" spans="1:33">
      <c r="A64" s="49">
        <v>1998.07</v>
      </c>
      <c r="B64" s="631">
        <v>93333.933333333334</v>
      </c>
      <c r="C64" s="1693"/>
      <c r="D64" s="1694"/>
      <c r="E64" s="571">
        <v>760.87404579023962</v>
      </c>
      <c r="F64" s="2870"/>
      <c r="G64" s="2875"/>
      <c r="H64" s="2876"/>
      <c r="I64" s="2877"/>
      <c r="J64" s="2878"/>
      <c r="K64" s="2876"/>
      <c r="L64" s="2878"/>
      <c r="M64" s="2877"/>
      <c r="N64" s="2878"/>
      <c r="O64" s="2876"/>
      <c r="P64" s="2876"/>
      <c r="Q64" s="2876"/>
      <c r="R64" s="2876"/>
      <c r="S64" s="2876"/>
      <c r="T64" s="2876"/>
      <c r="U64" s="2876"/>
      <c r="V64" s="2876"/>
      <c r="W64" s="2876"/>
      <c r="X64" s="2876"/>
      <c r="Y64" s="2876"/>
      <c r="Z64" s="2876"/>
      <c r="AA64" s="2876"/>
      <c r="AB64" s="2876"/>
      <c r="AC64" s="2876"/>
      <c r="AD64" s="2876"/>
      <c r="AE64" s="2876"/>
      <c r="AF64" s="2876"/>
      <c r="AG64" s="2881"/>
    </row>
    <row r="65" spans="1:33">
      <c r="A65" s="49">
        <v>1998.08</v>
      </c>
      <c r="B65" s="631">
        <v>93401.8</v>
      </c>
      <c r="C65" s="1693"/>
      <c r="D65" s="1694"/>
      <c r="E65" s="571">
        <v>869.54275193695719</v>
      </c>
      <c r="F65" s="2870"/>
      <c r="G65" s="2875"/>
      <c r="H65" s="2876"/>
      <c r="I65" s="2877"/>
      <c r="J65" s="2878"/>
      <c r="K65" s="2876"/>
      <c r="L65" s="2878"/>
      <c r="M65" s="2877"/>
      <c r="N65" s="2878"/>
      <c r="O65" s="2876"/>
      <c r="P65" s="2876"/>
      <c r="Q65" s="2876"/>
      <c r="R65" s="2876"/>
      <c r="S65" s="2876"/>
      <c r="T65" s="2876"/>
      <c r="U65" s="2876"/>
      <c r="V65" s="2876"/>
      <c r="W65" s="2876"/>
      <c r="X65" s="2876"/>
      <c r="Y65" s="2876"/>
      <c r="Z65" s="2876"/>
      <c r="AA65" s="2876"/>
      <c r="AB65" s="2876"/>
      <c r="AC65" s="2876"/>
      <c r="AD65" s="2876"/>
      <c r="AE65" s="2876"/>
      <c r="AF65" s="2876"/>
      <c r="AG65" s="2881"/>
    </row>
    <row r="66" spans="1:33">
      <c r="A66" s="49">
        <v>1998.09</v>
      </c>
      <c r="B66" s="631">
        <v>93416.733333333337</v>
      </c>
      <c r="C66" s="1693"/>
      <c r="D66" s="1694"/>
      <c r="E66" s="571">
        <v>977.65197414408544</v>
      </c>
      <c r="F66" s="2870"/>
      <c r="G66" s="2875"/>
      <c r="H66" s="2876"/>
      <c r="I66" s="2877"/>
      <c r="J66" s="2878"/>
      <c r="K66" s="2876"/>
      <c r="L66" s="2878"/>
      <c r="M66" s="2877"/>
      <c r="N66" s="2878"/>
      <c r="O66" s="2876"/>
      <c r="P66" s="2876"/>
      <c r="Q66" s="2876"/>
      <c r="R66" s="2876"/>
      <c r="S66" s="2876"/>
      <c r="T66" s="2876"/>
      <c r="U66" s="2876"/>
      <c r="V66" s="2876"/>
      <c r="W66" s="2876"/>
      <c r="X66" s="2876"/>
      <c r="Y66" s="2876"/>
      <c r="Z66" s="2876"/>
      <c r="AA66" s="2876"/>
      <c r="AB66" s="2876"/>
      <c r="AC66" s="2876"/>
      <c r="AD66" s="2876"/>
      <c r="AE66" s="2876"/>
      <c r="AF66" s="2876"/>
      <c r="AG66" s="2881"/>
    </row>
    <row r="67" spans="1:33">
      <c r="A67" s="49">
        <v>1998.1</v>
      </c>
      <c r="B67" s="631">
        <v>96002.766666666663</v>
      </c>
      <c r="C67" s="1693"/>
      <c r="D67" s="1694"/>
      <c r="E67" s="571">
        <v>1093.2033759238298</v>
      </c>
      <c r="F67" s="2870"/>
      <c r="G67" s="2875"/>
      <c r="H67" s="2876"/>
      <c r="I67" s="2877"/>
      <c r="J67" s="2878"/>
      <c r="K67" s="2876"/>
      <c r="L67" s="2878"/>
      <c r="M67" s="2877"/>
      <c r="N67" s="2878"/>
      <c r="O67" s="2876"/>
      <c r="P67" s="2876"/>
      <c r="Q67" s="2876"/>
      <c r="R67" s="2876"/>
      <c r="S67" s="2876"/>
      <c r="T67" s="2876"/>
      <c r="U67" s="2876"/>
      <c r="V67" s="2876"/>
      <c r="W67" s="2876"/>
      <c r="X67" s="2876"/>
      <c r="Y67" s="2876"/>
      <c r="Z67" s="2876"/>
      <c r="AA67" s="2876"/>
      <c r="AB67" s="2876"/>
      <c r="AC67" s="2876"/>
      <c r="AD67" s="2876"/>
      <c r="AE67" s="2876"/>
      <c r="AF67" s="2876"/>
      <c r="AG67" s="2881"/>
    </row>
    <row r="68" spans="1:33">
      <c r="A68" s="49">
        <v>1998.11</v>
      </c>
      <c r="B68" s="631">
        <v>96146</v>
      </c>
      <c r="C68" s="1693"/>
      <c r="D68" s="1694"/>
      <c r="E68" s="571">
        <v>1217.2220271230192</v>
      </c>
      <c r="F68" s="2870"/>
      <c r="G68" s="2875"/>
      <c r="H68" s="2876"/>
      <c r="I68" s="2877"/>
      <c r="J68" s="2878"/>
      <c r="K68" s="2876"/>
      <c r="L68" s="2878"/>
      <c r="M68" s="2877"/>
      <c r="N68" s="2878"/>
      <c r="O68" s="2876"/>
      <c r="P68" s="2876"/>
      <c r="Q68" s="2876"/>
      <c r="R68" s="2876"/>
      <c r="S68" s="2876"/>
      <c r="T68" s="2876"/>
      <c r="U68" s="2876"/>
      <c r="V68" s="2876"/>
      <c r="W68" s="2876"/>
      <c r="X68" s="2876"/>
      <c r="Y68" s="2876"/>
      <c r="Z68" s="2876"/>
      <c r="AA68" s="2876"/>
      <c r="AB68" s="2876"/>
      <c r="AC68" s="2876"/>
      <c r="AD68" s="2876"/>
      <c r="AE68" s="2876"/>
      <c r="AF68" s="2876"/>
      <c r="AG68" s="2881"/>
    </row>
    <row r="69" spans="1:33">
      <c r="A69" s="49">
        <v>1998.12</v>
      </c>
      <c r="B69" s="631">
        <v>96327.566666666666</v>
      </c>
      <c r="C69" s="1693"/>
      <c r="D69" s="1694"/>
      <c r="E69" s="571">
        <v>1454.3240000000001</v>
      </c>
      <c r="F69" s="2870"/>
      <c r="G69" s="2875"/>
      <c r="H69" s="2876"/>
      <c r="I69" s="2877"/>
      <c r="J69" s="2878"/>
      <c r="K69" s="2876"/>
      <c r="L69" s="2878"/>
      <c r="M69" s="2877"/>
      <c r="N69" s="2878"/>
      <c r="O69" s="2876"/>
      <c r="P69" s="2876"/>
      <c r="Q69" s="2876"/>
      <c r="R69" s="2876"/>
      <c r="S69" s="2876"/>
      <c r="T69" s="2876"/>
      <c r="U69" s="2876"/>
      <c r="V69" s="2876"/>
      <c r="W69" s="2876"/>
      <c r="X69" s="2876"/>
      <c r="Y69" s="2876"/>
      <c r="Z69" s="2876"/>
      <c r="AA69" s="2876"/>
      <c r="AB69" s="2876"/>
      <c r="AC69" s="2876"/>
      <c r="AD69" s="2876"/>
      <c r="AE69" s="2876"/>
      <c r="AF69" s="2876"/>
      <c r="AG69" s="2881"/>
    </row>
    <row r="70" spans="1:33">
      <c r="A70" s="49">
        <v>1999.01</v>
      </c>
      <c r="B70" s="631">
        <v>96374.866666666669</v>
      </c>
      <c r="C70" s="1693"/>
      <c r="D70" s="1694"/>
      <c r="E70" s="571">
        <v>101.41251994744025</v>
      </c>
      <c r="F70" s="2870"/>
      <c r="G70" s="2875"/>
      <c r="H70" s="2876"/>
      <c r="I70" s="2877"/>
      <c r="J70" s="2878"/>
      <c r="K70" s="2876"/>
      <c r="L70" s="2878"/>
      <c r="M70" s="2877"/>
      <c r="N70" s="2878"/>
      <c r="O70" s="2876"/>
      <c r="P70" s="2876"/>
      <c r="Q70" s="2876"/>
      <c r="R70" s="2876"/>
      <c r="S70" s="2876"/>
      <c r="T70" s="2876"/>
      <c r="U70" s="2876"/>
      <c r="V70" s="2876"/>
      <c r="W70" s="2876"/>
      <c r="X70" s="2876"/>
      <c r="Y70" s="2876"/>
      <c r="Z70" s="2876"/>
      <c r="AA70" s="2876"/>
      <c r="AB70" s="2876"/>
      <c r="AC70" s="2876"/>
      <c r="AD70" s="2876"/>
      <c r="AE70" s="2876"/>
      <c r="AF70" s="2876"/>
      <c r="AG70" s="2881"/>
    </row>
    <row r="71" spans="1:33">
      <c r="A71" s="49">
        <v>1999.02</v>
      </c>
      <c r="B71" s="631">
        <v>96361.866666666669</v>
      </c>
      <c r="C71" s="1693"/>
      <c r="D71" s="1694"/>
      <c r="E71" s="571">
        <v>209.27794373979899</v>
      </c>
      <c r="F71" s="2870"/>
      <c r="G71" s="2875"/>
      <c r="H71" s="2876"/>
      <c r="I71" s="2877"/>
      <c r="J71" s="2878"/>
      <c r="K71" s="2876"/>
      <c r="L71" s="2878"/>
      <c r="M71" s="2877"/>
      <c r="N71" s="2878"/>
      <c r="O71" s="2876"/>
      <c r="P71" s="2876"/>
      <c r="Q71" s="2876"/>
      <c r="R71" s="2876"/>
      <c r="S71" s="2876"/>
      <c r="T71" s="2876"/>
      <c r="U71" s="2876"/>
      <c r="V71" s="2876"/>
      <c r="W71" s="2876"/>
      <c r="X71" s="2876"/>
      <c r="Y71" s="2876"/>
      <c r="Z71" s="2876"/>
      <c r="AA71" s="2876"/>
      <c r="AB71" s="2876"/>
      <c r="AC71" s="2876"/>
      <c r="AD71" s="2876"/>
      <c r="AE71" s="2876"/>
      <c r="AF71" s="2876"/>
      <c r="AG71" s="2881"/>
    </row>
    <row r="72" spans="1:33">
      <c r="A72" s="49">
        <v>1999.03</v>
      </c>
      <c r="B72" s="631">
        <v>96441.666666666672</v>
      </c>
      <c r="C72" s="1693"/>
      <c r="D72" s="1694"/>
      <c r="E72" s="571">
        <v>321.44900598423459</v>
      </c>
      <c r="F72" s="2870"/>
      <c r="G72" s="2875"/>
      <c r="H72" s="2876"/>
      <c r="I72" s="2877"/>
      <c r="J72" s="2878"/>
      <c r="K72" s="2876"/>
      <c r="L72" s="2878"/>
      <c r="M72" s="2877"/>
      <c r="N72" s="2878"/>
      <c r="O72" s="2876"/>
      <c r="P72" s="2876"/>
      <c r="Q72" s="2876"/>
      <c r="R72" s="2876"/>
      <c r="S72" s="2876"/>
      <c r="T72" s="2876"/>
      <c r="U72" s="2876"/>
      <c r="V72" s="2876"/>
      <c r="W72" s="2876"/>
      <c r="X72" s="2876"/>
      <c r="Y72" s="2876"/>
      <c r="Z72" s="2876"/>
      <c r="AA72" s="2876"/>
      <c r="AB72" s="2876"/>
      <c r="AC72" s="2876"/>
      <c r="AD72" s="2876"/>
      <c r="AE72" s="2876"/>
      <c r="AF72" s="2876"/>
      <c r="AG72" s="2881"/>
    </row>
    <row r="73" spans="1:33">
      <c r="A73" s="49">
        <v>1999.04</v>
      </c>
      <c r="B73" s="631">
        <v>96502.666666666672</v>
      </c>
      <c r="C73" s="1693"/>
      <c r="D73" s="1694"/>
      <c r="E73" s="571">
        <v>435.31692476412593</v>
      </c>
      <c r="F73" s="2870"/>
      <c r="G73" s="2875"/>
      <c r="H73" s="2876"/>
      <c r="I73" s="2877"/>
      <c r="J73" s="2878"/>
      <c r="K73" s="2876"/>
      <c r="L73" s="2878"/>
      <c r="M73" s="2877"/>
      <c r="N73" s="2878"/>
      <c r="O73" s="2876"/>
      <c r="P73" s="2876"/>
      <c r="Q73" s="2876"/>
      <c r="R73" s="2876"/>
      <c r="S73" s="2876"/>
      <c r="T73" s="2876"/>
      <c r="U73" s="2876"/>
      <c r="V73" s="2876"/>
      <c r="W73" s="2876"/>
      <c r="X73" s="2876"/>
      <c r="Y73" s="2876"/>
      <c r="Z73" s="2876"/>
      <c r="AA73" s="2876"/>
      <c r="AB73" s="2876"/>
      <c r="AC73" s="2876"/>
      <c r="AD73" s="2876"/>
      <c r="AE73" s="2876"/>
      <c r="AF73" s="2876"/>
      <c r="AG73" s="2881"/>
    </row>
    <row r="74" spans="1:33">
      <c r="A74" s="49">
        <v>1999.05</v>
      </c>
      <c r="B74" s="631">
        <v>96278</v>
      </c>
      <c r="C74" s="1693"/>
      <c r="D74" s="1694"/>
      <c r="E74" s="571">
        <v>550.79648345933686</v>
      </c>
      <c r="F74" s="2870"/>
      <c r="G74" s="2875"/>
      <c r="H74" s="2876"/>
      <c r="I74" s="2877"/>
      <c r="J74" s="2878"/>
      <c r="K74" s="2876"/>
      <c r="L74" s="2878"/>
      <c r="M74" s="2877"/>
      <c r="N74" s="2878"/>
      <c r="O74" s="2876"/>
      <c r="P74" s="2876"/>
      <c r="Q74" s="2876"/>
      <c r="R74" s="2876"/>
      <c r="S74" s="2876"/>
      <c r="T74" s="2876"/>
      <c r="U74" s="2876"/>
      <c r="V74" s="2876"/>
      <c r="W74" s="2876"/>
      <c r="X74" s="2876"/>
      <c r="Y74" s="2876"/>
      <c r="Z74" s="2876"/>
      <c r="AA74" s="2876"/>
      <c r="AB74" s="2876"/>
      <c r="AC74" s="2876"/>
      <c r="AD74" s="2876"/>
      <c r="AE74" s="2876"/>
      <c r="AF74" s="2876"/>
      <c r="AG74" s="2881"/>
    </row>
    <row r="75" spans="1:33">
      <c r="A75" s="49">
        <v>1999.06</v>
      </c>
      <c r="B75" s="631">
        <v>96203</v>
      </c>
      <c r="C75" s="1693"/>
      <c r="D75" s="1694"/>
      <c r="E75" s="571">
        <v>699.62767977892292</v>
      </c>
      <c r="F75" s="2870"/>
      <c r="G75" s="2875"/>
      <c r="H75" s="2876"/>
      <c r="I75" s="2877"/>
      <c r="J75" s="2878"/>
      <c r="K75" s="2876"/>
      <c r="L75" s="2878"/>
      <c r="M75" s="2877"/>
      <c r="N75" s="2878"/>
      <c r="O75" s="2876"/>
      <c r="P75" s="2876"/>
      <c r="Q75" s="2876"/>
      <c r="R75" s="2876"/>
      <c r="S75" s="2876"/>
      <c r="T75" s="2876"/>
      <c r="U75" s="2876"/>
      <c r="V75" s="2876"/>
      <c r="W75" s="2876"/>
      <c r="X75" s="2876"/>
      <c r="Y75" s="2876"/>
      <c r="Z75" s="2876"/>
      <c r="AA75" s="2876"/>
      <c r="AB75" s="2876"/>
      <c r="AC75" s="2876"/>
      <c r="AD75" s="2876"/>
      <c r="AE75" s="2876"/>
      <c r="AF75" s="2876"/>
      <c r="AG75" s="2881"/>
    </row>
    <row r="76" spans="1:33">
      <c r="A76" s="49">
        <v>1999.07</v>
      </c>
      <c r="B76" s="631">
        <v>96364.133333333331</v>
      </c>
      <c r="C76" s="1693"/>
      <c r="D76" s="1694"/>
      <c r="E76" s="571">
        <v>816.52423885358849</v>
      </c>
      <c r="F76" s="2870"/>
      <c r="G76" s="2875"/>
      <c r="H76" s="2876"/>
      <c r="I76" s="2877"/>
      <c r="J76" s="2878"/>
      <c r="K76" s="2876"/>
      <c r="L76" s="2878"/>
      <c r="M76" s="2877"/>
      <c r="N76" s="2878"/>
      <c r="O76" s="2876"/>
      <c r="P76" s="2876"/>
      <c r="Q76" s="2876"/>
      <c r="R76" s="2876"/>
      <c r="S76" s="2876"/>
      <c r="T76" s="2876"/>
      <c r="U76" s="2876"/>
      <c r="V76" s="2876"/>
      <c r="W76" s="2876"/>
      <c r="X76" s="2876"/>
      <c r="Y76" s="2876"/>
      <c r="Z76" s="2876"/>
      <c r="AA76" s="2876"/>
      <c r="AB76" s="2876"/>
      <c r="AC76" s="2876"/>
      <c r="AD76" s="2876"/>
      <c r="AE76" s="2876"/>
      <c r="AF76" s="2876"/>
      <c r="AG76" s="2881"/>
    </row>
    <row r="77" spans="1:33">
      <c r="A77" s="49">
        <v>1999.08</v>
      </c>
      <c r="B77" s="631">
        <v>96408.366666666669</v>
      </c>
      <c r="C77" s="1693"/>
      <c r="D77" s="1694"/>
      <c r="E77" s="571">
        <v>933.14095493765171</v>
      </c>
      <c r="F77" s="2870"/>
      <c r="G77" s="2875"/>
      <c r="H77" s="2876"/>
      <c r="I77" s="2877"/>
      <c r="J77" s="2878"/>
      <c r="K77" s="2876"/>
      <c r="L77" s="2878"/>
      <c r="M77" s="2877"/>
      <c r="N77" s="2878"/>
      <c r="O77" s="2876"/>
      <c r="P77" s="2876"/>
      <c r="Q77" s="2876"/>
      <c r="R77" s="2876"/>
      <c r="S77" s="2876"/>
      <c r="T77" s="2876"/>
      <c r="U77" s="2876"/>
      <c r="V77" s="2876"/>
      <c r="W77" s="2876"/>
      <c r="X77" s="2876"/>
      <c r="Y77" s="2876"/>
      <c r="Z77" s="2876"/>
      <c r="AA77" s="2876"/>
      <c r="AB77" s="2876"/>
      <c r="AC77" s="2876"/>
      <c r="AD77" s="2876"/>
      <c r="AE77" s="2876"/>
      <c r="AF77" s="2876"/>
      <c r="AG77" s="2881"/>
    </row>
    <row r="78" spans="1:33">
      <c r="A78" s="49">
        <v>1999.09</v>
      </c>
      <c r="B78" s="631">
        <v>96389</v>
      </c>
      <c r="C78" s="1693"/>
      <c r="D78" s="1694"/>
      <c r="E78" s="571">
        <v>1049.1572665257913</v>
      </c>
      <c r="F78" s="2870"/>
      <c r="G78" s="2875"/>
      <c r="H78" s="2876"/>
      <c r="I78" s="2877"/>
      <c r="J78" s="2878"/>
      <c r="K78" s="2876"/>
      <c r="L78" s="2878"/>
      <c r="M78" s="2877"/>
      <c r="N78" s="2878"/>
      <c r="O78" s="2876"/>
      <c r="P78" s="2876"/>
      <c r="Q78" s="2876"/>
      <c r="R78" s="2876"/>
      <c r="S78" s="2876"/>
      <c r="T78" s="2876"/>
      <c r="U78" s="2876"/>
      <c r="V78" s="2876"/>
      <c r="W78" s="2876"/>
      <c r="X78" s="2876"/>
      <c r="Y78" s="2876"/>
      <c r="Z78" s="2876"/>
      <c r="AA78" s="2876"/>
      <c r="AB78" s="2876"/>
      <c r="AC78" s="2876"/>
      <c r="AD78" s="2876"/>
      <c r="AE78" s="2876"/>
      <c r="AF78" s="2876"/>
      <c r="AG78" s="2881"/>
    </row>
    <row r="79" spans="1:33">
      <c r="A79" s="49">
        <v>1999.1</v>
      </c>
      <c r="B79" s="631">
        <v>96271.366666666669</v>
      </c>
      <c r="C79" s="1693"/>
      <c r="D79" s="1694"/>
      <c r="E79" s="571">
        <v>1173.1600773835057</v>
      </c>
      <c r="F79" s="2870"/>
      <c r="G79" s="2875"/>
      <c r="H79" s="2876"/>
      <c r="I79" s="2877"/>
      <c r="J79" s="2878"/>
      <c r="K79" s="2876"/>
      <c r="L79" s="2878"/>
      <c r="M79" s="2877"/>
      <c r="N79" s="2878"/>
      <c r="O79" s="2876"/>
      <c r="P79" s="2876"/>
      <c r="Q79" s="2876"/>
      <c r="R79" s="2876"/>
      <c r="S79" s="2876"/>
      <c r="T79" s="2876"/>
      <c r="U79" s="2876"/>
      <c r="V79" s="2876"/>
      <c r="W79" s="2876"/>
      <c r="X79" s="2876"/>
      <c r="Y79" s="2876"/>
      <c r="Z79" s="2876"/>
      <c r="AA79" s="2876"/>
      <c r="AB79" s="2876"/>
      <c r="AC79" s="2876"/>
      <c r="AD79" s="2876"/>
      <c r="AE79" s="2876"/>
      <c r="AF79" s="2876"/>
      <c r="AG79" s="2881"/>
    </row>
    <row r="80" spans="1:33">
      <c r="A80" s="49">
        <v>1999.11</v>
      </c>
      <c r="B80" s="631">
        <v>97687.6</v>
      </c>
      <c r="C80" s="1693"/>
      <c r="D80" s="1694"/>
      <c r="E80" s="571">
        <v>1306.2494307848224</v>
      </c>
      <c r="F80" s="2870"/>
      <c r="G80" s="2875"/>
      <c r="H80" s="2876"/>
      <c r="I80" s="2877"/>
      <c r="J80" s="2878"/>
      <c r="K80" s="2876"/>
      <c r="L80" s="2878"/>
      <c r="M80" s="2877"/>
      <c r="N80" s="2878"/>
      <c r="O80" s="2876"/>
      <c r="P80" s="2876"/>
      <c r="Q80" s="2876"/>
      <c r="R80" s="2876"/>
      <c r="S80" s="2876"/>
      <c r="T80" s="2876"/>
      <c r="U80" s="2876"/>
      <c r="V80" s="2876"/>
      <c r="W80" s="2876"/>
      <c r="X80" s="2876"/>
      <c r="Y80" s="2876"/>
      <c r="Z80" s="2876"/>
      <c r="AA80" s="2876"/>
      <c r="AB80" s="2876"/>
      <c r="AC80" s="2876"/>
      <c r="AD80" s="2876"/>
      <c r="AE80" s="2876"/>
      <c r="AF80" s="2876"/>
      <c r="AG80" s="2881"/>
    </row>
    <row r="81" spans="1:33">
      <c r="A81" s="49">
        <v>1999.12</v>
      </c>
      <c r="B81" s="631">
        <v>97477.733333333337</v>
      </c>
      <c r="C81" s="1693"/>
      <c r="D81" s="1694"/>
      <c r="E81" s="571">
        <v>1560.693</v>
      </c>
      <c r="F81" s="2870"/>
      <c r="G81" s="2875"/>
      <c r="H81" s="2876"/>
      <c r="I81" s="2877"/>
      <c r="J81" s="2878"/>
      <c r="K81" s="2876"/>
      <c r="L81" s="2878"/>
      <c r="M81" s="2877"/>
      <c r="N81" s="2878"/>
      <c r="O81" s="2876"/>
      <c r="P81" s="2876"/>
      <c r="Q81" s="2876"/>
      <c r="R81" s="2876"/>
      <c r="S81" s="2876"/>
      <c r="T81" s="2876"/>
      <c r="U81" s="2876"/>
      <c r="V81" s="2876"/>
      <c r="W81" s="2876"/>
      <c r="X81" s="2876"/>
      <c r="Y81" s="2876"/>
      <c r="Z81" s="2876"/>
      <c r="AA81" s="2876"/>
      <c r="AB81" s="2876"/>
      <c r="AC81" s="2876"/>
      <c r="AD81" s="2876"/>
      <c r="AE81" s="2876"/>
      <c r="AF81" s="2876"/>
      <c r="AG81" s="2881"/>
    </row>
    <row r="82" spans="1:33">
      <c r="A82" s="49">
        <v>2000.01</v>
      </c>
      <c r="B82" s="631">
        <v>98139</v>
      </c>
      <c r="C82" s="1693"/>
      <c r="D82" s="1694"/>
      <c r="E82" s="571">
        <v>106.20791696632941</v>
      </c>
      <c r="F82" s="2870"/>
      <c r="G82" s="2875"/>
      <c r="H82" s="2876"/>
      <c r="I82" s="2877"/>
      <c r="J82" s="2878"/>
      <c r="K82" s="2876"/>
      <c r="L82" s="2878"/>
      <c r="M82" s="2877"/>
      <c r="N82" s="2878"/>
      <c r="O82" s="2876"/>
      <c r="P82" s="2876"/>
      <c r="Q82" s="2876"/>
      <c r="R82" s="2876"/>
      <c r="S82" s="2876"/>
      <c r="T82" s="2876"/>
      <c r="U82" s="2876"/>
      <c r="V82" s="2876"/>
      <c r="W82" s="2876"/>
      <c r="X82" s="2876"/>
      <c r="Y82" s="2876"/>
      <c r="Z82" s="2876"/>
      <c r="AA82" s="2876"/>
      <c r="AB82" s="2876"/>
      <c r="AC82" s="2876"/>
      <c r="AD82" s="2876"/>
      <c r="AE82" s="2876"/>
      <c r="AF82" s="2876"/>
      <c r="AG82" s="2881"/>
    </row>
    <row r="83" spans="1:33">
      <c r="A83" s="49">
        <v>2000.02</v>
      </c>
      <c r="B83" s="631">
        <v>98128.4</v>
      </c>
      <c r="C83" s="1693"/>
      <c r="D83" s="1694"/>
      <c r="E83" s="571">
        <v>219.17387008152889</v>
      </c>
      <c r="F83" s="2870"/>
      <c r="G83" s="2875"/>
      <c r="H83" s="2876"/>
      <c r="I83" s="2877"/>
      <c r="J83" s="2878"/>
      <c r="K83" s="2876"/>
      <c r="L83" s="2878"/>
      <c r="M83" s="2877"/>
      <c r="N83" s="2878"/>
      <c r="O83" s="2876"/>
      <c r="P83" s="2876"/>
      <c r="Q83" s="2876"/>
      <c r="R83" s="2876"/>
      <c r="S83" s="2876"/>
      <c r="T83" s="2876"/>
      <c r="U83" s="2876"/>
      <c r="V83" s="2876"/>
      <c r="W83" s="2876"/>
      <c r="X83" s="2876"/>
      <c r="Y83" s="2876"/>
      <c r="Z83" s="2876"/>
      <c r="AA83" s="2876"/>
      <c r="AB83" s="2876"/>
      <c r="AC83" s="2876"/>
      <c r="AD83" s="2876"/>
      <c r="AE83" s="2876"/>
      <c r="AF83" s="2876"/>
      <c r="AG83" s="2881"/>
    </row>
    <row r="84" spans="1:33">
      <c r="A84" s="49">
        <v>2000.03</v>
      </c>
      <c r="B84" s="631">
        <v>98154.4</v>
      </c>
      <c r="C84" s="1693"/>
      <c r="D84" s="1694"/>
      <c r="E84" s="571">
        <v>336.64905826397865</v>
      </c>
      <c r="F84" s="2870"/>
      <c r="G84" s="2875"/>
      <c r="H84" s="2876"/>
      <c r="I84" s="2877"/>
      <c r="J84" s="2878"/>
      <c r="K84" s="2876"/>
      <c r="L84" s="2878"/>
      <c r="M84" s="2877"/>
      <c r="N84" s="2878"/>
      <c r="O84" s="2876"/>
      <c r="P84" s="2876"/>
      <c r="Q84" s="2876"/>
      <c r="R84" s="2876"/>
      <c r="S84" s="2876"/>
      <c r="T84" s="2876"/>
      <c r="U84" s="2876"/>
      <c r="V84" s="2876"/>
      <c r="W84" s="2876"/>
      <c r="X84" s="2876"/>
      <c r="Y84" s="2876"/>
      <c r="Z84" s="2876"/>
      <c r="AA84" s="2876"/>
      <c r="AB84" s="2876"/>
      <c r="AC84" s="2876"/>
      <c r="AD84" s="2876"/>
      <c r="AE84" s="2876"/>
      <c r="AF84" s="2876"/>
      <c r="AG84" s="2881"/>
    </row>
    <row r="85" spans="1:33">
      <c r="A85" s="49">
        <v>2000.04</v>
      </c>
      <c r="B85" s="631">
        <v>98959</v>
      </c>
      <c r="C85" s="1693"/>
      <c r="D85" s="1694"/>
      <c r="E85" s="571">
        <v>455.90134061699899</v>
      </c>
      <c r="F85" s="2870"/>
      <c r="G85" s="2875"/>
      <c r="H85" s="2876"/>
      <c r="I85" s="2877"/>
      <c r="J85" s="2878"/>
      <c r="K85" s="2876"/>
      <c r="L85" s="2878"/>
      <c r="M85" s="2877"/>
      <c r="N85" s="2878"/>
      <c r="O85" s="2876"/>
      <c r="P85" s="2876"/>
      <c r="Q85" s="2876"/>
      <c r="R85" s="2876"/>
      <c r="S85" s="2876"/>
      <c r="T85" s="2876"/>
      <c r="U85" s="2876"/>
      <c r="V85" s="2876"/>
      <c r="W85" s="2876"/>
      <c r="X85" s="2876"/>
      <c r="Y85" s="2876"/>
      <c r="Z85" s="2876"/>
      <c r="AA85" s="2876"/>
      <c r="AB85" s="2876"/>
      <c r="AC85" s="2876"/>
      <c r="AD85" s="2876"/>
      <c r="AE85" s="2876"/>
      <c r="AF85" s="2876"/>
      <c r="AG85" s="2881"/>
    </row>
    <row r="86" spans="1:33">
      <c r="A86" s="49">
        <v>2000.05</v>
      </c>
      <c r="B86" s="631">
        <v>98956.4</v>
      </c>
      <c r="C86" s="1693"/>
      <c r="D86" s="1694"/>
      <c r="E86" s="571">
        <v>576.84147096348784</v>
      </c>
      <c r="F86" s="2870"/>
      <c r="G86" s="2875"/>
      <c r="H86" s="2876"/>
      <c r="I86" s="2877"/>
      <c r="J86" s="2878"/>
      <c r="K86" s="2876"/>
      <c r="L86" s="2878"/>
      <c r="M86" s="2877"/>
      <c r="N86" s="2878"/>
      <c r="O86" s="2876"/>
      <c r="P86" s="2876"/>
      <c r="Q86" s="2876"/>
      <c r="R86" s="2876"/>
      <c r="S86" s="2876"/>
      <c r="T86" s="2876"/>
      <c r="U86" s="2876"/>
      <c r="V86" s="2876"/>
      <c r="W86" s="2876"/>
      <c r="X86" s="2876"/>
      <c r="Y86" s="2876"/>
      <c r="Z86" s="2876"/>
      <c r="AA86" s="2876"/>
      <c r="AB86" s="2876"/>
      <c r="AC86" s="2876"/>
      <c r="AD86" s="2876"/>
      <c r="AE86" s="2876"/>
      <c r="AF86" s="2876"/>
      <c r="AG86" s="2881"/>
    </row>
    <row r="87" spans="1:33">
      <c r="A87" s="49">
        <v>2000.06</v>
      </c>
      <c r="B87" s="631">
        <v>98880.4</v>
      </c>
      <c r="C87" s="1693"/>
      <c r="D87" s="1694"/>
      <c r="E87" s="571">
        <v>732.71030598407981</v>
      </c>
      <c r="F87" s="2870"/>
      <c r="G87" s="2875"/>
      <c r="H87" s="2876"/>
      <c r="I87" s="2877"/>
      <c r="J87" s="2878"/>
      <c r="K87" s="2876"/>
      <c r="L87" s="2878"/>
      <c r="M87" s="2877"/>
      <c r="N87" s="2878"/>
      <c r="O87" s="2876"/>
      <c r="P87" s="2876"/>
      <c r="Q87" s="2876"/>
      <c r="R87" s="2876"/>
      <c r="S87" s="2876"/>
      <c r="T87" s="2876"/>
      <c r="U87" s="2876"/>
      <c r="V87" s="2876"/>
      <c r="W87" s="2876"/>
      <c r="X87" s="2876"/>
      <c r="Y87" s="2876"/>
      <c r="Z87" s="2876"/>
      <c r="AA87" s="2876"/>
      <c r="AB87" s="2876"/>
      <c r="AC87" s="2876"/>
      <c r="AD87" s="2876"/>
      <c r="AE87" s="2876"/>
      <c r="AF87" s="2876"/>
      <c r="AG87" s="2881"/>
    </row>
    <row r="88" spans="1:33">
      <c r="A88" s="49">
        <v>2000.07</v>
      </c>
      <c r="B88" s="631">
        <v>98850.766666666663</v>
      </c>
      <c r="C88" s="1693"/>
      <c r="D88" s="1694"/>
      <c r="E88" s="571">
        <v>855.13444105424958</v>
      </c>
      <c r="F88" s="2870"/>
      <c r="G88" s="2875"/>
      <c r="H88" s="2876"/>
      <c r="I88" s="2877"/>
      <c r="J88" s="2878"/>
      <c r="K88" s="2876"/>
      <c r="L88" s="2878"/>
      <c r="M88" s="2877"/>
      <c r="N88" s="2878"/>
      <c r="O88" s="2876"/>
      <c r="P88" s="2876"/>
      <c r="Q88" s="2876"/>
      <c r="R88" s="2876"/>
      <c r="S88" s="2876"/>
      <c r="T88" s="2876"/>
      <c r="U88" s="2876"/>
      <c r="V88" s="2876"/>
      <c r="W88" s="2876"/>
      <c r="X88" s="2876"/>
      <c r="Y88" s="2876"/>
      <c r="Z88" s="2876"/>
      <c r="AA88" s="2876"/>
      <c r="AB88" s="2876"/>
      <c r="AC88" s="2876"/>
      <c r="AD88" s="2876"/>
      <c r="AE88" s="2876"/>
      <c r="AF88" s="2876"/>
      <c r="AG88" s="2881"/>
    </row>
    <row r="89" spans="1:33">
      <c r="A89" s="49">
        <v>2000.08</v>
      </c>
      <c r="B89" s="631">
        <v>98682.7</v>
      </c>
      <c r="C89" s="1693"/>
      <c r="D89" s="1694"/>
      <c r="E89" s="571">
        <v>977.26550046546788</v>
      </c>
      <c r="F89" s="2870"/>
      <c r="G89" s="2875"/>
      <c r="H89" s="2876"/>
      <c r="I89" s="2877"/>
      <c r="J89" s="2878"/>
      <c r="K89" s="2876"/>
      <c r="L89" s="2878"/>
      <c r="M89" s="2877"/>
      <c r="N89" s="2878"/>
      <c r="O89" s="2876"/>
      <c r="P89" s="2876"/>
      <c r="Q89" s="2876"/>
      <c r="R89" s="2876"/>
      <c r="S89" s="2876"/>
      <c r="T89" s="2876"/>
      <c r="U89" s="2876"/>
      <c r="V89" s="2876"/>
      <c r="W89" s="2876"/>
      <c r="X89" s="2876"/>
      <c r="Y89" s="2876"/>
      <c r="Z89" s="2876"/>
      <c r="AA89" s="2876"/>
      <c r="AB89" s="2876"/>
      <c r="AC89" s="2876"/>
      <c r="AD89" s="2876"/>
      <c r="AE89" s="2876"/>
      <c r="AF89" s="2876"/>
      <c r="AG89" s="2881"/>
    </row>
    <row r="90" spans="1:33">
      <c r="A90" s="49">
        <v>2000.09</v>
      </c>
      <c r="B90" s="631">
        <v>99084.7</v>
      </c>
      <c r="C90" s="1693"/>
      <c r="D90" s="1694"/>
      <c r="E90" s="571">
        <v>1098.7677646265306</v>
      </c>
      <c r="F90" s="2870"/>
      <c r="G90" s="2875"/>
      <c r="H90" s="2876"/>
      <c r="I90" s="2877"/>
      <c r="J90" s="2878"/>
      <c r="K90" s="2876"/>
      <c r="L90" s="2878"/>
      <c r="M90" s="2877"/>
      <c r="N90" s="2878"/>
      <c r="O90" s="2876"/>
      <c r="P90" s="2876"/>
      <c r="Q90" s="2876"/>
      <c r="R90" s="2876"/>
      <c r="S90" s="2876"/>
      <c r="T90" s="2876"/>
      <c r="U90" s="2876"/>
      <c r="V90" s="2876"/>
      <c r="W90" s="2876"/>
      <c r="X90" s="2876"/>
      <c r="Y90" s="2876"/>
      <c r="Z90" s="2876"/>
      <c r="AA90" s="2876"/>
      <c r="AB90" s="2876"/>
      <c r="AC90" s="2876"/>
      <c r="AD90" s="2876"/>
      <c r="AE90" s="2876"/>
      <c r="AF90" s="2876"/>
      <c r="AG90" s="2881"/>
    </row>
    <row r="91" spans="1:33">
      <c r="A91" s="49">
        <v>2000.1</v>
      </c>
      <c r="B91" s="631">
        <v>99058.6</v>
      </c>
      <c r="C91" s="1693"/>
      <c r="D91" s="1694"/>
      <c r="E91" s="571">
        <v>1228.6341780239427</v>
      </c>
      <c r="F91" s="2870"/>
      <c r="G91" s="2875"/>
      <c r="H91" s="2876"/>
      <c r="I91" s="2877"/>
      <c r="J91" s="2878"/>
      <c r="K91" s="2876"/>
      <c r="L91" s="2878"/>
      <c r="M91" s="2877"/>
      <c r="N91" s="2878"/>
      <c r="O91" s="2876"/>
      <c r="P91" s="2876"/>
      <c r="Q91" s="2876"/>
      <c r="R91" s="2876"/>
      <c r="S91" s="2876"/>
      <c r="T91" s="2876"/>
      <c r="U91" s="2876"/>
      <c r="V91" s="2876"/>
      <c r="W91" s="2876"/>
      <c r="X91" s="2876"/>
      <c r="Y91" s="2876"/>
      <c r="Z91" s="2876"/>
      <c r="AA91" s="2876"/>
      <c r="AB91" s="2876"/>
      <c r="AC91" s="2876"/>
      <c r="AD91" s="2876"/>
      <c r="AE91" s="2876"/>
      <c r="AF91" s="2876"/>
      <c r="AG91" s="2881"/>
    </row>
    <row r="92" spans="1:33">
      <c r="A92" s="49">
        <v>2000.11</v>
      </c>
      <c r="B92" s="631">
        <v>99001.600000000006</v>
      </c>
      <c r="C92" s="1693"/>
      <c r="D92" s="1694"/>
      <c r="E92" s="571">
        <v>1368.0168006278916</v>
      </c>
      <c r="F92" s="2870"/>
      <c r="G92" s="2875"/>
      <c r="H92" s="2876"/>
      <c r="I92" s="2877"/>
      <c r="J92" s="2878"/>
      <c r="K92" s="2876"/>
      <c r="L92" s="2878"/>
      <c r="M92" s="2877"/>
      <c r="N92" s="2878"/>
      <c r="O92" s="2876"/>
      <c r="P92" s="2876"/>
      <c r="Q92" s="2876"/>
      <c r="R92" s="2876"/>
      <c r="S92" s="2876"/>
      <c r="T92" s="2876"/>
      <c r="U92" s="2876"/>
      <c r="V92" s="2876"/>
      <c r="W92" s="2876"/>
      <c r="X92" s="2876"/>
      <c r="Y92" s="2876"/>
      <c r="Z92" s="2876"/>
      <c r="AA92" s="2876"/>
      <c r="AB92" s="2876"/>
      <c r="AC92" s="2876"/>
      <c r="AD92" s="2876"/>
      <c r="AE92" s="2876"/>
      <c r="AF92" s="2876"/>
      <c r="AG92" s="2881"/>
    </row>
    <row r="93" spans="1:33">
      <c r="A93" s="49">
        <v>2000.12</v>
      </c>
      <c r="B93" s="631">
        <v>99042.6</v>
      </c>
      <c r="C93" s="1693"/>
      <c r="D93" s="1694"/>
      <c r="E93" s="571">
        <v>1634.492</v>
      </c>
      <c r="F93" s="2870"/>
      <c r="G93" s="2875"/>
      <c r="H93" s="2876"/>
      <c r="I93" s="2877"/>
      <c r="J93" s="2878"/>
      <c r="K93" s="2876"/>
      <c r="L93" s="2878"/>
      <c r="M93" s="2877"/>
      <c r="N93" s="2878"/>
      <c r="O93" s="2876"/>
      <c r="P93" s="2876"/>
      <c r="Q93" s="2876"/>
      <c r="R93" s="2876"/>
      <c r="S93" s="2876"/>
      <c r="T93" s="2876"/>
      <c r="U93" s="2876"/>
      <c r="V93" s="2876"/>
      <c r="W93" s="2876"/>
      <c r="X93" s="2876"/>
      <c r="Y93" s="2876"/>
      <c r="Z93" s="2876"/>
      <c r="AA93" s="2876"/>
      <c r="AB93" s="2876"/>
      <c r="AC93" s="2876"/>
      <c r="AD93" s="2876"/>
      <c r="AE93" s="2876"/>
      <c r="AF93" s="2876"/>
      <c r="AG93" s="2881"/>
    </row>
    <row r="94" spans="1:33">
      <c r="A94" s="49">
        <v>2001.01</v>
      </c>
      <c r="B94" s="631">
        <v>99041.600000000006</v>
      </c>
      <c r="C94" s="1693"/>
      <c r="D94" s="1694"/>
      <c r="E94" s="571">
        <v>99.845222611492531</v>
      </c>
      <c r="F94" s="2870"/>
      <c r="G94" s="2875"/>
      <c r="H94" s="2876"/>
      <c r="I94" s="2877"/>
      <c r="J94" s="2878"/>
      <c r="K94" s="2876"/>
      <c r="L94" s="2878"/>
      <c r="M94" s="2877"/>
      <c r="N94" s="2878"/>
      <c r="O94" s="2876"/>
      <c r="P94" s="2876"/>
      <c r="Q94" s="2876"/>
      <c r="R94" s="2876"/>
      <c r="S94" s="2876"/>
      <c r="T94" s="2876"/>
      <c r="U94" s="2876"/>
      <c r="V94" s="2876"/>
      <c r="W94" s="2876"/>
      <c r="X94" s="2876"/>
      <c r="Y94" s="2876"/>
      <c r="Z94" s="2876"/>
      <c r="AA94" s="2876"/>
      <c r="AB94" s="2876"/>
      <c r="AC94" s="2876"/>
      <c r="AD94" s="2876"/>
      <c r="AE94" s="2876"/>
      <c r="AF94" s="2876"/>
      <c r="AG94" s="2881"/>
    </row>
    <row r="95" spans="1:33">
      <c r="A95" s="49">
        <v>2001.02</v>
      </c>
      <c r="B95" s="631">
        <v>99016.666666666672</v>
      </c>
      <c r="C95" s="1693"/>
      <c r="D95" s="1694"/>
      <c r="E95" s="571">
        <v>206.04362154894918</v>
      </c>
      <c r="F95" s="2870"/>
      <c r="G95" s="2875"/>
      <c r="H95" s="2876"/>
      <c r="I95" s="2877"/>
      <c r="J95" s="2878"/>
      <c r="K95" s="2876"/>
      <c r="L95" s="2878"/>
      <c r="M95" s="2877"/>
      <c r="N95" s="2878"/>
      <c r="O95" s="2876"/>
      <c r="P95" s="2876"/>
      <c r="Q95" s="2876"/>
      <c r="R95" s="2876"/>
      <c r="S95" s="2876"/>
      <c r="T95" s="2876"/>
      <c r="U95" s="2876"/>
      <c r="V95" s="2876"/>
      <c r="W95" s="2876"/>
      <c r="X95" s="2876"/>
      <c r="Y95" s="2876"/>
      <c r="Z95" s="2876"/>
      <c r="AA95" s="2876"/>
      <c r="AB95" s="2876"/>
      <c r="AC95" s="2876"/>
      <c r="AD95" s="2876"/>
      <c r="AE95" s="2876"/>
      <c r="AF95" s="2876"/>
      <c r="AG95" s="2881"/>
    </row>
    <row r="96" spans="1:33">
      <c r="A96" s="49">
        <v>2001.03</v>
      </c>
      <c r="B96" s="631">
        <v>98955.666666666672</v>
      </c>
      <c r="C96" s="1693"/>
      <c r="D96" s="1694"/>
      <c r="E96" s="571">
        <v>316.4811167040624</v>
      </c>
      <c r="F96" s="2870"/>
      <c r="G96" s="2875"/>
      <c r="H96" s="2876"/>
      <c r="I96" s="2877"/>
      <c r="J96" s="2878"/>
      <c r="K96" s="2876"/>
      <c r="L96" s="2878"/>
      <c r="M96" s="2877"/>
      <c r="N96" s="2878"/>
      <c r="O96" s="2876"/>
      <c r="P96" s="2876"/>
      <c r="Q96" s="2876"/>
      <c r="R96" s="2876"/>
      <c r="S96" s="2876"/>
      <c r="T96" s="2876"/>
      <c r="U96" s="2876"/>
      <c r="V96" s="2876"/>
      <c r="W96" s="2876"/>
      <c r="X96" s="2876"/>
      <c r="Y96" s="2876"/>
      <c r="Z96" s="2876"/>
      <c r="AA96" s="2876"/>
      <c r="AB96" s="2876"/>
      <c r="AC96" s="2876"/>
      <c r="AD96" s="2876"/>
      <c r="AE96" s="2876"/>
      <c r="AF96" s="2876"/>
      <c r="AG96" s="2881"/>
    </row>
    <row r="97" spans="1:33">
      <c r="A97" s="49">
        <v>2001.04</v>
      </c>
      <c r="B97" s="631">
        <v>98990</v>
      </c>
      <c r="C97" s="1693"/>
      <c r="D97" s="1694"/>
      <c r="E97" s="571">
        <v>428.58924403171375</v>
      </c>
      <c r="F97" s="2870"/>
      <c r="G97" s="2875"/>
      <c r="H97" s="2876"/>
      <c r="I97" s="2877"/>
      <c r="J97" s="2878"/>
      <c r="K97" s="2876"/>
      <c r="L97" s="2878"/>
      <c r="M97" s="2877"/>
      <c r="N97" s="2878"/>
      <c r="O97" s="2876"/>
      <c r="P97" s="2876"/>
      <c r="Q97" s="2876"/>
      <c r="R97" s="2876"/>
      <c r="S97" s="2876"/>
      <c r="T97" s="2876"/>
      <c r="U97" s="2876"/>
      <c r="V97" s="2876"/>
      <c r="W97" s="2876"/>
      <c r="X97" s="2876"/>
      <c r="Y97" s="2876"/>
      <c r="Z97" s="2876"/>
      <c r="AA97" s="2876"/>
      <c r="AB97" s="2876"/>
      <c r="AC97" s="2876"/>
      <c r="AD97" s="2876"/>
      <c r="AE97" s="2876"/>
      <c r="AF97" s="2876"/>
      <c r="AG97" s="2881"/>
    </row>
    <row r="98" spans="1:33">
      <c r="A98" s="49">
        <v>2001.05</v>
      </c>
      <c r="B98" s="631">
        <v>98949.066666666666</v>
      </c>
      <c r="C98" s="1693"/>
      <c r="D98" s="1694"/>
      <c r="E98" s="571">
        <v>542.28410390676686</v>
      </c>
      <c r="F98" s="2870"/>
      <c r="G98" s="2875"/>
      <c r="H98" s="2876"/>
      <c r="I98" s="2877"/>
      <c r="J98" s="2878"/>
      <c r="K98" s="2876"/>
      <c r="L98" s="2878"/>
      <c r="M98" s="2877"/>
      <c r="N98" s="2878"/>
      <c r="O98" s="2876"/>
      <c r="P98" s="2876"/>
      <c r="Q98" s="2876"/>
      <c r="R98" s="2876"/>
      <c r="S98" s="2876"/>
      <c r="T98" s="2876"/>
      <c r="U98" s="2876"/>
      <c r="V98" s="2876"/>
      <c r="W98" s="2876"/>
      <c r="X98" s="2876"/>
      <c r="Y98" s="2876"/>
      <c r="Z98" s="2876"/>
      <c r="AA98" s="2876"/>
      <c r="AB98" s="2876"/>
      <c r="AC98" s="2876"/>
      <c r="AD98" s="2876"/>
      <c r="AE98" s="2876"/>
      <c r="AF98" s="2876"/>
      <c r="AG98" s="2881"/>
    </row>
    <row r="99" spans="1:33">
      <c r="A99" s="49">
        <v>2001.06</v>
      </c>
      <c r="B99" s="631">
        <v>98915.066666666666</v>
      </c>
      <c r="C99" s="1693"/>
      <c r="D99" s="1694"/>
      <c r="E99" s="571">
        <v>688.81516275202034</v>
      </c>
      <c r="F99" s="2870"/>
      <c r="G99" s="2875"/>
      <c r="H99" s="2876"/>
      <c r="I99" s="2877"/>
      <c r="J99" s="2878"/>
      <c r="K99" s="2876"/>
      <c r="L99" s="2878"/>
      <c r="M99" s="2877"/>
      <c r="N99" s="2878"/>
      <c r="O99" s="2876"/>
      <c r="P99" s="2876"/>
      <c r="Q99" s="2876"/>
      <c r="R99" s="2876"/>
      <c r="S99" s="2876"/>
      <c r="T99" s="2876"/>
      <c r="U99" s="2876"/>
      <c r="V99" s="2876"/>
      <c r="W99" s="2876"/>
      <c r="X99" s="2876"/>
      <c r="Y99" s="2876"/>
      <c r="Z99" s="2876"/>
      <c r="AA99" s="2876"/>
      <c r="AB99" s="2876"/>
      <c r="AC99" s="2876"/>
      <c r="AD99" s="2876"/>
      <c r="AE99" s="2876"/>
      <c r="AF99" s="2876"/>
      <c r="AG99" s="2881"/>
    </row>
    <row r="100" spans="1:33">
      <c r="A100" s="49">
        <v>2001.07</v>
      </c>
      <c r="B100" s="631">
        <v>100206.56666666667</v>
      </c>
      <c r="C100" s="1693"/>
      <c r="D100" s="1694"/>
      <c r="E100" s="571">
        <v>803.90512372899411</v>
      </c>
      <c r="F100" s="2870"/>
      <c r="G100" s="2875"/>
      <c r="H100" s="2876"/>
      <c r="I100" s="2877"/>
      <c r="J100" s="2878"/>
      <c r="K100" s="2876"/>
      <c r="L100" s="2878"/>
      <c r="M100" s="2877"/>
      <c r="N100" s="2878"/>
      <c r="O100" s="2876"/>
      <c r="P100" s="2876"/>
      <c r="Q100" s="2876"/>
      <c r="R100" s="2876"/>
      <c r="S100" s="2876"/>
      <c r="T100" s="2876"/>
      <c r="U100" s="2876"/>
      <c r="V100" s="2876"/>
      <c r="W100" s="2876"/>
      <c r="X100" s="2876"/>
      <c r="Y100" s="2876"/>
      <c r="Z100" s="2876"/>
      <c r="AA100" s="2876"/>
      <c r="AB100" s="2876"/>
      <c r="AC100" s="2876"/>
      <c r="AD100" s="2876"/>
      <c r="AE100" s="2876"/>
      <c r="AF100" s="2876"/>
      <c r="AG100" s="2881"/>
    </row>
    <row r="101" spans="1:33">
      <c r="A101" s="49">
        <v>2001.08</v>
      </c>
      <c r="B101" s="631">
        <v>100464.03333333333</v>
      </c>
      <c r="C101" s="1693"/>
      <c r="D101" s="1694"/>
      <c r="E101" s="571">
        <v>918.71956659728232</v>
      </c>
      <c r="F101" s="2870"/>
      <c r="G101" s="2875"/>
      <c r="H101" s="2876"/>
      <c r="I101" s="2877"/>
      <c r="J101" s="2878"/>
      <c r="K101" s="2876"/>
      <c r="L101" s="2878"/>
      <c r="M101" s="2877"/>
      <c r="N101" s="2878"/>
      <c r="O101" s="2876"/>
      <c r="P101" s="2876"/>
      <c r="Q101" s="2876"/>
      <c r="R101" s="2876"/>
      <c r="S101" s="2876"/>
      <c r="T101" s="2876"/>
      <c r="U101" s="2876"/>
      <c r="V101" s="2876"/>
      <c r="W101" s="2876"/>
      <c r="X101" s="2876"/>
      <c r="Y101" s="2876"/>
      <c r="Z101" s="2876"/>
      <c r="AA101" s="2876"/>
      <c r="AB101" s="2876"/>
      <c r="AC101" s="2876"/>
      <c r="AD101" s="2876"/>
      <c r="AE101" s="2876"/>
      <c r="AF101" s="2876"/>
      <c r="AG101" s="2881"/>
    </row>
    <row r="102" spans="1:33">
      <c r="A102" s="49">
        <v>2001.09</v>
      </c>
      <c r="B102" s="631">
        <v>100382.3</v>
      </c>
      <c r="C102" s="1693"/>
      <c r="D102" s="1694"/>
      <c r="E102" s="571">
        <v>1032.9428840248113</v>
      </c>
      <c r="F102" s="2870"/>
      <c r="G102" s="2875"/>
      <c r="H102" s="2876"/>
      <c r="I102" s="2877"/>
      <c r="J102" s="2878"/>
      <c r="K102" s="2876"/>
      <c r="L102" s="2878"/>
      <c r="M102" s="2877"/>
      <c r="N102" s="2878"/>
      <c r="O102" s="2876"/>
      <c r="P102" s="2876"/>
      <c r="Q102" s="2876"/>
      <c r="R102" s="2876"/>
      <c r="S102" s="2876"/>
      <c r="T102" s="2876"/>
      <c r="U102" s="2876"/>
      <c r="V102" s="2876"/>
      <c r="W102" s="2876"/>
      <c r="X102" s="2876"/>
      <c r="Y102" s="2876"/>
      <c r="Z102" s="2876"/>
      <c r="AA102" s="2876"/>
      <c r="AB102" s="2876"/>
      <c r="AC102" s="2876"/>
      <c r="AD102" s="2876"/>
      <c r="AE102" s="2876"/>
      <c r="AF102" s="2876"/>
      <c r="AG102" s="2881"/>
    </row>
    <row r="103" spans="1:33">
      <c r="A103" s="49">
        <v>2001.1</v>
      </c>
      <c r="B103" s="631">
        <v>100388.3</v>
      </c>
      <c r="C103" s="1693"/>
      <c r="D103" s="1694"/>
      <c r="E103" s="571">
        <v>1155.0292719871272</v>
      </c>
      <c r="F103" s="2870"/>
      <c r="G103" s="2875"/>
      <c r="H103" s="2876"/>
      <c r="I103" s="2877"/>
      <c r="J103" s="2878"/>
      <c r="K103" s="2876"/>
      <c r="L103" s="2878"/>
      <c r="M103" s="2877"/>
      <c r="N103" s="2878"/>
      <c r="O103" s="2876"/>
      <c r="P103" s="2876"/>
      <c r="Q103" s="2876"/>
      <c r="R103" s="2876"/>
      <c r="S103" s="2876"/>
      <c r="T103" s="2876"/>
      <c r="U103" s="2876"/>
      <c r="V103" s="2876"/>
      <c r="W103" s="2876"/>
      <c r="X103" s="2876"/>
      <c r="Y103" s="2876"/>
      <c r="Z103" s="2876"/>
      <c r="AA103" s="2876"/>
      <c r="AB103" s="2876"/>
      <c r="AC103" s="2876"/>
      <c r="AD103" s="2876"/>
      <c r="AE103" s="2876"/>
      <c r="AF103" s="2876"/>
      <c r="AG103" s="2881"/>
    </row>
    <row r="104" spans="1:33">
      <c r="A104" s="49">
        <v>2001.11</v>
      </c>
      <c r="B104" s="631">
        <v>100341.3</v>
      </c>
      <c r="C104" s="1693"/>
      <c r="D104" s="1694"/>
      <c r="E104" s="571">
        <v>1286.0617729491496</v>
      </c>
      <c r="F104" s="2870"/>
      <c r="G104" s="2875"/>
      <c r="H104" s="2876"/>
      <c r="I104" s="2877"/>
      <c r="J104" s="2878"/>
      <c r="K104" s="2876"/>
      <c r="L104" s="2878"/>
      <c r="M104" s="2877"/>
      <c r="N104" s="2878"/>
      <c r="O104" s="2876"/>
      <c r="P104" s="2876"/>
      <c r="Q104" s="2876"/>
      <c r="R104" s="2876"/>
      <c r="S104" s="2876"/>
      <c r="T104" s="2876"/>
      <c r="U104" s="2876"/>
      <c r="V104" s="2876"/>
      <c r="W104" s="2876"/>
      <c r="X104" s="2876"/>
      <c r="Y104" s="2876"/>
      <c r="Z104" s="2876"/>
      <c r="AA104" s="2876"/>
      <c r="AB104" s="2876"/>
      <c r="AC104" s="2876"/>
      <c r="AD104" s="2876"/>
      <c r="AE104" s="2876"/>
      <c r="AF104" s="2876"/>
      <c r="AG104" s="2881"/>
    </row>
    <row r="105" spans="1:33">
      <c r="A105" s="49">
        <v>2001.12</v>
      </c>
      <c r="B105" s="631">
        <v>100254.13333333333</v>
      </c>
      <c r="C105" s="1693"/>
      <c r="D105" s="1694"/>
      <c r="E105" s="571">
        <v>1536.5730000000001</v>
      </c>
      <c r="F105" s="2870"/>
      <c r="G105" s="2875"/>
      <c r="H105" s="2876"/>
      <c r="I105" s="2877"/>
      <c r="J105" s="2878"/>
      <c r="K105" s="2876"/>
      <c r="L105" s="2878"/>
      <c r="M105" s="2877"/>
      <c r="N105" s="2878"/>
      <c r="O105" s="2876"/>
      <c r="P105" s="2876"/>
      <c r="Q105" s="2876"/>
      <c r="R105" s="2876"/>
      <c r="S105" s="2876"/>
      <c r="T105" s="2876"/>
      <c r="U105" s="2876"/>
      <c r="V105" s="2876"/>
      <c r="W105" s="2876"/>
      <c r="X105" s="2876"/>
      <c r="Y105" s="2876"/>
      <c r="Z105" s="2876"/>
      <c r="AA105" s="2876"/>
      <c r="AB105" s="2876"/>
      <c r="AC105" s="2876"/>
      <c r="AD105" s="2876"/>
      <c r="AE105" s="2876"/>
      <c r="AF105" s="2876"/>
      <c r="AG105" s="2881"/>
    </row>
    <row r="106" spans="1:33">
      <c r="A106" s="49">
        <v>2002.01</v>
      </c>
      <c r="B106" s="631">
        <v>100200.2</v>
      </c>
      <c r="C106" s="2868"/>
      <c r="D106" s="2869"/>
      <c r="E106" s="571">
        <v>98.180131639947732</v>
      </c>
      <c r="F106" s="2870"/>
      <c r="G106" s="2875"/>
      <c r="H106" s="2876"/>
      <c r="I106" s="2877"/>
      <c r="J106" s="2878"/>
      <c r="K106" s="2876"/>
      <c r="L106" s="2878"/>
      <c r="M106" s="2877"/>
      <c r="N106" s="2878"/>
      <c r="O106" s="2876"/>
      <c r="P106" s="2876"/>
      <c r="Q106" s="2876"/>
      <c r="R106" s="2876"/>
      <c r="S106" s="2876"/>
      <c r="T106" s="2876"/>
      <c r="U106" s="2876"/>
      <c r="V106" s="2876"/>
      <c r="W106" s="2876"/>
      <c r="X106" s="2876"/>
      <c r="Y106" s="2876"/>
      <c r="Z106" s="2876"/>
      <c r="AA106" s="2876"/>
      <c r="AB106" s="2876"/>
      <c r="AC106" s="2876"/>
      <c r="AD106" s="2876"/>
      <c r="AE106" s="2876"/>
      <c r="AF106" s="2876"/>
      <c r="AG106" s="2881"/>
    </row>
    <row r="107" spans="1:33">
      <c r="A107" s="49">
        <v>2002.02</v>
      </c>
      <c r="B107" s="631">
        <v>100202.5</v>
      </c>
      <c r="C107" s="1693"/>
      <c r="D107" s="1694"/>
      <c r="E107" s="571">
        <v>202.60748945357082</v>
      </c>
      <c r="F107" s="2870"/>
      <c r="G107" s="2875"/>
      <c r="H107" s="2876"/>
      <c r="I107" s="2877"/>
      <c r="J107" s="2878"/>
      <c r="K107" s="2876"/>
      <c r="L107" s="2878"/>
      <c r="M107" s="2877"/>
      <c r="N107" s="2878"/>
      <c r="O107" s="2876"/>
      <c r="P107" s="2876"/>
      <c r="Q107" s="2876"/>
      <c r="R107" s="2876"/>
      <c r="S107" s="2876"/>
      <c r="T107" s="2876"/>
      <c r="U107" s="2876"/>
      <c r="V107" s="2876"/>
      <c r="W107" s="2876"/>
      <c r="X107" s="2876"/>
      <c r="Y107" s="2876"/>
      <c r="Z107" s="2876"/>
      <c r="AA107" s="2876"/>
      <c r="AB107" s="2876"/>
      <c r="AC107" s="2876"/>
      <c r="AD107" s="2876"/>
      <c r="AE107" s="2876"/>
      <c r="AF107" s="2876"/>
      <c r="AG107" s="2881"/>
    </row>
    <row r="108" spans="1:33">
      <c r="A108" s="49">
        <v>2002.03</v>
      </c>
      <c r="B108" s="631">
        <v>100175.36666666667</v>
      </c>
      <c r="C108" s="1693"/>
      <c r="D108" s="1694"/>
      <c r="E108" s="571">
        <v>311.20324925777669</v>
      </c>
      <c r="F108" s="2870"/>
      <c r="G108" s="2875"/>
      <c r="H108" s="2876"/>
      <c r="I108" s="2877"/>
      <c r="J108" s="2878"/>
      <c r="K108" s="2876"/>
      <c r="L108" s="2878"/>
      <c r="M108" s="2877"/>
      <c r="N108" s="2878"/>
      <c r="O108" s="2876"/>
      <c r="P108" s="2876"/>
      <c r="Q108" s="2876"/>
      <c r="R108" s="2876"/>
      <c r="S108" s="2876"/>
      <c r="T108" s="2876"/>
      <c r="U108" s="2876"/>
      <c r="V108" s="2876"/>
      <c r="W108" s="2876"/>
      <c r="X108" s="2876"/>
      <c r="Y108" s="2876"/>
      <c r="Z108" s="2876"/>
      <c r="AA108" s="2876"/>
      <c r="AB108" s="2876"/>
      <c r="AC108" s="2876"/>
      <c r="AD108" s="2876"/>
      <c r="AE108" s="2876"/>
      <c r="AF108" s="2876"/>
      <c r="AG108" s="2881"/>
    </row>
    <row r="109" spans="1:33">
      <c r="A109" s="49">
        <v>2002.04</v>
      </c>
      <c r="B109" s="631">
        <v>100288.66666666667</v>
      </c>
      <c r="C109" s="1693"/>
      <c r="D109" s="1694"/>
      <c r="E109" s="571">
        <v>421.44178056703441</v>
      </c>
      <c r="F109" s="2870"/>
      <c r="G109" s="2875"/>
      <c r="H109" s="2876"/>
      <c r="I109" s="2877"/>
      <c r="J109" s="2878"/>
      <c r="K109" s="2876"/>
      <c r="L109" s="2878"/>
      <c r="M109" s="2877"/>
      <c r="N109" s="2878"/>
      <c r="O109" s="2876"/>
      <c r="P109" s="2876"/>
      <c r="Q109" s="2876"/>
      <c r="R109" s="2876"/>
      <c r="S109" s="2876"/>
      <c r="T109" s="2876"/>
      <c r="U109" s="2876"/>
      <c r="V109" s="2876"/>
      <c r="W109" s="2876"/>
      <c r="X109" s="2876"/>
      <c r="Y109" s="2876"/>
      <c r="Z109" s="2876"/>
      <c r="AA109" s="2876"/>
      <c r="AB109" s="2876"/>
      <c r="AC109" s="2876"/>
      <c r="AD109" s="2876"/>
      <c r="AE109" s="2876"/>
      <c r="AF109" s="2876"/>
      <c r="AG109" s="2881"/>
    </row>
    <row r="110" spans="1:33">
      <c r="A110" s="49">
        <v>2002.05</v>
      </c>
      <c r="B110" s="631">
        <v>100293</v>
      </c>
      <c r="C110" s="1693"/>
      <c r="D110" s="1694"/>
      <c r="E110" s="571">
        <v>533.24058292689097</v>
      </c>
      <c r="F110" s="2870"/>
      <c r="G110" s="2875"/>
      <c r="H110" s="2876"/>
      <c r="I110" s="2877"/>
      <c r="J110" s="2878"/>
      <c r="K110" s="2876"/>
      <c r="L110" s="2878"/>
      <c r="M110" s="2877"/>
      <c r="N110" s="2878"/>
      <c r="O110" s="2876"/>
      <c r="P110" s="2876"/>
      <c r="Q110" s="2876"/>
      <c r="R110" s="2876"/>
      <c r="S110" s="2876"/>
      <c r="T110" s="2876"/>
      <c r="U110" s="2876"/>
      <c r="V110" s="2876"/>
      <c r="W110" s="2876"/>
      <c r="X110" s="2876"/>
      <c r="Y110" s="2876"/>
      <c r="Z110" s="2876"/>
      <c r="AA110" s="2876"/>
      <c r="AB110" s="2876"/>
      <c r="AC110" s="2876"/>
      <c r="AD110" s="2876"/>
      <c r="AE110" s="2876"/>
      <c r="AF110" s="2876"/>
      <c r="AG110" s="2881"/>
    </row>
    <row r="111" spans="1:33">
      <c r="A111" s="49">
        <v>2002.06</v>
      </c>
      <c r="B111" s="631">
        <v>100181.3</v>
      </c>
      <c r="C111" s="1693"/>
      <c r="D111" s="1694"/>
      <c r="E111" s="571">
        <v>677.3279841112917</v>
      </c>
      <c r="F111" s="2870"/>
      <c r="G111" s="2875"/>
      <c r="H111" s="2876"/>
      <c r="I111" s="2877"/>
      <c r="J111" s="2878"/>
      <c r="K111" s="2876"/>
      <c r="L111" s="2878"/>
      <c r="M111" s="2877"/>
      <c r="N111" s="2878"/>
      <c r="O111" s="2876"/>
      <c r="P111" s="2876"/>
      <c r="Q111" s="2876"/>
      <c r="R111" s="2876"/>
      <c r="S111" s="2876"/>
      <c r="T111" s="2876"/>
      <c r="U111" s="2876"/>
      <c r="V111" s="2876"/>
      <c r="W111" s="2876"/>
      <c r="X111" s="2876"/>
      <c r="Y111" s="2876"/>
      <c r="Z111" s="2876"/>
      <c r="AA111" s="2876"/>
      <c r="AB111" s="2876"/>
      <c r="AC111" s="2876"/>
      <c r="AD111" s="2876"/>
      <c r="AE111" s="2876"/>
      <c r="AF111" s="2876"/>
      <c r="AG111" s="2881"/>
    </row>
    <row r="112" spans="1:33">
      <c r="A112" s="49">
        <v>2002.07</v>
      </c>
      <c r="B112" s="631">
        <v>100123.43333333333</v>
      </c>
      <c r="C112" s="1693"/>
      <c r="D112" s="1694"/>
      <c r="E112" s="571">
        <v>790.49862186051439</v>
      </c>
      <c r="F112" s="2870"/>
      <c r="G112" s="2875"/>
      <c r="H112" s="2876"/>
      <c r="I112" s="2877"/>
      <c r="J112" s="2878"/>
      <c r="K112" s="2876"/>
      <c r="L112" s="2878"/>
      <c r="M112" s="2877"/>
      <c r="N112" s="2878"/>
      <c r="O112" s="2876"/>
      <c r="P112" s="2876"/>
      <c r="Q112" s="2876"/>
      <c r="R112" s="2876"/>
      <c r="S112" s="2876"/>
      <c r="T112" s="2876"/>
      <c r="U112" s="2876"/>
      <c r="V112" s="2876"/>
      <c r="W112" s="2876"/>
      <c r="X112" s="2876"/>
      <c r="Y112" s="2876"/>
      <c r="Z112" s="2876"/>
      <c r="AA112" s="2876"/>
      <c r="AB112" s="2876"/>
      <c r="AC112" s="2876"/>
      <c r="AD112" s="2876"/>
      <c r="AE112" s="2876"/>
      <c r="AF112" s="2876"/>
      <c r="AG112" s="2881"/>
    </row>
    <row r="113" spans="1:33">
      <c r="A113" s="49">
        <v>2002.08</v>
      </c>
      <c r="B113" s="631">
        <v>101690</v>
      </c>
      <c r="C113" s="1693"/>
      <c r="D113" s="1694"/>
      <c r="E113" s="571">
        <v>903.39833623982111</v>
      </c>
      <c r="F113" s="2870"/>
      <c r="G113" s="2875"/>
      <c r="H113" s="2876"/>
      <c r="I113" s="2877"/>
      <c r="J113" s="2878"/>
      <c r="K113" s="2876"/>
      <c r="L113" s="2878"/>
      <c r="M113" s="2877"/>
      <c r="N113" s="2878"/>
      <c r="O113" s="2876"/>
      <c r="P113" s="2876"/>
      <c r="Q113" s="2876"/>
      <c r="R113" s="2876"/>
      <c r="S113" s="2876"/>
      <c r="T113" s="2876"/>
      <c r="U113" s="2876"/>
      <c r="V113" s="2876"/>
      <c r="W113" s="2876"/>
      <c r="X113" s="2876"/>
      <c r="Y113" s="2876"/>
      <c r="Z113" s="2876"/>
      <c r="AA113" s="2876"/>
      <c r="AB113" s="2876"/>
      <c r="AC113" s="2876"/>
      <c r="AD113" s="2876"/>
      <c r="AE113" s="2876"/>
      <c r="AF113" s="2876"/>
      <c r="AG113" s="2881"/>
    </row>
    <row r="114" spans="1:33">
      <c r="A114" s="49">
        <v>2002.09</v>
      </c>
      <c r="B114" s="631">
        <v>101742</v>
      </c>
      <c r="C114" s="1693"/>
      <c r="D114" s="1694"/>
      <c r="E114" s="571">
        <v>1015.7167832127211</v>
      </c>
      <c r="F114" s="2870"/>
      <c r="G114" s="2875"/>
      <c r="H114" s="2876"/>
      <c r="I114" s="2877"/>
      <c r="J114" s="2878"/>
      <c r="K114" s="2876"/>
      <c r="L114" s="2878"/>
      <c r="M114" s="2877"/>
      <c r="N114" s="2878"/>
      <c r="O114" s="2876"/>
      <c r="P114" s="2876"/>
      <c r="Q114" s="2876"/>
      <c r="R114" s="2876"/>
      <c r="S114" s="2876"/>
      <c r="T114" s="2876"/>
      <c r="U114" s="2876"/>
      <c r="V114" s="2876"/>
      <c r="W114" s="2876"/>
      <c r="X114" s="2876"/>
      <c r="Y114" s="2876"/>
      <c r="Z114" s="2876"/>
      <c r="AA114" s="2876"/>
      <c r="AB114" s="2876"/>
      <c r="AC114" s="2876"/>
      <c r="AD114" s="2876"/>
      <c r="AE114" s="2876"/>
      <c r="AF114" s="2876"/>
      <c r="AG114" s="2881"/>
    </row>
    <row r="115" spans="1:33">
      <c r="A115" s="49">
        <v>2002.1</v>
      </c>
      <c r="B115" s="631">
        <v>101672</v>
      </c>
      <c r="C115" s="1693"/>
      <c r="D115" s="1694"/>
      <c r="E115" s="571">
        <v>1135.7671704828902</v>
      </c>
      <c r="F115" s="2870"/>
      <c r="G115" s="2875"/>
      <c r="H115" s="2876"/>
      <c r="I115" s="2877"/>
      <c r="J115" s="2878"/>
      <c r="K115" s="2876"/>
      <c r="L115" s="2878"/>
      <c r="M115" s="2877"/>
      <c r="N115" s="2878"/>
      <c r="O115" s="2876"/>
      <c r="P115" s="2876"/>
      <c r="Q115" s="2876"/>
      <c r="R115" s="2876"/>
      <c r="S115" s="2876"/>
      <c r="T115" s="2876"/>
      <c r="U115" s="2876"/>
      <c r="V115" s="2876"/>
      <c r="W115" s="2876"/>
      <c r="X115" s="2876"/>
      <c r="Y115" s="2876"/>
      <c r="Z115" s="2876"/>
      <c r="AA115" s="2876"/>
      <c r="AB115" s="2876"/>
      <c r="AC115" s="2876"/>
      <c r="AD115" s="2876"/>
      <c r="AE115" s="2876"/>
      <c r="AF115" s="2876"/>
      <c r="AG115" s="2881"/>
    </row>
    <row r="116" spans="1:33">
      <c r="A116" s="49">
        <v>2002.11</v>
      </c>
      <c r="B116" s="631">
        <v>101582.9</v>
      </c>
      <c r="C116" s="1693"/>
      <c r="D116" s="1694"/>
      <c r="E116" s="571">
        <v>1264.6144789176769</v>
      </c>
      <c r="F116" s="2870"/>
      <c r="G116" s="2875"/>
      <c r="H116" s="2876"/>
      <c r="I116" s="2877"/>
      <c r="J116" s="2878"/>
      <c r="K116" s="2876"/>
      <c r="L116" s="2878"/>
      <c r="M116" s="2877"/>
      <c r="N116" s="2878"/>
      <c r="O116" s="2876"/>
      <c r="P116" s="2876"/>
      <c r="Q116" s="2876"/>
      <c r="R116" s="2876"/>
      <c r="S116" s="2876"/>
      <c r="T116" s="2876"/>
      <c r="U116" s="2876"/>
      <c r="V116" s="2876"/>
      <c r="W116" s="2876"/>
      <c r="X116" s="2876"/>
      <c r="Y116" s="2876"/>
      <c r="Z116" s="2876"/>
      <c r="AA116" s="2876"/>
      <c r="AB116" s="2876"/>
      <c r="AC116" s="2876"/>
      <c r="AD116" s="2876"/>
      <c r="AE116" s="2876"/>
      <c r="AF116" s="2876"/>
      <c r="AG116" s="2881"/>
    </row>
    <row r="117" spans="1:33">
      <c r="A117" s="49">
        <v>2002.12</v>
      </c>
      <c r="B117" s="631">
        <v>101493.3</v>
      </c>
      <c r="C117" s="1693"/>
      <c r="D117" s="1694"/>
      <c r="E117" s="571">
        <v>1510.9480000000001</v>
      </c>
      <c r="F117" s="2870"/>
      <c r="G117" s="2875"/>
      <c r="H117" s="2876"/>
      <c r="I117" s="2877"/>
      <c r="J117" s="2878"/>
      <c r="K117" s="2876"/>
      <c r="L117" s="2878"/>
      <c r="M117" s="2877"/>
      <c r="N117" s="2878"/>
      <c r="O117" s="2876"/>
      <c r="P117" s="2876"/>
      <c r="Q117" s="2876"/>
      <c r="R117" s="2876"/>
      <c r="S117" s="2876"/>
      <c r="T117" s="2876"/>
      <c r="U117" s="2876"/>
      <c r="V117" s="2876"/>
      <c r="W117" s="2876"/>
      <c r="X117" s="2876"/>
      <c r="Y117" s="2876"/>
      <c r="Z117" s="2876"/>
      <c r="AA117" s="2876"/>
      <c r="AB117" s="2876"/>
      <c r="AC117" s="2876"/>
      <c r="AD117" s="2876"/>
      <c r="AE117" s="2876"/>
      <c r="AF117" s="2876"/>
      <c r="AG117" s="2881"/>
    </row>
    <row r="118" spans="1:33">
      <c r="A118" s="49">
        <v>2003.01</v>
      </c>
      <c r="B118" s="631">
        <v>101095.43333333333</v>
      </c>
      <c r="C118" s="1693"/>
      <c r="D118" s="1694"/>
      <c r="E118" s="572">
        <v>107.6</v>
      </c>
      <c r="F118" s="2870"/>
      <c r="G118" s="2875"/>
      <c r="H118" s="2876"/>
      <c r="I118" s="2877"/>
      <c r="J118" s="2878"/>
      <c r="K118" s="2876"/>
      <c r="L118" s="2878"/>
      <c r="M118" s="2877"/>
      <c r="N118" s="2878"/>
      <c r="O118" s="2876"/>
      <c r="P118" s="2876"/>
      <c r="Q118" s="2876"/>
      <c r="R118" s="2876"/>
      <c r="S118" s="2876"/>
      <c r="T118" s="2876"/>
      <c r="U118" s="2876"/>
      <c r="V118" s="2876"/>
      <c r="W118" s="2876"/>
      <c r="X118" s="2876"/>
      <c r="Y118" s="2876"/>
      <c r="Z118" s="2876"/>
      <c r="AA118" s="2876"/>
      <c r="AB118" s="2876"/>
      <c r="AC118" s="2876"/>
      <c r="AD118" s="2876"/>
      <c r="AE118" s="2876"/>
      <c r="AF118" s="2876"/>
      <c r="AG118" s="2881"/>
    </row>
    <row r="119" spans="1:33">
      <c r="A119" s="49">
        <v>2003.02</v>
      </c>
      <c r="B119" s="631">
        <v>101278.73333333334</v>
      </c>
      <c r="C119" s="1693"/>
      <c r="D119" s="1694"/>
      <c r="E119" s="573">
        <v>220.3</v>
      </c>
      <c r="F119" s="2870"/>
      <c r="G119" s="2875"/>
      <c r="H119" s="2876"/>
      <c r="I119" s="2877"/>
      <c r="J119" s="2878"/>
      <c r="K119" s="2876"/>
      <c r="L119" s="2878"/>
      <c r="M119" s="2877"/>
      <c r="N119" s="2878"/>
      <c r="O119" s="2876"/>
      <c r="P119" s="2876"/>
      <c r="Q119" s="2876"/>
      <c r="R119" s="2876"/>
      <c r="S119" s="2876"/>
      <c r="T119" s="2876"/>
      <c r="U119" s="2876"/>
      <c r="V119" s="2876"/>
      <c r="W119" s="2876"/>
      <c r="X119" s="2876"/>
      <c r="Y119" s="2876"/>
      <c r="Z119" s="2876"/>
      <c r="AA119" s="2876"/>
      <c r="AB119" s="2876"/>
      <c r="AC119" s="2876"/>
      <c r="AD119" s="2876"/>
      <c r="AE119" s="2876"/>
      <c r="AF119" s="2876"/>
      <c r="AG119" s="2881"/>
    </row>
    <row r="120" spans="1:33">
      <c r="A120" s="49">
        <v>2003.03</v>
      </c>
      <c r="B120" s="631">
        <v>101238.53333333333</v>
      </c>
      <c r="C120" s="1693"/>
      <c r="D120" s="1694"/>
      <c r="E120" s="573">
        <v>330.4</v>
      </c>
      <c r="F120" s="2870"/>
      <c r="G120" s="2875"/>
      <c r="H120" s="2876"/>
      <c r="I120" s="2877"/>
      <c r="J120" s="2878"/>
      <c r="K120" s="2876"/>
      <c r="L120" s="2878"/>
      <c r="M120" s="2877"/>
      <c r="N120" s="2878"/>
      <c r="O120" s="2876"/>
      <c r="P120" s="2876"/>
      <c r="Q120" s="2876"/>
      <c r="R120" s="2876"/>
      <c r="S120" s="2876"/>
      <c r="T120" s="2876"/>
      <c r="U120" s="2876"/>
      <c r="V120" s="2876"/>
      <c r="W120" s="2876"/>
      <c r="X120" s="2876"/>
      <c r="Y120" s="2876"/>
      <c r="Z120" s="2876"/>
      <c r="AA120" s="2876"/>
      <c r="AB120" s="2876"/>
      <c r="AC120" s="2876"/>
      <c r="AD120" s="2876"/>
      <c r="AE120" s="2876"/>
      <c r="AF120" s="2876"/>
      <c r="AG120" s="2881"/>
    </row>
    <row r="121" spans="1:33">
      <c r="A121" s="49">
        <v>2003.04</v>
      </c>
      <c r="B121" s="631">
        <v>101240</v>
      </c>
      <c r="C121" s="1693"/>
      <c r="D121" s="1694"/>
      <c r="E121" s="573">
        <v>441.3</v>
      </c>
      <c r="F121" s="2870"/>
      <c r="G121" s="2875"/>
      <c r="H121" s="2876"/>
      <c r="I121" s="2877"/>
      <c r="J121" s="2878"/>
      <c r="K121" s="2876"/>
      <c r="L121" s="2878"/>
      <c r="M121" s="2877"/>
      <c r="N121" s="2878"/>
      <c r="O121" s="2876"/>
      <c r="P121" s="2876"/>
      <c r="Q121" s="2876"/>
      <c r="R121" s="2876"/>
      <c r="S121" s="2876"/>
      <c r="T121" s="2876"/>
      <c r="U121" s="2876"/>
      <c r="V121" s="2876"/>
      <c r="W121" s="2876"/>
      <c r="X121" s="2876"/>
      <c r="Y121" s="2876"/>
      <c r="Z121" s="2876"/>
      <c r="AA121" s="2876"/>
      <c r="AB121" s="2876"/>
      <c r="AC121" s="2876"/>
      <c r="AD121" s="2876"/>
      <c r="AE121" s="2876"/>
      <c r="AF121" s="2876"/>
      <c r="AG121" s="2881"/>
    </row>
    <row r="122" spans="1:33">
      <c r="A122" s="49">
        <v>2003.05</v>
      </c>
      <c r="B122" s="631">
        <v>101237.7</v>
      </c>
      <c r="C122" s="1693"/>
      <c r="D122" s="1694"/>
      <c r="E122" s="573">
        <v>551.9</v>
      </c>
      <c r="F122" s="2870"/>
      <c r="G122" s="2875"/>
      <c r="H122" s="2876"/>
      <c r="I122" s="2877"/>
      <c r="J122" s="2878"/>
      <c r="K122" s="2876"/>
      <c r="L122" s="2878"/>
      <c r="M122" s="2877"/>
      <c r="N122" s="2878"/>
      <c r="O122" s="2876"/>
      <c r="P122" s="2876"/>
      <c r="Q122" s="2876"/>
      <c r="R122" s="2876"/>
      <c r="S122" s="2876"/>
      <c r="T122" s="2876"/>
      <c r="U122" s="2876"/>
      <c r="V122" s="2876"/>
      <c r="W122" s="2876"/>
      <c r="X122" s="2876"/>
      <c r="Y122" s="2876"/>
      <c r="Z122" s="2876"/>
      <c r="AA122" s="2876"/>
      <c r="AB122" s="2876"/>
      <c r="AC122" s="2876"/>
      <c r="AD122" s="2876"/>
      <c r="AE122" s="2876"/>
      <c r="AF122" s="2876"/>
      <c r="AG122" s="2881"/>
    </row>
    <row r="123" spans="1:33">
      <c r="A123" s="49">
        <v>2003.06</v>
      </c>
      <c r="B123" s="631">
        <v>101279</v>
      </c>
      <c r="C123" s="1693"/>
      <c r="D123" s="1694"/>
      <c r="E123" s="573">
        <v>697.1</v>
      </c>
      <c r="F123" s="2870"/>
      <c r="G123" s="2875"/>
      <c r="H123" s="2876"/>
      <c r="I123" s="2877"/>
      <c r="J123" s="2878"/>
      <c r="K123" s="2876"/>
      <c r="L123" s="2878"/>
      <c r="M123" s="2877"/>
      <c r="N123" s="2878"/>
      <c r="O123" s="2876"/>
      <c r="P123" s="2876"/>
      <c r="Q123" s="2876"/>
      <c r="R123" s="2876"/>
      <c r="S123" s="2876"/>
      <c r="T123" s="2876"/>
      <c r="U123" s="2876"/>
      <c r="V123" s="2876"/>
      <c r="W123" s="2876"/>
      <c r="X123" s="2876"/>
      <c r="Y123" s="2876"/>
      <c r="Z123" s="2876"/>
      <c r="AA123" s="2876"/>
      <c r="AB123" s="2876"/>
      <c r="AC123" s="2876"/>
      <c r="AD123" s="2876"/>
      <c r="AE123" s="2876"/>
      <c r="AF123" s="2876"/>
      <c r="AG123" s="2881"/>
    </row>
    <row r="124" spans="1:33">
      <c r="A124" s="49">
        <v>2003.07</v>
      </c>
      <c r="B124" s="631">
        <v>101778</v>
      </c>
      <c r="C124" s="1693"/>
      <c r="D124" s="1694"/>
      <c r="E124" s="573">
        <v>812.9</v>
      </c>
      <c r="F124" s="2870"/>
      <c r="G124" s="2875"/>
      <c r="H124" s="2876"/>
      <c r="I124" s="2877"/>
      <c r="J124" s="2878"/>
      <c r="K124" s="2876"/>
      <c r="L124" s="2878"/>
      <c r="M124" s="2877"/>
      <c r="N124" s="2878"/>
      <c r="O124" s="2876"/>
      <c r="P124" s="2876"/>
      <c r="Q124" s="2876"/>
      <c r="R124" s="2876"/>
      <c r="S124" s="2876"/>
      <c r="T124" s="2876"/>
      <c r="U124" s="2876"/>
      <c r="V124" s="2876"/>
      <c r="W124" s="2876"/>
      <c r="X124" s="2876"/>
      <c r="Y124" s="2876"/>
      <c r="Z124" s="2876"/>
      <c r="AA124" s="2876"/>
      <c r="AB124" s="2876"/>
      <c r="AC124" s="2876"/>
      <c r="AD124" s="2876"/>
      <c r="AE124" s="2876"/>
      <c r="AF124" s="2876"/>
      <c r="AG124" s="2881"/>
    </row>
    <row r="125" spans="1:33">
      <c r="A125" s="49">
        <v>2003.08</v>
      </c>
      <c r="B125" s="631">
        <v>101713.9</v>
      </c>
      <c r="C125" s="1693"/>
      <c r="D125" s="1694"/>
      <c r="E125" s="573">
        <v>928.3</v>
      </c>
      <c r="F125" s="2870"/>
      <c r="G125" s="2875"/>
      <c r="H125" s="2876"/>
      <c r="I125" s="2877"/>
      <c r="J125" s="2878"/>
      <c r="K125" s="2876"/>
      <c r="L125" s="2878"/>
      <c r="M125" s="2877"/>
      <c r="N125" s="2878"/>
      <c r="O125" s="2876"/>
      <c r="P125" s="2876"/>
      <c r="Q125" s="2876"/>
      <c r="R125" s="2876"/>
      <c r="S125" s="2876"/>
      <c r="T125" s="2876"/>
      <c r="U125" s="2876"/>
      <c r="V125" s="2876"/>
      <c r="W125" s="2876"/>
      <c r="X125" s="2876"/>
      <c r="Y125" s="2876"/>
      <c r="Z125" s="2876"/>
      <c r="AA125" s="2876"/>
      <c r="AB125" s="2876"/>
      <c r="AC125" s="2876"/>
      <c r="AD125" s="2876"/>
      <c r="AE125" s="2876"/>
      <c r="AF125" s="2876"/>
      <c r="AG125" s="2881"/>
    </row>
    <row r="126" spans="1:33">
      <c r="A126" s="49">
        <v>2003.09</v>
      </c>
      <c r="B126" s="631">
        <v>101682</v>
      </c>
      <c r="C126" s="1693"/>
      <c r="D126" s="1694"/>
      <c r="E126" s="573">
        <v>1043.0999999999999</v>
      </c>
      <c r="F126" s="2870"/>
      <c r="G126" s="2875"/>
      <c r="H126" s="2876"/>
      <c r="I126" s="2877"/>
      <c r="J126" s="2878"/>
      <c r="K126" s="2876"/>
      <c r="L126" s="2878"/>
      <c r="M126" s="2877"/>
      <c r="N126" s="2878"/>
      <c r="O126" s="2876"/>
      <c r="P126" s="2876"/>
      <c r="Q126" s="2876"/>
      <c r="R126" s="2876"/>
      <c r="S126" s="2876"/>
      <c r="T126" s="2876"/>
      <c r="U126" s="2876"/>
      <c r="V126" s="2876"/>
      <c r="W126" s="2876"/>
      <c r="X126" s="2876"/>
      <c r="Y126" s="2876"/>
      <c r="Z126" s="2876"/>
      <c r="AA126" s="2876"/>
      <c r="AB126" s="2876"/>
      <c r="AC126" s="2876"/>
      <c r="AD126" s="2876"/>
      <c r="AE126" s="2876"/>
      <c r="AF126" s="2876"/>
      <c r="AG126" s="2881"/>
    </row>
    <row r="127" spans="1:33">
      <c r="A127" s="49">
        <v>2003.1</v>
      </c>
      <c r="B127" s="631">
        <v>101918.13333333333</v>
      </c>
      <c r="C127" s="1693"/>
      <c r="D127" s="1694"/>
      <c r="E127" s="573">
        <v>1161.5999999999999</v>
      </c>
      <c r="F127" s="2870"/>
      <c r="G127" s="2875"/>
      <c r="H127" s="2876"/>
      <c r="I127" s="2877"/>
      <c r="J127" s="2878"/>
      <c r="K127" s="2876"/>
      <c r="L127" s="2878"/>
      <c r="M127" s="2877"/>
      <c r="N127" s="2878"/>
      <c r="O127" s="2876"/>
      <c r="P127" s="2876"/>
      <c r="Q127" s="2876"/>
      <c r="R127" s="2876"/>
      <c r="S127" s="2876"/>
      <c r="T127" s="2876"/>
      <c r="U127" s="2876"/>
      <c r="V127" s="2876"/>
      <c r="W127" s="2876"/>
      <c r="X127" s="2876"/>
      <c r="Y127" s="2876"/>
      <c r="Z127" s="2876"/>
      <c r="AA127" s="2876"/>
      <c r="AB127" s="2876"/>
      <c r="AC127" s="2876"/>
      <c r="AD127" s="2876"/>
      <c r="AE127" s="2876"/>
      <c r="AF127" s="2876"/>
      <c r="AG127" s="2881"/>
    </row>
    <row r="128" spans="1:33">
      <c r="A128" s="49">
        <v>2003.11</v>
      </c>
      <c r="B128" s="631">
        <v>101758.3</v>
      </c>
      <c r="C128" s="1693"/>
      <c r="D128" s="1694"/>
      <c r="E128" s="573">
        <v>1325.7</v>
      </c>
      <c r="F128" s="2870"/>
      <c r="G128" s="2875"/>
      <c r="H128" s="2876"/>
      <c r="I128" s="2877"/>
      <c r="J128" s="2878"/>
      <c r="K128" s="2876"/>
      <c r="L128" s="2878"/>
      <c r="M128" s="2877"/>
      <c r="N128" s="2878"/>
      <c r="O128" s="2876"/>
      <c r="P128" s="2876"/>
      <c r="Q128" s="2876"/>
      <c r="R128" s="2876"/>
      <c r="S128" s="2876"/>
      <c r="T128" s="2876"/>
      <c r="U128" s="2876"/>
      <c r="V128" s="2876"/>
      <c r="W128" s="2876"/>
      <c r="X128" s="2876"/>
      <c r="Y128" s="2876"/>
      <c r="Z128" s="2876"/>
      <c r="AA128" s="2876"/>
      <c r="AB128" s="2876"/>
      <c r="AC128" s="2876"/>
      <c r="AD128" s="2876"/>
      <c r="AE128" s="2876"/>
      <c r="AF128" s="2876"/>
      <c r="AG128" s="2881"/>
    </row>
    <row r="129" spans="1:33">
      <c r="A129" s="49">
        <v>2003.12</v>
      </c>
      <c r="B129" s="631">
        <v>101765.8</v>
      </c>
      <c r="C129" s="1693"/>
      <c r="D129" s="1694"/>
      <c r="E129" s="573">
        <v>1576.0150000000001</v>
      </c>
      <c r="F129" s="2870"/>
      <c r="G129" s="2875"/>
      <c r="H129" s="2876"/>
      <c r="I129" s="2877"/>
      <c r="J129" s="2878"/>
      <c r="K129" s="2876"/>
      <c r="L129" s="2878"/>
      <c r="M129" s="2877"/>
      <c r="N129" s="2878"/>
      <c r="O129" s="2876"/>
      <c r="P129" s="2876"/>
      <c r="Q129" s="2876"/>
      <c r="R129" s="2876"/>
      <c r="S129" s="2876"/>
      <c r="T129" s="2876"/>
      <c r="U129" s="2876"/>
      <c r="V129" s="2876"/>
      <c r="W129" s="2876"/>
      <c r="X129" s="2876"/>
      <c r="Y129" s="2876"/>
      <c r="Z129" s="2876"/>
      <c r="AA129" s="2876"/>
      <c r="AB129" s="2876"/>
      <c r="AC129" s="2876"/>
      <c r="AD129" s="2876"/>
      <c r="AE129" s="2876"/>
      <c r="AF129" s="2876"/>
      <c r="AG129" s="2881"/>
    </row>
    <row r="130" spans="1:33">
      <c r="A130" s="49">
        <v>2004.01</v>
      </c>
      <c r="B130" s="631">
        <v>102112.26666666666</v>
      </c>
      <c r="C130" s="1693"/>
      <c r="D130" s="1694"/>
      <c r="E130" s="573">
        <v>120.5</v>
      </c>
      <c r="F130" s="2870"/>
      <c r="G130" s="2875"/>
      <c r="H130" s="2876"/>
      <c r="I130" s="2877"/>
      <c r="J130" s="2878"/>
      <c r="K130" s="2876"/>
      <c r="L130" s="2878"/>
      <c r="M130" s="2877"/>
      <c r="N130" s="2878"/>
      <c r="O130" s="2876"/>
      <c r="P130" s="2876"/>
      <c r="Q130" s="2876"/>
      <c r="R130" s="2876"/>
      <c r="S130" s="2876"/>
      <c r="T130" s="2876"/>
      <c r="U130" s="2876"/>
      <c r="V130" s="2876"/>
      <c r="W130" s="2876"/>
      <c r="X130" s="2876"/>
      <c r="Y130" s="2876"/>
      <c r="Z130" s="2876"/>
      <c r="AA130" s="2876"/>
      <c r="AB130" s="2876"/>
      <c r="AC130" s="2876"/>
      <c r="AD130" s="2876"/>
      <c r="AE130" s="2876"/>
      <c r="AF130" s="2876"/>
      <c r="AG130" s="2881"/>
    </row>
    <row r="131" spans="1:33">
      <c r="A131" s="49">
        <v>2004.02</v>
      </c>
      <c r="B131" s="631">
        <v>102592.26666666666</v>
      </c>
      <c r="C131" s="1693"/>
      <c r="D131" s="1694"/>
      <c r="E131" s="573">
        <v>250.9</v>
      </c>
      <c r="F131" s="2870"/>
      <c r="G131" s="2875"/>
      <c r="H131" s="2876"/>
      <c r="I131" s="2877"/>
      <c r="J131" s="2878"/>
      <c r="K131" s="2876"/>
      <c r="L131" s="2878"/>
      <c r="M131" s="2877"/>
      <c r="N131" s="2878"/>
      <c r="O131" s="2876"/>
      <c r="P131" s="2876"/>
      <c r="Q131" s="2876"/>
      <c r="R131" s="2876"/>
      <c r="S131" s="2876"/>
      <c r="T131" s="2876"/>
      <c r="U131" s="2876"/>
      <c r="V131" s="2876"/>
      <c r="W131" s="2876"/>
      <c r="X131" s="2876"/>
      <c r="Y131" s="2876"/>
      <c r="Z131" s="2876"/>
      <c r="AA131" s="2876"/>
      <c r="AB131" s="2876"/>
      <c r="AC131" s="2876"/>
      <c r="AD131" s="2876"/>
      <c r="AE131" s="2876"/>
      <c r="AF131" s="2876"/>
      <c r="AG131" s="2881"/>
    </row>
    <row r="132" spans="1:33">
      <c r="A132" s="49">
        <v>2004.03</v>
      </c>
      <c r="B132" s="631">
        <v>102435.9</v>
      </c>
      <c r="C132" s="1693"/>
      <c r="D132" s="1694"/>
      <c r="E132" s="573">
        <v>380.3</v>
      </c>
      <c r="F132" s="2870"/>
      <c r="G132" s="2875"/>
      <c r="H132" s="2876"/>
      <c r="I132" s="2877"/>
      <c r="J132" s="2878"/>
      <c r="K132" s="2876"/>
      <c r="L132" s="2878"/>
      <c r="M132" s="2877"/>
      <c r="N132" s="2878"/>
      <c r="O132" s="2876"/>
      <c r="P132" s="2876"/>
      <c r="Q132" s="2876"/>
      <c r="R132" s="2876"/>
      <c r="S132" s="2876"/>
      <c r="T132" s="2876"/>
      <c r="U132" s="2876"/>
      <c r="V132" s="2876"/>
      <c r="W132" s="2876"/>
      <c r="X132" s="2876"/>
      <c r="Y132" s="2876"/>
      <c r="Z132" s="2876"/>
      <c r="AA132" s="2876"/>
      <c r="AB132" s="2876"/>
      <c r="AC132" s="2876"/>
      <c r="AD132" s="2876"/>
      <c r="AE132" s="2876"/>
      <c r="AF132" s="2876"/>
      <c r="AG132" s="2881"/>
    </row>
    <row r="133" spans="1:33">
      <c r="A133" s="49">
        <v>2004.04</v>
      </c>
      <c r="B133" s="631">
        <v>102504.9</v>
      </c>
      <c r="C133" s="1693"/>
      <c r="D133" s="1694"/>
      <c r="E133" s="573">
        <v>510.4</v>
      </c>
      <c r="F133" s="2870"/>
      <c r="G133" s="2875"/>
      <c r="H133" s="2876"/>
      <c r="I133" s="2877"/>
      <c r="J133" s="2878"/>
      <c r="K133" s="2876"/>
      <c r="L133" s="2878"/>
      <c r="M133" s="2877"/>
      <c r="N133" s="2878"/>
      <c r="O133" s="2876"/>
      <c r="P133" s="2876"/>
      <c r="Q133" s="2876"/>
      <c r="R133" s="2876"/>
      <c r="S133" s="2876"/>
      <c r="T133" s="2876"/>
      <c r="U133" s="2876"/>
      <c r="V133" s="2876"/>
      <c r="W133" s="2876"/>
      <c r="X133" s="2876"/>
      <c r="Y133" s="2876"/>
      <c r="Z133" s="2876"/>
      <c r="AA133" s="2876"/>
      <c r="AB133" s="2876"/>
      <c r="AC133" s="2876"/>
      <c r="AD133" s="2876"/>
      <c r="AE133" s="2876"/>
      <c r="AF133" s="2876"/>
      <c r="AG133" s="2881"/>
    </row>
    <row r="134" spans="1:33">
      <c r="A134" s="49">
        <v>2004.05</v>
      </c>
      <c r="B134" s="631">
        <v>102477.1</v>
      </c>
      <c r="C134" s="1693"/>
      <c r="D134" s="1694"/>
      <c r="E134" s="573">
        <v>642.70000000000005</v>
      </c>
      <c r="F134" s="2870"/>
      <c r="G134" s="2875"/>
      <c r="H134" s="2876"/>
      <c r="I134" s="2877"/>
      <c r="J134" s="2878"/>
      <c r="K134" s="2876"/>
      <c r="L134" s="2878"/>
      <c r="M134" s="2877"/>
      <c r="N134" s="2878"/>
      <c r="O134" s="2876"/>
      <c r="P134" s="2876"/>
      <c r="Q134" s="2876"/>
      <c r="R134" s="2876"/>
      <c r="S134" s="2876"/>
      <c r="T134" s="2876"/>
      <c r="U134" s="2876"/>
      <c r="V134" s="2876"/>
      <c r="W134" s="2876"/>
      <c r="X134" s="2876"/>
      <c r="Y134" s="2876"/>
      <c r="Z134" s="2876"/>
      <c r="AA134" s="2876"/>
      <c r="AB134" s="2876"/>
      <c r="AC134" s="2876"/>
      <c r="AD134" s="2876"/>
      <c r="AE134" s="2876"/>
      <c r="AF134" s="2876"/>
      <c r="AG134" s="2881"/>
    </row>
    <row r="135" spans="1:33">
      <c r="A135" s="49">
        <v>2004.06</v>
      </c>
      <c r="B135" s="631">
        <v>102499.46666666667</v>
      </c>
      <c r="C135" s="1693"/>
      <c r="D135" s="1694"/>
      <c r="E135" s="573">
        <v>813.5</v>
      </c>
      <c r="F135" s="2870"/>
      <c r="G135" s="2875"/>
      <c r="H135" s="2876"/>
      <c r="I135" s="2877"/>
      <c r="J135" s="2878"/>
      <c r="K135" s="2876"/>
      <c r="L135" s="2878"/>
      <c r="M135" s="2877"/>
      <c r="N135" s="2878"/>
      <c r="O135" s="2876"/>
      <c r="P135" s="2876"/>
      <c r="Q135" s="2876"/>
      <c r="R135" s="2876"/>
      <c r="S135" s="2876"/>
      <c r="T135" s="2876"/>
      <c r="U135" s="2876"/>
      <c r="V135" s="2876"/>
      <c r="W135" s="2876"/>
      <c r="X135" s="2876"/>
      <c r="Y135" s="2876"/>
      <c r="Z135" s="2876"/>
      <c r="AA135" s="2876"/>
      <c r="AB135" s="2876"/>
      <c r="AC135" s="2876"/>
      <c r="AD135" s="2876"/>
      <c r="AE135" s="2876"/>
      <c r="AF135" s="2876"/>
      <c r="AG135" s="2881"/>
    </row>
    <row r="136" spans="1:33">
      <c r="A136" s="49">
        <v>2004.07</v>
      </c>
      <c r="B136" s="631">
        <v>102464.4</v>
      </c>
      <c r="C136" s="1693"/>
      <c r="D136" s="1694"/>
      <c r="E136" s="573">
        <v>948.7</v>
      </c>
      <c r="F136" s="2870"/>
      <c r="G136" s="2875"/>
      <c r="H136" s="2876"/>
      <c r="I136" s="2877"/>
      <c r="J136" s="2878"/>
      <c r="K136" s="2876"/>
      <c r="L136" s="2878"/>
      <c r="M136" s="2877"/>
      <c r="N136" s="2878"/>
      <c r="O136" s="2876"/>
      <c r="P136" s="2876"/>
      <c r="Q136" s="2876"/>
      <c r="R136" s="2876"/>
      <c r="S136" s="2876"/>
      <c r="T136" s="2876"/>
      <c r="U136" s="2876"/>
      <c r="V136" s="2876"/>
      <c r="W136" s="2876"/>
      <c r="X136" s="2876"/>
      <c r="Y136" s="2876"/>
      <c r="Z136" s="2876"/>
      <c r="AA136" s="2876"/>
      <c r="AB136" s="2876"/>
      <c r="AC136" s="2876"/>
      <c r="AD136" s="2876"/>
      <c r="AE136" s="2876"/>
      <c r="AF136" s="2876"/>
      <c r="AG136" s="2881"/>
    </row>
    <row r="137" spans="1:33">
      <c r="A137" s="49">
        <v>2004.08</v>
      </c>
      <c r="B137" s="631">
        <v>102710.23333333334</v>
      </c>
      <c r="C137" s="1693"/>
      <c r="D137" s="1694"/>
      <c r="E137" s="573">
        <v>1083.4000000000001</v>
      </c>
      <c r="F137" s="2870"/>
      <c r="G137" s="2875"/>
      <c r="H137" s="2876"/>
      <c r="I137" s="2877"/>
      <c r="J137" s="2878"/>
      <c r="K137" s="2876"/>
      <c r="L137" s="2878"/>
      <c r="M137" s="2877"/>
      <c r="N137" s="2878"/>
      <c r="O137" s="2876"/>
      <c r="P137" s="2876"/>
      <c r="Q137" s="2876"/>
      <c r="R137" s="2876"/>
      <c r="S137" s="2876"/>
      <c r="T137" s="2876"/>
      <c r="U137" s="2876"/>
      <c r="V137" s="2876"/>
      <c r="W137" s="2876"/>
      <c r="X137" s="2876"/>
      <c r="Y137" s="2876"/>
      <c r="Z137" s="2876"/>
      <c r="AA137" s="2876"/>
      <c r="AB137" s="2876"/>
      <c r="AC137" s="2876"/>
      <c r="AD137" s="2876"/>
      <c r="AE137" s="2876"/>
      <c r="AF137" s="2876"/>
      <c r="AG137" s="2881"/>
    </row>
    <row r="138" spans="1:33">
      <c r="A138" s="49">
        <v>2004.09</v>
      </c>
      <c r="B138" s="631">
        <v>102836.56666666667</v>
      </c>
      <c r="C138" s="1693"/>
      <c r="D138" s="1694"/>
      <c r="E138" s="573">
        <v>1214.8</v>
      </c>
      <c r="F138" s="2870"/>
      <c r="G138" s="2875"/>
      <c r="H138" s="2876"/>
      <c r="I138" s="2877"/>
      <c r="J138" s="2878"/>
      <c r="K138" s="2876"/>
      <c r="L138" s="2878"/>
      <c r="M138" s="2877"/>
      <c r="N138" s="2878"/>
      <c r="O138" s="2876"/>
      <c r="P138" s="2876"/>
      <c r="Q138" s="2876"/>
      <c r="R138" s="2876"/>
      <c r="S138" s="2876"/>
      <c r="T138" s="2876"/>
      <c r="U138" s="2876"/>
      <c r="V138" s="2876"/>
      <c r="W138" s="2876"/>
      <c r="X138" s="2876"/>
      <c r="Y138" s="2876"/>
      <c r="Z138" s="2876"/>
      <c r="AA138" s="2876"/>
      <c r="AB138" s="2876"/>
      <c r="AC138" s="2876"/>
      <c r="AD138" s="2876"/>
      <c r="AE138" s="2876"/>
      <c r="AF138" s="2876"/>
      <c r="AG138" s="2881"/>
    </row>
    <row r="139" spans="1:33">
      <c r="A139" s="49">
        <v>2004.1</v>
      </c>
      <c r="B139" s="631">
        <v>102804.9</v>
      </c>
      <c r="C139" s="1693"/>
      <c r="D139" s="1694"/>
      <c r="E139" s="573">
        <v>1376.6</v>
      </c>
      <c r="F139" s="2870"/>
      <c r="G139" s="2875"/>
      <c r="H139" s="2876"/>
      <c r="I139" s="2877"/>
      <c r="J139" s="2878"/>
      <c r="K139" s="2876"/>
      <c r="L139" s="2878"/>
      <c r="M139" s="2877"/>
      <c r="N139" s="2878"/>
      <c r="O139" s="2876"/>
      <c r="P139" s="2876"/>
      <c r="Q139" s="2876"/>
      <c r="R139" s="2876"/>
      <c r="S139" s="2876"/>
      <c r="T139" s="2876"/>
      <c r="U139" s="2876"/>
      <c r="V139" s="2876"/>
      <c r="W139" s="2876"/>
      <c r="X139" s="2876"/>
      <c r="Y139" s="2876"/>
      <c r="Z139" s="2876"/>
      <c r="AA139" s="2876"/>
      <c r="AB139" s="2876"/>
      <c r="AC139" s="2876"/>
      <c r="AD139" s="2876"/>
      <c r="AE139" s="2876"/>
      <c r="AF139" s="2876"/>
      <c r="AG139" s="2881"/>
    </row>
    <row r="140" spans="1:33">
      <c r="A140" s="49">
        <v>2004.11</v>
      </c>
      <c r="B140" s="631">
        <v>102688.66666666667</v>
      </c>
      <c r="C140" s="1693"/>
      <c r="D140" s="1694"/>
      <c r="E140" s="573">
        <v>1523.1</v>
      </c>
      <c r="F140" s="2870"/>
      <c r="G140" s="2875"/>
      <c r="H140" s="2876"/>
      <c r="I140" s="2877"/>
      <c r="J140" s="2878"/>
      <c r="K140" s="2876"/>
      <c r="L140" s="2878"/>
      <c r="M140" s="2877"/>
      <c r="N140" s="2878"/>
      <c r="O140" s="2876"/>
      <c r="P140" s="2876"/>
      <c r="Q140" s="2876"/>
      <c r="R140" s="2876"/>
      <c r="S140" s="2876"/>
      <c r="T140" s="2876"/>
      <c r="U140" s="2876"/>
      <c r="V140" s="2876"/>
      <c r="W140" s="2876"/>
      <c r="X140" s="2876"/>
      <c r="Y140" s="2876"/>
      <c r="Z140" s="2876"/>
      <c r="AA140" s="2876"/>
      <c r="AB140" s="2876"/>
      <c r="AC140" s="2876"/>
      <c r="AD140" s="2876"/>
      <c r="AE140" s="2876"/>
      <c r="AF140" s="2876"/>
      <c r="AG140" s="2881"/>
    </row>
    <row r="141" spans="1:33">
      <c r="A141" s="49">
        <v>2004.12</v>
      </c>
      <c r="B141" s="631">
        <v>102967.66666666667</v>
      </c>
      <c r="C141" s="1693"/>
      <c r="D141" s="1694"/>
      <c r="E141" s="573">
        <v>1879.3689999999999</v>
      </c>
      <c r="F141" s="2870"/>
      <c r="G141" s="2875"/>
      <c r="H141" s="2876"/>
      <c r="I141" s="2877"/>
      <c r="J141" s="2878"/>
      <c r="K141" s="2876"/>
      <c r="L141" s="2878"/>
      <c r="M141" s="2877"/>
      <c r="N141" s="2878"/>
      <c r="O141" s="2876"/>
      <c r="P141" s="2876"/>
      <c r="Q141" s="2876"/>
      <c r="R141" s="2876"/>
      <c r="S141" s="2876"/>
      <c r="T141" s="2876"/>
      <c r="U141" s="2876"/>
      <c r="V141" s="2876"/>
      <c r="W141" s="2876"/>
      <c r="X141" s="2876"/>
      <c r="Y141" s="2876"/>
      <c r="Z141" s="2876"/>
      <c r="AA141" s="2876"/>
      <c r="AB141" s="2876"/>
      <c r="AC141" s="2876"/>
      <c r="AD141" s="2876"/>
      <c r="AE141" s="2876"/>
      <c r="AF141" s="2876"/>
      <c r="AG141" s="2881"/>
    </row>
    <row r="142" spans="1:33">
      <c r="A142" s="49">
        <v>2005.01</v>
      </c>
      <c r="B142" s="631">
        <v>102872.66666666667</v>
      </c>
      <c r="C142" s="1693"/>
      <c r="D142" s="1694"/>
      <c r="E142" s="573">
        <v>157.30000000000001</v>
      </c>
      <c r="F142" s="2870"/>
      <c r="G142" s="2875"/>
      <c r="H142" s="2876"/>
      <c r="I142" s="2877"/>
      <c r="J142" s="2878"/>
      <c r="K142" s="2876"/>
      <c r="L142" s="2878"/>
      <c r="M142" s="2877"/>
      <c r="N142" s="2878"/>
      <c r="O142" s="2876"/>
      <c r="P142" s="2876"/>
      <c r="Q142" s="2876"/>
      <c r="R142" s="2876"/>
      <c r="S142" s="2876"/>
      <c r="T142" s="2876"/>
      <c r="U142" s="2876"/>
      <c r="V142" s="2876"/>
      <c r="W142" s="2876"/>
      <c r="X142" s="2876"/>
      <c r="Y142" s="2876"/>
      <c r="Z142" s="2876"/>
      <c r="AA142" s="2876"/>
      <c r="AB142" s="2876"/>
      <c r="AC142" s="2876"/>
      <c r="AD142" s="2876"/>
      <c r="AE142" s="2876"/>
      <c r="AF142" s="2876"/>
      <c r="AG142" s="2881"/>
    </row>
    <row r="143" spans="1:33">
      <c r="A143" s="49">
        <v>2005.02</v>
      </c>
      <c r="B143" s="631">
        <v>103493.03333333333</v>
      </c>
      <c r="C143" s="1693"/>
      <c r="D143" s="1694"/>
      <c r="E143" s="573">
        <v>315.89999999999998</v>
      </c>
      <c r="F143" s="2870"/>
      <c r="G143" s="2875"/>
      <c r="H143" s="2876"/>
      <c r="I143" s="2877"/>
      <c r="J143" s="2878"/>
      <c r="K143" s="2876"/>
      <c r="L143" s="2878"/>
      <c r="M143" s="2877"/>
      <c r="N143" s="2878"/>
      <c r="O143" s="2876"/>
      <c r="P143" s="2876"/>
      <c r="Q143" s="2876"/>
      <c r="R143" s="2876"/>
      <c r="S143" s="2876"/>
      <c r="T143" s="2876"/>
      <c r="U143" s="2876"/>
      <c r="V143" s="2876"/>
      <c r="W143" s="2876"/>
      <c r="X143" s="2876"/>
      <c r="Y143" s="2876"/>
      <c r="Z143" s="2876"/>
      <c r="AA143" s="2876"/>
      <c r="AB143" s="2876"/>
      <c r="AC143" s="2876"/>
      <c r="AD143" s="2876"/>
      <c r="AE143" s="2876"/>
      <c r="AF143" s="2876"/>
      <c r="AG143" s="2881"/>
    </row>
    <row r="144" spans="1:33">
      <c r="A144" s="49">
        <v>2005.03</v>
      </c>
      <c r="B144" s="631">
        <v>103351</v>
      </c>
      <c r="C144" s="1693"/>
      <c r="D144" s="1694"/>
      <c r="E144" s="573">
        <v>481.6</v>
      </c>
      <c r="F144" s="2870"/>
      <c r="G144" s="2875"/>
      <c r="H144" s="2876"/>
      <c r="I144" s="2877"/>
      <c r="J144" s="2878"/>
      <c r="K144" s="2876"/>
      <c r="L144" s="2878"/>
      <c r="M144" s="2877"/>
      <c r="N144" s="2878"/>
      <c r="O144" s="2876"/>
      <c r="P144" s="2876"/>
      <c r="Q144" s="2876"/>
      <c r="R144" s="2876"/>
      <c r="S144" s="2876"/>
      <c r="T144" s="2876"/>
      <c r="U144" s="2876"/>
      <c r="V144" s="2876"/>
      <c r="W144" s="2876"/>
      <c r="X144" s="2876"/>
      <c r="Y144" s="2876"/>
      <c r="Z144" s="2876"/>
      <c r="AA144" s="2876"/>
      <c r="AB144" s="2876"/>
      <c r="AC144" s="2876"/>
      <c r="AD144" s="2876"/>
      <c r="AE144" s="2876"/>
      <c r="AF144" s="2876"/>
      <c r="AG144" s="2881"/>
    </row>
    <row r="145" spans="1:33">
      <c r="A145" s="49">
        <v>2005.04</v>
      </c>
      <c r="B145" s="631">
        <v>103445.66666666667</v>
      </c>
      <c r="C145" s="1693"/>
      <c r="D145" s="1694"/>
      <c r="E145" s="573">
        <v>664.8</v>
      </c>
      <c r="F145" s="2870"/>
      <c r="G145" s="2875"/>
      <c r="H145" s="2876"/>
      <c r="I145" s="2877"/>
      <c r="J145" s="2878"/>
      <c r="K145" s="2876"/>
      <c r="L145" s="2878"/>
      <c r="M145" s="2877"/>
      <c r="N145" s="2878"/>
      <c r="O145" s="2876"/>
      <c r="P145" s="2876"/>
      <c r="Q145" s="2876"/>
      <c r="R145" s="2876"/>
      <c r="S145" s="2876"/>
      <c r="T145" s="2876"/>
      <c r="U145" s="2876"/>
      <c r="V145" s="2876"/>
      <c r="W145" s="2876"/>
      <c r="X145" s="2876"/>
      <c r="Y145" s="2876"/>
      <c r="Z145" s="2876"/>
      <c r="AA145" s="2876"/>
      <c r="AB145" s="2876"/>
      <c r="AC145" s="2876"/>
      <c r="AD145" s="2876"/>
      <c r="AE145" s="2876"/>
      <c r="AF145" s="2876"/>
      <c r="AG145" s="2881"/>
    </row>
    <row r="146" spans="1:33">
      <c r="A146" s="49">
        <v>2005.05</v>
      </c>
      <c r="B146" s="631">
        <v>103097.73333333334</v>
      </c>
      <c r="C146" s="1693"/>
      <c r="D146" s="1694"/>
      <c r="E146" s="573">
        <v>852.8</v>
      </c>
      <c r="F146" s="2870"/>
      <c r="G146" s="2875"/>
      <c r="H146" s="2876"/>
      <c r="I146" s="2877"/>
      <c r="J146" s="2878"/>
      <c r="K146" s="2876"/>
      <c r="L146" s="2878"/>
      <c r="M146" s="2877"/>
      <c r="N146" s="2878"/>
      <c r="O146" s="2876"/>
      <c r="P146" s="2876"/>
      <c r="Q146" s="2876"/>
      <c r="R146" s="2876"/>
      <c r="S146" s="2876"/>
      <c r="T146" s="2876"/>
      <c r="U146" s="2876"/>
      <c r="V146" s="2876"/>
      <c r="W146" s="2876"/>
      <c r="X146" s="2876"/>
      <c r="Y146" s="2876"/>
      <c r="Z146" s="2876"/>
      <c r="AA146" s="2876"/>
      <c r="AB146" s="2876"/>
      <c r="AC146" s="2876"/>
      <c r="AD146" s="2876"/>
      <c r="AE146" s="2876"/>
      <c r="AF146" s="2876"/>
      <c r="AG146" s="2881"/>
    </row>
    <row r="147" spans="1:33">
      <c r="A147" s="49">
        <v>2005.06</v>
      </c>
      <c r="B147" s="631">
        <v>102980.23333333334</v>
      </c>
      <c r="C147" s="1693"/>
      <c r="D147" s="1694"/>
      <c r="E147" s="573">
        <v>1081</v>
      </c>
      <c r="F147" s="2870"/>
      <c r="G147" s="2875"/>
      <c r="H147" s="2876"/>
      <c r="I147" s="2877"/>
      <c r="J147" s="2878"/>
      <c r="K147" s="2876"/>
      <c r="L147" s="2878"/>
      <c r="M147" s="2877"/>
      <c r="N147" s="2878"/>
      <c r="O147" s="2876"/>
      <c r="P147" s="2876"/>
      <c r="Q147" s="2876"/>
      <c r="R147" s="2876"/>
      <c r="S147" s="2876"/>
      <c r="T147" s="2876"/>
      <c r="U147" s="2876"/>
      <c r="V147" s="2876"/>
      <c r="W147" s="2876"/>
      <c r="X147" s="2876"/>
      <c r="Y147" s="2876"/>
      <c r="Z147" s="2876"/>
      <c r="AA147" s="2876"/>
      <c r="AB147" s="2876"/>
      <c r="AC147" s="2876"/>
      <c r="AD147" s="2876"/>
      <c r="AE147" s="2876"/>
      <c r="AF147" s="2876"/>
      <c r="AG147" s="2881"/>
    </row>
    <row r="148" spans="1:33">
      <c r="A148" s="49">
        <v>2005.07</v>
      </c>
      <c r="B148" s="631">
        <v>103404.06666666667</v>
      </c>
      <c r="C148" s="1693"/>
      <c r="D148" s="1694"/>
      <c r="E148" s="573">
        <v>1268.2</v>
      </c>
      <c r="F148" s="2870"/>
      <c r="G148" s="2875"/>
      <c r="H148" s="2876"/>
      <c r="I148" s="2877"/>
      <c r="J148" s="2878"/>
      <c r="K148" s="2876"/>
      <c r="L148" s="2878"/>
      <c r="M148" s="2877"/>
      <c r="N148" s="2878"/>
      <c r="O148" s="2876"/>
      <c r="P148" s="2876"/>
      <c r="Q148" s="2876"/>
      <c r="R148" s="2876"/>
      <c r="S148" s="2876"/>
      <c r="T148" s="2876"/>
      <c r="U148" s="2876"/>
      <c r="V148" s="2876"/>
      <c r="W148" s="2876"/>
      <c r="X148" s="2876"/>
      <c r="Y148" s="2876"/>
      <c r="Z148" s="2876"/>
      <c r="AA148" s="2876"/>
      <c r="AB148" s="2876"/>
      <c r="AC148" s="2876"/>
      <c r="AD148" s="2876"/>
      <c r="AE148" s="2876"/>
      <c r="AF148" s="2876"/>
      <c r="AG148" s="2881"/>
    </row>
    <row r="149" spans="1:33">
      <c r="A149" s="49">
        <v>2005.08</v>
      </c>
      <c r="B149" s="631">
        <v>103799.2</v>
      </c>
      <c r="C149" s="1693"/>
      <c r="D149" s="1694"/>
      <c r="E149" s="573">
        <v>1453</v>
      </c>
      <c r="F149" s="2870"/>
      <c r="G149" s="2875"/>
      <c r="H149" s="2876"/>
      <c r="I149" s="2877"/>
      <c r="J149" s="2878"/>
      <c r="K149" s="2876"/>
      <c r="L149" s="2878"/>
      <c r="M149" s="2877"/>
      <c r="N149" s="2878"/>
      <c r="O149" s="2876"/>
      <c r="P149" s="2876"/>
      <c r="Q149" s="2876"/>
      <c r="R149" s="2876"/>
      <c r="S149" s="2876"/>
      <c r="T149" s="2876"/>
      <c r="U149" s="2876"/>
      <c r="V149" s="2876"/>
      <c r="W149" s="2876"/>
      <c r="X149" s="2876"/>
      <c r="Y149" s="2876"/>
      <c r="Z149" s="2876"/>
      <c r="AA149" s="2876"/>
      <c r="AB149" s="2876"/>
      <c r="AC149" s="2876"/>
      <c r="AD149" s="2876"/>
      <c r="AE149" s="2876"/>
      <c r="AF149" s="2876"/>
      <c r="AG149" s="2881"/>
    </row>
    <row r="150" spans="1:33">
      <c r="A150" s="49">
        <v>2005.09</v>
      </c>
      <c r="B150" s="631">
        <v>103693.33333333333</v>
      </c>
      <c r="C150" s="1693"/>
      <c r="D150" s="1694"/>
      <c r="E150" s="573">
        <v>1639</v>
      </c>
      <c r="F150" s="2870"/>
      <c r="G150" s="2875"/>
      <c r="H150" s="2876"/>
      <c r="I150" s="2877"/>
      <c r="J150" s="2878"/>
      <c r="K150" s="2876"/>
      <c r="L150" s="2878"/>
      <c r="M150" s="2877"/>
      <c r="N150" s="2878"/>
      <c r="O150" s="2876"/>
      <c r="P150" s="2876"/>
      <c r="Q150" s="2876"/>
      <c r="R150" s="2876"/>
      <c r="S150" s="2876"/>
      <c r="T150" s="2876"/>
      <c r="U150" s="2876"/>
      <c r="V150" s="2876"/>
      <c r="W150" s="2876"/>
      <c r="X150" s="2876"/>
      <c r="Y150" s="2876"/>
      <c r="Z150" s="2876"/>
      <c r="AA150" s="2876"/>
      <c r="AB150" s="2876"/>
      <c r="AC150" s="2876"/>
      <c r="AD150" s="2876"/>
      <c r="AE150" s="2876"/>
      <c r="AF150" s="2876"/>
      <c r="AG150" s="2881"/>
    </row>
    <row r="151" spans="1:33">
      <c r="A151" s="49">
        <v>2005.1</v>
      </c>
      <c r="B151" s="631">
        <v>103997.16666666667</v>
      </c>
      <c r="C151" s="1693"/>
      <c r="D151" s="1694"/>
      <c r="E151" s="573">
        <v>1827.3</v>
      </c>
      <c r="F151" s="2870"/>
      <c r="G151" s="2875"/>
      <c r="H151" s="2876"/>
      <c r="I151" s="2877"/>
      <c r="J151" s="2878"/>
      <c r="K151" s="2876"/>
      <c r="L151" s="2878"/>
      <c r="M151" s="2877"/>
      <c r="N151" s="2878"/>
      <c r="O151" s="2876"/>
      <c r="P151" s="2876"/>
      <c r="Q151" s="2876"/>
      <c r="R151" s="2876"/>
      <c r="S151" s="2876"/>
      <c r="T151" s="2876"/>
      <c r="U151" s="2876"/>
      <c r="V151" s="2876"/>
      <c r="W151" s="2876"/>
      <c r="X151" s="2876"/>
      <c r="Y151" s="2876"/>
      <c r="Z151" s="2876"/>
      <c r="AA151" s="2876"/>
      <c r="AB151" s="2876"/>
      <c r="AC151" s="2876"/>
      <c r="AD151" s="2876"/>
      <c r="AE151" s="2876"/>
      <c r="AF151" s="2876"/>
      <c r="AG151" s="2881"/>
    </row>
    <row r="152" spans="1:33">
      <c r="A152" s="49">
        <v>2005.11</v>
      </c>
      <c r="B152" s="631">
        <v>104118</v>
      </c>
      <c r="C152" s="1693"/>
      <c r="D152" s="1694"/>
      <c r="E152" s="573">
        <v>2018.7</v>
      </c>
      <c r="F152" s="2870"/>
      <c r="G152" s="2875"/>
      <c r="H152" s="2876"/>
      <c r="I152" s="2877"/>
      <c r="J152" s="2878"/>
      <c r="K152" s="2876"/>
      <c r="L152" s="2878"/>
      <c r="M152" s="2877"/>
      <c r="N152" s="2878"/>
      <c r="O152" s="2876"/>
      <c r="P152" s="2876"/>
      <c r="Q152" s="2876"/>
      <c r="R152" s="2876"/>
      <c r="S152" s="2876"/>
      <c r="T152" s="2876"/>
      <c r="U152" s="2876"/>
      <c r="V152" s="2876"/>
      <c r="W152" s="2876"/>
      <c r="X152" s="2876"/>
      <c r="Y152" s="2876"/>
      <c r="Z152" s="2876"/>
      <c r="AA152" s="2876"/>
      <c r="AB152" s="2876"/>
      <c r="AC152" s="2876"/>
      <c r="AD152" s="2876"/>
      <c r="AE152" s="2876"/>
      <c r="AF152" s="2876"/>
      <c r="AG152" s="2881"/>
    </row>
    <row r="153" spans="1:33">
      <c r="A153" s="49">
        <v>2005.12</v>
      </c>
      <c r="B153" s="631">
        <v>104878.2</v>
      </c>
      <c r="C153" s="1693"/>
      <c r="D153" s="1694"/>
      <c r="E153" s="573">
        <v>2463.5189999999998</v>
      </c>
      <c r="F153" s="2870"/>
      <c r="G153" s="2875"/>
      <c r="H153" s="2876"/>
      <c r="I153" s="2877"/>
      <c r="J153" s="2878"/>
      <c r="K153" s="2876"/>
      <c r="L153" s="2878"/>
      <c r="M153" s="2877"/>
      <c r="N153" s="2878"/>
      <c r="O153" s="2876"/>
      <c r="P153" s="2876"/>
      <c r="Q153" s="2876"/>
      <c r="R153" s="2876"/>
      <c r="S153" s="2876"/>
      <c r="T153" s="2876"/>
      <c r="U153" s="2876"/>
      <c r="V153" s="2876"/>
      <c r="W153" s="2876"/>
      <c r="X153" s="2876"/>
      <c r="Y153" s="2876"/>
      <c r="Z153" s="2876"/>
      <c r="AA153" s="2876"/>
      <c r="AB153" s="2876"/>
      <c r="AC153" s="2876"/>
      <c r="AD153" s="2876"/>
      <c r="AE153" s="2876"/>
      <c r="AF153" s="2876"/>
      <c r="AG153" s="2881"/>
    </row>
    <row r="154" spans="1:33">
      <c r="A154" s="49">
        <v>2006.01</v>
      </c>
      <c r="B154" s="631">
        <v>105719</v>
      </c>
      <c r="C154" s="1693"/>
      <c r="D154" s="1694"/>
      <c r="E154" s="573">
        <v>190.8</v>
      </c>
      <c r="F154" s="2870"/>
      <c r="G154" s="2875"/>
      <c r="H154" s="2876"/>
      <c r="I154" s="2877"/>
      <c r="J154" s="2878"/>
      <c r="K154" s="2876"/>
      <c r="L154" s="2878"/>
      <c r="M154" s="2877"/>
      <c r="N154" s="2878"/>
      <c r="O154" s="2876"/>
      <c r="P154" s="2876"/>
      <c r="Q154" s="2876"/>
      <c r="R154" s="2876"/>
      <c r="S154" s="2876"/>
      <c r="T154" s="2876"/>
      <c r="U154" s="2876"/>
      <c r="V154" s="2876"/>
      <c r="W154" s="2876"/>
      <c r="X154" s="2876"/>
      <c r="Y154" s="2876"/>
      <c r="Z154" s="2876"/>
      <c r="AA154" s="2876"/>
      <c r="AB154" s="2876"/>
      <c r="AC154" s="2876"/>
      <c r="AD154" s="2876"/>
      <c r="AE154" s="2876"/>
      <c r="AF154" s="2876"/>
      <c r="AG154" s="2881"/>
    </row>
    <row r="155" spans="1:33">
      <c r="A155" s="49">
        <v>2006.02</v>
      </c>
      <c r="B155" s="631">
        <v>105647.1</v>
      </c>
      <c r="C155" s="1693"/>
      <c r="D155" s="1694"/>
      <c r="E155" s="573">
        <v>404.5</v>
      </c>
      <c r="F155" s="2870"/>
      <c r="G155" s="2875"/>
      <c r="H155" s="2876"/>
      <c r="I155" s="2877"/>
      <c r="J155" s="2878"/>
      <c r="K155" s="2876"/>
      <c r="L155" s="2878"/>
      <c r="M155" s="2877"/>
      <c r="N155" s="2878"/>
      <c r="O155" s="2876"/>
      <c r="P155" s="2876"/>
      <c r="Q155" s="2876"/>
      <c r="R155" s="2876"/>
      <c r="S155" s="2876"/>
      <c r="T155" s="2876"/>
      <c r="U155" s="2876"/>
      <c r="V155" s="2876"/>
      <c r="W155" s="2876"/>
      <c r="X155" s="2876"/>
      <c r="Y155" s="2876"/>
      <c r="Z155" s="2876"/>
      <c r="AA155" s="2876"/>
      <c r="AB155" s="2876"/>
      <c r="AC155" s="2876"/>
      <c r="AD155" s="2876"/>
      <c r="AE155" s="2876"/>
      <c r="AF155" s="2876"/>
      <c r="AG155" s="2881"/>
    </row>
    <row r="156" spans="1:33">
      <c r="A156" s="49">
        <v>2006.03</v>
      </c>
      <c r="B156" s="631">
        <v>105740.63333333333</v>
      </c>
      <c r="C156" s="1693"/>
      <c r="D156" s="1694"/>
      <c r="E156" s="573">
        <v>650.6</v>
      </c>
      <c r="F156" s="2870"/>
      <c r="G156" s="2875"/>
      <c r="H156" s="2876"/>
      <c r="I156" s="2877"/>
      <c r="J156" s="2878"/>
      <c r="K156" s="2876"/>
      <c r="L156" s="2878"/>
      <c r="M156" s="2877"/>
      <c r="N156" s="2878"/>
      <c r="O156" s="2876"/>
      <c r="P156" s="2876"/>
      <c r="Q156" s="2876"/>
      <c r="R156" s="2876"/>
      <c r="S156" s="2876"/>
      <c r="T156" s="2876"/>
      <c r="U156" s="2876"/>
      <c r="V156" s="2876"/>
      <c r="W156" s="2876"/>
      <c r="X156" s="2876"/>
      <c r="Y156" s="2876"/>
      <c r="Z156" s="2876"/>
      <c r="AA156" s="2876"/>
      <c r="AB156" s="2876"/>
      <c r="AC156" s="2876"/>
      <c r="AD156" s="2876"/>
      <c r="AE156" s="2876"/>
      <c r="AF156" s="2876"/>
      <c r="AG156" s="2881"/>
    </row>
    <row r="157" spans="1:33">
      <c r="A157" s="49">
        <v>2006.04</v>
      </c>
      <c r="B157" s="631">
        <v>105747</v>
      </c>
      <c r="C157" s="1693"/>
      <c r="D157" s="1694"/>
      <c r="E157" s="573">
        <v>884.6</v>
      </c>
      <c r="F157" s="2870"/>
      <c r="G157" s="2875"/>
      <c r="H157" s="2876"/>
      <c r="I157" s="2877"/>
      <c r="J157" s="2878"/>
      <c r="K157" s="2876"/>
      <c r="L157" s="2878"/>
      <c r="M157" s="2877"/>
      <c r="N157" s="2878"/>
      <c r="O157" s="2876"/>
      <c r="P157" s="2876"/>
      <c r="Q157" s="2876"/>
      <c r="R157" s="2876"/>
      <c r="S157" s="2876"/>
      <c r="T157" s="2876"/>
      <c r="U157" s="2876"/>
      <c r="V157" s="2876"/>
      <c r="W157" s="2876"/>
      <c r="X157" s="2876"/>
      <c r="Y157" s="2876"/>
      <c r="Z157" s="2876"/>
      <c r="AA157" s="2876"/>
      <c r="AB157" s="2876"/>
      <c r="AC157" s="2876"/>
      <c r="AD157" s="2876"/>
      <c r="AE157" s="2876"/>
      <c r="AF157" s="2876"/>
      <c r="AG157" s="2881"/>
    </row>
    <row r="158" spans="1:33">
      <c r="A158" s="49">
        <v>2006.05</v>
      </c>
      <c r="B158" s="631">
        <v>105958</v>
      </c>
      <c r="C158" s="1693"/>
      <c r="D158" s="1694"/>
      <c r="E158" s="573">
        <v>1122.5</v>
      </c>
      <c r="F158" s="2870"/>
      <c r="G158" s="2875"/>
      <c r="H158" s="2876"/>
      <c r="I158" s="2877"/>
      <c r="J158" s="2878"/>
      <c r="K158" s="2876"/>
      <c r="L158" s="2878"/>
      <c r="M158" s="2877"/>
      <c r="N158" s="2878"/>
      <c r="O158" s="2876"/>
      <c r="P158" s="2876"/>
      <c r="Q158" s="2876"/>
      <c r="R158" s="2876"/>
      <c r="S158" s="2876"/>
      <c r="T158" s="2876"/>
      <c r="U158" s="2876"/>
      <c r="V158" s="2876"/>
      <c r="W158" s="2876"/>
      <c r="X158" s="2876"/>
      <c r="Y158" s="2876"/>
      <c r="Z158" s="2876"/>
      <c r="AA158" s="2876"/>
      <c r="AB158" s="2876"/>
      <c r="AC158" s="2876"/>
      <c r="AD158" s="2876"/>
      <c r="AE158" s="2876"/>
      <c r="AF158" s="2876"/>
      <c r="AG158" s="2881"/>
    </row>
    <row r="159" spans="1:33">
      <c r="A159" s="49">
        <v>2006.06</v>
      </c>
      <c r="B159" s="631">
        <v>105907.33333333333</v>
      </c>
      <c r="C159" s="1693"/>
      <c r="D159" s="1694"/>
      <c r="E159" s="573">
        <v>1442</v>
      </c>
      <c r="F159" s="2870"/>
      <c r="G159" s="2875"/>
      <c r="H159" s="2876"/>
      <c r="I159" s="2877"/>
      <c r="J159" s="2878"/>
      <c r="K159" s="2876"/>
      <c r="L159" s="2878"/>
      <c r="M159" s="2877"/>
      <c r="N159" s="2878"/>
      <c r="O159" s="2876"/>
      <c r="P159" s="2876"/>
      <c r="Q159" s="2876"/>
      <c r="R159" s="2876"/>
      <c r="S159" s="2876"/>
      <c r="T159" s="2876"/>
      <c r="U159" s="2876"/>
      <c r="V159" s="2876"/>
      <c r="W159" s="2876"/>
      <c r="X159" s="2876"/>
      <c r="Y159" s="2876"/>
      <c r="Z159" s="2876"/>
      <c r="AA159" s="2876"/>
      <c r="AB159" s="2876"/>
      <c r="AC159" s="2876"/>
      <c r="AD159" s="2876"/>
      <c r="AE159" s="2876"/>
      <c r="AF159" s="2876"/>
      <c r="AG159" s="2881"/>
    </row>
    <row r="160" spans="1:33">
      <c r="A160" s="49">
        <v>2006.07</v>
      </c>
      <c r="B160" s="631">
        <v>105969.33333333333</v>
      </c>
      <c r="C160" s="1693"/>
      <c r="D160" s="1694"/>
      <c r="E160" s="573">
        <v>1676.9</v>
      </c>
      <c r="F160" s="2870"/>
      <c r="G160" s="2875"/>
      <c r="H160" s="2876"/>
      <c r="I160" s="2877"/>
      <c r="J160" s="2878"/>
      <c r="K160" s="2876"/>
      <c r="L160" s="2878"/>
      <c r="M160" s="2877"/>
      <c r="N160" s="2878"/>
      <c r="O160" s="2876"/>
      <c r="P160" s="2876"/>
      <c r="Q160" s="2876"/>
      <c r="R160" s="2876"/>
      <c r="S160" s="2876"/>
      <c r="T160" s="2876"/>
      <c r="U160" s="2876"/>
      <c r="V160" s="2876"/>
      <c r="W160" s="2876"/>
      <c r="X160" s="2876"/>
      <c r="Y160" s="2876"/>
      <c r="Z160" s="2876"/>
      <c r="AA160" s="2876"/>
      <c r="AB160" s="2876"/>
      <c r="AC160" s="2876"/>
      <c r="AD160" s="2876"/>
      <c r="AE160" s="2876"/>
      <c r="AF160" s="2876"/>
      <c r="AG160" s="2881"/>
    </row>
    <row r="161" spans="1:33">
      <c r="A161" s="49">
        <v>2006.08</v>
      </c>
      <c r="B161" s="631">
        <v>106318.63333333333</v>
      </c>
      <c r="C161" s="1693"/>
      <c r="D161" s="1694"/>
      <c r="E161" s="573">
        <v>1914.4</v>
      </c>
      <c r="F161" s="2870"/>
      <c r="G161" s="2875"/>
      <c r="H161" s="2876"/>
      <c r="I161" s="2877"/>
      <c r="J161" s="2878"/>
      <c r="K161" s="2876"/>
      <c r="L161" s="2878"/>
      <c r="M161" s="2877"/>
      <c r="N161" s="2878"/>
      <c r="O161" s="2876"/>
      <c r="P161" s="2876"/>
      <c r="Q161" s="2876"/>
      <c r="R161" s="2876"/>
      <c r="S161" s="2876"/>
      <c r="T161" s="2876"/>
      <c r="U161" s="2876"/>
      <c r="V161" s="2876"/>
      <c r="W161" s="2876"/>
      <c r="X161" s="2876"/>
      <c r="Y161" s="2876"/>
      <c r="Z161" s="2876"/>
      <c r="AA161" s="2876"/>
      <c r="AB161" s="2876"/>
      <c r="AC161" s="2876"/>
      <c r="AD161" s="2876"/>
      <c r="AE161" s="2876"/>
      <c r="AF161" s="2876"/>
      <c r="AG161" s="2881"/>
    </row>
    <row r="162" spans="1:33">
      <c r="A162" s="49">
        <v>2006.09</v>
      </c>
      <c r="B162" s="631">
        <v>106321.63333333333</v>
      </c>
      <c r="C162" s="1693"/>
      <c r="D162" s="1694"/>
      <c r="E162" s="573">
        <v>2152.5</v>
      </c>
      <c r="F162" s="2870"/>
      <c r="G162" s="2875"/>
      <c r="H162" s="2876"/>
      <c r="I162" s="2877"/>
      <c r="J162" s="2878"/>
      <c r="K162" s="2876"/>
      <c r="L162" s="2878"/>
      <c r="M162" s="2877"/>
      <c r="N162" s="2878"/>
      <c r="O162" s="2876"/>
      <c r="P162" s="2876"/>
      <c r="Q162" s="2876"/>
      <c r="R162" s="2876"/>
      <c r="S162" s="2876"/>
      <c r="T162" s="2876"/>
      <c r="U162" s="2876"/>
      <c r="V162" s="2876"/>
      <c r="W162" s="2876"/>
      <c r="X162" s="2876"/>
      <c r="Y162" s="2876"/>
      <c r="Z162" s="2876"/>
      <c r="AA162" s="2876"/>
      <c r="AB162" s="2876"/>
      <c r="AC162" s="2876"/>
      <c r="AD162" s="2876"/>
      <c r="AE162" s="2876"/>
      <c r="AF162" s="2876"/>
      <c r="AG162" s="2881"/>
    </row>
    <row r="163" spans="1:33">
      <c r="A163" s="49">
        <v>2006.1</v>
      </c>
      <c r="B163" s="631">
        <v>106364.66666666667</v>
      </c>
      <c r="C163" s="1693"/>
      <c r="D163" s="1694"/>
      <c r="E163" s="573">
        <v>2392.1999999999998</v>
      </c>
      <c r="F163" s="2870"/>
      <c r="G163" s="2875"/>
      <c r="H163" s="2876"/>
      <c r="I163" s="2877"/>
      <c r="J163" s="2878"/>
      <c r="K163" s="2876"/>
      <c r="L163" s="2878"/>
      <c r="M163" s="2877"/>
      <c r="N163" s="2878"/>
      <c r="O163" s="2876"/>
      <c r="P163" s="2876"/>
      <c r="Q163" s="2876"/>
      <c r="R163" s="2876"/>
      <c r="S163" s="2876"/>
      <c r="T163" s="2876"/>
      <c r="U163" s="2876"/>
      <c r="V163" s="2876"/>
      <c r="W163" s="2876"/>
      <c r="X163" s="2876"/>
      <c r="Y163" s="2876"/>
      <c r="Z163" s="2876"/>
      <c r="AA163" s="2876"/>
      <c r="AB163" s="2876"/>
      <c r="AC163" s="2876"/>
      <c r="AD163" s="2876"/>
      <c r="AE163" s="2876"/>
      <c r="AF163" s="2876"/>
      <c r="AG163" s="2881"/>
    </row>
    <row r="164" spans="1:33">
      <c r="A164" s="49">
        <v>2006.11</v>
      </c>
      <c r="B164" s="631">
        <v>106360.13333333333</v>
      </c>
      <c r="C164" s="1693"/>
      <c r="D164" s="1694"/>
      <c r="E164" s="573">
        <v>2636.8</v>
      </c>
      <c r="F164" s="2870"/>
      <c r="G164" s="2875"/>
      <c r="H164" s="2876"/>
      <c r="I164" s="2877"/>
      <c r="J164" s="2878"/>
      <c r="K164" s="2876"/>
      <c r="L164" s="2878"/>
      <c r="M164" s="2877"/>
      <c r="N164" s="2878"/>
      <c r="O164" s="2876"/>
      <c r="P164" s="2876"/>
      <c r="Q164" s="2876"/>
      <c r="R164" s="2876"/>
      <c r="S164" s="2876"/>
      <c r="T164" s="2876"/>
      <c r="U164" s="2876"/>
      <c r="V164" s="2876"/>
      <c r="W164" s="2876"/>
      <c r="X164" s="2876"/>
      <c r="Y164" s="2876"/>
      <c r="Z164" s="2876"/>
      <c r="AA164" s="2876"/>
      <c r="AB164" s="2876"/>
      <c r="AC164" s="2876"/>
      <c r="AD164" s="2876"/>
      <c r="AE164" s="2876"/>
      <c r="AF164" s="2876"/>
      <c r="AG164" s="2881"/>
    </row>
    <row r="165" spans="1:33">
      <c r="A165" s="49">
        <v>2006.12</v>
      </c>
      <c r="B165" s="631">
        <v>106422.9</v>
      </c>
      <c r="C165" s="1693"/>
      <c r="D165" s="1694"/>
      <c r="E165" s="573">
        <v>3007.2</v>
      </c>
      <c r="F165" s="2870"/>
      <c r="G165" s="2875"/>
      <c r="H165" s="2876"/>
      <c r="I165" s="2877"/>
      <c r="J165" s="2878"/>
      <c r="K165" s="2876"/>
      <c r="L165" s="2878"/>
      <c r="M165" s="2877"/>
      <c r="N165" s="2878"/>
      <c r="O165" s="2876"/>
      <c r="P165" s="2876"/>
      <c r="Q165" s="2876"/>
      <c r="R165" s="2876"/>
      <c r="S165" s="2876"/>
      <c r="T165" s="2876"/>
      <c r="U165" s="2876"/>
      <c r="V165" s="2876"/>
      <c r="W165" s="2876"/>
      <c r="X165" s="2876"/>
      <c r="Y165" s="2876"/>
      <c r="Z165" s="2876"/>
      <c r="AA165" s="2876"/>
      <c r="AB165" s="2876"/>
      <c r="AC165" s="2876"/>
      <c r="AD165" s="2876"/>
      <c r="AE165" s="2876"/>
      <c r="AF165" s="2876"/>
      <c r="AG165" s="2881"/>
    </row>
    <row r="166" spans="1:33">
      <c r="A166" s="49">
        <v>2007.01</v>
      </c>
      <c r="B166" s="631">
        <v>107648.56666666667</v>
      </c>
      <c r="C166" s="1693"/>
      <c r="D166" s="1694"/>
      <c r="E166" s="573">
        <v>247.2</v>
      </c>
      <c r="F166" s="2870"/>
      <c r="G166" s="2875"/>
      <c r="H166" s="2876"/>
      <c r="I166" s="2877"/>
      <c r="J166" s="2878"/>
      <c r="K166" s="2876"/>
      <c r="L166" s="2878"/>
      <c r="M166" s="2877"/>
      <c r="N166" s="2878"/>
      <c r="O166" s="2876"/>
      <c r="P166" s="2876"/>
      <c r="Q166" s="2876"/>
      <c r="R166" s="2876"/>
      <c r="S166" s="2876"/>
      <c r="T166" s="2876"/>
      <c r="U166" s="2876"/>
      <c r="V166" s="2876"/>
      <c r="W166" s="2876"/>
      <c r="X166" s="2876"/>
      <c r="Y166" s="2876"/>
      <c r="Z166" s="2876"/>
      <c r="AA166" s="2876"/>
      <c r="AB166" s="2876"/>
      <c r="AC166" s="2876"/>
      <c r="AD166" s="2876"/>
      <c r="AE166" s="2876"/>
      <c r="AF166" s="2876"/>
      <c r="AG166" s="2881"/>
    </row>
    <row r="167" spans="1:33">
      <c r="A167" s="49">
        <v>2007.02</v>
      </c>
      <c r="B167" s="631">
        <v>107710.63333333333</v>
      </c>
      <c r="C167" s="1693"/>
      <c r="D167" s="1694"/>
      <c r="E167" s="573">
        <v>501.3</v>
      </c>
      <c r="F167" s="2870"/>
      <c r="G167" s="2875"/>
      <c r="H167" s="2876"/>
      <c r="I167" s="2877"/>
      <c r="J167" s="2878"/>
      <c r="K167" s="2876"/>
      <c r="L167" s="2878"/>
      <c r="M167" s="2877"/>
      <c r="N167" s="2878"/>
      <c r="O167" s="2876"/>
      <c r="P167" s="2876"/>
      <c r="Q167" s="2876"/>
      <c r="R167" s="2876"/>
      <c r="S167" s="2876"/>
      <c r="T167" s="2876"/>
      <c r="U167" s="2876"/>
      <c r="V167" s="2876"/>
      <c r="W167" s="2876"/>
      <c r="X167" s="2876"/>
      <c r="Y167" s="2876"/>
      <c r="Z167" s="2876"/>
      <c r="AA167" s="2876"/>
      <c r="AB167" s="2876"/>
      <c r="AC167" s="2876"/>
      <c r="AD167" s="2876"/>
      <c r="AE167" s="2876"/>
      <c r="AF167" s="2876"/>
      <c r="AG167" s="2881"/>
    </row>
    <row r="168" spans="1:33">
      <c r="A168" s="49">
        <v>2007.03</v>
      </c>
      <c r="B168" s="631">
        <v>107532.13333333333</v>
      </c>
      <c r="C168" s="1693"/>
      <c r="D168" s="1694"/>
      <c r="E168" s="573">
        <v>844</v>
      </c>
      <c r="F168" s="2870"/>
      <c r="G168" s="2875"/>
      <c r="H168" s="2876"/>
      <c r="I168" s="2877"/>
      <c r="J168" s="2878"/>
      <c r="K168" s="2876"/>
      <c r="L168" s="2878"/>
      <c r="M168" s="2877"/>
      <c r="N168" s="2878"/>
      <c r="O168" s="2876"/>
      <c r="P168" s="2876"/>
      <c r="Q168" s="2876"/>
      <c r="R168" s="2876"/>
      <c r="S168" s="2876"/>
      <c r="T168" s="2876"/>
      <c r="U168" s="2876"/>
      <c r="V168" s="2876"/>
      <c r="W168" s="2876"/>
      <c r="X168" s="2876"/>
      <c r="Y168" s="2876"/>
      <c r="Z168" s="2876"/>
      <c r="AA168" s="2876"/>
      <c r="AB168" s="2876"/>
      <c r="AC168" s="2876"/>
      <c r="AD168" s="2876"/>
      <c r="AE168" s="2876"/>
      <c r="AF168" s="2876"/>
      <c r="AG168" s="2881"/>
    </row>
    <row r="169" spans="1:33">
      <c r="A169" s="49">
        <v>2007.04</v>
      </c>
      <c r="B169" s="631">
        <v>107979.46666666667</v>
      </c>
      <c r="C169" s="1693"/>
      <c r="D169" s="1694"/>
      <c r="E169" s="573">
        <v>1141.5999999999999</v>
      </c>
      <c r="F169" s="2870"/>
      <c r="G169" s="2875"/>
      <c r="H169" s="2876"/>
      <c r="I169" s="2877"/>
      <c r="J169" s="2878"/>
      <c r="K169" s="2876"/>
      <c r="L169" s="2878"/>
      <c r="M169" s="2877"/>
      <c r="N169" s="2878"/>
      <c r="O169" s="2876"/>
      <c r="P169" s="2876"/>
      <c r="Q169" s="2876"/>
      <c r="R169" s="2876"/>
      <c r="S169" s="2876"/>
      <c r="T169" s="2876"/>
      <c r="U169" s="2876"/>
      <c r="V169" s="2876"/>
      <c r="W169" s="2876"/>
      <c r="X169" s="2876"/>
      <c r="Y169" s="2876"/>
      <c r="Z169" s="2876"/>
      <c r="AA169" s="2876"/>
      <c r="AB169" s="2876"/>
      <c r="AC169" s="2876"/>
      <c r="AD169" s="2876"/>
      <c r="AE169" s="2876"/>
      <c r="AF169" s="2876"/>
      <c r="AG169" s="2881"/>
    </row>
    <row r="170" spans="1:33">
      <c r="A170" s="49">
        <v>2007.05</v>
      </c>
      <c r="B170" s="631">
        <v>107721.7</v>
      </c>
      <c r="C170" s="1693"/>
      <c r="D170" s="1694"/>
      <c r="E170" s="573">
        <v>1453.8</v>
      </c>
      <c r="F170" s="2870"/>
      <c r="G170" s="2875"/>
      <c r="H170" s="2876"/>
      <c r="I170" s="2877"/>
      <c r="J170" s="2878"/>
      <c r="K170" s="2876"/>
      <c r="L170" s="2878"/>
      <c r="M170" s="2877"/>
      <c r="N170" s="2878"/>
      <c r="O170" s="2876"/>
      <c r="P170" s="2876"/>
      <c r="Q170" s="2876"/>
      <c r="R170" s="2876"/>
      <c r="S170" s="2876"/>
      <c r="T170" s="2876"/>
      <c r="U170" s="2876"/>
      <c r="V170" s="2876"/>
      <c r="W170" s="2876"/>
      <c r="X170" s="2876"/>
      <c r="Y170" s="2876"/>
      <c r="Z170" s="2876"/>
      <c r="AA170" s="2876"/>
      <c r="AB170" s="2876"/>
      <c r="AC170" s="2876"/>
      <c r="AD170" s="2876"/>
      <c r="AE170" s="2876"/>
      <c r="AF170" s="2876"/>
      <c r="AG170" s="2881"/>
    </row>
    <row r="171" spans="1:33">
      <c r="A171" s="49">
        <v>2007.06</v>
      </c>
      <c r="B171" s="631">
        <v>107756.26666666666</v>
      </c>
      <c r="C171" s="1693"/>
      <c r="D171" s="1694"/>
      <c r="E171" s="573">
        <v>1871.5</v>
      </c>
      <c r="F171" s="2870"/>
      <c r="G171" s="2875"/>
      <c r="H171" s="2876"/>
      <c r="I171" s="2877"/>
      <c r="J171" s="2878"/>
      <c r="K171" s="2876"/>
      <c r="L171" s="2878"/>
      <c r="M171" s="2877"/>
      <c r="N171" s="2878"/>
      <c r="O171" s="2876"/>
      <c r="P171" s="2876"/>
      <c r="Q171" s="2876"/>
      <c r="R171" s="2876"/>
      <c r="S171" s="2876"/>
      <c r="T171" s="2876"/>
      <c r="U171" s="2876"/>
      <c r="V171" s="2876"/>
      <c r="W171" s="2876"/>
      <c r="X171" s="2876"/>
      <c r="Y171" s="2876"/>
      <c r="Z171" s="2876"/>
      <c r="AA171" s="2876"/>
      <c r="AB171" s="2876"/>
      <c r="AC171" s="2876"/>
      <c r="AD171" s="2876"/>
      <c r="AE171" s="2876"/>
      <c r="AF171" s="2876"/>
      <c r="AG171" s="2881"/>
    </row>
    <row r="172" spans="1:33">
      <c r="A172" s="49">
        <v>2007.07</v>
      </c>
      <c r="B172" s="631">
        <v>108323.93333333333</v>
      </c>
      <c r="C172" s="1693"/>
      <c r="D172" s="1694"/>
      <c r="E172" s="573">
        <v>2180.8000000000002</v>
      </c>
      <c r="F172" s="2870"/>
      <c r="G172" s="2875"/>
      <c r="H172" s="2876"/>
      <c r="I172" s="2877"/>
      <c r="J172" s="2878"/>
      <c r="K172" s="2876"/>
      <c r="L172" s="2878"/>
      <c r="M172" s="2877"/>
      <c r="N172" s="2878"/>
      <c r="O172" s="2876"/>
      <c r="P172" s="2876"/>
      <c r="Q172" s="2876"/>
      <c r="R172" s="2876"/>
      <c r="S172" s="2876"/>
      <c r="T172" s="2876"/>
      <c r="U172" s="2876"/>
      <c r="V172" s="2876"/>
      <c r="W172" s="2876"/>
      <c r="X172" s="2876"/>
      <c r="Y172" s="2876"/>
      <c r="Z172" s="2876"/>
      <c r="AA172" s="2876"/>
      <c r="AB172" s="2876"/>
      <c r="AC172" s="2876"/>
      <c r="AD172" s="2876"/>
      <c r="AE172" s="2876"/>
      <c r="AF172" s="2876"/>
      <c r="AG172" s="2881"/>
    </row>
    <row r="173" spans="1:33">
      <c r="A173" s="49">
        <v>2007.08</v>
      </c>
      <c r="B173" s="631">
        <v>109109.83333333333</v>
      </c>
      <c r="C173" s="1693"/>
      <c r="D173" s="1694"/>
      <c r="E173" s="573">
        <v>2500.6</v>
      </c>
      <c r="F173" s="2870"/>
      <c r="G173" s="2875"/>
      <c r="H173" s="2876"/>
      <c r="I173" s="2877"/>
      <c r="J173" s="2878"/>
      <c r="K173" s="2876"/>
      <c r="L173" s="2878"/>
      <c r="M173" s="2877"/>
      <c r="N173" s="2878"/>
      <c r="O173" s="2876"/>
      <c r="P173" s="2876"/>
      <c r="Q173" s="2876"/>
      <c r="R173" s="2876"/>
      <c r="S173" s="2876"/>
      <c r="T173" s="2876"/>
      <c r="U173" s="2876"/>
      <c r="V173" s="2876"/>
      <c r="W173" s="2876"/>
      <c r="X173" s="2876"/>
      <c r="Y173" s="2876"/>
      <c r="Z173" s="2876"/>
      <c r="AA173" s="2876"/>
      <c r="AB173" s="2876"/>
      <c r="AC173" s="2876"/>
      <c r="AD173" s="2876"/>
      <c r="AE173" s="2876"/>
      <c r="AF173" s="2876"/>
      <c r="AG173" s="2881"/>
    </row>
    <row r="174" spans="1:33">
      <c r="A174" s="49">
        <v>2007.09</v>
      </c>
      <c r="B174" s="631">
        <v>110375.73333333334</v>
      </c>
      <c r="C174" s="1693"/>
      <c r="D174" s="1694"/>
      <c r="E174" s="573">
        <v>2876.6</v>
      </c>
      <c r="F174" s="2870"/>
      <c r="G174" s="2875"/>
      <c r="H174" s="2876"/>
      <c r="I174" s="2877"/>
      <c r="J174" s="2878"/>
      <c r="K174" s="2876"/>
      <c r="L174" s="2878"/>
      <c r="M174" s="2877"/>
      <c r="N174" s="2878"/>
      <c r="O174" s="2876"/>
      <c r="P174" s="2876"/>
      <c r="Q174" s="2876"/>
      <c r="R174" s="2876"/>
      <c r="S174" s="2876"/>
      <c r="T174" s="2876"/>
      <c r="U174" s="2876"/>
      <c r="V174" s="2876"/>
      <c r="W174" s="2876"/>
      <c r="X174" s="2876"/>
      <c r="Y174" s="2876"/>
      <c r="Z174" s="2876"/>
      <c r="AA174" s="2876"/>
      <c r="AB174" s="2876"/>
      <c r="AC174" s="2876"/>
      <c r="AD174" s="2876"/>
      <c r="AE174" s="2876"/>
      <c r="AF174" s="2876"/>
      <c r="AG174" s="2881"/>
    </row>
    <row r="175" spans="1:33">
      <c r="A175" s="49">
        <v>2007.1</v>
      </c>
      <c r="B175" s="631">
        <v>110794.03333333333</v>
      </c>
      <c r="C175" s="1693"/>
      <c r="D175" s="1694"/>
      <c r="E175" s="573">
        <v>3230.8</v>
      </c>
      <c r="F175" s="2870"/>
      <c r="G175" s="2875"/>
      <c r="H175" s="2876"/>
      <c r="I175" s="2877"/>
      <c r="J175" s="2878"/>
      <c r="K175" s="2876"/>
      <c r="L175" s="2878"/>
      <c r="M175" s="2877"/>
      <c r="N175" s="2878"/>
      <c r="O175" s="2876"/>
      <c r="P175" s="2876"/>
      <c r="Q175" s="2876"/>
      <c r="R175" s="2876"/>
      <c r="S175" s="2876"/>
      <c r="T175" s="2876"/>
      <c r="U175" s="2876"/>
      <c r="V175" s="2876"/>
      <c r="W175" s="2876"/>
      <c r="X175" s="2876"/>
      <c r="Y175" s="2876"/>
      <c r="Z175" s="2876"/>
      <c r="AA175" s="2876"/>
      <c r="AB175" s="2876"/>
      <c r="AC175" s="2876"/>
      <c r="AD175" s="2876"/>
      <c r="AE175" s="2876"/>
      <c r="AF175" s="2876"/>
      <c r="AG175" s="2881"/>
    </row>
    <row r="176" spans="1:33">
      <c r="A176" s="49">
        <v>2007.11</v>
      </c>
      <c r="B176" s="631">
        <v>110861.83333333333</v>
      </c>
      <c r="C176" s="1693"/>
      <c r="D176" s="1694"/>
      <c r="E176" s="573">
        <v>3584.1</v>
      </c>
      <c r="F176" s="2870"/>
      <c r="G176" s="2875"/>
      <c r="H176" s="2876"/>
      <c r="I176" s="2877"/>
      <c r="J176" s="2878"/>
      <c r="K176" s="2876"/>
      <c r="L176" s="2878"/>
      <c r="M176" s="2877"/>
      <c r="N176" s="2878"/>
      <c r="O176" s="2876"/>
      <c r="P176" s="2876"/>
      <c r="Q176" s="2876"/>
      <c r="R176" s="2876"/>
      <c r="S176" s="2876"/>
      <c r="T176" s="2876"/>
      <c r="U176" s="2876"/>
      <c r="V176" s="2876"/>
      <c r="W176" s="2876"/>
      <c r="X176" s="2876"/>
      <c r="Y176" s="2876"/>
      <c r="Z176" s="2876"/>
      <c r="AA176" s="2876"/>
      <c r="AB176" s="2876"/>
      <c r="AC176" s="2876"/>
      <c r="AD176" s="2876"/>
      <c r="AE176" s="2876"/>
      <c r="AF176" s="2876"/>
      <c r="AG176" s="2881"/>
    </row>
    <row r="177" spans="1:33">
      <c r="A177" s="49">
        <v>2007.12</v>
      </c>
      <c r="B177" s="631">
        <v>110754.03333333333</v>
      </c>
      <c r="C177" s="1693"/>
      <c r="D177" s="1694"/>
      <c r="E177" s="573">
        <v>4064.5</v>
      </c>
      <c r="F177" s="2870"/>
      <c r="G177" s="2875"/>
      <c r="H177" s="2876"/>
      <c r="I177" s="2877"/>
      <c r="J177" s="2878"/>
      <c r="K177" s="2876"/>
      <c r="L177" s="2878"/>
      <c r="M177" s="2877"/>
      <c r="N177" s="2878"/>
      <c r="O177" s="2876"/>
      <c r="P177" s="2876"/>
      <c r="Q177" s="2876"/>
      <c r="R177" s="2876"/>
      <c r="S177" s="2876"/>
      <c r="T177" s="2876"/>
      <c r="U177" s="2876"/>
      <c r="V177" s="2876"/>
      <c r="W177" s="2876"/>
      <c r="X177" s="2876"/>
      <c r="Y177" s="2876"/>
      <c r="Z177" s="2876"/>
      <c r="AA177" s="2876"/>
      <c r="AB177" s="2876"/>
      <c r="AC177" s="2876"/>
      <c r="AD177" s="2876"/>
      <c r="AE177" s="2876"/>
      <c r="AF177" s="2876"/>
      <c r="AG177" s="2881"/>
    </row>
    <row r="178" spans="1:33">
      <c r="A178" s="49">
        <f t="shared" ref="A178:A241" si="0">A166+1</f>
        <v>2008.01</v>
      </c>
      <c r="B178" s="631">
        <v>110791.86666666667</v>
      </c>
      <c r="C178" s="1693"/>
      <c r="D178" s="1694"/>
      <c r="E178" s="573">
        <v>344.8</v>
      </c>
      <c r="F178" s="2870"/>
      <c r="G178" s="2875"/>
      <c r="H178" s="2876"/>
      <c r="I178" s="2877"/>
      <c r="J178" s="2878"/>
      <c r="K178" s="2876"/>
      <c r="L178" s="2878"/>
      <c r="M178" s="2877"/>
      <c r="N178" s="2878"/>
      <c r="O178" s="2876"/>
      <c r="P178" s="2876"/>
      <c r="Q178" s="2876"/>
      <c r="R178" s="2876"/>
      <c r="S178" s="2876"/>
      <c r="T178" s="2876"/>
      <c r="U178" s="2876"/>
      <c r="V178" s="2876"/>
      <c r="W178" s="2876"/>
      <c r="X178" s="2876"/>
      <c r="Y178" s="2876"/>
      <c r="Z178" s="2876"/>
      <c r="AA178" s="2876"/>
      <c r="AB178" s="2876"/>
      <c r="AC178" s="2876"/>
      <c r="AD178" s="2876"/>
      <c r="AE178" s="2876"/>
      <c r="AF178" s="2876"/>
      <c r="AG178" s="2881"/>
    </row>
    <row r="179" spans="1:33">
      <c r="A179" s="49">
        <f t="shared" si="0"/>
        <v>2008.02</v>
      </c>
      <c r="B179" s="631">
        <v>110739.6</v>
      </c>
      <c r="C179" s="1693"/>
      <c r="D179" s="1694"/>
      <c r="E179" s="573">
        <v>682.7</v>
      </c>
      <c r="F179" s="2870"/>
      <c r="G179" s="2875"/>
      <c r="H179" s="2876"/>
      <c r="I179" s="2877"/>
      <c r="J179" s="2878"/>
      <c r="K179" s="2876"/>
      <c r="L179" s="2878"/>
      <c r="M179" s="2877"/>
      <c r="N179" s="2878"/>
      <c r="O179" s="2876"/>
      <c r="P179" s="2876"/>
      <c r="Q179" s="2876"/>
      <c r="R179" s="2876"/>
      <c r="S179" s="2876"/>
      <c r="T179" s="2876"/>
      <c r="U179" s="2876"/>
      <c r="V179" s="2876"/>
      <c r="W179" s="2876"/>
      <c r="X179" s="2876"/>
      <c r="Y179" s="2876"/>
      <c r="Z179" s="2876"/>
      <c r="AA179" s="2876"/>
      <c r="AB179" s="2876"/>
      <c r="AC179" s="2876"/>
      <c r="AD179" s="2876"/>
      <c r="AE179" s="2876"/>
      <c r="AF179" s="2876"/>
      <c r="AG179" s="2881"/>
    </row>
    <row r="180" spans="1:33">
      <c r="A180" s="49">
        <f t="shared" si="0"/>
        <v>2008.03</v>
      </c>
      <c r="B180" s="631">
        <v>110701</v>
      </c>
      <c r="C180" s="1693"/>
      <c r="D180" s="1694"/>
      <c r="E180" s="573">
        <v>1094.2</v>
      </c>
      <c r="F180" s="2870"/>
      <c r="G180" s="2875"/>
      <c r="H180" s="2876"/>
      <c r="I180" s="2877"/>
      <c r="J180" s="2878"/>
      <c r="K180" s="2876"/>
      <c r="L180" s="2878"/>
      <c r="M180" s="2877"/>
      <c r="N180" s="2878"/>
      <c r="O180" s="2876"/>
      <c r="P180" s="2876"/>
      <c r="Q180" s="2876"/>
      <c r="R180" s="2876"/>
      <c r="S180" s="2876"/>
      <c r="T180" s="2876"/>
      <c r="U180" s="2876"/>
      <c r="V180" s="2876"/>
      <c r="W180" s="2876"/>
      <c r="X180" s="2876"/>
      <c r="Y180" s="2876"/>
      <c r="Z180" s="2876"/>
      <c r="AA180" s="2876"/>
      <c r="AB180" s="2876"/>
      <c r="AC180" s="2876"/>
      <c r="AD180" s="2876"/>
      <c r="AE180" s="2876"/>
      <c r="AF180" s="2876"/>
      <c r="AG180" s="2881"/>
    </row>
    <row r="181" spans="1:33">
      <c r="A181" s="49">
        <f t="shared" si="0"/>
        <v>2008.04</v>
      </c>
      <c r="B181" s="631">
        <v>110528.2</v>
      </c>
      <c r="C181" s="1693"/>
      <c r="D181" s="1694"/>
      <c r="E181" s="573">
        <v>1599.5</v>
      </c>
      <c r="F181" s="2870"/>
      <c r="G181" s="2875"/>
      <c r="H181" s="2876"/>
      <c r="I181" s="2877"/>
      <c r="J181" s="2878"/>
      <c r="K181" s="2876"/>
      <c r="L181" s="2878"/>
      <c r="M181" s="2877"/>
      <c r="N181" s="2878"/>
      <c r="O181" s="2876"/>
      <c r="P181" s="2876"/>
      <c r="Q181" s="2876"/>
      <c r="R181" s="2876"/>
      <c r="S181" s="2876"/>
      <c r="T181" s="2876"/>
      <c r="U181" s="2876"/>
      <c r="V181" s="2876"/>
      <c r="W181" s="2876"/>
      <c r="X181" s="2876"/>
      <c r="Y181" s="2876"/>
      <c r="Z181" s="2876"/>
      <c r="AA181" s="2876"/>
      <c r="AB181" s="2876"/>
      <c r="AC181" s="2876"/>
      <c r="AD181" s="2876"/>
      <c r="AE181" s="2876"/>
      <c r="AF181" s="2876"/>
      <c r="AG181" s="2881"/>
    </row>
    <row r="182" spans="1:33" ht="12.75" customHeight="1">
      <c r="A182" s="49">
        <f t="shared" si="0"/>
        <v>2008.05</v>
      </c>
      <c r="B182" s="631">
        <v>110605.93333333333</v>
      </c>
      <c r="C182" s="1693"/>
      <c r="D182" s="1694"/>
      <c r="E182" s="573">
        <v>2032.2</v>
      </c>
      <c r="F182" s="2870"/>
      <c r="G182" s="2875"/>
      <c r="H182" s="2876"/>
      <c r="I182" s="2877"/>
      <c r="J182" s="2878"/>
      <c r="K182" s="2876"/>
      <c r="L182" s="2878"/>
      <c r="M182" s="2877"/>
      <c r="N182" s="2878"/>
      <c r="O182" s="2876"/>
      <c r="P182" s="2876"/>
      <c r="Q182" s="2876"/>
      <c r="R182" s="2876"/>
      <c r="S182" s="2876"/>
      <c r="T182" s="2876"/>
      <c r="U182" s="2876"/>
      <c r="V182" s="2876"/>
      <c r="W182" s="2876"/>
      <c r="X182" s="2876"/>
      <c r="Y182" s="2876"/>
      <c r="Z182" s="2876"/>
      <c r="AA182" s="2876"/>
      <c r="AB182" s="2876"/>
      <c r="AC182" s="2876"/>
      <c r="AD182" s="2876"/>
      <c r="AE182" s="2876"/>
      <c r="AF182" s="2876"/>
      <c r="AG182" s="2881"/>
    </row>
    <row r="183" spans="1:33">
      <c r="A183" s="49">
        <f t="shared" si="0"/>
        <v>2008.06</v>
      </c>
      <c r="B183" s="631">
        <v>110716.56666666667</v>
      </c>
      <c r="C183" s="1693"/>
      <c r="D183" s="1694"/>
      <c r="E183" s="573">
        <v>2618.1</v>
      </c>
      <c r="F183" s="2870"/>
      <c r="G183" s="2875"/>
      <c r="H183" s="2876"/>
      <c r="I183" s="2877"/>
      <c r="J183" s="2878"/>
      <c r="K183" s="2876"/>
      <c r="L183" s="2878"/>
      <c r="M183" s="2877"/>
      <c r="N183" s="2878"/>
      <c r="O183" s="2876"/>
      <c r="P183" s="2876"/>
      <c r="Q183" s="2876"/>
      <c r="R183" s="2876"/>
      <c r="S183" s="2876"/>
      <c r="T183" s="2876"/>
      <c r="U183" s="2876"/>
      <c r="V183" s="2876"/>
      <c r="W183" s="2876"/>
      <c r="X183" s="2876"/>
      <c r="Y183" s="2876"/>
      <c r="Z183" s="2876"/>
      <c r="AA183" s="2876"/>
      <c r="AB183" s="2876"/>
      <c r="AC183" s="2876"/>
      <c r="AD183" s="2876"/>
      <c r="AE183" s="2876"/>
      <c r="AF183" s="2876"/>
      <c r="AG183" s="2881"/>
    </row>
    <row r="184" spans="1:33">
      <c r="A184" s="49">
        <f t="shared" si="0"/>
        <v>2008.07</v>
      </c>
      <c r="B184" s="631">
        <v>110826</v>
      </c>
      <c r="C184" s="1693"/>
      <c r="D184" s="1694"/>
      <c r="E184" s="573">
        <v>3059.7</v>
      </c>
      <c r="F184" s="2870"/>
      <c r="G184" s="2875"/>
      <c r="H184" s="2876"/>
      <c r="I184" s="2877"/>
      <c r="J184" s="2878"/>
      <c r="K184" s="2876"/>
      <c r="L184" s="2878"/>
      <c r="M184" s="2877"/>
      <c r="N184" s="2878"/>
      <c r="O184" s="2876"/>
      <c r="P184" s="2876"/>
      <c r="Q184" s="2876"/>
      <c r="R184" s="2876"/>
      <c r="S184" s="2876"/>
      <c r="T184" s="2876"/>
      <c r="U184" s="2876"/>
      <c r="V184" s="2876"/>
      <c r="W184" s="2876"/>
      <c r="X184" s="2876"/>
      <c r="Y184" s="2876"/>
      <c r="Z184" s="2876"/>
      <c r="AA184" s="2876"/>
      <c r="AB184" s="2876"/>
      <c r="AC184" s="2876"/>
      <c r="AD184" s="2876"/>
      <c r="AE184" s="2876"/>
      <c r="AF184" s="2876"/>
      <c r="AG184" s="2881"/>
    </row>
    <row r="185" spans="1:33">
      <c r="A185" s="49">
        <f t="shared" si="0"/>
        <v>2008.08</v>
      </c>
      <c r="B185" s="631">
        <v>111956</v>
      </c>
      <c r="C185" s="1693"/>
      <c r="D185" s="1694"/>
      <c r="E185" s="573">
        <v>3495</v>
      </c>
      <c r="F185" s="2870"/>
      <c r="G185" s="2875"/>
      <c r="H185" s="2876"/>
      <c r="I185" s="2877"/>
      <c r="J185" s="2878"/>
      <c r="K185" s="2876"/>
      <c r="L185" s="2878"/>
      <c r="M185" s="2877"/>
      <c r="N185" s="2878"/>
      <c r="O185" s="2876"/>
      <c r="P185" s="2876"/>
      <c r="Q185" s="2876"/>
      <c r="R185" s="2876"/>
      <c r="S185" s="2876"/>
      <c r="T185" s="2876"/>
      <c r="U185" s="2876"/>
      <c r="V185" s="2876"/>
      <c r="W185" s="2876"/>
      <c r="X185" s="2876"/>
      <c r="Y185" s="2876"/>
      <c r="Z185" s="2876"/>
      <c r="AA185" s="2876"/>
      <c r="AB185" s="2876"/>
      <c r="AC185" s="2876"/>
      <c r="AD185" s="2876"/>
      <c r="AE185" s="2876"/>
      <c r="AF185" s="2876"/>
      <c r="AG185" s="2881"/>
    </row>
    <row r="186" spans="1:33">
      <c r="A186" s="49">
        <f t="shared" si="0"/>
        <v>2008.09</v>
      </c>
      <c r="B186" s="631">
        <v>112000</v>
      </c>
      <c r="C186" s="1693"/>
      <c r="D186" s="1694"/>
      <c r="E186" s="573">
        <v>4001.4</v>
      </c>
      <c r="F186" s="2870"/>
      <c r="G186" s="2875"/>
      <c r="H186" s="2876"/>
      <c r="I186" s="2877"/>
      <c r="J186" s="2878"/>
      <c r="K186" s="2876"/>
      <c r="L186" s="2878"/>
      <c r="M186" s="2877"/>
      <c r="N186" s="2878"/>
      <c r="O186" s="2876"/>
      <c r="P186" s="2876"/>
      <c r="Q186" s="2876"/>
      <c r="R186" s="2876"/>
      <c r="S186" s="2876"/>
      <c r="T186" s="2876"/>
      <c r="U186" s="2876"/>
      <c r="V186" s="2876"/>
      <c r="W186" s="2876"/>
      <c r="X186" s="2876"/>
      <c r="Y186" s="2876"/>
      <c r="Z186" s="2876"/>
      <c r="AA186" s="2876"/>
      <c r="AB186" s="2876"/>
      <c r="AC186" s="2876"/>
      <c r="AD186" s="2876"/>
      <c r="AE186" s="2876"/>
      <c r="AF186" s="2876"/>
      <c r="AG186" s="2881"/>
    </row>
    <row r="187" spans="1:33">
      <c r="A187" s="49">
        <f t="shared" si="0"/>
        <v>2008.1</v>
      </c>
      <c r="B187" s="631">
        <v>111907</v>
      </c>
      <c r="C187" s="1693"/>
      <c r="D187" s="1694"/>
      <c r="E187" s="573">
        <v>4476.8999999999996</v>
      </c>
      <c r="F187" s="2870"/>
      <c r="G187" s="2875"/>
      <c r="H187" s="2876"/>
      <c r="I187" s="2877"/>
      <c r="J187" s="2878"/>
      <c r="K187" s="2876"/>
      <c r="L187" s="2878"/>
      <c r="M187" s="2877"/>
      <c r="N187" s="2878"/>
      <c r="O187" s="2876"/>
      <c r="P187" s="2876"/>
      <c r="Q187" s="2876"/>
      <c r="R187" s="2876"/>
      <c r="S187" s="2876"/>
      <c r="T187" s="2876"/>
      <c r="U187" s="2876"/>
      <c r="V187" s="2876"/>
      <c r="W187" s="2876"/>
      <c r="X187" s="2876"/>
      <c r="Y187" s="2876"/>
      <c r="Z187" s="2876"/>
      <c r="AA187" s="2876"/>
      <c r="AB187" s="2876"/>
      <c r="AC187" s="2876"/>
      <c r="AD187" s="2876"/>
      <c r="AE187" s="2876"/>
      <c r="AF187" s="2876"/>
      <c r="AG187" s="2881"/>
    </row>
    <row r="188" spans="1:33">
      <c r="A188" s="49">
        <f t="shared" si="0"/>
        <v>2008.11</v>
      </c>
      <c r="B188" s="631">
        <v>112925</v>
      </c>
      <c r="C188" s="1693"/>
      <c r="D188" s="1694"/>
      <c r="E188" s="573">
        <v>4964.2</v>
      </c>
      <c r="F188" s="2870"/>
      <c r="G188" s="2875"/>
      <c r="H188" s="2876"/>
      <c r="I188" s="2877"/>
      <c r="J188" s="2878"/>
      <c r="K188" s="2876"/>
      <c r="L188" s="2878"/>
      <c r="M188" s="2877"/>
      <c r="N188" s="2878"/>
      <c r="O188" s="2876"/>
      <c r="P188" s="2876"/>
      <c r="Q188" s="2876"/>
      <c r="R188" s="2876"/>
      <c r="S188" s="2876"/>
      <c r="T188" s="2876"/>
      <c r="U188" s="2876"/>
      <c r="V188" s="2876"/>
      <c r="W188" s="2876"/>
      <c r="X188" s="2876"/>
      <c r="Y188" s="2876"/>
      <c r="Z188" s="2876"/>
      <c r="AA188" s="2876"/>
      <c r="AB188" s="2876"/>
      <c r="AC188" s="2876"/>
      <c r="AD188" s="2876"/>
      <c r="AE188" s="2876"/>
      <c r="AF188" s="2876"/>
      <c r="AG188" s="2881"/>
    </row>
    <row r="189" spans="1:33">
      <c r="A189" s="49">
        <f t="shared" si="0"/>
        <v>2008.12</v>
      </c>
      <c r="B189" s="631">
        <v>112886</v>
      </c>
      <c r="C189" s="1693"/>
      <c r="D189" s="1694"/>
      <c r="E189" s="573">
        <v>5629.2</v>
      </c>
      <c r="F189" s="2870"/>
      <c r="G189" s="2875"/>
      <c r="H189" s="2876"/>
      <c r="I189" s="2877"/>
      <c r="J189" s="2878"/>
      <c r="K189" s="2876"/>
      <c r="L189" s="2878"/>
      <c r="M189" s="2877"/>
      <c r="N189" s="2878"/>
      <c r="O189" s="2876"/>
      <c r="P189" s="2876"/>
      <c r="Q189" s="2876"/>
      <c r="R189" s="2876"/>
      <c r="S189" s="2876"/>
      <c r="T189" s="2876"/>
      <c r="U189" s="2876"/>
      <c r="V189" s="2876"/>
      <c r="W189" s="2876"/>
      <c r="X189" s="2876"/>
      <c r="Y189" s="2876"/>
      <c r="Z189" s="2876"/>
      <c r="AA189" s="2876"/>
      <c r="AB189" s="2876"/>
      <c r="AC189" s="2876"/>
      <c r="AD189" s="2876"/>
      <c r="AE189" s="2876"/>
      <c r="AF189" s="2876"/>
      <c r="AG189" s="2881"/>
    </row>
    <row r="190" spans="1:33">
      <c r="A190" s="49">
        <f t="shared" si="0"/>
        <v>2009.01</v>
      </c>
      <c r="B190" s="631">
        <v>113377.03333333333</v>
      </c>
      <c r="C190" s="1693"/>
      <c r="D190" s="1694"/>
      <c r="E190" s="573">
        <v>477.4</v>
      </c>
      <c r="F190" s="782">
        <v>459.32499999999999</v>
      </c>
      <c r="G190" s="2875"/>
      <c r="H190" s="2876"/>
      <c r="I190" s="2877"/>
      <c r="J190" s="2878"/>
      <c r="K190" s="2876"/>
      <c r="L190" s="2878"/>
      <c r="M190" s="2877"/>
      <c r="N190" s="2878"/>
      <c r="O190" s="2876"/>
      <c r="P190" s="2876"/>
      <c r="Q190" s="2876"/>
      <c r="R190" s="2876"/>
      <c r="S190" s="2876"/>
      <c r="T190" s="2876"/>
      <c r="U190" s="2876"/>
      <c r="V190" s="2876"/>
      <c r="W190" s="2876"/>
      <c r="X190" s="2876"/>
      <c r="Y190" s="2876"/>
      <c r="Z190" s="2876"/>
      <c r="AA190" s="2876"/>
      <c r="AB190" s="2876"/>
      <c r="AC190" s="2876"/>
      <c r="AD190" s="2876"/>
      <c r="AE190" s="2876"/>
      <c r="AF190" s="2876"/>
      <c r="AG190" s="2881"/>
    </row>
    <row r="191" spans="1:33">
      <c r="A191" s="49">
        <f t="shared" si="0"/>
        <v>2009.02</v>
      </c>
      <c r="B191" s="631">
        <v>113001.3</v>
      </c>
      <c r="C191" s="1693"/>
      <c r="D191" s="1694"/>
      <c r="E191" s="573">
        <v>948.5</v>
      </c>
      <c r="F191" s="618">
        <v>453.637</v>
      </c>
      <c r="G191" s="2875"/>
      <c r="H191" s="2876"/>
      <c r="I191" s="2877"/>
      <c r="J191" s="2878"/>
      <c r="K191" s="2876"/>
      <c r="L191" s="2878"/>
      <c r="M191" s="2877"/>
      <c r="N191" s="2878"/>
      <c r="O191" s="2876"/>
      <c r="P191" s="2876"/>
      <c r="Q191" s="2876"/>
      <c r="R191" s="2876"/>
      <c r="S191" s="2876"/>
      <c r="T191" s="2876"/>
      <c r="U191" s="2876"/>
      <c r="V191" s="2876"/>
      <c r="W191" s="2876"/>
      <c r="X191" s="2876"/>
      <c r="Y191" s="2876"/>
      <c r="Z191" s="2876"/>
      <c r="AA191" s="2876"/>
      <c r="AB191" s="2876"/>
      <c r="AC191" s="2876"/>
      <c r="AD191" s="2876"/>
      <c r="AE191" s="2876"/>
      <c r="AF191" s="2876"/>
      <c r="AG191" s="2881"/>
    </row>
    <row r="192" spans="1:33">
      <c r="A192" s="49">
        <f t="shared" si="0"/>
        <v>2009.03</v>
      </c>
      <c r="B192" s="631">
        <v>112936.3</v>
      </c>
      <c r="C192" s="1693"/>
      <c r="D192" s="1694"/>
      <c r="E192" s="573">
        <v>1516.5</v>
      </c>
      <c r="F192" s="618">
        <v>454.63200000000001</v>
      </c>
      <c r="G192" s="2875"/>
      <c r="H192" s="2876"/>
      <c r="I192" s="2877"/>
      <c r="J192" s="2878"/>
      <c r="K192" s="2876"/>
      <c r="L192" s="2878"/>
      <c r="M192" s="2877"/>
      <c r="N192" s="2878"/>
      <c r="O192" s="2876"/>
      <c r="P192" s="2876"/>
      <c r="Q192" s="2876"/>
      <c r="R192" s="2876"/>
      <c r="S192" s="2876"/>
      <c r="T192" s="2876"/>
      <c r="U192" s="2876"/>
      <c r="V192" s="2876"/>
      <c r="W192" s="2876"/>
      <c r="X192" s="2876"/>
      <c r="Y192" s="2876"/>
      <c r="Z192" s="2876"/>
      <c r="AA192" s="2876"/>
      <c r="AB192" s="2876"/>
      <c r="AC192" s="2876"/>
      <c r="AD192" s="2876"/>
      <c r="AE192" s="2876"/>
      <c r="AF192" s="2876"/>
      <c r="AG192" s="2881"/>
    </row>
    <row r="193" spans="1:33">
      <c r="A193" s="49">
        <f t="shared" si="0"/>
        <v>2009.04</v>
      </c>
      <c r="B193" s="631">
        <v>112954.03333333333</v>
      </c>
      <c r="C193" s="1693"/>
      <c r="D193" s="1694"/>
      <c r="E193" s="573">
        <v>2064</v>
      </c>
      <c r="F193" s="618">
        <v>452.58300000000003</v>
      </c>
      <c r="G193" s="2875"/>
      <c r="H193" s="2876"/>
      <c r="I193" s="2877"/>
      <c r="J193" s="2878"/>
      <c r="K193" s="2876"/>
      <c r="L193" s="2878"/>
      <c r="M193" s="2877"/>
      <c r="N193" s="2878"/>
      <c r="O193" s="2876"/>
      <c r="P193" s="2876"/>
      <c r="Q193" s="2876"/>
      <c r="R193" s="2876"/>
      <c r="S193" s="2876"/>
      <c r="T193" s="2876"/>
      <c r="U193" s="2876"/>
      <c r="V193" s="2876"/>
      <c r="W193" s="2876"/>
      <c r="X193" s="2876"/>
      <c r="Y193" s="2876"/>
      <c r="Z193" s="2876"/>
      <c r="AA193" s="2876"/>
      <c r="AB193" s="2876"/>
      <c r="AC193" s="2876"/>
      <c r="AD193" s="2876"/>
      <c r="AE193" s="2876"/>
      <c r="AF193" s="2876"/>
      <c r="AG193" s="2881"/>
    </row>
    <row r="194" spans="1:33">
      <c r="A194" s="49">
        <f t="shared" si="0"/>
        <v>2009.05</v>
      </c>
      <c r="B194" s="631">
        <v>112707.03333333333</v>
      </c>
      <c r="C194" s="1693"/>
      <c r="D194" s="1694"/>
      <c r="E194" s="573">
        <v>2619.5</v>
      </c>
      <c r="F194" s="618">
        <v>449.09100000000001</v>
      </c>
      <c r="G194" s="2875"/>
      <c r="H194" s="2876"/>
      <c r="I194" s="2877"/>
      <c r="J194" s="2878"/>
      <c r="K194" s="2876"/>
      <c r="L194" s="2878"/>
      <c r="M194" s="2877"/>
      <c r="N194" s="2878"/>
      <c r="O194" s="2876"/>
      <c r="P194" s="2876"/>
      <c r="Q194" s="2876"/>
      <c r="R194" s="2876"/>
      <c r="S194" s="2876"/>
      <c r="T194" s="2876"/>
      <c r="U194" s="2876"/>
      <c r="V194" s="2876"/>
      <c r="W194" s="2876"/>
      <c r="X194" s="2876"/>
      <c r="Y194" s="2876"/>
      <c r="Z194" s="2876"/>
      <c r="AA194" s="2876"/>
      <c r="AB194" s="2876"/>
      <c r="AC194" s="2876"/>
      <c r="AD194" s="2876"/>
      <c r="AE194" s="2876"/>
      <c r="AF194" s="2876"/>
      <c r="AG194" s="2881"/>
    </row>
    <row r="195" spans="1:33">
      <c r="A195" s="49">
        <f t="shared" si="0"/>
        <v>2009.06</v>
      </c>
      <c r="B195" s="631">
        <v>113104.66666666667</v>
      </c>
      <c r="C195" s="1693"/>
      <c r="D195" s="1694"/>
      <c r="E195" s="573">
        <v>3377.8</v>
      </c>
      <c r="F195" s="618">
        <v>447.70600000000002</v>
      </c>
      <c r="G195" s="2875"/>
      <c r="H195" s="2876"/>
      <c r="I195" s="2877"/>
      <c r="J195" s="2878"/>
      <c r="K195" s="2876"/>
      <c r="L195" s="2878"/>
      <c r="M195" s="2877"/>
      <c r="N195" s="2878"/>
      <c r="O195" s="2876"/>
      <c r="P195" s="2876"/>
      <c r="Q195" s="2876"/>
      <c r="R195" s="2876"/>
      <c r="S195" s="2876"/>
      <c r="T195" s="2876"/>
      <c r="U195" s="2876"/>
      <c r="V195" s="2876"/>
      <c r="W195" s="2876"/>
      <c r="X195" s="2876"/>
      <c r="Y195" s="2876"/>
      <c r="Z195" s="2876"/>
      <c r="AA195" s="2876"/>
      <c r="AB195" s="2876"/>
      <c r="AC195" s="2876"/>
      <c r="AD195" s="2876"/>
      <c r="AE195" s="2876"/>
      <c r="AF195" s="2876"/>
      <c r="AG195" s="2881"/>
    </row>
    <row r="196" spans="1:33">
      <c r="A196" s="49">
        <f t="shared" si="0"/>
        <v>2009.07</v>
      </c>
      <c r="B196" s="631">
        <v>113625.03333333333</v>
      </c>
      <c r="C196" s="1693"/>
      <c r="D196" s="1694"/>
      <c r="E196" s="573">
        <v>3940.9</v>
      </c>
      <c r="F196" s="618">
        <v>446.59500000000003</v>
      </c>
      <c r="G196" s="2875"/>
      <c r="H196" s="2876"/>
      <c r="I196" s="2877"/>
      <c r="J196" s="2878"/>
      <c r="K196" s="2876"/>
      <c r="L196" s="2878"/>
      <c r="M196" s="2877"/>
      <c r="N196" s="2878"/>
      <c r="O196" s="2876"/>
      <c r="P196" s="2876"/>
      <c r="Q196" s="2876"/>
      <c r="R196" s="2876"/>
      <c r="S196" s="2876"/>
      <c r="T196" s="2876"/>
      <c r="U196" s="2876"/>
      <c r="V196" s="2876"/>
      <c r="W196" s="2876"/>
      <c r="X196" s="2876"/>
      <c r="Y196" s="2876"/>
      <c r="Z196" s="2876"/>
      <c r="AA196" s="2876"/>
      <c r="AB196" s="2876"/>
      <c r="AC196" s="2876"/>
      <c r="AD196" s="2876"/>
      <c r="AE196" s="2876"/>
      <c r="AF196" s="2876"/>
      <c r="AG196" s="2881"/>
    </row>
    <row r="197" spans="1:33">
      <c r="A197" s="49">
        <f t="shared" si="0"/>
        <v>2009.08</v>
      </c>
      <c r="B197" s="631">
        <v>113427.66666666667</v>
      </c>
      <c r="C197" s="1693"/>
      <c r="D197" s="1694"/>
      <c r="E197" s="573">
        <v>4488.2</v>
      </c>
      <c r="F197" s="618">
        <v>445.55500000000001</v>
      </c>
      <c r="G197" s="2875"/>
      <c r="H197" s="2876"/>
      <c r="I197" s="2877"/>
      <c r="J197" s="2878"/>
      <c r="K197" s="2876"/>
      <c r="L197" s="2878"/>
      <c r="M197" s="2877"/>
      <c r="N197" s="2878"/>
      <c r="O197" s="2876"/>
      <c r="P197" s="2876"/>
      <c r="Q197" s="2876"/>
      <c r="R197" s="2876"/>
      <c r="S197" s="2876"/>
      <c r="T197" s="2876"/>
      <c r="U197" s="2876"/>
      <c r="V197" s="2876"/>
      <c r="W197" s="2876"/>
      <c r="X197" s="2876"/>
      <c r="Y197" s="2876"/>
      <c r="Z197" s="2876"/>
      <c r="AA197" s="2876"/>
      <c r="AB197" s="2876"/>
      <c r="AC197" s="2876"/>
      <c r="AD197" s="2876"/>
      <c r="AE197" s="2876"/>
      <c r="AF197" s="2876"/>
      <c r="AG197" s="2881"/>
    </row>
    <row r="198" spans="1:33">
      <c r="A198" s="49">
        <f t="shared" si="0"/>
        <v>2009.09</v>
      </c>
      <c r="B198" s="631">
        <v>113804.26666666666</v>
      </c>
      <c r="C198" s="1693"/>
      <c r="D198" s="1694"/>
      <c r="E198" s="573">
        <v>5045.8999999999996</v>
      </c>
      <c r="F198" s="618">
        <v>450.31299999999999</v>
      </c>
      <c r="G198" s="2875"/>
      <c r="H198" s="2876"/>
      <c r="I198" s="2877"/>
      <c r="J198" s="2878"/>
      <c r="K198" s="2876"/>
      <c r="L198" s="2878"/>
      <c r="M198" s="2877"/>
      <c r="N198" s="2878"/>
      <c r="O198" s="2876"/>
      <c r="P198" s="2876"/>
      <c r="Q198" s="2876"/>
      <c r="R198" s="2876"/>
      <c r="S198" s="2876"/>
      <c r="T198" s="2876"/>
      <c r="U198" s="2876"/>
      <c r="V198" s="2876"/>
      <c r="W198" s="2876"/>
      <c r="X198" s="2876"/>
      <c r="Y198" s="2876"/>
      <c r="Z198" s="2876"/>
      <c r="AA198" s="2876"/>
      <c r="AB198" s="2876"/>
      <c r="AC198" s="2876"/>
      <c r="AD198" s="2876"/>
      <c r="AE198" s="2876"/>
      <c r="AF198" s="2876"/>
      <c r="AG198" s="2881"/>
    </row>
    <row r="199" spans="1:33">
      <c r="A199" s="49">
        <f t="shared" si="0"/>
        <v>2009.1</v>
      </c>
      <c r="B199" s="631">
        <v>113644.86666666667</v>
      </c>
      <c r="C199" s="1693"/>
      <c r="D199" s="1694"/>
      <c r="E199" s="573">
        <v>5618.3</v>
      </c>
      <c r="F199" s="618">
        <v>453.29</v>
      </c>
      <c r="G199" s="2875"/>
      <c r="H199" s="2876"/>
      <c r="I199" s="2877"/>
      <c r="J199" s="2878"/>
      <c r="K199" s="2876"/>
      <c r="L199" s="2878"/>
      <c r="M199" s="2877"/>
      <c r="N199" s="2878"/>
      <c r="O199" s="2876"/>
      <c r="P199" s="2876"/>
      <c r="Q199" s="2876"/>
      <c r="R199" s="2876"/>
      <c r="S199" s="2876"/>
      <c r="T199" s="2876"/>
      <c r="U199" s="2876"/>
      <c r="V199" s="2876"/>
      <c r="W199" s="2876"/>
      <c r="X199" s="2876"/>
      <c r="Y199" s="2876"/>
      <c r="Z199" s="2876"/>
      <c r="AA199" s="2876"/>
      <c r="AB199" s="2876"/>
      <c r="AC199" s="2876"/>
      <c r="AD199" s="2876"/>
      <c r="AE199" s="2876"/>
      <c r="AF199" s="2876"/>
      <c r="AG199" s="2881"/>
    </row>
    <row r="200" spans="1:33">
      <c r="A200" s="49">
        <f t="shared" si="0"/>
        <v>2009.11</v>
      </c>
      <c r="B200" s="631">
        <v>113727.66666666667</v>
      </c>
      <c r="C200" s="1693"/>
      <c r="D200" s="1694"/>
      <c r="E200" s="573">
        <v>6183.7</v>
      </c>
      <c r="F200" s="618">
        <v>455.45699999999999</v>
      </c>
      <c r="G200" s="2875"/>
      <c r="H200" s="2876"/>
      <c r="I200" s="2877"/>
      <c r="J200" s="2878"/>
      <c r="K200" s="2876"/>
      <c r="L200" s="2878"/>
      <c r="M200" s="2877"/>
      <c r="N200" s="2878"/>
      <c r="O200" s="2876"/>
      <c r="P200" s="2876"/>
      <c r="Q200" s="2876"/>
      <c r="R200" s="2876"/>
      <c r="S200" s="2876"/>
      <c r="T200" s="2876"/>
      <c r="U200" s="2876"/>
      <c r="V200" s="2876"/>
      <c r="W200" s="2876"/>
      <c r="X200" s="2876"/>
      <c r="Y200" s="2876"/>
      <c r="Z200" s="2876"/>
      <c r="AA200" s="2876"/>
      <c r="AB200" s="2876"/>
      <c r="AC200" s="2876"/>
      <c r="AD200" s="2876"/>
      <c r="AE200" s="2876"/>
      <c r="AF200" s="2876"/>
      <c r="AG200" s="2881"/>
    </row>
    <row r="201" spans="1:33">
      <c r="A201" s="49">
        <f t="shared" si="0"/>
        <v>2009.12</v>
      </c>
      <c r="B201" s="631">
        <v>113760.83333333333</v>
      </c>
      <c r="C201" s="1693"/>
      <c r="D201" s="1694"/>
      <c r="E201" s="573">
        <v>6957.5</v>
      </c>
      <c r="F201" s="618">
        <v>459.49400000000003</v>
      </c>
      <c r="G201" s="2875"/>
      <c r="H201" s="2876"/>
      <c r="I201" s="2877"/>
      <c r="J201" s="2878"/>
      <c r="K201" s="2876"/>
      <c r="L201" s="2878"/>
      <c r="M201" s="2877"/>
      <c r="N201" s="2878"/>
      <c r="O201" s="2876"/>
      <c r="P201" s="2876"/>
      <c r="Q201" s="2876"/>
      <c r="R201" s="2876"/>
      <c r="S201" s="2876"/>
      <c r="T201" s="2876"/>
      <c r="U201" s="2876"/>
      <c r="V201" s="2876"/>
      <c r="W201" s="2876"/>
      <c r="X201" s="2876"/>
      <c r="Y201" s="2876"/>
      <c r="Z201" s="2876"/>
      <c r="AA201" s="2876"/>
      <c r="AB201" s="2876"/>
      <c r="AC201" s="2876"/>
      <c r="AD201" s="2876"/>
      <c r="AE201" s="2876"/>
      <c r="AF201" s="2876"/>
      <c r="AG201" s="2881"/>
    </row>
    <row r="202" spans="1:33">
      <c r="A202" s="49">
        <f t="shared" si="0"/>
        <v>2010.01</v>
      </c>
      <c r="B202" s="631">
        <v>114735.63333333333</v>
      </c>
      <c r="C202" s="1693"/>
      <c r="D202" s="1694"/>
      <c r="E202" s="573">
        <v>554.70000000000005</v>
      </c>
      <c r="F202" s="618">
        <v>455.25900000000001</v>
      </c>
      <c r="G202" s="2875"/>
      <c r="H202" s="2876"/>
      <c r="I202" s="2877"/>
      <c r="J202" s="2878"/>
      <c r="K202" s="2876"/>
      <c r="L202" s="2878"/>
      <c r="M202" s="2877"/>
      <c r="N202" s="2878"/>
      <c r="O202" s="2876"/>
      <c r="P202" s="2876"/>
      <c r="Q202" s="2876"/>
      <c r="R202" s="2876"/>
      <c r="S202" s="2876"/>
      <c r="T202" s="2876"/>
      <c r="U202" s="2876"/>
      <c r="V202" s="2876"/>
      <c r="W202" s="2876"/>
      <c r="X202" s="2876"/>
      <c r="Y202" s="2876"/>
      <c r="Z202" s="2876"/>
      <c r="AA202" s="2876"/>
      <c r="AB202" s="2876"/>
      <c r="AC202" s="2876"/>
      <c r="AD202" s="2876"/>
      <c r="AE202" s="2876"/>
      <c r="AF202" s="2876"/>
      <c r="AG202" s="2881"/>
    </row>
    <row r="203" spans="1:33">
      <c r="A203" s="49">
        <f t="shared" si="0"/>
        <v>2010.02</v>
      </c>
      <c r="B203" s="631">
        <v>114667.63333333333</v>
      </c>
      <c r="C203" s="1693"/>
      <c r="D203" s="1694"/>
      <c r="E203" s="573">
        <v>1104.5</v>
      </c>
      <c r="F203" s="618">
        <v>454.95</v>
      </c>
      <c r="G203" s="2875"/>
      <c r="H203" s="2876"/>
      <c r="I203" s="2877"/>
      <c r="J203" s="2878"/>
      <c r="K203" s="2876"/>
      <c r="L203" s="2878"/>
      <c r="M203" s="2877"/>
      <c r="N203" s="2878"/>
      <c r="O203" s="2876"/>
      <c r="P203" s="2876"/>
      <c r="Q203" s="2876"/>
      <c r="R203" s="2876"/>
      <c r="S203" s="2876"/>
      <c r="T203" s="2876"/>
      <c r="U203" s="2876"/>
      <c r="V203" s="2876"/>
      <c r="W203" s="2876"/>
      <c r="X203" s="2876"/>
      <c r="Y203" s="2876"/>
      <c r="Z203" s="2876"/>
      <c r="AA203" s="2876"/>
      <c r="AB203" s="2876"/>
      <c r="AC203" s="2876"/>
      <c r="AD203" s="2876"/>
      <c r="AE203" s="2876"/>
      <c r="AF203" s="2876"/>
      <c r="AG203" s="2881"/>
    </row>
    <row r="204" spans="1:33">
      <c r="A204" s="49">
        <f t="shared" si="0"/>
        <v>2010.03</v>
      </c>
      <c r="B204" s="631">
        <v>114466.13333333333</v>
      </c>
      <c r="C204" s="1693"/>
      <c r="D204" s="1694"/>
      <c r="E204" s="573">
        <v>1653.6</v>
      </c>
      <c r="F204" s="618">
        <v>459.452</v>
      </c>
      <c r="G204" s="2875"/>
      <c r="H204" s="2876"/>
      <c r="I204" s="2877"/>
      <c r="J204" s="2878"/>
      <c r="K204" s="2876"/>
      <c r="L204" s="2878"/>
      <c r="M204" s="2877"/>
      <c r="N204" s="2878"/>
      <c r="O204" s="2876"/>
      <c r="P204" s="2876"/>
      <c r="Q204" s="2876"/>
      <c r="R204" s="2876"/>
      <c r="S204" s="2876"/>
      <c r="T204" s="2876"/>
      <c r="U204" s="2876"/>
      <c r="V204" s="2876"/>
      <c r="W204" s="2876"/>
      <c r="X204" s="2876"/>
      <c r="Y204" s="2876"/>
      <c r="Z204" s="2876"/>
      <c r="AA204" s="2876"/>
      <c r="AB204" s="2876"/>
      <c r="AC204" s="2876"/>
      <c r="AD204" s="2876"/>
      <c r="AE204" s="2876"/>
      <c r="AF204" s="2876"/>
      <c r="AG204" s="2881"/>
    </row>
    <row r="205" spans="1:33">
      <c r="A205" s="49">
        <f t="shared" si="0"/>
        <v>2010.04</v>
      </c>
      <c r="B205" s="631">
        <v>114404.3</v>
      </c>
      <c r="C205" s="1693"/>
      <c r="D205" s="1694"/>
      <c r="E205" s="573">
        <v>2396.6</v>
      </c>
      <c r="F205" s="618">
        <v>459.57400000000001</v>
      </c>
      <c r="G205" s="2875"/>
      <c r="H205" s="2876"/>
      <c r="I205" s="2877"/>
      <c r="J205" s="2878"/>
      <c r="K205" s="2876"/>
      <c r="L205" s="2878"/>
      <c r="M205" s="2877"/>
      <c r="N205" s="2878"/>
      <c r="O205" s="2876"/>
      <c r="P205" s="2876"/>
      <c r="Q205" s="2876"/>
      <c r="R205" s="2876"/>
      <c r="S205" s="2876"/>
      <c r="T205" s="2876"/>
      <c r="U205" s="2876"/>
      <c r="V205" s="2876"/>
      <c r="W205" s="2876"/>
      <c r="X205" s="2876"/>
      <c r="Y205" s="2876"/>
      <c r="Z205" s="2876"/>
      <c r="AA205" s="2876"/>
      <c r="AB205" s="2876"/>
      <c r="AC205" s="2876"/>
      <c r="AD205" s="2876"/>
      <c r="AE205" s="2876"/>
      <c r="AF205" s="2876"/>
      <c r="AG205" s="2881"/>
    </row>
    <row r="206" spans="1:33">
      <c r="A206" s="49">
        <f t="shared" si="0"/>
        <v>2010.05</v>
      </c>
      <c r="B206" s="631">
        <v>114698.36666666667</v>
      </c>
      <c r="C206" s="1693"/>
      <c r="D206" s="1694"/>
      <c r="E206" s="573">
        <v>3055.8</v>
      </c>
      <c r="F206" s="618">
        <v>459.00799999999998</v>
      </c>
      <c r="G206" s="2875"/>
      <c r="H206" s="2876"/>
      <c r="I206" s="2877"/>
      <c r="J206" s="2878"/>
      <c r="K206" s="2876"/>
      <c r="L206" s="2878"/>
      <c r="M206" s="2877"/>
      <c r="N206" s="2878"/>
      <c r="O206" s="2876"/>
      <c r="P206" s="2876"/>
      <c r="Q206" s="2876"/>
      <c r="R206" s="2876"/>
      <c r="S206" s="2876"/>
      <c r="T206" s="2876"/>
      <c r="U206" s="2876"/>
      <c r="V206" s="2876"/>
      <c r="W206" s="2876"/>
      <c r="X206" s="2876"/>
      <c r="Y206" s="2876"/>
      <c r="Z206" s="2876"/>
      <c r="AA206" s="2876"/>
      <c r="AB206" s="2876"/>
      <c r="AC206" s="2876"/>
      <c r="AD206" s="2876"/>
      <c r="AE206" s="2876"/>
      <c r="AF206" s="2876"/>
      <c r="AG206" s="2881"/>
    </row>
    <row r="207" spans="1:33">
      <c r="A207" s="49">
        <f t="shared" si="0"/>
        <v>2010.06</v>
      </c>
      <c r="B207" s="631">
        <v>114500.06666666667</v>
      </c>
      <c r="C207" s="1693"/>
      <c r="D207" s="1694"/>
      <c r="E207" s="573">
        <v>3940.6</v>
      </c>
      <c r="F207" s="618">
        <v>459.96199999999999</v>
      </c>
      <c r="G207" s="2875"/>
      <c r="H207" s="2876"/>
      <c r="I207" s="2877"/>
      <c r="J207" s="2878"/>
      <c r="K207" s="2876"/>
      <c r="L207" s="2878"/>
      <c r="M207" s="2877"/>
      <c r="N207" s="2878"/>
      <c r="O207" s="2876"/>
      <c r="P207" s="2876"/>
      <c r="Q207" s="2876"/>
      <c r="R207" s="2876"/>
      <c r="S207" s="2876"/>
      <c r="T207" s="2876"/>
      <c r="U207" s="2876"/>
      <c r="V207" s="2876"/>
      <c r="W207" s="2876"/>
      <c r="X207" s="2876"/>
      <c r="Y207" s="2876"/>
      <c r="Z207" s="2876"/>
      <c r="AA207" s="2876"/>
      <c r="AB207" s="2876"/>
      <c r="AC207" s="2876"/>
      <c r="AD207" s="2876"/>
      <c r="AE207" s="2876"/>
      <c r="AF207" s="2876"/>
      <c r="AG207" s="2881"/>
    </row>
    <row r="208" spans="1:33">
      <c r="A208" s="49">
        <f t="shared" si="0"/>
        <v>2010.07</v>
      </c>
      <c r="B208" s="631">
        <v>114150.13333333333</v>
      </c>
      <c r="C208" s="1693"/>
      <c r="D208" s="1694"/>
      <c r="E208" s="573">
        <v>4623.5</v>
      </c>
      <c r="F208" s="618">
        <v>460.33</v>
      </c>
      <c r="G208" s="2875"/>
      <c r="H208" s="2876"/>
      <c r="I208" s="2877"/>
      <c r="J208" s="2878"/>
      <c r="K208" s="2876"/>
      <c r="L208" s="2878"/>
      <c r="M208" s="2877"/>
      <c r="N208" s="2878"/>
      <c r="O208" s="2876"/>
      <c r="P208" s="2876"/>
      <c r="Q208" s="2876"/>
      <c r="R208" s="2876"/>
      <c r="S208" s="2876"/>
      <c r="T208" s="2876"/>
      <c r="U208" s="2876"/>
      <c r="V208" s="2876"/>
      <c r="W208" s="2876"/>
      <c r="X208" s="2876"/>
      <c r="Y208" s="2876"/>
      <c r="Z208" s="2876"/>
      <c r="AA208" s="2876"/>
      <c r="AB208" s="2876"/>
      <c r="AC208" s="2876"/>
      <c r="AD208" s="2876"/>
      <c r="AE208" s="2876"/>
      <c r="AF208" s="2876"/>
      <c r="AG208" s="2881"/>
    </row>
    <row r="209" spans="1:33">
      <c r="A209" s="49">
        <f t="shared" si="0"/>
        <v>2010.08</v>
      </c>
      <c r="B209" s="631">
        <v>113944.03333333333</v>
      </c>
      <c r="C209" s="1693"/>
      <c r="D209" s="1694"/>
      <c r="E209" s="573">
        <v>5294.9</v>
      </c>
      <c r="F209" s="618">
        <v>462.05599999999998</v>
      </c>
      <c r="G209" s="2875"/>
      <c r="H209" s="2876"/>
      <c r="I209" s="2877"/>
      <c r="J209" s="2878"/>
      <c r="K209" s="2876"/>
      <c r="L209" s="2878"/>
      <c r="M209" s="2877"/>
      <c r="N209" s="2878"/>
      <c r="O209" s="2876"/>
      <c r="P209" s="2876"/>
      <c r="Q209" s="2876"/>
      <c r="R209" s="2876"/>
      <c r="S209" s="2876"/>
      <c r="T209" s="2876"/>
      <c r="U209" s="2876"/>
      <c r="V209" s="2876"/>
      <c r="W209" s="2876"/>
      <c r="X209" s="2876"/>
      <c r="Y209" s="2876"/>
      <c r="Z209" s="2876"/>
      <c r="AA209" s="2876"/>
      <c r="AB209" s="2876"/>
      <c r="AC209" s="2876"/>
      <c r="AD209" s="2876"/>
      <c r="AE209" s="2876"/>
      <c r="AF209" s="2876"/>
      <c r="AG209" s="2881"/>
    </row>
    <row r="210" spans="1:33">
      <c r="A210" s="49">
        <f t="shared" si="0"/>
        <v>2010.09</v>
      </c>
      <c r="B210" s="631">
        <v>114579.63333333333</v>
      </c>
      <c r="C210" s="1693"/>
      <c r="D210" s="1694"/>
      <c r="E210" s="573">
        <v>5984</v>
      </c>
      <c r="F210" s="618">
        <v>464.50200000000001</v>
      </c>
      <c r="G210" s="2875"/>
      <c r="H210" s="2876"/>
      <c r="I210" s="2877"/>
      <c r="J210" s="2878"/>
      <c r="K210" s="2876"/>
      <c r="L210" s="2878"/>
      <c r="M210" s="2877"/>
      <c r="N210" s="2878"/>
      <c r="O210" s="2876"/>
      <c r="P210" s="2876"/>
      <c r="Q210" s="2876"/>
      <c r="R210" s="2876"/>
      <c r="S210" s="2876"/>
      <c r="T210" s="2876"/>
      <c r="U210" s="2876"/>
      <c r="V210" s="2876"/>
      <c r="W210" s="2876"/>
      <c r="X210" s="2876"/>
      <c r="Y210" s="2876"/>
      <c r="Z210" s="2876"/>
      <c r="AA210" s="2876"/>
      <c r="AB210" s="2876"/>
      <c r="AC210" s="2876"/>
      <c r="AD210" s="2876"/>
      <c r="AE210" s="2876"/>
      <c r="AF210" s="2876"/>
      <c r="AG210" s="2881"/>
    </row>
    <row r="211" spans="1:33">
      <c r="A211" s="49">
        <f t="shared" si="0"/>
        <v>2010.1</v>
      </c>
      <c r="B211" s="631">
        <v>114577.3</v>
      </c>
      <c r="C211" s="1693"/>
      <c r="D211" s="1694"/>
      <c r="E211" s="573">
        <v>6702.1</v>
      </c>
      <c r="F211" s="618">
        <v>467.31299999999999</v>
      </c>
      <c r="G211" s="2875"/>
      <c r="H211" s="2876"/>
      <c r="I211" s="2877"/>
      <c r="J211" s="2878"/>
      <c r="K211" s="2876"/>
      <c r="L211" s="2878"/>
      <c r="M211" s="2877"/>
      <c r="N211" s="2878"/>
      <c r="O211" s="2876"/>
      <c r="P211" s="2876"/>
      <c r="Q211" s="2876"/>
      <c r="R211" s="2876"/>
      <c r="S211" s="2876"/>
      <c r="T211" s="2876"/>
      <c r="U211" s="2876"/>
      <c r="V211" s="2876"/>
      <c r="W211" s="2876"/>
      <c r="X211" s="2876"/>
      <c r="Y211" s="2876"/>
      <c r="Z211" s="2876"/>
      <c r="AA211" s="2876"/>
      <c r="AB211" s="2876"/>
      <c r="AC211" s="2876"/>
      <c r="AD211" s="2876"/>
      <c r="AE211" s="2876"/>
      <c r="AF211" s="2876"/>
      <c r="AG211" s="2881"/>
    </row>
    <row r="212" spans="1:33">
      <c r="A212" s="49">
        <f t="shared" si="0"/>
        <v>2010.11</v>
      </c>
      <c r="B212" s="631">
        <v>115118.3</v>
      </c>
      <c r="C212" s="1693"/>
      <c r="D212" s="1694"/>
      <c r="E212" s="573">
        <v>7483.6</v>
      </c>
      <c r="F212" s="618">
        <v>472.01</v>
      </c>
      <c r="G212" s="2875"/>
      <c r="H212" s="2876"/>
      <c r="I212" s="2877"/>
      <c r="J212" s="2878"/>
      <c r="K212" s="2876"/>
      <c r="L212" s="2878"/>
      <c r="M212" s="2877"/>
      <c r="N212" s="2878"/>
      <c r="O212" s="2876"/>
      <c r="P212" s="2876"/>
      <c r="Q212" s="2876"/>
      <c r="R212" s="2876"/>
      <c r="S212" s="2876"/>
      <c r="T212" s="2876"/>
      <c r="U212" s="2876"/>
      <c r="V212" s="2876"/>
      <c r="W212" s="2876"/>
      <c r="X212" s="2876"/>
      <c r="Y212" s="2876"/>
      <c r="Z212" s="2876"/>
      <c r="AA212" s="2876"/>
      <c r="AB212" s="2876"/>
      <c r="AC212" s="2876"/>
      <c r="AD212" s="2876"/>
      <c r="AE212" s="2876"/>
      <c r="AF212" s="2876"/>
      <c r="AG212" s="2881"/>
    </row>
    <row r="213" spans="1:33">
      <c r="A213" s="49">
        <f t="shared" si="0"/>
        <v>2010.12</v>
      </c>
      <c r="B213" s="631">
        <v>116513.76666666666</v>
      </c>
      <c r="C213" s="1693"/>
      <c r="D213" s="1694"/>
      <c r="E213" s="573">
        <v>8527.2000000000007</v>
      </c>
      <c r="F213" s="618">
        <v>477.78800000000001</v>
      </c>
      <c r="G213" s="2875"/>
      <c r="H213" s="2876"/>
      <c r="I213" s="2877"/>
      <c r="J213" s="2878"/>
      <c r="K213" s="2876"/>
      <c r="L213" s="2878"/>
      <c r="M213" s="2877"/>
      <c r="N213" s="2878"/>
      <c r="O213" s="2876"/>
      <c r="P213" s="2876"/>
      <c r="Q213" s="2876"/>
      <c r="R213" s="2876"/>
      <c r="S213" s="2876"/>
      <c r="T213" s="2876"/>
      <c r="U213" s="2876"/>
      <c r="V213" s="2876"/>
      <c r="W213" s="2876"/>
      <c r="X213" s="2876"/>
      <c r="Y213" s="2876"/>
      <c r="Z213" s="2876"/>
      <c r="AA213" s="2876"/>
      <c r="AB213" s="2876"/>
      <c r="AC213" s="2876"/>
      <c r="AD213" s="2876"/>
      <c r="AE213" s="2876"/>
      <c r="AF213" s="2876"/>
      <c r="AG213" s="2881"/>
    </row>
    <row r="214" spans="1:33">
      <c r="A214" s="49">
        <f t="shared" si="0"/>
        <v>2011.01</v>
      </c>
      <c r="B214" s="631">
        <v>116706.7</v>
      </c>
      <c r="C214" s="1693"/>
      <c r="D214" s="1694"/>
      <c r="E214" s="573">
        <v>759.1</v>
      </c>
      <c r="F214" s="618">
        <v>475.04199999999997</v>
      </c>
      <c r="G214" s="2875"/>
      <c r="H214" s="2876"/>
      <c r="I214" s="2877"/>
      <c r="J214" s="2878"/>
      <c r="K214" s="2876"/>
      <c r="L214" s="2878"/>
      <c r="M214" s="2877"/>
      <c r="N214" s="2878"/>
      <c r="O214" s="2876"/>
      <c r="P214" s="2876"/>
      <c r="Q214" s="2876"/>
      <c r="R214" s="2876"/>
      <c r="S214" s="2876"/>
      <c r="T214" s="2876"/>
      <c r="U214" s="2876"/>
      <c r="V214" s="2876"/>
      <c r="W214" s="2876"/>
      <c r="X214" s="2876"/>
      <c r="Y214" s="2876"/>
      <c r="Z214" s="2876"/>
      <c r="AA214" s="2876"/>
      <c r="AB214" s="2876"/>
      <c r="AC214" s="2876"/>
      <c r="AD214" s="2876"/>
      <c r="AE214" s="2876"/>
      <c r="AF214" s="2876"/>
      <c r="AG214" s="2881"/>
    </row>
    <row r="215" spans="1:33">
      <c r="A215" s="49">
        <f t="shared" si="0"/>
        <v>2011.02</v>
      </c>
      <c r="B215" s="631">
        <v>116730.13333333333</v>
      </c>
      <c r="C215" s="1693"/>
      <c r="D215" s="1694"/>
      <c r="E215" s="573">
        <v>1653.2</v>
      </c>
      <c r="F215" s="618">
        <v>474.11500000000001</v>
      </c>
      <c r="G215" s="2875"/>
      <c r="H215" s="2876"/>
      <c r="I215" s="2877"/>
      <c r="J215" s="2878"/>
      <c r="K215" s="2876"/>
      <c r="L215" s="2878"/>
      <c r="M215" s="2877"/>
      <c r="N215" s="2878"/>
      <c r="O215" s="2876"/>
      <c r="P215" s="2876"/>
      <c r="Q215" s="2876"/>
      <c r="R215" s="2876"/>
      <c r="S215" s="2876"/>
      <c r="T215" s="2876"/>
      <c r="U215" s="2876"/>
      <c r="V215" s="2876"/>
      <c r="W215" s="2876"/>
      <c r="X215" s="2876"/>
      <c r="Y215" s="2876"/>
      <c r="Z215" s="2876"/>
      <c r="AA215" s="2876"/>
      <c r="AB215" s="2876"/>
      <c r="AC215" s="2876"/>
      <c r="AD215" s="2876"/>
      <c r="AE215" s="2876"/>
      <c r="AF215" s="2876"/>
      <c r="AG215" s="2881"/>
    </row>
    <row r="216" spans="1:33">
      <c r="A216" s="49">
        <f t="shared" si="0"/>
        <v>2011.03</v>
      </c>
      <c r="B216" s="631">
        <v>116771.53333333333</v>
      </c>
      <c r="C216" s="1693"/>
      <c r="D216" s="1694"/>
      <c r="E216" s="573">
        <v>2651.7</v>
      </c>
      <c r="F216" s="618">
        <v>478.83600000000001</v>
      </c>
      <c r="G216" s="2875"/>
      <c r="H216" s="2876"/>
      <c r="I216" s="2877"/>
      <c r="J216" s="2878"/>
      <c r="K216" s="2876"/>
      <c r="L216" s="2878"/>
      <c r="M216" s="2877"/>
      <c r="N216" s="2878"/>
      <c r="O216" s="2876"/>
      <c r="P216" s="2876"/>
      <c r="Q216" s="2876"/>
      <c r="R216" s="2876"/>
      <c r="S216" s="2876"/>
      <c r="T216" s="2876"/>
      <c r="U216" s="2876"/>
      <c r="V216" s="2876"/>
      <c r="W216" s="2876"/>
      <c r="X216" s="2876"/>
      <c r="Y216" s="2876"/>
      <c r="Z216" s="2876"/>
      <c r="AA216" s="2876"/>
      <c r="AB216" s="2876"/>
      <c r="AC216" s="2876"/>
      <c r="AD216" s="2876"/>
      <c r="AE216" s="2876"/>
      <c r="AF216" s="2876"/>
      <c r="AG216" s="2881"/>
    </row>
    <row r="217" spans="1:33">
      <c r="A217" s="49">
        <f t="shared" si="0"/>
        <v>2011.04</v>
      </c>
      <c r="B217" s="631">
        <v>116849.46666666667</v>
      </c>
      <c r="C217" s="1693"/>
      <c r="D217" s="1694"/>
      <c r="E217" s="573">
        <v>3621.9</v>
      </c>
      <c r="F217" s="618">
        <v>481.31400000000002</v>
      </c>
      <c r="G217" s="2875"/>
      <c r="H217" s="2876"/>
      <c r="I217" s="2877"/>
      <c r="J217" s="2878"/>
      <c r="K217" s="2876"/>
      <c r="L217" s="2878"/>
      <c r="M217" s="2877"/>
      <c r="N217" s="2878"/>
      <c r="O217" s="2876"/>
      <c r="P217" s="2876"/>
      <c r="Q217" s="2876"/>
      <c r="R217" s="2876"/>
      <c r="S217" s="2876"/>
      <c r="T217" s="2876"/>
      <c r="U217" s="2876"/>
      <c r="V217" s="2876"/>
      <c r="W217" s="2876"/>
      <c r="X217" s="2876"/>
      <c r="Y217" s="2876"/>
      <c r="Z217" s="2876"/>
      <c r="AA217" s="2876"/>
      <c r="AB217" s="2876"/>
      <c r="AC217" s="2876"/>
      <c r="AD217" s="2876"/>
      <c r="AE217" s="2876"/>
      <c r="AF217" s="2876"/>
      <c r="AG217" s="2881"/>
    </row>
    <row r="218" spans="1:33">
      <c r="A218" s="49">
        <f t="shared" si="0"/>
        <v>2011.05</v>
      </c>
      <c r="B218" s="631">
        <v>117356.13333333333</v>
      </c>
      <c r="C218" s="1693"/>
      <c r="D218" s="1694"/>
      <c r="E218" s="573">
        <v>4603</v>
      </c>
      <c r="F218" s="618">
        <v>482.327</v>
      </c>
      <c r="G218" s="2875"/>
      <c r="H218" s="2876"/>
      <c r="I218" s="2877"/>
      <c r="J218" s="2878"/>
      <c r="K218" s="2876"/>
      <c r="L218" s="2878"/>
      <c r="M218" s="2877"/>
      <c r="N218" s="2878"/>
      <c r="O218" s="2876"/>
      <c r="P218" s="2876"/>
      <c r="Q218" s="2876"/>
      <c r="R218" s="2876"/>
      <c r="S218" s="2876"/>
      <c r="T218" s="2876"/>
      <c r="U218" s="2876"/>
      <c r="V218" s="2876"/>
      <c r="W218" s="2876"/>
      <c r="X218" s="2876"/>
      <c r="Y218" s="2876"/>
      <c r="Z218" s="2876"/>
      <c r="AA218" s="2876"/>
      <c r="AB218" s="2876"/>
      <c r="AC218" s="2876"/>
      <c r="AD218" s="2876"/>
      <c r="AE218" s="2876"/>
      <c r="AF218" s="2876"/>
      <c r="AG218" s="2881"/>
    </row>
    <row r="219" spans="1:33">
      <c r="A219" s="49">
        <f t="shared" si="0"/>
        <v>2011.06</v>
      </c>
      <c r="B219" s="631">
        <v>117321.86666666667</v>
      </c>
      <c r="C219" s="1693"/>
      <c r="D219" s="1694"/>
      <c r="E219" s="573">
        <v>5930.6</v>
      </c>
      <c r="F219" s="618">
        <v>484.44</v>
      </c>
      <c r="G219" s="2875"/>
      <c r="H219" s="2876"/>
      <c r="I219" s="2877"/>
      <c r="J219" s="2878"/>
      <c r="K219" s="2876"/>
      <c r="L219" s="2878"/>
      <c r="M219" s="2877"/>
      <c r="N219" s="2878"/>
      <c r="O219" s="2876"/>
      <c r="P219" s="2876"/>
      <c r="Q219" s="2876"/>
      <c r="R219" s="2876"/>
      <c r="S219" s="2876"/>
      <c r="T219" s="2876"/>
      <c r="U219" s="2876"/>
      <c r="V219" s="2876"/>
      <c r="W219" s="2876"/>
      <c r="X219" s="2876"/>
      <c r="Y219" s="2876"/>
      <c r="Z219" s="2876"/>
      <c r="AA219" s="2876"/>
      <c r="AB219" s="2876"/>
      <c r="AC219" s="2876"/>
      <c r="AD219" s="2876"/>
      <c r="AE219" s="2876"/>
      <c r="AF219" s="2876"/>
      <c r="AG219" s="2881"/>
    </row>
    <row r="220" spans="1:33">
      <c r="A220" s="49">
        <f t="shared" si="0"/>
        <v>2011.07</v>
      </c>
      <c r="B220" s="631">
        <v>117275.9</v>
      </c>
      <c r="C220" s="1693"/>
      <c r="D220" s="1694"/>
      <c r="E220" s="573">
        <v>6950.1</v>
      </c>
      <c r="F220" s="618">
        <v>484.298</v>
      </c>
      <c r="G220" s="2875"/>
      <c r="H220" s="2876"/>
      <c r="I220" s="2877"/>
      <c r="J220" s="2878"/>
      <c r="K220" s="2876"/>
      <c r="L220" s="2878"/>
      <c r="M220" s="2877"/>
      <c r="N220" s="2878"/>
      <c r="O220" s="2876"/>
      <c r="P220" s="2876"/>
      <c r="Q220" s="2876"/>
      <c r="R220" s="2876"/>
      <c r="S220" s="2876"/>
      <c r="T220" s="2876"/>
      <c r="U220" s="2876"/>
      <c r="V220" s="2876"/>
      <c r="W220" s="2876"/>
      <c r="X220" s="2876"/>
      <c r="Y220" s="2876"/>
      <c r="Z220" s="2876"/>
      <c r="AA220" s="2876"/>
      <c r="AB220" s="2876"/>
      <c r="AC220" s="2876"/>
      <c r="AD220" s="2876"/>
      <c r="AE220" s="2876"/>
      <c r="AF220" s="2876"/>
      <c r="AG220" s="2881"/>
    </row>
    <row r="221" spans="1:33">
      <c r="A221" s="49">
        <f t="shared" si="0"/>
        <v>2011.08</v>
      </c>
      <c r="B221" s="631">
        <v>117277.93333333333</v>
      </c>
      <c r="C221" s="1693"/>
      <c r="D221" s="1694"/>
      <c r="E221" s="573">
        <v>7947.9</v>
      </c>
      <c r="F221" s="618">
        <v>487.82100000000003</v>
      </c>
      <c r="G221" s="2875"/>
      <c r="H221" s="2876"/>
      <c r="I221" s="2877"/>
      <c r="J221" s="2878"/>
      <c r="K221" s="2876"/>
      <c r="L221" s="2878"/>
      <c r="M221" s="2877"/>
      <c r="N221" s="2878"/>
      <c r="O221" s="2876"/>
      <c r="P221" s="2876"/>
      <c r="Q221" s="2876"/>
      <c r="R221" s="2876"/>
      <c r="S221" s="2876"/>
      <c r="T221" s="2876"/>
      <c r="U221" s="2876"/>
      <c r="V221" s="2876"/>
      <c r="W221" s="2876"/>
      <c r="X221" s="2876"/>
      <c r="Y221" s="2876"/>
      <c r="Z221" s="2876"/>
      <c r="AA221" s="2876"/>
      <c r="AB221" s="2876"/>
      <c r="AC221" s="2876"/>
      <c r="AD221" s="2876"/>
      <c r="AE221" s="2876"/>
      <c r="AF221" s="2876"/>
      <c r="AG221" s="2881"/>
    </row>
    <row r="222" spans="1:33">
      <c r="A222" s="49">
        <f t="shared" si="0"/>
        <v>2011.09</v>
      </c>
      <c r="B222" s="631">
        <v>117348.73333333334</v>
      </c>
      <c r="C222" s="1693"/>
      <c r="D222" s="1694"/>
      <c r="E222" s="573">
        <v>8960.9</v>
      </c>
      <c r="F222" s="618">
        <v>488.52</v>
      </c>
      <c r="G222" s="2875"/>
      <c r="H222" s="2876"/>
      <c r="I222" s="2877"/>
      <c r="J222" s="2878"/>
      <c r="K222" s="2876"/>
      <c r="L222" s="2878"/>
      <c r="M222" s="2877"/>
      <c r="N222" s="2878"/>
      <c r="O222" s="2876"/>
      <c r="P222" s="2876"/>
      <c r="Q222" s="2876"/>
      <c r="R222" s="2876"/>
      <c r="S222" s="2876"/>
      <c r="T222" s="2876"/>
      <c r="U222" s="2876"/>
      <c r="V222" s="2876"/>
      <c r="W222" s="2876"/>
      <c r="X222" s="2876"/>
      <c r="Y222" s="2876"/>
      <c r="Z222" s="2876"/>
      <c r="AA222" s="2876"/>
      <c r="AB222" s="2876"/>
      <c r="AC222" s="2876"/>
      <c r="AD222" s="2876"/>
      <c r="AE222" s="2876"/>
      <c r="AF222" s="2876"/>
      <c r="AG222" s="2881"/>
    </row>
    <row r="223" spans="1:33">
      <c r="A223" s="49">
        <f t="shared" si="0"/>
        <v>2011.1</v>
      </c>
      <c r="B223" s="631">
        <v>117275.66666666667</v>
      </c>
      <c r="C223" s="1693"/>
      <c r="D223" s="1694"/>
      <c r="E223" s="573">
        <v>9966.2999999999993</v>
      </c>
      <c r="F223" s="618">
        <v>490.649</v>
      </c>
      <c r="G223" s="2875"/>
      <c r="H223" s="2876"/>
      <c r="I223" s="2877"/>
      <c r="J223" s="2878"/>
      <c r="K223" s="2876"/>
      <c r="L223" s="2878"/>
      <c r="M223" s="2877"/>
      <c r="N223" s="2878"/>
      <c r="O223" s="2876"/>
      <c r="P223" s="2876"/>
      <c r="Q223" s="2876"/>
      <c r="R223" s="2876"/>
      <c r="S223" s="2876"/>
      <c r="T223" s="2876"/>
      <c r="U223" s="2876"/>
      <c r="V223" s="2876"/>
      <c r="W223" s="2876"/>
      <c r="X223" s="2876"/>
      <c r="Y223" s="2876"/>
      <c r="Z223" s="2876"/>
      <c r="AA223" s="2876"/>
      <c r="AB223" s="2876"/>
      <c r="AC223" s="2876"/>
      <c r="AD223" s="2876"/>
      <c r="AE223" s="2876"/>
      <c r="AF223" s="2876"/>
      <c r="AG223" s="2881"/>
    </row>
    <row r="224" spans="1:33">
      <c r="A224" s="49">
        <f t="shared" si="0"/>
        <v>2011.11</v>
      </c>
      <c r="B224" s="631">
        <v>117220.96666666667</v>
      </c>
      <c r="C224" s="1693"/>
      <c r="D224" s="1694"/>
      <c r="E224" s="573">
        <v>10979.1</v>
      </c>
      <c r="F224" s="618">
        <v>495.20299999999997</v>
      </c>
      <c r="G224" s="2875"/>
      <c r="H224" s="2876"/>
      <c r="I224" s="2877"/>
      <c r="J224" s="2878"/>
      <c r="K224" s="2876"/>
      <c r="L224" s="2878"/>
      <c r="M224" s="2877"/>
      <c r="N224" s="2878"/>
      <c r="O224" s="2876"/>
      <c r="P224" s="2876"/>
      <c r="Q224" s="2876"/>
      <c r="R224" s="2876"/>
      <c r="S224" s="2876"/>
      <c r="T224" s="2876"/>
      <c r="U224" s="2876"/>
      <c r="V224" s="2876"/>
      <c r="W224" s="2876"/>
      <c r="X224" s="2876"/>
      <c r="Y224" s="2876"/>
      <c r="Z224" s="2876"/>
      <c r="AA224" s="2876"/>
      <c r="AB224" s="2876"/>
      <c r="AC224" s="2876"/>
      <c r="AD224" s="2876"/>
      <c r="AE224" s="2876"/>
      <c r="AF224" s="2876"/>
      <c r="AG224" s="2881"/>
    </row>
    <row r="225" spans="1:33">
      <c r="A225" s="49">
        <f t="shared" si="0"/>
        <v>2011.12</v>
      </c>
      <c r="B225" s="631">
        <v>117341.9</v>
      </c>
      <c r="C225" s="1693"/>
      <c r="D225" s="1694"/>
      <c r="E225" s="573">
        <v>12397.7</v>
      </c>
      <c r="F225" s="618">
        <v>497.96800000000002</v>
      </c>
      <c r="G225" s="2875"/>
      <c r="H225" s="2876"/>
      <c r="I225" s="2877"/>
      <c r="J225" s="2878"/>
      <c r="K225" s="2876"/>
      <c r="L225" s="2878"/>
      <c r="M225" s="2877"/>
      <c r="N225" s="2878"/>
      <c r="O225" s="2876"/>
      <c r="P225" s="2876"/>
      <c r="Q225" s="2876"/>
      <c r="R225" s="2876"/>
      <c r="S225" s="2876"/>
      <c r="T225" s="2876"/>
      <c r="U225" s="2876"/>
      <c r="V225" s="2876"/>
      <c r="W225" s="2876"/>
      <c r="X225" s="2876"/>
      <c r="Y225" s="2876"/>
      <c r="Z225" s="2876"/>
      <c r="AA225" s="2876"/>
      <c r="AB225" s="2876"/>
      <c r="AC225" s="2876"/>
      <c r="AD225" s="2876"/>
      <c r="AE225" s="2876"/>
      <c r="AF225" s="2876"/>
      <c r="AG225" s="2881"/>
    </row>
    <row r="226" spans="1:33">
      <c r="A226" s="49">
        <f t="shared" si="0"/>
        <v>2012.01</v>
      </c>
      <c r="B226" s="631">
        <v>119810.26666666666</v>
      </c>
      <c r="C226" s="1693"/>
      <c r="D226" s="1694"/>
      <c r="E226" s="573">
        <v>1011.77</v>
      </c>
      <c r="F226" s="618">
        <v>493.45699999999999</v>
      </c>
      <c r="G226" s="2875"/>
      <c r="H226" s="2876"/>
      <c r="I226" s="2877"/>
      <c r="J226" s="2878"/>
      <c r="K226" s="2876"/>
      <c r="L226" s="2878"/>
      <c r="M226" s="2877"/>
      <c r="N226" s="2878"/>
      <c r="O226" s="2876"/>
      <c r="P226" s="2876"/>
      <c r="Q226" s="2876"/>
      <c r="R226" s="2876"/>
      <c r="S226" s="2876"/>
      <c r="T226" s="2876"/>
      <c r="U226" s="2876"/>
      <c r="V226" s="2876"/>
      <c r="W226" s="2876"/>
      <c r="X226" s="2876"/>
      <c r="Y226" s="2876"/>
      <c r="Z226" s="2876"/>
      <c r="AA226" s="2876"/>
      <c r="AB226" s="2876"/>
      <c r="AC226" s="2876"/>
      <c r="AD226" s="2876"/>
      <c r="AE226" s="2876"/>
      <c r="AF226" s="2876"/>
      <c r="AG226" s="2881"/>
    </row>
    <row r="227" spans="1:33">
      <c r="A227" s="49">
        <f t="shared" si="0"/>
        <v>2012.02</v>
      </c>
      <c r="B227" s="631">
        <v>119633.36666666667</v>
      </c>
      <c r="C227" s="1693"/>
      <c r="D227" s="1694"/>
      <c r="E227" s="573">
        <v>2023.95</v>
      </c>
      <c r="F227" s="618">
        <v>490.28699999999998</v>
      </c>
      <c r="G227" s="2875"/>
      <c r="H227" s="2876"/>
      <c r="I227" s="2877"/>
      <c r="J227" s="2878"/>
      <c r="K227" s="2876"/>
      <c r="L227" s="2878"/>
      <c r="M227" s="2877"/>
      <c r="N227" s="2878"/>
      <c r="O227" s="2876"/>
      <c r="P227" s="2876"/>
      <c r="Q227" s="2876"/>
      <c r="R227" s="2876"/>
      <c r="S227" s="2876"/>
      <c r="T227" s="2876"/>
      <c r="U227" s="2876"/>
      <c r="V227" s="2876"/>
      <c r="W227" s="2876"/>
      <c r="X227" s="2876"/>
      <c r="Y227" s="2876"/>
      <c r="Z227" s="2876"/>
      <c r="AA227" s="2876"/>
      <c r="AB227" s="2876"/>
      <c r="AC227" s="2876"/>
      <c r="AD227" s="2876"/>
      <c r="AE227" s="2876"/>
      <c r="AF227" s="2876"/>
      <c r="AG227" s="2881"/>
    </row>
    <row r="228" spans="1:33">
      <c r="A228" s="49">
        <f t="shared" si="0"/>
        <v>2012.03</v>
      </c>
      <c r="B228" s="631">
        <v>120515.26666666666</v>
      </c>
      <c r="C228" s="1693"/>
      <c r="D228" s="1694"/>
      <c r="E228" s="573">
        <v>3146.09</v>
      </c>
      <c r="F228" s="618">
        <v>493.33499999999998</v>
      </c>
      <c r="G228" s="2875"/>
      <c r="H228" s="2876"/>
      <c r="I228" s="2877"/>
      <c r="J228" s="2878"/>
      <c r="K228" s="2876"/>
      <c r="L228" s="2878"/>
      <c r="M228" s="2877"/>
      <c r="N228" s="2878"/>
      <c r="O228" s="2876"/>
      <c r="P228" s="2876"/>
      <c r="Q228" s="2876"/>
      <c r="R228" s="2876"/>
      <c r="S228" s="2876"/>
      <c r="T228" s="2876"/>
      <c r="U228" s="2876"/>
      <c r="V228" s="2876"/>
      <c r="W228" s="2876"/>
      <c r="X228" s="2876"/>
      <c r="Y228" s="2876"/>
      <c r="Z228" s="2876"/>
      <c r="AA228" s="2876"/>
      <c r="AB228" s="2876"/>
      <c r="AC228" s="2876"/>
      <c r="AD228" s="2876"/>
      <c r="AE228" s="2876"/>
      <c r="AF228" s="2876"/>
      <c r="AG228" s="2881"/>
    </row>
    <row r="229" spans="1:33">
      <c r="A229" s="49">
        <f t="shared" si="0"/>
        <v>2012.04</v>
      </c>
      <c r="B229" s="631">
        <v>122317.7</v>
      </c>
      <c r="C229" s="1693"/>
      <c r="D229" s="1694"/>
      <c r="E229" s="573">
        <v>4483.9399999999996</v>
      </c>
      <c r="F229" s="618">
        <v>492.66199999999998</v>
      </c>
      <c r="G229" s="2875"/>
      <c r="H229" s="2876"/>
      <c r="I229" s="2877"/>
      <c r="J229" s="2878"/>
      <c r="K229" s="2876"/>
      <c r="L229" s="2878"/>
      <c r="M229" s="2877"/>
      <c r="N229" s="2878"/>
      <c r="O229" s="2876"/>
      <c r="P229" s="2876"/>
      <c r="Q229" s="2876"/>
      <c r="R229" s="2876"/>
      <c r="S229" s="2876"/>
      <c r="T229" s="2876"/>
      <c r="U229" s="2876"/>
      <c r="V229" s="2876"/>
      <c r="W229" s="2876"/>
      <c r="X229" s="2876"/>
      <c r="Y229" s="2876"/>
      <c r="Z229" s="2876"/>
      <c r="AA229" s="2876"/>
      <c r="AB229" s="2876"/>
      <c r="AC229" s="2876"/>
      <c r="AD229" s="2876"/>
      <c r="AE229" s="2876"/>
      <c r="AF229" s="2876"/>
      <c r="AG229" s="2881"/>
    </row>
    <row r="230" spans="1:33">
      <c r="A230" s="49">
        <f t="shared" si="0"/>
        <v>2012.05</v>
      </c>
      <c r="B230" s="631">
        <v>122109.1</v>
      </c>
      <c r="C230" s="1462">
        <v>121347</v>
      </c>
      <c r="D230" s="1457">
        <v>762</v>
      </c>
      <c r="E230" s="573">
        <v>5712.27</v>
      </c>
      <c r="F230" s="618">
        <v>492.00700000000001</v>
      </c>
      <c r="G230" s="2875"/>
      <c r="H230" s="2876"/>
      <c r="I230" s="2877"/>
      <c r="J230" s="2878"/>
      <c r="K230" s="2876"/>
      <c r="L230" s="2878"/>
      <c r="M230" s="2877"/>
      <c r="N230" s="2878"/>
      <c r="O230" s="2876"/>
      <c r="P230" s="2876"/>
      <c r="Q230" s="2876"/>
      <c r="R230" s="2876"/>
      <c r="S230" s="2876"/>
      <c r="T230" s="2876"/>
      <c r="U230" s="2876"/>
      <c r="V230" s="2876"/>
      <c r="W230" s="2876"/>
      <c r="X230" s="2876"/>
      <c r="Y230" s="2876"/>
      <c r="Z230" s="2876"/>
      <c r="AA230" s="2876"/>
      <c r="AB230" s="2876"/>
      <c r="AC230" s="2876"/>
      <c r="AD230" s="2876"/>
      <c r="AE230" s="2876"/>
      <c r="AF230" s="2876"/>
      <c r="AG230" s="2881"/>
    </row>
    <row r="231" spans="1:33">
      <c r="A231" s="49">
        <f t="shared" si="0"/>
        <v>2012.06</v>
      </c>
      <c r="B231" s="631">
        <v>122452.26666666666</v>
      </c>
      <c r="C231" s="1639">
        <v>121691</v>
      </c>
      <c r="D231" s="457">
        <v>761</v>
      </c>
      <c r="E231" s="573">
        <v>7407.24</v>
      </c>
      <c r="F231" s="618">
        <v>491.11</v>
      </c>
      <c r="G231" s="2875"/>
      <c r="H231" s="2876"/>
      <c r="I231" s="2877"/>
      <c r="J231" s="2878"/>
      <c r="K231" s="2876"/>
      <c r="L231" s="2878"/>
      <c r="M231" s="2877"/>
      <c r="N231" s="2878"/>
      <c r="O231" s="2876"/>
      <c r="P231" s="2876"/>
      <c r="Q231" s="2876"/>
      <c r="R231" s="2876"/>
      <c r="S231" s="2876"/>
      <c r="T231" s="2876"/>
      <c r="U231" s="2876"/>
      <c r="V231" s="2876"/>
      <c r="W231" s="2876"/>
      <c r="X231" s="2876"/>
      <c r="Y231" s="2876"/>
      <c r="Z231" s="2876"/>
      <c r="AA231" s="2876"/>
      <c r="AB231" s="2876"/>
      <c r="AC231" s="2876"/>
      <c r="AD231" s="2876"/>
      <c r="AE231" s="2876"/>
      <c r="AF231" s="2876"/>
      <c r="AG231" s="2881"/>
    </row>
    <row r="232" spans="1:33">
      <c r="A232" s="49">
        <f t="shared" si="0"/>
        <v>2012.07</v>
      </c>
      <c r="B232" s="631">
        <v>122510.8</v>
      </c>
      <c r="C232" s="1639">
        <v>121733</v>
      </c>
      <c r="D232" s="457">
        <v>778</v>
      </c>
      <c r="E232" s="573">
        <v>8705.34</v>
      </c>
      <c r="F232" s="618">
        <v>488.642</v>
      </c>
      <c r="G232" s="2875"/>
      <c r="H232" s="2876"/>
      <c r="I232" s="2877"/>
      <c r="J232" s="2878"/>
      <c r="K232" s="2876"/>
      <c r="L232" s="2878"/>
      <c r="M232" s="2877"/>
      <c r="N232" s="2878"/>
      <c r="O232" s="2876"/>
      <c r="P232" s="2876"/>
      <c r="Q232" s="2876"/>
      <c r="R232" s="2876"/>
      <c r="S232" s="2876"/>
      <c r="T232" s="2876"/>
      <c r="U232" s="2876"/>
      <c r="V232" s="2876"/>
      <c r="W232" s="2876"/>
      <c r="X232" s="2876"/>
      <c r="Y232" s="2876"/>
      <c r="Z232" s="2876"/>
      <c r="AA232" s="2876"/>
      <c r="AB232" s="2876"/>
      <c r="AC232" s="2876"/>
      <c r="AD232" s="2876"/>
      <c r="AE232" s="2876"/>
      <c r="AF232" s="2876"/>
      <c r="AG232" s="2881"/>
    </row>
    <row r="233" spans="1:33">
      <c r="A233" s="49">
        <f t="shared" si="0"/>
        <v>2012.08</v>
      </c>
      <c r="B233" s="631">
        <v>122970</v>
      </c>
      <c r="C233" s="1639">
        <v>122166</v>
      </c>
      <c r="D233" s="457">
        <v>804</v>
      </c>
      <c r="E233" s="573">
        <v>9982.43</v>
      </c>
      <c r="F233" s="618">
        <v>488.553</v>
      </c>
      <c r="G233" s="2875"/>
      <c r="H233" s="2876"/>
      <c r="I233" s="2877"/>
      <c r="J233" s="2878"/>
      <c r="K233" s="2876"/>
      <c r="L233" s="2878"/>
      <c r="M233" s="2877"/>
      <c r="N233" s="2878"/>
      <c r="O233" s="2876"/>
      <c r="P233" s="2876"/>
      <c r="Q233" s="2876"/>
      <c r="R233" s="2876"/>
      <c r="S233" s="2876"/>
      <c r="T233" s="2876"/>
      <c r="U233" s="2876"/>
      <c r="V233" s="2876"/>
      <c r="W233" s="2876"/>
      <c r="X233" s="2876"/>
      <c r="Y233" s="2876"/>
      <c r="Z233" s="2876"/>
      <c r="AA233" s="2876"/>
      <c r="AB233" s="2876"/>
      <c r="AC233" s="2876"/>
      <c r="AD233" s="2876"/>
      <c r="AE233" s="2876"/>
      <c r="AF233" s="2876"/>
      <c r="AG233" s="2881"/>
    </row>
    <row r="234" spans="1:33">
      <c r="A234" s="49">
        <f t="shared" si="0"/>
        <v>2012.09</v>
      </c>
      <c r="B234" s="631">
        <v>122911</v>
      </c>
      <c r="C234" s="1639">
        <v>122095</v>
      </c>
      <c r="D234" s="457">
        <v>816</v>
      </c>
      <c r="E234" s="573">
        <v>11282.44</v>
      </c>
      <c r="F234" s="618">
        <v>487.66399999999999</v>
      </c>
      <c r="G234" s="2875"/>
      <c r="H234" s="2876"/>
      <c r="I234" s="2877"/>
      <c r="J234" s="2878"/>
      <c r="K234" s="2876"/>
      <c r="L234" s="2878"/>
      <c r="M234" s="2877"/>
      <c r="N234" s="2878"/>
      <c r="O234" s="2876"/>
      <c r="P234" s="2876"/>
      <c r="Q234" s="2876"/>
      <c r="R234" s="2876"/>
      <c r="S234" s="2876"/>
      <c r="T234" s="2876"/>
      <c r="U234" s="2876"/>
      <c r="V234" s="2876"/>
      <c r="W234" s="2876"/>
      <c r="X234" s="2876"/>
      <c r="Y234" s="2876"/>
      <c r="Z234" s="2876"/>
      <c r="AA234" s="2876"/>
      <c r="AB234" s="2876"/>
      <c r="AC234" s="2876"/>
      <c r="AD234" s="2876"/>
      <c r="AE234" s="2876"/>
      <c r="AF234" s="2876"/>
      <c r="AG234" s="2881"/>
    </row>
    <row r="235" spans="1:33">
      <c r="A235" s="49">
        <f t="shared" si="0"/>
        <v>2012.1</v>
      </c>
      <c r="B235" s="631">
        <v>123567</v>
      </c>
      <c r="C235" s="1639">
        <v>122741</v>
      </c>
      <c r="D235" s="457">
        <v>826</v>
      </c>
      <c r="E235" s="573">
        <v>12574.5</v>
      </c>
      <c r="F235" s="618">
        <v>490.89100000000002</v>
      </c>
      <c r="G235" s="2875"/>
      <c r="H235" s="2876"/>
      <c r="I235" s="2877"/>
      <c r="J235" s="2878"/>
      <c r="K235" s="2876"/>
      <c r="L235" s="2878"/>
      <c r="M235" s="2877"/>
      <c r="N235" s="2878"/>
      <c r="O235" s="2876"/>
      <c r="P235" s="2876"/>
      <c r="Q235" s="2876"/>
      <c r="R235" s="2876"/>
      <c r="S235" s="2876"/>
      <c r="T235" s="2876"/>
      <c r="U235" s="2876"/>
      <c r="V235" s="2876"/>
      <c r="W235" s="2876"/>
      <c r="X235" s="2876"/>
      <c r="Y235" s="2876"/>
      <c r="Z235" s="2876"/>
      <c r="AA235" s="2876"/>
      <c r="AB235" s="2876"/>
      <c r="AC235" s="2876"/>
      <c r="AD235" s="2876"/>
      <c r="AE235" s="2876"/>
      <c r="AF235" s="2876"/>
      <c r="AG235" s="2881"/>
    </row>
    <row r="236" spans="1:33">
      <c r="A236" s="49">
        <f t="shared" si="0"/>
        <v>2012.11</v>
      </c>
      <c r="B236" s="631">
        <v>123532</v>
      </c>
      <c r="C236" s="1639">
        <v>122703</v>
      </c>
      <c r="D236" s="457">
        <v>829</v>
      </c>
      <c r="E236" s="573">
        <v>13877.93</v>
      </c>
      <c r="F236" s="618">
        <v>492.74599999999998</v>
      </c>
      <c r="G236" s="2875"/>
      <c r="H236" s="2876"/>
      <c r="I236" s="2877"/>
      <c r="J236" s="2878"/>
      <c r="K236" s="2876"/>
      <c r="L236" s="2878"/>
      <c r="M236" s="2877"/>
      <c r="N236" s="2878"/>
      <c r="O236" s="2876"/>
      <c r="P236" s="2876"/>
      <c r="Q236" s="2876"/>
      <c r="R236" s="2876"/>
      <c r="S236" s="2876"/>
      <c r="T236" s="2876"/>
      <c r="U236" s="2876"/>
      <c r="V236" s="2876"/>
      <c r="W236" s="2876"/>
      <c r="X236" s="2876"/>
      <c r="Y236" s="2876"/>
      <c r="Z236" s="2876"/>
      <c r="AA236" s="2876"/>
      <c r="AB236" s="2876"/>
      <c r="AC236" s="2876"/>
      <c r="AD236" s="2876"/>
      <c r="AE236" s="2876"/>
      <c r="AF236" s="2876"/>
      <c r="AG236" s="2881"/>
    </row>
    <row r="237" spans="1:33">
      <c r="A237" s="49">
        <f t="shared" si="0"/>
        <v>2012.12</v>
      </c>
      <c r="B237" s="631">
        <v>123511</v>
      </c>
      <c r="C237" s="1639">
        <v>122680</v>
      </c>
      <c r="D237" s="457">
        <v>831</v>
      </c>
      <c r="E237" s="573">
        <v>15677.51</v>
      </c>
      <c r="F237" s="618">
        <v>495.68099999999998</v>
      </c>
      <c r="G237" s="2875"/>
      <c r="H237" s="2876"/>
      <c r="I237" s="2877"/>
      <c r="J237" s="2878"/>
      <c r="K237" s="2876"/>
      <c r="L237" s="2878"/>
      <c r="M237" s="2877"/>
      <c r="N237" s="2878"/>
      <c r="O237" s="2876"/>
      <c r="P237" s="2876"/>
      <c r="Q237" s="2876"/>
      <c r="R237" s="2876"/>
      <c r="S237" s="2876"/>
      <c r="T237" s="2876"/>
      <c r="U237" s="2876"/>
      <c r="V237" s="2876"/>
      <c r="W237" s="2876"/>
      <c r="X237" s="2876"/>
      <c r="Y237" s="2876"/>
      <c r="Z237" s="2876"/>
      <c r="AA237" s="2876"/>
      <c r="AB237" s="2876"/>
      <c r="AC237" s="2876"/>
      <c r="AD237" s="2876"/>
      <c r="AE237" s="2876"/>
      <c r="AF237" s="2876"/>
      <c r="AG237" s="2881"/>
    </row>
    <row r="238" spans="1:33">
      <c r="A238" s="49">
        <f t="shared" si="0"/>
        <v>2013.01</v>
      </c>
      <c r="B238" s="631">
        <v>123865</v>
      </c>
      <c r="C238" s="1639">
        <v>122974</v>
      </c>
      <c r="D238" s="457">
        <v>891</v>
      </c>
      <c r="E238" s="573">
        <v>1282.04</v>
      </c>
      <c r="F238" s="618">
        <v>493.57499999999999</v>
      </c>
      <c r="G238" s="2879"/>
      <c r="H238" s="2876"/>
      <c r="I238" s="2877"/>
      <c r="J238" s="2878"/>
      <c r="K238" s="2876"/>
      <c r="L238" s="2878"/>
      <c r="M238" s="2877"/>
      <c r="N238" s="2847">
        <v>24750</v>
      </c>
      <c r="O238" s="2848">
        <v>1207</v>
      </c>
      <c r="P238" s="2848">
        <v>133531</v>
      </c>
      <c r="Q238" s="2848">
        <v>5363</v>
      </c>
      <c r="R238" s="2848">
        <v>4340</v>
      </c>
      <c r="S238" s="2848">
        <v>32689</v>
      </c>
      <c r="T238" s="2848">
        <v>95756</v>
      </c>
      <c r="U238" s="2848">
        <v>34880</v>
      </c>
      <c r="V238" s="2848">
        <v>14834</v>
      </c>
      <c r="W238" s="2848">
        <v>11323</v>
      </c>
      <c r="X238" s="2848">
        <v>15828</v>
      </c>
      <c r="Y238" s="2848">
        <v>6394</v>
      </c>
      <c r="Z238" s="2848">
        <v>10424</v>
      </c>
      <c r="AA238" s="2848">
        <v>35368</v>
      </c>
      <c r="AB238" s="2848">
        <v>161772</v>
      </c>
      <c r="AC238" s="2848">
        <v>49267</v>
      </c>
      <c r="AD238" s="2848">
        <v>20829</v>
      </c>
      <c r="AE238" s="2848">
        <v>7440</v>
      </c>
      <c r="AF238" s="2848">
        <v>23902</v>
      </c>
      <c r="AG238" s="2849">
        <v>13</v>
      </c>
    </row>
    <row r="239" spans="1:33">
      <c r="A239" s="49">
        <f t="shared" si="0"/>
        <v>2013.02</v>
      </c>
      <c r="B239" s="631">
        <v>123924</v>
      </c>
      <c r="C239" s="1639">
        <v>123025</v>
      </c>
      <c r="D239" s="457">
        <v>899</v>
      </c>
      <c r="E239" s="573">
        <v>2533.1</v>
      </c>
      <c r="F239" s="618">
        <v>491.601</v>
      </c>
      <c r="G239" s="2879"/>
      <c r="H239" s="2876"/>
      <c r="I239" s="2877"/>
      <c r="J239" s="2878"/>
      <c r="K239" s="2876"/>
      <c r="L239" s="2878"/>
      <c r="M239" s="2877"/>
      <c r="N239" s="2850">
        <v>25507</v>
      </c>
      <c r="O239" s="2851">
        <v>1248</v>
      </c>
      <c r="P239" s="2851">
        <v>134059</v>
      </c>
      <c r="Q239" s="2851">
        <v>5664</v>
      </c>
      <c r="R239" s="2851">
        <v>4343</v>
      </c>
      <c r="S239" s="2851">
        <v>32749</v>
      </c>
      <c r="T239" s="2851">
        <v>97610</v>
      </c>
      <c r="U239" s="2851">
        <v>35362</v>
      </c>
      <c r="V239" s="2851">
        <v>14862</v>
      </c>
      <c r="W239" s="2851">
        <v>11435</v>
      </c>
      <c r="X239" s="2851">
        <v>15980</v>
      </c>
      <c r="Y239" s="2851">
        <v>6550</v>
      </c>
      <c r="Z239" s="2851">
        <v>10868</v>
      </c>
      <c r="AA239" s="2851">
        <v>35367</v>
      </c>
      <c r="AB239" s="2851">
        <v>161752</v>
      </c>
      <c r="AC239" s="2851">
        <v>48317</v>
      </c>
      <c r="AD239" s="2851">
        <v>21210</v>
      </c>
      <c r="AE239" s="2851">
        <v>7496</v>
      </c>
      <c r="AF239" s="2851">
        <v>24638</v>
      </c>
      <c r="AG239" s="2852">
        <v>21</v>
      </c>
    </row>
    <row r="240" spans="1:33">
      <c r="A240" s="49">
        <f t="shared" si="0"/>
        <v>2013.03</v>
      </c>
      <c r="B240" s="631">
        <v>123925</v>
      </c>
      <c r="C240" s="1639">
        <v>123016</v>
      </c>
      <c r="D240" s="457">
        <v>909</v>
      </c>
      <c r="E240" s="573">
        <v>4065.37</v>
      </c>
      <c r="F240" s="618">
        <v>494.81700000000001</v>
      </c>
      <c r="G240" s="2879"/>
      <c r="H240" s="2876"/>
      <c r="I240" s="2877"/>
      <c r="J240" s="2878"/>
      <c r="K240" s="2876"/>
      <c r="L240" s="2878"/>
      <c r="M240" s="2877"/>
      <c r="N240" s="2850">
        <v>26573</v>
      </c>
      <c r="O240" s="2851">
        <v>1237</v>
      </c>
      <c r="P240" s="2851">
        <v>134541</v>
      </c>
      <c r="Q240" s="2851">
        <v>5682</v>
      </c>
      <c r="R240" s="2851">
        <v>4359</v>
      </c>
      <c r="S240" s="2851">
        <v>33263</v>
      </c>
      <c r="T240" s="2851">
        <v>98766</v>
      </c>
      <c r="U240" s="2851">
        <v>35616</v>
      </c>
      <c r="V240" s="2851">
        <v>14921</v>
      </c>
      <c r="W240" s="2851">
        <v>11662</v>
      </c>
      <c r="X240" s="2851">
        <v>16019</v>
      </c>
      <c r="Y240" s="2851">
        <v>6550</v>
      </c>
      <c r="Z240" s="2851">
        <v>10968</v>
      </c>
      <c r="AA240" s="2851">
        <v>35259</v>
      </c>
      <c r="AB240" s="2851">
        <v>165442</v>
      </c>
      <c r="AC240" s="2851">
        <v>49455</v>
      </c>
      <c r="AD240" s="2851">
        <v>21221</v>
      </c>
      <c r="AE240" s="2851">
        <v>7251</v>
      </c>
      <c r="AF240" s="2851">
        <v>24751</v>
      </c>
      <c r="AG240" s="2852">
        <v>22</v>
      </c>
    </row>
    <row r="241" spans="1:33">
      <c r="A241" s="49">
        <f t="shared" si="0"/>
        <v>2013.04</v>
      </c>
      <c r="B241" s="631">
        <v>124131</v>
      </c>
      <c r="C241" s="1639">
        <v>123208</v>
      </c>
      <c r="D241" s="457">
        <v>923</v>
      </c>
      <c r="E241" s="573">
        <v>5567.91</v>
      </c>
      <c r="F241" s="618">
        <v>495.17899999999997</v>
      </c>
      <c r="G241" s="2879"/>
      <c r="H241" s="2876"/>
      <c r="I241" s="2877"/>
      <c r="J241" s="2878"/>
      <c r="K241" s="2876"/>
      <c r="L241" s="2878"/>
      <c r="M241" s="2877"/>
      <c r="N241" s="2850">
        <v>27184</v>
      </c>
      <c r="O241" s="2851">
        <v>1203</v>
      </c>
      <c r="P241" s="2851">
        <v>134265</v>
      </c>
      <c r="Q241" s="2851">
        <v>5716</v>
      </c>
      <c r="R241" s="2851">
        <v>4346</v>
      </c>
      <c r="S241" s="2851">
        <v>33363</v>
      </c>
      <c r="T241" s="2851">
        <v>98752</v>
      </c>
      <c r="U241" s="2851">
        <v>35555</v>
      </c>
      <c r="V241" s="2851">
        <v>14416</v>
      </c>
      <c r="W241" s="2851">
        <v>11734</v>
      </c>
      <c r="X241" s="2851">
        <v>16087</v>
      </c>
      <c r="Y241" s="2851">
        <v>6535</v>
      </c>
      <c r="Z241" s="2851">
        <v>10888</v>
      </c>
      <c r="AA241" s="2851">
        <v>34813</v>
      </c>
      <c r="AB241" s="2851">
        <v>165225</v>
      </c>
      <c r="AC241" s="2851">
        <v>51677</v>
      </c>
      <c r="AD241" s="2851">
        <v>21143</v>
      </c>
      <c r="AE241" s="2851">
        <v>7103</v>
      </c>
      <c r="AF241" s="2851">
        <v>24724</v>
      </c>
      <c r="AG241" s="2852">
        <v>24</v>
      </c>
    </row>
    <row r="242" spans="1:33">
      <c r="A242" s="49">
        <f t="shared" ref="A242:A305" si="1">A230+1</f>
        <v>2013.05</v>
      </c>
      <c r="B242" s="631">
        <v>127760</v>
      </c>
      <c r="C242" s="1639">
        <v>126734</v>
      </c>
      <c r="D242" s="457">
        <v>1026</v>
      </c>
      <c r="E242" s="573">
        <v>7103.63</v>
      </c>
      <c r="F242" s="618">
        <v>496.23200000000003</v>
      </c>
      <c r="G242" s="2879"/>
      <c r="H242" s="2876"/>
      <c r="I242" s="2877"/>
      <c r="J242" s="2878"/>
      <c r="K242" s="2876"/>
      <c r="L242" s="2878"/>
      <c r="M242" s="2877"/>
      <c r="N242" s="2850">
        <v>26651</v>
      </c>
      <c r="O242" s="2851">
        <v>1239</v>
      </c>
      <c r="P242" s="2851">
        <v>134088</v>
      </c>
      <c r="Q242" s="2851">
        <v>5702</v>
      </c>
      <c r="R242" s="2851">
        <v>4872</v>
      </c>
      <c r="S242" s="2851">
        <v>33534</v>
      </c>
      <c r="T242" s="2851">
        <v>97893</v>
      </c>
      <c r="U242" s="2851">
        <v>35761</v>
      </c>
      <c r="V242" s="2851">
        <v>14269</v>
      </c>
      <c r="W242" s="2851">
        <v>11778</v>
      </c>
      <c r="X242" s="2851">
        <v>16099</v>
      </c>
      <c r="Y242" s="2851">
        <v>6478</v>
      </c>
      <c r="Z242" s="2851">
        <v>10983</v>
      </c>
      <c r="AA242" s="2851">
        <v>35663</v>
      </c>
      <c r="AB242" s="2851">
        <v>167502</v>
      </c>
      <c r="AC242" s="2851">
        <v>53202</v>
      </c>
      <c r="AD242" s="2851">
        <v>21107</v>
      </c>
      <c r="AE242" s="2851">
        <v>7153</v>
      </c>
      <c r="AF242" s="2851">
        <v>24890</v>
      </c>
      <c r="AG242" s="2852">
        <v>22</v>
      </c>
    </row>
    <row r="243" spans="1:33">
      <c r="A243" s="49">
        <f t="shared" si="1"/>
        <v>2013.06</v>
      </c>
      <c r="B243" s="631">
        <v>127914</v>
      </c>
      <c r="C243" s="1639">
        <v>126836</v>
      </c>
      <c r="D243" s="457">
        <v>1078</v>
      </c>
      <c r="E243" s="573">
        <v>9200.43</v>
      </c>
      <c r="F243" s="618">
        <v>493.94900000000001</v>
      </c>
      <c r="G243" s="2879"/>
      <c r="H243" s="2876"/>
      <c r="I243" s="2877"/>
      <c r="J243" s="2878"/>
      <c r="K243" s="2876"/>
      <c r="L243" s="2878"/>
      <c r="M243" s="2877"/>
      <c r="N243" s="2850">
        <v>25864</v>
      </c>
      <c r="O243" s="2851">
        <v>1274</v>
      </c>
      <c r="P243" s="2851">
        <v>134335</v>
      </c>
      <c r="Q243" s="2851">
        <v>5731</v>
      </c>
      <c r="R243" s="2851">
        <v>4336</v>
      </c>
      <c r="S243" s="2851">
        <v>32988</v>
      </c>
      <c r="T243" s="2851">
        <v>97646</v>
      </c>
      <c r="U243" s="2851">
        <v>35381</v>
      </c>
      <c r="V243" s="2851">
        <v>14256</v>
      </c>
      <c r="W243" s="2851">
        <v>11907</v>
      </c>
      <c r="X243" s="2851">
        <v>16117</v>
      </c>
      <c r="Y243" s="2851">
        <v>6022</v>
      </c>
      <c r="Z243" s="2851">
        <v>10945</v>
      </c>
      <c r="AA243" s="2851">
        <v>34291</v>
      </c>
      <c r="AB243" s="2851">
        <v>168489</v>
      </c>
      <c r="AC243" s="2851">
        <v>54377</v>
      </c>
      <c r="AD243" s="2851">
        <v>21108</v>
      </c>
      <c r="AE243" s="2851">
        <v>7130</v>
      </c>
      <c r="AF243" s="2851">
        <v>24900</v>
      </c>
      <c r="AG243" s="2852">
        <v>23</v>
      </c>
    </row>
    <row r="244" spans="1:33">
      <c r="A244" s="49">
        <f t="shared" si="1"/>
        <v>2013.07</v>
      </c>
      <c r="B244" s="631">
        <v>127934</v>
      </c>
      <c r="C244" s="1639">
        <v>126847</v>
      </c>
      <c r="D244" s="457">
        <v>1087</v>
      </c>
      <c r="E244" s="573">
        <v>10819.63</v>
      </c>
      <c r="F244" s="618">
        <v>493.37200000000001</v>
      </c>
      <c r="G244" s="2879"/>
      <c r="H244" s="2876"/>
      <c r="I244" s="2877"/>
      <c r="J244" s="2878"/>
      <c r="K244" s="2876"/>
      <c r="L244" s="2878"/>
      <c r="M244" s="2877"/>
      <c r="N244" s="2850">
        <v>25197</v>
      </c>
      <c r="O244" s="2851">
        <v>1282</v>
      </c>
      <c r="P244" s="2851">
        <v>134560</v>
      </c>
      <c r="Q244" s="2851">
        <v>5728</v>
      </c>
      <c r="R244" s="2851">
        <v>4317</v>
      </c>
      <c r="S244" s="2851">
        <v>33251</v>
      </c>
      <c r="T244" s="2851">
        <v>97267</v>
      </c>
      <c r="U244" s="2851">
        <v>35102</v>
      </c>
      <c r="V244" s="2851">
        <v>14229</v>
      </c>
      <c r="W244" s="2851">
        <v>11986</v>
      </c>
      <c r="X244" s="2851">
        <v>16103</v>
      </c>
      <c r="Y244" s="2851">
        <v>6011</v>
      </c>
      <c r="Z244" s="2851">
        <v>10784</v>
      </c>
      <c r="AA244" s="2851">
        <v>34236</v>
      </c>
      <c r="AB244" s="2851">
        <v>169951</v>
      </c>
      <c r="AC244" s="2851">
        <v>53818</v>
      </c>
      <c r="AD244" s="2851">
        <v>21301</v>
      </c>
      <c r="AE244" s="2851">
        <v>7097</v>
      </c>
      <c r="AF244" s="2851">
        <v>24808</v>
      </c>
      <c r="AG244" s="2852">
        <v>23</v>
      </c>
    </row>
    <row r="245" spans="1:33">
      <c r="A245" s="49">
        <f t="shared" si="1"/>
        <v>2013.08</v>
      </c>
      <c r="B245" s="631">
        <v>128120</v>
      </c>
      <c r="C245" s="1639">
        <v>126966</v>
      </c>
      <c r="D245" s="457">
        <v>1154</v>
      </c>
      <c r="E245" s="573">
        <v>12446.55</v>
      </c>
      <c r="F245" s="618">
        <v>494.56099999999998</v>
      </c>
      <c r="G245" s="2879"/>
      <c r="H245" s="2876"/>
      <c r="I245" s="2877"/>
      <c r="J245" s="2878"/>
      <c r="K245" s="2876"/>
      <c r="L245" s="2878"/>
      <c r="M245" s="2877"/>
      <c r="N245" s="2850">
        <v>24901</v>
      </c>
      <c r="O245" s="2851">
        <v>1243</v>
      </c>
      <c r="P245" s="2851">
        <v>134833</v>
      </c>
      <c r="Q245" s="2851">
        <v>5736</v>
      </c>
      <c r="R245" s="2851">
        <v>4320</v>
      </c>
      <c r="S245" s="2851">
        <v>32784</v>
      </c>
      <c r="T245" s="2851">
        <v>97214</v>
      </c>
      <c r="U245" s="2851">
        <v>35106</v>
      </c>
      <c r="V245" s="2851">
        <v>14427</v>
      </c>
      <c r="W245" s="2851">
        <v>12002</v>
      </c>
      <c r="X245" s="2851">
        <v>16162</v>
      </c>
      <c r="Y245" s="2851">
        <v>5951</v>
      </c>
      <c r="Z245" s="2851">
        <v>10874</v>
      </c>
      <c r="AA245" s="2851">
        <v>36142</v>
      </c>
      <c r="AB245" s="2851">
        <v>169941</v>
      </c>
      <c r="AC245" s="2851">
        <v>53735</v>
      </c>
      <c r="AD245" s="2851">
        <v>21412</v>
      </c>
      <c r="AE245" s="2851">
        <v>7049</v>
      </c>
      <c r="AF245" s="2851">
        <v>24860</v>
      </c>
      <c r="AG245" s="2852">
        <v>22</v>
      </c>
    </row>
    <row r="246" spans="1:33">
      <c r="A246" s="49">
        <f t="shared" si="1"/>
        <v>2013.09</v>
      </c>
      <c r="B246" s="631">
        <v>128085</v>
      </c>
      <c r="C246" s="1639">
        <v>126921</v>
      </c>
      <c r="D246" s="457">
        <v>1164</v>
      </c>
      <c r="E246" s="573">
        <v>14131.32</v>
      </c>
      <c r="F246" s="618">
        <v>493.45800000000003</v>
      </c>
      <c r="G246" s="2879"/>
      <c r="H246" s="2876"/>
      <c r="I246" s="2877"/>
      <c r="J246" s="2878"/>
      <c r="K246" s="2876"/>
      <c r="L246" s="2878"/>
      <c r="M246" s="2877"/>
      <c r="N246" s="2850">
        <v>24781</v>
      </c>
      <c r="O246" s="2851">
        <v>1250</v>
      </c>
      <c r="P246" s="2851">
        <v>134858</v>
      </c>
      <c r="Q246" s="2851">
        <v>5753</v>
      </c>
      <c r="R246" s="2851">
        <v>4316</v>
      </c>
      <c r="S246" s="2851">
        <v>33038</v>
      </c>
      <c r="T246" s="2851">
        <v>97274</v>
      </c>
      <c r="U246" s="2851">
        <v>35270</v>
      </c>
      <c r="V246" s="2851">
        <v>14556</v>
      </c>
      <c r="W246" s="2851">
        <v>11947</v>
      </c>
      <c r="X246" s="2851">
        <v>16203</v>
      </c>
      <c r="Y246" s="2851">
        <v>5944</v>
      </c>
      <c r="Z246" s="2851">
        <v>10833</v>
      </c>
      <c r="AA246" s="2851">
        <v>33521</v>
      </c>
      <c r="AB246" s="2851">
        <v>172263</v>
      </c>
      <c r="AC246" s="2851">
        <v>54437</v>
      </c>
      <c r="AD246" s="2851">
        <v>21514</v>
      </c>
      <c r="AE246" s="2851">
        <v>7092</v>
      </c>
      <c r="AF246" s="2851">
        <v>25058</v>
      </c>
      <c r="AG246" s="2852">
        <v>22</v>
      </c>
    </row>
    <row r="247" spans="1:33">
      <c r="A247" s="49">
        <f t="shared" si="1"/>
        <v>2013.1</v>
      </c>
      <c r="B247" s="631">
        <v>128888</v>
      </c>
      <c r="C247" s="1639">
        <v>127689</v>
      </c>
      <c r="D247" s="457">
        <v>1199</v>
      </c>
      <c r="E247" s="573">
        <v>15820.69</v>
      </c>
      <c r="F247" s="618">
        <v>495.61</v>
      </c>
      <c r="G247" s="2879"/>
      <c r="H247" s="2876"/>
      <c r="I247" s="2877"/>
      <c r="J247" s="2878"/>
      <c r="K247" s="2876"/>
      <c r="L247" s="2878"/>
      <c r="M247" s="2877"/>
      <c r="N247" s="2850">
        <v>24881</v>
      </c>
      <c r="O247" s="2851">
        <v>1236</v>
      </c>
      <c r="P247" s="2851">
        <v>135423</v>
      </c>
      <c r="Q247" s="2851">
        <v>5779</v>
      </c>
      <c r="R247" s="2851">
        <v>4368</v>
      </c>
      <c r="S247" s="2851">
        <v>33295</v>
      </c>
      <c r="T247" s="2851">
        <v>97758</v>
      </c>
      <c r="U247" s="2851">
        <v>35084</v>
      </c>
      <c r="V247" s="2851">
        <v>14915</v>
      </c>
      <c r="W247" s="2851">
        <v>11856</v>
      </c>
      <c r="X247" s="2851">
        <v>16194</v>
      </c>
      <c r="Y247" s="2851">
        <v>5934</v>
      </c>
      <c r="Z247" s="2851">
        <v>10838</v>
      </c>
      <c r="AA247" s="2851">
        <v>34027</v>
      </c>
      <c r="AB247" s="2851">
        <v>174485</v>
      </c>
      <c r="AC247" s="2851">
        <v>54700</v>
      </c>
      <c r="AD247" s="2851">
        <v>21607</v>
      </c>
      <c r="AE247" s="2851">
        <v>7132</v>
      </c>
      <c r="AF247" s="2851">
        <v>25168</v>
      </c>
      <c r="AG247" s="2852">
        <v>22</v>
      </c>
    </row>
    <row r="248" spans="1:33">
      <c r="A248" s="49">
        <f t="shared" si="1"/>
        <v>2013.11</v>
      </c>
      <c r="B248" s="631">
        <v>128867</v>
      </c>
      <c r="C248" s="1639">
        <v>127663</v>
      </c>
      <c r="D248" s="457">
        <v>1204</v>
      </c>
      <c r="E248" s="573">
        <v>17514.41</v>
      </c>
      <c r="F248" s="618">
        <v>498.98599999999999</v>
      </c>
      <c r="G248" s="2879"/>
      <c r="H248" s="2876"/>
      <c r="I248" s="2877"/>
      <c r="J248" s="2878"/>
      <c r="K248" s="2876"/>
      <c r="L248" s="2878"/>
      <c r="M248" s="2877"/>
      <c r="N248" s="2850">
        <v>25416</v>
      </c>
      <c r="O248" s="2851">
        <v>1248</v>
      </c>
      <c r="P248" s="2851">
        <v>135406</v>
      </c>
      <c r="Q248" s="2851">
        <v>5770</v>
      </c>
      <c r="R248" s="2851">
        <v>4453</v>
      </c>
      <c r="S248" s="2851">
        <v>33373</v>
      </c>
      <c r="T248" s="2851">
        <v>98268</v>
      </c>
      <c r="U248" s="2851">
        <v>35266</v>
      </c>
      <c r="V248" s="2851">
        <v>14976</v>
      </c>
      <c r="W248" s="2851">
        <v>11827</v>
      </c>
      <c r="X248" s="2851">
        <v>16174</v>
      </c>
      <c r="Y248" s="2851">
        <v>5976</v>
      </c>
      <c r="Z248" s="2851">
        <v>10841</v>
      </c>
      <c r="AA248" s="2851">
        <v>36430</v>
      </c>
      <c r="AB248" s="2851">
        <v>176168</v>
      </c>
      <c r="AC248" s="2851">
        <v>55142</v>
      </c>
      <c r="AD248" s="2851">
        <v>21679</v>
      </c>
      <c r="AE248" s="2851">
        <v>7096</v>
      </c>
      <c r="AF248" s="2851">
        <v>25128</v>
      </c>
      <c r="AG248" s="2852">
        <v>22</v>
      </c>
    </row>
    <row r="249" spans="1:33">
      <c r="A249" s="49">
        <f t="shared" si="1"/>
        <v>2013.12</v>
      </c>
      <c r="B249" s="631">
        <v>129148</v>
      </c>
      <c r="C249" s="1639">
        <v>128050</v>
      </c>
      <c r="D249" s="457">
        <v>1098</v>
      </c>
      <c r="E249" s="573">
        <v>19997.86</v>
      </c>
      <c r="F249" s="618">
        <v>499.988</v>
      </c>
      <c r="G249" s="2879"/>
      <c r="H249" s="2876"/>
      <c r="I249" s="2877"/>
      <c r="J249" s="2878"/>
      <c r="K249" s="2876"/>
      <c r="L249" s="2878"/>
      <c r="M249" s="2877"/>
      <c r="N249" s="2850">
        <v>25952</v>
      </c>
      <c r="O249" s="2851">
        <v>1237</v>
      </c>
      <c r="P249" s="2851">
        <v>135764</v>
      </c>
      <c r="Q249" s="2851">
        <v>5793</v>
      </c>
      <c r="R249" s="2851">
        <v>4422</v>
      </c>
      <c r="S249" s="2851">
        <v>32853</v>
      </c>
      <c r="T249" s="2851">
        <v>99513</v>
      </c>
      <c r="U249" s="2851">
        <v>35115</v>
      </c>
      <c r="V249" s="2851">
        <v>15004</v>
      </c>
      <c r="W249" s="2851">
        <v>11791</v>
      </c>
      <c r="X249" s="2851">
        <v>16200</v>
      </c>
      <c r="Y249" s="2851">
        <v>6013</v>
      </c>
      <c r="Z249" s="2851">
        <v>10942</v>
      </c>
      <c r="AA249" s="2851">
        <v>35002</v>
      </c>
      <c r="AB249" s="2851">
        <v>176320</v>
      </c>
      <c r="AC249" s="2851">
        <v>54561</v>
      </c>
      <c r="AD249" s="2851">
        <v>21811</v>
      </c>
      <c r="AE249" s="2851">
        <v>7362</v>
      </c>
      <c r="AF249" s="2851">
        <v>25312</v>
      </c>
      <c r="AG249" s="2852">
        <v>22</v>
      </c>
    </row>
    <row r="250" spans="1:33">
      <c r="A250" s="49">
        <f t="shared" si="1"/>
        <v>2014.01</v>
      </c>
      <c r="B250" s="631">
        <v>129386</v>
      </c>
      <c r="C250" s="1639">
        <v>128308</v>
      </c>
      <c r="D250" s="457">
        <v>1078</v>
      </c>
      <c r="E250" s="573">
        <v>1641.1</v>
      </c>
      <c r="F250" s="618">
        <v>496.38900000000001</v>
      </c>
      <c r="G250" s="2853">
        <v>199801</v>
      </c>
      <c r="H250" s="2854">
        <v>512704</v>
      </c>
      <c r="I250" s="2855">
        <f>+G250+H250</f>
        <v>712505</v>
      </c>
      <c r="J250" s="2856">
        <v>10400.473684210527</v>
      </c>
      <c r="K250" s="2856">
        <v>8551.6315789473683</v>
      </c>
      <c r="L250" s="2857">
        <v>8527</v>
      </c>
      <c r="M250" s="2858">
        <v>7245</v>
      </c>
      <c r="N250" s="2850">
        <v>25034</v>
      </c>
      <c r="O250" s="2851">
        <v>1197</v>
      </c>
      <c r="P250" s="2851">
        <v>135653</v>
      </c>
      <c r="Q250" s="2851">
        <v>5844</v>
      </c>
      <c r="R250" s="2851">
        <v>4431</v>
      </c>
      <c r="S250" s="2851">
        <v>33251</v>
      </c>
      <c r="T250" s="2851">
        <v>98874</v>
      </c>
      <c r="U250" s="2851">
        <v>35229</v>
      </c>
      <c r="V250" s="2851">
        <v>15001</v>
      </c>
      <c r="W250" s="2851">
        <v>11859</v>
      </c>
      <c r="X250" s="2851">
        <v>16204</v>
      </c>
      <c r="Y250" s="2851">
        <v>5927</v>
      </c>
      <c r="Z250" s="2851">
        <v>10651</v>
      </c>
      <c r="AA250" s="2851">
        <v>34946</v>
      </c>
      <c r="AB250" s="2851">
        <v>162691</v>
      </c>
      <c r="AC250" s="2851">
        <v>50528</v>
      </c>
      <c r="AD250" s="2851">
        <v>22005</v>
      </c>
      <c r="AE250" s="2851">
        <v>7390</v>
      </c>
      <c r="AF250" s="2851">
        <v>24884</v>
      </c>
      <c r="AG250" s="2852">
        <v>18</v>
      </c>
    </row>
    <row r="251" spans="1:33">
      <c r="A251" s="49">
        <f t="shared" si="1"/>
        <v>2014.02</v>
      </c>
      <c r="B251" s="631">
        <v>130998</v>
      </c>
      <c r="C251" s="1639">
        <v>129959</v>
      </c>
      <c r="D251" s="457">
        <v>1039</v>
      </c>
      <c r="E251" s="573">
        <v>3477.7</v>
      </c>
      <c r="F251" s="618">
        <v>492.21300000000002</v>
      </c>
      <c r="G251" s="2859">
        <v>201671</v>
      </c>
      <c r="H251" s="2860">
        <v>508005</v>
      </c>
      <c r="I251" s="2861">
        <f t="shared" ref="I251:I314" si="2">+G251+H251</f>
        <v>709676</v>
      </c>
      <c r="J251" s="2862">
        <v>10467.631578947368</v>
      </c>
      <c r="K251" s="2860">
        <v>8284.21052631579</v>
      </c>
      <c r="L251" s="2862">
        <v>8785</v>
      </c>
      <c r="M251" s="2863">
        <v>7107</v>
      </c>
      <c r="N251" s="2850">
        <v>24444</v>
      </c>
      <c r="O251" s="2851">
        <v>1185</v>
      </c>
      <c r="P251" s="2851">
        <v>134658</v>
      </c>
      <c r="Q251" s="2851">
        <v>5893</v>
      </c>
      <c r="R251" s="2851">
        <v>4407</v>
      </c>
      <c r="S251" s="2851">
        <v>32929</v>
      </c>
      <c r="T251" s="2851">
        <v>98454</v>
      </c>
      <c r="U251" s="2851">
        <v>35185</v>
      </c>
      <c r="V251" s="2851">
        <v>14901</v>
      </c>
      <c r="W251" s="2851">
        <v>11783</v>
      </c>
      <c r="X251" s="2851">
        <v>16204</v>
      </c>
      <c r="Y251" s="2851">
        <v>5903</v>
      </c>
      <c r="Z251" s="2851">
        <v>10480</v>
      </c>
      <c r="AA251" s="2851">
        <v>34482</v>
      </c>
      <c r="AB251" s="2851">
        <v>164981</v>
      </c>
      <c r="AC251" s="2851">
        <v>48849</v>
      </c>
      <c r="AD251" s="2851">
        <v>21984</v>
      </c>
      <c r="AE251" s="2851">
        <v>7378</v>
      </c>
      <c r="AF251" s="2851">
        <v>24740</v>
      </c>
      <c r="AG251" s="2852">
        <v>18</v>
      </c>
    </row>
    <row r="252" spans="1:33">
      <c r="A252" s="49">
        <f t="shared" si="1"/>
        <v>2014.03</v>
      </c>
      <c r="B252" s="631">
        <v>130654</v>
      </c>
      <c r="C252" s="1639">
        <v>129602</v>
      </c>
      <c r="D252" s="457">
        <v>1052</v>
      </c>
      <c r="E252" s="573">
        <v>5586.43</v>
      </c>
      <c r="F252" s="618">
        <v>492.99900000000002</v>
      </c>
      <c r="G252" s="2859">
        <v>203202</v>
      </c>
      <c r="H252" s="2860">
        <v>510828</v>
      </c>
      <c r="I252" s="2861">
        <f t="shared" si="2"/>
        <v>714030</v>
      </c>
      <c r="J252" s="2862">
        <v>11520.315789473685</v>
      </c>
      <c r="K252" s="2860">
        <v>8495.1578947368416</v>
      </c>
      <c r="L252" s="2862">
        <v>10194</v>
      </c>
      <c r="M252" s="2863">
        <v>7400</v>
      </c>
      <c r="N252" s="2850">
        <v>25816</v>
      </c>
      <c r="O252" s="2851">
        <v>1198</v>
      </c>
      <c r="P252" s="2851">
        <v>134455</v>
      </c>
      <c r="Q252" s="2851">
        <v>5894</v>
      </c>
      <c r="R252" s="2851">
        <v>4431</v>
      </c>
      <c r="S252" s="2851">
        <v>32716</v>
      </c>
      <c r="T252" s="2851">
        <v>98641</v>
      </c>
      <c r="U252" s="2851">
        <v>35184</v>
      </c>
      <c r="V252" s="2851">
        <v>14888</v>
      </c>
      <c r="W252" s="2851">
        <v>11851</v>
      </c>
      <c r="X252" s="2851">
        <v>16149</v>
      </c>
      <c r="Y252" s="2851">
        <v>5892</v>
      </c>
      <c r="Z252" s="2851">
        <v>10386</v>
      </c>
      <c r="AA252" s="2851">
        <v>34311</v>
      </c>
      <c r="AB252" s="2851">
        <v>167149</v>
      </c>
      <c r="AC252" s="2851">
        <v>50513</v>
      </c>
      <c r="AD252" s="2851">
        <v>21916</v>
      </c>
      <c r="AE252" s="2851">
        <v>7077</v>
      </c>
      <c r="AF252" s="2851">
        <v>24879</v>
      </c>
      <c r="AG252" s="2852">
        <v>18</v>
      </c>
    </row>
    <row r="253" spans="1:33">
      <c r="A253" s="49">
        <f t="shared" si="1"/>
        <v>2014.04</v>
      </c>
      <c r="B253" s="631">
        <v>130574</v>
      </c>
      <c r="C253" s="1639">
        <v>129490</v>
      </c>
      <c r="D253" s="457">
        <v>1084</v>
      </c>
      <c r="E253" s="573">
        <v>7610.36</v>
      </c>
      <c r="F253" s="618">
        <v>494.09800000000001</v>
      </c>
      <c r="G253" s="2859">
        <v>209548</v>
      </c>
      <c r="H253" s="2860">
        <v>512771</v>
      </c>
      <c r="I253" s="2861">
        <f t="shared" si="2"/>
        <v>722319</v>
      </c>
      <c r="J253" s="2862">
        <v>11762.631578947368</v>
      </c>
      <c r="K253" s="2860">
        <v>9169.21052631579</v>
      </c>
      <c r="L253" s="2862">
        <v>10332</v>
      </c>
      <c r="M253" s="2863">
        <v>7988</v>
      </c>
      <c r="N253" s="2850">
        <v>26694</v>
      </c>
      <c r="O253" s="2851">
        <v>1195</v>
      </c>
      <c r="P253" s="2851">
        <v>133873</v>
      </c>
      <c r="Q253" s="2851">
        <v>5886</v>
      </c>
      <c r="R253" s="2851">
        <v>4438</v>
      </c>
      <c r="S253" s="2851">
        <v>32766</v>
      </c>
      <c r="T253" s="2851">
        <v>98967</v>
      </c>
      <c r="U253" s="2851">
        <v>35505</v>
      </c>
      <c r="V253" s="2851">
        <v>14636</v>
      </c>
      <c r="W253" s="2851">
        <v>11866</v>
      </c>
      <c r="X253" s="2851">
        <v>16176</v>
      </c>
      <c r="Y253" s="2851">
        <v>5838</v>
      </c>
      <c r="Z253" s="2851">
        <v>10340</v>
      </c>
      <c r="AA253" s="2851">
        <v>33738</v>
      </c>
      <c r="AB253" s="2851">
        <v>173481</v>
      </c>
      <c r="AC253" s="2851">
        <v>53370</v>
      </c>
      <c r="AD253" s="2851">
        <v>21808</v>
      </c>
      <c r="AE253" s="2851">
        <v>7040</v>
      </c>
      <c r="AF253" s="2851">
        <v>24983</v>
      </c>
      <c r="AG253" s="2852">
        <v>18</v>
      </c>
    </row>
    <row r="254" spans="1:33">
      <c r="A254" s="49">
        <f t="shared" si="1"/>
        <v>2014.05</v>
      </c>
      <c r="B254" s="631">
        <v>130861</v>
      </c>
      <c r="C254" s="1639">
        <v>129727</v>
      </c>
      <c r="D254" s="457">
        <v>1134</v>
      </c>
      <c r="E254" s="573">
        <v>9676.14</v>
      </c>
      <c r="F254" s="618">
        <v>494.608</v>
      </c>
      <c r="G254" s="2859">
        <v>212937</v>
      </c>
      <c r="H254" s="2860">
        <v>513047</v>
      </c>
      <c r="I254" s="2861">
        <f t="shared" si="2"/>
        <v>725984</v>
      </c>
      <c r="J254" s="2862">
        <v>11538.736842105263</v>
      </c>
      <c r="K254" s="2860">
        <v>9224.6842105263149</v>
      </c>
      <c r="L254" s="2862">
        <v>10233</v>
      </c>
      <c r="M254" s="2863">
        <v>8089</v>
      </c>
      <c r="N254" s="2850">
        <v>26406</v>
      </c>
      <c r="O254" s="2851">
        <v>1194</v>
      </c>
      <c r="P254" s="2851">
        <v>133570</v>
      </c>
      <c r="Q254" s="2851">
        <v>5906</v>
      </c>
      <c r="R254" s="2851">
        <v>4407</v>
      </c>
      <c r="S254" s="2851">
        <v>32979</v>
      </c>
      <c r="T254" s="2851">
        <v>98554</v>
      </c>
      <c r="U254" s="2851">
        <v>35638</v>
      </c>
      <c r="V254" s="2851">
        <v>14710</v>
      </c>
      <c r="W254" s="2851">
        <v>11847</v>
      </c>
      <c r="X254" s="2851">
        <v>16213</v>
      </c>
      <c r="Y254" s="2851">
        <v>5859</v>
      </c>
      <c r="Z254" s="2851">
        <v>10285</v>
      </c>
      <c r="AA254" s="2851">
        <v>33701</v>
      </c>
      <c r="AB254" s="2851">
        <v>176713</v>
      </c>
      <c r="AC254" s="2851">
        <v>55170</v>
      </c>
      <c r="AD254" s="2851">
        <v>21497</v>
      </c>
      <c r="AE254" s="2851">
        <v>7061</v>
      </c>
      <c r="AF254" s="2851">
        <v>25086</v>
      </c>
      <c r="AG254" s="2852">
        <v>18</v>
      </c>
    </row>
    <row r="255" spans="1:33">
      <c r="A255" s="49">
        <f t="shared" si="1"/>
        <v>2014.06</v>
      </c>
      <c r="B255" s="631">
        <v>131325</v>
      </c>
      <c r="C255" s="1639">
        <v>130186</v>
      </c>
      <c r="D255" s="457">
        <v>1139</v>
      </c>
      <c r="E255" s="573">
        <v>12529.98</v>
      </c>
      <c r="F255" s="618">
        <v>494.94400000000002</v>
      </c>
      <c r="G255" s="2859">
        <v>214605</v>
      </c>
      <c r="H255" s="2860">
        <v>513468</v>
      </c>
      <c r="I255" s="2861">
        <f t="shared" si="2"/>
        <v>728073</v>
      </c>
      <c r="J255" s="2862">
        <v>16221.947368421053</v>
      </c>
      <c r="K255" s="2860">
        <v>13295.421052631578</v>
      </c>
      <c r="L255" s="2862">
        <v>14489</v>
      </c>
      <c r="M255" s="2863">
        <v>11844</v>
      </c>
      <c r="N255" s="2850">
        <v>26148</v>
      </c>
      <c r="O255" s="2851">
        <v>1181</v>
      </c>
      <c r="P255" s="2851">
        <v>133331</v>
      </c>
      <c r="Q255" s="2851">
        <v>5971</v>
      </c>
      <c r="R255" s="2851">
        <v>4435</v>
      </c>
      <c r="S255" s="2851">
        <v>33159</v>
      </c>
      <c r="T255" s="2851">
        <v>98541</v>
      </c>
      <c r="U255" s="2851">
        <v>35481</v>
      </c>
      <c r="V255" s="2851">
        <v>14547</v>
      </c>
      <c r="W255" s="2851">
        <v>11896</v>
      </c>
      <c r="X255" s="2851">
        <v>16242</v>
      </c>
      <c r="Y255" s="2851">
        <v>5803</v>
      </c>
      <c r="Z255" s="2851">
        <v>10213</v>
      </c>
      <c r="AA255" s="2851">
        <v>33896</v>
      </c>
      <c r="AB255" s="2851">
        <v>179333</v>
      </c>
      <c r="AC255" s="2851">
        <v>56604</v>
      </c>
      <c r="AD255" s="2851">
        <v>21472</v>
      </c>
      <c r="AE255" s="2851">
        <v>7010</v>
      </c>
      <c r="AF255" s="2851">
        <v>25093</v>
      </c>
      <c r="AG255" s="2852">
        <v>18</v>
      </c>
    </row>
    <row r="256" spans="1:33">
      <c r="A256" s="49">
        <f t="shared" si="1"/>
        <v>2014.07</v>
      </c>
      <c r="B256" s="631">
        <v>131368</v>
      </c>
      <c r="C256" s="1639">
        <v>130213</v>
      </c>
      <c r="D256" s="457">
        <v>1155</v>
      </c>
      <c r="E256" s="573">
        <v>14770.66</v>
      </c>
      <c r="F256" s="618">
        <v>494.35599999999999</v>
      </c>
      <c r="G256" s="2859">
        <v>213052</v>
      </c>
      <c r="H256" s="2860">
        <v>512082</v>
      </c>
      <c r="I256" s="2861">
        <f t="shared" si="2"/>
        <v>725134</v>
      </c>
      <c r="J256" s="2862">
        <v>12343.736842105263</v>
      </c>
      <c r="K256" s="2860">
        <v>9836.105263157895</v>
      </c>
      <c r="L256" s="2862">
        <v>10805</v>
      </c>
      <c r="M256" s="2863">
        <v>8813</v>
      </c>
      <c r="N256" s="2850">
        <v>25719</v>
      </c>
      <c r="O256" s="2851">
        <v>1172</v>
      </c>
      <c r="P256" s="2851">
        <v>133015</v>
      </c>
      <c r="Q256" s="2851">
        <v>5943</v>
      </c>
      <c r="R256" s="2851">
        <v>4424</v>
      </c>
      <c r="S256" s="2851">
        <v>33407</v>
      </c>
      <c r="T256" s="2851">
        <v>98632</v>
      </c>
      <c r="U256" s="2851">
        <v>35495</v>
      </c>
      <c r="V256" s="2851">
        <v>14591</v>
      </c>
      <c r="W256" s="2851">
        <v>11962</v>
      </c>
      <c r="X256" s="2851">
        <v>16235</v>
      </c>
      <c r="Y256" s="2851">
        <v>5727</v>
      </c>
      <c r="Z256" s="2851">
        <v>10131</v>
      </c>
      <c r="AA256" s="2851">
        <v>33500</v>
      </c>
      <c r="AB256" s="2851">
        <v>178091</v>
      </c>
      <c r="AC256" s="2851">
        <v>55832</v>
      </c>
      <c r="AD256" s="2851">
        <v>21580</v>
      </c>
      <c r="AE256" s="2851">
        <v>6976</v>
      </c>
      <c r="AF256" s="2851">
        <v>25048</v>
      </c>
      <c r="AG256" s="2852">
        <v>18</v>
      </c>
    </row>
    <row r="257" spans="1:33">
      <c r="A257" s="49">
        <f t="shared" si="1"/>
        <v>2014.08</v>
      </c>
      <c r="B257" s="631">
        <v>132072</v>
      </c>
      <c r="C257" s="1639">
        <v>130895</v>
      </c>
      <c r="D257" s="457">
        <v>1177</v>
      </c>
      <c r="E257" s="573">
        <v>16969.72</v>
      </c>
      <c r="F257" s="618">
        <v>494.19499999999999</v>
      </c>
      <c r="G257" s="2859">
        <v>216422</v>
      </c>
      <c r="H257" s="2860">
        <v>511961</v>
      </c>
      <c r="I257" s="2861">
        <f t="shared" si="2"/>
        <v>728383</v>
      </c>
      <c r="J257" s="2862">
        <v>12284.263157894737</v>
      </c>
      <c r="K257" s="2860">
        <v>9562.1578947368416</v>
      </c>
      <c r="L257" s="2862">
        <v>10711</v>
      </c>
      <c r="M257" s="2863">
        <v>8628</v>
      </c>
      <c r="N257" s="2850">
        <v>25191</v>
      </c>
      <c r="O257" s="2851">
        <v>1173</v>
      </c>
      <c r="P257" s="2851">
        <v>132934</v>
      </c>
      <c r="Q257" s="2851">
        <v>5980</v>
      </c>
      <c r="R257" s="2851">
        <v>4419</v>
      </c>
      <c r="S257" s="2851">
        <v>33140</v>
      </c>
      <c r="T257" s="2851">
        <v>98579</v>
      </c>
      <c r="U257" s="2851">
        <v>35625</v>
      </c>
      <c r="V257" s="2851">
        <v>14704</v>
      </c>
      <c r="W257" s="2851">
        <v>11825</v>
      </c>
      <c r="X257" s="2851">
        <v>16208</v>
      </c>
      <c r="Y257" s="2851">
        <v>5643</v>
      </c>
      <c r="Z257" s="2851">
        <v>10259</v>
      </c>
      <c r="AA257" s="2851">
        <v>33377</v>
      </c>
      <c r="AB257" s="2851">
        <v>181386</v>
      </c>
      <c r="AC257" s="2851">
        <v>56283</v>
      </c>
      <c r="AD257" s="2851">
        <v>21639</v>
      </c>
      <c r="AE257" s="2851">
        <v>6989</v>
      </c>
      <c r="AF257" s="2851">
        <v>25104</v>
      </c>
      <c r="AG257" s="2852">
        <v>18</v>
      </c>
    </row>
    <row r="258" spans="1:33">
      <c r="A258" s="49">
        <f t="shared" si="1"/>
        <v>2014.09</v>
      </c>
      <c r="B258" s="631">
        <v>132235</v>
      </c>
      <c r="C258" s="1639">
        <v>131060</v>
      </c>
      <c r="D258" s="457">
        <v>1175</v>
      </c>
      <c r="E258" s="573">
        <v>19210.48</v>
      </c>
      <c r="F258" s="618">
        <v>494.36500000000001</v>
      </c>
      <c r="G258" s="2859">
        <v>218789</v>
      </c>
      <c r="H258" s="2860">
        <v>513507</v>
      </c>
      <c r="I258" s="2861">
        <f t="shared" si="2"/>
        <v>732296</v>
      </c>
      <c r="J258" s="2862">
        <v>12313.105263157895</v>
      </c>
      <c r="K258" s="2860">
        <v>10233.421052631578</v>
      </c>
      <c r="L258" s="2862">
        <v>10774</v>
      </c>
      <c r="M258" s="2863">
        <v>8930</v>
      </c>
      <c r="N258" s="2850">
        <v>24850</v>
      </c>
      <c r="O258" s="2851">
        <v>1158</v>
      </c>
      <c r="P258" s="2851">
        <v>133091</v>
      </c>
      <c r="Q258" s="2851">
        <v>5991</v>
      </c>
      <c r="R258" s="2851">
        <v>4439</v>
      </c>
      <c r="S258" s="2851">
        <v>33484</v>
      </c>
      <c r="T258" s="2851">
        <v>98464</v>
      </c>
      <c r="U258" s="2851">
        <v>35477</v>
      </c>
      <c r="V258" s="2851">
        <v>14711</v>
      </c>
      <c r="W258" s="2851">
        <v>11856</v>
      </c>
      <c r="X258" s="2851">
        <v>16224</v>
      </c>
      <c r="Y258" s="2851">
        <v>5683</v>
      </c>
      <c r="Z258" s="2851">
        <v>10197</v>
      </c>
      <c r="AA258" s="2851">
        <v>33279</v>
      </c>
      <c r="AB258" s="2851">
        <v>182996</v>
      </c>
      <c r="AC258" s="2851">
        <v>57546</v>
      </c>
      <c r="AD258" s="2851">
        <v>21780</v>
      </c>
      <c r="AE258" s="2851">
        <v>7082</v>
      </c>
      <c r="AF258" s="2851">
        <v>25329</v>
      </c>
      <c r="AG258" s="2852">
        <v>18</v>
      </c>
    </row>
    <row r="259" spans="1:33">
      <c r="A259" s="49">
        <f t="shared" si="1"/>
        <v>2014.1</v>
      </c>
      <c r="B259" s="631">
        <v>132716</v>
      </c>
      <c r="C259" s="1639">
        <v>131537</v>
      </c>
      <c r="D259" s="457">
        <v>1179</v>
      </c>
      <c r="E259" s="573">
        <v>21458.65</v>
      </c>
      <c r="F259" s="618">
        <v>496.22199999999998</v>
      </c>
      <c r="G259" s="2859">
        <v>219129</v>
      </c>
      <c r="H259" s="2860">
        <v>516375</v>
      </c>
      <c r="I259" s="2861">
        <f t="shared" si="2"/>
        <v>735504</v>
      </c>
      <c r="J259" s="2862">
        <v>12437.368421052632</v>
      </c>
      <c r="K259" s="2860">
        <v>10269.526315789473</v>
      </c>
      <c r="L259" s="2862">
        <v>10738</v>
      </c>
      <c r="M259" s="2863">
        <v>9154</v>
      </c>
      <c r="N259" s="2850">
        <v>25140</v>
      </c>
      <c r="O259" s="2851">
        <v>1172</v>
      </c>
      <c r="P259" s="2851">
        <v>132939</v>
      </c>
      <c r="Q259" s="2851">
        <v>5994</v>
      </c>
      <c r="R259" s="2851">
        <v>4463</v>
      </c>
      <c r="S259" s="2851">
        <v>34105</v>
      </c>
      <c r="T259" s="2851">
        <v>98631</v>
      </c>
      <c r="U259" s="2851">
        <v>35402</v>
      </c>
      <c r="V259" s="2851">
        <v>15212</v>
      </c>
      <c r="W259" s="2851">
        <v>11825</v>
      </c>
      <c r="X259" s="2851">
        <v>16180</v>
      </c>
      <c r="Y259" s="2851">
        <v>5700</v>
      </c>
      <c r="Z259" s="2851">
        <v>10158</v>
      </c>
      <c r="AA259" s="2851">
        <v>33921</v>
      </c>
      <c r="AB259" s="2851">
        <v>184271</v>
      </c>
      <c r="AC259" s="2851">
        <v>57964</v>
      </c>
      <c r="AD259" s="2851">
        <v>21880</v>
      </c>
      <c r="AE259" s="2851">
        <v>7022</v>
      </c>
      <c r="AF259" s="2851">
        <v>25425</v>
      </c>
      <c r="AG259" s="2852">
        <v>18</v>
      </c>
    </row>
    <row r="260" spans="1:33">
      <c r="A260" s="49">
        <f t="shared" si="1"/>
        <v>2014.11</v>
      </c>
      <c r="B260" s="631">
        <v>133018</v>
      </c>
      <c r="C260" s="1639">
        <v>131833</v>
      </c>
      <c r="D260" s="457">
        <v>1185</v>
      </c>
      <c r="E260" s="573">
        <v>23917.09</v>
      </c>
      <c r="F260" s="618">
        <v>498.41</v>
      </c>
      <c r="G260" s="2859">
        <v>220960</v>
      </c>
      <c r="H260" s="2860">
        <v>518620</v>
      </c>
      <c r="I260" s="2861">
        <f t="shared" si="2"/>
        <v>739580</v>
      </c>
      <c r="J260" s="2862">
        <v>12885.368421052632</v>
      </c>
      <c r="K260" s="2860">
        <v>10377.105263157895</v>
      </c>
      <c r="L260" s="2862">
        <v>10942</v>
      </c>
      <c r="M260" s="2863">
        <v>9162</v>
      </c>
      <c r="N260" s="2850">
        <v>25768</v>
      </c>
      <c r="O260" s="2851">
        <v>1171</v>
      </c>
      <c r="P260" s="2851">
        <v>133603</v>
      </c>
      <c r="Q260" s="2851">
        <v>6012</v>
      </c>
      <c r="R260" s="2851">
        <v>4491</v>
      </c>
      <c r="S260" s="2851">
        <v>34294</v>
      </c>
      <c r="T260" s="2851">
        <v>99365</v>
      </c>
      <c r="U260" s="2851">
        <v>35526</v>
      </c>
      <c r="V260" s="2851">
        <v>15224</v>
      </c>
      <c r="W260" s="2851">
        <v>11842</v>
      </c>
      <c r="X260" s="2851">
        <v>16222</v>
      </c>
      <c r="Y260" s="2851">
        <v>5666</v>
      </c>
      <c r="Z260" s="2851">
        <v>10235</v>
      </c>
      <c r="AA260" s="2851">
        <v>34243</v>
      </c>
      <c r="AB260" s="2851">
        <v>185686</v>
      </c>
      <c r="AC260" s="2851">
        <v>57552</v>
      </c>
      <c r="AD260" s="2851">
        <v>21908</v>
      </c>
      <c r="AE260" s="2851">
        <v>7082</v>
      </c>
      <c r="AF260" s="2851">
        <v>25400</v>
      </c>
      <c r="AG260" s="2852">
        <v>18</v>
      </c>
    </row>
    <row r="261" spans="1:33">
      <c r="A261" s="49">
        <f t="shared" si="1"/>
        <v>2014.12</v>
      </c>
      <c r="B261" s="631">
        <v>133057</v>
      </c>
      <c r="C261" s="1639">
        <v>131859</v>
      </c>
      <c r="D261" s="457">
        <v>1198</v>
      </c>
      <c r="E261" s="631">
        <v>27332.904524000001</v>
      </c>
      <c r="F261" s="618">
        <v>500.77499999999998</v>
      </c>
      <c r="G261" s="2859">
        <v>220696</v>
      </c>
      <c r="H261" s="2860">
        <v>519192</v>
      </c>
      <c r="I261" s="2861">
        <f t="shared" si="2"/>
        <v>739888</v>
      </c>
      <c r="J261" s="2862">
        <v>17419.63157894737</v>
      </c>
      <c r="K261" s="2860">
        <v>15739.315789473685</v>
      </c>
      <c r="L261" s="2862">
        <v>15217</v>
      </c>
      <c r="M261" s="2863">
        <v>13904</v>
      </c>
      <c r="N261" s="2850">
        <v>25713</v>
      </c>
      <c r="O261" s="2851">
        <v>1187</v>
      </c>
      <c r="P261" s="2851">
        <v>134392</v>
      </c>
      <c r="Q261" s="2851">
        <v>6016</v>
      </c>
      <c r="R261" s="2851">
        <v>4495</v>
      </c>
      <c r="S261" s="2851">
        <v>34022</v>
      </c>
      <c r="T261" s="2851">
        <v>99996</v>
      </c>
      <c r="U261" s="2851">
        <v>35586</v>
      </c>
      <c r="V261" s="2851">
        <v>15270</v>
      </c>
      <c r="W261" s="2851">
        <v>11907</v>
      </c>
      <c r="X261" s="2851">
        <v>16216</v>
      </c>
      <c r="Y261" s="2851">
        <v>5667</v>
      </c>
      <c r="Z261" s="2851">
        <v>10258</v>
      </c>
      <c r="AA261" s="2851">
        <v>34980</v>
      </c>
      <c r="AB261" s="2851">
        <v>185158</v>
      </c>
      <c r="AC261" s="2851">
        <v>56233</v>
      </c>
      <c r="AD261" s="2851">
        <v>22006</v>
      </c>
      <c r="AE261" s="2851">
        <v>7216</v>
      </c>
      <c r="AF261" s="2851">
        <v>25499</v>
      </c>
      <c r="AG261" s="2852">
        <v>17</v>
      </c>
    </row>
    <row r="262" spans="1:33">
      <c r="A262" s="49">
        <f t="shared" si="1"/>
        <v>2015.01</v>
      </c>
      <c r="B262" s="631">
        <v>132646</v>
      </c>
      <c r="C262" s="1639">
        <v>131466</v>
      </c>
      <c r="D262" s="457">
        <v>1180</v>
      </c>
      <c r="E262" s="573">
        <v>2304.86</v>
      </c>
      <c r="F262" s="618">
        <v>497.82600000000002</v>
      </c>
      <c r="G262" s="2859">
        <v>217776</v>
      </c>
      <c r="H262" s="2860">
        <v>515566</v>
      </c>
      <c r="I262" s="2861">
        <f t="shared" si="2"/>
        <v>733342</v>
      </c>
      <c r="J262" s="2862">
        <v>12957.157894736842</v>
      </c>
      <c r="K262" s="2860">
        <v>11486.842105263158</v>
      </c>
      <c r="L262" s="2862">
        <v>10830</v>
      </c>
      <c r="M262" s="2863">
        <v>9670</v>
      </c>
      <c r="N262" s="2850">
        <v>24987</v>
      </c>
      <c r="O262" s="2851">
        <v>1194</v>
      </c>
      <c r="P262" s="2851">
        <v>134145</v>
      </c>
      <c r="Q262" s="2851">
        <v>5999</v>
      </c>
      <c r="R262" s="2851">
        <v>4437</v>
      </c>
      <c r="S262" s="2851">
        <v>34428</v>
      </c>
      <c r="T262" s="2851">
        <v>99256</v>
      </c>
      <c r="U262" s="2851">
        <v>35761</v>
      </c>
      <c r="V262" s="2851">
        <v>15173</v>
      </c>
      <c r="W262" s="2851">
        <v>11860</v>
      </c>
      <c r="X262" s="2851">
        <v>16257</v>
      </c>
      <c r="Y262" s="2851">
        <v>5648</v>
      </c>
      <c r="Z262" s="2851">
        <v>10258</v>
      </c>
      <c r="AA262" s="2851">
        <v>35149</v>
      </c>
      <c r="AB262" s="2851">
        <v>183154</v>
      </c>
      <c r="AC262" s="2851">
        <v>52514</v>
      </c>
      <c r="AD262" s="2851">
        <v>22062</v>
      </c>
      <c r="AE262" s="2851">
        <v>7298</v>
      </c>
      <c r="AF262" s="2851">
        <v>25198</v>
      </c>
      <c r="AG262" s="2852">
        <v>18</v>
      </c>
    </row>
    <row r="263" spans="1:33">
      <c r="A263" s="49">
        <f t="shared" si="1"/>
        <v>2015.02</v>
      </c>
      <c r="B263" s="631">
        <v>133593</v>
      </c>
      <c r="C263" s="1639">
        <v>132406</v>
      </c>
      <c r="D263" s="457">
        <v>1187</v>
      </c>
      <c r="E263" s="573">
        <v>4513.26</v>
      </c>
      <c r="F263" s="618">
        <v>495.80500000000001</v>
      </c>
      <c r="G263" s="2859">
        <v>208578</v>
      </c>
      <c r="H263" s="2860">
        <v>513809</v>
      </c>
      <c r="I263" s="2861">
        <f t="shared" si="2"/>
        <v>722387</v>
      </c>
      <c r="J263" s="2862">
        <v>13111.052631578947</v>
      </c>
      <c r="K263" s="2860">
        <v>11046.473684210527</v>
      </c>
      <c r="L263" s="2862">
        <v>10939</v>
      </c>
      <c r="M263" s="2863">
        <v>9596</v>
      </c>
      <c r="N263" s="2850">
        <v>24625</v>
      </c>
      <c r="O263" s="2851">
        <v>1189</v>
      </c>
      <c r="P263" s="2851">
        <v>133407</v>
      </c>
      <c r="Q263" s="2851">
        <v>6048</v>
      </c>
      <c r="R263" s="2851">
        <v>4457</v>
      </c>
      <c r="S263" s="2851">
        <v>34124</v>
      </c>
      <c r="T263" s="2851">
        <v>98881</v>
      </c>
      <c r="U263" s="2851">
        <v>35414</v>
      </c>
      <c r="V263" s="2851">
        <v>15169</v>
      </c>
      <c r="W263" s="2851">
        <v>11894</v>
      </c>
      <c r="X263" s="2851">
        <v>16302</v>
      </c>
      <c r="Y263" s="2851">
        <v>5593</v>
      </c>
      <c r="Z263" s="2851">
        <v>10267</v>
      </c>
      <c r="AA263" s="2851">
        <v>34786</v>
      </c>
      <c r="AB263" s="2851">
        <v>173433</v>
      </c>
      <c r="AC263" s="2851">
        <v>52544</v>
      </c>
      <c r="AD263" s="2851">
        <v>22145</v>
      </c>
      <c r="AE263" s="2851">
        <v>7327</v>
      </c>
      <c r="AF263" s="2851">
        <v>25246</v>
      </c>
      <c r="AG263" s="2852">
        <v>18</v>
      </c>
    </row>
    <row r="264" spans="1:33">
      <c r="A264" s="49">
        <f t="shared" si="1"/>
        <v>2015.03</v>
      </c>
      <c r="B264" s="631">
        <v>133468</v>
      </c>
      <c r="C264" s="1639">
        <v>132266</v>
      </c>
      <c r="D264" s="457">
        <v>1202</v>
      </c>
      <c r="E264" s="573">
        <v>7045.24</v>
      </c>
      <c r="F264" s="618">
        <v>499.86799999999999</v>
      </c>
      <c r="G264" s="2859">
        <v>212827</v>
      </c>
      <c r="H264" s="2860">
        <v>519705</v>
      </c>
      <c r="I264" s="2861">
        <f t="shared" si="2"/>
        <v>732532</v>
      </c>
      <c r="J264" s="2862">
        <v>14125.578947368422</v>
      </c>
      <c r="K264" s="2860">
        <v>11154.842105263158</v>
      </c>
      <c r="L264" s="2862">
        <v>11952</v>
      </c>
      <c r="M264" s="2863">
        <v>9630</v>
      </c>
      <c r="N264" s="2850">
        <v>25813</v>
      </c>
      <c r="O264" s="2851">
        <v>1192</v>
      </c>
      <c r="P264" s="2851">
        <v>133724</v>
      </c>
      <c r="Q264" s="2851">
        <v>6070</v>
      </c>
      <c r="R264" s="2851">
        <v>4939</v>
      </c>
      <c r="S264" s="2851">
        <v>34799</v>
      </c>
      <c r="T264" s="2851">
        <v>100082</v>
      </c>
      <c r="U264" s="2851">
        <v>35991</v>
      </c>
      <c r="V264" s="2851">
        <v>15241</v>
      </c>
      <c r="W264" s="2851">
        <v>11872</v>
      </c>
      <c r="X264" s="2851">
        <v>16326</v>
      </c>
      <c r="Y264" s="2851">
        <v>5592</v>
      </c>
      <c r="Z264" s="2851">
        <v>10360</v>
      </c>
      <c r="AA264" s="2851">
        <v>34905</v>
      </c>
      <c r="AB264" s="2851">
        <v>177377</v>
      </c>
      <c r="AC264" s="2851">
        <v>54470</v>
      </c>
      <c r="AD264" s="2851">
        <v>22134</v>
      </c>
      <c r="AE264" s="2851">
        <v>7162</v>
      </c>
      <c r="AF264" s="2851">
        <v>25352</v>
      </c>
      <c r="AG264" s="2852">
        <v>18</v>
      </c>
    </row>
    <row r="265" spans="1:33">
      <c r="A265" s="49">
        <f t="shared" si="1"/>
        <v>2015.04</v>
      </c>
      <c r="B265" s="631">
        <v>134231</v>
      </c>
      <c r="C265" s="1639">
        <v>133027</v>
      </c>
      <c r="D265" s="457">
        <v>1204</v>
      </c>
      <c r="E265" s="573">
        <v>10131.85</v>
      </c>
      <c r="F265" s="618">
        <v>502.00400000000002</v>
      </c>
      <c r="G265" s="2859">
        <v>221923</v>
      </c>
      <c r="H265" s="2860">
        <v>522038</v>
      </c>
      <c r="I265" s="2861">
        <f t="shared" si="2"/>
        <v>743961</v>
      </c>
      <c r="J265" s="2862">
        <v>16236.315789473685</v>
      </c>
      <c r="K265" s="2860">
        <v>11521.263157894737</v>
      </c>
      <c r="L265" s="2862">
        <v>13998</v>
      </c>
      <c r="M265" s="2863">
        <v>9838</v>
      </c>
      <c r="N265" s="2850">
        <v>26225</v>
      </c>
      <c r="O265" s="2851">
        <v>1172</v>
      </c>
      <c r="P265" s="2851">
        <v>133545</v>
      </c>
      <c r="Q265" s="2851">
        <v>6105</v>
      </c>
      <c r="R265" s="2851">
        <v>4921</v>
      </c>
      <c r="S265" s="2851">
        <v>34854</v>
      </c>
      <c r="T265" s="2851">
        <v>100382</v>
      </c>
      <c r="U265" s="2851">
        <v>35869</v>
      </c>
      <c r="V265" s="2851">
        <v>15121</v>
      </c>
      <c r="W265" s="2851">
        <v>11938</v>
      </c>
      <c r="X265" s="2851">
        <v>16378</v>
      </c>
      <c r="Y265" s="2851">
        <v>5619</v>
      </c>
      <c r="Z265" s="2851">
        <v>10481</v>
      </c>
      <c r="AA265" s="2851">
        <v>36768</v>
      </c>
      <c r="AB265" s="2851">
        <v>184610</v>
      </c>
      <c r="AC265" s="2851">
        <v>56793</v>
      </c>
      <c r="AD265" s="2851">
        <v>22109</v>
      </c>
      <c r="AE265" s="2851">
        <v>7085</v>
      </c>
      <c r="AF265" s="2851">
        <v>25331</v>
      </c>
      <c r="AG265" s="2852">
        <v>18</v>
      </c>
    </row>
    <row r="266" spans="1:33">
      <c r="A266" s="49">
        <f t="shared" si="1"/>
        <v>2015.05</v>
      </c>
      <c r="B266" s="631">
        <v>135152</v>
      </c>
      <c r="C266" s="1639">
        <v>133930</v>
      </c>
      <c r="D266" s="457">
        <v>1222</v>
      </c>
      <c r="E266" s="573">
        <v>13066.82</v>
      </c>
      <c r="F266" s="618">
        <v>500.822</v>
      </c>
      <c r="G266" s="2859">
        <v>222539</v>
      </c>
      <c r="H266" s="2860">
        <v>521845</v>
      </c>
      <c r="I266" s="2861">
        <f t="shared" si="2"/>
        <v>744384</v>
      </c>
      <c r="J266" s="2862">
        <v>15071.947368421053</v>
      </c>
      <c r="K266" s="2860">
        <v>11880</v>
      </c>
      <c r="L266" s="2862">
        <v>12956</v>
      </c>
      <c r="M266" s="2863">
        <v>10717</v>
      </c>
      <c r="N266" s="2850">
        <v>25716</v>
      </c>
      <c r="O266" s="2851">
        <v>1168</v>
      </c>
      <c r="P266" s="2851">
        <v>133733</v>
      </c>
      <c r="Q266" s="2851">
        <v>6108</v>
      </c>
      <c r="R266" s="2851">
        <v>4917</v>
      </c>
      <c r="S266" s="2851">
        <v>35175</v>
      </c>
      <c r="T266" s="2851">
        <v>99490</v>
      </c>
      <c r="U266" s="2851">
        <v>35810</v>
      </c>
      <c r="V266" s="2851">
        <v>15017</v>
      </c>
      <c r="W266" s="2851">
        <v>11915</v>
      </c>
      <c r="X266" s="2851">
        <v>16390</v>
      </c>
      <c r="Y266" s="2851">
        <v>5593</v>
      </c>
      <c r="Z266" s="2851">
        <v>10472</v>
      </c>
      <c r="AA266" s="2851">
        <v>34505</v>
      </c>
      <c r="AB266" s="2851">
        <v>187207</v>
      </c>
      <c r="AC266" s="2851">
        <v>57822</v>
      </c>
      <c r="AD266" s="2851">
        <v>22058</v>
      </c>
      <c r="AE266" s="2851">
        <v>7024</v>
      </c>
      <c r="AF266" s="2851">
        <v>25376</v>
      </c>
      <c r="AG266" s="2852">
        <v>18</v>
      </c>
    </row>
    <row r="267" spans="1:33">
      <c r="A267" s="49">
        <f t="shared" si="1"/>
        <v>2015.06</v>
      </c>
      <c r="B267" s="631">
        <v>136563</v>
      </c>
      <c r="C267" s="1639">
        <v>135302</v>
      </c>
      <c r="D267" s="457">
        <v>1261</v>
      </c>
      <c r="E267" s="573">
        <v>17045.22</v>
      </c>
      <c r="F267" s="618">
        <v>503.29700000000003</v>
      </c>
      <c r="G267" s="2859">
        <v>226794</v>
      </c>
      <c r="H267" s="2860">
        <v>524574</v>
      </c>
      <c r="I267" s="2861">
        <f t="shared" si="2"/>
        <v>751368</v>
      </c>
      <c r="J267" s="2862">
        <v>21411.315789473683</v>
      </c>
      <c r="K267" s="2860">
        <v>17996</v>
      </c>
      <c r="L267" s="2862">
        <v>18872</v>
      </c>
      <c r="M267" s="2863">
        <v>15886</v>
      </c>
      <c r="N267" s="2850">
        <v>25221</v>
      </c>
      <c r="O267" s="2851">
        <v>1182</v>
      </c>
      <c r="P267" s="2851">
        <v>133577</v>
      </c>
      <c r="Q267" s="2851">
        <v>6138</v>
      </c>
      <c r="R267" s="2851">
        <v>4888</v>
      </c>
      <c r="S267" s="2851">
        <v>35510</v>
      </c>
      <c r="T267" s="2851">
        <v>99794</v>
      </c>
      <c r="U267" s="2851">
        <v>35873</v>
      </c>
      <c r="V267" s="2851">
        <v>15052</v>
      </c>
      <c r="W267" s="2851">
        <v>11909</v>
      </c>
      <c r="X267" s="2851">
        <v>16442</v>
      </c>
      <c r="Y267" s="2851">
        <v>5540</v>
      </c>
      <c r="Z267" s="2851">
        <v>10545</v>
      </c>
      <c r="AA267" s="2851">
        <v>36240</v>
      </c>
      <c r="AB267" s="2851">
        <v>189079</v>
      </c>
      <c r="AC267" s="2851">
        <v>59625</v>
      </c>
      <c r="AD267" s="2851">
        <v>22174</v>
      </c>
      <c r="AE267" s="2851">
        <v>6924</v>
      </c>
      <c r="AF267" s="2851">
        <v>25489</v>
      </c>
      <c r="AG267" s="2852">
        <v>18</v>
      </c>
    </row>
    <row r="268" spans="1:33">
      <c r="A268" s="49">
        <f t="shared" si="1"/>
        <v>2015.07</v>
      </c>
      <c r="B268" s="631">
        <v>137855</v>
      </c>
      <c r="C268" s="1639">
        <v>136498</v>
      </c>
      <c r="D268" s="457">
        <v>1357</v>
      </c>
      <c r="E268" s="573">
        <v>20204.009999999998</v>
      </c>
      <c r="F268" s="618">
        <v>501.41500000000002</v>
      </c>
      <c r="G268" s="2859">
        <v>226501</v>
      </c>
      <c r="H268" s="2860">
        <v>523336</v>
      </c>
      <c r="I268" s="2861">
        <f t="shared" si="2"/>
        <v>749837</v>
      </c>
      <c r="J268" s="2862">
        <v>16308.157894736842</v>
      </c>
      <c r="K268" s="2860">
        <v>12975.842105263158</v>
      </c>
      <c r="L268" s="2862">
        <v>14228</v>
      </c>
      <c r="M268" s="2863">
        <v>11590</v>
      </c>
      <c r="N268" s="2850">
        <v>24713</v>
      </c>
      <c r="O268" s="2851">
        <v>1180</v>
      </c>
      <c r="P268" s="2851">
        <v>133557</v>
      </c>
      <c r="Q268" s="2851">
        <v>6105</v>
      </c>
      <c r="R268" s="2851">
        <v>4896</v>
      </c>
      <c r="S268" s="2851">
        <v>35329</v>
      </c>
      <c r="T268" s="2851">
        <v>99530</v>
      </c>
      <c r="U268" s="2851">
        <v>36103</v>
      </c>
      <c r="V268" s="2851">
        <v>15128</v>
      </c>
      <c r="W268" s="2851">
        <v>11936</v>
      </c>
      <c r="X268" s="2851">
        <v>16466</v>
      </c>
      <c r="Y268" s="2851">
        <v>5403</v>
      </c>
      <c r="Z268" s="2851">
        <v>10460</v>
      </c>
      <c r="AA268" s="2851">
        <v>34498</v>
      </c>
      <c r="AB268" s="2851">
        <v>191005</v>
      </c>
      <c r="AC268" s="2851">
        <v>58173</v>
      </c>
      <c r="AD268" s="2851">
        <v>22280</v>
      </c>
      <c r="AE268" s="2851">
        <v>7088</v>
      </c>
      <c r="AF268" s="2851">
        <v>25461</v>
      </c>
      <c r="AG268" s="2852">
        <v>20</v>
      </c>
    </row>
    <row r="269" spans="1:33">
      <c r="A269" s="49">
        <f t="shared" si="1"/>
        <v>2015.08</v>
      </c>
      <c r="B269" s="631">
        <v>137905</v>
      </c>
      <c r="C269" s="1639">
        <v>136544</v>
      </c>
      <c r="D269" s="457">
        <v>1361</v>
      </c>
      <c r="E269" s="573">
        <v>23365.62</v>
      </c>
      <c r="F269" s="618">
        <v>502.83600000000001</v>
      </c>
      <c r="G269" s="2859">
        <v>228137</v>
      </c>
      <c r="H269" s="2860">
        <v>523736</v>
      </c>
      <c r="I269" s="2861">
        <f t="shared" si="2"/>
        <v>751873</v>
      </c>
      <c r="J269" s="2862">
        <v>16447.36842105263</v>
      </c>
      <c r="K269" s="2860">
        <v>12656.105263157895</v>
      </c>
      <c r="L269" s="2862">
        <v>14255</v>
      </c>
      <c r="M269" s="2863">
        <v>11279</v>
      </c>
      <c r="N269" s="2850">
        <v>24313</v>
      </c>
      <c r="O269" s="2851">
        <v>1176</v>
      </c>
      <c r="P269" s="2851">
        <v>133264</v>
      </c>
      <c r="Q269" s="2851">
        <v>6123</v>
      </c>
      <c r="R269" s="2851">
        <v>4929</v>
      </c>
      <c r="S269" s="2851">
        <v>35002</v>
      </c>
      <c r="T269" s="2851">
        <v>99896</v>
      </c>
      <c r="U269" s="2851">
        <v>36974</v>
      </c>
      <c r="V269" s="2851">
        <v>15176</v>
      </c>
      <c r="W269" s="2851">
        <v>11929</v>
      </c>
      <c r="X269" s="2851">
        <v>16439</v>
      </c>
      <c r="Y269" s="2851">
        <v>5413</v>
      </c>
      <c r="Z269" s="2851">
        <v>10449</v>
      </c>
      <c r="AA269" s="2851">
        <v>35875</v>
      </c>
      <c r="AB269" s="2851">
        <v>190577</v>
      </c>
      <c r="AC269" s="2851">
        <v>58972</v>
      </c>
      <c r="AD269" s="2851">
        <v>22328</v>
      </c>
      <c r="AE269" s="2851">
        <v>7081</v>
      </c>
      <c r="AF269" s="2851">
        <v>25594</v>
      </c>
      <c r="AG269" s="2852">
        <v>20</v>
      </c>
    </row>
    <row r="270" spans="1:33">
      <c r="A270" s="49">
        <f t="shared" si="1"/>
        <v>2015.09</v>
      </c>
      <c r="B270" s="631">
        <v>138031</v>
      </c>
      <c r="C270" s="1639">
        <v>136772</v>
      </c>
      <c r="D270" s="457">
        <v>1259</v>
      </c>
      <c r="E270" s="573">
        <v>26575.119999999999</v>
      </c>
      <c r="F270" s="618">
        <v>502.16899999999998</v>
      </c>
      <c r="G270" s="2859">
        <v>227486</v>
      </c>
      <c r="H270" s="2860">
        <v>525632</v>
      </c>
      <c r="I270" s="2861">
        <f t="shared" si="2"/>
        <v>753118</v>
      </c>
      <c r="J270" s="2862">
        <v>16506.842105263157</v>
      </c>
      <c r="K270" s="2860">
        <v>13135.947368421053</v>
      </c>
      <c r="L270" s="2862">
        <v>14260</v>
      </c>
      <c r="M270" s="2863">
        <v>11738</v>
      </c>
      <c r="N270" s="2850">
        <v>24179</v>
      </c>
      <c r="O270" s="2851">
        <v>1178</v>
      </c>
      <c r="P270" s="2851">
        <v>133468</v>
      </c>
      <c r="Q270" s="2851">
        <v>6156</v>
      </c>
      <c r="R270" s="2851">
        <v>4934</v>
      </c>
      <c r="S270" s="2851">
        <v>35207</v>
      </c>
      <c r="T270" s="2851">
        <v>99511</v>
      </c>
      <c r="U270" s="2851">
        <v>36381</v>
      </c>
      <c r="V270" s="2851">
        <v>15127</v>
      </c>
      <c r="W270" s="2851">
        <v>11943</v>
      </c>
      <c r="X270" s="2851">
        <v>16477</v>
      </c>
      <c r="Y270" s="2851">
        <v>5448</v>
      </c>
      <c r="Z270" s="2851">
        <v>10511</v>
      </c>
      <c r="AA270" s="2851">
        <v>34822</v>
      </c>
      <c r="AB270" s="2851">
        <v>191619</v>
      </c>
      <c r="AC270" s="2851">
        <v>59606</v>
      </c>
      <c r="AD270" s="2851">
        <v>22364</v>
      </c>
      <c r="AE270" s="2851">
        <v>7182</v>
      </c>
      <c r="AF270" s="2851">
        <v>25745</v>
      </c>
      <c r="AG270" s="2852">
        <v>20</v>
      </c>
    </row>
    <row r="271" spans="1:33">
      <c r="A271" s="49">
        <f t="shared" si="1"/>
        <v>2015.1</v>
      </c>
      <c r="B271" s="631">
        <v>138032</v>
      </c>
      <c r="C271" s="1639">
        <v>136801</v>
      </c>
      <c r="D271" s="457">
        <v>1231</v>
      </c>
      <c r="E271" s="573">
        <v>29746.87</v>
      </c>
      <c r="F271" s="618">
        <v>504.57799999999997</v>
      </c>
      <c r="G271" s="2859">
        <v>231333</v>
      </c>
      <c r="H271" s="2860">
        <v>527470</v>
      </c>
      <c r="I271" s="2861">
        <f t="shared" si="2"/>
        <v>758803</v>
      </c>
      <c r="J271" s="2862">
        <v>16520.947368421053</v>
      </c>
      <c r="K271" s="2860">
        <v>13273.105263157895</v>
      </c>
      <c r="L271" s="2862">
        <v>14261</v>
      </c>
      <c r="M271" s="2863">
        <v>11419</v>
      </c>
      <c r="N271" s="2850">
        <v>24243</v>
      </c>
      <c r="O271" s="2851">
        <v>1179</v>
      </c>
      <c r="P271" s="2851">
        <v>133662</v>
      </c>
      <c r="Q271" s="2851">
        <v>6149</v>
      </c>
      <c r="R271" s="2851">
        <v>4945</v>
      </c>
      <c r="S271" s="2851">
        <v>35461</v>
      </c>
      <c r="T271" s="2851">
        <v>99828</v>
      </c>
      <c r="U271" s="2851">
        <v>37314</v>
      </c>
      <c r="V271" s="2851">
        <v>15414</v>
      </c>
      <c r="W271" s="2851">
        <v>11997</v>
      </c>
      <c r="X271" s="2851">
        <v>16495</v>
      </c>
      <c r="Y271" s="2851">
        <v>5507</v>
      </c>
      <c r="Z271" s="2851">
        <v>10543</v>
      </c>
      <c r="AA271" s="2851">
        <v>36171</v>
      </c>
      <c r="AB271" s="2851">
        <v>193527</v>
      </c>
      <c r="AC271" s="2851">
        <v>59864</v>
      </c>
      <c r="AD271" s="2851">
        <v>22405</v>
      </c>
      <c r="AE271" s="2851">
        <v>7185</v>
      </c>
      <c r="AF271" s="2851">
        <v>25774</v>
      </c>
      <c r="AG271" s="2852">
        <v>20</v>
      </c>
    </row>
    <row r="272" spans="1:33">
      <c r="A272" s="49">
        <f t="shared" si="1"/>
        <v>2015.11</v>
      </c>
      <c r="B272" s="631">
        <v>137859</v>
      </c>
      <c r="C272" s="1639">
        <v>136662</v>
      </c>
      <c r="D272" s="457">
        <v>1197</v>
      </c>
      <c r="E272" s="573">
        <v>32919.61</v>
      </c>
      <c r="F272" s="618">
        <v>505.83100000000002</v>
      </c>
      <c r="G272" s="2859">
        <v>231466</v>
      </c>
      <c r="H272" s="2860">
        <v>528472</v>
      </c>
      <c r="I272" s="2861">
        <f t="shared" si="2"/>
        <v>759938</v>
      </c>
      <c r="J272" s="2862">
        <v>16626.63157894737</v>
      </c>
      <c r="K272" s="2860">
        <v>13575</v>
      </c>
      <c r="L272" s="2862">
        <v>14262</v>
      </c>
      <c r="M272" s="2863">
        <v>12001</v>
      </c>
      <c r="N272" s="2850">
        <v>24546</v>
      </c>
      <c r="O272" s="2851">
        <v>1186</v>
      </c>
      <c r="P272" s="2851">
        <v>133551</v>
      </c>
      <c r="Q272" s="2851">
        <v>6152</v>
      </c>
      <c r="R272" s="2851">
        <v>4998</v>
      </c>
      <c r="S272" s="2851">
        <v>35277</v>
      </c>
      <c r="T272" s="2851">
        <v>100413</v>
      </c>
      <c r="U272" s="2851">
        <v>37230</v>
      </c>
      <c r="V272" s="2851">
        <v>15630</v>
      </c>
      <c r="W272" s="2851">
        <v>12012</v>
      </c>
      <c r="X272" s="2851">
        <v>16557</v>
      </c>
      <c r="Y272" s="2851">
        <v>5469</v>
      </c>
      <c r="Z272" s="2851">
        <v>10601</v>
      </c>
      <c r="AA272" s="2851">
        <v>36610</v>
      </c>
      <c r="AB272" s="2851">
        <v>193497</v>
      </c>
      <c r="AC272" s="2851">
        <v>59326</v>
      </c>
      <c r="AD272" s="2851">
        <v>22429</v>
      </c>
      <c r="AE272" s="2851">
        <v>7211</v>
      </c>
      <c r="AF272" s="2851">
        <v>25870</v>
      </c>
      <c r="AG272" s="2852">
        <v>20</v>
      </c>
    </row>
    <row r="273" spans="1:33">
      <c r="A273" s="49">
        <f t="shared" si="1"/>
        <v>2015.12</v>
      </c>
      <c r="B273" s="631">
        <v>138233</v>
      </c>
      <c r="C273" s="1639">
        <v>137260</v>
      </c>
      <c r="D273" s="457">
        <v>973</v>
      </c>
      <c r="E273" s="573">
        <v>37436.99</v>
      </c>
      <c r="F273" s="618">
        <v>505.01799999999997</v>
      </c>
      <c r="G273" s="2859">
        <v>231032</v>
      </c>
      <c r="H273" s="2860">
        <v>527181</v>
      </c>
      <c r="I273" s="2861">
        <f t="shared" si="2"/>
        <v>758213</v>
      </c>
      <c r="J273" s="2862">
        <v>22967.894736842107</v>
      </c>
      <c r="K273" s="2860">
        <v>20478.315789473683</v>
      </c>
      <c r="L273" s="2862">
        <v>20393</v>
      </c>
      <c r="M273" s="2863">
        <v>18248</v>
      </c>
      <c r="N273" s="2850">
        <v>24701</v>
      </c>
      <c r="O273" s="2851">
        <v>1199</v>
      </c>
      <c r="P273" s="2851">
        <v>133305</v>
      </c>
      <c r="Q273" s="2851">
        <v>6143</v>
      </c>
      <c r="R273" s="2851">
        <v>5000</v>
      </c>
      <c r="S273" s="2851">
        <v>33717</v>
      </c>
      <c r="T273" s="2851">
        <v>101284</v>
      </c>
      <c r="U273" s="2851">
        <v>36662</v>
      </c>
      <c r="V273" s="2851">
        <v>15684</v>
      </c>
      <c r="W273" s="2851">
        <v>12004</v>
      </c>
      <c r="X273" s="2851">
        <v>16703</v>
      </c>
      <c r="Y273" s="2851">
        <v>5477</v>
      </c>
      <c r="Z273" s="2851">
        <v>10596</v>
      </c>
      <c r="AA273" s="2851">
        <v>35820</v>
      </c>
      <c r="AB273" s="2851">
        <v>194829</v>
      </c>
      <c r="AC273" s="2851">
        <v>57907</v>
      </c>
      <c r="AD273" s="2851">
        <v>22585</v>
      </c>
      <c r="AE273" s="2851">
        <v>7435</v>
      </c>
      <c r="AF273" s="2851">
        <v>25859</v>
      </c>
      <c r="AG273" s="2852">
        <v>20</v>
      </c>
    </row>
    <row r="274" spans="1:33">
      <c r="A274" s="49">
        <f t="shared" si="1"/>
        <v>2016.01</v>
      </c>
      <c r="B274" s="631">
        <v>138519</v>
      </c>
      <c r="C274" s="1639">
        <v>137513</v>
      </c>
      <c r="D274" s="457">
        <v>1006</v>
      </c>
      <c r="E274" s="573">
        <v>3136.7370000000001</v>
      </c>
      <c r="F274" s="618">
        <v>501.05700000000002</v>
      </c>
      <c r="G274" s="2859">
        <v>215181</v>
      </c>
      <c r="H274" s="2860">
        <v>521947</v>
      </c>
      <c r="I274" s="2861">
        <f t="shared" si="2"/>
        <v>737128</v>
      </c>
      <c r="J274" s="2862">
        <v>17700.157894736843</v>
      </c>
      <c r="K274" s="2860">
        <v>14878.78947368421</v>
      </c>
      <c r="L274" s="2862">
        <v>14456</v>
      </c>
      <c r="M274" s="2863">
        <v>12500</v>
      </c>
      <c r="N274" s="2850">
        <v>24287</v>
      </c>
      <c r="O274" s="2851">
        <v>1190</v>
      </c>
      <c r="P274" s="2851">
        <v>133163</v>
      </c>
      <c r="Q274" s="2851">
        <v>6144</v>
      </c>
      <c r="R274" s="2851">
        <v>4967</v>
      </c>
      <c r="S274" s="2851">
        <v>33713</v>
      </c>
      <c r="T274" s="2851">
        <v>100050</v>
      </c>
      <c r="U274" s="2851">
        <v>36632</v>
      </c>
      <c r="V274" s="2851">
        <v>15456</v>
      </c>
      <c r="W274" s="2851">
        <v>12020</v>
      </c>
      <c r="X274" s="2851">
        <v>16693</v>
      </c>
      <c r="Y274" s="2851">
        <v>6135</v>
      </c>
      <c r="Z274" s="2851">
        <v>10359</v>
      </c>
      <c r="AA274" s="2851">
        <v>36162</v>
      </c>
      <c r="AB274" s="2851">
        <v>179034</v>
      </c>
      <c r="AC274" s="2851">
        <v>54148</v>
      </c>
      <c r="AD274" s="2851">
        <v>22679</v>
      </c>
      <c r="AE274" s="2851">
        <v>7597</v>
      </c>
      <c r="AF274" s="2851">
        <v>25492</v>
      </c>
      <c r="AG274" s="2852">
        <v>22</v>
      </c>
    </row>
    <row r="275" spans="1:33">
      <c r="A275" s="49">
        <f t="shared" si="1"/>
        <v>2016.02</v>
      </c>
      <c r="B275" s="631">
        <v>138494</v>
      </c>
      <c r="C275" s="1639">
        <v>137427</v>
      </c>
      <c r="D275" s="457">
        <v>1067</v>
      </c>
      <c r="E275" s="573">
        <v>6170.4170000000004</v>
      </c>
      <c r="F275" s="618">
        <v>499.31700000000001</v>
      </c>
      <c r="G275" s="2859">
        <v>216033</v>
      </c>
      <c r="H275" s="2860">
        <v>520609</v>
      </c>
      <c r="I275" s="2861">
        <f t="shared" si="2"/>
        <v>736642</v>
      </c>
      <c r="J275" s="2862">
        <v>17439.157894736843</v>
      </c>
      <c r="K275" s="2860">
        <v>14793.947368421053</v>
      </c>
      <c r="L275" s="2862">
        <v>14704</v>
      </c>
      <c r="M275" s="2863">
        <v>12569</v>
      </c>
      <c r="N275" s="2850">
        <v>23776</v>
      </c>
      <c r="O275" s="2851">
        <v>1198</v>
      </c>
      <c r="P275" s="2851">
        <v>132637</v>
      </c>
      <c r="Q275" s="2851">
        <v>6144</v>
      </c>
      <c r="R275" s="2851">
        <v>4970</v>
      </c>
      <c r="S275" s="2851">
        <v>33708</v>
      </c>
      <c r="T275" s="2851">
        <v>99752</v>
      </c>
      <c r="U275" s="2851">
        <v>36399</v>
      </c>
      <c r="V275" s="2851">
        <v>15341</v>
      </c>
      <c r="W275" s="2851">
        <v>12145</v>
      </c>
      <c r="X275" s="2851">
        <v>16604</v>
      </c>
      <c r="Y275" s="2851">
        <v>6074</v>
      </c>
      <c r="Z275" s="2851">
        <v>10391</v>
      </c>
      <c r="AA275" s="2851">
        <v>35907</v>
      </c>
      <c r="AB275" s="2851">
        <v>179921</v>
      </c>
      <c r="AC275" s="2851">
        <v>54140</v>
      </c>
      <c r="AD275" s="2851">
        <v>22653</v>
      </c>
      <c r="AE275" s="2851">
        <v>7394</v>
      </c>
      <c r="AF275" s="2851">
        <v>25645</v>
      </c>
      <c r="AG275" s="2852">
        <v>22</v>
      </c>
    </row>
    <row r="276" spans="1:33">
      <c r="A276" s="49">
        <f t="shared" si="1"/>
        <v>2016.03</v>
      </c>
      <c r="B276" s="631">
        <v>138787</v>
      </c>
      <c r="C276" s="1639">
        <v>137665</v>
      </c>
      <c r="D276" s="457">
        <v>1122</v>
      </c>
      <c r="E276" s="573">
        <v>10052.790000000001</v>
      </c>
      <c r="F276" s="618">
        <v>502.32900000000001</v>
      </c>
      <c r="G276" s="2859">
        <v>219248</v>
      </c>
      <c r="H276" s="2860">
        <v>525378</v>
      </c>
      <c r="I276" s="2861">
        <f t="shared" si="2"/>
        <v>744626</v>
      </c>
      <c r="J276" s="2862">
        <v>20135.947368421053</v>
      </c>
      <c r="K276" s="2860">
        <v>14957.473684210527</v>
      </c>
      <c r="L276" s="2862">
        <v>17357</v>
      </c>
      <c r="M276" s="2863">
        <v>12900</v>
      </c>
      <c r="N276" s="2850">
        <v>25013</v>
      </c>
      <c r="O276" s="2851">
        <v>1197</v>
      </c>
      <c r="P276" s="2851">
        <v>132184</v>
      </c>
      <c r="Q276" s="2851">
        <v>6149</v>
      </c>
      <c r="R276" s="2851">
        <v>4982</v>
      </c>
      <c r="S276" s="2851">
        <v>33954</v>
      </c>
      <c r="T276" s="2851">
        <v>100715</v>
      </c>
      <c r="U276" s="2851">
        <v>36602</v>
      </c>
      <c r="V276" s="2851">
        <v>15378</v>
      </c>
      <c r="W276" s="2851">
        <v>12232</v>
      </c>
      <c r="X276" s="2851">
        <v>16713</v>
      </c>
      <c r="Y276" s="2851">
        <v>6104</v>
      </c>
      <c r="Z276" s="2851">
        <v>10404</v>
      </c>
      <c r="AA276" s="2851">
        <v>35904</v>
      </c>
      <c r="AB276" s="2851">
        <v>183248</v>
      </c>
      <c r="AC276" s="2851">
        <v>56857</v>
      </c>
      <c r="AD276" s="2851">
        <v>22679</v>
      </c>
      <c r="AE276" s="2851">
        <v>7380</v>
      </c>
      <c r="AF276" s="2851">
        <v>25890</v>
      </c>
      <c r="AG276" s="2852">
        <v>22</v>
      </c>
    </row>
    <row r="277" spans="1:33">
      <c r="A277" s="49">
        <f t="shared" si="1"/>
        <v>2016.04</v>
      </c>
      <c r="B277" s="631">
        <v>138693</v>
      </c>
      <c r="C277" s="1639">
        <v>137537</v>
      </c>
      <c r="D277" s="457">
        <v>1156</v>
      </c>
      <c r="E277" s="573">
        <v>13942.57</v>
      </c>
      <c r="F277" s="618">
        <v>499.762</v>
      </c>
      <c r="G277" s="2859">
        <v>225788</v>
      </c>
      <c r="H277" s="2860">
        <v>522721</v>
      </c>
      <c r="I277" s="2861">
        <f t="shared" si="2"/>
        <v>748509</v>
      </c>
      <c r="J277" s="2862">
        <v>19909.42105263158</v>
      </c>
      <c r="K277" s="2860">
        <v>15728.368421052632</v>
      </c>
      <c r="L277" s="2862">
        <v>17305</v>
      </c>
      <c r="M277" s="2863">
        <v>13352</v>
      </c>
      <c r="N277" s="2850">
        <v>25100</v>
      </c>
      <c r="O277" s="2851">
        <v>1192</v>
      </c>
      <c r="P277" s="2851">
        <v>131594</v>
      </c>
      <c r="Q277" s="2851">
        <v>6151</v>
      </c>
      <c r="R277" s="2851">
        <v>4982</v>
      </c>
      <c r="S277" s="2851">
        <v>33242</v>
      </c>
      <c r="T277" s="2851">
        <v>99742</v>
      </c>
      <c r="U277" s="2851">
        <v>36190</v>
      </c>
      <c r="V277" s="2851">
        <v>15127</v>
      </c>
      <c r="W277" s="2851">
        <v>12322</v>
      </c>
      <c r="X277" s="2851">
        <v>16811</v>
      </c>
      <c r="Y277" s="2851">
        <v>6044</v>
      </c>
      <c r="Z277" s="2851">
        <v>10317</v>
      </c>
      <c r="AA277" s="2851">
        <v>35230</v>
      </c>
      <c r="AB277" s="2851">
        <v>190147</v>
      </c>
      <c r="AC277" s="2851">
        <v>58296</v>
      </c>
      <c r="AD277" s="2851">
        <v>22552</v>
      </c>
      <c r="AE277" s="2851">
        <v>7232</v>
      </c>
      <c r="AF277" s="2851">
        <v>25776</v>
      </c>
      <c r="AG277" s="2852">
        <v>21</v>
      </c>
    </row>
    <row r="278" spans="1:33">
      <c r="A278" s="49">
        <f t="shared" si="1"/>
        <v>2016.05</v>
      </c>
      <c r="B278" s="631">
        <v>139254</v>
      </c>
      <c r="C278" s="1639">
        <v>138096</v>
      </c>
      <c r="D278" s="457">
        <v>1158</v>
      </c>
      <c r="E278" s="573">
        <v>17794.97</v>
      </c>
      <c r="F278" s="618">
        <v>499.18400000000003</v>
      </c>
      <c r="G278" s="2859">
        <v>228307</v>
      </c>
      <c r="H278" s="2860">
        <v>522810</v>
      </c>
      <c r="I278" s="2861">
        <f t="shared" si="2"/>
        <v>751117</v>
      </c>
      <c r="J278" s="2862">
        <v>20278.36842105263</v>
      </c>
      <c r="K278" s="2860">
        <v>16066.368421052632</v>
      </c>
      <c r="L278" s="2862">
        <v>17357</v>
      </c>
      <c r="M278" s="2863">
        <v>14326</v>
      </c>
      <c r="N278" s="2850">
        <v>25314</v>
      </c>
      <c r="O278" s="2851">
        <v>1176</v>
      </c>
      <c r="P278" s="2851">
        <v>130444</v>
      </c>
      <c r="Q278" s="2851">
        <v>6173</v>
      </c>
      <c r="R278" s="2851">
        <v>4967</v>
      </c>
      <c r="S278" s="2851">
        <v>33636</v>
      </c>
      <c r="T278" s="2851">
        <v>99982</v>
      </c>
      <c r="U278" s="2851">
        <v>36277</v>
      </c>
      <c r="V278" s="2851">
        <v>14960</v>
      </c>
      <c r="W278" s="2851">
        <v>12292</v>
      </c>
      <c r="X278" s="2851">
        <v>16847</v>
      </c>
      <c r="Y278" s="2851">
        <v>5931</v>
      </c>
      <c r="Z278" s="2851">
        <v>10303</v>
      </c>
      <c r="AA278" s="2851">
        <v>34808</v>
      </c>
      <c r="AB278" s="2851">
        <v>192437</v>
      </c>
      <c r="AC278" s="2851">
        <v>59284</v>
      </c>
      <c r="AD278" s="2851">
        <v>22445</v>
      </c>
      <c r="AE278" s="2851">
        <v>7237</v>
      </c>
      <c r="AF278" s="2851">
        <v>25819</v>
      </c>
      <c r="AG278" s="2852">
        <v>22</v>
      </c>
    </row>
    <row r="279" spans="1:33">
      <c r="A279" s="49">
        <f t="shared" si="1"/>
        <v>2016.06</v>
      </c>
      <c r="B279" s="631">
        <v>139309</v>
      </c>
      <c r="C279" s="1639">
        <v>138151</v>
      </c>
      <c r="D279" s="457">
        <v>1158</v>
      </c>
      <c r="E279" s="573">
        <v>23185.85</v>
      </c>
      <c r="F279" s="618">
        <v>499.08800000000002</v>
      </c>
      <c r="G279" s="2859">
        <v>229904</v>
      </c>
      <c r="H279" s="2860">
        <v>521357</v>
      </c>
      <c r="I279" s="2861">
        <f t="shared" si="2"/>
        <v>751261</v>
      </c>
      <c r="J279" s="2862">
        <v>27857.36842105263</v>
      </c>
      <c r="K279" s="2860">
        <v>23209.63157894737</v>
      </c>
      <c r="L279" s="2862">
        <v>25435</v>
      </c>
      <c r="M279" s="2863">
        <v>20582</v>
      </c>
      <c r="N279" s="2850">
        <v>24695</v>
      </c>
      <c r="O279" s="2851">
        <v>1179</v>
      </c>
      <c r="P279" s="2851">
        <v>130495</v>
      </c>
      <c r="Q279" s="2851">
        <v>6205</v>
      </c>
      <c r="R279" s="2851">
        <v>4921</v>
      </c>
      <c r="S279" s="2851">
        <v>33718</v>
      </c>
      <c r="T279" s="2851">
        <v>99654</v>
      </c>
      <c r="U279" s="2851">
        <v>36126</v>
      </c>
      <c r="V279" s="2851">
        <v>14791</v>
      </c>
      <c r="W279" s="2851">
        <v>12333</v>
      </c>
      <c r="X279" s="2851">
        <v>16785</v>
      </c>
      <c r="Y279" s="2851">
        <v>5924</v>
      </c>
      <c r="Z279" s="2851">
        <v>10166</v>
      </c>
      <c r="AA279" s="2851">
        <v>34572</v>
      </c>
      <c r="AB279" s="2851">
        <v>193511</v>
      </c>
      <c r="AC279" s="2851">
        <v>60735</v>
      </c>
      <c r="AD279" s="2851">
        <v>22403</v>
      </c>
      <c r="AE279" s="2851">
        <v>7142</v>
      </c>
      <c r="AF279" s="2851">
        <v>25928</v>
      </c>
      <c r="AG279" s="2852">
        <v>22</v>
      </c>
    </row>
    <row r="280" spans="1:33">
      <c r="A280" s="49">
        <f t="shared" si="1"/>
        <v>2016.07</v>
      </c>
      <c r="B280" s="631">
        <v>139241</v>
      </c>
      <c r="C280" s="1639">
        <v>138066</v>
      </c>
      <c r="D280" s="457">
        <v>1175</v>
      </c>
      <c r="E280" s="573">
        <v>27395.05</v>
      </c>
      <c r="F280" s="618">
        <v>497.589</v>
      </c>
      <c r="G280" s="2859">
        <v>230431</v>
      </c>
      <c r="H280" s="2860">
        <v>518753</v>
      </c>
      <c r="I280" s="2861">
        <f t="shared" si="2"/>
        <v>749184</v>
      </c>
      <c r="J280" s="2862">
        <v>21513.473684210527</v>
      </c>
      <c r="K280" s="2860">
        <v>16670</v>
      </c>
      <c r="L280" s="2862">
        <v>18804</v>
      </c>
      <c r="M280" s="2863">
        <v>14647</v>
      </c>
      <c r="N280" s="2850">
        <v>24033</v>
      </c>
      <c r="O280" s="2851">
        <v>1171</v>
      </c>
      <c r="P280" s="2851">
        <v>130290</v>
      </c>
      <c r="Q280" s="2851">
        <v>6198</v>
      </c>
      <c r="R280" s="2851">
        <v>4923</v>
      </c>
      <c r="S280" s="2851">
        <v>33967</v>
      </c>
      <c r="T280" s="2851">
        <v>99469</v>
      </c>
      <c r="U280" s="2851">
        <v>36074</v>
      </c>
      <c r="V280" s="2851">
        <v>14807</v>
      </c>
      <c r="W280" s="2851">
        <v>12462</v>
      </c>
      <c r="X280" s="2851">
        <v>16785</v>
      </c>
      <c r="Y280" s="2851">
        <v>5745</v>
      </c>
      <c r="Z280" s="2851">
        <v>10257</v>
      </c>
      <c r="AA280" s="2851">
        <v>34059</v>
      </c>
      <c r="AB280" s="2851">
        <v>194528</v>
      </c>
      <c r="AC280" s="2851">
        <v>58952</v>
      </c>
      <c r="AD280" s="2851">
        <v>22500</v>
      </c>
      <c r="AE280" s="2851">
        <v>7197</v>
      </c>
      <c r="AF280" s="2851">
        <v>25736</v>
      </c>
      <c r="AG280" s="2852">
        <v>22</v>
      </c>
    </row>
    <row r="281" spans="1:33">
      <c r="A281" s="49">
        <f t="shared" si="1"/>
        <v>2016.08</v>
      </c>
      <c r="B281" s="631">
        <v>138486</v>
      </c>
      <c r="C281" s="1639">
        <v>137304</v>
      </c>
      <c r="D281" s="457">
        <v>1182</v>
      </c>
      <c r="E281" s="573">
        <v>31539.22</v>
      </c>
      <c r="F281" s="618">
        <v>498.99299999999999</v>
      </c>
      <c r="G281" s="2859">
        <v>229300</v>
      </c>
      <c r="H281" s="2860">
        <v>521733</v>
      </c>
      <c r="I281" s="2861">
        <f t="shared" si="2"/>
        <v>751033</v>
      </c>
      <c r="J281" s="2862">
        <v>21692.736842105263</v>
      </c>
      <c r="K281" s="2860">
        <v>17302.894736842107</v>
      </c>
      <c r="L281" s="2862">
        <v>18804</v>
      </c>
      <c r="M281" s="2863">
        <v>15118</v>
      </c>
      <c r="N281" s="2850">
        <v>23917</v>
      </c>
      <c r="O281" s="2851">
        <v>1180</v>
      </c>
      <c r="P281" s="2851">
        <v>130241</v>
      </c>
      <c r="Q281" s="2851">
        <v>6269</v>
      </c>
      <c r="R281" s="2851">
        <v>4919</v>
      </c>
      <c r="S281" s="2851">
        <v>34141</v>
      </c>
      <c r="T281" s="2851">
        <v>100131</v>
      </c>
      <c r="U281" s="2851">
        <v>36189</v>
      </c>
      <c r="V281" s="2851">
        <v>15039</v>
      </c>
      <c r="W281" s="2851">
        <v>12400</v>
      </c>
      <c r="X281" s="2851">
        <v>16768</v>
      </c>
      <c r="Y281" s="2851">
        <v>5770</v>
      </c>
      <c r="Z281" s="2851">
        <v>10434</v>
      </c>
      <c r="AA281" s="2851">
        <v>34187</v>
      </c>
      <c r="AB281" s="2851">
        <v>193193</v>
      </c>
      <c r="AC281" s="2851">
        <v>60153</v>
      </c>
      <c r="AD281" s="2851">
        <v>22496</v>
      </c>
      <c r="AE281" s="2851">
        <v>7201</v>
      </c>
      <c r="AF281" s="2851">
        <v>25925</v>
      </c>
      <c r="AG281" s="2852">
        <v>22</v>
      </c>
    </row>
    <row r="282" spans="1:33">
      <c r="A282" s="49">
        <f t="shared" si="1"/>
        <v>2016.09</v>
      </c>
      <c r="B282" s="631">
        <v>138687</v>
      </c>
      <c r="C282" s="1639">
        <v>137504</v>
      </c>
      <c r="D282" s="457">
        <v>1183</v>
      </c>
      <c r="E282" s="573">
        <v>35747.75</v>
      </c>
      <c r="F282" s="618">
        <v>499.30099999999999</v>
      </c>
      <c r="G282" s="2859">
        <v>230561</v>
      </c>
      <c r="H282" s="2860">
        <v>521808</v>
      </c>
      <c r="I282" s="2861">
        <f t="shared" si="2"/>
        <v>752369</v>
      </c>
      <c r="J282" s="2862">
        <v>21946.052631578947</v>
      </c>
      <c r="K282" s="2860">
        <v>17302.052631578947</v>
      </c>
      <c r="L282" s="2862">
        <v>18804</v>
      </c>
      <c r="M282" s="2863">
        <v>15027</v>
      </c>
      <c r="N282" s="2850">
        <v>23907</v>
      </c>
      <c r="O282" s="2851">
        <v>1180</v>
      </c>
      <c r="P282" s="2851">
        <v>130523</v>
      </c>
      <c r="Q282" s="2851">
        <v>6281</v>
      </c>
      <c r="R282" s="2851">
        <v>4928</v>
      </c>
      <c r="S282" s="2851">
        <v>33978</v>
      </c>
      <c r="T282" s="2851">
        <v>99907</v>
      </c>
      <c r="U282" s="2851">
        <v>35972</v>
      </c>
      <c r="V282" s="2851">
        <v>15307</v>
      </c>
      <c r="W282" s="2851">
        <v>12366</v>
      </c>
      <c r="X282" s="2851">
        <v>16774</v>
      </c>
      <c r="Y282" s="2851">
        <v>5728</v>
      </c>
      <c r="Z282" s="2851">
        <v>10482</v>
      </c>
      <c r="AA282" s="2851">
        <v>34281</v>
      </c>
      <c r="AB282" s="2851">
        <v>194534</v>
      </c>
      <c r="AC282" s="2851">
        <v>60304</v>
      </c>
      <c r="AD282" s="2851">
        <v>22549</v>
      </c>
      <c r="AE282" s="2851">
        <v>7289</v>
      </c>
      <c r="AF282" s="2851">
        <v>25965</v>
      </c>
      <c r="AG282" s="2852">
        <v>22</v>
      </c>
    </row>
    <row r="283" spans="1:33">
      <c r="A283" s="49">
        <f t="shared" si="1"/>
        <v>2016.1</v>
      </c>
      <c r="B283" s="631">
        <v>139409</v>
      </c>
      <c r="C283" s="1639">
        <v>138225</v>
      </c>
      <c r="D283" s="457">
        <v>1184</v>
      </c>
      <c r="E283" s="573">
        <v>39953.980000000003</v>
      </c>
      <c r="F283" s="618">
        <v>501.166</v>
      </c>
      <c r="G283" s="2859">
        <v>229436</v>
      </c>
      <c r="H283" s="2860">
        <v>523052</v>
      </c>
      <c r="I283" s="2861">
        <f t="shared" si="2"/>
        <v>752488</v>
      </c>
      <c r="J283" s="2862">
        <v>22017</v>
      </c>
      <c r="K283" s="2860">
        <v>18179.157894736843</v>
      </c>
      <c r="L283" s="2862">
        <v>18804</v>
      </c>
      <c r="M283" s="2863">
        <v>15996</v>
      </c>
      <c r="N283" s="2850">
        <v>23843</v>
      </c>
      <c r="O283" s="2851">
        <v>1183</v>
      </c>
      <c r="P283" s="2851">
        <v>130630</v>
      </c>
      <c r="Q283" s="2851">
        <v>6339</v>
      </c>
      <c r="R283" s="2851">
        <v>4945</v>
      </c>
      <c r="S283" s="2851">
        <v>34507</v>
      </c>
      <c r="T283" s="2851">
        <v>100296</v>
      </c>
      <c r="U283" s="2851">
        <v>36002</v>
      </c>
      <c r="V283" s="2851">
        <v>15531</v>
      </c>
      <c r="W283" s="2851">
        <v>12341</v>
      </c>
      <c r="X283" s="2851">
        <v>16778</v>
      </c>
      <c r="Y283" s="2851">
        <v>5653</v>
      </c>
      <c r="Z283" s="2851">
        <v>10524</v>
      </c>
      <c r="AA283" s="2851">
        <v>34558</v>
      </c>
      <c r="AB283" s="2851">
        <v>193448</v>
      </c>
      <c r="AC283" s="2851">
        <v>60470</v>
      </c>
      <c r="AD283" s="2851">
        <v>22675</v>
      </c>
      <c r="AE283" s="2851">
        <v>7524</v>
      </c>
      <c r="AF283" s="2851">
        <v>25945</v>
      </c>
      <c r="AG283" s="2852">
        <v>22</v>
      </c>
    </row>
    <row r="284" spans="1:33">
      <c r="A284" s="49">
        <f t="shared" si="1"/>
        <v>2016.11</v>
      </c>
      <c r="B284" s="631">
        <v>139523</v>
      </c>
      <c r="C284" s="1639">
        <v>138347</v>
      </c>
      <c r="D284" s="457">
        <v>1176</v>
      </c>
      <c r="E284" s="573">
        <v>44215.334000000003</v>
      </c>
      <c r="F284" s="618">
        <v>504.005</v>
      </c>
      <c r="G284" s="2859">
        <v>232166</v>
      </c>
      <c r="H284" s="2860">
        <v>526380</v>
      </c>
      <c r="I284" s="2861">
        <f t="shared" si="2"/>
        <v>758546</v>
      </c>
      <c r="J284" s="2862">
        <v>22354.526315789473</v>
      </c>
      <c r="K284" s="2860">
        <v>18561.157894736843</v>
      </c>
      <c r="L284" s="2862">
        <v>18804</v>
      </c>
      <c r="M284" s="2863">
        <v>16297</v>
      </c>
      <c r="N284" s="2850">
        <v>24357</v>
      </c>
      <c r="O284" s="2851">
        <v>1181</v>
      </c>
      <c r="P284" s="2851">
        <v>131168</v>
      </c>
      <c r="Q284" s="2851">
        <v>6364</v>
      </c>
      <c r="R284" s="2851">
        <v>4987</v>
      </c>
      <c r="S284" s="2851">
        <v>35147</v>
      </c>
      <c r="T284" s="2851">
        <v>100969</v>
      </c>
      <c r="U284" s="2851">
        <v>35930</v>
      </c>
      <c r="V284" s="2851">
        <v>15709</v>
      </c>
      <c r="W284" s="2851">
        <v>12387</v>
      </c>
      <c r="X284" s="2851">
        <v>16784</v>
      </c>
      <c r="Y284" s="2851">
        <v>5644</v>
      </c>
      <c r="Z284" s="2851">
        <v>10429</v>
      </c>
      <c r="AA284" s="2851">
        <v>35042</v>
      </c>
      <c r="AB284" s="2851">
        <v>196552</v>
      </c>
      <c r="AC284" s="2851">
        <v>60306</v>
      </c>
      <c r="AD284" s="2851">
        <v>22802</v>
      </c>
      <c r="AE284" s="2851">
        <v>7985</v>
      </c>
      <c r="AF284" s="2851">
        <v>25981</v>
      </c>
      <c r="AG284" s="2852">
        <v>21</v>
      </c>
    </row>
    <row r="285" spans="1:33">
      <c r="A285" s="49">
        <f t="shared" si="1"/>
        <v>2016.12</v>
      </c>
      <c r="B285" s="631">
        <v>139647</v>
      </c>
      <c r="C285" s="1639">
        <v>138488</v>
      </c>
      <c r="D285" s="457">
        <v>1159</v>
      </c>
      <c r="E285" s="573">
        <v>50340.75</v>
      </c>
      <c r="F285" s="618">
        <v>505.00099999999998</v>
      </c>
      <c r="G285" s="2859">
        <v>233013</v>
      </c>
      <c r="H285" s="2860">
        <v>526229</v>
      </c>
      <c r="I285" s="2861">
        <f t="shared" si="2"/>
        <v>759242</v>
      </c>
      <c r="J285" s="2862">
        <v>32053</v>
      </c>
      <c r="K285" s="2860">
        <v>27797.684210526317</v>
      </c>
      <c r="L285" s="2862">
        <v>27912</v>
      </c>
      <c r="M285" s="2863">
        <v>24274</v>
      </c>
      <c r="N285" s="2850">
        <v>24531</v>
      </c>
      <c r="O285" s="2851">
        <v>1189</v>
      </c>
      <c r="P285" s="2851">
        <v>132103</v>
      </c>
      <c r="Q285" s="2851">
        <v>6472</v>
      </c>
      <c r="R285" s="2851">
        <v>4975</v>
      </c>
      <c r="S285" s="2851">
        <v>34730</v>
      </c>
      <c r="T285" s="2851">
        <v>101971</v>
      </c>
      <c r="U285" s="2851">
        <v>35924</v>
      </c>
      <c r="V285" s="2851">
        <v>15752</v>
      </c>
      <c r="W285" s="2851">
        <v>12356</v>
      </c>
      <c r="X285" s="2851">
        <v>16808</v>
      </c>
      <c r="Y285" s="2851">
        <v>5589</v>
      </c>
      <c r="Z285" s="2851">
        <v>10523</v>
      </c>
      <c r="AA285" s="2851">
        <v>35068</v>
      </c>
      <c r="AB285" s="2851">
        <v>196961</v>
      </c>
      <c r="AC285" s="2851">
        <v>59065</v>
      </c>
      <c r="AD285" s="2851">
        <v>22917</v>
      </c>
      <c r="AE285" s="2851">
        <v>7514</v>
      </c>
      <c r="AF285" s="2851">
        <v>26144</v>
      </c>
      <c r="AG285" s="2852">
        <v>21</v>
      </c>
    </row>
    <row r="286" spans="1:33">
      <c r="A286" s="49">
        <f t="shared" si="1"/>
        <v>2017.01</v>
      </c>
      <c r="B286" s="631">
        <v>140610</v>
      </c>
      <c r="C286" s="1639">
        <v>139455</v>
      </c>
      <c r="D286" s="457">
        <v>1155</v>
      </c>
      <c r="E286" s="573">
        <v>4364.28</v>
      </c>
      <c r="F286" s="618">
        <v>502.37400000000002</v>
      </c>
      <c r="G286" s="2859">
        <v>229066</v>
      </c>
      <c r="H286" s="2860">
        <v>521973</v>
      </c>
      <c r="I286" s="2861">
        <f t="shared" si="2"/>
        <v>751039</v>
      </c>
      <c r="J286" s="2862">
        <v>23303.526315789473</v>
      </c>
      <c r="K286" s="2860">
        <v>20418.052631578947</v>
      </c>
      <c r="L286" s="2862">
        <v>19152</v>
      </c>
      <c r="M286" s="2863">
        <v>17434</v>
      </c>
      <c r="N286" s="2850">
        <v>23900</v>
      </c>
      <c r="O286" s="2851">
        <v>1180</v>
      </c>
      <c r="P286" s="2851">
        <v>132520</v>
      </c>
      <c r="Q286" s="2851">
        <v>6468</v>
      </c>
      <c r="R286" s="2851">
        <v>4968</v>
      </c>
      <c r="S286" s="2851">
        <v>35379</v>
      </c>
      <c r="T286" s="2851">
        <v>100770</v>
      </c>
      <c r="U286" s="2851">
        <v>35994</v>
      </c>
      <c r="V286" s="2851">
        <v>15756</v>
      </c>
      <c r="W286" s="2851">
        <v>12403</v>
      </c>
      <c r="X286" s="2851">
        <v>16826</v>
      </c>
      <c r="Y286" s="2851">
        <v>5478</v>
      </c>
      <c r="Z286" s="2851">
        <v>10376</v>
      </c>
      <c r="AA286" s="2851">
        <v>35170</v>
      </c>
      <c r="AB286" s="2851">
        <v>193668</v>
      </c>
      <c r="AC286" s="2851">
        <v>55325</v>
      </c>
      <c r="AD286" s="2851">
        <v>23069</v>
      </c>
      <c r="AE286" s="2851">
        <v>7432</v>
      </c>
      <c r="AF286" s="2851">
        <v>25719</v>
      </c>
      <c r="AG286" s="2852">
        <v>21</v>
      </c>
    </row>
    <row r="287" spans="1:33">
      <c r="A287" s="49">
        <f t="shared" si="1"/>
        <v>2017.02</v>
      </c>
      <c r="B287" s="631">
        <v>140617</v>
      </c>
      <c r="C287" s="1639">
        <v>139461</v>
      </c>
      <c r="D287" s="457">
        <v>1156</v>
      </c>
      <c r="E287" s="573">
        <v>8497.67</v>
      </c>
      <c r="F287" s="618">
        <v>502.52800000000002</v>
      </c>
      <c r="G287" s="2859">
        <v>219602</v>
      </c>
      <c r="H287" s="2860">
        <v>522154</v>
      </c>
      <c r="I287" s="2861">
        <f t="shared" si="2"/>
        <v>741756</v>
      </c>
      <c r="J287" s="2862">
        <v>23511.842105263157</v>
      </c>
      <c r="K287" s="2860">
        <v>19579.736842105263</v>
      </c>
      <c r="L287" s="2862">
        <v>19232</v>
      </c>
      <c r="M287" s="2863">
        <v>16967</v>
      </c>
      <c r="N287" s="2850">
        <v>23500</v>
      </c>
      <c r="O287" s="2851">
        <v>1183</v>
      </c>
      <c r="P287" s="2851">
        <v>132285</v>
      </c>
      <c r="Q287" s="2851">
        <v>6472</v>
      </c>
      <c r="R287" s="2851">
        <v>5007</v>
      </c>
      <c r="S287" s="2851">
        <v>36284</v>
      </c>
      <c r="T287" s="2851">
        <v>100611</v>
      </c>
      <c r="U287" s="2851">
        <v>36012</v>
      </c>
      <c r="V287" s="2851">
        <v>15794</v>
      </c>
      <c r="W287" s="2851">
        <v>12387</v>
      </c>
      <c r="X287" s="2851">
        <v>16815</v>
      </c>
      <c r="Y287" s="2851">
        <v>5380</v>
      </c>
      <c r="Z287" s="2851">
        <v>10462</v>
      </c>
      <c r="AA287" s="2851">
        <v>35070</v>
      </c>
      <c r="AB287" s="2851">
        <v>183768</v>
      </c>
      <c r="AC287" s="2851">
        <v>55181</v>
      </c>
      <c r="AD287" s="2851">
        <v>23122</v>
      </c>
      <c r="AE287" s="2851">
        <v>7516</v>
      </c>
      <c r="AF287" s="2851">
        <v>25734</v>
      </c>
      <c r="AG287" s="2852">
        <v>21</v>
      </c>
    </row>
    <row r="288" spans="1:33">
      <c r="A288" s="49">
        <f t="shared" si="1"/>
        <v>2017.03</v>
      </c>
      <c r="B288" s="631">
        <v>140622</v>
      </c>
      <c r="C288" s="1639">
        <v>139457</v>
      </c>
      <c r="D288" s="457">
        <v>1165</v>
      </c>
      <c r="E288" s="573">
        <v>12869.055515999999</v>
      </c>
      <c r="F288" s="617">
        <v>506.59</v>
      </c>
      <c r="G288" s="2859">
        <v>220897</v>
      </c>
      <c r="H288" s="2860">
        <v>528855</v>
      </c>
      <c r="I288" s="2861">
        <f t="shared" si="2"/>
        <v>749752</v>
      </c>
      <c r="J288" s="2862">
        <v>24304.684210526317</v>
      </c>
      <c r="K288" s="2860">
        <v>20133.36842105263</v>
      </c>
      <c r="L288" s="2862">
        <v>20380</v>
      </c>
      <c r="M288" s="2863">
        <v>17131</v>
      </c>
      <c r="N288" s="2850">
        <v>24731</v>
      </c>
      <c r="O288" s="2851">
        <v>1195</v>
      </c>
      <c r="P288" s="2851">
        <v>133001</v>
      </c>
      <c r="Q288" s="2851">
        <v>6506</v>
      </c>
      <c r="R288" s="2851">
        <v>5005</v>
      </c>
      <c r="S288" s="2851">
        <v>37280</v>
      </c>
      <c r="T288" s="2851">
        <v>101731</v>
      </c>
      <c r="U288" s="2851">
        <v>36229</v>
      </c>
      <c r="V288" s="2851">
        <v>15953</v>
      </c>
      <c r="W288" s="2851">
        <v>12497</v>
      </c>
      <c r="X288" s="2851">
        <v>16872</v>
      </c>
      <c r="Y288" s="2851">
        <v>5416</v>
      </c>
      <c r="Z288" s="2851">
        <v>10434</v>
      </c>
      <c r="AA288" s="2851">
        <v>34994</v>
      </c>
      <c r="AB288" s="2851">
        <v>185019</v>
      </c>
      <c r="AC288" s="2851">
        <v>57495</v>
      </c>
      <c r="AD288" s="2851">
        <v>23104</v>
      </c>
      <c r="AE288" s="2851">
        <v>7253</v>
      </c>
      <c r="AF288" s="2851">
        <v>25969</v>
      </c>
      <c r="AG288" s="2852">
        <v>21</v>
      </c>
    </row>
    <row r="289" spans="1:33">
      <c r="A289" s="49">
        <f t="shared" si="1"/>
        <v>2017.04</v>
      </c>
      <c r="B289" s="631">
        <v>140125</v>
      </c>
      <c r="C289" s="1639">
        <v>138957</v>
      </c>
      <c r="D289" s="457">
        <v>1168</v>
      </c>
      <c r="E289" s="573">
        <v>17675.36</v>
      </c>
      <c r="F289" s="617">
        <v>502.83600000000001</v>
      </c>
      <c r="G289" s="2859">
        <v>227205</v>
      </c>
      <c r="H289" s="2860">
        <v>526794</v>
      </c>
      <c r="I289" s="2861">
        <f t="shared" si="2"/>
        <v>753999</v>
      </c>
      <c r="J289" s="2862">
        <v>25318.36842105263</v>
      </c>
      <c r="K289" s="2860">
        <v>20157.263157894737</v>
      </c>
      <c r="L289" s="2862">
        <v>21784</v>
      </c>
      <c r="M289" s="2863">
        <v>18067</v>
      </c>
      <c r="N289" s="2850">
        <v>24702</v>
      </c>
      <c r="O289" s="2851">
        <v>1188</v>
      </c>
      <c r="P289" s="2851">
        <v>131402</v>
      </c>
      <c r="Q289" s="2851">
        <v>6484</v>
      </c>
      <c r="R289" s="2851">
        <v>4980</v>
      </c>
      <c r="S289" s="2851">
        <v>36439</v>
      </c>
      <c r="T289" s="2851">
        <v>100868</v>
      </c>
      <c r="U289" s="2851">
        <v>36190</v>
      </c>
      <c r="V289" s="2851">
        <v>15436</v>
      </c>
      <c r="W289" s="2851">
        <v>12441</v>
      </c>
      <c r="X289" s="2851">
        <v>16808</v>
      </c>
      <c r="Y289" s="2851">
        <v>5346</v>
      </c>
      <c r="Z289" s="2851">
        <v>10442</v>
      </c>
      <c r="AA289" s="2851">
        <v>34133</v>
      </c>
      <c r="AB289" s="2851">
        <v>191564</v>
      </c>
      <c r="AC289" s="2851">
        <v>58585</v>
      </c>
      <c r="AD289" s="2851">
        <v>22898</v>
      </c>
      <c r="AE289" s="2851">
        <v>7400</v>
      </c>
      <c r="AF289" s="2851">
        <v>25715</v>
      </c>
      <c r="AG289" s="2852">
        <v>21</v>
      </c>
    </row>
    <row r="290" spans="1:33">
      <c r="A290" s="49">
        <f t="shared" si="1"/>
        <v>2017.05</v>
      </c>
      <c r="B290" s="631">
        <v>140207</v>
      </c>
      <c r="C290" s="1639">
        <v>139027</v>
      </c>
      <c r="D290" s="457">
        <v>1180</v>
      </c>
      <c r="E290" s="573">
        <v>23355.05</v>
      </c>
      <c r="F290" s="617">
        <v>506.23500000000001</v>
      </c>
      <c r="G290" s="2859">
        <v>230971</v>
      </c>
      <c r="H290" s="2860">
        <v>528987</v>
      </c>
      <c r="I290" s="2861">
        <f t="shared" si="2"/>
        <v>759958</v>
      </c>
      <c r="J290" s="2862">
        <v>28865.526315789473</v>
      </c>
      <c r="K290" s="2860">
        <v>20841.842105263157</v>
      </c>
      <c r="L290" s="2862">
        <v>24888</v>
      </c>
      <c r="M290" s="2863">
        <v>18487</v>
      </c>
      <c r="N290" s="2850">
        <v>24788</v>
      </c>
      <c r="O290" s="2851">
        <v>1194</v>
      </c>
      <c r="P290" s="2851">
        <v>131681</v>
      </c>
      <c r="Q290" s="2851">
        <v>6511</v>
      </c>
      <c r="R290" s="2851">
        <v>4976</v>
      </c>
      <c r="S290" s="2851">
        <v>36747</v>
      </c>
      <c r="T290" s="2851">
        <v>101253</v>
      </c>
      <c r="U290" s="2851">
        <v>36398</v>
      </c>
      <c r="V290" s="2851">
        <v>15670</v>
      </c>
      <c r="W290" s="2851">
        <v>12549</v>
      </c>
      <c r="X290" s="2851">
        <v>16835</v>
      </c>
      <c r="Y290" s="2851">
        <v>5254</v>
      </c>
      <c r="Z290" s="2851">
        <v>10893</v>
      </c>
      <c r="AA290" s="2851">
        <v>34030</v>
      </c>
      <c r="AB290" s="2851">
        <v>195142</v>
      </c>
      <c r="AC290" s="2851">
        <v>60910</v>
      </c>
      <c r="AD290" s="2851">
        <v>22969</v>
      </c>
      <c r="AE290" s="2851">
        <v>7368</v>
      </c>
      <c r="AF290" s="2851">
        <v>26040</v>
      </c>
      <c r="AG290" s="2852">
        <v>21</v>
      </c>
    </row>
    <row r="291" spans="1:33">
      <c r="A291" s="49">
        <f t="shared" si="1"/>
        <v>2017.06</v>
      </c>
      <c r="B291" s="631">
        <v>140239</v>
      </c>
      <c r="C291" s="1639">
        <v>139045</v>
      </c>
      <c r="D291" s="457">
        <v>1194</v>
      </c>
      <c r="E291" s="573">
        <v>30247.165974</v>
      </c>
      <c r="F291" s="617">
        <v>505.20699999999999</v>
      </c>
      <c r="G291" s="2859">
        <v>230795</v>
      </c>
      <c r="H291" s="2860">
        <v>528971</v>
      </c>
      <c r="I291" s="2861">
        <f t="shared" si="2"/>
        <v>759766</v>
      </c>
      <c r="J291" s="2862">
        <v>36256.84210526316</v>
      </c>
      <c r="K291" s="2860">
        <v>30616.947368421053</v>
      </c>
      <c r="L291" s="2862">
        <v>32365</v>
      </c>
      <c r="M291" s="2863">
        <v>27121</v>
      </c>
      <c r="N291" s="2850">
        <v>24153</v>
      </c>
      <c r="O291" s="2851">
        <v>1182</v>
      </c>
      <c r="P291" s="2851">
        <v>130997</v>
      </c>
      <c r="Q291" s="2851">
        <v>6538</v>
      </c>
      <c r="R291" s="2851">
        <v>4974</v>
      </c>
      <c r="S291" s="2851">
        <v>36958</v>
      </c>
      <c r="T291" s="2851">
        <v>101006</v>
      </c>
      <c r="U291" s="2851">
        <v>36221</v>
      </c>
      <c r="V291" s="2851">
        <v>15721</v>
      </c>
      <c r="W291" s="2851">
        <v>12382</v>
      </c>
      <c r="X291" s="2851">
        <v>16824</v>
      </c>
      <c r="Y291" s="2851">
        <v>5218</v>
      </c>
      <c r="Z291" s="2851">
        <v>10976</v>
      </c>
      <c r="AA291" s="2851">
        <v>33871</v>
      </c>
      <c r="AB291" s="2851">
        <v>194857</v>
      </c>
      <c r="AC291" s="2851">
        <v>62139</v>
      </c>
      <c r="AD291" s="2851">
        <v>22954</v>
      </c>
      <c r="AE291" s="2851">
        <v>7171</v>
      </c>
      <c r="AF291" s="2851">
        <v>26270</v>
      </c>
      <c r="AG291" s="2852">
        <v>21</v>
      </c>
    </row>
    <row r="292" spans="1:33">
      <c r="A292" s="49">
        <f t="shared" si="1"/>
        <v>2017.07</v>
      </c>
      <c r="B292" s="631">
        <v>140243</v>
      </c>
      <c r="C292" s="1639">
        <v>139044</v>
      </c>
      <c r="D292" s="457">
        <v>1199</v>
      </c>
      <c r="E292" s="573">
        <v>35568.918986000004</v>
      </c>
      <c r="F292" s="617">
        <v>504.06400000000002</v>
      </c>
      <c r="G292" s="2859">
        <v>231758</v>
      </c>
      <c r="H292" s="2860">
        <v>526464</v>
      </c>
      <c r="I292" s="2861">
        <f t="shared" si="2"/>
        <v>758222</v>
      </c>
      <c r="J292" s="2862">
        <v>27600.36842105263</v>
      </c>
      <c r="K292" s="2860">
        <v>21848.36842105263</v>
      </c>
      <c r="L292" s="2862">
        <v>23560</v>
      </c>
      <c r="M292" s="2863">
        <v>19709</v>
      </c>
      <c r="N292" s="2850">
        <v>23716</v>
      </c>
      <c r="O292" s="2851">
        <v>1189</v>
      </c>
      <c r="P292" s="2851">
        <v>130498</v>
      </c>
      <c r="Q292" s="2851">
        <v>6532</v>
      </c>
      <c r="R292" s="2851">
        <v>4983</v>
      </c>
      <c r="S292" s="2851">
        <v>37298</v>
      </c>
      <c r="T292" s="2851">
        <v>101180</v>
      </c>
      <c r="U292" s="2851">
        <v>36216</v>
      </c>
      <c r="V292" s="2851">
        <v>15817</v>
      </c>
      <c r="W292" s="2851">
        <v>12366</v>
      </c>
      <c r="X292" s="2851">
        <v>16818</v>
      </c>
      <c r="Y292" s="2851">
        <v>5157</v>
      </c>
      <c r="Z292" s="2851">
        <v>10909</v>
      </c>
      <c r="AA292" s="2851">
        <v>33438</v>
      </c>
      <c r="AB292" s="2851">
        <v>196188</v>
      </c>
      <c r="AC292" s="2851">
        <v>60735</v>
      </c>
      <c r="AD292" s="2851">
        <v>23052</v>
      </c>
      <c r="AE292" s="2851">
        <v>7363</v>
      </c>
      <c r="AF292" s="2851">
        <v>26007</v>
      </c>
      <c r="AG292" s="2852">
        <v>21</v>
      </c>
    </row>
    <row r="293" spans="1:33">
      <c r="A293" s="49">
        <f t="shared" si="1"/>
        <v>2017.08</v>
      </c>
      <c r="B293" s="631">
        <v>140331</v>
      </c>
      <c r="C293" s="1639">
        <v>139131</v>
      </c>
      <c r="D293" s="457">
        <v>1200</v>
      </c>
      <c r="E293" s="573">
        <v>40899.194280000003</v>
      </c>
      <c r="F293" s="617">
        <v>505.50799999999998</v>
      </c>
      <c r="G293" s="2859">
        <v>233277</v>
      </c>
      <c r="H293" s="2860">
        <v>529116</v>
      </c>
      <c r="I293" s="2861">
        <f t="shared" si="2"/>
        <v>762393</v>
      </c>
      <c r="J293" s="2862">
        <v>27423.684210526317</v>
      </c>
      <c r="K293" s="2860">
        <v>22080.526315789473</v>
      </c>
      <c r="L293" s="2862">
        <v>23564</v>
      </c>
      <c r="M293" s="2863">
        <v>19958</v>
      </c>
      <c r="N293" s="2850">
        <v>23662</v>
      </c>
      <c r="O293" s="2851">
        <v>1198</v>
      </c>
      <c r="P293" s="2851">
        <v>130781</v>
      </c>
      <c r="Q293" s="2851">
        <v>6551</v>
      </c>
      <c r="R293" s="2851">
        <v>4995</v>
      </c>
      <c r="S293" s="2851">
        <v>37452</v>
      </c>
      <c r="T293" s="2851">
        <v>101718</v>
      </c>
      <c r="U293" s="2851">
        <v>38828</v>
      </c>
      <c r="V293" s="2851">
        <v>15985</v>
      </c>
      <c r="W293" s="2851">
        <v>12264</v>
      </c>
      <c r="X293" s="2851">
        <v>16806</v>
      </c>
      <c r="Y293" s="2851">
        <v>5182</v>
      </c>
      <c r="Z293" s="2851">
        <v>10934</v>
      </c>
      <c r="AA293" s="2851">
        <v>33089</v>
      </c>
      <c r="AB293" s="2851">
        <v>195182</v>
      </c>
      <c r="AC293" s="2851">
        <v>61928</v>
      </c>
      <c r="AD293" s="2851">
        <v>23146</v>
      </c>
      <c r="AE293" s="2851">
        <v>7309</v>
      </c>
      <c r="AF293" s="2851">
        <v>26240</v>
      </c>
      <c r="AG293" s="2852">
        <v>21</v>
      </c>
    </row>
    <row r="294" spans="1:33">
      <c r="A294" s="49">
        <f t="shared" si="1"/>
        <v>2017.09</v>
      </c>
      <c r="B294" s="631">
        <v>140308</v>
      </c>
      <c r="C294" s="1639">
        <v>139103</v>
      </c>
      <c r="D294" s="457">
        <v>1205</v>
      </c>
      <c r="E294" s="573">
        <v>46335.913677999997</v>
      </c>
      <c r="F294" s="617">
        <v>507.13400000000001</v>
      </c>
      <c r="G294" s="2859">
        <v>233584</v>
      </c>
      <c r="H294" s="2860">
        <v>530783</v>
      </c>
      <c r="I294" s="2861">
        <f t="shared" si="2"/>
        <v>764367</v>
      </c>
      <c r="J294" s="2862">
        <v>27966.473684210527</v>
      </c>
      <c r="K294" s="2860">
        <v>22127</v>
      </c>
      <c r="L294" s="2862">
        <v>23696</v>
      </c>
      <c r="M294" s="2863">
        <v>19999</v>
      </c>
      <c r="N294" s="2850">
        <v>23423</v>
      </c>
      <c r="O294" s="2851">
        <v>1182</v>
      </c>
      <c r="P294" s="2851">
        <v>131187</v>
      </c>
      <c r="Q294" s="2851">
        <v>6533</v>
      </c>
      <c r="R294" s="2851">
        <v>4998</v>
      </c>
      <c r="S294" s="2851">
        <v>37942</v>
      </c>
      <c r="T294" s="2851">
        <v>101591</v>
      </c>
      <c r="U294" s="2851">
        <v>36330</v>
      </c>
      <c r="V294" s="2851">
        <v>16372</v>
      </c>
      <c r="W294" s="2851">
        <v>12371</v>
      </c>
      <c r="X294" s="2851">
        <v>16780</v>
      </c>
      <c r="Y294" s="2851">
        <v>5144</v>
      </c>
      <c r="Z294" s="2851">
        <v>10935</v>
      </c>
      <c r="AA294" s="2851">
        <v>33408</v>
      </c>
      <c r="AB294" s="2851">
        <v>198064</v>
      </c>
      <c r="AC294" s="2851">
        <v>62487</v>
      </c>
      <c r="AD294" s="2851">
        <v>23148</v>
      </c>
      <c r="AE294" s="2851">
        <v>7532</v>
      </c>
      <c r="AF294" s="2851">
        <v>26245</v>
      </c>
      <c r="AG294" s="2852">
        <v>21</v>
      </c>
    </row>
    <row r="295" spans="1:33">
      <c r="A295" s="49">
        <f t="shared" si="1"/>
        <v>2017.1</v>
      </c>
      <c r="B295" s="631">
        <v>140431</v>
      </c>
      <c r="C295" s="1639">
        <v>139219</v>
      </c>
      <c r="D295" s="457">
        <v>1212</v>
      </c>
      <c r="E295" s="573">
        <v>51833.462004000001</v>
      </c>
      <c r="F295" s="617">
        <v>510.92500000000001</v>
      </c>
      <c r="G295" s="2859">
        <v>235938</v>
      </c>
      <c r="H295" s="2860">
        <v>535061</v>
      </c>
      <c r="I295" s="2861">
        <f t="shared" si="2"/>
        <v>770999</v>
      </c>
      <c r="J295" s="2862">
        <v>27761.947368421053</v>
      </c>
      <c r="K295" s="2860">
        <v>23284.315789473683</v>
      </c>
      <c r="L295" s="2862">
        <v>23592</v>
      </c>
      <c r="M295" s="2863">
        <v>20604</v>
      </c>
      <c r="N295" s="2850">
        <v>23881</v>
      </c>
      <c r="O295" s="2851">
        <v>1218</v>
      </c>
      <c r="P295" s="2851">
        <v>131905</v>
      </c>
      <c r="Q295" s="2851">
        <v>6563</v>
      </c>
      <c r="R295" s="2851">
        <v>5033</v>
      </c>
      <c r="S295" s="2851">
        <v>38568</v>
      </c>
      <c r="T295" s="2851">
        <v>102248</v>
      </c>
      <c r="U295" s="2851">
        <v>39194</v>
      </c>
      <c r="V295" s="2851">
        <v>16586</v>
      </c>
      <c r="W295" s="2851">
        <v>12372</v>
      </c>
      <c r="X295" s="2851">
        <v>16840</v>
      </c>
      <c r="Y295" s="2851">
        <v>5119</v>
      </c>
      <c r="Z295" s="2851">
        <v>11225</v>
      </c>
      <c r="AA295" s="2851">
        <v>34302</v>
      </c>
      <c r="AB295" s="2851">
        <v>197855</v>
      </c>
      <c r="AC295" s="2851">
        <v>62912</v>
      </c>
      <c r="AD295" s="2851">
        <v>23289</v>
      </c>
      <c r="AE295" s="2851">
        <v>7486</v>
      </c>
      <c r="AF295" s="2851">
        <v>26337</v>
      </c>
      <c r="AG295" s="2852">
        <v>21</v>
      </c>
    </row>
    <row r="296" spans="1:33">
      <c r="A296" s="49">
        <f t="shared" si="1"/>
        <v>2017.11</v>
      </c>
      <c r="B296" s="631">
        <v>140588</v>
      </c>
      <c r="C296" s="1639">
        <v>139377</v>
      </c>
      <c r="D296" s="457">
        <v>1211</v>
      </c>
      <c r="E296" s="573">
        <v>57231.3</v>
      </c>
      <c r="F296" s="617">
        <v>513.58000000000004</v>
      </c>
      <c r="G296" s="2859">
        <v>234806</v>
      </c>
      <c r="H296" s="2860">
        <v>537281</v>
      </c>
      <c r="I296" s="2861">
        <f t="shared" si="2"/>
        <v>772087</v>
      </c>
      <c r="J296" s="2862">
        <v>28242.63157894737</v>
      </c>
      <c r="K296" s="2860">
        <v>23267.842105263157</v>
      </c>
      <c r="L296" s="2862">
        <v>23737</v>
      </c>
      <c r="M296" s="2863">
        <v>20500</v>
      </c>
      <c r="N296" s="2850">
        <v>24391</v>
      </c>
      <c r="O296" s="2851">
        <v>1219</v>
      </c>
      <c r="P296" s="2851">
        <v>132021</v>
      </c>
      <c r="Q296" s="2851">
        <v>6571</v>
      </c>
      <c r="R296" s="2851">
        <v>5088</v>
      </c>
      <c r="S296" s="2851">
        <v>39428</v>
      </c>
      <c r="T296" s="2851">
        <v>102977</v>
      </c>
      <c r="U296" s="2851">
        <v>36727</v>
      </c>
      <c r="V296" s="2851">
        <v>16800</v>
      </c>
      <c r="W296" s="2851">
        <v>12380</v>
      </c>
      <c r="X296" s="2851">
        <v>16831</v>
      </c>
      <c r="Y296" s="2851">
        <v>5107</v>
      </c>
      <c r="Z296" s="2851">
        <v>11256</v>
      </c>
      <c r="AA296" s="2851">
        <v>34824</v>
      </c>
      <c r="AB296" s="2851">
        <v>199095</v>
      </c>
      <c r="AC296" s="2851">
        <v>62101</v>
      </c>
      <c r="AD296" s="2851">
        <v>23351</v>
      </c>
      <c r="AE296" s="2851">
        <v>7622</v>
      </c>
      <c r="AF296" s="2851">
        <v>26377</v>
      </c>
      <c r="AG296" s="2852">
        <v>21</v>
      </c>
    </row>
    <row r="297" spans="1:33">
      <c r="A297" s="49">
        <f t="shared" si="1"/>
        <v>2017.12</v>
      </c>
      <c r="B297" s="631">
        <v>140717</v>
      </c>
      <c r="C297" s="1639">
        <v>139472</v>
      </c>
      <c r="D297" s="457">
        <v>1245</v>
      </c>
      <c r="E297" s="573">
        <v>64737.802141</v>
      </c>
      <c r="F297" s="617">
        <v>514.26900000000001</v>
      </c>
      <c r="G297" s="2859">
        <v>235814</v>
      </c>
      <c r="H297" s="2860">
        <v>536429</v>
      </c>
      <c r="I297" s="2861">
        <f t="shared" si="2"/>
        <v>772243</v>
      </c>
      <c r="J297" s="2862">
        <v>38841.15789473684</v>
      </c>
      <c r="K297" s="2860">
        <v>34069.684210526313</v>
      </c>
      <c r="L297" s="2862">
        <v>34577</v>
      </c>
      <c r="M297" s="2863">
        <v>30459</v>
      </c>
      <c r="N297" s="2850">
        <v>23908</v>
      </c>
      <c r="O297" s="2851">
        <v>1225</v>
      </c>
      <c r="P297" s="2851">
        <v>132815</v>
      </c>
      <c r="Q297" s="2851">
        <v>6585</v>
      </c>
      <c r="R297" s="2851">
        <v>5067</v>
      </c>
      <c r="S297" s="2851">
        <v>38546</v>
      </c>
      <c r="T297" s="2851">
        <v>103517</v>
      </c>
      <c r="U297" s="2851">
        <v>36735</v>
      </c>
      <c r="V297" s="2851">
        <v>16959</v>
      </c>
      <c r="W297" s="2851">
        <v>12367</v>
      </c>
      <c r="X297" s="2851">
        <v>16850</v>
      </c>
      <c r="Y297" s="2851">
        <v>5150</v>
      </c>
      <c r="Z297" s="2851">
        <v>11365</v>
      </c>
      <c r="AA297" s="2851">
        <v>35313</v>
      </c>
      <c r="AB297" s="2851">
        <v>199690</v>
      </c>
      <c r="AC297" s="2851">
        <v>60450</v>
      </c>
      <c r="AD297" s="2851">
        <v>23435</v>
      </c>
      <c r="AE297" s="2851">
        <v>7810</v>
      </c>
      <c r="AF297" s="2851">
        <v>26452</v>
      </c>
      <c r="AG297" s="2852">
        <v>21</v>
      </c>
    </row>
    <row r="298" spans="1:33">
      <c r="A298" s="49">
        <f t="shared" si="1"/>
        <v>2018.01</v>
      </c>
      <c r="B298" s="631">
        <v>140603</v>
      </c>
      <c r="C298" s="1639">
        <v>139356</v>
      </c>
      <c r="D298" s="457">
        <v>1247</v>
      </c>
      <c r="E298" s="573">
        <v>5306.68</v>
      </c>
      <c r="F298" s="617">
        <v>510.55200000000002</v>
      </c>
      <c r="G298" s="2859">
        <v>230724</v>
      </c>
      <c r="H298" s="2860">
        <v>532663</v>
      </c>
      <c r="I298" s="2861">
        <f t="shared" si="2"/>
        <v>763387</v>
      </c>
      <c r="J298" s="2862">
        <v>28929.36842105263</v>
      </c>
      <c r="K298" s="2860">
        <v>25264.894736842107</v>
      </c>
      <c r="L298" s="2862">
        <v>23777</v>
      </c>
      <c r="M298" s="2863">
        <v>21376</v>
      </c>
      <c r="N298" s="2850">
        <v>23645</v>
      </c>
      <c r="O298" s="2851">
        <v>1238</v>
      </c>
      <c r="P298" s="2851">
        <v>132530</v>
      </c>
      <c r="Q298" s="2851">
        <v>6577</v>
      </c>
      <c r="R298" s="2851">
        <v>5071</v>
      </c>
      <c r="S298" s="2851">
        <v>39222</v>
      </c>
      <c r="T298" s="2851">
        <v>102944</v>
      </c>
      <c r="U298" s="2851">
        <v>37106</v>
      </c>
      <c r="V298" s="2851">
        <v>16598</v>
      </c>
      <c r="W298" s="2851">
        <v>12448</v>
      </c>
      <c r="X298" s="2851">
        <v>16888</v>
      </c>
      <c r="Y298" s="2851">
        <v>4979</v>
      </c>
      <c r="Z298" s="2851">
        <v>11208</v>
      </c>
      <c r="AA298" s="2851">
        <v>35171</v>
      </c>
      <c r="AB298" s="2851">
        <v>195142</v>
      </c>
      <c r="AC298" s="2851">
        <v>56134</v>
      </c>
      <c r="AD298" s="2851">
        <v>23588</v>
      </c>
      <c r="AE298" s="2851">
        <v>7692</v>
      </c>
      <c r="AF298" s="2851">
        <v>26065</v>
      </c>
      <c r="AG298" s="2852">
        <v>21</v>
      </c>
    </row>
    <row r="299" spans="1:33">
      <c r="A299" s="49">
        <f t="shared" si="1"/>
        <v>2018.02</v>
      </c>
      <c r="B299" s="631">
        <v>140971</v>
      </c>
      <c r="C299" s="1639">
        <v>139726</v>
      </c>
      <c r="D299" s="457">
        <v>1245</v>
      </c>
      <c r="E299" s="573">
        <v>10598.57</v>
      </c>
      <c r="F299" s="617">
        <v>509.09300000000002</v>
      </c>
      <c r="G299" s="2859">
        <v>221143</v>
      </c>
      <c r="H299" s="2860">
        <v>530971</v>
      </c>
      <c r="I299" s="2861">
        <f t="shared" si="2"/>
        <v>752114</v>
      </c>
      <c r="J299" s="2862">
        <v>29606.473684210527</v>
      </c>
      <c r="K299" s="2860">
        <v>24045.894736842107</v>
      </c>
      <c r="L299" s="2862">
        <v>24738</v>
      </c>
      <c r="M299" s="2863">
        <v>21022</v>
      </c>
      <c r="N299" s="2850">
        <v>23681</v>
      </c>
      <c r="O299" s="2851">
        <v>1232</v>
      </c>
      <c r="P299" s="2851">
        <v>131576</v>
      </c>
      <c r="Q299" s="2851">
        <v>6567</v>
      </c>
      <c r="R299" s="2851">
        <v>5088</v>
      </c>
      <c r="S299" s="2851">
        <v>38855</v>
      </c>
      <c r="T299" s="2851">
        <v>102714</v>
      </c>
      <c r="U299" s="2851">
        <v>36825</v>
      </c>
      <c r="V299" s="2851">
        <v>16663</v>
      </c>
      <c r="W299" s="2851">
        <v>12495</v>
      </c>
      <c r="X299" s="2851">
        <v>16852</v>
      </c>
      <c r="Y299" s="2851">
        <v>5101</v>
      </c>
      <c r="Z299" s="2851">
        <v>11189</v>
      </c>
      <c r="AA299" s="2851">
        <v>34825</v>
      </c>
      <c r="AB299" s="2851">
        <v>185124</v>
      </c>
      <c r="AC299" s="2851">
        <v>56030</v>
      </c>
      <c r="AD299" s="2851">
        <v>23572</v>
      </c>
      <c r="AE299" s="2851">
        <v>7853</v>
      </c>
      <c r="AF299" s="2851">
        <v>26093</v>
      </c>
      <c r="AG299" s="2852">
        <v>22</v>
      </c>
    </row>
    <row r="300" spans="1:33">
      <c r="A300" s="49">
        <f t="shared" si="1"/>
        <v>2018.03</v>
      </c>
      <c r="B300" s="631">
        <v>140676</v>
      </c>
      <c r="C300" s="1639">
        <v>139426</v>
      </c>
      <c r="D300" s="457">
        <v>1250</v>
      </c>
      <c r="E300" s="573">
        <v>15907.15</v>
      </c>
      <c r="F300" s="617">
        <v>511.71899999999999</v>
      </c>
      <c r="G300" s="2859">
        <v>223806</v>
      </c>
      <c r="H300" s="2860">
        <v>536678</v>
      </c>
      <c r="I300" s="2861">
        <f t="shared" si="2"/>
        <v>760484</v>
      </c>
      <c r="J300" s="2862">
        <v>29219.157894736843</v>
      </c>
      <c r="K300" s="2860">
        <v>24671.526315789473</v>
      </c>
      <c r="L300" s="2862">
        <v>24484</v>
      </c>
      <c r="M300" s="2863">
        <v>21511</v>
      </c>
      <c r="N300" s="2850">
        <v>25337</v>
      </c>
      <c r="O300" s="2851">
        <v>1235</v>
      </c>
      <c r="P300" s="2851">
        <v>131177</v>
      </c>
      <c r="Q300" s="2851">
        <v>6611</v>
      </c>
      <c r="R300" s="2851">
        <v>5100</v>
      </c>
      <c r="S300" s="2851">
        <v>39024</v>
      </c>
      <c r="T300" s="2851">
        <v>103210</v>
      </c>
      <c r="U300" s="2851">
        <v>37036</v>
      </c>
      <c r="V300" s="2851">
        <v>16657</v>
      </c>
      <c r="W300" s="2851">
        <v>12570</v>
      </c>
      <c r="X300" s="2851">
        <v>16904</v>
      </c>
      <c r="Y300" s="2851">
        <v>5008</v>
      </c>
      <c r="Z300" s="2851">
        <v>11247</v>
      </c>
      <c r="AA300" s="2851">
        <v>34836</v>
      </c>
      <c r="AB300" s="2851">
        <v>187858</v>
      </c>
      <c r="AC300" s="2851">
        <v>58394</v>
      </c>
      <c r="AD300" s="2851">
        <v>23722</v>
      </c>
      <c r="AE300" s="2851">
        <v>7690</v>
      </c>
      <c r="AF300" s="2851">
        <v>26283</v>
      </c>
      <c r="AG300" s="2852">
        <v>28</v>
      </c>
    </row>
    <row r="301" spans="1:33">
      <c r="A301" s="49">
        <f t="shared" si="1"/>
        <v>2018.04</v>
      </c>
      <c r="B301" s="631">
        <v>140151</v>
      </c>
      <c r="C301" s="1639">
        <v>138890</v>
      </c>
      <c r="D301" s="457">
        <v>1261</v>
      </c>
      <c r="E301" s="573">
        <v>21785.49</v>
      </c>
      <c r="F301" s="617">
        <v>510.87200000000001</v>
      </c>
      <c r="G301" s="2859">
        <v>228500</v>
      </c>
      <c r="H301" s="2860">
        <v>535236</v>
      </c>
      <c r="I301" s="2861">
        <f t="shared" si="2"/>
        <v>763736</v>
      </c>
      <c r="J301" s="2862">
        <v>30175.894736842107</v>
      </c>
      <c r="K301" s="2860">
        <v>25138.63157894737</v>
      </c>
      <c r="L301" s="2862">
        <v>25725</v>
      </c>
      <c r="M301" s="2863">
        <v>22622</v>
      </c>
      <c r="N301" s="2850">
        <v>25401</v>
      </c>
      <c r="O301" s="2851">
        <v>1411</v>
      </c>
      <c r="P301" s="2851">
        <v>130447</v>
      </c>
      <c r="Q301" s="2851">
        <v>6582</v>
      </c>
      <c r="R301" s="2851">
        <v>5098</v>
      </c>
      <c r="S301" s="2851">
        <v>38636</v>
      </c>
      <c r="T301" s="2851">
        <v>103064</v>
      </c>
      <c r="U301" s="2851">
        <v>37012</v>
      </c>
      <c r="V301" s="2851">
        <v>16587</v>
      </c>
      <c r="W301" s="2851">
        <v>12613</v>
      </c>
      <c r="X301" s="2851">
        <v>16962</v>
      </c>
      <c r="Y301" s="2851">
        <v>4570</v>
      </c>
      <c r="Z301" s="2851">
        <v>11078</v>
      </c>
      <c r="AA301" s="2851">
        <v>34146</v>
      </c>
      <c r="AB301" s="2851">
        <v>192808</v>
      </c>
      <c r="AC301" s="2851">
        <v>60464</v>
      </c>
      <c r="AD301" s="2851">
        <v>23689</v>
      </c>
      <c r="AE301" s="2851">
        <v>7372</v>
      </c>
      <c r="AF301" s="2851">
        <v>26262</v>
      </c>
      <c r="AG301" s="2852">
        <v>28</v>
      </c>
    </row>
    <row r="302" spans="1:33">
      <c r="A302" s="49">
        <f t="shared" si="1"/>
        <v>2018.05</v>
      </c>
      <c r="B302" s="631">
        <v>139954</v>
      </c>
      <c r="C302" s="1639">
        <v>138737</v>
      </c>
      <c r="D302" s="457">
        <v>1217</v>
      </c>
      <c r="E302" s="573">
        <v>28444.98</v>
      </c>
      <c r="F302" s="617">
        <v>510.053</v>
      </c>
      <c r="G302" s="2859">
        <v>234604</v>
      </c>
      <c r="H302" s="2860">
        <v>534506</v>
      </c>
      <c r="I302" s="2861">
        <f t="shared" si="2"/>
        <v>769110</v>
      </c>
      <c r="J302" s="2862">
        <v>33049.42105263158</v>
      </c>
      <c r="K302" s="2860">
        <v>26063.63157894737</v>
      </c>
      <c r="L302" s="2862">
        <v>27954</v>
      </c>
      <c r="M302" s="2863">
        <v>23306</v>
      </c>
      <c r="N302" s="2850">
        <v>25258</v>
      </c>
      <c r="O302" s="2851">
        <v>1407</v>
      </c>
      <c r="P302" s="2851">
        <v>129775</v>
      </c>
      <c r="Q302" s="2851">
        <v>6620</v>
      </c>
      <c r="R302" s="2851">
        <v>5103</v>
      </c>
      <c r="S302" s="2851">
        <v>38543</v>
      </c>
      <c r="T302" s="2851">
        <v>102619</v>
      </c>
      <c r="U302" s="2851">
        <v>36591</v>
      </c>
      <c r="V302" s="2851">
        <v>16295</v>
      </c>
      <c r="W302" s="2851">
        <v>12660</v>
      </c>
      <c r="X302" s="2851">
        <v>16992</v>
      </c>
      <c r="Y302" s="2851">
        <v>4829</v>
      </c>
      <c r="Z302" s="2851">
        <v>11015</v>
      </c>
      <c r="AA302" s="2851">
        <v>34140</v>
      </c>
      <c r="AB302" s="2851">
        <v>199006</v>
      </c>
      <c r="AC302" s="2851">
        <v>61968</v>
      </c>
      <c r="AD302" s="2851">
        <v>23648</v>
      </c>
      <c r="AE302" s="2851">
        <v>7444</v>
      </c>
      <c r="AF302" s="2851">
        <v>26363</v>
      </c>
      <c r="AG302" s="2852">
        <v>28</v>
      </c>
    </row>
    <row r="303" spans="1:33">
      <c r="A303" s="49">
        <f t="shared" si="1"/>
        <v>2018.06</v>
      </c>
      <c r="B303" s="631">
        <v>140017</v>
      </c>
      <c r="C303" s="1639">
        <v>138798</v>
      </c>
      <c r="D303" s="457">
        <v>1219</v>
      </c>
      <c r="E303" s="573">
        <v>36605.83</v>
      </c>
      <c r="F303" s="617">
        <v>507.73200000000003</v>
      </c>
      <c r="G303" s="2859">
        <v>233139</v>
      </c>
      <c r="H303" s="2860">
        <v>532039</v>
      </c>
      <c r="I303" s="2861">
        <f t="shared" si="2"/>
        <v>765178</v>
      </c>
      <c r="J303" s="2862">
        <v>43166.526315789473</v>
      </c>
      <c r="K303" s="2860">
        <v>37759.526315789473</v>
      </c>
      <c r="L303" s="2862">
        <v>38185</v>
      </c>
      <c r="M303" s="2863">
        <v>34263</v>
      </c>
      <c r="N303" s="2850">
        <v>24802</v>
      </c>
      <c r="O303" s="2851">
        <v>1389</v>
      </c>
      <c r="P303" s="2851">
        <v>128941</v>
      </c>
      <c r="Q303" s="2851">
        <v>6563</v>
      </c>
      <c r="R303" s="2851">
        <v>5104</v>
      </c>
      <c r="S303" s="2851">
        <v>38670</v>
      </c>
      <c r="T303" s="2851">
        <v>102218</v>
      </c>
      <c r="U303" s="2851">
        <v>36328</v>
      </c>
      <c r="V303" s="2851">
        <v>16224</v>
      </c>
      <c r="W303" s="2851">
        <v>12548</v>
      </c>
      <c r="X303" s="2851">
        <v>16976</v>
      </c>
      <c r="Y303" s="2851">
        <v>4399</v>
      </c>
      <c r="Z303" s="2851">
        <v>10981</v>
      </c>
      <c r="AA303" s="2851">
        <v>33208</v>
      </c>
      <c r="AB303" s="2851">
        <v>197167</v>
      </c>
      <c r="AC303" s="2851">
        <v>62626</v>
      </c>
      <c r="AD303" s="2851">
        <v>23585</v>
      </c>
      <c r="AE303" s="2851">
        <v>7311</v>
      </c>
      <c r="AF303" s="2851">
        <v>26453</v>
      </c>
      <c r="AG303" s="2852">
        <v>28</v>
      </c>
    </row>
    <row r="304" spans="1:33">
      <c r="A304" s="49">
        <f t="shared" si="1"/>
        <v>2018.07</v>
      </c>
      <c r="B304" s="631">
        <v>139798</v>
      </c>
      <c r="C304" s="1639">
        <v>138573</v>
      </c>
      <c r="D304" s="457">
        <v>1225</v>
      </c>
      <c r="E304" s="573">
        <v>42725.53</v>
      </c>
      <c r="F304" s="617">
        <v>505.74</v>
      </c>
      <c r="G304" s="2859">
        <v>231388</v>
      </c>
      <c r="H304" s="2860">
        <v>530281</v>
      </c>
      <c r="I304" s="2861">
        <f t="shared" si="2"/>
        <v>761669</v>
      </c>
      <c r="J304" s="2862">
        <v>32260.526315789473</v>
      </c>
      <c r="K304" s="2860">
        <v>26579.684210526317</v>
      </c>
      <c r="L304" s="2862">
        <v>27502</v>
      </c>
      <c r="M304" s="2863">
        <v>23597</v>
      </c>
      <c r="N304" s="2850">
        <v>24277</v>
      </c>
      <c r="O304" s="2851">
        <v>1388</v>
      </c>
      <c r="P304" s="2851">
        <v>128049</v>
      </c>
      <c r="Q304" s="2851">
        <v>6563</v>
      </c>
      <c r="R304" s="2851">
        <v>5072</v>
      </c>
      <c r="S304" s="2851">
        <v>39183</v>
      </c>
      <c r="T304" s="2851">
        <v>102279</v>
      </c>
      <c r="U304" s="2851">
        <v>36623</v>
      </c>
      <c r="V304" s="2851">
        <v>16039</v>
      </c>
      <c r="W304" s="2851">
        <v>12708</v>
      </c>
      <c r="X304" s="2851">
        <v>16950</v>
      </c>
      <c r="Y304" s="2851">
        <v>4291</v>
      </c>
      <c r="Z304" s="2851">
        <v>11171</v>
      </c>
      <c r="AA304" s="2851">
        <v>33006</v>
      </c>
      <c r="AB304" s="2851">
        <v>195887</v>
      </c>
      <c r="AC304" s="2851">
        <v>60516</v>
      </c>
      <c r="AD304" s="2851">
        <v>23627</v>
      </c>
      <c r="AE304" s="2851">
        <v>7479</v>
      </c>
      <c r="AF304" s="2851">
        <v>26190</v>
      </c>
      <c r="AG304" s="2852">
        <v>28</v>
      </c>
    </row>
    <row r="305" spans="1:33">
      <c r="A305" s="49">
        <f t="shared" si="1"/>
        <v>2018.08</v>
      </c>
      <c r="B305" s="631">
        <v>140501</v>
      </c>
      <c r="C305" s="1639">
        <v>139289</v>
      </c>
      <c r="D305" s="457">
        <v>1212</v>
      </c>
      <c r="E305" s="573">
        <v>49144.81</v>
      </c>
      <c r="F305" s="617">
        <v>509.733</v>
      </c>
      <c r="G305" s="2859">
        <v>231953</v>
      </c>
      <c r="H305" s="2860">
        <v>534157</v>
      </c>
      <c r="I305" s="2861">
        <f t="shared" si="2"/>
        <v>766110</v>
      </c>
      <c r="J305" s="2862">
        <v>33283.73684210526</v>
      </c>
      <c r="K305" s="2860">
        <v>27322</v>
      </c>
      <c r="L305" s="2862">
        <v>28201</v>
      </c>
      <c r="M305" s="2863">
        <v>24409</v>
      </c>
      <c r="N305" s="2850">
        <v>24202</v>
      </c>
      <c r="O305" s="2851">
        <v>1384</v>
      </c>
      <c r="P305" s="2851">
        <v>128257</v>
      </c>
      <c r="Q305" s="2851">
        <v>6604</v>
      </c>
      <c r="R305" s="2851">
        <v>5064</v>
      </c>
      <c r="S305" s="2851">
        <v>39496</v>
      </c>
      <c r="T305" s="2851">
        <v>105003</v>
      </c>
      <c r="U305" s="2851">
        <v>36723</v>
      </c>
      <c r="V305" s="2851">
        <v>16732</v>
      </c>
      <c r="W305" s="2851">
        <v>12594</v>
      </c>
      <c r="X305" s="2851">
        <v>16981</v>
      </c>
      <c r="Y305" s="2851">
        <v>4700</v>
      </c>
      <c r="Z305" s="2851">
        <v>10933</v>
      </c>
      <c r="AA305" s="2851">
        <v>33239</v>
      </c>
      <c r="AB305" s="2851">
        <v>196134</v>
      </c>
      <c r="AC305" s="2851">
        <v>61972</v>
      </c>
      <c r="AD305" s="2851">
        <v>23614</v>
      </c>
      <c r="AE305" s="2851">
        <v>7750</v>
      </c>
      <c r="AF305" s="2851">
        <v>26527</v>
      </c>
      <c r="AG305" s="2852">
        <v>28</v>
      </c>
    </row>
    <row r="306" spans="1:33">
      <c r="A306" s="49">
        <f t="shared" ref="A306:A369" si="3">A294+1</f>
        <v>2018.09</v>
      </c>
      <c r="B306" s="631">
        <v>140373</v>
      </c>
      <c r="C306" s="1639">
        <v>139165</v>
      </c>
      <c r="D306" s="457">
        <v>1208</v>
      </c>
      <c r="E306" s="573">
        <v>55838.71</v>
      </c>
      <c r="F306" s="617">
        <v>506.78699999999998</v>
      </c>
      <c r="G306" s="2859">
        <v>233778</v>
      </c>
      <c r="H306" s="2860">
        <v>531063</v>
      </c>
      <c r="I306" s="2861">
        <f t="shared" si="2"/>
        <v>764841</v>
      </c>
      <c r="J306" s="2862">
        <v>34258.15789473684</v>
      </c>
      <c r="K306" s="2860">
        <v>27943.473684210527</v>
      </c>
      <c r="L306" s="2862">
        <v>29153</v>
      </c>
      <c r="M306" s="2863">
        <v>24791</v>
      </c>
      <c r="N306" s="2850">
        <v>24048</v>
      </c>
      <c r="O306" s="2851">
        <v>1376</v>
      </c>
      <c r="P306" s="2851">
        <v>127540</v>
      </c>
      <c r="Q306" s="2851">
        <v>6596</v>
      </c>
      <c r="R306" s="2851">
        <v>5079</v>
      </c>
      <c r="S306" s="2851">
        <v>39151</v>
      </c>
      <c r="T306" s="2851">
        <v>104444</v>
      </c>
      <c r="U306" s="2851">
        <v>36429</v>
      </c>
      <c r="V306" s="2851">
        <v>16492</v>
      </c>
      <c r="W306" s="2851">
        <v>12540</v>
      </c>
      <c r="X306" s="2851">
        <v>16879</v>
      </c>
      <c r="Y306" s="2851">
        <v>4279</v>
      </c>
      <c r="Z306" s="2851">
        <v>10853</v>
      </c>
      <c r="AA306" s="2851">
        <v>32658</v>
      </c>
      <c r="AB306" s="2851">
        <v>198154</v>
      </c>
      <c r="AC306" s="2851">
        <v>62149</v>
      </c>
      <c r="AD306" s="2851">
        <v>23644</v>
      </c>
      <c r="AE306" s="2851">
        <v>7466</v>
      </c>
      <c r="AF306" s="2851">
        <v>26473</v>
      </c>
      <c r="AG306" s="2852">
        <v>28</v>
      </c>
    </row>
    <row r="307" spans="1:33">
      <c r="A307" s="49">
        <f t="shared" si="3"/>
        <v>2018.1</v>
      </c>
      <c r="B307" s="631">
        <v>140258</v>
      </c>
      <c r="C307" s="1639">
        <v>139044</v>
      </c>
      <c r="D307" s="457">
        <v>1214</v>
      </c>
      <c r="E307" s="573">
        <v>62477.77</v>
      </c>
      <c r="F307" s="617">
        <v>507.27600000000001</v>
      </c>
      <c r="G307" s="2859">
        <v>233684</v>
      </c>
      <c r="H307" s="2860">
        <v>531567</v>
      </c>
      <c r="I307" s="2861">
        <f t="shared" si="2"/>
        <v>765251</v>
      </c>
      <c r="J307" s="2862">
        <v>35795.315789473687</v>
      </c>
      <c r="K307" s="2860">
        <v>29566.36842105263</v>
      </c>
      <c r="L307" s="2862">
        <v>30035</v>
      </c>
      <c r="M307" s="2863">
        <v>26315</v>
      </c>
      <c r="N307" s="2850">
        <v>24177</v>
      </c>
      <c r="O307" s="2851">
        <v>1397</v>
      </c>
      <c r="P307" s="2851">
        <v>127423</v>
      </c>
      <c r="Q307" s="2851">
        <v>6613</v>
      </c>
      <c r="R307" s="2851">
        <v>5101</v>
      </c>
      <c r="S307" s="2851">
        <v>39555</v>
      </c>
      <c r="T307" s="2851">
        <v>103822</v>
      </c>
      <c r="U307" s="2851">
        <v>36407</v>
      </c>
      <c r="V307" s="2851">
        <v>16678</v>
      </c>
      <c r="W307" s="2851">
        <v>12548</v>
      </c>
      <c r="X307" s="2851">
        <v>16953</v>
      </c>
      <c r="Y307" s="2851">
        <v>4275</v>
      </c>
      <c r="Z307" s="2851">
        <v>10930</v>
      </c>
      <c r="AA307" s="2851">
        <v>32784</v>
      </c>
      <c r="AB307" s="2851">
        <v>197997</v>
      </c>
      <c r="AC307" s="2851">
        <v>62203</v>
      </c>
      <c r="AD307" s="2851">
        <v>23753</v>
      </c>
      <c r="AE307" s="2851">
        <v>7563</v>
      </c>
      <c r="AF307" s="2851">
        <v>26615</v>
      </c>
      <c r="AG307" s="2852">
        <v>28</v>
      </c>
    </row>
    <row r="308" spans="1:33">
      <c r="A308" s="49">
        <f t="shared" si="3"/>
        <v>2018.11</v>
      </c>
      <c r="B308" s="631">
        <v>140271</v>
      </c>
      <c r="C308" s="1639">
        <v>139058</v>
      </c>
      <c r="D308" s="457">
        <v>1213</v>
      </c>
      <c r="E308" s="573">
        <v>69466.87</v>
      </c>
      <c r="F308" s="617">
        <v>505.76499999999999</v>
      </c>
      <c r="G308" s="2859">
        <v>234840</v>
      </c>
      <c r="H308" s="2860">
        <v>529231</v>
      </c>
      <c r="I308" s="2861">
        <f t="shared" si="2"/>
        <v>764071</v>
      </c>
      <c r="J308" s="2862">
        <v>37633.368421052633</v>
      </c>
      <c r="K308" s="2860">
        <v>30980.947368421053</v>
      </c>
      <c r="L308" s="2862">
        <v>31600</v>
      </c>
      <c r="M308" s="2863">
        <v>28112</v>
      </c>
      <c r="N308" s="2850">
        <v>24764</v>
      </c>
      <c r="O308" s="2851">
        <v>1393</v>
      </c>
      <c r="P308" s="2851">
        <v>127263</v>
      </c>
      <c r="Q308" s="2851">
        <v>6611</v>
      </c>
      <c r="R308" s="2851">
        <v>5102</v>
      </c>
      <c r="S308" s="2851">
        <v>39697</v>
      </c>
      <c r="T308" s="2851">
        <v>102521</v>
      </c>
      <c r="U308" s="2851">
        <v>36061</v>
      </c>
      <c r="V308" s="2851">
        <v>16858</v>
      </c>
      <c r="W308" s="2851">
        <v>12613</v>
      </c>
      <c r="X308" s="2851">
        <v>16735</v>
      </c>
      <c r="Y308" s="2851">
        <v>4256</v>
      </c>
      <c r="Z308" s="2851">
        <v>10935</v>
      </c>
      <c r="AA308" s="2851">
        <v>32694</v>
      </c>
      <c r="AB308" s="2851">
        <v>199066</v>
      </c>
      <c r="AC308" s="2851">
        <v>61760</v>
      </c>
      <c r="AD308" s="2851">
        <v>23795</v>
      </c>
      <c r="AE308" s="2851">
        <v>7512</v>
      </c>
      <c r="AF308" s="2851">
        <v>26466</v>
      </c>
      <c r="AG308" s="2852">
        <v>28</v>
      </c>
    </row>
    <row r="309" spans="1:33">
      <c r="A309" s="49">
        <f t="shared" si="3"/>
        <v>2018.12</v>
      </c>
      <c r="B309" s="631">
        <v>140465</v>
      </c>
      <c r="C309" s="1639">
        <v>139243</v>
      </c>
      <c r="D309" s="457">
        <v>1222</v>
      </c>
      <c r="E309" s="573">
        <v>79817.36</v>
      </c>
      <c r="F309" s="617">
        <v>504.46899999999999</v>
      </c>
      <c r="G309" s="2859">
        <v>234412</v>
      </c>
      <c r="H309" s="2860">
        <v>525632</v>
      </c>
      <c r="I309" s="2861">
        <f t="shared" si="2"/>
        <v>760044</v>
      </c>
      <c r="J309" s="2862">
        <v>53745.84210526316</v>
      </c>
      <c r="K309" s="2860">
        <v>44964.210526315786</v>
      </c>
      <c r="L309" s="2862">
        <v>47921</v>
      </c>
      <c r="M309" s="2863">
        <v>40434</v>
      </c>
      <c r="N309" s="2850">
        <v>24927</v>
      </c>
      <c r="O309" s="2851">
        <v>1361</v>
      </c>
      <c r="P309" s="2851">
        <v>127000</v>
      </c>
      <c r="Q309" s="2851">
        <v>6617</v>
      </c>
      <c r="R309" s="2851">
        <v>5076</v>
      </c>
      <c r="S309" s="2851">
        <v>38843</v>
      </c>
      <c r="T309" s="2851">
        <v>102463</v>
      </c>
      <c r="U309" s="2851">
        <v>35826</v>
      </c>
      <c r="V309" s="2851">
        <v>17211</v>
      </c>
      <c r="W309" s="2851">
        <v>12641</v>
      </c>
      <c r="X309" s="2851">
        <v>16692</v>
      </c>
      <c r="Y309" s="2851">
        <v>4217</v>
      </c>
      <c r="Z309" s="2851">
        <v>10914</v>
      </c>
      <c r="AA309" s="2851">
        <v>32749</v>
      </c>
      <c r="AB309" s="2851">
        <v>198395</v>
      </c>
      <c r="AC309" s="2851">
        <v>59688</v>
      </c>
      <c r="AD309" s="2851">
        <v>23848</v>
      </c>
      <c r="AE309" s="2851">
        <v>7478</v>
      </c>
      <c r="AF309" s="2851">
        <v>26538</v>
      </c>
      <c r="AG309" s="2852">
        <v>27</v>
      </c>
    </row>
    <row r="310" spans="1:33">
      <c r="A310" s="49">
        <f t="shared" si="3"/>
        <v>2019.01</v>
      </c>
      <c r="B310" s="631">
        <v>140519</v>
      </c>
      <c r="C310" s="1639">
        <v>139292</v>
      </c>
      <c r="D310" s="457">
        <v>1227</v>
      </c>
      <c r="E310" s="573">
        <v>7770.9638716500003</v>
      </c>
      <c r="F310" s="617">
        <v>501.08699999999999</v>
      </c>
      <c r="G310" s="2859">
        <v>230279</v>
      </c>
      <c r="H310" s="2860">
        <v>522385</v>
      </c>
      <c r="I310" s="2861">
        <f t="shared" si="2"/>
        <v>752664</v>
      </c>
      <c r="J310" s="2862">
        <v>40305.73684210526</v>
      </c>
      <c r="K310" s="2860">
        <v>34613.947368421053</v>
      </c>
      <c r="L310" s="2862">
        <v>33429</v>
      </c>
      <c r="M310" s="2863">
        <v>29893</v>
      </c>
      <c r="N310" s="2850">
        <v>24378</v>
      </c>
      <c r="O310" s="2851">
        <v>1362</v>
      </c>
      <c r="P310" s="2851">
        <v>126545</v>
      </c>
      <c r="Q310" s="2851">
        <v>6600</v>
      </c>
      <c r="R310" s="2851">
        <v>5074</v>
      </c>
      <c r="S310" s="2851">
        <v>39909</v>
      </c>
      <c r="T310" s="2851">
        <v>101503</v>
      </c>
      <c r="U310" s="2851">
        <v>36273</v>
      </c>
      <c r="V310" s="2851">
        <v>16776</v>
      </c>
      <c r="W310" s="2851">
        <v>12669</v>
      </c>
      <c r="X310" s="2851">
        <v>16809</v>
      </c>
      <c r="Y310" s="2851">
        <v>4199</v>
      </c>
      <c r="Z310" s="2851">
        <v>10806</v>
      </c>
      <c r="AA310" s="2851">
        <v>32864</v>
      </c>
      <c r="AB310" s="2851">
        <v>195951</v>
      </c>
      <c r="AC310" s="2851">
        <v>55911</v>
      </c>
      <c r="AD310" s="2851">
        <v>24234</v>
      </c>
      <c r="AE310" s="2851">
        <v>7511</v>
      </c>
      <c r="AF310" s="2851">
        <v>25508</v>
      </c>
      <c r="AG310" s="2852">
        <v>27</v>
      </c>
    </row>
    <row r="311" spans="1:33">
      <c r="A311" s="49">
        <f t="shared" si="3"/>
        <v>2019.02</v>
      </c>
      <c r="B311" s="631">
        <v>139786</v>
      </c>
      <c r="C311" s="1639">
        <v>138558</v>
      </c>
      <c r="D311" s="457">
        <v>1228</v>
      </c>
      <c r="E311" s="573">
        <v>15419.37629016</v>
      </c>
      <c r="F311" s="617">
        <v>501.30200000000002</v>
      </c>
      <c r="G311" s="2859">
        <v>221223</v>
      </c>
      <c r="H311" s="2860">
        <v>521794</v>
      </c>
      <c r="I311" s="2861">
        <f t="shared" si="2"/>
        <v>743017</v>
      </c>
      <c r="J311" s="2862">
        <v>42329.57894736842</v>
      </c>
      <c r="K311" s="2860">
        <v>33278.57894736842</v>
      </c>
      <c r="L311" s="2862">
        <v>35846</v>
      </c>
      <c r="M311" s="2863">
        <v>28770</v>
      </c>
      <c r="N311" s="2850">
        <v>24280</v>
      </c>
      <c r="O311" s="2851">
        <v>1350</v>
      </c>
      <c r="P311" s="2851">
        <v>126155</v>
      </c>
      <c r="Q311" s="2851">
        <v>6595</v>
      </c>
      <c r="R311" s="2851">
        <v>5064</v>
      </c>
      <c r="S311" s="2851">
        <v>39936</v>
      </c>
      <c r="T311" s="2851">
        <v>101332</v>
      </c>
      <c r="U311" s="2851">
        <v>37519</v>
      </c>
      <c r="V311" s="2851">
        <v>16815</v>
      </c>
      <c r="W311" s="2851">
        <v>12631</v>
      </c>
      <c r="X311" s="2851">
        <v>16734</v>
      </c>
      <c r="Y311" s="2851">
        <v>4591</v>
      </c>
      <c r="Z311" s="2851">
        <v>10712</v>
      </c>
      <c r="AA311" s="2851">
        <v>32620</v>
      </c>
      <c r="AB311" s="2851">
        <v>186238</v>
      </c>
      <c r="AC311" s="2851">
        <v>55869</v>
      </c>
      <c r="AD311" s="2851">
        <v>24311</v>
      </c>
      <c r="AE311" s="2851">
        <v>7569</v>
      </c>
      <c r="AF311" s="2851">
        <v>25510</v>
      </c>
      <c r="AG311" s="2852">
        <v>27</v>
      </c>
    </row>
    <row r="312" spans="1:33">
      <c r="A312" s="49">
        <f t="shared" si="3"/>
        <v>2019.03</v>
      </c>
      <c r="B312" s="631">
        <v>139827</v>
      </c>
      <c r="C312" s="1639">
        <v>138600</v>
      </c>
      <c r="D312" s="457">
        <v>1227</v>
      </c>
      <c r="E312" s="573">
        <v>23036.890597999998</v>
      </c>
      <c r="F312" s="617">
        <v>501.13200000000001</v>
      </c>
      <c r="G312" s="2859">
        <v>221908</v>
      </c>
      <c r="H312" s="2860">
        <v>523811</v>
      </c>
      <c r="I312" s="2861">
        <f t="shared" si="2"/>
        <v>745719</v>
      </c>
      <c r="J312" s="2862">
        <v>41854.684210526313</v>
      </c>
      <c r="K312" s="2860">
        <v>35139.947368421053</v>
      </c>
      <c r="L312" s="2862">
        <v>35466</v>
      </c>
      <c r="M312" s="2863">
        <v>30624</v>
      </c>
      <c r="N312" s="2850">
        <v>25360</v>
      </c>
      <c r="O312" s="2851">
        <v>1295</v>
      </c>
      <c r="P312" s="2851">
        <v>125689</v>
      </c>
      <c r="Q312" s="2851">
        <v>6641</v>
      </c>
      <c r="R312" s="2851">
        <v>5066</v>
      </c>
      <c r="S312" s="2851">
        <v>39704</v>
      </c>
      <c r="T312" s="2851">
        <v>101354</v>
      </c>
      <c r="U312" s="2851">
        <v>36674</v>
      </c>
      <c r="V312" s="2851">
        <v>16790</v>
      </c>
      <c r="W312" s="2851">
        <v>12636</v>
      </c>
      <c r="X312" s="2851">
        <v>16728</v>
      </c>
      <c r="Y312" s="2851">
        <v>4149</v>
      </c>
      <c r="Z312" s="2851">
        <v>10671</v>
      </c>
      <c r="AA312" s="2851">
        <v>32345</v>
      </c>
      <c r="AB312" s="2851">
        <v>187027</v>
      </c>
      <c r="AC312" s="2851">
        <v>57925</v>
      </c>
      <c r="AD312" s="2851">
        <v>24245</v>
      </c>
      <c r="AE312" s="2851">
        <v>7482</v>
      </c>
      <c r="AF312" s="2851">
        <v>25548</v>
      </c>
      <c r="AG312" s="2852">
        <v>27</v>
      </c>
    </row>
    <row r="313" spans="1:33">
      <c r="A313" s="49">
        <f t="shared" si="3"/>
        <v>2019.04</v>
      </c>
      <c r="B313" s="631">
        <v>139675</v>
      </c>
      <c r="C313" s="1639">
        <v>138449</v>
      </c>
      <c r="D313" s="457">
        <v>1226</v>
      </c>
      <c r="E313" s="573">
        <v>33061.97</v>
      </c>
      <c r="F313" s="617">
        <v>501.16500000000002</v>
      </c>
      <c r="G313" s="2859">
        <v>232602</v>
      </c>
      <c r="H313" s="2860">
        <v>522452</v>
      </c>
      <c r="I313" s="2861">
        <f t="shared" si="2"/>
        <v>755054</v>
      </c>
      <c r="J313" s="2862">
        <v>48965.894736842107</v>
      </c>
      <c r="K313" s="2860">
        <v>36205.368421052633</v>
      </c>
      <c r="L313" s="2862">
        <v>43026</v>
      </c>
      <c r="M313" s="2863">
        <v>31159</v>
      </c>
      <c r="N313" s="2850">
        <v>25592</v>
      </c>
      <c r="O313" s="2851">
        <v>1280</v>
      </c>
      <c r="P313" s="2851">
        <v>124935</v>
      </c>
      <c r="Q313" s="2851">
        <v>6649</v>
      </c>
      <c r="R313" s="2851">
        <v>5060</v>
      </c>
      <c r="S313" s="2851">
        <v>38830</v>
      </c>
      <c r="T313" s="2851">
        <v>100935</v>
      </c>
      <c r="U313" s="2851">
        <v>40764</v>
      </c>
      <c r="V313" s="2851">
        <v>16485</v>
      </c>
      <c r="W313" s="2851">
        <v>12603</v>
      </c>
      <c r="X313" s="2851">
        <v>16759</v>
      </c>
      <c r="Y313" s="2851">
        <v>4101</v>
      </c>
      <c r="Z313" s="2851">
        <v>10486</v>
      </c>
      <c r="AA313" s="2851">
        <v>31753</v>
      </c>
      <c r="AB313" s="2851">
        <v>195529</v>
      </c>
      <c r="AC313" s="2851">
        <v>60621</v>
      </c>
      <c r="AD313" s="2851">
        <v>24118</v>
      </c>
      <c r="AE313" s="2851">
        <v>7173</v>
      </c>
      <c r="AF313" s="2851">
        <v>25536</v>
      </c>
      <c r="AG313" s="2852">
        <v>27</v>
      </c>
    </row>
    <row r="314" spans="1:33">
      <c r="A314" s="49">
        <f t="shared" si="3"/>
        <v>2019.05</v>
      </c>
      <c r="B314" s="631">
        <v>139726</v>
      </c>
      <c r="C314" s="1639">
        <v>138502</v>
      </c>
      <c r="D314" s="457">
        <v>1224</v>
      </c>
      <c r="E314" s="573">
        <v>42347.770118999993</v>
      </c>
      <c r="F314" s="617">
        <v>500.83300000000003</v>
      </c>
      <c r="G314" s="2859">
        <v>231101</v>
      </c>
      <c r="H314" s="2860">
        <v>521774</v>
      </c>
      <c r="I314" s="2861">
        <f t="shared" si="2"/>
        <v>752875</v>
      </c>
      <c r="J314" s="2862">
        <v>46648.210526315786</v>
      </c>
      <c r="K314" s="2860">
        <v>37569.210526315786</v>
      </c>
      <c r="L314" s="2862">
        <v>39794</v>
      </c>
      <c r="M314" s="2863">
        <v>33192</v>
      </c>
      <c r="N314" s="2850">
        <v>25325</v>
      </c>
      <c r="O314" s="2851">
        <v>1272</v>
      </c>
      <c r="P314" s="2851">
        <v>125004</v>
      </c>
      <c r="Q314" s="2851">
        <v>6674</v>
      </c>
      <c r="R314" s="2851">
        <v>5058</v>
      </c>
      <c r="S314" s="2851">
        <v>38910</v>
      </c>
      <c r="T314" s="2851">
        <v>100618</v>
      </c>
      <c r="U314" s="2851">
        <v>38147</v>
      </c>
      <c r="V314" s="2851">
        <v>16280</v>
      </c>
      <c r="W314" s="2851">
        <v>12582</v>
      </c>
      <c r="X314" s="2851">
        <v>16785</v>
      </c>
      <c r="Y314" s="2851">
        <v>4091</v>
      </c>
      <c r="Z314" s="2851">
        <v>10443</v>
      </c>
      <c r="AA314" s="2851">
        <v>31737</v>
      </c>
      <c r="AB314" s="2851">
        <v>196444</v>
      </c>
      <c r="AC314" s="2851">
        <v>61881</v>
      </c>
      <c r="AD314" s="2851">
        <v>24030</v>
      </c>
      <c r="AE314" s="2851">
        <v>7117</v>
      </c>
      <c r="AF314" s="2851">
        <v>25651</v>
      </c>
      <c r="AG314" s="2852">
        <v>27</v>
      </c>
    </row>
    <row r="315" spans="1:33">
      <c r="A315" s="49">
        <f t="shared" si="3"/>
        <v>2019.06</v>
      </c>
      <c r="B315" s="631">
        <v>139723</v>
      </c>
      <c r="C315" s="1639">
        <v>138503</v>
      </c>
      <c r="D315" s="457">
        <v>1220</v>
      </c>
      <c r="E315" s="573">
        <v>54903.992714</v>
      </c>
      <c r="F315" s="617">
        <v>499.17399999999998</v>
      </c>
      <c r="G315" s="2859">
        <v>236025</v>
      </c>
      <c r="H315" s="2860">
        <v>521017</v>
      </c>
      <c r="I315" s="2861">
        <f t="shared" ref="I315:I378" si="4">+G315+H315</f>
        <v>757042</v>
      </c>
      <c r="J315" s="2862">
        <v>64879.894736842107</v>
      </c>
      <c r="K315" s="2860">
        <v>53621.26315789474</v>
      </c>
      <c r="L315" s="2862">
        <v>59338</v>
      </c>
      <c r="M315" s="2863">
        <v>48109</v>
      </c>
      <c r="N315" s="2850">
        <v>24680</v>
      </c>
      <c r="O315" s="2851">
        <v>1272</v>
      </c>
      <c r="P315" s="2851">
        <v>124675</v>
      </c>
      <c r="Q315" s="2851">
        <v>6779</v>
      </c>
      <c r="R315" s="2851">
        <v>5050</v>
      </c>
      <c r="S315" s="2851">
        <v>38481</v>
      </c>
      <c r="T315" s="2851">
        <v>100307</v>
      </c>
      <c r="U315" s="2851">
        <v>40870</v>
      </c>
      <c r="V315" s="2851">
        <v>16288</v>
      </c>
      <c r="W315" s="2851">
        <v>12648</v>
      </c>
      <c r="X315" s="2851">
        <v>16771</v>
      </c>
      <c r="Y315" s="2851">
        <v>3993</v>
      </c>
      <c r="Z315" s="2851">
        <v>10371</v>
      </c>
      <c r="AA315" s="2851">
        <v>31488</v>
      </c>
      <c r="AB315" s="2851">
        <v>197808</v>
      </c>
      <c r="AC315" s="2851">
        <v>63001</v>
      </c>
      <c r="AD315" s="2851">
        <v>23832</v>
      </c>
      <c r="AE315" s="2851">
        <v>6954</v>
      </c>
      <c r="AF315" s="2851">
        <v>25700</v>
      </c>
      <c r="AG315" s="2852">
        <v>27</v>
      </c>
    </row>
    <row r="316" spans="1:33">
      <c r="A316" s="49">
        <f t="shared" si="3"/>
        <v>2019.07</v>
      </c>
      <c r="B316" s="631">
        <v>139656</v>
      </c>
      <c r="C316" s="1639">
        <v>138442</v>
      </c>
      <c r="D316" s="457">
        <v>1214</v>
      </c>
      <c r="E316" s="573">
        <v>64348.004840000001</v>
      </c>
      <c r="F316" s="617">
        <v>496.96499999999997</v>
      </c>
      <c r="G316" s="2859">
        <v>233805</v>
      </c>
      <c r="H316" s="2860">
        <v>519525</v>
      </c>
      <c r="I316" s="2861">
        <f t="shared" si="4"/>
        <v>753330</v>
      </c>
      <c r="J316" s="2862">
        <v>48560.789473684214</v>
      </c>
      <c r="K316" s="2860">
        <v>39268.84210526316</v>
      </c>
      <c r="L316" s="2862">
        <v>41854</v>
      </c>
      <c r="M316" s="2863">
        <v>34528</v>
      </c>
      <c r="N316" s="2850">
        <v>24446</v>
      </c>
      <c r="O316" s="2851">
        <v>1114</v>
      </c>
      <c r="P316" s="2851">
        <v>124687</v>
      </c>
      <c r="Q316" s="2851">
        <v>6700</v>
      </c>
      <c r="R316" s="2851">
        <v>5034</v>
      </c>
      <c r="S316" s="2851">
        <v>38462</v>
      </c>
      <c r="T316" s="2851">
        <v>100306</v>
      </c>
      <c r="U316" s="2851">
        <v>37884</v>
      </c>
      <c r="V316" s="2851">
        <v>16412</v>
      </c>
      <c r="W316" s="2851">
        <v>12751</v>
      </c>
      <c r="X316" s="2851">
        <v>16742</v>
      </c>
      <c r="Y316" s="2851">
        <v>3949</v>
      </c>
      <c r="Z316" s="2851">
        <v>10308</v>
      </c>
      <c r="AA316" s="2851">
        <v>31358</v>
      </c>
      <c r="AB316" s="2851">
        <v>197833</v>
      </c>
      <c r="AC316" s="2851">
        <v>61687</v>
      </c>
      <c r="AD316" s="2851">
        <v>23938</v>
      </c>
      <c r="AE316" s="2851">
        <v>7004</v>
      </c>
      <c r="AF316" s="2851">
        <v>25506</v>
      </c>
      <c r="AG316" s="2852">
        <v>27</v>
      </c>
    </row>
    <row r="317" spans="1:33">
      <c r="A317" s="49">
        <f t="shared" si="3"/>
        <v>2019.08</v>
      </c>
      <c r="B317" s="631">
        <v>142591</v>
      </c>
      <c r="C317" s="1639">
        <v>141415</v>
      </c>
      <c r="D317" s="457">
        <v>1176</v>
      </c>
      <c r="E317" s="573">
        <v>73878.572275999992</v>
      </c>
      <c r="F317" s="617">
        <v>498.572</v>
      </c>
      <c r="G317" s="2859">
        <v>235221</v>
      </c>
      <c r="H317" s="2860">
        <v>519672</v>
      </c>
      <c r="I317" s="2861">
        <f t="shared" si="4"/>
        <v>754893</v>
      </c>
      <c r="J317" s="2862">
        <v>49393.57894736842</v>
      </c>
      <c r="K317" s="2860">
        <v>40950.210526315786</v>
      </c>
      <c r="L317" s="2862">
        <v>42776</v>
      </c>
      <c r="M317" s="2863">
        <v>35186</v>
      </c>
      <c r="N317" s="2850">
        <v>24239</v>
      </c>
      <c r="O317" s="2851">
        <v>1272</v>
      </c>
      <c r="P317" s="2851">
        <v>124965</v>
      </c>
      <c r="Q317" s="2851">
        <v>6737</v>
      </c>
      <c r="R317" s="2851">
        <v>4788</v>
      </c>
      <c r="S317" s="2851">
        <v>37654</v>
      </c>
      <c r="T317" s="2851">
        <v>100714</v>
      </c>
      <c r="U317" s="2851">
        <v>42456</v>
      </c>
      <c r="V317" s="2851">
        <v>16604</v>
      </c>
      <c r="W317" s="2851">
        <v>12585</v>
      </c>
      <c r="X317" s="2851">
        <v>16825</v>
      </c>
      <c r="Y317" s="2851">
        <v>3903</v>
      </c>
      <c r="Z317" s="2851">
        <v>10267</v>
      </c>
      <c r="AA317" s="2851">
        <v>31306</v>
      </c>
      <c r="AB317" s="2851">
        <v>197140</v>
      </c>
      <c r="AC317" s="2851">
        <v>62425</v>
      </c>
      <c r="AD317" s="2851">
        <v>23948</v>
      </c>
      <c r="AE317" s="2851">
        <v>7067</v>
      </c>
      <c r="AF317" s="2851">
        <v>25757</v>
      </c>
      <c r="AG317" s="2852">
        <v>29</v>
      </c>
    </row>
    <row r="318" spans="1:33">
      <c r="A318" s="49">
        <f t="shared" si="3"/>
        <v>2019.09</v>
      </c>
      <c r="B318" s="631">
        <v>142467</v>
      </c>
      <c r="C318" s="1639">
        <v>141295</v>
      </c>
      <c r="D318" s="457">
        <v>1172</v>
      </c>
      <c r="E318" s="573">
        <v>83597.241271000006</v>
      </c>
      <c r="F318" s="617">
        <v>496.61099999999999</v>
      </c>
      <c r="G318" s="2859">
        <v>233554</v>
      </c>
      <c r="H318" s="2860">
        <v>517891</v>
      </c>
      <c r="I318" s="2861">
        <f t="shared" si="4"/>
        <v>751445</v>
      </c>
      <c r="J318" s="2862">
        <v>51354.315789473687</v>
      </c>
      <c r="K318" s="2860">
        <v>41833</v>
      </c>
      <c r="L318" s="2862">
        <v>44282</v>
      </c>
      <c r="M318" s="2863">
        <v>36665</v>
      </c>
      <c r="N318" s="2850">
        <v>24168</v>
      </c>
      <c r="O318" s="2851">
        <v>1286</v>
      </c>
      <c r="P318" s="2851">
        <v>124715</v>
      </c>
      <c r="Q318" s="2851">
        <v>6777</v>
      </c>
      <c r="R318" s="2851">
        <v>4798</v>
      </c>
      <c r="S318" s="2851">
        <v>36445</v>
      </c>
      <c r="T318" s="2851">
        <v>100543</v>
      </c>
      <c r="U318" s="2851">
        <v>37788</v>
      </c>
      <c r="V318" s="2851">
        <v>16564</v>
      </c>
      <c r="W318" s="2851">
        <v>12636</v>
      </c>
      <c r="X318" s="2851">
        <v>16892</v>
      </c>
      <c r="Y318" s="2851">
        <v>3872</v>
      </c>
      <c r="Z318" s="2851">
        <v>10245</v>
      </c>
      <c r="AA318" s="2851">
        <v>31110</v>
      </c>
      <c r="AB318" s="2851">
        <v>198801</v>
      </c>
      <c r="AC318" s="2851">
        <v>62988</v>
      </c>
      <c r="AD318" s="2851">
        <v>23888</v>
      </c>
      <c r="AE318" s="2851">
        <v>7035</v>
      </c>
      <c r="AF318" s="2851">
        <v>25655</v>
      </c>
      <c r="AG318" s="2852">
        <v>29</v>
      </c>
    </row>
    <row r="319" spans="1:33">
      <c r="A319" s="49">
        <f t="shared" si="3"/>
        <v>2019.1</v>
      </c>
      <c r="B319" s="631">
        <v>142882</v>
      </c>
      <c r="C319" s="1639">
        <v>141698</v>
      </c>
      <c r="D319" s="457">
        <v>1184</v>
      </c>
      <c r="E319" s="573">
        <v>93639.814952999994</v>
      </c>
      <c r="F319" s="617">
        <v>494.81200000000001</v>
      </c>
      <c r="G319" s="2859">
        <v>237495</v>
      </c>
      <c r="H319" s="2860">
        <v>518150</v>
      </c>
      <c r="I319" s="2861">
        <f t="shared" si="4"/>
        <v>755645</v>
      </c>
      <c r="J319" s="2862">
        <v>52547.368421052633</v>
      </c>
      <c r="K319" s="2860">
        <v>45342.894736842107</v>
      </c>
      <c r="L319" s="2862">
        <v>45540</v>
      </c>
      <c r="M319" s="2863">
        <v>38208</v>
      </c>
      <c r="N319" s="2850">
        <v>24182</v>
      </c>
      <c r="O319" s="2851">
        <v>1290</v>
      </c>
      <c r="P319" s="2851">
        <v>124460</v>
      </c>
      <c r="Q319" s="2851">
        <v>6765</v>
      </c>
      <c r="R319" s="2851">
        <v>5033</v>
      </c>
      <c r="S319" s="2851">
        <v>35594</v>
      </c>
      <c r="T319" s="2851">
        <v>100288</v>
      </c>
      <c r="U319" s="2851">
        <v>39966</v>
      </c>
      <c r="V319" s="2851">
        <v>16510</v>
      </c>
      <c r="W319" s="2851">
        <v>12745</v>
      </c>
      <c r="X319" s="2851">
        <v>16774</v>
      </c>
      <c r="Y319" s="2851">
        <v>3805</v>
      </c>
      <c r="Z319" s="2851">
        <v>10370</v>
      </c>
      <c r="AA319" s="2851">
        <v>31701</v>
      </c>
      <c r="AB319" s="2851">
        <v>198820</v>
      </c>
      <c r="AC319" s="2851">
        <v>63341</v>
      </c>
      <c r="AD319" s="2851">
        <v>24003</v>
      </c>
      <c r="AE319" s="2851">
        <v>7181</v>
      </c>
      <c r="AF319" s="2851">
        <v>25549</v>
      </c>
      <c r="AG319" s="2852">
        <v>30</v>
      </c>
    </row>
    <row r="320" spans="1:33">
      <c r="A320" s="49">
        <f t="shared" si="3"/>
        <v>2019.11</v>
      </c>
      <c r="B320" s="631">
        <f>AVERAGE(B319,B321)</f>
        <v>142622.5</v>
      </c>
      <c r="C320" s="1639">
        <f t="shared" ref="C320:D320" si="5">AVERAGE(C319,C321)</f>
        <v>141617.5</v>
      </c>
      <c r="D320" s="457">
        <f t="shared" si="5"/>
        <v>1005</v>
      </c>
      <c r="E320" s="573">
        <v>104264.86632099999</v>
      </c>
      <c r="F320" s="617">
        <v>493.87099999999998</v>
      </c>
      <c r="G320" s="2859">
        <v>235032</v>
      </c>
      <c r="H320" s="2860">
        <v>518328</v>
      </c>
      <c r="I320" s="2861">
        <f t="shared" si="4"/>
        <v>753360</v>
      </c>
      <c r="J320" s="2862">
        <v>55493.73684210526</v>
      </c>
      <c r="K320" s="2860">
        <v>45480.105263157893</v>
      </c>
      <c r="L320" s="2862">
        <v>47495</v>
      </c>
      <c r="M320" s="2863">
        <v>38707</v>
      </c>
      <c r="N320" s="2850">
        <v>24481</v>
      </c>
      <c r="O320" s="2851">
        <v>1299</v>
      </c>
      <c r="P320" s="2851">
        <v>124495</v>
      </c>
      <c r="Q320" s="2851">
        <v>6808</v>
      </c>
      <c r="R320" s="2851">
        <v>5051</v>
      </c>
      <c r="S320" s="2851">
        <v>35447</v>
      </c>
      <c r="T320" s="2851">
        <v>100294</v>
      </c>
      <c r="U320" s="2851">
        <v>36033</v>
      </c>
      <c r="V320" s="2851">
        <v>16888</v>
      </c>
      <c r="W320" s="2851">
        <v>12673</v>
      </c>
      <c r="X320" s="2851">
        <v>16775</v>
      </c>
      <c r="Y320" s="2851">
        <v>3827</v>
      </c>
      <c r="Z320" s="2851">
        <v>10378</v>
      </c>
      <c r="AA320" s="2851">
        <v>32137</v>
      </c>
      <c r="AB320" s="2851">
        <v>199675</v>
      </c>
      <c r="AC320" s="2851">
        <v>62638</v>
      </c>
      <c r="AD320" s="2851">
        <v>24079</v>
      </c>
      <c r="AE320" s="2851">
        <v>7091</v>
      </c>
      <c r="AF320" s="2851">
        <v>25378</v>
      </c>
      <c r="AG320" s="2852">
        <v>30</v>
      </c>
    </row>
    <row r="321" spans="1:33">
      <c r="A321" s="49">
        <f t="shared" si="3"/>
        <v>2019.12</v>
      </c>
      <c r="B321" s="631">
        <v>142363</v>
      </c>
      <c r="C321" s="1639">
        <v>141537</v>
      </c>
      <c r="D321" s="457">
        <v>826</v>
      </c>
      <c r="E321" s="573">
        <v>119699.318579</v>
      </c>
      <c r="F321" s="617">
        <v>493.06</v>
      </c>
      <c r="G321" s="2859">
        <v>235846</v>
      </c>
      <c r="H321" s="2860">
        <v>515181</v>
      </c>
      <c r="I321" s="2861">
        <f t="shared" si="4"/>
        <v>751027</v>
      </c>
      <c r="J321" s="2862">
        <v>78031.15789473684</v>
      </c>
      <c r="K321" s="2860">
        <v>66965.947368421053</v>
      </c>
      <c r="L321" s="2862">
        <v>69637</v>
      </c>
      <c r="M321" s="2863">
        <v>57701</v>
      </c>
      <c r="N321" s="2850">
        <v>24735</v>
      </c>
      <c r="O321" s="2851">
        <v>1342</v>
      </c>
      <c r="P321" s="2851">
        <v>124420</v>
      </c>
      <c r="Q321" s="2851">
        <v>6766</v>
      </c>
      <c r="R321" s="2851">
        <v>5045</v>
      </c>
      <c r="S321" s="2851">
        <v>33905</v>
      </c>
      <c r="T321" s="2851">
        <v>101034</v>
      </c>
      <c r="U321" s="2851">
        <v>36228</v>
      </c>
      <c r="V321" s="2851">
        <v>16904</v>
      </c>
      <c r="W321" s="2851">
        <v>12698</v>
      </c>
      <c r="X321" s="2851">
        <v>16702</v>
      </c>
      <c r="Y321" s="2851">
        <v>3784</v>
      </c>
      <c r="Z321" s="2851">
        <v>10284</v>
      </c>
      <c r="AA321" s="2851">
        <v>32204</v>
      </c>
      <c r="AB321" s="2851">
        <v>199801</v>
      </c>
      <c r="AC321" s="2851">
        <v>60701</v>
      </c>
      <c r="AD321" s="2851">
        <v>25031</v>
      </c>
      <c r="AE321" s="2851">
        <v>7107</v>
      </c>
      <c r="AF321" s="2851">
        <v>25207</v>
      </c>
      <c r="AG321" s="2852">
        <v>30</v>
      </c>
    </row>
    <row r="322" spans="1:33">
      <c r="A322" s="49">
        <f t="shared" si="3"/>
        <v>2020.01</v>
      </c>
      <c r="B322" s="573">
        <v>142095</v>
      </c>
      <c r="C322" s="1365">
        <v>141362</v>
      </c>
      <c r="D322" s="73">
        <v>733</v>
      </c>
      <c r="E322" s="573">
        <v>10947.02521043</v>
      </c>
      <c r="F322" s="617">
        <v>488.12200000000001</v>
      </c>
      <c r="G322" s="2859">
        <v>231112</v>
      </c>
      <c r="H322" s="2860">
        <v>509498</v>
      </c>
      <c r="I322" s="2861">
        <f t="shared" si="4"/>
        <v>740610</v>
      </c>
      <c r="J322" s="2862">
        <v>60048.315789473687</v>
      </c>
      <c r="K322" s="2860">
        <v>51649</v>
      </c>
      <c r="L322" s="2862">
        <v>50162</v>
      </c>
      <c r="M322" s="2863">
        <v>43729</v>
      </c>
      <c r="N322" s="2850">
        <v>23776</v>
      </c>
      <c r="O322" s="2851">
        <v>1363</v>
      </c>
      <c r="P322" s="2851">
        <v>124341</v>
      </c>
      <c r="Q322" s="2851">
        <v>6775</v>
      </c>
      <c r="R322" s="2851">
        <v>5043</v>
      </c>
      <c r="S322" s="2851">
        <v>33406</v>
      </c>
      <c r="T322" s="2851">
        <v>100260</v>
      </c>
      <c r="U322" s="2851">
        <v>36152</v>
      </c>
      <c r="V322" s="2851">
        <v>16292</v>
      </c>
      <c r="W322" s="2851">
        <v>12801</v>
      </c>
      <c r="X322" s="2851">
        <v>16749</v>
      </c>
      <c r="Y322" s="2851">
        <v>3710</v>
      </c>
      <c r="Z322" s="2851">
        <v>10077</v>
      </c>
      <c r="AA322" s="2851">
        <v>32298</v>
      </c>
      <c r="AB322" s="2851">
        <v>196195</v>
      </c>
      <c r="AC322" s="2851">
        <v>56567</v>
      </c>
      <c r="AD322" s="2851">
        <v>24984</v>
      </c>
      <c r="AE322" s="2851">
        <v>7039</v>
      </c>
      <c r="AF322" s="2851">
        <v>24850</v>
      </c>
      <c r="AG322" s="2852">
        <v>31</v>
      </c>
    </row>
    <row r="323" spans="1:33">
      <c r="A323" s="49">
        <f t="shared" si="3"/>
        <v>2020.02</v>
      </c>
      <c r="B323" s="573">
        <v>142552</v>
      </c>
      <c r="C323" s="1365">
        <v>141799</v>
      </c>
      <c r="D323" s="73">
        <v>753</v>
      </c>
      <c r="E323" s="573">
        <v>21830.205322639998</v>
      </c>
      <c r="F323" s="617">
        <v>486.72199999999998</v>
      </c>
      <c r="G323" s="2859">
        <v>221544</v>
      </c>
      <c r="H323" s="2860">
        <v>507825</v>
      </c>
      <c r="I323" s="2861">
        <f t="shared" si="4"/>
        <v>729369</v>
      </c>
      <c r="J323" s="2862">
        <v>62138.15789473684</v>
      </c>
      <c r="K323" s="2860">
        <v>51873.57894736842</v>
      </c>
      <c r="L323" s="2862">
        <v>52313</v>
      </c>
      <c r="M323" s="2863">
        <v>44344</v>
      </c>
      <c r="N323" s="2850">
        <v>23775</v>
      </c>
      <c r="O323" s="2851">
        <v>1372</v>
      </c>
      <c r="P323" s="2851">
        <v>124049</v>
      </c>
      <c r="Q323" s="2851">
        <v>6773</v>
      </c>
      <c r="R323" s="2851">
        <v>5048</v>
      </c>
      <c r="S323" s="2851">
        <v>32033</v>
      </c>
      <c r="T323" s="2851">
        <v>100094</v>
      </c>
      <c r="U323" s="2851">
        <v>35977</v>
      </c>
      <c r="V323" s="2851">
        <v>16366</v>
      </c>
      <c r="W323" s="2851">
        <v>12750</v>
      </c>
      <c r="X323" s="2851">
        <v>16690</v>
      </c>
      <c r="Y323" s="2851">
        <v>3685</v>
      </c>
      <c r="Z323" s="2851">
        <v>10036</v>
      </c>
      <c r="AA323" s="2851">
        <v>32564</v>
      </c>
      <c r="AB323" s="2851">
        <v>186078</v>
      </c>
      <c r="AC323" s="2851">
        <v>56553</v>
      </c>
      <c r="AD323" s="2851">
        <v>24898</v>
      </c>
      <c r="AE323" s="2851">
        <v>7106</v>
      </c>
      <c r="AF323" s="2851">
        <v>24890</v>
      </c>
      <c r="AG323" s="2852">
        <v>31</v>
      </c>
    </row>
    <row r="324" spans="1:33">
      <c r="A324" s="49">
        <f t="shared" si="3"/>
        <v>2020.03</v>
      </c>
      <c r="B324" s="573">
        <v>142502</v>
      </c>
      <c r="C324" s="1365">
        <v>141741</v>
      </c>
      <c r="D324" s="73">
        <v>761</v>
      </c>
      <c r="E324" s="573">
        <v>33090.806915169997</v>
      </c>
      <c r="F324" s="617">
        <v>487.41699999999997</v>
      </c>
      <c r="G324" s="2859">
        <v>224746</v>
      </c>
      <c r="H324" s="2860">
        <v>508299</v>
      </c>
      <c r="I324" s="2861">
        <f t="shared" si="4"/>
        <v>733045</v>
      </c>
      <c r="J324" s="2862">
        <v>62520.631578947367</v>
      </c>
      <c r="K324" s="2860">
        <v>52270.315789473687</v>
      </c>
      <c r="L324" s="2862">
        <v>53774</v>
      </c>
      <c r="M324" s="2863">
        <v>45863</v>
      </c>
      <c r="N324" s="2850">
        <v>25001</v>
      </c>
      <c r="O324" s="2851">
        <v>1360</v>
      </c>
      <c r="P324" s="2851">
        <v>123757</v>
      </c>
      <c r="Q324" s="2851">
        <v>6790</v>
      </c>
      <c r="R324" s="2851">
        <v>5054</v>
      </c>
      <c r="S324" s="2851">
        <v>30850</v>
      </c>
      <c r="T324" s="2851">
        <v>101354</v>
      </c>
      <c r="U324" s="2851">
        <v>35809</v>
      </c>
      <c r="V324" s="2851">
        <v>16326</v>
      </c>
      <c r="W324" s="2851">
        <v>12775</v>
      </c>
      <c r="X324" s="2851">
        <v>16657</v>
      </c>
      <c r="Y324" s="2851">
        <v>3720</v>
      </c>
      <c r="Z324" s="2851">
        <v>9917</v>
      </c>
      <c r="AA324" s="2851">
        <v>32187</v>
      </c>
      <c r="AB324" s="2851">
        <v>189156</v>
      </c>
      <c r="AC324" s="2851">
        <v>57729</v>
      </c>
      <c r="AD324" s="2851">
        <v>24979</v>
      </c>
      <c r="AE324" s="2851">
        <v>6815</v>
      </c>
      <c r="AF324" s="2851">
        <v>24844</v>
      </c>
      <c r="AG324" s="2852">
        <v>31</v>
      </c>
    </row>
    <row r="325" spans="1:33">
      <c r="A325" s="49">
        <f t="shared" si="3"/>
        <v>2020.04</v>
      </c>
      <c r="B325" s="573">
        <v>142268</v>
      </c>
      <c r="C325" s="1365">
        <v>141503</v>
      </c>
      <c r="D325" s="73">
        <v>765</v>
      </c>
      <c r="E325" s="573">
        <v>44621.312180970002</v>
      </c>
      <c r="F325" s="617">
        <v>478.04199999999997</v>
      </c>
      <c r="G325" s="2859">
        <v>227388</v>
      </c>
      <c r="H325" s="2860">
        <v>497473</v>
      </c>
      <c r="I325" s="2861">
        <f t="shared" si="4"/>
        <v>724861</v>
      </c>
      <c r="J325" s="2862">
        <v>61907.105263157893</v>
      </c>
      <c r="K325" s="2860">
        <v>51360.84210526316</v>
      </c>
      <c r="L325" s="2862">
        <v>53032</v>
      </c>
      <c r="M325" s="2863">
        <v>44837</v>
      </c>
      <c r="N325" s="2850">
        <v>25309</v>
      </c>
      <c r="O325" s="2851">
        <v>1350</v>
      </c>
      <c r="P325" s="2851">
        <v>122649</v>
      </c>
      <c r="Q325" s="2851">
        <v>6745</v>
      </c>
      <c r="R325" s="2851">
        <v>5044</v>
      </c>
      <c r="S325" s="2851">
        <v>27863</v>
      </c>
      <c r="T325" s="2851">
        <v>99789</v>
      </c>
      <c r="U325" s="2851">
        <v>35930</v>
      </c>
      <c r="V325" s="2851">
        <v>15083</v>
      </c>
      <c r="W325" s="2851">
        <v>12643</v>
      </c>
      <c r="X325" s="2851">
        <v>16485</v>
      </c>
      <c r="Y325" s="2851">
        <v>3595</v>
      </c>
      <c r="Z325" s="2851">
        <v>9686</v>
      </c>
      <c r="AA325" s="2851">
        <v>30891</v>
      </c>
      <c r="AB325" s="2851">
        <v>191133</v>
      </c>
      <c r="AC325" s="2851">
        <v>57121</v>
      </c>
      <c r="AD325" s="2851">
        <v>24818</v>
      </c>
      <c r="AE325" s="2851">
        <v>6601</v>
      </c>
      <c r="AF325" s="2851">
        <v>24374</v>
      </c>
      <c r="AG325" s="2852">
        <v>31</v>
      </c>
    </row>
    <row r="326" spans="1:33">
      <c r="A326" s="49">
        <f t="shared" si="3"/>
        <v>2020.05</v>
      </c>
      <c r="B326" s="573">
        <v>142555</v>
      </c>
      <c r="C326" s="1365">
        <v>141777</v>
      </c>
      <c r="D326" s="73">
        <v>778</v>
      </c>
      <c r="E326" s="573">
        <f>55789110691.55/1000000</f>
        <v>55789.110691550006</v>
      </c>
      <c r="F326" s="617">
        <v>474.67700000000002</v>
      </c>
      <c r="G326" s="2859">
        <v>227350</v>
      </c>
      <c r="H326" s="2860">
        <v>493941</v>
      </c>
      <c r="I326" s="2861">
        <f t="shared" si="4"/>
        <v>721291</v>
      </c>
      <c r="J326" s="2862">
        <v>62656.84210526316</v>
      </c>
      <c r="K326" s="2860">
        <v>52439.57894736842</v>
      </c>
      <c r="L326" s="2862">
        <v>53617</v>
      </c>
      <c r="M326" s="2863">
        <v>45715</v>
      </c>
      <c r="N326" s="2850">
        <v>25040</v>
      </c>
      <c r="O326" s="2851">
        <v>1337</v>
      </c>
      <c r="P326" s="2851">
        <v>121700</v>
      </c>
      <c r="Q326" s="2851">
        <v>6733</v>
      </c>
      <c r="R326" s="2851">
        <v>5033</v>
      </c>
      <c r="S326" s="2851">
        <v>27462</v>
      </c>
      <c r="T326" s="2851">
        <v>99546</v>
      </c>
      <c r="U326" s="2851">
        <v>36001</v>
      </c>
      <c r="V326" s="2851">
        <v>14745</v>
      </c>
      <c r="W326" s="2851">
        <v>12697</v>
      </c>
      <c r="X326" s="2851">
        <v>16483</v>
      </c>
      <c r="Y326" s="2851">
        <v>3573</v>
      </c>
      <c r="Z326" s="2851">
        <v>9620</v>
      </c>
      <c r="AA326" s="2851">
        <v>30408</v>
      </c>
      <c r="AB326" s="2851">
        <v>190966</v>
      </c>
      <c r="AC326" s="2851">
        <v>56496</v>
      </c>
      <c r="AD326" s="2851">
        <v>24642</v>
      </c>
      <c r="AE326" s="2851">
        <v>6517</v>
      </c>
      <c r="AF326" s="2851">
        <v>24237</v>
      </c>
      <c r="AG326" s="2852">
        <v>31</v>
      </c>
    </row>
    <row r="327" spans="1:33">
      <c r="A327" s="49">
        <f t="shared" si="3"/>
        <v>2020.06</v>
      </c>
      <c r="B327" s="573">
        <v>142783</v>
      </c>
      <c r="C327" s="1365">
        <v>141997</v>
      </c>
      <c r="D327" s="73">
        <v>786</v>
      </c>
      <c r="E327" s="573">
        <f>71542387292.31/1000000</f>
        <v>71542.387292309999</v>
      </c>
      <c r="F327" s="617">
        <v>474.00799999999998</v>
      </c>
      <c r="G327" s="2859">
        <v>223458</v>
      </c>
      <c r="H327" s="2860">
        <v>493444</v>
      </c>
      <c r="I327" s="2861">
        <f t="shared" si="4"/>
        <v>716902</v>
      </c>
      <c r="J327" s="2862">
        <v>86299.421052631573</v>
      </c>
      <c r="K327" s="2860">
        <v>78446.368421052626</v>
      </c>
      <c r="L327" s="2862">
        <v>75381</v>
      </c>
      <c r="M327" s="2863">
        <v>69510</v>
      </c>
      <c r="N327" s="2850">
        <v>24661</v>
      </c>
      <c r="O327" s="2851">
        <v>1336</v>
      </c>
      <c r="P327" s="2851">
        <v>121884</v>
      </c>
      <c r="Q327" s="2851">
        <v>6727</v>
      </c>
      <c r="R327" s="2851">
        <v>5020</v>
      </c>
      <c r="S327" s="2851">
        <v>27910</v>
      </c>
      <c r="T327" s="2851">
        <v>99190</v>
      </c>
      <c r="U327" s="2851">
        <v>36042</v>
      </c>
      <c r="V327" s="2851">
        <v>14467</v>
      </c>
      <c r="W327" s="2851">
        <v>12715</v>
      </c>
      <c r="X327" s="2851">
        <v>16452</v>
      </c>
      <c r="Y327" s="2851">
        <v>3573</v>
      </c>
      <c r="Z327" s="2851">
        <v>9637</v>
      </c>
      <c r="AA327" s="2851">
        <v>30426</v>
      </c>
      <c r="AB327" s="2851">
        <v>186570</v>
      </c>
      <c r="AC327" s="2851">
        <v>56834</v>
      </c>
      <c r="AD327" s="2851">
        <v>24572</v>
      </c>
      <c r="AE327" s="2851">
        <v>6477</v>
      </c>
      <c r="AF327" s="2851">
        <v>24147</v>
      </c>
      <c r="AG327" s="2852">
        <v>31</v>
      </c>
    </row>
    <row r="328" spans="1:33">
      <c r="A328" s="49">
        <f t="shared" si="3"/>
        <v>2020.07</v>
      </c>
      <c r="B328" s="573">
        <v>142746</v>
      </c>
      <c r="C328" s="1365">
        <v>141955</v>
      </c>
      <c r="D328" s="73">
        <v>791</v>
      </c>
      <c r="E328" s="74">
        <v>82907.100000000006</v>
      </c>
      <c r="F328" s="618">
        <v>474.21199999999999</v>
      </c>
      <c r="G328" s="2859">
        <v>223128</v>
      </c>
      <c r="H328" s="2860">
        <v>493316</v>
      </c>
      <c r="I328" s="2861">
        <f t="shared" si="4"/>
        <v>716444</v>
      </c>
      <c r="J328" s="2862">
        <v>63765.57894736842</v>
      </c>
      <c r="K328" s="2860">
        <v>55334.052631578947</v>
      </c>
      <c r="L328" s="2862">
        <v>53084</v>
      </c>
      <c r="M328" s="2863">
        <v>47823</v>
      </c>
      <c r="N328" s="2850">
        <v>24470</v>
      </c>
      <c r="O328" s="2851">
        <v>1339</v>
      </c>
      <c r="P328" s="2851">
        <v>122591</v>
      </c>
      <c r="Q328" s="2851">
        <v>6707</v>
      </c>
      <c r="R328" s="2851">
        <v>5021</v>
      </c>
      <c r="S328" s="2851">
        <v>28401</v>
      </c>
      <c r="T328" s="2851">
        <v>99067</v>
      </c>
      <c r="U328" s="2851">
        <v>35827</v>
      </c>
      <c r="V328" s="2851">
        <v>14182</v>
      </c>
      <c r="W328" s="2851">
        <v>12741</v>
      </c>
      <c r="X328" s="2851">
        <v>16463</v>
      </c>
      <c r="Y328" s="2851">
        <v>3558</v>
      </c>
      <c r="Z328" s="2851">
        <v>9606</v>
      </c>
      <c r="AA328" s="2851">
        <v>30762</v>
      </c>
      <c r="AB328" s="2851">
        <v>186758</v>
      </c>
      <c r="AC328" s="2851">
        <v>56009</v>
      </c>
      <c r="AD328" s="2851">
        <v>24586</v>
      </c>
      <c r="AE328" s="2851">
        <v>6405</v>
      </c>
      <c r="AF328" s="2851">
        <v>23967</v>
      </c>
      <c r="AG328" s="2852">
        <v>32</v>
      </c>
    </row>
    <row r="329" spans="1:33">
      <c r="A329" s="49">
        <f t="shared" si="3"/>
        <v>2020.08</v>
      </c>
      <c r="B329" s="573">
        <v>142703</v>
      </c>
      <c r="C329" s="1365">
        <v>141905</v>
      </c>
      <c r="D329" s="73">
        <v>798</v>
      </c>
      <c r="E329" s="74">
        <v>94304.960000000006</v>
      </c>
      <c r="F329" s="618">
        <v>475.34800000000001</v>
      </c>
      <c r="G329" s="2859">
        <v>223950</v>
      </c>
      <c r="H329" s="2860">
        <v>494092</v>
      </c>
      <c r="I329" s="2861">
        <f t="shared" si="4"/>
        <v>718042</v>
      </c>
      <c r="J329" s="2862">
        <v>64482.631578947367</v>
      </c>
      <c r="K329" s="2860">
        <v>56046.473684210527</v>
      </c>
      <c r="L329" s="2862">
        <v>54380</v>
      </c>
      <c r="M329" s="2863">
        <v>48321</v>
      </c>
      <c r="N329" s="2850">
        <v>24251</v>
      </c>
      <c r="O329" s="2851">
        <v>1352</v>
      </c>
      <c r="P329" s="2851">
        <v>123180</v>
      </c>
      <c r="Q329" s="2851">
        <v>6694</v>
      </c>
      <c r="R329" s="2851">
        <v>4914</v>
      </c>
      <c r="S329" s="2851">
        <v>28664</v>
      </c>
      <c r="T329" s="2851">
        <v>99337</v>
      </c>
      <c r="U329" s="2851">
        <v>35905</v>
      </c>
      <c r="V329" s="2851">
        <v>13937</v>
      </c>
      <c r="W329" s="2851">
        <v>12779</v>
      </c>
      <c r="X329" s="2851">
        <v>16419</v>
      </c>
      <c r="Y329" s="2851">
        <v>3567</v>
      </c>
      <c r="Z329" s="2851">
        <v>9629</v>
      </c>
      <c r="AA329" s="2851">
        <v>31392</v>
      </c>
      <c r="AB329" s="2851">
        <v>187344</v>
      </c>
      <c r="AC329" s="2851">
        <v>55901</v>
      </c>
      <c r="AD329" s="2851">
        <v>24656</v>
      </c>
      <c r="AE329" s="2851">
        <v>6369</v>
      </c>
      <c r="AF329" s="2851">
        <v>23938</v>
      </c>
      <c r="AG329" s="2852">
        <v>33</v>
      </c>
    </row>
    <row r="330" spans="1:33">
      <c r="A330" s="49">
        <f t="shared" si="3"/>
        <v>2020.09</v>
      </c>
      <c r="B330" s="573">
        <v>143177</v>
      </c>
      <c r="C330" s="1365">
        <v>142378</v>
      </c>
      <c r="D330" s="73">
        <v>799</v>
      </c>
      <c r="E330" s="74">
        <v>107085.24</v>
      </c>
      <c r="F330" s="618">
        <v>477.08199999999999</v>
      </c>
      <c r="G330" s="2859">
        <v>222738</v>
      </c>
      <c r="H330" s="2860">
        <v>496155</v>
      </c>
      <c r="I330" s="2861">
        <f t="shared" si="4"/>
        <v>718893</v>
      </c>
      <c r="J330" s="2862">
        <v>67048.105263157893</v>
      </c>
      <c r="K330" s="2860">
        <v>58406.789473684214</v>
      </c>
      <c r="L330" s="2862">
        <v>56693</v>
      </c>
      <c r="M330" s="2863">
        <v>49347</v>
      </c>
      <c r="N330" s="2850">
        <v>24259</v>
      </c>
      <c r="O330" s="2851">
        <v>1359</v>
      </c>
      <c r="P330" s="2851">
        <v>123976</v>
      </c>
      <c r="Q330" s="2851">
        <v>6690</v>
      </c>
      <c r="R330" s="2851">
        <v>4945</v>
      </c>
      <c r="S330" s="2851">
        <v>28883</v>
      </c>
      <c r="T330" s="2851">
        <v>99341</v>
      </c>
      <c r="U330" s="2851">
        <v>35924</v>
      </c>
      <c r="V330" s="2851">
        <v>13635</v>
      </c>
      <c r="W330" s="2851">
        <v>12772</v>
      </c>
      <c r="X330" s="2851">
        <v>16372</v>
      </c>
      <c r="Y330" s="2851">
        <v>3554</v>
      </c>
      <c r="Z330" s="2851">
        <v>9819</v>
      </c>
      <c r="AA330" s="2851">
        <v>32342</v>
      </c>
      <c r="AB330" s="2851">
        <v>185864</v>
      </c>
      <c r="AC330" s="2851">
        <v>55675</v>
      </c>
      <c r="AD330" s="2851">
        <v>24935</v>
      </c>
      <c r="AE330" s="2851">
        <v>6347</v>
      </c>
      <c r="AF330" s="2851">
        <v>23940</v>
      </c>
      <c r="AG330" s="2852">
        <v>33</v>
      </c>
    </row>
    <row r="331" spans="1:33">
      <c r="A331" s="49">
        <f t="shared" si="3"/>
        <v>2020.1</v>
      </c>
      <c r="B331" s="573">
        <v>142731</v>
      </c>
      <c r="C331" s="1365">
        <v>141970</v>
      </c>
      <c r="D331" s="73">
        <v>761</v>
      </c>
      <c r="E331" s="74">
        <v>119231.6</v>
      </c>
      <c r="F331" s="618">
        <v>479.09</v>
      </c>
      <c r="G331" s="2859">
        <v>223437</v>
      </c>
      <c r="H331" s="2860">
        <v>498198</v>
      </c>
      <c r="I331" s="2861">
        <f t="shared" si="4"/>
        <v>721635</v>
      </c>
      <c r="J331" s="2862">
        <v>72798.105263157893</v>
      </c>
      <c r="K331" s="2860">
        <v>62185.57894736842</v>
      </c>
      <c r="L331" s="2862">
        <v>62274</v>
      </c>
      <c r="M331" s="2863">
        <v>53586</v>
      </c>
      <c r="N331" s="2850">
        <v>24513</v>
      </c>
      <c r="O331" s="2851">
        <v>1393</v>
      </c>
      <c r="P331" s="2851">
        <v>124546</v>
      </c>
      <c r="Q331" s="2851">
        <v>6689</v>
      </c>
      <c r="R331" s="2851">
        <v>4960</v>
      </c>
      <c r="S331" s="2851">
        <v>29561</v>
      </c>
      <c r="T331" s="2851">
        <v>99545</v>
      </c>
      <c r="U331" s="2851">
        <v>35729</v>
      </c>
      <c r="V331" s="2851">
        <v>13437</v>
      </c>
      <c r="W331" s="2851">
        <v>12813</v>
      </c>
      <c r="X331" s="2851">
        <v>16474</v>
      </c>
      <c r="Y331" s="2851">
        <v>3549</v>
      </c>
      <c r="Z331" s="2851">
        <v>9749</v>
      </c>
      <c r="AA331" s="2851">
        <v>33390</v>
      </c>
      <c r="AB331" s="2851">
        <v>186513</v>
      </c>
      <c r="AC331" s="2851">
        <v>55521</v>
      </c>
      <c r="AD331" s="2851">
        <v>25077</v>
      </c>
      <c r="AE331" s="2851">
        <v>6371</v>
      </c>
      <c r="AF331" s="2851">
        <v>24101</v>
      </c>
      <c r="AG331" s="2852">
        <v>33</v>
      </c>
    </row>
    <row r="332" spans="1:33">
      <c r="A332" s="49">
        <f t="shared" si="3"/>
        <v>2020.11</v>
      </c>
      <c r="B332" s="573">
        <v>142660</v>
      </c>
      <c r="C332" s="1365">
        <v>141894</v>
      </c>
      <c r="D332" s="73">
        <v>766</v>
      </c>
      <c r="E332" s="74">
        <v>131537.17000000001</v>
      </c>
      <c r="F332" s="618">
        <v>481.44799999999998</v>
      </c>
      <c r="G332" s="2859">
        <v>224379</v>
      </c>
      <c r="H332" s="2860">
        <v>499928</v>
      </c>
      <c r="I332" s="2861">
        <f t="shared" si="4"/>
        <v>724307</v>
      </c>
      <c r="J332" s="2862">
        <v>70925.526315789481</v>
      </c>
      <c r="K332" s="2860">
        <v>62253.42105263158</v>
      </c>
      <c r="L332" s="2862">
        <v>60254</v>
      </c>
      <c r="M332" s="2863">
        <v>53517</v>
      </c>
      <c r="N332" s="2850">
        <v>25213</v>
      </c>
      <c r="O332" s="2851">
        <v>1388</v>
      </c>
      <c r="P332" s="2851">
        <v>125271</v>
      </c>
      <c r="Q332" s="2851">
        <v>6709</v>
      </c>
      <c r="R332" s="2851">
        <v>4920</v>
      </c>
      <c r="S332" s="2851">
        <v>30107</v>
      </c>
      <c r="T332" s="2851">
        <v>99722</v>
      </c>
      <c r="U332" s="2851">
        <v>35502</v>
      </c>
      <c r="V332" s="2851">
        <v>13516</v>
      </c>
      <c r="W332" s="2851">
        <v>12836</v>
      </c>
      <c r="X332" s="2851">
        <v>16506</v>
      </c>
      <c r="Y332" s="2851">
        <v>3510</v>
      </c>
      <c r="Z332" s="2851">
        <v>9862</v>
      </c>
      <c r="AA332" s="2851">
        <v>33521</v>
      </c>
      <c r="AB332" s="2851">
        <v>187380</v>
      </c>
      <c r="AC332" s="2851">
        <v>55455</v>
      </c>
      <c r="AD332" s="2851">
        <v>24995</v>
      </c>
      <c r="AE332" s="2851">
        <v>6379</v>
      </c>
      <c r="AF332" s="2851">
        <v>24122</v>
      </c>
      <c r="AG332" s="2852">
        <v>33</v>
      </c>
    </row>
    <row r="333" spans="1:33">
      <c r="A333" s="49">
        <f t="shared" si="3"/>
        <v>2020.12</v>
      </c>
      <c r="B333" s="573">
        <v>142623</v>
      </c>
      <c r="C333" s="1365">
        <v>141853</v>
      </c>
      <c r="D333" s="73">
        <v>770</v>
      </c>
      <c r="E333" s="74">
        <v>151113.57</v>
      </c>
      <c r="F333" s="618">
        <v>482.72199999999998</v>
      </c>
      <c r="G333" s="2859">
        <v>225359</v>
      </c>
      <c r="H333" s="2860">
        <v>500580</v>
      </c>
      <c r="I333" s="2861">
        <f t="shared" si="4"/>
        <v>725939</v>
      </c>
      <c r="J333" s="2862">
        <v>100338.47368421052</v>
      </c>
      <c r="K333" s="2860">
        <v>92440.526315789481</v>
      </c>
      <c r="L333" s="2862">
        <v>87681</v>
      </c>
      <c r="M333" s="2863">
        <v>79849</v>
      </c>
      <c r="N333" s="2850">
        <v>25604</v>
      </c>
      <c r="O333" s="2851">
        <v>1410</v>
      </c>
      <c r="P333" s="2851">
        <v>125207</v>
      </c>
      <c r="Q333" s="2851">
        <v>6711</v>
      </c>
      <c r="R333" s="2851">
        <v>4915</v>
      </c>
      <c r="S333" s="2851">
        <v>29648</v>
      </c>
      <c r="T333" s="2851">
        <v>100253</v>
      </c>
      <c r="U333" s="2851">
        <v>35694</v>
      </c>
      <c r="V333" s="2851">
        <v>13591</v>
      </c>
      <c r="W333" s="2851">
        <v>12890</v>
      </c>
      <c r="X333" s="2851">
        <v>16435</v>
      </c>
      <c r="Y333" s="2851">
        <v>3463</v>
      </c>
      <c r="Z333" s="2851">
        <v>9788</v>
      </c>
      <c r="AA333" s="2851">
        <v>33925</v>
      </c>
      <c r="AB333" s="2851">
        <v>188043</v>
      </c>
      <c r="AC333" s="2851">
        <v>55575</v>
      </c>
      <c r="AD333" s="2851">
        <v>24939</v>
      </c>
      <c r="AE333" s="2851">
        <v>6457</v>
      </c>
      <c r="AF333" s="2851">
        <v>24369</v>
      </c>
      <c r="AG333" s="2852">
        <v>33</v>
      </c>
    </row>
    <row r="334" spans="1:33">
      <c r="A334" s="49">
        <f t="shared" si="3"/>
        <v>2021.01</v>
      </c>
      <c r="B334" s="573">
        <v>142526</v>
      </c>
      <c r="C334" s="1365">
        <v>141756</v>
      </c>
      <c r="D334" s="73">
        <v>770</v>
      </c>
      <c r="E334" s="74">
        <v>14147.04</v>
      </c>
      <c r="F334" s="618">
        <v>483.04300000000001</v>
      </c>
      <c r="G334" s="2859">
        <v>225725</v>
      </c>
      <c r="H334" s="2860">
        <v>501951</v>
      </c>
      <c r="I334" s="2861">
        <f t="shared" si="4"/>
        <v>727676</v>
      </c>
      <c r="J334" s="2862">
        <v>81653.526315789481</v>
      </c>
      <c r="K334" s="2860">
        <v>70232.894736842107</v>
      </c>
      <c r="L334" s="2862">
        <v>68784</v>
      </c>
      <c r="M334" s="2863">
        <v>57380</v>
      </c>
      <c r="N334" s="2850">
        <v>24777</v>
      </c>
      <c r="O334" s="2851">
        <v>1428</v>
      </c>
      <c r="P334" s="2851">
        <v>125922</v>
      </c>
      <c r="Q334" s="2851">
        <v>6757</v>
      </c>
      <c r="R334" s="2851">
        <v>4919</v>
      </c>
      <c r="S334" s="2851">
        <v>30688</v>
      </c>
      <c r="T334" s="2851">
        <v>100080</v>
      </c>
      <c r="U334" s="2851">
        <v>35752</v>
      </c>
      <c r="V334" s="2851">
        <v>13530</v>
      </c>
      <c r="W334" s="2851">
        <v>13000</v>
      </c>
      <c r="X334" s="2851">
        <v>16429</v>
      </c>
      <c r="Y334" s="2851">
        <v>3455</v>
      </c>
      <c r="Z334" s="2851">
        <v>9802</v>
      </c>
      <c r="AA334" s="2851">
        <v>34481</v>
      </c>
      <c r="AB334" s="2851">
        <v>188857</v>
      </c>
      <c r="AC334" s="2851">
        <v>54615</v>
      </c>
      <c r="AD334" s="2851">
        <v>25091</v>
      </c>
      <c r="AE334" s="2851">
        <v>6495</v>
      </c>
      <c r="AF334" s="2851">
        <v>24382</v>
      </c>
      <c r="AG334" s="2852">
        <v>33</v>
      </c>
    </row>
    <row r="335" spans="1:33">
      <c r="A335" s="49">
        <f t="shared" si="3"/>
        <v>2021.02</v>
      </c>
      <c r="B335" s="573">
        <v>143009</v>
      </c>
      <c r="C335" s="1365">
        <v>142241</v>
      </c>
      <c r="D335" s="73">
        <v>768</v>
      </c>
      <c r="E335" s="74">
        <v>27547.3</v>
      </c>
      <c r="F335" s="618">
        <v>484.28</v>
      </c>
      <c r="G335" s="2859">
        <v>222139</v>
      </c>
      <c r="H335" s="2860">
        <v>503071</v>
      </c>
      <c r="I335" s="2861">
        <f t="shared" si="4"/>
        <v>725210</v>
      </c>
      <c r="J335" s="2862">
        <v>78735.15789473684</v>
      </c>
      <c r="K335" s="2860">
        <v>71112.789473684214</v>
      </c>
      <c r="L335" s="2862">
        <v>67004</v>
      </c>
      <c r="M335" s="2863">
        <v>60270</v>
      </c>
      <c r="N335" s="2850">
        <v>24619</v>
      </c>
      <c r="O335" s="2851">
        <v>1435</v>
      </c>
      <c r="P335" s="2851">
        <v>126609</v>
      </c>
      <c r="Q335" s="2851">
        <v>6770</v>
      </c>
      <c r="R335" s="2851">
        <v>4932</v>
      </c>
      <c r="S335" s="2851">
        <v>31330</v>
      </c>
      <c r="T335" s="2851">
        <v>100259</v>
      </c>
      <c r="U335" s="2851">
        <v>35658</v>
      </c>
      <c r="V335" s="2851">
        <v>13539</v>
      </c>
      <c r="W335" s="2851">
        <v>12988</v>
      </c>
      <c r="X335" s="2851">
        <v>16385</v>
      </c>
      <c r="Y335" s="2851">
        <v>3442</v>
      </c>
      <c r="Z335" s="2851">
        <v>9800</v>
      </c>
      <c r="AA335" s="2851">
        <v>34517</v>
      </c>
      <c r="AB335" s="2851">
        <v>185254</v>
      </c>
      <c r="AC335" s="2851">
        <v>54639</v>
      </c>
      <c r="AD335" s="2851">
        <v>25053</v>
      </c>
      <c r="AE335" s="2851">
        <v>6531</v>
      </c>
      <c r="AF335" s="2851">
        <v>24328</v>
      </c>
      <c r="AG335" s="2852">
        <v>33</v>
      </c>
    </row>
    <row r="336" spans="1:33">
      <c r="A336" s="49">
        <f t="shared" si="3"/>
        <v>2021.03</v>
      </c>
      <c r="B336" s="573">
        <v>143370</v>
      </c>
      <c r="C336" s="1365">
        <v>142596</v>
      </c>
      <c r="D336" s="73">
        <v>774</v>
      </c>
      <c r="E336" s="74">
        <v>43564.83</v>
      </c>
      <c r="F336" s="618">
        <v>488.69</v>
      </c>
      <c r="G336" s="2859">
        <v>225402</v>
      </c>
      <c r="H336" s="2860">
        <v>509426</v>
      </c>
      <c r="I336" s="2861">
        <f t="shared" si="4"/>
        <v>734828</v>
      </c>
      <c r="J336" s="2862">
        <v>88846.421052631573</v>
      </c>
      <c r="K336" s="2860">
        <v>73645.894736842107</v>
      </c>
      <c r="L336" s="2862">
        <v>76480</v>
      </c>
      <c r="M336" s="2863">
        <v>62848</v>
      </c>
      <c r="N336" s="2850">
        <v>25328</v>
      </c>
      <c r="O336" s="2851">
        <v>1431</v>
      </c>
      <c r="P336" s="2851">
        <v>127903</v>
      </c>
      <c r="Q336" s="2851">
        <v>6787</v>
      </c>
      <c r="R336" s="2851">
        <v>5083</v>
      </c>
      <c r="S336" s="2851">
        <v>32460</v>
      </c>
      <c r="T336" s="2851">
        <v>100977</v>
      </c>
      <c r="U336" s="2851">
        <v>35882</v>
      </c>
      <c r="V336" s="2851">
        <v>13327</v>
      </c>
      <c r="W336" s="2851">
        <v>13032</v>
      </c>
      <c r="X336" s="2851">
        <v>16389</v>
      </c>
      <c r="Y336" s="2851">
        <v>3409</v>
      </c>
      <c r="Z336" s="2851">
        <v>9815</v>
      </c>
      <c r="AA336" s="2851">
        <v>34672</v>
      </c>
      <c r="AB336" s="2851">
        <v>188462</v>
      </c>
      <c r="AC336" s="2851">
        <v>56629</v>
      </c>
      <c r="AD336" s="2851">
        <v>25135</v>
      </c>
      <c r="AE336" s="2851">
        <v>6334</v>
      </c>
      <c r="AF336" s="2851">
        <v>24383</v>
      </c>
      <c r="AG336" s="2852">
        <v>32</v>
      </c>
    </row>
    <row r="337" spans="1:33">
      <c r="A337" s="49">
        <f t="shared" si="3"/>
        <v>2021.04</v>
      </c>
      <c r="B337" s="573">
        <v>143236</v>
      </c>
      <c r="C337" s="1365">
        <v>142462</v>
      </c>
      <c r="D337" s="73">
        <v>774</v>
      </c>
      <c r="E337" s="74">
        <v>60185.26</v>
      </c>
      <c r="F337" s="618">
        <v>491.01900000000001</v>
      </c>
      <c r="G337" s="2859">
        <v>230902</v>
      </c>
      <c r="H337" s="2860">
        <v>512287</v>
      </c>
      <c r="I337" s="2861">
        <f t="shared" si="4"/>
        <v>743189</v>
      </c>
      <c r="J337" s="2862">
        <v>90164.210526315786</v>
      </c>
      <c r="K337" s="2860">
        <v>76852.15789473684</v>
      </c>
      <c r="L337" s="2862">
        <v>77925</v>
      </c>
      <c r="M337" s="2863">
        <v>64638</v>
      </c>
      <c r="N337" s="2850">
        <v>26057</v>
      </c>
      <c r="O337" s="2851">
        <v>1423</v>
      </c>
      <c r="P337" s="2851">
        <v>128208</v>
      </c>
      <c r="Q337" s="2851">
        <v>6789</v>
      </c>
      <c r="R337" s="2851">
        <v>5086</v>
      </c>
      <c r="S337" s="2851">
        <v>32399</v>
      </c>
      <c r="T337" s="2851">
        <v>101382</v>
      </c>
      <c r="U337" s="2851">
        <v>35834</v>
      </c>
      <c r="V337" s="2851">
        <v>12994</v>
      </c>
      <c r="W337" s="2851">
        <v>13107</v>
      </c>
      <c r="X337" s="2851">
        <v>16375</v>
      </c>
      <c r="Y337" s="2851">
        <v>3379</v>
      </c>
      <c r="Z337" s="2851">
        <v>9810</v>
      </c>
      <c r="AA337" s="2851">
        <v>34583</v>
      </c>
      <c r="AB337" s="2851">
        <v>194066</v>
      </c>
      <c r="AC337" s="2851">
        <v>58986</v>
      </c>
      <c r="AD337" s="2851">
        <v>25180</v>
      </c>
      <c r="AE337" s="2851">
        <v>6259</v>
      </c>
      <c r="AF337" s="2851">
        <v>24585</v>
      </c>
      <c r="AG337" s="2852">
        <v>32</v>
      </c>
    </row>
    <row r="338" spans="1:33">
      <c r="A338" s="49">
        <f t="shared" si="3"/>
        <v>2021.05</v>
      </c>
      <c r="B338" s="573">
        <v>143182</v>
      </c>
      <c r="C338" s="1365">
        <v>142396</v>
      </c>
      <c r="D338" s="73">
        <v>786</v>
      </c>
      <c r="E338" s="74">
        <v>77373.98</v>
      </c>
      <c r="F338" s="618">
        <v>490.113</v>
      </c>
      <c r="G338" s="2859">
        <v>234887</v>
      </c>
      <c r="H338" s="2860">
        <v>510639</v>
      </c>
      <c r="I338" s="2861">
        <f t="shared" si="4"/>
        <v>745526</v>
      </c>
      <c r="J338" s="2862">
        <v>88843.578947368427</v>
      </c>
      <c r="K338" s="2860">
        <v>77525.578947368427</v>
      </c>
      <c r="L338" s="2862">
        <v>77881</v>
      </c>
      <c r="M338" s="2863">
        <v>67703</v>
      </c>
      <c r="N338" s="2850">
        <v>26040</v>
      </c>
      <c r="O338" s="2851">
        <v>1429</v>
      </c>
      <c r="P338" s="2851">
        <v>127871</v>
      </c>
      <c r="Q338" s="2851">
        <v>6793</v>
      </c>
      <c r="R338" s="2851">
        <v>5089</v>
      </c>
      <c r="S338" s="2851">
        <v>32610</v>
      </c>
      <c r="T338" s="2851">
        <v>100591</v>
      </c>
      <c r="U338" s="2851">
        <v>35659</v>
      </c>
      <c r="V338" s="2851">
        <v>12555</v>
      </c>
      <c r="W338" s="2851">
        <v>13163</v>
      </c>
      <c r="X338" s="2851">
        <v>16356</v>
      </c>
      <c r="Y338" s="2851">
        <v>3384</v>
      </c>
      <c r="Z338" s="2851">
        <v>9844</v>
      </c>
      <c r="AA338" s="2851">
        <v>34235</v>
      </c>
      <c r="AB338" s="2851">
        <v>197796</v>
      </c>
      <c r="AC338" s="2851">
        <v>59468</v>
      </c>
      <c r="AD338" s="2851">
        <v>25130</v>
      </c>
      <c r="AE338" s="2851">
        <v>6146</v>
      </c>
      <c r="AF338" s="2851">
        <v>24587</v>
      </c>
      <c r="AG338" s="2852">
        <v>32</v>
      </c>
    </row>
    <row r="339" spans="1:33">
      <c r="A339" s="49">
        <f t="shared" si="3"/>
        <v>2021.06</v>
      </c>
      <c r="B339" s="573">
        <v>142685</v>
      </c>
      <c r="C339" s="1365">
        <v>141895</v>
      </c>
      <c r="D339" s="73">
        <v>790</v>
      </c>
      <c r="E339" s="74">
        <v>102731.34</v>
      </c>
      <c r="F339" s="618">
        <v>488.66199999999998</v>
      </c>
      <c r="G339" s="2859">
        <v>235711</v>
      </c>
      <c r="H339" s="2860">
        <v>508634</v>
      </c>
      <c r="I339" s="2861">
        <f t="shared" si="4"/>
        <v>744345</v>
      </c>
      <c r="J339" s="2862">
        <v>131387.94736842104</v>
      </c>
      <c r="K339" s="2860">
        <v>114197</v>
      </c>
      <c r="L339" s="2862">
        <v>116041</v>
      </c>
      <c r="M339" s="2863">
        <v>100201</v>
      </c>
      <c r="N339" s="2850">
        <v>25435</v>
      </c>
      <c r="O339" s="2851">
        <v>1432</v>
      </c>
      <c r="P339" s="2851">
        <v>127903</v>
      </c>
      <c r="Q339" s="2851">
        <v>6774</v>
      </c>
      <c r="R339" s="2851">
        <v>5081</v>
      </c>
      <c r="S339" s="2851">
        <v>33203</v>
      </c>
      <c r="T339" s="2851">
        <v>100328</v>
      </c>
      <c r="U339" s="2851">
        <v>36244</v>
      </c>
      <c r="V339" s="2851">
        <v>12286</v>
      </c>
      <c r="W339" s="2851">
        <v>13311</v>
      </c>
      <c r="X339" s="2851">
        <v>16409</v>
      </c>
      <c r="Y339" s="2851">
        <v>3363</v>
      </c>
      <c r="Z339" s="2851">
        <v>9685</v>
      </c>
      <c r="AA339" s="2851">
        <v>33750</v>
      </c>
      <c r="AB339" s="2851">
        <v>197556</v>
      </c>
      <c r="AC339" s="2851">
        <v>58867</v>
      </c>
      <c r="AD339" s="2851">
        <v>25078</v>
      </c>
      <c r="AE339" s="2851">
        <v>6088</v>
      </c>
      <c r="AF339" s="2851">
        <v>24385</v>
      </c>
      <c r="AG339" s="2852">
        <v>33</v>
      </c>
    </row>
    <row r="340" spans="1:33">
      <c r="A340" s="49">
        <f t="shared" si="3"/>
        <v>2021.07</v>
      </c>
      <c r="B340" s="573">
        <v>142776</v>
      </c>
      <c r="C340" s="1365">
        <v>141973</v>
      </c>
      <c r="D340" s="73">
        <v>803</v>
      </c>
      <c r="E340" s="74">
        <v>120833.25</v>
      </c>
      <c r="F340" s="618">
        <v>489.197</v>
      </c>
      <c r="G340" s="2859">
        <v>233245</v>
      </c>
      <c r="H340" s="2860">
        <v>509536</v>
      </c>
      <c r="I340" s="2861">
        <f t="shared" si="4"/>
        <v>742781</v>
      </c>
      <c r="J340" s="2862">
        <v>96856.894736842107</v>
      </c>
      <c r="K340" s="2860">
        <v>83019.789473684214</v>
      </c>
      <c r="L340" s="2862">
        <v>83647</v>
      </c>
      <c r="M340" s="2863">
        <v>70229</v>
      </c>
      <c r="N340" s="2850">
        <v>25221</v>
      </c>
      <c r="O340" s="2851">
        <v>1432</v>
      </c>
      <c r="P340" s="2851">
        <v>128334</v>
      </c>
      <c r="Q340" s="2851">
        <v>6836</v>
      </c>
      <c r="R340" s="2851">
        <v>5032</v>
      </c>
      <c r="S340" s="2851">
        <v>33732</v>
      </c>
      <c r="T340" s="2851">
        <v>100173</v>
      </c>
      <c r="U340" s="2851">
        <v>36286</v>
      </c>
      <c r="V340" s="2851">
        <v>12495</v>
      </c>
      <c r="W340" s="2851">
        <v>13275</v>
      </c>
      <c r="X340" s="2851">
        <v>16329</v>
      </c>
      <c r="Y340" s="2851">
        <v>3346</v>
      </c>
      <c r="Z340" s="2851">
        <v>9835</v>
      </c>
      <c r="AA340" s="2851">
        <v>33531</v>
      </c>
      <c r="AB340" s="2851">
        <v>195374</v>
      </c>
      <c r="AC340" s="2851">
        <v>58776</v>
      </c>
      <c r="AD340" s="2851">
        <v>24967</v>
      </c>
      <c r="AE340" s="2851">
        <v>6064</v>
      </c>
      <c r="AF340" s="2851">
        <v>24335</v>
      </c>
      <c r="AG340" s="2852">
        <v>33</v>
      </c>
    </row>
    <row r="341" spans="1:33">
      <c r="A341" s="49">
        <f t="shared" si="3"/>
        <v>2021.08</v>
      </c>
      <c r="B341" s="573">
        <v>142905</v>
      </c>
      <c r="C341" s="1365">
        <v>142104</v>
      </c>
      <c r="D341" s="73">
        <v>801</v>
      </c>
      <c r="E341" s="74">
        <v>139610.89000000001</v>
      </c>
      <c r="F341" s="618">
        <v>491.62900000000002</v>
      </c>
      <c r="G341" s="2859">
        <v>236357</v>
      </c>
      <c r="H341" s="2860">
        <v>513460</v>
      </c>
      <c r="I341" s="2861">
        <f t="shared" si="4"/>
        <v>749817</v>
      </c>
      <c r="J341" s="2862">
        <v>98586.631578947374</v>
      </c>
      <c r="K341" s="2860">
        <v>87315</v>
      </c>
      <c r="L341" s="2862">
        <v>86220</v>
      </c>
      <c r="M341" s="2863">
        <v>74092</v>
      </c>
      <c r="N341" s="2850">
        <v>25038</v>
      </c>
      <c r="O341" s="2851">
        <v>1425</v>
      </c>
      <c r="P341" s="2851">
        <v>128852</v>
      </c>
      <c r="Q341" s="2851">
        <v>6858</v>
      </c>
      <c r="R341" s="2851">
        <v>5026</v>
      </c>
      <c r="S341" s="2851">
        <v>34070</v>
      </c>
      <c r="T341" s="2851">
        <v>100454</v>
      </c>
      <c r="U341" s="2851">
        <v>36685</v>
      </c>
      <c r="V341" s="2851">
        <v>12762</v>
      </c>
      <c r="W341" s="2851">
        <v>13397</v>
      </c>
      <c r="X341" s="2851">
        <v>16349</v>
      </c>
      <c r="Y341" s="2851">
        <v>3344</v>
      </c>
      <c r="Z341" s="2851">
        <v>9875</v>
      </c>
      <c r="AA341" s="2851">
        <v>33695</v>
      </c>
      <c r="AB341" s="2851">
        <v>197732</v>
      </c>
      <c r="AC341" s="2851">
        <v>61035</v>
      </c>
      <c r="AD341" s="2851">
        <v>24947</v>
      </c>
      <c r="AE341" s="2851">
        <v>6039</v>
      </c>
      <c r="AF341" s="2851">
        <v>24544</v>
      </c>
      <c r="AG341" s="2852">
        <v>33</v>
      </c>
    </row>
    <row r="342" spans="1:33">
      <c r="A342" s="49">
        <f t="shared" si="3"/>
        <v>2021.09</v>
      </c>
      <c r="B342" s="573">
        <v>142951</v>
      </c>
      <c r="C342" s="1365">
        <v>142147</v>
      </c>
      <c r="D342" s="73">
        <v>804</v>
      </c>
      <c r="E342" s="74">
        <v>159416.76999999999</v>
      </c>
      <c r="F342" s="618">
        <v>493.89</v>
      </c>
      <c r="G342" s="2859">
        <v>241431</v>
      </c>
      <c r="H342" s="2860">
        <v>516504</v>
      </c>
      <c r="I342" s="2861">
        <f t="shared" si="4"/>
        <v>757935</v>
      </c>
      <c r="J342" s="2862">
        <v>101939.63157894737</v>
      </c>
      <c r="K342" s="2860">
        <v>89884.15789473684</v>
      </c>
      <c r="L342" s="2862">
        <v>88020</v>
      </c>
      <c r="M342" s="2863">
        <v>75350</v>
      </c>
      <c r="N342" s="2850">
        <v>25073</v>
      </c>
      <c r="O342" s="2851">
        <v>1427</v>
      </c>
      <c r="P342" s="2851">
        <v>129628</v>
      </c>
      <c r="Q342" s="2851">
        <v>6885</v>
      </c>
      <c r="R342" s="2851">
        <v>5035</v>
      </c>
      <c r="S342" s="2851">
        <v>34664</v>
      </c>
      <c r="T342" s="2851">
        <v>100946</v>
      </c>
      <c r="U342" s="2851">
        <v>38784</v>
      </c>
      <c r="V342" s="2851">
        <v>13222</v>
      </c>
      <c r="W342" s="2851">
        <v>13340</v>
      </c>
      <c r="X342" s="2851">
        <v>16236</v>
      </c>
      <c r="Y342" s="2851">
        <v>3349</v>
      </c>
      <c r="Z342" s="2851">
        <v>9984</v>
      </c>
      <c r="AA342" s="2851">
        <v>33329</v>
      </c>
      <c r="AB342" s="2851">
        <v>200672</v>
      </c>
      <c r="AC342" s="2851">
        <v>62003</v>
      </c>
      <c r="AD342" s="2851">
        <v>24882</v>
      </c>
      <c r="AE342" s="2851">
        <v>6035</v>
      </c>
      <c r="AF342" s="2851">
        <v>24595</v>
      </c>
      <c r="AG342" s="2852">
        <v>32</v>
      </c>
    </row>
    <row r="343" spans="1:33">
      <c r="A343" s="49">
        <f t="shared" si="3"/>
        <v>2021.1</v>
      </c>
      <c r="B343" s="573">
        <v>143012</v>
      </c>
      <c r="C343" s="1365">
        <v>142208</v>
      </c>
      <c r="D343" s="73">
        <v>804</v>
      </c>
      <c r="E343" s="74">
        <v>180376.72</v>
      </c>
      <c r="F343" s="618">
        <v>496.28199999999998</v>
      </c>
      <c r="G343" s="2859">
        <v>239299</v>
      </c>
      <c r="H343" s="2860">
        <v>519988</v>
      </c>
      <c r="I343" s="2861">
        <f t="shared" si="4"/>
        <v>759287</v>
      </c>
      <c r="J343" s="2862">
        <v>107577.84210526316</v>
      </c>
      <c r="K343" s="2860">
        <v>92956.631578947374</v>
      </c>
      <c r="L343" s="2862">
        <v>91147</v>
      </c>
      <c r="M343" s="2863">
        <v>77359</v>
      </c>
      <c r="N343" s="2850">
        <v>25303</v>
      </c>
      <c r="O343" s="2851">
        <v>1428</v>
      </c>
      <c r="P343" s="2851">
        <v>130013</v>
      </c>
      <c r="Q343" s="2851">
        <v>6885</v>
      </c>
      <c r="R343" s="2851">
        <v>5093</v>
      </c>
      <c r="S343" s="2851">
        <v>35175</v>
      </c>
      <c r="T343" s="2851">
        <v>101434</v>
      </c>
      <c r="U343" s="2851">
        <v>37029</v>
      </c>
      <c r="V343" s="2851">
        <v>13445</v>
      </c>
      <c r="W343" s="2851">
        <v>13333</v>
      </c>
      <c r="X343" s="2851">
        <v>16196</v>
      </c>
      <c r="Y343" s="2851">
        <v>3333</v>
      </c>
      <c r="Z343" s="2851">
        <v>10070</v>
      </c>
      <c r="AA343" s="2851">
        <v>33761</v>
      </c>
      <c r="AB343" s="2851">
        <v>200501</v>
      </c>
      <c r="AC343" s="2851">
        <v>62197</v>
      </c>
      <c r="AD343" s="2851">
        <v>24833</v>
      </c>
      <c r="AE343" s="2851">
        <v>6150</v>
      </c>
      <c r="AF343" s="2851">
        <v>24743</v>
      </c>
      <c r="AG343" s="2852">
        <v>32</v>
      </c>
    </row>
    <row r="344" spans="1:33">
      <c r="A344" s="49">
        <f t="shared" si="3"/>
        <v>2021.11</v>
      </c>
      <c r="B344" s="573">
        <v>139671</v>
      </c>
      <c r="C344" s="1365">
        <v>138865</v>
      </c>
      <c r="D344" s="73">
        <v>806</v>
      </c>
      <c r="E344" s="2508">
        <v>202362.44</v>
      </c>
      <c r="F344" s="618">
        <v>500.39499999999998</v>
      </c>
      <c r="G344" s="2859">
        <v>242502</v>
      </c>
      <c r="H344" s="2860">
        <v>524400</v>
      </c>
      <c r="I344" s="2861">
        <f t="shared" si="4"/>
        <v>766902</v>
      </c>
      <c r="J344" s="2862">
        <v>112358.52631578948</v>
      </c>
      <c r="K344" s="2860">
        <v>96356.052631578947</v>
      </c>
      <c r="L344" s="2862">
        <v>96845</v>
      </c>
      <c r="M344" s="2863">
        <v>81641</v>
      </c>
      <c r="N344" s="2850">
        <v>26146</v>
      </c>
      <c r="O344" s="2851">
        <v>1426</v>
      </c>
      <c r="P344" s="2851">
        <v>131258</v>
      </c>
      <c r="Q344" s="2851">
        <v>6887</v>
      </c>
      <c r="R344" s="2851">
        <v>5107</v>
      </c>
      <c r="S344" s="2851">
        <v>36043</v>
      </c>
      <c r="T344" s="2851">
        <v>102313</v>
      </c>
      <c r="U344" s="2851">
        <v>38991</v>
      </c>
      <c r="V344" s="2851">
        <v>13527</v>
      </c>
      <c r="W344" s="2851">
        <v>13435</v>
      </c>
      <c r="X344" s="2851">
        <v>16286</v>
      </c>
      <c r="Y344" s="2851">
        <v>3354</v>
      </c>
      <c r="Z344" s="2851">
        <v>10096</v>
      </c>
      <c r="AA344" s="2851">
        <v>34092</v>
      </c>
      <c r="AB344" s="2851">
        <v>201535</v>
      </c>
      <c r="AC344" s="2851">
        <v>62357</v>
      </c>
      <c r="AD344" s="2851">
        <v>24862</v>
      </c>
      <c r="AE344" s="2851">
        <v>6160</v>
      </c>
      <c r="AF344" s="2851">
        <v>24795</v>
      </c>
      <c r="AG344" s="2852">
        <v>33</v>
      </c>
    </row>
    <row r="345" spans="1:33">
      <c r="A345" s="49">
        <f t="shared" si="3"/>
        <v>2021.12</v>
      </c>
      <c r="B345" s="573">
        <v>142984</v>
      </c>
      <c r="C345" s="1365">
        <v>142161</v>
      </c>
      <c r="D345" s="73">
        <v>823</v>
      </c>
      <c r="E345" s="2508">
        <v>233546.59</v>
      </c>
      <c r="F345" s="618">
        <v>502.834</v>
      </c>
      <c r="G345" s="2859">
        <v>241721</v>
      </c>
      <c r="H345" s="2860">
        <v>525502</v>
      </c>
      <c r="I345" s="2861">
        <f t="shared" si="4"/>
        <v>767223</v>
      </c>
      <c r="J345" s="2862">
        <v>158865.15789473685</v>
      </c>
      <c r="K345" s="2860">
        <v>143287.42105263157</v>
      </c>
      <c r="L345" s="2862">
        <v>139002</v>
      </c>
      <c r="M345" s="2863">
        <v>120608</v>
      </c>
      <c r="N345" s="2850">
        <v>26528</v>
      </c>
      <c r="O345" s="2851">
        <v>1439</v>
      </c>
      <c r="P345" s="2851">
        <v>131682</v>
      </c>
      <c r="Q345" s="2851">
        <v>6900</v>
      </c>
      <c r="R345" s="2851">
        <v>5128</v>
      </c>
      <c r="S345" s="2851">
        <v>35155</v>
      </c>
      <c r="T345" s="2851">
        <v>103452</v>
      </c>
      <c r="U345" s="2851">
        <v>36101</v>
      </c>
      <c r="V345" s="2851">
        <v>13836</v>
      </c>
      <c r="W345" s="2851">
        <v>13506</v>
      </c>
      <c r="X345" s="2851">
        <v>16269</v>
      </c>
      <c r="Y345" s="2851">
        <v>3354</v>
      </c>
      <c r="Z345" s="2851">
        <v>10028</v>
      </c>
      <c r="AA345" s="2851">
        <v>35010</v>
      </c>
      <c r="AB345" s="2851">
        <v>203463</v>
      </c>
      <c r="AC345" s="2851">
        <v>61133</v>
      </c>
      <c r="AD345" s="2851">
        <v>25010</v>
      </c>
      <c r="AE345" s="2851">
        <v>6531</v>
      </c>
      <c r="AF345" s="2851">
        <v>24866</v>
      </c>
      <c r="AG345" s="2852">
        <v>33</v>
      </c>
    </row>
    <row r="346" spans="1:33">
      <c r="A346" s="49">
        <f t="shared" si="3"/>
        <v>2022.01</v>
      </c>
      <c r="B346" s="573">
        <v>142656</v>
      </c>
      <c r="C346" s="1365">
        <v>141822</v>
      </c>
      <c r="D346" s="73">
        <v>834</v>
      </c>
      <c r="E346" s="74">
        <v>22083.21</v>
      </c>
      <c r="F346" s="618">
        <v>501.44299999999998</v>
      </c>
      <c r="G346" s="2859">
        <v>237267</v>
      </c>
      <c r="H346" s="2860">
        <v>523938</v>
      </c>
      <c r="I346" s="2861">
        <f t="shared" si="4"/>
        <v>761205</v>
      </c>
      <c r="J346" s="2862">
        <v>120021.31578947368</v>
      </c>
      <c r="K346" s="2860">
        <v>108217.26315789473</v>
      </c>
      <c r="L346" s="2862">
        <v>100783</v>
      </c>
      <c r="M346" s="2863">
        <v>88825</v>
      </c>
      <c r="N346" s="2850">
        <v>25588</v>
      </c>
      <c r="O346" s="2851">
        <v>1478</v>
      </c>
      <c r="P346" s="2851">
        <v>132198</v>
      </c>
      <c r="Q346" s="2851">
        <v>6898</v>
      </c>
      <c r="R346" s="2851">
        <v>5169</v>
      </c>
      <c r="S346" s="2851">
        <v>35893</v>
      </c>
      <c r="T346" s="2851">
        <v>102785</v>
      </c>
      <c r="U346" s="2851">
        <v>36082</v>
      </c>
      <c r="V346" s="2851">
        <v>13923</v>
      </c>
      <c r="W346" s="2851">
        <v>13977</v>
      </c>
      <c r="X346" s="2851">
        <v>16269</v>
      </c>
      <c r="Y346" s="2851">
        <v>3281</v>
      </c>
      <c r="Z346" s="2851">
        <v>10185</v>
      </c>
      <c r="AA346" s="2851">
        <v>34928</v>
      </c>
      <c r="AB346" s="2851">
        <v>199468</v>
      </c>
      <c r="AC346" s="2851">
        <v>57288</v>
      </c>
      <c r="AD346" s="2851">
        <v>25124</v>
      </c>
      <c r="AE346" s="2851">
        <v>6317</v>
      </c>
      <c r="AF346" s="2851">
        <v>24506</v>
      </c>
      <c r="AG346" s="2852">
        <v>33</v>
      </c>
    </row>
    <row r="347" spans="1:33">
      <c r="A347" s="49">
        <f t="shared" si="3"/>
        <v>2022.02</v>
      </c>
      <c r="B347" s="573">
        <v>142712</v>
      </c>
      <c r="C347" s="1365">
        <v>141882</v>
      </c>
      <c r="D347" s="73">
        <v>830</v>
      </c>
      <c r="E347" s="74">
        <v>43851.92</v>
      </c>
      <c r="F347" s="618">
        <v>501.92899999999997</v>
      </c>
      <c r="G347" s="2859">
        <v>227362</v>
      </c>
      <c r="H347" s="2860">
        <v>524993</v>
      </c>
      <c r="I347" s="2861">
        <f t="shared" si="4"/>
        <v>752355</v>
      </c>
      <c r="J347" s="2862">
        <v>123334.21052631579</v>
      </c>
      <c r="K347" s="2860">
        <v>107375.94736842105</v>
      </c>
      <c r="L347" s="2862">
        <v>103640</v>
      </c>
      <c r="M347" s="2863">
        <v>90105</v>
      </c>
      <c r="N347" s="2850">
        <v>25460</v>
      </c>
      <c r="O347" s="2851">
        <v>1474</v>
      </c>
      <c r="P347" s="2851">
        <v>132635</v>
      </c>
      <c r="Q347" s="2851">
        <v>6911</v>
      </c>
      <c r="R347" s="2851">
        <v>5171</v>
      </c>
      <c r="S347" s="2851">
        <v>36126</v>
      </c>
      <c r="T347" s="2851">
        <v>102213</v>
      </c>
      <c r="U347" s="2851">
        <v>36323</v>
      </c>
      <c r="V347" s="2851">
        <v>14116</v>
      </c>
      <c r="W347" s="2851">
        <v>14000</v>
      </c>
      <c r="X347" s="2851">
        <v>16284</v>
      </c>
      <c r="Y347" s="2851">
        <v>3283</v>
      </c>
      <c r="Z347" s="2851">
        <v>10184</v>
      </c>
      <c r="AA347" s="2851">
        <v>34817</v>
      </c>
      <c r="AB347" s="2851">
        <v>189526</v>
      </c>
      <c r="AC347" s="2851">
        <v>57024</v>
      </c>
      <c r="AD347" s="2851">
        <v>25087</v>
      </c>
      <c r="AE347" s="2851">
        <v>6647</v>
      </c>
      <c r="AF347" s="2851">
        <v>24434</v>
      </c>
      <c r="AG347" s="2852">
        <v>32</v>
      </c>
    </row>
    <row r="348" spans="1:33">
      <c r="A348" s="49">
        <f t="shared" si="3"/>
        <v>2022.03</v>
      </c>
      <c r="B348" s="573">
        <v>142574</v>
      </c>
      <c r="C348" s="1365">
        <v>141752</v>
      </c>
      <c r="D348" s="73">
        <v>822</v>
      </c>
      <c r="E348" s="74">
        <v>71198.23</v>
      </c>
      <c r="F348" s="618">
        <v>506.54599999999999</v>
      </c>
      <c r="G348" s="2859">
        <v>231385</v>
      </c>
      <c r="H348" s="2860">
        <v>532182</v>
      </c>
      <c r="I348" s="2861">
        <f t="shared" si="4"/>
        <v>763567</v>
      </c>
      <c r="J348" s="2862">
        <v>145749.42105263157</v>
      </c>
      <c r="K348" s="2860">
        <v>116847.26315789473</v>
      </c>
      <c r="L348" s="2862">
        <v>126216.5</v>
      </c>
      <c r="M348" s="2863">
        <v>97189</v>
      </c>
      <c r="N348" s="2850">
        <v>26157</v>
      </c>
      <c r="O348" s="2851">
        <v>1466</v>
      </c>
      <c r="P348" s="2851">
        <v>133444</v>
      </c>
      <c r="Q348" s="2851">
        <v>6916</v>
      </c>
      <c r="R348" s="2851">
        <v>5183</v>
      </c>
      <c r="S348" s="2851">
        <v>36464</v>
      </c>
      <c r="T348" s="2851">
        <v>103422</v>
      </c>
      <c r="U348" s="2851">
        <v>36290</v>
      </c>
      <c r="V348" s="2851">
        <v>14454</v>
      </c>
      <c r="W348" s="2851">
        <v>13973</v>
      </c>
      <c r="X348" s="2851">
        <v>16259</v>
      </c>
      <c r="Y348" s="2851">
        <v>3324</v>
      </c>
      <c r="Z348" s="2851">
        <v>10282</v>
      </c>
      <c r="AA348" s="2851">
        <v>35323</v>
      </c>
      <c r="AB348" s="2851">
        <v>193611</v>
      </c>
      <c r="AC348" s="2851">
        <v>60070</v>
      </c>
      <c r="AD348" s="2851">
        <v>25154</v>
      </c>
      <c r="AE348" s="2851">
        <v>6419</v>
      </c>
      <c r="AF348" s="2851">
        <v>24940</v>
      </c>
      <c r="AG348" s="2852">
        <v>32</v>
      </c>
    </row>
    <row r="349" spans="1:33">
      <c r="A349" s="49">
        <f t="shared" si="3"/>
        <v>2022.04</v>
      </c>
      <c r="B349" s="573">
        <v>142426</v>
      </c>
      <c r="C349" s="1365">
        <v>141605</v>
      </c>
      <c r="D349" s="73">
        <v>821</v>
      </c>
      <c r="E349" s="74">
        <v>100430.63</v>
      </c>
      <c r="F349" s="618">
        <v>508.14699999999999</v>
      </c>
      <c r="G349" s="2859">
        <v>238604</v>
      </c>
      <c r="H349" s="2860">
        <v>533969</v>
      </c>
      <c r="I349" s="2861">
        <f t="shared" si="4"/>
        <v>772573</v>
      </c>
      <c r="J349" s="2862">
        <v>145218.57894736843</v>
      </c>
      <c r="K349" s="2860">
        <v>121532.05263157895</v>
      </c>
      <c r="L349" s="2862">
        <v>125942</v>
      </c>
      <c r="M349" s="2863">
        <v>101572</v>
      </c>
      <c r="N349" s="2850">
        <v>26600</v>
      </c>
      <c r="O349" s="2851">
        <v>1434</v>
      </c>
      <c r="P349" s="2851">
        <v>133550</v>
      </c>
      <c r="Q349" s="2851">
        <v>6935</v>
      </c>
      <c r="R349" s="2851">
        <v>5201</v>
      </c>
      <c r="S349" s="2851">
        <v>36632</v>
      </c>
      <c r="T349" s="2851">
        <v>103565</v>
      </c>
      <c r="U349" s="2851">
        <v>36311</v>
      </c>
      <c r="V349" s="2851">
        <v>14605</v>
      </c>
      <c r="W349" s="2851">
        <v>13921</v>
      </c>
      <c r="X349" s="2851">
        <v>16226</v>
      </c>
      <c r="Y349" s="2851">
        <v>3308</v>
      </c>
      <c r="Z349" s="2851">
        <v>10258</v>
      </c>
      <c r="AA349" s="2851">
        <v>34662</v>
      </c>
      <c r="AB349" s="2851">
        <v>201146</v>
      </c>
      <c r="AC349" s="2851">
        <v>62428</v>
      </c>
      <c r="AD349" s="2851">
        <v>24899</v>
      </c>
      <c r="AE349" s="2851">
        <v>6330</v>
      </c>
      <c r="AF349" s="2851">
        <v>25135</v>
      </c>
      <c r="AG349" s="2852">
        <v>31</v>
      </c>
    </row>
    <row r="350" spans="1:33">
      <c r="A350" s="49">
        <f t="shared" si="3"/>
        <v>2022.05</v>
      </c>
      <c r="B350" s="573">
        <v>142554</v>
      </c>
      <c r="C350" s="1365">
        <v>141733</v>
      </c>
      <c r="D350" s="73">
        <v>821</v>
      </c>
      <c r="E350" s="74">
        <v>131214.42000000001</v>
      </c>
      <c r="F350" s="618">
        <v>508.91699999999997</v>
      </c>
      <c r="G350" s="2859">
        <v>241666</v>
      </c>
      <c r="H350" s="2860">
        <v>535793</v>
      </c>
      <c r="I350" s="2861">
        <f t="shared" si="4"/>
        <v>777459</v>
      </c>
      <c r="J350" s="2862">
        <v>155877.89473684211</v>
      </c>
      <c r="K350" s="2860">
        <v>127066.36842105263</v>
      </c>
      <c r="L350" s="2862">
        <v>133947</v>
      </c>
      <c r="M350" s="2863">
        <v>109124</v>
      </c>
      <c r="N350" s="2850">
        <v>26564</v>
      </c>
      <c r="O350" s="2851">
        <v>1420</v>
      </c>
      <c r="P350" s="2851">
        <v>133877</v>
      </c>
      <c r="Q350" s="2851">
        <v>6947</v>
      </c>
      <c r="R350" s="2851">
        <v>5229</v>
      </c>
      <c r="S350" s="2851">
        <v>36814</v>
      </c>
      <c r="T350" s="2851">
        <v>103426</v>
      </c>
      <c r="U350" s="2851">
        <v>36119</v>
      </c>
      <c r="V350" s="2851">
        <v>14668</v>
      </c>
      <c r="W350" s="2851">
        <v>13889</v>
      </c>
      <c r="X350" s="2851">
        <v>16226</v>
      </c>
      <c r="Y350" s="2851">
        <v>3326</v>
      </c>
      <c r="Z350" s="2851">
        <v>10365</v>
      </c>
      <c r="AA350" s="2851">
        <v>34034</v>
      </c>
      <c r="AB350" s="2851">
        <v>204066</v>
      </c>
      <c r="AC350" s="2851">
        <v>63633</v>
      </c>
      <c r="AD350" s="2851">
        <v>24824</v>
      </c>
      <c r="AE350" s="2851">
        <v>6379</v>
      </c>
      <c r="AF350" s="2851">
        <v>25324</v>
      </c>
      <c r="AG350" s="2852">
        <v>32</v>
      </c>
    </row>
    <row r="351" spans="1:33">
      <c r="A351" s="49">
        <f t="shared" si="3"/>
        <v>2022.06</v>
      </c>
      <c r="B351" s="573">
        <v>142578</v>
      </c>
      <c r="C351" s="1365">
        <v>141735</v>
      </c>
      <c r="D351" s="73">
        <v>843</v>
      </c>
      <c r="E351" s="74">
        <v>174355.21</v>
      </c>
      <c r="F351" s="618">
        <v>509.49</v>
      </c>
      <c r="G351" s="2859">
        <v>242547</v>
      </c>
      <c r="H351" s="2860">
        <v>536753</v>
      </c>
      <c r="I351" s="2861">
        <f t="shared" si="4"/>
        <v>779300</v>
      </c>
      <c r="J351" s="2862">
        <v>215056</v>
      </c>
      <c r="K351" s="2860">
        <v>185967</v>
      </c>
      <c r="L351" s="2862">
        <v>188420</v>
      </c>
      <c r="M351" s="2863">
        <v>160332</v>
      </c>
      <c r="N351" s="2850">
        <v>26112</v>
      </c>
      <c r="O351" s="2851">
        <v>1418</v>
      </c>
      <c r="P351" s="2851">
        <v>133986</v>
      </c>
      <c r="Q351" s="2851">
        <v>6942</v>
      </c>
      <c r="R351" s="2851">
        <v>5251</v>
      </c>
      <c r="S351" s="2851">
        <v>36808</v>
      </c>
      <c r="T351" s="2851">
        <v>103660</v>
      </c>
      <c r="U351" s="2851">
        <v>36301</v>
      </c>
      <c r="V351" s="2851">
        <v>14595</v>
      </c>
      <c r="W351" s="2851">
        <v>13569</v>
      </c>
      <c r="X351" s="2851">
        <v>16292</v>
      </c>
      <c r="Y351" s="2851">
        <v>3370</v>
      </c>
      <c r="Z351" s="2851">
        <v>10406</v>
      </c>
      <c r="AA351" s="2851">
        <v>33916</v>
      </c>
      <c r="AB351" s="2851">
        <v>204468</v>
      </c>
      <c r="AC351" s="2851">
        <v>64972</v>
      </c>
      <c r="AD351" s="2851">
        <v>24979</v>
      </c>
      <c r="AE351" s="2851">
        <v>6399</v>
      </c>
      <c r="AF351" s="2851">
        <v>25291</v>
      </c>
      <c r="AG351" s="2852">
        <v>32</v>
      </c>
    </row>
    <row r="352" spans="1:33">
      <c r="A352" s="49">
        <f t="shared" si="3"/>
        <v>2022.07</v>
      </c>
      <c r="B352" s="573">
        <v>142585</v>
      </c>
      <c r="C352" s="1365">
        <v>141734</v>
      </c>
      <c r="D352" s="73">
        <v>851</v>
      </c>
      <c r="E352" s="74">
        <v>205598.86</v>
      </c>
      <c r="F352" s="618">
        <v>511.17899999999997</v>
      </c>
      <c r="G352" s="2859">
        <v>242211</v>
      </c>
      <c r="H352" s="2860">
        <v>537471</v>
      </c>
      <c r="I352" s="2861">
        <f t="shared" si="4"/>
        <v>779682</v>
      </c>
      <c r="J352" s="2862">
        <v>161520.42105263157</v>
      </c>
      <c r="K352" s="2860">
        <v>138129.05263157896</v>
      </c>
      <c r="L352" s="2862">
        <v>135319</v>
      </c>
      <c r="M352" s="2863">
        <v>116025</v>
      </c>
      <c r="N352" s="2850">
        <v>25709</v>
      </c>
      <c r="O352" s="2851">
        <v>1418</v>
      </c>
      <c r="P352" s="2851">
        <v>134881</v>
      </c>
      <c r="Q352" s="2851">
        <v>6960</v>
      </c>
      <c r="R352" s="2851">
        <v>5251</v>
      </c>
      <c r="S352" s="2851">
        <v>37254</v>
      </c>
      <c r="T352" s="2851">
        <v>104657</v>
      </c>
      <c r="U352" s="2851">
        <v>36254</v>
      </c>
      <c r="V352" s="2851">
        <v>14755</v>
      </c>
      <c r="W352" s="2851">
        <v>14003</v>
      </c>
      <c r="X352" s="2851">
        <v>16336</v>
      </c>
      <c r="Y352" s="2851">
        <v>3384</v>
      </c>
      <c r="Z352" s="2851">
        <v>10389</v>
      </c>
      <c r="AA352" s="2851">
        <v>34031</v>
      </c>
      <c r="AB352" s="2851">
        <v>204502</v>
      </c>
      <c r="AC352" s="2851">
        <v>63132</v>
      </c>
      <c r="AD352" s="2851">
        <v>25195</v>
      </c>
      <c r="AE352" s="2851">
        <v>6631</v>
      </c>
      <c r="AF352" s="2851">
        <v>24933</v>
      </c>
      <c r="AG352" s="2852">
        <v>32</v>
      </c>
    </row>
    <row r="353" spans="1:33">
      <c r="A353" s="49">
        <f t="shared" si="3"/>
        <v>2022.08</v>
      </c>
      <c r="B353" s="573">
        <v>142740</v>
      </c>
      <c r="C353" s="1365">
        <v>141888</v>
      </c>
      <c r="D353" s="73">
        <v>852</v>
      </c>
      <c r="E353" s="74">
        <v>238368.78</v>
      </c>
      <c r="F353" s="618">
        <v>511.64299999999997</v>
      </c>
      <c r="G353" s="2859">
        <v>241765</v>
      </c>
      <c r="H353" s="2860">
        <v>538638</v>
      </c>
      <c r="I353" s="2861">
        <f t="shared" si="4"/>
        <v>780403</v>
      </c>
      <c r="J353" s="2862">
        <v>168946.42105263157</v>
      </c>
      <c r="K353" s="2860">
        <v>149604.47368421053</v>
      </c>
      <c r="L353" s="2862">
        <v>143998</v>
      </c>
      <c r="M353" s="2863">
        <v>130801</v>
      </c>
      <c r="N353" s="2850">
        <v>25613</v>
      </c>
      <c r="O353" s="2851">
        <v>1428</v>
      </c>
      <c r="P353" s="2851">
        <v>134924</v>
      </c>
      <c r="Q353" s="2851">
        <v>6990</v>
      </c>
      <c r="R353" s="2851">
        <v>5239</v>
      </c>
      <c r="S353" s="2851">
        <v>37788</v>
      </c>
      <c r="T353" s="2851">
        <v>104534</v>
      </c>
      <c r="U353" s="2851">
        <v>36327</v>
      </c>
      <c r="V353" s="2851">
        <v>14746</v>
      </c>
      <c r="W353" s="2851">
        <v>13893</v>
      </c>
      <c r="X353" s="2851">
        <v>16368</v>
      </c>
      <c r="Y353" s="2851">
        <v>3341</v>
      </c>
      <c r="Z353" s="2851">
        <v>10388</v>
      </c>
      <c r="AA353" s="2851">
        <v>33882</v>
      </c>
      <c r="AB353" s="2851">
        <v>203900</v>
      </c>
      <c r="AC353" s="2851">
        <v>63536</v>
      </c>
      <c r="AD353" s="2851">
        <v>25217</v>
      </c>
      <c r="AE353" s="2851">
        <v>6419</v>
      </c>
      <c r="AF353" s="2851">
        <v>25169</v>
      </c>
      <c r="AG353" s="2852">
        <v>34</v>
      </c>
    </row>
    <row r="354" spans="1:33">
      <c r="A354" s="49">
        <f t="shared" si="3"/>
        <v>2022.09</v>
      </c>
      <c r="B354" s="573">
        <v>142729</v>
      </c>
      <c r="C354" s="1365">
        <v>141868</v>
      </c>
      <c r="D354" s="73">
        <v>861</v>
      </c>
      <c r="E354" s="74">
        <v>274453.73</v>
      </c>
      <c r="F354" s="618">
        <v>513.553</v>
      </c>
      <c r="G354" s="2859">
        <v>240753</v>
      </c>
      <c r="H354" s="2860">
        <v>541312</v>
      </c>
      <c r="I354" s="2861">
        <f t="shared" si="4"/>
        <v>782065</v>
      </c>
      <c r="J354" s="2862">
        <v>171120.05263157896</v>
      </c>
      <c r="K354" s="2860">
        <v>159116.47368421053</v>
      </c>
      <c r="L354" s="2862">
        <v>141390</v>
      </c>
      <c r="M354" s="2863">
        <v>139756</v>
      </c>
      <c r="N354" s="2850">
        <v>25395</v>
      </c>
      <c r="O354" s="2851">
        <v>1428</v>
      </c>
      <c r="P354" s="2851">
        <v>135716</v>
      </c>
      <c r="Q354" s="2851">
        <v>6997</v>
      </c>
      <c r="R354" s="2851">
        <v>5284</v>
      </c>
      <c r="S354" s="2851">
        <v>37719</v>
      </c>
      <c r="T354" s="2851">
        <v>104762</v>
      </c>
      <c r="U354" s="2851">
        <v>36258</v>
      </c>
      <c r="V354" s="2851">
        <v>15013</v>
      </c>
      <c r="W354" s="2851">
        <v>13859</v>
      </c>
      <c r="X354" s="2851">
        <v>16457</v>
      </c>
      <c r="Y354" s="2851">
        <v>3435</v>
      </c>
      <c r="Z354" s="2851">
        <v>10532</v>
      </c>
      <c r="AA354" s="2851">
        <v>33945</v>
      </c>
      <c r="AB354" s="2851">
        <v>202837</v>
      </c>
      <c r="AC354" s="2851">
        <v>64513</v>
      </c>
      <c r="AD354" s="2851">
        <v>25235</v>
      </c>
      <c r="AE354" s="2851">
        <v>6536</v>
      </c>
      <c r="AF354" s="2851">
        <v>25213</v>
      </c>
      <c r="AG354" s="2852">
        <v>34</v>
      </c>
    </row>
    <row r="355" spans="1:33">
      <c r="A355" s="49">
        <f t="shared" si="3"/>
        <v>2022.1</v>
      </c>
      <c r="B355" s="573">
        <v>143031</v>
      </c>
      <c r="C355" s="1365">
        <v>142170</v>
      </c>
      <c r="D355" s="73">
        <v>861</v>
      </c>
      <c r="E355" s="74">
        <v>316675.12</v>
      </c>
      <c r="F355" s="618">
        <v>516.35599999999999</v>
      </c>
      <c r="G355" s="2859">
        <v>242300</v>
      </c>
      <c r="H355" s="2860">
        <v>543651</v>
      </c>
      <c r="I355" s="2861">
        <f t="shared" si="4"/>
        <v>785951</v>
      </c>
      <c r="J355" s="2862">
        <v>220896.15789473685</v>
      </c>
      <c r="K355" s="2860">
        <v>167230.73684210525</v>
      </c>
      <c r="L355" s="2862">
        <v>191297</v>
      </c>
      <c r="M355" s="2863">
        <v>142997</v>
      </c>
      <c r="N355" s="2850">
        <v>25473</v>
      </c>
      <c r="O355" s="2851">
        <v>1424</v>
      </c>
      <c r="P355" s="2851">
        <v>135993</v>
      </c>
      <c r="Q355" s="2851">
        <v>7033</v>
      </c>
      <c r="R355" s="2851">
        <v>5305</v>
      </c>
      <c r="S355" s="2851">
        <v>37638</v>
      </c>
      <c r="T355" s="2851">
        <v>105298</v>
      </c>
      <c r="U355" s="2851">
        <v>35534</v>
      </c>
      <c r="V355" s="2851">
        <v>15225</v>
      </c>
      <c r="W355" s="2851">
        <v>13756</v>
      </c>
      <c r="X355" s="2851">
        <v>16348</v>
      </c>
      <c r="Y355" s="2851">
        <v>3445</v>
      </c>
      <c r="Z355" s="2851">
        <v>10594</v>
      </c>
      <c r="AA355" s="2851">
        <v>34206</v>
      </c>
      <c r="AB355" s="2851">
        <v>204262</v>
      </c>
      <c r="AC355" s="2851">
        <v>65534</v>
      </c>
      <c r="AD355" s="2851">
        <v>25378</v>
      </c>
      <c r="AE355" s="2851">
        <v>6591</v>
      </c>
      <c r="AF355" s="2851">
        <v>25479</v>
      </c>
      <c r="AG355" s="2852">
        <v>34</v>
      </c>
    </row>
    <row r="356" spans="1:33">
      <c r="A356" s="49">
        <f t="shared" si="3"/>
        <v>2022.11</v>
      </c>
      <c r="B356" s="573">
        <v>143108</v>
      </c>
      <c r="C356" s="1365">
        <v>142272</v>
      </c>
      <c r="D356" s="73">
        <v>836</v>
      </c>
      <c r="E356" s="74">
        <v>359351.52</v>
      </c>
      <c r="F356" s="618">
        <v>519.77300000000002</v>
      </c>
      <c r="G356" s="2859">
        <v>245578</v>
      </c>
      <c r="H356" s="2860">
        <v>547508</v>
      </c>
      <c r="I356" s="2861">
        <f t="shared" si="4"/>
        <v>793086</v>
      </c>
      <c r="J356" s="2862">
        <v>215467.10526315789</v>
      </c>
      <c r="K356" s="2860">
        <v>179317.21052631579</v>
      </c>
      <c r="L356" s="2862">
        <v>181947</v>
      </c>
      <c r="M356" s="2863">
        <v>152282</v>
      </c>
      <c r="N356" s="2850">
        <v>25973</v>
      </c>
      <c r="O356" s="2851">
        <v>1423</v>
      </c>
      <c r="P356" s="2851">
        <v>136577</v>
      </c>
      <c r="Q356" s="2851">
        <v>7040</v>
      </c>
      <c r="R356" s="2851">
        <v>5335</v>
      </c>
      <c r="S356" s="2851">
        <v>37756</v>
      </c>
      <c r="T356" s="2851">
        <v>106271</v>
      </c>
      <c r="U356" s="2851">
        <v>35498</v>
      </c>
      <c r="V356" s="2851">
        <v>15529</v>
      </c>
      <c r="W356" s="2851">
        <v>13822</v>
      </c>
      <c r="X356" s="2851">
        <v>16410</v>
      </c>
      <c r="Y356" s="2851">
        <v>3445</v>
      </c>
      <c r="Z356" s="2851">
        <v>10633</v>
      </c>
      <c r="AA356" s="2851">
        <v>35015</v>
      </c>
      <c r="AB356" s="2851">
        <v>207683</v>
      </c>
      <c r="AC356" s="2851">
        <v>65579</v>
      </c>
      <c r="AD356" s="2851">
        <v>25483</v>
      </c>
      <c r="AE356" s="2851">
        <v>6697</v>
      </c>
      <c r="AF356" s="2851">
        <v>25487</v>
      </c>
      <c r="AG356" s="2852">
        <v>42</v>
      </c>
    </row>
    <row r="357" spans="1:33">
      <c r="A357" s="49">
        <f t="shared" si="3"/>
        <v>2022.12</v>
      </c>
      <c r="B357" s="573">
        <v>143721</v>
      </c>
      <c r="C357" s="1365">
        <v>142884</v>
      </c>
      <c r="D357" s="73">
        <v>837</v>
      </c>
      <c r="E357" s="74">
        <v>424877.38</v>
      </c>
      <c r="F357" s="618">
        <v>519.65800000000002</v>
      </c>
      <c r="G357" s="2859">
        <v>243939</v>
      </c>
      <c r="H357" s="2860">
        <v>545533</v>
      </c>
      <c r="I357" s="2861">
        <f t="shared" si="4"/>
        <v>789472</v>
      </c>
      <c r="J357" s="2862">
        <v>326346.15789473685</v>
      </c>
      <c r="K357" s="2860">
        <v>284061.73684210528</v>
      </c>
      <c r="L357" s="2862">
        <v>285655</v>
      </c>
      <c r="M357" s="2863">
        <v>244788</v>
      </c>
      <c r="N357" s="2850">
        <v>26327</v>
      </c>
      <c r="O357" s="2851">
        <v>1431</v>
      </c>
      <c r="P357" s="2851">
        <v>136400</v>
      </c>
      <c r="Q357" s="2851">
        <v>7042</v>
      </c>
      <c r="R357" s="2851">
        <v>5334</v>
      </c>
      <c r="S357" s="2851">
        <v>36897</v>
      </c>
      <c r="T357" s="2851">
        <v>107127</v>
      </c>
      <c r="U357" s="2851">
        <v>36277</v>
      </c>
      <c r="V357" s="2851">
        <v>15794</v>
      </c>
      <c r="W357" s="2851">
        <v>13575</v>
      </c>
      <c r="X357" s="2851">
        <v>16341</v>
      </c>
      <c r="Y357" s="2851">
        <v>3453</v>
      </c>
      <c r="Z357" s="2851">
        <v>10480</v>
      </c>
      <c r="AA357" s="2851">
        <v>34802</v>
      </c>
      <c r="AB357" s="2851">
        <v>205682</v>
      </c>
      <c r="AC357" s="2851">
        <v>63334</v>
      </c>
      <c r="AD357" s="2851">
        <v>25492</v>
      </c>
      <c r="AE357" s="2851">
        <v>6688</v>
      </c>
      <c r="AF357" s="2851">
        <v>25448</v>
      </c>
      <c r="AG357" s="2852">
        <v>35</v>
      </c>
    </row>
    <row r="358" spans="1:33">
      <c r="A358" s="49">
        <f t="shared" si="3"/>
        <v>2023.01</v>
      </c>
      <c r="B358" s="573">
        <v>143349</v>
      </c>
      <c r="C358" s="1365">
        <v>142513</v>
      </c>
      <c r="D358" s="73">
        <v>836</v>
      </c>
      <c r="E358" s="74">
        <v>52726.9</v>
      </c>
      <c r="F358" s="618">
        <v>517.31700000000001</v>
      </c>
      <c r="G358" s="2859">
        <v>235414</v>
      </c>
      <c r="H358" s="2860">
        <v>542874</v>
      </c>
      <c r="I358" s="2861">
        <f t="shared" si="4"/>
        <v>778288</v>
      </c>
      <c r="J358" s="2862">
        <v>257562.63157894736</v>
      </c>
      <c r="K358" s="2860">
        <v>212213.73684210525</v>
      </c>
      <c r="L358" s="2862">
        <v>216045</v>
      </c>
      <c r="M358" s="2863">
        <v>171556</v>
      </c>
      <c r="N358" s="2850">
        <v>25588</v>
      </c>
      <c r="O358" s="2851">
        <v>1457</v>
      </c>
      <c r="P358" s="2851">
        <v>137579</v>
      </c>
      <c r="Q358" s="2851">
        <v>7096</v>
      </c>
      <c r="R358" s="2851">
        <v>5352</v>
      </c>
      <c r="S358" s="2851">
        <v>37722</v>
      </c>
      <c r="T358" s="2851">
        <v>106585</v>
      </c>
      <c r="U358" s="2851">
        <v>37351</v>
      </c>
      <c r="V358" s="2851">
        <v>16222</v>
      </c>
      <c r="W358" s="2851">
        <v>13787</v>
      </c>
      <c r="X358" s="2851">
        <v>16345</v>
      </c>
      <c r="Y358" s="2851">
        <v>3271</v>
      </c>
      <c r="Z358" s="2851">
        <v>10558</v>
      </c>
      <c r="AA358" s="2851">
        <v>35270</v>
      </c>
      <c r="AB358" s="2851">
        <v>197364</v>
      </c>
      <c r="AC358" s="2851">
        <v>59151</v>
      </c>
      <c r="AD358" s="2851">
        <v>25331</v>
      </c>
      <c r="AE358" s="2851">
        <v>6649</v>
      </c>
      <c r="AF358" s="2851">
        <v>24872</v>
      </c>
      <c r="AG358" s="2852">
        <v>38</v>
      </c>
    </row>
    <row r="359" spans="1:33">
      <c r="A359" s="49">
        <f t="shared" si="3"/>
        <v>2023.02</v>
      </c>
      <c r="B359" s="573">
        <v>145142</v>
      </c>
      <c r="C359" s="1365">
        <v>144309</v>
      </c>
      <c r="D359" s="73">
        <v>833</v>
      </c>
      <c r="E359" s="74">
        <v>102139.8</v>
      </c>
      <c r="F359" s="618">
        <v>517.47</v>
      </c>
      <c r="G359" s="2859">
        <v>243855</v>
      </c>
      <c r="H359" s="2860">
        <v>541973</v>
      </c>
      <c r="I359" s="2861">
        <f t="shared" si="4"/>
        <v>785828</v>
      </c>
      <c r="J359" s="2862">
        <v>259784.26315789475</v>
      </c>
      <c r="K359" s="2860">
        <v>217794.94736842104</v>
      </c>
      <c r="L359" s="2862">
        <v>219169</v>
      </c>
      <c r="M359" s="2863">
        <v>175384</v>
      </c>
      <c r="N359" s="2850">
        <v>25409</v>
      </c>
      <c r="O359" s="2851">
        <v>1449</v>
      </c>
      <c r="P359" s="2851">
        <v>137401</v>
      </c>
      <c r="Q359" s="2851">
        <v>7078</v>
      </c>
      <c r="R359" s="2851">
        <v>5363</v>
      </c>
      <c r="S359" s="2851">
        <v>37812</v>
      </c>
      <c r="T359" s="2851">
        <v>106553</v>
      </c>
      <c r="U359" s="2851">
        <v>36879</v>
      </c>
      <c r="V359" s="2851">
        <v>16245</v>
      </c>
      <c r="W359" s="2851">
        <v>13927</v>
      </c>
      <c r="X359" s="2851">
        <v>16406</v>
      </c>
      <c r="Y359" s="2851">
        <v>3283</v>
      </c>
      <c r="Z359" s="2851">
        <v>10627</v>
      </c>
      <c r="AA359" s="2851">
        <v>34994</v>
      </c>
      <c r="AB359" s="2851">
        <v>206205</v>
      </c>
      <c r="AC359" s="2851">
        <v>58648</v>
      </c>
      <c r="AD359" s="2851">
        <v>25324</v>
      </c>
      <c r="AE359" s="2851">
        <v>7085</v>
      </c>
      <c r="AF359" s="2851">
        <v>24916</v>
      </c>
      <c r="AG359" s="2852">
        <v>38</v>
      </c>
    </row>
    <row r="360" spans="1:33">
      <c r="A360" s="49">
        <f t="shared" si="3"/>
        <v>2023.03</v>
      </c>
      <c r="B360" s="573">
        <v>145014</v>
      </c>
      <c r="C360" s="1365">
        <v>144181</v>
      </c>
      <c r="D360" s="73">
        <v>833</v>
      </c>
      <c r="E360" s="74">
        <v>163877.17000000001</v>
      </c>
      <c r="F360" s="618">
        <v>522.25099999999998</v>
      </c>
      <c r="G360" s="2859">
        <v>236372</v>
      </c>
      <c r="H360" s="2860">
        <v>548547</v>
      </c>
      <c r="I360" s="2861">
        <f t="shared" si="4"/>
        <v>784919</v>
      </c>
      <c r="J360" s="2862">
        <v>308482.89473684208</v>
      </c>
      <c r="K360" s="2860">
        <v>237177.15789473685</v>
      </c>
      <c r="L360" s="2860">
        <v>261704</v>
      </c>
      <c r="M360" s="2863">
        <v>193413</v>
      </c>
      <c r="N360" s="2850">
        <v>25843</v>
      </c>
      <c r="O360" s="2850">
        <v>1435</v>
      </c>
      <c r="P360" s="2850">
        <v>138423</v>
      </c>
      <c r="Q360" s="2850">
        <v>7147</v>
      </c>
      <c r="R360" s="2850">
        <v>5360</v>
      </c>
      <c r="S360" s="2850">
        <v>38935</v>
      </c>
      <c r="T360" s="2850">
        <v>107084</v>
      </c>
      <c r="U360" s="2850">
        <v>36923</v>
      </c>
      <c r="V360" s="2850">
        <v>16560</v>
      </c>
      <c r="W360" s="2850">
        <v>14007</v>
      </c>
      <c r="X360" s="2850">
        <v>16458</v>
      </c>
      <c r="Y360" s="2850">
        <v>3297</v>
      </c>
      <c r="Z360" s="2850">
        <v>10808</v>
      </c>
      <c r="AA360" s="2850">
        <v>35570</v>
      </c>
      <c r="AB360" s="2850">
        <v>198494</v>
      </c>
      <c r="AC360" s="2850">
        <v>61814</v>
      </c>
      <c r="AD360" s="2850">
        <v>25353</v>
      </c>
      <c r="AE360" s="2850">
        <v>7101</v>
      </c>
      <c r="AF360" s="2850">
        <v>25169</v>
      </c>
      <c r="AG360" s="2852">
        <v>38</v>
      </c>
    </row>
    <row r="361" spans="1:33">
      <c r="A361" s="49">
        <f t="shared" si="3"/>
        <v>2023.04</v>
      </c>
      <c r="B361" s="573">
        <v>145261</v>
      </c>
      <c r="C361" s="1365">
        <v>144447</v>
      </c>
      <c r="D361" s="73">
        <v>814</v>
      </c>
      <c r="E361" s="74">
        <v>227648.85</v>
      </c>
      <c r="F361" s="618">
        <v>521.447</v>
      </c>
      <c r="G361" s="2864">
        <v>243398</v>
      </c>
      <c r="H361" s="2865">
        <v>549559</v>
      </c>
      <c r="I361" s="2861">
        <f t="shared" si="4"/>
        <v>792957</v>
      </c>
      <c r="J361" s="2866">
        <v>313326.42105263157</v>
      </c>
      <c r="K361" s="2865">
        <v>248731.21049999999</v>
      </c>
      <c r="L361" s="2865">
        <v>262035</v>
      </c>
      <c r="M361" s="2867">
        <v>213861</v>
      </c>
      <c r="N361" s="2850">
        <v>26184</v>
      </c>
      <c r="O361" s="2850">
        <v>1417</v>
      </c>
      <c r="P361" s="2850">
        <v>137619</v>
      </c>
      <c r="Q361" s="2850">
        <v>7123</v>
      </c>
      <c r="R361" s="2850">
        <v>5336</v>
      </c>
      <c r="S361" s="2850">
        <v>38638</v>
      </c>
      <c r="T361" s="2850">
        <v>107288</v>
      </c>
      <c r="U361" s="2850">
        <v>37619</v>
      </c>
      <c r="V361" s="2850">
        <v>16151</v>
      </c>
      <c r="W361" s="2850">
        <v>13991</v>
      </c>
      <c r="X361" s="2850">
        <v>16427</v>
      </c>
      <c r="Y361" s="2850">
        <v>3306</v>
      </c>
      <c r="Z361" s="2850">
        <v>10768</v>
      </c>
      <c r="AA361" s="2850">
        <v>34777</v>
      </c>
      <c r="AB361" s="2850">
        <v>205731</v>
      </c>
      <c r="AC361" s="2850">
        <v>64195</v>
      </c>
      <c r="AD361" s="2850">
        <v>25273</v>
      </c>
      <c r="AE361" s="2850">
        <v>6713</v>
      </c>
      <c r="AF361" s="2850">
        <v>25280</v>
      </c>
      <c r="AG361" s="2852">
        <v>38</v>
      </c>
    </row>
    <row r="362" spans="1:33">
      <c r="A362" s="49">
        <f t="shared" si="3"/>
        <v>2023.05</v>
      </c>
      <c r="B362" s="573">
        <v>145404</v>
      </c>
      <c r="C362" s="1365">
        <v>144590</v>
      </c>
      <c r="D362" s="73">
        <v>814</v>
      </c>
      <c r="E362" s="74">
        <v>296066.23</v>
      </c>
      <c r="F362" s="618">
        <v>522.40800000000002</v>
      </c>
      <c r="G362" s="2864">
        <v>247109</v>
      </c>
      <c r="H362" s="2865">
        <v>550099</v>
      </c>
      <c r="I362" s="2861">
        <f t="shared" si="4"/>
        <v>797208</v>
      </c>
      <c r="J362" s="2866">
        <v>335312.8947</v>
      </c>
      <c r="K362" s="2865">
        <v>264954.26319999999</v>
      </c>
      <c r="L362" s="2865">
        <v>284707</v>
      </c>
      <c r="M362" s="2867">
        <v>230349</v>
      </c>
      <c r="N362" s="2850">
        <v>26112</v>
      </c>
      <c r="O362" s="2850">
        <v>1408</v>
      </c>
      <c r="P362" s="2850">
        <v>137474</v>
      </c>
      <c r="Q362" s="2850">
        <v>7121</v>
      </c>
      <c r="R362" s="2850">
        <v>5337</v>
      </c>
      <c r="S362" s="2850">
        <v>38622</v>
      </c>
      <c r="T362" s="2850">
        <v>107461</v>
      </c>
      <c r="U362" s="2850">
        <v>36664</v>
      </c>
      <c r="V362" s="2850">
        <v>16109</v>
      </c>
      <c r="W362" s="2850">
        <v>14049</v>
      </c>
      <c r="X362" s="2850">
        <v>16399</v>
      </c>
      <c r="Y362" s="2850">
        <v>3339</v>
      </c>
      <c r="Z362" s="2850">
        <v>10864</v>
      </c>
      <c r="AA362" s="2850">
        <v>35087</v>
      </c>
      <c r="AB362" s="2850">
        <v>209518</v>
      </c>
      <c r="AC362" s="2850">
        <v>65645</v>
      </c>
      <c r="AD362" s="2850">
        <v>25240</v>
      </c>
      <c r="AE362" s="2850">
        <v>6798</v>
      </c>
      <c r="AF362" s="2850">
        <v>25416</v>
      </c>
      <c r="AG362" s="2852">
        <v>38</v>
      </c>
    </row>
    <row r="363" spans="1:33">
      <c r="A363" s="49">
        <f t="shared" si="3"/>
        <v>2023.06</v>
      </c>
      <c r="B363" s="573">
        <v>145832</v>
      </c>
      <c r="C363" s="1365">
        <v>144996</v>
      </c>
      <c r="D363" s="73">
        <v>836</v>
      </c>
      <c r="E363" s="74">
        <v>397577.19</v>
      </c>
      <c r="F363" s="618">
        <v>520.91600000000005</v>
      </c>
      <c r="G363" s="2864">
        <v>246514</v>
      </c>
      <c r="H363" s="2865">
        <v>549362</v>
      </c>
      <c r="I363" s="2861">
        <f t="shared" si="4"/>
        <v>795876</v>
      </c>
      <c r="J363" s="2866">
        <v>485787.26319999999</v>
      </c>
      <c r="K363" s="2865">
        <v>401866.36839999998</v>
      </c>
      <c r="L363" s="2865">
        <v>425490</v>
      </c>
      <c r="M363" s="2867">
        <v>345112</v>
      </c>
      <c r="N363" s="2850">
        <v>25776</v>
      </c>
      <c r="O363" s="2850">
        <v>1415</v>
      </c>
      <c r="P363" s="2850">
        <v>137450</v>
      </c>
      <c r="Q363" s="2850">
        <v>7066</v>
      </c>
      <c r="R363" s="2850">
        <v>5356</v>
      </c>
      <c r="S363" s="2850">
        <v>37582</v>
      </c>
      <c r="T363" s="2850">
        <v>107342</v>
      </c>
      <c r="U363" s="2850">
        <v>36667</v>
      </c>
      <c r="V363" s="2850">
        <v>16052</v>
      </c>
      <c r="W363" s="2850">
        <v>14110</v>
      </c>
      <c r="X363" s="2850">
        <v>16328</v>
      </c>
      <c r="Y363" s="2850">
        <v>3340</v>
      </c>
      <c r="Z363" s="2850">
        <v>10685</v>
      </c>
      <c r="AA363" s="2850">
        <v>34580</v>
      </c>
      <c r="AB363" s="2850">
        <v>208290</v>
      </c>
      <c r="AC363" s="2850">
        <v>66668</v>
      </c>
      <c r="AD363" s="2850">
        <v>25282</v>
      </c>
      <c r="AE363" s="2850">
        <v>6675</v>
      </c>
      <c r="AF363" s="2850">
        <v>25539</v>
      </c>
      <c r="AG363" s="2852">
        <v>37</v>
      </c>
    </row>
    <row r="364" spans="1:33">
      <c r="A364" s="49">
        <f t="shared" si="3"/>
        <v>2023.07</v>
      </c>
      <c r="B364" s="573">
        <v>150459</v>
      </c>
      <c r="C364" s="1365">
        <v>149647</v>
      </c>
      <c r="D364" s="73">
        <v>812</v>
      </c>
      <c r="E364" s="74">
        <v>481049.67</v>
      </c>
      <c r="F364" s="618">
        <v>520.86300000000006</v>
      </c>
      <c r="G364" s="2864">
        <v>249322</v>
      </c>
      <c r="H364" s="2865">
        <v>548660</v>
      </c>
      <c r="I364" s="2861">
        <f t="shared" si="4"/>
        <v>797982</v>
      </c>
      <c r="J364" s="2866">
        <v>388135.26319999999</v>
      </c>
      <c r="K364" s="2865">
        <v>305570.52630000003</v>
      </c>
      <c r="L364" s="2865">
        <v>329471</v>
      </c>
      <c r="M364" s="2867">
        <v>308408</v>
      </c>
      <c r="N364" s="2850">
        <v>25723</v>
      </c>
      <c r="O364" s="2850">
        <v>1428</v>
      </c>
      <c r="P364" s="2850">
        <v>137978</v>
      </c>
      <c r="Q364" s="2850">
        <v>7109</v>
      </c>
      <c r="R364" s="2850">
        <v>5326</v>
      </c>
      <c r="S364" s="2850">
        <v>37317</v>
      </c>
      <c r="T364" s="2850">
        <v>107639</v>
      </c>
      <c r="U364" s="2850">
        <v>39063</v>
      </c>
      <c r="V364" s="2850">
        <v>16180</v>
      </c>
      <c r="W364" s="2850">
        <v>14131</v>
      </c>
      <c r="X364" s="2850">
        <v>16395</v>
      </c>
      <c r="Y364" s="2850">
        <v>3340</v>
      </c>
      <c r="Z364" s="2850">
        <v>10559</v>
      </c>
      <c r="AA364" s="2850">
        <v>34653</v>
      </c>
      <c r="AB364" s="2850">
        <v>208618</v>
      </c>
      <c r="AC364" s="2850">
        <v>65254</v>
      </c>
      <c r="AD364" s="2850">
        <v>25397</v>
      </c>
      <c r="AE364" s="2850">
        <v>6659</v>
      </c>
      <c r="AF364" s="2850">
        <v>25321</v>
      </c>
      <c r="AG364" s="2852">
        <v>37</v>
      </c>
    </row>
    <row r="365" spans="1:33">
      <c r="A365" s="49">
        <f t="shared" si="3"/>
        <v>2023.08</v>
      </c>
      <c r="B365" s="573">
        <v>151548</v>
      </c>
      <c r="C365" s="1365">
        <v>150736</v>
      </c>
      <c r="D365" s="73">
        <v>812</v>
      </c>
      <c r="E365" s="74">
        <v>574955.15</v>
      </c>
      <c r="F365" s="618">
        <v>522.5</v>
      </c>
      <c r="G365" s="2864">
        <v>250619</v>
      </c>
      <c r="H365" s="2865">
        <v>550757</v>
      </c>
      <c r="I365" s="2861">
        <f t="shared" si="4"/>
        <v>801376</v>
      </c>
      <c r="J365" s="2866">
        <v>431247.78950000001</v>
      </c>
      <c r="K365" s="2865">
        <v>351825.47369999997</v>
      </c>
      <c r="L365" s="2865">
        <v>370263</v>
      </c>
      <c r="M365" s="2867">
        <v>310619</v>
      </c>
      <c r="N365" s="2850">
        <v>25578</v>
      </c>
      <c r="O365" s="2850">
        <v>1424</v>
      </c>
      <c r="P365" s="2850">
        <v>138114</v>
      </c>
      <c r="Q365" s="2850">
        <v>7135</v>
      </c>
      <c r="R365" s="2850">
        <v>5306</v>
      </c>
      <c r="S365" s="2850">
        <v>37914</v>
      </c>
      <c r="T365" s="2850">
        <v>108225</v>
      </c>
      <c r="U365" s="2850">
        <v>39153</v>
      </c>
      <c r="V365" s="2850">
        <v>16179</v>
      </c>
      <c r="W365" s="2850">
        <v>14113</v>
      </c>
      <c r="X365" s="2850">
        <v>16386</v>
      </c>
      <c r="Y365" s="2850">
        <v>3348</v>
      </c>
      <c r="Z365" s="2850">
        <v>10528</v>
      </c>
      <c r="AA365" s="2850">
        <v>34671</v>
      </c>
      <c r="AB365" s="2850">
        <v>209896</v>
      </c>
      <c r="AC365" s="2850">
        <v>66463</v>
      </c>
      <c r="AD365" s="2850">
        <v>25411</v>
      </c>
      <c r="AE365" s="2850">
        <v>6683</v>
      </c>
      <c r="AF365" s="2850">
        <v>25605</v>
      </c>
      <c r="AG365" s="2852">
        <v>37</v>
      </c>
    </row>
    <row r="366" spans="1:33">
      <c r="A366" s="49">
        <f t="shared" si="3"/>
        <v>2023.09</v>
      </c>
      <c r="B366" s="573">
        <v>154799</v>
      </c>
      <c r="C366" s="1365">
        <v>154012</v>
      </c>
      <c r="D366" s="73">
        <v>787</v>
      </c>
      <c r="E366" s="74">
        <v>676120.62</v>
      </c>
      <c r="F366" s="618">
        <v>522.73400000000004</v>
      </c>
      <c r="G366" s="2864">
        <v>255289</v>
      </c>
      <c r="H366" s="2865">
        <v>550960</v>
      </c>
      <c r="I366" s="2861">
        <f t="shared" si="4"/>
        <v>806249</v>
      </c>
      <c r="J366" s="2866">
        <v>460625.68420000002</v>
      </c>
      <c r="K366" s="2865">
        <v>385071.57890000002</v>
      </c>
      <c r="L366" s="2865">
        <v>386857</v>
      </c>
      <c r="M366" s="2867">
        <v>336653</v>
      </c>
      <c r="N366" s="2850">
        <v>25476</v>
      </c>
      <c r="O366" s="2850">
        <v>1416</v>
      </c>
      <c r="P366" s="2850">
        <v>138195</v>
      </c>
      <c r="Q366" s="2850">
        <v>7148</v>
      </c>
      <c r="R366" s="2850">
        <v>5295</v>
      </c>
      <c r="S366" s="2850">
        <v>37724</v>
      </c>
      <c r="T366" s="2850">
        <v>108322</v>
      </c>
      <c r="U366" s="2850">
        <v>38887</v>
      </c>
      <c r="V366" s="2850">
        <v>16098</v>
      </c>
      <c r="W366" s="2850">
        <v>14169</v>
      </c>
      <c r="X366" s="2850">
        <v>16340</v>
      </c>
      <c r="Y366" s="2850">
        <v>3362</v>
      </c>
      <c r="Z366" s="2850">
        <v>10608</v>
      </c>
      <c r="AA366" s="2850">
        <v>34682</v>
      </c>
      <c r="AB366" s="2850">
        <v>214400</v>
      </c>
      <c r="AC366" s="2850">
        <v>67301</v>
      </c>
      <c r="AD366" s="2850">
        <v>25418</v>
      </c>
      <c r="AE366" s="2850">
        <v>6789</v>
      </c>
      <c r="AF366" s="2850">
        <v>25618</v>
      </c>
      <c r="AG366" s="2852">
        <v>37</v>
      </c>
    </row>
    <row r="367" spans="1:33">
      <c r="A367" s="49">
        <f t="shared" si="3"/>
        <v>2023.1</v>
      </c>
      <c r="B367" s="573">
        <v>155476</v>
      </c>
      <c r="C367" s="1365">
        <v>154691</v>
      </c>
      <c r="D367" s="73">
        <v>785</v>
      </c>
      <c r="E367" s="74">
        <v>782599.5</v>
      </c>
      <c r="F367" s="618">
        <v>523.40499999999997</v>
      </c>
      <c r="G367" s="2864">
        <v>257872</v>
      </c>
      <c r="H367" s="2865">
        <v>551630</v>
      </c>
      <c r="I367" s="2861">
        <f t="shared" si="4"/>
        <v>809502</v>
      </c>
      <c r="J367" s="2866">
        <v>490975.15789999999</v>
      </c>
      <c r="K367" s="2865">
        <v>415903.42109999998</v>
      </c>
      <c r="L367" s="2865">
        <v>410638</v>
      </c>
      <c r="M367" s="2867">
        <v>355054</v>
      </c>
      <c r="N367" s="2850">
        <v>25534</v>
      </c>
      <c r="O367" s="2850">
        <v>1423</v>
      </c>
      <c r="P367" s="2850">
        <v>138424</v>
      </c>
      <c r="Q367" s="2850">
        <v>7175</v>
      </c>
      <c r="R367" s="2850">
        <v>5447</v>
      </c>
      <c r="S367" s="2850">
        <v>37394</v>
      </c>
      <c r="T367" s="2850">
        <v>108296</v>
      </c>
      <c r="U367" s="2850">
        <v>38890</v>
      </c>
      <c r="V367" s="2850">
        <v>16254</v>
      </c>
      <c r="W367" s="2850">
        <v>14151</v>
      </c>
      <c r="X367" s="2850">
        <v>16343</v>
      </c>
      <c r="Y367" s="2850">
        <v>3383</v>
      </c>
      <c r="Z367" s="2850">
        <v>10535</v>
      </c>
      <c r="AA367" s="2850">
        <v>34464</v>
      </c>
      <c r="AB367" s="2850">
        <v>216918</v>
      </c>
      <c r="AC367" s="2850">
        <v>67489</v>
      </c>
      <c r="AD367" s="2850">
        <v>25614</v>
      </c>
      <c r="AE367" s="2850">
        <v>7171</v>
      </c>
      <c r="AF367" s="2850">
        <v>25797</v>
      </c>
      <c r="AG367" s="2852">
        <v>27</v>
      </c>
    </row>
    <row r="368" spans="1:33">
      <c r="A368" s="49">
        <f t="shared" si="3"/>
        <v>2023.11</v>
      </c>
      <c r="B368" s="573">
        <v>155653</v>
      </c>
      <c r="C368" s="1365">
        <v>154870</v>
      </c>
      <c r="D368" s="73">
        <v>783</v>
      </c>
      <c r="E368" s="74">
        <v>906797.02</v>
      </c>
      <c r="F368" s="618">
        <v>524.14200000000005</v>
      </c>
      <c r="G368" s="2864">
        <v>257359</v>
      </c>
      <c r="H368" s="2865">
        <v>552197</v>
      </c>
      <c r="I368" s="2861">
        <f t="shared" si="4"/>
        <v>809556</v>
      </c>
      <c r="J368" s="2866">
        <v>565966.47369999997</v>
      </c>
      <c r="K368" s="2865">
        <v>464608.8947</v>
      </c>
      <c r="L368" s="2865">
        <v>478335</v>
      </c>
      <c r="M368" s="2867">
        <v>400082</v>
      </c>
      <c r="N368" s="2850">
        <v>26050</v>
      </c>
      <c r="O368" s="2850">
        <v>1433</v>
      </c>
      <c r="P368" s="2850">
        <v>138662</v>
      </c>
      <c r="Q368" s="2850">
        <v>7201</v>
      </c>
      <c r="R368" s="2850">
        <v>5503</v>
      </c>
      <c r="S368" s="2850">
        <v>37213</v>
      </c>
      <c r="T368" s="2850">
        <v>109165</v>
      </c>
      <c r="U368" s="2850">
        <v>38771</v>
      </c>
      <c r="V368" s="2850">
        <v>16178</v>
      </c>
      <c r="W368" s="2850">
        <v>14152</v>
      </c>
      <c r="X368" s="2850">
        <v>16312</v>
      </c>
      <c r="Y368" s="2850">
        <v>3397</v>
      </c>
      <c r="Z368" s="2850">
        <v>10510</v>
      </c>
      <c r="AA368" s="2850">
        <v>34607</v>
      </c>
      <c r="AB368" s="2850">
        <v>216477</v>
      </c>
      <c r="AC368" s="2850">
        <v>67039</v>
      </c>
      <c r="AD368" s="2850">
        <v>25733</v>
      </c>
      <c r="AE368" s="2850">
        <v>6872</v>
      </c>
      <c r="AF368" s="2850">
        <v>25630</v>
      </c>
      <c r="AG368" s="2852">
        <v>29</v>
      </c>
    </row>
    <row r="369" spans="1:33">
      <c r="A369" s="49">
        <f t="shared" si="3"/>
        <v>2023.12</v>
      </c>
      <c r="B369" s="573">
        <v>155716</v>
      </c>
      <c r="C369" s="1365">
        <v>154974</v>
      </c>
      <c r="D369" s="73">
        <v>742</v>
      </c>
      <c r="E369" s="74">
        <v>1088637.08</v>
      </c>
      <c r="F369" s="618">
        <v>523.72500000000002</v>
      </c>
      <c r="G369" s="2864" t="e">
        <v>#N/A</v>
      </c>
      <c r="H369" s="2865" t="e">
        <v>#N/A</v>
      </c>
      <c r="I369" s="2861" t="e">
        <f t="shared" si="4"/>
        <v>#N/A</v>
      </c>
      <c r="J369" s="2866" t="e">
        <v>#N/A</v>
      </c>
      <c r="K369" s="2865" t="e">
        <v>#N/A</v>
      </c>
      <c r="L369" s="2865" t="e">
        <v>#N/A</v>
      </c>
      <c r="M369" s="2867" t="e">
        <v>#N/A</v>
      </c>
      <c r="N369" s="2850" t="e">
        <v>#N/A</v>
      </c>
      <c r="O369" s="2850" t="e">
        <v>#N/A</v>
      </c>
      <c r="P369" s="2850" t="e">
        <v>#N/A</v>
      </c>
      <c r="Q369" s="2850" t="e">
        <v>#N/A</v>
      </c>
      <c r="R369" s="2850" t="e">
        <v>#N/A</v>
      </c>
      <c r="S369" s="2850" t="e">
        <v>#N/A</v>
      </c>
      <c r="T369" s="2850" t="e">
        <v>#N/A</v>
      </c>
      <c r="U369" s="2850" t="e">
        <v>#N/A</v>
      </c>
      <c r="V369" s="2850" t="e">
        <v>#N/A</v>
      </c>
      <c r="W369" s="2850" t="e">
        <v>#N/A</v>
      </c>
      <c r="X369" s="2850" t="e">
        <v>#N/A</v>
      </c>
      <c r="Y369" s="2850" t="e">
        <v>#N/A</v>
      </c>
      <c r="Z369" s="2850" t="e">
        <v>#N/A</v>
      </c>
      <c r="AA369" s="2850" t="e">
        <v>#N/A</v>
      </c>
      <c r="AB369" s="2850" t="e">
        <v>#N/A</v>
      </c>
      <c r="AC369" s="2850" t="e">
        <v>#N/A</v>
      </c>
      <c r="AD369" s="2850" t="e">
        <v>#N/A</v>
      </c>
      <c r="AE369" s="2850" t="e">
        <v>#N/A</v>
      </c>
      <c r="AF369" s="2850" t="e">
        <v>#N/A</v>
      </c>
      <c r="AG369" s="2852" t="e">
        <v>#N/A</v>
      </c>
    </row>
    <row r="370" spans="1:33">
      <c r="A370" s="49">
        <f t="shared" ref="A370:A433" si="6">A358+1</f>
        <v>2024.01</v>
      </c>
      <c r="B370" s="573" t="e">
        <v>#N/A</v>
      </c>
      <c r="C370" s="1365" t="e">
        <v>#N/A</v>
      </c>
      <c r="D370" s="73" t="e">
        <v>#N/A</v>
      </c>
      <c r="E370" s="74">
        <v>142596.98000000001</v>
      </c>
      <c r="F370" s="618">
        <v>518.69600000000003</v>
      </c>
      <c r="G370" s="2864" t="e">
        <v>#N/A</v>
      </c>
      <c r="H370" s="2865" t="e">
        <v>#N/A</v>
      </c>
      <c r="I370" s="2861" t="e">
        <f t="shared" si="4"/>
        <v>#N/A</v>
      </c>
      <c r="J370" s="2866" t="e">
        <v>#N/A</v>
      </c>
      <c r="K370" s="2865" t="e">
        <v>#N/A</v>
      </c>
      <c r="L370" s="2865" t="e">
        <v>#N/A</v>
      </c>
      <c r="M370" s="2867" t="e">
        <v>#N/A</v>
      </c>
      <c r="N370" s="2850" t="e">
        <v>#N/A</v>
      </c>
      <c r="O370" s="2850" t="e">
        <v>#N/A</v>
      </c>
      <c r="P370" s="2850" t="e">
        <v>#N/A</v>
      </c>
      <c r="Q370" s="2850" t="e">
        <v>#N/A</v>
      </c>
      <c r="R370" s="2850" t="e">
        <v>#N/A</v>
      </c>
      <c r="S370" s="2850" t="e">
        <v>#N/A</v>
      </c>
      <c r="T370" s="2850" t="e">
        <v>#N/A</v>
      </c>
      <c r="U370" s="2850" t="e">
        <v>#N/A</v>
      </c>
      <c r="V370" s="2850" t="e">
        <v>#N/A</v>
      </c>
      <c r="W370" s="2850" t="e">
        <v>#N/A</v>
      </c>
      <c r="X370" s="2850" t="e">
        <v>#N/A</v>
      </c>
      <c r="Y370" s="2850" t="e">
        <v>#N/A</v>
      </c>
      <c r="Z370" s="2850" t="e">
        <v>#N/A</v>
      </c>
      <c r="AA370" s="2850" t="e">
        <v>#N/A</v>
      </c>
      <c r="AB370" s="2850" t="e">
        <v>#N/A</v>
      </c>
      <c r="AC370" s="2850" t="e">
        <v>#N/A</v>
      </c>
      <c r="AD370" s="2850" t="e">
        <v>#N/A</v>
      </c>
      <c r="AE370" s="2850" t="e">
        <v>#N/A</v>
      </c>
      <c r="AF370" s="2850" t="e">
        <v>#N/A</v>
      </c>
      <c r="AG370" s="2852" t="e">
        <v>#N/A</v>
      </c>
    </row>
    <row r="371" spans="1:33">
      <c r="A371" s="49">
        <f t="shared" si="6"/>
        <v>2024.02</v>
      </c>
      <c r="B371" s="573" t="e">
        <v>#N/A</v>
      </c>
      <c r="C371" s="1365" t="e">
        <v>#N/A</v>
      </c>
      <c r="D371" s="73" t="e">
        <v>#N/A</v>
      </c>
      <c r="E371" s="74">
        <v>304624.11</v>
      </c>
      <c r="F371" s="570" t="e">
        <v>#N/A</v>
      </c>
      <c r="G371" s="2864" t="e">
        <v>#N/A</v>
      </c>
      <c r="H371" s="2865" t="e">
        <v>#N/A</v>
      </c>
      <c r="I371" s="2861" t="e">
        <f t="shared" si="4"/>
        <v>#N/A</v>
      </c>
      <c r="J371" s="2866" t="e">
        <v>#N/A</v>
      </c>
      <c r="K371" s="2865" t="e">
        <v>#N/A</v>
      </c>
      <c r="L371" s="2865" t="e">
        <v>#N/A</v>
      </c>
      <c r="M371" s="2867" t="e">
        <v>#N/A</v>
      </c>
      <c r="N371" s="2850" t="e">
        <v>#N/A</v>
      </c>
      <c r="O371" s="2850" t="e">
        <v>#N/A</v>
      </c>
      <c r="P371" s="2850" t="e">
        <v>#N/A</v>
      </c>
      <c r="Q371" s="2850" t="e">
        <v>#N/A</v>
      </c>
      <c r="R371" s="2850" t="e">
        <v>#N/A</v>
      </c>
      <c r="S371" s="2850" t="e">
        <v>#N/A</v>
      </c>
      <c r="T371" s="2850" t="e">
        <v>#N/A</v>
      </c>
      <c r="U371" s="2850" t="e">
        <v>#N/A</v>
      </c>
      <c r="V371" s="2850" t="e">
        <v>#N/A</v>
      </c>
      <c r="W371" s="2850" t="e">
        <v>#N/A</v>
      </c>
      <c r="X371" s="2850" t="e">
        <v>#N/A</v>
      </c>
      <c r="Y371" s="2850" t="e">
        <v>#N/A</v>
      </c>
      <c r="Z371" s="2850" t="e">
        <v>#N/A</v>
      </c>
      <c r="AA371" s="2850" t="e">
        <v>#N/A</v>
      </c>
      <c r="AB371" s="2850" t="e">
        <v>#N/A</v>
      </c>
      <c r="AC371" s="2850" t="e">
        <v>#N/A</v>
      </c>
      <c r="AD371" s="2850" t="e">
        <v>#N/A</v>
      </c>
      <c r="AE371" s="2850" t="e">
        <v>#N/A</v>
      </c>
      <c r="AF371" s="2850" t="e">
        <v>#N/A</v>
      </c>
      <c r="AG371" s="2852" t="e">
        <v>#N/A</v>
      </c>
    </row>
    <row r="372" spans="1:33">
      <c r="A372" s="49">
        <f t="shared" si="6"/>
        <v>2024.03</v>
      </c>
      <c r="B372" s="573" t="e">
        <v>#N/A</v>
      </c>
      <c r="C372" s="1365" t="e">
        <v>#N/A</v>
      </c>
      <c r="D372" s="73" t="e">
        <v>#N/A</v>
      </c>
      <c r="E372" s="74">
        <v>498215.67</v>
      </c>
      <c r="F372" s="570" t="e">
        <v>#N/A</v>
      </c>
      <c r="G372" s="2864" t="e">
        <v>#N/A</v>
      </c>
      <c r="H372" s="2865" t="e">
        <v>#N/A</v>
      </c>
      <c r="I372" s="2861" t="e">
        <f t="shared" si="4"/>
        <v>#N/A</v>
      </c>
      <c r="J372" s="2866" t="e">
        <v>#N/A</v>
      </c>
      <c r="K372" s="2865" t="e">
        <v>#N/A</v>
      </c>
      <c r="L372" s="2865" t="e">
        <v>#N/A</v>
      </c>
      <c r="M372" s="2867" t="e">
        <v>#N/A</v>
      </c>
      <c r="N372" s="2850" t="e">
        <v>#N/A</v>
      </c>
      <c r="O372" s="2850" t="e">
        <v>#N/A</v>
      </c>
      <c r="P372" s="2850" t="e">
        <v>#N/A</v>
      </c>
      <c r="Q372" s="2850" t="e">
        <v>#N/A</v>
      </c>
      <c r="R372" s="2850" t="e">
        <v>#N/A</v>
      </c>
      <c r="S372" s="2850" t="e">
        <v>#N/A</v>
      </c>
      <c r="T372" s="2850" t="e">
        <v>#N/A</v>
      </c>
      <c r="U372" s="2850" t="e">
        <v>#N/A</v>
      </c>
      <c r="V372" s="2850" t="e">
        <v>#N/A</v>
      </c>
      <c r="W372" s="2850" t="e">
        <v>#N/A</v>
      </c>
      <c r="X372" s="2850" t="e">
        <v>#N/A</v>
      </c>
      <c r="Y372" s="2850" t="e">
        <v>#N/A</v>
      </c>
      <c r="Z372" s="2850" t="e">
        <v>#N/A</v>
      </c>
      <c r="AA372" s="2850" t="e">
        <v>#N/A</v>
      </c>
      <c r="AB372" s="2850" t="e">
        <v>#N/A</v>
      </c>
      <c r="AC372" s="2850" t="e">
        <v>#N/A</v>
      </c>
      <c r="AD372" s="2850" t="e">
        <v>#N/A</v>
      </c>
      <c r="AE372" s="2850" t="e">
        <v>#N/A</v>
      </c>
      <c r="AF372" s="2850" t="e">
        <v>#N/A</v>
      </c>
      <c r="AG372" s="2852" t="e">
        <v>#N/A</v>
      </c>
    </row>
    <row r="373" spans="1:33">
      <c r="A373" s="49">
        <f t="shared" si="6"/>
        <v>2024.04</v>
      </c>
      <c r="B373" s="573" t="e">
        <v>#N/A</v>
      </c>
      <c r="C373" s="1365" t="e">
        <v>#N/A</v>
      </c>
      <c r="D373" s="73" t="e">
        <v>#N/A</v>
      </c>
      <c r="E373" s="74" t="e">
        <v>#N/A</v>
      </c>
      <c r="F373" s="570" t="e">
        <v>#N/A</v>
      </c>
      <c r="G373" s="2864" t="e">
        <v>#N/A</v>
      </c>
      <c r="H373" s="2865" t="e">
        <v>#N/A</v>
      </c>
      <c r="I373" s="2861" t="e">
        <f t="shared" si="4"/>
        <v>#N/A</v>
      </c>
      <c r="J373" s="2866" t="e">
        <v>#N/A</v>
      </c>
      <c r="K373" s="2865" t="e">
        <v>#N/A</v>
      </c>
      <c r="L373" s="2865" t="e">
        <v>#N/A</v>
      </c>
      <c r="M373" s="2867" t="e">
        <v>#N/A</v>
      </c>
      <c r="N373" s="2850" t="e">
        <v>#N/A</v>
      </c>
      <c r="O373" s="2850" t="e">
        <v>#N/A</v>
      </c>
      <c r="P373" s="2850" t="e">
        <v>#N/A</v>
      </c>
      <c r="Q373" s="2850" t="e">
        <v>#N/A</v>
      </c>
      <c r="R373" s="2850" t="e">
        <v>#N/A</v>
      </c>
      <c r="S373" s="2850" t="e">
        <v>#N/A</v>
      </c>
      <c r="T373" s="2850" t="e">
        <v>#N/A</v>
      </c>
      <c r="U373" s="2850" t="e">
        <v>#N/A</v>
      </c>
      <c r="V373" s="2850" t="e">
        <v>#N/A</v>
      </c>
      <c r="W373" s="2850" t="e">
        <v>#N/A</v>
      </c>
      <c r="X373" s="2850" t="e">
        <v>#N/A</v>
      </c>
      <c r="Y373" s="2850" t="e">
        <v>#N/A</v>
      </c>
      <c r="Z373" s="2850" t="e">
        <v>#N/A</v>
      </c>
      <c r="AA373" s="2850" t="e">
        <v>#N/A</v>
      </c>
      <c r="AB373" s="2850" t="e">
        <v>#N/A</v>
      </c>
      <c r="AC373" s="2850" t="e">
        <v>#N/A</v>
      </c>
      <c r="AD373" s="2850" t="e">
        <v>#N/A</v>
      </c>
      <c r="AE373" s="2850" t="e">
        <v>#N/A</v>
      </c>
      <c r="AF373" s="2850" t="e">
        <v>#N/A</v>
      </c>
      <c r="AG373" s="2852" t="e">
        <v>#N/A</v>
      </c>
    </row>
    <row r="374" spans="1:33">
      <c r="A374" s="49">
        <f t="shared" si="6"/>
        <v>2024.05</v>
      </c>
      <c r="B374" s="573" t="e">
        <v>#N/A</v>
      </c>
      <c r="C374" s="1365" t="e">
        <v>#N/A</v>
      </c>
      <c r="D374" s="73" t="e">
        <v>#N/A</v>
      </c>
      <c r="E374" s="74" t="e">
        <v>#N/A</v>
      </c>
      <c r="F374" s="570" t="e">
        <v>#N/A</v>
      </c>
      <c r="G374" s="2864" t="e">
        <v>#N/A</v>
      </c>
      <c r="H374" s="2865" t="e">
        <v>#N/A</v>
      </c>
      <c r="I374" s="2861" t="e">
        <f t="shared" si="4"/>
        <v>#N/A</v>
      </c>
      <c r="J374" s="2866" t="e">
        <v>#N/A</v>
      </c>
      <c r="K374" s="2865" t="e">
        <v>#N/A</v>
      </c>
      <c r="L374" s="2865" t="e">
        <v>#N/A</v>
      </c>
      <c r="M374" s="2867" t="e">
        <v>#N/A</v>
      </c>
      <c r="N374" s="2850" t="e">
        <v>#N/A</v>
      </c>
      <c r="O374" s="2850" t="e">
        <v>#N/A</v>
      </c>
      <c r="P374" s="2850" t="e">
        <v>#N/A</v>
      </c>
      <c r="Q374" s="2850" t="e">
        <v>#N/A</v>
      </c>
      <c r="R374" s="2850" t="e">
        <v>#N/A</v>
      </c>
      <c r="S374" s="2850" t="e">
        <v>#N/A</v>
      </c>
      <c r="T374" s="2850" t="e">
        <v>#N/A</v>
      </c>
      <c r="U374" s="2850" t="e">
        <v>#N/A</v>
      </c>
      <c r="V374" s="2850" t="e">
        <v>#N/A</v>
      </c>
      <c r="W374" s="2850" t="e">
        <v>#N/A</v>
      </c>
      <c r="X374" s="2850" t="e">
        <v>#N/A</v>
      </c>
      <c r="Y374" s="2850" t="e">
        <v>#N/A</v>
      </c>
      <c r="Z374" s="2850" t="e">
        <v>#N/A</v>
      </c>
      <c r="AA374" s="2850" t="e">
        <v>#N/A</v>
      </c>
      <c r="AB374" s="2850" t="e">
        <v>#N/A</v>
      </c>
      <c r="AC374" s="2850" t="e">
        <v>#N/A</v>
      </c>
      <c r="AD374" s="2850" t="e">
        <v>#N/A</v>
      </c>
      <c r="AE374" s="2850" t="e">
        <v>#N/A</v>
      </c>
      <c r="AF374" s="2850" t="e">
        <v>#N/A</v>
      </c>
      <c r="AG374" s="2852" t="e">
        <v>#N/A</v>
      </c>
    </row>
    <row r="375" spans="1:33">
      <c r="A375" s="49">
        <f t="shared" si="6"/>
        <v>2024.06</v>
      </c>
      <c r="B375" s="573" t="e">
        <v>#N/A</v>
      </c>
      <c r="C375" s="1365" t="e">
        <v>#N/A</v>
      </c>
      <c r="D375" s="73" t="e">
        <v>#N/A</v>
      </c>
      <c r="E375" s="74" t="e">
        <v>#N/A</v>
      </c>
      <c r="F375" s="570" t="e">
        <v>#N/A</v>
      </c>
      <c r="G375" s="2864" t="e">
        <v>#N/A</v>
      </c>
      <c r="H375" s="2865" t="e">
        <v>#N/A</v>
      </c>
      <c r="I375" s="2861" t="e">
        <f t="shared" si="4"/>
        <v>#N/A</v>
      </c>
      <c r="J375" s="2866" t="e">
        <v>#N/A</v>
      </c>
      <c r="K375" s="2865" t="e">
        <v>#N/A</v>
      </c>
      <c r="L375" s="2865" t="e">
        <v>#N/A</v>
      </c>
      <c r="M375" s="2867" t="e">
        <v>#N/A</v>
      </c>
      <c r="N375" s="2850" t="e">
        <v>#N/A</v>
      </c>
      <c r="O375" s="2850" t="e">
        <v>#N/A</v>
      </c>
      <c r="P375" s="2850" t="e">
        <v>#N/A</v>
      </c>
      <c r="Q375" s="2850" t="e">
        <v>#N/A</v>
      </c>
      <c r="R375" s="2850" t="e">
        <v>#N/A</v>
      </c>
      <c r="S375" s="2850" t="e">
        <v>#N/A</v>
      </c>
      <c r="T375" s="2850" t="e">
        <v>#N/A</v>
      </c>
      <c r="U375" s="2850" t="e">
        <v>#N/A</v>
      </c>
      <c r="V375" s="2850" t="e">
        <v>#N/A</v>
      </c>
      <c r="W375" s="2850" t="e">
        <v>#N/A</v>
      </c>
      <c r="X375" s="2850" t="e">
        <v>#N/A</v>
      </c>
      <c r="Y375" s="2850" t="e">
        <v>#N/A</v>
      </c>
      <c r="Z375" s="2850" t="e">
        <v>#N/A</v>
      </c>
      <c r="AA375" s="2850" t="e">
        <v>#N/A</v>
      </c>
      <c r="AB375" s="2850" t="e">
        <v>#N/A</v>
      </c>
      <c r="AC375" s="2850" t="e">
        <v>#N/A</v>
      </c>
      <c r="AD375" s="2850" t="e">
        <v>#N/A</v>
      </c>
      <c r="AE375" s="2850" t="e">
        <v>#N/A</v>
      </c>
      <c r="AF375" s="2850" t="e">
        <v>#N/A</v>
      </c>
      <c r="AG375" s="2852" t="e">
        <v>#N/A</v>
      </c>
    </row>
    <row r="376" spans="1:33">
      <c r="A376" s="49">
        <f t="shared" si="6"/>
        <v>2024.07</v>
      </c>
      <c r="B376" s="573" t="e">
        <v>#N/A</v>
      </c>
      <c r="C376" s="1365" t="e">
        <v>#N/A</v>
      </c>
      <c r="D376" s="73" t="e">
        <v>#N/A</v>
      </c>
      <c r="E376" s="74" t="e">
        <v>#N/A</v>
      </c>
      <c r="F376" s="570" t="e">
        <v>#N/A</v>
      </c>
      <c r="G376" s="2864" t="e">
        <v>#N/A</v>
      </c>
      <c r="H376" s="2865" t="e">
        <v>#N/A</v>
      </c>
      <c r="I376" s="2861" t="e">
        <f t="shared" si="4"/>
        <v>#N/A</v>
      </c>
      <c r="J376" s="2866" t="e">
        <v>#N/A</v>
      </c>
      <c r="K376" s="2865" t="e">
        <v>#N/A</v>
      </c>
      <c r="L376" s="2865" t="e">
        <v>#N/A</v>
      </c>
      <c r="M376" s="2867" t="e">
        <v>#N/A</v>
      </c>
      <c r="N376" s="2850" t="e">
        <v>#N/A</v>
      </c>
      <c r="O376" s="2850" t="e">
        <v>#N/A</v>
      </c>
      <c r="P376" s="2850" t="e">
        <v>#N/A</v>
      </c>
      <c r="Q376" s="2850" t="e">
        <v>#N/A</v>
      </c>
      <c r="R376" s="2850" t="e">
        <v>#N/A</v>
      </c>
      <c r="S376" s="2850" t="e">
        <v>#N/A</v>
      </c>
      <c r="T376" s="2850" t="e">
        <v>#N/A</v>
      </c>
      <c r="U376" s="2850" t="e">
        <v>#N/A</v>
      </c>
      <c r="V376" s="2850" t="e">
        <v>#N/A</v>
      </c>
      <c r="W376" s="2850" t="e">
        <v>#N/A</v>
      </c>
      <c r="X376" s="2850" t="e">
        <v>#N/A</v>
      </c>
      <c r="Y376" s="2850" t="e">
        <v>#N/A</v>
      </c>
      <c r="Z376" s="2850" t="e">
        <v>#N/A</v>
      </c>
      <c r="AA376" s="2850" t="e">
        <v>#N/A</v>
      </c>
      <c r="AB376" s="2850" t="e">
        <v>#N/A</v>
      </c>
      <c r="AC376" s="2850" t="e">
        <v>#N/A</v>
      </c>
      <c r="AD376" s="2850" t="e">
        <v>#N/A</v>
      </c>
      <c r="AE376" s="2850" t="e">
        <v>#N/A</v>
      </c>
      <c r="AF376" s="2850" t="e">
        <v>#N/A</v>
      </c>
      <c r="AG376" s="2852" t="e">
        <v>#N/A</v>
      </c>
    </row>
    <row r="377" spans="1:33">
      <c r="A377" s="49">
        <f t="shared" si="6"/>
        <v>2024.08</v>
      </c>
      <c r="B377" s="573" t="e">
        <v>#N/A</v>
      </c>
      <c r="C377" s="1365" t="e">
        <v>#N/A</v>
      </c>
      <c r="D377" s="73" t="e">
        <v>#N/A</v>
      </c>
      <c r="E377" s="74" t="e">
        <v>#N/A</v>
      </c>
      <c r="F377" s="570" t="e">
        <v>#N/A</v>
      </c>
      <c r="G377" s="2864" t="e">
        <v>#N/A</v>
      </c>
      <c r="H377" s="2865" t="e">
        <v>#N/A</v>
      </c>
      <c r="I377" s="2861" t="e">
        <f t="shared" si="4"/>
        <v>#N/A</v>
      </c>
      <c r="J377" s="2866" t="e">
        <v>#N/A</v>
      </c>
      <c r="K377" s="2865" t="e">
        <v>#N/A</v>
      </c>
      <c r="L377" s="2865" t="e">
        <v>#N/A</v>
      </c>
      <c r="M377" s="2867" t="e">
        <v>#N/A</v>
      </c>
      <c r="N377" s="2850" t="e">
        <v>#N/A</v>
      </c>
      <c r="O377" s="2850" t="e">
        <v>#N/A</v>
      </c>
      <c r="P377" s="2850" t="e">
        <v>#N/A</v>
      </c>
      <c r="Q377" s="2850" t="e">
        <v>#N/A</v>
      </c>
      <c r="R377" s="2850" t="e">
        <v>#N/A</v>
      </c>
      <c r="S377" s="2850" t="e">
        <v>#N/A</v>
      </c>
      <c r="T377" s="2850" t="e">
        <v>#N/A</v>
      </c>
      <c r="U377" s="2850" t="e">
        <v>#N/A</v>
      </c>
      <c r="V377" s="2850" t="e">
        <v>#N/A</v>
      </c>
      <c r="W377" s="2850" t="e">
        <v>#N/A</v>
      </c>
      <c r="X377" s="2850" t="e">
        <v>#N/A</v>
      </c>
      <c r="Y377" s="2850" t="e">
        <v>#N/A</v>
      </c>
      <c r="Z377" s="2850" t="e">
        <v>#N/A</v>
      </c>
      <c r="AA377" s="2850" t="e">
        <v>#N/A</v>
      </c>
      <c r="AB377" s="2850" t="e">
        <v>#N/A</v>
      </c>
      <c r="AC377" s="2850" t="e">
        <v>#N/A</v>
      </c>
      <c r="AD377" s="2850" t="e">
        <v>#N/A</v>
      </c>
      <c r="AE377" s="2850" t="e">
        <v>#N/A</v>
      </c>
      <c r="AF377" s="2850" t="e">
        <v>#N/A</v>
      </c>
      <c r="AG377" s="2852" t="e">
        <v>#N/A</v>
      </c>
    </row>
    <row r="378" spans="1:33">
      <c r="A378" s="49">
        <f t="shared" si="6"/>
        <v>2024.09</v>
      </c>
      <c r="B378" s="573" t="e">
        <v>#N/A</v>
      </c>
      <c r="C378" s="1365" t="e">
        <v>#N/A</v>
      </c>
      <c r="D378" s="73" t="e">
        <v>#N/A</v>
      </c>
      <c r="E378" s="74" t="e">
        <v>#N/A</v>
      </c>
      <c r="F378" s="570" t="e">
        <v>#N/A</v>
      </c>
      <c r="G378" s="2864" t="e">
        <v>#N/A</v>
      </c>
      <c r="H378" s="2865" t="e">
        <v>#N/A</v>
      </c>
      <c r="I378" s="2861" t="e">
        <f t="shared" si="4"/>
        <v>#N/A</v>
      </c>
      <c r="J378" s="2866" t="e">
        <v>#N/A</v>
      </c>
      <c r="K378" s="2865" t="e">
        <v>#N/A</v>
      </c>
      <c r="L378" s="2865" t="e">
        <v>#N/A</v>
      </c>
      <c r="M378" s="2867" t="e">
        <v>#N/A</v>
      </c>
      <c r="N378" s="2850" t="e">
        <v>#N/A</v>
      </c>
      <c r="O378" s="2850" t="e">
        <v>#N/A</v>
      </c>
      <c r="P378" s="2850" t="e">
        <v>#N/A</v>
      </c>
      <c r="Q378" s="2850" t="e">
        <v>#N/A</v>
      </c>
      <c r="R378" s="2850" t="e">
        <v>#N/A</v>
      </c>
      <c r="S378" s="2850" t="e">
        <v>#N/A</v>
      </c>
      <c r="T378" s="2850" t="e">
        <v>#N/A</v>
      </c>
      <c r="U378" s="2850" t="e">
        <v>#N/A</v>
      </c>
      <c r="V378" s="2850" t="e">
        <v>#N/A</v>
      </c>
      <c r="W378" s="2850" t="e">
        <v>#N/A</v>
      </c>
      <c r="X378" s="2850" t="e">
        <v>#N/A</v>
      </c>
      <c r="Y378" s="2850" t="e">
        <v>#N/A</v>
      </c>
      <c r="Z378" s="2850" t="e">
        <v>#N/A</v>
      </c>
      <c r="AA378" s="2850" t="e">
        <v>#N/A</v>
      </c>
      <c r="AB378" s="2850" t="e">
        <v>#N/A</v>
      </c>
      <c r="AC378" s="2850" t="e">
        <v>#N/A</v>
      </c>
      <c r="AD378" s="2850" t="e">
        <v>#N/A</v>
      </c>
      <c r="AE378" s="2850" t="e">
        <v>#N/A</v>
      </c>
      <c r="AF378" s="2850" t="e">
        <v>#N/A</v>
      </c>
      <c r="AG378" s="2852" t="e">
        <v>#N/A</v>
      </c>
    </row>
    <row r="379" spans="1:33">
      <c r="A379" s="49">
        <f t="shared" si="6"/>
        <v>2024.1</v>
      </c>
      <c r="B379" s="573" t="e">
        <v>#N/A</v>
      </c>
      <c r="C379" s="1365" t="e">
        <v>#N/A</v>
      </c>
      <c r="D379" s="73" t="e">
        <v>#N/A</v>
      </c>
      <c r="E379" s="74" t="e">
        <v>#N/A</v>
      </c>
      <c r="F379" s="570" t="e">
        <v>#N/A</v>
      </c>
      <c r="G379" s="2864" t="e">
        <v>#N/A</v>
      </c>
      <c r="H379" s="2865" t="e">
        <v>#N/A</v>
      </c>
      <c r="I379" s="2861" t="e">
        <f t="shared" ref="I379:I442" si="7">+G379+H379</f>
        <v>#N/A</v>
      </c>
      <c r="J379" s="2866" t="e">
        <v>#N/A</v>
      </c>
      <c r="K379" s="2865" t="e">
        <v>#N/A</v>
      </c>
      <c r="L379" s="2865" t="e">
        <v>#N/A</v>
      </c>
      <c r="M379" s="2867" t="e">
        <v>#N/A</v>
      </c>
      <c r="N379" s="2850" t="e">
        <v>#N/A</v>
      </c>
      <c r="O379" s="2850" t="e">
        <v>#N/A</v>
      </c>
      <c r="P379" s="2850" t="e">
        <v>#N/A</v>
      </c>
      <c r="Q379" s="2850" t="e">
        <v>#N/A</v>
      </c>
      <c r="R379" s="2850" t="e">
        <v>#N/A</v>
      </c>
      <c r="S379" s="2850" t="e">
        <v>#N/A</v>
      </c>
      <c r="T379" s="2850" t="e">
        <v>#N/A</v>
      </c>
      <c r="U379" s="2850" t="e">
        <v>#N/A</v>
      </c>
      <c r="V379" s="2850" t="e">
        <v>#N/A</v>
      </c>
      <c r="W379" s="2850" t="e">
        <v>#N/A</v>
      </c>
      <c r="X379" s="2850" t="e">
        <v>#N/A</v>
      </c>
      <c r="Y379" s="2850" t="e">
        <v>#N/A</v>
      </c>
      <c r="Z379" s="2850" t="e">
        <v>#N/A</v>
      </c>
      <c r="AA379" s="2850" t="e">
        <v>#N/A</v>
      </c>
      <c r="AB379" s="2850" t="e">
        <v>#N/A</v>
      </c>
      <c r="AC379" s="2850" t="e">
        <v>#N/A</v>
      </c>
      <c r="AD379" s="2850" t="e">
        <v>#N/A</v>
      </c>
      <c r="AE379" s="2850" t="e">
        <v>#N/A</v>
      </c>
      <c r="AF379" s="2850" t="e">
        <v>#N/A</v>
      </c>
      <c r="AG379" s="2852" t="e">
        <v>#N/A</v>
      </c>
    </row>
    <row r="380" spans="1:33">
      <c r="A380" s="49">
        <f t="shared" si="6"/>
        <v>2024.11</v>
      </c>
      <c r="B380" s="573" t="e">
        <v>#N/A</v>
      </c>
      <c r="C380" s="1365" t="e">
        <v>#N/A</v>
      </c>
      <c r="D380" s="73" t="e">
        <v>#N/A</v>
      </c>
      <c r="E380" s="74" t="e">
        <v>#N/A</v>
      </c>
      <c r="F380" s="570" t="e">
        <v>#N/A</v>
      </c>
      <c r="G380" s="2864" t="e">
        <v>#N/A</v>
      </c>
      <c r="H380" s="2865" t="e">
        <v>#N/A</v>
      </c>
      <c r="I380" s="2861" t="e">
        <f t="shared" si="7"/>
        <v>#N/A</v>
      </c>
      <c r="J380" s="2866" t="e">
        <v>#N/A</v>
      </c>
      <c r="K380" s="2865" t="e">
        <v>#N/A</v>
      </c>
      <c r="L380" s="2865" t="e">
        <v>#N/A</v>
      </c>
      <c r="M380" s="2867" t="e">
        <v>#N/A</v>
      </c>
      <c r="N380" s="2850" t="e">
        <v>#N/A</v>
      </c>
      <c r="O380" s="2850" t="e">
        <v>#N/A</v>
      </c>
      <c r="P380" s="2850" t="e">
        <v>#N/A</v>
      </c>
      <c r="Q380" s="2850" t="e">
        <v>#N/A</v>
      </c>
      <c r="R380" s="2850" t="e">
        <v>#N/A</v>
      </c>
      <c r="S380" s="2850" t="e">
        <v>#N/A</v>
      </c>
      <c r="T380" s="2850" t="e">
        <v>#N/A</v>
      </c>
      <c r="U380" s="2850" t="e">
        <v>#N/A</v>
      </c>
      <c r="V380" s="2850" t="e">
        <v>#N/A</v>
      </c>
      <c r="W380" s="2850" t="e">
        <v>#N/A</v>
      </c>
      <c r="X380" s="2850" t="e">
        <v>#N/A</v>
      </c>
      <c r="Y380" s="2850" t="e">
        <v>#N/A</v>
      </c>
      <c r="Z380" s="2850" t="e">
        <v>#N/A</v>
      </c>
      <c r="AA380" s="2850" t="e">
        <v>#N/A</v>
      </c>
      <c r="AB380" s="2850" t="e">
        <v>#N/A</v>
      </c>
      <c r="AC380" s="2850" t="e">
        <v>#N/A</v>
      </c>
      <c r="AD380" s="2850" t="e">
        <v>#N/A</v>
      </c>
      <c r="AE380" s="2850" t="e">
        <v>#N/A</v>
      </c>
      <c r="AF380" s="2850" t="e">
        <v>#N/A</v>
      </c>
      <c r="AG380" s="2852" t="e">
        <v>#N/A</v>
      </c>
    </row>
    <row r="381" spans="1:33">
      <c r="A381" s="49">
        <f t="shared" si="6"/>
        <v>2024.12</v>
      </c>
      <c r="B381" s="573" t="e">
        <v>#N/A</v>
      </c>
      <c r="C381" s="1365" t="e">
        <v>#N/A</v>
      </c>
      <c r="D381" s="73" t="e">
        <v>#N/A</v>
      </c>
      <c r="E381" s="74" t="e">
        <v>#N/A</v>
      </c>
      <c r="F381" s="570" t="e">
        <v>#N/A</v>
      </c>
      <c r="G381" s="2864" t="e">
        <v>#N/A</v>
      </c>
      <c r="H381" s="2865" t="e">
        <v>#N/A</v>
      </c>
      <c r="I381" s="2861" t="e">
        <f t="shared" si="7"/>
        <v>#N/A</v>
      </c>
      <c r="J381" s="2866" t="e">
        <v>#N/A</v>
      </c>
      <c r="K381" s="2865" t="e">
        <v>#N/A</v>
      </c>
      <c r="L381" s="2865" t="e">
        <v>#N/A</v>
      </c>
      <c r="M381" s="2867" t="e">
        <v>#N/A</v>
      </c>
      <c r="N381" s="2850" t="e">
        <v>#N/A</v>
      </c>
      <c r="O381" s="2850" t="e">
        <v>#N/A</v>
      </c>
      <c r="P381" s="2850" t="e">
        <v>#N/A</v>
      </c>
      <c r="Q381" s="2850" t="e">
        <v>#N/A</v>
      </c>
      <c r="R381" s="2850" t="e">
        <v>#N/A</v>
      </c>
      <c r="S381" s="2850" t="e">
        <v>#N/A</v>
      </c>
      <c r="T381" s="2850" t="e">
        <v>#N/A</v>
      </c>
      <c r="U381" s="2850" t="e">
        <v>#N/A</v>
      </c>
      <c r="V381" s="2850" t="e">
        <v>#N/A</v>
      </c>
      <c r="W381" s="2850" t="e">
        <v>#N/A</v>
      </c>
      <c r="X381" s="2850" t="e">
        <v>#N/A</v>
      </c>
      <c r="Y381" s="2850" t="e">
        <v>#N/A</v>
      </c>
      <c r="Z381" s="2850" t="e">
        <v>#N/A</v>
      </c>
      <c r="AA381" s="2850" t="e">
        <v>#N/A</v>
      </c>
      <c r="AB381" s="2850" t="e">
        <v>#N/A</v>
      </c>
      <c r="AC381" s="2850" t="e">
        <v>#N/A</v>
      </c>
      <c r="AD381" s="2850" t="e">
        <v>#N/A</v>
      </c>
      <c r="AE381" s="2850" t="e">
        <v>#N/A</v>
      </c>
      <c r="AF381" s="2850" t="e">
        <v>#N/A</v>
      </c>
      <c r="AG381" s="2852" t="e">
        <v>#N/A</v>
      </c>
    </row>
    <row r="382" spans="1:33">
      <c r="A382" s="49">
        <f t="shared" si="6"/>
        <v>2025.01</v>
      </c>
      <c r="B382" s="573" t="e">
        <v>#N/A</v>
      </c>
      <c r="C382" s="1365" t="e">
        <v>#N/A</v>
      </c>
      <c r="D382" s="73" t="e">
        <v>#N/A</v>
      </c>
      <c r="E382" s="74" t="e">
        <v>#N/A</v>
      </c>
      <c r="F382" s="570" t="e">
        <v>#N/A</v>
      </c>
      <c r="G382" s="2864" t="e">
        <v>#N/A</v>
      </c>
      <c r="H382" s="2865" t="e">
        <v>#N/A</v>
      </c>
      <c r="I382" s="2861" t="e">
        <f t="shared" si="7"/>
        <v>#N/A</v>
      </c>
      <c r="J382" s="2866" t="e">
        <v>#N/A</v>
      </c>
      <c r="K382" s="2865" t="e">
        <v>#N/A</v>
      </c>
      <c r="L382" s="2865" t="e">
        <v>#N/A</v>
      </c>
      <c r="M382" s="2867" t="e">
        <v>#N/A</v>
      </c>
      <c r="N382" s="2850" t="e">
        <v>#N/A</v>
      </c>
      <c r="O382" s="2850" t="e">
        <v>#N/A</v>
      </c>
      <c r="P382" s="2850" t="e">
        <v>#N/A</v>
      </c>
      <c r="Q382" s="2850" t="e">
        <v>#N/A</v>
      </c>
      <c r="R382" s="2850" t="e">
        <v>#N/A</v>
      </c>
      <c r="S382" s="2850" t="e">
        <v>#N/A</v>
      </c>
      <c r="T382" s="2850" t="e">
        <v>#N/A</v>
      </c>
      <c r="U382" s="2850" t="e">
        <v>#N/A</v>
      </c>
      <c r="V382" s="2850" t="e">
        <v>#N/A</v>
      </c>
      <c r="W382" s="2850" t="e">
        <v>#N/A</v>
      </c>
      <c r="X382" s="2850" t="e">
        <v>#N/A</v>
      </c>
      <c r="Y382" s="2850" t="e">
        <v>#N/A</v>
      </c>
      <c r="Z382" s="2850" t="e">
        <v>#N/A</v>
      </c>
      <c r="AA382" s="2850" t="e">
        <v>#N/A</v>
      </c>
      <c r="AB382" s="2850" t="e">
        <v>#N/A</v>
      </c>
      <c r="AC382" s="2850" t="e">
        <v>#N/A</v>
      </c>
      <c r="AD382" s="2850" t="e">
        <v>#N/A</v>
      </c>
      <c r="AE382" s="2850" t="e">
        <v>#N/A</v>
      </c>
      <c r="AF382" s="2850" t="e">
        <v>#N/A</v>
      </c>
      <c r="AG382" s="2852" t="e">
        <v>#N/A</v>
      </c>
    </row>
    <row r="383" spans="1:33">
      <c r="A383" s="49">
        <f t="shared" si="6"/>
        <v>2025.02</v>
      </c>
      <c r="B383" s="573" t="e">
        <v>#N/A</v>
      </c>
      <c r="C383" s="1365" t="e">
        <v>#N/A</v>
      </c>
      <c r="D383" s="73" t="e">
        <v>#N/A</v>
      </c>
      <c r="E383" s="74" t="e">
        <v>#N/A</v>
      </c>
      <c r="F383" s="570" t="e">
        <v>#N/A</v>
      </c>
      <c r="G383" s="2864" t="e">
        <v>#N/A</v>
      </c>
      <c r="H383" s="2865" t="e">
        <v>#N/A</v>
      </c>
      <c r="I383" s="2861" t="e">
        <f t="shared" si="7"/>
        <v>#N/A</v>
      </c>
      <c r="J383" s="2866" t="e">
        <v>#N/A</v>
      </c>
      <c r="K383" s="2865" t="e">
        <v>#N/A</v>
      </c>
      <c r="L383" s="2865" t="e">
        <v>#N/A</v>
      </c>
      <c r="M383" s="2867" t="e">
        <v>#N/A</v>
      </c>
      <c r="N383" s="2850" t="e">
        <v>#N/A</v>
      </c>
      <c r="O383" s="2850" t="e">
        <v>#N/A</v>
      </c>
      <c r="P383" s="2850" t="e">
        <v>#N/A</v>
      </c>
      <c r="Q383" s="2850" t="e">
        <v>#N/A</v>
      </c>
      <c r="R383" s="2850" t="e">
        <v>#N/A</v>
      </c>
      <c r="S383" s="2850" t="e">
        <v>#N/A</v>
      </c>
      <c r="T383" s="2850" t="e">
        <v>#N/A</v>
      </c>
      <c r="U383" s="2850" t="e">
        <v>#N/A</v>
      </c>
      <c r="V383" s="2850" t="e">
        <v>#N/A</v>
      </c>
      <c r="W383" s="2850" t="e">
        <v>#N/A</v>
      </c>
      <c r="X383" s="2850" t="e">
        <v>#N/A</v>
      </c>
      <c r="Y383" s="2850" t="e">
        <v>#N/A</v>
      </c>
      <c r="Z383" s="2850" t="e">
        <v>#N/A</v>
      </c>
      <c r="AA383" s="2850" t="e">
        <v>#N/A</v>
      </c>
      <c r="AB383" s="2850" t="e">
        <v>#N/A</v>
      </c>
      <c r="AC383" s="2850" t="e">
        <v>#N/A</v>
      </c>
      <c r="AD383" s="2850" t="e">
        <v>#N/A</v>
      </c>
      <c r="AE383" s="2850" t="e">
        <v>#N/A</v>
      </c>
      <c r="AF383" s="2850" t="e">
        <v>#N/A</v>
      </c>
      <c r="AG383" s="2852" t="e">
        <v>#N/A</v>
      </c>
    </row>
    <row r="384" spans="1:33">
      <c r="A384" s="49">
        <f t="shared" si="6"/>
        <v>2025.03</v>
      </c>
      <c r="B384" s="573" t="e">
        <v>#N/A</v>
      </c>
      <c r="C384" s="1365" t="e">
        <v>#N/A</v>
      </c>
      <c r="D384" s="73" t="e">
        <v>#N/A</v>
      </c>
      <c r="E384" s="74" t="e">
        <v>#N/A</v>
      </c>
      <c r="F384" s="570" t="e">
        <v>#N/A</v>
      </c>
      <c r="G384" s="2864" t="e">
        <v>#N/A</v>
      </c>
      <c r="H384" s="2865" t="e">
        <v>#N/A</v>
      </c>
      <c r="I384" s="2861" t="e">
        <f t="shared" si="7"/>
        <v>#N/A</v>
      </c>
      <c r="J384" s="2866" t="e">
        <v>#N/A</v>
      </c>
      <c r="K384" s="2865" t="e">
        <v>#N/A</v>
      </c>
      <c r="L384" s="2865" t="e">
        <v>#N/A</v>
      </c>
      <c r="M384" s="2867" t="e">
        <v>#N/A</v>
      </c>
      <c r="N384" s="2850" t="e">
        <v>#N/A</v>
      </c>
      <c r="O384" s="2850" t="e">
        <v>#N/A</v>
      </c>
      <c r="P384" s="2850" t="e">
        <v>#N/A</v>
      </c>
      <c r="Q384" s="2850" t="e">
        <v>#N/A</v>
      </c>
      <c r="R384" s="2850" t="e">
        <v>#N/A</v>
      </c>
      <c r="S384" s="2850" t="e">
        <v>#N/A</v>
      </c>
      <c r="T384" s="2850" t="e">
        <v>#N/A</v>
      </c>
      <c r="U384" s="2850" t="e">
        <v>#N/A</v>
      </c>
      <c r="V384" s="2850" t="e">
        <v>#N/A</v>
      </c>
      <c r="W384" s="2850" t="e">
        <v>#N/A</v>
      </c>
      <c r="X384" s="2850" t="e">
        <v>#N/A</v>
      </c>
      <c r="Y384" s="2850" t="e">
        <v>#N/A</v>
      </c>
      <c r="Z384" s="2850" t="e">
        <v>#N/A</v>
      </c>
      <c r="AA384" s="2850" t="e">
        <v>#N/A</v>
      </c>
      <c r="AB384" s="2850" t="e">
        <v>#N/A</v>
      </c>
      <c r="AC384" s="2850" t="e">
        <v>#N/A</v>
      </c>
      <c r="AD384" s="2850" t="e">
        <v>#N/A</v>
      </c>
      <c r="AE384" s="2850" t="e">
        <v>#N/A</v>
      </c>
      <c r="AF384" s="2850" t="e">
        <v>#N/A</v>
      </c>
      <c r="AG384" s="2852" t="e">
        <v>#N/A</v>
      </c>
    </row>
    <row r="385" spans="1:33">
      <c r="A385" s="49">
        <f t="shared" si="6"/>
        <v>2025.04</v>
      </c>
      <c r="B385" s="573" t="e">
        <v>#N/A</v>
      </c>
      <c r="C385" s="1365" t="e">
        <v>#N/A</v>
      </c>
      <c r="D385" s="73" t="e">
        <v>#N/A</v>
      </c>
      <c r="E385" s="74" t="e">
        <v>#N/A</v>
      </c>
      <c r="F385" s="570" t="e">
        <v>#N/A</v>
      </c>
      <c r="G385" s="2864" t="e">
        <v>#N/A</v>
      </c>
      <c r="H385" s="2865" t="e">
        <v>#N/A</v>
      </c>
      <c r="I385" s="2861" t="e">
        <f t="shared" si="7"/>
        <v>#N/A</v>
      </c>
      <c r="J385" s="2866" t="e">
        <v>#N/A</v>
      </c>
      <c r="K385" s="2865" t="e">
        <v>#N/A</v>
      </c>
      <c r="L385" s="2865" t="e">
        <v>#N/A</v>
      </c>
      <c r="M385" s="2867" t="e">
        <v>#N/A</v>
      </c>
      <c r="N385" s="2850" t="e">
        <v>#N/A</v>
      </c>
      <c r="O385" s="2850" t="e">
        <v>#N/A</v>
      </c>
      <c r="P385" s="2850" t="e">
        <v>#N/A</v>
      </c>
      <c r="Q385" s="2850" t="e">
        <v>#N/A</v>
      </c>
      <c r="R385" s="2850" t="e">
        <v>#N/A</v>
      </c>
      <c r="S385" s="2850" t="e">
        <v>#N/A</v>
      </c>
      <c r="T385" s="2850" t="e">
        <v>#N/A</v>
      </c>
      <c r="U385" s="2850" t="e">
        <v>#N/A</v>
      </c>
      <c r="V385" s="2850" t="e">
        <v>#N/A</v>
      </c>
      <c r="W385" s="2850" t="e">
        <v>#N/A</v>
      </c>
      <c r="X385" s="2850" t="e">
        <v>#N/A</v>
      </c>
      <c r="Y385" s="2850" t="e">
        <v>#N/A</v>
      </c>
      <c r="Z385" s="2850" t="e">
        <v>#N/A</v>
      </c>
      <c r="AA385" s="2850" t="e">
        <v>#N/A</v>
      </c>
      <c r="AB385" s="2850" t="e">
        <v>#N/A</v>
      </c>
      <c r="AC385" s="2850" t="e">
        <v>#N/A</v>
      </c>
      <c r="AD385" s="2850" t="e">
        <v>#N/A</v>
      </c>
      <c r="AE385" s="2850" t="e">
        <v>#N/A</v>
      </c>
      <c r="AF385" s="2850" t="e">
        <v>#N/A</v>
      </c>
      <c r="AG385" s="2852" t="e">
        <v>#N/A</v>
      </c>
    </row>
    <row r="386" spans="1:33">
      <c r="A386" s="49">
        <f t="shared" si="6"/>
        <v>2025.05</v>
      </c>
      <c r="B386" s="573" t="e">
        <v>#N/A</v>
      </c>
      <c r="C386" s="1365" t="e">
        <v>#N/A</v>
      </c>
      <c r="D386" s="73" t="e">
        <v>#N/A</v>
      </c>
      <c r="E386" s="74" t="e">
        <v>#N/A</v>
      </c>
      <c r="F386" s="570" t="e">
        <v>#N/A</v>
      </c>
      <c r="G386" s="2864" t="e">
        <v>#N/A</v>
      </c>
      <c r="H386" s="2865" t="e">
        <v>#N/A</v>
      </c>
      <c r="I386" s="2861" t="e">
        <f t="shared" si="7"/>
        <v>#N/A</v>
      </c>
      <c r="J386" s="2866" t="e">
        <v>#N/A</v>
      </c>
      <c r="K386" s="2865" t="e">
        <v>#N/A</v>
      </c>
      <c r="L386" s="2865" t="e">
        <v>#N/A</v>
      </c>
      <c r="M386" s="2867" t="e">
        <v>#N/A</v>
      </c>
      <c r="N386" s="2850" t="e">
        <v>#N/A</v>
      </c>
      <c r="O386" s="2850" t="e">
        <v>#N/A</v>
      </c>
      <c r="P386" s="2850" t="e">
        <v>#N/A</v>
      </c>
      <c r="Q386" s="2850" t="e">
        <v>#N/A</v>
      </c>
      <c r="R386" s="2850" t="e">
        <v>#N/A</v>
      </c>
      <c r="S386" s="2850" t="e">
        <v>#N/A</v>
      </c>
      <c r="T386" s="2850" t="e">
        <v>#N/A</v>
      </c>
      <c r="U386" s="2850" t="e">
        <v>#N/A</v>
      </c>
      <c r="V386" s="2850" t="e">
        <v>#N/A</v>
      </c>
      <c r="W386" s="2850" t="e">
        <v>#N/A</v>
      </c>
      <c r="X386" s="2850" t="e">
        <v>#N/A</v>
      </c>
      <c r="Y386" s="2850" t="e">
        <v>#N/A</v>
      </c>
      <c r="Z386" s="2850" t="e">
        <v>#N/A</v>
      </c>
      <c r="AA386" s="2850" t="e">
        <v>#N/A</v>
      </c>
      <c r="AB386" s="2850" t="e">
        <v>#N/A</v>
      </c>
      <c r="AC386" s="2850" t="e">
        <v>#N/A</v>
      </c>
      <c r="AD386" s="2850" t="e">
        <v>#N/A</v>
      </c>
      <c r="AE386" s="2850" t="e">
        <v>#N/A</v>
      </c>
      <c r="AF386" s="2850" t="e">
        <v>#N/A</v>
      </c>
      <c r="AG386" s="2852" t="e">
        <v>#N/A</v>
      </c>
    </row>
    <row r="387" spans="1:33">
      <c r="A387" s="49">
        <f t="shared" si="6"/>
        <v>2025.06</v>
      </c>
      <c r="B387" s="573" t="e">
        <v>#N/A</v>
      </c>
      <c r="C387" s="1365" t="e">
        <v>#N/A</v>
      </c>
      <c r="D387" s="73" t="e">
        <v>#N/A</v>
      </c>
      <c r="E387" s="74" t="e">
        <v>#N/A</v>
      </c>
      <c r="F387" s="570" t="e">
        <v>#N/A</v>
      </c>
      <c r="G387" s="2864" t="e">
        <v>#N/A</v>
      </c>
      <c r="H387" s="2865" t="e">
        <v>#N/A</v>
      </c>
      <c r="I387" s="2861" t="e">
        <f t="shared" si="7"/>
        <v>#N/A</v>
      </c>
      <c r="J387" s="2866" t="e">
        <v>#N/A</v>
      </c>
      <c r="K387" s="2865" t="e">
        <v>#N/A</v>
      </c>
      <c r="L387" s="2865" t="e">
        <v>#N/A</v>
      </c>
      <c r="M387" s="2867" t="e">
        <v>#N/A</v>
      </c>
      <c r="N387" s="2850" t="e">
        <v>#N/A</v>
      </c>
      <c r="O387" s="2850" t="e">
        <v>#N/A</v>
      </c>
      <c r="P387" s="2850" t="e">
        <v>#N/A</v>
      </c>
      <c r="Q387" s="2850" t="e">
        <v>#N/A</v>
      </c>
      <c r="R387" s="2850" t="e">
        <v>#N/A</v>
      </c>
      <c r="S387" s="2850" t="e">
        <v>#N/A</v>
      </c>
      <c r="T387" s="2850" t="e">
        <v>#N/A</v>
      </c>
      <c r="U387" s="2850" t="e">
        <v>#N/A</v>
      </c>
      <c r="V387" s="2850" t="e">
        <v>#N/A</v>
      </c>
      <c r="W387" s="2850" t="e">
        <v>#N/A</v>
      </c>
      <c r="X387" s="2850" t="e">
        <v>#N/A</v>
      </c>
      <c r="Y387" s="2850" t="e">
        <v>#N/A</v>
      </c>
      <c r="Z387" s="2850" t="e">
        <v>#N/A</v>
      </c>
      <c r="AA387" s="2850" t="e">
        <v>#N/A</v>
      </c>
      <c r="AB387" s="2850" t="e">
        <v>#N/A</v>
      </c>
      <c r="AC387" s="2850" t="e">
        <v>#N/A</v>
      </c>
      <c r="AD387" s="2850" t="e">
        <v>#N/A</v>
      </c>
      <c r="AE387" s="2850" t="e">
        <v>#N/A</v>
      </c>
      <c r="AF387" s="2850" t="e">
        <v>#N/A</v>
      </c>
      <c r="AG387" s="2852" t="e">
        <v>#N/A</v>
      </c>
    </row>
    <row r="388" spans="1:33">
      <c r="A388" s="49">
        <f t="shared" si="6"/>
        <v>2025.07</v>
      </c>
      <c r="B388" s="573" t="e">
        <v>#N/A</v>
      </c>
      <c r="C388" s="1365" t="e">
        <v>#N/A</v>
      </c>
      <c r="D388" s="73" t="e">
        <v>#N/A</v>
      </c>
      <c r="E388" s="74" t="e">
        <v>#N/A</v>
      </c>
      <c r="F388" s="570" t="e">
        <v>#N/A</v>
      </c>
      <c r="G388" s="2864" t="e">
        <v>#N/A</v>
      </c>
      <c r="H388" s="2865" t="e">
        <v>#N/A</v>
      </c>
      <c r="I388" s="2861" t="e">
        <f t="shared" si="7"/>
        <v>#N/A</v>
      </c>
      <c r="J388" s="2866" t="e">
        <v>#N/A</v>
      </c>
      <c r="K388" s="2865" t="e">
        <v>#N/A</v>
      </c>
      <c r="L388" s="2865" t="e">
        <v>#N/A</v>
      </c>
      <c r="M388" s="2867" t="e">
        <v>#N/A</v>
      </c>
      <c r="N388" s="2850" t="e">
        <v>#N/A</v>
      </c>
      <c r="O388" s="2850" t="e">
        <v>#N/A</v>
      </c>
      <c r="P388" s="2850" t="e">
        <v>#N/A</v>
      </c>
      <c r="Q388" s="2850" t="e">
        <v>#N/A</v>
      </c>
      <c r="R388" s="2850" t="e">
        <v>#N/A</v>
      </c>
      <c r="S388" s="2850" t="e">
        <v>#N/A</v>
      </c>
      <c r="T388" s="2850" t="e">
        <v>#N/A</v>
      </c>
      <c r="U388" s="2850" t="e">
        <v>#N/A</v>
      </c>
      <c r="V388" s="2850" t="e">
        <v>#N/A</v>
      </c>
      <c r="W388" s="2850" t="e">
        <v>#N/A</v>
      </c>
      <c r="X388" s="2850" t="e">
        <v>#N/A</v>
      </c>
      <c r="Y388" s="2850" t="e">
        <v>#N/A</v>
      </c>
      <c r="Z388" s="2850" t="e">
        <v>#N/A</v>
      </c>
      <c r="AA388" s="2850" t="e">
        <v>#N/A</v>
      </c>
      <c r="AB388" s="2850" t="e">
        <v>#N/A</v>
      </c>
      <c r="AC388" s="2850" t="e">
        <v>#N/A</v>
      </c>
      <c r="AD388" s="2850" t="e">
        <v>#N/A</v>
      </c>
      <c r="AE388" s="2850" t="e">
        <v>#N/A</v>
      </c>
      <c r="AF388" s="2850" t="e">
        <v>#N/A</v>
      </c>
      <c r="AG388" s="2852" t="e">
        <v>#N/A</v>
      </c>
    </row>
    <row r="389" spans="1:33">
      <c r="A389" s="49">
        <f t="shared" si="6"/>
        <v>2025.08</v>
      </c>
      <c r="B389" s="573" t="e">
        <v>#N/A</v>
      </c>
      <c r="C389" s="1365" t="e">
        <v>#N/A</v>
      </c>
      <c r="D389" s="73" t="e">
        <v>#N/A</v>
      </c>
      <c r="E389" s="74" t="e">
        <v>#N/A</v>
      </c>
      <c r="F389" s="570" t="e">
        <v>#N/A</v>
      </c>
      <c r="G389" s="2864" t="e">
        <v>#N/A</v>
      </c>
      <c r="H389" s="2865" t="e">
        <v>#N/A</v>
      </c>
      <c r="I389" s="2861" t="e">
        <f t="shared" si="7"/>
        <v>#N/A</v>
      </c>
      <c r="J389" s="2866" t="e">
        <v>#N/A</v>
      </c>
      <c r="K389" s="2865" t="e">
        <v>#N/A</v>
      </c>
      <c r="L389" s="2865" t="e">
        <v>#N/A</v>
      </c>
      <c r="M389" s="2867" t="e">
        <v>#N/A</v>
      </c>
      <c r="N389" s="2850" t="e">
        <v>#N/A</v>
      </c>
      <c r="O389" s="2850" t="e">
        <v>#N/A</v>
      </c>
      <c r="P389" s="2850" t="e">
        <v>#N/A</v>
      </c>
      <c r="Q389" s="2850" t="e">
        <v>#N/A</v>
      </c>
      <c r="R389" s="2850" t="e">
        <v>#N/A</v>
      </c>
      <c r="S389" s="2850" t="e">
        <v>#N/A</v>
      </c>
      <c r="T389" s="2850" t="e">
        <v>#N/A</v>
      </c>
      <c r="U389" s="2850" t="e">
        <v>#N/A</v>
      </c>
      <c r="V389" s="2850" t="e">
        <v>#N/A</v>
      </c>
      <c r="W389" s="2850" t="e">
        <v>#N/A</v>
      </c>
      <c r="X389" s="2850" t="e">
        <v>#N/A</v>
      </c>
      <c r="Y389" s="2850" t="e">
        <v>#N/A</v>
      </c>
      <c r="Z389" s="2850" t="e">
        <v>#N/A</v>
      </c>
      <c r="AA389" s="2850" t="e">
        <v>#N/A</v>
      </c>
      <c r="AB389" s="2850" t="e">
        <v>#N/A</v>
      </c>
      <c r="AC389" s="2850" t="e">
        <v>#N/A</v>
      </c>
      <c r="AD389" s="2850" t="e">
        <v>#N/A</v>
      </c>
      <c r="AE389" s="2850" t="e">
        <v>#N/A</v>
      </c>
      <c r="AF389" s="2850" t="e">
        <v>#N/A</v>
      </c>
      <c r="AG389" s="2852" t="e">
        <v>#N/A</v>
      </c>
    </row>
    <row r="390" spans="1:33">
      <c r="A390" s="49">
        <f t="shared" si="6"/>
        <v>2025.09</v>
      </c>
      <c r="B390" s="573" t="e">
        <v>#N/A</v>
      </c>
      <c r="C390" s="1365" t="e">
        <v>#N/A</v>
      </c>
      <c r="D390" s="73" t="e">
        <v>#N/A</v>
      </c>
      <c r="E390" s="74" t="e">
        <v>#N/A</v>
      </c>
      <c r="F390" s="570" t="e">
        <v>#N/A</v>
      </c>
      <c r="G390" s="2864" t="e">
        <v>#N/A</v>
      </c>
      <c r="H390" s="2865" t="e">
        <v>#N/A</v>
      </c>
      <c r="I390" s="2861" t="e">
        <f t="shared" si="7"/>
        <v>#N/A</v>
      </c>
      <c r="J390" s="2866" t="e">
        <v>#N/A</v>
      </c>
      <c r="K390" s="2865" t="e">
        <v>#N/A</v>
      </c>
      <c r="L390" s="2865" t="e">
        <v>#N/A</v>
      </c>
      <c r="M390" s="2867" t="e">
        <v>#N/A</v>
      </c>
      <c r="N390" s="2850" t="e">
        <v>#N/A</v>
      </c>
      <c r="O390" s="2850" t="e">
        <v>#N/A</v>
      </c>
      <c r="P390" s="2850" t="e">
        <v>#N/A</v>
      </c>
      <c r="Q390" s="2850" t="e">
        <v>#N/A</v>
      </c>
      <c r="R390" s="2850" t="e">
        <v>#N/A</v>
      </c>
      <c r="S390" s="2850" t="e">
        <v>#N/A</v>
      </c>
      <c r="T390" s="2850" t="e">
        <v>#N/A</v>
      </c>
      <c r="U390" s="2850" t="e">
        <v>#N/A</v>
      </c>
      <c r="V390" s="2850" t="e">
        <v>#N/A</v>
      </c>
      <c r="W390" s="2850" t="e">
        <v>#N/A</v>
      </c>
      <c r="X390" s="2850" t="e">
        <v>#N/A</v>
      </c>
      <c r="Y390" s="2850" t="e">
        <v>#N/A</v>
      </c>
      <c r="Z390" s="2850" t="e">
        <v>#N/A</v>
      </c>
      <c r="AA390" s="2850" t="e">
        <v>#N/A</v>
      </c>
      <c r="AB390" s="2850" t="e">
        <v>#N/A</v>
      </c>
      <c r="AC390" s="2850" t="e">
        <v>#N/A</v>
      </c>
      <c r="AD390" s="2850" t="e">
        <v>#N/A</v>
      </c>
      <c r="AE390" s="2850" t="e">
        <v>#N/A</v>
      </c>
      <c r="AF390" s="2850" t="e">
        <v>#N/A</v>
      </c>
      <c r="AG390" s="2852" t="e">
        <v>#N/A</v>
      </c>
    </row>
    <row r="391" spans="1:33">
      <c r="A391" s="49">
        <f t="shared" si="6"/>
        <v>2025.1</v>
      </c>
      <c r="B391" s="573" t="e">
        <v>#N/A</v>
      </c>
      <c r="C391" s="1365" t="e">
        <v>#N/A</v>
      </c>
      <c r="D391" s="73" t="e">
        <v>#N/A</v>
      </c>
      <c r="E391" s="74" t="e">
        <v>#N/A</v>
      </c>
      <c r="F391" s="570" t="e">
        <v>#N/A</v>
      </c>
      <c r="G391" s="2864" t="e">
        <v>#N/A</v>
      </c>
      <c r="H391" s="2865" t="e">
        <v>#N/A</v>
      </c>
      <c r="I391" s="2861" t="e">
        <f t="shared" si="7"/>
        <v>#N/A</v>
      </c>
      <c r="J391" s="2866" t="e">
        <v>#N/A</v>
      </c>
      <c r="K391" s="2865" t="e">
        <v>#N/A</v>
      </c>
      <c r="L391" s="2865" t="e">
        <v>#N/A</v>
      </c>
      <c r="M391" s="2867" t="e">
        <v>#N/A</v>
      </c>
      <c r="N391" s="2850" t="e">
        <v>#N/A</v>
      </c>
      <c r="O391" s="2850" t="e">
        <v>#N/A</v>
      </c>
      <c r="P391" s="2850" t="e">
        <v>#N/A</v>
      </c>
      <c r="Q391" s="2850" t="e">
        <v>#N/A</v>
      </c>
      <c r="R391" s="2850" t="e">
        <v>#N/A</v>
      </c>
      <c r="S391" s="2850" t="e">
        <v>#N/A</v>
      </c>
      <c r="T391" s="2850" t="e">
        <v>#N/A</v>
      </c>
      <c r="U391" s="2850" t="e">
        <v>#N/A</v>
      </c>
      <c r="V391" s="2850" t="e">
        <v>#N/A</v>
      </c>
      <c r="W391" s="2850" t="e">
        <v>#N/A</v>
      </c>
      <c r="X391" s="2850" t="e">
        <v>#N/A</v>
      </c>
      <c r="Y391" s="2850" t="e">
        <v>#N/A</v>
      </c>
      <c r="Z391" s="2850" t="e">
        <v>#N/A</v>
      </c>
      <c r="AA391" s="2850" t="e">
        <v>#N/A</v>
      </c>
      <c r="AB391" s="2850" t="e">
        <v>#N/A</v>
      </c>
      <c r="AC391" s="2850" t="e">
        <v>#N/A</v>
      </c>
      <c r="AD391" s="2850" t="e">
        <v>#N/A</v>
      </c>
      <c r="AE391" s="2850" t="e">
        <v>#N/A</v>
      </c>
      <c r="AF391" s="2850" t="e">
        <v>#N/A</v>
      </c>
      <c r="AG391" s="2852" t="e">
        <v>#N/A</v>
      </c>
    </row>
    <row r="392" spans="1:33">
      <c r="A392" s="49">
        <f t="shared" si="6"/>
        <v>2025.11</v>
      </c>
      <c r="B392" s="573" t="e">
        <v>#N/A</v>
      </c>
      <c r="C392" s="1365" t="e">
        <v>#N/A</v>
      </c>
      <c r="D392" s="73" t="e">
        <v>#N/A</v>
      </c>
      <c r="E392" s="74" t="e">
        <v>#N/A</v>
      </c>
      <c r="F392" s="570" t="e">
        <v>#N/A</v>
      </c>
      <c r="G392" s="2864" t="e">
        <v>#N/A</v>
      </c>
      <c r="H392" s="2865" t="e">
        <v>#N/A</v>
      </c>
      <c r="I392" s="2861" t="e">
        <f t="shared" si="7"/>
        <v>#N/A</v>
      </c>
      <c r="J392" s="2866" t="e">
        <v>#N/A</v>
      </c>
      <c r="K392" s="2865" t="e">
        <v>#N/A</v>
      </c>
      <c r="L392" s="2865" t="e">
        <v>#N/A</v>
      </c>
      <c r="M392" s="2867" t="e">
        <v>#N/A</v>
      </c>
      <c r="N392" s="2850" t="e">
        <v>#N/A</v>
      </c>
      <c r="O392" s="2850" t="e">
        <v>#N/A</v>
      </c>
      <c r="P392" s="2850" t="e">
        <v>#N/A</v>
      </c>
      <c r="Q392" s="2850" t="e">
        <v>#N/A</v>
      </c>
      <c r="R392" s="2850" t="e">
        <v>#N/A</v>
      </c>
      <c r="S392" s="2850" t="e">
        <v>#N/A</v>
      </c>
      <c r="T392" s="2850" t="e">
        <v>#N/A</v>
      </c>
      <c r="U392" s="2850" t="e">
        <v>#N/A</v>
      </c>
      <c r="V392" s="2850" t="e">
        <v>#N/A</v>
      </c>
      <c r="W392" s="2850" t="e">
        <v>#N/A</v>
      </c>
      <c r="X392" s="2850" t="e">
        <v>#N/A</v>
      </c>
      <c r="Y392" s="2850" t="e">
        <v>#N/A</v>
      </c>
      <c r="Z392" s="2850" t="e">
        <v>#N/A</v>
      </c>
      <c r="AA392" s="2850" t="e">
        <v>#N/A</v>
      </c>
      <c r="AB392" s="2850" t="e">
        <v>#N/A</v>
      </c>
      <c r="AC392" s="2850" t="e">
        <v>#N/A</v>
      </c>
      <c r="AD392" s="2850" t="e">
        <v>#N/A</v>
      </c>
      <c r="AE392" s="2850" t="e">
        <v>#N/A</v>
      </c>
      <c r="AF392" s="2850" t="e">
        <v>#N/A</v>
      </c>
      <c r="AG392" s="2852" t="e">
        <v>#N/A</v>
      </c>
    </row>
    <row r="393" spans="1:33">
      <c r="A393" s="49">
        <f t="shared" si="6"/>
        <v>2025.12</v>
      </c>
      <c r="B393" s="573" t="e">
        <v>#N/A</v>
      </c>
      <c r="C393" s="1365" t="e">
        <v>#N/A</v>
      </c>
      <c r="D393" s="73" t="e">
        <v>#N/A</v>
      </c>
      <c r="E393" s="74" t="e">
        <v>#N/A</v>
      </c>
      <c r="F393" s="570" t="e">
        <v>#N/A</v>
      </c>
      <c r="G393" s="2864" t="e">
        <v>#N/A</v>
      </c>
      <c r="H393" s="2865" t="e">
        <v>#N/A</v>
      </c>
      <c r="I393" s="2861" t="e">
        <f t="shared" si="7"/>
        <v>#N/A</v>
      </c>
      <c r="J393" s="2866" t="e">
        <v>#N/A</v>
      </c>
      <c r="K393" s="2865" t="e">
        <v>#N/A</v>
      </c>
      <c r="L393" s="2865" t="e">
        <v>#N/A</v>
      </c>
      <c r="M393" s="2867" t="e">
        <v>#N/A</v>
      </c>
      <c r="N393" s="2850" t="e">
        <v>#N/A</v>
      </c>
      <c r="O393" s="2850" t="e">
        <v>#N/A</v>
      </c>
      <c r="P393" s="2850" t="e">
        <v>#N/A</v>
      </c>
      <c r="Q393" s="2850" t="e">
        <v>#N/A</v>
      </c>
      <c r="R393" s="2850" t="e">
        <v>#N/A</v>
      </c>
      <c r="S393" s="2850" t="e">
        <v>#N/A</v>
      </c>
      <c r="T393" s="2850" t="e">
        <v>#N/A</v>
      </c>
      <c r="U393" s="2850" t="e">
        <v>#N/A</v>
      </c>
      <c r="V393" s="2850" t="e">
        <v>#N/A</v>
      </c>
      <c r="W393" s="2850" t="e">
        <v>#N/A</v>
      </c>
      <c r="X393" s="2850" t="e">
        <v>#N/A</v>
      </c>
      <c r="Y393" s="2850" t="e">
        <v>#N/A</v>
      </c>
      <c r="Z393" s="2850" t="e">
        <v>#N/A</v>
      </c>
      <c r="AA393" s="2850" t="e">
        <v>#N/A</v>
      </c>
      <c r="AB393" s="2850" t="e">
        <v>#N/A</v>
      </c>
      <c r="AC393" s="2850" t="e">
        <v>#N/A</v>
      </c>
      <c r="AD393" s="2850" t="e">
        <v>#N/A</v>
      </c>
      <c r="AE393" s="2850" t="e">
        <v>#N/A</v>
      </c>
      <c r="AF393" s="2850" t="e">
        <v>#N/A</v>
      </c>
      <c r="AG393" s="2852" t="e">
        <v>#N/A</v>
      </c>
    </row>
    <row r="394" spans="1:33">
      <c r="A394" s="49">
        <f t="shared" si="6"/>
        <v>2026.01</v>
      </c>
      <c r="B394" s="573" t="e">
        <v>#N/A</v>
      </c>
      <c r="C394" s="1365" t="e">
        <v>#N/A</v>
      </c>
      <c r="D394" s="73" t="e">
        <v>#N/A</v>
      </c>
      <c r="E394" s="74" t="e">
        <v>#N/A</v>
      </c>
      <c r="F394" s="570" t="e">
        <v>#N/A</v>
      </c>
      <c r="G394" s="2864" t="e">
        <v>#N/A</v>
      </c>
      <c r="H394" s="2865" t="e">
        <v>#N/A</v>
      </c>
      <c r="I394" s="2861" t="e">
        <f t="shared" si="7"/>
        <v>#N/A</v>
      </c>
      <c r="J394" s="2866" t="e">
        <v>#N/A</v>
      </c>
      <c r="K394" s="2865" t="e">
        <v>#N/A</v>
      </c>
      <c r="L394" s="2865" t="e">
        <v>#N/A</v>
      </c>
      <c r="M394" s="2867" t="e">
        <v>#N/A</v>
      </c>
      <c r="N394" s="2850" t="e">
        <v>#N/A</v>
      </c>
      <c r="O394" s="2850" t="e">
        <v>#N/A</v>
      </c>
      <c r="P394" s="2850" t="e">
        <v>#N/A</v>
      </c>
      <c r="Q394" s="2850" t="e">
        <v>#N/A</v>
      </c>
      <c r="R394" s="2850" t="e">
        <v>#N/A</v>
      </c>
      <c r="S394" s="2850" t="e">
        <v>#N/A</v>
      </c>
      <c r="T394" s="2850" t="e">
        <v>#N/A</v>
      </c>
      <c r="U394" s="2850" t="e">
        <v>#N/A</v>
      </c>
      <c r="V394" s="2850" t="e">
        <v>#N/A</v>
      </c>
      <c r="W394" s="2850" t="e">
        <v>#N/A</v>
      </c>
      <c r="X394" s="2850" t="e">
        <v>#N/A</v>
      </c>
      <c r="Y394" s="2850" t="e">
        <v>#N/A</v>
      </c>
      <c r="Z394" s="2850" t="e">
        <v>#N/A</v>
      </c>
      <c r="AA394" s="2850" t="e">
        <v>#N/A</v>
      </c>
      <c r="AB394" s="2850" t="e">
        <v>#N/A</v>
      </c>
      <c r="AC394" s="2850" t="e">
        <v>#N/A</v>
      </c>
      <c r="AD394" s="2850" t="e">
        <v>#N/A</v>
      </c>
      <c r="AE394" s="2850" t="e">
        <v>#N/A</v>
      </c>
      <c r="AF394" s="2850" t="e">
        <v>#N/A</v>
      </c>
      <c r="AG394" s="2852" t="e">
        <v>#N/A</v>
      </c>
    </row>
    <row r="395" spans="1:33">
      <c r="A395" s="49">
        <f t="shared" si="6"/>
        <v>2026.02</v>
      </c>
      <c r="B395" s="573" t="e">
        <v>#N/A</v>
      </c>
      <c r="C395" s="1365" t="e">
        <v>#N/A</v>
      </c>
      <c r="D395" s="73" t="e">
        <v>#N/A</v>
      </c>
      <c r="E395" s="74" t="e">
        <v>#N/A</v>
      </c>
      <c r="F395" s="570" t="e">
        <v>#N/A</v>
      </c>
      <c r="G395" s="2864" t="e">
        <v>#N/A</v>
      </c>
      <c r="H395" s="2865" t="e">
        <v>#N/A</v>
      </c>
      <c r="I395" s="2861" t="e">
        <f t="shared" si="7"/>
        <v>#N/A</v>
      </c>
      <c r="J395" s="2866" t="e">
        <v>#N/A</v>
      </c>
      <c r="K395" s="2865" t="e">
        <v>#N/A</v>
      </c>
      <c r="L395" s="2865" t="e">
        <v>#N/A</v>
      </c>
      <c r="M395" s="2867" t="e">
        <v>#N/A</v>
      </c>
      <c r="N395" s="2850" t="e">
        <v>#N/A</v>
      </c>
      <c r="O395" s="2850" t="e">
        <v>#N/A</v>
      </c>
      <c r="P395" s="2850" t="e">
        <v>#N/A</v>
      </c>
      <c r="Q395" s="2850" t="e">
        <v>#N/A</v>
      </c>
      <c r="R395" s="2850" t="e">
        <v>#N/A</v>
      </c>
      <c r="S395" s="2850" t="e">
        <v>#N/A</v>
      </c>
      <c r="T395" s="2850" t="e">
        <v>#N/A</v>
      </c>
      <c r="U395" s="2850" t="e">
        <v>#N/A</v>
      </c>
      <c r="V395" s="2850" t="e">
        <v>#N/A</v>
      </c>
      <c r="W395" s="2850" t="e">
        <v>#N/A</v>
      </c>
      <c r="X395" s="2850" t="e">
        <v>#N/A</v>
      </c>
      <c r="Y395" s="2850" t="e">
        <v>#N/A</v>
      </c>
      <c r="Z395" s="2850" t="e">
        <v>#N/A</v>
      </c>
      <c r="AA395" s="2850" t="e">
        <v>#N/A</v>
      </c>
      <c r="AB395" s="2850" t="e">
        <v>#N/A</v>
      </c>
      <c r="AC395" s="2850" t="e">
        <v>#N/A</v>
      </c>
      <c r="AD395" s="2850" t="e">
        <v>#N/A</v>
      </c>
      <c r="AE395" s="2850" t="e">
        <v>#N/A</v>
      </c>
      <c r="AF395" s="2850" t="e">
        <v>#N/A</v>
      </c>
      <c r="AG395" s="2852" t="e">
        <v>#N/A</v>
      </c>
    </row>
    <row r="396" spans="1:33">
      <c r="A396" s="49">
        <f t="shared" si="6"/>
        <v>2026.03</v>
      </c>
      <c r="B396" s="573" t="e">
        <v>#N/A</v>
      </c>
      <c r="C396" s="1365" t="e">
        <v>#N/A</v>
      </c>
      <c r="D396" s="73" t="e">
        <v>#N/A</v>
      </c>
      <c r="E396" s="74" t="e">
        <v>#N/A</v>
      </c>
      <c r="F396" s="570" t="e">
        <v>#N/A</v>
      </c>
      <c r="G396" s="2864" t="e">
        <v>#N/A</v>
      </c>
      <c r="H396" s="2865" t="e">
        <v>#N/A</v>
      </c>
      <c r="I396" s="2861" t="e">
        <f t="shared" si="7"/>
        <v>#N/A</v>
      </c>
      <c r="J396" s="2866" t="e">
        <v>#N/A</v>
      </c>
      <c r="K396" s="2865" t="e">
        <v>#N/A</v>
      </c>
      <c r="L396" s="2865" t="e">
        <v>#N/A</v>
      </c>
      <c r="M396" s="2867" t="e">
        <v>#N/A</v>
      </c>
      <c r="N396" s="2850" t="e">
        <v>#N/A</v>
      </c>
      <c r="O396" s="2850" t="e">
        <v>#N/A</v>
      </c>
      <c r="P396" s="2850" t="e">
        <v>#N/A</v>
      </c>
      <c r="Q396" s="2850" t="e">
        <v>#N/A</v>
      </c>
      <c r="R396" s="2850" t="e">
        <v>#N/A</v>
      </c>
      <c r="S396" s="2850" t="e">
        <v>#N/A</v>
      </c>
      <c r="T396" s="2850" t="e">
        <v>#N/A</v>
      </c>
      <c r="U396" s="2850" t="e">
        <v>#N/A</v>
      </c>
      <c r="V396" s="2850" t="e">
        <v>#N/A</v>
      </c>
      <c r="W396" s="2850" t="e">
        <v>#N/A</v>
      </c>
      <c r="X396" s="2850" t="e">
        <v>#N/A</v>
      </c>
      <c r="Y396" s="2850" t="e">
        <v>#N/A</v>
      </c>
      <c r="Z396" s="2850" t="e">
        <v>#N/A</v>
      </c>
      <c r="AA396" s="2850" t="e">
        <v>#N/A</v>
      </c>
      <c r="AB396" s="2850" t="e">
        <v>#N/A</v>
      </c>
      <c r="AC396" s="2850" t="e">
        <v>#N/A</v>
      </c>
      <c r="AD396" s="2850" t="e">
        <v>#N/A</v>
      </c>
      <c r="AE396" s="2850" t="e">
        <v>#N/A</v>
      </c>
      <c r="AF396" s="2850" t="e">
        <v>#N/A</v>
      </c>
      <c r="AG396" s="2852" t="e">
        <v>#N/A</v>
      </c>
    </row>
    <row r="397" spans="1:33">
      <c r="A397" s="49">
        <f t="shared" si="6"/>
        <v>2026.04</v>
      </c>
      <c r="B397" s="573" t="e">
        <v>#N/A</v>
      </c>
      <c r="C397" s="1365" t="e">
        <v>#N/A</v>
      </c>
      <c r="D397" s="73" t="e">
        <v>#N/A</v>
      </c>
      <c r="E397" s="74" t="e">
        <v>#N/A</v>
      </c>
      <c r="F397" s="570" t="e">
        <v>#N/A</v>
      </c>
      <c r="G397" s="2864" t="e">
        <v>#N/A</v>
      </c>
      <c r="H397" s="2865" t="e">
        <v>#N/A</v>
      </c>
      <c r="I397" s="2861" t="e">
        <f t="shared" si="7"/>
        <v>#N/A</v>
      </c>
      <c r="J397" s="2866" t="e">
        <v>#N/A</v>
      </c>
      <c r="K397" s="2865" t="e">
        <v>#N/A</v>
      </c>
      <c r="L397" s="2865" t="e">
        <v>#N/A</v>
      </c>
      <c r="M397" s="2867" t="e">
        <v>#N/A</v>
      </c>
      <c r="N397" s="2850" t="e">
        <v>#N/A</v>
      </c>
      <c r="O397" s="2850" t="e">
        <v>#N/A</v>
      </c>
      <c r="P397" s="2850" t="e">
        <v>#N/A</v>
      </c>
      <c r="Q397" s="2850" t="e">
        <v>#N/A</v>
      </c>
      <c r="R397" s="2850" t="e">
        <v>#N/A</v>
      </c>
      <c r="S397" s="2850" t="e">
        <v>#N/A</v>
      </c>
      <c r="T397" s="2850" t="e">
        <v>#N/A</v>
      </c>
      <c r="U397" s="2850" t="e">
        <v>#N/A</v>
      </c>
      <c r="V397" s="2850" t="e">
        <v>#N/A</v>
      </c>
      <c r="W397" s="2850" t="e">
        <v>#N/A</v>
      </c>
      <c r="X397" s="2850" t="e">
        <v>#N/A</v>
      </c>
      <c r="Y397" s="2850" t="e">
        <v>#N/A</v>
      </c>
      <c r="Z397" s="2850" t="e">
        <v>#N/A</v>
      </c>
      <c r="AA397" s="2850" t="e">
        <v>#N/A</v>
      </c>
      <c r="AB397" s="2850" t="e">
        <v>#N/A</v>
      </c>
      <c r="AC397" s="2850" t="e">
        <v>#N/A</v>
      </c>
      <c r="AD397" s="2850" t="e">
        <v>#N/A</v>
      </c>
      <c r="AE397" s="2850" t="e">
        <v>#N/A</v>
      </c>
      <c r="AF397" s="2850" t="e">
        <v>#N/A</v>
      </c>
      <c r="AG397" s="2852" t="e">
        <v>#N/A</v>
      </c>
    </row>
    <row r="398" spans="1:33">
      <c r="A398" s="49">
        <f t="shared" si="6"/>
        <v>2026.05</v>
      </c>
      <c r="B398" s="573" t="e">
        <v>#N/A</v>
      </c>
      <c r="C398" s="1365" t="e">
        <v>#N/A</v>
      </c>
      <c r="D398" s="73" t="e">
        <v>#N/A</v>
      </c>
      <c r="E398" s="74" t="e">
        <v>#N/A</v>
      </c>
      <c r="F398" s="570" t="e">
        <v>#N/A</v>
      </c>
      <c r="G398" s="2864" t="e">
        <v>#N/A</v>
      </c>
      <c r="H398" s="2865" t="e">
        <v>#N/A</v>
      </c>
      <c r="I398" s="2861" t="e">
        <f t="shared" si="7"/>
        <v>#N/A</v>
      </c>
      <c r="J398" s="2866" t="e">
        <v>#N/A</v>
      </c>
      <c r="K398" s="2865" t="e">
        <v>#N/A</v>
      </c>
      <c r="L398" s="2865" t="e">
        <v>#N/A</v>
      </c>
      <c r="M398" s="2867" t="e">
        <v>#N/A</v>
      </c>
      <c r="N398" s="2850" t="e">
        <v>#N/A</v>
      </c>
      <c r="O398" s="2850" t="e">
        <v>#N/A</v>
      </c>
      <c r="P398" s="2850" t="e">
        <v>#N/A</v>
      </c>
      <c r="Q398" s="2850" t="e">
        <v>#N/A</v>
      </c>
      <c r="R398" s="2850" t="e">
        <v>#N/A</v>
      </c>
      <c r="S398" s="2850" t="e">
        <v>#N/A</v>
      </c>
      <c r="T398" s="2850" t="e">
        <v>#N/A</v>
      </c>
      <c r="U398" s="2850" t="e">
        <v>#N/A</v>
      </c>
      <c r="V398" s="2850" t="e">
        <v>#N/A</v>
      </c>
      <c r="W398" s="2850" t="e">
        <v>#N/A</v>
      </c>
      <c r="X398" s="2850" t="e">
        <v>#N/A</v>
      </c>
      <c r="Y398" s="2850" t="e">
        <v>#N/A</v>
      </c>
      <c r="Z398" s="2850" t="e">
        <v>#N/A</v>
      </c>
      <c r="AA398" s="2850" t="e">
        <v>#N/A</v>
      </c>
      <c r="AB398" s="2850" t="e">
        <v>#N/A</v>
      </c>
      <c r="AC398" s="2850" t="e">
        <v>#N/A</v>
      </c>
      <c r="AD398" s="2850" t="e">
        <v>#N/A</v>
      </c>
      <c r="AE398" s="2850" t="e">
        <v>#N/A</v>
      </c>
      <c r="AF398" s="2850" t="e">
        <v>#N/A</v>
      </c>
      <c r="AG398" s="2852" t="e">
        <v>#N/A</v>
      </c>
    </row>
    <row r="399" spans="1:33">
      <c r="A399" s="49">
        <f t="shared" si="6"/>
        <v>2026.06</v>
      </c>
      <c r="B399" s="573" t="e">
        <v>#N/A</v>
      </c>
      <c r="C399" s="1365" t="e">
        <v>#N/A</v>
      </c>
      <c r="D399" s="73" t="e">
        <v>#N/A</v>
      </c>
      <c r="E399" s="74" t="e">
        <v>#N/A</v>
      </c>
      <c r="F399" s="570" t="e">
        <v>#N/A</v>
      </c>
      <c r="G399" s="2864" t="e">
        <v>#N/A</v>
      </c>
      <c r="H399" s="2865" t="e">
        <v>#N/A</v>
      </c>
      <c r="I399" s="2861" t="e">
        <f t="shared" si="7"/>
        <v>#N/A</v>
      </c>
      <c r="J399" s="2866" t="e">
        <v>#N/A</v>
      </c>
      <c r="K399" s="2865" t="e">
        <v>#N/A</v>
      </c>
      <c r="L399" s="2865" t="e">
        <v>#N/A</v>
      </c>
      <c r="M399" s="2867" t="e">
        <v>#N/A</v>
      </c>
      <c r="N399" s="2850" t="e">
        <v>#N/A</v>
      </c>
      <c r="O399" s="2850" t="e">
        <v>#N/A</v>
      </c>
      <c r="P399" s="2850" t="e">
        <v>#N/A</v>
      </c>
      <c r="Q399" s="2850" t="e">
        <v>#N/A</v>
      </c>
      <c r="R399" s="2850" t="e">
        <v>#N/A</v>
      </c>
      <c r="S399" s="2850" t="e">
        <v>#N/A</v>
      </c>
      <c r="T399" s="2850" t="e">
        <v>#N/A</v>
      </c>
      <c r="U399" s="2850" t="e">
        <v>#N/A</v>
      </c>
      <c r="V399" s="2850" t="e">
        <v>#N/A</v>
      </c>
      <c r="W399" s="2850" t="e">
        <v>#N/A</v>
      </c>
      <c r="X399" s="2850" t="e">
        <v>#N/A</v>
      </c>
      <c r="Y399" s="2850" t="e">
        <v>#N/A</v>
      </c>
      <c r="Z399" s="2850" t="e">
        <v>#N/A</v>
      </c>
      <c r="AA399" s="2850" t="e">
        <v>#N/A</v>
      </c>
      <c r="AB399" s="2850" t="e">
        <v>#N/A</v>
      </c>
      <c r="AC399" s="2850" t="e">
        <v>#N/A</v>
      </c>
      <c r="AD399" s="2850" t="e">
        <v>#N/A</v>
      </c>
      <c r="AE399" s="2850" t="e">
        <v>#N/A</v>
      </c>
      <c r="AF399" s="2850" t="e">
        <v>#N/A</v>
      </c>
      <c r="AG399" s="2852" t="e">
        <v>#N/A</v>
      </c>
    </row>
    <row r="400" spans="1:33">
      <c r="A400" s="49">
        <f t="shared" si="6"/>
        <v>2026.07</v>
      </c>
      <c r="B400" s="573" t="e">
        <v>#N/A</v>
      </c>
      <c r="C400" s="1365" t="e">
        <v>#N/A</v>
      </c>
      <c r="D400" s="73" t="e">
        <v>#N/A</v>
      </c>
      <c r="E400" s="74" t="e">
        <v>#N/A</v>
      </c>
      <c r="F400" s="570" t="e">
        <v>#N/A</v>
      </c>
      <c r="G400" s="2864" t="e">
        <v>#N/A</v>
      </c>
      <c r="H400" s="2865" t="e">
        <v>#N/A</v>
      </c>
      <c r="I400" s="2861" t="e">
        <f t="shared" si="7"/>
        <v>#N/A</v>
      </c>
      <c r="J400" s="2866" t="e">
        <v>#N/A</v>
      </c>
      <c r="K400" s="2865" t="e">
        <v>#N/A</v>
      </c>
      <c r="L400" s="2865" t="e">
        <v>#N/A</v>
      </c>
      <c r="M400" s="2867" t="e">
        <v>#N/A</v>
      </c>
      <c r="N400" s="2850" t="e">
        <v>#N/A</v>
      </c>
      <c r="O400" s="2850" t="e">
        <v>#N/A</v>
      </c>
      <c r="P400" s="2850" t="e">
        <v>#N/A</v>
      </c>
      <c r="Q400" s="2850" t="e">
        <v>#N/A</v>
      </c>
      <c r="R400" s="2850" t="e">
        <v>#N/A</v>
      </c>
      <c r="S400" s="2850" t="e">
        <v>#N/A</v>
      </c>
      <c r="T400" s="2850" t="e">
        <v>#N/A</v>
      </c>
      <c r="U400" s="2850" t="e">
        <v>#N/A</v>
      </c>
      <c r="V400" s="2850" t="e">
        <v>#N/A</v>
      </c>
      <c r="W400" s="2850" t="e">
        <v>#N/A</v>
      </c>
      <c r="X400" s="2850" t="e">
        <v>#N/A</v>
      </c>
      <c r="Y400" s="2850" t="e">
        <v>#N/A</v>
      </c>
      <c r="Z400" s="2850" t="e">
        <v>#N/A</v>
      </c>
      <c r="AA400" s="2850" t="e">
        <v>#N/A</v>
      </c>
      <c r="AB400" s="2850" t="e">
        <v>#N/A</v>
      </c>
      <c r="AC400" s="2850" t="e">
        <v>#N/A</v>
      </c>
      <c r="AD400" s="2850" t="e">
        <v>#N/A</v>
      </c>
      <c r="AE400" s="2850" t="e">
        <v>#N/A</v>
      </c>
      <c r="AF400" s="2850" t="e">
        <v>#N/A</v>
      </c>
      <c r="AG400" s="2852" t="e">
        <v>#N/A</v>
      </c>
    </row>
    <row r="401" spans="1:33">
      <c r="A401" s="49">
        <f t="shared" si="6"/>
        <v>2026.08</v>
      </c>
      <c r="B401" s="573" t="e">
        <v>#N/A</v>
      </c>
      <c r="C401" s="1365" t="e">
        <v>#N/A</v>
      </c>
      <c r="D401" s="73" t="e">
        <v>#N/A</v>
      </c>
      <c r="E401" s="74" t="e">
        <v>#N/A</v>
      </c>
      <c r="F401" s="570" t="e">
        <v>#N/A</v>
      </c>
      <c r="G401" s="2864" t="e">
        <v>#N/A</v>
      </c>
      <c r="H401" s="2865" t="e">
        <v>#N/A</v>
      </c>
      <c r="I401" s="2861" t="e">
        <f t="shared" si="7"/>
        <v>#N/A</v>
      </c>
      <c r="J401" s="2866" t="e">
        <v>#N/A</v>
      </c>
      <c r="K401" s="2865" t="e">
        <v>#N/A</v>
      </c>
      <c r="L401" s="2865" t="e">
        <v>#N/A</v>
      </c>
      <c r="M401" s="2867" t="e">
        <v>#N/A</v>
      </c>
      <c r="N401" s="2850" t="e">
        <v>#N/A</v>
      </c>
      <c r="O401" s="2850" t="e">
        <v>#N/A</v>
      </c>
      <c r="P401" s="2850" t="e">
        <v>#N/A</v>
      </c>
      <c r="Q401" s="2850" t="e">
        <v>#N/A</v>
      </c>
      <c r="R401" s="2850" t="e">
        <v>#N/A</v>
      </c>
      <c r="S401" s="2850" t="e">
        <v>#N/A</v>
      </c>
      <c r="T401" s="2850" t="e">
        <v>#N/A</v>
      </c>
      <c r="U401" s="2850" t="e">
        <v>#N/A</v>
      </c>
      <c r="V401" s="2850" t="e">
        <v>#N/A</v>
      </c>
      <c r="W401" s="2850" t="e">
        <v>#N/A</v>
      </c>
      <c r="X401" s="2850" t="e">
        <v>#N/A</v>
      </c>
      <c r="Y401" s="2850" t="e">
        <v>#N/A</v>
      </c>
      <c r="Z401" s="2850" t="e">
        <v>#N/A</v>
      </c>
      <c r="AA401" s="2850" t="e">
        <v>#N/A</v>
      </c>
      <c r="AB401" s="2850" t="e">
        <v>#N/A</v>
      </c>
      <c r="AC401" s="2850" t="e">
        <v>#N/A</v>
      </c>
      <c r="AD401" s="2850" t="e">
        <v>#N/A</v>
      </c>
      <c r="AE401" s="2850" t="e">
        <v>#N/A</v>
      </c>
      <c r="AF401" s="2850" t="e">
        <v>#N/A</v>
      </c>
      <c r="AG401" s="2852" t="e">
        <v>#N/A</v>
      </c>
    </row>
    <row r="402" spans="1:33">
      <c r="A402" s="49">
        <f t="shared" si="6"/>
        <v>2026.09</v>
      </c>
      <c r="B402" s="573" t="e">
        <v>#N/A</v>
      </c>
      <c r="C402" s="1365" t="e">
        <v>#N/A</v>
      </c>
      <c r="D402" s="73" t="e">
        <v>#N/A</v>
      </c>
      <c r="E402" s="74" t="e">
        <v>#N/A</v>
      </c>
      <c r="F402" s="570" t="e">
        <v>#N/A</v>
      </c>
      <c r="G402" s="2864" t="e">
        <v>#N/A</v>
      </c>
      <c r="H402" s="2865" t="e">
        <v>#N/A</v>
      </c>
      <c r="I402" s="2861" t="e">
        <f t="shared" si="7"/>
        <v>#N/A</v>
      </c>
      <c r="J402" s="2866" t="e">
        <v>#N/A</v>
      </c>
      <c r="K402" s="2865" t="e">
        <v>#N/A</v>
      </c>
      <c r="L402" s="2865" t="e">
        <v>#N/A</v>
      </c>
      <c r="M402" s="2867" t="e">
        <v>#N/A</v>
      </c>
      <c r="N402" s="2850" t="e">
        <v>#N/A</v>
      </c>
      <c r="O402" s="2850" t="e">
        <v>#N/A</v>
      </c>
      <c r="P402" s="2850" t="e">
        <v>#N/A</v>
      </c>
      <c r="Q402" s="2850" t="e">
        <v>#N/A</v>
      </c>
      <c r="R402" s="2850" t="e">
        <v>#N/A</v>
      </c>
      <c r="S402" s="2850" t="e">
        <v>#N/A</v>
      </c>
      <c r="T402" s="2850" t="e">
        <v>#N/A</v>
      </c>
      <c r="U402" s="2850" t="e">
        <v>#N/A</v>
      </c>
      <c r="V402" s="2850" t="e">
        <v>#N/A</v>
      </c>
      <c r="W402" s="2850" t="e">
        <v>#N/A</v>
      </c>
      <c r="X402" s="2850" t="e">
        <v>#N/A</v>
      </c>
      <c r="Y402" s="2850" t="e">
        <v>#N/A</v>
      </c>
      <c r="Z402" s="2850" t="e">
        <v>#N/A</v>
      </c>
      <c r="AA402" s="2850" t="e">
        <v>#N/A</v>
      </c>
      <c r="AB402" s="2850" t="e">
        <v>#N/A</v>
      </c>
      <c r="AC402" s="2850" t="e">
        <v>#N/A</v>
      </c>
      <c r="AD402" s="2850" t="e">
        <v>#N/A</v>
      </c>
      <c r="AE402" s="2850" t="e">
        <v>#N/A</v>
      </c>
      <c r="AF402" s="2850" t="e">
        <v>#N/A</v>
      </c>
      <c r="AG402" s="2852" t="e">
        <v>#N/A</v>
      </c>
    </row>
    <row r="403" spans="1:33">
      <c r="A403" s="49">
        <f t="shared" si="6"/>
        <v>2026.1</v>
      </c>
      <c r="B403" s="573" t="e">
        <v>#N/A</v>
      </c>
      <c r="C403" s="1365" t="e">
        <v>#N/A</v>
      </c>
      <c r="D403" s="73" t="e">
        <v>#N/A</v>
      </c>
      <c r="E403" s="74" t="e">
        <v>#N/A</v>
      </c>
      <c r="F403" s="570" t="e">
        <v>#N/A</v>
      </c>
      <c r="G403" s="2864" t="e">
        <v>#N/A</v>
      </c>
      <c r="H403" s="2865" t="e">
        <v>#N/A</v>
      </c>
      <c r="I403" s="2861" t="e">
        <f t="shared" si="7"/>
        <v>#N/A</v>
      </c>
      <c r="J403" s="2866" t="e">
        <v>#N/A</v>
      </c>
      <c r="K403" s="2865" t="e">
        <v>#N/A</v>
      </c>
      <c r="L403" s="2865" t="e">
        <v>#N/A</v>
      </c>
      <c r="M403" s="2867" t="e">
        <v>#N/A</v>
      </c>
      <c r="N403" s="2850" t="e">
        <v>#N/A</v>
      </c>
      <c r="O403" s="2850" t="e">
        <v>#N/A</v>
      </c>
      <c r="P403" s="2850" t="e">
        <v>#N/A</v>
      </c>
      <c r="Q403" s="2850" t="e">
        <v>#N/A</v>
      </c>
      <c r="R403" s="2850" t="e">
        <v>#N/A</v>
      </c>
      <c r="S403" s="2850" t="e">
        <v>#N/A</v>
      </c>
      <c r="T403" s="2850" t="e">
        <v>#N/A</v>
      </c>
      <c r="U403" s="2850" t="e">
        <v>#N/A</v>
      </c>
      <c r="V403" s="2850" t="e">
        <v>#N/A</v>
      </c>
      <c r="W403" s="2850" t="e">
        <v>#N/A</v>
      </c>
      <c r="X403" s="2850" t="e">
        <v>#N/A</v>
      </c>
      <c r="Y403" s="2850" t="e">
        <v>#N/A</v>
      </c>
      <c r="Z403" s="2850" t="e">
        <v>#N/A</v>
      </c>
      <c r="AA403" s="2850" t="e">
        <v>#N/A</v>
      </c>
      <c r="AB403" s="2850" t="e">
        <v>#N/A</v>
      </c>
      <c r="AC403" s="2850" t="e">
        <v>#N/A</v>
      </c>
      <c r="AD403" s="2850" t="e">
        <v>#N/A</v>
      </c>
      <c r="AE403" s="2850" t="e">
        <v>#N/A</v>
      </c>
      <c r="AF403" s="2850" t="e">
        <v>#N/A</v>
      </c>
      <c r="AG403" s="2852" t="e">
        <v>#N/A</v>
      </c>
    </row>
    <row r="404" spans="1:33">
      <c r="A404" s="49">
        <f t="shared" si="6"/>
        <v>2026.11</v>
      </c>
      <c r="B404" s="573" t="e">
        <v>#N/A</v>
      </c>
      <c r="C404" s="1365" t="e">
        <v>#N/A</v>
      </c>
      <c r="D404" s="73" t="e">
        <v>#N/A</v>
      </c>
      <c r="E404" s="74" t="e">
        <v>#N/A</v>
      </c>
      <c r="F404" s="570" t="e">
        <v>#N/A</v>
      </c>
      <c r="G404" s="2864" t="e">
        <v>#N/A</v>
      </c>
      <c r="H404" s="2865" t="e">
        <v>#N/A</v>
      </c>
      <c r="I404" s="2861" t="e">
        <f t="shared" si="7"/>
        <v>#N/A</v>
      </c>
      <c r="J404" s="2866" t="e">
        <v>#N/A</v>
      </c>
      <c r="K404" s="2865" t="e">
        <v>#N/A</v>
      </c>
      <c r="L404" s="2865" t="e">
        <v>#N/A</v>
      </c>
      <c r="M404" s="2867" t="e">
        <v>#N/A</v>
      </c>
      <c r="N404" s="2850" t="e">
        <v>#N/A</v>
      </c>
      <c r="O404" s="2850" t="e">
        <v>#N/A</v>
      </c>
      <c r="P404" s="2850" t="e">
        <v>#N/A</v>
      </c>
      <c r="Q404" s="2850" t="e">
        <v>#N/A</v>
      </c>
      <c r="R404" s="2850" t="e">
        <v>#N/A</v>
      </c>
      <c r="S404" s="2850" t="e">
        <v>#N/A</v>
      </c>
      <c r="T404" s="2850" t="e">
        <v>#N/A</v>
      </c>
      <c r="U404" s="2850" t="e">
        <v>#N/A</v>
      </c>
      <c r="V404" s="2850" t="e">
        <v>#N/A</v>
      </c>
      <c r="W404" s="2850" t="e">
        <v>#N/A</v>
      </c>
      <c r="X404" s="2850" t="e">
        <v>#N/A</v>
      </c>
      <c r="Y404" s="2850" t="e">
        <v>#N/A</v>
      </c>
      <c r="Z404" s="2850" t="e">
        <v>#N/A</v>
      </c>
      <c r="AA404" s="2850" t="e">
        <v>#N/A</v>
      </c>
      <c r="AB404" s="2850" t="e">
        <v>#N/A</v>
      </c>
      <c r="AC404" s="2850" t="e">
        <v>#N/A</v>
      </c>
      <c r="AD404" s="2850" t="e">
        <v>#N/A</v>
      </c>
      <c r="AE404" s="2850" t="e">
        <v>#N/A</v>
      </c>
      <c r="AF404" s="2850" t="e">
        <v>#N/A</v>
      </c>
      <c r="AG404" s="2852" t="e">
        <v>#N/A</v>
      </c>
    </row>
    <row r="405" spans="1:33">
      <c r="A405" s="49">
        <f t="shared" si="6"/>
        <v>2026.12</v>
      </c>
      <c r="B405" s="573" t="e">
        <v>#N/A</v>
      </c>
      <c r="C405" s="1365" t="e">
        <v>#N/A</v>
      </c>
      <c r="D405" s="73" t="e">
        <v>#N/A</v>
      </c>
      <c r="E405" s="74" t="e">
        <v>#N/A</v>
      </c>
      <c r="F405" s="570" t="e">
        <v>#N/A</v>
      </c>
      <c r="G405" s="2864" t="e">
        <v>#N/A</v>
      </c>
      <c r="H405" s="2865" t="e">
        <v>#N/A</v>
      </c>
      <c r="I405" s="2861" t="e">
        <f t="shared" si="7"/>
        <v>#N/A</v>
      </c>
      <c r="J405" s="2866" t="e">
        <v>#N/A</v>
      </c>
      <c r="K405" s="2865" t="e">
        <v>#N/A</v>
      </c>
      <c r="L405" s="2865" t="e">
        <v>#N/A</v>
      </c>
      <c r="M405" s="2867" t="e">
        <v>#N/A</v>
      </c>
      <c r="N405" s="2850" t="e">
        <v>#N/A</v>
      </c>
      <c r="O405" s="2850" t="e">
        <v>#N/A</v>
      </c>
      <c r="P405" s="2850" t="e">
        <v>#N/A</v>
      </c>
      <c r="Q405" s="2850" t="e">
        <v>#N/A</v>
      </c>
      <c r="R405" s="2850" t="e">
        <v>#N/A</v>
      </c>
      <c r="S405" s="2850" t="e">
        <v>#N/A</v>
      </c>
      <c r="T405" s="2850" t="e">
        <v>#N/A</v>
      </c>
      <c r="U405" s="2850" t="e">
        <v>#N/A</v>
      </c>
      <c r="V405" s="2850" t="e">
        <v>#N/A</v>
      </c>
      <c r="W405" s="2850" t="e">
        <v>#N/A</v>
      </c>
      <c r="X405" s="2850" t="e">
        <v>#N/A</v>
      </c>
      <c r="Y405" s="2850" t="e">
        <v>#N/A</v>
      </c>
      <c r="Z405" s="2850" t="e">
        <v>#N/A</v>
      </c>
      <c r="AA405" s="2850" t="e">
        <v>#N/A</v>
      </c>
      <c r="AB405" s="2850" t="e">
        <v>#N/A</v>
      </c>
      <c r="AC405" s="2850" t="e">
        <v>#N/A</v>
      </c>
      <c r="AD405" s="2850" t="e">
        <v>#N/A</v>
      </c>
      <c r="AE405" s="2850" t="e">
        <v>#N/A</v>
      </c>
      <c r="AF405" s="2850" t="e">
        <v>#N/A</v>
      </c>
      <c r="AG405" s="2852" t="e">
        <v>#N/A</v>
      </c>
    </row>
    <row r="406" spans="1:33">
      <c r="A406" s="49">
        <f t="shared" si="6"/>
        <v>2027.01</v>
      </c>
      <c r="B406" s="573" t="e">
        <v>#N/A</v>
      </c>
      <c r="C406" s="1365" t="e">
        <v>#N/A</v>
      </c>
      <c r="D406" s="73" t="e">
        <v>#N/A</v>
      </c>
      <c r="E406" s="74" t="e">
        <v>#N/A</v>
      </c>
      <c r="F406" s="570" t="e">
        <v>#N/A</v>
      </c>
      <c r="G406" s="2864" t="e">
        <v>#N/A</v>
      </c>
      <c r="H406" s="2865" t="e">
        <v>#N/A</v>
      </c>
      <c r="I406" s="2861" t="e">
        <f t="shared" si="7"/>
        <v>#N/A</v>
      </c>
      <c r="J406" s="2866" t="e">
        <v>#N/A</v>
      </c>
      <c r="K406" s="2865" t="e">
        <v>#N/A</v>
      </c>
      <c r="L406" s="2865" t="e">
        <v>#N/A</v>
      </c>
      <c r="M406" s="2867" t="e">
        <v>#N/A</v>
      </c>
      <c r="N406" s="2850" t="e">
        <v>#N/A</v>
      </c>
      <c r="O406" s="2850" t="e">
        <v>#N/A</v>
      </c>
      <c r="P406" s="2850" t="e">
        <v>#N/A</v>
      </c>
      <c r="Q406" s="2850" t="e">
        <v>#N/A</v>
      </c>
      <c r="R406" s="2850" t="e">
        <v>#N/A</v>
      </c>
      <c r="S406" s="2850" t="e">
        <v>#N/A</v>
      </c>
      <c r="T406" s="2850" t="e">
        <v>#N/A</v>
      </c>
      <c r="U406" s="2850" t="e">
        <v>#N/A</v>
      </c>
      <c r="V406" s="2850" t="e">
        <v>#N/A</v>
      </c>
      <c r="W406" s="2850" t="e">
        <v>#N/A</v>
      </c>
      <c r="X406" s="2850" t="e">
        <v>#N/A</v>
      </c>
      <c r="Y406" s="2850" t="e">
        <v>#N/A</v>
      </c>
      <c r="Z406" s="2850" t="e">
        <v>#N/A</v>
      </c>
      <c r="AA406" s="2850" t="e">
        <v>#N/A</v>
      </c>
      <c r="AB406" s="2850" t="e">
        <v>#N/A</v>
      </c>
      <c r="AC406" s="2850" t="e">
        <v>#N/A</v>
      </c>
      <c r="AD406" s="2850" t="e">
        <v>#N/A</v>
      </c>
      <c r="AE406" s="2850" t="e">
        <v>#N/A</v>
      </c>
      <c r="AF406" s="2850" t="e">
        <v>#N/A</v>
      </c>
      <c r="AG406" s="2852" t="e">
        <v>#N/A</v>
      </c>
    </row>
    <row r="407" spans="1:33">
      <c r="A407" s="49">
        <f t="shared" si="6"/>
        <v>2027.02</v>
      </c>
      <c r="B407" s="573" t="e">
        <v>#N/A</v>
      </c>
      <c r="C407" s="1365" t="e">
        <v>#N/A</v>
      </c>
      <c r="D407" s="73" t="e">
        <v>#N/A</v>
      </c>
      <c r="E407" s="74" t="e">
        <v>#N/A</v>
      </c>
      <c r="F407" s="570" t="e">
        <v>#N/A</v>
      </c>
      <c r="G407" s="2864" t="e">
        <v>#N/A</v>
      </c>
      <c r="H407" s="2865" t="e">
        <v>#N/A</v>
      </c>
      <c r="I407" s="2861" t="e">
        <f t="shared" si="7"/>
        <v>#N/A</v>
      </c>
      <c r="J407" s="2866" t="e">
        <v>#N/A</v>
      </c>
      <c r="K407" s="2865" t="e">
        <v>#N/A</v>
      </c>
      <c r="L407" s="2865" t="e">
        <v>#N/A</v>
      </c>
      <c r="M407" s="2867" t="e">
        <v>#N/A</v>
      </c>
      <c r="N407" s="2850" t="e">
        <v>#N/A</v>
      </c>
      <c r="O407" s="2850" t="e">
        <v>#N/A</v>
      </c>
      <c r="P407" s="2850" t="e">
        <v>#N/A</v>
      </c>
      <c r="Q407" s="2850" t="e">
        <v>#N/A</v>
      </c>
      <c r="R407" s="2850" t="e">
        <v>#N/A</v>
      </c>
      <c r="S407" s="2850" t="e">
        <v>#N/A</v>
      </c>
      <c r="T407" s="2850" t="e">
        <v>#N/A</v>
      </c>
      <c r="U407" s="2850" t="e">
        <v>#N/A</v>
      </c>
      <c r="V407" s="2850" t="e">
        <v>#N/A</v>
      </c>
      <c r="W407" s="2850" t="e">
        <v>#N/A</v>
      </c>
      <c r="X407" s="2850" t="e">
        <v>#N/A</v>
      </c>
      <c r="Y407" s="2850" t="e">
        <v>#N/A</v>
      </c>
      <c r="Z407" s="2850" t="e">
        <v>#N/A</v>
      </c>
      <c r="AA407" s="2850" t="e">
        <v>#N/A</v>
      </c>
      <c r="AB407" s="2850" t="e">
        <v>#N/A</v>
      </c>
      <c r="AC407" s="2850" t="e">
        <v>#N/A</v>
      </c>
      <c r="AD407" s="2850" t="e">
        <v>#N/A</v>
      </c>
      <c r="AE407" s="2850" t="e">
        <v>#N/A</v>
      </c>
      <c r="AF407" s="2850" t="e">
        <v>#N/A</v>
      </c>
      <c r="AG407" s="2852" t="e">
        <v>#N/A</v>
      </c>
    </row>
    <row r="408" spans="1:33">
      <c r="A408" s="49">
        <f t="shared" si="6"/>
        <v>2027.03</v>
      </c>
      <c r="B408" s="573" t="e">
        <v>#N/A</v>
      </c>
      <c r="C408" s="1365" t="e">
        <v>#N/A</v>
      </c>
      <c r="D408" s="73" t="e">
        <v>#N/A</v>
      </c>
      <c r="E408" s="74" t="e">
        <v>#N/A</v>
      </c>
      <c r="F408" s="570" t="e">
        <v>#N/A</v>
      </c>
      <c r="G408" s="2864" t="e">
        <v>#N/A</v>
      </c>
      <c r="H408" s="2865" t="e">
        <v>#N/A</v>
      </c>
      <c r="I408" s="2861" t="e">
        <f t="shared" si="7"/>
        <v>#N/A</v>
      </c>
      <c r="J408" s="2866" t="e">
        <v>#N/A</v>
      </c>
      <c r="K408" s="2865" t="e">
        <v>#N/A</v>
      </c>
      <c r="L408" s="2865" t="e">
        <v>#N/A</v>
      </c>
      <c r="M408" s="2867" t="e">
        <v>#N/A</v>
      </c>
      <c r="N408" s="2850" t="e">
        <v>#N/A</v>
      </c>
      <c r="O408" s="2850" t="e">
        <v>#N/A</v>
      </c>
      <c r="P408" s="2850" t="e">
        <v>#N/A</v>
      </c>
      <c r="Q408" s="2850" t="e">
        <v>#N/A</v>
      </c>
      <c r="R408" s="2850" t="e">
        <v>#N/A</v>
      </c>
      <c r="S408" s="2850" t="e">
        <v>#N/A</v>
      </c>
      <c r="T408" s="2850" t="e">
        <v>#N/A</v>
      </c>
      <c r="U408" s="2850" t="e">
        <v>#N/A</v>
      </c>
      <c r="V408" s="2850" t="e">
        <v>#N/A</v>
      </c>
      <c r="W408" s="2850" t="e">
        <v>#N/A</v>
      </c>
      <c r="X408" s="2850" t="e">
        <v>#N/A</v>
      </c>
      <c r="Y408" s="2850" t="e">
        <v>#N/A</v>
      </c>
      <c r="Z408" s="2850" t="e">
        <v>#N/A</v>
      </c>
      <c r="AA408" s="2850" t="e">
        <v>#N/A</v>
      </c>
      <c r="AB408" s="2850" t="e">
        <v>#N/A</v>
      </c>
      <c r="AC408" s="2850" t="e">
        <v>#N/A</v>
      </c>
      <c r="AD408" s="2850" t="e">
        <v>#N/A</v>
      </c>
      <c r="AE408" s="2850" t="e">
        <v>#N/A</v>
      </c>
      <c r="AF408" s="2850" t="e">
        <v>#N/A</v>
      </c>
      <c r="AG408" s="2852" t="e">
        <v>#N/A</v>
      </c>
    </row>
    <row r="409" spans="1:33">
      <c r="A409" s="49">
        <f t="shared" si="6"/>
        <v>2027.04</v>
      </c>
      <c r="B409" s="573" t="e">
        <v>#N/A</v>
      </c>
      <c r="C409" s="1365" t="e">
        <v>#N/A</v>
      </c>
      <c r="D409" s="73" t="e">
        <v>#N/A</v>
      </c>
      <c r="E409" s="74" t="e">
        <v>#N/A</v>
      </c>
      <c r="F409" s="570" t="e">
        <v>#N/A</v>
      </c>
      <c r="G409" s="2864" t="e">
        <v>#N/A</v>
      </c>
      <c r="H409" s="2865" t="e">
        <v>#N/A</v>
      </c>
      <c r="I409" s="2861" t="e">
        <f t="shared" si="7"/>
        <v>#N/A</v>
      </c>
      <c r="J409" s="2866" t="e">
        <v>#N/A</v>
      </c>
      <c r="K409" s="2865" t="e">
        <v>#N/A</v>
      </c>
      <c r="L409" s="2865" t="e">
        <v>#N/A</v>
      </c>
      <c r="M409" s="2867" t="e">
        <v>#N/A</v>
      </c>
      <c r="N409" s="2850" t="e">
        <v>#N/A</v>
      </c>
      <c r="O409" s="2850" t="e">
        <v>#N/A</v>
      </c>
      <c r="P409" s="2850" t="e">
        <v>#N/A</v>
      </c>
      <c r="Q409" s="2850" t="e">
        <v>#N/A</v>
      </c>
      <c r="R409" s="2850" t="e">
        <v>#N/A</v>
      </c>
      <c r="S409" s="2850" t="e">
        <v>#N/A</v>
      </c>
      <c r="T409" s="2850" t="e">
        <v>#N/A</v>
      </c>
      <c r="U409" s="2850" t="e">
        <v>#N/A</v>
      </c>
      <c r="V409" s="2850" t="e">
        <v>#N/A</v>
      </c>
      <c r="W409" s="2850" t="e">
        <v>#N/A</v>
      </c>
      <c r="X409" s="2850" t="e">
        <v>#N/A</v>
      </c>
      <c r="Y409" s="2850" t="e">
        <v>#N/A</v>
      </c>
      <c r="Z409" s="2850" t="e">
        <v>#N/A</v>
      </c>
      <c r="AA409" s="2850" t="e">
        <v>#N/A</v>
      </c>
      <c r="AB409" s="2850" t="e">
        <v>#N/A</v>
      </c>
      <c r="AC409" s="2850" t="e">
        <v>#N/A</v>
      </c>
      <c r="AD409" s="2850" t="e">
        <v>#N/A</v>
      </c>
      <c r="AE409" s="2850" t="e">
        <v>#N/A</v>
      </c>
      <c r="AF409" s="2850" t="e">
        <v>#N/A</v>
      </c>
      <c r="AG409" s="2852" t="e">
        <v>#N/A</v>
      </c>
    </row>
    <row r="410" spans="1:33">
      <c r="A410" s="49">
        <f t="shared" si="6"/>
        <v>2027.05</v>
      </c>
      <c r="B410" s="573" t="e">
        <v>#N/A</v>
      </c>
      <c r="C410" s="1365" t="e">
        <v>#N/A</v>
      </c>
      <c r="D410" s="73" t="e">
        <v>#N/A</v>
      </c>
      <c r="E410" s="74" t="e">
        <v>#N/A</v>
      </c>
      <c r="F410" s="570" t="e">
        <v>#N/A</v>
      </c>
      <c r="G410" s="2864" t="e">
        <v>#N/A</v>
      </c>
      <c r="H410" s="2865" t="e">
        <v>#N/A</v>
      </c>
      <c r="I410" s="2861" t="e">
        <f t="shared" si="7"/>
        <v>#N/A</v>
      </c>
      <c r="J410" s="2866" t="e">
        <v>#N/A</v>
      </c>
      <c r="K410" s="2865" t="e">
        <v>#N/A</v>
      </c>
      <c r="L410" s="2865" t="e">
        <v>#N/A</v>
      </c>
      <c r="M410" s="2867" t="e">
        <v>#N/A</v>
      </c>
      <c r="N410" s="2850" t="e">
        <v>#N/A</v>
      </c>
      <c r="O410" s="2850" t="e">
        <v>#N/A</v>
      </c>
      <c r="P410" s="2850" t="e">
        <v>#N/A</v>
      </c>
      <c r="Q410" s="2850" t="e">
        <v>#N/A</v>
      </c>
      <c r="R410" s="2850" t="e">
        <v>#N/A</v>
      </c>
      <c r="S410" s="2850" t="e">
        <v>#N/A</v>
      </c>
      <c r="T410" s="2850" t="e">
        <v>#N/A</v>
      </c>
      <c r="U410" s="2850" t="e">
        <v>#N/A</v>
      </c>
      <c r="V410" s="2850" t="e">
        <v>#N/A</v>
      </c>
      <c r="W410" s="2850" t="e">
        <v>#N/A</v>
      </c>
      <c r="X410" s="2850" t="e">
        <v>#N/A</v>
      </c>
      <c r="Y410" s="2850" t="e">
        <v>#N/A</v>
      </c>
      <c r="Z410" s="2850" t="e">
        <v>#N/A</v>
      </c>
      <c r="AA410" s="2850" t="e">
        <v>#N/A</v>
      </c>
      <c r="AB410" s="2850" t="e">
        <v>#N/A</v>
      </c>
      <c r="AC410" s="2850" t="e">
        <v>#N/A</v>
      </c>
      <c r="AD410" s="2850" t="e">
        <v>#N/A</v>
      </c>
      <c r="AE410" s="2850" t="e">
        <v>#N/A</v>
      </c>
      <c r="AF410" s="2850" t="e">
        <v>#N/A</v>
      </c>
      <c r="AG410" s="2852" t="e">
        <v>#N/A</v>
      </c>
    </row>
    <row r="411" spans="1:33">
      <c r="A411" s="49">
        <f t="shared" si="6"/>
        <v>2027.06</v>
      </c>
      <c r="B411" s="573" t="e">
        <v>#N/A</v>
      </c>
      <c r="C411" s="1365" t="e">
        <v>#N/A</v>
      </c>
      <c r="D411" s="73" t="e">
        <v>#N/A</v>
      </c>
      <c r="E411" s="74" t="e">
        <v>#N/A</v>
      </c>
      <c r="F411" s="570" t="e">
        <v>#N/A</v>
      </c>
      <c r="G411" s="2864" t="e">
        <v>#N/A</v>
      </c>
      <c r="H411" s="2865" t="e">
        <v>#N/A</v>
      </c>
      <c r="I411" s="2861" t="e">
        <f t="shared" si="7"/>
        <v>#N/A</v>
      </c>
      <c r="J411" s="2866" t="e">
        <v>#N/A</v>
      </c>
      <c r="K411" s="2865" t="e">
        <v>#N/A</v>
      </c>
      <c r="L411" s="2865" t="e">
        <v>#N/A</v>
      </c>
      <c r="M411" s="2867" t="e">
        <v>#N/A</v>
      </c>
      <c r="N411" s="2850" t="e">
        <v>#N/A</v>
      </c>
      <c r="O411" s="2850" t="e">
        <v>#N/A</v>
      </c>
      <c r="P411" s="2850" t="e">
        <v>#N/A</v>
      </c>
      <c r="Q411" s="2850" t="e">
        <v>#N/A</v>
      </c>
      <c r="R411" s="2850" t="e">
        <v>#N/A</v>
      </c>
      <c r="S411" s="2850" t="e">
        <v>#N/A</v>
      </c>
      <c r="T411" s="2850" t="e">
        <v>#N/A</v>
      </c>
      <c r="U411" s="2850" t="e">
        <v>#N/A</v>
      </c>
      <c r="V411" s="2850" t="e">
        <v>#N/A</v>
      </c>
      <c r="W411" s="2850" t="e">
        <v>#N/A</v>
      </c>
      <c r="X411" s="2850" t="e">
        <v>#N/A</v>
      </c>
      <c r="Y411" s="2850" t="e">
        <v>#N/A</v>
      </c>
      <c r="Z411" s="2850" t="e">
        <v>#N/A</v>
      </c>
      <c r="AA411" s="2850" t="e">
        <v>#N/A</v>
      </c>
      <c r="AB411" s="2850" t="e">
        <v>#N/A</v>
      </c>
      <c r="AC411" s="2850" t="e">
        <v>#N/A</v>
      </c>
      <c r="AD411" s="2850" t="e">
        <v>#N/A</v>
      </c>
      <c r="AE411" s="2850" t="e">
        <v>#N/A</v>
      </c>
      <c r="AF411" s="2850" t="e">
        <v>#N/A</v>
      </c>
      <c r="AG411" s="2852" t="e">
        <v>#N/A</v>
      </c>
    </row>
    <row r="412" spans="1:33">
      <c r="A412" s="49">
        <f t="shared" si="6"/>
        <v>2027.07</v>
      </c>
      <c r="B412" s="573" t="e">
        <v>#N/A</v>
      </c>
      <c r="C412" s="1365" t="e">
        <v>#N/A</v>
      </c>
      <c r="D412" s="73" t="e">
        <v>#N/A</v>
      </c>
      <c r="E412" s="74" t="e">
        <v>#N/A</v>
      </c>
      <c r="F412" s="570" t="e">
        <v>#N/A</v>
      </c>
      <c r="G412" s="2864" t="e">
        <v>#N/A</v>
      </c>
      <c r="H412" s="2865" t="e">
        <v>#N/A</v>
      </c>
      <c r="I412" s="2861" t="e">
        <f t="shared" si="7"/>
        <v>#N/A</v>
      </c>
      <c r="J412" s="2866" t="e">
        <v>#N/A</v>
      </c>
      <c r="K412" s="2865" t="e">
        <v>#N/A</v>
      </c>
      <c r="L412" s="2865" t="e">
        <v>#N/A</v>
      </c>
      <c r="M412" s="2867" t="e">
        <v>#N/A</v>
      </c>
      <c r="N412" s="2850" t="e">
        <v>#N/A</v>
      </c>
      <c r="O412" s="2850" t="e">
        <v>#N/A</v>
      </c>
      <c r="P412" s="2850" t="e">
        <v>#N/A</v>
      </c>
      <c r="Q412" s="2850" t="e">
        <v>#N/A</v>
      </c>
      <c r="R412" s="2850" t="e">
        <v>#N/A</v>
      </c>
      <c r="S412" s="2850" t="e">
        <v>#N/A</v>
      </c>
      <c r="T412" s="2850" t="e">
        <v>#N/A</v>
      </c>
      <c r="U412" s="2850" t="e">
        <v>#N/A</v>
      </c>
      <c r="V412" s="2850" t="e">
        <v>#N/A</v>
      </c>
      <c r="W412" s="2850" t="e">
        <v>#N/A</v>
      </c>
      <c r="X412" s="2850" t="e">
        <v>#N/A</v>
      </c>
      <c r="Y412" s="2850" t="e">
        <v>#N/A</v>
      </c>
      <c r="Z412" s="2850" t="e">
        <v>#N/A</v>
      </c>
      <c r="AA412" s="2850" t="e">
        <v>#N/A</v>
      </c>
      <c r="AB412" s="2850" t="e">
        <v>#N/A</v>
      </c>
      <c r="AC412" s="2850" t="e">
        <v>#N/A</v>
      </c>
      <c r="AD412" s="2850" t="e">
        <v>#N/A</v>
      </c>
      <c r="AE412" s="2850" t="e">
        <v>#N/A</v>
      </c>
      <c r="AF412" s="2850" t="e">
        <v>#N/A</v>
      </c>
      <c r="AG412" s="2852" t="e">
        <v>#N/A</v>
      </c>
    </row>
    <row r="413" spans="1:33">
      <c r="A413" s="49">
        <f t="shared" si="6"/>
        <v>2027.08</v>
      </c>
      <c r="B413" s="573" t="e">
        <v>#N/A</v>
      </c>
      <c r="C413" s="1365" t="e">
        <v>#N/A</v>
      </c>
      <c r="D413" s="73" t="e">
        <v>#N/A</v>
      </c>
      <c r="E413" s="74" t="e">
        <v>#N/A</v>
      </c>
      <c r="F413" s="570" t="e">
        <v>#N/A</v>
      </c>
      <c r="G413" s="2864" t="e">
        <v>#N/A</v>
      </c>
      <c r="H413" s="2865" t="e">
        <v>#N/A</v>
      </c>
      <c r="I413" s="2861" t="e">
        <f t="shared" si="7"/>
        <v>#N/A</v>
      </c>
      <c r="J413" s="2866" t="e">
        <v>#N/A</v>
      </c>
      <c r="K413" s="2865" t="e">
        <v>#N/A</v>
      </c>
      <c r="L413" s="2865" t="e">
        <v>#N/A</v>
      </c>
      <c r="M413" s="2867" t="e">
        <v>#N/A</v>
      </c>
      <c r="N413" s="2850" t="e">
        <v>#N/A</v>
      </c>
      <c r="O413" s="2850" t="e">
        <v>#N/A</v>
      </c>
      <c r="P413" s="2850" t="e">
        <v>#N/A</v>
      </c>
      <c r="Q413" s="2850" t="e">
        <v>#N/A</v>
      </c>
      <c r="R413" s="2850" t="e">
        <v>#N/A</v>
      </c>
      <c r="S413" s="2850" t="e">
        <v>#N/A</v>
      </c>
      <c r="T413" s="2850" t="e">
        <v>#N/A</v>
      </c>
      <c r="U413" s="2850" t="e">
        <v>#N/A</v>
      </c>
      <c r="V413" s="2850" t="e">
        <v>#N/A</v>
      </c>
      <c r="W413" s="2850" t="e">
        <v>#N/A</v>
      </c>
      <c r="X413" s="2850" t="e">
        <v>#N/A</v>
      </c>
      <c r="Y413" s="2850" t="e">
        <v>#N/A</v>
      </c>
      <c r="Z413" s="2850" t="e">
        <v>#N/A</v>
      </c>
      <c r="AA413" s="2850" t="e">
        <v>#N/A</v>
      </c>
      <c r="AB413" s="2850" t="e">
        <v>#N/A</v>
      </c>
      <c r="AC413" s="2850" t="e">
        <v>#N/A</v>
      </c>
      <c r="AD413" s="2850" t="e">
        <v>#N/A</v>
      </c>
      <c r="AE413" s="2850" t="e">
        <v>#N/A</v>
      </c>
      <c r="AF413" s="2850" t="e">
        <v>#N/A</v>
      </c>
      <c r="AG413" s="2852" t="e">
        <v>#N/A</v>
      </c>
    </row>
    <row r="414" spans="1:33">
      <c r="A414" s="49">
        <f t="shared" si="6"/>
        <v>2027.09</v>
      </c>
      <c r="B414" s="573" t="e">
        <v>#N/A</v>
      </c>
      <c r="C414" s="1365" t="e">
        <v>#N/A</v>
      </c>
      <c r="D414" s="73" t="e">
        <v>#N/A</v>
      </c>
      <c r="E414" s="74" t="e">
        <v>#N/A</v>
      </c>
      <c r="F414" s="570" t="e">
        <v>#N/A</v>
      </c>
      <c r="G414" s="2864" t="e">
        <v>#N/A</v>
      </c>
      <c r="H414" s="2865" t="e">
        <v>#N/A</v>
      </c>
      <c r="I414" s="2861" t="e">
        <f t="shared" si="7"/>
        <v>#N/A</v>
      </c>
      <c r="J414" s="2866" t="e">
        <v>#N/A</v>
      </c>
      <c r="K414" s="2865" t="e">
        <v>#N/A</v>
      </c>
      <c r="L414" s="2865" t="e">
        <v>#N/A</v>
      </c>
      <c r="M414" s="2867" t="e">
        <v>#N/A</v>
      </c>
      <c r="N414" s="2850" t="e">
        <v>#N/A</v>
      </c>
      <c r="O414" s="2850" t="e">
        <v>#N/A</v>
      </c>
      <c r="P414" s="2850" t="e">
        <v>#N/A</v>
      </c>
      <c r="Q414" s="2850" t="e">
        <v>#N/A</v>
      </c>
      <c r="R414" s="2850" t="e">
        <v>#N/A</v>
      </c>
      <c r="S414" s="2850" t="e">
        <v>#N/A</v>
      </c>
      <c r="T414" s="2850" t="e">
        <v>#N/A</v>
      </c>
      <c r="U414" s="2850" t="e">
        <v>#N/A</v>
      </c>
      <c r="V414" s="2850" t="e">
        <v>#N/A</v>
      </c>
      <c r="W414" s="2850" t="e">
        <v>#N/A</v>
      </c>
      <c r="X414" s="2850" t="e">
        <v>#N/A</v>
      </c>
      <c r="Y414" s="2850" t="e">
        <v>#N/A</v>
      </c>
      <c r="Z414" s="2850" t="e">
        <v>#N/A</v>
      </c>
      <c r="AA414" s="2850" t="e">
        <v>#N/A</v>
      </c>
      <c r="AB414" s="2850" t="e">
        <v>#N/A</v>
      </c>
      <c r="AC414" s="2850" t="e">
        <v>#N/A</v>
      </c>
      <c r="AD414" s="2850" t="e">
        <v>#N/A</v>
      </c>
      <c r="AE414" s="2850" t="e">
        <v>#N/A</v>
      </c>
      <c r="AF414" s="2850" t="e">
        <v>#N/A</v>
      </c>
      <c r="AG414" s="2852" t="e">
        <v>#N/A</v>
      </c>
    </row>
    <row r="415" spans="1:33">
      <c r="A415" s="49">
        <f t="shared" si="6"/>
        <v>2027.1</v>
      </c>
      <c r="B415" s="573" t="e">
        <v>#N/A</v>
      </c>
      <c r="C415" s="1365" t="e">
        <v>#N/A</v>
      </c>
      <c r="D415" s="73" t="e">
        <v>#N/A</v>
      </c>
      <c r="E415" s="74" t="e">
        <v>#N/A</v>
      </c>
      <c r="F415" s="570" t="e">
        <v>#N/A</v>
      </c>
      <c r="G415" s="2864" t="e">
        <v>#N/A</v>
      </c>
      <c r="H415" s="2865" t="e">
        <v>#N/A</v>
      </c>
      <c r="I415" s="2861" t="e">
        <f t="shared" si="7"/>
        <v>#N/A</v>
      </c>
      <c r="J415" s="2866" t="e">
        <v>#N/A</v>
      </c>
      <c r="K415" s="2865" t="e">
        <v>#N/A</v>
      </c>
      <c r="L415" s="2865" t="e">
        <v>#N/A</v>
      </c>
      <c r="M415" s="2867" t="e">
        <v>#N/A</v>
      </c>
      <c r="N415" s="2850" t="e">
        <v>#N/A</v>
      </c>
      <c r="O415" s="2850" t="e">
        <v>#N/A</v>
      </c>
      <c r="P415" s="2850" t="e">
        <v>#N/A</v>
      </c>
      <c r="Q415" s="2850" t="e">
        <v>#N/A</v>
      </c>
      <c r="R415" s="2850" t="e">
        <v>#N/A</v>
      </c>
      <c r="S415" s="2850" t="e">
        <v>#N/A</v>
      </c>
      <c r="T415" s="2850" t="e">
        <v>#N/A</v>
      </c>
      <c r="U415" s="2850" t="e">
        <v>#N/A</v>
      </c>
      <c r="V415" s="2850" t="e">
        <v>#N/A</v>
      </c>
      <c r="W415" s="2850" t="e">
        <v>#N/A</v>
      </c>
      <c r="X415" s="2850" t="e">
        <v>#N/A</v>
      </c>
      <c r="Y415" s="2850" t="e">
        <v>#N/A</v>
      </c>
      <c r="Z415" s="2850" t="e">
        <v>#N/A</v>
      </c>
      <c r="AA415" s="2850" t="e">
        <v>#N/A</v>
      </c>
      <c r="AB415" s="2850" t="e">
        <v>#N/A</v>
      </c>
      <c r="AC415" s="2850" t="e">
        <v>#N/A</v>
      </c>
      <c r="AD415" s="2850" t="e">
        <v>#N/A</v>
      </c>
      <c r="AE415" s="2850" t="e">
        <v>#N/A</v>
      </c>
      <c r="AF415" s="2850" t="e">
        <v>#N/A</v>
      </c>
      <c r="AG415" s="2852" t="e">
        <v>#N/A</v>
      </c>
    </row>
    <row r="416" spans="1:33">
      <c r="A416" s="49">
        <f t="shared" si="6"/>
        <v>2027.11</v>
      </c>
      <c r="B416" s="573" t="e">
        <v>#N/A</v>
      </c>
      <c r="C416" s="1365" t="e">
        <v>#N/A</v>
      </c>
      <c r="D416" s="73" t="e">
        <v>#N/A</v>
      </c>
      <c r="E416" s="74" t="e">
        <v>#N/A</v>
      </c>
      <c r="F416" s="570" t="e">
        <v>#N/A</v>
      </c>
      <c r="G416" s="2864" t="e">
        <v>#N/A</v>
      </c>
      <c r="H416" s="2865" t="e">
        <v>#N/A</v>
      </c>
      <c r="I416" s="2861" t="e">
        <f t="shared" si="7"/>
        <v>#N/A</v>
      </c>
      <c r="J416" s="2866" t="e">
        <v>#N/A</v>
      </c>
      <c r="K416" s="2865" t="e">
        <v>#N/A</v>
      </c>
      <c r="L416" s="2865" t="e">
        <v>#N/A</v>
      </c>
      <c r="M416" s="2867" t="e">
        <v>#N/A</v>
      </c>
      <c r="N416" s="2850" t="e">
        <v>#N/A</v>
      </c>
      <c r="O416" s="2850" t="e">
        <v>#N/A</v>
      </c>
      <c r="P416" s="2850" t="e">
        <v>#N/A</v>
      </c>
      <c r="Q416" s="2850" t="e">
        <v>#N/A</v>
      </c>
      <c r="R416" s="2850" t="e">
        <v>#N/A</v>
      </c>
      <c r="S416" s="2850" t="e">
        <v>#N/A</v>
      </c>
      <c r="T416" s="2850" t="e">
        <v>#N/A</v>
      </c>
      <c r="U416" s="2850" t="e">
        <v>#N/A</v>
      </c>
      <c r="V416" s="2850" t="e">
        <v>#N/A</v>
      </c>
      <c r="W416" s="2850" t="e">
        <v>#N/A</v>
      </c>
      <c r="X416" s="2850" t="e">
        <v>#N/A</v>
      </c>
      <c r="Y416" s="2850" t="e">
        <v>#N/A</v>
      </c>
      <c r="Z416" s="2850" t="e">
        <v>#N/A</v>
      </c>
      <c r="AA416" s="2850" t="e">
        <v>#N/A</v>
      </c>
      <c r="AB416" s="2850" t="e">
        <v>#N/A</v>
      </c>
      <c r="AC416" s="2850" t="e">
        <v>#N/A</v>
      </c>
      <c r="AD416" s="2850" t="e">
        <v>#N/A</v>
      </c>
      <c r="AE416" s="2850" t="e">
        <v>#N/A</v>
      </c>
      <c r="AF416" s="2850" t="e">
        <v>#N/A</v>
      </c>
      <c r="AG416" s="2852" t="e">
        <v>#N/A</v>
      </c>
    </row>
    <row r="417" spans="1:33">
      <c r="A417" s="49">
        <f t="shared" si="6"/>
        <v>2027.12</v>
      </c>
      <c r="B417" s="573" t="e">
        <v>#N/A</v>
      </c>
      <c r="C417" s="1365" t="e">
        <v>#N/A</v>
      </c>
      <c r="D417" s="73" t="e">
        <v>#N/A</v>
      </c>
      <c r="E417" s="74" t="e">
        <v>#N/A</v>
      </c>
      <c r="F417" s="570" t="e">
        <v>#N/A</v>
      </c>
      <c r="G417" s="2864" t="e">
        <v>#N/A</v>
      </c>
      <c r="H417" s="2865" t="e">
        <v>#N/A</v>
      </c>
      <c r="I417" s="2861" t="e">
        <f t="shared" si="7"/>
        <v>#N/A</v>
      </c>
      <c r="J417" s="2866" t="e">
        <v>#N/A</v>
      </c>
      <c r="K417" s="2865" t="e">
        <v>#N/A</v>
      </c>
      <c r="L417" s="2865" t="e">
        <v>#N/A</v>
      </c>
      <c r="M417" s="2867" t="e">
        <v>#N/A</v>
      </c>
      <c r="N417" s="2850" t="e">
        <v>#N/A</v>
      </c>
      <c r="O417" s="2850" t="e">
        <v>#N/A</v>
      </c>
      <c r="P417" s="2850" t="e">
        <v>#N/A</v>
      </c>
      <c r="Q417" s="2850" t="e">
        <v>#N/A</v>
      </c>
      <c r="R417" s="2850" t="e">
        <v>#N/A</v>
      </c>
      <c r="S417" s="2850" t="e">
        <v>#N/A</v>
      </c>
      <c r="T417" s="2850" t="e">
        <v>#N/A</v>
      </c>
      <c r="U417" s="2850" t="e">
        <v>#N/A</v>
      </c>
      <c r="V417" s="2850" t="e">
        <v>#N/A</v>
      </c>
      <c r="W417" s="2850" t="e">
        <v>#N/A</v>
      </c>
      <c r="X417" s="2850" t="e">
        <v>#N/A</v>
      </c>
      <c r="Y417" s="2850" t="e">
        <v>#N/A</v>
      </c>
      <c r="Z417" s="2850" t="e">
        <v>#N/A</v>
      </c>
      <c r="AA417" s="2850" t="e">
        <v>#N/A</v>
      </c>
      <c r="AB417" s="2850" t="e">
        <v>#N/A</v>
      </c>
      <c r="AC417" s="2850" t="e">
        <v>#N/A</v>
      </c>
      <c r="AD417" s="2850" t="e">
        <v>#N/A</v>
      </c>
      <c r="AE417" s="2850" t="e">
        <v>#N/A</v>
      </c>
      <c r="AF417" s="2850" t="e">
        <v>#N/A</v>
      </c>
      <c r="AG417" s="2852" t="e">
        <v>#N/A</v>
      </c>
    </row>
    <row r="418" spans="1:33">
      <c r="A418" s="49">
        <f t="shared" si="6"/>
        <v>2028.01</v>
      </c>
      <c r="B418" s="573" t="e">
        <v>#N/A</v>
      </c>
      <c r="C418" s="1365" t="e">
        <v>#N/A</v>
      </c>
      <c r="D418" s="73" t="e">
        <v>#N/A</v>
      </c>
      <c r="E418" s="74" t="e">
        <v>#N/A</v>
      </c>
      <c r="F418" s="570" t="e">
        <v>#N/A</v>
      </c>
      <c r="G418" s="2864" t="e">
        <v>#N/A</v>
      </c>
      <c r="H418" s="2865" t="e">
        <v>#N/A</v>
      </c>
      <c r="I418" s="2861" t="e">
        <f t="shared" si="7"/>
        <v>#N/A</v>
      </c>
      <c r="J418" s="2866" t="e">
        <v>#N/A</v>
      </c>
      <c r="K418" s="2865" t="e">
        <v>#N/A</v>
      </c>
      <c r="L418" s="2865" t="e">
        <v>#N/A</v>
      </c>
      <c r="M418" s="2867" t="e">
        <v>#N/A</v>
      </c>
      <c r="N418" s="2850" t="e">
        <v>#N/A</v>
      </c>
      <c r="O418" s="2850" t="e">
        <v>#N/A</v>
      </c>
      <c r="P418" s="2850" t="e">
        <v>#N/A</v>
      </c>
      <c r="Q418" s="2850" t="e">
        <v>#N/A</v>
      </c>
      <c r="R418" s="2850" t="e">
        <v>#N/A</v>
      </c>
      <c r="S418" s="2850" t="e">
        <v>#N/A</v>
      </c>
      <c r="T418" s="2850" t="e">
        <v>#N/A</v>
      </c>
      <c r="U418" s="2850" t="e">
        <v>#N/A</v>
      </c>
      <c r="V418" s="2850" t="e">
        <v>#N/A</v>
      </c>
      <c r="W418" s="2850" t="e">
        <v>#N/A</v>
      </c>
      <c r="X418" s="2850" t="e">
        <v>#N/A</v>
      </c>
      <c r="Y418" s="2850" t="e">
        <v>#N/A</v>
      </c>
      <c r="Z418" s="2850" t="e">
        <v>#N/A</v>
      </c>
      <c r="AA418" s="2850" t="e">
        <v>#N/A</v>
      </c>
      <c r="AB418" s="2850" t="e">
        <v>#N/A</v>
      </c>
      <c r="AC418" s="2850" t="e">
        <v>#N/A</v>
      </c>
      <c r="AD418" s="2850" t="e">
        <v>#N/A</v>
      </c>
      <c r="AE418" s="2850" t="e">
        <v>#N/A</v>
      </c>
      <c r="AF418" s="2850" t="e">
        <v>#N/A</v>
      </c>
      <c r="AG418" s="2852" t="e">
        <v>#N/A</v>
      </c>
    </row>
    <row r="419" spans="1:33">
      <c r="A419" s="49">
        <f t="shared" si="6"/>
        <v>2028.02</v>
      </c>
      <c r="B419" s="573" t="e">
        <v>#N/A</v>
      </c>
      <c r="C419" s="1365" t="e">
        <v>#N/A</v>
      </c>
      <c r="D419" s="73" t="e">
        <v>#N/A</v>
      </c>
      <c r="E419" s="74" t="e">
        <v>#N/A</v>
      </c>
      <c r="F419" s="570" t="e">
        <v>#N/A</v>
      </c>
      <c r="G419" s="2864" t="e">
        <v>#N/A</v>
      </c>
      <c r="H419" s="2865" t="e">
        <v>#N/A</v>
      </c>
      <c r="I419" s="2861" t="e">
        <f t="shared" si="7"/>
        <v>#N/A</v>
      </c>
      <c r="J419" s="2866" t="e">
        <v>#N/A</v>
      </c>
      <c r="K419" s="2865" t="e">
        <v>#N/A</v>
      </c>
      <c r="L419" s="2865" t="e">
        <v>#N/A</v>
      </c>
      <c r="M419" s="2867" t="e">
        <v>#N/A</v>
      </c>
      <c r="N419" s="2850" t="e">
        <v>#N/A</v>
      </c>
      <c r="O419" s="2850" t="e">
        <v>#N/A</v>
      </c>
      <c r="P419" s="2850" t="e">
        <v>#N/A</v>
      </c>
      <c r="Q419" s="2850" t="e">
        <v>#N/A</v>
      </c>
      <c r="R419" s="2850" t="e">
        <v>#N/A</v>
      </c>
      <c r="S419" s="2850" t="e">
        <v>#N/A</v>
      </c>
      <c r="T419" s="2850" t="e">
        <v>#N/A</v>
      </c>
      <c r="U419" s="2850" t="e">
        <v>#N/A</v>
      </c>
      <c r="V419" s="2850" t="e">
        <v>#N/A</v>
      </c>
      <c r="W419" s="2850" t="e">
        <v>#N/A</v>
      </c>
      <c r="X419" s="2850" t="e">
        <v>#N/A</v>
      </c>
      <c r="Y419" s="2850" t="e">
        <v>#N/A</v>
      </c>
      <c r="Z419" s="2850" t="e">
        <v>#N/A</v>
      </c>
      <c r="AA419" s="2850" t="e">
        <v>#N/A</v>
      </c>
      <c r="AB419" s="2850" t="e">
        <v>#N/A</v>
      </c>
      <c r="AC419" s="2850" t="e">
        <v>#N/A</v>
      </c>
      <c r="AD419" s="2850" t="e">
        <v>#N/A</v>
      </c>
      <c r="AE419" s="2850" t="e">
        <v>#N/A</v>
      </c>
      <c r="AF419" s="2850" t="e">
        <v>#N/A</v>
      </c>
      <c r="AG419" s="2852" t="e">
        <v>#N/A</v>
      </c>
    </row>
    <row r="420" spans="1:33">
      <c r="A420" s="49">
        <f t="shared" si="6"/>
        <v>2028.03</v>
      </c>
      <c r="B420" s="573" t="e">
        <v>#N/A</v>
      </c>
      <c r="C420" s="1365" t="e">
        <v>#N/A</v>
      </c>
      <c r="D420" s="73" t="e">
        <v>#N/A</v>
      </c>
      <c r="E420" s="74" t="e">
        <v>#N/A</v>
      </c>
      <c r="F420" s="570" t="e">
        <v>#N/A</v>
      </c>
      <c r="G420" s="2864" t="e">
        <v>#N/A</v>
      </c>
      <c r="H420" s="2865" t="e">
        <v>#N/A</v>
      </c>
      <c r="I420" s="2861" t="e">
        <f t="shared" si="7"/>
        <v>#N/A</v>
      </c>
      <c r="J420" s="2866" t="e">
        <v>#N/A</v>
      </c>
      <c r="K420" s="2865" t="e">
        <v>#N/A</v>
      </c>
      <c r="L420" s="2865" t="e">
        <v>#N/A</v>
      </c>
      <c r="M420" s="2867" t="e">
        <v>#N/A</v>
      </c>
      <c r="N420" s="2850" t="e">
        <v>#N/A</v>
      </c>
      <c r="O420" s="2850" t="e">
        <v>#N/A</v>
      </c>
      <c r="P420" s="2850" t="e">
        <v>#N/A</v>
      </c>
      <c r="Q420" s="2850" t="e">
        <v>#N/A</v>
      </c>
      <c r="R420" s="2850" t="e">
        <v>#N/A</v>
      </c>
      <c r="S420" s="2850" t="e">
        <v>#N/A</v>
      </c>
      <c r="T420" s="2850" t="e">
        <v>#N/A</v>
      </c>
      <c r="U420" s="2850" t="e">
        <v>#N/A</v>
      </c>
      <c r="V420" s="2850" t="e">
        <v>#N/A</v>
      </c>
      <c r="W420" s="2850" t="e">
        <v>#N/A</v>
      </c>
      <c r="X420" s="2850" t="e">
        <v>#N/A</v>
      </c>
      <c r="Y420" s="2850" t="e">
        <v>#N/A</v>
      </c>
      <c r="Z420" s="2850" t="e">
        <v>#N/A</v>
      </c>
      <c r="AA420" s="2850" t="e">
        <v>#N/A</v>
      </c>
      <c r="AB420" s="2850" t="e">
        <v>#N/A</v>
      </c>
      <c r="AC420" s="2850" t="e">
        <v>#N/A</v>
      </c>
      <c r="AD420" s="2850" t="e">
        <v>#N/A</v>
      </c>
      <c r="AE420" s="2850" t="e">
        <v>#N/A</v>
      </c>
      <c r="AF420" s="2850" t="e">
        <v>#N/A</v>
      </c>
      <c r="AG420" s="2852" t="e">
        <v>#N/A</v>
      </c>
    </row>
    <row r="421" spans="1:33">
      <c r="A421" s="49">
        <f t="shared" si="6"/>
        <v>2028.04</v>
      </c>
      <c r="B421" s="573" t="e">
        <v>#N/A</v>
      </c>
      <c r="C421" s="1365" t="e">
        <v>#N/A</v>
      </c>
      <c r="D421" s="73" t="e">
        <v>#N/A</v>
      </c>
      <c r="E421" s="74" t="e">
        <v>#N/A</v>
      </c>
      <c r="F421" s="570" t="e">
        <v>#N/A</v>
      </c>
      <c r="G421" s="2864" t="e">
        <v>#N/A</v>
      </c>
      <c r="H421" s="2865" t="e">
        <v>#N/A</v>
      </c>
      <c r="I421" s="2861" t="e">
        <f t="shared" si="7"/>
        <v>#N/A</v>
      </c>
      <c r="J421" s="2866" t="e">
        <v>#N/A</v>
      </c>
      <c r="K421" s="2865" t="e">
        <v>#N/A</v>
      </c>
      <c r="L421" s="2865" t="e">
        <v>#N/A</v>
      </c>
      <c r="M421" s="2867" t="e">
        <v>#N/A</v>
      </c>
      <c r="N421" s="2850" t="e">
        <v>#N/A</v>
      </c>
      <c r="O421" s="2850" t="e">
        <v>#N/A</v>
      </c>
      <c r="P421" s="2850" t="e">
        <v>#N/A</v>
      </c>
      <c r="Q421" s="2850" t="e">
        <v>#N/A</v>
      </c>
      <c r="R421" s="2850" t="e">
        <v>#N/A</v>
      </c>
      <c r="S421" s="2850" t="e">
        <v>#N/A</v>
      </c>
      <c r="T421" s="2850" t="e">
        <v>#N/A</v>
      </c>
      <c r="U421" s="2850" t="e">
        <v>#N/A</v>
      </c>
      <c r="V421" s="2850" t="e">
        <v>#N/A</v>
      </c>
      <c r="W421" s="2850" t="e">
        <v>#N/A</v>
      </c>
      <c r="X421" s="2850" t="e">
        <v>#N/A</v>
      </c>
      <c r="Y421" s="2850" t="e">
        <v>#N/A</v>
      </c>
      <c r="Z421" s="2850" t="e">
        <v>#N/A</v>
      </c>
      <c r="AA421" s="2850" t="e">
        <v>#N/A</v>
      </c>
      <c r="AB421" s="2850" t="e">
        <v>#N/A</v>
      </c>
      <c r="AC421" s="2850" t="e">
        <v>#N/A</v>
      </c>
      <c r="AD421" s="2850" t="e">
        <v>#N/A</v>
      </c>
      <c r="AE421" s="2850" t="e">
        <v>#N/A</v>
      </c>
      <c r="AF421" s="2850" t="e">
        <v>#N/A</v>
      </c>
      <c r="AG421" s="2852" t="e">
        <v>#N/A</v>
      </c>
    </row>
    <row r="422" spans="1:33">
      <c r="A422" s="49">
        <f t="shared" si="6"/>
        <v>2028.05</v>
      </c>
      <c r="B422" s="573" t="e">
        <v>#N/A</v>
      </c>
      <c r="C422" s="1365" t="e">
        <v>#N/A</v>
      </c>
      <c r="D422" s="73" t="e">
        <v>#N/A</v>
      </c>
      <c r="E422" s="74" t="e">
        <v>#N/A</v>
      </c>
      <c r="F422" s="570" t="e">
        <v>#N/A</v>
      </c>
      <c r="G422" s="2864" t="e">
        <v>#N/A</v>
      </c>
      <c r="H422" s="2865" t="e">
        <v>#N/A</v>
      </c>
      <c r="I422" s="2861" t="e">
        <f t="shared" si="7"/>
        <v>#N/A</v>
      </c>
      <c r="J422" s="2866" t="e">
        <v>#N/A</v>
      </c>
      <c r="K422" s="2865" t="e">
        <v>#N/A</v>
      </c>
      <c r="L422" s="2865" t="e">
        <v>#N/A</v>
      </c>
      <c r="M422" s="2867" t="e">
        <v>#N/A</v>
      </c>
      <c r="N422" s="2850" t="e">
        <v>#N/A</v>
      </c>
      <c r="O422" s="2850" t="e">
        <v>#N/A</v>
      </c>
      <c r="P422" s="2850" t="e">
        <v>#N/A</v>
      </c>
      <c r="Q422" s="2850" t="e">
        <v>#N/A</v>
      </c>
      <c r="R422" s="2850" t="e">
        <v>#N/A</v>
      </c>
      <c r="S422" s="2850" t="e">
        <v>#N/A</v>
      </c>
      <c r="T422" s="2850" t="e">
        <v>#N/A</v>
      </c>
      <c r="U422" s="2850" t="e">
        <v>#N/A</v>
      </c>
      <c r="V422" s="2850" t="e">
        <v>#N/A</v>
      </c>
      <c r="W422" s="2850" t="e">
        <v>#N/A</v>
      </c>
      <c r="X422" s="2850" t="e">
        <v>#N/A</v>
      </c>
      <c r="Y422" s="2850" t="e">
        <v>#N/A</v>
      </c>
      <c r="Z422" s="2850" t="e">
        <v>#N/A</v>
      </c>
      <c r="AA422" s="2850" t="e">
        <v>#N/A</v>
      </c>
      <c r="AB422" s="2850" t="e">
        <v>#N/A</v>
      </c>
      <c r="AC422" s="2850" t="e">
        <v>#N/A</v>
      </c>
      <c r="AD422" s="2850" t="e">
        <v>#N/A</v>
      </c>
      <c r="AE422" s="2850" t="e">
        <v>#N/A</v>
      </c>
      <c r="AF422" s="2850" t="e">
        <v>#N/A</v>
      </c>
      <c r="AG422" s="2852" t="e">
        <v>#N/A</v>
      </c>
    </row>
    <row r="423" spans="1:33">
      <c r="A423" s="49">
        <f t="shared" si="6"/>
        <v>2028.06</v>
      </c>
      <c r="B423" s="573" t="e">
        <v>#N/A</v>
      </c>
      <c r="C423" s="1365" t="e">
        <v>#N/A</v>
      </c>
      <c r="D423" s="73" t="e">
        <v>#N/A</v>
      </c>
      <c r="E423" s="74" t="e">
        <v>#N/A</v>
      </c>
      <c r="F423" s="570" t="e">
        <v>#N/A</v>
      </c>
      <c r="G423" s="2864" t="e">
        <v>#N/A</v>
      </c>
      <c r="H423" s="2865" t="e">
        <v>#N/A</v>
      </c>
      <c r="I423" s="2861" t="e">
        <f t="shared" si="7"/>
        <v>#N/A</v>
      </c>
      <c r="J423" s="2866" t="e">
        <v>#N/A</v>
      </c>
      <c r="K423" s="2865" t="e">
        <v>#N/A</v>
      </c>
      <c r="L423" s="2865" t="e">
        <v>#N/A</v>
      </c>
      <c r="M423" s="2867" t="e">
        <v>#N/A</v>
      </c>
      <c r="N423" s="2850" t="e">
        <v>#N/A</v>
      </c>
      <c r="O423" s="2850" t="e">
        <v>#N/A</v>
      </c>
      <c r="P423" s="2850" t="e">
        <v>#N/A</v>
      </c>
      <c r="Q423" s="2850" t="e">
        <v>#N/A</v>
      </c>
      <c r="R423" s="2850" t="e">
        <v>#N/A</v>
      </c>
      <c r="S423" s="2850" t="e">
        <v>#N/A</v>
      </c>
      <c r="T423" s="2850" t="e">
        <v>#N/A</v>
      </c>
      <c r="U423" s="2850" t="e">
        <v>#N/A</v>
      </c>
      <c r="V423" s="2850" t="e">
        <v>#N/A</v>
      </c>
      <c r="W423" s="2850" t="e">
        <v>#N/A</v>
      </c>
      <c r="X423" s="2850" t="e">
        <v>#N/A</v>
      </c>
      <c r="Y423" s="2850" t="e">
        <v>#N/A</v>
      </c>
      <c r="Z423" s="2850" t="e">
        <v>#N/A</v>
      </c>
      <c r="AA423" s="2850" t="e">
        <v>#N/A</v>
      </c>
      <c r="AB423" s="2850" t="e">
        <v>#N/A</v>
      </c>
      <c r="AC423" s="2850" t="e">
        <v>#N/A</v>
      </c>
      <c r="AD423" s="2850" t="e">
        <v>#N/A</v>
      </c>
      <c r="AE423" s="2850" t="e">
        <v>#N/A</v>
      </c>
      <c r="AF423" s="2850" t="e">
        <v>#N/A</v>
      </c>
      <c r="AG423" s="2852" t="e">
        <v>#N/A</v>
      </c>
    </row>
    <row r="424" spans="1:33">
      <c r="A424" s="49">
        <f t="shared" si="6"/>
        <v>2028.07</v>
      </c>
      <c r="B424" s="573" t="e">
        <v>#N/A</v>
      </c>
      <c r="C424" s="1365" t="e">
        <v>#N/A</v>
      </c>
      <c r="D424" s="73" t="e">
        <v>#N/A</v>
      </c>
      <c r="E424" s="74" t="e">
        <v>#N/A</v>
      </c>
      <c r="F424" s="570" t="e">
        <v>#N/A</v>
      </c>
      <c r="G424" s="2864" t="e">
        <v>#N/A</v>
      </c>
      <c r="H424" s="2865" t="e">
        <v>#N/A</v>
      </c>
      <c r="I424" s="2861" t="e">
        <f t="shared" si="7"/>
        <v>#N/A</v>
      </c>
      <c r="J424" s="2866" t="e">
        <v>#N/A</v>
      </c>
      <c r="K424" s="2865" t="e">
        <v>#N/A</v>
      </c>
      <c r="L424" s="2865" t="e">
        <v>#N/A</v>
      </c>
      <c r="M424" s="2867" t="e">
        <v>#N/A</v>
      </c>
      <c r="N424" s="2850" t="e">
        <v>#N/A</v>
      </c>
      <c r="O424" s="2850" t="e">
        <v>#N/A</v>
      </c>
      <c r="P424" s="2850" t="e">
        <v>#N/A</v>
      </c>
      <c r="Q424" s="2850" t="e">
        <v>#N/A</v>
      </c>
      <c r="R424" s="2850" t="e">
        <v>#N/A</v>
      </c>
      <c r="S424" s="2850" t="e">
        <v>#N/A</v>
      </c>
      <c r="T424" s="2850" t="e">
        <v>#N/A</v>
      </c>
      <c r="U424" s="2850" t="e">
        <v>#N/A</v>
      </c>
      <c r="V424" s="2850" t="e">
        <v>#N/A</v>
      </c>
      <c r="W424" s="2850" t="e">
        <v>#N/A</v>
      </c>
      <c r="X424" s="2850" t="e">
        <v>#N/A</v>
      </c>
      <c r="Y424" s="2850" t="e">
        <v>#N/A</v>
      </c>
      <c r="Z424" s="2850" t="e">
        <v>#N/A</v>
      </c>
      <c r="AA424" s="2850" t="e">
        <v>#N/A</v>
      </c>
      <c r="AB424" s="2850" t="e">
        <v>#N/A</v>
      </c>
      <c r="AC424" s="2850" t="e">
        <v>#N/A</v>
      </c>
      <c r="AD424" s="2850" t="e">
        <v>#N/A</v>
      </c>
      <c r="AE424" s="2850" t="e">
        <v>#N/A</v>
      </c>
      <c r="AF424" s="2850" t="e">
        <v>#N/A</v>
      </c>
      <c r="AG424" s="2852" t="e">
        <v>#N/A</v>
      </c>
    </row>
    <row r="425" spans="1:33">
      <c r="A425" s="49">
        <f t="shared" si="6"/>
        <v>2028.08</v>
      </c>
      <c r="B425" s="573" t="e">
        <v>#N/A</v>
      </c>
      <c r="C425" s="1365" t="e">
        <v>#N/A</v>
      </c>
      <c r="D425" s="73" t="e">
        <v>#N/A</v>
      </c>
      <c r="E425" s="74" t="e">
        <v>#N/A</v>
      </c>
      <c r="F425" s="570" t="e">
        <v>#N/A</v>
      </c>
      <c r="G425" s="2864" t="e">
        <v>#N/A</v>
      </c>
      <c r="H425" s="2865" t="e">
        <v>#N/A</v>
      </c>
      <c r="I425" s="2861" t="e">
        <f t="shared" si="7"/>
        <v>#N/A</v>
      </c>
      <c r="J425" s="2866" t="e">
        <v>#N/A</v>
      </c>
      <c r="K425" s="2865" t="e">
        <v>#N/A</v>
      </c>
      <c r="L425" s="2865" t="e">
        <v>#N/A</v>
      </c>
      <c r="M425" s="2867" t="e">
        <v>#N/A</v>
      </c>
      <c r="N425" s="2850" t="e">
        <v>#N/A</v>
      </c>
      <c r="O425" s="2850" t="e">
        <v>#N/A</v>
      </c>
      <c r="P425" s="2850" t="e">
        <v>#N/A</v>
      </c>
      <c r="Q425" s="2850" t="e">
        <v>#N/A</v>
      </c>
      <c r="R425" s="2850" t="e">
        <v>#N/A</v>
      </c>
      <c r="S425" s="2850" t="e">
        <v>#N/A</v>
      </c>
      <c r="T425" s="2850" t="e">
        <v>#N/A</v>
      </c>
      <c r="U425" s="2850" t="e">
        <v>#N/A</v>
      </c>
      <c r="V425" s="2850" t="e">
        <v>#N/A</v>
      </c>
      <c r="W425" s="2850" t="e">
        <v>#N/A</v>
      </c>
      <c r="X425" s="2850" t="e">
        <v>#N/A</v>
      </c>
      <c r="Y425" s="2850" t="e">
        <v>#N/A</v>
      </c>
      <c r="Z425" s="2850" t="e">
        <v>#N/A</v>
      </c>
      <c r="AA425" s="2850" t="e">
        <v>#N/A</v>
      </c>
      <c r="AB425" s="2850" t="e">
        <v>#N/A</v>
      </c>
      <c r="AC425" s="2850" t="e">
        <v>#N/A</v>
      </c>
      <c r="AD425" s="2850" t="e">
        <v>#N/A</v>
      </c>
      <c r="AE425" s="2850" t="e">
        <v>#N/A</v>
      </c>
      <c r="AF425" s="2850" t="e">
        <v>#N/A</v>
      </c>
      <c r="AG425" s="2852" t="e">
        <v>#N/A</v>
      </c>
    </row>
    <row r="426" spans="1:33">
      <c r="A426" s="49">
        <f t="shared" si="6"/>
        <v>2028.09</v>
      </c>
      <c r="B426" s="573" t="e">
        <v>#N/A</v>
      </c>
      <c r="C426" s="1365" t="e">
        <v>#N/A</v>
      </c>
      <c r="D426" s="73" t="e">
        <v>#N/A</v>
      </c>
      <c r="E426" s="74" t="e">
        <v>#N/A</v>
      </c>
      <c r="F426" s="570" t="e">
        <v>#N/A</v>
      </c>
      <c r="G426" s="2864" t="e">
        <v>#N/A</v>
      </c>
      <c r="H426" s="2865" t="e">
        <v>#N/A</v>
      </c>
      <c r="I426" s="2861" t="e">
        <f t="shared" si="7"/>
        <v>#N/A</v>
      </c>
      <c r="J426" s="2866" t="e">
        <v>#N/A</v>
      </c>
      <c r="K426" s="2865" t="e">
        <v>#N/A</v>
      </c>
      <c r="L426" s="2865" t="e">
        <v>#N/A</v>
      </c>
      <c r="M426" s="2867" t="e">
        <v>#N/A</v>
      </c>
      <c r="N426" s="2850" t="e">
        <v>#N/A</v>
      </c>
      <c r="O426" s="2850" t="e">
        <v>#N/A</v>
      </c>
      <c r="P426" s="2850" t="e">
        <v>#N/A</v>
      </c>
      <c r="Q426" s="2850" t="e">
        <v>#N/A</v>
      </c>
      <c r="R426" s="2850" t="e">
        <v>#N/A</v>
      </c>
      <c r="S426" s="2850" t="e">
        <v>#N/A</v>
      </c>
      <c r="T426" s="2850" t="e">
        <v>#N/A</v>
      </c>
      <c r="U426" s="2850" t="e">
        <v>#N/A</v>
      </c>
      <c r="V426" s="2850" t="e">
        <v>#N/A</v>
      </c>
      <c r="W426" s="2850" t="e">
        <v>#N/A</v>
      </c>
      <c r="X426" s="2850" t="e">
        <v>#N/A</v>
      </c>
      <c r="Y426" s="2850" t="e">
        <v>#N/A</v>
      </c>
      <c r="Z426" s="2850" t="e">
        <v>#N/A</v>
      </c>
      <c r="AA426" s="2850" t="e">
        <v>#N/A</v>
      </c>
      <c r="AB426" s="2850" t="e">
        <v>#N/A</v>
      </c>
      <c r="AC426" s="2850" t="e">
        <v>#N/A</v>
      </c>
      <c r="AD426" s="2850" t="e">
        <v>#N/A</v>
      </c>
      <c r="AE426" s="2850" t="e">
        <v>#N/A</v>
      </c>
      <c r="AF426" s="2850" t="e">
        <v>#N/A</v>
      </c>
      <c r="AG426" s="2852" t="e">
        <v>#N/A</v>
      </c>
    </row>
    <row r="427" spans="1:33">
      <c r="A427" s="49">
        <f t="shared" si="6"/>
        <v>2028.1</v>
      </c>
      <c r="B427" s="573" t="e">
        <v>#N/A</v>
      </c>
      <c r="C427" s="1365" t="e">
        <v>#N/A</v>
      </c>
      <c r="D427" s="73" t="e">
        <v>#N/A</v>
      </c>
      <c r="E427" s="74" t="e">
        <v>#N/A</v>
      </c>
      <c r="F427" s="570" t="e">
        <v>#N/A</v>
      </c>
      <c r="G427" s="2864" t="e">
        <v>#N/A</v>
      </c>
      <c r="H427" s="2865" t="e">
        <v>#N/A</v>
      </c>
      <c r="I427" s="2861" t="e">
        <f t="shared" si="7"/>
        <v>#N/A</v>
      </c>
      <c r="J427" s="2866" t="e">
        <v>#N/A</v>
      </c>
      <c r="K427" s="2865" t="e">
        <v>#N/A</v>
      </c>
      <c r="L427" s="2865" t="e">
        <v>#N/A</v>
      </c>
      <c r="M427" s="2867" t="e">
        <v>#N/A</v>
      </c>
      <c r="N427" s="2850" t="e">
        <v>#N/A</v>
      </c>
      <c r="O427" s="2850" t="e">
        <v>#N/A</v>
      </c>
      <c r="P427" s="2850" t="e">
        <v>#N/A</v>
      </c>
      <c r="Q427" s="2850" t="e">
        <v>#N/A</v>
      </c>
      <c r="R427" s="2850" t="e">
        <v>#N/A</v>
      </c>
      <c r="S427" s="2850" t="e">
        <v>#N/A</v>
      </c>
      <c r="T427" s="2850" t="e">
        <v>#N/A</v>
      </c>
      <c r="U427" s="2850" t="e">
        <v>#N/A</v>
      </c>
      <c r="V427" s="2850" t="e">
        <v>#N/A</v>
      </c>
      <c r="W427" s="2850" t="e">
        <v>#N/A</v>
      </c>
      <c r="X427" s="2850" t="e">
        <v>#N/A</v>
      </c>
      <c r="Y427" s="2850" t="e">
        <v>#N/A</v>
      </c>
      <c r="Z427" s="2850" t="e">
        <v>#N/A</v>
      </c>
      <c r="AA427" s="2850" t="e">
        <v>#N/A</v>
      </c>
      <c r="AB427" s="2850" t="e">
        <v>#N/A</v>
      </c>
      <c r="AC427" s="2850" t="e">
        <v>#N/A</v>
      </c>
      <c r="AD427" s="2850" t="e">
        <v>#N/A</v>
      </c>
      <c r="AE427" s="2850" t="e">
        <v>#N/A</v>
      </c>
      <c r="AF427" s="2850" t="e">
        <v>#N/A</v>
      </c>
      <c r="AG427" s="2852" t="e">
        <v>#N/A</v>
      </c>
    </row>
    <row r="428" spans="1:33">
      <c r="A428" s="49">
        <f t="shared" si="6"/>
        <v>2028.11</v>
      </c>
      <c r="B428" s="573" t="e">
        <v>#N/A</v>
      </c>
      <c r="C428" s="1365" t="e">
        <v>#N/A</v>
      </c>
      <c r="D428" s="73" t="e">
        <v>#N/A</v>
      </c>
      <c r="E428" s="74" t="e">
        <v>#N/A</v>
      </c>
      <c r="F428" s="570" t="e">
        <v>#N/A</v>
      </c>
      <c r="G428" s="2864" t="e">
        <v>#N/A</v>
      </c>
      <c r="H428" s="2865" t="e">
        <v>#N/A</v>
      </c>
      <c r="I428" s="2861" t="e">
        <f t="shared" si="7"/>
        <v>#N/A</v>
      </c>
      <c r="J428" s="2866" t="e">
        <v>#N/A</v>
      </c>
      <c r="K428" s="2865" t="e">
        <v>#N/A</v>
      </c>
      <c r="L428" s="2865" t="e">
        <v>#N/A</v>
      </c>
      <c r="M428" s="2867" t="e">
        <v>#N/A</v>
      </c>
      <c r="N428" s="2850" t="e">
        <v>#N/A</v>
      </c>
      <c r="O428" s="2850" t="e">
        <v>#N/A</v>
      </c>
      <c r="P428" s="2850" t="e">
        <v>#N/A</v>
      </c>
      <c r="Q428" s="2850" t="e">
        <v>#N/A</v>
      </c>
      <c r="R428" s="2850" t="e">
        <v>#N/A</v>
      </c>
      <c r="S428" s="2850" t="e">
        <v>#N/A</v>
      </c>
      <c r="T428" s="2850" t="e">
        <v>#N/A</v>
      </c>
      <c r="U428" s="2850" t="e">
        <v>#N/A</v>
      </c>
      <c r="V428" s="2850" t="e">
        <v>#N/A</v>
      </c>
      <c r="W428" s="2850" t="e">
        <v>#N/A</v>
      </c>
      <c r="X428" s="2850" t="e">
        <v>#N/A</v>
      </c>
      <c r="Y428" s="2850" t="e">
        <v>#N/A</v>
      </c>
      <c r="Z428" s="2850" t="e">
        <v>#N/A</v>
      </c>
      <c r="AA428" s="2850" t="e">
        <v>#N/A</v>
      </c>
      <c r="AB428" s="2850" t="e">
        <v>#N/A</v>
      </c>
      <c r="AC428" s="2850" t="e">
        <v>#N/A</v>
      </c>
      <c r="AD428" s="2850" t="e">
        <v>#N/A</v>
      </c>
      <c r="AE428" s="2850" t="e">
        <v>#N/A</v>
      </c>
      <c r="AF428" s="2850" t="e">
        <v>#N/A</v>
      </c>
      <c r="AG428" s="2852" t="e">
        <v>#N/A</v>
      </c>
    </row>
    <row r="429" spans="1:33">
      <c r="A429" s="49">
        <f t="shared" si="6"/>
        <v>2028.12</v>
      </c>
      <c r="B429" s="573" t="e">
        <v>#N/A</v>
      </c>
      <c r="C429" s="1365" t="e">
        <v>#N/A</v>
      </c>
      <c r="D429" s="73" t="e">
        <v>#N/A</v>
      </c>
      <c r="E429" s="74" t="e">
        <v>#N/A</v>
      </c>
      <c r="F429" s="570" t="e">
        <v>#N/A</v>
      </c>
      <c r="G429" s="2864" t="e">
        <v>#N/A</v>
      </c>
      <c r="H429" s="2865" t="e">
        <v>#N/A</v>
      </c>
      <c r="I429" s="2861" t="e">
        <f t="shared" si="7"/>
        <v>#N/A</v>
      </c>
      <c r="J429" s="2866" t="e">
        <v>#N/A</v>
      </c>
      <c r="K429" s="2865" t="e">
        <v>#N/A</v>
      </c>
      <c r="L429" s="2865" t="e">
        <v>#N/A</v>
      </c>
      <c r="M429" s="2867" t="e">
        <v>#N/A</v>
      </c>
      <c r="N429" s="2850" t="e">
        <v>#N/A</v>
      </c>
      <c r="O429" s="2850" t="e">
        <v>#N/A</v>
      </c>
      <c r="P429" s="2850" t="e">
        <v>#N/A</v>
      </c>
      <c r="Q429" s="2850" t="e">
        <v>#N/A</v>
      </c>
      <c r="R429" s="2850" t="e">
        <v>#N/A</v>
      </c>
      <c r="S429" s="2850" t="e">
        <v>#N/A</v>
      </c>
      <c r="T429" s="2850" t="e">
        <v>#N/A</v>
      </c>
      <c r="U429" s="2850" t="e">
        <v>#N/A</v>
      </c>
      <c r="V429" s="2850" t="e">
        <v>#N/A</v>
      </c>
      <c r="W429" s="2850" t="e">
        <v>#N/A</v>
      </c>
      <c r="X429" s="2850" t="e">
        <v>#N/A</v>
      </c>
      <c r="Y429" s="2850" t="e">
        <v>#N/A</v>
      </c>
      <c r="Z429" s="2850" t="e">
        <v>#N/A</v>
      </c>
      <c r="AA429" s="2850" t="e">
        <v>#N/A</v>
      </c>
      <c r="AB429" s="2850" t="e">
        <v>#N/A</v>
      </c>
      <c r="AC429" s="2850" t="e">
        <v>#N/A</v>
      </c>
      <c r="AD429" s="2850" t="e">
        <v>#N/A</v>
      </c>
      <c r="AE429" s="2850" t="e">
        <v>#N/A</v>
      </c>
      <c r="AF429" s="2850" t="e">
        <v>#N/A</v>
      </c>
      <c r="AG429" s="2852" t="e">
        <v>#N/A</v>
      </c>
    </row>
    <row r="430" spans="1:33">
      <c r="A430" s="49">
        <f t="shared" si="6"/>
        <v>2029.01</v>
      </c>
      <c r="B430" s="573" t="e">
        <v>#N/A</v>
      </c>
      <c r="C430" s="1365" t="e">
        <v>#N/A</v>
      </c>
      <c r="D430" s="73" t="e">
        <v>#N/A</v>
      </c>
      <c r="E430" s="74" t="e">
        <v>#N/A</v>
      </c>
      <c r="F430" s="570" t="e">
        <v>#N/A</v>
      </c>
      <c r="G430" s="2864" t="e">
        <v>#N/A</v>
      </c>
      <c r="H430" s="2865" t="e">
        <v>#N/A</v>
      </c>
      <c r="I430" s="2861" t="e">
        <f t="shared" si="7"/>
        <v>#N/A</v>
      </c>
      <c r="J430" s="2866" t="e">
        <v>#N/A</v>
      </c>
      <c r="K430" s="2865" t="e">
        <v>#N/A</v>
      </c>
      <c r="L430" s="2865" t="e">
        <v>#N/A</v>
      </c>
      <c r="M430" s="2867" t="e">
        <v>#N/A</v>
      </c>
      <c r="N430" s="2850" t="e">
        <v>#N/A</v>
      </c>
      <c r="O430" s="2850" t="e">
        <v>#N/A</v>
      </c>
      <c r="P430" s="2850" t="e">
        <v>#N/A</v>
      </c>
      <c r="Q430" s="2850" t="e">
        <v>#N/A</v>
      </c>
      <c r="R430" s="2850" t="e">
        <v>#N/A</v>
      </c>
      <c r="S430" s="2850" t="e">
        <v>#N/A</v>
      </c>
      <c r="T430" s="2850" t="e">
        <v>#N/A</v>
      </c>
      <c r="U430" s="2850" t="e">
        <v>#N/A</v>
      </c>
      <c r="V430" s="2850" t="e">
        <v>#N/A</v>
      </c>
      <c r="W430" s="2850" t="e">
        <v>#N/A</v>
      </c>
      <c r="X430" s="2850" t="e">
        <v>#N/A</v>
      </c>
      <c r="Y430" s="2850" t="e">
        <v>#N/A</v>
      </c>
      <c r="Z430" s="2850" t="e">
        <v>#N/A</v>
      </c>
      <c r="AA430" s="2850" t="e">
        <v>#N/A</v>
      </c>
      <c r="AB430" s="2850" t="e">
        <v>#N/A</v>
      </c>
      <c r="AC430" s="2850" t="e">
        <v>#N/A</v>
      </c>
      <c r="AD430" s="2850" t="e">
        <v>#N/A</v>
      </c>
      <c r="AE430" s="2850" t="e">
        <v>#N/A</v>
      </c>
      <c r="AF430" s="2850" t="e">
        <v>#N/A</v>
      </c>
      <c r="AG430" s="2852" t="e">
        <v>#N/A</v>
      </c>
    </row>
    <row r="431" spans="1:33">
      <c r="A431" s="49">
        <f t="shared" si="6"/>
        <v>2029.02</v>
      </c>
      <c r="B431" s="573" t="e">
        <v>#N/A</v>
      </c>
      <c r="C431" s="1365" t="e">
        <v>#N/A</v>
      </c>
      <c r="D431" s="73" t="e">
        <v>#N/A</v>
      </c>
      <c r="E431" s="74" t="e">
        <v>#N/A</v>
      </c>
      <c r="F431" s="570" t="e">
        <v>#N/A</v>
      </c>
      <c r="G431" s="2864" t="e">
        <v>#N/A</v>
      </c>
      <c r="H431" s="2865" t="e">
        <v>#N/A</v>
      </c>
      <c r="I431" s="2861" t="e">
        <f t="shared" si="7"/>
        <v>#N/A</v>
      </c>
      <c r="J431" s="2866" t="e">
        <v>#N/A</v>
      </c>
      <c r="K431" s="2865" t="e">
        <v>#N/A</v>
      </c>
      <c r="L431" s="2865" t="e">
        <v>#N/A</v>
      </c>
      <c r="M431" s="2867" t="e">
        <v>#N/A</v>
      </c>
      <c r="N431" s="2850" t="e">
        <v>#N/A</v>
      </c>
      <c r="O431" s="2850" t="e">
        <v>#N/A</v>
      </c>
      <c r="P431" s="2850" t="e">
        <v>#N/A</v>
      </c>
      <c r="Q431" s="2850" t="e">
        <v>#N/A</v>
      </c>
      <c r="R431" s="2850" t="e">
        <v>#N/A</v>
      </c>
      <c r="S431" s="2850" t="e">
        <v>#N/A</v>
      </c>
      <c r="T431" s="2850" t="e">
        <v>#N/A</v>
      </c>
      <c r="U431" s="2850" t="e">
        <v>#N/A</v>
      </c>
      <c r="V431" s="2850" t="e">
        <v>#N/A</v>
      </c>
      <c r="W431" s="2850" t="e">
        <v>#N/A</v>
      </c>
      <c r="X431" s="2850" t="e">
        <v>#N/A</v>
      </c>
      <c r="Y431" s="2850" t="e">
        <v>#N/A</v>
      </c>
      <c r="Z431" s="2850" t="e">
        <v>#N/A</v>
      </c>
      <c r="AA431" s="2850" t="e">
        <v>#N/A</v>
      </c>
      <c r="AB431" s="2850" t="e">
        <v>#N/A</v>
      </c>
      <c r="AC431" s="2850" t="e">
        <v>#N/A</v>
      </c>
      <c r="AD431" s="2850" t="e">
        <v>#N/A</v>
      </c>
      <c r="AE431" s="2850" t="e">
        <v>#N/A</v>
      </c>
      <c r="AF431" s="2850" t="e">
        <v>#N/A</v>
      </c>
      <c r="AG431" s="2852" t="e">
        <v>#N/A</v>
      </c>
    </row>
    <row r="432" spans="1:33">
      <c r="A432" s="49">
        <f t="shared" si="6"/>
        <v>2029.03</v>
      </c>
      <c r="B432" s="573" t="e">
        <v>#N/A</v>
      </c>
      <c r="C432" s="1365" t="e">
        <v>#N/A</v>
      </c>
      <c r="D432" s="73" t="e">
        <v>#N/A</v>
      </c>
      <c r="E432" s="74" t="e">
        <v>#N/A</v>
      </c>
      <c r="F432" s="570" t="e">
        <v>#N/A</v>
      </c>
      <c r="G432" s="2864" t="e">
        <v>#N/A</v>
      </c>
      <c r="H432" s="2865" t="e">
        <v>#N/A</v>
      </c>
      <c r="I432" s="2861" t="e">
        <f t="shared" si="7"/>
        <v>#N/A</v>
      </c>
      <c r="J432" s="2866" t="e">
        <v>#N/A</v>
      </c>
      <c r="K432" s="2865" t="e">
        <v>#N/A</v>
      </c>
      <c r="L432" s="2865" t="e">
        <v>#N/A</v>
      </c>
      <c r="M432" s="2867" t="e">
        <v>#N/A</v>
      </c>
      <c r="N432" s="2850" t="e">
        <v>#N/A</v>
      </c>
      <c r="O432" s="2850" t="e">
        <v>#N/A</v>
      </c>
      <c r="P432" s="2850" t="e">
        <v>#N/A</v>
      </c>
      <c r="Q432" s="2850" t="e">
        <v>#N/A</v>
      </c>
      <c r="R432" s="2850" t="e">
        <v>#N/A</v>
      </c>
      <c r="S432" s="2850" t="e">
        <v>#N/A</v>
      </c>
      <c r="T432" s="2850" t="e">
        <v>#N/A</v>
      </c>
      <c r="U432" s="2850" t="e">
        <v>#N/A</v>
      </c>
      <c r="V432" s="2850" t="e">
        <v>#N/A</v>
      </c>
      <c r="W432" s="2850" t="e">
        <v>#N/A</v>
      </c>
      <c r="X432" s="2850" t="e">
        <v>#N/A</v>
      </c>
      <c r="Y432" s="2850" t="e">
        <v>#N/A</v>
      </c>
      <c r="Z432" s="2850" t="e">
        <v>#N/A</v>
      </c>
      <c r="AA432" s="2850" t="e">
        <v>#N/A</v>
      </c>
      <c r="AB432" s="2850" t="e">
        <v>#N/A</v>
      </c>
      <c r="AC432" s="2850" t="e">
        <v>#N/A</v>
      </c>
      <c r="AD432" s="2850" t="e">
        <v>#N/A</v>
      </c>
      <c r="AE432" s="2850" t="e">
        <v>#N/A</v>
      </c>
      <c r="AF432" s="2850" t="e">
        <v>#N/A</v>
      </c>
      <c r="AG432" s="2852" t="e">
        <v>#N/A</v>
      </c>
    </row>
    <row r="433" spans="1:33">
      <c r="A433" s="49">
        <f t="shared" si="6"/>
        <v>2029.04</v>
      </c>
      <c r="B433" s="573" t="e">
        <v>#N/A</v>
      </c>
      <c r="C433" s="1365" t="e">
        <v>#N/A</v>
      </c>
      <c r="D433" s="73" t="e">
        <v>#N/A</v>
      </c>
      <c r="E433" s="74" t="e">
        <v>#N/A</v>
      </c>
      <c r="F433" s="570" t="e">
        <v>#N/A</v>
      </c>
      <c r="G433" s="2864" t="e">
        <v>#N/A</v>
      </c>
      <c r="H433" s="2865" t="e">
        <v>#N/A</v>
      </c>
      <c r="I433" s="2861" t="e">
        <f t="shared" si="7"/>
        <v>#N/A</v>
      </c>
      <c r="J433" s="2866" t="e">
        <v>#N/A</v>
      </c>
      <c r="K433" s="2865" t="e">
        <v>#N/A</v>
      </c>
      <c r="L433" s="2865" t="e">
        <v>#N/A</v>
      </c>
      <c r="M433" s="2867" t="e">
        <v>#N/A</v>
      </c>
      <c r="N433" s="2850" t="e">
        <v>#N/A</v>
      </c>
      <c r="O433" s="2850" t="e">
        <v>#N/A</v>
      </c>
      <c r="P433" s="2850" t="e">
        <v>#N/A</v>
      </c>
      <c r="Q433" s="2850" t="e">
        <v>#N/A</v>
      </c>
      <c r="R433" s="2850" t="e">
        <v>#N/A</v>
      </c>
      <c r="S433" s="2850" t="e">
        <v>#N/A</v>
      </c>
      <c r="T433" s="2850" t="e">
        <v>#N/A</v>
      </c>
      <c r="U433" s="2850" t="e">
        <v>#N/A</v>
      </c>
      <c r="V433" s="2850" t="e">
        <v>#N/A</v>
      </c>
      <c r="W433" s="2850" t="e">
        <v>#N/A</v>
      </c>
      <c r="X433" s="2850" t="e">
        <v>#N/A</v>
      </c>
      <c r="Y433" s="2850" t="e">
        <v>#N/A</v>
      </c>
      <c r="Z433" s="2850" t="e">
        <v>#N/A</v>
      </c>
      <c r="AA433" s="2850" t="e">
        <v>#N/A</v>
      </c>
      <c r="AB433" s="2850" t="e">
        <v>#N/A</v>
      </c>
      <c r="AC433" s="2850" t="e">
        <v>#N/A</v>
      </c>
      <c r="AD433" s="2850" t="e">
        <v>#N/A</v>
      </c>
      <c r="AE433" s="2850" t="e">
        <v>#N/A</v>
      </c>
      <c r="AF433" s="2850" t="e">
        <v>#N/A</v>
      </c>
      <c r="AG433" s="2852" t="e">
        <v>#N/A</v>
      </c>
    </row>
    <row r="434" spans="1:33">
      <c r="A434" s="49">
        <f t="shared" ref="A434:A453" si="8">A422+1</f>
        <v>2029.05</v>
      </c>
      <c r="B434" s="573" t="e">
        <v>#N/A</v>
      </c>
      <c r="C434" s="1365" t="e">
        <v>#N/A</v>
      </c>
      <c r="D434" s="73" t="e">
        <v>#N/A</v>
      </c>
      <c r="E434" s="74" t="e">
        <v>#N/A</v>
      </c>
      <c r="F434" s="570" t="e">
        <v>#N/A</v>
      </c>
      <c r="G434" s="2864" t="e">
        <v>#N/A</v>
      </c>
      <c r="H434" s="2865" t="e">
        <v>#N/A</v>
      </c>
      <c r="I434" s="2861" t="e">
        <f t="shared" si="7"/>
        <v>#N/A</v>
      </c>
      <c r="J434" s="2866" t="e">
        <v>#N/A</v>
      </c>
      <c r="K434" s="2865" t="e">
        <v>#N/A</v>
      </c>
      <c r="L434" s="2865" t="e">
        <v>#N/A</v>
      </c>
      <c r="M434" s="2867" t="e">
        <v>#N/A</v>
      </c>
      <c r="N434" s="2850" t="e">
        <v>#N/A</v>
      </c>
      <c r="O434" s="2850" t="e">
        <v>#N/A</v>
      </c>
      <c r="P434" s="2850" t="e">
        <v>#N/A</v>
      </c>
      <c r="Q434" s="2850" t="e">
        <v>#N/A</v>
      </c>
      <c r="R434" s="2850" t="e">
        <v>#N/A</v>
      </c>
      <c r="S434" s="2850" t="e">
        <v>#N/A</v>
      </c>
      <c r="T434" s="2850" t="e">
        <v>#N/A</v>
      </c>
      <c r="U434" s="2850" t="e">
        <v>#N/A</v>
      </c>
      <c r="V434" s="2850" t="e">
        <v>#N/A</v>
      </c>
      <c r="W434" s="2850" t="e">
        <v>#N/A</v>
      </c>
      <c r="X434" s="2850" t="e">
        <v>#N/A</v>
      </c>
      <c r="Y434" s="2850" t="e">
        <v>#N/A</v>
      </c>
      <c r="Z434" s="2850" t="e">
        <v>#N/A</v>
      </c>
      <c r="AA434" s="2850" t="e">
        <v>#N/A</v>
      </c>
      <c r="AB434" s="2850" t="e">
        <v>#N/A</v>
      </c>
      <c r="AC434" s="2850" t="e">
        <v>#N/A</v>
      </c>
      <c r="AD434" s="2850" t="e">
        <v>#N/A</v>
      </c>
      <c r="AE434" s="2850" t="e">
        <v>#N/A</v>
      </c>
      <c r="AF434" s="2850" t="e">
        <v>#N/A</v>
      </c>
      <c r="AG434" s="2852" t="e">
        <v>#N/A</v>
      </c>
    </row>
    <row r="435" spans="1:33">
      <c r="A435" s="49">
        <f t="shared" si="8"/>
        <v>2029.06</v>
      </c>
      <c r="B435" s="573" t="e">
        <v>#N/A</v>
      </c>
      <c r="C435" s="1365" t="e">
        <v>#N/A</v>
      </c>
      <c r="D435" s="73" t="e">
        <v>#N/A</v>
      </c>
      <c r="E435" s="74" t="e">
        <v>#N/A</v>
      </c>
      <c r="F435" s="570" t="e">
        <v>#N/A</v>
      </c>
      <c r="G435" s="2864" t="e">
        <v>#N/A</v>
      </c>
      <c r="H435" s="2865" t="e">
        <v>#N/A</v>
      </c>
      <c r="I435" s="2861" t="e">
        <f t="shared" si="7"/>
        <v>#N/A</v>
      </c>
      <c r="J435" s="2866" t="e">
        <v>#N/A</v>
      </c>
      <c r="K435" s="2865" t="e">
        <v>#N/A</v>
      </c>
      <c r="L435" s="2865" t="e">
        <v>#N/A</v>
      </c>
      <c r="M435" s="2867" t="e">
        <v>#N/A</v>
      </c>
      <c r="N435" s="2850" t="e">
        <v>#N/A</v>
      </c>
      <c r="O435" s="2850" t="e">
        <v>#N/A</v>
      </c>
      <c r="P435" s="2850" t="e">
        <v>#N/A</v>
      </c>
      <c r="Q435" s="2850" t="e">
        <v>#N/A</v>
      </c>
      <c r="R435" s="2850" t="e">
        <v>#N/A</v>
      </c>
      <c r="S435" s="2850" t="e">
        <v>#N/A</v>
      </c>
      <c r="T435" s="2850" t="e">
        <v>#N/A</v>
      </c>
      <c r="U435" s="2850" t="e">
        <v>#N/A</v>
      </c>
      <c r="V435" s="2850" t="e">
        <v>#N/A</v>
      </c>
      <c r="W435" s="2850" t="e">
        <v>#N/A</v>
      </c>
      <c r="X435" s="2850" t="e">
        <v>#N/A</v>
      </c>
      <c r="Y435" s="2850" t="e">
        <v>#N/A</v>
      </c>
      <c r="Z435" s="2850" t="e">
        <v>#N/A</v>
      </c>
      <c r="AA435" s="2850" t="e">
        <v>#N/A</v>
      </c>
      <c r="AB435" s="2850" t="e">
        <v>#N/A</v>
      </c>
      <c r="AC435" s="2850" t="e">
        <v>#N/A</v>
      </c>
      <c r="AD435" s="2850" t="e">
        <v>#N/A</v>
      </c>
      <c r="AE435" s="2850" t="e">
        <v>#N/A</v>
      </c>
      <c r="AF435" s="2850" t="e">
        <v>#N/A</v>
      </c>
      <c r="AG435" s="2852" t="e">
        <v>#N/A</v>
      </c>
    </row>
    <row r="436" spans="1:33">
      <c r="A436" s="49">
        <f t="shared" si="8"/>
        <v>2029.07</v>
      </c>
      <c r="B436" s="573" t="e">
        <v>#N/A</v>
      </c>
      <c r="C436" s="1365" t="e">
        <v>#N/A</v>
      </c>
      <c r="D436" s="73" t="e">
        <v>#N/A</v>
      </c>
      <c r="E436" s="74" t="e">
        <v>#N/A</v>
      </c>
      <c r="F436" s="570" t="e">
        <v>#N/A</v>
      </c>
      <c r="G436" s="2864" t="e">
        <v>#N/A</v>
      </c>
      <c r="H436" s="2865" t="e">
        <v>#N/A</v>
      </c>
      <c r="I436" s="2861" t="e">
        <f t="shared" si="7"/>
        <v>#N/A</v>
      </c>
      <c r="J436" s="2866" t="e">
        <v>#N/A</v>
      </c>
      <c r="K436" s="2865" t="e">
        <v>#N/A</v>
      </c>
      <c r="L436" s="2865" t="e">
        <v>#N/A</v>
      </c>
      <c r="M436" s="2867" t="e">
        <v>#N/A</v>
      </c>
      <c r="N436" s="2850" t="e">
        <v>#N/A</v>
      </c>
      <c r="O436" s="2850" t="e">
        <v>#N/A</v>
      </c>
      <c r="P436" s="2850" t="e">
        <v>#N/A</v>
      </c>
      <c r="Q436" s="2850" t="e">
        <v>#N/A</v>
      </c>
      <c r="R436" s="2850" t="e">
        <v>#N/A</v>
      </c>
      <c r="S436" s="2850" t="e">
        <v>#N/A</v>
      </c>
      <c r="T436" s="2850" t="e">
        <v>#N/A</v>
      </c>
      <c r="U436" s="2850" t="e">
        <v>#N/A</v>
      </c>
      <c r="V436" s="2850" t="e">
        <v>#N/A</v>
      </c>
      <c r="W436" s="2850" t="e">
        <v>#N/A</v>
      </c>
      <c r="X436" s="2850" t="e">
        <v>#N/A</v>
      </c>
      <c r="Y436" s="2850" t="e">
        <v>#N/A</v>
      </c>
      <c r="Z436" s="2850" t="e">
        <v>#N/A</v>
      </c>
      <c r="AA436" s="2850" t="e">
        <v>#N/A</v>
      </c>
      <c r="AB436" s="2850" t="e">
        <v>#N/A</v>
      </c>
      <c r="AC436" s="2850" t="e">
        <v>#N/A</v>
      </c>
      <c r="AD436" s="2850" t="e">
        <v>#N/A</v>
      </c>
      <c r="AE436" s="2850" t="e">
        <v>#N/A</v>
      </c>
      <c r="AF436" s="2850" t="e">
        <v>#N/A</v>
      </c>
      <c r="AG436" s="2852" t="e">
        <v>#N/A</v>
      </c>
    </row>
    <row r="437" spans="1:33">
      <c r="A437" s="49">
        <f t="shared" si="8"/>
        <v>2029.08</v>
      </c>
      <c r="B437" s="573" t="e">
        <v>#N/A</v>
      </c>
      <c r="C437" s="1365" t="e">
        <v>#N/A</v>
      </c>
      <c r="D437" s="73" t="e">
        <v>#N/A</v>
      </c>
      <c r="E437" s="74" t="e">
        <v>#N/A</v>
      </c>
      <c r="F437" s="570" t="e">
        <v>#N/A</v>
      </c>
      <c r="G437" s="2864" t="e">
        <v>#N/A</v>
      </c>
      <c r="H437" s="2865" t="e">
        <v>#N/A</v>
      </c>
      <c r="I437" s="2861" t="e">
        <f t="shared" si="7"/>
        <v>#N/A</v>
      </c>
      <c r="J437" s="2866" t="e">
        <v>#N/A</v>
      </c>
      <c r="K437" s="2865" t="e">
        <v>#N/A</v>
      </c>
      <c r="L437" s="2865" t="e">
        <v>#N/A</v>
      </c>
      <c r="M437" s="2867" t="e">
        <v>#N/A</v>
      </c>
      <c r="N437" s="2850" t="e">
        <v>#N/A</v>
      </c>
      <c r="O437" s="2850" t="e">
        <v>#N/A</v>
      </c>
      <c r="P437" s="2850" t="e">
        <v>#N/A</v>
      </c>
      <c r="Q437" s="2850" t="e">
        <v>#N/A</v>
      </c>
      <c r="R437" s="2850" t="e">
        <v>#N/A</v>
      </c>
      <c r="S437" s="2850" t="e">
        <v>#N/A</v>
      </c>
      <c r="T437" s="2850" t="e">
        <v>#N/A</v>
      </c>
      <c r="U437" s="2850" t="e">
        <v>#N/A</v>
      </c>
      <c r="V437" s="2850" t="e">
        <v>#N/A</v>
      </c>
      <c r="W437" s="2850" t="e">
        <v>#N/A</v>
      </c>
      <c r="X437" s="2850" t="e">
        <v>#N/A</v>
      </c>
      <c r="Y437" s="2850" t="e">
        <v>#N/A</v>
      </c>
      <c r="Z437" s="2850" t="e">
        <v>#N/A</v>
      </c>
      <c r="AA437" s="2850" t="e">
        <v>#N/A</v>
      </c>
      <c r="AB437" s="2850" t="e">
        <v>#N/A</v>
      </c>
      <c r="AC437" s="2850" t="e">
        <v>#N/A</v>
      </c>
      <c r="AD437" s="2850" t="e">
        <v>#N/A</v>
      </c>
      <c r="AE437" s="2850" t="e">
        <v>#N/A</v>
      </c>
      <c r="AF437" s="2850" t="e">
        <v>#N/A</v>
      </c>
      <c r="AG437" s="2852" t="e">
        <v>#N/A</v>
      </c>
    </row>
    <row r="438" spans="1:33">
      <c r="A438" s="49">
        <f t="shared" si="8"/>
        <v>2029.09</v>
      </c>
      <c r="B438" s="573" t="e">
        <v>#N/A</v>
      </c>
      <c r="C438" s="1365" t="e">
        <v>#N/A</v>
      </c>
      <c r="D438" s="73" t="e">
        <v>#N/A</v>
      </c>
      <c r="E438" s="74" t="e">
        <v>#N/A</v>
      </c>
      <c r="F438" s="570" t="e">
        <v>#N/A</v>
      </c>
      <c r="G438" s="2864" t="e">
        <v>#N/A</v>
      </c>
      <c r="H438" s="2865" t="e">
        <v>#N/A</v>
      </c>
      <c r="I438" s="2861" t="e">
        <f t="shared" si="7"/>
        <v>#N/A</v>
      </c>
      <c r="J438" s="2866" t="e">
        <v>#N/A</v>
      </c>
      <c r="K438" s="2865" t="e">
        <v>#N/A</v>
      </c>
      <c r="L438" s="2865" t="e">
        <v>#N/A</v>
      </c>
      <c r="M438" s="2867" t="e">
        <v>#N/A</v>
      </c>
      <c r="N438" s="2850" t="e">
        <v>#N/A</v>
      </c>
      <c r="O438" s="2850" t="e">
        <v>#N/A</v>
      </c>
      <c r="P438" s="2850" t="e">
        <v>#N/A</v>
      </c>
      <c r="Q438" s="2850" t="e">
        <v>#N/A</v>
      </c>
      <c r="R438" s="2850" t="e">
        <v>#N/A</v>
      </c>
      <c r="S438" s="2850" t="e">
        <v>#N/A</v>
      </c>
      <c r="T438" s="2850" t="e">
        <v>#N/A</v>
      </c>
      <c r="U438" s="2850" t="e">
        <v>#N/A</v>
      </c>
      <c r="V438" s="2850" t="e">
        <v>#N/A</v>
      </c>
      <c r="W438" s="2850" t="e">
        <v>#N/A</v>
      </c>
      <c r="X438" s="2850" t="e">
        <v>#N/A</v>
      </c>
      <c r="Y438" s="2850" t="e">
        <v>#N/A</v>
      </c>
      <c r="Z438" s="2850" t="e">
        <v>#N/A</v>
      </c>
      <c r="AA438" s="2850" t="e">
        <v>#N/A</v>
      </c>
      <c r="AB438" s="2850" t="e">
        <v>#N/A</v>
      </c>
      <c r="AC438" s="2850" t="e">
        <v>#N/A</v>
      </c>
      <c r="AD438" s="2850" t="e">
        <v>#N/A</v>
      </c>
      <c r="AE438" s="2850" t="e">
        <v>#N/A</v>
      </c>
      <c r="AF438" s="2850" t="e">
        <v>#N/A</v>
      </c>
      <c r="AG438" s="2852" t="e">
        <v>#N/A</v>
      </c>
    </row>
    <row r="439" spans="1:33">
      <c r="A439" s="49">
        <f t="shared" si="8"/>
        <v>2029.1</v>
      </c>
      <c r="B439" s="573" t="e">
        <v>#N/A</v>
      </c>
      <c r="C439" s="1365" t="e">
        <v>#N/A</v>
      </c>
      <c r="D439" s="73" t="e">
        <v>#N/A</v>
      </c>
      <c r="E439" s="74" t="e">
        <v>#N/A</v>
      </c>
      <c r="F439" s="570" t="e">
        <v>#N/A</v>
      </c>
      <c r="G439" s="2864" t="e">
        <v>#N/A</v>
      </c>
      <c r="H439" s="2865" t="e">
        <v>#N/A</v>
      </c>
      <c r="I439" s="2861" t="e">
        <f t="shared" si="7"/>
        <v>#N/A</v>
      </c>
      <c r="J439" s="2866" t="e">
        <v>#N/A</v>
      </c>
      <c r="K439" s="2865" t="e">
        <v>#N/A</v>
      </c>
      <c r="L439" s="2865" t="e">
        <v>#N/A</v>
      </c>
      <c r="M439" s="2867" t="e">
        <v>#N/A</v>
      </c>
      <c r="N439" s="2850" t="e">
        <v>#N/A</v>
      </c>
      <c r="O439" s="2850" t="e">
        <v>#N/A</v>
      </c>
      <c r="P439" s="2850" t="e">
        <v>#N/A</v>
      </c>
      <c r="Q439" s="2850" t="e">
        <v>#N/A</v>
      </c>
      <c r="R439" s="2850" t="e">
        <v>#N/A</v>
      </c>
      <c r="S439" s="2850" t="e">
        <v>#N/A</v>
      </c>
      <c r="T439" s="2850" t="e">
        <v>#N/A</v>
      </c>
      <c r="U439" s="2850" t="e">
        <v>#N/A</v>
      </c>
      <c r="V439" s="2850" t="e">
        <v>#N/A</v>
      </c>
      <c r="W439" s="2850" t="e">
        <v>#N/A</v>
      </c>
      <c r="X439" s="2850" t="e">
        <v>#N/A</v>
      </c>
      <c r="Y439" s="2850" t="e">
        <v>#N/A</v>
      </c>
      <c r="Z439" s="2850" t="e">
        <v>#N/A</v>
      </c>
      <c r="AA439" s="2850" t="e">
        <v>#N/A</v>
      </c>
      <c r="AB439" s="2850" t="e">
        <v>#N/A</v>
      </c>
      <c r="AC439" s="2850" t="e">
        <v>#N/A</v>
      </c>
      <c r="AD439" s="2850" t="e">
        <v>#N/A</v>
      </c>
      <c r="AE439" s="2850" t="e">
        <v>#N/A</v>
      </c>
      <c r="AF439" s="2850" t="e">
        <v>#N/A</v>
      </c>
      <c r="AG439" s="2852" t="e">
        <v>#N/A</v>
      </c>
    </row>
    <row r="440" spans="1:33">
      <c r="A440" s="49">
        <f t="shared" si="8"/>
        <v>2029.11</v>
      </c>
      <c r="B440" s="573" t="e">
        <v>#N/A</v>
      </c>
      <c r="C440" s="1365" t="e">
        <v>#N/A</v>
      </c>
      <c r="D440" s="73" t="e">
        <v>#N/A</v>
      </c>
      <c r="E440" s="74" t="e">
        <v>#N/A</v>
      </c>
      <c r="F440" s="570" t="e">
        <v>#N/A</v>
      </c>
      <c r="G440" s="2864" t="e">
        <v>#N/A</v>
      </c>
      <c r="H440" s="2865" t="e">
        <v>#N/A</v>
      </c>
      <c r="I440" s="2861" t="e">
        <f t="shared" si="7"/>
        <v>#N/A</v>
      </c>
      <c r="J440" s="2866" t="e">
        <v>#N/A</v>
      </c>
      <c r="K440" s="2865" t="e">
        <v>#N/A</v>
      </c>
      <c r="L440" s="2865" t="e">
        <v>#N/A</v>
      </c>
      <c r="M440" s="2867" t="e">
        <v>#N/A</v>
      </c>
      <c r="N440" s="2850" t="e">
        <v>#N/A</v>
      </c>
      <c r="O440" s="2850" t="e">
        <v>#N/A</v>
      </c>
      <c r="P440" s="2850" t="e">
        <v>#N/A</v>
      </c>
      <c r="Q440" s="2850" t="e">
        <v>#N/A</v>
      </c>
      <c r="R440" s="2850" t="e">
        <v>#N/A</v>
      </c>
      <c r="S440" s="2850" t="e">
        <v>#N/A</v>
      </c>
      <c r="T440" s="2850" t="e">
        <v>#N/A</v>
      </c>
      <c r="U440" s="2850" t="e">
        <v>#N/A</v>
      </c>
      <c r="V440" s="2850" t="e">
        <v>#N/A</v>
      </c>
      <c r="W440" s="2850" t="e">
        <v>#N/A</v>
      </c>
      <c r="X440" s="2850" t="e">
        <v>#N/A</v>
      </c>
      <c r="Y440" s="2850" t="e">
        <v>#N/A</v>
      </c>
      <c r="Z440" s="2850" t="e">
        <v>#N/A</v>
      </c>
      <c r="AA440" s="2850" t="e">
        <v>#N/A</v>
      </c>
      <c r="AB440" s="2850" t="e">
        <v>#N/A</v>
      </c>
      <c r="AC440" s="2850" t="e">
        <v>#N/A</v>
      </c>
      <c r="AD440" s="2850" t="e">
        <v>#N/A</v>
      </c>
      <c r="AE440" s="2850" t="e">
        <v>#N/A</v>
      </c>
      <c r="AF440" s="2850" t="e">
        <v>#N/A</v>
      </c>
      <c r="AG440" s="2852" t="e">
        <v>#N/A</v>
      </c>
    </row>
    <row r="441" spans="1:33">
      <c r="A441" s="49">
        <f t="shared" si="8"/>
        <v>2029.12</v>
      </c>
      <c r="B441" s="573" t="e">
        <v>#N/A</v>
      </c>
      <c r="C441" s="1365" t="e">
        <v>#N/A</v>
      </c>
      <c r="D441" s="73" t="e">
        <v>#N/A</v>
      </c>
      <c r="E441" s="74" t="e">
        <v>#N/A</v>
      </c>
      <c r="F441" s="570" t="e">
        <v>#N/A</v>
      </c>
      <c r="G441" s="2864" t="e">
        <v>#N/A</v>
      </c>
      <c r="H441" s="2865" t="e">
        <v>#N/A</v>
      </c>
      <c r="I441" s="2861" t="e">
        <f t="shared" si="7"/>
        <v>#N/A</v>
      </c>
      <c r="J441" s="2866" t="e">
        <v>#N/A</v>
      </c>
      <c r="K441" s="2865" t="e">
        <v>#N/A</v>
      </c>
      <c r="L441" s="2865" t="e">
        <v>#N/A</v>
      </c>
      <c r="M441" s="2867" t="e">
        <v>#N/A</v>
      </c>
      <c r="N441" s="2850" t="e">
        <v>#N/A</v>
      </c>
      <c r="O441" s="2850" t="e">
        <v>#N/A</v>
      </c>
      <c r="P441" s="2850" t="e">
        <v>#N/A</v>
      </c>
      <c r="Q441" s="2850" t="e">
        <v>#N/A</v>
      </c>
      <c r="R441" s="2850" t="e">
        <v>#N/A</v>
      </c>
      <c r="S441" s="2850" t="e">
        <v>#N/A</v>
      </c>
      <c r="T441" s="2850" t="e">
        <v>#N/A</v>
      </c>
      <c r="U441" s="2850" t="e">
        <v>#N/A</v>
      </c>
      <c r="V441" s="2850" t="e">
        <v>#N/A</v>
      </c>
      <c r="W441" s="2850" t="e">
        <v>#N/A</v>
      </c>
      <c r="X441" s="2850" t="e">
        <v>#N/A</v>
      </c>
      <c r="Y441" s="2850" t="e">
        <v>#N/A</v>
      </c>
      <c r="Z441" s="2850" t="e">
        <v>#N/A</v>
      </c>
      <c r="AA441" s="2850" t="e">
        <v>#N/A</v>
      </c>
      <c r="AB441" s="2850" t="e">
        <v>#N/A</v>
      </c>
      <c r="AC441" s="2850" t="e">
        <v>#N/A</v>
      </c>
      <c r="AD441" s="2850" t="e">
        <v>#N/A</v>
      </c>
      <c r="AE441" s="2850" t="e">
        <v>#N/A</v>
      </c>
      <c r="AF441" s="2850" t="e">
        <v>#N/A</v>
      </c>
      <c r="AG441" s="2852" t="e">
        <v>#N/A</v>
      </c>
    </row>
    <row r="442" spans="1:33">
      <c r="A442" s="49">
        <f t="shared" si="8"/>
        <v>2030.01</v>
      </c>
      <c r="B442" s="573" t="e">
        <v>#N/A</v>
      </c>
      <c r="C442" s="1365" t="e">
        <v>#N/A</v>
      </c>
      <c r="D442" s="73" t="e">
        <v>#N/A</v>
      </c>
      <c r="E442" s="74" t="e">
        <v>#N/A</v>
      </c>
      <c r="F442" s="570" t="e">
        <v>#N/A</v>
      </c>
      <c r="G442" s="2864" t="e">
        <v>#N/A</v>
      </c>
      <c r="H442" s="2865" t="e">
        <v>#N/A</v>
      </c>
      <c r="I442" s="2861" t="e">
        <f t="shared" si="7"/>
        <v>#N/A</v>
      </c>
      <c r="J442" s="2866" t="e">
        <v>#N/A</v>
      </c>
      <c r="K442" s="2865" t="e">
        <v>#N/A</v>
      </c>
      <c r="L442" s="2865" t="e">
        <v>#N/A</v>
      </c>
      <c r="M442" s="2867" t="e">
        <v>#N/A</v>
      </c>
      <c r="N442" s="2850" t="e">
        <v>#N/A</v>
      </c>
      <c r="O442" s="2850" t="e">
        <v>#N/A</v>
      </c>
      <c r="P442" s="2850" t="e">
        <v>#N/A</v>
      </c>
      <c r="Q442" s="2850" t="e">
        <v>#N/A</v>
      </c>
      <c r="R442" s="2850" t="e">
        <v>#N/A</v>
      </c>
      <c r="S442" s="2850" t="e">
        <v>#N/A</v>
      </c>
      <c r="T442" s="2850" t="e">
        <v>#N/A</v>
      </c>
      <c r="U442" s="2850" t="e">
        <v>#N/A</v>
      </c>
      <c r="V442" s="2850" t="e">
        <v>#N/A</v>
      </c>
      <c r="W442" s="2850" t="e">
        <v>#N/A</v>
      </c>
      <c r="X442" s="2850" t="e">
        <v>#N/A</v>
      </c>
      <c r="Y442" s="2850" t="e">
        <v>#N/A</v>
      </c>
      <c r="Z442" s="2850" t="e">
        <v>#N/A</v>
      </c>
      <c r="AA442" s="2850" t="e">
        <v>#N/A</v>
      </c>
      <c r="AB442" s="2850" t="e">
        <v>#N/A</v>
      </c>
      <c r="AC442" s="2850" t="e">
        <v>#N/A</v>
      </c>
      <c r="AD442" s="2850" t="e">
        <v>#N/A</v>
      </c>
      <c r="AE442" s="2850" t="e">
        <v>#N/A</v>
      </c>
      <c r="AF442" s="2850" t="e">
        <v>#N/A</v>
      </c>
      <c r="AG442" s="2852" t="e">
        <v>#N/A</v>
      </c>
    </row>
    <row r="443" spans="1:33">
      <c r="A443" s="49">
        <f t="shared" si="8"/>
        <v>2030.02</v>
      </c>
      <c r="B443" s="573" t="e">
        <v>#N/A</v>
      </c>
      <c r="C443" s="1365" t="e">
        <v>#N/A</v>
      </c>
      <c r="D443" s="73" t="e">
        <v>#N/A</v>
      </c>
      <c r="E443" s="74" t="e">
        <v>#N/A</v>
      </c>
      <c r="F443" s="570" t="e">
        <v>#N/A</v>
      </c>
      <c r="G443" s="2864" t="e">
        <v>#N/A</v>
      </c>
      <c r="H443" s="2865" t="e">
        <v>#N/A</v>
      </c>
      <c r="I443" s="2861" t="e">
        <f t="shared" ref="I443:I453" si="9">+G443+H443</f>
        <v>#N/A</v>
      </c>
      <c r="J443" s="2866" t="e">
        <v>#N/A</v>
      </c>
      <c r="K443" s="2865" t="e">
        <v>#N/A</v>
      </c>
      <c r="L443" s="2865" t="e">
        <v>#N/A</v>
      </c>
      <c r="M443" s="2867" t="e">
        <v>#N/A</v>
      </c>
      <c r="N443" s="2850" t="e">
        <v>#N/A</v>
      </c>
      <c r="O443" s="2850" t="e">
        <v>#N/A</v>
      </c>
      <c r="P443" s="2850" t="e">
        <v>#N/A</v>
      </c>
      <c r="Q443" s="2850" t="e">
        <v>#N/A</v>
      </c>
      <c r="R443" s="2850" t="e">
        <v>#N/A</v>
      </c>
      <c r="S443" s="2850" t="e">
        <v>#N/A</v>
      </c>
      <c r="T443" s="2850" t="e">
        <v>#N/A</v>
      </c>
      <c r="U443" s="2850" t="e">
        <v>#N/A</v>
      </c>
      <c r="V443" s="2850" t="e">
        <v>#N/A</v>
      </c>
      <c r="W443" s="2850" t="e">
        <v>#N/A</v>
      </c>
      <c r="X443" s="2850" t="e">
        <v>#N/A</v>
      </c>
      <c r="Y443" s="2850" t="e">
        <v>#N/A</v>
      </c>
      <c r="Z443" s="2850" t="e">
        <v>#N/A</v>
      </c>
      <c r="AA443" s="2850" t="e">
        <v>#N/A</v>
      </c>
      <c r="AB443" s="2850" t="e">
        <v>#N/A</v>
      </c>
      <c r="AC443" s="2850" t="e">
        <v>#N/A</v>
      </c>
      <c r="AD443" s="2850" t="e">
        <v>#N/A</v>
      </c>
      <c r="AE443" s="2850" t="e">
        <v>#N/A</v>
      </c>
      <c r="AF443" s="2850" t="e">
        <v>#N/A</v>
      </c>
      <c r="AG443" s="2852" t="e">
        <v>#N/A</v>
      </c>
    </row>
    <row r="444" spans="1:33">
      <c r="A444" s="49">
        <f t="shared" si="8"/>
        <v>2030.03</v>
      </c>
      <c r="B444" s="573" t="e">
        <v>#N/A</v>
      </c>
      <c r="C444" s="1365" t="e">
        <v>#N/A</v>
      </c>
      <c r="D444" s="73" t="e">
        <v>#N/A</v>
      </c>
      <c r="E444" s="74" t="e">
        <v>#N/A</v>
      </c>
      <c r="F444" s="570" t="e">
        <v>#N/A</v>
      </c>
      <c r="G444" s="2864" t="e">
        <v>#N/A</v>
      </c>
      <c r="H444" s="2865" t="e">
        <v>#N/A</v>
      </c>
      <c r="I444" s="2861" t="e">
        <f t="shared" si="9"/>
        <v>#N/A</v>
      </c>
      <c r="J444" s="2866" t="e">
        <v>#N/A</v>
      </c>
      <c r="K444" s="2865" t="e">
        <v>#N/A</v>
      </c>
      <c r="L444" s="2865" t="e">
        <v>#N/A</v>
      </c>
      <c r="M444" s="2867" t="e">
        <v>#N/A</v>
      </c>
      <c r="N444" s="2850" t="e">
        <v>#N/A</v>
      </c>
      <c r="O444" s="2850" t="e">
        <v>#N/A</v>
      </c>
      <c r="P444" s="2850" t="e">
        <v>#N/A</v>
      </c>
      <c r="Q444" s="2850" t="e">
        <v>#N/A</v>
      </c>
      <c r="R444" s="2850" t="e">
        <v>#N/A</v>
      </c>
      <c r="S444" s="2850" t="e">
        <v>#N/A</v>
      </c>
      <c r="T444" s="2850" t="e">
        <v>#N/A</v>
      </c>
      <c r="U444" s="2850" t="e">
        <v>#N/A</v>
      </c>
      <c r="V444" s="2850" t="e">
        <v>#N/A</v>
      </c>
      <c r="W444" s="2850" t="e">
        <v>#N/A</v>
      </c>
      <c r="X444" s="2850" t="e">
        <v>#N/A</v>
      </c>
      <c r="Y444" s="2850" t="e">
        <v>#N/A</v>
      </c>
      <c r="Z444" s="2850" t="e">
        <v>#N/A</v>
      </c>
      <c r="AA444" s="2850" t="e">
        <v>#N/A</v>
      </c>
      <c r="AB444" s="2850" t="e">
        <v>#N/A</v>
      </c>
      <c r="AC444" s="2850" t="e">
        <v>#N/A</v>
      </c>
      <c r="AD444" s="2850" t="e">
        <v>#N/A</v>
      </c>
      <c r="AE444" s="2850" t="e">
        <v>#N/A</v>
      </c>
      <c r="AF444" s="2850" t="e">
        <v>#N/A</v>
      </c>
      <c r="AG444" s="2852" t="e">
        <v>#N/A</v>
      </c>
    </row>
    <row r="445" spans="1:33">
      <c r="A445" s="49">
        <f t="shared" si="8"/>
        <v>2030.04</v>
      </c>
      <c r="B445" s="573" t="e">
        <v>#N/A</v>
      </c>
      <c r="C445" s="1365" t="e">
        <v>#N/A</v>
      </c>
      <c r="D445" s="73" t="e">
        <v>#N/A</v>
      </c>
      <c r="E445" s="74" t="e">
        <v>#N/A</v>
      </c>
      <c r="F445" s="570" t="e">
        <v>#N/A</v>
      </c>
      <c r="G445" s="2864" t="e">
        <v>#N/A</v>
      </c>
      <c r="H445" s="2865" t="e">
        <v>#N/A</v>
      </c>
      <c r="I445" s="2861" t="e">
        <f t="shared" si="9"/>
        <v>#N/A</v>
      </c>
      <c r="J445" s="2866" t="e">
        <v>#N/A</v>
      </c>
      <c r="K445" s="2865" t="e">
        <v>#N/A</v>
      </c>
      <c r="L445" s="2865" t="e">
        <v>#N/A</v>
      </c>
      <c r="M445" s="2867" t="e">
        <v>#N/A</v>
      </c>
      <c r="N445" s="2850" t="e">
        <v>#N/A</v>
      </c>
      <c r="O445" s="2850" t="e">
        <v>#N/A</v>
      </c>
      <c r="P445" s="2850" t="e">
        <v>#N/A</v>
      </c>
      <c r="Q445" s="2850" t="e">
        <v>#N/A</v>
      </c>
      <c r="R445" s="2850" t="e">
        <v>#N/A</v>
      </c>
      <c r="S445" s="2850" t="e">
        <v>#N/A</v>
      </c>
      <c r="T445" s="2850" t="e">
        <v>#N/A</v>
      </c>
      <c r="U445" s="2850" t="e">
        <v>#N/A</v>
      </c>
      <c r="V445" s="2850" t="e">
        <v>#N/A</v>
      </c>
      <c r="W445" s="2850" t="e">
        <v>#N/A</v>
      </c>
      <c r="X445" s="2850" t="e">
        <v>#N/A</v>
      </c>
      <c r="Y445" s="2850" t="e">
        <v>#N/A</v>
      </c>
      <c r="Z445" s="2850" t="e">
        <v>#N/A</v>
      </c>
      <c r="AA445" s="2850" t="e">
        <v>#N/A</v>
      </c>
      <c r="AB445" s="2850" t="e">
        <v>#N/A</v>
      </c>
      <c r="AC445" s="2850" t="e">
        <v>#N/A</v>
      </c>
      <c r="AD445" s="2850" t="e">
        <v>#N/A</v>
      </c>
      <c r="AE445" s="2850" t="e">
        <v>#N/A</v>
      </c>
      <c r="AF445" s="2850" t="e">
        <v>#N/A</v>
      </c>
      <c r="AG445" s="2852" t="e">
        <v>#N/A</v>
      </c>
    </row>
    <row r="446" spans="1:33">
      <c r="A446" s="49">
        <f t="shared" si="8"/>
        <v>2030.05</v>
      </c>
      <c r="B446" s="573" t="e">
        <v>#N/A</v>
      </c>
      <c r="C446" s="1365" t="e">
        <v>#N/A</v>
      </c>
      <c r="D446" s="73" t="e">
        <v>#N/A</v>
      </c>
      <c r="E446" s="74" t="e">
        <v>#N/A</v>
      </c>
      <c r="F446" s="570" t="e">
        <v>#N/A</v>
      </c>
      <c r="G446" s="2864" t="e">
        <v>#N/A</v>
      </c>
      <c r="H446" s="2865" t="e">
        <v>#N/A</v>
      </c>
      <c r="I446" s="2861" t="e">
        <f t="shared" si="9"/>
        <v>#N/A</v>
      </c>
      <c r="J446" s="2866" t="e">
        <v>#N/A</v>
      </c>
      <c r="K446" s="2865" t="e">
        <v>#N/A</v>
      </c>
      <c r="L446" s="2865" t="e">
        <v>#N/A</v>
      </c>
      <c r="M446" s="2867" t="e">
        <v>#N/A</v>
      </c>
      <c r="N446" s="2850" t="e">
        <v>#N/A</v>
      </c>
      <c r="O446" s="2850" t="e">
        <v>#N/A</v>
      </c>
      <c r="P446" s="2850" t="e">
        <v>#N/A</v>
      </c>
      <c r="Q446" s="2850" t="e">
        <v>#N/A</v>
      </c>
      <c r="R446" s="2850" t="e">
        <v>#N/A</v>
      </c>
      <c r="S446" s="2850" t="e">
        <v>#N/A</v>
      </c>
      <c r="T446" s="2850" t="e">
        <v>#N/A</v>
      </c>
      <c r="U446" s="2850" t="e">
        <v>#N/A</v>
      </c>
      <c r="V446" s="2850" t="e">
        <v>#N/A</v>
      </c>
      <c r="W446" s="2850" t="e">
        <v>#N/A</v>
      </c>
      <c r="X446" s="2850" t="e">
        <v>#N/A</v>
      </c>
      <c r="Y446" s="2850" t="e">
        <v>#N/A</v>
      </c>
      <c r="Z446" s="2850" t="e">
        <v>#N/A</v>
      </c>
      <c r="AA446" s="2850" t="e">
        <v>#N/A</v>
      </c>
      <c r="AB446" s="2850" t="e">
        <v>#N/A</v>
      </c>
      <c r="AC446" s="2850" t="e">
        <v>#N/A</v>
      </c>
      <c r="AD446" s="2850" t="e">
        <v>#N/A</v>
      </c>
      <c r="AE446" s="2850" t="e">
        <v>#N/A</v>
      </c>
      <c r="AF446" s="2850" t="e">
        <v>#N/A</v>
      </c>
      <c r="AG446" s="2852" t="e">
        <v>#N/A</v>
      </c>
    </row>
    <row r="447" spans="1:33">
      <c r="A447" s="49">
        <f t="shared" si="8"/>
        <v>2030.06</v>
      </c>
      <c r="B447" s="573" t="e">
        <v>#N/A</v>
      </c>
      <c r="C447" s="1365" t="e">
        <v>#N/A</v>
      </c>
      <c r="D447" s="73" t="e">
        <v>#N/A</v>
      </c>
      <c r="E447" s="74" t="e">
        <v>#N/A</v>
      </c>
      <c r="F447" s="570" t="e">
        <v>#N/A</v>
      </c>
      <c r="G447" s="2864" t="e">
        <v>#N/A</v>
      </c>
      <c r="H447" s="2865" t="e">
        <v>#N/A</v>
      </c>
      <c r="I447" s="2861" t="e">
        <f t="shared" si="9"/>
        <v>#N/A</v>
      </c>
      <c r="J447" s="2866" t="e">
        <v>#N/A</v>
      </c>
      <c r="K447" s="2865" t="e">
        <v>#N/A</v>
      </c>
      <c r="L447" s="2865" t="e">
        <v>#N/A</v>
      </c>
      <c r="M447" s="2867" t="e">
        <v>#N/A</v>
      </c>
      <c r="N447" s="2850" t="e">
        <v>#N/A</v>
      </c>
      <c r="O447" s="2850" t="e">
        <v>#N/A</v>
      </c>
      <c r="P447" s="2850" t="e">
        <v>#N/A</v>
      </c>
      <c r="Q447" s="2850" t="e">
        <v>#N/A</v>
      </c>
      <c r="R447" s="2850" t="e">
        <v>#N/A</v>
      </c>
      <c r="S447" s="2850" t="e">
        <v>#N/A</v>
      </c>
      <c r="T447" s="2850" t="e">
        <v>#N/A</v>
      </c>
      <c r="U447" s="2850" t="e">
        <v>#N/A</v>
      </c>
      <c r="V447" s="2850" t="e">
        <v>#N/A</v>
      </c>
      <c r="W447" s="2850" t="e">
        <v>#N/A</v>
      </c>
      <c r="X447" s="2850" t="e">
        <v>#N/A</v>
      </c>
      <c r="Y447" s="2850" t="e">
        <v>#N/A</v>
      </c>
      <c r="Z447" s="2850" t="e">
        <v>#N/A</v>
      </c>
      <c r="AA447" s="2850" t="e">
        <v>#N/A</v>
      </c>
      <c r="AB447" s="2850" t="e">
        <v>#N/A</v>
      </c>
      <c r="AC447" s="2850" t="e">
        <v>#N/A</v>
      </c>
      <c r="AD447" s="2850" t="e">
        <v>#N/A</v>
      </c>
      <c r="AE447" s="2850" t="e">
        <v>#N/A</v>
      </c>
      <c r="AF447" s="2850" t="e">
        <v>#N/A</v>
      </c>
      <c r="AG447" s="2852" t="e">
        <v>#N/A</v>
      </c>
    </row>
    <row r="448" spans="1:33">
      <c r="A448" s="49">
        <f t="shared" si="8"/>
        <v>2030.07</v>
      </c>
      <c r="B448" s="573" t="e">
        <v>#N/A</v>
      </c>
      <c r="C448" s="1365" t="e">
        <v>#N/A</v>
      </c>
      <c r="D448" s="73" t="e">
        <v>#N/A</v>
      </c>
      <c r="E448" s="74" t="e">
        <v>#N/A</v>
      </c>
      <c r="F448" s="570" t="e">
        <v>#N/A</v>
      </c>
      <c r="G448" s="2864" t="e">
        <v>#N/A</v>
      </c>
      <c r="H448" s="2865" t="e">
        <v>#N/A</v>
      </c>
      <c r="I448" s="2861" t="e">
        <f t="shared" si="9"/>
        <v>#N/A</v>
      </c>
      <c r="J448" s="2866" t="e">
        <v>#N/A</v>
      </c>
      <c r="K448" s="2865" t="e">
        <v>#N/A</v>
      </c>
      <c r="L448" s="2865" t="e">
        <v>#N/A</v>
      </c>
      <c r="M448" s="2867" t="e">
        <v>#N/A</v>
      </c>
      <c r="N448" s="2850" t="e">
        <v>#N/A</v>
      </c>
      <c r="O448" s="2850" t="e">
        <v>#N/A</v>
      </c>
      <c r="P448" s="2850" t="e">
        <v>#N/A</v>
      </c>
      <c r="Q448" s="2850" t="e">
        <v>#N/A</v>
      </c>
      <c r="R448" s="2850" t="e">
        <v>#N/A</v>
      </c>
      <c r="S448" s="2850" t="e">
        <v>#N/A</v>
      </c>
      <c r="T448" s="2850" t="e">
        <v>#N/A</v>
      </c>
      <c r="U448" s="2850" t="e">
        <v>#N/A</v>
      </c>
      <c r="V448" s="2850" t="e">
        <v>#N/A</v>
      </c>
      <c r="W448" s="2850" t="e">
        <v>#N/A</v>
      </c>
      <c r="X448" s="2850" t="e">
        <v>#N/A</v>
      </c>
      <c r="Y448" s="2850" t="e">
        <v>#N/A</v>
      </c>
      <c r="Z448" s="2850" t="e">
        <v>#N/A</v>
      </c>
      <c r="AA448" s="2850" t="e">
        <v>#N/A</v>
      </c>
      <c r="AB448" s="2850" t="e">
        <v>#N/A</v>
      </c>
      <c r="AC448" s="2850" t="e">
        <v>#N/A</v>
      </c>
      <c r="AD448" s="2850" t="e">
        <v>#N/A</v>
      </c>
      <c r="AE448" s="2850" t="e">
        <v>#N/A</v>
      </c>
      <c r="AF448" s="2850" t="e">
        <v>#N/A</v>
      </c>
      <c r="AG448" s="2852" t="e">
        <v>#N/A</v>
      </c>
    </row>
    <row r="449" spans="1:33">
      <c r="A449" s="49">
        <f t="shared" si="8"/>
        <v>2030.08</v>
      </c>
      <c r="B449" s="573" t="e">
        <v>#N/A</v>
      </c>
      <c r="C449" s="1365" t="e">
        <v>#N/A</v>
      </c>
      <c r="D449" s="73" t="e">
        <v>#N/A</v>
      </c>
      <c r="E449" s="74" t="e">
        <v>#N/A</v>
      </c>
      <c r="F449" s="570" t="e">
        <v>#N/A</v>
      </c>
      <c r="G449" s="2864" t="e">
        <v>#N/A</v>
      </c>
      <c r="H449" s="2865" t="e">
        <v>#N/A</v>
      </c>
      <c r="I449" s="2861" t="e">
        <f t="shared" si="9"/>
        <v>#N/A</v>
      </c>
      <c r="J449" s="2866" t="e">
        <v>#N/A</v>
      </c>
      <c r="K449" s="2865" t="e">
        <v>#N/A</v>
      </c>
      <c r="L449" s="2865" t="e">
        <v>#N/A</v>
      </c>
      <c r="M449" s="2867" t="e">
        <v>#N/A</v>
      </c>
      <c r="N449" s="2850" t="e">
        <v>#N/A</v>
      </c>
      <c r="O449" s="2850" t="e">
        <v>#N/A</v>
      </c>
      <c r="P449" s="2850" t="e">
        <v>#N/A</v>
      </c>
      <c r="Q449" s="2850" t="e">
        <v>#N/A</v>
      </c>
      <c r="R449" s="2850" t="e">
        <v>#N/A</v>
      </c>
      <c r="S449" s="2850" t="e">
        <v>#N/A</v>
      </c>
      <c r="T449" s="2850" t="e">
        <v>#N/A</v>
      </c>
      <c r="U449" s="2850" t="e">
        <v>#N/A</v>
      </c>
      <c r="V449" s="2850" t="e">
        <v>#N/A</v>
      </c>
      <c r="W449" s="2850" t="e">
        <v>#N/A</v>
      </c>
      <c r="X449" s="2850" t="e">
        <v>#N/A</v>
      </c>
      <c r="Y449" s="2850" t="e">
        <v>#N/A</v>
      </c>
      <c r="Z449" s="2850" t="e">
        <v>#N/A</v>
      </c>
      <c r="AA449" s="2850" t="e">
        <v>#N/A</v>
      </c>
      <c r="AB449" s="2850" t="e">
        <v>#N/A</v>
      </c>
      <c r="AC449" s="2850" t="e">
        <v>#N/A</v>
      </c>
      <c r="AD449" s="2850" t="e">
        <v>#N/A</v>
      </c>
      <c r="AE449" s="2850" t="e">
        <v>#N/A</v>
      </c>
      <c r="AF449" s="2850" t="e">
        <v>#N/A</v>
      </c>
      <c r="AG449" s="2852" t="e">
        <v>#N/A</v>
      </c>
    </row>
    <row r="450" spans="1:33">
      <c r="A450" s="49">
        <f t="shared" si="8"/>
        <v>2030.09</v>
      </c>
      <c r="B450" s="573" t="e">
        <v>#N/A</v>
      </c>
      <c r="C450" s="1365" t="e">
        <v>#N/A</v>
      </c>
      <c r="D450" s="73" t="e">
        <v>#N/A</v>
      </c>
      <c r="E450" s="74" t="e">
        <v>#N/A</v>
      </c>
      <c r="F450" s="570" t="e">
        <v>#N/A</v>
      </c>
      <c r="G450" s="2864" t="e">
        <v>#N/A</v>
      </c>
      <c r="H450" s="2865" t="e">
        <v>#N/A</v>
      </c>
      <c r="I450" s="2861" t="e">
        <f t="shared" si="9"/>
        <v>#N/A</v>
      </c>
      <c r="J450" s="2866" t="e">
        <v>#N/A</v>
      </c>
      <c r="K450" s="2865" t="e">
        <v>#N/A</v>
      </c>
      <c r="L450" s="2865" t="e">
        <v>#N/A</v>
      </c>
      <c r="M450" s="2867" t="e">
        <v>#N/A</v>
      </c>
      <c r="N450" s="2850" t="e">
        <v>#N/A</v>
      </c>
      <c r="O450" s="2850" t="e">
        <v>#N/A</v>
      </c>
      <c r="P450" s="2850" t="e">
        <v>#N/A</v>
      </c>
      <c r="Q450" s="2850" t="e">
        <v>#N/A</v>
      </c>
      <c r="R450" s="2850" t="e">
        <v>#N/A</v>
      </c>
      <c r="S450" s="2850" t="e">
        <v>#N/A</v>
      </c>
      <c r="T450" s="2850" t="e">
        <v>#N/A</v>
      </c>
      <c r="U450" s="2850" t="e">
        <v>#N/A</v>
      </c>
      <c r="V450" s="2850" t="e">
        <v>#N/A</v>
      </c>
      <c r="W450" s="2850" t="e">
        <v>#N/A</v>
      </c>
      <c r="X450" s="2850" t="e">
        <v>#N/A</v>
      </c>
      <c r="Y450" s="2850" t="e">
        <v>#N/A</v>
      </c>
      <c r="Z450" s="2850" t="e">
        <v>#N/A</v>
      </c>
      <c r="AA450" s="2850" t="e">
        <v>#N/A</v>
      </c>
      <c r="AB450" s="2850" t="e">
        <v>#N/A</v>
      </c>
      <c r="AC450" s="2850" t="e">
        <v>#N/A</v>
      </c>
      <c r="AD450" s="2850" t="e">
        <v>#N/A</v>
      </c>
      <c r="AE450" s="2850" t="e">
        <v>#N/A</v>
      </c>
      <c r="AF450" s="2850" t="e">
        <v>#N/A</v>
      </c>
      <c r="AG450" s="2852" t="e">
        <v>#N/A</v>
      </c>
    </row>
    <row r="451" spans="1:33">
      <c r="A451" s="49">
        <f t="shared" si="8"/>
        <v>2030.1</v>
      </c>
      <c r="B451" s="573" t="e">
        <v>#N/A</v>
      </c>
      <c r="C451" s="1365" t="e">
        <v>#N/A</v>
      </c>
      <c r="D451" s="73" t="e">
        <v>#N/A</v>
      </c>
      <c r="E451" s="74" t="e">
        <v>#N/A</v>
      </c>
      <c r="F451" s="570" t="e">
        <v>#N/A</v>
      </c>
      <c r="G451" s="2864" t="e">
        <v>#N/A</v>
      </c>
      <c r="H451" s="2865" t="e">
        <v>#N/A</v>
      </c>
      <c r="I451" s="2861" t="e">
        <f t="shared" si="9"/>
        <v>#N/A</v>
      </c>
      <c r="J451" s="2866" t="e">
        <v>#N/A</v>
      </c>
      <c r="K451" s="2865" t="e">
        <v>#N/A</v>
      </c>
      <c r="L451" s="2865" t="e">
        <v>#N/A</v>
      </c>
      <c r="M451" s="2867" t="e">
        <v>#N/A</v>
      </c>
      <c r="N451" s="2850" t="e">
        <v>#N/A</v>
      </c>
      <c r="O451" s="2850" t="e">
        <v>#N/A</v>
      </c>
      <c r="P451" s="2850" t="e">
        <v>#N/A</v>
      </c>
      <c r="Q451" s="2850" t="e">
        <v>#N/A</v>
      </c>
      <c r="R451" s="2850" t="e">
        <v>#N/A</v>
      </c>
      <c r="S451" s="2850" t="e">
        <v>#N/A</v>
      </c>
      <c r="T451" s="2850" t="e">
        <v>#N/A</v>
      </c>
      <c r="U451" s="2850" t="e">
        <v>#N/A</v>
      </c>
      <c r="V451" s="2850" t="e">
        <v>#N/A</v>
      </c>
      <c r="W451" s="2850" t="e">
        <v>#N/A</v>
      </c>
      <c r="X451" s="2850" t="e">
        <v>#N/A</v>
      </c>
      <c r="Y451" s="2850" t="e">
        <v>#N/A</v>
      </c>
      <c r="Z451" s="2850" t="e">
        <v>#N/A</v>
      </c>
      <c r="AA451" s="2850" t="e">
        <v>#N/A</v>
      </c>
      <c r="AB451" s="2850" t="e">
        <v>#N/A</v>
      </c>
      <c r="AC451" s="2850" t="e">
        <v>#N/A</v>
      </c>
      <c r="AD451" s="2850" t="e">
        <v>#N/A</v>
      </c>
      <c r="AE451" s="2850" t="e">
        <v>#N/A</v>
      </c>
      <c r="AF451" s="2850" t="e">
        <v>#N/A</v>
      </c>
      <c r="AG451" s="2852" t="e">
        <v>#N/A</v>
      </c>
    </row>
    <row r="452" spans="1:33">
      <c r="A452" s="49">
        <f t="shared" si="8"/>
        <v>2030.11</v>
      </c>
      <c r="B452" s="573" t="e">
        <v>#N/A</v>
      </c>
      <c r="C452" s="1365" t="e">
        <v>#N/A</v>
      </c>
      <c r="D452" s="73" t="e">
        <v>#N/A</v>
      </c>
      <c r="E452" s="74" t="e">
        <v>#N/A</v>
      </c>
      <c r="F452" s="570" t="e">
        <v>#N/A</v>
      </c>
      <c r="G452" s="2864" t="e">
        <v>#N/A</v>
      </c>
      <c r="H452" s="2865" t="e">
        <v>#N/A</v>
      </c>
      <c r="I452" s="2861" t="e">
        <f t="shared" si="9"/>
        <v>#N/A</v>
      </c>
      <c r="J452" s="2866" t="e">
        <v>#N/A</v>
      </c>
      <c r="K452" s="2865" t="e">
        <v>#N/A</v>
      </c>
      <c r="L452" s="2865" t="e">
        <v>#N/A</v>
      </c>
      <c r="M452" s="2867" t="e">
        <v>#N/A</v>
      </c>
      <c r="N452" s="2850" t="e">
        <v>#N/A</v>
      </c>
      <c r="O452" s="2850" t="e">
        <v>#N/A</v>
      </c>
      <c r="P452" s="2850" t="e">
        <v>#N/A</v>
      </c>
      <c r="Q452" s="2850" t="e">
        <v>#N/A</v>
      </c>
      <c r="R452" s="2850" t="e">
        <v>#N/A</v>
      </c>
      <c r="S452" s="2850" t="e">
        <v>#N/A</v>
      </c>
      <c r="T452" s="2850" t="e">
        <v>#N/A</v>
      </c>
      <c r="U452" s="2850" t="e">
        <v>#N/A</v>
      </c>
      <c r="V452" s="2850" t="e">
        <v>#N/A</v>
      </c>
      <c r="W452" s="2850" t="e">
        <v>#N/A</v>
      </c>
      <c r="X452" s="2850" t="e">
        <v>#N/A</v>
      </c>
      <c r="Y452" s="2850" t="e">
        <v>#N/A</v>
      </c>
      <c r="Z452" s="2850" t="e">
        <v>#N/A</v>
      </c>
      <c r="AA452" s="2850" t="e">
        <v>#N/A</v>
      </c>
      <c r="AB452" s="2850" t="e">
        <v>#N/A</v>
      </c>
      <c r="AC452" s="2850" t="e">
        <v>#N/A</v>
      </c>
      <c r="AD452" s="2850" t="e">
        <v>#N/A</v>
      </c>
      <c r="AE452" s="2850" t="e">
        <v>#N/A</v>
      </c>
      <c r="AF452" s="2850" t="e">
        <v>#N/A</v>
      </c>
      <c r="AG452" s="2852" t="e">
        <v>#N/A</v>
      </c>
    </row>
    <row r="453" spans="1:33">
      <c r="A453" s="49">
        <f t="shared" si="8"/>
        <v>2030.12</v>
      </c>
      <c r="B453" s="573" t="e">
        <v>#N/A</v>
      </c>
      <c r="C453" s="1365" t="e">
        <v>#N/A</v>
      </c>
      <c r="D453" s="73" t="e">
        <v>#N/A</v>
      </c>
      <c r="E453" s="74" t="e">
        <v>#N/A</v>
      </c>
      <c r="F453" s="570" t="e">
        <v>#N/A</v>
      </c>
      <c r="G453" s="2864" t="e">
        <v>#N/A</v>
      </c>
      <c r="H453" s="2865" t="e">
        <v>#N/A</v>
      </c>
      <c r="I453" s="2861" t="e">
        <f t="shared" si="9"/>
        <v>#N/A</v>
      </c>
      <c r="J453" s="2866" t="e">
        <v>#N/A</v>
      </c>
      <c r="K453" s="2865" t="e">
        <v>#N/A</v>
      </c>
      <c r="L453" s="2865" t="e">
        <v>#N/A</v>
      </c>
      <c r="M453" s="2867" t="e">
        <v>#N/A</v>
      </c>
      <c r="N453" s="2850" t="e">
        <v>#N/A</v>
      </c>
      <c r="O453" s="2850" t="e">
        <v>#N/A</v>
      </c>
      <c r="P453" s="2850" t="e">
        <v>#N/A</v>
      </c>
      <c r="Q453" s="2850" t="e">
        <v>#N/A</v>
      </c>
      <c r="R453" s="2850" t="e">
        <v>#N/A</v>
      </c>
      <c r="S453" s="2850" t="e">
        <v>#N/A</v>
      </c>
      <c r="T453" s="2850" t="e">
        <v>#N/A</v>
      </c>
      <c r="U453" s="2850" t="e">
        <v>#N/A</v>
      </c>
      <c r="V453" s="2850" t="e">
        <v>#N/A</v>
      </c>
      <c r="W453" s="2850" t="e">
        <v>#N/A</v>
      </c>
      <c r="X453" s="2850" t="e">
        <v>#N/A</v>
      </c>
      <c r="Y453" s="2850" t="e">
        <v>#N/A</v>
      </c>
      <c r="Z453" s="2850" t="e">
        <v>#N/A</v>
      </c>
      <c r="AA453" s="2850" t="e">
        <v>#N/A</v>
      </c>
      <c r="AB453" s="2850" t="e">
        <v>#N/A</v>
      </c>
      <c r="AC453" s="2850" t="e">
        <v>#N/A</v>
      </c>
      <c r="AD453" s="2850" t="e">
        <v>#N/A</v>
      </c>
      <c r="AE453" s="2850" t="e">
        <v>#N/A</v>
      </c>
      <c r="AF453" s="2850" t="e">
        <v>#N/A</v>
      </c>
      <c r="AG453" s="2852" t="e">
        <v>#N/A</v>
      </c>
    </row>
  </sheetData>
  <phoneticPr fontId="58" type="noConversion"/>
  <hyperlinks>
    <hyperlink ref="A5" location="INDICE!A13" display="VOLVER AL INDICE" xr:uid="{00000000-0004-0000-0B00-000000000000}"/>
  </hyperlinks>
  <pageMargins left="0.75" right="0.75" top="1" bottom="1" header="0" footer="0"/>
  <pageSetup paperSize="9"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85"/>
  <sheetViews>
    <sheetView zoomScaleNormal="100" workbookViewId="0">
      <pane xSplit="1" ySplit="9" topLeftCell="B184" activePane="bottomRight" state="frozen"/>
      <selection pane="topRight" activeCell="B1" sqref="B1"/>
      <selection pane="bottomLeft" activeCell="A10" sqref="A10"/>
      <selection pane="bottomRight" activeCell="B196" sqref="B196"/>
    </sheetView>
  </sheetViews>
  <sheetFormatPr baseColWidth="10" defaultColWidth="11.42578125" defaultRowHeight="15"/>
  <cols>
    <col min="1" max="1" width="11.42578125" style="871"/>
    <col min="2" max="8" width="25.5703125" style="840" customWidth="1"/>
    <col min="9" max="16384" width="11.42578125" style="871"/>
  </cols>
  <sheetData>
    <row r="1" spans="1:8" ht="4.9000000000000004" customHeight="1">
      <c r="A1" s="37"/>
      <c r="B1" s="823"/>
      <c r="C1" s="855"/>
      <c r="D1" s="855"/>
      <c r="E1" s="855"/>
      <c r="F1" s="878"/>
      <c r="G1" s="823"/>
      <c r="H1" s="824"/>
    </row>
    <row r="2" spans="1:8" ht="33.75">
      <c r="A2" s="121" t="s">
        <v>212</v>
      </c>
      <c r="B2" s="825" t="s">
        <v>391</v>
      </c>
      <c r="C2" s="856" t="s">
        <v>1069</v>
      </c>
      <c r="D2" s="856"/>
      <c r="E2" s="857"/>
      <c r="F2" s="825" t="s">
        <v>392</v>
      </c>
      <c r="G2" s="2305" t="s">
        <v>967</v>
      </c>
      <c r="H2" s="2306" t="s">
        <v>968</v>
      </c>
    </row>
    <row r="3" spans="1:8" ht="22.5">
      <c r="A3" s="195" t="s">
        <v>211</v>
      </c>
      <c r="B3" s="826" t="s">
        <v>1368</v>
      </c>
      <c r="C3" s="826"/>
      <c r="D3" s="826"/>
      <c r="E3" s="826"/>
      <c r="F3" s="826"/>
      <c r="G3" s="826" t="s">
        <v>1321</v>
      </c>
      <c r="H3" s="827"/>
    </row>
    <row r="4" spans="1:8" ht="4.5" customHeight="1">
      <c r="A4" s="37"/>
      <c r="B4" s="828"/>
      <c r="C4" s="831"/>
      <c r="D4" s="831"/>
      <c r="E4" s="831"/>
      <c r="F4" s="886"/>
      <c r="G4" s="828"/>
      <c r="H4" s="829"/>
    </row>
    <row r="5" spans="1:8" ht="33.75">
      <c r="A5" s="45" t="s">
        <v>213</v>
      </c>
      <c r="B5" s="858" t="s">
        <v>388</v>
      </c>
      <c r="C5" s="858" t="s">
        <v>1070</v>
      </c>
      <c r="D5" s="1469" t="s">
        <v>1071</v>
      </c>
      <c r="E5" s="880" t="s">
        <v>1056</v>
      </c>
      <c r="F5" s="830" t="s">
        <v>392</v>
      </c>
      <c r="G5" s="1543" t="s">
        <v>1374</v>
      </c>
      <c r="H5" s="883" t="s">
        <v>1375</v>
      </c>
    </row>
    <row r="6" spans="1:8" ht="2.4500000000000002" customHeight="1">
      <c r="A6" s="37"/>
      <c r="B6" s="828"/>
      <c r="C6" s="831"/>
      <c r="D6" s="1470"/>
      <c r="E6" s="831"/>
      <c r="F6" s="886"/>
      <c r="G6" s="1544"/>
      <c r="H6" s="829"/>
    </row>
    <row r="7" spans="1:8" ht="22.5">
      <c r="A7" s="47" t="s">
        <v>210</v>
      </c>
      <c r="B7" s="832" t="s">
        <v>393</v>
      </c>
      <c r="C7" s="1464" t="s">
        <v>393</v>
      </c>
      <c r="D7" s="1471" t="s">
        <v>393</v>
      </c>
      <c r="E7" s="881" t="s">
        <v>1057</v>
      </c>
      <c r="F7" s="832" t="s">
        <v>229</v>
      </c>
      <c r="G7" s="1545" t="s">
        <v>229</v>
      </c>
      <c r="H7" s="884" t="s">
        <v>229</v>
      </c>
    </row>
    <row r="8" spans="1:8">
      <c r="A8" s="390" t="s">
        <v>412</v>
      </c>
      <c r="B8" s="833" t="s">
        <v>424</v>
      </c>
      <c r="C8" s="1465" t="s">
        <v>425</v>
      </c>
      <c r="D8" s="1472" t="s">
        <v>426</v>
      </c>
      <c r="E8" s="882" t="s">
        <v>427</v>
      </c>
      <c r="F8" s="833" t="s">
        <v>428</v>
      </c>
      <c r="G8" s="1546" t="s">
        <v>429</v>
      </c>
      <c r="H8" s="885" t="s">
        <v>1215</v>
      </c>
    </row>
    <row r="9" spans="1:8">
      <c r="A9" s="52"/>
      <c r="B9" s="887"/>
      <c r="C9" s="1539"/>
      <c r="D9" s="1540"/>
      <c r="E9" s="1541"/>
      <c r="F9" s="879"/>
      <c r="G9" s="1539"/>
      <c r="H9" s="834"/>
    </row>
    <row r="10" spans="1:8">
      <c r="A10" s="835">
        <v>2008.01</v>
      </c>
      <c r="B10" s="859">
        <v>473089</v>
      </c>
      <c r="C10" s="1466">
        <v>6757815</v>
      </c>
      <c r="D10" s="1473">
        <v>1109152</v>
      </c>
      <c r="E10" s="1468">
        <v>5648663</v>
      </c>
      <c r="F10" s="860">
        <v>2793</v>
      </c>
      <c r="G10" s="1547"/>
      <c r="H10" s="836"/>
    </row>
    <row r="11" spans="1:8">
      <c r="A11" s="835">
        <v>2008.02</v>
      </c>
      <c r="B11" s="837">
        <v>468138</v>
      </c>
      <c r="C11" s="838">
        <v>6721543</v>
      </c>
      <c r="D11" s="1474">
        <v>1065244</v>
      </c>
      <c r="E11" s="838">
        <v>5656299</v>
      </c>
      <c r="F11" s="837">
        <v>2094</v>
      </c>
      <c r="G11" s="1547"/>
      <c r="H11" s="836"/>
    </row>
    <row r="12" spans="1:8">
      <c r="A12" s="835">
        <v>2008.03</v>
      </c>
      <c r="B12" s="837">
        <v>467989</v>
      </c>
      <c r="C12" s="838">
        <v>6820339</v>
      </c>
      <c r="D12" s="1474">
        <v>1098113</v>
      </c>
      <c r="E12" s="838">
        <v>5722226</v>
      </c>
      <c r="F12" s="837">
        <v>2017</v>
      </c>
      <c r="G12" s="1547"/>
      <c r="H12" s="836"/>
    </row>
    <row r="13" spans="1:8">
      <c r="A13" s="835">
        <v>2008.04</v>
      </c>
      <c r="B13" s="837">
        <v>474118</v>
      </c>
      <c r="C13" s="838">
        <v>6879948</v>
      </c>
      <c r="D13" s="1474">
        <v>1097569</v>
      </c>
      <c r="E13" s="838">
        <v>5782379</v>
      </c>
      <c r="F13" s="837">
        <v>2039</v>
      </c>
      <c r="G13" s="1547"/>
      <c r="H13" s="836"/>
    </row>
    <row r="14" spans="1:8">
      <c r="A14" s="835">
        <v>2008.05</v>
      </c>
      <c r="B14" s="837">
        <v>477415</v>
      </c>
      <c r="C14" s="838">
        <v>6914018</v>
      </c>
      <c r="D14" s="1474">
        <v>1104056</v>
      </c>
      <c r="E14" s="838">
        <v>5809962</v>
      </c>
      <c r="F14" s="837">
        <v>2140</v>
      </c>
      <c r="G14" s="1547"/>
      <c r="H14" s="836"/>
    </row>
    <row r="15" spans="1:8">
      <c r="A15" s="835">
        <v>2008.06</v>
      </c>
      <c r="B15" s="837">
        <v>476839</v>
      </c>
      <c r="C15" s="838">
        <v>6911906</v>
      </c>
      <c r="D15" s="1474">
        <v>1110678</v>
      </c>
      <c r="E15" s="838">
        <v>5801228</v>
      </c>
      <c r="F15" s="837">
        <v>2193</v>
      </c>
      <c r="G15" s="1547"/>
      <c r="H15" s="836"/>
    </row>
    <row r="16" spans="1:8">
      <c r="A16" s="835">
        <v>2008.07</v>
      </c>
      <c r="B16" s="837">
        <v>474596</v>
      </c>
      <c r="C16" s="838">
        <v>6924964</v>
      </c>
      <c r="D16" s="1474">
        <v>1133607</v>
      </c>
      <c r="E16" s="838">
        <v>5791357</v>
      </c>
      <c r="F16" s="837">
        <v>3141</v>
      </c>
      <c r="G16" s="1547"/>
      <c r="H16" s="836"/>
    </row>
    <row r="17" spans="1:8">
      <c r="A17" s="835">
        <v>2008.08</v>
      </c>
      <c r="B17" s="837">
        <v>475201</v>
      </c>
      <c r="C17" s="838">
        <v>6931996</v>
      </c>
      <c r="D17" s="1474">
        <v>1126867</v>
      </c>
      <c r="E17" s="838">
        <v>5805129</v>
      </c>
      <c r="F17" s="837">
        <v>2309</v>
      </c>
      <c r="G17" s="1547"/>
      <c r="H17" s="836"/>
    </row>
    <row r="18" spans="1:8">
      <c r="A18" s="835">
        <v>2008.09</v>
      </c>
      <c r="B18" s="837">
        <v>476463</v>
      </c>
      <c r="C18" s="838">
        <v>6950982</v>
      </c>
      <c r="D18" s="1474">
        <v>1133929</v>
      </c>
      <c r="E18" s="838">
        <v>5817053</v>
      </c>
      <c r="F18" s="837">
        <v>2357</v>
      </c>
      <c r="G18" s="1547"/>
      <c r="H18" s="836"/>
    </row>
    <row r="19" spans="1:8">
      <c r="A19" s="835">
        <v>2008.1</v>
      </c>
      <c r="B19" s="837">
        <v>478603</v>
      </c>
      <c r="C19" s="838">
        <v>6982335</v>
      </c>
      <c r="D19" s="1474">
        <v>1138210</v>
      </c>
      <c r="E19" s="838">
        <v>5844125</v>
      </c>
      <c r="F19" s="837">
        <v>2436</v>
      </c>
      <c r="G19" s="1547"/>
      <c r="H19" s="836"/>
    </row>
    <row r="20" spans="1:8">
      <c r="A20" s="835">
        <v>2008.11</v>
      </c>
      <c r="B20" s="837">
        <v>481306</v>
      </c>
      <c r="C20" s="838">
        <v>7020007</v>
      </c>
      <c r="D20" s="1474">
        <v>1137030</v>
      </c>
      <c r="E20" s="838">
        <v>5882977</v>
      </c>
      <c r="F20" s="837">
        <v>2482</v>
      </c>
      <c r="G20" s="1547"/>
      <c r="H20" s="836"/>
    </row>
    <row r="21" spans="1:8">
      <c r="A21" s="835">
        <v>2008.12</v>
      </c>
      <c r="B21" s="837">
        <v>479218</v>
      </c>
      <c r="C21" s="838">
        <v>6990041</v>
      </c>
      <c r="D21" s="1474">
        <v>1144078</v>
      </c>
      <c r="E21" s="838">
        <v>5845963</v>
      </c>
      <c r="F21" s="837">
        <v>2401</v>
      </c>
      <c r="G21" s="1547"/>
      <c r="H21" s="836"/>
    </row>
    <row r="22" spans="1:8">
      <c r="A22" s="835">
        <v>2009.01</v>
      </c>
      <c r="B22" s="837">
        <v>480072</v>
      </c>
      <c r="C22" s="838">
        <v>6975206</v>
      </c>
      <c r="D22" s="1474">
        <v>1159926</v>
      </c>
      <c r="E22" s="838">
        <v>5815280</v>
      </c>
      <c r="F22" s="837">
        <v>3658</v>
      </c>
      <c r="G22" s="1548">
        <v>2050</v>
      </c>
      <c r="H22" s="1542">
        <v>2907.11</v>
      </c>
    </row>
    <row r="23" spans="1:8">
      <c r="A23" s="835">
        <v>2009.02</v>
      </c>
      <c r="B23" s="837">
        <v>468494</v>
      </c>
      <c r="C23" s="838">
        <v>6915507</v>
      </c>
      <c r="D23" s="1474">
        <v>1137994</v>
      </c>
      <c r="E23" s="838">
        <v>5777513</v>
      </c>
      <c r="F23" s="837">
        <v>2628</v>
      </c>
      <c r="G23" s="1549">
        <v>2014.08</v>
      </c>
      <c r="H23" s="839">
        <v>2791.44</v>
      </c>
    </row>
    <row r="24" spans="1:8">
      <c r="A24" s="835">
        <v>2009.03</v>
      </c>
      <c r="B24" s="837">
        <v>463144</v>
      </c>
      <c r="C24" s="838">
        <v>6925839</v>
      </c>
      <c r="D24" s="1474">
        <v>1147995</v>
      </c>
      <c r="E24" s="838">
        <v>5777844</v>
      </c>
      <c r="F24" s="837">
        <v>2533</v>
      </c>
      <c r="G24" s="1549">
        <v>2025.53</v>
      </c>
      <c r="H24" s="839">
        <v>2869.86</v>
      </c>
    </row>
    <row r="25" spans="1:8">
      <c r="A25" s="835">
        <v>2009.04</v>
      </c>
      <c r="B25" s="837">
        <v>465857</v>
      </c>
      <c r="C25" s="838">
        <v>6907895</v>
      </c>
      <c r="D25" s="1474">
        <v>1144195</v>
      </c>
      <c r="E25" s="838">
        <v>5763700</v>
      </c>
      <c r="F25" s="837">
        <v>2556</v>
      </c>
      <c r="G25" s="1549">
        <v>2157.8000000000002</v>
      </c>
      <c r="H25" s="839">
        <v>2885.72</v>
      </c>
    </row>
    <row r="26" spans="1:8">
      <c r="A26" s="835">
        <v>2009.05</v>
      </c>
      <c r="B26" s="837">
        <v>463719</v>
      </c>
      <c r="C26" s="838">
        <v>6812702</v>
      </c>
      <c r="D26" s="1474">
        <v>1133246</v>
      </c>
      <c r="E26" s="838">
        <v>5679456</v>
      </c>
      <c r="F26" s="837">
        <v>2610</v>
      </c>
      <c r="G26" s="1549">
        <v>2223.66</v>
      </c>
      <c r="H26" s="839">
        <v>2886.88</v>
      </c>
    </row>
    <row r="27" spans="1:8">
      <c r="A27" s="835">
        <v>2009.06</v>
      </c>
      <c r="B27" s="837">
        <v>461193</v>
      </c>
      <c r="C27" s="838">
        <v>6836657</v>
      </c>
      <c r="D27" s="1474">
        <v>1154117</v>
      </c>
      <c r="E27" s="838">
        <v>5682540</v>
      </c>
      <c r="F27" s="837">
        <v>2612</v>
      </c>
      <c r="G27" s="1549">
        <v>3263.85</v>
      </c>
      <c r="H27" s="839">
        <v>4245.8100000000004</v>
      </c>
    </row>
    <row r="28" spans="1:8">
      <c r="A28" s="835">
        <v>2009.07</v>
      </c>
      <c r="B28" s="837">
        <v>460032</v>
      </c>
      <c r="C28" s="838">
        <v>6877745</v>
      </c>
      <c r="D28" s="1474">
        <v>1177463</v>
      </c>
      <c r="E28" s="838">
        <v>5700282</v>
      </c>
      <c r="F28" s="837">
        <v>3911</v>
      </c>
      <c r="G28" s="1549">
        <v>2277.19</v>
      </c>
      <c r="H28" s="839">
        <v>2991.46</v>
      </c>
    </row>
    <row r="29" spans="1:8">
      <c r="A29" s="835">
        <v>2009.08</v>
      </c>
      <c r="B29" s="837">
        <v>459661</v>
      </c>
      <c r="C29" s="838">
        <v>6910648</v>
      </c>
      <c r="D29" s="1474">
        <v>1219335</v>
      </c>
      <c r="E29" s="838">
        <v>5691313</v>
      </c>
      <c r="F29" s="837">
        <v>2714</v>
      </c>
      <c r="G29" s="1549">
        <v>2286.15</v>
      </c>
      <c r="H29" s="839">
        <v>3026.88</v>
      </c>
    </row>
    <row r="30" spans="1:8">
      <c r="A30" s="835">
        <v>2009.09</v>
      </c>
      <c r="B30" s="837">
        <v>458348</v>
      </c>
      <c r="C30" s="838">
        <v>6914149</v>
      </c>
      <c r="D30" s="1474">
        <v>1223555</v>
      </c>
      <c r="E30" s="838">
        <v>5690594</v>
      </c>
      <c r="F30" s="837">
        <v>2742</v>
      </c>
      <c r="G30" s="1549">
        <v>2322</v>
      </c>
      <c r="H30" s="839">
        <v>3112.32</v>
      </c>
    </row>
    <row r="31" spans="1:8">
      <c r="A31" s="835">
        <v>2009.1</v>
      </c>
      <c r="B31" s="837">
        <v>465064</v>
      </c>
      <c r="C31" s="838">
        <v>6950683</v>
      </c>
      <c r="D31" s="1474">
        <v>1239720</v>
      </c>
      <c r="E31" s="838">
        <v>5710963</v>
      </c>
      <c r="F31" s="837">
        <v>2872</v>
      </c>
      <c r="G31" s="1549">
        <v>2334.71</v>
      </c>
      <c r="H31" s="839">
        <v>3135.62</v>
      </c>
    </row>
    <row r="32" spans="1:8">
      <c r="A32" s="835">
        <v>2009.11</v>
      </c>
      <c r="B32" s="837">
        <v>468357</v>
      </c>
      <c r="C32" s="838">
        <v>6994729</v>
      </c>
      <c r="D32" s="1474">
        <v>1236896</v>
      </c>
      <c r="E32" s="838">
        <v>5757833</v>
      </c>
      <c r="F32" s="837">
        <v>2889</v>
      </c>
      <c r="G32" s="1549">
        <v>2321.91</v>
      </c>
      <c r="H32" s="839">
        <v>3110.03</v>
      </c>
    </row>
    <row r="33" spans="1:8">
      <c r="A33" s="835">
        <v>2009.12</v>
      </c>
      <c r="B33" s="837">
        <v>470159</v>
      </c>
      <c r="C33" s="838">
        <v>7031652</v>
      </c>
      <c r="D33" s="1474">
        <v>1246735</v>
      </c>
      <c r="E33" s="838">
        <v>5784917</v>
      </c>
      <c r="F33" s="837">
        <v>2830</v>
      </c>
      <c r="G33" s="1549">
        <v>3501.62</v>
      </c>
      <c r="H33" s="839">
        <v>4723.8100000000004</v>
      </c>
    </row>
    <row r="34" spans="1:8">
      <c r="A34" s="835">
        <v>2010.01</v>
      </c>
      <c r="B34" s="837">
        <v>473198</v>
      </c>
      <c r="C34" s="838">
        <v>7046486</v>
      </c>
      <c r="D34" s="1474">
        <v>1256008</v>
      </c>
      <c r="E34" s="838">
        <v>5790478</v>
      </c>
      <c r="F34" s="837">
        <v>4302</v>
      </c>
      <c r="G34" s="1549">
        <v>2481.36</v>
      </c>
      <c r="H34" s="839">
        <v>3468.61</v>
      </c>
    </row>
    <row r="35" spans="1:8">
      <c r="A35" s="835">
        <v>2010.02</v>
      </c>
      <c r="B35" s="837">
        <v>465521</v>
      </c>
      <c r="C35" s="838">
        <v>7014854</v>
      </c>
      <c r="D35" s="1474">
        <v>1228866</v>
      </c>
      <c r="E35" s="838">
        <v>5785988</v>
      </c>
      <c r="F35" s="837">
        <v>3172</v>
      </c>
      <c r="G35" s="1549">
        <v>2474.04</v>
      </c>
      <c r="H35" s="839">
        <v>3376.54</v>
      </c>
    </row>
    <row r="36" spans="1:8">
      <c r="A36" s="835">
        <v>2010.03</v>
      </c>
      <c r="B36" s="837">
        <v>466781</v>
      </c>
      <c r="C36" s="838">
        <v>7085670</v>
      </c>
      <c r="D36" s="1474">
        <v>1237796</v>
      </c>
      <c r="E36" s="838">
        <v>5847874</v>
      </c>
      <c r="F36" s="837">
        <v>3066</v>
      </c>
      <c r="G36" s="1549">
        <v>2534.38</v>
      </c>
      <c r="H36" s="839">
        <v>3578.79</v>
      </c>
    </row>
    <row r="37" spans="1:8">
      <c r="A37" s="835">
        <v>2010.04</v>
      </c>
      <c r="B37" s="837">
        <v>473997</v>
      </c>
      <c r="C37" s="838">
        <v>7131302</v>
      </c>
      <c r="D37" s="1474">
        <v>1238086</v>
      </c>
      <c r="E37" s="838">
        <v>5893216</v>
      </c>
      <c r="F37" s="837">
        <v>3210</v>
      </c>
      <c r="G37" s="1549">
        <v>2557.3000000000002</v>
      </c>
      <c r="H37" s="839">
        <v>3546.73</v>
      </c>
    </row>
    <row r="38" spans="1:8">
      <c r="A38" s="835">
        <v>2010.05</v>
      </c>
      <c r="B38" s="837">
        <v>474752</v>
      </c>
      <c r="C38" s="838">
        <v>7111340</v>
      </c>
      <c r="D38" s="1474">
        <v>1240700</v>
      </c>
      <c r="E38" s="838">
        <v>5870640</v>
      </c>
      <c r="F38" s="837">
        <v>3290</v>
      </c>
      <c r="G38" s="1549">
        <v>2635.36</v>
      </c>
      <c r="H38" s="839">
        <v>3575.29</v>
      </c>
    </row>
    <row r="39" spans="1:8">
      <c r="A39" s="835">
        <v>2010.06</v>
      </c>
      <c r="B39" s="837">
        <v>474176</v>
      </c>
      <c r="C39" s="838">
        <v>7097259</v>
      </c>
      <c r="D39" s="1474">
        <v>1248993</v>
      </c>
      <c r="E39" s="838">
        <v>5848266</v>
      </c>
      <c r="F39" s="837">
        <v>3272</v>
      </c>
      <c r="G39" s="1549">
        <v>4200</v>
      </c>
      <c r="H39" s="839">
        <v>5323</v>
      </c>
    </row>
    <row r="40" spans="1:8">
      <c r="A40" s="835">
        <v>2010.07</v>
      </c>
      <c r="B40" s="837">
        <v>475162</v>
      </c>
      <c r="C40" s="838">
        <v>7115881</v>
      </c>
      <c r="D40" s="1474">
        <v>1258348</v>
      </c>
      <c r="E40" s="838">
        <v>5857533</v>
      </c>
      <c r="F40" s="837">
        <v>4950</v>
      </c>
      <c r="G40" s="1549">
        <v>2897.92</v>
      </c>
      <c r="H40" s="839">
        <v>3796.59</v>
      </c>
    </row>
    <row r="41" spans="1:8">
      <c r="A41" s="835">
        <v>2010.08</v>
      </c>
      <c r="B41" s="837">
        <v>476136</v>
      </c>
      <c r="C41" s="838">
        <v>7136011</v>
      </c>
      <c r="D41" s="1474">
        <v>1257966</v>
      </c>
      <c r="E41" s="838">
        <v>5878045</v>
      </c>
      <c r="F41" s="837">
        <v>3512</v>
      </c>
      <c r="G41" s="1549">
        <v>2943.55</v>
      </c>
      <c r="H41" s="839">
        <v>3875.35</v>
      </c>
    </row>
    <row r="42" spans="1:8">
      <c r="A42" s="835">
        <v>2010.09</v>
      </c>
      <c r="B42" s="837">
        <v>478177</v>
      </c>
      <c r="C42" s="838">
        <v>7173652</v>
      </c>
      <c r="D42" s="1474">
        <v>1259054</v>
      </c>
      <c r="E42" s="838">
        <v>5914598</v>
      </c>
      <c r="F42" s="837">
        <v>3573</v>
      </c>
      <c r="G42" s="1549">
        <v>3064.54</v>
      </c>
      <c r="H42" s="839">
        <v>4013.63</v>
      </c>
    </row>
    <row r="43" spans="1:8">
      <c r="A43" s="835">
        <v>2010.1</v>
      </c>
      <c r="B43" s="837">
        <v>480296</v>
      </c>
      <c r="C43" s="838">
        <v>7197778</v>
      </c>
      <c r="D43" s="1474">
        <v>1261896</v>
      </c>
      <c r="E43" s="838">
        <v>5935882</v>
      </c>
      <c r="F43" s="837">
        <v>3668</v>
      </c>
      <c r="G43" s="1549">
        <v>3086.84</v>
      </c>
      <c r="H43" s="839">
        <v>4055.92</v>
      </c>
    </row>
    <row r="44" spans="1:8">
      <c r="A44" s="835">
        <v>2010.11</v>
      </c>
      <c r="B44" s="837">
        <v>483641</v>
      </c>
      <c r="C44" s="838">
        <v>7253191</v>
      </c>
      <c r="D44" s="1474">
        <v>1263246</v>
      </c>
      <c r="E44" s="838">
        <v>5989945</v>
      </c>
      <c r="F44" s="837">
        <v>3753</v>
      </c>
      <c r="G44" s="1549">
        <v>3123.44</v>
      </c>
      <c r="H44" s="839">
        <v>4099.6899999999996</v>
      </c>
    </row>
    <row r="45" spans="1:8">
      <c r="A45" s="835">
        <v>2010.12</v>
      </c>
      <c r="B45" s="837">
        <v>489210</v>
      </c>
      <c r="C45" s="838">
        <v>7306179</v>
      </c>
      <c r="D45" s="1474">
        <v>1269064</v>
      </c>
      <c r="E45" s="838">
        <v>6037115</v>
      </c>
      <c r="F45" s="837">
        <v>3768</v>
      </c>
      <c r="G45" s="1549">
        <v>4766.2299999999996</v>
      </c>
      <c r="H45" s="839">
        <v>6166.26</v>
      </c>
    </row>
    <row r="46" spans="1:8">
      <c r="A46" s="835">
        <v>2011.01</v>
      </c>
      <c r="B46" s="837">
        <v>495022</v>
      </c>
      <c r="C46" s="838">
        <v>7362798</v>
      </c>
      <c r="D46" s="1474">
        <v>1287745</v>
      </c>
      <c r="E46" s="838">
        <v>6075053</v>
      </c>
      <c r="F46" s="837">
        <v>5714</v>
      </c>
      <c r="G46" s="1549">
        <v>3330.81</v>
      </c>
      <c r="H46" s="839">
        <v>4608.6899999999996</v>
      </c>
    </row>
    <row r="47" spans="1:8">
      <c r="A47" s="835">
        <v>2011.02</v>
      </c>
      <c r="B47" s="837">
        <v>488867</v>
      </c>
      <c r="C47" s="838">
        <v>7367912</v>
      </c>
      <c r="D47" s="1474">
        <v>1276595</v>
      </c>
      <c r="E47" s="838">
        <v>6091317</v>
      </c>
      <c r="F47" s="837">
        <v>4197</v>
      </c>
      <c r="G47" s="1549">
        <v>3281.56</v>
      </c>
      <c r="H47" s="839">
        <v>4365.13</v>
      </c>
    </row>
    <row r="48" spans="1:8">
      <c r="A48" s="835">
        <v>2011.03</v>
      </c>
      <c r="B48" s="837">
        <v>488259</v>
      </c>
      <c r="C48" s="838">
        <v>7429126</v>
      </c>
      <c r="D48" s="1474">
        <v>1290107</v>
      </c>
      <c r="E48" s="838">
        <v>6139019</v>
      </c>
      <c r="F48" s="837">
        <v>4078</v>
      </c>
      <c r="G48" s="1549">
        <v>3418.64</v>
      </c>
      <c r="H48" s="839">
        <v>4757.17</v>
      </c>
    </row>
    <row r="49" spans="1:8">
      <c r="A49" s="835">
        <v>2011.04</v>
      </c>
      <c r="B49" s="837">
        <v>494951</v>
      </c>
      <c r="C49" s="838">
        <v>7455046</v>
      </c>
      <c r="D49" s="1474">
        <v>1290900</v>
      </c>
      <c r="E49" s="838">
        <v>6164146</v>
      </c>
      <c r="F49" s="837">
        <v>4322</v>
      </c>
      <c r="G49" s="1549">
        <v>3427.54</v>
      </c>
      <c r="H49" s="839">
        <v>4633.46</v>
      </c>
    </row>
    <row r="50" spans="1:8">
      <c r="A50" s="835">
        <v>2011.05</v>
      </c>
      <c r="B50" s="837">
        <v>498086</v>
      </c>
      <c r="C50" s="838">
        <v>7471656</v>
      </c>
      <c r="D50" s="1474">
        <v>1297684</v>
      </c>
      <c r="E50" s="838">
        <v>6173972</v>
      </c>
      <c r="F50" s="837">
        <v>4268</v>
      </c>
      <c r="G50" s="1549">
        <v>3601.48</v>
      </c>
      <c r="H50" s="839">
        <v>4862.1499999999996</v>
      </c>
    </row>
    <row r="51" spans="1:8">
      <c r="A51" s="835">
        <v>2011.06</v>
      </c>
      <c r="B51" s="837">
        <v>500281</v>
      </c>
      <c r="C51" s="838">
        <v>7485442</v>
      </c>
      <c r="D51" s="1474">
        <v>1307384</v>
      </c>
      <c r="E51" s="838">
        <v>6178058</v>
      </c>
      <c r="F51" s="837">
        <v>4456</v>
      </c>
      <c r="G51" s="1549">
        <v>5527.12</v>
      </c>
      <c r="H51" s="839">
        <v>7042.69</v>
      </c>
    </row>
    <row r="52" spans="1:8">
      <c r="A52" s="835">
        <v>2011.07</v>
      </c>
      <c r="B52" s="837">
        <v>502217</v>
      </c>
      <c r="C52" s="838">
        <v>7499979</v>
      </c>
      <c r="D52" s="1474">
        <v>1319810</v>
      </c>
      <c r="E52" s="838">
        <v>6180169</v>
      </c>
      <c r="F52" s="837">
        <v>6488</v>
      </c>
      <c r="G52" s="1549">
        <v>3913.73</v>
      </c>
      <c r="H52" s="839">
        <v>5019.54</v>
      </c>
    </row>
    <row r="53" spans="1:8">
      <c r="A53" s="835">
        <v>2011.08</v>
      </c>
      <c r="B53" s="837">
        <v>501798</v>
      </c>
      <c r="C53" s="838">
        <v>7527948</v>
      </c>
      <c r="D53" s="1474">
        <v>1334586</v>
      </c>
      <c r="E53" s="838">
        <v>6193362</v>
      </c>
      <c r="F53" s="837">
        <v>4635</v>
      </c>
      <c r="G53" s="1549">
        <v>3972.79</v>
      </c>
      <c r="H53" s="839">
        <v>5114.96</v>
      </c>
    </row>
    <row r="54" spans="1:8">
      <c r="A54" s="835">
        <v>2011.09</v>
      </c>
      <c r="B54" s="837">
        <v>506571</v>
      </c>
      <c r="C54" s="838">
        <v>7577900</v>
      </c>
      <c r="D54" s="1474">
        <v>1341326</v>
      </c>
      <c r="E54" s="838">
        <v>6236574</v>
      </c>
      <c r="F54" s="837">
        <v>4669</v>
      </c>
      <c r="G54" s="1549">
        <v>4176.76</v>
      </c>
      <c r="H54" s="839">
        <v>5277.16</v>
      </c>
    </row>
    <row r="55" spans="1:8">
      <c r="A55" s="835">
        <v>2011.1</v>
      </c>
      <c r="B55" s="837">
        <v>507192</v>
      </c>
      <c r="C55" s="838">
        <v>7589104</v>
      </c>
      <c r="D55" s="1474">
        <v>1338604</v>
      </c>
      <c r="E55" s="838">
        <v>6250500</v>
      </c>
      <c r="F55" s="837">
        <v>4883</v>
      </c>
      <c r="G55" s="1549">
        <v>4189.9799999999996</v>
      </c>
      <c r="H55" s="839">
        <v>5332.89</v>
      </c>
    </row>
    <row r="56" spans="1:8">
      <c r="A56" s="835">
        <v>2011.11</v>
      </c>
      <c r="B56" s="837">
        <v>509469</v>
      </c>
      <c r="C56" s="838">
        <v>7642985</v>
      </c>
      <c r="D56" s="1474">
        <v>1347269</v>
      </c>
      <c r="E56" s="838">
        <v>6295716</v>
      </c>
      <c r="F56" s="837">
        <v>4898</v>
      </c>
      <c r="G56" s="1549">
        <v>4259.99</v>
      </c>
      <c r="H56" s="839">
        <v>5402.56</v>
      </c>
    </row>
    <row r="57" spans="1:8">
      <c r="A57" s="835">
        <v>2011.12</v>
      </c>
      <c r="B57" s="837">
        <v>514673</v>
      </c>
      <c r="C57" s="838">
        <v>7684680</v>
      </c>
      <c r="D57" s="1474">
        <v>1346036</v>
      </c>
      <c r="E57" s="838">
        <v>6338644</v>
      </c>
      <c r="F57" s="837">
        <v>4957</v>
      </c>
      <c r="G57" s="1549">
        <v>6480.21</v>
      </c>
      <c r="H57" s="839">
        <v>8130.47</v>
      </c>
    </row>
    <row r="58" spans="1:8">
      <c r="A58" s="835">
        <v>2012.01</v>
      </c>
      <c r="B58" s="837">
        <v>515743</v>
      </c>
      <c r="C58" s="838">
        <v>7688171</v>
      </c>
      <c r="D58" s="1474">
        <v>1357910</v>
      </c>
      <c r="E58" s="838">
        <v>6330261</v>
      </c>
      <c r="F58" s="837">
        <v>7514</v>
      </c>
      <c r="G58" s="1549">
        <v>4513.45</v>
      </c>
      <c r="H58" s="839">
        <v>6028.03</v>
      </c>
    </row>
    <row r="59" spans="1:8">
      <c r="A59" s="835">
        <v>2012.02</v>
      </c>
      <c r="B59" s="837">
        <v>508234</v>
      </c>
      <c r="C59" s="838">
        <v>7664054</v>
      </c>
      <c r="D59" s="1474">
        <v>1349436</v>
      </c>
      <c r="E59" s="838">
        <v>6314618</v>
      </c>
      <c r="F59" s="837">
        <v>5616</v>
      </c>
      <c r="G59" s="1549">
        <v>4483.49</v>
      </c>
      <c r="H59" s="839">
        <v>5824.77</v>
      </c>
    </row>
    <row r="60" spans="1:8">
      <c r="A60" s="835">
        <v>2012.03</v>
      </c>
      <c r="B60" s="837">
        <v>505229</v>
      </c>
      <c r="C60" s="838">
        <v>7692342</v>
      </c>
      <c r="D60" s="1474">
        <v>1358168</v>
      </c>
      <c r="E60" s="838">
        <v>6334174</v>
      </c>
      <c r="F60" s="837">
        <v>5378</v>
      </c>
      <c r="G60" s="1549">
        <v>4540.95</v>
      </c>
      <c r="H60" s="839">
        <v>6145.19</v>
      </c>
    </row>
    <row r="61" spans="1:8">
      <c r="A61" s="835">
        <v>2012.04</v>
      </c>
      <c r="B61" s="837">
        <v>509290</v>
      </c>
      <c r="C61" s="838">
        <v>7696316</v>
      </c>
      <c r="D61" s="1474">
        <v>1347815</v>
      </c>
      <c r="E61" s="838">
        <v>6348501</v>
      </c>
      <c r="F61" s="837">
        <v>5467</v>
      </c>
      <c r="G61" s="1549">
        <v>4682.46</v>
      </c>
      <c r="H61" s="839">
        <v>6087.02</v>
      </c>
    </row>
    <row r="62" spans="1:8">
      <c r="A62" s="835">
        <v>2012.05</v>
      </c>
      <c r="B62" s="837">
        <v>510648</v>
      </c>
      <c r="C62" s="838">
        <v>7661949</v>
      </c>
      <c r="D62" s="1474">
        <v>1354407</v>
      </c>
      <c r="E62" s="838">
        <v>6307542</v>
      </c>
      <c r="F62" s="837">
        <v>5620</v>
      </c>
      <c r="G62" s="1549">
        <v>5049.43</v>
      </c>
      <c r="H62" s="839">
        <v>6278.22</v>
      </c>
    </row>
    <row r="63" spans="1:8">
      <c r="A63" s="835">
        <v>2012.06</v>
      </c>
      <c r="B63" s="837">
        <v>510150</v>
      </c>
      <c r="C63" s="838">
        <v>7644490</v>
      </c>
      <c r="D63" s="1474">
        <v>1359854</v>
      </c>
      <c r="E63" s="838">
        <v>6284636</v>
      </c>
      <c r="F63" s="837">
        <v>5828</v>
      </c>
      <c r="G63" s="1549">
        <v>7396.13</v>
      </c>
      <c r="H63" s="839">
        <v>9107.16</v>
      </c>
    </row>
    <row r="64" spans="1:8">
      <c r="A64" s="835">
        <v>2012.07</v>
      </c>
      <c r="B64" s="837">
        <v>509193</v>
      </c>
      <c r="C64" s="838">
        <v>7653771</v>
      </c>
      <c r="D64" s="1474">
        <v>1377172</v>
      </c>
      <c r="E64" s="838">
        <v>6276599</v>
      </c>
      <c r="F64" s="837">
        <v>8449</v>
      </c>
      <c r="G64" s="1549">
        <v>5301.21</v>
      </c>
      <c r="H64" s="839">
        <v>6612.18</v>
      </c>
    </row>
    <row r="65" spans="1:8">
      <c r="A65" s="835">
        <v>2012.08</v>
      </c>
      <c r="B65" s="837">
        <v>506869</v>
      </c>
      <c r="C65" s="838">
        <v>7646638</v>
      </c>
      <c r="D65" s="1474">
        <v>1366988</v>
      </c>
      <c r="E65" s="838">
        <v>6279650</v>
      </c>
      <c r="F65" s="837">
        <v>6079</v>
      </c>
      <c r="G65" s="1549">
        <v>5341.93</v>
      </c>
      <c r="H65" s="839">
        <v>6609.57</v>
      </c>
    </row>
    <row r="66" spans="1:8">
      <c r="A66" s="835">
        <v>2012.09</v>
      </c>
      <c r="B66" s="837">
        <v>506590</v>
      </c>
      <c r="C66" s="838">
        <v>7653538</v>
      </c>
      <c r="D66" s="1474">
        <v>1373788</v>
      </c>
      <c r="E66" s="838">
        <v>6279750</v>
      </c>
      <c r="F66" s="837">
        <v>6071</v>
      </c>
      <c r="G66" s="1549">
        <v>5358.82</v>
      </c>
      <c r="H66" s="839">
        <v>6695.82</v>
      </c>
    </row>
    <row r="67" spans="1:8">
      <c r="A67" s="835">
        <v>2012.1</v>
      </c>
      <c r="B67" s="837">
        <v>506300</v>
      </c>
      <c r="C67" s="838">
        <v>7650704</v>
      </c>
      <c r="D67" s="1474">
        <v>1364658</v>
      </c>
      <c r="E67" s="838">
        <v>6286046</v>
      </c>
      <c r="F67" s="837">
        <v>6104</v>
      </c>
      <c r="G67" s="1549">
        <v>5425.52</v>
      </c>
      <c r="H67" s="839">
        <v>6858.57</v>
      </c>
    </row>
    <row r="68" spans="1:8">
      <c r="A68" s="835">
        <v>2012.11</v>
      </c>
      <c r="B68" s="837">
        <v>510558</v>
      </c>
      <c r="C68" s="838">
        <v>7695175</v>
      </c>
      <c r="D68" s="1474">
        <v>1363354</v>
      </c>
      <c r="E68" s="838">
        <v>6331821</v>
      </c>
      <c r="F68" s="837">
        <v>6292</v>
      </c>
      <c r="G68" s="1549">
        <v>5694.83</v>
      </c>
      <c r="H68" s="839">
        <v>7006.19</v>
      </c>
    </row>
    <row r="69" spans="1:8">
      <c r="A69" s="835">
        <v>2012.12</v>
      </c>
      <c r="B69" s="837">
        <v>512052</v>
      </c>
      <c r="C69" s="838">
        <v>7717979</v>
      </c>
      <c r="D69" s="1474">
        <v>1369507</v>
      </c>
      <c r="E69" s="838">
        <v>6348472</v>
      </c>
      <c r="F69" s="837">
        <v>6434</v>
      </c>
      <c r="G69" s="1549">
        <v>8454.58</v>
      </c>
      <c r="H69" s="839">
        <v>10426.35</v>
      </c>
    </row>
    <row r="70" spans="1:8">
      <c r="A70" s="835">
        <v>2013.01</v>
      </c>
      <c r="B70" s="837">
        <v>513832</v>
      </c>
      <c r="C70" s="838">
        <v>7758087</v>
      </c>
      <c r="D70" s="1474">
        <v>1383047</v>
      </c>
      <c r="E70" s="838">
        <v>6375040</v>
      </c>
      <c r="F70" s="837">
        <v>9601</v>
      </c>
      <c r="G70" s="1549">
        <v>5890.8</v>
      </c>
      <c r="H70" s="839">
        <v>7722.74</v>
      </c>
    </row>
    <row r="71" spans="1:8">
      <c r="A71" s="835">
        <v>2013.02</v>
      </c>
      <c r="B71" s="837">
        <v>510255</v>
      </c>
      <c r="C71" s="838">
        <v>7727227</v>
      </c>
      <c r="D71" s="1474">
        <v>1364529</v>
      </c>
      <c r="E71" s="838">
        <v>6362698</v>
      </c>
      <c r="F71" s="837">
        <v>7141</v>
      </c>
      <c r="G71" s="1549">
        <v>5818.99</v>
      </c>
      <c r="H71" s="839">
        <v>7426.73</v>
      </c>
    </row>
    <row r="72" spans="1:8">
      <c r="A72" s="835">
        <v>2013.03</v>
      </c>
      <c r="B72" s="837">
        <v>507071</v>
      </c>
      <c r="C72" s="838">
        <v>7761759</v>
      </c>
      <c r="D72" s="1474">
        <v>1377408</v>
      </c>
      <c r="E72" s="838">
        <v>6384351</v>
      </c>
      <c r="F72" s="837">
        <v>6750</v>
      </c>
      <c r="G72" s="1549">
        <v>5869.75</v>
      </c>
      <c r="H72" s="839">
        <v>7840.12</v>
      </c>
    </row>
    <row r="73" spans="1:8">
      <c r="A73" s="835">
        <v>2013.04</v>
      </c>
      <c r="B73" s="837">
        <v>513375</v>
      </c>
      <c r="C73" s="838">
        <v>7786496</v>
      </c>
      <c r="D73" s="1474">
        <v>1377877</v>
      </c>
      <c r="E73" s="838">
        <v>6408619</v>
      </c>
      <c r="F73" s="837">
        <v>6992</v>
      </c>
      <c r="G73" s="1549">
        <v>5983</v>
      </c>
      <c r="H73" s="839">
        <v>7730.75</v>
      </c>
    </row>
    <row r="74" spans="1:8">
      <c r="A74" s="835">
        <v>2013.05</v>
      </c>
      <c r="B74" s="837">
        <v>514661</v>
      </c>
      <c r="C74" s="838">
        <v>7780885</v>
      </c>
      <c r="D74" s="1474">
        <v>1376985</v>
      </c>
      <c r="E74" s="838">
        <v>6403900</v>
      </c>
      <c r="F74" s="837">
        <v>7100</v>
      </c>
      <c r="G74" s="1549">
        <v>6500</v>
      </c>
      <c r="H74" s="839">
        <v>8037.64</v>
      </c>
    </row>
    <row r="75" spans="1:8">
      <c r="A75" s="835">
        <v>2013.06</v>
      </c>
      <c r="B75" s="837">
        <v>514892</v>
      </c>
      <c r="C75" s="838">
        <v>7721314</v>
      </c>
      <c r="D75" s="1474">
        <v>1384056</v>
      </c>
      <c r="E75" s="838">
        <v>6337258</v>
      </c>
      <c r="F75" s="837">
        <v>7507</v>
      </c>
      <c r="G75" s="1549">
        <v>9360.43</v>
      </c>
      <c r="H75" s="839">
        <v>11545.88</v>
      </c>
    </row>
    <row r="76" spans="1:8">
      <c r="A76" s="835">
        <v>2013.07</v>
      </c>
      <c r="B76" s="837">
        <v>512697</v>
      </c>
      <c r="C76" s="838">
        <v>7720736</v>
      </c>
      <c r="D76" s="1474">
        <v>1402138</v>
      </c>
      <c r="E76" s="838">
        <v>6318598</v>
      </c>
      <c r="F76" s="837">
        <v>10629</v>
      </c>
      <c r="G76" s="1549">
        <v>6728.92</v>
      </c>
      <c r="H76" s="839">
        <v>8365.09</v>
      </c>
    </row>
    <row r="77" spans="1:8">
      <c r="A77" s="835">
        <v>2013.08</v>
      </c>
      <c r="B77" s="837">
        <v>512405</v>
      </c>
      <c r="C77" s="838">
        <v>7738561</v>
      </c>
      <c r="D77" s="1474">
        <v>1398455</v>
      </c>
      <c r="E77" s="838">
        <v>6340106</v>
      </c>
      <c r="F77" s="837">
        <v>7709</v>
      </c>
      <c r="G77" s="1549">
        <v>6767.94</v>
      </c>
      <c r="H77" s="839">
        <v>8291.44</v>
      </c>
    </row>
    <row r="78" spans="1:8">
      <c r="A78" s="835">
        <v>2013.09</v>
      </c>
      <c r="B78" s="837">
        <v>514390</v>
      </c>
      <c r="C78" s="838">
        <v>7783753</v>
      </c>
      <c r="D78" s="1474">
        <v>1411332</v>
      </c>
      <c r="E78" s="838">
        <v>6372421</v>
      </c>
      <c r="F78" s="837">
        <v>7647</v>
      </c>
      <c r="G78" s="1549">
        <v>6810.9</v>
      </c>
      <c r="H78" s="839">
        <v>8459.2199999999993</v>
      </c>
    </row>
    <row r="79" spans="1:8">
      <c r="A79" s="835">
        <v>2013.1</v>
      </c>
      <c r="B79" s="837">
        <v>513841</v>
      </c>
      <c r="C79" s="838">
        <v>7776702</v>
      </c>
      <c r="D79" s="1474">
        <v>1412043</v>
      </c>
      <c r="E79" s="838">
        <v>6364659</v>
      </c>
      <c r="F79" s="837">
        <v>7776</v>
      </c>
      <c r="G79" s="1549">
        <v>6899.5</v>
      </c>
      <c r="H79" s="839">
        <v>8638.4599999999991</v>
      </c>
    </row>
    <row r="80" spans="1:8">
      <c r="A80" s="835">
        <v>2013.11</v>
      </c>
      <c r="B80" s="837">
        <v>515974</v>
      </c>
      <c r="C80" s="838">
        <v>7817092</v>
      </c>
      <c r="D80" s="1474">
        <v>1419976</v>
      </c>
      <c r="E80" s="838">
        <v>6397116</v>
      </c>
      <c r="F80" s="837">
        <v>7956</v>
      </c>
      <c r="G80" s="1549">
        <v>7154.93</v>
      </c>
      <c r="H80" s="839">
        <v>8786.7999999999993</v>
      </c>
    </row>
    <row r="81" spans="1:8">
      <c r="A81" s="835">
        <v>2013.12</v>
      </c>
      <c r="B81" s="837">
        <v>518931</v>
      </c>
      <c r="C81" s="838">
        <v>7832367</v>
      </c>
      <c r="D81" s="1474">
        <v>1418597</v>
      </c>
      <c r="E81" s="838">
        <v>6413770</v>
      </c>
      <c r="F81" s="837">
        <v>8103</v>
      </c>
      <c r="G81" s="1549">
        <v>10668.4</v>
      </c>
      <c r="H81" s="839">
        <v>13174.71</v>
      </c>
    </row>
    <row r="82" spans="1:8">
      <c r="A82" s="835">
        <v>2014.01</v>
      </c>
      <c r="B82" s="837">
        <v>519438</v>
      </c>
      <c r="C82" s="838">
        <v>7850645</v>
      </c>
      <c r="D82" s="1474">
        <v>1437826</v>
      </c>
      <c r="E82" s="838">
        <v>6412819</v>
      </c>
      <c r="F82" s="837">
        <v>12216</v>
      </c>
      <c r="G82" s="1549">
        <v>7411</v>
      </c>
      <c r="H82" s="839">
        <v>9713.2000000000007</v>
      </c>
    </row>
    <row r="83" spans="1:8">
      <c r="A83" s="835">
        <v>2014.02</v>
      </c>
      <c r="B83" s="837">
        <v>513280</v>
      </c>
      <c r="C83" s="838">
        <v>7813423</v>
      </c>
      <c r="D83" s="1474">
        <v>1410910</v>
      </c>
      <c r="E83" s="838">
        <v>6402513</v>
      </c>
      <c r="F83" s="837">
        <v>8964</v>
      </c>
      <c r="G83" s="1549">
        <v>7380.13</v>
      </c>
      <c r="H83" s="839">
        <v>9428.09</v>
      </c>
    </row>
    <row r="84" spans="1:8">
      <c r="A84" s="835">
        <v>2014.03</v>
      </c>
      <c r="B84" s="837">
        <v>508183</v>
      </c>
      <c r="C84" s="838">
        <v>7828210</v>
      </c>
      <c r="D84" s="1474">
        <v>1425817</v>
      </c>
      <c r="E84" s="838">
        <v>6402393</v>
      </c>
      <c r="F84" s="837">
        <v>8703</v>
      </c>
      <c r="G84" s="1549">
        <v>7579.12</v>
      </c>
      <c r="H84" s="839">
        <v>10097.4</v>
      </c>
    </row>
    <row r="85" spans="1:8">
      <c r="A85" s="835">
        <v>2014.04</v>
      </c>
      <c r="B85" s="837">
        <v>509827</v>
      </c>
      <c r="C85" s="838">
        <v>7803504</v>
      </c>
      <c r="D85" s="1474">
        <v>1412599</v>
      </c>
      <c r="E85" s="838">
        <v>6390905</v>
      </c>
      <c r="F85" s="837">
        <v>8993</v>
      </c>
      <c r="G85" s="1549">
        <v>8219.33</v>
      </c>
      <c r="H85" s="839">
        <v>10327.23</v>
      </c>
    </row>
    <row r="86" spans="1:8">
      <c r="A86" s="835">
        <v>2014.05</v>
      </c>
      <c r="B86" s="837">
        <v>513113</v>
      </c>
      <c r="C86" s="838">
        <v>7763720</v>
      </c>
      <c r="D86" s="1474">
        <v>1408286</v>
      </c>
      <c r="E86" s="838">
        <v>6355434</v>
      </c>
      <c r="F86" s="837">
        <v>9639</v>
      </c>
      <c r="G86" s="1549">
        <v>8486.74</v>
      </c>
      <c r="H86" s="839">
        <v>10398.99</v>
      </c>
    </row>
    <row r="87" spans="1:8">
      <c r="A87" s="835">
        <v>2014.06</v>
      </c>
      <c r="B87" s="837">
        <v>512786</v>
      </c>
      <c r="C87" s="838">
        <v>7736952</v>
      </c>
      <c r="D87" s="1474">
        <v>1418959</v>
      </c>
      <c r="E87" s="838">
        <v>6317993</v>
      </c>
      <c r="F87" s="837">
        <v>9668</v>
      </c>
      <c r="G87" s="1549">
        <v>12175.5</v>
      </c>
      <c r="H87" s="839">
        <v>15007.04</v>
      </c>
    </row>
    <row r="88" spans="1:8">
      <c r="A88" s="835">
        <v>2014.07</v>
      </c>
      <c r="B88" s="837">
        <v>513903</v>
      </c>
      <c r="C88" s="838">
        <v>7739920</v>
      </c>
      <c r="D88" s="1474">
        <v>1417626</v>
      </c>
      <c r="E88" s="838">
        <v>6322294</v>
      </c>
      <c r="F88" s="837">
        <v>13976</v>
      </c>
      <c r="G88" s="1549">
        <v>9156.57</v>
      </c>
      <c r="H88" s="839">
        <v>11094.08</v>
      </c>
    </row>
    <row r="89" spans="1:8">
      <c r="A89" s="835">
        <v>2014.08</v>
      </c>
      <c r="B89" s="837">
        <v>513181</v>
      </c>
      <c r="C89" s="838">
        <v>7769785</v>
      </c>
      <c r="D89" s="1474">
        <v>1433220</v>
      </c>
      <c r="E89" s="838">
        <v>6336565</v>
      </c>
      <c r="F89" s="837">
        <v>10345</v>
      </c>
      <c r="G89" s="1549">
        <v>8914.36</v>
      </c>
      <c r="H89" s="839">
        <v>11002.19</v>
      </c>
    </row>
    <row r="90" spans="1:8">
      <c r="A90" s="835">
        <v>2014.09</v>
      </c>
      <c r="B90" s="837">
        <v>513599</v>
      </c>
      <c r="C90" s="838">
        <v>7779063</v>
      </c>
      <c r="D90" s="1474">
        <v>1437594</v>
      </c>
      <c r="E90" s="838">
        <v>6341469</v>
      </c>
      <c r="F90" s="837">
        <v>9983</v>
      </c>
      <c r="G90" s="1549">
        <v>9301.7999999999993</v>
      </c>
      <c r="H90" s="839">
        <v>11382.62</v>
      </c>
    </row>
    <row r="91" spans="1:8">
      <c r="A91" s="835">
        <v>2014.1</v>
      </c>
      <c r="B91" s="837">
        <v>515711</v>
      </c>
      <c r="C91" s="838">
        <v>7798508</v>
      </c>
      <c r="D91" s="1474">
        <v>1432996</v>
      </c>
      <c r="E91" s="838">
        <v>6365512</v>
      </c>
      <c r="F91" s="837">
        <v>10404</v>
      </c>
      <c r="G91" s="1549">
        <v>9528.7999999999993</v>
      </c>
      <c r="H91" s="839">
        <v>11734.64</v>
      </c>
    </row>
    <row r="92" spans="1:8">
      <c r="A92" s="835">
        <v>2014.11</v>
      </c>
      <c r="B92" s="837">
        <v>517827</v>
      </c>
      <c r="C92" s="838">
        <v>7859477</v>
      </c>
      <c r="D92" s="1474">
        <v>1449134</v>
      </c>
      <c r="E92" s="838">
        <v>6410343</v>
      </c>
      <c r="F92" s="837">
        <v>10700</v>
      </c>
      <c r="G92" s="1549">
        <v>9664.2999999999993</v>
      </c>
      <c r="H92" s="839">
        <v>11850.1</v>
      </c>
    </row>
    <row r="93" spans="1:8">
      <c r="A93" s="835">
        <v>2014.12</v>
      </c>
      <c r="B93" s="837">
        <v>519737</v>
      </c>
      <c r="C93" s="838">
        <v>7878814</v>
      </c>
      <c r="D93" s="1474">
        <v>1455391</v>
      </c>
      <c r="E93" s="838">
        <v>6423423</v>
      </c>
      <c r="F93" s="837">
        <v>10776</v>
      </c>
      <c r="G93" s="1549">
        <v>14302.11</v>
      </c>
      <c r="H93" s="839">
        <v>17751.599999999999</v>
      </c>
    </row>
    <row r="94" spans="1:8">
      <c r="A94" s="835">
        <v>2015.01</v>
      </c>
      <c r="B94" s="837">
        <v>520299</v>
      </c>
      <c r="C94" s="838">
        <v>7907526</v>
      </c>
      <c r="D94" s="1474">
        <v>1468930</v>
      </c>
      <c r="E94" s="838">
        <v>6438596</v>
      </c>
      <c r="F94" s="837">
        <v>16343</v>
      </c>
      <c r="G94" s="1549">
        <v>9826.7000000000007</v>
      </c>
      <c r="H94" s="839">
        <v>13089.84</v>
      </c>
    </row>
    <row r="95" spans="1:8">
      <c r="A95" s="835">
        <v>2015.02</v>
      </c>
      <c r="B95" s="837">
        <v>515719</v>
      </c>
      <c r="C95" s="838">
        <v>7908778</v>
      </c>
      <c r="D95" s="1474">
        <v>1461213</v>
      </c>
      <c r="E95" s="838">
        <v>6447565</v>
      </c>
      <c r="F95" s="837">
        <v>11990</v>
      </c>
      <c r="G95" s="1549">
        <v>9808.24</v>
      </c>
      <c r="H95" s="839">
        <v>12694.8</v>
      </c>
    </row>
    <row r="96" spans="1:8">
      <c r="A96" s="835">
        <v>2015.03</v>
      </c>
      <c r="B96" s="837">
        <v>513785</v>
      </c>
      <c r="C96" s="838">
        <v>7939639</v>
      </c>
      <c r="D96" s="1474">
        <v>1460331</v>
      </c>
      <c r="E96" s="838">
        <v>6479308</v>
      </c>
      <c r="F96" s="837">
        <v>11432</v>
      </c>
      <c r="G96" s="1549">
        <v>9889.76</v>
      </c>
      <c r="H96" s="839">
        <v>13338.17</v>
      </c>
    </row>
    <row r="97" spans="1:8">
      <c r="A97" s="835">
        <v>2015.04</v>
      </c>
      <c r="B97" s="837">
        <v>519917</v>
      </c>
      <c r="C97" s="838">
        <v>7973635</v>
      </c>
      <c r="D97" s="1474">
        <v>1457284</v>
      </c>
      <c r="E97" s="838">
        <v>6516351</v>
      </c>
      <c r="F97" s="837">
        <v>11698</v>
      </c>
      <c r="G97" s="1549">
        <v>10051.69</v>
      </c>
      <c r="H97" s="839">
        <v>13093.16</v>
      </c>
    </row>
    <row r="98" spans="1:8">
      <c r="A98" s="835">
        <v>2015.05</v>
      </c>
      <c r="B98" s="837">
        <v>523745</v>
      </c>
      <c r="C98" s="838">
        <v>7989286</v>
      </c>
      <c r="D98" s="1474">
        <v>1463609</v>
      </c>
      <c r="E98" s="838">
        <v>6525677</v>
      </c>
      <c r="F98" s="837">
        <v>11921</v>
      </c>
      <c r="G98" s="1549">
        <v>10884.99</v>
      </c>
      <c r="H98" s="839">
        <v>13454.92</v>
      </c>
    </row>
    <row r="99" spans="1:8">
      <c r="A99" s="835">
        <v>2015.06</v>
      </c>
      <c r="B99" s="837">
        <v>522716</v>
      </c>
      <c r="C99" s="838">
        <v>7976184</v>
      </c>
      <c r="D99" s="1474">
        <v>1473503</v>
      </c>
      <c r="E99" s="838">
        <v>6502681</v>
      </c>
      <c r="F99" s="837">
        <v>12244</v>
      </c>
      <c r="G99" s="1549">
        <v>16196.68</v>
      </c>
      <c r="H99" s="839">
        <v>20156.66</v>
      </c>
    </row>
    <row r="100" spans="1:8">
      <c r="A100" s="835">
        <v>2015.07</v>
      </c>
      <c r="B100" s="837">
        <v>525934</v>
      </c>
      <c r="C100" s="838">
        <v>8028150</v>
      </c>
      <c r="D100" s="1474">
        <v>1492833</v>
      </c>
      <c r="E100" s="838">
        <v>6535317</v>
      </c>
      <c r="F100" s="837">
        <v>18627</v>
      </c>
      <c r="G100" s="1549">
        <v>11955.24</v>
      </c>
      <c r="H100" s="839">
        <v>14583.64</v>
      </c>
    </row>
    <row r="101" spans="1:8">
      <c r="A101" s="835">
        <v>2015.08</v>
      </c>
      <c r="B101" s="837">
        <v>523512</v>
      </c>
      <c r="C101" s="838">
        <v>8032858</v>
      </c>
      <c r="D101" s="1474">
        <v>1491799</v>
      </c>
      <c r="E101" s="838">
        <v>6541059</v>
      </c>
      <c r="F101" s="837">
        <v>13789</v>
      </c>
      <c r="G101" s="1549">
        <v>11565.12</v>
      </c>
      <c r="H101" s="839">
        <v>14434.43</v>
      </c>
    </row>
    <row r="102" spans="1:8">
      <c r="A102" s="835">
        <v>2015.09</v>
      </c>
      <c r="B102" s="837">
        <v>525379</v>
      </c>
      <c r="C102" s="838">
        <v>8061911</v>
      </c>
      <c r="D102" s="1474">
        <v>1503864</v>
      </c>
      <c r="E102" s="838">
        <v>6558047</v>
      </c>
      <c r="F102" s="837">
        <v>13108</v>
      </c>
      <c r="G102" s="1549">
        <v>12237.17</v>
      </c>
      <c r="H102" s="839">
        <v>14957.68</v>
      </c>
    </row>
    <row r="103" spans="1:8">
      <c r="A103" s="835">
        <v>2015.1</v>
      </c>
      <c r="B103" s="837">
        <v>525371</v>
      </c>
      <c r="C103" s="838">
        <v>8056690</v>
      </c>
      <c r="D103" s="1474">
        <v>1497614</v>
      </c>
      <c r="E103" s="838">
        <v>6559076</v>
      </c>
      <c r="F103" s="837">
        <v>13680</v>
      </c>
      <c r="G103" s="1549">
        <v>11810.7</v>
      </c>
      <c r="H103" s="839">
        <v>15013.59</v>
      </c>
    </row>
    <row r="104" spans="1:8">
      <c r="A104" s="835">
        <v>2015.11</v>
      </c>
      <c r="B104" s="837">
        <v>528327</v>
      </c>
      <c r="C104" s="838">
        <v>8083814</v>
      </c>
      <c r="D104" s="1474">
        <v>1502367</v>
      </c>
      <c r="E104" s="838">
        <v>6581447</v>
      </c>
      <c r="F104" s="837">
        <v>13898</v>
      </c>
      <c r="G104" s="1549">
        <v>12307.97</v>
      </c>
      <c r="H104" s="839">
        <v>15303.76</v>
      </c>
    </row>
    <row r="105" spans="1:8">
      <c r="A105" s="835">
        <v>2015.12</v>
      </c>
      <c r="B105" s="837">
        <v>528437</v>
      </c>
      <c r="C105" s="838">
        <v>8096281</v>
      </c>
      <c r="D105" s="1474">
        <v>1513460</v>
      </c>
      <c r="E105" s="838">
        <v>6582821</v>
      </c>
      <c r="F105" s="837">
        <v>14076</v>
      </c>
      <c r="G105" s="1549">
        <v>18553.23</v>
      </c>
      <c r="H105" s="839">
        <v>23203.599999999999</v>
      </c>
    </row>
    <row r="106" spans="1:8">
      <c r="A106" s="835">
        <v>2016.01</v>
      </c>
      <c r="B106" s="837">
        <v>526292</v>
      </c>
      <c r="C106" s="838">
        <v>8062865</v>
      </c>
      <c r="D106" s="1474">
        <v>1523605</v>
      </c>
      <c r="E106" s="838">
        <v>6539260</v>
      </c>
      <c r="F106" s="837">
        <v>21281</v>
      </c>
      <c r="G106" s="1549">
        <v>12687.98</v>
      </c>
      <c r="H106" s="839">
        <v>16866.104578826071</v>
      </c>
    </row>
    <row r="107" spans="1:8">
      <c r="A107" s="835">
        <v>2016.02</v>
      </c>
      <c r="B107" s="837">
        <v>520243</v>
      </c>
      <c r="C107" s="838">
        <v>8020221</v>
      </c>
      <c r="D107" s="1474">
        <v>1501329</v>
      </c>
      <c r="E107" s="838">
        <v>6518892</v>
      </c>
      <c r="F107" s="837">
        <v>15626</v>
      </c>
      <c r="G107" s="1549">
        <v>12877.37</v>
      </c>
      <c r="H107" s="839">
        <v>16779.260381425251</v>
      </c>
    </row>
    <row r="108" spans="1:8">
      <c r="A108" s="835">
        <v>2016.03</v>
      </c>
      <c r="B108" s="837">
        <v>519275</v>
      </c>
      <c r="C108" s="838">
        <v>8059625</v>
      </c>
      <c r="D108" s="1474">
        <v>1504213</v>
      </c>
      <c r="E108" s="838">
        <v>6555412</v>
      </c>
      <c r="F108" s="837">
        <v>15382</v>
      </c>
      <c r="G108" s="1549">
        <v>13233.78</v>
      </c>
      <c r="H108" s="839">
        <v>17576.293697275501</v>
      </c>
    </row>
    <row r="109" spans="1:8">
      <c r="A109" s="835">
        <v>2016.04</v>
      </c>
      <c r="B109" s="837">
        <v>523973</v>
      </c>
      <c r="C109" s="838">
        <v>8060316</v>
      </c>
      <c r="D109" s="1474">
        <v>1501762</v>
      </c>
      <c r="E109" s="838">
        <v>6558554</v>
      </c>
      <c r="F109" s="837">
        <v>15771</v>
      </c>
      <c r="G109" s="1549">
        <v>14231.13</v>
      </c>
      <c r="H109" s="839">
        <v>17798.78130438711</v>
      </c>
    </row>
    <row r="110" spans="1:8">
      <c r="A110" s="835">
        <v>2016.05</v>
      </c>
      <c r="B110" s="837">
        <v>521582</v>
      </c>
      <c r="C110" s="838">
        <v>7999062</v>
      </c>
      <c r="D110" s="1474">
        <v>1498811</v>
      </c>
      <c r="E110" s="838">
        <v>6500251</v>
      </c>
      <c r="F110" s="837">
        <v>16550</v>
      </c>
      <c r="G110" s="1549">
        <v>14824</v>
      </c>
      <c r="H110" s="839">
        <v>18128.704128074656</v>
      </c>
    </row>
    <row r="111" spans="1:8">
      <c r="A111" s="835">
        <v>2016.06</v>
      </c>
      <c r="B111" s="837">
        <v>521266</v>
      </c>
      <c r="C111" s="838">
        <v>7961656</v>
      </c>
      <c r="D111" s="1474">
        <v>1503760</v>
      </c>
      <c r="E111" s="838">
        <v>6457896</v>
      </c>
      <c r="F111" s="837">
        <v>16771</v>
      </c>
      <c r="G111" s="1549">
        <v>21632.065000000002</v>
      </c>
      <c r="H111" s="839">
        <v>26326.315403341676</v>
      </c>
    </row>
    <row r="112" spans="1:8">
      <c r="A112" s="835">
        <v>2016.07</v>
      </c>
      <c r="B112" s="837">
        <v>521009</v>
      </c>
      <c r="C112" s="838">
        <v>7952223</v>
      </c>
      <c r="D112" s="1474">
        <v>1513838</v>
      </c>
      <c r="E112" s="838">
        <v>6438385</v>
      </c>
      <c r="F112" s="837">
        <v>24378</v>
      </c>
      <c r="G112" s="1549">
        <v>15302.69</v>
      </c>
      <c r="H112" s="839">
        <v>19147.223427919453</v>
      </c>
    </row>
    <row r="113" spans="1:8">
      <c r="A113" s="835">
        <v>2016.08</v>
      </c>
      <c r="B113" s="837">
        <v>518513</v>
      </c>
      <c r="C113" s="838">
        <v>7941750</v>
      </c>
      <c r="D113" s="1474">
        <v>1501441</v>
      </c>
      <c r="E113" s="838">
        <v>6440309</v>
      </c>
      <c r="F113" s="837">
        <v>17574</v>
      </c>
      <c r="G113" s="1549">
        <v>15460.705</v>
      </c>
      <c r="H113" s="839">
        <v>19304.549892857063</v>
      </c>
    </row>
    <row r="114" spans="1:8">
      <c r="A114" s="835">
        <v>2016.09</v>
      </c>
      <c r="B114" s="837">
        <v>521579</v>
      </c>
      <c r="C114" s="838">
        <v>7968686</v>
      </c>
      <c r="D114" s="1474">
        <v>1505741</v>
      </c>
      <c r="E114" s="838">
        <v>6462945</v>
      </c>
      <c r="F114" s="837">
        <v>17956</v>
      </c>
      <c r="G114" s="1549">
        <v>15483.91</v>
      </c>
      <c r="H114" s="839">
        <v>19538.657823303867</v>
      </c>
    </row>
    <row r="115" spans="1:8">
      <c r="A115" s="835">
        <v>2016.1</v>
      </c>
      <c r="B115" s="837">
        <v>521889</v>
      </c>
      <c r="C115" s="838">
        <v>7978155</v>
      </c>
      <c r="D115" s="1474">
        <v>1507223</v>
      </c>
      <c r="E115" s="838">
        <v>6470932</v>
      </c>
      <c r="F115" s="837">
        <v>18023</v>
      </c>
      <c r="G115" s="1549">
        <v>16239.88</v>
      </c>
      <c r="H115" s="839">
        <v>20209.047218003449</v>
      </c>
    </row>
    <row r="116" spans="1:8">
      <c r="A116" s="835">
        <v>2016.11</v>
      </c>
      <c r="B116" s="837">
        <v>524177</v>
      </c>
      <c r="C116" s="838">
        <v>8008951</v>
      </c>
      <c r="D116" s="1474">
        <v>1509563</v>
      </c>
      <c r="E116" s="838">
        <v>6499388</v>
      </c>
      <c r="F116" s="837">
        <v>18874</v>
      </c>
      <c r="G116" s="1549">
        <v>16565.86</v>
      </c>
      <c r="H116" s="839">
        <v>20679.63633158831</v>
      </c>
    </row>
    <row r="117" spans="1:8">
      <c r="A117" s="835">
        <v>2016.12</v>
      </c>
      <c r="B117" s="837">
        <v>527570</v>
      </c>
      <c r="C117" s="838">
        <v>8038195</v>
      </c>
      <c r="D117" s="1474">
        <v>1515013</v>
      </c>
      <c r="E117" s="838">
        <v>6523182</v>
      </c>
      <c r="F117" s="837">
        <v>19281</v>
      </c>
      <c r="G117" s="1549">
        <v>24811.37</v>
      </c>
      <c r="H117" s="839">
        <v>31181.920881228358</v>
      </c>
    </row>
    <row r="118" spans="1:8">
      <c r="A118" s="835">
        <v>2017.01</v>
      </c>
      <c r="B118" s="837">
        <v>526917</v>
      </c>
      <c r="C118" s="838">
        <v>8044543</v>
      </c>
      <c r="D118" s="1474">
        <v>1525193</v>
      </c>
      <c r="E118" s="838">
        <v>6519350</v>
      </c>
      <c r="F118" s="837">
        <v>29054</v>
      </c>
      <c r="G118" s="1549">
        <v>17632</v>
      </c>
      <c r="H118" s="839">
        <v>23149.704032809957</v>
      </c>
    </row>
    <row r="119" spans="1:8">
      <c r="A119" s="835">
        <v>2017.02</v>
      </c>
      <c r="B119" s="837">
        <v>521996</v>
      </c>
      <c r="C119" s="838">
        <v>8016517</v>
      </c>
      <c r="D119" s="1474">
        <v>1506986</v>
      </c>
      <c r="E119" s="838">
        <v>6509531</v>
      </c>
      <c r="F119" s="837">
        <v>21446</v>
      </c>
      <c r="G119" s="1549">
        <v>17391.310000000001</v>
      </c>
      <c r="H119" s="839">
        <v>22287.30297369328</v>
      </c>
    </row>
    <row r="120" spans="1:8">
      <c r="A120" s="835">
        <v>2017.03</v>
      </c>
      <c r="B120" s="837">
        <v>522471</v>
      </c>
      <c r="C120" s="838">
        <v>8032026</v>
      </c>
      <c r="D120" s="1474">
        <v>1502135</v>
      </c>
      <c r="E120" s="838">
        <v>6529891</v>
      </c>
      <c r="F120" s="837">
        <v>20552</v>
      </c>
      <c r="G120" s="1549">
        <v>17628.12</v>
      </c>
      <c r="H120" s="839">
        <v>23420.153735300129</v>
      </c>
    </row>
    <row r="121" spans="1:8">
      <c r="A121" s="835">
        <v>2017.04</v>
      </c>
      <c r="B121" s="837">
        <v>529258</v>
      </c>
      <c r="C121" s="838">
        <v>8053417</v>
      </c>
      <c r="D121" s="1474">
        <v>1485164</v>
      </c>
      <c r="E121" s="838">
        <v>6568253</v>
      </c>
      <c r="F121" s="837">
        <v>21274</v>
      </c>
      <c r="G121" s="1549">
        <v>18425.48</v>
      </c>
      <c r="H121" s="839">
        <v>23056.485262773014</v>
      </c>
    </row>
    <row r="122" spans="1:8">
      <c r="A122" s="835">
        <v>2017.05</v>
      </c>
      <c r="B122" s="837">
        <v>525739</v>
      </c>
      <c r="C122" s="838">
        <v>8008214</v>
      </c>
      <c r="D122" s="1474">
        <v>1498249</v>
      </c>
      <c r="E122" s="838">
        <v>6509965</v>
      </c>
      <c r="F122" s="837">
        <v>21119</v>
      </c>
      <c r="G122" s="1549">
        <v>18878.45</v>
      </c>
      <c r="H122" s="839">
        <v>23275.427871501139</v>
      </c>
    </row>
    <row r="123" spans="1:8">
      <c r="A123" s="835">
        <v>2017.06</v>
      </c>
      <c r="B123" s="837">
        <v>529916</v>
      </c>
      <c r="C123" s="838">
        <v>8019103</v>
      </c>
      <c r="D123" s="1474">
        <v>1514139</v>
      </c>
      <c r="E123" s="838">
        <v>6504964</v>
      </c>
      <c r="F123" s="837">
        <v>22095</v>
      </c>
      <c r="G123" s="1549">
        <v>27812.880000000001</v>
      </c>
      <c r="H123" s="839">
        <v>34215.977544048743</v>
      </c>
    </row>
    <row r="124" spans="1:8">
      <c r="A124" s="835">
        <v>2017.07</v>
      </c>
      <c r="B124" s="837">
        <v>528172</v>
      </c>
      <c r="C124" s="838">
        <v>8019790</v>
      </c>
      <c r="D124" s="1474">
        <v>1524086</v>
      </c>
      <c r="E124" s="838">
        <v>6495704</v>
      </c>
      <c r="F124" s="837">
        <v>31855</v>
      </c>
      <c r="G124" s="1549">
        <v>20405.150000000001</v>
      </c>
      <c r="H124" s="839">
        <v>24880.928445936042</v>
      </c>
    </row>
    <row r="125" spans="1:8">
      <c r="A125" s="835">
        <v>2017.08</v>
      </c>
      <c r="B125" s="837">
        <v>526998</v>
      </c>
      <c r="C125" s="838">
        <v>8014862</v>
      </c>
      <c r="D125" s="1474">
        <v>1503381</v>
      </c>
      <c r="E125" s="838">
        <v>6511481</v>
      </c>
      <c r="F125" s="837">
        <v>22926</v>
      </c>
      <c r="G125" s="1549">
        <v>20509.599999999999</v>
      </c>
      <c r="H125" s="839">
        <v>24911.782346448832</v>
      </c>
    </row>
    <row r="126" spans="1:8">
      <c r="A126" s="835">
        <v>2017.09</v>
      </c>
      <c r="B126" s="837">
        <v>529761</v>
      </c>
      <c r="C126" s="838">
        <v>8077955</v>
      </c>
      <c r="D126" s="1474">
        <v>1553483</v>
      </c>
      <c r="E126" s="838">
        <v>6524472</v>
      </c>
      <c r="F126" s="837">
        <v>23123</v>
      </c>
      <c r="G126" s="1549">
        <v>20557.349999999999</v>
      </c>
      <c r="H126" s="839">
        <v>25118.445697676812</v>
      </c>
    </row>
    <row r="127" spans="1:8">
      <c r="A127" s="835">
        <v>2017.1</v>
      </c>
      <c r="B127" s="837">
        <v>531376</v>
      </c>
      <c r="C127" s="1467">
        <v>8053958</v>
      </c>
      <c r="D127" s="1474">
        <v>1520393</v>
      </c>
      <c r="E127" s="861">
        <v>6533565</v>
      </c>
      <c r="F127" s="837">
        <v>23121</v>
      </c>
      <c r="G127" s="1549">
        <v>20945.310000000001</v>
      </c>
      <c r="H127" s="839">
        <v>25836.755718749791</v>
      </c>
    </row>
    <row r="128" spans="1:8">
      <c r="A128" s="835">
        <v>2017.11</v>
      </c>
      <c r="B128" s="837">
        <v>535999</v>
      </c>
      <c r="C128" s="1467">
        <v>8124734</v>
      </c>
      <c r="D128" s="1474">
        <v>1550024</v>
      </c>
      <c r="E128" s="861">
        <v>6574710</v>
      </c>
      <c r="F128" s="837">
        <v>25238</v>
      </c>
      <c r="G128" s="1549">
        <v>20991.61</v>
      </c>
      <c r="H128" s="839">
        <v>26075.652536574646</v>
      </c>
    </row>
    <row r="129" spans="1:8">
      <c r="A129" s="835">
        <v>2017.12</v>
      </c>
      <c r="B129" s="837">
        <v>538633</v>
      </c>
      <c r="C129" s="1467">
        <v>8119097</v>
      </c>
      <c r="D129" s="1474">
        <v>1522750</v>
      </c>
      <c r="E129" s="861">
        <v>6596347</v>
      </c>
      <c r="F129" s="837">
        <v>24302</v>
      </c>
      <c r="G129" s="1549">
        <v>31028.67</v>
      </c>
      <c r="H129" s="839">
        <v>38563.677218769437</v>
      </c>
    </row>
    <row r="130" spans="1:8">
      <c r="A130" s="835">
        <v>2018.01</v>
      </c>
      <c r="B130" s="837">
        <v>537811</v>
      </c>
      <c r="C130" s="1467">
        <v>8138343</v>
      </c>
      <c r="D130" s="1474">
        <v>1535877</v>
      </c>
      <c r="E130" s="861">
        <v>6602466</v>
      </c>
      <c r="F130" s="837">
        <v>38954</v>
      </c>
      <c r="G130" s="1549">
        <v>21865</v>
      </c>
      <c r="H130" s="839">
        <v>28795.139188535133</v>
      </c>
    </row>
    <row r="131" spans="1:8">
      <c r="A131" s="835">
        <v>2018.02</v>
      </c>
      <c r="B131" s="837">
        <v>531686</v>
      </c>
      <c r="C131" s="1467">
        <v>8085362</v>
      </c>
      <c r="D131" s="1474">
        <v>1499371</v>
      </c>
      <c r="E131" s="861">
        <v>6585991</v>
      </c>
      <c r="F131" s="837">
        <v>28928</v>
      </c>
      <c r="G131" s="1549">
        <v>21737.86</v>
      </c>
      <c r="H131" s="839">
        <v>27724.878411126843</v>
      </c>
    </row>
    <row r="132" spans="1:8">
      <c r="A132" s="835">
        <v>2018.03</v>
      </c>
      <c r="B132" s="837">
        <v>530285</v>
      </c>
      <c r="C132" s="1467">
        <v>8119564</v>
      </c>
      <c r="D132" s="1474">
        <v>1519638</v>
      </c>
      <c r="E132" s="861">
        <v>6599926</v>
      </c>
      <c r="F132" s="837">
        <v>27743</v>
      </c>
      <c r="G132" s="1549">
        <v>22049.94</v>
      </c>
      <c r="H132" s="839">
        <v>29174.536250615645</v>
      </c>
    </row>
    <row r="133" spans="1:8">
      <c r="A133" s="835">
        <v>2018.04</v>
      </c>
      <c r="B133" s="837">
        <v>535133</v>
      </c>
      <c r="C133" s="1467">
        <v>8142951</v>
      </c>
      <c r="D133" s="1474">
        <v>1506520</v>
      </c>
      <c r="E133" s="861">
        <v>6636431</v>
      </c>
      <c r="F133" s="837">
        <v>29628</v>
      </c>
      <c r="G133" s="1549">
        <v>23121.05</v>
      </c>
      <c r="H133" s="839">
        <v>29146.481043466247</v>
      </c>
    </row>
    <row r="134" spans="1:8">
      <c r="A134" s="835">
        <v>2018.05</v>
      </c>
      <c r="B134" s="837">
        <v>532531</v>
      </c>
      <c r="C134" s="1467">
        <v>8098805</v>
      </c>
      <c r="D134" s="1474">
        <v>1519409</v>
      </c>
      <c r="E134" s="861">
        <v>6579396</v>
      </c>
      <c r="F134" s="837">
        <v>29213</v>
      </c>
      <c r="G134" s="1549">
        <v>23687.66</v>
      </c>
      <c r="H134" s="839">
        <v>29453.375658827765</v>
      </c>
    </row>
    <row r="135" spans="1:8">
      <c r="A135" s="835">
        <v>2018.06</v>
      </c>
      <c r="B135" s="837">
        <v>534782</v>
      </c>
      <c r="C135" s="1467">
        <v>8079305</v>
      </c>
      <c r="D135" s="1474">
        <v>1521346</v>
      </c>
      <c r="E135" s="861">
        <v>6557959</v>
      </c>
      <c r="F135" s="837">
        <v>29637</v>
      </c>
      <c r="G135" s="1549">
        <v>34649.31</v>
      </c>
      <c r="H135" s="839">
        <v>42512.181887360304</v>
      </c>
    </row>
    <row r="136" spans="1:8">
      <c r="A136" s="835">
        <v>2018.07</v>
      </c>
      <c r="B136" s="837">
        <v>531990</v>
      </c>
      <c r="C136" s="1467">
        <v>8065612</v>
      </c>
      <c r="D136" s="1474">
        <v>1537720</v>
      </c>
      <c r="E136" s="861">
        <v>6527892</v>
      </c>
      <c r="F136" s="837">
        <v>42627</v>
      </c>
      <c r="G136" s="1549">
        <v>24398.67</v>
      </c>
      <c r="H136" s="839">
        <v>30591.83637160002</v>
      </c>
    </row>
    <row r="137" spans="1:8">
      <c r="A137" s="835">
        <v>2018.08</v>
      </c>
      <c r="B137" s="837">
        <v>529414</v>
      </c>
      <c r="C137" s="1467">
        <v>8051336</v>
      </c>
      <c r="D137" s="1474">
        <v>1526569</v>
      </c>
      <c r="E137" s="861">
        <v>6524767</v>
      </c>
      <c r="F137" s="837">
        <v>30768</v>
      </c>
      <c r="G137" s="1549">
        <v>25315.59</v>
      </c>
      <c r="H137" s="839">
        <v>31293.17047671858</v>
      </c>
    </row>
    <row r="138" spans="1:8">
      <c r="A138" s="835">
        <v>2018.09</v>
      </c>
      <c r="B138" s="837">
        <v>535715</v>
      </c>
      <c r="C138" s="1467">
        <v>8066696</v>
      </c>
      <c r="D138" s="1474">
        <v>1539672</v>
      </c>
      <c r="E138" s="861">
        <v>6527024</v>
      </c>
      <c r="F138" s="837">
        <v>31597</v>
      </c>
      <c r="G138" s="1549">
        <v>25397.625</v>
      </c>
      <c r="H138" s="839">
        <v>32034.89541287356</v>
      </c>
    </row>
    <row r="139" spans="1:8">
      <c r="A139" s="835">
        <v>2018.1</v>
      </c>
      <c r="B139" s="837">
        <v>533227</v>
      </c>
      <c r="C139" s="1467">
        <v>8045403</v>
      </c>
      <c r="D139" s="1474">
        <v>1537383</v>
      </c>
      <c r="E139" s="861">
        <v>6508020</v>
      </c>
      <c r="F139" s="837">
        <v>32232</v>
      </c>
      <c r="G139" s="1549">
        <v>26980.880000000001</v>
      </c>
      <c r="H139" s="839">
        <v>33586.963734294419</v>
      </c>
    </row>
    <row r="140" spans="1:8">
      <c r="A140" s="835">
        <v>2018.11</v>
      </c>
      <c r="B140" s="837">
        <v>533819</v>
      </c>
      <c r="C140" s="1467">
        <v>8067573</v>
      </c>
      <c r="D140" s="1474">
        <v>1532113</v>
      </c>
      <c r="E140" s="861">
        <v>6535460</v>
      </c>
      <c r="F140" s="837">
        <v>33926</v>
      </c>
      <c r="G140" s="1549">
        <v>28601.71</v>
      </c>
      <c r="H140" s="839">
        <v>35225.642319905768</v>
      </c>
    </row>
    <row r="141" spans="1:8">
      <c r="A141" s="835">
        <v>2018.12</v>
      </c>
      <c r="B141" s="837">
        <v>530660</v>
      </c>
      <c r="C141" s="1467">
        <v>8038188</v>
      </c>
      <c r="D141" s="1474">
        <v>1533155</v>
      </c>
      <c r="E141" s="861">
        <v>6505033</v>
      </c>
      <c r="F141" s="837">
        <v>35374</v>
      </c>
      <c r="G141" s="1549">
        <v>41098.505000000005</v>
      </c>
      <c r="H141" s="839">
        <v>51732.16898481005</v>
      </c>
    </row>
    <row r="142" spans="1:8">
      <c r="A142" s="835">
        <v>2019.01</v>
      </c>
      <c r="B142" s="837">
        <v>528602</v>
      </c>
      <c r="C142" s="1467">
        <v>8029028</v>
      </c>
      <c r="D142" s="1474">
        <v>1546855</v>
      </c>
      <c r="E142" s="861">
        <v>6482173</v>
      </c>
      <c r="F142" s="837">
        <v>52009</v>
      </c>
      <c r="G142" s="1549">
        <v>30357.74</v>
      </c>
      <c r="H142" s="839">
        <v>39454.580717995988</v>
      </c>
    </row>
    <row r="143" spans="1:8">
      <c r="A143" s="835">
        <v>2019.02</v>
      </c>
      <c r="B143" s="837">
        <v>523041</v>
      </c>
      <c r="C143" s="1467">
        <v>8006932</v>
      </c>
      <c r="D143" s="1474">
        <v>1532474</v>
      </c>
      <c r="E143" s="861">
        <v>6474458</v>
      </c>
      <c r="F143" s="837">
        <v>39755</v>
      </c>
      <c r="G143" s="1549">
        <v>29558.080000000002</v>
      </c>
      <c r="H143" s="839">
        <v>38365.91604121781</v>
      </c>
    </row>
    <row r="144" spans="1:8">
      <c r="A144" s="835">
        <v>2019.03</v>
      </c>
      <c r="B144" s="837">
        <v>524542</v>
      </c>
      <c r="C144" s="1467">
        <v>8045060</v>
      </c>
      <c r="D144" s="1474">
        <v>1535913</v>
      </c>
      <c r="E144" s="861">
        <v>6509147</v>
      </c>
      <c r="F144" s="837">
        <v>38410</v>
      </c>
      <c r="G144" s="1549">
        <v>31011.74</v>
      </c>
      <c r="H144" s="839">
        <v>41439.230975936618</v>
      </c>
    </row>
    <row r="145" spans="1:8">
      <c r="A145" s="835">
        <v>2019.04</v>
      </c>
      <c r="B145" s="837">
        <v>525026</v>
      </c>
      <c r="C145" s="1467">
        <v>8043592</v>
      </c>
      <c r="D145" s="1474">
        <v>1525607</v>
      </c>
      <c r="E145" s="861">
        <v>6517985</v>
      </c>
      <c r="F145" s="837">
        <v>41996</v>
      </c>
      <c r="G145" s="1549">
        <v>31686.864999999998</v>
      </c>
      <c r="H145" s="839">
        <v>41133.988426517397</v>
      </c>
    </row>
    <row r="146" spans="1:8">
      <c r="A146" s="835">
        <v>2019.05</v>
      </c>
      <c r="B146" s="837">
        <v>526409</v>
      </c>
      <c r="C146" s="1467">
        <v>7999746</v>
      </c>
      <c r="D146" s="1474">
        <v>1537632</v>
      </c>
      <c r="E146" s="861">
        <v>6462114</v>
      </c>
      <c r="F146" s="837">
        <v>41655</v>
      </c>
      <c r="G146" s="1549">
        <v>33383</v>
      </c>
      <c r="H146" s="839">
        <v>42462.100161395771</v>
      </c>
    </row>
    <row r="147" spans="1:8">
      <c r="A147" s="835">
        <v>2019.06</v>
      </c>
      <c r="B147" s="837">
        <v>525602</v>
      </c>
      <c r="C147" s="1467">
        <v>7948194</v>
      </c>
      <c r="D147" s="1474">
        <v>1540941</v>
      </c>
      <c r="E147" s="861">
        <v>6407253</v>
      </c>
      <c r="F147" s="837">
        <v>42806</v>
      </c>
      <c r="G147" s="1549">
        <v>48913.31</v>
      </c>
      <c r="H147" s="839">
        <v>61343.269379963247</v>
      </c>
    </row>
    <row r="148" spans="1:8">
      <c r="A148" s="835">
        <v>2019.07</v>
      </c>
      <c r="B148" s="837">
        <v>525124</v>
      </c>
      <c r="C148" s="1467">
        <v>7953439</v>
      </c>
      <c r="D148" s="1474">
        <v>1561403</v>
      </c>
      <c r="E148" s="861">
        <v>6392036</v>
      </c>
      <c r="F148" s="837">
        <v>61332</v>
      </c>
      <c r="G148" s="1549">
        <v>35454.11</v>
      </c>
      <c r="H148" s="839">
        <v>45090.724995546414</v>
      </c>
    </row>
    <row r="149" spans="1:8">
      <c r="A149" s="835">
        <v>2019.08</v>
      </c>
      <c r="B149" s="837">
        <v>522340</v>
      </c>
      <c r="C149" s="1467">
        <v>7965268</v>
      </c>
      <c r="D149" s="1474">
        <v>1552959</v>
      </c>
      <c r="E149" s="861">
        <v>6412309</v>
      </c>
      <c r="F149" s="837">
        <v>45144</v>
      </c>
      <c r="G149" s="1549">
        <v>36145</v>
      </c>
      <c r="H149" s="839">
        <v>46149.952702700044</v>
      </c>
    </row>
    <row r="150" spans="1:8">
      <c r="A150" s="835">
        <v>2019.09</v>
      </c>
      <c r="B150" s="837">
        <v>524496</v>
      </c>
      <c r="C150" s="1467">
        <v>7989712</v>
      </c>
      <c r="D150" s="1474">
        <v>1585378</v>
      </c>
      <c r="E150" s="861">
        <v>6404334</v>
      </c>
      <c r="F150" s="837">
        <v>46429</v>
      </c>
      <c r="G150" s="1549">
        <v>37476.239999999998</v>
      </c>
      <c r="H150" s="839">
        <v>47494.739545752767</v>
      </c>
    </row>
    <row r="151" spans="1:8">
      <c r="A151" s="835">
        <v>2019.1</v>
      </c>
      <c r="B151" s="837">
        <v>522352</v>
      </c>
      <c r="C151" s="1467">
        <v>7923214</v>
      </c>
      <c r="D151" s="1474">
        <v>1549000</v>
      </c>
      <c r="E151" s="861">
        <v>6374214</v>
      </c>
      <c r="F151" s="837">
        <v>47823</v>
      </c>
      <c r="G151" s="1549">
        <v>39623.51</v>
      </c>
      <c r="H151" s="839">
        <v>51085.492164387331</v>
      </c>
    </row>
    <row r="152" spans="1:8">
      <c r="A152" s="835">
        <v>2019.11</v>
      </c>
      <c r="B152" s="837">
        <v>521643</v>
      </c>
      <c r="C152" s="1467">
        <v>7982396</v>
      </c>
      <c r="D152" s="1474">
        <v>1597656</v>
      </c>
      <c r="E152" s="861">
        <v>6384740</v>
      </c>
      <c r="F152" s="837">
        <v>51899</v>
      </c>
      <c r="G152" s="1549">
        <v>39828.43</v>
      </c>
      <c r="H152" s="839">
        <v>51307.775886545911</v>
      </c>
    </row>
    <row r="153" spans="1:8">
      <c r="A153" s="835">
        <v>2019.12</v>
      </c>
      <c r="B153" s="837">
        <v>520613</v>
      </c>
      <c r="C153" s="1467">
        <v>7927546</v>
      </c>
      <c r="D153" s="1474">
        <v>1554170</v>
      </c>
      <c r="E153" s="861">
        <v>6373376</v>
      </c>
      <c r="F153" s="837">
        <v>51971</v>
      </c>
      <c r="G153" s="1549">
        <v>59149.26</v>
      </c>
      <c r="H153" s="839">
        <v>76103.151364060992</v>
      </c>
    </row>
    <row r="154" spans="1:8">
      <c r="A154" s="835">
        <v>2020.01</v>
      </c>
      <c r="B154" s="837">
        <v>515685</v>
      </c>
      <c r="C154" s="1467">
        <v>7880084</v>
      </c>
      <c r="D154" s="1474">
        <v>1567693</v>
      </c>
      <c r="E154" s="861">
        <v>6312391</v>
      </c>
      <c r="F154" s="837">
        <v>78635.822362932915</v>
      </c>
      <c r="G154" s="1549">
        <v>44309.724999999999</v>
      </c>
      <c r="H154" s="839">
        <v>59174.55358271618</v>
      </c>
    </row>
    <row r="155" spans="1:8">
      <c r="A155" s="835">
        <v>2020.02</v>
      </c>
      <c r="B155" s="837">
        <v>510915</v>
      </c>
      <c r="C155" s="1467">
        <v>7868105</v>
      </c>
      <c r="D155" s="1474">
        <v>1546505</v>
      </c>
      <c r="E155" s="861">
        <v>6321600</v>
      </c>
      <c r="F155" s="837">
        <v>60326.814144980279</v>
      </c>
      <c r="G155" s="1549">
        <v>45298.01</v>
      </c>
      <c r="H155" s="839">
        <v>59859.772662604308</v>
      </c>
    </row>
    <row r="156" spans="1:8">
      <c r="A156" s="835">
        <v>2020.03</v>
      </c>
      <c r="B156" s="837">
        <v>507872</v>
      </c>
      <c r="C156" s="1467">
        <v>7880585</v>
      </c>
      <c r="D156" s="1474">
        <v>1542678</v>
      </c>
      <c r="E156" s="861">
        <v>6337907</v>
      </c>
      <c r="F156" s="837">
        <v>60696.064566248577</v>
      </c>
      <c r="G156" s="1549">
        <v>46338.19</v>
      </c>
      <c r="H156" s="839">
        <v>61896.580723787476</v>
      </c>
    </row>
    <row r="157" spans="1:8">
      <c r="A157" s="835">
        <v>2020.04</v>
      </c>
      <c r="B157" s="837">
        <v>506162</v>
      </c>
      <c r="C157" s="1467">
        <v>7789348</v>
      </c>
      <c r="D157" s="1474">
        <v>1542287</v>
      </c>
      <c r="E157" s="861">
        <v>6247061</v>
      </c>
      <c r="F157" s="837">
        <v>62410.916552662668</v>
      </c>
      <c r="G157" s="1549">
        <v>44895.56</v>
      </c>
      <c r="H157" s="839">
        <v>57845.259066480656</v>
      </c>
    </row>
    <row r="158" spans="1:8">
      <c r="A158" s="835">
        <v>2020.05</v>
      </c>
      <c r="B158" s="837">
        <v>496798</v>
      </c>
      <c r="C158" s="1467">
        <v>7595704</v>
      </c>
      <c r="D158" s="1474">
        <v>1543787</v>
      </c>
      <c r="E158" s="861">
        <v>6051917</v>
      </c>
      <c r="F158" s="837">
        <v>58829.591333070646</v>
      </c>
      <c r="G158" s="1549">
        <v>45638.425000000003</v>
      </c>
      <c r="H158" s="839">
        <v>57342.538342523316</v>
      </c>
    </row>
    <row r="159" spans="1:8">
      <c r="A159" s="835">
        <v>2020.06</v>
      </c>
      <c r="B159" s="837">
        <v>495906</v>
      </c>
      <c r="C159" s="1467">
        <v>7620868</v>
      </c>
      <c r="D159" s="1474">
        <v>1540941</v>
      </c>
      <c r="E159" s="861">
        <v>6407253</v>
      </c>
      <c r="F159" s="837">
        <v>59224.673790847708</v>
      </c>
      <c r="G159" s="1549">
        <v>68707.235000000001</v>
      </c>
      <c r="H159" s="839">
        <v>85458.223721310918</v>
      </c>
    </row>
    <row r="160" spans="1:8">
      <c r="A160" s="835">
        <v>2020.07</v>
      </c>
      <c r="B160" s="837">
        <v>494799</v>
      </c>
      <c r="C160" s="1467">
        <v>7629109</v>
      </c>
      <c r="D160" s="1474">
        <v>1561403</v>
      </c>
      <c r="E160" s="861">
        <v>6392036</v>
      </c>
      <c r="F160" s="837">
        <v>86129.565525389655</v>
      </c>
      <c r="G160" s="1549">
        <v>47636.79</v>
      </c>
      <c r="H160" s="839">
        <v>60868.416224538123</v>
      </c>
    </row>
    <row r="161" spans="1:8">
      <c r="A161" s="835">
        <v>2020.08</v>
      </c>
      <c r="B161" s="837">
        <v>496882</v>
      </c>
      <c r="C161" s="1467">
        <v>7638943</v>
      </c>
      <c r="D161" s="1474">
        <v>1552959</v>
      </c>
      <c r="E161" s="861">
        <v>6412309</v>
      </c>
      <c r="F161" s="837">
        <v>63156.312810785523</v>
      </c>
      <c r="G161" s="1549">
        <v>48338.92</v>
      </c>
      <c r="H161" s="839">
        <v>61913.348028283697</v>
      </c>
    </row>
    <row r="162" spans="1:8">
      <c r="A162" s="835">
        <v>2020.09</v>
      </c>
      <c r="B162" s="837">
        <v>498455</v>
      </c>
      <c r="C162" s="1467">
        <v>7638445</v>
      </c>
      <c r="D162" s="1474">
        <v>1585378</v>
      </c>
      <c r="E162" s="861">
        <v>6404334</v>
      </c>
      <c r="F162" s="837">
        <v>63871.927120243738</v>
      </c>
      <c r="G162" s="1549">
        <v>49478.014999999999</v>
      </c>
      <c r="H162" s="839">
        <v>64161.745935572093</v>
      </c>
    </row>
    <row r="163" spans="1:8">
      <c r="A163" s="835">
        <v>2020.1</v>
      </c>
      <c r="B163" s="837">
        <v>500284</v>
      </c>
      <c r="C163" s="1467">
        <v>7665944</v>
      </c>
      <c r="D163" s="1474">
        <v>1549000</v>
      </c>
      <c r="E163" s="861">
        <v>6374214</v>
      </c>
      <c r="F163" s="837">
        <v>65918.311863715688</v>
      </c>
      <c r="G163" s="1549">
        <v>53377.2</v>
      </c>
      <c r="H163" s="839">
        <v>68108.729498612331</v>
      </c>
    </row>
    <row r="164" spans="1:8">
      <c r="A164" s="835">
        <v>2020.11</v>
      </c>
      <c r="B164" s="837">
        <v>503229</v>
      </c>
      <c r="C164" s="1467">
        <v>7686034</v>
      </c>
      <c r="D164" s="1474">
        <v>1597656</v>
      </c>
      <c r="E164" s="861">
        <v>6374214</v>
      </c>
      <c r="F164" s="837">
        <v>69682.603539981763</v>
      </c>
      <c r="G164" s="1549">
        <v>53874.06</v>
      </c>
      <c r="H164" s="839">
        <v>69308.323222926905</v>
      </c>
    </row>
    <row r="165" spans="1:8">
      <c r="A165" s="835">
        <v>2020.12</v>
      </c>
      <c r="B165" s="837">
        <v>504886</v>
      </c>
      <c r="C165" s="1467">
        <v>7692165</v>
      </c>
      <c r="D165" s="1474">
        <v>1554170</v>
      </c>
      <c r="E165" s="861">
        <v>6373376</v>
      </c>
      <c r="F165" s="837">
        <v>71268.080619621382</v>
      </c>
      <c r="G165" s="1549">
        <v>80166.67</v>
      </c>
      <c r="H165" s="839">
        <v>103375.19709824334</v>
      </c>
    </row>
    <row r="166" spans="1:8">
      <c r="A166" s="835">
        <f>A154+1</f>
        <v>2021.01</v>
      </c>
      <c r="B166" s="837">
        <v>506328</v>
      </c>
      <c r="C166" s="1467">
        <v>7725522</v>
      </c>
      <c r="D166" s="1474">
        <v>1567693</v>
      </c>
      <c r="E166" s="861">
        <v>6157829</v>
      </c>
      <c r="F166" s="837">
        <v>105495.01330370871</v>
      </c>
      <c r="G166" s="1549">
        <v>57813.05</v>
      </c>
      <c r="H166" s="839">
        <v>78852.767204403121</v>
      </c>
    </row>
    <row r="167" spans="1:8">
      <c r="A167" s="835">
        <f t="shared" ref="A167:A230" si="0">A155+1</f>
        <v>2021.02</v>
      </c>
      <c r="B167" s="837">
        <v>506005</v>
      </c>
      <c r="C167" s="1467">
        <v>7721132</v>
      </c>
      <c r="D167" s="1474">
        <v>1546505</v>
      </c>
      <c r="E167" s="861">
        <v>6174627</v>
      </c>
      <c r="F167" s="837">
        <v>80286.202081690819</v>
      </c>
      <c r="G167" s="1549">
        <v>60346.759999999995</v>
      </c>
      <c r="H167" s="839">
        <v>79789.417900367145</v>
      </c>
    </row>
    <row r="168" spans="1:8">
      <c r="A168" s="835">
        <f t="shared" si="0"/>
        <v>2021.03</v>
      </c>
      <c r="B168" s="837">
        <v>508335</v>
      </c>
      <c r="C168" s="1467">
        <v>7764404</v>
      </c>
      <c r="D168" s="1474">
        <v>1542678</v>
      </c>
      <c r="E168" s="861">
        <v>6221726</v>
      </c>
      <c r="F168" s="837">
        <v>80497.02250985759</v>
      </c>
      <c r="G168" s="1549">
        <v>62883.425000000003</v>
      </c>
      <c r="H168" s="839">
        <v>85611.507050311091</v>
      </c>
    </row>
    <row r="169" spans="1:8">
      <c r="A169" s="835">
        <f t="shared" si="0"/>
        <v>2021.04</v>
      </c>
      <c r="B169" s="837">
        <v>514369</v>
      </c>
      <c r="C169" s="1467">
        <v>7809980</v>
      </c>
      <c r="D169" s="1474">
        <v>1542287</v>
      </c>
      <c r="E169" s="861">
        <v>6267693</v>
      </c>
      <c r="F169" s="837">
        <v>86291.290750558517</v>
      </c>
      <c r="G169" s="1549">
        <v>65156.480000000003</v>
      </c>
      <c r="H169" s="839">
        <v>86145.089498562607</v>
      </c>
    </row>
    <row r="170" spans="1:8">
      <c r="A170" s="835">
        <f t="shared" si="0"/>
        <v>2021.05</v>
      </c>
      <c r="B170" s="837">
        <v>517342</v>
      </c>
      <c r="C170" s="1467">
        <v>7768747</v>
      </c>
      <c r="D170" s="1474">
        <v>1543787</v>
      </c>
      <c r="E170" s="861">
        <v>6224960</v>
      </c>
      <c r="F170" s="837">
        <v>86995.274869947039</v>
      </c>
      <c r="G170" s="1549">
        <v>68128.2</v>
      </c>
      <c r="H170" s="839">
        <v>86697.121972828478</v>
      </c>
    </row>
    <row r="171" spans="1:8">
      <c r="A171" s="835">
        <f t="shared" si="0"/>
        <v>2021.06</v>
      </c>
      <c r="B171" s="837">
        <v>515650</v>
      </c>
      <c r="C171" s="1467">
        <v>7728936</v>
      </c>
      <c r="D171" s="1474">
        <v>1548137</v>
      </c>
      <c r="E171" s="861">
        <v>6180799</v>
      </c>
      <c r="F171" s="837">
        <v>87072.012061446716</v>
      </c>
      <c r="G171" s="1549">
        <v>99971.26</v>
      </c>
      <c r="H171" s="839">
        <v>127132.85117371191</v>
      </c>
    </row>
    <row r="172" spans="1:8">
      <c r="A172" s="835">
        <f t="shared" si="0"/>
        <v>2021.07</v>
      </c>
      <c r="B172" s="837">
        <v>513903</v>
      </c>
      <c r="C172" s="1467">
        <v>7775462</v>
      </c>
      <c r="D172" s="1474">
        <v>1560653</v>
      </c>
      <c r="E172" s="861">
        <v>6214809</v>
      </c>
      <c r="F172" s="837">
        <v>129327.10714448321</v>
      </c>
      <c r="G172" s="1549">
        <v>72268</v>
      </c>
      <c r="H172" s="839">
        <v>94460.722216312293</v>
      </c>
    </row>
    <row r="173" spans="1:8">
      <c r="A173" s="835">
        <f t="shared" si="0"/>
        <v>2021.08</v>
      </c>
      <c r="B173" s="837">
        <v>514325</v>
      </c>
      <c r="C173" s="1467">
        <v>7778081</v>
      </c>
      <c r="D173" s="1474">
        <v>1554317</v>
      </c>
      <c r="E173" s="861">
        <v>6223764</v>
      </c>
      <c r="F173" s="837">
        <v>95224.141024898563</v>
      </c>
      <c r="G173" s="1549">
        <v>75189.100000000006</v>
      </c>
      <c r="H173" s="839">
        <v>96663.931774012322</v>
      </c>
    </row>
    <row r="174" spans="1:8">
      <c r="A174" s="835">
        <f t="shared" si="0"/>
        <v>2021.09</v>
      </c>
      <c r="B174" s="837">
        <v>517907</v>
      </c>
      <c r="C174" s="1467">
        <v>7792328</v>
      </c>
      <c r="D174" s="1474">
        <v>1537446</v>
      </c>
      <c r="E174" s="861">
        <v>6254882</v>
      </c>
      <c r="F174" s="837">
        <v>97456.260269070117</v>
      </c>
      <c r="G174" s="1549">
        <v>77319.7</v>
      </c>
      <c r="H174" s="839">
        <v>99916.201908129296</v>
      </c>
    </row>
    <row r="175" spans="1:8">
      <c r="A175" s="835">
        <f t="shared" si="0"/>
        <v>2021.1</v>
      </c>
      <c r="B175" s="837">
        <v>520489</v>
      </c>
      <c r="C175" s="1467">
        <v>7825162</v>
      </c>
      <c r="D175" s="1474">
        <v>1547885</v>
      </c>
      <c r="E175" s="861">
        <v>6277277</v>
      </c>
      <c r="F175" s="837">
        <v>101705.8115744469</v>
      </c>
      <c r="G175" s="1549">
        <v>79281.929999999993</v>
      </c>
      <c r="H175" s="839">
        <v>104455.59429117682</v>
      </c>
    </row>
    <row r="176" spans="1:8">
      <c r="A176" s="835">
        <f t="shared" si="0"/>
        <v>2021.11</v>
      </c>
      <c r="B176" s="837">
        <v>523515</v>
      </c>
      <c r="C176" s="1467">
        <v>7851887</v>
      </c>
      <c r="D176" s="1474">
        <v>1546162</v>
      </c>
      <c r="E176" s="861">
        <v>6305725</v>
      </c>
      <c r="F176" s="837">
        <v>106080.4612482673</v>
      </c>
      <c r="G176" s="1549">
        <v>83262.31</v>
      </c>
      <c r="H176" s="839">
        <v>108278.84745911909</v>
      </c>
    </row>
    <row r="177" spans="1:8">
      <c r="A177" s="835">
        <f t="shared" si="0"/>
        <v>2021.12</v>
      </c>
      <c r="B177" s="837">
        <v>528289</v>
      </c>
      <c r="C177" s="1467">
        <v>7892244</v>
      </c>
      <c r="D177" s="1474">
        <v>1535636</v>
      </c>
      <c r="E177" s="861">
        <v>6356608</v>
      </c>
      <c r="F177" s="837">
        <v>109469.67006863659</v>
      </c>
      <c r="G177" s="1549">
        <v>121726.16</v>
      </c>
      <c r="H177" s="839">
        <v>160794.05004048796</v>
      </c>
    </row>
    <row r="178" spans="1:8">
      <c r="A178" s="835">
        <f t="shared" si="0"/>
        <v>2022.01</v>
      </c>
      <c r="B178" s="837">
        <v>529257</v>
      </c>
      <c r="C178" s="1467">
        <v>7910785</v>
      </c>
      <c r="D178" s="1474">
        <v>1535862</v>
      </c>
      <c r="E178" s="861">
        <v>6374923</v>
      </c>
      <c r="F178" s="837">
        <v>161147.42462373429</v>
      </c>
      <c r="G178" s="2745">
        <v>89498.69</v>
      </c>
      <c r="H178" s="2746">
        <v>122700.73199273103</v>
      </c>
    </row>
    <row r="179" spans="1:8">
      <c r="A179" s="835">
        <f t="shared" si="0"/>
        <v>2022.02</v>
      </c>
      <c r="B179" s="837">
        <v>525057</v>
      </c>
      <c r="C179" s="1467">
        <v>7918796</v>
      </c>
      <c r="D179" s="1474">
        <v>1503282</v>
      </c>
      <c r="E179" s="861">
        <v>6415514</v>
      </c>
      <c r="F179" s="837">
        <v>123205.20163532963</v>
      </c>
      <c r="G179" s="2745">
        <v>91635.010000000009</v>
      </c>
      <c r="H179" s="2746">
        <v>123340.77111761941</v>
      </c>
    </row>
    <row r="180" spans="1:8">
      <c r="A180" s="835">
        <f t="shared" si="0"/>
        <v>2022.03</v>
      </c>
      <c r="B180" s="837">
        <v>524808</v>
      </c>
      <c r="C180" s="1467">
        <v>7969997</v>
      </c>
      <c r="D180" s="1474">
        <v>1516865</v>
      </c>
      <c r="E180" s="861">
        <v>6453132</v>
      </c>
      <c r="F180" s="837">
        <v>123532.01858344914</v>
      </c>
      <c r="G180" s="1549">
        <v>98681.94</v>
      </c>
      <c r="H180" s="839">
        <v>136935.1480921834</v>
      </c>
    </row>
    <row r="181" spans="1:8">
      <c r="A181" s="835">
        <f t="shared" si="0"/>
        <v>2022.04</v>
      </c>
      <c r="B181" s="837">
        <v>533087</v>
      </c>
      <c r="C181" s="1467">
        <v>8024604</v>
      </c>
      <c r="D181" s="1474">
        <v>1512186</v>
      </c>
      <c r="E181" s="861">
        <v>6512418</v>
      </c>
      <c r="F181" s="837">
        <v>137621.10007023203</v>
      </c>
      <c r="G181" s="1549">
        <v>103832.32000000001</v>
      </c>
      <c r="H181" s="839">
        <v>138254.29995655469</v>
      </c>
    </row>
    <row r="182" spans="1:8">
      <c r="A182" s="835">
        <f t="shared" si="0"/>
        <v>2022.05</v>
      </c>
      <c r="B182" s="837">
        <v>535538</v>
      </c>
      <c r="C182" s="1467">
        <v>7975011</v>
      </c>
      <c r="D182" s="1474">
        <v>1490599</v>
      </c>
      <c r="E182" s="861">
        <v>6484412</v>
      </c>
      <c r="F182" s="837">
        <v>138128.71408706755</v>
      </c>
      <c r="G182" s="1549">
        <v>111655.37</v>
      </c>
      <c r="H182" s="839">
        <v>144485.41890339175</v>
      </c>
    </row>
    <row r="183" spans="1:8">
      <c r="A183" s="835">
        <f t="shared" si="0"/>
        <v>2022.06</v>
      </c>
      <c r="B183" s="837">
        <v>535541</v>
      </c>
      <c r="C183" s="1467">
        <v>7997696</v>
      </c>
      <c r="D183" s="1474">
        <v>1514479</v>
      </c>
      <c r="E183" s="861">
        <v>6483217</v>
      </c>
      <c r="F183" s="837">
        <v>144591.16855404808</v>
      </c>
      <c r="G183" s="1549">
        <v>165158.01</v>
      </c>
      <c r="H183" s="839">
        <v>211726.8424179501</v>
      </c>
    </row>
    <row r="184" spans="1:8">
      <c r="A184" s="835">
        <f t="shared" si="0"/>
        <v>2022.07</v>
      </c>
      <c r="B184" s="837">
        <v>536869</v>
      </c>
      <c r="C184" s="1467">
        <v>8034410</v>
      </c>
      <c r="D184" s="1474">
        <v>1529095</v>
      </c>
      <c r="E184" s="861">
        <v>6505315</v>
      </c>
      <c r="F184" s="837">
        <v>211285.05205859212</v>
      </c>
      <c r="G184" s="1549">
        <v>119847.76000000001</v>
      </c>
      <c r="H184" s="839">
        <v>157052.74764504106</v>
      </c>
    </row>
    <row r="185" spans="1:8">
      <c r="A185" s="835">
        <f t="shared" si="0"/>
        <v>2022.08</v>
      </c>
      <c r="B185" s="837">
        <v>538922</v>
      </c>
      <c r="C185" s="1467">
        <v>8086623</v>
      </c>
      <c r="D185" s="1474">
        <v>1541701</v>
      </c>
      <c r="E185" s="861">
        <v>6544922</v>
      </c>
      <c r="F185" s="837">
        <v>157859.87534751062</v>
      </c>
      <c r="G185" s="1549">
        <v>132656.82999999999</v>
      </c>
      <c r="H185" s="839">
        <v>167585.69576273681</v>
      </c>
    </row>
    <row r="186" spans="1:8">
      <c r="A186" s="835">
        <f t="shared" si="0"/>
        <v>2022.09</v>
      </c>
      <c r="B186" s="837">
        <v>539763</v>
      </c>
      <c r="C186" s="1467">
        <v>8114788</v>
      </c>
      <c r="D186" s="1474">
        <v>1546327</v>
      </c>
      <c r="E186" s="861">
        <v>6568461</v>
      </c>
      <c r="F186" s="837">
        <v>167914.68608101804</v>
      </c>
      <c r="G186" s="1549">
        <v>141428.1</v>
      </c>
      <c r="H186" s="839">
        <v>179438.98010555984</v>
      </c>
    </row>
    <row r="187" spans="1:8">
      <c r="A187" s="835">
        <f t="shared" si="0"/>
        <v>2022.1</v>
      </c>
      <c r="B187" s="837">
        <v>542253</v>
      </c>
      <c r="C187" s="1467">
        <v>8137438</v>
      </c>
      <c r="D187" s="1474">
        <v>1544572</v>
      </c>
      <c r="E187" s="861">
        <v>6592866</v>
      </c>
      <c r="F187" s="837">
        <v>180191.3212161327</v>
      </c>
      <c r="G187" s="1549">
        <v>144779.58000000002</v>
      </c>
      <c r="H187" s="839">
        <v>189111.68705435234</v>
      </c>
    </row>
    <row r="188" spans="1:8">
      <c r="A188" s="835">
        <f t="shared" si="0"/>
        <v>2022.11</v>
      </c>
      <c r="B188" s="837">
        <v>545711</v>
      </c>
      <c r="C188" s="1467">
        <v>8165974</v>
      </c>
      <c r="D188" s="1474">
        <v>1542628</v>
      </c>
      <c r="E188" s="861">
        <v>6623346</v>
      </c>
      <c r="F188" s="837">
        <v>188615.68152358948</v>
      </c>
      <c r="G188" s="1549">
        <v>155238.01999999999</v>
      </c>
      <c r="H188" s="839">
        <v>203119.44492676225</v>
      </c>
    </row>
    <row r="189" spans="1:8">
      <c r="A189" s="835">
        <f t="shared" si="0"/>
        <v>2022.12</v>
      </c>
      <c r="B189" s="837">
        <v>548503</v>
      </c>
      <c r="C189" s="1467">
        <v>8203206</v>
      </c>
      <c r="D189" s="1474">
        <v>1548004</v>
      </c>
      <c r="E189" s="861">
        <v>6655202</v>
      </c>
      <c r="F189" s="837">
        <v>203233.15801631863</v>
      </c>
      <c r="G189" s="1549">
        <v>245866.42</v>
      </c>
      <c r="H189" s="839">
        <v>317848.34373875044</v>
      </c>
    </row>
    <row r="190" spans="1:8">
      <c r="A190" s="835">
        <f t="shared" si="0"/>
        <v>2023.01</v>
      </c>
      <c r="B190" s="837">
        <v>546552</v>
      </c>
      <c r="C190" s="1467">
        <v>8226555</v>
      </c>
      <c r="D190" s="1474">
        <v>1563700</v>
      </c>
      <c r="E190" s="861">
        <v>6662855</v>
      </c>
      <c r="F190" s="837">
        <v>318402.84730378492</v>
      </c>
      <c r="G190" s="3387">
        <v>171146.7</v>
      </c>
      <c r="H190" s="3388">
        <v>241391.31</v>
      </c>
    </row>
    <row r="191" spans="1:8">
      <c r="A191" s="835">
        <f t="shared" si="0"/>
        <v>2023.02</v>
      </c>
      <c r="B191" s="837">
        <v>542896</v>
      </c>
      <c r="C191" s="1467">
        <v>8248603</v>
      </c>
      <c r="D191" s="1474">
        <v>1554555</v>
      </c>
      <c r="E191" s="861">
        <v>6694048</v>
      </c>
      <c r="F191" s="837">
        <v>242218.10135608504</v>
      </c>
      <c r="G191" s="3387">
        <v>180646.23499999999</v>
      </c>
      <c r="H191" s="3388">
        <v>249250.25</v>
      </c>
    </row>
    <row r="192" spans="1:8">
      <c r="A192" s="835">
        <f t="shared" si="0"/>
        <v>2023.03</v>
      </c>
      <c r="B192" s="837">
        <v>542849</v>
      </c>
      <c r="C192" s="1467">
        <v>8294988</v>
      </c>
      <c r="D192" s="1474">
        <v>1558661</v>
      </c>
      <c r="E192" s="861">
        <v>6736327</v>
      </c>
      <c r="F192" s="837">
        <v>248908.97159810984</v>
      </c>
      <c r="G192" s="3387">
        <v>198202.34</v>
      </c>
      <c r="H192" s="3388">
        <v>276337.53000000003</v>
      </c>
    </row>
    <row r="193" spans="1:8">
      <c r="A193" s="835">
        <f t="shared" si="0"/>
        <v>2023.04</v>
      </c>
      <c r="B193" s="837">
        <v>550260</v>
      </c>
      <c r="C193" s="1467">
        <v>8345377</v>
      </c>
      <c r="D193" s="1474">
        <v>1560046</v>
      </c>
      <c r="E193" s="861">
        <v>6785331</v>
      </c>
      <c r="F193" s="837">
        <v>278559.6136942397</v>
      </c>
      <c r="G193" s="3387">
        <v>218966.54</v>
      </c>
      <c r="H193" s="3388">
        <v>287734.36</v>
      </c>
    </row>
    <row r="194" spans="1:8">
      <c r="A194" s="835">
        <f t="shared" si="0"/>
        <v>2023.05</v>
      </c>
      <c r="B194" s="837">
        <v>551863</v>
      </c>
      <c r="C194" s="1467">
        <v>8301816</v>
      </c>
      <c r="D194" s="1474">
        <v>1562778</v>
      </c>
      <c r="E194" s="861">
        <v>6739038</v>
      </c>
      <c r="F194" s="837">
        <v>287911.92302235577</v>
      </c>
      <c r="G194" s="3387">
        <v>238184.68</v>
      </c>
      <c r="H194" s="3388">
        <v>303139.99</v>
      </c>
    </row>
    <row r="195" spans="1:8">
      <c r="A195" s="835">
        <f t="shared" si="0"/>
        <v>2023.06</v>
      </c>
      <c r="B195" s="837">
        <v>552367</v>
      </c>
      <c r="C195" s="1467">
        <v>8323174</v>
      </c>
      <c r="D195" s="1474">
        <v>1574549</v>
      </c>
      <c r="E195" s="861">
        <v>6748625</v>
      </c>
      <c r="F195" s="837">
        <v>304434.96095905174</v>
      </c>
      <c r="G195" s="3387">
        <v>356995.2</v>
      </c>
      <c r="H195" s="3388">
        <v>458802.09</v>
      </c>
    </row>
    <row r="196" spans="1:8">
      <c r="A196" s="835">
        <f t="shared" si="0"/>
        <v>2023.07</v>
      </c>
      <c r="B196" s="837" t="e">
        <v>#N/A</v>
      </c>
      <c r="C196" s="1467" t="e">
        <v>#N/A</v>
      </c>
      <c r="D196" s="1474" t="e">
        <v>#N/A</v>
      </c>
      <c r="E196" s="861" t="e">
        <v>#N/A</v>
      </c>
      <c r="F196" s="837" t="e">
        <v>#N/A</v>
      </c>
      <c r="G196" s="3387">
        <v>270126.56</v>
      </c>
      <c r="H196" s="3388">
        <v>351954.16</v>
      </c>
    </row>
    <row r="197" spans="1:8">
      <c r="A197" s="835">
        <f t="shared" si="0"/>
        <v>2023.08</v>
      </c>
      <c r="B197" s="837" t="e">
        <v>#N/A</v>
      </c>
      <c r="C197" s="1467" t="e">
        <v>#N/A</v>
      </c>
      <c r="D197" s="1474" t="e">
        <v>#N/A</v>
      </c>
      <c r="E197" s="861" t="e">
        <v>#N/A</v>
      </c>
      <c r="F197" s="837" t="e">
        <v>#N/A</v>
      </c>
      <c r="G197" s="3387">
        <v>312368.83</v>
      </c>
      <c r="H197" s="3388">
        <v>389165.17</v>
      </c>
    </row>
    <row r="198" spans="1:8">
      <c r="A198" s="835">
        <f t="shared" si="0"/>
        <v>2023.09</v>
      </c>
      <c r="B198" s="837" t="e">
        <v>#N/A</v>
      </c>
      <c r="C198" s="1467" t="e">
        <v>#N/A</v>
      </c>
      <c r="D198" s="1474" t="e">
        <v>#N/A</v>
      </c>
      <c r="E198" s="861" t="e">
        <v>#N/A</v>
      </c>
      <c r="F198" s="837" t="e">
        <v>#N/A</v>
      </c>
      <c r="G198" s="3387">
        <v>342257.99</v>
      </c>
      <c r="H198" s="3388">
        <v>431359.39</v>
      </c>
    </row>
    <row r="199" spans="1:8">
      <c r="A199" s="835">
        <f t="shared" si="0"/>
        <v>2023.1</v>
      </c>
      <c r="B199" s="837" t="e">
        <v>#N/A</v>
      </c>
      <c r="C199" s="1467" t="e">
        <v>#N/A</v>
      </c>
      <c r="D199" s="1474" t="e">
        <v>#N/A</v>
      </c>
      <c r="E199" s="861" t="e">
        <v>#N/A</v>
      </c>
      <c r="F199" s="837" t="e">
        <v>#N/A</v>
      </c>
      <c r="G199" s="3387">
        <v>365395.88</v>
      </c>
      <c r="H199" s="3388">
        <v>473027.21</v>
      </c>
    </row>
    <row r="200" spans="1:8">
      <c r="A200" s="835">
        <f t="shared" si="0"/>
        <v>2023.11</v>
      </c>
      <c r="B200" s="837" t="e">
        <v>#N/A</v>
      </c>
      <c r="C200" s="1467" t="e">
        <v>#N/A</v>
      </c>
      <c r="D200" s="1474" t="e">
        <v>#N/A</v>
      </c>
      <c r="E200" s="861" t="e">
        <v>#N/A</v>
      </c>
      <c r="F200" s="837" t="e">
        <v>#N/A</v>
      </c>
      <c r="G200" s="3387">
        <v>404609.01</v>
      </c>
      <c r="H200" s="3388">
        <v>521720.28</v>
      </c>
    </row>
    <row r="201" spans="1:8">
      <c r="A201" s="835">
        <f t="shared" si="0"/>
        <v>2023.12</v>
      </c>
      <c r="B201" s="837" t="e">
        <v>#N/A</v>
      </c>
      <c r="C201" s="1467" t="e">
        <v>#N/A</v>
      </c>
      <c r="D201" s="1474" t="e">
        <v>#N/A</v>
      </c>
      <c r="E201" s="861" t="e">
        <v>#N/A</v>
      </c>
      <c r="F201" s="837" t="e">
        <v>#N/A</v>
      </c>
      <c r="G201" s="3387">
        <v>651241.87526807853</v>
      </c>
      <c r="H201" s="3388">
        <v>842392.50084693613</v>
      </c>
    </row>
    <row r="202" spans="1:8">
      <c r="A202" s="835">
        <f t="shared" si="0"/>
        <v>2024.01</v>
      </c>
      <c r="B202" s="837" t="e">
        <v>#N/A</v>
      </c>
      <c r="C202" s="1467" t="e">
        <v>#N/A</v>
      </c>
      <c r="D202" s="1474" t="e">
        <v>#N/A</v>
      </c>
      <c r="E202" s="861" t="e">
        <v>#N/A</v>
      </c>
      <c r="F202" s="837" t="e">
        <v>#N/A</v>
      </c>
      <c r="G202" s="3387">
        <v>550770.55666019965</v>
      </c>
      <c r="H202" s="3388">
        <v>755952.21185071382</v>
      </c>
    </row>
    <row r="203" spans="1:8">
      <c r="A203" s="835">
        <f t="shared" si="0"/>
        <v>2024.02</v>
      </c>
      <c r="B203" s="837" t="e">
        <v>#N/A</v>
      </c>
      <c r="C203" s="1467" t="e">
        <v>#N/A</v>
      </c>
      <c r="D203" s="1474" t="e">
        <v>#N/A</v>
      </c>
      <c r="E203" s="861" t="e">
        <v>#N/A</v>
      </c>
      <c r="F203" s="837" t="e">
        <v>#N/A</v>
      </c>
      <c r="G203" s="1549" t="e">
        <v>#N/A</v>
      </c>
      <c r="H203" s="839" t="e">
        <v>#N/A</v>
      </c>
    </row>
    <row r="204" spans="1:8">
      <c r="A204" s="835">
        <f t="shared" si="0"/>
        <v>2024.03</v>
      </c>
      <c r="B204" s="837" t="e">
        <v>#N/A</v>
      </c>
      <c r="C204" s="1467" t="e">
        <v>#N/A</v>
      </c>
      <c r="D204" s="1474" t="e">
        <v>#N/A</v>
      </c>
      <c r="E204" s="861" t="e">
        <v>#N/A</v>
      </c>
      <c r="F204" s="837" t="e">
        <v>#N/A</v>
      </c>
      <c r="G204" s="1549" t="e">
        <v>#N/A</v>
      </c>
      <c r="H204" s="839" t="e">
        <v>#N/A</v>
      </c>
    </row>
    <row r="205" spans="1:8">
      <c r="A205" s="835">
        <f t="shared" si="0"/>
        <v>2024.04</v>
      </c>
      <c r="B205" s="837" t="e">
        <v>#N/A</v>
      </c>
      <c r="C205" s="1467" t="e">
        <v>#N/A</v>
      </c>
      <c r="D205" s="1474" t="e">
        <v>#N/A</v>
      </c>
      <c r="E205" s="861" t="e">
        <v>#N/A</v>
      </c>
      <c r="F205" s="837" t="e">
        <v>#N/A</v>
      </c>
      <c r="G205" s="1549" t="e">
        <v>#N/A</v>
      </c>
      <c r="H205" s="839" t="e">
        <v>#N/A</v>
      </c>
    </row>
    <row r="206" spans="1:8">
      <c r="A206" s="835">
        <f t="shared" si="0"/>
        <v>2024.05</v>
      </c>
      <c r="B206" s="837" t="e">
        <v>#N/A</v>
      </c>
      <c r="C206" s="1467" t="e">
        <v>#N/A</v>
      </c>
      <c r="D206" s="1474" t="e">
        <v>#N/A</v>
      </c>
      <c r="E206" s="861" t="e">
        <v>#N/A</v>
      </c>
      <c r="F206" s="837" t="e">
        <v>#N/A</v>
      </c>
      <c r="G206" s="1549" t="e">
        <v>#N/A</v>
      </c>
      <c r="H206" s="839" t="e">
        <v>#N/A</v>
      </c>
    </row>
    <row r="207" spans="1:8">
      <c r="A207" s="835">
        <f t="shared" si="0"/>
        <v>2024.06</v>
      </c>
      <c r="B207" s="837" t="e">
        <v>#N/A</v>
      </c>
      <c r="C207" s="1467" t="e">
        <v>#N/A</v>
      </c>
      <c r="D207" s="1474" t="e">
        <v>#N/A</v>
      </c>
      <c r="E207" s="861" t="e">
        <v>#N/A</v>
      </c>
      <c r="F207" s="837" t="e">
        <v>#N/A</v>
      </c>
      <c r="G207" s="1549" t="e">
        <v>#N/A</v>
      </c>
      <c r="H207" s="839" t="e">
        <v>#N/A</v>
      </c>
    </row>
    <row r="208" spans="1:8">
      <c r="A208" s="835">
        <f t="shared" si="0"/>
        <v>2024.07</v>
      </c>
      <c r="B208" s="837" t="e">
        <v>#N/A</v>
      </c>
      <c r="C208" s="1467" t="e">
        <v>#N/A</v>
      </c>
      <c r="D208" s="1474" t="e">
        <v>#N/A</v>
      </c>
      <c r="E208" s="861" t="e">
        <v>#N/A</v>
      </c>
      <c r="F208" s="837" t="e">
        <v>#N/A</v>
      </c>
      <c r="G208" s="1549" t="e">
        <v>#N/A</v>
      </c>
      <c r="H208" s="839" t="e">
        <v>#N/A</v>
      </c>
    </row>
    <row r="209" spans="1:8">
      <c r="A209" s="835">
        <f t="shared" si="0"/>
        <v>2024.08</v>
      </c>
      <c r="B209" s="837" t="e">
        <v>#N/A</v>
      </c>
      <c r="C209" s="1467" t="e">
        <v>#N/A</v>
      </c>
      <c r="D209" s="1474" t="e">
        <v>#N/A</v>
      </c>
      <c r="E209" s="861" t="e">
        <v>#N/A</v>
      </c>
      <c r="F209" s="837" t="e">
        <v>#N/A</v>
      </c>
      <c r="G209" s="1549" t="e">
        <v>#N/A</v>
      </c>
      <c r="H209" s="839" t="e">
        <v>#N/A</v>
      </c>
    </row>
    <row r="210" spans="1:8">
      <c r="A210" s="835">
        <f t="shared" si="0"/>
        <v>2024.09</v>
      </c>
      <c r="B210" s="837" t="e">
        <v>#N/A</v>
      </c>
      <c r="C210" s="1467" t="e">
        <v>#N/A</v>
      </c>
      <c r="D210" s="1474" t="e">
        <v>#N/A</v>
      </c>
      <c r="E210" s="861" t="e">
        <v>#N/A</v>
      </c>
      <c r="F210" s="837" t="e">
        <v>#N/A</v>
      </c>
      <c r="G210" s="1549" t="e">
        <v>#N/A</v>
      </c>
      <c r="H210" s="839" t="e">
        <v>#N/A</v>
      </c>
    </row>
    <row r="211" spans="1:8">
      <c r="A211" s="835">
        <f t="shared" si="0"/>
        <v>2024.1</v>
      </c>
      <c r="B211" s="837" t="e">
        <v>#N/A</v>
      </c>
      <c r="C211" s="1467" t="e">
        <v>#N/A</v>
      </c>
      <c r="D211" s="1474" t="e">
        <v>#N/A</v>
      </c>
      <c r="E211" s="861" t="e">
        <v>#N/A</v>
      </c>
      <c r="F211" s="837" t="e">
        <v>#N/A</v>
      </c>
      <c r="G211" s="1549" t="e">
        <v>#N/A</v>
      </c>
      <c r="H211" s="839" t="e">
        <v>#N/A</v>
      </c>
    </row>
    <row r="212" spans="1:8">
      <c r="A212" s="835">
        <f t="shared" si="0"/>
        <v>2024.11</v>
      </c>
      <c r="B212" s="837" t="e">
        <v>#N/A</v>
      </c>
      <c r="C212" s="1467" t="e">
        <v>#N/A</v>
      </c>
      <c r="D212" s="1474" t="e">
        <v>#N/A</v>
      </c>
      <c r="E212" s="861" t="e">
        <v>#N/A</v>
      </c>
      <c r="F212" s="837" t="e">
        <v>#N/A</v>
      </c>
      <c r="G212" s="1549" t="e">
        <v>#N/A</v>
      </c>
      <c r="H212" s="839" t="e">
        <v>#N/A</v>
      </c>
    </row>
    <row r="213" spans="1:8">
      <c r="A213" s="835">
        <f t="shared" si="0"/>
        <v>2024.12</v>
      </c>
      <c r="B213" s="837" t="e">
        <v>#N/A</v>
      </c>
      <c r="C213" s="1467" t="e">
        <v>#N/A</v>
      </c>
      <c r="D213" s="1474" t="e">
        <v>#N/A</v>
      </c>
      <c r="E213" s="861" t="e">
        <v>#N/A</v>
      </c>
      <c r="F213" s="837" t="e">
        <v>#N/A</v>
      </c>
      <c r="G213" s="1549" t="e">
        <v>#N/A</v>
      </c>
      <c r="H213" s="839" t="e">
        <v>#N/A</v>
      </c>
    </row>
    <row r="214" spans="1:8">
      <c r="A214" s="835">
        <f t="shared" si="0"/>
        <v>2025.01</v>
      </c>
      <c r="B214" s="837" t="e">
        <v>#N/A</v>
      </c>
      <c r="C214" s="1467" t="e">
        <v>#N/A</v>
      </c>
      <c r="D214" s="1474" t="e">
        <v>#N/A</v>
      </c>
      <c r="E214" s="861" t="e">
        <v>#N/A</v>
      </c>
      <c r="F214" s="837" t="e">
        <v>#N/A</v>
      </c>
      <c r="G214" s="1549" t="e">
        <v>#N/A</v>
      </c>
      <c r="H214" s="839" t="e">
        <v>#N/A</v>
      </c>
    </row>
    <row r="215" spans="1:8">
      <c r="A215" s="835">
        <f t="shared" si="0"/>
        <v>2025.02</v>
      </c>
      <c r="B215" s="837" t="e">
        <v>#N/A</v>
      </c>
      <c r="C215" s="1467" t="e">
        <v>#N/A</v>
      </c>
      <c r="D215" s="1474" t="e">
        <v>#N/A</v>
      </c>
      <c r="E215" s="861" t="e">
        <v>#N/A</v>
      </c>
      <c r="F215" s="837" t="e">
        <v>#N/A</v>
      </c>
      <c r="G215" s="1549" t="e">
        <v>#N/A</v>
      </c>
      <c r="H215" s="839" t="e">
        <v>#N/A</v>
      </c>
    </row>
    <row r="216" spans="1:8">
      <c r="A216" s="835">
        <f t="shared" si="0"/>
        <v>2025.03</v>
      </c>
      <c r="B216" s="837" t="e">
        <v>#N/A</v>
      </c>
      <c r="C216" s="1467" t="e">
        <v>#N/A</v>
      </c>
      <c r="D216" s="1474" t="e">
        <v>#N/A</v>
      </c>
      <c r="E216" s="861" t="e">
        <v>#N/A</v>
      </c>
      <c r="F216" s="837" t="e">
        <v>#N/A</v>
      </c>
      <c r="G216" s="1549" t="e">
        <v>#N/A</v>
      </c>
      <c r="H216" s="839" t="e">
        <v>#N/A</v>
      </c>
    </row>
    <row r="217" spans="1:8">
      <c r="A217" s="835">
        <f>A205+1</f>
        <v>2025.04</v>
      </c>
      <c r="B217" s="837" t="e">
        <v>#N/A</v>
      </c>
      <c r="C217" s="1467" t="e">
        <v>#N/A</v>
      </c>
      <c r="D217" s="1474" t="e">
        <v>#N/A</v>
      </c>
      <c r="E217" s="861" t="e">
        <v>#N/A</v>
      </c>
      <c r="F217" s="837" t="e">
        <v>#N/A</v>
      </c>
      <c r="G217" s="1549" t="e">
        <v>#N/A</v>
      </c>
      <c r="H217" s="839" t="e">
        <v>#N/A</v>
      </c>
    </row>
    <row r="218" spans="1:8">
      <c r="A218" s="835">
        <f t="shared" si="0"/>
        <v>2025.05</v>
      </c>
      <c r="B218" s="837" t="e">
        <v>#N/A</v>
      </c>
      <c r="C218" s="1467" t="e">
        <v>#N/A</v>
      </c>
      <c r="D218" s="1474" t="e">
        <v>#N/A</v>
      </c>
      <c r="E218" s="861" t="e">
        <v>#N/A</v>
      </c>
      <c r="F218" s="837" t="e">
        <v>#N/A</v>
      </c>
      <c r="G218" s="1549" t="e">
        <v>#N/A</v>
      </c>
      <c r="H218" s="839" t="e">
        <v>#N/A</v>
      </c>
    </row>
    <row r="219" spans="1:8">
      <c r="A219" s="835">
        <f t="shared" si="0"/>
        <v>2025.06</v>
      </c>
      <c r="B219" s="837" t="e">
        <v>#N/A</v>
      </c>
      <c r="C219" s="1467" t="e">
        <v>#N/A</v>
      </c>
      <c r="D219" s="1474" t="e">
        <v>#N/A</v>
      </c>
      <c r="E219" s="861" t="e">
        <v>#N/A</v>
      </c>
      <c r="F219" s="837" t="e">
        <v>#N/A</v>
      </c>
      <c r="G219" s="1549" t="e">
        <v>#N/A</v>
      </c>
      <c r="H219" s="839" t="e">
        <v>#N/A</v>
      </c>
    </row>
    <row r="220" spans="1:8">
      <c r="A220" s="835">
        <f t="shared" si="0"/>
        <v>2025.07</v>
      </c>
      <c r="B220" s="837" t="e">
        <v>#N/A</v>
      </c>
      <c r="C220" s="1467" t="e">
        <v>#N/A</v>
      </c>
      <c r="D220" s="1474" t="e">
        <v>#N/A</v>
      </c>
      <c r="E220" s="861" t="e">
        <v>#N/A</v>
      </c>
      <c r="F220" s="837" t="e">
        <v>#N/A</v>
      </c>
      <c r="G220" s="1549" t="e">
        <v>#N/A</v>
      </c>
      <c r="H220" s="839" t="e">
        <v>#N/A</v>
      </c>
    </row>
    <row r="221" spans="1:8">
      <c r="A221" s="835">
        <f t="shared" si="0"/>
        <v>2025.08</v>
      </c>
      <c r="B221" s="837" t="e">
        <v>#N/A</v>
      </c>
      <c r="C221" s="1467" t="e">
        <v>#N/A</v>
      </c>
      <c r="D221" s="1474" t="e">
        <v>#N/A</v>
      </c>
      <c r="E221" s="861" t="e">
        <v>#N/A</v>
      </c>
      <c r="F221" s="837" t="e">
        <v>#N/A</v>
      </c>
      <c r="G221" s="1549" t="e">
        <v>#N/A</v>
      </c>
      <c r="H221" s="839" t="e">
        <v>#N/A</v>
      </c>
    </row>
    <row r="222" spans="1:8">
      <c r="A222" s="835">
        <f t="shared" si="0"/>
        <v>2025.09</v>
      </c>
      <c r="B222" s="837" t="e">
        <v>#N/A</v>
      </c>
      <c r="C222" s="1467" t="e">
        <v>#N/A</v>
      </c>
      <c r="D222" s="1474" t="e">
        <v>#N/A</v>
      </c>
      <c r="E222" s="861" t="e">
        <v>#N/A</v>
      </c>
      <c r="F222" s="837" t="e">
        <v>#N/A</v>
      </c>
      <c r="G222" s="1549" t="e">
        <v>#N/A</v>
      </c>
      <c r="H222" s="839" t="e">
        <v>#N/A</v>
      </c>
    </row>
    <row r="223" spans="1:8">
      <c r="A223" s="835">
        <f>A211+1</f>
        <v>2025.1</v>
      </c>
      <c r="B223" s="837" t="e">
        <v>#N/A</v>
      </c>
      <c r="C223" s="1467" t="e">
        <v>#N/A</v>
      </c>
      <c r="D223" s="1474" t="e">
        <v>#N/A</v>
      </c>
      <c r="E223" s="861" t="e">
        <v>#N/A</v>
      </c>
      <c r="F223" s="837" t="e">
        <v>#N/A</v>
      </c>
      <c r="G223" s="1549" t="e">
        <v>#N/A</v>
      </c>
      <c r="H223" s="839" t="e">
        <v>#N/A</v>
      </c>
    </row>
    <row r="224" spans="1:8">
      <c r="A224" s="835">
        <f t="shared" si="0"/>
        <v>2025.11</v>
      </c>
      <c r="B224" s="837" t="e">
        <v>#N/A</v>
      </c>
      <c r="C224" s="1467" t="e">
        <v>#N/A</v>
      </c>
      <c r="D224" s="1474" t="e">
        <v>#N/A</v>
      </c>
      <c r="E224" s="861" t="e">
        <v>#N/A</v>
      </c>
      <c r="F224" s="837" t="e">
        <v>#N/A</v>
      </c>
      <c r="G224" s="1549" t="e">
        <v>#N/A</v>
      </c>
      <c r="H224" s="839" t="e">
        <v>#N/A</v>
      </c>
    </row>
    <row r="225" spans="1:8">
      <c r="A225" s="835">
        <f t="shared" si="0"/>
        <v>2025.12</v>
      </c>
      <c r="B225" s="837" t="e">
        <v>#N/A</v>
      </c>
      <c r="C225" s="1467" t="e">
        <v>#N/A</v>
      </c>
      <c r="D225" s="1474" t="e">
        <v>#N/A</v>
      </c>
      <c r="E225" s="861" t="e">
        <v>#N/A</v>
      </c>
      <c r="F225" s="837" t="e">
        <v>#N/A</v>
      </c>
      <c r="G225" s="1549" t="e">
        <v>#N/A</v>
      </c>
      <c r="H225" s="839" t="e">
        <v>#N/A</v>
      </c>
    </row>
    <row r="226" spans="1:8">
      <c r="A226" s="835">
        <f t="shared" si="0"/>
        <v>2026.01</v>
      </c>
      <c r="B226" s="837" t="e">
        <v>#N/A</v>
      </c>
      <c r="C226" s="1467" t="e">
        <v>#N/A</v>
      </c>
      <c r="D226" s="1474" t="e">
        <v>#N/A</v>
      </c>
      <c r="E226" s="861" t="e">
        <v>#N/A</v>
      </c>
      <c r="F226" s="837" t="e">
        <v>#N/A</v>
      </c>
      <c r="G226" s="1549" t="e">
        <v>#N/A</v>
      </c>
      <c r="H226" s="839" t="e">
        <v>#N/A</v>
      </c>
    </row>
    <row r="227" spans="1:8">
      <c r="A227" s="835">
        <f t="shared" si="0"/>
        <v>2026.02</v>
      </c>
      <c r="B227" s="837" t="e">
        <v>#N/A</v>
      </c>
      <c r="C227" s="1467" t="e">
        <v>#N/A</v>
      </c>
      <c r="D227" s="1474" t="e">
        <v>#N/A</v>
      </c>
      <c r="E227" s="861" t="e">
        <v>#N/A</v>
      </c>
      <c r="F227" s="837" t="e">
        <v>#N/A</v>
      </c>
      <c r="G227" s="1549" t="e">
        <v>#N/A</v>
      </c>
      <c r="H227" s="839" t="e">
        <v>#N/A</v>
      </c>
    </row>
    <row r="228" spans="1:8">
      <c r="A228" s="835">
        <f t="shared" si="0"/>
        <v>2026.03</v>
      </c>
      <c r="B228" s="837" t="e">
        <v>#N/A</v>
      </c>
      <c r="C228" s="1467" t="e">
        <v>#N/A</v>
      </c>
      <c r="D228" s="1474" t="e">
        <v>#N/A</v>
      </c>
      <c r="E228" s="861" t="e">
        <v>#N/A</v>
      </c>
      <c r="F228" s="837" t="e">
        <v>#N/A</v>
      </c>
      <c r="G228" s="1549" t="e">
        <v>#N/A</v>
      </c>
      <c r="H228" s="839" t="e">
        <v>#N/A</v>
      </c>
    </row>
    <row r="229" spans="1:8">
      <c r="A229" s="835">
        <f t="shared" si="0"/>
        <v>2026.04</v>
      </c>
      <c r="B229" s="837" t="e">
        <v>#N/A</v>
      </c>
      <c r="C229" s="1467" t="e">
        <v>#N/A</v>
      </c>
      <c r="D229" s="1474" t="e">
        <v>#N/A</v>
      </c>
      <c r="E229" s="861" t="e">
        <v>#N/A</v>
      </c>
      <c r="F229" s="837" t="e">
        <v>#N/A</v>
      </c>
      <c r="G229" s="1549" t="e">
        <v>#N/A</v>
      </c>
      <c r="H229" s="839" t="e">
        <v>#N/A</v>
      </c>
    </row>
    <row r="230" spans="1:8">
      <c r="A230" s="835">
        <f t="shared" si="0"/>
        <v>2026.05</v>
      </c>
      <c r="B230" s="837" t="e">
        <v>#N/A</v>
      </c>
      <c r="C230" s="1467" t="e">
        <v>#N/A</v>
      </c>
      <c r="D230" s="1474" t="e">
        <v>#N/A</v>
      </c>
      <c r="E230" s="861" t="e">
        <v>#N/A</v>
      </c>
      <c r="F230" s="837" t="e">
        <v>#N/A</v>
      </c>
      <c r="G230" s="1549" t="e">
        <v>#N/A</v>
      </c>
      <c r="H230" s="839" t="e">
        <v>#N/A</v>
      </c>
    </row>
    <row r="231" spans="1:8">
      <c r="A231" s="835">
        <f t="shared" ref="A231:A285" si="1">A219+1</f>
        <v>2026.06</v>
      </c>
      <c r="B231" s="837" t="e">
        <v>#N/A</v>
      </c>
      <c r="C231" s="1467" t="e">
        <v>#N/A</v>
      </c>
      <c r="D231" s="1474" t="e">
        <v>#N/A</v>
      </c>
      <c r="E231" s="861" t="e">
        <v>#N/A</v>
      </c>
      <c r="F231" s="837" t="e">
        <v>#N/A</v>
      </c>
      <c r="G231" s="1549" t="e">
        <v>#N/A</v>
      </c>
      <c r="H231" s="839" t="e">
        <v>#N/A</v>
      </c>
    </row>
    <row r="232" spans="1:8">
      <c r="A232" s="835">
        <f t="shared" si="1"/>
        <v>2026.07</v>
      </c>
      <c r="B232" s="837" t="e">
        <v>#N/A</v>
      </c>
      <c r="C232" s="1467" t="e">
        <v>#N/A</v>
      </c>
      <c r="D232" s="1474" t="e">
        <v>#N/A</v>
      </c>
      <c r="E232" s="861" t="e">
        <v>#N/A</v>
      </c>
      <c r="F232" s="837" t="e">
        <v>#N/A</v>
      </c>
      <c r="G232" s="1549" t="e">
        <v>#N/A</v>
      </c>
      <c r="H232" s="839" t="e">
        <v>#N/A</v>
      </c>
    </row>
    <row r="233" spans="1:8">
      <c r="A233" s="835">
        <f t="shared" si="1"/>
        <v>2026.08</v>
      </c>
      <c r="B233" s="837" t="e">
        <v>#N/A</v>
      </c>
      <c r="C233" s="1467" t="e">
        <v>#N/A</v>
      </c>
      <c r="D233" s="1474" t="e">
        <v>#N/A</v>
      </c>
      <c r="E233" s="861" t="e">
        <v>#N/A</v>
      </c>
      <c r="F233" s="837" t="e">
        <v>#N/A</v>
      </c>
      <c r="G233" s="1549" t="e">
        <v>#N/A</v>
      </c>
      <c r="H233" s="839" t="e">
        <v>#N/A</v>
      </c>
    </row>
    <row r="234" spans="1:8">
      <c r="A234" s="835">
        <f t="shared" si="1"/>
        <v>2026.09</v>
      </c>
      <c r="B234" s="837" t="e">
        <v>#N/A</v>
      </c>
      <c r="C234" s="1467" t="e">
        <v>#N/A</v>
      </c>
      <c r="D234" s="1474" t="e">
        <v>#N/A</v>
      </c>
      <c r="E234" s="861" t="e">
        <v>#N/A</v>
      </c>
      <c r="F234" s="837" t="e">
        <v>#N/A</v>
      </c>
      <c r="G234" s="1549" t="e">
        <v>#N/A</v>
      </c>
      <c r="H234" s="839" t="e">
        <v>#N/A</v>
      </c>
    </row>
    <row r="235" spans="1:8">
      <c r="A235" s="835">
        <f t="shared" si="1"/>
        <v>2026.1</v>
      </c>
      <c r="B235" s="837" t="e">
        <v>#N/A</v>
      </c>
      <c r="C235" s="1467" t="e">
        <v>#N/A</v>
      </c>
      <c r="D235" s="1474" t="e">
        <v>#N/A</v>
      </c>
      <c r="E235" s="861" t="e">
        <v>#N/A</v>
      </c>
      <c r="F235" s="837" t="e">
        <v>#N/A</v>
      </c>
      <c r="G235" s="1549" t="e">
        <v>#N/A</v>
      </c>
      <c r="H235" s="839" t="e">
        <v>#N/A</v>
      </c>
    </row>
    <row r="236" spans="1:8">
      <c r="A236" s="835">
        <f t="shared" si="1"/>
        <v>2026.11</v>
      </c>
      <c r="B236" s="837" t="e">
        <v>#N/A</v>
      </c>
      <c r="C236" s="1467" t="e">
        <v>#N/A</v>
      </c>
      <c r="D236" s="1474" t="e">
        <v>#N/A</v>
      </c>
      <c r="E236" s="861" t="e">
        <v>#N/A</v>
      </c>
      <c r="F236" s="837" t="e">
        <v>#N/A</v>
      </c>
      <c r="G236" s="1549" t="e">
        <v>#N/A</v>
      </c>
      <c r="H236" s="839" t="e">
        <v>#N/A</v>
      </c>
    </row>
    <row r="237" spans="1:8">
      <c r="A237" s="835">
        <f t="shared" si="1"/>
        <v>2026.12</v>
      </c>
      <c r="B237" s="837" t="e">
        <v>#N/A</v>
      </c>
      <c r="C237" s="1467" t="e">
        <v>#N/A</v>
      </c>
      <c r="D237" s="1474" t="e">
        <v>#N/A</v>
      </c>
      <c r="E237" s="861" t="e">
        <v>#N/A</v>
      </c>
      <c r="F237" s="837" t="e">
        <v>#N/A</v>
      </c>
      <c r="G237" s="1549" t="e">
        <v>#N/A</v>
      </c>
      <c r="H237" s="839" t="e">
        <v>#N/A</v>
      </c>
    </row>
    <row r="238" spans="1:8">
      <c r="A238" s="835">
        <f t="shared" si="1"/>
        <v>2027.01</v>
      </c>
      <c r="B238" s="837" t="e">
        <v>#N/A</v>
      </c>
      <c r="C238" s="1467" t="e">
        <v>#N/A</v>
      </c>
      <c r="D238" s="1474" t="e">
        <v>#N/A</v>
      </c>
      <c r="E238" s="861" t="e">
        <v>#N/A</v>
      </c>
      <c r="F238" s="837" t="e">
        <v>#N/A</v>
      </c>
      <c r="G238" s="1549" t="e">
        <v>#N/A</v>
      </c>
      <c r="H238" s="839" t="e">
        <v>#N/A</v>
      </c>
    </row>
    <row r="239" spans="1:8">
      <c r="A239" s="835">
        <f t="shared" si="1"/>
        <v>2027.02</v>
      </c>
      <c r="B239" s="837" t="e">
        <v>#N/A</v>
      </c>
      <c r="C239" s="1467" t="e">
        <v>#N/A</v>
      </c>
      <c r="D239" s="1474" t="e">
        <v>#N/A</v>
      </c>
      <c r="E239" s="861" t="e">
        <v>#N/A</v>
      </c>
      <c r="F239" s="837" t="e">
        <v>#N/A</v>
      </c>
      <c r="G239" s="1549" t="e">
        <v>#N/A</v>
      </c>
      <c r="H239" s="839" t="e">
        <v>#N/A</v>
      </c>
    </row>
    <row r="240" spans="1:8">
      <c r="A240" s="835">
        <f t="shared" si="1"/>
        <v>2027.03</v>
      </c>
      <c r="B240" s="837" t="e">
        <v>#N/A</v>
      </c>
      <c r="C240" s="1467" t="e">
        <v>#N/A</v>
      </c>
      <c r="D240" s="1474" t="e">
        <v>#N/A</v>
      </c>
      <c r="E240" s="861" t="e">
        <v>#N/A</v>
      </c>
      <c r="F240" s="837" t="e">
        <v>#N/A</v>
      </c>
      <c r="G240" s="1549" t="e">
        <v>#N/A</v>
      </c>
      <c r="H240" s="839" t="e">
        <v>#N/A</v>
      </c>
    </row>
    <row r="241" spans="1:8">
      <c r="A241" s="835">
        <f t="shared" si="1"/>
        <v>2027.04</v>
      </c>
      <c r="B241" s="837" t="e">
        <v>#N/A</v>
      </c>
      <c r="C241" s="1467" t="e">
        <v>#N/A</v>
      </c>
      <c r="D241" s="1474" t="e">
        <v>#N/A</v>
      </c>
      <c r="E241" s="861" t="e">
        <v>#N/A</v>
      </c>
      <c r="F241" s="837" t="e">
        <v>#N/A</v>
      </c>
      <c r="G241" s="1549" t="e">
        <v>#N/A</v>
      </c>
      <c r="H241" s="839" t="e">
        <v>#N/A</v>
      </c>
    </row>
    <row r="242" spans="1:8">
      <c r="A242" s="835">
        <f t="shared" si="1"/>
        <v>2027.05</v>
      </c>
      <c r="B242" s="837" t="e">
        <v>#N/A</v>
      </c>
      <c r="C242" s="1467" t="e">
        <v>#N/A</v>
      </c>
      <c r="D242" s="1474" t="e">
        <v>#N/A</v>
      </c>
      <c r="E242" s="861" t="e">
        <v>#N/A</v>
      </c>
      <c r="F242" s="837" t="e">
        <v>#N/A</v>
      </c>
      <c r="G242" s="1549" t="e">
        <v>#N/A</v>
      </c>
      <c r="H242" s="839" t="e">
        <v>#N/A</v>
      </c>
    </row>
    <row r="243" spans="1:8">
      <c r="A243" s="835">
        <f t="shared" si="1"/>
        <v>2027.06</v>
      </c>
      <c r="B243" s="837" t="e">
        <v>#N/A</v>
      </c>
      <c r="C243" s="1467" t="e">
        <v>#N/A</v>
      </c>
      <c r="D243" s="1474" t="e">
        <v>#N/A</v>
      </c>
      <c r="E243" s="861" t="e">
        <v>#N/A</v>
      </c>
      <c r="F243" s="837" t="e">
        <v>#N/A</v>
      </c>
      <c r="G243" s="1549" t="e">
        <v>#N/A</v>
      </c>
      <c r="H243" s="839" t="e">
        <v>#N/A</v>
      </c>
    </row>
    <row r="244" spans="1:8">
      <c r="A244" s="835">
        <f t="shared" si="1"/>
        <v>2027.07</v>
      </c>
      <c r="B244" s="837" t="e">
        <v>#N/A</v>
      </c>
      <c r="C244" s="1467" t="e">
        <v>#N/A</v>
      </c>
      <c r="D244" s="1474" t="e">
        <v>#N/A</v>
      </c>
      <c r="E244" s="861" t="e">
        <v>#N/A</v>
      </c>
      <c r="F244" s="837" t="e">
        <v>#N/A</v>
      </c>
      <c r="G244" s="1549" t="e">
        <v>#N/A</v>
      </c>
      <c r="H244" s="839" t="e">
        <v>#N/A</v>
      </c>
    </row>
    <row r="245" spans="1:8">
      <c r="A245" s="835">
        <f t="shared" si="1"/>
        <v>2027.08</v>
      </c>
      <c r="B245" s="837" t="e">
        <v>#N/A</v>
      </c>
      <c r="C245" s="1467" t="e">
        <v>#N/A</v>
      </c>
      <c r="D245" s="1474" t="e">
        <v>#N/A</v>
      </c>
      <c r="E245" s="861" t="e">
        <v>#N/A</v>
      </c>
      <c r="F245" s="837" t="e">
        <v>#N/A</v>
      </c>
      <c r="G245" s="1549" t="e">
        <v>#N/A</v>
      </c>
      <c r="H245" s="839" t="e">
        <v>#N/A</v>
      </c>
    </row>
    <row r="246" spans="1:8">
      <c r="A246" s="835">
        <f t="shared" si="1"/>
        <v>2027.09</v>
      </c>
      <c r="B246" s="837" t="e">
        <v>#N/A</v>
      </c>
      <c r="C246" s="1467" t="e">
        <v>#N/A</v>
      </c>
      <c r="D246" s="1474" t="e">
        <v>#N/A</v>
      </c>
      <c r="E246" s="861" t="e">
        <v>#N/A</v>
      </c>
      <c r="F246" s="837" t="e">
        <v>#N/A</v>
      </c>
      <c r="G246" s="1549" t="e">
        <v>#N/A</v>
      </c>
      <c r="H246" s="839" t="e">
        <v>#N/A</v>
      </c>
    </row>
    <row r="247" spans="1:8">
      <c r="A247" s="835">
        <f t="shared" si="1"/>
        <v>2027.1</v>
      </c>
      <c r="B247" s="837" t="e">
        <v>#N/A</v>
      </c>
      <c r="C247" s="1467" t="e">
        <v>#N/A</v>
      </c>
      <c r="D247" s="1474" t="e">
        <v>#N/A</v>
      </c>
      <c r="E247" s="861" t="e">
        <v>#N/A</v>
      </c>
      <c r="F247" s="837" t="e">
        <v>#N/A</v>
      </c>
      <c r="G247" s="1549" t="e">
        <v>#N/A</v>
      </c>
      <c r="H247" s="839" t="e">
        <v>#N/A</v>
      </c>
    </row>
    <row r="248" spans="1:8">
      <c r="A248" s="835">
        <f t="shared" si="1"/>
        <v>2027.11</v>
      </c>
      <c r="B248" s="837" t="e">
        <v>#N/A</v>
      </c>
      <c r="C248" s="1467" t="e">
        <v>#N/A</v>
      </c>
      <c r="D248" s="1474" t="e">
        <v>#N/A</v>
      </c>
      <c r="E248" s="861" t="e">
        <v>#N/A</v>
      </c>
      <c r="F248" s="837" t="e">
        <v>#N/A</v>
      </c>
      <c r="G248" s="1549" t="e">
        <v>#N/A</v>
      </c>
      <c r="H248" s="839" t="e">
        <v>#N/A</v>
      </c>
    </row>
    <row r="249" spans="1:8">
      <c r="A249" s="835">
        <f t="shared" si="1"/>
        <v>2027.12</v>
      </c>
      <c r="B249" s="837" t="e">
        <v>#N/A</v>
      </c>
      <c r="C249" s="1467" t="e">
        <v>#N/A</v>
      </c>
      <c r="D249" s="1474" t="e">
        <v>#N/A</v>
      </c>
      <c r="E249" s="861" t="e">
        <v>#N/A</v>
      </c>
      <c r="F249" s="837" t="e">
        <v>#N/A</v>
      </c>
      <c r="G249" s="1549" t="e">
        <v>#N/A</v>
      </c>
      <c r="H249" s="839" t="e">
        <v>#N/A</v>
      </c>
    </row>
    <row r="250" spans="1:8">
      <c r="A250" s="835">
        <f t="shared" si="1"/>
        <v>2028.01</v>
      </c>
      <c r="B250" s="837" t="e">
        <v>#N/A</v>
      </c>
      <c r="C250" s="1467" t="e">
        <v>#N/A</v>
      </c>
      <c r="D250" s="1474" t="e">
        <v>#N/A</v>
      </c>
      <c r="E250" s="861" t="e">
        <v>#N/A</v>
      </c>
      <c r="F250" s="837" t="e">
        <v>#N/A</v>
      </c>
      <c r="G250" s="1549" t="e">
        <v>#N/A</v>
      </c>
      <c r="H250" s="839" t="e">
        <v>#N/A</v>
      </c>
    </row>
    <row r="251" spans="1:8">
      <c r="A251" s="835">
        <f t="shared" si="1"/>
        <v>2028.02</v>
      </c>
      <c r="B251" s="837" t="e">
        <v>#N/A</v>
      </c>
      <c r="C251" s="1467" t="e">
        <v>#N/A</v>
      </c>
      <c r="D251" s="1474" t="e">
        <v>#N/A</v>
      </c>
      <c r="E251" s="861" t="e">
        <v>#N/A</v>
      </c>
      <c r="F251" s="837" t="e">
        <v>#N/A</v>
      </c>
      <c r="G251" s="1549" t="e">
        <v>#N/A</v>
      </c>
      <c r="H251" s="839" t="e">
        <v>#N/A</v>
      </c>
    </row>
    <row r="252" spans="1:8">
      <c r="A252" s="835">
        <f t="shared" si="1"/>
        <v>2028.03</v>
      </c>
      <c r="B252" s="837" t="e">
        <v>#N/A</v>
      </c>
      <c r="C252" s="1467" t="e">
        <v>#N/A</v>
      </c>
      <c r="D252" s="1474" t="e">
        <v>#N/A</v>
      </c>
      <c r="E252" s="861" t="e">
        <v>#N/A</v>
      </c>
      <c r="F252" s="837" t="e">
        <v>#N/A</v>
      </c>
      <c r="G252" s="1549" t="e">
        <v>#N/A</v>
      </c>
      <c r="H252" s="839" t="e">
        <v>#N/A</v>
      </c>
    </row>
    <row r="253" spans="1:8">
      <c r="A253" s="835">
        <f t="shared" si="1"/>
        <v>2028.04</v>
      </c>
      <c r="B253" s="837" t="e">
        <v>#N/A</v>
      </c>
      <c r="C253" s="1467" t="e">
        <v>#N/A</v>
      </c>
      <c r="D253" s="1474" t="e">
        <v>#N/A</v>
      </c>
      <c r="E253" s="861" t="e">
        <v>#N/A</v>
      </c>
      <c r="F253" s="837" t="e">
        <v>#N/A</v>
      </c>
      <c r="G253" s="1549" t="e">
        <v>#N/A</v>
      </c>
      <c r="H253" s="839" t="e">
        <v>#N/A</v>
      </c>
    </row>
    <row r="254" spans="1:8">
      <c r="A254" s="835">
        <f t="shared" si="1"/>
        <v>2028.05</v>
      </c>
      <c r="B254" s="837" t="e">
        <v>#N/A</v>
      </c>
      <c r="C254" s="1467" t="e">
        <v>#N/A</v>
      </c>
      <c r="D254" s="1474" t="e">
        <v>#N/A</v>
      </c>
      <c r="E254" s="861" t="e">
        <v>#N/A</v>
      </c>
      <c r="F254" s="837" t="e">
        <v>#N/A</v>
      </c>
      <c r="G254" s="1549" t="e">
        <v>#N/A</v>
      </c>
      <c r="H254" s="839" t="e">
        <v>#N/A</v>
      </c>
    </row>
    <row r="255" spans="1:8">
      <c r="A255" s="835">
        <f t="shared" si="1"/>
        <v>2028.06</v>
      </c>
      <c r="B255" s="837" t="e">
        <v>#N/A</v>
      </c>
      <c r="C255" s="1467" t="e">
        <v>#N/A</v>
      </c>
      <c r="D255" s="1474" t="e">
        <v>#N/A</v>
      </c>
      <c r="E255" s="861" t="e">
        <v>#N/A</v>
      </c>
      <c r="F255" s="837" t="e">
        <v>#N/A</v>
      </c>
      <c r="G255" s="1549" t="e">
        <v>#N/A</v>
      </c>
      <c r="H255" s="839" t="e">
        <v>#N/A</v>
      </c>
    </row>
    <row r="256" spans="1:8">
      <c r="A256" s="835">
        <f t="shared" si="1"/>
        <v>2028.07</v>
      </c>
      <c r="B256" s="837" t="e">
        <v>#N/A</v>
      </c>
      <c r="C256" s="1467" t="e">
        <v>#N/A</v>
      </c>
      <c r="D256" s="1474" t="e">
        <v>#N/A</v>
      </c>
      <c r="E256" s="861" t="e">
        <v>#N/A</v>
      </c>
      <c r="F256" s="837" t="e">
        <v>#N/A</v>
      </c>
      <c r="G256" s="1549" t="e">
        <v>#N/A</v>
      </c>
      <c r="H256" s="839" t="e">
        <v>#N/A</v>
      </c>
    </row>
    <row r="257" spans="1:8">
      <c r="A257" s="835">
        <f t="shared" si="1"/>
        <v>2028.08</v>
      </c>
      <c r="B257" s="837" t="e">
        <v>#N/A</v>
      </c>
      <c r="C257" s="1467" t="e">
        <v>#N/A</v>
      </c>
      <c r="D257" s="1474" t="e">
        <v>#N/A</v>
      </c>
      <c r="E257" s="861" t="e">
        <v>#N/A</v>
      </c>
      <c r="F257" s="837" t="e">
        <v>#N/A</v>
      </c>
      <c r="G257" s="1549" t="e">
        <v>#N/A</v>
      </c>
      <c r="H257" s="839" t="e">
        <v>#N/A</v>
      </c>
    </row>
    <row r="258" spans="1:8">
      <c r="A258" s="835">
        <f t="shared" si="1"/>
        <v>2028.09</v>
      </c>
      <c r="B258" s="837" t="e">
        <v>#N/A</v>
      </c>
      <c r="C258" s="1467" t="e">
        <v>#N/A</v>
      </c>
      <c r="D258" s="1474" t="e">
        <v>#N/A</v>
      </c>
      <c r="E258" s="861" t="e">
        <v>#N/A</v>
      </c>
      <c r="F258" s="837" t="e">
        <v>#N/A</v>
      </c>
      <c r="G258" s="1549" t="e">
        <v>#N/A</v>
      </c>
      <c r="H258" s="839" t="e">
        <v>#N/A</v>
      </c>
    </row>
    <row r="259" spans="1:8">
      <c r="A259" s="835">
        <f t="shared" si="1"/>
        <v>2028.1</v>
      </c>
      <c r="B259" s="837" t="e">
        <v>#N/A</v>
      </c>
      <c r="C259" s="1467" t="e">
        <v>#N/A</v>
      </c>
      <c r="D259" s="1474" t="e">
        <v>#N/A</v>
      </c>
      <c r="E259" s="861" t="e">
        <v>#N/A</v>
      </c>
      <c r="F259" s="837" t="e">
        <v>#N/A</v>
      </c>
      <c r="G259" s="1549" t="e">
        <v>#N/A</v>
      </c>
      <c r="H259" s="839" t="e">
        <v>#N/A</v>
      </c>
    </row>
    <row r="260" spans="1:8">
      <c r="A260" s="835">
        <f t="shared" si="1"/>
        <v>2028.11</v>
      </c>
      <c r="B260" s="837" t="e">
        <v>#N/A</v>
      </c>
      <c r="C260" s="1467" t="e">
        <v>#N/A</v>
      </c>
      <c r="D260" s="1474" t="e">
        <v>#N/A</v>
      </c>
      <c r="E260" s="861" t="e">
        <v>#N/A</v>
      </c>
      <c r="F260" s="837" t="e">
        <v>#N/A</v>
      </c>
      <c r="G260" s="1549" t="e">
        <v>#N/A</v>
      </c>
      <c r="H260" s="839" t="e">
        <v>#N/A</v>
      </c>
    </row>
    <row r="261" spans="1:8">
      <c r="A261" s="835">
        <f t="shared" si="1"/>
        <v>2028.12</v>
      </c>
      <c r="B261" s="837" t="e">
        <v>#N/A</v>
      </c>
      <c r="C261" s="1467" t="e">
        <v>#N/A</v>
      </c>
      <c r="D261" s="1474" t="e">
        <v>#N/A</v>
      </c>
      <c r="E261" s="861" t="e">
        <v>#N/A</v>
      </c>
      <c r="F261" s="837" t="e">
        <v>#N/A</v>
      </c>
      <c r="G261" s="1549" t="e">
        <v>#N/A</v>
      </c>
      <c r="H261" s="839" t="e">
        <v>#N/A</v>
      </c>
    </row>
    <row r="262" spans="1:8">
      <c r="A262" s="835">
        <f t="shared" si="1"/>
        <v>2029.01</v>
      </c>
      <c r="B262" s="837" t="e">
        <v>#N/A</v>
      </c>
      <c r="C262" s="1467" t="e">
        <v>#N/A</v>
      </c>
      <c r="D262" s="1474" t="e">
        <v>#N/A</v>
      </c>
      <c r="E262" s="861" t="e">
        <v>#N/A</v>
      </c>
      <c r="F262" s="837" t="e">
        <v>#N/A</v>
      </c>
      <c r="G262" s="1549" t="e">
        <v>#N/A</v>
      </c>
      <c r="H262" s="839" t="e">
        <v>#N/A</v>
      </c>
    </row>
    <row r="263" spans="1:8">
      <c r="A263" s="835">
        <f t="shared" si="1"/>
        <v>2029.02</v>
      </c>
      <c r="B263" s="837" t="e">
        <v>#N/A</v>
      </c>
      <c r="C263" s="1467" t="e">
        <v>#N/A</v>
      </c>
      <c r="D263" s="1474" t="e">
        <v>#N/A</v>
      </c>
      <c r="E263" s="861" t="e">
        <v>#N/A</v>
      </c>
      <c r="F263" s="837" t="e">
        <v>#N/A</v>
      </c>
      <c r="G263" s="1549" t="e">
        <v>#N/A</v>
      </c>
      <c r="H263" s="839" t="e">
        <v>#N/A</v>
      </c>
    </row>
    <row r="264" spans="1:8">
      <c r="A264" s="835">
        <f t="shared" si="1"/>
        <v>2029.03</v>
      </c>
      <c r="B264" s="837" t="e">
        <v>#N/A</v>
      </c>
      <c r="C264" s="1467" t="e">
        <v>#N/A</v>
      </c>
      <c r="D264" s="1474" t="e">
        <v>#N/A</v>
      </c>
      <c r="E264" s="861" t="e">
        <v>#N/A</v>
      </c>
      <c r="F264" s="837" t="e">
        <v>#N/A</v>
      </c>
      <c r="G264" s="1549" t="e">
        <v>#N/A</v>
      </c>
      <c r="H264" s="839" t="e">
        <v>#N/A</v>
      </c>
    </row>
    <row r="265" spans="1:8">
      <c r="A265" s="835">
        <f t="shared" si="1"/>
        <v>2029.04</v>
      </c>
      <c r="B265" s="837" t="e">
        <v>#N/A</v>
      </c>
      <c r="C265" s="1467" t="e">
        <v>#N/A</v>
      </c>
      <c r="D265" s="1474" t="e">
        <v>#N/A</v>
      </c>
      <c r="E265" s="861" t="e">
        <v>#N/A</v>
      </c>
      <c r="F265" s="837" t="e">
        <v>#N/A</v>
      </c>
      <c r="G265" s="1549" t="e">
        <v>#N/A</v>
      </c>
      <c r="H265" s="839" t="e">
        <v>#N/A</v>
      </c>
    </row>
    <row r="266" spans="1:8">
      <c r="A266" s="835">
        <f t="shared" si="1"/>
        <v>2029.05</v>
      </c>
      <c r="B266" s="837" t="e">
        <v>#N/A</v>
      </c>
      <c r="C266" s="1467" t="e">
        <v>#N/A</v>
      </c>
      <c r="D266" s="1474" t="e">
        <v>#N/A</v>
      </c>
      <c r="E266" s="861" t="e">
        <v>#N/A</v>
      </c>
      <c r="F266" s="837" t="e">
        <v>#N/A</v>
      </c>
      <c r="G266" s="1549" t="e">
        <v>#N/A</v>
      </c>
      <c r="H266" s="839" t="e">
        <v>#N/A</v>
      </c>
    </row>
    <row r="267" spans="1:8">
      <c r="A267" s="835">
        <f t="shared" si="1"/>
        <v>2029.06</v>
      </c>
      <c r="B267" s="837" t="e">
        <v>#N/A</v>
      </c>
      <c r="C267" s="1467" t="e">
        <v>#N/A</v>
      </c>
      <c r="D267" s="1474" t="e">
        <v>#N/A</v>
      </c>
      <c r="E267" s="861" t="e">
        <v>#N/A</v>
      </c>
      <c r="F267" s="837" t="e">
        <v>#N/A</v>
      </c>
      <c r="G267" s="1549" t="e">
        <v>#N/A</v>
      </c>
      <c r="H267" s="839" t="e">
        <v>#N/A</v>
      </c>
    </row>
    <row r="268" spans="1:8">
      <c r="A268" s="835">
        <f t="shared" si="1"/>
        <v>2029.07</v>
      </c>
      <c r="B268" s="837" t="e">
        <v>#N/A</v>
      </c>
      <c r="C268" s="1467" t="e">
        <v>#N/A</v>
      </c>
      <c r="D268" s="1474" t="e">
        <v>#N/A</v>
      </c>
      <c r="E268" s="861" t="e">
        <v>#N/A</v>
      </c>
      <c r="F268" s="837" t="e">
        <v>#N/A</v>
      </c>
      <c r="G268" s="1549" t="e">
        <v>#N/A</v>
      </c>
      <c r="H268" s="839" t="e">
        <v>#N/A</v>
      </c>
    </row>
    <row r="269" spans="1:8">
      <c r="A269" s="835">
        <f t="shared" si="1"/>
        <v>2029.08</v>
      </c>
      <c r="B269" s="837" t="e">
        <v>#N/A</v>
      </c>
      <c r="C269" s="1467" t="e">
        <v>#N/A</v>
      </c>
      <c r="D269" s="1474" t="e">
        <v>#N/A</v>
      </c>
      <c r="E269" s="861" t="e">
        <v>#N/A</v>
      </c>
      <c r="F269" s="837" t="e">
        <v>#N/A</v>
      </c>
      <c r="G269" s="1549" t="e">
        <v>#N/A</v>
      </c>
      <c r="H269" s="839" t="e">
        <v>#N/A</v>
      </c>
    </row>
    <row r="270" spans="1:8">
      <c r="A270" s="835">
        <f t="shared" si="1"/>
        <v>2029.09</v>
      </c>
      <c r="B270" s="837" t="e">
        <v>#N/A</v>
      </c>
      <c r="C270" s="1467" t="e">
        <v>#N/A</v>
      </c>
      <c r="D270" s="1474" t="e">
        <v>#N/A</v>
      </c>
      <c r="E270" s="861" t="e">
        <v>#N/A</v>
      </c>
      <c r="F270" s="837" t="e">
        <v>#N/A</v>
      </c>
      <c r="G270" s="1549" t="e">
        <v>#N/A</v>
      </c>
      <c r="H270" s="839" t="e">
        <v>#N/A</v>
      </c>
    </row>
    <row r="271" spans="1:8">
      <c r="A271" s="835">
        <f t="shared" si="1"/>
        <v>2029.1</v>
      </c>
      <c r="B271" s="837" t="e">
        <v>#N/A</v>
      </c>
      <c r="C271" s="1467" t="e">
        <v>#N/A</v>
      </c>
      <c r="D271" s="1474" t="e">
        <v>#N/A</v>
      </c>
      <c r="E271" s="861" t="e">
        <v>#N/A</v>
      </c>
      <c r="F271" s="837" t="e">
        <v>#N/A</v>
      </c>
      <c r="G271" s="1549" t="e">
        <v>#N/A</v>
      </c>
      <c r="H271" s="839" t="e">
        <v>#N/A</v>
      </c>
    </row>
    <row r="272" spans="1:8">
      <c r="A272" s="835">
        <f t="shared" si="1"/>
        <v>2029.11</v>
      </c>
      <c r="B272" s="837" t="e">
        <v>#N/A</v>
      </c>
      <c r="C272" s="1467" t="e">
        <v>#N/A</v>
      </c>
      <c r="D272" s="1474" t="e">
        <v>#N/A</v>
      </c>
      <c r="E272" s="861" t="e">
        <v>#N/A</v>
      </c>
      <c r="F272" s="837" t="e">
        <v>#N/A</v>
      </c>
      <c r="G272" s="1549" t="e">
        <v>#N/A</v>
      </c>
      <c r="H272" s="839" t="e">
        <v>#N/A</v>
      </c>
    </row>
    <row r="273" spans="1:8">
      <c r="A273" s="835">
        <f t="shared" si="1"/>
        <v>2029.12</v>
      </c>
      <c r="B273" s="837" t="e">
        <v>#N/A</v>
      </c>
      <c r="C273" s="1467" t="e">
        <v>#N/A</v>
      </c>
      <c r="D273" s="1474" t="e">
        <v>#N/A</v>
      </c>
      <c r="E273" s="861" t="e">
        <v>#N/A</v>
      </c>
      <c r="F273" s="837" t="e">
        <v>#N/A</v>
      </c>
      <c r="G273" s="1549" t="e">
        <v>#N/A</v>
      </c>
      <c r="H273" s="839" t="e">
        <v>#N/A</v>
      </c>
    </row>
    <row r="274" spans="1:8">
      <c r="A274" s="835">
        <f t="shared" si="1"/>
        <v>2030.01</v>
      </c>
      <c r="B274" s="837" t="e">
        <v>#N/A</v>
      </c>
      <c r="C274" s="1467" t="e">
        <v>#N/A</v>
      </c>
      <c r="D274" s="1474" t="e">
        <v>#N/A</v>
      </c>
      <c r="E274" s="861" t="e">
        <v>#N/A</v>
      </c>
      <c r="F274" s="837" t="e">
        <v>#N/A</v>
      </c>
      <c r="G274" s="1549" t="e">
        <v>#N/A</v>
      </c>
      <c r="H274" s="839" t="e">
        <v>#N/A</v>
      </c>
    </row>
    <row r="275" spans="1:8">
      <c r="A275" s="835">
        <f t="shared" si="1"/>
        <v>2030.02</v>
      </c>
      <c r="B275" s="837" t="e">
        <v>#N/A</v>
      </c>
      <c r="C275" s="1467" t="e">
        <v>#N/A</v>
      </c>
      <c r="D275" s="1474" t="e">
        <v>#N/A</v>
      </c>
      <c r="E275" s="861" t="e">
        <v>#N/A</v>
      </c>
      <c r="F275" s="837" t="e">
        <v>#N/A</v>
      </c>
      <c r="G275" s="1549" t="e">
        <v>#N/A</v>
      </c>
      <c r="H275" s="839" t="e">
        <v>#N/A</v>
      </c>
    </row>
    <row r="276" spans="1:8">
      <c r="A276" s="835">
        <f t="shared" si="1"/>
        <v>2030.03</v>
      </c>
      <c r="B276" s="837" t="e">
        <v>#N/A</v>
      </c>
      <c r="C276" s="1467" t="e">
        <v>#N/A</v>
      </c>
      <c r="D276" s="1474" t="e">
        <v>#N/A</v>
      </c>
      <c r="E276" s="861" t="e">
        <v>#N/A</v>
      </c>
      <c r="F276" s="837" t="e">
        <v>#N/A</v>
      </c>
      <c r="G276" s="1549" t="e">
        <v>#N/A</v>
      </c>
      <c r="H276" s="839" t="e">
        <v>#N/A</v>
      </c>
    </row>
    <row r="277" spans="1:8">
      <c r="A277" s="835">
        <f t="shared" si="1"/>
        <v>2030.04</v>
      </c>
      <c r="B277" s="837" t="e">
        <v>#N/A</v>
      </c>
      <c r="C277" s="1467" t="e">
        <v>#N/A</v>
      </c>
      <c r="D277" s="1474" t="e">
        <v>#N/A</v>
      </c>
      <c r="E277" s="861" t="e">
        <v>#N/A</v>
      </c>
      <c r="F277" s="837" t="e">
        <v>#N/A</v>
      </c>
      <c r="G277" s="1549" t="e">
        <v>#N/A</v>
      </c>
      <c r="H277" s="839" t="e">
        <v>#N/A</v>
      </c>
    </row>
    <row r="278" spans="1:8">
      <c r="A278" s="835">
        <f t="shared" si="1"/>
        <v>2030.05</v>
      </c>
      <c r="B278" s="837" t="e">
        <v>#N/A</v>
      </c>
      <c r="C278" s="1467" t="e">
        <v>#N/A</v>
      </c>
      <c r="D278" s="1474" t="e">
        <v>#N/A</v>
      </c>
      <c r="E278" s="861" t="e">
        <v>#N/A</v>
      </c>
      <c r="F278" s="837" t="e">
        <v>#N/A</v>
      </c>
      <c r="G278" s="1549" t="e">
        <v>#N/A</v>
      </c>
      <c r="H278" s="839" t="e">
        <v>#N/A</v>
      </c>
    </row>
    <row r="279" spans="1:8">
      <c r="A279" s="835">
        <f t="shared" si="1"/>
        <v>2030.06</v>
      </c>
      <c r="B279" s="837" t="e">
        <v>#N/A</v>
      </c>
      <c r="C279" s="1467" t="e">
        <v>#N/A</v>
      </c>
      <c r="D279" s="1474" t="e">
        <v>#N/A</v>
      </c>
      <c r="E279" s="861" t="e">
        <v>#N/A</v>
      </c>
      <c r="F279" s="837" t="e">
        <v>#N/A</v>
      </c>
      <c r="G279" s="1549" t="e">
        <v>#N/A</v>
      </c>
      <c r="H279" s="839" t="e">
        <v>#N/A</v>
      </c>
    </row>
    <row r="280" spans="1:8">
      <c r="A280" s="835">
        <f t="shared" si="1"/>
        <v>2030.07</v>
      </c>
      <c r="B280" s="837" t="e">
        <v>#N/A</v>
      </c>
      <c r="C280" s="1467" t="e">
        <v>#N/A</v>
      </c>
      <c r="D280" s="1474" t="e">
        <v>#N/A</v>
      </c>
      <c r="E280" s="861" t="e">
        <v>#N/A</v>
      </c>
      <c r="F280" s="837" t="e">
        <v>#N/A</v>
      </c>
      <c r="G280" s="1549" t="e">
        <v>#N/A</v>
      </c>
      <c r="H280" s="839" t="e">
        <v>#N/A</v>
      </c>
    </row>
    <row r="281" spans="1:8">
      <c r="A281" s="835">
        <f t="shared" si="1"/>
        <v>2030.08</v>
      </c>
      <c r="B281" s="837" t="e">
        <v>#N/A</v>
      </c>
      <c r="C281" s="1467" t="e">
        <v>#N/A</v>
      </c>
      <c r="D281" s="1474" t="e">
        <v>#N/A</v>
      </c>
      <c r="E281" s="861" t="e">
        <v>#N/A</v>
      </c>
      <c r="F281" s="837" t="e">
        <v>#N/A</v>
      </c>
      <c r="G281" s="1549" t="e">
        <v>#N/A</v>
      </c>
      <c r="H281" s="839" t="e">
        <v>#N/A</v>
      </c>
    </row>
    <row r="282" spans="1:8">
      <c r="A282" s="835">
        <f t="shared" si="1"/>
        <v>2030.09</v>
      </c>
      <c r="B282" s="837" t="e">
        <v>#N/A</v>
      </c>
      <c r="C282" s="1467" t="e">
        <v>#N/A</v>
      </c>
      <c r="D282" s="1474" t="e">
        <v>#N/A</v>
      </c>
      <c r="E282" s="861" t="e">
        <v>#N/A</v>
      </c>
      <c r="F282" s="837" t="e">
        <v>#N/A</v>
      </c>
      <c r="G282" s="1549" t="e">
        <v>#N/A</v>
      </c>
      <c r="H282" s="839" t="e">
        <v>#N/A</v>
      </c>
    </row>
    <row r="283" spans="1:8">
      <c r="A283" s="835">
        <f t="shared" si="1"/>
        <v>2030.1</v>
      </c>
      <c r="B283" s="837" t="e">
        <v>#N/A</v>
      </c>
      <c r="C283" s="1467" t="e">
        <v>#N/A</v>
      </c>
      <c r="D283" s="1474" t="e">
        <v>#N/A</v>
      </c>
      <c r="E283" s="861" t="e">
        <v>#N/A</v>
      </c>
      <c r="F283" s="837" t="e">
        <v>#N/A</v>
      </c>
      <c r="G283" s="1549" t="e">
        <v>#N/A</v>
      </c>
      <c r="H283" s="839" t="e">
        <v>#N/A</v>
      </c>
    </row>
    <row r="284" spans="1:8">
      <c r="A284" s="835">
        <f t="shared" si="1"/>
        <v>2030.11</v>
      </c>
      <c r="B284" s="837" t="e">
        <v>#N/A</v>
      </c>
      <c r="C284" s="1467" t="e">
        <v>#N/A</v>
      </c>
      <c r="D284" s="1474" t="e">
        <v>#N/A</v>
      </c>
      <c r="E284" s="861" t="e">
        <v>#N/A</v>
      </c>
      <c r="F284" s="837" t="e">
        <v>#N/A</v>
      </c>
      <c r="G284" s="1549" t="e">
        <v>#N/A</v>
      </c>
      <c r="H284" s="839" t="e">
        <v>#N/A</v>
      </c>
    </row>
    <row r="285" spans="1:8">
      <c r="A285" s="835">
        <f t="shared" si="1"/>
        <v>2030.12</v>
      </c>
      <c r="B285" s="837" t="e">
        <v>#N/A</v>
      </c>
      <c r="C285" s="1467" t="e">
        <v>#N/A</v>
      </c>
      <c r="D285" s="1474" t="e">
        <v>#N/A</v>
      </c>
      <c r="E285" s="861" t="e">
        <v>#N/A</v>
      </c>
      <c r="F285" s="837" t="e">
        <v>#N/A</v>
      </c>
      <c r="G285" s="1549" t="e">
        <v>#N/A</v>
      </c>
      <c r="H285" s="839" t="e">
        <v>#N/A</v>
      </c>
    </row>
  </sheetData>
  <hyperlinks>
    <hyperlink ref="A5" location="INDICE!A13" display="VOLVER AL INDICE" xr:uid="{00000000-0004-0000-0C00-000000000000}"/>
  </hyperlink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70"/>
  <sheetViews>
    <sheetView zoomScale="110" zoomScaleNormal="110" workbookViewId="0">
      <pane xSplit="1" ySplit="9" topLeftCell="B274" activePane="bottomRight" state="frozen"/>
      <selection activeCell="B3" sqref="B3"/>
      <selection pane="topRight" activeCell="B3" sqref="B3"/>
      <selection pane="bottomLeft" activeCell="B3" sqref="B3"/>
      <selection pane="bottomRight" activeCell="A5" sqref="A5"/>
    </sheetView>
  </sheetViews>
  <sheetFormatPr baseColWidth="10" defaultColWidth="11.42578125" defaultRowHeight="15"/>
  <cols>
    <col min="1" max="1" width="12.85546875" style="1085" customWidth="1"/>
    <col min="2" max="6" width="14.85546875" style="1085" bestFit="1" customWidth="1"/>
    <col min="7" max="7" width="11.42578125" style="1085"/>
    <col min="8" max="8" width="7" style="1085" bestFit="1" customWidth="1"/>
    <col min="9" max="9" width="15.7109375" style="1085" customWidth="1"/>
    <col min="10" max="16384" width="11.42578125" style="1085"/>
  </cols>
  <sheetData>
    <row r="1" spans="1:9" s="1089" customFormat="1" ht="3.75" customHeight="1">
      <c r="A1" s="197"/>
      <c r="B1" s="1081"/>
      <c r="C1" s="1082"/>
      <c r="D1" s="1082"/>
      <c r="E1" s="1083"/>
      <c r="F1" s="1084"/>
      <c r="H1" s="1086"/>
      <c r="I1" s="1086"/>
    </row>
    <row r="2" spans="1:9" s="1089" customFormat="1" ht="15" customHeight="1">
      <c r="A2" s="47" t="s">
        <v>212</v>
      </c>
      <c r="B2" s="1081" t="s">
        <v>1212</v>
      </c>
      <c r="C2" s="1082"/>
      <c r="D2" s="1087"/>
      <c r="E2" s="1088"/>
      <c r="F2" s="1084"/>
      <c r="I2" s="1090"/>
    </row>
    <row r="3" spans="1:9" s="1089" customFormat="1" ht="15" customHeight="1">
      <c r="A3" s="197" t="s">
        <v>211</v>
      </c>
      <c r="B3" s="1091" t="s">
        <v>1178</v>
      </c>
      <c r="C3" s="1092"/>
      <c r="D3" s="1092"/>
      <c r="E3" s="1093"/>
      <c r="F3" s="1094"/>
      <c r="H3" s="1095"/>
      <c r="I3" s="1096"/>
    </row>
    <row r="4" spans="1:9" s="1089" customFormat="1" ht="22.5">
      <c r="A4" s="197"/>
      <c r="B4" s="1097" t="s">
        <v>1207</v>
      </c>
      <c r="C4" s="1098"/>
      <c r="D4" s="1099"/>
      <c r="E4" s="1100" t="s">
        <v>1208</v>
      </c>
      <c r="F4" s="1101" t="s">
        <v>1209</v>
      </c>
      <c r="H4" s="1095"/>
      <c r="I4" s="1096"/>
    </row>
    <row r="5" spans="1:9" s="1089" customFormat="1" ht="22.5">
      <c r="A5" s="952" t="s">
        <v>213</v>
      </c>
      <c r="B5" s="1550" t="s">
        <v>1210</v>
      </c>
      <c r="C5" s="1563" t="s">
        <v>1211</v>
      </c>
      <c r="D5" s="1102" t="s">
        <v>1213</v>
      </c>
      <c r="E5" s="1103"/>
      <c r="F5" s="1104"/>
      <c r="H5" s="1105"/>
      <c r="I5" s="1090"/>
    </row>
    <row r="6" spans="1:9" s="1089" customFormat="1" ht="22.5">
      <c r="A6" s="197" t="s">
        <v>210</v>
      </c>
      <c r="B6" s="2339" t="s">
        <v>1328</v>
      </c>
      <c r="C6" s="2340" t="s">
        <v>1328</v>
      </c>
      <c r="D6" s="2341" t="s">
        <v>1328</v>
      </c>
      <c r="E6" s="1111" t="s">
        <v>1328</v>
      </c>
      <c r="F6" s="2342" t="s">
        <v>1328</v>
      </c>
      <c r="H6" s="1105"/>
      <c r="I6" s="1108"/>
    </row>
    <row r="7" spans="1:9" s="1089" customFormat="1" ht="24.75" customHeight="1">
      <c r="A7" s="197" t="s">
        <v>1150</v>
      </c>
      <c r="B7" s="1552">
        <v>50.16</v>
      </c>
      <c r="C7" s="1565">
        <v>29.91</v>
      </c>
      <c r="D7" s="1557"/>
      <c r="E7" s="1121">
        <v>19.93</v>
      </c>
      <c r="F7" s="1122">
        <v>100</v>
      </c>
    </row>
    <row r="8" spans="1:9" s="1089" customFormat="1" ht="14.25" customHeight="1">
      <c r="A8" s="1109" t="s">
        <v>412</v>
      </c>
      <c r="B8" s="1553" t="s">
        <v>1058</v>
      </c>
      <c r="C8" s="1566" t="s">
        <v>1059</v>
      </c>
      <c r="D8" s="1118" t="s">
        <v>1060</v>
      </c>
      <c r="E8" s="1118" t="s">
        <v>1061</v>
      </c>
      <c r="F8" s="1119" t="s">
        <v>1062</v>
      </c>
    </row>
    <row r="9" spans="1:9" s="1089" customFormat="1" ht="4.5" customHeight="1">
      <c r="A9" s="1110"/>
      <c r="B9" s="1551"/>
      <c r="C9" s="1564"/>
      <c r="D9" s="1106"/>
      <c r="E9" s="1111"/>
      <c r="F9" s="1107"/>
    </row>
    <row r="10" spans="1:9">
      <c r="A10" s="2554">
        <v>2001.01</v>
      </c>
      <c r="B10" s="1554"/>
      <c r="C10" s="1567"/>
      <c r="D10" s="1558"/>
      <c r="E10" s="1112"/>
      <c r="F10" s="1113"/>
    </row>
    <row r="11" spans="1:9">
      <c r="A11" s="2554">
        <v>2001.02</v>
      </c>
      <c r="B11" s="1555"/>
      <c r="C11" s="1568"/>
      <c r="D11" s="1559"/>
      <c r="E11" s="1114"/>
      <c r="F11" s="1115"/>
    </row>
    <row r="12" spans="1:9">
      <c r="A12" s="2554">
        <v>2001.03</v>
      </c>
      <c r="B12" s="1555"/>
      <c r="C12" s="1568"/>
      <c r="D12" s="1559"/>
      <c r="E12" s="1114"/>
      <c r="F12" s="1115"/>
    </row>
    <row r="13" spans="1:9">
      <c r="A13" s="2554">
        <v>2001.04</v>
      </c>
      <c r="B13" s="1555"/>
      <c r="C13" s="1568"/>
      <c r="D13" s="1559"/>
      <c r="E13" s="1114"/>
      <c r="F13" s="1115"/>
    </row>
    <row r="14" spans="1:9">
      <c r="A14" s="2554">
        <v>2001.05</v>
      </c>
      <c r="B14" s="1555"/>
      <c r="C14" s="1568"/>
      <c r="D14" s="1559"/>
      <c r="E14" s="1114"/>
      <c r="F14" s="1115"/>
    </row>
    <row r="15" spans="1:9">
      <c r="A15" s="2554">
        <v>2001.06</v>
      </c>
      <c r="B15" s="1555"/>
      <c r="C15" s="1568"/>
      <c r="D15" s="1559"/>
      <c r="E15" s="1114"/>
      <c r="F15" s="1115"/>
    </row>
    <row r="16" spans="1:9">
      <c r="A16" s="2554">
        <v>2001.07</v>
      </c>
      <c r="B16" s="1555"/>
      <c r="C16" s="1568"/>
      <c r="D16" s="1559"/>
      <c r="E16" s="1114"/>
      <c r="F16" s="1115"/>
    </row>
    <row r="17" spans="1:6">
      <c r="A17" s="2554">
        <v>2001.08</v>
      </c>
      <c r="B17" s="1555"/>
      <c r="C17" s="1568"/>
      <c r="D17" s="1559"/>
      <c r="E17" s="1114"/>
      <c r="F17" s="1115"/>
    </row>
    <row r="18" spans="1:6">
      <c r="A18" s="2554">
        <v>2001.09</v>
      </c>
      <c r="B18" s="1555"/>
      <c r="C18" s="1568"/>
      <c r="D18" s="1559"/>
      <c r="E18" s="1114"/>
      <c r="F18" s="1115"/>
    </row>
    <row r="19" spans="1:6">
      <c r="A19" s="2555">
        <v>2001.1</v>
      </c>
      <c r="B19" s="1116">
        <v>4.371687962921273</v>
      </c>
      <c r="C19" s="1569">
        <v>8.6332709881748997</v>
      </c>
      <c r="D19" s="1560">
        <v>5.9633892228535021</v>
      </c>
      <c r="E19" s="1124">
        <v>4.6386108567215247</v>
      </c>
      <c r="F19" s="1125">
        <v>5.6995251785090231</v>
      </c>
    </row>
    <row r="20" spans="1:6">
      <c r="A20" s="2555">
        <v>2001.11</v>
      </c>
      <c r="B20" s="1556">
        <v>4.3800008203367558</v>
      </c>
      <c r="C20" s="1570">
        <v>8.6057024150163741</v>
      </c>
      <c r="D20" s="1560">
        <v>5.9583003659495937</v>
      </c>
      <c r="E20" s="1124">
        <v>4.6187482529733641</v>
      </c>
      <c r="F20" s="1125">
        <v>5.6914905306299053</v>
      </c>
    </row>
    <row r="21" spans="1:6">
      <c r="A21" s="2555">
        <v>2001.12</v>
      </c>
      <c r="B21" s="1556">
        <v>4.3738755569779793</v>
      </c>
      <c r="C21" s="1570">
        <v>8.6065639329275783</v>
      </c>
      <c r="D21" s="1560">
        <v>5.9547846653951551</v>
      </c>
      <c r="E21" s="1124">
        <v>4.6002714122774018</v>
      </c>
      <c r="F21" s="1125">
        <v>5.6849933441856795</v>
      </c>
    </row>
    <row r="22" spans="1:6">
      <c r="A22" s="2555">
        <v>2002.01</v>
      </c>
      <c r="B22" s="1556">
        <v>4.3607499926377429</v>
      </c>
      <c r="C22" s="1570">
        <v>8.5988102717267427</v>
      </c>
      <c r="D22" s="1560">
        <v>5.9436655068774851</v>
      </c>
      <c r="E22" s="1124">
        <v>4.58087072954664</v>
      </c>
      <c r="F22" s="1125">
        <v>5.6722238849792053</v>
      </c>
    </row>
    <row r="23" spans="1:6">
      <c r="A23" s="2555">
        <v>2002.02</v>
      </c>
      <c r="B23" s="1556">
        <v>4.3598749550150604</v>
      </c>
      <c r="C23" s="1570">
        <v>8.5988102717267427</v>
      </c>
      <c r="D23" s="1560">
        <v>5.9431172958068741</v>
      </c>
      <c r="E23" s="1124">
        <v>4.56147004681588</v>
      </c>
      <c r="F23" s="1125">
        <v>5.6679184100394275</v>
      </c>
    </row>
    <row r="24" spans="1:6">
      <c r="A24" s="2555">
        <v>2002.03</v>
      </c>
      <c r="B24" s="1556">
        <v>4.3607499926377429</v>
      </c>
      <c r="C24" s="1570">
        <v>8.5988102717267427</v>
      </c>
      <c r="D24" s="1560">
        <v>5.9436655068774851</v>
      </c>
      <c r="E24" s="1124">
        <v>4.5429932061199167</v>
      </c>
      <c r="F24" s="1125">
        <v>5.6646748945602603</v>
      </c>
    </row>
    <row r="25" spans="1:6">
      <c r="A25" s="2555">
        <v>2002.04</v>
      </c>
      <c r="B25" s="1556">
        <v>4.3686253312418843</v>
      </c>
      <c r="C25" s="1570">
        <v>8.5970872359043344</v>
      </c>
      <c r="D25" s="1560">
        <v>5.9479558526333101</v>
      </c>
      <c r="E25" s="1124">
        <v>4.5111206559193802</v>
      </c>
      <c r="F25" s="1125">
        <v>5.6617576051346479</v>
      </c>
    </row>
    <row r="26" spans="1:6">
      <c r="A26" s="2555">
        <v>2002.05</v>
      </c>
      <c r="B26" s="1556">
        <v>4.3769381886573679</v>
      </c>
      <c r="C26" s="1570">
        <v>8.6186251836844328</v>
      </c>
      <c r="D26" s="1560">
        <v>5.9612082812999772</v>
      </c>
      <c r="E26" s="1124">
        <v>4.4801719477536412</v>
      </c>
      <c r="F26" s="1125">
        <v>5.6662012570578506</v>
      </c>
    </row>
    <row r="27" spans="1:6">
      <c r="A27" s="2555">
        <v>2002.06</v>
      </c>
      <c r="B27" s="1556">
        <v>4.3988141292244274</v>
      </c>
      <c r="C27" s="1570">
        <v>8.6186251836844328</v>
      </c>
      <c r="D27" s="1560">
        <v>5.9749135580652384</v>
      </c>
      <c r="E27" s="1124">
        <v>4.4487613185705044</v>
      </c>
      <c r="F27" s="1125">
        <v>5.6709140904500881</v>
      </c>
    </row>
    <row r="28" spans="1:6">
      <c r="A28" s="2555">
        <v>2002.07</v>
      </c>
      <c r="B28" s="1556">
        <v>4.9527129443823865</v>
      </c>
      <c r="C28" s="1570">
        <v>8.6186251836844328</v>
      </c>
      <c r="D28" s="1560">
        <v>6.3219311657617006</v>
      </c>
      <c r="E28" s="1124">
        <v>4.4173506893873666</v>
      </c>
      <c r="F28" s="1125">
        <v>5.9424895977371213</v>
      </c>
    </row>
    <row r="29" spans="1:6">
      <c r="A29" s="2555">
        <v>2002.08</v>
      </c>
      <c r="B29" s="1556">
        <v>5.0095903898567427</v>
      </c>
      <c r="C29" s="1570">
        <v>8.6367170598197145</v>
      </c>
      <c r="D29" s="1560">
        <v>6.364322201087913</v>
      </c>
      <c r="E29" s="1124">
        <v>4.3891735073260234</v>
      </c>
      <c r="F29" s="1125">
        <v>5.9708148921542943</v>
      </c>
    </row>
    <row r="30" spans="1:6">
      <c r="A30" s="2555">
        <v>2002.09</v>
      </c>
      <c r="B30" s="1556">
        <v>5.0270911423103906</v>
      </c>
      <c r="C30" s="1570">
        <v>8.6711777762678732</v>
      </c>
      <c r="D30" s="1560">
        <v>6.3881575000935102</v>
      </c>
      <c r="E30" s="1124">
        <v>4.3586867201776842</v>
      </c>
      <c r="F30" s="1125">
        <v>5.983824453196025</v>
      </c>
    </row>
    <row r="31" spans="1:6">
      <c r="A31" s="2555">
        <v>2002.1</v>
      </c>
      <c r="B31" s="1556">
        <v>5.0441543759526981</v>
      </c>
      <c r="C31" s="1570">
        <v>8.6634241150670359</v>
      </c>
      <c r="D31" s="1560">
        <v>6.3959516235119027</v>
      </c>
      <c r="E31" s="1124">
        <v>4.3286618540467448</v>
      </c>
      <c r="F31" s="1125">
        <v>5.9840802953059402</v>
      </c>
    </row>
    <row r="32" spans="1:6">
      <c r="A32" s="2555">
        <v>2002.11</v>
      </c>
      <c r="B32" s="1556">
        <v>5.0893500691642428</v>
      </c>
      <c r="C32" s="1570">
        <v>8.6634241150670359</v>
      </c>
      <c r="D32" s="1560">
        <v>6.4242667253089358</v>
      </c>
      <c r="E32" s="1124">
        <v>4.3383621954121265</v>
      </c>
      <c r="F32" s="1125">
        <v>6.0086837330549709</v>
      </c>
    </row>
    <row r="33" spans="1:6">
      <c r="A33" s="2555">
        <v>2002.12</v>
      </c>
      <c r="B33" s="1556">
        <v>5.1128448293332669</v>
      </c>
      <c r="C33" s="1570">
        <v>8.6634241150670359</v>
      </c>
      <c r="D33" s="1560">
        <v>6.4389861925548306</v>
      </c>
      <c r="E33" s="1124">
        <v>4.3476006157601086</v>
      </c>
      <c r="F33" s="1125">
        <v>6.0223099219311074</v>
      </c>
    </row>
    <row r="34" spans="1:6">
      <c r="A34" s="2555">
        <f>A22+1</f>
        <v>2003.01</v>
      </c>
      <c r="B34" s="1556">
        <v>5.2935400984171821</v>
      </c>
      <c r="C34" s="1570">
        <v>9.0571378004872454</v>
      </c>
      <c r="D34" s="1560">
        <v>6.6992438401403502</v>
      </c>
      <c r="E34" s="1124">
        <v>4.3573009571254886</v>
      </c>
      <c r="F34" s="1125">
        <v>6.2326397102469038</v>
      </c>
    </row>
    <row r="35" spans="1:6">
      <c r="A35" s="2555">
        <f t="shared" ref="A35:A98" si="0">A23+1</f>
        <v>2003.02</v>
      </c>
      <c r="B35" s="1556">
        <v>5.3031655122666894</v>
      </c>
      <c r="C35" s="1570">
        <v>9.1105519109818918</v>
      </c>
      <c r="D35" s="1560">
        <v>6.7252243321868175</v>
      </c>
      <c r="E35" s="1124">
        <v>4.3670012984908695</v>
      </c>
      <c r="F35" s="1125">
        <v>6.2553772563168852</v>
      </c>
    </row>
    <row r="36" spans="1:6">
      <c r="A36" s="2555">
        <f t="shared" si="0"/>
        <v>2003.03</v>
      </c>
      <c r="B36" s="1556">
        <v>5.3329167914378912</v>
      </c>
      <c r="C36" s="1570">
        <v>9.0278461915063115</v>
      </c>
      <c r="D36" s="1560">
        <v>6.7129729223634467</v>
      </c>
      <c r="E36" s="1124">
        <v>4.3767016398562495</v>
      </c>
      <c r="F36" s="1125">
        <v>6.2474964952881349</v>
      </c>
    </row>
    <row r="37" spans="1:6">
      <c r="A37" s="2555">
        <f t="shared" si="0"/>
        <v>2003.04</v>
      </c>
      <c r="B37" s="1556">
        <v>5.3652931834771405</v>
      </c>
      <c r="C37" s="1570">
        <v>9.0304307452399222</v>
      </c>
      <c r="D37" s="1560">
        <v>6.7342220627955394</v>
      </c>
      <c r="E37" s="1124">
        <v>4.3859400602042307</v>
      </c>
      <c r="F37" s="1125">
        <v>6.266350750732097</v>
      </c>
    </row>
    <row r="38" spans="1:6">
      <c r="A38" s="2555">
        <f t="shared" si="0"/>
        <v>2003.05</v>
      </c>
      <c r="B38" s="1556">
        <v>5.6548060487282985</v>
      </c>
      <c r="C38" s="1570">
        <v>9.0304307452399222</v>
      </c>
      <c r="D38" s="1560">
        <v>6.9156018728753903</v>
      </c>
      <c r="E38" s="1124">
        <v>4.3767016398562495</v>
      </c>
      <c r="F38" s="1125">
        <v>6.4097291867667261</v>
      </c>
    </row>
    <row r="39" spans="1:6">
      <c r="A39" s="2555">
        <f t="shared" si="0"/>
        <v>2003.06</v>
      </c>
      <c r="B39" s="1556">
        <v>5.711280289991687</v>
      </c>
      <c r="C39" s="1570">
        <v>9.0304307452399222</v>
      </c>
      <c r="D39" s="1560">
        <v>6.9509829850269034</v>
      </c>
      <c r="E39" s="1124">
        <v>4.3734681927344567</v>
      </c>
      <c r="F39" s="1125">
        <v>6.4374122401730665</v>
      </c>
    </row>
    <row r="40" spans="1:6">
      <c r="A40" s="2555">
        <f t="shared" si="0"/>
        <v>2003.07</v>
      </c>
      <c r="B40" s="1556">
        <v>5.7573027712514007</v>
      </c>
      <c r="C40" s="1570">
        <v>9.0803987840897538</v>
      </c>
      <c r="D40" s="1560">
        <v>6.9984791320465254</v>
      </c>
      <c r="E40" s="1124">
        <v>4.3734681927344567</v>
      </c>
      <c r="F40" s="1125">
        <v>6.4754425571929257</v>
      </c>
    </row>
    <row r="41" spans="1:6">
      <c r="A41" s="2555">
        <f t="shared" si="0"/>
        <v>2003.08</v>
      </c>
      <c r="B41" s="1556">
        <v>5.7936240997801773</v>
      </c>
      <c r="C41" s="1570">
        <v>9.0803987840897538</v>
      </c>
      <c r="D41" s="1560">
        <v>7.0212344443698047</v>
      </c>
      <c r="E41" s="1124">
        <v>4.492181894206019</v>
      </c>
      <c r="F41" s="1125">
        <v>6.5173209762862419</v>
      </c>
    </row>
    <row r="42" spans="1:6">
      <c r="A42" s="2555">
        <f t="shared" si="0"/>
        <v>2003.09</v>
      </c>
      <c r="B42" s="1556">
        <v>5.8115623710451674</v>
      </c>
      <c r="C42" s="1570">
        <v>9.1519047707196819</v>
      </c>
      <c r="D42" s="1560">
        <v>7.0591802573235984</v>
      </c>
      <c r="E42" s="1124">
        <v>4.6141290427993749</v>
      </c>
      <c r="F42" s="1125">
        <v>6.5720103204684275</v>
      </c>
    </row>
    <row r="43" spans="1:6">
      <c r="A43" s="2555">
        <f t="shared" si="0"/>
        <v>2003.1</v>
      </c>
      <c r="B43" s="1556">
        <v>5.8483139511978273</v>
      </c>
      <c r="C43" s="1570">
        <v>9.1519047707196819</v>
      </c>
      <c r="D43" s="1560">
        <v>7.0822051222892402</v>
      </c>
      <c r="E43" s="1124">
        <v>4.7393096385145244</v>
      </c>
      <c r="F43" s="1125">
        <v>6.6153934057990309</v>
      </c>
    </row>
    <row r="44" spans="1:6">
      <c r="A44" s="2555">
        <f t="shared" si="0"/>
        <v>2003.11</v>
      </c>
      <c r="B44" s="1556">
        <v>5.8846280125391477</v>
      </c>
      <c r="C44" s="1570">
        <v>9.1519047707196819</v>
      </c>
      <c r="D44" s="1560">
        <v>7.1049558817195768</v>
      </c>
      <c r="E44" s="1124">
        <v>4.7393096385145244</v>
      </c>
      <c r="F44" s="1125">
        <v>6.6336085389678381</v>
      </c>
    </row>
    <row r="45" spans="1:6">
      <c r="A45" s="2555">
        <f t="shared" si="0"/>
        <v>2003.12</v>
      </c>
      <c r="B45" s="1556">
        <v>5.9205045550691251</v>
      </c>
      <c r="C45" s="1570">
        <v>9.1519047707196819</v>
      </c>
      <c r="D45" s="1560">
        <v>7.1274325356146075</v>
      </c>
      <c r="E45" s="1124">
        <v>4.8146027643505747</v>
      </c>
      <c r="F45" s="1125">
        <v>6.6666101326799989</v>
      </c>
    </row>
    <row r="46" spans="1:6">
      <c r="A46" s="2555">
        <f t="shared" si="0"/>
        <v>2004.01</v>
      </c>
      <c r="B46" s="1556">
        <v>6.1725153904016574</v>
      </c>
      <c r="C46" s="1570">
        <v>9.1725812005885761</v>
      </c>
      <c r="D46" s="1560">
        <v>7.293039970506471</v>
      </c>
      <c r="E46" s="1124">
        <v>4.856637576933891</v>
      </c>
      <c r="F46" s="1125">
        <v>6.8075806260044383</v>
      </c>
    </row>
    <row r="47" spans="1:6">
      <c r="A47" s="2555">
        <f t="shared" si="0"/>
        <v>2004.02</v>
      </c>
      <c r="B47" s="1556">
        <v>6.3282720872391236</v>
      </c>
      <c r="C47" s="1570">
        <v>9.1725812005885761</v>
      </c>
      <c r="D47" s="1560">
        <v>7.3906215410751441</v>
      </c>
      <c r="E47" s="1124">
        <v>4.9319307027699404</v>
      </c>
      <c r="F47" s="1125">
        <v>6.9007141051172356</v>
      </c>
    </row>
    <row r="48" spans="1:6">
      <c r="A48" s="2555">
        <f t="shared" si="0"/>
        <v>2004.03</v>
      </c>
      <c r="B48" s="1556">
        <v>6.3750866000526329</v>
      </c>
      <c r="C48" s="1570">
        <v>9.1725812005885761</v>
      </c>
      <c r="D48" s="1560">
        <v>7.4199508333528073</v>
      </c>
      <c r="E48" s="1124">
        <v>5.0658877978156731</v>
      </c>
      <c r="F48" s="1125">
        <v>6.9508939137871071</v>
      </c>
    </row>
    <row r="49" spans="1:6">
      <c r="A49" s="2555">
        <f t="shared" si="0"/>
        <v>2004.04</v>
      </c>
      <c r="B49" s="1556">
        <v>6.3921498336949387</v>
      </c>
      <c r="C49" s="1570">
        <v>9.1725812005885761</v>
      </c>
      <c r="D49" s="1560">
        <v>7.4306409492297121</v>
      </c>
      <c r="E49" s="1124">
        <v>5.1578100802780886</v>
      </c>
      <c r="F49" s="1125">
        <v>6.9777729426768467</v>
      </c>
    </row>
    <row r="50" spans="1:6">
      <c r="A50" s="2555">
        <f t="shared" si="0"/>
        <v>2004.05</v>
      </c>
      <c r="B50" s="1556">
        <v>6.4197135188094343</v>
      </c>
      <c r="C50" s="1570">
        <v>9.2819939753114777</v>
      </c>
      <c r="D50" s="1560">
        <v>7.4887752693129483</v>
      </c>
      <c r="E50" s="1124">
        <v>5.0825169544420392</v>
      </c>
      <c r="F50" s="1125">
        <v>7.0093183280707736</v>
      </c>
    </row>
    <row r="51" spans="1:6">
      <c r="A51" s="2555">
        <f t="shared" si="0"/>
        <v>2004.06</v>
      </c>
      <c r="B51" s="1556">
        <v>6.429776451470282</v>
      </c>
      <c r="C51" s="1570">
        <v>9.420698359015315</v>
      </c>
      <c r="D51" s="1560">
        <v>7.5468857839383521</v>
      </c>
      <c r="E51" s="1124">
        <v>4.9942900401188162</v>
      </c>
      <c r="F51" s="1125">
        <v>7.0382687522346545</v>
      </c>
    </row>
    <row r="52" spans="1:6">
      <c r="A52" s="2555">
        <f t="shared" si="0"/>
        <v>2004.07</v>
      </c>
      <c r="B52" s="1556">
        <v>6.4499023167919765</v>
      </c>
      <c r="C52" s="1570">
        <v>9.5266650620934019</v>
      </c>
      <c r="D52" s="1560">
        <v>7.5990732021620593</v>
      </c>
      <c r="E52" s="1124">
        <v>5.0478728781371087</v>
      </c>
      <c r="F52" s="1125">
        <v>7.0907375867877178</v>
      </c>
    </row>
    <row r="53" spans="1:6">
      <c r="A53" s="2555">
        <f t="shared" si="0"/>
        <v>2004.08</v>
      </c>
      <c r="B53" s="1556">
        <v>6.4704657009250131</v>
      </c>
      <c r="C53" s="1570">
        <v>9.5266650620934019</v>
      </c>
      <c r="D53" s="1560">
        <v>7.6119561623214063</v>
      </c>
      <c r="E53" s="1124">
        <v>5.2552754149492937</v>
      </c>
      <c r="F53" s="1125">
        <v>7.1423875058555177</v>
      </c>
    </row>
    <row r="54" spans="1:6">
      <c r="A54" s="2555">
        <f t="shared" si="0"/>
        <v>2004.09</v>
      </c>
      <c r="B54" s="1556">
        <v>6.4892790098126847</v>
      </c>
      <c r="C54" s="1570">
        <v>9.5266650620934019</v>
      </c>
      <c r="D54" s="1560">
        <v>7.6237427003395331</v>
      </c>
      <c r="E54" s="1124">
        <v>5.3033152007587976</v>
      </c>
      <c r="F54" s="1125">
        <v>7.1613985909054074</v>
      </c>
    </row>
    <row r="55" spans="1:6">
      <c r="A55" s="2555">
        <f t="shared" si="0"/>
        <v>2004.1</v>
      </c>
      <c r="B55" s="1556">
        <v>6.5269056275880279</v>
      </c>
      <c r="C55" s="1570">
        <v>9.5266650620934019</v>
      </c>
      <c r="D55" s="1560">
        <v>7.6473157763757857</v>
      </c>
      <c r="E55" s="1124">
        <v>5.2391081793403247</v>
      </c>
      <c r="F55" s="1125">
        <v>7.1674756430128177</v>
      </c>
    </row>
    <row r="56" spans="1:6">
      <c r="A56" s="2555">
        <f t="shared" si="0"/>
        <v>2004.11</v>
      </c>
      <c r="B56" s="1556">
        <v>6.5422187859849696</v>
      </c>
      <c r="C56" s="1570">
        <v>9.5438954203174831</v>
      </c>
      <c r="D56" s="1560">
        <v>7.6633450089081636</v>
      </c>
      <c r="E56" s="1124">
        <v>5.3065486478805903</v>
      </c>
      <c r="F56" s="1125">
        <v>7.1937512087896209</v>
      </c>
    </row>
    <row r="57" spans="1:6">
      <c r="A57" s="2555">
        <f t="shared" si="0"/>
        <v>2004.12</v>
      </c>
      <c r="B57" s="1556">
        <v>6.5719700651561714</v>
      </c>
      <c r="C57" s="1570">
        <v>9.5438954203174831</v>
      </c>
      <c r="D57" s="1560">
        <v>7.681984185308921</v>
      </c>
      <c r="E57" s="1124">
        <v>5.3698318272642638</v>
      </c>
      <c r="F57" s="1125">
        <v>7.221286788073062</v>
      </c>
    </row>
    <row r="58" spans="1:6">
      <c r="A58" s="2555">
        <f t="shared" si="0"/>
        <v>2005.01</v>
      </c>
      <c r="B58" s="1556">
        <v>6.9276728587765666</v>
      </c>
      <c r="C58" s="1570">
        <v>9.6937995368669707</v>
      </c>
      <c r="D58" s="1560">
        <v>7.9608211730433318</v>
      </c>
      <c r="E58" s="1124">
        <v>5.4234146652825563</v>
      </c>
      <c r="F58" s="1125">
        <v>7.45522269023005</v>
      </c>
    </row>
    <row r="59" spans="1:6">
      <c r="A59" s="2555">
        <f t="shared" si="0"/>
        <v>2005.02</v>
      </c>
      <c r="B59" s="1556">
        <v>7.054115795254174</v>
      </c>
      <c r="C59" s="1570">
        <v>10.121973938735339</v>
      </c>
      <c r="D59" s="1560">
        <v>8.1999608118443899</v>
      </c>
      <c r="E59" s="1124">
        <v>5.392927878134218</v>
      </c>
      <c r="F59" s="1125">
        <v>7.640637414087383</v>
      </c>
    </row>
    <row r="60" spans="1:6">
      <c r="A60" s="2555">
        <f t="shared" si="0"/>
        <v>2005.03</v>
      </c>
      <c r="B60" s="1556">
        <v>7.1175560228986487</v>
      </c>
      <c r="C60" s="1570">
        <v>10.133173671580993</v>
      </c>
      <c r="D60" s="1560">
        <v>8.2438892146815039</v>
      </c>
      <c r="E60" s="1124">
        <v>5.431267322578341</v>
      </c>
      <c r="F60" s="1125">
        <v>7.6834499236457008</v>
      </c>
    </row>
    <row r="61" spans="1:6">
      <c r="A61" s="2555">
        <f t="shared" si="0"/>
        <v>2005.04</v>
      </c>
      <c r="B61" s="1556">
        <v>7.2264982069226065</v>
      </c>
      <c r="C61" s="1570">
        <v>10.133173671580993</v>
      </c>
      <c r="D61" s="1560">
        <v>8.3121414929725148</v>
      </c>
      <c r="E61" s="1124">
        <v>5.5629148125370786</v>
      </c>
      <c r="F61" s="1125">
        <v>7.7643326679008942</v>
      </c>
    </row>
    <row r="62" spans="1:6">
      <c r="A62" s="2555">
        <f t="shared" si="0"/>
        <v>2005.05</v>
      </c>
      <c r="B62" s="1556">
        <v>7.3678167829858152</v>
      </c>
      <c r="C62" s="1570">
        <v>10.133173671580993</v>
      </c>
      <c r="D62" s="1560">
        <v>8.4006775808761134</v>
      </c>
      <c r="E62" s="1124">
        <v>5.6913288553740209</v>
      </c>
      <c r="F62" s="1125">
        <v>7.8608109843916019</v>
      </c>
    </row>
    <row r="63" spans="1:6">
      <c r="A63" s="2555">
        <f t="shared" si="0"/>
        <v>2005.06</v>
      </c>
      <c r="B63" s="1556">
        <v>7.4688836284056332</v>
      </c>
      <c r="C63" s="1570">
        <v>10.133173671580993</v>
      </c>
      <c r="D63" s="1560">
        <v>8.4639959595316299</v>
      </c>
      <c r="E63" s="1124">
        <v>5.7162725903135723</v>
      </c>
      <c r="F63" s="1125">
        <v>7.9164774004276346</v>
      </c>
    </row>
    <row r="64" spans="1:6">
      <c r="A64" s="2555">
        <f t="shared" si="0"/>
        <v>2005.07</v>
      </c>
      <c r="B64" s="1556">
        <v>7.6172025054503001</v>
      </c>
      <c r="C64" s="1570">
        <v>10.328738237424293</v>
      </c>
      <c r="D64" s="1560">
        <v>8.6299611013425874</v>
      </c>
      <c r="E64" s="1124">
        <v>5.7176583533657697</v>
      </c>
      <c r="F64" s="1125">
        <v>8.0496436933732749</v>
      </c>
    </row>
    <row r="65" spans="1:6">
      <c r="A65" s="2555">
        <f t="shared" si="0"/>
        <v>2005.08</v>
      </c>
      <c r="B65" s="1556">
        <v>7.7904599547414159</v>
      </c>
      <c r="C65" s="1570">
        <v>10.470027174861743</v>
      </c>
      <c r="D65" s="1560">
        <v>8.7912783114563577</v>
      </c>
      <c r="E65" s="1124">
        <v>5.6663851204344731</v>
      </c>
      <c r="F65" s="1125">
        <v>8.1685903958020329</v>
      </c>
    </row>
    <row r="66" spans="1:6">
      <c r="A66" s="2555">
        <f t="shared" si="0"/>
        <v>2005.09</v>
      </c>
      <c r="B66" s="1556">
        <v>7.9120901842942706</v>
      </c>
      <c r="C66" s="1570">
        <v>10.687991206396344</v>
      </c>
      <c r="D66" s="1560">
        <v>8.9488892160493947</v>
      </c>
      <c r="E66" s="1124">
        <v>5.8155856090543745</v>
      </c>
      <c r="F66" s="1125">
        <v>8.3245288181596884</v>
      </c>
    </row>
    <row r="67" spans="1:6">
      <c r="A67" s="2555">
        <f t="shared" si="0"/>
        <v>2005.1</v>
      </c>
      <c r="B67" s="1556">
        <v>8.0765972573585607</v>
      </c>
      <c r="C67" s="1570">
        <v>10.774142997516741</v>
      </c>
      <c r="D67" s="1560">
        <v>9.0841305913076411</v>
      </c>
      <c r="E67" s="1124">
        <v>5.8068091097237913</v>
      </c>
      <c r="F67" s="1125">
        <v>8.431064410416262</v>
      </c>
    </row>
    <row r="68" spans="1:6">
      <c r="A68" s="2555">
        <f t="shared" si="0"/>
        <v>2005.11</v>
      </c>
      <c r="B68" s="1556">
        <v>8.151850492909249</v>
      </c>
      <c r="C68" s="1570">
        <v>10.774142997516741</v>
      </c>
      <c r="D68" s="1560">
        <v>9.1312767433801465</v>
      </c>
      <c r="E68" s="1124">
        <v>5.9592430454654863</v>
      </c>
      <c r="F68" s="1125">
        <v>8.4991915167618064</v>
      </c>
    </row>
    <row r="69" spans="1:6">
      <c r="A69" s="2555">
        <f t="shared" si="0"/>
        <v>2005.12</v>
      </c>
      <c r="B69" s="1556">
        <v>8.2778559105755143</v>
      </c>
      <c r="C69" s="1570">
        <v>10.774142997516741</v>
      </c>
      <c r="D69" s="1560">
        <v>9.2102191375480622</v>
      </c>
      <c r="E69" s="1124">
        <v>6.0456222757191131</v>
      </c>
      <c r="F69" s="1125">
        <v>8.5796112148527541</v>
      </c>
    </row>
    <row r="70" spans="1:6">
      <c r="A70" s="2555">
        <f t="shared" si="0"/>
        <v>2006.01</v>
      </c>
      <c r="B70" s="1556">
        <v>8.3990486213170268</v>
      </c>
      <c r="C70" s="1570">
        <v>10.837895322945833</v>
      </c>
      <c r="D70" s="1560">
        <v>9.3099578643753844</v>
      </c>
      <c r="E70" s="1124">
        <v>6.2909023359580232</v>
      </c>
      <c r="F70" s="1125">
        <v>8.7083541151021535</v>
      </c>
    </row>
    <row r="71" spans="1:6">
      <c r="A71" s="2555">
        <f t="shared" si="0"/>
        <v>2006.02</v>
      </c>
      <c r="B71" s="1556">
        <v>8.5128035122657391</v>
      </c>
      <c r="C71" s="1570">
        <v>10.837895322945833</v>
      </c>
      <c r="D71" s="1560">
        <v>9.3812253035547535</v>
      </c>
      <c r="E71" s="1124">
        <v>6.3426374899067204</v>
      </c>
      <c r="F71" s="1125">
        <v>8.7757243845840023</v>
      </c>
    </row>
    <row r="72" spans="1:6">
      <c r="A72" s="2555">
        <f t="shared" si="0"/>
        <v>2006.03</v>
      </c>
      <c r="B72" s="1556">
        <v>8.6134328388742141</v>
      </c>
      <c r="C72" s="1570">
        <v>10.854264163258707</v>
      </c>
      <c r="D72" s="1560">
        <v>9.4503833385318234</v>
      </c>
      <c r="E72" s="1124">
        <v>6.384210381472637</v>
      </c>
      <c r="F72" s="1125">
        <v>8.8393814522374807</v>
      </c>
    </row>
    <row r="73" spans="1:6">
      <c r="A73" s="2555">
        <f t="shared" si="0"/>
        <v>2006.04</v>
      </c>
      <c r="B73" s="1556">
        <v>8.784940212919965</v>
      </c>
      <c r="C73" s="1570">
        <v>10.871494521482788</v>
      </c>
      <c r="D73" s="1560">
        <v>9.5642682471681795</v>
      </c>
      <c r="E73" s="1124">
        <v>6.5315631860229431</v>
      </c>
      <c r="F73" s="1125">
        <v>8.959930565150529</v>
      </c>
    </row>
    <row r="74" spans="1:6">
      <c r="A74" s="2555">
        <f t="shared" si="0"/>
        <v>2006.05</v>
      </c>
      <c r="B74" s="1556">
        <v>8.9271338266058553</v>
      </c>
      <c r="C74" s="1570">
        <v>10.991245511140139</v>
      </c>
      <c r="D74" s="1560">
        <v>9.6980795407794105</v>
      </c>
      <c r="E74" s="1124">
        <v>6.6488911244423079</v>
      </c>
      <c r="F74" s="1125">
        <v>9.0904558609088646</v>
      </c>
    </row>
    <row r="75" spans="1:6">
      <c r="A75" s="2555">
        <f t="shared" si="0"/>
        <v>2006.06</v>
      </c>
      <c r="B75" s="1556">
        <v>9.0554580939722324</v>
      </c>
      <c r="C75" s="1570">
        <v>11.078258820171738</v>
      </c>
      <c r="D75" s="1560">
        <v>9.8109741652077496</v>
      </c>
      <c r="E75" s="1124">
        <v>6.7186411980695677</v>
      </c>
      <c r="F75" s="1125">
        <v>9.1947501838251036</v>
      </c>
    </row>
    <row r="76" spans="1:6">
      <c r="A76" s="2555">
        <f t="shared" si="0"/>
        <v>2006.07</v>
      </c>
      <c r="B76" s="1556">
        <v>9.2745237628107713</v>
      </c>
      <c r="C76" s="1570">
        <v>11.299668923351154</v>
      </c>
      <c r="D76" s="1560">
        <v>10.030915480272604</v>
      </c>
      <c r="E76" s="1124">
        <v>6.7107885407737848</v>
      </c>
      <c r="F76" s="1125">
        <v>9.3692922505764287</v>
      </c>
    </row>
    <row r="77" spans="1:6">
      <c r="A77" s="2555">
        <f t="shared" si="0"/>
        <v>2006.08</v>
      </c>
      <c r="B77" s="1556">
        <v>9.4364057230070149</v>
      </c>
      <c r="C77" s="1570">
        <v>11.419419913008506</v>
      </c>
      <c r="D77" s="1560">
        <v>10.177061522972572</v>
      </c>
      <c r="E77" s="1124">
        <v>6.788853192714229</v>
      </c>
      <c r="F77" s="1125">
        <v>9.5018680479491096</v>
      </c>
    </row>
    <row r="78" spans="1:6">
      <c r="A78" s="2555">
        <f t="shared" si="0"/>
        <v>2006.09</v>
      </c>
      <c r="B78" s="1556">
        <v>9.5365975308041495</v>
      </c>
      <c r="C78" s="1570">
        <v>11.853624940255301</v>
      </c>
      <c r="D78" s="1560">
        <v>10.402007268234154</v>
      </c>
      <c r="E78" s="1124">
        <v>6.9791646518826482</v>
      </c>
      <c r="F78" s="1125">
        <v>9.7199240562019344</v>
      </c>
    </row>
    <row r="79" spans="1:6">
      <c r="A79" s="2555">
        <f t="shared" si="0"/>
        <v>2006.1</v>
      </c>
      <c r="B79" s="1556">
        <v>9.6766035504333328</v>
      </c>
      <c r="C79" s="1570">
        <v>12.20340121220411</v>
      </c>
      <c r="D79" s="1560">
        <v>10.620362477104718</v>
      </c>
      <c r="E79" s="1124">
        <v>7.0817111177452423</v>
      </c>
      <c r="F79" s="1125">
        <v>9.9152066692342355</v>
      </c>
    </row>
    <row r="80" spans="1:6">
      <c r="A80" s="2555">
        <f t="shared" si="0"/>
        <v>2006.11</v>
      </c>
      <c r="B80" s="1556">
        <v>9.753606861229386</v>
      </c>
      <c r="C80" s="1570">
        <v>12.435149530317974</v>
      </c>
      <c r="D80" s="1560">
        <v>10.755163048133973</v>
      </c>
      <c r="E80" s="1124">
        <v>7.2771037081050522</v>
      </c>
      <c r="F80" s="1125">
        <v>10.062089195136103</v>
      </c>
    </row>
    <row r="81" spans="1:6">
      <c r="A81" s="2555">
        <f t="shared" si="0"/>
        <v>2006.12</v>
      </c>
      <c r="B81" s="1556">
        <v>9.8870500986884515</v>
      </c>
      <c r="C81" s="1570">
        <v>12.52991650055041</v>
      </c>
      <c r="D81" s="1560">
        <v>10.874160699783893</v>
      </c>
      <c r="E81" s="1124">
        <v>7.2932709437140195</v>
      </c>
      <c r="F81" s="1125">
        <v>10.160591253898959</v>
      </c>
    </row>
    <row r="82" spans="1:6">
      <c r="A82" s="2555">
        <f t="shared" si="0"/>
        <v>2007.01</v>
      </c>
      <c r="B82" s="1556">
        <v>9.979804086692786</v>
      </c>
      <c r="C82" s="1570">
        <v>12.627268024516454</v>
      </c>
      <c r="D82" s="1560">
        <v>10.968631867469925</v>
      </c>
      <c r="E82" s="1124">
        <v>7.5348556358137371</v>
      </c>
      <c r="F82" s="1125">
        <v>10.284382324235651</v>
      </c>
    </row>
    <row r="83" spans="1:6">
      <c r="A83" s="2555">
        <f t="shared" si="0"/>
        <v>2007.02</v>
      </c>
      <c r="B83" s="1556">
        <v>10.06862040539505</v>
      </c>
      <c r="C83" s="1570">
        <v>12.73926535297297</v>
      </c>
      <c r="D83" s="1560">
        <v>11.066106293315404</v>
      </c>
      <c r="E83" s="1124">
        <v>7.730248226173547</v>
      </c>
      <c r="F83" s="1125">
        <v>10.401372733896761</v>
      </c>
    </row>
    <row r="84" spans="1:6">
      <c r="A84" s="2555">
        <f t="shared" si="0"/>
        <v>2007.03</v>
      </c>
      <c r="B84" s="1556">
        <v>10.165749581512797</v>
      </c>
      <c r="C84" s="1570">
        <v>12.846390932620322</v>
      </c>
      <c r="D84" s="1560">
        <v>11.166969126151457</v>
      </c>
      <c r="E84" s="1124">
        <v>7.8337185340709397</v>
      </c>
      <c r="F84" s="1125">
        <v>10.502755621873895</v>
      </c>
    </row>
    <row r="85" spans="1:6">
      <c r="A85" s="2555">
        <f t="shared" si="0"/>
        <v>2007.04</v>
      </c>
      <c r="B85" s="1556">
        <v>10.330256654577092</v>
      </c>
      <c r="C85" s="1570">
        <v>12.983936439754894</v>
      </c>
      <c r="D85" s="1560">
        <v>11.321406054341001</v>
      </c>
      <c r="E85" s="1124">
        <v>7.9815332596386437</v>
      </c>
      <c r="F85" s="1125">
        <v>10.655871705712538</v>
      </c>
    </row>
    <row r="86" spans="1:6">
      <c r="A86" s="2555">
        <f t="shared" si="0"/>
        <v>2007.05</v>
      </c>
      <c r="B86" s="1556">
        <v>10.520577337510515</v>
      </c>
      <c r="C86" s="1570">
        <v>13.124363859281141</v>
      </c>
      <c r="D86" s="1560">
        <v>11.493091603391845</v>
      </c>
      <c r="E86" s="1124">
        <v>8.0018577844042031</v>
      </c>
      <c r="F86" s="1125">
        <v>10.797389079238021</v>
      </c>
    </row>
    <row r="87" spans="1:6">
      <c r="A87" s="2555">
        <f t="shared" si="0"/>
        <v>2007.06</v>
      </c>
      <c r="B87" s="1556">
        <v>10.757275014446103</v>
      </c>
      <c r="C87" s="1570">
        <v>13.735180058324749</v>
      </c>
      <c r="D87" s="1560">
        <v>11.869522548334777</v>
      </c>
      <c r="E87" s="1124">
        <v>8.0623694376834827</v>
      </c>
      <c r="F87" s="1125">
        <v>11.110871731621417</v>
      </c>
    </row>
    <row r="88" spans="1:6">
      <c r="A88" s="2555">
        <f t="shared" si="0"/>
        <v>2007.07</v>
      </c>
      <c r="B88" s="1556">
        <v>10.96072126171976</v>
      </c>
      <c r="C88" s="1570">
        <v>14.271905717004815</v>
      </c>
      <c r="D88" s="1560">
        <v>12.197448655768728</v>
      </c>
      <c r="E88" s="1124">
        <v>8.1755400869462562</v>
      </c>
      <c r="F88" s="1125">
        <v>11.39600992416316</v>
      </c>
    </row>
    <row r="89" spans="1:6">
      <c r="A89" s="2555">
        <f t="shared" si="0"/>
        <v>2007.08</v>
      </c>
      <c r="B89" s="1556">
        <v>11.16941773472951</v>
      </c>
      <c r="C89" s="1570">
        <v>15.366033464233848</v>
      </c>
      <c r="D89" s="1560">
        <v>12.73685370969938</v>
      </c>
      <c r="E89" s="1124">
        <v>8.467012248925073</v>
      </c>
      <c r="F89" s="1125">
        <v>11.886036086103434</v>
      </c>
    </row>
    <row r="90" spans="1:6">
      <c r="A90" s="2555">
        <f t="shared" si="0"/>
        <v>2007.09</v>
      </c>
      <c r="B90" s="1556">
        <v>11.361926011719637</v>
      </c>
      <c r="C90" s="1570">
        <v>15.411693913527655</v>
      </c>
      <c r="D90" s="1560">
        <v>12.874514323044933</v>
      </c>
      <c r="E90" s="1124">
        <v>8.593116686675021</v>
      </c>
      <c r="F90" s="1125">
        <v>12.021387892669022</v>
      </c>
    </row>
    <row r="91" spans="1:6">
      <c r="A91" s="2555">
        <f t="shared" si="0"/>
        <v>2007.1</v>
      </c>
      <c r="B91" s="1556">
        <v>11.570622484729389</v>
      </c>
      <c r="C91" s="1570">
        <v>15.617596694305405</v>
      </c>
      <c r="D91" s="1560">
        <v>13.082167352006032</v>
      </c>
      <c r="E91" s="1124">
        <v>8.753403279712499</v>
      </c>
      <c r="F91" s="1125">
        <v>12.219600683253708</v>
      </c>
    </row>
    <row r="92" spans="1:6">
      <c r="A92" s="2555">
        <f t="shared" si="0"/>
        <v>2007.11</v>
      </c>
      <c r="B92" s="1556">
        <v>11.713253617226622</v>
      </c>
      <c r="C92" s="1570">
        <v>15.891559390068265</v>
      </c>
      <c r="D92" s="1560">
        <v>13.273850823382976</v>
      </c>
      <c r="E92" s="1124">
        <v>8.8965987951062147</v>
      </c>
      <c r="F92" s="1125">
        <v>12.401625567834961</v>
      </c>
    </row>
    <row r="93" spans="1:6">
      <c r="A93" s="2555">
        <f t="shared" si="0"/>
        <v>2007.12</v>
      </c>
      <c r="B93" s="1556">
        <v>11.869010314064086</v>
      </c>
      <c r="C93" s="1570">
        <v>16.091431545467582</v>
      </c>
      <c r="D93" s="1560">
        <v>13.44608464399329</v>
      </c>
      <c r="E93" s="1124">
        <v>9.0531900200045001</v>
      </c>
      <c r="F93" s="1125">
        <v>12.570743519770797</v>
      </c>
    </row>
    <row r="94" spans="1:6">
      <c r="A94" s="2555">
        <f t="shared" si="0"/>
        <v>2008.01</v>
      </c>
      <c r="B94" s="1556">
        <v>11.514620076877716</v>
      </c>
      <c r="C94" s="1570">
        <v>16.091431545467582</v>
      </c>
      <c r="D94" s="1560">
        <v>13.224059160396031</v>
      </c>
      <c r="E94" s="1124">
        <v>9.2767597924256542</v>
      </c>
      <c r="F94" s="1125">
        <v>12.437538832441648</v>
      </c>
    </row>
    <row r="95" spans="1:6">
      <c r="A95" s="2555">
        <f t="shared" si="0"/>
        <v>2008.02</v>
      </c>
      <c r="B95" s="1556">
        <v>11.613499328240826</v>
      </c>
      <c r="C95" s="1570">
        <v>16.617818989213202</v>
      </c>
      <c r="D95" s="1560">
        <v>13.482612721614009</v>
      </c>
      <c r="E95" s="1124">
        <v>9.6726261043366613</v>
      </c>
      <c r="F95" s="1125">
        <v>12.723475305313563</v>
      </c>
    </row>
    <row r="96" spans="1:6">
      <c r="A96" s="2555">
        <f t="shared" si="0"/>
        <v>2008.03</v>
      </c>
      <c r="B96" s="1556">
        <v>11.747380084511233</v>
      </c>
      <c r="C96" s="1570">
        <v>16.642803008638118</v>
      </c>
      <c r="D96" s="1560">
        <v>13.575820546672626</v>
      </c>
      <c r="E96" s="1124">
        <v>9.9622505822458827</v>
      </c>
      <c r="F96" s="1125">
        <v>12.855824771316099</v>
      </c>
    </row>
    <row r="97" spans="1:6">
      <c r="A97" s="2555">
        <f t="shared" si="0"/>
        <v>2008.04</v>
      </c>
      <c r="B97" s="1556">
        <v>12.127583931566736</v>
      </c>
      <c r="C97" s="1570">
        <v>16.704832298244803</v>
      </c>
      <c r="D97" s="1560">
        <v>13.837186196520992</v>
      </c>
      <c r="E97" s="1124">
        <v>10.280976084251247</v>
      </c>
      <c r="F97" s="1125">
        <v>13.128609974070168</v>
      </c>
    </row>
    <row r="98" spans="1:6">
      <c r="A98" s="2555">
        <f t="shared" si="0"/>
        <v>2008.05</v>
      </c>
      <c r="B98" s="1556">
        <v>12.499037402395418</v>
      </c>
      <c r="C98" s="1570">
        <v>16.827167841635767</v>
      </c>
      <c r="D98" s="1560">
        <v>14.115594121451688</v>
      </c>
      <c r="E98" s="1124">
        <v>10.572448246230065</v>
      </c>
      <c r="F98" s="1125">
        <v>13.409611997948453</v>
      </c>
    </row>
    <row r="99" spans="1:6">
      <c r="A99" s="2555">
        <f t="shared" ref="A99:A162" si="1">A87+1</f>
        <v>2008.06</v>
      </c>
      <c r="B99" s="1556">
        <v>12.692858235819568</v>
      </c>
      <c r="C99" s="1570">
        <v>17.325125194311656</v>
      </c>
      <c r="D99" s="1560">
        <v>14.423009944816362</v>
      </c>
      <c r="E99" s="1124">
        <v>10.854220066843501</v>
      </c>
      <c r="F99" s="1125">
        <v>13.711928696027622</v>
      </c>
    </row>
    <row r="100" spans="1:6">
      <c r="A100" s="2555">
        <f t="shared" si="1"/>
        <v>2008.07</v>
      </c>
      <c r="B100" s="1556">
        <v>13.070874488818365</v>
      </c>
      <c r="C100" s="1570">
        <v>17.530166457178197</v>
      </c>
      <c r="D100" s="1560">
        <v>14.736420039000764</v>
      </c>
      <c r="E100" s="1124">
        <v>11.044069604994522</v>
      </c>
      <c r="F100" s="1125">
        <v>14.000706503208699</v>
      </c>
    </row>
    <row r="101" spans="1:6">
      <c r="A101" s="2555">
        <f t="shared" si="1"/>
        <v>2008.08</v>
      </c>
      <c r="B101" s="1556">
        <v>13.374950062700499</v>
      </c>
      <c r="C101" s="1570">
        <v>19.091236912279776</v>
      </c>
      <c r="D101" s="1560">
        <v>15.509983201018358</v>
      </c>
      <c r="E101" s="1124">
        <v>11.404367998565801</v>
      </c>
      <c r="F101" s="1125">
        <v>14.691954454027615</v>
      </c>
    </row>
    <row r="102" spans="1:6">
      <c r="A102" s="2555">
        <f t="shared" si="1"/>
        <v>2008.09</v>
      </c>
      <c r="B102" s="1556">
        <v>13.606397513899994</v>
      </c>
      <c r="C102" s="1570">
        <v>19.248894690030099</v>
      </c>
      <c r="D102" s="1560">
        <v>15.713870209184588</v>
      </c>
      <c r="E102" s="1124">
        <v>11.781295548763449</v>
      </c>
      <c r="F102" s="1125">
        <v>14.930325597628796</v>
      </c>
    </row>
    <row r="103" spans="1:6">
      <c r="A103" s="2555">
        <f t="shared" si="1"/>
        <v>2008.1</v>
      </c>
      <c r="B103" s="1556">
        <v>13.827782032438643</v>
      </c>
      <c r="C103" s="1570">
        <v>19.248894690030099</v>
      </c>
      <c r="D103" s="1560">
        <v>15.852567610049052</v>
      </c>
      <c r="E103" s="1124">
        <v>12.191943333231228</v>
      </c>
      <c r="F103" s="1125">
        <v>15.123214175572208</v>
      </c>
    </row>
    <row r="104" spans="1:6">
      <c r="A104" s="2555">
        <f t="shared" si="1"/>
        <v>2008.11</v>
      </c>
      <c r="B104" s="1556">
        <v>13.962100307520391</v>
      </c>
      <c r="C104" s="1570">
        <v>19.248894690030099</v>
      </c>
      <c r="D104" s="1560">
        <v>15.936718009387768</v>
      </c>
      <c r="E104" s="1124">
        <v>12.303266298424406</v>
      </c>
      <c r="F104" s="1125">
        <v>15.212774889316215</v>
      </c>
    </row>
    <row r="105" spans="1:6">
      <c r="A105" s="2555">
        <f t="shared" si="1"/>
        <v>2008.12</v>
      </c>
      <c r="B105" s="1556">
        <v>14.071042491544352</v>
      </c>
      <c r="C105" s="1570">
        <v>19.498734884279248</v>
      </c>
      <c r="D105" s="1560">
        <v>16.098285600230835</v>
      </c>
      <c r="E105" s="1124">
        <v>12.450619102974713</v>
      </c>
      <c r="F105" s="1125">
        <v>15.371514904869427</v>
      </c>
    </row>
    <row r="106" spans="1:6">
      <c r="A106" s="2555">
        <f t="shared" si="1"/>
        <v>2009.01</v>
      </c>
      <c r="B106" s="1556">
        <v>14.192235202285863</v>
      </c>
      <c r="C106" s="1570">
        <v>19.54439533357306</v>
      </c>
      <c r="D106" s="1560">
        <v>16.191267011321631</v>
      </c>
      <c r="E106" s="1124">
        <v>12.836995088837533</v>
      </c>
      <c r="F106" s="1125">
        <v>15.52296694294361</v>
      </c>
    </row>
    <row r="107" spans="1:6">
      <c r="A107" s="2555">
        <f t="shared" si="1"/>
        <v>2009.02</v>
      </c>
      <c r="B107" s="1556">
        <v>14.256550467553021</v>
      </c>
      <c r="C107" s="1570">
        <v>19.544395333573057</v>
      </c>
      <c r="D107" s="1560">
        <v>16.231560525011506</v>
      </c>
      <c r="E107" s="1124">
        <v>13.349774404105503</v>
      </c>
      <c r="F107" s="1125">
        <v>15.657424397534523</v>
      </c>
    </row>
    <row r="108" spans="1:6">
      <c r="A108" s="2555">
        <f t="shared" si="1"/>
        <v>2009.03</v>
      </c>
      <c r="B108" s="1556">
        <v>14.340991598141871</v>
      </c>
      <c r="C108" s="1570">
        <v>19.621931945581412</v>
      </c>
      <c r="D108" s="1560">
        <v>16.313422817910542</v>
      </c>
      <c r="E108" s="1124">
        <v>13.458068841922097</v>
      </c>
      <c r="F108" s="1125">
        <v>15.744554350746437</v>
      </c>
    </row>
    <row r="109" spans="1:6">
      <c r="A109" s="2555">
        <f t="shared" si="1"/>
        <v>2009.04</v>
      </c>
      <c r="B109" s="1556">
        <v>14.527374611773226</v>
      </c>
      <c r="C109" s="1570">
        <v>19.652946590384758</v>
      </c>
      <c r="D109" s="1560">
        <v>16.441775745784636</v>
      </c>
      <c r="E109" s="1124">
        <v>13.855320916885301</v>
      </c>
      <c r="F109" s="1125">
        <v>15.92649288918477</v>
      </c>
    </row>
    <row r="110" spans="1:6">
      <c r="A110" s="2555">
        <f t="shared" si="1"/>
        <v>2009.05</v>
      </c>
      <c r="B110" s="1556">
        <v>14.73344597191493</v>
      </c>
      <c r="C110" s="1570">
        <v>19.777005169598127</v>
      </c>
      <c r="D110" s="1560">
        <v>16.617215332249604</v>
      </c>
      <c r="E110" s="1124">
        <v>13.798042710727817</v>
      </c>
      <c r="F110" s="1125">
        <v>16.055548657987384</v>
      </c>
    </row>
    <row r="111" spans="1:6">
      <c r="A111" s="2555">
        <f t="shared" si="1"/>
        <v>2009.06</v>
      </c>
      <c r="B111" s="1556">
        <v>15.018708236909394</v>
      </c>
      <c r="C111" s="1570">
        <v>19.955339377217346</v>
      </c>
      <c r="D111" s="1560">
        <v>16.862539967814413</v>
      </c>
      <c r="E111" s="1124">
        <v>13.931075963738749</v>
      </c>
      <c r="F111" s="1125">
        <v>16.278489498932593</v>
      </c>
    </row>
    <row r="112" spans="1:6">
      <c r="A112" s="2555">
        <f t="shared" si="1"/>
        <v>2009.07</v>
      </c>
      <c r="B112" s="1556">
        <v>15.365660654302964</v>
      </c>
      <c r="C112" s="1570">
        <v>20.555817361326508</v>
      </c>
      <c r="D112" s="1560">
        <v>17.304184184376258</v>
      </c>
      <c r="E112" s="1124">
        <v>14.068728426923675</v>
      </c>
      <c r="F112" s="1125">
        <v>16.659557932457016</v>
      </c>
    </row>
    <row r="113" spans="1:6">
      <c r="A113" s="2555">
        <f t="shared" si="1"/>
        <v>2009.08</v>
      </c>
      <c r="B113" s="1556">
        <v>15.625109309428298</v>
      </c>
      <c r="C113" s="1570">
        <v>20.792734786907598</v>
      </c>
      <c r="D113" s="1560">
        <v>17.555217425266815</v>
      </c>
      <c r="E113" s="1124">
        <v>14.242410729465728</v>
      </c>
      <c r="F113" s="1125">
        <v>16.895174262755816</v>
      </c>
    </row>
    <row r="114" spans="1:6">
      <c r="A114" s="2555">
        <f t="shared" si="1"/>
        <v>2009.09</v>
      </c>
      <c r="B114" s="1556">
        <v>15.854806685382428</v>
      </c>
      <c r="C114" s="1570">
        <v>21.039990427423135</v>
      </c>
      <c r="D114" s="1560">
        <v>17.79147281303463</v>
      </c>
      <c r="E114" s="1124">
        <v>14.713108246195388</v>
      </c>
      <c r="F114" s="1125">
        <v>17.178154643696825</v>
      </c>
    </row>
    <row r="115" spans="1:6">
      <c r="A115" s="2555">
        <f t="shared" si="1"/>
        <v>2009.1</v>
      </c>
      <c r="B115" s="1556">
        <v>16.154507071151151</v>
      </c>
      <c r="C115" s="1570">
        <v>21.730066274297503</v>
      </c>
      <c r="D115" s="1560">
        <v>18.236978433526314</v>
      </c>
      <c r="E115" s="1124">
        <v>14.543121311792527</v>
      </c>
      <c r="F115" s="1125">
        <v>17.501007646972049</v>
      </c>
    </row>
    <row r="116" spans="1:6">
      <c r="A116" s="2555">
        <f t="shared" si="1"/>
        <v>2009.11</v>
      </c>
      <c r="B116" s="1556">
        <v>16.287512789798875</v>
      </c>
      <c r="C116" s="1570">
        <v>21.730066274297503</v>
      </c>
      <c r="D116" s="1560">
        <v>18.320306516259112</v>
      </c>
      <c r="E116" s="1124">
        <v>14.939911465738335</v>
      </c>
      <c r="F116" s="1125">
        <v>17.646803593127146</v>
      </c>
    </row>
    <row r="117" spans="1:6">
      <c r="A117" s="2555">
        <f t="shared" si="1"/>
        <v>2009.12</v>
      </c>
      <c r="B117" s="1556">
        <v>16.504084601412771</v>
      </c>
      <c r="C117" s="1570">
        <v>21.730066274297503</v>
      </c>
      <c r="D117" s="1560">
        <v>18.455988756235218</v>
      </c>
      <c r="E117" s="1124">
        <v>15.130684845924153</v>
      </c>
      <c r="F117" s="1125">
        <v>17.793457148503713</v>
      </c>
    </row>
    <row r="118" spans="1:6">
      <c r="A118" s="2555">
        <f t="shared" si="1"/>
        <v>2010.01</v>
      </c>
      <c r="B118" s="1556">
        <v>16.746470022895792</v>
      </c>
      <c r="C118" s="1570">
        <v>21.773142169857703</v>
      </c>
      <c r="D118" s="1560">
        <v>18.623932069786068</v>
      </c>
      <c r="E118" s="1124">
        <v>15.542856969749351</v>
      </c>
      <c r="F118" s="1125">
        <v>18.010067580560015</v>
      </c>
    </row>
    <row r="119" spans="1:6">
      <c r="A119" s="2555">
        <f t="shared" si="1"/>
        <v>2010.02</v>
      </c>
      <c r="B119" s="1556">
        <v>16.998918377039665</v>
      </c>
      <c r="C119" s="1570">
        <v>21.854124853510875</v>
      </c>
      <c r="D119" s="1560">
        <v>18.812337996001663</v>
      </c>
      <c r="E119" s="1124">
        <v>15.745501720082327</v>
      </c>
      <c r="F119" s="1125">
        <v>18.201304694420607</v>
      </c>
    </row>
    <row r="120" spans="1:6">
      <c r="A120" s="2555">
        <f t="shared" si="1"/>
        <v>2010.03</v>
      </c>
      <c r="B120" s="1556">
        <v>17.381747336963215</v>
      </c>
      <c r="C120" s="1570">
        <v>22.464079534643279</v>
      </c>
      <c r="D120" s="1560">
        <v>19.279998412796719</v>
      </c>
      <c r="E120" s="1124">
        <v>15.805089531326809</v>
      </c>
      <c r="F120" s="1125">
        <v>18.587644996625986</v>
      </c>
    </row>
    <row r="121" spans="1:6">
      <c r="A121" s="2555">
        <f t="shared" si="1"/>
        <v>2010.04</v>
      </c>
      <c r="B121" s="1556">
        <v>17.75845103352799</v>
      </c>
      <c r="C121" s="1570">
        <v>22.464079534643279</v>
      </c>
      <c r="D121" s="1560">
        <v>19.516003278694551</v>
      </c>
      <c r="E121" s="1124">
        <v>15.988010254216842</v>
      </c>
      <c r="F121" s="1125">
        <v>18.813055670894858</v>
      </c>
    </row>
    <row r="122" spans="1:6">
      <c r="A122" s="2555">
        <f t="shared" si="1"/>
        <v>2010.05</v>
      </c>
      <c r="B122" s="1556">
        <v>18.143467587508248</v>
      </c>
      <c r="C122" s="1570">
        <v>22.759580178186241</v>
      </c>
      <c r="D122" s="1560">
        <v>19.867585640126478</v>
      </c>
      <c r="E122" s="1124">
        <v>16.339070227440143</v>
      </c>
      <c r="F122" s="1125">
        <v>19.164530469518464</v>
      </c>
    </row>
    <row r="123" spans="1:6">
      <c r="A123" s="2555">
        <f t="shared" si="1"/>
        <v>2010.06</v>
      </c>
      <c r="B123" s="1556">
        <v>18.577996162095214</v>
      </c>
      <c r="C123" s="1570">
        <v>24.54464529020084</v>
      </c>
      <c r="D123" s="1560">
        <v>20.806539611442666</v>
      </c>
      <c r="E123" s="1124">
        <v>16.839958711913198</v>
      </c>
      <c r="F123" s="1125">
        <v>20.016230052490329</v>
      </c>
    </row>
    <row r="124" spans="1:6">
      <c r="A124" s="2555">
        <f t="shared" si="1"/>
        <v>2010.07</v>
      </c>
      <c r="B124" s="1556">
        <v>19.316018001902663</v>
      </c>
      <c r="C124" s="1570">
        <v>24.696272442572742</v>
      </c>
      <c r="D124" s="1560">
        <v>21.325543035492938</v>
      </c>
      <c r="E124" s="1124">
        <v>17.229078329858282</v>
      </c>
      <c r="F124" s="1125">
        <v>20.509325028468638</v>
      </c>
    </row>
    <row r="125" spans="1:6">
      <c r="A125" s="2555">
        <f t="shared" si="1"/>
        <v>2010.08</v>
      </c>
      <c r="B125" s="1556">
        <v>19.900290926220563</v>
      </c>
      <c r="C125" s="1570">
        <v>25.270203932858536</v>
      </c>
      <c r="D125" s="1560">
        <v>21.905953434199844</v>
      </c>
      <c r="E125" s="1124">
        <v>17.38998011280604</v>
      </c>
      <c r="F125" s="1125">
        <v>21.006126961392464</v>
      </c>
    </row>
    <row r="126" spans="1:6">
      <c r="A126" s="2555">
        <f t="shared" si="1"/>
        <v>2010.09</v>
      </c>
      <c r="B126" s="1556">
        <v>20.337129714787821</v>
      </c>
      <c r="C126" s="1570">
        <v>25.627319600268656</v>
      </c>
      <c r="D126" s="1560">
        <v>22.313015637014914</v>
      </c>
      <c r="E126" s="1124">
        <v>17.907164415138112</v>
      </c>
      <c r="F126" s="1125">
        <v>21.435133425314952</v>
      </c>
    </row>
    <row r="127" spans="1:6">
      <c r="A127" s="2555">
        <f t="shared" si="1"/>
        <v>2010.1</v>
      </c>
      <c r="B127" s="1556">
        <v>20.779739486264145</v>
      </c>
      <c r="C127" s="1570">
        <v>26.463225237739721</v>
      </c>
      <c r="D127" s="1560">
        <v>22.902521414440272</v>
      </c>
      <c r="E127" s="1124">
        <v>17.842037502992593</v>
      </c>
      <c r="F127" s="1125">
        <v>21.894186069264471</v>
      </c>
    </row>
    <row r="128" spans="1:6">
      <c r="A128" s="2555">
        <f t="shared" si="1"/>
        <v>2010.11</v>
      </c>
      <c r="B128" s="1556">
        <v>20.988539493032363</v>
      </c>
      <c r="C128" s="1570">
        <v>26.463225237739721</v>
      </c>
      <c r="D128" s="1560">
        <v>23.033334618680566</v>
      </c>
      <c r="E128" s="1124">
        <v>18.338972261212191</v>
      </c>
      <c r="F128" s="1125">
        <v>22.097959249972572</v>
      </c>
    </row>
    <row r="129" spans="1:6">
      <c r="A129" s="2555">
        <f t="shared" si="1"/>
        <v>2010.12</v>
      </c>
      <c r="B129" s="1556">
        <v>21.332364474653676</v>
      </c>
      <c r="C129" s="1570">
        <v>26.463225237739721</v>
      </c>
      <c r="D129" s="1560">
        <v>23.248740969666315</v>
      </c>
      <c r="E129" s="1124">
        <v>18.641620852947259</v>
      </c>
      <c r="F129" s="1125">
        <v>22.330739725086623</v>
      </c>
    </row>
    <row r="130" spans="1:6">
      <c r="A130" s="2555">
        <f t="shared" si="1"/>
        <v>2011.01</v>
      </c>
      <c r="B130" s="1556">
        <v>21.676941658514281</v>
      </c>
      <c r="C130" s="1570">
        <v>26.571512372263385</v>
      </c>
      <c r="D130" s="1560">
        <v>23.505063820099572</v>
      </c>
      <c r="E130" s="1124">
        <v>19.401252399652996</v>
      </c>
      <c r="F130" s="1125">
        <v>22.687362889705582</v>
      </c>
    </row>
    <row r="131" spans="1:6">
      <c r="A131" s="2555">
        <f t="shared" si="1"/>
        <v>2011.02</v>
      </c>
      <c r="B131" s="1556">
        <v>21.890098773641292</v>
      </c>
      <c r="C131" s="1570">
        <v>26.594625508613955</v>
      </c>
      <c r="D131" s="1560">
        <v>23.647239509153582</v>
      </c>
      <c r="E131" s="1124">
        <v>19.933213396337418</v>
      </c>
      <c r="F131" s="1125">
        <v>22.907215464374953</v>
      </c>
    </row>
    <row r="132" spans="1:6">
      <c r="A132" s="2555">
        <f t="shared" si="1"/>
        <v>2011.03</v>
      </c>
      <c r="B132" s="1556">
        <v>22.244270130375028</v>
      </c>
      <c r="C132" s="1570">
        <v>26.83269822349191</v>
      </c>
      <c r="D132" s="1560">
        <v>23.958048023154184</v>
      </c>
      <c r="E132" s="1124">
        <v>20.222727148648175</v>
      </c>
      <c r="F132" s="1125">
        <v>23.213775456768122</v>
      </c>
    </row>
    <row r="133" spans="1:6">
      <c r="A133" s="2555">
        <f t="shared" si="1"/>
        <v>2011.04</v>
      </c>
      <c r="B133" s="1556">
        <v>22.757660109887798</v>
      </c>
      <c r="C133" s="1570">
        <v>26.856768578676739</v>
      </c>
      <c r="D133" s="1560">
        <v>24.288677122980467</v>
      </c>
      <c r="E133" s="1124">
        <v>20.690655803139101</v>
      </c>
      <c r="F133" s="1125">
        <v>23.571749494567552</v>
      </c>
    </row>
    <row r="134" spans="1:6">
      <c r="A134" s="2555">
        <f t="shared" si="1"/>
        <v>2011.05</v>
      </c>
      <c r="B134" s="1556">
        <v>23.67775731803258</v>
      </c>
      <c r="C134" s="1570">
        <v>27.004204208644168</v>
      </c>
      <c r="D134" s="1560">
        <v>24.920185231676005</v>
      </c>
      <c r="E134" s="1124">
        <v>21.154753462797942</v>
      </c>
      <c r="F134" s="1125">
        <v>24.16986291466624</v>
      </c>
    </row>
    <row r="135" spans="1:6">
      <c r="A135" s="2555">
        <f t="shared" si="1"/>
        <v>2011.06</v>
      </c>
      <c r="B135" s="1556">
        <v>24.697871978557259</v>
      </c>
      <c r="C135" s="1570">
        <v>27.454269735818745</v>
      </c>
      <c r="D135" s="1560">
        <v>25.727386540894422</v>
      </c>
      <c r="E135" s="1124">
        <v>22.031503994370414</v>
      </c>
      <c r="F135" s="1125">
        <v>24.990903408505734</v>
      </c>
    </row>
    <row r="136" spans="1:6">
      <c r="A136" s="2555">
        <f t="shared" si="1"/>
        <v>2011.07</v>
      </c>
      <c r="B136" s="1556">
        <v>25.892440434932602</v>
      </c>
      <c r="C136" s="1570">
        <v>28.287751750832097</v>
      </c>
      <c r="D136" s="1560">
        <v>26.787089211421062</v>
      </c>
      <c r="E136" s="1124">
        <v>22.589734669903446</v>
      </c>
      <c r="F136" s="1125">
        <v>25.950648790547831</v>
      </c>
    </row>
    <row r="137" spans="1:6">
      <c r="A137" s="2555">
        <f t="shared" si="1"/>
        <v>2011.08</v>
      </c>
      <c r="B137" s="1556">
        <v>26.64444050132035</v>
      </c>
      <c r="C137" s="1570">
        <v>28.498977394939612</v>
      </c>
      <c r="D137" s="1560">
        <v>27.337110031087139</v>
      </c>
      <c r="E137" s="1124">
        <v>22.815216080020715</v>
      </c>
      <c r="F137" s="1125">
        <v>26.435968059036853</v>
      </c>
    </row>
    <row r="138" spans="1:6">
      <c r="A138" s="2555">
        <f t="shared" si="1"/>
        <v>2011.09</v>
      </c>
      <c r="B138" s="1556">
        <v>27.388947731322254</v>
      </c>
      <c r="C138" s="1570">
        <v>28.512546280103177</v>
      </c>
      <c r="D138" s="1560">
        <v>27.808611789291927</v>
      </c>
      <c r="E138" s="1124">
        <v>22.988705417416764</v>
      </c>
      <c r="F138" s="1125">
        <v>26.848047764101267</v>
      </c>
    </row>
    <row r="139" spans="1:6">
      <c r="A139" s="2555">
        <f t="shared" si="1"/>
        <v>2011.1</v>
      </c>
      <c r="B139" s="1556">
        <v>27.697863783032648</v>
      </c>
      <c r="C139" s="1570">
        <v>28.974397702831919</v>
      </c>
      <c r="D139" s="1560">
        <v>28.174649202077674</v>
      </c>
      <c r="E139" s="1124">
        <v>23.236078226574541</v>
      </c>
      <c r="F139" s="1125">
        <v>27.190441217042508</v>
      </c>
    </row>
    <row r="140" spans="1:6">
      <c r="A140" s="2555">
        <f t="shared" si="1"/>
        <v>2011.11</v>
      </c>
      <c r="B140" s="1556">
        <v>28.087492137956197</v>
      </c>
      <c r="C140" s="1570">
        <v>29.010514343720605</v>
      </c>
      <c r="D140" s="1560">
        <v>28.432240931809201</v>
      </c>
      <c r="E140" s="1124">
        <v>24.198752499381019</v>
      </c>
      <c r="F140" s="1125">
        <v>27.588542269732297</v>
      </c>
    </row>
    <row r="141" spans="1:6">
      <c r="A141" s="2555">
        <f t="shared" si="1"/>
        <v>2011.12</v>
      </c>
      <c r="B141" s="1556">
        <v>28.966226274445049</v>
      </c>
      <c r="C141" s="1570">
        <v>29.025351086388611</v>
      </c>
      <c r="D141" s="1560">
        <v>28.988309391705972</v>
      </c>
      <c r="E141" s="1124">
        <v>24.749321185249869</v>
      </c>
      <c r="F141" s="1125">
        <v>28.143481321420769</v>
      </c>
    </row>
    <row r="142" spans="1:6">
      <c r="A142" s="2555">
        <f t="shared" si="1"/>
        <v>2012.01</v>
      </c>
      <c r="B142" s="1556">
        <v>29.194455942402687</v>
      </c>
      <c r="C142" s="1570">
        <v>29.025351086388611</v>
      </c>
      <c r="D142" s="1560">
        <v>29.131295278681428</v>
      </c>
      <c r="E142" s="1124">
        <v>25.427954555505718</v>
      </c>
      <c r="F142" s="1125">
        <v>28.393212953560315</v>
      </c>
    </row>
    <row r="143" spans="1:6">
      <c r="A143" s="2555">
        <f t="shared" si="1"/>
        <v>2012.02</v>
      </c>
      <c r="B143" s="1556">
        <v>29.578389050178011</v>
      </c>
      <c r="C143" s="1570">
        <v>29.04088010520584</v>
      </c>
      <c r="D143" s="1560">
        <v>29.377629459230903</v>
      </c>
      <c r="E143" s="1124">
        <v>25.993299935726917</v>
      </c>
      <c r="F143" s="1125">
        <v>28.703111864226731</v>
      </c>
    </row>
    <row r="144" spans="1:6">
      <c r="A144" s="2555">
        <f t="shared" si="1"/>
        <v>2012.03</v>
      </c>
      <c r="B144" s="1556">
        <v>30.006200751304878</v>
      </c>
      <c r="C144" s="1570">
        <v>29.4118056128635</v>
      </c>
      <c r="D144" s="1560">
        <v>29.78419416709702</v>
      </c>
      <c r="E144" s="1124">
        <v>26.613921098525406</v>
      </c>
      <c r="F144" s="1125">
        <v>29.152335830598112</v>
      </c>
    </row>
    <row r="145" spans="1:6">
      <c r="A145" s="2555">
        <f t="shared" si="1"/>
        <v>2012.04</v>
      </c>
      <c r="B145" s="1556">
        <v>30.743258393569718</v>
      </c>
      <c r="C145" s="1570">
        <v>30.848760291922975</v>
      </c>
      <c r="D145" s="1560">
        <v>30.782663352604658</v>
      </c>
      <c r="E145" s="1124">
        <v>27.153544084874003</v>
      </c>
      <c r="F145" s="1125">
        <v>30.059383949644122</v>
      </c>
    </row>
    <row r="146" spans="1:6">
      <c r="A146" s="2555">
        <f t="shared" si="1"/>
        <v>2012.05</v>
      </c>
      <c r="B146" s="1556">
        <v>31.91137342053959</v>
      </c>
      <c r="C146" s="1570">
        <v>30.879220218326697</v>
      </c>
      <c r="D146" s="1560">
        <v>31.52586419951307</v>
      </c>
      <c r="E146" s="1124">
        <v>27.444108233215935</v>
      </c>
      <c r="F146" s="1125">
        <v>30.71233044592411</v>
      </c>
    </row>
    <row r="147" spans="1:6">
      <c r="A147" s="2555">
        <f t="shared" si="1"/>
        <v>2012.06</v>
      </c>
      <c r="B147" s="1556">
        <v>32.535459047164785</v>
      </c>
      <c r="C147" s="1570">
        <v>31.573308584872503</v>
      </c>
      <c r="D147" s="1560">
        <v>32.176095849498616</v>
      </c>
      <c r="E147" s="1124">
        <v>27.878565274604533</v>
      </c>
      <c r="F147" s="1125">
        <v>31.319560915021903</v>
      </c>
    </row>
    <row r="148" spans="1:6">
      <c r="A148" s="2555">
        <f t="shared" si="1"/>
        <v>2012.07</v>
      </c>
      <c r="B148" s="1556">
        <v>33.442381509501892</v>
      </c>
      <c r="C148" s="1570">
        <v>31.955828395768862</v>
      </c>
      <c r="D148" s="1560">
        <v>32.887153921522604</v>
      </c>
      <c r="E148" s="1124">
        <v>28.942985026006596</v>
      </c>
      <c r="F148" s="1125">
        <v>32.101023754023728</v>
      </c>
    </row>
    <row r="149" spans="1:6">
      <c r="A149" s="2555">
        <f t="shared" si="1"/>
        <v>2012.08</v>
      </c>
      <c r="B149" s="1556">
        <v>34.103358897306904</v>
      </c>
      <c r="C149" s="1570">
        <v>32.628322902022127</v>
      </c>
      <c r="D149" s="1560">
        <v>33.552432953068042</v>
      </c>
      <c r="E149" s="1124">
        <v>29.741299839558142</v>
      </c>
      <c r="F149" s="1125">
        <v>32.792817260907896</v>
      </c>
    </row>
    <row r="150" spans="1:6">
      <c r="A150" s="2555">
        <f t="shared" si="1"/>
        <v>2012.09</v>
      </c>
      <c r="B150" s="1556">
        <v>34.499945329989906</v>
      </c>
      <c r="C150" s="1570">
        <v>33.084878805350037</v>
      </c>
      <c r="D150" s="1560">
        <v>33.971417983036915</v>
      </c>
      <c r="E150" s="1124">
        <v>30.303378636854635</v>
      </c>
      <c r="F150" s="1125">
        <v>33.240323190528258</v>
      </c>
    </row>
    <row r="151" spans="1:6">
      <c r="A151" s="2555">
        <f t="shared" si="1"/>
        <v>2012.1</v>
      </c>
      <c r="B151" s="1556">
        <v>34.951869404442633</v>
      </c>
      <c r="C151" s="1570">
        <v>33.467398616246385</v>
      </c>
      <c r="D151" s="1560">
        <v>34.397419565051329</v>
      </c>
      <c r="E151" s="1124">
        <v>30.838303869064344</v>
      </c>
      <c r="F151" s="1125">
        <v>33.688030580492239</v>
      </c>
    </row>
    <row r="152" spans="1:6">
      <c r="A152" s="2555">
        <f t="shared" si="1"/>
        <v>2012.11</v>
      </c>
      <c r="B152" s="1556">
        <v>35.794231284715067</v>
      </c>
      <c r="C152" s="1570">
        <v>33.914700008020347</v>
      </c>
      <c r="D152" s="1560">
        <v>35.092226352869588</v>
      </c>
      <c r="E152" s="1124">
        <v>31.902723620466407</v>
      </c>
      <c r="F152" s="1125">
        <v>34.456486002370916</v>
      </c>
    </row>
    <row r="153" spans="1:6">
      <c r="A153" s="2555">
        <f t="shared" si="1"/>
        <v>2012.12</v>
      </c>
      <c r="B153" s="1556">
        <v>36.138554389060005</v>
      </c>
      <c r="C153" s="1570">
        <v>34.18925051745402</v>
      </c>
      <c r="D153" s="1560">
        <v>35.410489393015169</v>
      </c>
      <c r="E153" s="1124">
        <v>33.0404579976028</v>
      </c>
      <c r="F153" s="1125">
        <v>34.938066990245233</v>
      </c>
    </row>
    <row r="154" spans="1:6">
      <c r="A154" s="2555">
        <f t="shared" si="1"/>
        <v>2013.01</v>
      </c>
      <c r="B154" s="1556">
        <v>36.418316911340263</v>
      </c>
      <c r="C154" s="1570">
        <v>34.284880470178109</v>
      </c>
      <c r="D154" s="1560">
        <v>35.621478400566197</v>
      </c>
      <c r="E154" s="1124">
        <v>33.244109735753703</v>
      </c>
      <c r="F154" s="1125">
        <v>35.147586581694256</v>
      </c>
    </row>
    <row r="155" spans="1:6">
      <c r="A155" s="2555">
        <f t="shared" si="1"/>
        <v>2013.02</v>
      </c>
      <c r="B155" s="1556">
        <v>36.704228060483828</v>
      </c>
      <c r="C155" s="1570">
        <v>34.340407539501768</v>
      </c>
      <c r="D155" s="1560">
        <v>35.821341095897033</v>
      </c>
      <c r="E155" s="1124">
        <v>33.638897068615982</v>
      </c>
      <c r="F155" s="1125">
        <v>35.386288875978835</v>
      </c>
    </row>
    <row r="156" spans="1:6">
      <c r="A156" s="2555">
        <f t="shared" si="1"/>
        <v>2013.03</v>
      </c>
      <c r="B156" s="1556">
        <v>37.189969582684718</v>
      </c>
      <c r="C156" s="1570">
        <v>36.253006593983542</v>
      </c>
      <c r="D156" s="1560">
        <v>36.840013906404828</v>
      </c>
      <c r="E156" s="1124">
        <v>34.44285932020302</v>
      </c>
      <c r="F156" s="1125">
        <v>36.362224877451588</v>
      </c>
    </row>
    <row r="157" spans="1:6">
      <c r="A157" s="2555">
        <f t="shared" si="1"/>
        <v>2013.04</v>
      </c>
      <c r="B157" s="1556">
        <v>37.801757955583305</v>
      </c>
      <c r="C157" s="1570">
        <v>37.169203237824007</v>
      </c>
      <c r="D157" s="1560">
        <v>37.565498768500213</v>
      </c>
      <c r="E157" s="1124">
        <v>35.527578981636303</v>
      </c>
      <c r="F157" s="1125">
        <v>37.15931696999386</v>
      </c>
    </row>
    <row r="158" spans="1:6">
      <c r="A158" s="2555">
        <f t="shared" si="1"/>
        <v>2013.05</v>
      </c>
      <c r="B158" s="1556">
        <v>39.652494641437336</v>
      </c>
      <c r="C158" s="1570">
        <v>38.205708531865746</v>
      </c>
      <c r="D158" s="1560">
        <v>39.112120029512347</v>
      </c>
      <c r="E158" s="1124">
        <v>35.994413427248112</v>
      </c>
      <c r="F158" s="1125">
        <v>38.490705330076565</v>
      </c>
    </row>
    <row r="159" spans="1:6">
      <c r="A159" s="2555">
        <f t="shared" si="1"/>
        <v>2013.06</v>
      </c>
      <c r="B159" s="1556">
        <v>40.71313277535701</v>
      </c>
      <c r="C159" s="1570">
        <v>38.582058668392804</v>
      </c>
      <c r="D159" s="1560">
        <v>39.917176596405881</v>
      </c>
      <c r="E159" s="1124">
        <v>36.638021056837175</v>
      </c>
      <c r="F159" s="1125">
        <v>39.263558744463012</v>
      </c>
    </row>
    <row r="160" spans="1:6">
      <c r="A160" s="2555">
        <f t="shared" si="1"/>
        <v>2013.07</v>
      </c>
      <c r="B160" s="1556">
        <v>41.752250715255116</v>
      </c>
      <c r="C160" s="1570">
        <v>39.387201173585943</v>
      </c>
      <c r="D160" s="1560">
        <v>40.868904711441679</v>
      </c>
      <c r="E160" s="1124">
        <v>37.308998429245769</v>
      </c>
      <c r="F160" s="1125">
        <v>40.159324216740202</v>
      </c>
    </row>
    <row r="161" spans="1:6">
      <c r="A161" s="2555">
        <f t="shared" si="1"/>
        <v>2013.08</v>
      </c>
      <c r="B161" s="1556">
        <v>42.542349267189479</v>
      </c>
      <c r="C161" s="1570">
        <v>40.392751070439914</v>
      </c>
      <c r="D161" s="1560">
        <v>41.739474340703516</v>
      </c>
      <c r="E161" s="1124">
        <v>37.676221459329078</v>
      </c>
      <c r="F161" s="1125">
        <v>40.929585174435104</v>
      </c>
    </row>
    <row r="162" spans="1:6">
      <c r="A162" s="2555">
        <f t="shared" si="1"/>
        <v>2013.09</v>
      </c>
      <c r="B162" s="1556">
        <v>43.258664296764216</v>
      </c>
      <c r="C162" s="1570">
        <v>41.926022176551257</v>
      </c>
      <c r="D162" s="1560">
        <v>42.760922464864677</v>
      </c>
      <c r="E162" s="1124">
        <v>38.588546219979577</v>
      </c>
      <c r="F162" s="1125">
        <v>41.929316505905334</v>
      </c>
    </row>
    <row r="163" spans="1:6">
      <c r="A163" s="2555">
        <f t="shared" ref="A163:A226" si="2">A151+1</f>
        <v>2013.1</v>
      </c>
      <c r="B163" s="1556">
        <v>43.808966401029778</v>
      </c>
      <c r="C163" s="1570">
        <v>42.231421057831412</v>
      </c>
      <c r="D163" s="1560">
        <v>43.219753215345193</v>
      </c>
      <c r="E163" s="1124">
        <v>39.487188845647317</v>
      </c>
      <c r="F163" s="1125">
        <v>42.475792322091422</v>
      </c>
    </row>
    <row r="164" spans="1:6">
      <c r="A164" s="2555">
        <f t="shared" si="2"/>
        <v>2013.11</v>
      </c>
      <c r="B164" s="1556">
        <v>44.795821012589819</v>
      </c>
      <c r="C164" s="1570">
        <v>42.475123195418604</v>
      </c>
      <c r="D164" s="1560">
        <v>43.929040377876369</v>
      </c>
      <c r="E164" s="1124">
        <v>41.644040604329753</v>
      </c>
      <c r="F164" s="1125">
        <v>43.473550460107674</v>
      </c>
    </row>
    <row r="165" spans="1:6">
      <c r="A165" s="2555">
        <f t="shared" si="2"/>
        <v>2013.12</v>
      </c>
      <c r="B165" s="1556">
        <v>45.235447833315938</v>
      </c>
      <c r="C165" s="1570">
        <v>43.138363190117929</v>
      </c>
      <c r="D165" s="1560">
        <v>44.452186719081482</v>
      </c>
      <c r="E165" s="1124">
        <v>42.183116722650531</v>
      </c>
      <c r="F165" s="1125">
        <v>43.999880226179791</v>
      </c>
    </row>
    <row r="166" spans="1:6">
      <c r="A166" s="2555">
        <f t="shared" si="2"/>
        <v>2014.01</v>
      </c>
      <c r="B166" s="1556">
        <v>45.770378370423252</v>
      </c>
      <c r="C166" s="1570">
        <v>44.163835853943468</v>
      </c>
      <c r="D166" s="1560">
        <v>45.170334740518058</v>
      </c>
      <c r="E166" s="1124">
        <v>43.255796105298991</v>
      </c>
      <c r="F166" s="1125">
        <v>44.78870525830488</v>
      </c>
    </row>
    <row r="167" spans="1:6">
      <c r="A167" s="2555">
        <f t="shared" si="2"/>
        <v>2014.02</v>
      </c>
      <c r="B167" s="1556">
        <v>46.474396146271374</v>
      </c>
      <c r="C167" s="1570">
        <v>45.64942065842142</v>
      </c>
      <c r="D167" s="1560">
        <v>46.166267801559414</v>
      </c>
      <c r="E167" s="1124">
        <v>44.198221562911556</v>
      </c>
      <c r="F167" s="1125">
        <v>45.774004383391841</v>
      </c>
    </row>
    <row r="168" spans="1:6">
      <c r="A168" s="2555">
        <f t="shared" si="2"/>
        <v>2014.03</v>
      </c>
      <c r="B168" s="1556">
        <v>47.249123131047483</v>
      </c>
      <c r="C168" s="1570">
        <v>47.611377107857564</v>
      </c>
      <c r="D168" s="1560">
        <v>47.384424991386048</v>
      </c>
      <c r="E168" s="1124">
        <v>46.271885940898798</v>
      </c>
      <c r="F168" s="1125">
        <v>47.16270992351474</v>
      </c>
    </row>
    <row r="169" spans="1:6">
      <c r="A169" s="2555">
        <f t="shared" si="2"/>
        <v>2014.04</v>
      </c>
      <c r="B169" s="1556">
        <v>50.344956756720251</v>
      </c>
      <c r="C169" s="1570">
        <v>48.965620631918043</v>
      </c>
      <c r="D169" s="1560">
        <v>49.829774714106627</v>
      </c>
      <c r="E169" s="1124">
        <v>47.745725521241809</v>
      </c>
      <c r="F169" s="1125">
        <v>49.414370536561051</v>
      </c>
    </row>
    <row r="170" spans="1:6">
      <c r="A170" s="2555">
        <f t="shared" si="2"/>
        <v>2014.05</v>
      </c>
      <c r="B170" s="1556">
        <v>51.519344487611022</v>
      </c>
      <c r="C170" s="1570">
        <v>50.13056366507395</v>
      </c>
      <c r="D170" s="1560">
        <v>51.000634850393425</v>
      </c>
      <c r="E170" s="1124">
        <v>50.899183992068544</v>
      </c>
      <c r="F170" s="1125">
        <v>50.980362156828569</v>
      </c>
    </row>
    <row r="171" spans="1:6">
      <c r="A171" s="2555">
        <f t="shared" si="2"/>
        <v>2014.06</v>
      </c>
      <c r="B171" s="1556">
        <v>52.607651442415545</v>
      </c>
      <c r="C171" s="1570">
        <v>52.340212032439723</v>
      </c>
      <c r="D171" s="1560">
        <v>52.507762822789573</v>
      </c>
      <c r="E171" s="1124">
        <v>52.785129478092308</v>
      </c>
      <c r="F171" s="1125">
        <v>52.563031687402152</v>
      </c>
    </row>
    <row r="172" spans="1:6">
      <c r="A172" s="2555">
        <f t="shared" si="2"/>
        <v>2014.07</v>
      </c>
      <c r="B172" s="1556">
        <v>54.781191038592944</v>
      </c>
      <c r="C172" s="1570">
        <v>53.384150710573124</v>
      </c>
      <c r="D172" s="1560">
        <v>54.259396476077548</v>
      </c>
      <c r="E172" s="1124">
        <v>54.544104751476048</v>
      </c>
      <c r="F172" s="1125">
        <v>54.316084979459809</v>
      </c>
    </row>
    <row r="173" spans="1:6">
      <c r="A173" s="2555">
        <f t="shared" si="2"/>
        <v>2014.08</v>
      </c>
      <c r="B173" s="1556">
        <v>55.9616538474544</v>
      </c>
      <c r="C173" s="1570">
        <v>56.107796858388376</v>
      </c>
      <c r="D173" s="1560">
        <v>56.016238262038243</v>
      </c>
      <c r="E173" s="1124">
        <v>53.961793086609738</v>
      </c>
      <c r="F173" s="1125">
        <v>55.606792972388412</v>
      </c>
    </row>
    <row r="174" spans="1:6">
      <c r="A174" s="2555">
        <f t="shared" si="2"/>
        <v>2014.09</v>
      </c>
      <c r="B174" s="1556">
        <v>57.335620692387344</v>
      </c>
      <c r="C174" s="1570">
        <v>56.447003118190906</v>
      </c>
      <c r="D174" s="1560">
        <v>57.003722028424981</v>
      </c>
      <c r="E174" s="1124">
        <v>54.425891105224984</v>
      </c>
      <c r="F174" s="1125">
        <v>56.489926069223728</v>
      </c>
    </row>
    <row r="175" spans="1:6">
      <c r="A175" s="2555">
        <f t="shared" si="2"/>
        <v>2014.1</v>
      </c>
      <c r="B175" s="1556">
        <v>58.384685231629511</v>
      </c>
      <c r="C175" s="1570">
        <v>56.808560374554887</v>
      </c>
      <c r="D175" s="1560">
        <v>57.796002597512143</v>
      </c>
      <c r="E175" s="1124">
        <v>55.529218470234831</v>
      </c>
      <c r="F175" s="1125">
        <v>57.344171761332539</v>
      </c>
    </row>
    <row r="176" spans="1:6">
      <c r="A176" s="2555">
        <f t="shared" si="2"/>
        <v>2014.11</v>
      </c>
      <c r="B176" s="1556">
        <v>59.095726519281556</v>
      </c>
      <c r="C176" s="1570">
        <v>57.201162667305546</v>
      </c>
      <c r="D176" s="1560">
        <v>58.388106920568518</v>
      </c>
      <c r="E176" s="1124">
        <v>57.855181417304195</v>
      </c>
      <c r="F176" s="1125">
        <v>58.281821832331445</v>
      </c>
    </row>
    <row r="177" spans="1:6">
      <c r="A177" s="2555">
        <f t="shared" si="2"/>
        <v>2014.12</v>
      </c>
      <c r="B177" s="1556">
        <v>59.4823686234947</v>
      </c>
      <c r="C177" s="1570">
        <v>57.756649329993479</v>
      </c>
      <c r="D177" s="1560">
        <v>58.837812467371997</v>
      </c>
      <c r="E177" s="1124">
        <v>59.064134864380939</v>
      </c>
      <c r="F177" s="1125">
        <v>58.882851994617106</v>
      </c>
    </row>
    <row r="178" spans="1:6">
      <c r="A178" s="2555">
        <f t="shared" si="2"/>
        <v>2015.01</v>
      </c>
      <c r="B178" s="1556">
        <v>60.203322600064439</v>
      </c>
      <c r="C178" s="1570">
        <v>59.219621420323222</v>
      </c>
      <c r="D178" s="1560">
        <v>59.835910209431091</v>
      </c>
      <c r="E178" s="1124">
        <v>61.033267731099897</v>
      </c>
      <c r="F178" s="1125">
        <v>60.074505641819215</v>
      </c>
    </row>
    <row r="179" spans="1:6">
      <c r="A179" s="2555">
        <f t="shared" si="2"/>
        <v>2015.02</v>
      </c>
      <c r="B179" s="1556">
        <v>60.673769528302792</v>
      </c>
      <c r="C179" s="1570">
        <v>59.957583612262013</v>
      </c>
      <c r="D179" s="1560">
        <v>60.406274088661554</v>
      </c>
      <c r="E179" s="1124">
        <v>61.575627561816539</v>
      </c>
      <c r="F179" s="1125">
        <v>60.639298626894281</v>
      </c>
    </row>
    <row r="180" spans="1:6">
      <c r="A180" s="2555">
        <f t="shared" si="2"/>
        <v>2015.03</v>
      </c>
      <c r="B180" s="1556">
        <v>61.669255912051732</v>
      </c>
      <c r="C180" s="1570">
        <v>64.57085220067718</v>
      </c>
      <c r="D180" s="1560">
        <v>62.753002125853335</v>
      </c>
      <c r="E180" s="1124">
        <v>62.500539886651183</v>
      </c>
      <c r="F180" s="1125">
        <v>62.702798258117269</v>
      </c>
    </row>
    <row r="181" spans="1:6">
      <c r="A181" s="2555">
        <f t="shared" si="2"/>
        <v>2015.04</v>
      </c>
      <c r="B181" s="1556">
        <v>62.452747840191314</v>
      </c>
      <c r="C181" s="1570">
        <v>66.240654659187967</v>
      </c>
      <c r="D181" s="1560">
        <v>63.867531037086565</v>
      </c>
      <c r="E181" s="1124">
        <v>62.529546012814627</v>
      </c>
      <c r="F181" s="1125">
        <v>63.601016645557038</v>
      </c>
    </row>
    <row r="182" spans="1:6">
      <c r="A182" s="2555">
        <f t="shared" si="2"/>
        <v>2015.05</v>
      </c>
      <c r="B182" s="1556">
        <v>65.193580998937932</v>
      </c>
      <c r="C182" s="1570">
        <v>66.309604410372728</v>
      </c>
      <c r="D182" s="1560">
        <v>65.610415743108831</v>
      </c>
      <c r="E182" s="1124">
        <v>64.191651770520437</v>
      </c>
      <c r="F182" s="1125">
        <v>65.327699106074476</v>
      </c>
    </row>
    <row r="183" spans="1:6">
      <c r="A183" s="2555">
        <f t="shared" si="2"/>
        <v>2015.06</v>
      </c>
      <c r="B183" s="1556">
        <v>67.509497090030194</v>
      </c>
      <c r="C183" s="1570">
        <v>69.150719233240963</v>
      </c>
      <c r="D183" s="1560">
        <v>68.122493560519416</v>
      </c>
      <c r="E183" s="1124">
        <v>67.055048979712637</v>
      </c>
      <c r="F183" s="1125">
        <v>67.909815124678232</v>
      </c>
    </row>
    <row r="184" spans="1:6">
      <c r="A184" s="2555">
        <f t="shared" si="2"/>
        <v>2015.07</v>
      </c>
      <c r="B184" s="1556">
        <v>70.057087922541882</v>
      </c>
      <c r="C184" s="1570">
        <v>70.72297729524054</v>
      </c>
      <c r="D184" s="1560">
        <v>70.305797603244827</v>
      </c>
      <c r="E184" s="1124">
        <v>70.078800810902791</v>
      </c>
      <c r="F184" s="1125">
        <v>70.260582812566383</v>
      </c>
    </row>
    <row r="185" spans="1:6">
      <c r="A185" s="2555">
        <f t="shared" si="2"/>
        <v>2015.08</v>
      </c>
      <c r="B185" s="1556">
        <v>71.930000000000007</v>
      </c>
      <c r="C185" s="1570">
        <v>73.22</v>
      </c>
      <c r="D185" s="1560">
        <v>72.410407505804585</v>
      </c>
      <c r="E185" s="1124">
        <v>71.05187425087675</v>
      </c>
      <c r="F185" s="1125">
        <v>72.139706280647587</v>
      </c>
    </row>
    <row r="186" spans="1:6">
      <c r="A186" s="2555">
        <f t="shared" si="2"/>
        <v>2015.09</v>
      </c>
      <c r="B186" s="1556">
        <v>74.2</v>
      </c>
      <c r="C186" s="1570">
        <v>74.8</v>
      </c>
      <c r="D186" s="1560">
        <v>73.630868379854263</v>
      </c>
      <c r="E186" s="1124">
        <v>72.825626230041891</v>
      </c>
      <c r="F186" s="1125">
        <v>73.470448509503839</v>
      </c>
    </row>
    <row r="187" spans="1:6">
      <c r="A187" s="2555">
        <f t="shared" si="2"/>
        <v>2015.1</v>
      </c>
      <c r="B187" s="1556">
        <v>73.97</v>
      </c>
      <c r="C187" s="1570">
        <v>75.239999999999995</v>
      </c>
      <c r="D187" s="1561">
        <v>74.44</v>
      </c>
      <c r="E187" s="1124">
        <v>73.97</v>
      </c>
      <c r="F187" s="1125">
        <v>74.349856999999986</v>
      </c>
    </row>
    <row r="188" spans="1:6">
      <c r="A188" s="2555">
        <f t="shared" si="2"/>
        <v>2015.11</v>
      </c>
      <c r="B188" s="1556">
        <v>75.95</v>
      </c>
      <c r="C188" s="1570">
        <v>76.28</v>
      </c>
      <c r="D188" s="1562">
        <v>76.069999999999993</v>
      </c>
      <c r="E188" s="1124">
        <v>75.95</v>
      </c>
      <c r="F188" s="1125">
        <v>76.048702999999989</v>
      </c>
    </row>
    <row r="189" spans="1:6">
      <c r="A189" s="2555">
        <f t="shared" si="2"/>
        <v>2015.12</v>
      </c>
      <c r="B189" s="1556">
        <v>77.36</v>
      </c>
      <c r="C189" s="1570">
        <v>77.180000000000007</v>
      </c>
      <c r="D189" s="1562">
        <v>77.290000000000006</v>
      </c>
      <c r="E189" s="1124">
        <v>77.36</v>
      </c>
      <c r="F189" s="1125">
        <v>77.306162</v>
      </c>
    </row>
    <row r="190" spans="1:6">
      <c r="A190" s="2555">
        <f t="shared" si="2"/>
        <v>2016.01</v>
      </c>
      <c r="B190" s="1556">
        <v>78.930000000000007</v>
      </c>
      <c r="C190" s="1570">
        <v>77.459999999999994</v>
      </c>
      <c r="D190" s="1562">
        <v>78.38</v>
      </c>
      <c r="E190" s="1124">
        <v>78.930000000000007</v>
      </c>
      <c r="F190" s="1125">
        <v>78.490322999999989</v>
      </c>
    </row>
    <row r="191" spans="1:6">
      <c r="A191" s="2555">
        <f t="shared" si="2"/>
        <v>2016.02</v>
      </c>
      <c r="B191" s="1556">
        <v>80.040000000000006</v>
      </c>
      <c r="C191" s="1570">
        <v>78.36</v>
      </c>
      <c r="D191" s="1562">
        <v>79.42</v>
      </c>
      <c r="E191" s="1124">
        <v>80.040000000000006</v>
      </c>
      <c r="F191" s="1125">
        <v>79.537512000000007</v>
      </c>
    </row>
    <row r="192" spans="1:6">
      <c r="A192" s="2555">
        <f t="shared" si="2"/>
        <v>2016.03</v>
      </c>
      <c r="B192" s="1556">
        <v>80.8</v>
      </c>
      <c r="C192" s="1570">
        <v>83.8</v>
      </c>
      <c r="D192" s="1562">
        <v>81.92</v>
      </c>
      <c r="E192" s="1124">
        <v>80.8</v>
      </c>
      <c r="F192" s="1125">
        <v>81.697299999999998</v>
      </c>
    </row>
    <row r="193" spans="1:8">
      <c r="A193" s="2555">
        <f t="shared" si="2"/>
        <v>2016.04</v>
      </c>
      <c r="B193" s="1556">
        <v>85.92</v>
      </c>
      <c r="C193" s="1570">
        <v>84.26</v>
      </c>
      <c r="D193" s="1562">
        <v>85.3</v>
      </c>
      <c r="E193" s="1124">
        <v>85.92</v>
      </c>
      <c r="F193" s="1125">
        <v>85.423493999999991</v>
      </c>
    </row>
    <row r="194" spans="1:8">
      <c r="A194" s="2555">
        <f t="shared" si="2"/>
        <v>2016.05</v>
      </c>
      <c r="B194" s="1556">
        <v>88.74</v>
      </c>
      <c r="C194" s="1570">
        <v>87.11</v>
      </c>
      <c r="D194" s="1562">
        <v>88.13</v>
      </c>
      <c r="E194" s="1124">
        <v>88.74</v>
      </c>
      <c r="F194" s="1125">
        <v>88.252466999999996</v>
      </c>
    </row>
    <row r="195" spans="1:8">
      <c r="A195" s="2555">
        <f t="shared" si="2"/>
        <v>2016.06</v>
      </c>
      <c r="B195" s="1556">
        <v>90.15</v>
      </c>
      <c r="C195" s="1570">
        <v>89.28</v>
      </c>
      <c r="D195" s="1562">
        <v>89.83</v>
      </c>
      <c r="E195" s="1124">
        <v>90.15</v>
      </c>
      <c r="F195" s="1125">
        <v>89.889783000000008</v>
      </c>
    </row>
    <row r="196" spans="1:8">
      <c r="A196" s="2555">
        <f t="shared" si="2"/>
        <v>2016.07</v>
      </c>
      <c r="B196" s="1556">
        <v>93.35</v>
      </c>
      <c r="C196" s="1570">
        <v>94.66</v>
      </c>
      <c r="D196" s="1562">
        <v>93.84</v>
      </c>
      <c r="E196" s="1124">
        <v>93.35</v>
      </c>
      <c r="F196" s="1125">
        <v>93.741821000000002</v>
      </c>
    </row>
    <row r="197" spans="1:8">
      <c r="A197" s="2555">
        <f t="shared" si="2"/>
        <v>2016.08</v>
      </c>
      <c r="B197" s="1556">
        <v>95.05</v>
      </c>
      <c r="C197" s="1570">
        <v>98.73</v>
      </c>
      <c r="D197" s="1562">
        <v>96.42</v>
      </c>
      <c r="E197" s="1124">
        <v>95.05</v>
      </c>
      <c r="F197" s="1125">
        <v>96.150687999999988</v>
      </c>
    </row>
    <row r="198" spans="1:8">
      <c r="A198" s="2555">
        <f t="shared" si="2"/>
        <v>2016.09</v>
      </c>
      <c r="B198" s="1556">
        <v>96.63</v>
      </c>
      <c r="C198" s="1570">
        <v>99.46</v>
      </c>
      <c r="D198" s="1562">
        <v>97.69</v>
      </c>
      <c r="E198" s="1124">
        <v>96.63</v>
      </c>
      <c r="F198" s="1125">
        <v>97.476453000000006</v>
      </c>
    </row>
    <row r="199" spans="1:8">
      <c r="A199" s="2555">
        <f t="shared" si="2"/>
        <v>2016.1</v>
      </c>
      <c r="B199" s="1556">
        <v>100</v>
      </c>
      <c r="C199" s="1570">
        <v>100</v>
      </c>
      <c r="D199" s="1562">
        <v>100</v>
      </c>
      <c r="E199" s="1116">
        <v>100</v>
      </c>
      <c r="F199" s="1127">
        <v>100</v>
      </c>
    </row>
    <row r="200" spans="1:8">
      <c r="A200" s="2555">
        <f t="shared" si="2"/>
        <v>2016.11</v>
      </c>
      <c r="B200" s="1556">
        <v>101.8</v>
      </c>
      <c r="C200" s="1570">
        <v>101.22</v>
      </c>
      <c r="D200" s="1562">
        <v>101.58</v>
      </c>
      <c r="E200" s="1123">
        <v>100.73</v>
      </c>
      <c r="F200" s="1126">
        <v>101.41</v>
      </c>
      <c r="H200" s="1117"/>
    </row>
    <row r="201" spans="1:8">
      <c r="A201" s="2555">
        <f t="shared" si="2"/>
        <v>2016.12</v>
      </c>
      <c r="B201" s="1556">
        <v>102.89</v>
      </c>
      <c r="C201" s="1570">
        <v>102.37</v>
      </c>
      <c r="D201" s="1562">
        <v>102.69</v>
      </c>
      <c r="E201" s="1123">
        <v>103.2</v>
      </c>
      <c r="F201" s="1126">
        <v>102.79</v>
      </c>
      <c r="H201" s="1117"/>
    </row>
    <row r="202" spans="1:8">
      <c r="A202" s="2555">
        <f t="shared" si="2"/>
        <v>2017.01</v>
      </c>
      <c r="B202" s="1556">
        <v>106.34</v>
      </c>
      <c r="C202" s="1570">
        <v>102.68</v>
      </c>
      <c r="D202" s="1562">
        <v>104.98</v>
      </c>
      <c r="E202" s="1123">
        <v>102</v>
      </c>
      <c r="F202" s="1126">
        <v>104.38</v>
      </c>
      <c r="H202" s="1117"/>
    </row>
    <row r="203" spans="1:8">
      <c r="A203" s="2555">
        <f t="shared" si="2"/>
        <v>2017.02</v>
      </c>
      <c r="B203" s="1556">
        <v>107.69</v>
      </c>
      <c r="C203" s="1570">
        <v>103.08</v>
      </c>
      <c r="D203" s="1562">
        <v>105.97</v>
      </c>
      <c r="E203" s="1123">
        <v>104.94</v>
      </c>
      <c r="F203" s="1126">
        <v>105.76</v>
      </c>
      <c r="H203" s="1117"/>
    </row>
    <row r="204" spans="1:8">
      <c r="A204" s="2555">
        <f t="shared" si="2"/>
        <v>2017.03</v>
      </c>
      <c r="B204" s="1556">
        <v>109.26</v>
      </c>
      <c r="C204" s="1570">
        <v>107.24</v>
      </c>
      <c r="D204" s="1562">
        <v>108.5</v>
      </c>
      <c r="E204" s="1123">
        <v>110.08</v>
      </c>
      <c r="F204" s="1126">
        <v>108.82</v>
      </c>
      <c r="H204" s="1117"/>
    </row>
    <row r="205" spans="1:8">
      <c r="A205" s="2555">
        <f t="shared" si="2"/>
        <v>2017.04</v>
      </c>
      <c r="B205" s="1556">
        <v>112.93</v>
      </c>
      <c r="C205" s="1570">
        <v>110.81</v>
      </c>
      <c r="D205" s="1562">
        <v>112.14</v>
      </c>
      <c r="E205" s="1123">
        <v>114.61</v>
      </c>
      <c r="F205" s="1126">
        <v>112.63</v>
      </c>
      <c r="H205" s="1117"/>
    </row>
    <row r="206" spans="1:8">
      <c r="A206" s="2555">
        <f t="shared" si="2"/>
        <v>2017.05</v>
      </c>
      <c r="B206" s="1556">
        <v>115.18</v>
      </c>
      <c r="C206" s="1570">
        <v>112.28</v>
      </c>
      <c r="D206" s="1562">
        <v>114.09</v>
      </c>
      <c r="E206" s="1123">
        <v>115.79</v>
      </c>
      <c r="F206" s="1126">
        <v>114.43</v>
      </c>
      <c r="H206" s="1117"/>
    </row>
    <row r="207" spans="1:8">
      <c r="A207" s="2555">
        <f t="shared" si="2"/>
        <v>2017.06</v>
      </c>
      <c r="B207" s="1556">
        <v>117.23</v>
      </c>
      <c r="C207" s="1570">
        <v>115.3</v>
      </c>
      <c r="D207" s="1562">
        <v>116.51</v>
      </c>
      <c r="E207" s="1123">
        <v>116.24</v>
      </c>
      <c r="F207" s="1126">
        <v>116.45</v>
      </c>
      <c r="H207" s="1117"/>
    </row>
    <row r="208" spans="1:8">
      <c r="A208" s="2555">
        <f t="shared" si="2"/>
        <v>2017.07</v>
      </c>
      <c r="B208" s="1556">
        <v>122.8</v>
      </c>
      <c r="C208" s="1570">
        <v>118.49</v>
      </c>
      <c r="D208" s="1562">
        <v>121.19</v>
      </c>
      <c r="E208" s="1123">
        <v>120.74</v>
      </c>
      <c r="F208" s="1126">
        <v>121.1</v>
      </c>
      <c r="H208" s="1117"/>
    </row>
    <row r="209" spans="1:8">
      <c r="A209" s="2555">
        <f t="shared" si="2"/>
        <v>2017.08</v>
      </c>
      <c r="B209" s="1556">
        <v>124.55</v>
      </c>
      <c r="C209" s="1570">
        <v>121.54</v>
      </c>
      <c r="D209" s="1562">
        <v>123.43</v>
      </c>
      <c r="E209" s="1123">
        <v>126.06</v>
      </c>
      <c r="F209" s="1126">
        <v>123.95</v>
      </c>
      <c r="H209" s="1117"/>
    </row>
    <row r="210" spans="1:8">
      <c r="A210" s="2555">
        <f t="shared" si="2"/>
        <v>2017.09</v>
      </c>
      <c r="B210" s="1556">
        <v>126</v>
      </c>
      <c r="C210" s="1570">
        <v>123.89</v>
      </c>
      <c r="D210" s="1562">
        <v>125.21</v>
      </c>
      <c r="E210" s="1123">
        <v>127.7</v>
      </c>
      <c r="F210" s="1126">
        <v>125.71</v>
      </c>
      <c r="H210" s="1117"/>
    </row>
    <row r="211" spans="1:8">
      <c r="A211" s="2555">
        <f t="shared" si="2"/>
        <v>2017.1</v>
      </c>
      <c r="B211" s="1556">
        <v>128.22999999999999</v>
      </c>
      <c r="C211" s="1570">
        <v>126.03</v>
      </c>
      <c r="D211" s="1562">
        <v>127.4</v>
      </c>
      <c r="E211" s="1123">
        <v>128.5</v>
      </c>
      <c r="F211" s="1126">
        <v>127.62</v>
      </c>
      <c r="H211" s="1117"/>
    </row>
    <row r="212" spans="1:8">
      <c r="A212" s="2555">
        <f t="shared" si="2"/>
        <v>2017.11</v>
      </c>
      <c r="B212" s="1556">
        <v>130.04</v>
      </c>
      <c r="C212" s="1570">
        <v>127.32</v>
      </c>
      <c r="D212" s="1562">
        <v>129.03</v>
      </c>
      <c r="E212" s="1123">
        <v>131.94999999999999</v>
      </c>
      <c r="F212" s="1126">
        <v>129.61000000000001</v>
      </c>
      <c r="H212" s="1117"/>
    </row>
    <row r="213" spans="1:8">
      <c r="A213" s="2555">
        <f t="shared" si="2"/>
        <v>2017.12</v>
      </c>
      <c r="B213" s="1556">
        <v>131.01</v>
      </c>
      <c r="C213" s="1570">
        <v>127.94</v>
      </c>
      <c r="D213" s="1562">
        <v>129.86000000000001</v>
      </c>
      <c r="E213" s="1123">
        <v>135.71</v>
      </c>
      <c r="F213" s="1126">
        <v>131.03</v>
      </c>
      <c r="H213" s="1117"/>
    </row>
    <row r="214" spans="1:8">
      <c r="A214" s="2555">
        <f t="shared" si="2"/>
        <v>2018.01</v>
      </c>
      <c r="B214" s="1556">
        <v>133.25</v>
      </c>
      <c r="C214" s="1570">
        <v>128.44999999999999</v>
      </c>
      <c r="D214" s="1562">
        <v>131.46</v>
      </c>
      <c r="E214" s="1123">
        <v>136.57</v>
      </c>
      <c r="F214" s="1126">
        <v>132.47999999999999</v>
      </c>
      <c r="H214" s="1117"/>
    </row>
    <row r="215" spans="1:8">
      <c r="A215" s="2555">
        <f t="shared" si="2"/>
        <v>2018.02</v>
      </c>
      <c r="B215" s="1556">
        <v>134.31</v>
      </c>
      <c r="C215" s="1570">
        <v>129.32</v>
      </c>
      <c r="D215" s="1562">
        <v>132.44</v>
      </c>
      <c r="E215" s="1123">
        <v>138.19</v>
      </c>
      <c r="F215" s="1126">
        <v>133.59</v>
      </c>
      <c r="H215" s="1117"/>
    </row>
    <row r="216" spans="1:8">
      <c r="A216" s="2555">
        <f t="shared" si="2"/>
        <v>2018.03</v>
      </c>
      <c r="B216" s="1556">
        <v>136.22999999999999</v>
      </c>
      <c r="C216" s="1570">
        <v>132.97</v>
      </c>
      <c r="D216" s="1562">
        <v>135.01</v>
      </c>
      <c r="E216" s="1123">
        <v>140.69999999999999</v>
      </c>
      <c r="F216" s="1126">
        <v>136.13999999999999</v>
      </c>
      <c r="H216" s="1117"/>
    </row>
    <row r="217" spans="1:8">
      <c r="A217" s="2555">
        <f t="shared" si="2"/>
        <v>2018.04</v>
      </c>
      <c r="B217" s="1556">
        <v>141.01</v>
      </c>
      <c r="C217" s="1570">
        <v>135.01</v>
      </c>
      <c r="D217" s="1562">
        <v>138.77000000000001</v>
      </c>
      <c r="E217" s="1123">
        <v>144</v>
      </c>
      <c r="F217" s="1126">
        <v>139.81</v>
      </c>
      <c r="H217" s="1117"/>
    </row>
    <row r="218" spans="1:8">
      <c r="A218" s="2555">
        <f t="shared" si="2"/>
        <v>2018.05</v>
      </c>
      <c r="B218" s="1556">
        <v>144.47</v>
      </c>
      <c r="C218" s="1570">
        <v>137.16</v>
      </c>
      <c r="D218" s="1562">
        <v>141.74</v>
      </c>
      <c r="E218" s="1123">
        <v>142.72999999999999</v>
      </c>
      <c r="F218" s="1126">
        <v>141.93</v>
      </c>
      <c r="H218" s="1117"/>
    </row>
    <row r="219" spans="1:8">
      <c r="A219" s="2555">
        <f t="shared" si="2"/>
        <v>2018.06</v>
      </c>
      <c r="B219" s="1556">
        <v>146.47</v>
      </c>
      <c r="C219" s="1570">
        <v>138.97</v>
      </c>
      <c r="D219" s="1562">
        <v>143.66999999999999</v>
      </c>
      <c r="E219" s="1123">
        <v>141.02000000000001</v>
      </c>
      <c r="F219" s="1126">
        <v>143.13999999999999</v>
      </c>
      <c r="H219" s="1117"/>
    </row>
    <row r="220" spans="1:8">
      <c r="A220" s="2555">
        <f t="shared" si="2"/>
        <v>2018.07</v>
      </c>
      <c r="B220" s="1556">
        <v>149.94</v>
      </c>
      <c r="C220" s="1570">
        <v>143.01</v>
      </c>
      <c r="D220" s="1562">
        <v>147.36000000000001</v>
      </c>
      <c r="E220" s="1123">
        <v>145.09</v>
      </c>
      <c r="F220" s="1126">
        <v>146.9</v>
      </c>
      <c r="H220" s="1117"/>
    </row>
    <row r="221" spans="1:8">
      <c r="A221" s="2555">
        <f t="shared" si="2"/>
        <v>2018.08</v>
      </c>
      <c r="B221" s="1556">
        <v>154.19999999999999</v>
      </c>
      <c r="C221" s="1570">
        <v>147.26</v>
      </c>
      <c r="D221" s="1562">
        <v>151.61000000000001</v>
      </c>
      <c r="E221" s="1123">
        <v>148.81</v>
      </c>
      <c r="F221" s="1126">
        <v>151.05000000000001</v>
      </c>
      <c r="H221" s="1117"/>
    </row>
    <row r="222" spans="1:8">
      <c r="A222" s="2555">
        <f t="shared" si="2"/>
        <v>2018.09</v>
      </c>
      <c r="B222" s="1556">
        <v>157.82</v>
      </c>
      <c r="C222" s="1570">
        <v>152.41</v>
      </c>
      <c r="D222" s="1562">
        <v>155.80000000000001</v>
      </c>
      <c r="E222" s="1123">
        <v>154.02000000000001</v>
      </c>
      <c r="F222" s="1126">
        <v>155.44</v>
      </c>
      <c r="H222" s="1117"/>
    </row>
    <row r="223" spans="1:8">
      <c r="A223" s="2555">
        <f t="shared" si="2"/>
        <v>2018.1</v>
      </c>
      <c r="B223" s="1556">
        <v>163.86</v>
      </c>
      <c r="C223" s="1570">
        <v>159.53</v>
      </c>
      <c r="D223" s="1562">
        <v>162.24</v>
      </c>
      <c r="E223" s="1123">
        <v>156.63</v>
      </c>
      <c r="F223" s="1126">
        <v>161.12</v>
      </c>
      <c r="H223" s="1117"/>
    </row>
    <row r="224" spans="1:8">
      <c r="A224" s="2555">
        <f t="shared" si="2"/>
        <v>2018.11</v>
      </c>
      <c r="B224" s="1556">
        <v>168.06</v>
      </c>
      <c r="C224" s="1570">
        <v>162.69</v>
      </c>
      <c r="D224" s="1562">
        <v>166.05</v>
      </c>
      <c r="E224" s="1123">
        <v>164.93</v>
      </c>
      <c r="F224" s="1126">
        <v>165.83</v>
      </c>
      <c r="H224" s="1117"/>
    </row>
    <row r="225" spans="1:8">
      <c r="A225" s="2555">
        <f t="shared" si="2"/>
        <v>2018.12</v>
      </c>
      <c r="B225" s="1556">
        <v>170.85</v>
      </c>
      <c r="C225" s="1570">
        <v>166.66</v>
      </c>
      <c r="D225" s="1562">
        <v>169.29</v>
      </c>
      <c r="E225" s="1123">
        <v>172.61</v>
      </c>
      <c r="F225" s="1126">
        <v>169.94</v>
      </c>
      <c r="H225" s="1117"/>
    </row>
    <row r="226" spans="1:8">
      <c r="A226" s="2555">
        <f t="shared" si="2"/>
        <v>2019.01</v>
      </c>
      <c r="B226" s="1556">
        <v>176.91</v>
      </c>
      <c r="C226" s="1570">
        <v>170.98</v>
      </c>
      <c r="D226" s="1562">
        <v>174.7</v>
      </c>
      <c r="E226" s="1123">
        <v>177.16</v>
      </c>
      <c r="F226" s="1126">
        <v>175.19</v>
      </c>
      <c r="H226" s="1117"/>
    </row>
    <row r="227" spans="1:8">
      <c r="A227" s="2555">
        <f t="shared" ref="A227:A290" si="3">A215+1</f>
        <v>2019.02</v>
      </c>
      <c r="B227" s="1556">
        <v>181.76</v>
      </c>
      <c r="C227" s="1570">
        <v>175.37</v>
      </c>
      <c r="D227" s="1562">
        <v>179.37</v>
      </c>
      <c r="E227" s="1123">
        <v>181.72</v>
      </c>
      <c r="F227" s="1126">
        <v>179.84</v>
      </c>
      <c r="H227" s="1117"/>
    </row>
    <row r="228" spans="1:8">
      <c r="A228" s="2555">
        <f t="shared" si="3"/>
        <v>2019.03</v>
      </c>
      <c r="B228" s="1556">
        <v>188.26</v>
      </c>
      <c r="C228" s="1570">
        <v>184.99</v>
      </c>
      <c r="D228" s="1562">
        <v>187.04</v>
      </c>
      <c r="E228" s="1123">
        <v>186.59</v>
      </c>
      <c r="F228" s="1126">
        <v>186.94</v>
      </c>
      <c r="H228" s="1117"/>
    </row>
    <row r="229" spans="1:8">
      <c r="A229" s="2555">
        <f t="shared" si="3"/>
        <v>2019.04</v>
      </c>
      <c r="B229" s="1556">
        <v>193.47</v>
      </c>
      <c r="C229" s="1570">
        <v>188.65</v>
      </c>
      <c r="D229" s="1562">
        <v>191.67</v>
      </c>
      <c r="E229" s="1123">
        <v>188.85</v>
      </c>
      <c r="F229" s="1126">
        <v>191.11</v>
      </c>
      <c r="H229" s="1117"/>
    </row>
    <row r="230" spans="1:8">
      <c r="A230" s="2555">
        <f t="shared" si="3"/>
        <v>2019.05</v>
      </c>
      <c r="B230" s="1556">
        <v>201.66</v>
      </c>
      <c r="C230" s="1570">
        <v>193.23</v>
      </c>
      <c r="D230" s="1562">
        <v>198.51</v>
      </c>
      <c r="E230" s="1123">
        <v>188.44</v>
      </c>
      <c r="F230" s="1126">
        <v>196.51</v>
      </c>
      <c r="H230" s="1117"/>
    </row>
    <row r="231" spans="1:8">
      <c r="A231" s="2555">
        <f t="shared" si="3"/>
        <v>2019.06</v>
      </c>
      <c r="B231" s="1556">
        <v>206.99</v>
      </c>
      <c r="C231" s="1570">
        <v>197.23</v>
      </c>
      <c r="D231" s="1562">
        <v>203.34</v>
      </c>
      <c r="E231" s="1123">
        <v>188.78</v>
      </c>
      <c r="F231" s="1126">
        <v>200.44</v>
      </c>
      <c r="H231" s="1117"/>
    </row>
    <row r="232" spans="1:8">
      <c r="A232" s="2555">
        <f t="shared" si="3"/>
        <v>2019.07</v>
      </c>
      <c r="B232" s="1556">
        <v>215.86</v>
      </c>
      <c r="C232" s="1570">
        <v>209.52</v>
      </c>
      <c r="D232" s="1562">
        <v>213.49</v>
      </c>
      <c r="E232" s="1123">
        <v>195.49</v>
      </c>
      <c r="F232" s="1126">
        <v>209.9</v>
      </c>
      <c r="H232" s="1117"/>
    </row>
    <row r="233" spans="1:8">
      <c r="A233" s="2555">
        <f t="shared" si="3"/>
        <v>2019.08</v>
      </c>
      <c r="B233" s="1556">
        <v>221.87</v>
      </c>
      <c r="C233" s="1570">
        <v>213.21</v>
      </c>
      <c r="D233" s="1562">
        <v>218.63</v>
      </c>
      <c r="E233" s="1123">
        <v>200.52</v>
      </c>
      <c r="F233" s="1126">
        <v>215.02</v>
      </c>
      <c r="H233" s="1117"/>
    </row>
    <row r="234" spans="1:8">
      <c r="A234" s="2555">
        <f t="shared" si="3"/>
        <v>2019.09</v>
      </c>
      <c r="B234" s="1556">
        <v>227.72</v>
      </c>
      <c r="C234" s="1570">
        <v>220.8</v>
      </c>
      <c r="D234" s="1562">
        <v>225.13</v>
      </c>
      <c r="E234" s="1123">
        <v>203.25</v>
      </c>
      <c r="F234" s="1126">
        <v>220.77</v>
      </c>
      <c r="H234" s="1117"/>
    </row>
    <row r="235" spans="1:8">
      <c r="A235" s="2555">
        <f t="shared" si="3"/>
        <v>2019.1</v>
      </c>
      <c r="B235" s="1556">
        <v>236.31</v>
      </c>
      <c r="C235" s="1570">
        <v>227.45</v>
      </c>
      <c r="D235" s="1562">
        <v>233</v>
      </c>
      <c r="E235" s="1123">
        <v>207.5</v>
      </c>
      <c r="F235" s="1126">
        <v>227.92</v>
      </c>
      <c r="H235" s="1117"/>
    </row>
    <row r="236" spans="1:8">
      <c r="A236" s="2555">
        <f t="shared" si="3"/>
        <v>2019.11</v>
      </c>
      <c r="B236" s="1556">
        <v>242.85</v>
      </c>
      <c r="C236" s="1570">
        <v>231.39</v>
      </c>
      <c r="D236" s="1562">
        <v>238.57</v>
      </c>
      <c r="E236" s="1123">
        <v>212.21</v>
      </c>
      <c r="F236" s="1126">
        <v>233.32</v>
      </c>
      <c r="H236" s="1117"/>
    </row>
    <row r="237" spans="1:8">
      <c r="A237" s="2555">
        <f t="shared" si="3"/>
        <v>2019.12</v>
      </c>
      <c r="B237" s="1556">
        <v>246.54</v>
      </c>
      <c r="C237" s="1570">
        <v>238.13</v>
      </c>
      <c r="D237" s="1562">
        <v>243.4</v>
      </c>
      <c r="E237" s="1123">
        <v>223.54</v>
      </c>
      <c r="F237" s="1126">
        <v>239.44</v>
      </c>
      <c r="H237" s="1117"/>
    </row>
    <row r="238" spans="1:8">
      <c r="A238" s="2555">
        <f t="shared" si="3"/>
        <v>2020.01</v>
      </c>
      <c r="B238" s="1556">
        <v>267.60000000000002</v>
      </c>
      <c r="C238" s="1570">
        <v>244.59</v>
      </c>
      <c r="D238" s="1562">
        <v>259.01</v>
      </c>
      <c r="E238" s="1123">
        <v>232.76</v>
      </c>
      <c r="F238" s="1126">
        <v>253.78</v>
      </c>
      <c r="H238" s="1117"/>
    </row>
    <row r="239" spans="1:8">
      <c r="A239" s="2555">
        <f t="shared" si="3"/>
        <v>2020.02</v>
      </c>
      <c r="B239" s="1556">
        <v>279.97000000000003</v>
      </c>
      <c r="C239" s="1570">
        <v>251.57</v>
      </c>
      <c r="D239" s="1562">
        <v>269.36</v>
      </c>
      <c r="E239" s="1123">
        <v>240.22</v>
      </c>
      <c r="F239" s="1126">
        <v>263.55</v>
      </c>
      <c r="H239" s="1117"/>
    </row>
    <row r="240" spans="1:8">
      <c r="A240" s="2555">
        <f t="shared" si="3"/>
        <v>2020.03</v>
      </c>
      <c r="B240" s="1556">
        <v>286.39999999999998</v>
      </c>
      <c r="C240" s="1570">
        <v>262.08</v>
      </c>
      <c r="D240" s="1562">
        <v>277.31</v>
      </c>
      <c r="E240" s="1123">
        <v>248.53</v>
      </c>
      <c r="F240" s="1126">
        <v>271.58</v>
      </c>
      <c r="H240" s="1117"/>
    </row>
    <row r="241" spans="1:8">
      <c r="A241" s="2555">
        <f t="shared" si="3"/>
        <v>2020.04</v>
      </c>
      <c r="B241" s="1556">
        <v>285.74</v>
      </c>
      <c r="C241" s="1570">
        <v>263.54000000000002</v>
      </c>
      <c r="D241" s="1562">
        <v>277.45</v>
      </c>
      <c r="E241" s="1123">
        <v>250.23</v>
      </c>
      <c r="F241" s="1126">
        <v>272.02999999999997</v>
      </c>
      <c r="H241" s="1117"/>
    </row>
    <row r="242" spans="1:8">
      <c r="A242" s="2555">
        <f t="shared" si="3"/>
        <v>2020.05</v>
      </c>
      <c r="B242" s="1556">
        <v>285.06</v>
      </c>
      <c r="C242" s="1570">
        <v>264.92</v>
      </c>
      <c r="D242" s="1562">
        <v>277.54000000000002</v>
      </c>
      <c r="E242" s="1123">
        <v>248.98</v>
      </c>
      <c r="F242" s="1126">
        <v>271.83999999999997</v>
      </c>
      <c r="H242" s="1117"/>
    </row>
    <row r="243" spans="1:8">
      <c r="A243" s="2555">
        <f t="shared" si="3"/>
        <v>2020.06</v>
      </c>
      <c r="B243" s="1556">
        <v>285.44</v>
      </c>
      <c r="C243" s="1570">
        <v>267.19</v>
      </c>
      <c r="D243" s="1562">
        <v>278.62</v>
      </c>
      <c r="E243" s="1123">
        <v>252.74</v>
      </c>
      <c r="F243" s="1126">
        <v>273.47000000000003</v>
      </c>
      <c r="H243" s="1117"/>
    </row>
    <row r="244" spans="1:8">
      <c r="A244" s="2555">
        <f t="shared" si="3"/>
        <v>2020.07</v>
      </c>
      <c r="B244" s="1556">
        <v>289.19</v>
      </c>
      <c r="C244" s="1570">
        <v>270.14</v>
      </c>
      <c r="D244" s="1562">
        <v>282.07</v>
      </c>
      <c r="E244" s="1123">
        <v>263.49</v>
      </c>
      <c r="F244" s="1126">
        <v>278.37</v>
      </c>
      <c r="H244" s="1117"/>
    </row>
    <row r="245" spans="1:8">
      <c r="A245" s="2555">
        <f t="shared" si="3"/>
        <v>2020.08</v>
      </c>
      <c r="B245" s="1556">
        <v>295.13</v>
      </c>
      <c r="C245" s="1570">
        <v>272.2</v>
      </c>
      <c r="D245" s="1562">
        <v>286.56</v>
      </c>
      <c r="E245" s="1123">
        <v>273.32</v>
      </c>
      <c r="F245" s="1126">
        <v>283.92</v>
      </c>
      <c r="H245" s="1117"/>
    </row>
    <row r="246" spans="1:8">
      <c r="A246" s="2555">
        <f t="shared" si="3"/>
        <v>2020.09</v>
      </c>
      <c r="B246" s="1556">
        <v>301.54000000000002</v>
      </c>
      <c r="C246" s="1570">
        <v>280.93</v>
      </c>
      <c r="D246" s="1562">
        <v>293.83999999999997</v>
      </c>
      <c r="E246" s="1123">
        <v>279.69</v>
      </c>
      <c r="F246" s="1126">
        <v>291.02</v>
      </c>
      <c r="H246" s="1117"/>
    </row>
    <row r="247" spans="1:8">
      <c r="A247" s="2555">
        <f t="shared" si="3"/>
        <v>2020.1</v>
      </c>
      <c r="B247" s="1556">
        <v>317.66000000000003</v>
      </c>
      <c r="C247" s="1570">
        <v>289.72000000000003</v>
      </c>
      <c r="D247" s="1562">
        <v>307.22000000000003</v>
      </c>
      <c r="E247" s="1123">
        <v>285.74</v>
      </c>
      <c r="F247" s="1126">
        <v>302.94</v>
      </c>
      <c r="H247" s="1117"/>
    </row>
    <row r="248" spans="1:8">
      <c r="A248" s="2555">
        <f t="shared" si="3"/>
        <v>2020.11</v>
      </c>
      <c r="B248" s="1556">
        <v>326.04000000000002</v>
      </c>
      <c r="C248" s="1570">
        <v>294.87</v>
      </c>
      <c r="D248" s="1562">
        <v>314.39999999999998</v>
      </c>
      <c r="E248" s="1123">
        <v>306.95999999999998</v>
      </c>
      <c r="F248" s="1126">
        <v>312.92</v>
      </c>
      <c r="H248" s="1117"/>
    </row>
    <row r="249" spans="1:8">
      <c r="A249" s="2555">
        <f t="shared" si="3"/>
        <v>2020.12</v>
      </c>
      <c r="B249" s="1556">
        <v>331.26</v>
      </c>
      <c r="C249" s="1570">
        <v>301.97000000000003</v>
      </c>
      <c r="D249" s="1562">
        <v>320.32</v>
      </c>
      <c r="E249" s="1123">
        <v>310.77999999999997</v>
      </c>
      <c r="F249" s="1126">
        <v>318.42</v>
      </c>
      <c r="H249" s="1117"/>
    </row>
    <row r="250" spans="1:8">
      <c r="A250" s="2555">
        <f t="shared" si="3"/>
        <v>2021.01</v>
      </c>
      <c r="B250" s="1556">
        <v>344.61</v>
      </c>
      <c r="C250" s="1570">
        <v>309.32</v>
      </c>
      <c r="D250" s="1562">
        <v>331.43</v>
      </c>
      <c r="E250" s="2567">
        <v>318.42</v>
      </c>
      <c r="F250" s="1126">
        <v>328.84</v>
      </c>
      <c r="H250" s="1117"/>
    </row>
    <row r="251" spans="1:8">
      <c r="A251" s="2555">
        <f t="shared" si="3"/>
        <v>2021.02</v>
      </c>
      <c r="B251" s="1556">
        <v>362.33</v>
      </c>
      <c r="C251" s="1570">
        <v>321.14</v>
      </c>
      <c r="D251" s="1562">
        <v>346.94</v>
      </c>
      <c r="E251" s="2567">
        <v>327.43</v>
      </c>
      <c r="F251" s="1126">
        <v>343.06</v>
      </c>
      <c r="H251" s="1117"/>
    </row>
    <row r="252" spans="1:8">
      <c r="A252" s="2555">
        <f t="shared" si="3"/>
        <v>2021.03</v>
      </c>
      <c r="B252" s="1556">
        <v>376.68</v>
      </c>
      <c r="C252" s="1570">
        <v>345.37</v>
      </c>
      <c r="D252" s="1562">
        <v>364.98</v>
      </c>
      <c r="E252" s="2567">
        <v>341.36</v>
      </c>
      <c r="F252" s="1126">
        <v>360.28</v>
      </c>
      <c r="H252" s="1117"/>
    </row>
    <row r="253" spans="1:8">
      <c r="A253" s="2555">
        <f t="shared" si="3"/>
        <v>2021.04</v>
      </c>
      <c r="B253" s="1556">
        <v>394.54</v>
      </c>
      <c r="C253" s="1570">
        <v>350.74</v>
      </c>
      <c r="D253" s="1562">
        <v>378.18</v>
      </c>
      <c r="E253" s="2567">
        <v>346.34</v>
      </c>
      <c r="F253" s="1126">
        <v>371.84</v>
      </c>
      <c r="H253" s="1117"/>
    </row>
    <row r="254" spans="1:8">
      <c r="A254" s="2555">
        <f t="shared" si="3"/>
        <v>2021.05</v>
      </c>
      <c r="B254" s="1556">
        <v>408.38</v>
      </c>
      <c r="C254" s="1570">
        <v>360.83</v>
      </c>
      <c r="D254" s="1562">
        <v>390.62</v>
      </c>
      <c r="E254" s="2567">
        <v>349.47</v>
      </c>
      <c r="F254" s="1126">
        <v>382.42</v>
      </c>
      <c r="H254" s="1117"/>
    </row>
    <row r="255" spans="1:8">
      <c r="A255" s="2555">
        <f t="shared" si="3"/>
        <v>2021.06</v>
      </c>
      <c r="B255" s="1556">
        <v>415.55</v>
      </c>
      <c r="C255" s="1570">
        <v>375.32</v>
      </c>
      <c r="D255" s="1562">
        <v>400.52</v>
      </c>
      <c r="E255" s="2567">
        <v>353.54</v>
      </c>
      <c r="F255" s="1126">
        <v>391.16</v>
      </c>
      <c r="H255" s="1117"/>
    </row>
    <row r="256" spans="1:8">
      <c r="A256" s="2555">
        <f t="shared" si="3"/>
        <v>2021.07</v>
      </c>
      <c r="B256" s="1556">
        <v>437</v>
      </c>
      <c r="C256" s="1570">
        <v>397.93</v>
      </c>
      <c r="D256" s="1562">
        <v>422.41</v>
      </c>
      <c r="E256" s="2567">
        <v>362.03</v>
      </c>
      <c r="F256" s="1126">
        <v>410.37</v>
      </c>
      <c r="H256" s="1117"/>
    </row>
    <row r="257" spans="1:8">
      <c r="A257" s="2555">
        <f t="shared" si="3"/>
        <v>2021.08</v>
      </c>
      <c r="B257" s="1556">
        <v>451.64</v>
      </c>
      <c r="C257" s="1570">
        <v>410.82</v>
      </c>
      <c r="D257" s="1562">
        <v>436.4</v>
      </c>
      <c r="E257" s="2567">
        <v>371.24</v>
      </c>
      <c r="F257" s="1126">
        <v>423.41</v>
      </c>
      <c r="H257" s="1117"/>
    </row>
    <row r="258" spans="1:8">
      <c r="A258" s="2555">
        <f t="shared" si="3"/>
        <v>2021.09</v>
      </c>
      <c r="B258" s="1556">
        <v>467.91</v>
      </c>
      <c r="C258" s="1570">
        <v>438.07</v>
      </c>
      <c r="D258" s="1562">
        <v>456.77</v>
      </c>
      <c r="E258" s="2567">
        <v>374.34</v>
      </c>
      <c r="F258" s="1126">
        <v>440.34</v>
      </c>
      <c r="H258" s="1117"/>
    </row>
    <row r="259" spans="1:8">
      <c r="A259" s="2555">
        <f t="shared" si="3"/>
        <v>2021.1</v>
      </c>
      <c r="B259" s="1556">
        <v>485.29</v>
      </c>
      <c r="C259" s="1570">
        <v>454.12</v>
      </c>
      <c r="D259" s="1562">
        <v>473.64</v>
      </c>
      <c r="E259" s="2567">
        <v>395.51</v>
      </c>
      <c r="F259" s="1126">
        <v>458.07</v>
      </c>
      <c r="H259" s="1117"/>
    </row>
    <row r="260" spans="1:8">
      <c r="A260" s="2555">
        <f t="shared" si="3"/>
        <v>2021.11</v>
      </c>
      <c r="B260" s="1556">
        <v>507</v>
      </c>
      <c r="C260" s="1570">
        <v>466.54</v>
      </c>
      <c r="D260" s="1562">
        <v>491.89</v>
      </c>
      <c r="E260" s="2567">
        <v>412.7</v>
      </c>
      <c r="F260" s="1126">
        <v>476.11</v>
      </c>
      <c r="H260" s="1117"/>
    </row>
    <row r="261" spans="1:8">
      <c r="A261" s="2555">
        <f t="shared" si="3"/>
        <v>2021.12</v>
      </c>
      <c r="B261" s="1556">
        <v>514.34</v>
      </c>
      <c r="C261" s="1570">
        <v>479.05</v>
      </c>
      <c r="D261" s="1562">
        <v>501.16</v>
      </c>
      <c r="E261" s="2567">
        <v>436.8</v>
      </c>
      <c r="F261" s="1126">
        <v>488.33</v>
      </c>
      <c r="H261" s="1117"/>
    </row>
    <row r="262" spans="1:8">
      <c r="A262" s="2555">
        <f t="shared" si="3"/>
        <v>2022.01</v>
      </c>
      <c r="B262" s="1556">
        <v>538.16999999999996</v>
      </c>
      <c r="C262" s="1570">
        <v>493.03</v>
      </c>
      <c r="D262" s="1562">
        <v>521.29999999999995</v>
      </c>
      <c r="E262" s="2567">
        <v>447.94</v>
      </c>
      <c r="F262" s="1126">
        <v>506.68</v>
      </c>
      <c r="H262" s="1117"/>
    </row>
    <row r="263" spans="1:8">
      <c r="A263" s="2555">
        <f t="shared" si="3"/>
        <v>2022.02</v>
      </c>
      <c r="B263" s="1556">
        <v>559.01</v>
      </c>
      <c r="C263" s="1570">
        <v>504.7</v>
      </c>
      <c r="D263" s="1562">
        <v>538.72</v>
      </c>
      <c r="E263" s="2567">
        <v>457.61</v>
      </c>
      <c r="F263" s="1126">
        <v>522.55999999999995</v>
      </c>
      <c r="H263" s="1117"/>
    </row>
    <row r="264" spans="1:8">
      <c r="A264" s="2555">
        <f t="shared" si="3"/>
        <v>2022.03</v>
      </c>
      <c r="B264" s="1556">
        <v>589.30999999999995</v>
      </c>
      <c r="C264" s="1570">
        <v>565.82000000000005</v>
      </c>
      <c r="D264" s="1562">
        <v>580.53</v>
      </c>
      <c r="E264" s="1123">
        <v>483.35</v>
      </c>
      <c r="F264" s="1126">
        <v>561.16</v>
      </c>
      <c r="H264" s="1117"/>
    </row>
    <row r="265" spans="1:8">
      <c r="A265" s="2555">
        <f t="shared" si="3"/>
        <v>2022.04</v>
      </c>
      <c r="B265" s="1556">
        <v>622.29</v>
      </c>
      <c r="C265" s="1570">
        <v>580.87</v>
      </c>
      <c r="D265" s="1562">
        <v>606.82000000000005</v>
      </c>
      <c r="E265" s="1123">
        <v>517.48</v>
      </c>
      <c r="F265" s="1126">
        <v>589.01</v>
      </c>
      <c r="H265" s="1117"/>
    </row>
    <row r="266" spans="1:8">
      <c r="A266" s="2555">
        <f t="shared" si="3"/>
        <v>2022.05</v>
      </c>
      <c r="B266" s="1556">
        <v>665.66</v>
      </c>
      <c r="C266" s="1570">
        <v>619.44000000000005</v>
      </c>
      <c r="D266" s="1562">
        <v>648.39</v>
      </c>
      <c r="E266" s="1123">
        <v>534.16999999999996</v>
      </c>
      <c r="F266" s="1126">
        <v>625.63</v>
      </c>
      <c r="H266" s="1117"/>
    </row>
    <row r="267" spans="1:8">
      <c r="A267" s="2555">
        <f t="shared" si="3"/>
        <v>2022.06</v>
      </c>
      <c r="B267" s="1556">
        <v>699.36</v>
      </c>
      <c r="C267" s="1570">
        <v>647.9</v>
      </c>
      <c r="D267" s="1562">
        <v>680.14</v>
      </c>
      <c r="E267" s="1123">
        <v>558.71</v>
      </c>
      <c r="F267" s="1126">
        <v>655.94</v>
      </c>
      <c r="H267" s="1117"/>
    </row>
    <row r="268" spans="1:8">
      <c r="A268" s="2555">
        <f t="shared" si="3"/>
        <v>2022.07</v>
      </c>
      <c r="B268" s="1556">
        <v>737.01</v>
      </c>
      <c r="C268" s="1570">
        <v>695.34</v>
      </c>
      <c r="D268" s="1562">
        <v>721.44</v>
      </c>
      <c r="E268" s="1123">
        <v>575.30999999999995</v>
      </c>
      <c r="F268" s="1126">
        <v>692.32</v>
      </c>
      <c r="H268" s="1117"/>
    </row>
    <row r="269" spans="1:8">
      <c r="A269" s="2555">
        <f t="shared" si="3"/>
        <v>2022.08</v>
      </c>
      <c r="B269" s="1556">
        <v>797.04</v>
      </c>
      <c r="C269" s="1570">
        <v>724.84</v>
      </c>
      <c r="D269" s="1562">
        <v>770.07</v>
      </c>
      <c r="E269" s="1123">
        <v>606.44000000000005</v>
      </c>
      <c r="F269" s="1126">
        <v>737.46</v>
      </c>
      <c r="H269" s="1117"/>
    </row>
    <row r="270" spans="1:8">
      <c r="A270" s="2555">
        <f t="shared" si="3"/>
        <v>2022.09</v>
      </c>
      <c r="B270" s="1556">
        <v>843.4</v>
      </c>
      <c r="C270" s="1570">
        <v>780.81</v>
      </c>
      <c r="D270" s="1562">
        <v>820.02</v>
      </c>
      <c r="E270" s="1123">
        <v>654.74</v>
      </c>
      <c r="F270" s="1126">
        <v>787.08</v>
      </c>
      <c r="H270" s="1117"/>
    </row>
    <row r="271" spans="1:8">
      <c r="A271" s="2555">
        <f t="shared" si="3"/>
        <v>2022.1</v>
      </c>
      <c r="B271" s="1556">
        <v>888.1</v>
      </c>
      <c r="C271" s="1570">
        <v>827.5</v>
      </c>
      <c r="D271" s="1562">
        <v>865.46</v>
      </c>
      <c r="E271" s="1123">
        <v>675.21</v>
      </c>
      <c r="F271" s="1126">
        <v>827.54</v>
      </c>
      <c r="H271" s="1117"/>
    </row>
    <row r="272" spans="1:8">
      <c r="A272" s="2555">
        <f t="shared" si="3"/>
        <v>2022.11</v>
      </c>
      <c r="B272" s="1556">
        <v>953.34</v>
      </c>
      <c r="C272" s="1570">
        <v>874.76</v>
      </c>
      <c r="D272" s="1562">
        <v>923.98</v>
      </c>
      <c r="E272" s="1123">
        <v>718.67</v>
      </c>
      <c r="F272" s="1126">
        <v>883.06</v>
      </c>
      <c r="H272" s="1117"/>
    </row>
    <row r="273" spans="1:8">
      <c r="A273" s="2555">
        <f t="shared" si="3"/>
        <v>2022.12</v>
      </c>
      <c r="B273" s="1556">
        <v>996.62</v>
      </c>
      <c r="C273" s="1570">
        <v>955.04</v>
      </c>
      <c r="D273" s="1562">
        <v>981.09</v>
      </c>
      <c r="E273" s="1123">
        <v>722.55</v>
      </c>
      <c r="F273" s="1126">
        <v>929.56</v>
      </c>
      <c r="H273" s="1117"/>
    </row>
    <row r="274" spans="1:8">
      <c r="A274" s="2555">
        <f t="shared" si="3"/>
        <v>2023.01</v>
      </c>
      <c r="B274" s="1556">
        <v>1042.3699999999999</v>
      </c>
      <c r="C274" s="1570">
        <v>992.3</v>
      </c>
      <c r="D274" s="1562">
        <v>1023.66</v>
      </c>
      <c r="E274" s="1123">
        <v>771.21</v>
      </c>
      <c r="F274" s="1126">
        <v>973.35</v>
      </c>
      <c r="H274" s="1117"/>
    </row>
    <row r="275" spans="1:8">
      <c r="A275" s="2555">
        <f t="shared" si="3"/>
        <v>2023.02</v>
      </c>
      <c r="B275" s="1556">
        <v>1114.31</v>
      </c>
      <c r="C275" s="1570">
        <v>1030.47</v>
      </c>
      <c r="D275" s="1562">
        <v>1082.99</v>
      </c>
      <c r="E275" s="1123">
        <v>825.87</v>
      </c>
      <c r="F275" s="1126">
        <v>1031.74</v>
      </c>
      <c r="H275" s="1117"/>
    </row>
    <row r="276" spans="1:8">
      <c r="A276" s="2555">
        <f t="shared" si="3"/>
        <v>2023.03</v>
      </c>
      <c r="B276" s="1556">
        <v>1202.08</v>
      </c>
      <c r="C276" s="1570">
        <v>1198.55</v>
      </c>
      <c r="D276" s="1562">
        <v>1200.76</v>
      </c>
      <c r="E276" s="1123">
        <v>876.04</v>
      </c>
      <c r="F276" s="1126">
        <v>1136.04</v>
      </c>
      <c r="H276" s="1117"/>
    </row>
    <row r="277" spans="1:8">
      <c r="A277" s="2555">
        <f t="shared" si="3"/>
        <v>2023.04</v>
      </c>
      <c r="B277" s="1556">
        <v>1284.57</v>
      </c>
      <c r="C277" s="1570">
        <v>1247.3900000000001</v>
      </c>
      <c r="D277" s="1562">
        <v>1270.68</v>
      </c>
      <c r="E277" s="1123">
        <v>918.51</v>
      </c>
      <c r="F277" s="1126">
        <v>1200.49</v>
      </c>
      <c r="H277" s="1117"/>
    </row>
    <row r="278" spans="1:8">
      <c r="A278" s="2555">
        <f t="shared" si="3"/>
        <v>2023.05</v>
      </c>
      <c r="B278" s="1556">
        <v>1389.24</v>
      </c>
      <c r="C278" s="1570">
        <v>1353.08</v>
      </c>
      <c r="D278" s="1562">
        <v>1375.74</v>
      </c>
      <c r="E278" s="1123">
        <v>947.84</v>
      </c>
      <c r="F278" s="1126">
        <v>1290.46</v>
      </c>
      <c r="H278" s="1117"/>
    </row>
    <row r="279" spans="1:8">
      <c r="A279" s="2555">
        <f t="shared" si="3"/>
        <v>2023.06</v>
      </c>
      <c r="B279" s="1556">
        <v>1468.48</v>
      </c>
      <c r="C279" s="1570">
        <v>1434.49</v>
      </c>
      <c r="D279" s="1562">
        <v>1455.78</v>
      </c>
      <c r="E279" s="1123">
        <v>1018.88</v>
      </c>
      <c r="F279" s="1126">
        <v>1368.71</v>
      </c>
      <c r="H279" s="1117"/>
    </row>
    <row r="280" spans="1:8">
      <c r="A280" s="2555">
        <f t="shared" si="3"/>
        <v>2023.07</v>
      </c>
      <c r="B280" s="1556">
        <v>1626.81</v>
      </c>
      <c r="C280" s="1570">
        <v>1625.51</v>
      </c>
      <c r="D280" s="1562">
        <v>1626.33</v>
      </c>
      <c r="E280" s="1123">
        <v>1090.31</v>
      </c>
      <c r="F280" s="1126">
        <v>1519.5</v>
      </c>
      <c r="H280" s="1117"/>
    </row>
    <row r="281" spans="1:8">
      <c r="A281" s="2555">
        <f t="shared" si="3"/>
        <v>2023.08</v>
      </c>
      <c r="B281" s="1556">
        <v>1762.46</v>
      </c>
      <c r="C281" s="1570">
        <v>1723.25</v>
      </c>
      <c r="D281" s="1562">
        <v>1747.82</v>
      </c>
      <c r="E281" s="1123">
        <v>1183.42</v>
      </c>
      <c r="F281" s="1126">
        <v>1635.33</v>
      </c>
      <c r="H281" s="1117"/>
    </row>
    <row r="282" spans="1:8">
      <c r="A282" s="2555">
        <f t="shared" si="3"/>
        <v>2023.09</v>
      </c>
      <c r="B282" s="1556">
        <v>1995.58</v>
      </c>
      <c r="C282" s="1570">
        <v>1911.97</v>
      </c>
      <c r="D282" s="1562">
        <v>1964.34</v>
      </c>
      <c r="E282" s="1123">
        <v>1271.6300000000001</v>
      </c>
      <c r="F282" s="1126">
        <v>1826.29</v>
      </c>
      <c r="H282" s="1117"/>
    </row>
    <row r="283" spans="1:8">
      <c r="A283" s="2555">
        <f t="shared" si="3"/>
        <v>2023.1</v>
      </c>
      <c r="B283" s="1556">
        <v>2169.81</v>
      </c>
      <c r="C283" s="1570">
        <v>2086.8200000000002</v>
      </c>
      <c r="D283" s="1562">
        <v>2138.81</v>
      </c>
      <c r="E283" s="1123">
        <v>1334.03</v>
      </c>
      <c r="F283" s="1126">
        <v>1978.41</v>
      </c>
      <c r="H283" s="1117"/>
    </row>
    <row r="284" spans="1:8">
      <c r="A284" s="2555">
        <f t="shared" si="3"/>
        <v>2023.11</v>
      </c>
      <c r="B284" s="1556">
        <v>2385.5500000000002</v>
      </c>
      <c r="C284" s="1570">
        <v>2250.34</v>
      </c>
      <c r="D284" s="1562">
        <v>2335.04</v>
      </c>
      <c r="E284" s="1123">
        <v>1445.34</v>
      </c>
      <c r="F284" s="1126">
        <v>2157.73</v>
      </c>
      <c r="H284" s="1117"/>
    </row>
    <row r="285" spans="1:8">
      <c r="A285" s="2555">
        <f t="shared" si="3"/>
        <v>2023.12</v>
      </c>
      <c r="B285" s="3277">
        <v>2648.87</v>
      </c>
      <c r="C285" s="3278">
        <v>2374.02</v>
      </c>
      <c r="D285" s="3279">
        <v>2546.1999999999998</v>
      </c>
      <c r="E285" s="3280">
        <v>1555.65</v>
      </c>
      <c r="F285" s="3281">
        <v>2348.79</v>
      </c>
      <c r="H285" s="1117"/>
    </row>
    <row r="286" spans="1:8">
      <c r="A286" s="2555">
        <f t="shared" si="3"/>
        <v>2024.01</v>
      </c>
      <c r="B286" s="3277">
        <v>3178.28</v>
      </c>
      <c r="C286" s="3278">
        <v>2660.85</v>
      </c>
      <c r="D286" s="3279">
        <v>2985</v>
      </c>
      <c r="E286" s="3280">
        <v>1730.47</v>
      </c>
      <c r="F286" s="3281">
        <v>2734.97</v>
      </c>
      <c r="H286" s="1117"/>
    </row>
    <row r="287" spans="1:8">
      <c r="A287" s="2555">
        <f t="shared" si="3"/>
        <v>2024.02</v>
      </c>
      <c r="B287" s="3277">
        <v>3625.42</v>
      </c>
      <c r="C287" s="3278">
        <v>3062.83</v>
      </c>
      <c r="D287" s="3279">
        <v>3415.26</v>
      </c>
      <c r="E287" s="3280">
        <v>1829.42</v>
      </c>
      <c r="F287" s="3281">
        <v>3099.2</v>
      </c>
      <c r="H287" s="1117"/>
    </row>
    <row r="288" spans="1:8">
      <c r="A288" s="2555">
        <f t="shared" si="3"/>
        <v>2024.03</v>
      </c>
      <c r="B288" s="3277">
        <v>3987.49</v>
      </c>
      <c r="C288" s="3278">
        <v>3400.49</v>
      </c>
      <c r="D288" s="3279">
        <v>3768.21</v>
      </c>
      <c r="E288" s="3280">
        <v>2007.72</v>
      </c>
      <c r="F288" s="3281">
        <v>3417.34</v>
      </c>
      <c r="H288" s="1117"/>
    </row>
    <row r="289" spans="1:8">
      <c r="A289" s="2555">
        <f t="shared" si="3"/>
        <v>2024.04</v>
      </c>
      <c r="B289" s="2786" t="e">
        <v>#N/A</v>
      </c>
      <c r="C289" s="2787" t="e">
        <v>#N/A</v>
      </c>
      <c r="D289" s="2788" t="e">
        <v>#N/A</v>
      </c>
      <c r="E289" s="2789" t="e">
        <v>#N/A</v>
      </c>
      <c r="F289" s="2790" t="e">
        <v>#N/A</v>
      </c>
      <c r="H289" s="1117"/>
    </row>
    <row r="290" spans="1:8">
      <c r="A290" s="2555">
        <f t="shared" si="3"/>
        <v>2024.05</v>
      </c>
      <c r="B290" s="2786" t="e">
        <v>#N/A</v>
      </c>
      <c r="C290" s="2787" t="e">
        <v>#N/A</v>
      </c>
      <c r="D290" s="2788" t="e">
        <v>#N/A</v>
      </c>
      <c r="E290" s="2789" t="e">
        <v>#N/A</v>
      </c>
      <c r="F290" s="2790" t="e">
        <v>#N/A</v>
      </c>
      <c r="H290" s="1117"/>
    </row>
    <row r="291" spans="1:8">
      <c r="A291" s="2555">
        <f t="shared" ref="A291:A354" si="4">A279+1</f>
        <v>2024.06</v>
      </c>
      <c r="B291" s="2786" t="e">
        <v>#N/A</v>
      </c>
      <c r="C291" s="2787" t="e">
        <v>#N/A</v>
      </c>
      <c r="D291" s="2788" t="e">
        <v>#N/A</v>
      </c>
      <c r="E291" s="2789" t="e">
        <v>#N/A</v>
      </c>
      <c r="F291" s="2790" t="e">
        <v>#N/A</v>
      </c>
      <c r="H291" s="1117"/>
    </row>
    <row r="292" spans="1:8">
      <c r="A292" s="2555">
        <f t="shared" si="4"/>
        <v>2024.07</v>
      </c>
      <c r="B292" s="2786" t="e">
        <v>#N/A</v>
      </c>
      <c r="C292" s="2787" t="e">
        <v>#N/A</v>
      </c>
      <c r="D292" s="2788" t="e">
        <v>#N/A</v>
      </c>
      <c r="E292" s="2789" t="e">
        <v>#N/A</v>
      </c>
      <c r="F292" s="2790" t="e">
        <v>#N/A</v>
      </c>
      <c r="H292" s="1117"/>
    </row>
    <row r="293" spans="1:8">
      <c r="A293" s="2555">
        <f t="shared" si="4"/>
        <v>2024.08</v>
      </c>
      <c r="B293" s="2786" t="e">
        <v>#N/A</v>
      </c>
      <c r="C293" s="2787" t="e">
        <v>#N/A</v>
      </c>
      <c r="D293" s="2788" t="e">
        <v>#N/A</v>
      </c>
      <c r="E293" s="2789" t="e">
        <v>#N/A</v>
      </c>
      <c r="F293" s="2790" t="e">
        <v>#N/A</v>
      </c>
      <c r="H293" s="1117"/>
    </row>
    <row r="294" spans="1:8">
      <c r="A294" s="2555">
        <f t="shared" si="4"/>
        <v>2024.09</v>
      </c>
      <c r="B294" s="2786" t="e">
        <v>#N/A</v>
      </c>
      <c r="C294" s="2787" t="e">
        <v>#N/A</v>
      </c>
      <c r="D294" s="2788" t="e">
        <v>#N/A</v>
      </c>
      <c r="E294" s="2789" t="e">
        <v>#N/A</v>
      </c>
      <c r="F294" s="2790" t="e">
        <v>#N/A</v>
      </c>
      <c r="H294" s="1117"/>
    </row>
    <row r="295" spans="1:8">
      <c r="A295" s="2555">
        <f t="shared" si="4"/>
        <v>2024.1</v>
      </c>
      <c r="B295" s="2786" t="e">
        <v>#N/A</v>
      </c>
      <c r="C295" s="2787" t="e">
        <v>#N/A</v>
      </c>
      <c r="D295" s="2788" t="e">
        <v>#N/A</v>
      </c>
      <c r="E295" s="2789" t="e">
        <v>#N/A</v>
      </c>
      <c r="F295" s="2790" t="e">
        <v>#N/A</v>
      </c>
      <c r="H295" s="1117"/>
    </row>
    <row r="296" spans="1:8">
      <c r="A296" s="2555">
        <f t="shared" si="4"/>
        <v>2024.11</v>
      </c>
      <c r="B296" s="2786" t="e">
        <v>#N/A</v>
      </c>
      <c r="C296" s="2787" t="e">
        <v>#N/A</v>
      </c>
      <c r="D296" s="2788" t="e">
        <v>#N/A</v>
      </c>
      <c r="E296" s="2789" t="e">
        <v>#N/A</v>
      </c>
      <c r="F296" s="2790" t="e">
        <v>#N/A</v>
      </c>
      <c r="H296" s="1117"/>
    </row>
    <row r="297" spans="1:8">
      <c r="A297" s="2555">
        <f t="shared" si="4"/>
        <v>2024.12</v>
      </c>
      <c r="B297" s="2786" t="e">
        <v>#N/A</v>
      </c>
      <c r="C297" s="2787" t="e">
        <v>#N/A</v>
      </c>
      <c r="D297" s="2788" t="e">
        <v>#N/A</v>
      </c>
      <c r="E297" s="2789" t="e">
        <v>#N/A</v>
      </c>
      <c r="F297" s="2790" t="e">
        <v>#N/A</v>
      </c>
      <c r="H297" s="1117"/>
    </row>
    <row r="298" spans="1:8">
      <c r="A298" s="2555">
        <f t="shared" si="4"/>
        <v>2025.01</v>
      </c>
      <c r="B298" s="2786" t="e">
        <v>#N/A</v>
      </c>
      <c r="C298" s="2787" t="e">
        <v>#N/A</v>
      </c>
      <c r="D298" s="2788" t="e">
        <v>#N/A</v>
      </c>
      <c r="E298" s="2789" t="e">
        <v>#N/A</v>
      </c>
      <c r="F298" s="2790" t="e">
        <v>#N/A</v>
      </c>
      <c r="H298" s="1117"/>
    </row>
    <row r="299" spans="1:8">
      <c r="A299" s="2555">
        <f t="shared" si="4"/>
        <v>2025.02</v>
      </c>
      <c r="B299" s="2786" t="e">
        <v>#N/A</v>
      </c>
      <c r="C299" s="2787" t="e">
        <v>#N/A</v>
      </c>
      <c r="D299" s="2788" t="e">
        <v>#N/A</v>
      </c>
      <c r="E299" s="2789" t="e">
        <v>#N/A</v>
      </c>
      <c r="F299" s="2790" t="e">
        <v>#N/A</v>
      </c>
      <c r="H299" s="1117"/>
    </row>
    <row r="300" spans="1:8">
      <c r="A300" s="2555">
        <f t="shared" si="4"/>
        <v>2025.03</v>
      </c>
      <c r="B300" s="2786" t="e">
        <v>#N/A</v>
      </c>
      <c r="C300" s="2787" t="e">
        <v>#N/A</v>
      </c>
      <c r="D300" s="2788" t="e">
        <v>#N/A</v>
      </c>
      <c r="E300" s="2789" t="e">
        <v>#N/A</v>
      </c>
      <c r="F300" s="2790" t="e">
        <v>#N/A</v>
      </c>
      <c r="H300" s="1117"/>
    </row>
    <row r="301" spans="1:8">
      <c r="A301" s="2555">
        <f t="shared" si="4"/>
        <v>2025.04</v>
      </c>
      <c r="B301" s="2786" t="e">
        <v>#N/A</v>
      </c>
      <c r="C301" s="2787" t="e">
        <v>#N/A</v>
      </c>
      <c r="D301" s="2788" t="e">
        <v>#N/A</v>
      </c>
      <c r="E301" s="2789" t="e">
        <v>#N/A</v>
      </c>
      <c r="F301" s="2790" t="e">
        <v>#N/A</v>
      </c>
      <c r="H301" s="1117"/>
    </row>
    <row r="302" spans="1:8">
      <c r="A302" s="2555">
        <f t="shared" si="4"/>
        <v>2025.05</v>
      </c>
      <c r="B302" s="2786" t="e">
        <v>#N/A</v>
      </c>
      <c r="C302" s="2787" t="e">
        <v>#N/A</v>
      </c>
      <c r="D302" s="2788" t="e">
        <v>#N/A</v>
      </c>
      <c r="E302" s="2789" t="e">
        <v>#N/A</v>
      </c>
      <c r="F302" s="2790" t="e">
        <v>#N/A</v>
      </c>
      <c r="H302" s="1117"/>
    </row>
    <row r="303" spans="1:8">
      <c r="A303" s="2555">
        <f t="shared" si="4"/>
        <v>2025.06</v>
      </c>
      <c r="B303" s="2786" t="e">
        <v>#N/A</v>
      </c>
      <c r="C303" s="2787" t="e">
        <v>#N/A</v>
      </c>
      <c r="D303" s="2788" t="e">
        <v>#N/A</v>
      </c>
      <c r="E303" s="2789" t="e">
        <v>#N/A</v>
      </c>
      <c r="F303" s="2790" t="e">
        <v>#N/A</v>
      </c>
      <c r="H303" s="1117"/>
    </row>
    <row r="304" spans="1:8">
      <c r="A304" s="2555">
        <f t="shared" si="4"/>
        <v>2025.07</v>
      </c>
      <c r="B304" s="2786" t="e">
        <v>#N/A</v>
      </c>
      <c r="C304" s="2787" t="e">
        <v>#N/A</v>
      </c>
      <c r="D304" s="2788" t="e">
        <v>#N/A</v>
      </c>
      <c r="E304" s="2789" t="e">
        <v>#N/A</v>
      </c>
      <c r="F304" s="2790" t="e">
        <v>#N/A</v>
      </c>
      <c r="H304" s="1117"/>
    </row>
    <row r="305" spans="1:8">
      <c r="A305" s="2555">
        <f t="shared" si="4"/>
        <v>2025.08</v>
      </c>
      <c r="B305" s="2786" t="e">
        <v>#N/A</v>
      </c>
      <c r="C305" s="2787" t="e">
        <v>#N/A</v>
      </c>
      <c r="D305" s="2788" t="e">
        <v>#N/A</v>
      </c>
      <c r="E305" s="2789" t="e">
        <v>#N/A</v>
      </c>
      <c r="F305" s="2790" t="e">
        <v>#N/A</v>
      </c>
      <c r="H305" s="1117"/>
    </row>
    <row r="306" spans="1:8">
      <c r="A306" s="2555">
        <f t="shared" si="4"/>
        <v>2025.09</v>
      </c>
      <c r="B306" s="2786" t="e">
        <v>#N/A</v>
      </c>
      <c r="C306" s="2787" t="e">
        <v>#N/A</v>
      </c>
      <c r="D306" s="2788" t="e">
        <v>#N/A</v>
      </c>
      <c r="E306" s="2789" t="e">
        <v>#N/A</v>
      </c>
      <c r="F306" s="2790" t="e">
        <v>#N/A</v>
      </c>
      <c r="H306" s="1117"/>
    </row>
    <row r="307" spans="1:8">
      <c r="A307" s="2555">
        <f t="shared" si="4"/>
        <v>2025.1</v>
      </c>
      <c r="B307" s="2786" t="e">
        <v>#N/A</v>
      </c>
      <c r="C307" s="2787" t="e">
        <v>#N/A</v>
      </c>
      <c r="D307" s="2788" t="e">
        <v>#N/A</v>
      </c>
      <c r="E307" s="2789" t="e">
        <v>#N/A</v>
      </c>
      <c r="F307" s="2790" t="e">
        <v>#N/A</v>
      </c>
      <c r="H307" s="1117"/>
    </row>
    <row r="308" spans="1:8">
      <c r="A308" s="2555">
        <f t="shared" si="4"/>
        <v>2025.11</v>
      </c>
      <c r="B308" s="2786" t="e">
        <v>#N/A</v>
      </c>
      <c r="C308" s="2787" t="e">
        <v>#N/A</v>
      </c>
      <c r="D308" s="2788" t="e">
        <v>#N/A</v>
      </c>
      <c r="E308" s="2789" t="e">
        <v>#N/A</v>
      </c>
      <c r="F308" s="2790" t="e">
        <v>#N/A</v>
      </c>
      <c r="H308" s="1117"/>
    </row>
    <row r="309" spans="1:8">
      <c r="A309" s="2555">
        <f t="shared" si="4"/>
        <v>2025.12</v>
      </c>
      <c r="B309" s="2786" t="e">
        <v>#N/A</v>
      </c>
      <c r="C309" s="2787" t="e">
        <v>#N/A</v>
      </c>
      <c r="D309" s="2788" t="e">
        <v>#N/A</v>
      </c>
      <c r="E309" s="2789" t="e">
        <v>#N/A</v>
      </c>
      <c r="F309" s="2790" t="e">
        <v>#N/A</v>
      </c>
      <c r="H309" s="1117"/>
    </row>
    <row r="310" spans="1:8">
      <c r="A310" s="2555">
        <f t="shared" si="4"/>
        <v>2026.01</v>
      </c>
      <c r="B310" s="2786" t="e">
        <v>#N/A</v>
      </c>
      <c r="C310" s="2787" t="e">
        <v>#N/A</v>
      </c>
      <c r="D310" s="2788" t="e">
        <v>#N/A</v>
      </c>
      <c r="E310" s="2789" t="e">
        <v>#N/A</v>
      </c>
      <c r="F310" s="2790" t="e">
        <v>#N/A</v>
      </c>
    </row>
    <row r="311" spans="1:8">
      <c r="A311" s="2555">
        <f t="shared" si="4"/>
        <v>2026.02</v>
      </c>
      <c r="B311" s="2786" t="e">
        <v>#N/A</v>
      </c>
      <c r="C311" s="2787" t="e">
        <v>#N/A</v>
      </c>
      <c r="D311" s="2788" t="e">
        <v>#N/A</v>
      </c>
      <c r="E311" s="2789" t="e">
        <v>#N/A</v>
      </c>
      <c r="F311" s="2790" t="e">
        <v>#N/A</v>
      </c>
    </row>
    <row r="312" spans="1:8">
      <c r="A312" s="2555">
        <f t="shared" si="4"/>
        <v>2026.03</v>
      </c>
      <c r="B312" s="2786" t="e">
        <v>#N/A</v>
      </c>
      <c r="C312" s="2787" t="e">
        <v>#N/A</v>
      </c>
      <c r="D312" s="2788" t="e">
        <v>#N/A</v>
      </c>
      <c r="E312" s="2789" t="e">
        <v>#N/A</v>
      </c>
      <c r="F312" s="2790" t="e">
        <v>#N/A</v>
      </c>
    </row>
    <row r="313" spans="1:8">
      <c r="A313" s="2555">
        <f t="shared" si="4"/>
        <v>2026.04</v>
      </c>
      <c r="B313" s="2786" t="e">
        <v>#N/A</v>
      </c>
      <c r="C313" s="2787" t="e">
        <v>#N/A</v>
      </c>
      <c r="D313" s="2788" t="e">
        <v>#N/A</v>
      </c>
      <c r="E313" s="2789" t="e">
        <v>#N/A</v>
      </c>
      <c r="F313" s="2790" t="e">
        <v>#N/A</v>
      </c>
    </row>
    <row r="314" spans="1:8">
      <c r="A314" s="2555">
        <f t="shared" si="4"/>
        <v>2026.05</v>
      </c>
      <c r="B314" s="2786" t="e">
        <v>#N/A</v>
      </c>
      <c r="C314" s="2787" t="e">
        <v>#N/A</v>
      </c>
      <c r="D314" s="2788" t="e">
        <v>#N/A</v>
      </c>
      <c r="E314" s="2789" t="e">
        <v>#N/A</v>
      </c>
      <c r="F314" s="2790" t="e">
        <v>#N/A</v>
      </c>
    </row>
    <row r="315" spans="1:8">
      <c r="A315" s="2555">
        <f t="shared" si="4"/>
        <v>2026.06</v>
      </c>
      <c r="B315" s="2786" t="e">
        <v>#N/A</v>
      </c>
      <c r="C315" s="2787" t="e">
        <v>#N/A</v>
      </c>
      <c r="D315" s="2788" t="e">
        <v>#N/A</v>
      </c>
      <c r="E315" s="2789" t="e">
        <v>#N/A</v>
      </c>
      <c r="F315" s="2790" t="e">
        <v>#N/A</v>
      </c>
    </row>
    <row r="316" spans="1:8">
      <c r="A316" s="2555">
        <f t="shared" si="4"/>
        <v>2026.07</v>
      </c>
      <c r="B316" s="2786" t="e">
        <v>#N/A</v>
      </c>
      <c r="C316" s="2787" t="e">
        <v>#N/A</v>
      </c>
      <c r="D316" s="2788" t="e">
        <v>#N/A</v>
      </c>
      <c r="E316" s="2789" t="e">
        <v>#N/A</v>
      </c>
      <c r="F316" s="2790" t="e">
        <v>#N/A</v>
      </c>
    </row>
    <row r="317" spans="1:8">
      <c r="A317" s="2555">
        <f t="shared" si="4"/>
        <v>2026.08</v>
      </c>
      <c r="B317" s="2786" t="e">
        <v>#N/A</v>
      </c>
      <c r="C317" s="2787" t="e">
        <v>#N/A</v>
      </c>
      <c r="D317" s="2788" t="e">
        <v>#N/A</v>
      </c>
      <c r="E317" s="2789" t="e">
        <v>#N/A</v>
      </c>
      <c r="F317" s="2790" t="e">
        <v>#N/A</v>
      </c>
    </row>
    <row r="318" spans="1:8">
      <c r="A318" s="2555">
        <f t="shared" si="4"/>
        <v>2026.09</v>
      </c>
      <c r="B318" s="2786" t="e">
        <v>#N/A</v>
      </c>
      <c r="C318" s="2787" t="e">
        <v>#N/A</v>
      </c>
      <c r="D318" s="2788" t="e">
        <v>#N/A</v>
      </c>
      <c r="E318" s="2789" t="e">
        <v>#N/A</v>
      </c>
      <c r="F318" s="2790" t="e">
        <v>#N/A</v>
      </c>
    </row>
    <row r="319" spans="1:8">
      <c r="A319" s="2555">
        <f t="shared" si="4"/>
        <v>2026.1</v>
      </c>
      <c r="B319" s="2786" t="e">
        <v>#N/A</v>
      </c>
      <c r="C319" s="2787" t="e">
        <v>#N/A</v>
      </c>
      <c r="D319" s="2788" t="e">
        <v>#N/A</v>
      </c>
      <c r="E319" s="2789" t="e">
        <v>#N/A</v>
      </c>
      <c r="F319" s="2790" t="e">
        <v>#N/A</v>
      </c>
    </row>
    <row r="320" spans="1:8">
      <c r="A320" s="2555">
        <f t="shared" si="4"/>
        <v>2026.11</v>
      </c>
      <c r="B320" s="2786" t="e">
        <v>#N/A</v>
      </c>
      <c r="C320" s="2787" t="e">
        <v>#N/A</v>
      </c>
      <c r="D320" s="2788" t="e">
        <v>#N/A</v>
      </c>
      <c r="E320" s="2789" t="e">
        <v>#N/A</v>
      </c>
      <c r="F320" s="2790" t="e">
        <v>#N/A</v>
      </c>
    </row>
    <row r="321" spans="1:6">
      <c r="A321" s="2555">
        <f t="shared" si="4"/>
        <v>2026.12</v>
      </c>
      <c r="B321" s="2786" t="e">
        <v>#N/A</v>
      </c>
      <c r="C321" s="2787" t="e">
        <v>#N/A</v>
      </c>
      <c r="D321" s="2788" t="e">
        <v>#N/A</v>
      </c>
      <c r="E321" s="2789" t="e">
        <v>#N/A</v>
      </c>
      <c r="F321" s="2790" t="e">
        <v>#N/A</v>
      </c>
    </row>
    <row r="322" spans="1:6">
      <c r="A322" s="2555">
        <f t="shared" si="4"/>
        <v>2027.01</v>
      </c>
      <c r="B322" s="2786" t="e">
        <v>#N/A</v>
      </c>
      <c r="C322" s="2787" t="e">
        <v>#N/A</v>
      </c>
      <c r="D322" s="2788" t="e">
        <v>#N/A</v>
      </c>
      <c r="E322" s="2789" t="e">
        <v>#N/A</v>
      </c>
      <c r="F322" s="2790" t="e">
        <v>#N/A</v>
      </c>
    </row>
    <row r="323" spans="1:6">
      <c r="A323" s="2555">
        <f t="shared" si="4"/>
        <v>2027.02</v>
      </c>
      <c r="B323" s="2786" t="e">
        <v>#N/A</v>
      </c>
      <c r="C323" s="2787" t="e">
        <v>#N/A</v>
      </c>
      <c r="D323" s="2788" t="e">
        <v>#N/A</v>
      </c>
      <c r="E323" s="2789" t="e">
        <v>#N/A</v>
      </c>
      <c r="F323" s="2790" t="e">
        <v>#N/A</v>
      </c>
    </row>
    <row r="324" spans="1:6">
      <c r="A324" s="2555">
        <f t="shared" si="4"/>
        <v>2027.03</v>
      </c>
      <c r="B324" s="2786" t="e">
        <v>#N/A</v>
      </c>
      <c r="C324" s="2787" t="e">
        <v>#N/A</v>
      </c>
      <c r="D324" s="2788" t="e">
        <v>#N/A</v>
      </c>
      <c r="E324" s="2789" t="e">
        <v>#N/A</v>
      </c>
      <c r="F324" s="2790" t="e">
        <v>#N/A</v>
      </c>
    </row>
    <row r="325" spans="1:6">
      <c r="A325" s="2555">
        <f t="shared" si="4"/>
        <v>2027.04</v>
      </c>
      <c r="B325" s="2786" t="e">
        <v>#N/A</v>
      </c>
      <c r="C325" s="2787" t="e">
        <v>#N/A</v>
      </c>
      <c r="D325" s="2788" t="e">
        <v>#N/A</v>
      </c>
      <c r="E325" s="2789" t="e">
        <v>#N/A</v>
      </c>
      <c r="F325" s="2790" t="e">
        <v>#N/A</v>
      </c>
    </row>
    <row r="326" spans="1:6">
      <c r="A326" s="2555">
        <f t="shared" si="4"/>
        <v>2027.05</v>
      </c>
      <c r="B326" s="2786" t="e">
        <v>#N/A</v>
      </c>
      <c r="C326" s="2787" t="e">
        <v>#N/A</v>
      </c>
      <c r="D326" s="2788" t="e">
        <v>#N/A</v>
      </c>
      <c r="E326" s="2789" t="e">
        <v>#N/A</v>
      </c>
      <c r="F326" s="2790" t="e">
        <v>#N/A</v>
      </c>
    </row>
    <row r="327" spans="1:6">
      <c r="A327" s="2555">
        <f t="shared" si="4"/>
        <v>2027.06</v>
      </c>
      <c r="B327" s="2786" t="e">
        <v>#N/A</v>
      </c>
      <c r="C327" s="2787" t="e">
        <v>#N/A</v>
      </c>
      <c r="D327" s="2788" t="e">
        <v>#N/A</v>
      </c>
      <c r="E327" s="2789" t="e">
        <v>#N/A</v>
      </c>
      <c r="F327" s="2790" t="e">
        <v>#N/A</v>
      </c>
    </row>
    <row r="328" spans="1:6">
      <c r="A328" s="2555">
        <f t="shared" si="4"/>
        <v>2027.07</v>
      </c>
      <c r="B328" s="2786" t="e">
        <v>#N/A</v>
      </c>
      <c r="C328" s="2787" t="e">
        <v>#N/A</v>
      </c>
      <c r="D328" s="2788" t="e">
        <v>#N/A</v>
      </c>
      <c r="E328" s="2789" t="e">
        <v>#N/A</v>
      </c>
      <c r="F328" s="2790" t="e">
        <v>#N/A</v>
      </c>
    </row>
    <row r="329" spans="1:6">
      <c r="A329" s="2555">
        <f t="shared" si="4"/>
        <v>2027.08</v>
      </c>
      <c r="B329" s="2786" t="e">
        <v>#N/A</v>
      </c>
      <c r="C329" s="2787" t="e">
        <v>#N/A</v>
      </c>
      <c r="D329" s="2788" t="e">
        <v>#N/A</v>
      </c>
      <c r="E329" s="2789" t="e">
        <v>#N/A</v>
      </c>
      <c r="F329" s="2790" t="e">
        <v>#N/A</v>
      </c>
    </row>
    <row r="330" spans="1:6">
      <c r="A330" s="2555">
        <f t="shared" si="4"/>
        <v>2027.09</v>
      </c>
      <c r="B330" s="2786" t="e">
        <v>#N/A</v>
      </c>
      <c r="C330" s="2787" t="e">
        <v>#N/A</v>
      </c>
      <c r="D330" s="2788" t="e">
        <v>#N/A</v>
      </c>
      <c r="E330" s="2789" t="e">
        <v>#N/A</v>
      </c>
      <c r="F330" s="2790" t="e">
        <v>#N/A</v>
      </c>
    </row>
    <row r="331" spans="1:6">
      <c r="A331" s="2555">
        <f t="shared" si="4"/>
        <v>2027.1</v>
      </c>
      <c r="B331" s="2786" t="e">
        <v>#N/A</v>
      </c>
      <c r="C331" s="2787" t="e">
        <v>#N/A</v>
      </c>
      <c r="D331" s="2788" t="e">
        <v>#N/A</v>
      </c>
      <c r="E331" s="2789" t="e">
        <v>#N/A</v>
      </c>
      <c r="F331" s="2790" t="e">
        <v>#N/A</v>
      </c>
    </row>
    <row r="332" spans="1:6">
      <c r="A332" s="2555">
        <f t="shared" si="4"/>
        <v>2027.11</v>
      </c>
      <c r="B332" s="2786" t="e">
        <v>#N/A</v>
      </c>
      <c r="C332" s="2787" t="e">
        <v>#N/A</v>
      </c>
      <c r="D332" s="2788" t="e">
        <v>#N/A</v>
      </c>
      <c r="E332" s="2789" t="e">
        <v>#N/A</v>
      </c>
      <c r="F332" s="2790" t="e">
        <v>#N/A</v>
      </c>
    </row>
    <row r="333" spans="1:6">
      <c r="A333" s="2555">
        <f t="shared" si="4"/>
        <v>2027.12</v>
      </c>
      <c r="B333" s="2786" t="e">
        <v>#N/A</v>
      </c>
      <c r="C333" s="2787" t="e">
        <v>#N/A</v>
      </c>
      <c r="D333" s="2788" t="e">
        <v>#N/A</v>
      </c>
      <c r="E333" s="2789" t="e">
        <v>#N/A</v>
      </c>
      <c r="F333" s="2790" t="e">
        <v>#N/A</v>
      </c>
    </row>
    <row r="334" spans="1:6">
      <c r="A334" s="2555">
        <f t="shared" si="4"/>
        <v>2028.01</v>
      </c>
      <c r="B334" s="2786" t="e">
        <v>#N/A</v>
      </c>
      <c r="C334" s="2787" t="e">
        <v>#N/A</v>
      </c>
      <c r="D334" s="2788" t="e">
        <v>#N/A</v>
      </c>
      <c r="E334" s="2789" t="e">
        <v>#N/A</v>
      </c>
      <c r="F334" s="2790" t="e">
        <v>#N/A</v>
      </c>
    </row>
    <row r="335" spans="1:6">
      <c r="A335" s="2555">
        <f t="shared" si="4"/>
        <v>2028.02</v>
      </c>
      <c r="B335" s="2786" t="e">
        <v>#N/A</v>
      </c>
      <c r="C335" s="2787" t="e">
        <v>#N/A</v>
      </c>
      <c r="D335" s="2788" t="e">
        <v>#N/A</v>
      </c>
      <c r="E335" s="2789" t="e">
        <v>#N/A</v>
      </c>
      <c r="F335" s="2790" t="e">
        <v>#N/A</v>
      </c>
    </row>
    <row r="336" spans="1:6">
      <c r="A336" s="2555">
        <f t="shared" si="4"/>
        <v>2028.03</v>
      </c>
      <c r="B336" s="2786" t="e">
        <v>#N/A</v>
      </c>
      <c r="C336" s="2787" t="e">
        <v>#N/A</v>
      </c>
      <c r="D336" s="2788" t="e">
        <v>#N/A</v>
      </c>
      <c r="E336" s="2789" t="e">
        <v>#N/A</v>
      </c>
      <c r="F336" s="2790" t="e">
        <v>#N/A</v>
      </c>
    </row>
    <row r="337" spans="1:6">
      <c r="A337" s="2555">
        <f t="shared" si="4"/>
        <v>2028.04</v>
      </c>
      <c r="B337" s="2786" t="e">
        <v>#N/A</v>
      </c>
      <c r="C337" s="2787" t="e">
        <v>#N/A</v>
      </c>
      <c r="D337" s="2788" t="e">
        <v>#N/A</v>
      </c>
      <c r="E337" s="2789" t="e">
        <v>#N/A</v>
      </c>
      <c r="F337" s="2790" t="e">
        <v>#N/A</v>
      </c>
    </row>
    <row r="338" spans="1:6">
      <c r="A338" s="2555">
        <f t="shared" si="4"/>
        <v>2028.05</v>
      </c>
      <c r="B338" s="2786" t="e">
        <v>#N/A</v>
      </c>
      <c r="C338" s="2787" t="e">
        <v>#N/A</v>
      </c>
      <c r="D338" s="2788" t="e">
        <v>#N/A</v>
      </c>
      <c r="E338" s="2789" t="e">
        <v>#N/A</v>
      </c>
      <c r="F338" s="2790" t="e">
        <v>#N/A</v>
      </c>
    </row>
    <row r="339" spans="1:6">
      <c r="A339" s="2555">
        <f t="shared" si="4"/>
        <v>2028.06</v>
      </c>
      <c r="B339" s="2786" t="e">
        <v>#N/A</v>
      </c>
      <c r="C339" s="2787" t="e">
        <v>#N/A</v>
      </c>
      <c r="D339" s="2788" t="e">
        <v>#N/A</v>
      </c>
      <c r="E339" s="2789" t="e">
        <v>#N/A</v>
      </c>
      <c r="F339" s="2790" t="e">
        <v>#N/A</v>
      </c>
    </row>
    <row r="340" spans="1:6">
      <c r="A340" s="2555">
        <f t="shared" si="4"/>
        <v>2028.07</v>
      </c>
      <c r="B340" s="2786" t="e">
        <v>#N/A</v>
      </c>
      <c r="C340" s="2787" t="e">
        <v>#N/A</v>
      </c>
      <c r="D340" s="2788" t="e">
        <v>#N/A</v>
      </c>
      <c r="E340" s="2789" t="e">
        <v>#N/A</v>
      </c>
      <c r="F340" s="2790" t="e">
        <v>#N/A</v>
      </c>
    </row>
    <row r="341" spans="1:6">
      <c r="A341" s="2555">
        <f t="shared" si="4"/>
        <v>2028.08</v>
      </c>
      <c r="B341" s="2786" t="e">
        <v>#N/A</v>
      </c>
      <c r="C341" s="2787" t="e">
        <v>#N/A</v>
      </c>
      <c r="D341" s="2788" t="e">
        <v>#N/A</v>
      </c>
      <c r="E341" s="2789" t="e">
        <v>#N/A</v>
      </c>
      <c r="F341" s="2790" t="e">
        <v>#N/A</v>
      </c>
    </row>
    <row r="342" spans="1:6">
      <c r="A342" s="2555">
        <f t="shared" si="4"/>
        <v>2028.09</v>
      </c>
      <c r="B342" s="2786" t="e">
        <v>#N/A</v>
      </c>
      <c r="C342" s="2787" t="e">
        <v>#N/A</v>
      </c>
      <c r="D342" s="2788" t="e">
        <v>#N/A</v>
      </c>
      <c r="E342" s="2789" t="e">
        <v>#N/A</v>
      </c>
      <c r="F342" s="2790" t="e">
        <v>#N/A</v>
      </c>
    </row>
    <row r="343" spans="1:6">
      <c r="A343" s="2555">
        <f t="shared" si="4"/>
        <v>2028.1</v>
      </c>
      <c r="B343" s="2786" t="e">
        <v>#N/A</v>
      </c>
      <c r="C343" s="2787" t="e">
        <v>#N/A</v>
      </c>
      <c r="D343" s="2788" t="e">
        <v>#N/A</v>
      </c>
      <c r="E343" s="2789" t="e">
        <v>#N/A</v>
      </c>
      <c r="F343" s="2790" t="e">
        <v>#N/A</v>
      </c>
    </row>
    <row r="344" spans="1:6">
      <c r="A344" s="2555">
        <f t="shared" si="4"/>
        <v>2028.11</v>
      </c>
      <c r="B344" s="2786" t="e">
        <v>#N/A</v>
      </c>
      <c r="C344" s="2787" t="e">
        <v>#N/A</v>
      </c>
      <c r="D344" s="2788" t="e">
        <v>#N/A</v>
      </c>
      <c r="E344" s="2789" t="e">
        <v>#N/A</v>
      </c>
      <c r="F344" s="2790" t="e">
        <v>#N/A</v>
      </c>
    </row>
    <row r="345" spans="1:6">
      <c r="A345" s="2555">
        <f t="shared" si="4"/>
        <v>2028.12</v>
      </c>
      <c r="B345" s="2786" t="e">
        <v>#N/A</v>
      </c>
      <c r="C345" s="2787" t="e">
        <v>#N/A</v>
      </c>
      <c r="D345" s="2788" t="e">
        <v>#N/A</v>
      </c>
      <c r="E345" s="2789" t="e">
        <v>#N/A</v>
      </c>
      <c r="F345" s="2790" t="e">
        <v>#N/A</v>
      </c>
    </row>
    <row r="346" spans="1:6">
      <c r="A346" s="2555">
        <f t="shared" si="4"/>
        <v>2029.01</v>
      </c>
      <c r="B346" s="2786" t="e">
        <v>#N/A</v>
      </c>
      <c r="C346" s="2787" t="e">
        <v>#N/A</v>
      </c>
      <c r="D346" s="2788" t="e">
        <v>#N/A</v>
      </c>
      <c r="E346" s="2789" t="e">
        <v>#N/A</v>
      </c>
      <c r="F346" s="2790" t="e">
        <v>#N/A</v>
      </c>
    </row>
    <row r="347" spans="1:6">
      <c r="A347" s="2555">
        <f t="shared" si="4"/>
        <v>2029.02</v>
      </c>
      <c r="B347" s="2786" t="e">
        <v>#N/A</v>
      </c>
      <c r="C347" s="2787" t="e">
        <v>#N/A</v>
      </c>
      <c r="D347" s="2788" t="e">
        <v>#N/A</v>
      </c>
      <c r="E347" s="2789" t="e">
        <v>#N/A</v>
      </c>
      <c r="F347" s="2790" t="e">
        <v>#N/A</v>
      </c>
    </row>
    <row r="348" spans="1:6">
      <c r="A348" s="2555">
        <f t="shared" si="4"/>
        <v>2029.03</v>
      </c>
      <c r="B348" s="2786" t="e">
        <v>#N/A</v>
      </c>
      <c r="C348" s="2787" t="e">
        <v>#N/A</v>
      </c>
      <c r="D348" s="2788" t="e">
        <v>#N/A</v>
      </c>
      <c r="E348" s="2789" t="e">
        <v>#N/A</v>
      </c>
      <c r="F348" s="2790" t="e">
        <v>#N/A</v>
      </c>
    </row>
    <row r="349" spans="1:6">
      <c r="A349" s="2555">
        <f t="shared" si="4"/>
        <v>2029.04</v>
      </c>
      <c r="B349" s="2786" t="e">
        <v>#N/A</v>
      </c>
      <c r="C349" s="2787" t="e">
        <v>#N/A</v>
      </c>
      <c r="D349" s="2788" t="e">
        <v>#N/A</v>
      </c>
      <c r="E349" s="2789" t="e">
        <v>#N/A</v>
      </c>
      <c r="F349" s="2790" t="e">
        <v>#N/A</v>
      </c>
    </row>
    <row r="350" spans="1:6">
      <c r="A350" s="2555">
        <f t="shared" si="4"/>
        <v>2029.05</v>
      </c>
      <c r="B350" s="2786" t="e">
        <v>#N/A</v>
      </c>
      <c r="C350" s="2787" t="e">
        <v>#N/A</v>
      </c>
      <c r="D350" s="2788" t="e">
        <v>#N/A</v>
      </c>
      <c r="E350" s="2789" t="e">
        <v>#N/A</v>
      </c>
      <c r="F350" s="2790" t="e">
        <v>#N/A</v>
      </c>
    </row>
    <row r="351" spans="1:6">
      <c r="A351" s="2555">
        <f t="shared" si="4"/>
        <v>2029.06</v>
      </c>
      <c r="B351" s="2786" t="e">
        <v>#N/A</v>
      </c>
      <c r="C351" s="2787" t="e">
        <v>#N/A</v>
      </c>
      <c r="D351" s="2788" t="e">
        <v>#N/A</v>
      </c>
      <c r="E351" s="2789" t="e">
        <v>#N/A</v>
      </c>
      <c r="F351" s="2790" t="e">
        <v>#N/A</v>
      </c>
    </row>
    <row r="352" spans="1:6">
      <c r="A352" s="2555">
        <f t="shared" si="4"/>
        <v>2029.07</v>
      </c>
      <c r="B352" s="2786" t="e">
        <v>#N/A</v>
      </c>
      <c r="C352" s="2787" t="e">
        <v>#N/A</v>
      </c>
      <c r="D352" s="2788" t="e">
        <v>#N/A</v>
      </c>
      <c r="E352" s="2789" t="e">
        <v>#N/A</v>
      </c>
      <c r="F352" s="2790" t="e">
        <v>#N/A</v>
      </c>
    </row>
    <row r="353" spans="1:6">
      <c r="A353" s="2555">
        <f t="shared" si="4"/>
        <v>2029.08</v>
      </c>
      <c r="B353" s="2786" t="e">
        <v>#N/A</v>
      </c>
      <c r="C353" s="2787" t="e">
        <v>#N/A</v>
      </c>
      <c r="D353" s="2788" t="e">
        <v>#N/A</v>
      </c>
      <c r="E353" s="2789" t="e">
        <v>#N/A</v>
      </c>
      <c r="F353" s="2790" t="e">
        <v>#N/A</v>
      </c>
    </row>
    <row r="354" spans="1:6">
      <c r="A354" s="2555">
        <f t="shared" si="4"/>
        <v>2029.09</v>
      </c>
      <c r="B354" s="2786" t="e">
        <v>#N/A</v>
      </c>
      <c r="C354" s="2787" t="e">
        <v>#N/A</v>
      </c>
      <c r="D354" s="2788" t="e">
        <v>#N/A</v>
      </c>
      <c r="E354" s="2789" t="e">
        <v>#N/A</v>
      </c>
      <c r="F354" s="2790" t="e">
        <v>#N/A</v>
      </c>
    </row>
    <row r="355" spans="1:6">
      <c r="A355" s="2555">
        <f t="shared" ref="A355:A369" si="5">A343+1</f>
        <v>2029.1</v>
      </c>
      <c r="B355" s="2786" t="e">
        <v>#N/A</v>
      </c>
      <c r="C355" s="2787" t="e">
        <v>#N/A</v>
      </c>
      <c r="D355" s="2788" t="e">
        <v>#N/A</v>
      </c>
      <c r="E355" s="2789" t="e">
        <v>#N/A</v>
      </c>
      <c r="F355" s="2790" t="e">
        <v>#N/A</v>
      </c>
    </row>
    <row r="356" spans="1:6">
      <c r="A356" s="2555">
        <f t="shared" si="5"/>
        <v>2029.11</v>
      </c>
      <c r="B356" s="2786" t="e">
        <v>#N/A</v>
      </c>
      <c r="C356" s="2787" t="e">
        <v>#N/A</v>
      </c>
      <c r="D356" s="2788" t="e">
        <v>#N/A</v>
      </c>
      <c r="E356" s="2789" t="e">
        <v>#N/A</v>
      </c>
      <c r="F356" s="2790" t="e">
        <v>#N/A</v>
      </c>
    </row>
    <row r="357" spans="1:6">
      <c r="A357" s="2555">
        <f t="shared" si="5"/>
        <v>2029.12</v>
      </c>
      <c r="B357" s="2786" t="e">
        <v>#N/A</v>
      </c>
      <c r="C357" s="2787" t="e">
        <v>#N/A</v>
      </c>
      <c r="D357" s="2788" t="e">
        <v>#N/A</v>
      </c>
      <c r="E357" s="2789" t="e">
        <v>#N/A</v>
      </c>
      <c r="F357" s="2790" t="e">
        <v>#N/A</v>
      </c>
    </row>
    <row r="358" spans="1:6">
      <c r="A358" s="2555">
        <f t="shared" si="5"/>
        <v>2030.01</v>
      </c>
      <c r="B358" s="2786" t="e">
        <v>#N/A</v>
      </c>
      <c r="C358" s="2787" t="e">
        <v>#N/A</v>
      </c>
      <c r="D358" s="2788" t="e">
        <v>#N/A</v>
      </c>
      <c r="E358" s="2789" t="e">
        <v>#N/A</v>
      </c>
      <c r="F358" s="2790" t="e">
        <v>#N/A</v>
      </c>
    </row>
    <row r="359" spans="1:6">
      <c r="A359" s="2555">
        <f t="shared" si="5"/>
        <v>2030.02</v>
      </c>
      <c r="B359" s="2786" t="e">
        <v>#N/A</v>
      </c>
      <c r="C359" s="2787" t="e">
        <v>#N/A</v>
      </c>
      <c r="D359" s="2788" t="e">
        <v>#N/A</v>
      </c>
      <c r="E359" s="2789" t="e">
        <v>#N/A</v>
      </c>
      <c r="F359" s="2790" t="e">
        <v>#N/A</v>
      </c>
    </row>
    <row r="360" spans="1:6">
      <c r="A360" s="2555">
        <f t="shared" si="5"/>
        <v>2030.03</v>
      </c>
      <c r="B360" s="2786" t="e">
        <v>#N/A</v>
      </c>
      <c r="C360" s="2787" t="e">
        <v>#N/A</v>
      </c>
      <c r="D360" s="2788" t="e">
        <v>#N/A</v>
      </c>
      <c r="E360" s="2789" t="e">
        <v>#N/A</v>
      </c>
      <c r="F360" s="2790" t="e">
        <v>#N/A</v>
      </c>
    </row>
    <row r="361" spans="1:6">
      <c r="A361" s="2555">
        <f t="shared" si="5"/>
        <v>2030.04</v>
      </c>
      <c r="B361" s="2786" t="e">
        <v>#N/A</v>
      </c>
      <c r="C361" s="2787" t="e">
        <v>#N/A</v>
      </c>
      <c r="D361" s="2788" t="e">
        <v>#N/A</v>
      </c>
      <c r="E361" s="2789" t="e">
        <v>#N/A</v>
      </c>
      <c r="F361" s="2790" t="e">
        <v>#N/A</v>
      </c>
    </row>
    <row r="362" spans="1:6">
      <c r="A362" s="2555">
        <f t="shared" si="5"/>
        <v>2030.05</v>
      </c>
      <c r="B362" s="2786" t="e">
        <v>#N/A</v>
      </c>
      <c r="C362" s="2787" t="e">
        <v>#N/A</v>
      </c>
      <c r="D362" s="2788" t="e">
        <v>#N/A</v>
      </c>
      <c r="E362" s="2789" t="e">
        <v>#N/A</v>
      </c>
      <c r="F362" s="2790" t="e">
        <v>#N/A</v>
      </c>
    </row>
    <row r="363" spans="1:6">
      <c r="A363" s="2555">
        <f t="shared" si="5"/>
        <v>2030.06</v>
      </c>
      <c r="B363" s="2786" t="e">
        <v>#N/A</v>
      </c>
      <c r="C363" s="2787" t="e">
        <v>#N/A</v>
      </c>
      <c r="D363" s="2788" t="e">
        <v>#N/A</v>
      </c>
      <c r="E363" s="2789" t="e">
        <v>#N/A</v>
      </c>
      <c r="F363" s="2790" t="e">
        <v>#N/A</v>
      </c>
    </row>
    <row r="364" spans="1:6">
      <c r="A364" s="2555">
        <f t="shared" si="5"/>
        <v>2030.07</v>
      </c>
      <c r="B364" s="2786" t="e">
        <v>#N/A</v>
      </c>
      <c r="C364" s="2787" t="e">
        <v>#N/A</v>
      </c>
      <c r="D364" s="2788" t="e">
        <v>#N/A</v>
      </c>
      <c r="E364" s="2789" t="e">
        <v>#N/A</v>
      </c>
      <c r="F364" s="2790" t="e">
        <v>#N/A</v>
      </c>
    </row>
    <row r="365" spans="1:6">
      <c r="A365" s="2555">
        <f t="shared" si="5"/>
        <v>2030.08</v>
      </c>
      <c r="B365" s="2786" t="e">
        <v>#N/A</v>
      </c>
      <c r="C365" s="2787" t="e">
        <v>#N/A</v>
      </c>
      <c r="D365" s="2788" t="e">
        <v>#N/A</v>
      </c>
      <c r="E365" s="2789" t="e">
        <v>#N/A</v>
      </c>
      <c r="F365" s="2790" t="e">
        <v>#N/A</v>
      </c>
    </row>
    <row r="366" spans="1:6">
      <c r="A366" s="2555">
        <f t="shared" si="5"/>
        <v>2030.09</v>
      </c>
      <c r="B366" s="2786" t="e">
        <v>#N/A</v>
      </c>
      <c r="C366" s="2787" t="e">
        <v>#N/A</v>
      </c>
      <c r="D366" s="2788" t="e">
        <v>#N/A</v>
      </c>
      <c r="E366" s="2789" t="e">
        <v>#N/A</v>
      </c>
      <c r="F366" s="2790" t="e">
        <v>#N/A</v>
      </c>
    </row>
    <row r="367" spans="1:6">
      <c r="A367" s="2555">
        <f t="shared" si="5"/>
        <v>2030.1</v>
      </c>
      <c r="B367" s="2786" t="e">
        <v>#N/A</v>
      </c>
      <c r="C367" s="2787" t="e">
        <v>#N/A</v>
      </c>
      <c r="D367" s="2788" t="e">
        <v>#N/A</v>
      </c>
      <c r="E367" s="2789" t="e">
        <v>#N/A</v>
      </c>
      <c r="F367" s="2790" t="e">
        <v>#N/A</v>
      </c>
    </row>
    <row r="368" spans="1:6">
      <c r="A368" s="2555">
        <f t="shared" si="5"/>
        <v>2030.11</v>
      </c>
      <c r="B368" s="2786" t="e">
        <v>#N/A</v>
      </c>
      <c r="C368" s="2787" t="e">
        <v>#N/A</v>
      </c>
      <c r="D368" s="2788" t="e">
        <v>#N/A</v>
      </c>
      <c r="E368" s="2789" t="e">
        <v>#N/A</v>
      </c>
      <c r="F368" s="2790" t="e">
        <v>#N/A</v>
      </c>
    </row>
    <row r="369" spans="1:6">
      <c r="A369" s="2555">
        <f t="shared" si="5"/>
        <v>2030.12</v>
      </c>
      <c r="B369" s="2786" t="e">
        <v>#N/A</v>
      </c>
      <c r="C369" s="2787" t="e">
        <v>#N/A</v>
      </c>
      <c r="D369" s="2788" t="e">
        <v>#N/A</v>
      </c>
      <c r="E369" s="2789" t="e">
        <v>#N/A</v>
      </c>
      <c r="F369" s="2790" t="e">
        <v>#N/A</v>
      </c>
    </row>
    <row r="370" spans="1:6">
      <c r="B370" s="2791"/>
      <c r="C370" s="2791"/>
      <c r="D370" s="2791"/>
      <c r="E370" s="2791"/>
      <c r="F370" s="2791"/>
    </row>
  </sheetData>
  <hyperlinks>
    <hyperlink ref="A5" location="INDICE!A13" display="VOLVER AL 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25"/>
  <sheetViews>
    <sheetView zoomScale="115" zoomScaleNormal="115" workbookViewId="0">
      <pane xSplit="1" ySplit="9" topLeftCell="B124" activePane="bottomRight" state="frozen"/>
      <selection activeCell="A5" sqref="A5"/>
      <selection pane="topRight" activeCell="A5" sqref="A5"/>
      <selection pane="bottomLeft" activeCell="A5" sqref="A5"/>
      <selection pane="bottomRight" activeCell="B140" sqref="B140"/>
    </sheetView>
  </sheetViews>
  <sheetFormatPr baseColWidth="10" defaultColWidth="11.42578125" defaultRowHeight="15"/>
  <cols>
    <col min="1" max="1" width="11.42578125" style="1234"/>
    <col min="2" max="4" width="18.28515625" style="1233" customWidth="1"/>
    <col min="5" max="16384" width="11.42578125" style="1233"/>
  </cols>
  <sheetData>
    <row r="1" spans="1:8" s="1223" customFormat="1" ht="3.75" customHeight="1">
      <c r="A1" s="37"/>
      <c r="B1" s="1221"/>
      <c r="C1" s="1222"/>
      <c r="D1" s="1237"/>
    </row>
    <row r="2" spans="1:8" s="1223" customFormat="1" ht="20.45" customHeight="1">
      <c r="A2" s="121" t="s">
        <v>212</v>
      </c>
      <c r="B2" s="1224" t="s">
        <v>1280</v>
      </c>
      <c r="C2" s="1224"/>
      <c r="D2" s="1238"/>
      <c r="E2" s="1235"/>
      <c r="F2" s="3389"/>
      <c r="G2" s="3389"/>
      <c r="H2" s="3389"/>
    </row>
    <row r="3" spans="1:8" s="1223" customFormat="1" ht="20.45" customHeight="1">
      <c r="A3" s="121" t="s">
        <v>211</v>
      </c>
      <c r="B3" s="1224" t="s">
        <v>1266</v>
      </c>
      <c r="C3" s="1225"/>
      <c r="D3" s="1239"/>
      <c r="E3" s="1226"/>
      <c r="F3" s="1227"/>
      <c r="G3" s="1228"/>
      <c r="H3" s="1255"/>
    </row>
    <row r="4" spans="1:8" s="1223" customFormat="1" ht="21" customHeight="1">
      <c r="A4" s="37"/>
      <c r="B4" s="1224" t="s">
        <v>1267</v>
      </c>
      <c r="C4" s="1225"/>
      <c r="D4" s="1239"/>
      <c r="E4" s="1236"/>
      <c r="F4" s="1229"/>
      <c r="G4" s="1229"/>
    </row>
    <row r="5" spans="1:8" s="1223" customFormat="1" ht="22.5">
      <c r="A5" s="45" t="s">
        <v>213</v>
      </c>
      <c r="B5" s="2252" t="s">
        <v>1268</v>
      </c>
      <c r="C5" s="2258" t="s">
        <v>1269</v>
      </c>
      <c r="D5" s="2255" t="s">
        <v>12</v>
      </c>
    </row>
    <row r="6" spans="1:8" s="1223" customFormat="1" ht="22.5">
      <c r="A6" s="47" t="s">
        <v>210</v>
      </c>
      <c r="B6" s="2253" t="s">
        <v>1057</v>
      </c>
      <c r="C6" s="2259" t="s">
        <v>1057</v>
      </c>
      <c r="D6" s="2256" t="s">
        <v>1057</v>
      </c>
    </row>
    <row r="7" spans="1:8" s="1223" customFormat="1" ht="4.5" customHeight="1">
      <c r="A7" s="47"/>
      <c r="B7" s="1230"/>
      <c r="C7" s="2260"/>
      <c r="D7" s="1241"/>
    </row>
    <row r="8" spans="1:8" s="1223" customFormat="1" ht="11.25">
      <c r="A8" s="390" t="s">
        <v>412</v>
      </c>
      <c r="B8" s="1553" t="s">
        <v>1281</v>
      </c>
      <c r="C8" s="1566" t="s">
        <v>1282</v>
      </c>
      <c r="D8" s="1256" t="s">
        <v>1283</v>
      </c>
    </row>
    <row r="9" spans="1:8" s="1223" customFormat="1" ht="3.75" customHeight="1">
      <c r="A9" s="52"/>
      <c r="B9" s="1230"/>
      <c r="C9" s="2260"/>
      <c r="D9" s="1241"/>
    </row>
    <row r="10" spans="1:8" ht="12.75">
      <c r="A10" s="1232">
        <v>2013.01</v>
      </c>
      <c r="B10" s="1243">
        <v>4330408</v>
      </c>
      <c r="C10" s="2261">
        <v>1560357</v>
      </c>
      <c r="D10" s="1244">
        <v>5890765</v>
      </c>
    </row>
    <row r="11" spans="1:8" ht="12.75">
      <c r="A11" s="1232">
        <v>2013.02</v>
      </c>
      <c r="B11" s="2254">
        <v>4331311</v>
      </c>
      <c r="C11" s="2262">
        <v>1560580</v>
      </c>
      <c r="D11" s="2257">
        <v>5891891</v>
      </c>
    </row>
    <row r="12" spans="1:8" ht="12.75">
      <c r="A12" s="1232">
        <v>2013.03</v>
      </c>
      <c r="B12" s="2254">
        <v>4329550</v>
      </c>
      <c r="C12" s="2262">
        <v>1560148</v>
      </c>
      <c r="D12" s="2257">
        <v>5889698</v>
      </c>
    </row>
    <row r="13" spans="1:8" ht="12.75">
      <c r="A13" s="1232">
        <v>2013.04</v>
      </c>
      <c r="B13" s="2254">
        <v>4329811</v>
      </c>
      <c r="C13" s="2262">
        <v>1561061</v>
      </c>
      <c r="D13" s="2257">
        <v>5890872</v>
      </c>
    </row>
    <row r="14" spans="1:8" ht="12.75">
      <c r="A14" s="1232">
        <v>2013.05</v>
      </c>
      <c r="B14" s="2254">
        <v>4330976</v>
      </c>
      <c r="C14" s="2262">
        <v>1563251</v>
      </c>
      <c r="D14" s="2257">
        <v>5894227</v>
      </c>
    </row>
    <row r="15" spans="1:8" ht="12.75">
      <c r="A15" s="1232">
        <v>2013.06</v>
      </c>
      <c r="B15" s="2254">
        <v>4333649</v>
      </c>
      <c r="C15" s="2262">
        <v>1566201</v>
      </c>
      <c r="D15" s="2257">
        <v>5899850</v>
      </c>
    </row>
    <row r="16" spans="1:8" ht="12.75">
      <c r="A16" s="1232">
        <v>2013.07</v>
      </c>
      <c r="B16" s="2254">
        <v>4336747</v>
      </c>
      <c r="C16" s="2262">
        <v>1568802</v>
      </c>
      <c r="D16" s="2257">
        <v>5905549</v>
      </c>
    </row>
    <row r="17" spans="1:4" ht="12.75">
      <c r="A17" s="1232">
        <v>2013.08</v>
      </c>
      <c r="B17" s="2254">
        <v>4337708</v>
      </c>
      <c r="C17" s="2262">
        <v>1570096</v>
      </c>
      <c r="D17" s="2257">
        <v>5907804</v>
      </c>
    </row>
    <row r="18" spans="1:4" ht="12.75">
      <c r="A18" s="1232">
        <v>2013.09</v>
      </c>
      <c r="B18" s="2254">
        <v>4336738</v>
      </c>
      <c r="C18" s="2262">
        <v>1569920</v>
      </c>
      <c r="D18" s="2257">
        <v>5906658</v>
      </c>
    </row>
    <row r="19" spans="1:4" ht="12.75">
      <c r="A19" s="1232">
        <v>2013.1</v>
      </c>
      <c r="B19" s="2254">
        <v>4335948</v>
      </c>
      <c r="C19" s="2262">
        <v>1570813</v>
      </c>
      <c r="D19" s="2257">
        <v>5906761</v>
      </c>
    </row>
    <row r="20" spans="1:4" ht="12.75">
      <c r="A20" s="1232">
        <v>2013.11</v>
      </c>
      <c r="B20" s="2254">
        <v>4336164</v>
      </c>
      <c r="C20" s="2262">
        <v>1571964</v>
      </c>
      <c r="D20" s="2257">
        <v>5908128</v>
      </c>
    </row>
    <row r="21" spans="1:4" ht="12.75">
      <c r="A21" s="1232">
        <v>2013.12</v>
      </c>
      <c r="B21" s="2254">
        <v>4338596</v>
      </c>
      <c r="C21" s="2262">
        <v>1573533</v>
      </c>
      <c r="D21" s="2257">
        <v>5912129</v>
      </c>
    </row>
    <row r="22" spans="1:4" ht="12.75">
      <c r="A22" s="1232">
        <v>2014.01</v>
      </c>
      <c r="B22" s="2254">
        <v>4342365</v>
      </c>
      <c r="C22" s="2262">
        <v>1575761</v>
      </c>
      <c r="D22" s="2257">
        <v>5918126</v>
      </c>
    </row>
    <row r="23" spans="1:4" ht="12.75">
      <c r="A23" s="1232">
        <v>2014.02</v>
      </c>
      <c r="B23" s="2254">
        <v>4344522</v>
      </c>
      <c r="C23" s="2262">
        <v>1576347</v>
      </c>
      <c r="D23" s="2257">
        <v>5920869</v>
      </c>
    </row>
    <row r="24" spans="1:4" ht="12.75">
      <c r="A24" s="1232">
        <v>2014.03</v>
      </c>
      <c r="B24" s="2254">
        <v>4344318</v>
      </c>
      <c r="C24" s="2262">
        <v>1576600</v>
      </c>
      <c r="D24" s="2257">
        <v>5920918</v>
      </c>
    </row>
    <row r="25" spans="1:4" ht="12.75">
      <c r="A25" s="1232">
        <v>2014.04</v>
      </c>
      <c r="B25" s="2254">
        <v>4343679</v>
      </c>
      <c r="C25" s="2262">
        <v>1577160</v>
      </c>
      <c r="D25" s="2257">
        <v>5920839</v>
      </c>
    </row>
    <row r="26" spans="1:4" ht="12.75">
      <c r="A26" s="1232">
        <v>2014.05</v>
      </c>
      <c r="B26" s="2254">
        <v>4345584</v>
      </c>
      <c r="C26" s="2262">
        <v>1577488</v>
      </c>
      <c r="D26" s="2257">
        <v>5923072</v>
      </c>
    </row>
    <row r="27" spans="1:4" ht="12.75">
      <c r="A27" s="1232">
        <v>2014.06</v>
      </c>
      <c r="B27" s="2254">
        <v>4349723</v>
      </c>
      <c r="C27" s="2262">
        <v>1579324</v>
      </c>
      <c r="D27" s="2257">
        <v>5929047</v>
      </c>
    </row>
    <row r="28" spans="1:4" ht="12.75">
      <c r="A28" s="1232">
        <v>2014.07</v>
      </c>
      <c r="B28" s="2254">
        <v>4354347</v>
      </c>
      <c r="C28" s="2262">
        <v>1582040</v>
      </c>
      <c r="D28" s="2257">
        <v>5936387</v>
      </c>
    </row>
    <row r="29" spans="1:4" ht="12.75">
      <c r="A29" s="1232">
        <v>2014.08</v>
      </c>
      <c r="B29" s="2254">
        <v>4357337</v>
      </c>
      <c r="C29" s="2262">
        <v>1583406</v>
      </c>
      <c r="D29" s="2257">
        <v>5940743</v>
      </c>
    </row>
    <row r="30" spans="1:4" ht="12.75">
      <c r="A30" s="1232">
        <v>2014.09</v>
      </c>
      <c r="B30" s="2254">
        <v>4358521</v>
      </c>
      <c r="C30" s="2262">
        <v>1584560</v>
      </c>
      <c r="D30" s="2257">
        <v>5943081</v>
      </c>
    </row>
    <row r="31" spans="1:4" ht="12.75">
      <c r="A31" s="1232">
        <v>2014.1</v>
      </c>
      <c r="B31" s="2254">
        <v>4361950</v>
      </c>
      <c r="C31" s="2262">
        <v>1586272</v>
      </c>
      <c r="D31" s="2257">
        <v>5948222</v>
      </c>
    </row>
    <row r="32" spans="1:4" ht="12.75">
      <c r="A32" s="1232">
        <v>2014.11</v>
      </c>
      <c r="B32" s="2254">
        <v>4403869</v>
      </c>
      <c r="C32" s="2262">
        <v>1587717</v>
      </c>
      <c r="D32" s="2257">
        <v>5991586</v>
      </c>
    </row>
    <row r="33" spans="1:4" ht="12.75">
      <c r="A33" s="1232">
        <v>2014.12</v>
      </c>
      <c r="B33" s="2254">
        <v>4508689</v>
      </c>
      <c r="C33" s="2262">
        <v>1588019</v>
      </c>
      <c r="D33" s="2257">
        <v>6096708</v>
      </c>
    </row>
    <row r="34" spans="1:4" ht="12.75">
      <c r="A34" s="1232">
        <v>2015.01</v>
      </c>
      <c r="B34" s="2254">
        <v>4555630</v>
      </c>
      <c r="C34" s="2262">
        <v>1586805</v>
      </c>
      <c r="D34" s="2257">
        <v>6142435</v>
      </c>
    </row>
    <row r="35" spans="1:4" ht="12.75">
      <c r="A35" s="1232">
        <v>2015.02</v>
      </c>
      <c r="B35" s="2254">
        <v>4638626</v>
      </c>
      <c r="C35" s="2262">
        <v>1585859</v>
      </c>
      <c r="D35" s="2257">
        <v>6224485</v>
      </c>
    </row>
    <row r="36" spans="1:4" ht="12.75">
      <c r="A36" s="1232">
        <v>2015.03</v>
      </c>
      <c r="B36" s="2254">
        <v>4692156</v>
      </c>
      <c r="C36" s="2262">
        <v>1586701</v>
      </c>
      <c r="D36" s="2257">
        <v>6278857</v>
      </c>
    </row>
    <row r="37" spans="1:4" ht="12.75">
      <c r="A37" s="1232">
        <v>2015.04</v>
      </c>
      <c r="B37" s="2254">
        <v>4737361</v>
      </c>
      <c r="C37" s="2262">
        <v>1588077</v>
      </c>
      <c r="D37" s="2257">
        <v>6325438</v>
      </c>
    </row>
    <row r="38" spans="1:4" ht="12.75">
      <c r="A38" s="1232">
        <v>2015.05</v>
      </c>
      <c r="B38" s="2254">
        <v>4778133</v>
      </c>
      <c r="C38" s="2262">
        <v>1589015</v>
      </c>
      <c r="D38" s="2257">
        <v>6367148</v>
      </c>
    </row>
    <row r="39" spans="1:4" ht="12.75">
      <c r="A39" s="1232">
        <v>2015.06</v>
      </c>
      <c r="B39" s="2254">
        <v>4828901</v>
      </c>
      <c r="C39" s="2262">
        <v>1592778</v>
      </c>
      <c r="D39" s="2257">
        <v>6421679</v>
      </c>
    </row>
    <row r="40" spans="1:4" ht="12.75">
      <c r="A40" s="1232">
        <v>2015.07</v>
      </c>
      <c r="B40" s="2254">
        <v>4859155</v>
      </c>
      <c r="C40" s="2262">
        <v>1594717</v>
      </c>
      <c r="D40" s="2257">
        <v>6453872</v>
      </c>
    </row>
    <row r="41" spans="1:4" ht="12.75">
      <c r="A41" s="1232">
        <v>2015.08</v>
      </c>
      <c r="B41" s="2254">
        <v>4914358</v>
      </c>
      <c r="C41" s="2262">
        <v>1597192</v>
      </c>
      <c r="D41" s="2257">
        <v>6511550</v>
      </c>
    </row>
    <row r="42" spans="1:4" ht="12.75">
      <c r="A42" s="1232">
        <v>2015.09</v>
      </c>
      <c r="B42" s="2254">
        <v>4950439</v>
      </c>
      <c r="C42" s="2262">
        <v>1599667</v>
      </c>
      <c r="D42" s="2257">
        <v>6550106</v>
      </c>
    </row>
    <row r="43" spans="1:4" ht="12.75">
      <c r="A43" s="1232">
        <v>2015.1</v>
      </c>
      <c r="B43" s="2254">
        <v>4966274</v>
      </c>
      <c r="C43" s="2262">
        <v>1599818</v>
      </c>
      <c r="D43" s="2257">
        <v>6566092</v>
      </c>
    </row>
    <row r="44" spans="1:4" ht="12.75">
      <c r="A44" s="1232">
        <v>2015.11</v>
      </c>
      <c r="B44" s="2254">
        <v>4982873</v>
      </c>
      <c r="C44" s="2262">
        <v>1601117</v>
      </c>
      <c r="D44" s="2257">
        <v>6583990</v>
      </c>
    </row>
    <row r="45" spans="1:4" ht="12.75">
      <c r="A45" s="1232">
        <v>2015.12</v>
      </c>
      <c r="B45" s="2254">
        <v>5016497</v>
      </c>
      <c r="C45" s="2262">
        <v>1605614</v>
      </c>
      <c r="D45" s="2257">
        <v>6622111</v>
      </c>
    </row>
    <row r="46" spans="1:4" ht="12.75">
      <c r="A46" s="1232">
        <v>2016.01</v>
      </c>
      <c r="B46" s="2254">
        <v>5027615</v>
      </c>
      <c r="C46" s="2262">
        <v>1606449</v>
      </c>
      <c r="D46" s="2257">
        <v>6634064</v>
      </c>
    </row>
    <row r="47" spans="1:4" ht="12.75">
      <c r="A47" s="1232">
        <v>2016.02</v>
      </c>
      <c r="B47" s="2254">
        <v>5038654</v>
      </c>
      <c r="C47" s="2262">
        <v>1606477</v>
      </c>
      <c r="D47" s="2257">
        <v>6645131</v>
      </c>
    </row>
    <row r="48" spans="1:4" ht="12.75">
      <c r="A48" s="1232">
        <v>2016.03</v>
      </c>
      <c r="B48" s="2254">
        <v>5052206</v>
      </c>
      <c r="C48" s="2262">
        <v>1608274</v>
      </c>
      <c r="D48" s="2257">
        <v>6660480</v>
      </c>
    </row>
    <row r="49" spans="1:4" ht="12.75">
      <c r="A49" s="1232">
        <v>2016.04</v>
      </c>
      <c r="B49" s="2254">
        <v>5061017</v>
      </c>
      <c r="C49" s="2262">
        <v>1607770</v>
      </c>
      <c r="D49" s="2257">
        <v>6668787</v>
      </c>
    </row>
    <row r="50" spans="1:4" ht="12.75">
      <c r="A50" s="1232">
        <v>2016.05</v>
      </c>
      <c r="B50" s="2254">
        <v>5080197</v>
      </c>
      <c r="C50" s="2262">
        <v>1609407</v>
      </c>
      <c r="D50" s="2257">
        <v>6689604</v>
      </c>
    </row>
    <row r="51" spans="1:4" ht="12.75">
      <c r="A51" s="1232">
        <v>2016.06</v>
      </c>
      <c r="B51" s="2254">
        <v>5103213</v>
      </c>
      <c r="C51" s="2262">
        <v>1612784</v>
      </c>
      <c r="D51" s="2257">
        <v>6715997</v>
      </c>
    </row>
    <row r="52" spans="1:4" ht="12.75">
      <c r="A52" s="1232">
        <v>2016.07</v>
      </c>
      <c r="B52" s="2254">
        <v>5121726</v>
      </c>
      <c r="C52" s="2262">
        <v>1615180</v>
      </c>
      <c r="D52" s="2257">
        <v>6736906</v>
      </c>
    </row>
    <row r="53" spans="1:4" ht="12.75">
      <c r="A53" s="1232">
        <v>2016.08</v>
      </c>
      <c r="B53" s="2254">
        <v>5128650</v>
      </c>
      <c r="C53" s="2262">
        <v>1614686</v>
      </c>
      <c r="D53" s="2257">
        <v>6743336</v>
      </c>
    </row>
    <row r="54" spans="1:4" ht="12.75">
      <c r="A54" s="1232">
        <v>2016.09</v>
      </c>
      <c r="B54" s="2254">
        <v>5149079</v>
      </c>
      <c r="C54" s="2262">
        <v>1617578</v>
      </c>
      <c r="D54" s="2257">
        <v>6766657</v>
      </c>
    </row>
    <row r="55" spans="1:4" ht="12.75">
      <c r="A55" s="1232">
        <v>2016.1</v>
      </c>
      <c r="B55" s="2254">
        <v>5166624</v>
      </c>
      <c r="C55" s="2262">
        <v>1620418</v>
      </c>
      <c r="D55" s="2257">
        <v>6787042</v>
      </c>
    </row>
    <row r="56" spans="1:4" ht="12.75">
      <c r="A56" s="1232">
        <v>2016.11</v>
      </c>
      <c r="B56" s="2254">
        <v>5189635</v>
      </c>
      <c r="C56" s="2262">
        <v>1625245</v>
      </c>
      <c r="D56" s="2257">
        <v>6814880</v>
      </c>
    </row>
    <row r="57" spans="1:4" ht="12.75">
      <c r="A57" s="1232">
        <v>2016.12</v>
      </c>
      <c r="B57" s="2254">
        <v>5204516</v>
      </c>
      <c r="C57" s="2262">
        <v>1628902</v>
      </c>
      <c r="D57" s="2257">
        <v>6833418</v>
      </c>
    </row>
    <row r="58" spans="1:4" ht="12.75">
      <c r="A58" s="1232">
        <v>2017.01</v>
      </c>
      <c r="B58" s="2254">
        <v>5222209</v>
      </c>
      <c r="C58" s="2262">
        <v>1632563</v>
      </c>
      <c r="D58" s="2257">
        <v>6854772</v>
      </c>
    </row>
    <row r="59" spans="1:4" ht="12.75">
      <c r="A59" s="1232">
        <v>2017.02</v>
      </c>
      <c r="B59" s="2254">
        <v>5231782</v>
      </c>
      <c r="C59" s="2262">
        <v>1634881</v>
      </c>
      <c r="D59" s="2257">
        <v>6866663</v>
      </c>
    </row>
    <row r="60" spans="1:4" ht="12.75">
      <c r="A60" s="1232">
        <v>2017.03</v>
      </c>
      <c r="B60" s="2254">
        <v>5236700</v>
      </c>
      <c r="C60" s="2262">
        <v>1636799</v>
      </c>
      <c r="D60" s="2257">
        <v>6873499</v>
      </c>
    </row>
    <row r="61" spans="1:4" ht="12.75">
      <c r="A61" s="1232">
        <v>2017.04</v>
      </c>
      <c r="B61" s="2254">
        <v>5242040</v>
      </c>
      <c r="C61" s="2262">
        <v>1639368</v>
      </c>
      <c r="D61" s="2257">
        <v>6881408</v>
      </c>
    </row>
    <row r="62" spans="1:4" ht="12.75">
      <c r="A62" s="1232">
        <v>2017.05</v>
      </c>
      <c r="B62" s="2254">
        <v>5247541</v>
      </c>
      <c r="C62" s="2262">
        <v>1641608</v>
      </c>
      <c r="D62" s="2257">
        <v>6889149</v>
      </c>
    </row>
    <row r="63" spans="1:4" ht="12.75">
      <c r="A63" s="1232">
        <v>2017.06</v>
      </c>
      <c r="B63" s="2254">
        <v>5251452</v>
      </c>
      <c r="C63" s="2262">
        <v>1642936</v>
      </c>
      <c r="D63" s="2257">
        <v>6894388</v>
      </c>
    </row>
    <row r="64" spans="1:4" ht="12.75">
      <c r="A64" s="1232">
        <v>2017.07</v>
      </c>
      <c r="B64" s="2254">
        <v>5255978</v>
      </c>
      <c r="C64" s="2262">
        <v>1645215</v>
      </c>
      <c r="D64" s="2257">
        <v>6901193</v>
      </c>
    </row>
    <row r="65" spans="1:4" ht="12.75">
      <c r="A65" s="1232">
        <v>2017.08</v>
      </c>
      <c r="B65" s="2254">
        <v>5257709</v>
      </c>
      <c r="C65" s="2262">
        <v>1646806</v>
      </c>
      <c r="D65" s="2257">
        <v>6904515</v>
      </c>
    </row>
    <row r="66" spans="1:4" ht="12.75">
      <c r="A66" s="1232">
        <v>2017.09</v>
      </c>
      <c r="B66" s="2254">
        <v>5257140</v>
      </c>
      <c r="C66" s="2262">
        <v>1647914</v>
      </c>
      <c r="D66" s="2257">
        <v>6905054</v>
      </c>
    </row>
    <row r="67" spans="1:4" ht="12.75">
      <c r="A67" s="1232">
        <v>2017.1</v>
      </c>
      <c r="B67" s="2254">
        <v>5259296</v>
      </c>
      <c r="C67" s="2262">
        <v>1650288</v>
      </c>
      <c r="D67" s="2257">
        <v>6909584</v>
      </c>
    </row>
    <row r="68" spans="1:4" ht="12.75">
      <c r="A68" s="1232">
        <v>2017.11</v>
      </c>
      <c r="B68" s="2254">
        <v>5260877</v>
      </c>
      <c r="C68" s="2262">
        <v>1651631</v>
      </c>
      <c r="D68" s="2257">
        <v>6912508</v>
      </c>
    </row>
    <row r="69" spans="1:4" ht="12.75">
      <c r="A69" s="1232">
        <v>2017.12</v>
      </c>
      <c r="B69" s="2254">
        <v>5264821</v>
      </c>
      <c r="C69" s="2262">
        <v>1653070</v>
      </c>
      <c r="D69" s="2257">
        <v>6917891</v>
      </c>
    </row>
    <row r="70" spans="1:4" ht="12.75">
      <c r="A70" s="1232">
        <v>2018.01</v>
      </c>
      <c r="B70" s="2254">
        <v>5265836</v>
      </c>
      <c r="C70" s="2262">
        <v>1653842</v>
      </c>
      <c r="D70" s="2257">
        <v>6919678</v>
      </c>
    </row>
    <row r="71" spans="1:4" ht="12.75">
      <c r="A71" s="1232">
        <v>2018.02</v>
      </c>
      <c r="B71" s="2254">
        <v>5265929</v>
      </c>
      <c r="C71" s="2262">
        <v>1654237</v>
      </c>
      <c r="D71" s="2257">
        <v>6920166</v>
      </c>
    </row>
    <row r="72" spans="1:4" ht="12.75">
      <c r="A72" s="1232">
        <v>2018.03</v>
      </c>
      <c r="B72" s="2254">
        <v>5265889</v>
      </c>
      <c r="C72" s="2262">
        <v>1654637</v>
      </c>
      <c r="D72" s="2257">
        <v>6920526</v>
      </c>
    </row>
    <row r="73" spans="1:4" ht="12.75">
      <c r="A73" s="1232">
        <v>2018.04</v>
      </c>
      <c r="B73" s="2254">
        <v>5265048</v>
      </c>
      <c r="C73" s="2262">
        <v>1655214</v>
      </c>
      <c r="D73" s="2257">
        <v>6920262</v>
      </c>
    </row>
    <row r="74" spans="1:4" ht="12.75">
      <c r="A74" s="1232">
        <v>2018.05</v>
      </c>
      <c r="B74" s="2254">
        <v>5266890</v>
      </c>
      <c r="C74" s="2262">
        <v>1656193</v>
      </c>
      <c r="D74" s="2257">
        <v>6923083</v>
      </c>
    </row>
    <row r="75" spans="1:4" ht="12.75">
      <c r="A75" s="1232">
        <v>2018.06</v>
      </c>
      <c r="B75" s="2254">
        <v>5268016</v>
      </c>
      <c r="C75" s="2262">
        <v>1657503</v>
      </c>
      <c r="D75" s="2257">
        <v>6925519</v>
      </c>
    </row>
    <row r="76" spans="1:4" ht="12.75">
      <c r="A76" s="1232">
        <v>2018.07</v>
      </c>
      <c r="B76" s="2254">
        <v>5271081</v>
      </c>
      <c r="C76" s="2262">
        <v>1658714</v>
      </c>
      <c r="D76" s="2257">
        <v>6929795</v>
      </c>
    </row>
    <row r="77" spans="1:4" ht="12.75">
      <c r="A77" s="1232">
        <v>2018.08</v>
      </c>
      <c r="B77" s="2254">
        <v>5267468</v>
      </c>
      <c r="C77" s="2262">
        <v>1659979</v>
      </c>
      <c r="D77" s="2257">
        <v>6927447</v>
      </c>
    </row>
    <row r="78" spans="1:4" ht="12.75">
      <c r="A78" s="1232">
        <v>2018.09</v>
      </c>
      <c r="B78" s="2254">
        <v>5262777</v>
      </c>
      <c r="C78" s="2262">
        <v>1659851</v>
      </c>
      <c r="D78" s="2257">
        <v>6922628</v>
      </c>
    </row>
    <row r="79" spans="1:4" ht="12.75">
      <c r="A79" s="1232">
        <v>2018.1</v>
      </c>
      <c r="B79" s="2254">
        <v>5261466</v>
      </c>
      <c r="C79" s="2262">
        <v>1659752</v>
      </c>
      <c r="D79" s="2257">
        <v>6921218</v>
      </c>
    </row>
    <row r="80" spans="1:4" ht="12.75">
      <c r="A80" s="1232">
        <v>2018.11</v>
      </c>
      <c r="B80" s="2254">
        <v>5261079</v>
      </c>
      <c r="C80" s="2262">
        <v>1660250</v>
      </c>
      <c r="D80" s="2257">
        <v>6921329</v>
      </c>
    </row>
    <row r="81" spans="1:4" ht="12.75">
      <c r="A81" s="1232">
        <v>2018.12</v>
      </c>
      <c r="B81" s="2254">
        <v>5261955</v>
      </c>
      <c r="C81" s="2262">
        <v>1660917</v>
      </c>
      <c r="D81" s="2257">
        <v>6922872</v>
      </c>
    </row>
    <row r="82" spans="1:4" ht="12.75">
      <c r="A82" s="1232">
        <v>2019.01</v>
      </c>
      <c r="B82" s="2254">
        <v>5260557</v>
      </c>
      <c r="C82" s="2262">
        <v>1661163</v>
      </c>
      <c r="D82" s="2257">
        <v>6921720</v>
      </c>
    </row>
    <row r="83" spans="1:4" ht="12.75">
      <c r="A83" s="1232">
        <v>2019.02</v>
      </c>
      <c r="B83" s="2254">
        <v>5260521</v>
      </c>
      <c r="C83" s="2262">
        <v>1660733</v>
      </c>
      <c r="D83" s="2257">
        <v>6921254</v>
      </c>
    </row>
    <row r="84" spans="1:4" ht="12.75">
      <c r="A84" s="1232">
        <v>2019.03</v>
      </c>
      <c r="B84" s="2254">
        <v>5262281</v>
      </c>
      <c r="C84" s="2262">
        <v>1662363</v>
      </c>
      <c r="D84" s="2257">
        <v>6924644</v>
      </c>
    </row>
    <row r="85" spans="1:4" ht="12.75">
      <c r="A85" s="1232">
        <v>2019.04</v>
      </c>
      <c r="B85" s="2254">
        <v>5263440</v>
      </c>
      <c r="C85" s="2262">
        <v>1663905</v>
      </c>
      <c r="D85" s="2257">
        <v>6927345</v>
      </c>
    </row>
    <row r="86" spans="1:4" ht="12.75">
      <c r="A86" s="1232">
        <v>2019.05</v>
      </c>
      <c r="B86" s="2254">
        <v>5266366</v>
      </c>
      <c r="C86" s="2262">
        <v>1664998</v>
      </c>
      <c r="D86" s="2257">
        <v>6931364</v>
      </c>
    </row>
    <row r="87" spans="1:4" ht="12.75">
      <c r="A87" s="1232">
        <v>2019.06</v>
      </c>
      <c r="B87" s="2254">
        <v>5271323</v>
      </c>
      <c r="C87" s="2262">
        <v>1666691</v>
      </c>
      <c r="D87" s="2257">
        <v>6938014</v>
      </c>
    </row>
    <row r="88" spans="1:4" ht="12.75">
      <c r="A88" s="1232">
        <v>2019.07</v>
      </c>
      <c r="B88" s="2254">
        <v>5275463</v>
      </c>
      <c r="C88" s="2262">
        <v>1668261</v>
      </c>
      <c r="D88" s="2257">
        <v>6943724</v>
      </c>
    </row>
    <row r="89" spans="1:4" ht="12.75">
      <c r="A89" s="1232">
        <v>2019.08</v>
      </c>
      <c r="B89" s="2254">
        <v>5268376</v>
      </c>
      <c r="C89" s="2262">
        <v>1663422</v>
      </c>
      <c r="D89" s="2257">
        <v>6931798</v>
      </c>
    </row>
    <row r="90" spans="1:4" ht="12.75">
      <c r="A90" s="1232">
        <v>2019.09</v>
      </c>
      <c r="B90" s="2254">
        <v>5257133</v>
      </c>
      <c r="C90" s="2262">
        <v>1661534</v>
      </c>
      <c r="D90" s="2257">
        <v>6918667</v>
      </c>
    </row>
    <row r="91" spans="1:4" ht="12.75">
      <c r="A91" s="1232">
        <v>2019.1</v>
      </c>
      <c r="B91" s="2254">
        <v>5272441</v>
      </c>
      <c r="C91" s="2262">
        <v>1666235</v>
      </c>
      <c r="D91" s="2257">
        <v>6938676</v>
      </c>
    </row>
    <row r="92" spans="1:4" ht="12.75">
      <c r="A92" s="1232">
        <v>2019.11</v>
      </c>
      <c r="B92" s="2254">
        <v>5270489</v>
      </c>
      <c r="C92" s="2262">
        <v>1666112</v>
      </c>
      <c r="D92" s="2257">
        <v>6936601</v>
      </c>
    </row>
    <row r="93" spans="1:4" ht="12.75">
      <c r="A93" s="1232">
        <v>2019.12</v>
      </c>
      <c r="B93" s="2254">
        <v>5268834</v>
      </c>
      <c r="C93" s="2262">
        <v>1669770</v>
      </c>
      <c r="D93" s="2257">
        <v>6938604</v>
      </c>
    </row>
    <row r="94" spans="1:4" ht="12.75">
      <c r="A94" s="1232">
        <v>2020.01</v>
      </c>
      <c r="B94" s="2254">
        <v>5265263</v>
      </c>
      <c r="C94" s="2262">
        <v>1670964</v>
      </c>
      <c r="D94" s="2257">
        <v>6936227</v>
      </c>
    </row>
    <row r="95" spans="1:4" ht="12.75">
      <c r="A95" s="1232">
        <v>2020.02</v>
      </c>
      <c r="B95" s="2254">
        <v>5261075</v>
      </c>
      <c r="C95" s="2262">
        <v>1671555</v>
      </c>
      <c r="D95" s="2257">
        <v>6932630</v>
      </c>
    </row>
    <row r="96" spans="1:4" ht="12.75">
      <c r="A96" s="1232">
        <v>2020.03</v>
      </c>
      <c r="B96" s="2254">
        <v>5259333</v>
      </c>
      <c r="C96" s="2262">
        <v>1672850</v>
      </c>
      <c r="D96" s="2257">
        <v>6932183</v>
      </c>
    </row>
    <row r="97" spans="1:4" ht="12.75">
      <c r="A97" s="1232">
        <v>2020.04</v>
      </c>
      <c r="B97" s="2254">
        <v>5256783</v>
      </c>
      <c r="C97" s="2262">
        <v>1673848</v>
      </c>
      <c r="D97" s="2257">
        <v>6930631</v>
      </c>
    </row>
    <row r="98" spans="1:4" ht="12.75">
      <c r="A98" s="1232">
        <v>2020.05</v>
      </c>
      <c r="B98" s="2254">
        <v>5249344</v>
      </c>
      <c r="C98" s="2262">
        <v>1671806</v>
      </c>
      <c r="D98" s="2257">
        <v>6921150</v>
      </c>
    </row>
    <row r="99" spans="1:4" ht="12.75">
      <c r="A99" s="1232">
        <v>2020.06</v>
      </c>
      <c r="B99" s="2254">
        <v>5242767</v>
      </c>
      <c r="C99" s="2262">
        <v>1669209</v>
      </c>
      <c r="D99" s="2257">
        <v>6911976</v>
      </c>
    </row>
    <row r="100" spans="1:4" ht="12.75">
      <c r="A100" s="1232">
        <v>2020.07</v>
      </c>
      <c r="B100" s="2254">
        <v>5237979</v>
      </c>
      <c r="C100" s="2262">
        <v>1669611</v>
      </c>
      <c r="D100" s="2257">
        <v>6907590</v>
      </c>
    </row>
    <row r="101" spans="1:4" ht="12.75">
      <c r="A101" s="1232">
        <v>2020.08</v>
      </c>
      <c r="B101" s="2254">
        <v>5231813</v>
      </c>
      <c r="C101" s="2262">
        <v>1669680</v>
      </c>
      <c r="D101" s="2257">
        <v>6901493</v>
      </c>
    </row>
    <row r="102" spans="1:4" ht="12.75">
      <c r="A102" s="1232">
        <v>2020.09</v>
      </c>
      <c r="B102" s="2254">
        <v>5226067</v>
      </c>
      <c r="C102" s="2262">
        <v>1671338</v>
      </c>
      <c r="D102" s="2257">
        <v>6897405</v>
      </c>
    </row>
    <row r="103" spans="1:4" ht="12.75">
      <c r="A103" s="1232">
        <v>2020.1</v>
      </c>
      <c r="B103" s="2254">
        <v>5217545</v>
      </c>
      <c r="C103" s="2262">
        <v>1670916</v>
      </c>
      <c r="D103" s="2257">
        <v>6888461</v>
      </c>
    </row>
    <row r="104" spans="1:4" ht="12.75">
      <c r="A104" s="1232">
        <v>2020.11</v>
      </c>
      <c r="B104" s="2254">
        <v>5204501</v>
      </c>
      <c r="C104" s="2262">
        <v>1669945</v>
      </c>
      <c r="D104" s="2257">
        <v>6874446</v>
      </c>
    </row>
    <row r="105" spans="1:4" ht="12.75">
      <c r="A105" s="1232">
        <v>2020.12</v>
      </c>
      <c r="B105" s="2254">
        <v>5192508</v>
      </c>
      <c r="C105" s="2262">
        <v>1668810</v>
      </c>
      <c r="D105" s="2257">
        <v>6861318</v>
      </c>
    </row>
    <row r="106" spans="1:4" ht="12.75">
      <c r="A106" s="1232">
        <f>A94+1</f>
        <v>2021.01</v>
      </c>
      <c r="B106" s="2254">
        <v>5184688</v>
      </c>
      <c r="C106" s="2262">
        <v>1669838</v>
      </c>
      <c r="D106" s="2257">
        <v>6854526</v>
      </c>
    </row>
    <row r="107" spans="1:4" ht="12.75">
      <c r="A107" s="1232">
        <f t="shared" ref="A107:A170" si="0">A95+1</f>
        <v>2021.02</v>
      </c>
      <c r="B107" s="2254">
        <v>5173153</v>
      </c>
      <c r="C107" s="2262">
        <v>1667421</v>
      </c>
      <c r="D107" s="2257">
        <v>6840574</v>
      </c>
    </row>
    <row r="108" spans="1:4" ht="12.75">
      <c r="A108" s="1232">
        <f t="shared" si="0"/>
        <v>2021.03</v>
      </c>
      <c r="B108" s="2254">
        <v>5159630</v>
      </c>
      <c r="C108" s="2262">
        <v>1666655</v>
      </c>
      <c r="D108" s="2257">
        <v>6826285</v>
      </c>
    </row>
    <row r="109" spans="1:4" ht="12.75">
      <c r="A109" s="1232">
        <f t="shared" si="0"/>
        <v>2021.04</v>
      </c>
      <c r="B109" s="2254">
        <v>5158948</v>
      </c>
      <c r="C109" s="2262">
        <v>1669079</v>
      </c>
      <c r="D109" s="2257">
        <v>6828027</v>
      </c>
    </row>
    <row r="110" spans="1:4" ht="12.75">
      <c r="A110" s="1232">
        <f t="shared" si="0"/>
        <v>2021.05</v>
      </c>
      <c r="B110" s="2254">
        <v>5152919</v>
      </c>
      <c r="C110" s="2262">
        <v>1669139</v>
      </c>
      <c r="D110" s="2257">
        <v>6822058</v>
      </c>
    </row>
    <row r="111" spans="1:4" ht="12.75">
      <c r="A111" s="1232">
        <f t="shared" si="0"/>
        <v>2021.06</v>
      </c>
      <c r="B111" s="2254">
        <v>5152060</v>
      </c>
      <c r="C111" s="2262">
        <v>1671375</v>
      </c>
      <c r="D111" s="2257">
        <v>6823435</v>
      </c>
    </row>
    <row r="112" spans="1:4" ht="12.75">
      <c r="A112" s="1232">
        <f t="shared" si="0"/>
        <v>2021.07</v>
      </c>
      <c r="B112" s="2254">
        <v>5155272</v>
      </c>
      <c r="C112" s="2262">
        <v>1675989</v>
      </c>
      <c r="D112" s="2257">
        <v>6831261</v>
      </c>
    </row>
    <row r="113" spans="1:4" ht="12.75">
      <c r="A113" s="1232">
        <f t="shared" si="0"/>
        <v>2021.08</v>
      </c>
      <c r="B113" s="2254">
        <v>5146958</v>
      </c>
      <c r="C113" s="2262">
        <v>1677634</v>
      </c>
      <c r="D113" s="2257">
        <v>6824592</v>
      </c>
    </row>
    <row r="114" spans="1:4" ht="12.75">
      <c r="A114" s="1232">
        <f t="shared" si="0"/>
        <v>2021.09</v>
      </c>
      <c r="B114" s="2254">
        <v>5138940</v>
      </c>
      <c r="C114" s="2262">
        <v>1680572</v>
      </c>
      <c r="D114" s="2257">
        <v>6819512</v>
      </c>
    </row>
    <row r="115" spans="1:4" ht="12.75">
      <c r="A115" s="1232">
        <f t="shared" si="0"/>
        <v>2021.1</v>
      </c>
      <c r="B115" s="2254">
        <v>5149989</v>
      </c>
      <c r="C115" s="2262">
        <v>1681113</v>
      </c>
      <c r="D115" s="2257">
        <v>6831102</v>
      </c>
    </row>
    <row r="116" spans="1:4" ht="12.75">
      <c r="A116" s="1232">
        <f t="shared" si="0"/>
        <v>2021.11</v>
      </c>
      <c r="B116" s="2254">
        <v>5183427</v>
      </c>
      <c r="C116" s="2262">
        <v>1684250</v>
      </c>
      <c r="D116" s="2257">
        <v>6867677</v>
      </c>
    </row>
    <row r="117" spans="1:4" ht="12.75">
      <c r="A117" s="1232">
        <f t="shared" si="0"/>
        <v>2021.12</v>
      </c>
      <c r="B117" s="2254">
        <v>5202492</v>
      </c>
      <c r="C117" s="2262">
        <v>1686926</v>
      </c>
      <c r="D117" s="2257">
        <v>6889418</v>
      </c>
    </row>
    <row r="118" spans="1:4" ht="12.75">
      <c r="A118" s="1232">
        <f t="shared" si="0"/>
        <v>2022.01</v>
      </c>
      <c r="B118" s="2254">
        <v>5216472</v>
      </c>
      <c r="C118" s="2262">
        <v>1687384</v>
      </c>
      <c r="D118" s="2257">
        <v>6903856</v>
      </c>
    </row>
    <row r="119" spans="1:4" ht="12.75">
      <c r="A119" s="1232">
        <f t="shared" si="0"/>
        <v>2022.02</v>
      </c>
      <c r="B119" s="2254">
        <v>5225456</v>
      </c>
      <c r="C119" s="2262">
        <v>1688230</v>
      </c>
      <c r="D119" s="2257">
        <v>6913686</v>
      </c>
    </row>
    <row r="120" spans="1:4" ht="12.75">
      <c r="A120" s="1232">
        <f t="shared" si="0"/>
        <v>2022.03</v>
      </c>
      <c r="B120" s="2254">
        <v>5229189</v>
      </c>
      <c r="C120" s="2262">
        <v>1689415</v>
      </c>
      <c r="D120" s="2257">
        <v>6918604</v>
      </c>
    </row>
    <row r="121" spans="1:4" ht="12.75">
      <c r="A121" s="1232">
        <f t="shared" si="0"/>
        <v>2022.04</v>
      </c>
      <c r="B121" s="2254">
        <v>5230002</v>
      </c>
      <c r="C121" s="2262">
        <v>1690442</v>
      </c>
      <c r="D121" s="2257">
        <v>6920444</v>
      </c>
    </row>
    <row r="122" spans="1:4" ht="12.75">
      <c r="A122" s="1232">
        <f t="shared" si="0"/>
        <v>2022.05</v>
      </c>
      <c r="B122" s="2254">
        <v>5239882</v>
      </c>
      <c r="C122" s="2262">
        <v>1694554</v>
      </c>
      <c r="D122" s="2257">
        <v>6934436</v>
      </c>
    </row>
    <row r="123" spans="1:4" ht="12.75">
      <c r="A123" s="1232">
        <f t="shared" si="0"/>
        <v>2022.06</v>
      </c>
      <c r="B123" s="2254">
        <v>5249231</v>
      </c>
      <c r="C123" s="2262">
        <v>1698081</v>
      </c>
      <c r="D123" s="2257">
        <v>6947312</v>
      </c>
    </row>
    <row r="124" spans="1:4" ht="12.75">
      <c r="A124" s="1232">
        <f t="shared" si="0"/>
        <v>2022.07</v>
      </c>
      <c r="B124" s="2254">
        <v>5259926</v>
      </c>
      <c r="C124" s="2262">
        <v>1701720</v>
      </c>
      <c r="D124" s="2257">
        <v>6961646</v>
      </c>
    </row>
    <row r="125" spans="1:4" ht="12.75">
      <c r="A125" s="1232">
        <f t="shared" si="0"/>
        <v>2022.08</v>
      </c>
      <c r="B125" s="2254">
        <v>5263949</v>
      </c>
      <c r="C125" s="2262">
        <v>1702783</v>
      </c>
      <c r="D125" s="2257">
        <v>6966732</v>
      </c>
    </row>
    <row r="126" spans="1:4" ht="12.75">
      <c r="A126" s="1232">
        <f t="shared" si="0"/>
        <v>2022.09</v>
      </c>
      <c r="B126" s="2254">
        <v>5269819</v>
      </c>
      <c r="C126" s="2262">
        <v>1703589</v>
      </c>
      <c r="D126" s="2257">
        <v>6973408</v>
      </c>
    </row>
    <row r="127" spans="1:4" ht="12.75">
      <c r="A127" s="1232">
        <f t="shared" si="0"/>
        <v>2022.1</v>
      </c>
      <c r="B127" s="2254">
        <v>5276668</v>
      </c>
      <c r="C127" s="2262">
        <v>1706930</v>
      </c>
      <c r="D127" s="2257">
        <v>6983598</v>
      </c>
    </row>
    <row r="128" spans="1:4" ht="12.75">
      <c r="A128" s="1232">
        <f t="shared" si="0"/>
        <v>2022.11</v>
      </c>
      <c r="B128" s="2254">
        <v>5282124</v>
      </c>
      <c r="C128" s="2262">
        <v>1709687</v>
      </c>
      <c r="D128" s="2257">
        <v>6991811</v>
      </c>
    </row>
    <row r="129" spans="1:4" ht="12.75">
      <c r="A129" s="1232">
        <f t="shared" si="0"/>
        <v>2022.12</v>
      </c>
      <c r="B129" s="2254">
        <v>5284476</v>
      </c>
      <c r="C129" s="2262">
        <v>1710839</v>
      </c>
      <c r="D129" s="2257">
        <v>6995315</v>
      </c>
    </row>
    <row r="130" spans="1:4" ht="12.75">
      <c r="A130" s="1232">
        <f t="shared" si="0"/>
        <v>2023.01</v>
      </c>
      <c r="B130" s="2254">
        <v>5289537</v>
      </c>
      <c r="C130" s="2262">
        <v>1713385</v>
      </c>
      <c r="D130" s="2257">
        <v>7002922</v>
      </c>
    </row>
    <row r="131" spans="1:4" ht="12.75">
      <c r="A131" s="1232">
        <f t="shared" si="0"/>
        <v>2023.02</v>
      </c>
      <c r="B131" s="2254">
        <v>5285556</v>
      </c>
      <c r="C131" s="2262">
        <v>1711204</v>
      </c>
      <c r="D131" s="2257">
        <v>6996760</v>
      </c>
    </row>
    <row r="132" spans="1:4" ht="12.75">
      <c r="A132" s="1232">
        <f t="shared" si="0"/>
        <v>2023.03</v>
      </c>
      <c r="B132" s="2254">
        <v>5279990</v>
      </c>
      <c r="C132" s="2262">
        <v>1709843</v>
      </c>
      <c r="D132" s="2257">
        <v>6989833</v>
      </c>
    </row>
    <row r="133" spans="1:4" ht="12.75">
      <c r="A133" s="1232">
        <f t="shared" si="0"/>
        <v>2023.04</v>
      </c>
      <c r="B133" s="2254">
        <v>5273858</v>
      </c>
      <c r="C133" s="2262">
        <v>1709663</v>
      </c>
      <c r="D133" s="2257">
        <v>6983521</v>
      </c>
    </row>
    <row r="134" spans="1:4" ht="12.75">
      <c r="A134" s="1232">
        <f t="shared" si="0"/>
        <v>2023.05</v>
      </c>
      <c r="B134" s="2254">
        <v>5271761</v>
      </c>
      <c r="C134" s="2262">
        <v>1712358</v>
      </c>
      <c r="D134" s="2257">
        <v>6984119</v>
      </c>
    </row>
    <row r="135" spans="1:4" ht="12.75">
      <c r="A135" s="1232">
        <f t="shared" si="0"/>
        <v>2023.06</v>
      </c>
      <c r="B135" s="2254">
        <v>5305761</v>
      </c>
      <c r="C135" s="2262">
        <v>1711037</v>
      </c>
      <c r="D135" s="2257">
        <v>7016798</v>
      </c>
    </row>
    <row r="136" spans="1:4" ht="12.75">
      <c r="A136" s="1232">
        <f t="shared" si="0"/>
        <v>2023.07</v>
      </c>
      <c r="B136" s="2254">
        <v>5348366</v>
      </c>
      <c r="C136" s="2262">
        <v>1709590</v>
      </c>
      <c r="D136" s="2257">
        <v>7057956</v>
      </c>
    </row>
    <row r="137" spans="1:4" ht="12.75">
      <c r="A137" s="1232">
        <f t="shared" si="0"/>
        <v>2023.08</v>
      </c>
      <c r="B137" s="2254">
        <v>5383035</v>
      </c>
      <c r="C137" s="2262">
        <v>1706572</v>
      </c>
      <c r="D137" s="2257">
        <v>7089607</v>
      </c>
    </row>
    <row r="138" spans="1:4" ht="12.75">
      <c r="A138" s="1232">
        <f t="shared" si="0"/>
        <v>2023.09</v>
      </c>
      <c r="B138" s="2254">
        <v>5417649</v>
      </c>
      <c r="C138" s="2262">
        <v>1704831</v>
      </c>
      <c r="D138" s="2257">
        <v>7122480</v>
      </c>
    </row>
    <row r="139" spans="1:4" ht="12.75">
      <c r="A139" s="1232">
        <f t="shared" si="0"/>
        <v>2023.1</v>
      </c>
      <c r="B139" s="2797" t="e">
        <v>#N/A</v>
      </c>
      <c r="C139" s="2798" t="e">
        <v>#N/A</v>
      </c>
      <c r="D139" s="2799" t="e">
        <v>#N/A</v>
      </c>
    </row>
    <row r="140" spans="1:4" ht="12.75">
      <c r="A140" s="1232">
        <f t="shared" si="0"/>
        <v>2023.11</v>
      </c>
      <c r="B140" s="2797" t="e">
        <v>#N/A</v>
      </c>
      <c r="C140" s="2798" t="e">
        <v>#N/A</v>
      </c>
      <c r="D140" s="2799" t="e">
        <v>#N/A</v>
      </c>
    </row>
    <row r="141" spans="1:4" ht="12.75">
      <c r="A141" s="1232">
        <f t="shared" si="0"/>
        <v>2023.12</v>
      </c>
      <c r="B141" s="2797" t="e">
        <v>#N/A</v>
      </c>
      <c r="C141" s="2798" t="e">
        <v>#N/A</v>
      </c>
      <c r="D141" s="2799" t="e">
        <v>#N/A</v>
      </c>
    </row>
    <row r="142" spans="1:4" ht="12.75">
      <c r="A142" s="1232">
        <f t="shared" si="0"/>
        <v>2024.01</v>
      </c>
      <c r="B142" s="2797" t="e">
        <v>#N/A</v>
      </c>
      <c r="C142" s="2798" t="e">
        <v>#N/A</v>
      </c>
      <c r="D142" s="2799" t="e">
        <v>#N/A</v>
      </c>
    </row>
    <row r="143" spans="1:4" ht="12.75">
      <c r="A143" s="1232">
        <f t="shared" si="0"/>
        <v>2024.02</v>
      </c>
      <c r="B143" s="2797" t="e">
        <v>#N/A</v>
      </c>
      <c r="C143" s="2798" t="e">
        <v>#N/A</v>
      </c>
      <c r="D143" s="2799" t="e">
        <v>#N/A</v>
      </c>
    </row>
    <row r="144" spans="1:4" ht="12.75">
      <c r="A144" s="1232">
        <f t="shared" si="0"/>
        <v>2024.03</v>
      </c>
      <c r="B144" s="2797" t="e">
        <v>#N/A</v>
      </c>
      <c r="C144" s="2798" t="e">
        <v>#N/A</v>
      </c>
      <c r="D144" s="2799" t="e">
        <v>#N/A</v>
      </c>
    </row>
    <row r="145" spans="1:4" ht="12.75">
      <c r="A145" s="1232">
        <f t="shared" si="0"/>
        <v>2024.04</v>
      </c>
      <c r="B145" s="2797" t="e">
        <v>#N/A</v>
      </c>
      <c r="C145" s="2798" t="e">
        <v>#N/A</v>
      </c>
      <c r="D145" s="2799" t="e">
        <v>#N/A</v>
      </c>
    </row>
    <row r="146" spans="1:4" ht="12.75">
      <c r="A146" s="1232">
        <f t="shared" si="0"/>
        <v>2024.05</v>
      </c>
      <c r="B146" s="2797" t="e">
        <v>#N/A</v>
      </c>
      <c r="C146" s="2798" t="e">
        <v>#N/A</v>
      </c>
      <c r="D146" s="2799" t="e">
        <v>#N/A</v>
      </c>
    </row>
    <row r="147" spans="1:4" ht="12.75">
      <c r="A147" s="1232">
        <f t="shared" si="0"/>
        <v>2024.06</v>
      </c>
      <c r="B147" s="2797" t="e">
        <v>#N/A</v>
      </c>
      <c r="C147" s="2798" t="e">
        <v>#N/A</v>
      </c>
      <c r="D147" s="2799" t="e">
        <v>#N/A</v>
      </c>
    </row>
    <row r="148" spans="1:4" ht="12.75">
      <c r="A148" s="1232">
        <f t="shared" si="0"/>
        <v>2024.07</v>
      </c>
      <c r="B148" s="2797" t="e">
        <v>#N/A</v>
      </c>
      <c r="C148" s="2798" t="e">
        <v>#N/A</v>
      </c>
      <c r="D148" s="2799" t="e">
        <v>#N/A</v>
      </c>
    </row>
    <row r="149" spans="1:4" ht="12.75">
      <c r="A149" s="1232">
        <f t="shared" si="0"/>
        <v>2024.08</v>
      </c>
      <c r="B149" s="2797" t="e">
        <v>#N/A</v>
      </c>
      <c r="C149" s="2798" t="e">
        <v>#N/A</v>
      </c>
      <c r="D149" s="2799" t="e">
        <v>#N/A</v>
      </c>
    </row>
    <row r="150" spans="1:4" ht="12.75">
      <c r="A150" s="1232">
        <f t="shared" si="0"/>
        <v>2024.09</v>
      </c>
      <c r="B150" s="2797" t="e">
        <v>#N/A</v>
      </c>
      <c r="C150" s="2798" t="e">
        <v>#N/A</v>
      </c>
      <c r="D150" s="2799" t="e">
        <v>#N/A</v>
      </c>
    </row>
    <row r="151" spans="1:4" ht="12.75">
      <c r="A151" s="1232">
        <f t="shared" si="0"/>
        <v>2024.1</v>
      </c>
      <c r="B151" s="2797" t="e">
        <v>#N/A</v>
      </c>
      <c r="C151" s="2798" t="e">
        <v>#N/A</v>
      </c>
      <c r="D151" s="2799" t="e">
        <v>#N/A</v>
      </c>
    </row>
    <row r="152" spans="1:4" ht="12.75">
      <c r="A152" s="1232">
        <f t="shared" si="0"/>
        <v>2024.11</v>
      </c>
      <c r="B152" s="2797" t="e">
        <v>#N/A</v>
      </c>
      <c r="C152" s="2798" t="e">
        <v>#N/A</v>
      </c>
      <c r="D152" s="2799" t="e">
        <v>#N/A</v>
      </c>
    </row>
    <row r="153" spans="1:4" ht="12.75">
      <c r="A153" s="1232">
        <f t="shared" si="0"/>
        <v>2024.12</v>
      </c>
      <c r="B153" s="2797" t="e">
        <v>#N/A</v>
      </c>
      <c r="C153" s="2798" t="e">
        <v>#N/A</v>
      </c>
      <c r="D153" s="2799" t="e">
        <v>#N/A</v>
      </c>
    </row>
    <row r="154" spans="1:4" ht="12.75">
      <c r="A154" s="1232">
        <f t="shared" si="0"/>
        <v>2025.01</v>
      </c>
      <c r="B154" s="2797" t="e">
        <v>#N/A</v>
      </c>
      <c r="C154" s="2798" t="e">
        <v>#N/A</v>
      </c>
      <c r="D154" s="2799" t="e">
        <v>#N/A</v>
      </c>
    </row>
    <row r="155" spans="1:4" ht="12.75">
      <c r="A155" s="1232">
        <f t="shared" si="0"/>
        <v>2025.02</v>
      </c>
      <c r="B155" s="2797" t="e">
        <v>#N/A</v>
      </c>
      <c r="C155" s="2798" t="e">
        <v>#N/A</v>
      </c>
      <c r="D155" s="2799" t="e">
        <v>#N/A</v>
      </c>
    </row>
    <row r="156" spans="1:4" ht="12.75">
      <c r="A156" s="1232">
        <f t="shared" si="0"/>
        <v>2025.03</v>
      </c>
      <c r="B156" s="2797" t="e">
        <v>#N/A</v>
      </c>
      <c r="C156" s="2798" t="e">
        <v>#N/A</v>
      </c>
      <c r="D156" s="2799" t="e">
        <v>#N/A</v>
      </c>
    </row>
    <row r="157" spans="1:4" ht="12.75">
      <c r="A157" s="1232">
        <f>A145+1</f>
        <v>2025.04</v>
      </c>
      <c r="B157" s="2797" t="e">
        <v>#N/A</v>
      </c>
      <c r="C157" s="2798" t="e">
        <v>#N/A</v>
      </c>
      <c r="D157" s="2799" t="e">
        <v>#N/A</v>
      </c>
    </row>
    <row r="158" spans="1:4" ht="12.75">
      <c r="A158" s="1232">
        <f t="shared" si="0"/>
        <v>2025.05</v>
      </c>
      <c r="B158" s="2797" t="e">
        <v>#N/A</v>
      </c>
      <c r="C158" s="2798" t="e">
        <v>#N/A</v>
      </c>
      <c r="D158" s="2799" t="e">
        <v>#N/A</v>
      </c>
    </row>
    <row r="159" spans="1:4" ht="12.75">
      <c r="A159" s="1232">
        <f t="shared" si="0"/>
        <v>2025.06</v>
      </c>
      <c r="B159" s="2797" t="e">
        <v>#N/A</v>
      </c>
      <c r="C159" s="2798" t="e">
        <v>#N/A</v>
      </c>
      <c r="D159" s="2799" t="e">
        <v>#N/A</v>
      </c>
    </row>
    <row r="160" spans="1:4" ht="12.75">
      <c r="A160" s="1232">
        <f t="shared" si="0"/>
        <v>2025.07</v>
      </c>
      <c r="B160" s="2797" t="e">
        <v>#N/A</v>
      </c>
      <c r="C160" s="2798" t="e">
        <v>#N/A</v>
      </c>
      <c r="D160" s="2799" t="e">
        <v>#N/A</v>
      </c>
    </row>
    <row r="161" spans="1:4" ht="12.75">
      <c r="A161" s="1232">
        <f t="shared" si="0"/>
        <v>2025.08</v>
      </c>
      <c r="B161" s="2797" t="e">
        <v>#N/A</v>
      </c>
      <c r="C161" s="2798" t="e">
        <v>#N/A</v>
      </c>
      <c r="D161" s="2799" t="e">
        <v>#N/A</v>
      </c>
    </row>
    <row r="162" spans="1:4" ht="12.75">
      <c r="A162" s="1232">
        <f t="shared" si="0"/>
        <v>2025.09</v>
      </c>
      <c r="B162" s="2797" t="e">
        <v>#N/A</v>
      </c>
      <c r="C162" s="2798" t="e">
        <v>#N/A</v>
      </c>
      <c r="D162" s="2799" t="e">
        <v>#N/A</v>
      </c>
    </row>
    <row r="163" spans="1:4" ht="12.75">
      <c r="A163" s="1232">
        <f>A151+1</f>
        <v>2025.1</v>
      </c>
      <c r="B163" s="2797" t="e">
        <v>#N/A</v>
      </c>
      <c r="C163" s="2798" t="e">
        <v>#N/A</v>
      </c>
      <c r="D163" s="2799" t="e">
        <v>#N/A</v>
      </c>
    </row>
    <row r="164" spans="1:4" ht="12.75">
      <c r="A164" s="1232">
        <f t="shared" si="0"/>
        <v>2025.11</v>
      </c>
      <c r="B164" s="2797" t="e">
        <v>#N/A</v>
      </c>
      <c r="C164" s="2798" t="e">
        <v>#N/A</v>
      </c>
      <c r="D164" s="2799" t="e">
        <v>#N/A</v>
      </c>
    </row>
    <row r="165" spans="1:4" ht="12.75">
      <c r="A165" s="1232">
        <f t="shared" si="0"/>
        <v>2025.12</v>
      </c>
      <c r="B165" s="2797" t="e">
        <v>#N/A</v>
      </c>
      <c r="C165" s="2798" t="e">
        <v>#N/A</v>
      </c>
      <c r="D165" s="2799" t="e">
        <v>#N/A</v>
      </c>
    </row>
    <row r="166" spans="1:4" ht="12.75">
      <c r="A166" s="1232">
        <f t="shared" si="0"/>
        <v>2026.01</v>
      </c>
      <c r="B166" s="2797" t="e">
        <v>#N/A</v>
      </c>
      <c r="C166" s="2798" t="e">
        <v>#N/A</v>
      </c>
      <c r="D166" s="2799" t="e">
        <v>#N/A</v>
      </c>
    </row>
    <row r="167" spans="1:4" ht="12.75">
      <c r="A167" s="1232">
        <f t="shared" si="0"/>
        <v>2026.02</v>
      </c>
      <c r="B167" s="2797" t="e">
        <v>#N/A</v>
      </c>
      <c r="C167" s="2798" t="e">
        <v>#N/A</v>
      </c>
      <c r="D167" s="2799" t="e">
        <v>#N/A</v>
      </c>
    </row>
    <row r="168" spans="1:4" ht="12.75">
      <c r="A168" s="1232">
        <f t="shared" si="0"/>
        <v>2026.03</v>
      </c>
      <c r="B168" s="2797" t="e">
        <v>#N/A</v>
      </c>
      <c r="C168" s="2798" t="e">
        <v>#N/A</v>
      </c>
      <c r="D168" s="2799" t="e">
        <v>#N/A</v>
      </c>
    </row>
    <row r="169" spans="1:4" ht="12.75">
      <c r="A169" s="1232">
        <f t="shared" si="0"/>
        <v>2026.04</v>
      </c>
      <c r="B169" s="2797" t="e">
        <v>#N/A</v>
      </c>
      <c r="C169" s="2798" t="e">
        <v>#N/A</v>
      </c>
      <c r="D169" s="2799" t="e">
        <v>#N/A</v>
      </c>
    </row>
    <row r="170" spans="1:4" ht="12.75">
      <c r="A170" s="1232">
        <f t="shared" si="0"/>
        <v>2026.05</v>
      </c>
      <c r="B170" s="2797" t="e">
        <v>#N/A</v>
      </c>
      <c r="C170" s="2798" t="e">
        <v>#N/A</v>
      </c>
      <c r="D170" s="2799" t="e">
        <v>#N/A</v>
      </c>
    </row>
    <row r="171" spans="1:4" ht="12.75">
      <c r="A171" s="1232">
        <f t="shared" ref="A171:A189" si="1">A159+1</f>
        <v>2026.06</v>
      </c>
      <c r="B171" s="2797" t="e">
        <v>#N/A</v>
      </c>
      <c r="C171" s="2798" t="e">
        <v>#N/A</v>
      </c>
      <c r="D171" s="2799" t="e">
        <v>#N/A</v>
      </c>
    </row>
    <row r="172" spans="1:4" ht="12.75">
      <c r="A172" s="1232">
        <f t="shared" si="1"/>
        <v>2026.07</v>
      </c>
      <c r="B172" s="2797" t="e">
        <v>#N/A</v>
      </c>
      <c r="C172" s="2798" t="e">
        <v>#N/A</v>
      </c>
      <c r="D172" s="2799" t="e">
        <v>#N/A</v>
      </c>
    </row>
    <row r="173" spans="1:4" ht="12.75">
      <c r="A173" s="1232">
        <f t="shared" si="1"/>
        <v>2026.08</v>
      </c>
      <c r="B173" s="2797" t="e">
        <v>#N/A</v>
      </c>
      <c r="C173" s="2798" t="e">
        <v>#N/A</v>
      </c>
      <c r="D173" s="2799" t="e">
        <v>#N/A</v>
      </c>
    </row>
    <row r="174" spans="1:4" ht="12.75">
      <c r="A174" s="1232">
        <f t="shared" si="1"/>
        <v>2026.09</v>
      </c>
      <c r="B174" s="2797" t="e">
        <v>#N/A</v>
      </c>
      <c r="C174" s="2798" t="e">
        <v>#N/A</v>
      </c>
      <c r="D174" s="2799" t="e">
        <v>#N/A</v>
      </c>
    </row>
    <row r="175" spans="1:4" ht="12.75">
      <c r="A175" s="1232">
        <f t="shared" si="1"/>
        <v>2026.1</v>
      </c>
      <c r="B175" s="2797" t="e">
        <v>#N/A</v>
      </c>
      <c r="C175" s="2798" t="e">
        <v>#N/A</v>
      </c>
      <c r="D175" s="2799" t="e">
        <v>#N/A</v>
      </c>
    </row>
    <row r="176" spans="1:4" ht="12.75">
      <c r="A176" s="1232">
        <f t="shared" si="1"/>
        <v>2026.11</v>
      </c>
      <c r="B176" s="2797" t="e">
        <v>#N/A</v>
      </c>
      <c r="C176" s="2798" t="e">
        <v>#N/A</v>
      </c>
      <c r="D176" s="2799" t="e">
        <v>#N/A</v>
      </c>
    </row>
    <row r="177" spans="1:4" ht="12.75">
      <c r="A177" s="1232">
        <f t="shared" si="1"/>
        <v>2026.12</v>
      </c>
      <c r="B177" s="2797" t="e">
        <v>#N/A</v>
      </c>
      <c r="C177" s="2798" t="e">
        <v>#N/A</v>
      </c>
      <c r="D177" s="2799" t="e">
        <v>#N/A</v>
      </c>
    </row>
    <row r="178" spans="1:4" ht="12.75">
      <c r="A178" s="1232">
        <f t="shared" si="1"/>
        <v>2027.01</v>
      </c>
      <c r="B178" s="2797" t="e">
        <v>#N/A</v>
      </c>
      <c r="C178" s="2798" t="e">
        <v>#N/A</v>
      </c>
      <c r="D178" s="2799" t="e">
        <v>#N/A</v>
      </c>
    </row>
    <row r="179" spans="1:4" ht="12.75">
      <c r="A179" s="1232">
        <f t="shared" si="1"/>
        <v>2027.02</v>
      </c>
      <c r="B179" s="2797" t="e">
        <v>#N/A</v>
      </c>
      <c r="C179" s="2798" t="e">
        <v>#N/A</v>
      </c>
      <c r="D179" s="2799" t="e">
        <v>#N/A</v>
      </c>
    </row>
    <row r="180" spans="1:4" ht="12.75">
      <c r="A180" s="1232">
        <f t="shared" si="1"/>
        <v>2027.03</v>
      </c>
      <c r="B180" s="2797" t="e">
        <v>#N/A</v>
      </c>
      <c r="C180" s="2798" t="e">
        <v>#N/A</v>
      </c>
      <c r="D180" s="2799" t="e">
        <v>#N/A</v>
      </c>
    </row>
    <row r="181" spans="1:4" ht="12.75">
      <c r="A181" s="1232">
        <f t="shared" si="1"/>
        <v>2027.04</v>
      </c>
      <c r="B181" s="2797" t="e">
        <v>#N/A</v>
      </c>
      <c r="C181" s="2798" t="e">
        <v>#N/A</v>
      </c>
      <c r="D181" s="2799" t="e">
        <v>#N/A</v>
      </c>
    </row>
    <row r="182" spans="1:4" ht="12.75">
      <c r="A182" s="1232">
        <f t="shared" si="1"/>
        <v>2027.05</v>
      </c>
      <c r="B182" s="2797" t="e">
        <v>#N/A</v>
      </c>
      <c r="C182" s="2798" t="e">
        <v>#N/A</v>
      </c>
      <c r="D182" s="2799" t="e">
        <v>#N/A</v>
      </c>
    </row>
    <row r="183" spans="1:4" ht="12.75">
      <c r="A183" s="1232">
        <f t="shared" si="1"/>
        <v>2027.06</v>
      </c>
      <c r="B183" s="2797" t="e">
        <v>#N/A</v>
      </c>
      <c r="C183" s="2798" t="e">
        <v>#N/A</v>
      </c>
      <c r="D183" s="2799" t="e">
        <v>#N/A</v>
      </c>
    </row>
    <row r="184" spans="1:4" ht="12.75">
      <c r="A184" s="1232">
        <f t="shared" si="1"/>
        <v>2027.07</v>
      </c>
      <c r="B184" s="2797" t="e">
        <v>#N/A</v>
      </c>
      <c r="C184" s="2798" t="e">
        <v>#N/A</v>
      </c>
      <c r="D184" s="2799" t="e">
        <v>#N/A</v>
      </c>
    </row>
    <row r="185" spans="1:4" ht="12.75">
      <c r="A185" s="1232">
        <f t="shared" si="1"/>
        <v>2027.08</v>
      </c>
      <c r="B185" s="2797" t="e">
        <v>#N/A</v>
      </c>
      <c r="C185" s="2798" t="e">
        <v>#N/A</v>
      </c>
      <c r="D185" s="2799" t="e">
        <v>#N/A</v>
      </c>
    </row>
    <row r="186" spans="1:4" ht="12.75">
      <c r="A186" s="1232">
        <f t="shared" si="1"/>
        <v>2027.09</v>
      </c>
      <c r="B186" s="2797" t="e">
        <v>#N/A</v>
      </c>
      <c r="C186" s="2798" t="e">
        <v>#N/A</v>
      </c>
      <c r="D186" s="2799" t="e">
        <v>#N/A</v>
      </c>
    </row>
    <row r="187" spans="1:4" ht="12.75">
      <c r="A187" s="1232">
        <f t="shared" si="1"/>
        <v>2027.1</v>
      </c>
      <c r="B187" s="2797" t="e">
        <v>#N/A</v>
      </c>
      <c r="C187" s="2798" t="e">
        <v>#N/A</v>
      </c>
      <c r="D187" s="2799" t="e">
        <v>#N/A</v>
      </c>
    </row>
    <row r="188" spans="1:4" ht="12.75">
      <c r="A188" s="1232">
        <f t="shared" si="1"/>
        <v>2027.11</v>
      </c>
      <c r="B188" s="2797" t="e">
        <v>#N/A</v>
      </c>
      <c r="C188" s="2798" t="e">
        <v>#N/A</v>
      </c>
      <c r="D188" s="2799" t="e">
        <v>#N/A</v>
      </c>
    </row>
    <row r="189" spans="1:4" ht="12.75">
      <c r="A189" s="1232">
        <f t="shared" si="1"/>
        <v>2027.12</v>
      </c>
      <c r="B189" s="2797" t="e">
        <v>#N/A</v>
      </c>
      <c r="C189" s="2798" t="e">
        <v>#N/A</v>
      </c>
      <c r="D189" s="2799" t="e">
        <v>#N/A</v>
      </c>
    </row>
    <row r="190" spans="1:4" ht="12.75">
      <c r="A190" s="1232">
        <f t="shared" ref="A190:A222" si="2">A178+1</f>
        <v>2028.01</v>
      </c>
      <c r="B190" s="2797" t="e">
        <v>#N/A</v>
      </c>
      <c r="C190" s="2798" t="e">
        <v>#N/A</v>
      </c>
      <c r="D190" s="2799" t="e">
        <v>#N/A</v>
      </c>
    </row>
    <row r="191" spans="1:4" ht="12.75">
      <c r="A191" s="1232">
        <f t="shared" si="2"/>
        <v>2028.02</v>
      </c>
      <c r="B191" s="2797" t="e">
        <v>#N/A</v>
      </c>
      <c r="C191" s="2798" t="e">
        <v>#N/A</v>
      </c>
      <c r="D191" s="2799" t="e">
        <v>#N/A</v>
      </c>
    </row>
    <row r="192" spans="1:4" ht="12.75">
      <c r="A192" s="1232">
        <f t="shared" si="2"/>
        <v>2028.03</v>
      </c>
      <c r="B192" s="2797" t="e">
        <v>#N/A</v>
      </c>
      <c r="C192" s="2798" t="e">
        <v>#N/A</v>
      </c>
      <c r="D192" s="2799" t="e">
        <v>#N/A</v>
      </c>
    </row>
    <row r="193" spans="1:4" ht="12.75">
      <c r="A193" s="1232">
        <f t="shared" si="2"/>
        <v>2028.04</v>
      </c>
      <c r="B193" s="2797" t="e">
        <v>#N/A</v>
      </c>
      <c r="C193" s="2798" t="e">
        <v>#N/A</v>
      </c>
      <c r="D193" s="2799" t="e">
        <v>#N/A</v>
      </c>
    </row>
    <row r="194" spans="1:4" ht="12.75">
      <c r="A194" s="1232">
        <f t="shared" si="2"/>
        <v>2028.05</v>
      </c>
      <c r="B194" s="2797" t="e">
        <v>#N/A</v>
      </c>
      <c r="C194" s="2798" t="e">
        <v>#N/A</v>
      </c>
      <c r="D194" s="2799" t="e">
        <v>#N/A</v>
      </c>
    </row>
    <row r="195" spans="1:4" ht="12.75">
      <c r="A195" s="1232">
        <f t="shared" si="2"/>
        <v>2028.06</v>
      </c>
      <c r="B195" s="2797" t="e">
        <v>#N/A</v>
      </c>
      <c r="C195" s="2798" t="e">
        <v>#N/A</v>
      </c>
      <c r="D195" s="2799" t="e">
        <v>#N/A</v>
      </c>
    </row>
    <row r="196" spans="1:4" ht="12.75">
      <c r="A196" s="1232">
        <f t="shared" si="2"/>
        <v>2028.07</v>
      </c>
      <c r="B196" s="2797" t="e">
        <v>#N/A</v>
      </c>
      <c r="C196" s="2798" t="e">
        <v>#N/A</v>
      </c>
      <c r="D196" s="2799" t="e">
        <v>#N/A</v>
      </c>
    </row>
    <row r="197" spans="1:4" ht="12.75">
      <c r="A197" s="1232">
        <f t="shared" si="2"/>
        <v>2028.08</v>
      </c>
      <c r="B197" s="2797" t="e">
        <v>#N/A</v>
      </c>
      <c r="C197" s="2798" t="e">
        <v>#N/A</v>
      </c>
      <c r="D197" s="2799" t="e">
        <v>#N/A</v>
      </c>
    </row>
    <row r="198" spans="1:4" ht="12.75">
      <c r="A198" s="1232">
        <f t="shared" si="2"/>
        <v>2028.09</v>
      </c>
      <c r="B198" s="2797" t="e">
        <v>#N/A</v>
      </c>
      <c r="C198" s="2798" t="e">
        <v>#N/A</v>
      </c>
      <c r="D198" s="2799" t="e">
        <v>#N/A</v>
      </c>
    </row>
    <row r="199" spans="1:4" ht="12.75">
      <c r="A199" s="1232">
        <f t="shared" si="2"/>
        <v>2028.1</v>
      </c>
      <c r="B199" s="2797" t="e">
        <v>#N/A</v>
      </c>
      <c r="C199" s="2798" t="e">
        <v>#N/A</v>
      </c>
      <c r="D199" s="2799" t="e">
        <v>#N/A</v>
      </c>
    </row>
    <row r="200" spans="1:4" ht="12.75">
      <c r="A200" s="1232">
        <f t="shared" si="2"/>
        <v>2028.11</v>
      </c>
      <c r="B200" s="2797" t="e">
        <v>#N/A</v>
      </c>
      <c r="C200" s="2798" t="e">
        <v>#N/A</v>
      </c>
      <c r="D200" s="2799" t="e">
        <v>#N/A</v>
      </c>
    </row>
    <row r="201" spans="1:4" ht="12.75">
      <c r="A201" s="1232">
        <f t="shared" si="2"/>
        <v>2028.12</v>
      </c>
      <c r="B201" s="2797" t="e">
        <v>#N/A</v>
      </c>
      <c r="C201" s="2798" t="e">
        <v>#N/A</v>
      </c>
      <c r="D201" s="2799" t="e">
        <v>#N/A</v>
      </c>
    </row>
    <row r="202" spans="1:4" ht="12.75">
      <c r="A202" s="1232">
        <f t="shared" si="2"/>
        <v>2029.01</v>
      </c>
      <c r="B202" s="2797" t="e">
        <v>#N/A</v>
      </c>
      <c r="C202" s="2798" t="e">
        <v>#N/A</v>
      </c>
      <c r="D202" s="2799" t="e">
        <v>#N/A</v>
      </c>
    </row>
    <row r="203" spans="1:4" ht="12.75">
      <c r="A203" s="1232">
        <f t="shared" si="2"/>
        <v>2029.02</v>
      </c>
      <c r="B203" s="2797" t="e">
        <v>#N/A</v>
      </c>
      <c r="C203" s="2798" t="e">
        <v>#N/A</v>
      </c>
      <c r="D203" s="2799" t="e">
        <v>#N/A</v>
      </c>
    </row>
    <row r="204" spans="1:4" ht="12.75">
      <c r="A204" s="1232">
        <f t="shared" si="2"/>
        <v>2029.03</v>
      </c>
      <c r="B204" s="2797" t="e">
        <v>#N/A</v>
      </c>
      <c r="C204" s="2798" t="e">
        <v>#N/A</v>
      </c>
      <c r="D204" s="2799" t="e">
        <v>#N/A</v>
      </c>
    </row>
    <row r="205" spans="1:4" ht="12.75">
      <c r="A205" s="1232">
        <f t="shared" si="2"/>
        <v>2029.04</v>
      </c>
      <c r="B205" s="2797" t="e">
        <v>#N/A</v>
      </c>
      <c r="C205" s="2798" t="e">
        <v>#N/A</v>
      </c>
      <c r="D205" s="2799" t="e">
        <v>#N/A</v>
      </c>
    </row>
    <row r="206" spans="1:4" ht="12.75">
      <c r="A206" s="1232">
        <f t="shared" si="2"/>
        <v>2029.05</v>
      </c>
      <c r="B206" s="2797" t="e">
        <v>#N/A</v>
      </c>
      <c r="C206" s="2798" t="e">
        <v>#N/A</v>
      </c>
      <c r="D206" s="2799" t="e">
        <v>#N/A</v>
      </c>
    </row>
    <row r="207" spans="1:4" ht="12.75">
      <c r="A207" s="1232">
        <f t="shared" si="2"/>
        <v>2029.06</v>
      </c>
      <c r="B207" s="2797" t="e">
        <v>#N/A</v>
      </c>
      <c r="C207" s="2798" t="e">
        <v>#N/A</v>
      </c>
      <c r="D207" s="2799" t="e">
        <v>#N/A</v>
      </c>
    </row>
    <row r="208" spans="1:4" ht="12.75">
      <c r="A208" s="1232">
        <f t="shared" si="2"/>
        <v>2029.07</v>
      </c>
      <c r="B208" s="2797" t="e">
        <v>#N/A</v>
      </c>
      <c r="C208" s="2798" t="e">
        <v>#N/A</v>
      </c>
      <c r="D208" s="2799" t="e">
        <v>#N/A</v>
      </c>
    </row>
    <row r="209" spans="1:4" ht="12.75">
      <c r="A209" s="1232">
        <f t="shared" si="2"/>
        <v>2029.08</v>
      </c>
      <c r="B209" s="2797" t="e">
        <v>#N/A</v>
      </c>
      <c r="C209" s="2798" t="e">
        <v>#N/A</v>
      </c>
      <c r="D209" s="2799" t="e">
        <v>#N/A</v>
      </c>
    </row>
    <row r="210" spans="1:4" ht="12.75">
      <c r="A210" s="1232">
        <f t="shared" si="2"/>
        <v>2029.09</v>
      </c>
      <c r="B210" s="2797" t="e">
        <v>#N/A</v>
      </c>
      <c r="C210" s="2798" t="e">
        <v>#N/A</v>
      </c>
      <c r="D210" s="2799" t="e">
        <v>#N/A</v>
      </c>
    </row>
    <row r="211" spans="1:4" ht="12.75">
      <c r="A211" s="1232">
        <f t="shared" si="2"/>
        <v>2029.1</v>
      </c>
      <c r="B211" s="2797" t="e">
        <v>#N/A</v>
      </c>
      <c r="C211" s="2798" t="e">
        <v>#N/A</v>
      </c>
      <c r="D211" s="2799" t="e">
        <v>#N/A</v>
      </c>
    </row>
    <row r="212" spans="1:4" ht="12.75">
      <c r="A212" s="1232">
        <f t="shared" si="2"/>
        <v>2029.11</v>
      </c>
      <c r="B212" s="2797" t="e">
        <v>#N/A</v>
      </c>
      <c r="C212" s="2798" t="e">
        <v>#N/A</v>
      </c>
      <c r="D212" s="2799" t="e">
        <v>#N/A</v>
      </c>
    </row>
    <row r="213" spans="1:4" ht="12.75">
      <c r="A213" s="1232">
        <f t="shared" si="2"/>
        <v>2029.12</v>
      </c>
      <c r="B213" s="2797" t="e">
        <v>#N/A</v>
      </c>
      <c r="C213" s="2798" t="e">
        <v>#N/A</v>
      </c>
      <c r="D213" s="2799" t="e">
        <v>#N/A</v>
      </c>
    </row>
    <row r="214" spans="1:4" ht="12.75">
      <c r="A214" s="1232">
        <f t="shared" si="2"/>
        <v>2030.01</v>
      </c>
      <c r="B214" s="2797" t="e">
        <v>#N/A</v>
      </c>
      <c r="C214" s="2798" t="e">
        <v>#N/A</v>
      </c>
      <c r="D214" s="2799" t="e">
        <v>#N/A</v>
      </c>
    </row>
    <row r="215" spans="1:4" ht="12.75">
      <c r="A215" s="1232">
        <f t="shared" si="2"/>
        <v>2030.02</v>
      </c>
      <c r="B215" s="2797" t="e">
        <v>#N/A</v>
      </c>
      <c r="C215" s="2798" t="e">
        <v>#N/A</v>
      </c>
      <c r="D215" s="2799" t="e">
        <v>#N/A</v>
      </c>
    </row>
    <row r="216" spans="1:4" ht="12.75">
      <c r="A216" s="1232">
        <f t="shared" si="2"/>
        <v>2030.03</v>
      </c>
      <c r="B216" s="2797" t="e">
        <v>#N/A</v>
      </c>
      <c r="C216" s="2798" t="e">
        <v>#N/A</v>
      </c>
      <c r="D216" s="2799" t="e">
        <v>#N/A</v>
      </c>
    </row>
    <row r="217" spans="1:4" ht="12.75">
      <c r="A217" s="1232">
        <f t="shared" si="2"/>
        <v>2030.04</v>
      </c>
      <c r="B217" s="2797" t="e">
        <v>#N/A</v>
      </c>
      <c r="C217" s="2798" t="e">
        <v>#N/A</v>
      </c>
      <c r="D217" s="2799" t="e">
        <v>#N/A</v>
      </c>
    </row>
    <row r="218" spans="1:4" ht="12.75">
      <c r="A218" s="1232">
        <f t="shared" si="2"/>
        <v>2030.05</v>
      </c>
      <c r="B218" s="2797" t="e">
        <v>#N/A</v>
      </c>
      <c r="C218" s="2798" t="e">
        <v>#N/A</v>
      </c>
      <c r="D218" s="2799" t="e">
        <v>#N/A</v>
      </c>
    </row>
    <row r="219" spans="1:4" ht="12.75">
      <c r="A219" s="1232">
        <f t="shared" si="2"/>
        <v>2030.06</v>
      </c>
      <c r="B219" s="2797" t="e">
        <v>#N/A</v>
      </c>
      <c r="C219" s="2798" t="e">
        <v>#N/A</v>
      </c>
      <c r="D219" s="2799" t="e">
        <v>#N/A</v>
      </c>
    </row>
    <row r="220" spans="1:4" ht="12.75">
      <c r="A220" s="1232">
        <f t="shared" si="2"/>
        <v>2030.07</v>
      </c>
      <c r="B220" s="2797" t="e">
        <v>#N/A</v>
      </c>
      <c r="C220" s="2798" t="e">
        <v>#N/A</v>
      </c>
      <c r="D220" s="2799" t="e">
        <v>#N/A</v>
      </c>
    </row>
    <row r="221" spans="1:4" ht="12.75">
      <c r="A221" s="1232">
        <f t="shared" si="2"/>
        <v>2030.08</v>
      </c>
      <c r="B221" s="2797" t="e">
        <v>#N/A</v>
      </c>
      <c r="C221" s="2798" t="e">
        <v>#N/A</v>
      </c>
      <c r="D221" s="2799" t="e">
        <v>#N/A</v>
      </c>
    </row>
    <row r="222" spans="1:4" ht="12.75">
      <c r="A222" s="1232">
        <f t="shared" si="2"/>
        <v>2030.09</v>
      </c>
      <c r="B222" s="2797" t="e">
        <v>#N/A</v>
      </c>
      <c r="C222" s="2798" t="e">
        <v>#N/A</v>
      </c>
      <c r="D222" s="2799" t="e">
        <v>#N/A</v>
      </c>
    </row>
    <row r="223" spans="1:4" ht="12.75">
      <c r="A223" s="1232">
        <f t="shared" ref="A223:A225" si="3">A211+1</f>
        <v>2030.1</v>
      </c>
      <c r="B223" s="2797" t="e">
        <v>#N/A</v>
      </c>
      <c r="C223" s="2798" t="e">
        <v>#N/A</v>
      </c>
      <c r="D223" s="2799" t="e">
        <v>#N/A</v>
      </c>
    </row>
    <row r="224" spans="1:4" ht="12.75">
      <c r="A224" s="1232">
        <f t="shared" si="3"/>
        <v>2030.11</v>
      </c>
      <c r="B224" s="2797" t="e">
        <v>#N/A</v>
      </c>
      <c r="C224" s="2798" t="e">
        <v>#N/A</v>
      </c>
      <c r="D224" s="2799" t="e">
        <v>#N/A</v>
      </c>
    </row>
    <row r="225" spans="1:4" ht="12.75">
      <c r="A225" s="1232">
        <f t="shared" si="3"/>
        <v>2030.12</v>
      </c>
      <c r="B225" s="2797" t="e">
        <v>#N/A</v>
      </c>
      <c r="C225" s="2798" t="e">
        <v>#N/A</v>
      </c>
      <c r="D225" s="2799" t="e">
        <v>#N/A</v>
      </c>
    </row>
  </sheetData>
  <mergeCells count="1">
    <mergeCell ref="F2:H2"/>
  </mergeCells>
  <hyperlinks>
    <hyperlink ref="A5" location="INDICE!A13" display="VOLVER AL 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37"/>
  <sheetViews>
    <sheetView zoomScaleNormal="100" workbookViewId="0">
      <pane xSplit="1" ySplit="9" topLeftCell="B133" activePane="bottomRight" state="frozen"/>
      <selection activeCell="A5" sqref="A5"/>
      <selection pane="topRight" activeCell="A5" sqref="A5"/>
      <selection pane="bottomLeft" activeCell="A5" sqref="A5"/>
      <selection pane="bottomRight" activeCell="B155" sqref="B155"/>
    </sheetView>
  </sheetViews>
  <sheetFormatPr baseColWidth="10" defaultColWidth="11.42578125" defaultRowHeight="15"/>
  <cols>
    <col min="1" max="1" width="11.42578125" style="1234"/>
    <col min="2" max="8" width="18.7109375" style="1233" customWidth="1"/>
    <col min="9" max="16384" width="11.42578125" style="1233"/>
  </cols>
  <sheetData>
    <row r="1" spans="1:8" s="1223" customFormat="1" ht="3.75" customHeight="1">
      <c r="A1" s="37"/>
      <c r="B1" s="1230"/>
      <c r="C1" s="1231"/>
      <c r="D1" s="1231"/>
      <c r="E1" s="1231"/>
      <c r="F1" s="1231"/>
      <c r="G1" s="1231"/>
      <c r="H1" s="1241"/>
    </row>
    <row r="2" spans="1:8" s="1223" customFormat="1" ht="18" customHeight="1">
      <c r="A2" s="121" t="s">
        <v>212</v>
      </c>
      <c r="B2" s="1245" t="s">
        <v>1270</v>
      </c>
      <c r="C2" s="1246"/>
      <c r="D2" s="1246"/>
      <c r="E2" s="1247"/>
      <c r="F2" s="1247"/>
      <c r="G2" s="1247"/>
      <c r="H2" s="1248"/>
    </row>
    <row r="3" spans="1:8" s="1223" customFormat="1" ht="16.899999999999999" customHeight="1">
      <c r="A3" s="121" t="s">
        <v>330</v>
      </c>
      <c r="B3" s="1249" t="s">
        <v>1321</v>
      </c>
      <c r="C3" s="1247"/>
      <c r="D3" s="1247"/>
      <c r="E3" s="1247"/>
      <c r="F3" s="1247"/>
      <c r="G3" s="1247"/>
      <c r="H3" s="1248"/>
    </row>
    <row r="4" spans="1:8" s="1223" customFormat="1" ht="3" customHeight="1">
      <c r="A4" s="37"/>
      <c r="B4" s="1250"/>
      <c r="C4" s="1247"/>
      <c r="D4" s="1231"/>
      <c r="E4" s="1231"/>
      <c r="F4" s="1231"/>
      <c r="G4" s="1231"/>
      <c r="H4" s="1241"/>
    </row>
    <row r="5" spans="1:8" s="1223" customFormat="1" ht="35.450000000000003" customHeight="1">
      <c r="A5" s="45" t="s">
        <v>213</v>
      </c>
      <c r="B5" s="2263" t="s">
        <v>1271</v>
      </c>
      <c r="C5" s="2265" t="s">
        <v>1272</v>
      </c>
      <c r="D5" s="2268" t="s">
        <v>1273</v>
      </c>
      <c r="E5" s="2265" t="s">
        <v>1274</v>
      </c>
      <c r="F5" s="2268" t="s">
        <v>1275</v>
      </c>
      <c r="G5" s="2272" t="s">
        <v>1276</v>
      </c>
      <c r="H5" s="1251" t="s">
        <v>1277</v>
      </c>
    </row>
    <row r="6" spans="1:8" s="1223" customFormat="1" ht="22.5">
      <c r="A6" s="47" t="s">
        <v>210</v>
      </c>
      <c r="B6" s="2253" t="s">
        <v>740</v>
      </c>
      <c r="C6" s="2259" t="s">
        <v>740</v>
      </c>
      <c r="D6" s="2269" t="s">
        <v>740</v>
      </c>
      <c r="E6" s="2259" t="s">
        <v>740</v>
      </c>
      <c r="F6" s="2269" t="s">
        <v>740</v>
      </c>
      <c r="G6" s="2273" t="s">
        <v>740</v>
      </c>
      <c r="H6" s="1240" t="s">
        <v>740</v>
      </c>
    </row>
    <row r="7" spans="1:8" s="1223" customFormat="1" ht="2.25" customHeight="1">
      <c r="A7" s="47"/>
      <c r="B7" s="1230"/>
      <c r="C7" s="2260"/>
      <c r="D7" s="1231"/>
      <c r="E7" s="2260"/>
      <c r="F7" s="1231"/>
      <c r="G7" s="2274"/>
      <c r="H7" s="1242"/>
    </row>
    <row r="8" spans="1:8" s="1223" customFormat="1" ht="11.25">
      <c r="A8" s="390" t="s">
        <v>412</v>
      </c>
      <c r="B8" s="1553" t="s">
        <v>1284</v>
      </c>
      <c r="C8" s="1566" t="s">
        <v>1285</v>
      </c>
      <c r="D8" s="1553" t="s">
        <v>1286</v>
      </c>
      <c r="E8" s="1566" t="s">
        <v>1287</v>
      </c>
      <c r="F8" s="1553" t="s">
        <v>1288</v>
      </c>
      <c r="G8" s="2275" t="s">
        <v>1289</v>
      </c>
      <c r="H8" s="1256" t="s">
        <v>1290</v>
      </c>
    </row>
    <row r="9" spans="1:8" s="1223" customFormat="1" ht="3" customHeight="1">
      <c r="A9" s="52"/>
      <c r="B9" s="1230"/>
      <c r="C9" s="2260"/>
      <c r="D9" s="1231"/>
      <c r="E9" s="2260"/>
      <c r="F9" s="1231"/>
      <c r="G9" s="2274"/>
      <c r="H9" s="1242"/>
    </row>
    <row r="10" spans="1:8" ht="12.75">
      <c r="A10" s="1232">
        <f>+A22-1</f>
        <v>2012.01</v>
      </c>
      <c r="B10" s="1252">
        <v>6105.9530000000004</v>
      </c>
      <c r="C10" s="2266">
        <v>2543.7170000000001</v>
      </c>
      <c r="D10" s="2270">
        <v>389.21899999999999</v>
      </c>
      <c r="E10" s="2266">
        <v>409.935</v>
      </c>
      <c r="F10" s="2270">
        <v>1314.711</v>
      </c>
      <c r="G10" s="2276">
        <v>167.762</v>
      </c>
      <c r="H10" s="1253">
        <v>10931.296999999999</v>
      </c>
    </row>
    <row r="11" spans="1:8" ht="12.75">
      <c r="A11" s="1232">
        <f t="shared" ref="A11:A21" si="0">+A23-1</f>
        <v>2012.02</v>
      </c>
      <c r="B11" s="2264">
        <v>6103.3819999999996</v>
      </c>
      <c r="C11" s="2267">
        <v>2598.154</v>
      </c>
      <c r="D11" s="2271">
        <v>388.83300000000003</v>
      </c>
      <c r="E11" s="2267">
        <v>408.92599999999999</v>
      </c>
      <c r="F11" s="2271">
        <v>1314.5319999999999</v>
      </c>
      <c r="G11" s="2277">
        <v>168.91300000000001</v>
      </c>
      <c r="H11" s="1254">
        <v>10982.74</v>
      </c>
    </row>
    <row r="12" spans="1:8" ht="12.75">
      <c r="A12" s="1232">
        <f t="shared" si="0"/>
        <v>2012.03</v>
      </c>
      <c r="B12" s="2264">
        <v>6112.3720000000003</v>
      </c>
      <c r="C12" s="2267">
        <v>2602.0569999999998</v>
      </c>
      <c r="D12" s="2271">
        <v>386.59500000000003</v>
      </c>
      <c r="E12" s="2267">
        <v>406.51799999999997</v>
      </c>
      <c r="F12" s="2271">
        <v>1314.626</v>
      </c>
      <c r="G12" s="2277">
        <v>170.047</v>
      </c>
      <c r="H12" s="1254">
        <v>10992.215</v>
      </c>
    </row>
    <row r="13" spans="1:8" ht="12.75">
      <c r="A13" s="1232">
        <f t="shared" si="0"/>
        <v>2012.04</v>
      </c>
      <c r="B13" s="2264">
        <v>6055.0469999999996</v>
      </c>
      <c r="C13" s="2267">
        <v>2605.39</v>
      </c>
      <c r="D13" s="2271">
        <v>389.983</v>
      </c>
      <c r="E13" s="2267">
        <v>407.66899999999998</v>
      </c>
      <c r="F13" s="2271">
        <v>1317.796</v>
      </c>
      <c r="G13" s="2277">
        <v>172.512</v>
      </c>
      <c r="H13" s="1254">
        <v>10948.397000000001</v>
      </c>
    </row>
    <row r="14" spans="1:8" ht="12.75">
      <c r="A14" s="1232">
        <f t="shared" si="0"/>
        <v>2012.05</v>
      </c>
      <c r="B14" s="2264">
        <v>6042.6170000000002</v>
      </c>
      <c r="C14" s="2267">
        <v>2591.2779999999998</v>
      </c>
      <c r="D14" s="2271">
        <v>392.21100000000001</v>
      </c>
      <c r="E14" s="2267">
        <v>407.62799999999999</v>
      </c>
      <c r="F14" s="2271">
        <v>1321.8409999999999</v>
      </c>
      <c r="G14" s="2277">
        <v>172.92599999999999</v>
      </c>
      <c r="H14" s="1254">
        <v>10928.501</v>
      </c>
    </row>
    <row r="15" spans="1:8" ht="12.75">
      <c r="A15" s="1232">
        <f t="shared" si="0"/>
        <v>2012.06</v>
      </c>
      <c r="B15" s="2264">
        <v>6033.3310000000001</v>
      </c>
      <c r="C15" s="2267">
        <v>2648.5459999999998</v>
      </c>
      <c r="D15" s="2271">
        <v>395.00200000000001</v>
      </c>
      <c r="E15" s="2267">
        <v>407.51299999999998</v>
      </c>
      <c r="F15" s="2271">
        <v>1332.556</v>
      </c>
      <c r="G15" s="2277">
        <v>174.56299999999999</v>
      </c>
      <c r="H15" s="1254">
        <v>10991.511000000002</v>
      </c>
    </row>
    <row r="16" spans="1:8" ht="12.75">
      <c r="A16" s="1232">
        <f t="shared" si="0"/>
        <v>2012.07</v>
      </c>
      <c r="B16" s="2264">
        <v>6026.8770000000004</v>
      </c>
      <c r="C16" s="2267">
        <v>2626.3789999999999</v>
      </c>
      <c r="D16" s="2271">
        <v>398.14299999999997</v>
      </c>
      <c r="E16" s="2267">
        <v>408.25099999999998</v>
      </c>
      <c r="F16" s="2271">
        <v>1342.079</v>
      </c>
      <c r="G16" s="2277">
        <v>178.13399999999999</v>
      </c>
      <c r="H16" s="1254">
        <v>10979.863000000001</v>
      </c>
    </row>
    <row r="17" spans="1:8" ht="12.75">
      <c r="A17" s="1232">
        <f t="shared" si="0"/>
        <v>2012.08</v>
      </c>
      <c r="B17" s="2264">
        <v>6029.5910000000003</v>
      </c>
      <c r="C17" s="2267">
        <v>2634.373</v>
      </c>
      <c r="D17" s="2271">
        <v>400.83600000000001</v>
      </c>
      <c r="E17" s="2267">
        <v>409.089</v>
      </c>
      <c r="F17" s="2271">
        <v>1346.925</v>
      </c>
      <c r="G17" s="2277">
        <v>179.84200000000001</v>
      </c>
      <c r="H17" s="1254">
        <v>11000.655999999999</v>
      </c>
    </row>
    <row r="18" spans="1:8" ht="12.75">
      <c r="A18" s="1232">
        <f t="shared" si="0"/>
        <v>2012.09</v>
      </c>
      <c r="B18" s="2264">
        <v>6022.8</v>
      </c>
      <c r="C18" s="2267">
        <v>2633.6950000000002</v>
      </c>
      <c r="D18" s="2271">
        <v>401.79199999999997</v>
      </c>
      <c r="E18" s="2267">
        <v>409.44400000000002</v>
      </c>
      <c r="F18" s="2271">
        <v>1352.3779999999999</v>
      </c>
      <c r="G18" s="2277">
        <v>182.364</v>
      </c>
      <c r="H18" s="1254">
        <v>11002.473</v>
      </c>
    </row>
    <row r="19" spans="1:8" ht="12.75">
      <c r="A19" s="1232">
        <f t="shared" si="0"/>
        <v>2012.1</v>
      </c>
      <c r="B19" s="2264">
        <v>6063.4549999999999</v>
      </c>
      <c r="C19" s="2267">
        <v>2648.297</v>
      </c>
      <c r="D19" s="2271">
        <v>402.22500000000002</v>
      </c>
      <c r="E19" s="2267">
        <v>409.33699999999999</v>
      </c>
      <c r="F19" s="2271">
        <v>1360.1890000000001</v>
      </c>
      <c r="G19" s="2277">
        <v>183.25399999999999</v>
      </c>
      <c r="H19" s="1254">
        <v>11066.757000000001</v>
      </c>
    </row>
    <row r="20" spans="1:8" ht="12.75">
      <c r="A20" s="1232">
        <f t="shared" si="0"/>
        <v>2012.11</v>
      </c>
      <c r="B20" s="2264">
        <v>6087.1350000000002</v>
      </c>
      <c r="C20" s="2267">
        <v>2672.6309999999999</v>
      </c>
      <c r="D20" s="2271">
        <v>400.76400000000001</v>
      </c>
      <c r="E20" s="2267">
        <v>409.13900000000001</v>
      </c>
      <c r="F20" s="2271">
        <v>1365.4760000000001</v>
      </c>
      <c r="G20" s="2277">
        <v>184.774</v>
      </c>
      <c r="H20" s="1254">
        <v>11119.918999999998</v>
      </c>
    </row>
    <row r="21" spans="1:8" ht="12.75">
      <c r="A21" s="1232">
        <f t="shared" si="0"/>
        <v>2012.12</v>
      </c>
      <c r="B21" s="2264">
        <v>6112.6769999999997</v>
      </c>
      <c r="C21" s="2267">
        <v>2691.67</v>
      </c>
      <c r="D21" s="2271">
        <v>399.14100000000002</v>
      </c>
      <c r="E21" s="2267">
        <v>408.291</v>
      </c>
      <c r="F21" s="2271">
        <v>1364.7139999999999</v>
      </c>
      <c r="G21" s="2277">
        <v>186.953</v>
      </c>
      <c r="H21" s="1254">
        <v>11163.445999999998</v>
      </c>
    </row>
    <row r="22" spans="1:8" ht="12.75">
      <c r="A22" s="1232">
        <v>2013.01</v>
      </c>
      <c r="B22" s="2264">
        <v>6129.5209999999997</v>
      </c>
      <c r="C22" s="2267">
        <v>2707.3670000000002</v>
      </c>
      <c r="D22" s="2271">
        <v>407.63799999999998</v>
      </c>
      <c r="E22" s="2267">
        <v>412.38200000000001</v>
      </c>
      <c r="F22" s="2271">
        <v>1370.088</v>
      </c>
      <c r="G22" s="2277">
        <v>187.364</v>
      </c>
      <c r="H22" s="1254">
        <v>11214.359999999999</v>
      </c>
    </row>
    <row r="23" spans="1:8" ht="12.75">
      <c r="A23" s="1232">
        <v>2013.02</v>
      </c>
      <c r="B23" s="2264">
        <v>6136.7169999999996</v>
      </c>
      <c r="C23" s="2267">
        <v>2705.7570000000001</v>
      </c>
      <c r="D23" s="2271">
        <v>408.904</v>
      </c>
      <c r="E23" s="2267">
        <v>421.34100000000001</v>
      </c>
      <c r="F23" s="2271">
        <v>1370.248</v>
      </c>
      <c r="G23" s="2277">
        <v>188.774</v>
      </c>
      <c r="H23" s="1254">
        <v>11231.741</v>
      </c>
    </row>
    <row r="24" spans="1:8" ht="12.75">
      <c r="A24" s="1232">
        <v>2013.03</v>
      </c>
      <c r="B24" s="2264">
        <v>6139.607</v>
      </c>
      <c r="C24" s="2267">
        <v>2701.1709999999998</v>
      </c>
      <c r="D24" s="2271">
        <v>405.44099999999997</v>
      </c>
      <c r="E24" s="2267">
        <v>421.24799999999999</v>
      </c>
      <c r="F24" s="2271">
        <v>1376.771</v>
      </c>
      <c r="G24" s="2277">
        <v>190.37200000000001</v>
      </c>
      <c r="H24" s="1254">
        <v>11234.61</v>
      </c>
    </row>
    <row r="25" spans="1:8" ht="12.75">
      <c r="A25" s="1232">
        <v>2013.04</v>
      </c>
      <c r="B25" s="2264">
        <v>6121.6090000000004</v>
      </c>
      <c r="C25" s="2267">
        <v>2724.5880000000002</v>
      </c>
      <c r="D25" s="2271">
        <v>408.67200000000003</v>
      </c>
      <c r="E25" s="2267">
        <v>422.96600000000001</v>
      </c>
      <c r="F25" s="2271">
        <v>1384.0219999999999</v>
      </c>
      <c r="G25" s="2277">
        <v>192.11</v>
      </c>
      <c r="H25" s="1254">
        <v>11253.967000000001</v>
      </c>
    </row>
    <row r="26" spans="1:8" ht="12.75">
      <c r="A26" s="1232">
        <v>2013.05</v>
      </c>
      <c r="B26" s="2264">
        <v>6085.3879999999999</v>
      </c>
      <c r="C26" s="2267">
        <v>2804.973</v>
      </c>
      <c r="D26" s="2271">
        <v>416.92599999999999</v>
      </c>
      <c r="E26" s="2267">
        <v>423.351</v>
      </c>
      <c r="F26" s="2271">
        <v>1393.8720000000001</v>
      </c>
      <c r="G26" s="2277">
        <v>193.74299999999999</v>
      </c>
      <c r="H26" s="1254">
        <v>11318.253000000001</v>
      </c>
    </row>
    <row r="27" spans="1:8" ht="12.75">
      <c r="A27" s="1232">
        <v>2013.06</v>
      </c>
      <c r="B27" s="2264">
        <v>6065.4040000000005</v>
      </c>
      <c r="C27" s="2267">
        <v>2815.2020000000002</v>
      </c>
      <c r="D27" s="2271">
        <v>434.06200000000001</v>
      </c>
      <c r="E27" s="2267">
        <v>423.38900000000001</v>
      </c>
      <c r="F27" s="2271">
        <v>1402.481</v>
      </c>
      <c r="G27" s="2277">
        <v>196.46899999999999</v>
      </c>
      <c r="H27" s="1254">
        <v>11337.006999999998</v>
      </c>
    </row>
    <row r="28" spans="1:8" ht="12.75">
      <c r="A28" s="1232">
        <v>2013.07</v>
      </c>
      <c r="B28" s="2264">
        <v>6077.9809999999998</v>
      </c>
      <c r="C28" s="2267">
        <v>2809.1640000000002</v>
      </c>
      <c r="D28" s="2271">
        <v>442.02800000000002</v>
      </c>
      <c r="E28" s="2267">
        <v>425.5</v>
      </c>
      <c r="F28" s="2271">
        <v>1411.92</v>
      </c>
      <c r="G28" s="2277">
        <v>203.751</v>
      </c>
      <c r="H28" s="1254">
        <v>11370.344000000001</v>
      </c>
    </row>
    <row r="29" spans="1:8" ht="12.75">
      <c r="A29" s="1232">
        <v>2013.08</v>
      </c>
      <c r="B29" s="2264">
        <v>6092.9650000000001</v>
      </c>
      <c r="C29" s="2267">
        <v>2810.962</v>
      </c>
      <c r="D29" s="2271">
        <v>444.12700000000001</v>
      </c>
      <c r="E29" s="2267">
        <v>428.68200000000002</v>
      </c>
      <c r="F29" s="2271">
        <v>1424.1679999999999</v>
      </c>
      <c r="G29" s="2277">
        <v>242.333</v>
      </c>
      <c r="H29" s="1254">
        <v>11443.237000000001</v>
      </c>
    </row>
    <row r="30" spans="1:8" ht="12.75">
      <c r="A30" s="1232">
        <v>2013.09</v>
      </c>
      <c r="B30" s="2264">
        <v>6085.84</v>
      </c>
      <c r="C30" s="2267">
        <v>2821.5410000000002</v>
      </c>
      <c r="D30" s="2271">
        <v>446.37700000000001</v>
      </c>
      <c r="E30" s="2267">
        <v>430.798</v>
      </c>
      <c r="F30" s="2271">
        <v>1437.7539999999999</v>
      </c>
      <c r="G30" s="2277">
        <v>274.12299999999999</v>
      </c>
      <c r="H30" s="1254">
        <v>11496.433000000001</v>
      </c>
    </row>
    <row r="31" spans="1:8" ht="12.75">
      <c r="A31" s="1232">
        <v>2013.1</v>
      </c>
      <c r="B31" s="2264">
        <v>6116.5730000000003</v>
      </c>
      <c r="C31" s="2267">
        <v>2846.241</v>
      </c>
      <c r="D31" s="2271">
        <v>448.476</v>
      </c>
      <c r="E31" s="2267">
        <v>429.72800000000001</v>
      </c>
      <c r="F31" s="2271">
        <v>1454.92</v>
      </c>
      <c r="G31" s="2277">
        <v>285.02100000000002</v>
      </c>
      <c r="H31" s="1254">
        <v>11580.959000000001</v>
      </c>
    </row>
    <row r="32" spans="1:8" ht="12.75">
      <c r="A32" s="1232">
        <v>2013.11</v>
      </c>
      <c r="B32" s="2264">
        <v>6141.6080000000002</v>
      </c>
      <c r="C32" s="2267">
        <v>2857.0230000000001</v>
      </c>
      <c r="D32" s="2271">
        <v>449.149</v>
      </c>
      <c r="E32" s="2267">
        <v>426.86</v>
      </c>
      <c r="F32" s="2271">
        <v>1461.0730000000001</v>
      </c>
      <c r="G32" s="2277">
        <v>289.86099999999999</v>
      </c>
      <c r="H32" s="1254">
        <v>11625.574000000002</v>
      </c>
    </row>
    <row r="33" spans="1:8" ht="12.75">
      <c r="A33" s="1232">
        <v>2013.12</v>
      </c>
      <c r="B33" s="2264">
        <v>6147.924</v>
      </c>
      <c r="C33" s="2267">
        <v>2888.375</v>
      </c>
      <c r="D33" s="2271">
        <v>449.12099999999998</v>
      </c>
      <c r="E33" s="2267">
        <v>422.97800000000001</v>
      </c>
      <c r="F33" s="2271">
        <v>1461.135</v>
      </c>
      <c r="G33" s="2277">
        <v>293.06900000000002</v>
      </c>
      <c r="H33" s="1254">
        <v>11662.601999999997</v>
      </c>
    </row>
    <row r="34" spans="1:8" ht="12.75">
      <c r="A34" s="1232">
        <v>2014.01</v>
      </c>
      <c r="B34" s="2264">
        <v>6153.7470000000003</v>
      </c>
      <c r="C34" s="2267">
        <v>2848.9630000000002</v>
      </c>
      <c r="D34" s="2271">
        <v>454.35199999999998</v>
      </c>
      <c r="E34" s="2267">
        <v>424.79500000000002</v>
      </c>
      <c r="F34" s="2271">
        <v>1462.6990000000001</v>
      </c>
      <c r="G34" s="2277">
        <v>294.18299999999999</v>
      </c>
      <c r="H34" s="1254">
        <v>11638.739000000001</v>
      </c>
    </row>
    <row r="35" spans="1:8" ht="12.75">
      <c r="A35" s="1232">
        <v>2014.02</v>
      </c>
      <c r="B35" s="2264">
        <v>6147.9549999999999</v>
      </c>
      <c r="C35" s="2267">
        <v>2846.69</v>
      </c>
      <c r="D35" s="2271">
        <v>455.20100000000002</v>
      </c>
      <c r="E35" s="2267">
        <v>421.82400000000001</v>
      </c>
      <c r="F35" s="2271">
        <v>1463.739</v>
      </c>
      <c r="G35" s="2277">
        <v>297.15300000000002</v>
      </c>
      <c r="H35" s="1254">
        <v>11632.562000000002</v>
      </c>
    </row>
    <row r="36" spans="1:8" ht="12.75">
      <c r="A36" s="1232">
        <v>2014.03</v>
      </c>
      <c r="B36" s="2264">
        <v>6127.0529999999999</v>
      </c>
      <c r="C36" s="2267">
        <v>2786.489</v>
      </c>
      <c r="D36" s="2271">
        <v>451.26100000000002</v>
      </c>
      <c r="E36" s="2267">
        <v>422.464</v>
      </c>
      <c r="F36" s="2271">
        <v>1462.85</v>
      </c>
      <c r="G36" s="2277">
        <v>300.505</v>
      </c>
      <c r="H36" s="1254">
        <v>11550.621999999999</v>
      </c>
    </row>
    <row r="37" spans="1:8" ht="12.75">
      <c r="A37" s="1232">
        <v>2014.04</v>
      </c>
      <c r="B37" s="2264">
        <v>6096.44</v>
      </c>
      <c r="C37" s="2267">
        <v>2852.6080000000002</v>
      </c>
      <c r="D37" s="2271">
        <v>452.702</v>
      </c>
      <c r="E37" s="2267">
        <v>422.42</v>
      </c>
      <c r="F37" s="2271">
        <v>1466.9670000000001</v>
      </c>
      <c r="G37" s="2277">
        <v>304.11500000000001</v>
      </c>
      <c r="H37" s="1254">
        <v>11595.251999999999</v>
      </c>
    </row>
    <row r="38" spans="1:8" ht="12.75">
      <c r="A38" s="1232">
        <v>2014.05</v>
      </c>
      <c r="B38" s="2264">
        <v>6076.7920000000004</v>
      </c>
      <c r="C38" s="2267">
        <v>2878.5880000000002</v>
      </c>
      <c r="D38" s="2271">
        <v>455.54</v>
      </c>
      <c r="E38" s="2267">
        <v>420.404</v>
      </c>
      <c r="F38" s="2271">
        <v>1473.127</v>
      </c>
      <c r="G38" s="2277">
        <v>306.66000000000003</v>
      </c>
      <c r="H38" s="1254">
        <v>11611.111000000003</v>
      </c>
    </row>
    <row r="39" spans="1:8" ht="12.75">
      <c r="A39" s="1232">
        <v>2014.06</v>
      </c>
      <c r="B39" s="2264">
        <v>6075.2129999999997</v>
      </c>
      <c r="C39" s="2267">
        <v>2909.7240000000002</v>
      </c>
      <c r="D39" s="2271">
        <v>460.072</v>
      </c>
      <c r="E39" s="2267">
        <v>416.33800000000002</v>
      </c>
      <c r="F39" s="2271">
        <v>1479.749</v>
      </c>
      <c r="G39" s="2277">
        <v>310.05700000000002</v>
      </c>
      <c r="H39" s="1254">
        <v>11651.153</v>
      </c>
    </row>
    <row r="40" spans="1:8" ht="12.75">
      <c r="A40" s="1232">
        <v>2014.07</v>
      </c>
      <c r="B40" s="2264">
        <v>6080.4949999999999</v>
      </c>
      <c r="C40" s="2267">
        <v>2901.1329999999998</v>
      </c>
      <c r="D40" s="2271">
        <v>462.91500000000002</v>
      </c>
      <c r="E40" s="2267">
        <v>415.26799999999997</v>
      </c>
      <c r="F40" s="2271">
        <v>1480.1310000000001</v>
      </c>
      <c r="G40" s="2277">
        <v>313.79000000000002</v>
      </c>
      <c r="H40" s="1254">
        <v>11653.732000000002</v>
      </c>
    </row>
    <row r="41" spans="1:8" ht="12.75">
      <c r="A41" s="1232">
        <v>2014.08</v>
      </c>
      <c r="B41" s="2264">
        <v>6076.87</v>
      </c>
      <c r="C41" s="2267">
        <v>2905.8589999999999</v>
      </c>
      <c r="D41" s="2271">
        <v>463.33</v>
      </c>
      <c r="E41" s="2267">
        <v>414.221</v>
      </c>
      <c r="F41" s="2271">
        <v>1480.8489999999999</v>
      </c>
      <c r="G41" s="2277">
        <v>315.99799999999999</v>
      </c>
      <c r="H41" s="1254">
        <v>11657.126999999999</v>
      </c>
    </row>
    <row r="42" spans="1:8" ht="12.75">
      <c r="A42" s="1232">
        <v>2014.09</v>
      </c>
      <c r="B42" s="2264">
        <v>6097.0360000000001</v>
      </c>
      <c r="C42" s="2267">
        <v>2928.337</v>
      </c>
      <c r="D42" s="2271">
        <v>462.95699999999999</v>
      </c>
      <c r="E42" s="2267">
        <v>412.42599999999999</v>
      </c>
      <c r="F42" s="2271">
        <v>1484.559</v>
      </c>
      <c r="G42" s="2277">
        <v>321.65100000000001</v>
      </c>
      <c r="H42" s="1254">
        <v>11706.965999999999</v>
      </c>
    </row>
    <row r="43" spans="1:8" ht="12.75">
      <c r="A43" s="1232">
        <v>2014.1</v>
      </c>
      <c r="B43" s="2264">
        <v>6128.9030000000002</v>
      </c>
      <c r="C43" s="2267">
        <v>2940.6680000000001</v>
      </c>
      <c r="D43" s="2271">
        <v>462.64800000000002</v>
      </c>
      <c r="E43" s="2267">
        <v>409.613</v>
      </c>
      <c r="F43" s="2271">
        <v>1484.5139999999999</v>
      </c>
      <c r="G43" s="2277">
        <v>329.10599999999999</v>
      </c>
      <c r="H43" s="1254">
        <v>11755.451999999997</v>
      </c>
    </row>
    <row r="44" spans="1:8" ht="12.75">
      <c r="A44" s="1232">
        <v>2014.11</v>
      </c>
      <c r="B44" s="2264">
        <v>6145.2460000000001</v>
      </c>
      <c r="C44" s="2267">
        <v>2963.7049999999999</v>
      </c>
      <c r="D44" s="2271">
        <v>459.57600000000002</v>
      </c>
      <c r="E44" s="2267">
        <v>407.57</v>
      </c>
      <c r="F44" s="2271">
        <v>1474.0060000000001</v>
      </c>
      <c r="G44" s="2277">
        <v>333.73</v>
      </c>
      <c r="H44" s="1254">
        <v>11783.833000000001</v>
      </c>
    </row>
    <row r="45" spans="1:8" ht="12.75">
      <c r="A45" s="1232">
        <v>2014.12</v>
      </c>
      <c r="B45" s="2264">
        <v>6169.0259999999998</v>
      </c>
      <c r="C45" s="2267">
        <v>2977.701</v>
      </c>
      <c r="D45" s="2271">
        <v>445.28500000000003</v>
      </c>
      <c r="E45" s="2267">
        <v>405.27499999999998</v>
      </c>
      <c r="F45" s="2271">
        <v>1452.972</v>
      </c>
      <c r="G45" s="2277">
        <v>337.971</v>
      </c>
      <c r="H45" s="1254">
        <v>11788.229999999998</v>
      </c>
    </row>
    <row r="46" spans="1:8" ht="12.75">
      <c r="A46" s="1232">
        <v>2015.01</v>
      </c>
      <c r="B46" s="2264">
        <v>6197.18</v>
      </c>
      <c r="C46" s="2267">
        <v>2948.386</v>
      </c>
      <c r="D46" s="2271">
        <v>439.98099999999999</v>
      </c>
      <c r="E46" s="2267">
        <v>408.25200000000001</v>
      </c>
      <c r="F46" s="2271">
        <v>1439.653</v>
      </c>
      <c r="G46" s="2277">
        <v>341.952</v>
      </c>
      <c r="H46" s="1254">
        <v>11775.404</v>
      </c>
    </row>
    <row r="47" spans="1:8" ht="12.75">
      <c r="A47" s="1232">
        <v>2015.02</v>
      </c>
      <c r="B47" s="2264">
        <v>6215.585</v>
      </c>
      <c r="C47" s="2267">
        <v>2946.0839999999998</v>
      </c>
      <c r="D47" s="2271">
        <v>439.40300000000002</v>
      </c>
      <c r="E47" s="2267">
        <v>413.12099999999998</v>
      </c>
      <c r="F47" s="2271">
        <v>1429.6379999999999</v>
      </c>
      <c r="G47" s="2277">
        <v>346.53500000000003</v>
      </c>
      <c r="H47" s="1254">
        <v>11790.365999999998</v>
      </c>
    </row>
    <row r="48" spans="1:8" ht="12.75">
      <c r="A48" s="1232">
        <v>2015.03</v>
      </c>
      <c r="B48" s="2264">
        <v>6228.7619999999997</v>
      </c>
      <c r="C48" s="2267">
        <v>2943.7370000000001</v>
      </c>
      <c r="D48" s="2271">
        <v>439.23599999999999</v>
      </c>
      <c r="E48" s="2267">
        <v>409.452</v>
      </c>
      <c r="F48" s="2271">
        <v>1432.931</v>
      </c>
      <c r="G48" s="2277">
        <v>348.214</v>
      </c>
      <c r="H48" s="1254">
        <v>11802.332</v>
      </c>
    </row>
    <row r="49" spans="1:8" ht="12.75">
      <c r="A49" s="1232">
        <v>2015.04</v>
      </c>
      <c r="B49" s="2264">
        <v>6224.3249999999998</v>
      </c>
      <c r="C49" s="2267">
        <v>2965.7710000000002</v>
      </c>
      <c r="D49" s="2271">
        <v>440.62900000000002</v>
      </c>
      <c r="E49" s="2267">
        <v>410.24599999999998</v>
      </c>
      <c r="F49" s="2271">
        <v>1433.3789999999999</v>
      </c>
      <c r="G49" s="2277">
        <v>349.428</v>
      </c>
      <c r="H49" s="1254">
        <v>11823.777999999998</v>
      </c>
    </row>
    <row r="50" spans="1:8" ht="12.75">
      <c r="A50" s="1232">
        <v>2015.05</v>
      </c>
      <c r="B50" s="2264">
        <v>6197.6549999999997</v>
      </c>
      <c r="C50" s="2267">
        <v>2997.54</v>
      </c>
      <c r="D50" s="2271">
        <v>440.95100000000002</v>
      </c>
      <c r="E50" s="2267">
        <v>410.74700000000001</v>
      </c>
      <c r="F50" s="2271">
        <v>1439.336</v>
      </c>
      <c r="G50" s="2277">
        <v>351.245</v>
      </c>
      <c r="H50" s="1254">
        <v>11837.474</v>
      </c>
    </row>
    <row r="51" spans="1:8" ht="12.75">
      <c r="A51" s="1232">
        <v>2015.06</v>
      </c>
      <c r="B51" s="2264">
        <v>6216.0479999999998</v>
      </c>
      <c r="C51" s="2267">
        <v>3032.8310000000001</v>
      </c>
      <c r="D51" s="2271">
        <v>441.95699999999999</v>
      </c>
      <c r="E51" s="2267">
        <v>410.65699999999998</v>
      </c>
      <c r="F51" s="2271">
        <v>1451.923</v>
      </c>
      <c r="G51" s="2277">
        <v>354.31700000000001</v>
      </c>
      <c r="H51" s="1254">
        <v>11907.733</v>
      </c>
    </row>
    <row r="52" spans="1:8" ht="12.75">
      <c r="A52" s="1232">
        <v>2015.07</v>
      </c>
      <c r="B52" s="2264">
        <v>6223.4070000000002</v>
      </c>
      <c r="C52" s="2267">
        <v>3056.8139999999999</v>
      </c>
      <c r="D52" s="2271">
        <v>444.01499999999999</v>
      </c>
      <c r="E52" s="2267">
        <v>411.029</v>
      </c>
      <c r="F52" s="2271">
        <v>1454.479</v>
      </c>
      <c r="G52" s="2277">
        <v>354.94</v>
      </c>
      <c r="H52" s="1254">
        <v>11944.683999999999</v>
      </c>
    </row>
    <row r="53" spans="1:8" ht="12.75">
      <c r="A53" s="1232">
        <v>2015.08</v>
      </c>
      <c r="B53" s="2264">
        <v>6234.44</v>
      </c>
      <c r="C53" s="2267">
        <v>3066.395</v>
      </c>
      <c r="D53" s="2271">
        <v>445.46600000000001</v>
      </c>
      <c r="E53" s="2267">
        <v>410.42700000000002</v>
      </c>
      <c r="F53" s="2271">
        <v>1455.4870000000001</v>
      </c>
      <c r="G53" s="2277">
        <v>355.18700000000001</v>
      </c>
      <c r="H53" s="1254">
        <v>11967.402</v>
      </c>
    </row>
    <row r="54" spans="1:8" ht="12.75">
      <c r="A54" s="1232">
        <v>2015.09</v>
      </c>
      <c r="B54" s="2264">
        <v>6237.5590000000002</v>
      </c>
      <c r="C54" s="2267">
        <v>3073.5790000000002</v>
      </c>
      <c r="D54" s="2271">
        <v>445.79199999999997</v>
      </c>
      <c r="E54" s="2267">
        <v>411.77600000000001</v>
      </c>
      <c r="F54" s="2271">
        <v>1457.8140000000001</v>
      </c>
      <c r="G54" s="2277">
        <v>355.755</v>
      </c>
      <c r="H54" s="1254">
        <v>11982.275</v>
      </c>
    </row>
    <row r="55" spans="1:8" ht="12.75">
      <c r="A55" s="1232">
        <v>2015.1</v>
      </c>
      <c r="B55" s="2264">
        <v>6262.8329999999996</v>
      </c>
      <c r="C55" s="2267">
        <v>3096.694</v>
      </c>
      <c r="D55" s="2271">
        <v>445.57400000000001</v>
      </c>
      <c r="E55" s="2267">
        <v>410.75200000000001</v>
      </c>
      <c r="F55" s="2271">
        <v>1455.2529999999999</v>
      </c>
      <c r="G55" s="2277">
        <v>355.13</v>
      </c>
      <c r="H55" s="1254">
        <v>12026.236000000001</v>
      </c>
    </row>
    <row r="56" spans="1:8" ht="12.75">
      <c r="A56" s="1232">
        <v>2015.11</v>
      </c>
      <c r="B56" s="2264">
        <v>6266.76</v>
      </c>
      <c r="C56" s="2267">
        <v>3113.4380000000001</v>
      </c>
      <c r="D56" s="2271">
        <v>444.72699999999998</v>
      </c>
      <c r="E56" s="2267">
        <v>409.19099999999997</v>
      </c>
      <c r="F56" s="2271">
        <v>1453.259</v>
      </c>
      <c r="G56" s="2277">
        <v>354.64299999999997</v>
      </c>
      <c r="H56" s="1254">
        <v>12042.018000000002</v>
      </c>
    </row>
    <row r="57" spans="1:8" ht="12.75">
      <c r="A57" s="1232">
        <v>2015.12</v>
      </c>
      <c r="B57" s="2264">
        <v>6246.5259999999998</v>
      </c>
      <c r="C57" s="2267">
        <v>3124.6990000000001</v>
      </c>
      <c r="D57" s="2271">
        <v>442.71</v>
      </c>
      <c r="E57" s="2267">
        <v>405.76600000000002</v>
      </c>
      <c r="F57" s="2271">
        <v>1446.308</v>
      </c>
      <c r="G57" s="2277">
        <v>352.947</v>
      </c>
      <c r="H57" s="1254">
        <v>12018.955999999998</v>
      </c>
    </row>
    <row r="58" spans="1:8" ht="12.75">
      <c r="A58" s="1232">
        <v>2016.01</v>
      </c>
      <c r="B58" s="2264">
        <v>6237.1760000000004</v>
      </c>
      <c r="C58" s="2267">
        <v>3073.2910000000002</v>
      </c>
      <c r="D58" s="2271">
        <v>444.56400000000002</v>
      </c>
      <c r="E58" s="2267">
        <v>408.85199999999998</v>
      </c>
      <c r="F58" s="2271">
        <v>1443.829</v>
      </c>
      <c r="G58" s="2277">
        <v>355.03</v>
      </c>
      <c r="H58" s="1254">
        <v>11962.742000000002</v>
      </c>
    </row>
    <row r="59" spans="1:8" ht="12.75">
      <c r="A59" s="1232">
        <v>2016.02</v>
      </c>
      <c r="B59" s="2264">
        <v>6247.5309999999999</v>
      </c>
      <c r="C59" s="2267">
        <v>3066.2269999999999</v>
      </c>
      <c r="D59" s="2271">
        <v>444.51100000000002</v>
      </c>
      <c r="E59" s="2267">
        <v>408.60899999999998</v>
      </c>
      <c r="F59" s="2271">
        <v>1440.19</v>
      </c>
      <c r="G59" s="2277">
        <v>355.70600000000002</v>
      </c>
      <c r="H59" s="1254">
        <v>11962.774000000001</v>
      </c>
    </row>
    <row r="60" spans="1:8" ht="12.75">
      <c r="A60" s="1232">
        <v>2016.03</v>
      </c>
      <c r="B60" s="2264">
        <v>6241.277</v>
      </c>
      <c r="C60" s="2267">
        <v>3067.7950000000001</v>
      </c>
      <c r="D60" s="2271">
        <v>445.76400000000001</v>
      </c>
      <c r="E60" s="2267">
        <v>406.98700000000002</v>
      </c>
      <c r="F60" s="2271">
        <v>1441.6389999999999</v>
      </c>
      <c r="G60" s="2277">
        <v>356.96699999999998</v>
      </c>
      <c r="H60" s="1254">
        <v>11960.428999999998</v>
      </c>
    </row>
    <row r="61" spans="1:8" ht="12.75">
      <c r="A61" s="1232">
        <v>2016.04</v>
      </c>
      <c r="B61" s="2264">
        <v>6188.5429999999997</v>
      </c>
      <c r="C61" s="2267">
        <v>3079.6129999999998</v>
      </c>
      <c r="D61" s="2271">
        <v>450.17099999999999</v>
      </c>
      <c r="E61" s="2267">
        <v>407.48399999999998</v>
      </c>
      <c r="F61" s="2271">
        <v>1448.0360000000001</v>
      </c>
      <c r="G61" s="2277">
        <v>357.67099999999999</v>
      </c>
      <c r="H61" s="1254">
        <v>11931.518</v>
      </c>
    </row>
    <row r="62" spans="1:8" ht="12.75">
      <c r="A62" s="1232">
        <v>2016.05</v>
      </c>
      <c r="B62" s="2264">
        <v>6152.616</v>
      </c>
      <c r="C62" s="2267">
        <v>3096.8130000000001</v>
      </c>
      <c r="D62" s="2271">
        <v>452.16199999999998</v>
      </c>
      <c r="E62" s="2267">
        <v>415.61700000000002</v>
      </c>
      <c r="F62" s="2271">
        <v>1455.6859999999999</v>
      </c>
      <c r="G62" s="2277">
        <v>357.57900000000001</v>
      </c>
      <c r="H62" s="1254">
        <v>11930.473</v>
      </c>
    </row>
    <row r="63" spans="1:8" ht="12.75">
      <c r="A63" s="1232">
        <v>2016.06</v>
      </c>
      <c r="B63" s="2264">
        <v>6136.4740000000002</v>
      </c>
      <c r="C63" s="2267">
        <v>3126.2249999999999</v>
      </c>
      <c r="D63" s="2271">
        <v>454.16300000000001</v>
      </c>
      <c r="E63" s="2267">
        <v>417.85500000000002</v>
      </c>
      <c r="F63" s="2271">
        <v>1472.3879999999999</v>
      </c>
      <c r="G63" s="2277">
        <v>358.72199999999998</v>
      </c>
      <c r="H63" s="1254">
        <v>11965.826999999999</v>
      </c>
    </row>
    <row r="64" spans="1:8" ht="12.75">
      <c r="A64" s="1232">
        <v>2016.07</v>
      </c>
      <c r="B64" s="2264">
        <v>6135.3450000000003</v>
      </c>
      <c r="C64" s="2267">
        <v>3114.366</v>
      </c>
      <c r="D64" s="2271">
        <v>456.11099999999999</v>
      </c>
      <c r="E64" s="2267">
        <v>417.16500000000002</v>
      </c>
      <c r="F64" s="2271">
        <v>1474.76</v>
      </c>
      <c r="G64" s="2277">
        <v>360.71300000000002</v>
      </c>
      <c r="H64" s="1254">
        <v>11958.460000000001</v>
      </c>
    </row>
    <row r="65" spans="1:8" ht="12.75">
      <c r="A65" s="1232">
        <v>2016.08</v>
      </c>
      <c r="B65" s="2264">
        <v>6146.2839999999997</v>
      </c>
      <c r="C65" s="2267">
        <v>3116.8760000000002</v>
      </c>
      <c r="D65" s="2271">
        <v>457.39299999999997</v>
      </c>
      <c r="E65" s="2267">
        <v>416.84699999999998</v>
      </c>
      <c r="F65" s="2271">
        <v>1478.183</v>
      </c>
      <c r="G65" s="2277">
        <v>363.279</v>
      </c>
      <c r="H65" s="1254">
        <v>11978.861999999999</v>
      </c>
    </row>
    <row r="66" spans="1:8" ht="12.75">
      <c r="A66" s="1232">
        <v>2016.09</v>
      </c>
      <c r="B66" s="2264">
        <v>6151.241</v>
      </c>
      <c r="C66" s="2267">
        <v>3121.7849999999999</v>
      </c>
      <c r="D66" s="2271">
        <v>457.77199999999999</v>
      </c>
      <c r="E66" s="2267">
        <v>417.08199999999999</v>
      </c>
      <c r="F66" s="2271">
        <v>1484.971</v>
      </c>
      <c r="G66" s="2277">
        <v>367.53800000000001</v>
      </c>
      <c r="H66" s="1254">
        <v>12000.389000000001</v>
      </c>
    </row>
    <row r="67" spans="1:8" ht="12.75">
      <c r="A67" s="1232">
        <v>2016.1</v>
      </c>
      <c r="B67" s="2264">
        <v>6175.3969999999999</v>
      </c>
      <c r="C67" s="2267">
        <v>3126.1880000000001</v>
      </c>
      <c r="D67" s="2271">
        <v>457.40199999999999</v>
      </c>
      <c r="E67" s="2267">
        <v>416.48500000000001</v>
      </c>
      <c r="F67" s="2271">
        <v>1489.758</v>
      </c>
      <c r="G67" s="2277">
        <v>376.06400000000002</v>
      </c>
      <c r="H67" s="1254">
        <v>12041.294</v>
      </c>
    </row>
    <row r="68" spans="1:8" ht="12.75">
      <c r="A68" s="1232">
        <v>2016.11</v>
      </c>
      <c r="B68" s="2264">
        <v>6200.06</v>
      </c>
      <c r="C68" s="2267">
        <v>3136.944</v>
      </c>
      <c r="D68" s="2271">
        <v>457.12599999999998</v>
      </c>
      <c r="E68" s="2267">
        <v>414.99400000000003</v>
      </c>
      <c r="F68" s="2271">
        <v>1490.9110000000001</v>
      </c>
      <c r="G68" s="2277">
        <v>382.45499999999998</v>
      </c>
      <c r="H68" s="1254">
        <v>12082.490000000002</v>
      </c>
    </row>
    <row r="69" spans="1:8" ht="12.75">
      <c r="A69" s="1232">
        <v>2016.12</v>
      </c>
      <c r="B69" s="2264">
        <v>6206.518</v>
      </c>
      <c r="C69" s="2267">
        <v>3156.944</v>
      </c>
      <c r="D69" s="2271">
        <v>456.55500000000001</v>
      </c>
      <c r="E69" s="2267">
        <v>411.625</v>
      </c>
      <c r="F69" s="2271">
        <v>1490.71</v>
      </c>
      <c r="G69" s="2277">
        <v>381.97699999999998</v>
      </c>
      <c r="H69" s="1254">
        <v>12104.329</v>
      </c>
    </row>
    <row r="70" spans="1:8" ht="12.75">
      <c r="A70" s="1232">
        <v>2017.01</v>
      </c>
      <c r="B70" s="2264">
        <v>6224.4269999999997</v>
      </c>
      <c r="C70" s="2267">
        <v>3114.3879999999999</v>
      </c>
      <c r="D70" s="2271">
        <v>459.78500000000003</v>
      </c>
      <c r="E70" s="2267">
        <v>410.17599999999999</v>
      </c>
      <c r="F70" s="2271">
        <v>1507.9490000000001</v>
      </c>
      <c r="G70" s="2277">
        <v>380.58199999999999</v>
      </c>
      <c r="H70" s="1254">
        <v>12097.306999999999</v>
      </c>
    </row>
    <row r="71" spans="1:8" ht="12.75">
      <c r="A71" s="1232">
        <v>2017.02</v>
      </c>
      <c r="B71" s="2264">
        <v>6226.59</v>
      </c>
      <c r="C71" s="2267">
        <v>3098.8820000000001</v>
      </c>
      <c r="D71" s="2271">
        <v>460.70400000000001</v>
      </c>
      <c r="E71" s="2267">
        <v>406.541</v>
      </c>
      <c r="F71" s="2271">
        <v>1522.655</v>
      </c>
      <c r="G71" s="2277">
        <v>380.45600000000002</v>
      </c>
      <c r="H71" s="1254">
        <v>12095.828</v>
      </c>
    </row>
    <row r="72" spans="1:8" ht="12.75">
      <c r="A72" s="1232">
        <v>2017.03</v>
      </c>
      <c r="B72" s="2264">
        <v>6248.45</v>
      </c>
      <c r="C72" s="2267">
        <v>3091.0189999999998</v>
      </c>
      <c r="D72" s="2271">
        <v>460.08</v>
      </c>
      <c r="E72" s="2267">
        <v>400.43900000000002</v>
      </c>
      <c r="F72" s="2271">
        <v>1519.37</v>
      </c>
      <c r="G72" s="2277">
        <v>387.697</v>
      </c>
      <c r="H72" s="1254">
        <v>12107.055</v>
      </c>
    </row>
    <row r="73" spans="1:8" ht="12.75">
      <c r="A73" s="1232">
        <v>2017.04</v>
      </c>
      <c r="B73" s="2264">
        <v>6190.308</v>
      </c>
      <c r="C73" s="2267">
        <v>3108.9969999999998</v>
      </c>
      <c r="D73" s="2271">
        <v>462.803</v>
      </c>
      <c r="E73" s="2267">
        <v>396.75799999999998</v>
      </c>
      <c r="F73" s="2271">
        <v>1520.0050000000001</v>
      </c>
      <c r="G73" s="2277">
        <v>388.41399999999999</v>
      </c>
      <c r="H73" s="1254">
        <v>12067.285</v>
      </c>
    </row>
    <row r="74" spans="1:8" ht="12.75">
      <c r="A74" s="1232">
        <v>2017.05</v>
      </c>
      <c r="B74" s="2264">
        <v>6188.84</v>
      </c>
      <c r="C74" s="2267">
        <v>3134.373</v>
      </c>
      <c r="D74" s="2271">
        <v>465.28300000000002</v>
      </c>
      <c r="E74" s="2267">
        <v>397.65</v>
      </c>
      <c r="F74" s="2271">
        <v>1533.33</v>
      </c>
      <c r="G74" s="2277">
        <v>387.81299999999999</v>
      </c>
      <c r="H74" s="1254">
        <v>12107.288999999999</v>
      </c>
    </row>
    <row r="75" spans="1:8" ht="12.75">
      <c r="A75" s="1232">
        <v>2017.06</v>
      </c>
      <c r="B75" s="2264">
        <v>6193.17</v>
      </c>
      <c r="C75" s="2267">
        <v>3157.87</v>
      </c>
      <c r="D75" s="2271">
        <v>465.61</v>
      </c>
      <c r="E75" s="2267">
        <v>398.267</v>
      </c>
      <c r="F75" s="2271">
        <v>1540.106</v>
      </c>
      <c r="G75" s="2277">
        <v>393.75799999999998</v>
      </c>
      <c r="H75" s="1254">
        <v>12148.781000000001</v>
      </c>
    </row>
    <row r="76" spans="1:8" ht="12.75">
      <c r="A76" s="1232">
        <v>2017.07</v>
      </c>
      <c r="B76" s="2264">
        <v>6202.0140000000001</v>
      </c>
      <c r="C76" s="2267">
        <v>3149.145</v>
      </c>
      <c r="D76" s="2271">
        <v>468.56900000000002</v>
      </c>
      <c r="E76" s="2267">
        <v>399.178</v>
      </c>
      <c r="F76" s="2271">
        <v>1550.8050000000001</v>
      </c>
      <c r="G76" s="2277">
        <v>399.97899999999998</v>
      </c>
      <c r="H76" s="1254">
        <v>12169.689999999999</v>
      </c>
    </row>
    <row r="77" spans="1:8" ht="12.75">
      <c r="A77" s="1232">
        <v>2017.08</v>
      </c>
      <c r="B77" s="2264">
        <v>6212.0410000000002</v>
      </c>
      <c r="C77" s="2267">
        <v>3153.2020000000002</v>
      </c>
      <c r="D77" s="2271">
        <v>469.822</v>
      </c>
      <c r="E77" s="2267">
        <v>399.85399999999998</v>
      </c>
      <c r="F77" s="2271">
        <v>1570.5709999999999</v>
      </c>
      <c r="G77" s="2277">
        <v>399.66399999999999</v>
      </c>
      <c r="H77" s="1254">
        <v>12205.154</v>
      </c>
    </row>
    <row r="78" spans="1:8" ht="12.75">
      <c r="A78" s="1232">
        <v>2017.09</v>
      </c>
      <c r="B78" s="2264">
        <v>6221.4840000000004</v>
      </c>
      <c r="C78" s="2267">
        <v>3165.6819999999998</v>
      </c>
      <c r="D78" s="2271">
        <v>471.67099999999999</v>
      </c>
      <c r="E78" s="2267">
        <v>401.36900000000003</v>
      </c>
      <c r="F78" s="2271">
        <v>1582.271</v>
      </c>
      <c r="G78" s="2277">
        <v>409.83600000000001</v>
      </c>
      <c r="H78" s="1254">
        <v>12252.313000000002</v>
      </c>
    </row>
    <row r="79" spans="1:8" ht="12.75">
      <c r="A79" s="1232">
        <v>2017.1</v>
      </c>
      <c r="B79" s="2264">
        <v>6255.2640000000001</v>
      </c>
      <c r="C79" s="2267">
        <v>3169.4859999999999</v>
      </c>
      <c r="D79" s="2271">
        <v>472.92599999999999</v>
      </c>
      <c r="E79" s="2267">
        <v>404.541</v>
      </c>
      <c r="F79" s="2271">
        <v>1599.3340000000001</v>
      </c>
      <c r="G79" s="2277">
        <v>408.57</v>
      </c>
      <c r="H79" s="1254">
        <v>12310.120999999999</v>
      </c>
    </row>
    <row r="80" spans="1:8" ht="12.75">
      <c r="A80" s="1232">
        <v>2017.11</v>
      </c>
      <c r="B80" s="2264">
        <v>6282.1840000000002</v>
      </c>
      <c r="C80" s="2267">
        <v>3179.0259999999998</v>
      </c>
      <c r="D80" s="2271">
        <v>473.09300000000002</v>
      </c>
      <c r="E80" s="2267">
        <v>404.53500000000003</v>
      </c>
      <c r="F80" s="2271">
        <v>1598.816</v>
      </c>
      <c r="G80" s="2277">
        <v>412.51799999999997</v>
      </c>
      <c r="H80" s="1254">
        <v>12350.172</v>
      </c>
    </row>
    <row r="81" spans="1:8" ht="12.75">
      <c r="A81" s="1232">
        <v>2017.12</v>
      </c>
      <c r="B81" s="2264">
        <v>6296.8639999999996</v>
      </c>
      <c r="C81" s="2267">
        <v>3201.1750000000002</v>
      </c>
      <c r="D81" s="2271">
        <v>472.43700000000001</v>
      </c>
      <c r="E81" s="2267">
        <v>403.62200000000001</v>
      </c>
      <c r="F81" s="2271">
        <v>1593.8969999999999</v>
      </c>
      <c r="G81" s="2277">
        <v>419.267</v>
      </c>
      <c r="H81" s="1254">
        <v>12387.261999999999</v>
      </c>
    </row>
    <row r="82" spans="1:8" ht="12.75">
      <c r="A82" s="1232">
        <v>2018.01</v>
      </c>
      <c r="B82" s="2264">
        <v>6309.3339999999998</v>
      </c>
      <c r="C82" s="2267">
        <v>3168.4490000000001</v>
      </c>
      <c r="D82" s="2271">
        <v>477.17599999999999</v>
      </c>
      <c r="E82" s="2267">
        <v>405.28699999999998</v>
      </c>
      <c r="F82" s="2271">
        <v>1595.67</v>
      </c>
      <c r="G82" s="2277">
        <v>418.95</v>
      </c>
      <c r="H82" s="1254">
        <v>12374.866</v>
      </c>
    </row>
    <row r="83" spans="1:8" ht="12.75">
      <c r="A83" s="1232">
        <v>2018.02</v>
      </c>
      <c r="B83" s="2264">
        <v>6308.0649999999996</v>
      </c>
      <c r="C83" s="2267">
        <v>3135.3510000000001</v>
      </c>
      <c r="D83" s="2271">
        <v>478.64600000000002</v>
      </c>
      <c r="E83" s="2267">
        <v>404.42700000000002</v>
      </c>
      <c r="F83" s="2271">
        <v>1594.605</v>
      </c>
      <c r="G83" s="2277">
        <v>423.45</v>
      </c>
      <c r="H83" s="1254">
        <v>12344.544</v>
      </c>
    </row>
    <row r="84" spans="1:8" ht="12.75">
      <c r="A84" s="1232">
        <v>2018.03</v>
      </c>
      <c r="B84" s="2264">
        <v>6322.5879999999997</v>
      </c>
      <c r="C84" s="2267">
        <v>3128.163</v>
      </c>
      <c r="D84" s="2271">
        <v>479.65300000000002</v>
      </c>
      <c r="E84" s="2267">
        <v>400.27699999999999</v>
      </c>
      <c r="F84" s="2271">
        <v>1593.8030000000001</v>
      </c>
      <c r="G84" s="2277">
        <v>422.92200000000003</v>
      </c>
      <c r="H84" s="1254">
        <v>12347.406000000001</v>
      </c>
    </row>
    <row r="85" spans="1:8" ht="12.75">
      <c r="A85" s="1232">
        <v>2018.04</v>
      </c>
      <c r="B85" s="2264">
        <v>6279.701</v>
      </c>
      <c r="C85" s="2267">
        <v>3143.5680000000002</v>
      </c>
      <c r="D85" s="2271">
        <v>481.16199999999998</v>
      </c>
      <c r="E85" s="2267">
        <v>400.21899999999999</v>
      </c>
      <c r="F85" s="2271">
        <v>1596.03</v>
      </c>
      <c r="G85" s="2277">
        <v>417.185</v>
      </c>
      <c r="H85" s="1254">
        <v>12317.865</v>
      </c>
    </row>
    <row r="86" spans="1:8" ht="12.75">
      <c r="A86" s="1232">
        <v>2018.05</v>
      </c>
      <c r="B86" s="2264">
        <v>6251.076</v>
      </c>
      <c r="C86" s="2267">
        <v>3154.1190000000001</v>
      </c>
      <c r="D86" s="2271">
        <v>481.18900000000002</v>
      </c>
      <c r="E86" s="2267">
        <v>399.76400000000001</v>
      </c>
      <c r="F86" s="2271">
        <v>1600.8040000000001</v>
      </c>
      <c r="G86" s="2277">
        <v>414.33300000000003</v>
      </c>
      <c r="H86" s="1254">
        <v>12301.285</v>
      </c>
    </row>
    <row r="87" spans="1:8" ht="12.75">
      <c r="A87" s="1232">
        <v>2018.06</v>
      </c>
      <c r="B87" s="2264">
        <v>6216.7039999999997</v>
      </c>
      <c r="C87" s="2267">
        <v>3171.9850000000001</v>
      </c>
      <c r="D87" s="2271">
        <v>482.63499999999999</v>
      </c>
      <c r="E87" s="2267">
        <v>401.70100000000002</v>
      </c>
      <c r="F87" s="2271">
        <v>1606.9639999999999</v>
      </c>
      <c r="G87" s="2277">
        <v>404.96800000000002</v>
      </c>
      <c r="H87" s="1254">
        <v>12284.957000000002</v>
      </c>
    </row>
    <row r="88" spans="1:8" ht="12.75">
      <c r="A88" s="1232">
        <v>2018.07</v>
      </c>
      <c r="B88" s="2264">
        <v>6215.1059999999998</v>
      </c>
      <c r="C88" s="2267">
        <v>3159.0619999999999</v>
      </c>
      <c r="D88" s="2271">
        <v>487.53199999999998</v>
      </c>
      <c r="E88" s="2267">
        <v>401.92200000000003</v>
      </c>
      <c r="F88" s="2271">
        <v>1606.3530000000001</v>
      </c>
      <c r="G88" s="2277">
        <v>343.524</v>
      </c>
      <c r="H88" s="1254">
        <v>12213.498999999998</v>
      </c>
    </row>
    <row r="89" spans="1:8" ht="12.75">
      <c r="A89" s="1232">
        <v>2018.08</v>
      </c>
      <c r="B89" s="2264">
        <v>6212.924</v>
      </c>
      <c r="C89" s="2267">
        <v>3170.3040000000001</v>
      </c>
      <c r="D89" s="2271">
        <v>490.78399999999999</v>
      </c>
      <c r="E89" s="2267">
        <v>401.90300000000002</v>
      </c>
      <c r="F89" s="2271">
        <v>1609.538</v>
      </c>
      <c r="G89" s="2277">
        <v>346.56900000000002</v>
      </c>
      <c r="H89" s="1254">
        <v>12232.021999999999</v>
      </c>
    </row>
    <row r="90" spans="1:8" ht="12.75">
      <c r="A90" s="1232">
        <v>2018.09</v>
      </c>
      <c r="B90" s="2264">
        <v>6181.2430000000004</v>
      </c>
      <c r="C90" s="2267">
        <v>3164.9459999999999</v>
      </c>
      <c r="D90" s="2271">
        <v>492.86799999999999</v>
      </c>
      <c r="E90" s="2267">
        <v>403.24900000000002</v>
      </c>
      <c r="F90" s="2271">
        <v>1615.7249999999999</v>
      </c>
      <c r="G90" s="2277">
        <v>345.80500000000001</v>
      </c>
      <c r="H90" s="1254">
        <v>12203.836000000001</v>
      </c>
    </row>
    <row r="91" spans="1:8" ht="12.75">
      <c r="A91" s="1232">
        <v>2018.1</v>
      </c>
      <c r="B91" s="2264">
        <v>6194.5919999999996</v>
      </c>
      <c r="C91" s="2267">
        <v>3174.11</v>
      </c>
      <c r="D91" s="2271">
        <v>490.98700000000002</v>
      </c>
      <c r="E91" s="2267">
        <v>401.685</v>
      </c>
      <c r="F91" s="2271">
        <v>1577.672</v>
      </c>
      <c r="G91" s="2277">
        <v>349.41399999999999</v>
      </c>
      <c r="H91" s="1254">
        <v>12188.46</v>
      </c>
    </row>
    <row r="92" spans="1:8" ht="12.75">
      <c r="A92" s="1232">
        <v>2018.11</v>
      </c>
      <c r="B92" s="2264">
        <v>6182.7669999999998</v>
      </c>
      <c r="C92" s="2267">
        <v>3176.5549999999998</v>
      </c>
      <c r="D92" s="2271">
        <v>490.36399999999998</v>
      </c>
      <c r="E92" s="2267">
        <v>401.53800000000001</v>
      </c>
      <c r="F92" s="2271">
        <v>1573.171</v>
      </c>
      <c r="G92" s="2277">
        <v>353.59899999999999</v>
      </c>
      <c r="H92" s="1254">
        <v>12177.994000000001</v>
      </c>
    </row>
    <row r="93" spans="1:8" ht="12.75">
      <c r="A93" s="1232">
        <v>2018.12</v>
      </c>
      <c r="B93" s="2264">
        <v>6167.38</v>
      </c>
      <c r="C93" s="2267">
        <v>3195.377</v>
      </c>
      <c r="D93" s="2271">
        <v>488.64499999999998</v>
      </c>
      <c r="E93" s="2267">
        <v>399.84699999999998</v>
      </c>
      <c r="F93" s="2271">
        <v>1566.903</v>
      </c>
      <c r="G93" s="2277">
        <v>361.00400000000002</v>
      </c>
      <c r="H93" s="1254">
        <v>12179.156000000001</v>
      </c>
    </row>
    <row r="94" spans="1:8" ht="12.75">
      <c r="A94" s="1232">
        <v>2019.01</v>
      </c>
      <c r="B94" s="2264">
        <v>6179.2309999999998</v>
      </c>
      <c r="C94" s="2267">
        <v>3155.8380000000002</v>
      </c>
      <c r="D94" s="2271">
        <v>492.51900000000001</v>
      </c>
      <c r="E94" s="2267">
        <v>403.54700000000003</v>
      </c>
      <c r="F94" s="2271">
        <v>1582.2639999999999</v>
      </c>
      <c r="G94" s="2277">
        <v>352.12900000000002</v>
      </c>
      <c r="H94" s="1254">
        <v>12165.528</v>
      </c>
    </row>
    <row r="95" spans="1:8" ht="12.75">
      <c r="A95" s="1232">
        <v>2019.02</v>
      </c>
      <c r="B95" s="2264">
        <v>6187.63</v>
      </c>
      <c r="C95" s="2267">
        <v>3145.172</v>
      </c>
      <c r="D95" s="2271">
        <v>493.28300000000002</v>
      </c>
      <c r="E95" s="2267">
        <v>401.87200000000001</v>
      </c>
      <c r="F95" s="2271">
        <v>1596.1279999999999</v>
      </c>
      <c r="G95" s="2277">
        <v>344.529</v>
      </c>
      <c r="H95" s="1254">
        <v>12168.614</v>
      </c>
    </row>
    <row r="96" spans="1:8" ht="12.75">
      <c r="A96" s="1232">
        <v>2019.03</v>
      </c>
      <c r="B96" s="2264">
        <v>6177.3109999999997</v>
      </c>
      <c r="C96" s="2267">
        <v>3136.2159999999999</v>
      </c>
      <c r="D96" s="2271">
        <v>493.42599999999999</v>
      </c>
      <c r="E96" s="2267">
        <v>396.69299999999998</v>
      </c>
      <c r="F96" s="2271">
        <v>1576.5909999999999</v>
      </c>
      <c r="G96" s="2277">
        <v>358.24799999999999</v>
      </c>
      <c r="H96" s="1254">
        <v>12138.484999999999</v>
      </c>
    </row>
    <row r="97" spans="1:8" ht="12.75">
      <c r="A97" s="1232">
        <v>2019.04</v>
      </c>
      <c r="B97" s="2264">
        <v>6126.4539999999997</v>
      </c>
      <c r="C97" s="2267">
        <v>3164.348</v>
      </c>
      <c r="D97" s="2271">
        <v>495.81200000000001</v>
      </c>
      <c r="E97" s="2267">
        <v>395.23</v>
      </c>
      <c r="F97" s="2271">
        <v>1578.335</v>
      </c>
      <c r="G97" s="2277">
        <v>358.48</v>
      </c>
      <c r="H97" s="1254">
        <v>12118.659</v>
      </c>
    </row>
    <row r="98" spans="1:8" ht="12.75">
      <c r="A98" s="1232">
        <v>2019.05</v>
      </c>
      <c r="B98" s="2264">
        <v>6097.027</v>
      </c>
      <c r="C98" s="2267">
        <v>3180.134</v>
      </c>
      <c r="D98" s="2271">
        <v>497.17500000000001</v>
      </c>
      <c r="E98" s="2267">
        <v>394.59100000000001</v>
      </c>
      <c r="F98" s="2271">
        <v>1585.0640000000001</v>
      </c>
      <c r="G98" s="2277">
        <v>355.11200000000002</v>
      </c>
      <c r="H98" s="1254">
        <v>12109.102999999999</v>
      </c>
    </row>
    <row r="99" spans="1:8" ht="12.75">
      <c r="A99" s="1232">
        <v>2019.06</v>
      </c>
      <c r="B99" s="2264">
        <v>6070.2629999999999</v>
      </c>
      <c r="C99" s="2267">
        <v>3199.9960000000001</v>
      </c>
      <c r="D99" s="2271">
        <v>496.721</v>
      </c>
      <c r="E99" s="2267">
        <v>394.89600000000002</v>
      </c>
      <c r="F99" s="2271">
        <v>1582.443</v>
      </c>
      <c r="G99" s="2277">
        <v>356.62599999999998</v>
      </c>
      <c r="H99" s="1254">
        <v>12100.945</v>
      </c>
    </row>
    <row r="100" spans="1:8" ht="12.75">
      <c r="A100" s="1232">
        <v>2019.07</v>
      </c>
      <c r="B100" s="2264">
        <v>6079.692</v>
      </c>
      <c r="C100" s="2267">
        <v>3189.0729999999999</v>
      </c>
      <c r="D100" s="2271">
        <v>498.40300000000002</v>
      </c>
      <c r="E100" s="2267">
        <v>396.46499999999997</v>
      </c>
      <c r="F100" s="2271">
        <v>1595.982</v>
      </c>
      <c r="G100" s="2277">
        <v>350.89600000000002</v>
      </c>
      <c r="H100" s="1254">
        <v>12110.511</v>
      </c>
    </row>
    <row r="101" spans="1:8" ht="12.75">
      <c r="A101" s="1232">
        <v>2019.08</v>
      </c>
      <c r="B101" s="2264">
        <v>6071.1540000000005</v>
      </c>
      <c r="C101" s="2267">
        <v>3192.26</v>
      </c>
      <c r="D101" s="2271">
        <v>499.77800000000002</v>
      </c>
      <c r="E101" s="2267">
        <v>402.815</v>
      </c>
      <c r="F101" s="2271">
        <v>1605.902</v>
      </c>
      <c r="G101" s="2277">
        <v>365.49099999999999</v>
      </c>
      <c r="H101" s="1254">
        <v>12137.400000000001</v>
      </c>
    </row>
    <row r="102" spans="1:8" ht="12.75">
      <c r="A102" s="1232">
        <v>2019.09</v>
      </c>
      <c r="B102" s="2264">
        <v>6041.85</v>
      </c>
      <c r="C102" s="2267">
        <v>3208.5740000000001</v>
      </c>
      <c r="D102" s="2271">
        <v>500.79</v>
      </c>
      <c r="E102" s="2267">
        <v>403.084</v>
      </c>
      <c r="F102" s="2271">
        <v>1622.095</v>
      </c>
      <c r="G102" s="2277">
        <v>359.30599999999998</v>
      </c>
      <c r="H102" s="1254">
        <v>12135.699000000002</v>
      </c>
    </row>
    <row r="103" spans="1:8" ht="12.75">
      <c r="A103" s="1232">
        <v>2019.1</v>
      </c>
      <c r="B103" s="2264">
        <v>6039.4390000000003</v>
      </c>
      <c r="C103" s="2267">
        <v>3218.9319999999998</v>
      </c>
      <c r="D103" s="2271">
        <v>501.31900000000002</v>
      </c>
      <c r="E103" s="2267">
        <v>400.68900000000002</v>
      </c>
      <c r="F103" s="2271">
        <v>1629.3579999999999</v>
      </c>
      <c r="G103" s="2277">
        <v>355.48200000000003</v>
      </c>
      <c r="H103" s="1254">
        <v>12145.218999999999</v>
      </c>
    </row>
    <row r="104" spans="1:8" ht="12.75">
      <c r="A104" s="1232">
        <v>2019.11</v>
      </c>
      <c r="B104" s="2264">
        <v>6033.1440000000002</v>
      </c>
      <c r="C104" s="2267">
        <v>3222.0949999999998</v>
      </c>
      <c r="D104" s="2271">
        <v>500.23500000000001</v>
      </c>
      <c r="E104" s="2267">
        <v>406.08100000000002</v>
      </c>
      <c r="F104" s="2271">
        <v>1620.9459999999999</v>
      </c>
      <c r="G104" s="2277">
        <v>365.12599999999998</v>
      </c>
      <c r="H104" s="1254">
        <v>12147.627</v>
      </c>
    </row>
    <row r="105" spans="1:8" ht="12.75">
      <c r="A105" s="1232">
        <v>2019.12</v>
      </c>
      <c r="B105" s="2264">
        <v>6020.7030000000004</v>
      </c>
      <c r="C105" s="2267">
        <v>3249.0540000000001</v>
      </c>
      <c r="D105" s="2271">
        <v>498.14499999999998</v>
      </c>
      <c r="E105" s="2267">
        <v>405.024</v>
      </c>
      <c r="F105" s="2271">
        <v>1625.3140000000001</v>
      </c>
      <c r="G105" s="2277">
        <v>365.60399999999998</v>
      </c>
      <c r="H105" s="1254">
        <v>12163.844000000001</v>
      </c>
    </row>
    <row r="106" spans="1:8" ht="12.75">
      <c r="A106" s="1232">
        <v>2020.01</v>
      </c>
      <c r="B106" s="2264">
        <v>6021.9390000000003</v>
      </c>
      <c r="C106" s="2267">
        <v>3195.502</v>
      </c>
      <c r="D106" s="2271">
        <v>500.37900000000002</v>
      </c>
      <c r="E106" s="2267">
        <v>404.71499999999997</v>
      </c>
      <c r="F106" s="2271">
        <v>1630.375</v>
      </c>
      <c r="G106" s="2277">
        <v>366.08199999999999</v>
      </c>
      <c r="H106" s="1254">
        <v>12118.992000000002</v>
      </c>
    </row>
    <row r="107" spans="1:8" ht="12.75">
      <c r="A107" s="1232">
        <v>2020.02</v>
      </c>
      <c r="B107" s="2264">
        <v>6028.3919999999998</v>
      </c>
      <c r="C107" s="2267">
        <v>3186.0230000000001</v>
      </c>
      <c r="D107" s="2271">
        <v>500.12599999999998</v>
      </c>
      <c r="E107" s="2267">
        <v>399.03899999999999</v>
      </c>
      <c r="F107" s="2271">
        <v>1627.921</v>
      </c>
      <c r="G107" s="2277">
        <v>365.38099999999997</v>
      </c>
      <c r="H107" s="1254">
        <v>12106.882000000001</v>
      </c>
    </row>
    <row r="108" spans="1:8" ht="12.75">
      <c r="A108" s="1232">
        <v>2020.03</v>
      </c>
      <c r="B108" s="2264">
        <v>5994.42</v>
      </c>
      <c r="C108" s="2267">
        <v>3186.373</v>
      </c>
      <c r="D108" s="2271">
        <v>498.03399999999999</v>
      </c>
      <c r="E108" s="2267">
        <v>388.96300000000002</v>
      </c>
      <c r="F108" s="2271">
        <v>1606.356</v>
      </c>
      <c r="G108" s="2277">
        <v>362.447</v>
      </c>
      <c r="H108" s="1254">
        <v>12036.592999999999</v>
      </c>
    </row>
    <row r="109" spans="1:8" ht="12.75">
      <c r="A109" s="1232">
        <v>2020.04</v>
      </c>
      <c r="B109" s="2264">
        <v>5836.8649999999998</v>
      </c>
      <c r="C109" s="2267">
        <v>3190.5610000000001</v>
      </c>
      <c r="D109" s="2271">
        <v>490.54599999999999</v>
      </c>
      <c r="E109" s="2267">
        <v>380.214</v>
      </c>
      <c r="F109" s="2271">
        <v>1586.0709999999999</v>
      </c>
      <c r="G109" s="2277">
        <v>355.49200000000002</v>
      </c>
      <c r="H109" s="1254">
        <v>11839.749</v>
      </c>
    </row>
    <row r="110" spans="1:8" ht="12.75">
      <c r="A110" s="1232">
        <v>2020.05</v>
      </c>
      <c r="B110" s="2264">
        <v>5787.4390000000003</v>
      </c>
      <c r="C110" s="2267">
        <v>3195.1529999999998</v>
      </c>
      <c r="D110" s="2271">
        <v>482.548</v>
      </c>
      <c r="E110" s="2267">
        <v>377.43</v>
      </c>
      <c r="F110" s="2271">
        <v>1551.6079999999999</v>
      </c>
      <c r="G110" s="2277">
        <v>352.84699999999998</v>
      </c>
      <c r="H110" s="1254">
        <v>11747.025000000001</v>
      </c>
    </row>
    <row r="111" spans="1:8" ht="12.75">
      <c r="A111" s="1232">
        <v>2020.06</v>
      </c>
      <c r="B111" s="2264">
        <v>5776.5559999999996</v>
      </c>
      <c r="C111" s="2267">
        <v>3210.3139999999999</v>
      </c>
      <c r="D111" s="2271">
        <v>481.68200000000002</v>
      </c>
      <c r="E111" s="2267">
        <v>379.53800000000001</v>
      </c>
      <c r="F111" s="2271">
        <v>1569.694</v>
      </c>
      <c r="G111" s="2277">
        <v>350.22199999999998</v>
      </c>
      <c r="H111" s="1254">
        <v>11768.005999999999</v>
      </c>
    </row>
    <row r="112" spans="1:8" ht="12.75">
      <c r="A112" s="1232">
        <v>2020.07</v>
      </c>
      <c r="B112" s="2264">
        <v>5768.5469999999996</v>
      </c>
      <c r="C112" s="2267">
        <v>3199.241</v>
      </c>
      <c r="D112" s="2271">
        <v>482.142</v>
      </c>
      <c r="E112" s="2267">
        <v>391.73599999999999</v>
      </c>
      <c r="F112" s="2271">
        <v>1593.8489999999999</v>
      </c>
      <c r="G112" s="2277">
        <v>355.47</v>
      </c>
      <c r="H112" s="1254">
        <v>11790.985000000001</v>
      </c>
    </row>
    <row r="113" spans="1:9" ht="12.75">
      <c r="A113" s="1232">
        <v>2020.08</v>
      </c>
      <c r="B113" s="2264">
        <v>5770.0209999999997</v>
      </c>
      <c r="C113" s="2267">
        <v>3207.4929999999999</v>
      </c>
      <c r="D113" s="2271">
        <v>481.04700000000003</v>
      </c>
      <c r="E113" s="2267">
        <v>394.77600000000001</v>
      </c>
      <c r="F113" s="2271">
        <v>1625.2339999999999</v>
      </c>
      <c r="G113" s="2277">
        <v>352.06400000000002</v>
      </c>
      <c r="H113" s="1254">
        <v>11830.635</v>
      </c>
    </row>
    <row r="114" spans="1:9" ht="12.75">
      <c r="A114" s="1232">
        <v>2020.09</v>
      </c>
      <c r="B114" s="2264">
        <v>5780.89</v>
      </c>
      <c r="C114" s="2267">
        <v>3211.527</v>
      </c>
      <c r="D114" s="2271">
        <v>479.774</v>
      </c>
      <c r="E114" s="2267">
        <v>394.4</v>
      </c>
      <c r="F114" s="2271">
        <v>1645.9639999999999</v>
      </c>
      <c r="G114" s="2277">
        <v>352.33800000000002</v>
      </c>
      <c r="H114" s="1254">
        <v>11864.893</v>
      </c>
    </row>
    <row r="115" spans="1:9" ht="12.75">
      <c r="A115" s="1232">
        <v>2020.1</v>
      </c>
      <c r="B115" s="2264">
        <v>5795.0550000000003</v>
      </c>
      <c r="C115" s="2267">
        <v>3215.029</v>
      </c>
      <c r="D115" s="2271">
        <v>478.173</v>
      </c>
      <c r="E115" s="2267">
        <v>386.83600000000001</v>
      </c>
      <c r="F115" s="2271">
        <v>1665.1289999999999</v>
      </c>
      <c r="G115" s="2277">
        <v>353.12</v>
      </c>
      <c r="H115" s="1254">
        <v>11893.342000000002</v>
      </c>
    </row>
    <row r="116" spans="1:9" ht="12.75">
      <c r="A116" s="1232">
        <v>2020.11</v>
      </c>
      <c r="B116" s="2264">
        <v>5816.8180000000002</v>
      </c>
      <c r="C116" s="2267">
        <v>3237.8009999999999</v>
      </c>
      <c r="D116" s="2271">
        <v>476.56799999999998</v>
      </c>
      <c r="E116" s="2267">
        <v>381.60700000000003</v>
      </c>
      <c r="F116" s="2271">
        <v>1652.335</v>
      </c>
      <c r="G116" s="2277">
        <v>354.30599999999998</v>
      </c>
      <c r="H116" s="1254">
        <v>11919.435000000001</v>
      </c>
    </row>
    <row r="117" spans="1:9" ht="12.75">
      <c r="A117" s="1232">
        <v>2020.12</v>
      </c>
      <c r="B117" s="2264">
        <v>5826.0140000000001</v>
      </c>
      <c r="C117" s="2267">
        <v>3257.5790000000002</v>
      </c>
      <c r="D117" s="2271">
        <v>473.08100000000002</v>
      </c>
      <c r="E117" s="2267">
        <v>377.21899999999999</v>
      </c>
      <c r="F117" s="2271">
        <v>1645.7180000000001</v>
      </c>
      <c r="G117" s="2277">
        <v>353.20100000000002</v>
      </c>
      <c r="H117" s="2507">
        <v>11932.812000000002</v>
      </c>
    </row>
    <row r="118" spans="1:9" ht="12.75">
      <c r="A118" s="1232">
        <f>A106+1</f>
        <v>2021.01</v>
      </c>
      <c r="B118" s="2267">
        <v>5850.5929999999998</v>
      </c>
      <c r="C118" s="2267">
        <v>3211.2429999999999</v>
      </c>
      <c r="D118" s="2267">
        <v>474.69499999999999</v>
      </c>
      <c r="E118" s="2267">
        <v>378.245</v>
      </c>
      <c r="F118" s="2267">
        <v>1648.9110000000001</v>
      </c>
      <c r="G118" s="2277">
        <v>358.673</v>
      </c>
      <c r="H118" s="2507">
        <v>11922.36</v>
      </c>
    </row>
    <row r="119" spans="1:9" ht="12.75">
      <c r="A119" s="1232">
        <f t="shared" ref="A119:A176" si="1">A107+1</f>
        <v>2021.02</v>
      </c>
      <c r="B119" s="2267">
        <v>5872.0110000000004</v>
      </c>
      <c r="C119" s="2267">
        <v>3215.8649999999998</v>
      </c>
      <c r="D119" s="2267">
        <v>473.30700000000002</v>
      </c>
      <c r="E119" s="2267">
        <v>379.2</v>
      </c>
      <c r="F119" s="2267">
        <v>1655.519</v>
      </c>
      <c r="G119" s="2277">
        <v>363.00799999999998</v>
      </c>
      <c r="H119" s="2507">
        <v>11958.910000000002</v>
      </c>
    </row>
    <row r="120" spans="1:9" ht="12.75">
      <c r="A120" s="1232">
        <f t="shared" si="1"/>
        <v>2021.03</v>
      </c>
      <c r="B120" s="2672">
        <v>5907.3819999999996</v>
      </c>
      <c r="C120" s="2672">
        <v>3229.3449999999998</v>
      </c>
      <c r="D120" s="2672">
        <v>473.13499999999999</v>
      </c>
      <c r="E120" s="2672">
        <v>377.416</v>
      </c>
      <c r="F120" s="2672">
        <v>1663.8030000000001</v>
      </c>
      <c r="G120" s="2673">
        <v>363.16899999999998</v>
      </c>
      <c r="H120" s="2674">
        <v>12014.249999999998</v>
      </c>
      <c r="I120" s="2675"/>
    </row>
    <row r="121" spans="1:9" ht="12.75">
      <c r="A121" s="1232">
        <f t="shared" si="1"/>
        <v>2021.04</v>
      </c>
      <c r="B121" s="2267">
        <v>5895.1120000000001</v>
      </c>
      <c r="C121" s="2267">
        <v>3246.7710000000002</v>
      </c>
      <c r="D121" s="2267">
        <v>475.161</v>
      </c>
      <c r="E121" s="2267">
        <v>377.49599999999998</v>
      </c>
      <c r="F121" s="2267">
        <v>1686.952</v>
      </c>
      <c r="G121" s="2277">
        <v>361.18799999999999</v>
      </c>
      <c r="H121" s="2507">
        <v>12042.679999999998</v>
      </c>
    </row>
    <row r="122" spans="1:9" ht="12.75">
      <c r="A122" s="1232">
        <f t="shared" si="1"/>
        <v>2021.05</v>
      </c>
      <c r="B122" s="2267">
        <v>5869.9690000000001</v>
      </c>
      <c r="C122" s="2267">
        <v>3270.6979999999999</v>
      </c>
      <c r="D122" s="2267">
        <v>475.863</v>
      </c>
      <c r="E122" s="2267">
        <v>377.68900000000002</v>
      </c>
      <c r="F122" s="2267">
        <v>1693.213</v>
      </c>
      <c r="G122" s="2277">
        <v>366.73</v>
      </c>
      <c r="H122" s="2507">
        <v>12054.161999999998</v>
      </c>
    </row>
    <row r="123" spans="1:9" ht="12.75">
      <c r="A123" s="1232">
        <f t="shared" si="1"/>
        <v>2021.06</v>
      </c>
      <c r="B123" s="2267">
        <v>5869.1819999999998</v>
      </c>
      <c r="C123" s="2267">
        <v>3293.56</v>
      </c>
      <c r="D123" s="2267">
        <v>474.108</v>
      </c>
      <c r="E123" s="2267">
        <v>377.52199999999999</v>
      </c>
      <c r="F123" s="2267">
        <v>1708.8579999999999</v>
      </c>
      <c r="G123" s="2277">
        <v>368.18099999999998</v>
      </c>
      <c r="H123" s="2507">
        <v>12091.411000000002</v>
      </c>
    </row>
    <row r="124" spans="1:9" ht="12.75">
      <c r="A124" s="1232">
        <f t="shared" si="1"/>
        <v>2021.07</v>
      </c>
      <c r="B124" s="2267">
        <v>5876.0339999999997</v>
      </c>
      <c r="C124" s="2267">
        <v>3287.4650000000001</v>
      </c>
      <c r="D124" s="2267">
        <v>474.21300000000002</v>
      </c>
      <c r="E124" s="2267">
        <v>377.90499999999997</v>
      </c>
      <c r="F124" s="2267">
        <v>1732.4690000000001</v>
      </c>
      <c r="G124" s="2277">
        <v>367.03899999999999</v>
      </c>
      <c r="H124" s="2507">
        <v>12115.125</v>
      </c>
    </row>
    <row r="125" spans="1:9" ht="12.75">
      <c r="A125" s="1232">
        <f t="shared" si="1"/>
        <v>2021.08</v>
      </c>
      <c r="B125" s="2267">
        <v>5895.277</v>
      </c>
      <c r="C125" s="2267">
        <v>3303.2049999999999</v>
      </c>
      <c r="D125" s="2267">
        <v>474.05900000000003</v>
      </c>
      <c r="E125" s="2267">
        <v>387.28399999999999</v>
      </c>
      <c r="F125" s="2267">
        <v>1736.6869999999999</v>
      </c>
      <c r="G125" s="2277">
        <v>394.48599999999999</v>
      </c>
      <c r="H125" s="2507">
        <v>12190.998</v>
      </c>
    </row>
    <row r="126" spans="1:9" ht="12.75">
      <c r="A126" s="1232">
        <f t="shared" si="1"/>
        <v>2021.09</v>
      </c>
      <c r="B126" s="2267">
        <v>5916.0870000000004</v>
      </c>
      <c r="C126" s="2267">
        <v>3314.0790000000002</v>
      </c>
      <c r="D126" s="2267">
        <v>473.37400000000002</v>
      </c>
      <c r="E126" s="2267">
        <v>388.72399999999999</v>
      </c>
      <c r="F126" s="2267">
        <v>1767.665</v>
      </c>
      <c r="G126" s="2277">
        <v>401.37</v>
      </c>
      <c r="H126" s="2507">
        <v>12261.299000000001</v>
      </c>
    </row>
    <row r="127" spans="1:9" ht="12.75">
      <c r="A127" s="1232">
        <f t="shared" si="1"/>
        <v>2021.1</v>
      </c>
      <c r="B127" s="2267">
        <v>5940.33</v>
      </c>
      <c r="C127" s="2267">
        <v>3329.0459999999998</v>
      </c>
      <c r="D127" s="2267">
        <v>474.108</v>
      </c>
      <c r="E127" s="2267">
        <v>387.625</v>
      </c>
      <c r="F127" s="2267">
        <v>1785.0840000000001</v>
      </c>
      <c r="G127" s="2277">
        <v>398.01600000000002</v>
      </c>
      <c r="H127" s="2507">
        <v>12314.209000000001</v>
      </c>
    </row>
    <row r="128" spans="1:9" ht="12.75">
      <c r="A128" s="1232">
        <f t="shared" si="1"/>
        <v>2021.11</v>
      </c>
      <c r="B128" s="2267">
        <v>5988.5410000000002</v>
      </c>
      <c r="C128" s="2267">
        <v>3345.096</v>
      </c>
      <c r="D128" s="2267">
        <v>473.279</v>
      </c>
      <c r="E128" s="2267">
        <v>385.97</v>
      </c>
      <c r="F128" s="2267">
        <v>1800.2370000000001</v>
      </c>
      <c r="G128" s="2277">
        <v>394.20699999999999</v>
      </c>
      <c r="H128" s="2507">
        <v>12387.33</v>
      </c>
    </row>
    <row r="129" spans="1:9" ht="12.75">
      <c r="A129" s="1232">
        <f t="shared" si="1"/>
        <v>2021.12</v>
      </c>
      <c r="B129" s="2267">
        <v>6027.6869999999999</v>
      </c>
      <c r="C129" s="2267">
        <v>3372.9059999999999</v>
      </c>
      <c r="D129" s="2267">
        <v>472.87599999999998</v>
      </c>
      <c r="E129" s="2267">
        <v>385.41399999999999</v>
      </c>
      <c r="F129" s="2267">
        <v>1769.9269999999999</v>
      </c>
      <c r="G129" s="2277">
        <v>440.04599999999999</v>
      </c>
      <c r="H129" s="2507">
        <v>12468.856000000002</v>
      </c>
    </row>
    <row r="130" spans="1:9" ht="12.75">
      <c r="A130" s="1232">
        <f t="shared" si="1"/>
        <v>2022.01</v>
      </c>
      <c r="B130" s="2267">
        <v>6069.317</v>
      </c>
      <c r="C130" s="2267">
        <v>3320.3270000000002</v>
      </c>
      <c r="D130" s="2267">
        <v>473.399</v>
      </c>
      <c r="E130" s="2267">
        <v>387.10399999999998</v>
      </c>
      <c r="F130" s="2267">
        <v>1777.0730000000001</v>
      </c>
      <c r="G130" s="2277">
        <v>439.56200000000001</v>
      </c>
      <c r="H130" s="2507">
        <v>12466.781999999999</v>
      </c>
    </row>
    <row r="131" spans="1:9" ht="12.75">
      <c r="A131" s="1232">
        <f t="shared" si="1"/>
        <v>2022.02</v>
      </c>
      <c r="B131" s="2267">
        <v>6095.1350000000002</v>
      </c>
      <c r="C131" s="2267">
        <v>3311.7449999999999</v>
      </c>
      <c r="D131" s="2267">
        <v>472.50099999999998</v>
      </c>
      <c r="E131" s="2267">
        <v>387.661</v>
      </c>
      <c r="F131" s="2267">
        <v>1799.6849999999999</v>
      </c>
      <c r="G131" s="2277">
        <v>441.73</v>
      </c>
      <c r="H131" s="2507">
        <v>12508.457</v>
      </c>
    </row>
    <row r="132" spans="1:9" ht="12.75">
      <c r="A132" s="1232">
        <f t="shared" si="1"/>
        <v>2022.03</v>
      </c>
      <c r="B132" s="2267">
        <v>6129.7150000000001</v>
      </c>
      <c r="C132" s="2267">
        <v>3317.3780000000002</v>
      </c>
      <c r="D132" s="2267">
        <v>472.447</v>
      </c>
      <c r="E132" s="2267">
        <v>385.47399999999999</v>
      </c>
      <c r="F132" s="2267">
        <v>1818.827</v>
      </c>
      <c r="G132" s="2277">
        <v>438.31799999999998</v>
      </c>
      <c r="H132" s="2507">
        <v>12562.159</v>
      </c>
    </row>
    <row r="133" spans="1:9" ht="12.75">
      <c r="A133" s="1232">
        <f t="shared" si="1"/>
        <v>2022.04</v>
      </c>
      <c r="B133" s="2267">
        <v>6110.1710000000003</v>
      </c>
      <c r="C133" s="2267">
        <v>3333.8960000000002</v>
      </c>
      <c r="D133" s="2267">
        <v>473.14299999999997</v>
      </c>
      <c r="E133" s="2267">
        <v>387.23599999999999</v>
      </c>
      <c r="F133" s="2267">
        <v>1844.415</v>
      </c>
      <c r="G133" s="2277">
        <v>435.827</v>
      </c>
      <c r="H133" s="2507">
        <v>12584.688</v>
      </c>
    </row>
    <row r="134" spans="1:9" ht="12.75">
      <c r="A134" s="1232">
        <f t="shared" si="1"/>
        <v>2022.05</v>
      </c>
      <c r="B134" s="2267">
        <v>6117.9620000000004</v>
      </c>
      <c r="C134" s="2267">
        <v>3353.5450000000001</v>
      </c>
      <c r="D134" s="2267">
        <v>473.34</v>
      </c>
      <c r="E134" s="2267">
        <v>389.86900000000003</v>
      </c>
      <c r="F134" s="2267">
        <v>1873.585</v>
      </c>
      <c r="G134" s="2277">
        <v>432.428</v>
      </c>
      <c r="H134" s="2507">
        <v>12640.729000000003</v>
      </c>
    </row>
    <row r="135" spans="1:9" ht="12.75">
      <c r="A135" s="1232">
        <f t="shared" si="1"/>
        <v>2022.06</v>
      </c>
      <c r="B135" s="2267">
        <v>6134.0320000000002</v>
      </c>
      <c r="C135" s="2267">
        <v>3381.3020000000001</v>
      </c>
      <c r="D135" s="2267">
        <v>471.35599999999999</v>
      </c>
      <c r="E135" s="2267">
        <v>392.51100000000002</v>
      </c>
      <c r="F135" s="2267">
        <v>1824.604</v>
      </c>
      <c r="G135" s="2277">
        <v>512.69500000000005</v>
      </c>
      <c r="H135" s="2507">
        <v>12716.5</v>
      </c>
    </row>
    <row r="136" spans="1:9" ht="12.75">
      <c r="A136" s="1232">
        <f t="shared" si="1"/>
        <v>2022.07</v>
      </c>
      <c r="B136" s="2267">
        <v>6169.348</v>
      </c>
      <c r="C136" s="2267">
        <v>3375.799</v>
      </c>
      <c r="D136" s="2267">
        <v>472.73099999999999</v>
      </c>
      <c r="E136" s="2267">
        <v>395.00299999999999</v>
      </c>
      <c r="F136" s="2267">
        <v>1862.02</v>
      </c>
      <c r="G136" s="2277">
        <v>509.084</v>
      </c>
      <c r="H136" s="2507">
        <v>12783.985000000002</v>
      </c>
    </row>
    <row r="137" spans="1:9" ht="12.75">
      <c r="A137" s="1232">
        <f t="shared" si="1"/>
        <v>2022.08</v>
      </c>
      <c r="B137" s="2267">
        <v>6186.7550000000001</v>
      </c>
      <c r="C137" s="2267">
        <v>3372.5309999999999</v>
      </c>
      <c r="D137" s="2267">
        <v>473.59300000000002</v>
      </c>
      <c r="E137" s="2267">
        <v>395.11399999999998</v>
      </c>
      <c r="F137" s="2267">
        <v>1899.6320000000001</v>
      </c>
      <c r="G137" s="2277">
        <v>503.226</v>
      </c>
      <c r="H137" s="2507">
        <v>12830.851000000001</v>
      </c>
    </row>
    <row r="138" spans="1:9" ht="12.75">
      <c r="A138" s="1232">
        <f t="shared" si="1"/>
        <v>2022.09</v>
      </c>
      <c r="B138" s="2267">
        <v>6210.8389999999999</v>
      </c>
      <c r="C138" s="2267">
        <v>3381.9810000000002</v>
      </c>
      <c r="D138" s="2267">
        <v>473.80900000000003</v>
      </c>
      <c r="E138" s="2267">
        <v>394.79500000000002</v>
      </c>
      <c r="F138" s="2267">
        <v>1879.5550000000001</v>
      </c>
      <c r="G138" s="2277">
        <v>559.03300000000002</v>
      </c>
      <c r="H138" s="2507">
        <v>12900.011999999999</v>
      </c>
    </row>
    <row r="139" spans="1:9" ht="12.75">
      <c r="A139" s="1232">
        <f t="shared" si="1"/>
        <v>2022.1</v>
      </c>
      <c r="B139" s="2267">
        <v>6236.6229999999996</v>
      </c>
      <c r="C139" s="2267">
        <v>3387.3989999999999</v>
      </c>
      <c r="D139" s="2267">
        <v>471.86500000000001</v>
      </c>
      <c r="E139" s="2267">
        <v>394.303</v>
      </c>
      <c r="F139" s="2267">
        <v>1908.434</v>
      </c>
      <c r="G139" s="2277">
        <v>555.51300000000003</v>
      </c>
      <c r="H139" s="2507">
        <v>12954.136999999999</v>
      </c>
    </row>
    <row r="140" spans="1:9" ht="12.75">
      <c r="A140" s="1232">
        <f t="shared" si="1"/>
        <v>2022.11</v>
      </c>
      <c r="B140" s="2267">
        <v>6278.1540000000005</v>
      </c>
      <c r="C140" s="2267">
        <v>3405.2179999999998</v>
      </c>
      <c r="D140" s="2267">
        <v>469.77699999999999</v>
      </c>
      <c r="E140" s="2267">
        <v>394.79500000000002</v>
      </c>
      <c r="F140" s="2267">
        <v>1943.2280000000001</v>
      </c>
      <c r="G140" s="2277">
        <v>550.83600000000001</v>
      </c>
      <c r="H140" s="2507">
        <v>13042.007999999998</v>
      </c>
    </row>
    <row r="141" spans="1:9" ht="12.75">
      <c r="A141" s="1232">
        <f t="shared" si="1"/>
        <v>2022.12</v>
      </c>
      <c r="B141" s="2267">
        <v>6296.2039999999997</v>
      </c>
      <c r="C141" s="2267">
        <v>3422.9830000000002</v>
      </c>
      <c r="D141" s="2267">
        <v>467.72399999999999</v>
      </c>
      <c r="E141" s="2267">
        <v>396.459</v>
      </c>
      <c r="F141" s="2267">
        <v>1895.8430000000001</v>
      </c>
      <c r="G141" s="2277">
        <v>611.61800000000005</v>
      </c>
      <c r="H141" s="2507">
        <v>13090.831000000002</v>
      </c>
      <c r="I141" s="2750"/>
    </row>
    <row r="142" spans="1:9" ht="12.75">
      <c r="A142" s="1232">
        <f t="shared" si="1"/>
        <v>2023.01</v>
      </c>
      <c r="B142" s="2648">
        <v>6333.4040000000005</v>
      </c>
      <c r="C142" s="2646">
        <v>3382.8380000000002</v>
      </c>
      <c r="D142" s="2646">
        <v>468.22800000000001</v>
      </c>
      <c r="E142" s="2646">
        <v>400.30799999999999</v>
      </c>
      <c r="F142" s="2649">
        <v>1910.5219999999999</v>
      </c>
      <c r="G142" s="2647">
        <v>608.59799999999996</v>
      </c>
      <c r="H142" s="2723">
        <v>13103.897999999999</v>
      </c>
    </row>
    <row r="143" spans="1:9" ht="12.75">
      <c r="A143" s="1232">
        <f t="shared" si="1"/>
        <v>2023.02</v>
      </c>
      <c r="B143" s="2648">
        <v>6348.1930000000002</v>
      </c>
      <c r="C143" s="2646">
        <v>3388.3850000000002</v>
      </c>
      <c r="D143" s="2646">
        <v>466.971</v>
      </c>
      <c r="E143" s="2646">
        <v>400.21699999999998</v>
      </c>
      <c r="F143" s="2649">
        <v>1921.5239999999999</v>
      </c>
      <c r="G143" s="2647">
        <v>603.94000000000005</v>
      </c>
      <c r="H143" s="2723">
        <v>13129.230000000001</v>
      </c>
    </row>
    <row r="144" spans="1:9" ht="12.75">
      <c r="A144" s="1232">
        <f t="shared" si="1"/>
        <v>2023.03</v>
      </c>
      <c r="B144" s="2648">
        <v>6377.5249999999996</v>
      </c>
      <c r="C144" s="2646">
        <v>3392.4389999999999</v>
      </c>
      <c r="D144" s="2646">
        <v>466.46499999999997</v>
      </c>
      <c r="E144" s="2646">
        <v>396.54300000000001</v>
      </c>
      <c r="F144" s="2649">
        <v>1922.143</v>
      </c>
      <c r="G144" s="2647">
        <v>602.11699999999996</v>
      </c>
      <c r="H144" s="2723">
        <v>13157.232</v>
      </c>
    </row>
    <row r="145" spans="1:8" ht="12.75">
      <c r="A145" s="1232">
        <f t="shared" si="1"/>
        <v>2023.04</v>
      </c>
      <c r="B145" s="2648">
        <v>6339.7380000000003</v>
      </c>
      <c r="C145" s="2646">
        <v>3412.16</v>
      </c>
      <c r="D145" s="2646">
        <v>468.39800000000002</v>
      </c>
      <c r="E145" s="2646">
        <v>400.483</v>
      </c>
      <c r="F145" s="2649">
        <v>1933.741</v>
      </c>
      <c r="G145" s="2647">
        <v>602.71600000000001</v>
      </c>
      <c r="H145" s="2723">
        <v>13157.236000000001</v>
      </c>
    </row>
    <row r="146" spans="1:8" ht="12.75">
      <c r="A146" s="1232">
        <f t="shared" si="1"/>
        <v>2023.05</v>
      </c>
      <c r="B146" s="2648">
        <v>6347.107</v>
      </c>
      <c r="C146" s="2646">
        <v>3437.8589999999999</v>
      </c>
      <c r="D146" s="2646">
        <v>467.39600000000002</v>
      </c>
      <c r="E146" s="2646">
        <v>402.25200000000001</v>
      </c>
      <c r="F146" s="2649">
        <v>1975.5889999999999</v>
      </c>
      <c r="G146" s="2647">
        <v>597.92200000000003</v>
      </c>
      <c r="H146" s="2723">
        <v>13228.125000000002</v>
      </c>
    </row>
    <row r="147" spans="1:8" ht="12.75">
      <c r="A147" s="1232">
        <f t="shared" si="1"/>
        <v>2023.06</v>
      </c>
      <c r="B147" s="2648">
        <v>6352.7889999999998</v>
      </c>
      <c r="C147" s="2646">
        <v>3467.5160000000001</v>
      </c>
      <c r="D147" s="2646">
        <v>466.55500000000001</v>
      </c>
      <c r="E147" s="2646">
        <v>405.19</v>
      </c>
      <c r="F147" s="2649">
        <v>1995.3630000000001</v>
      </c>
      <c r="G147" s="2647">
        <v>592.52</v>
      </c>
      <c r="H147" s="2723">
        <v>13279.933000000001</v>
      </c>
    </row>
    <row r="148" spans="1:8" ht="12.75">
      <c r="A148" s="1232">
        <f t="shared" si="1"/>
        <v>2023.07</v>
      </c>
      <c r="B148" s="2648">
        <v>6374.1679999999997</v>
      </c>
      <c r="C148" s="2646">
        <v>3458.2640000000001</v>
      </c>
      <c r="D148" s="2646">
        <v>468.07100000000003</v>
      </c>
      <c r="E148" s="2646">
        <v>406.95600000000002</v>
      </c>
      <c r="F148" s="2649">
        <v>1985.9880000000001</v>
      </c>
      <c r="G148" s="2647">
        <v>612.02800000000002</v>
      </c>
      <c r="H148" s="2723">
        <v>13305.475</v>
      </c>
    </row>
    <row r="149" spans="1:8" ht="12.75">
      <c r="A149" s="1232">
        <f t="shared" si="1"/>
        <v>2023.08</v>
      </c>
      <c r="B149" s="2648">
        <v>6386.9709999999995</v>
      </c>
      <c r="C149" s="2646">
        <v>3470.5360000000001</v>
      </c>
      <c r="D149" s="2646">
        <v>469.43</v>
      </c>
      <c r="E149" s="2646">
        <v>409.17200000000003</v>
      </c>
      <c r="F149" s="2649">
        <v>2029.2170000000001</v>
      </c>
      <c r="G149" s="2647">
        <v>594.98500000000001</v>
      </c>
      <c r="H149" s="2723">
        <v>13360.311000000002</v>
      </c>
    </row>
    <row r="150" spans="1:8" ht="12.75">
      <c r="A150" s="1232">
        <f t="shared" si="1"/>
        <v>2023.09</v>
      </c>
      <c r="B150" s="2648">
        <v>6371.2629999999999</v>
      </c>
      <c r="C150" s="2646">
        <v>3490.8789999999999</v>
      </c>
      <c r="D150" s="2646">
        <v>470.846</v>
      </c>
      <c r="E150" s="2646">
        <v>408.34100000000001</v>
      </c>
      <c r="F150" s="2649">
        <v>2026.0050000000001</v>
      </c>
      <c r="G150" s="2647">
        <v>623.27099999999996</v>
      </c>
      <c r="H150" s="2723">
        <v>13390.605</v>
      </c>
    </row>
    <row r="151" spans="1:8" ht="12.75">
      <c r="A151" s="1232">
        <f t="shared" si="1"/>
        <v>2023.1</v>
      </c>
      <c r="B151" s="2648">
        <v>6373.0619999999999</v>
      </c>
      <c r="C151" s="2646">
        <v>3496.2620000000002</v>
      </c>
      <c r="D151" s="2646">
        <v>468.327</v>
      </c>
      <c r="E151" s="2646">
        <v>403.79599999999999</v>
      </c>
      <c r="F151" s="2649">
        <v>2029.991</v>
      </c>
      <c r="G151" s="2647">
        <v>625.90899999999999</v>
      </c>
      <c r="H151" s="2723">
        <v>13397.347</v>
      </c>
    </row>
    <row r="152" spans="1:8" ht="12.75">
      <c r="A152" s="1232">
        <f t="shared" si="1"/>
        <v>2023.11</v>
      </c>
      <c r="B152" s="2648">
        <v>6383.15</v>
      </c>
      <c r="C152" s="2646">
        <v>3502.1579999999999</v>
      </c>
      <c r="D152" s="2646">
        <v>464.625</v>
      </c>
      <c r="E152" s="2646">
        <v>344.06099999999998</v>
      </c>
      <c r="F152" s="2649">
        <v>2031.973</v>
      </c>
      <c r="G152" s="2647">
        <v>636.60900000000004</v>
      </c>
      <c r="H152" s="2723">
        <v>13362.575999999999</v>
      </c>
    </row>
    <row r="153" spans="1:8" ht="12.75">
      <c r="A153" s="1232">
        <f t="shared" si="1"/>
        <v>2023.12</v>
      </c>
      <c r="B153" s="2648">
        <v>6376.8379999999997</v>
      </c>
      <c r="C153" s="2646">
        <v>3526.9639999999999</v>
      </c>
      <c r="D153" s="2646">
        <v>460.90499999999997</v>
      </c>
      <c r="E153" s="2646">
        <v>362.846</v>
      </c>
      <c r="F153" s="2649">
        <v>2043.019</v>
      </c>
      <c r="G153" s="2647">
        <v>632.16899999999998</v>
      </c>
      <c r="H153" s="2723">
        <v>13402.741</v>
      </c>
    </row>
    <row r="154" spans="1:8" ht="12.75">
      <c r="A154" s="1232">
        <f t="shared" si="1"/>
        <v>2024.01</v>
      </c>
      <c r="B154" s="2648">
        <v>6368.1809999999996</v>
      </c>
      <c r="C154" s="2646">
        <v>3439.058</v>
      </c>
      <c r="D154" s="2646">
        <v>458.76600000000002</v>
      </c>
      <c r="E154" s="2646">
        <v>402.995</v>
      </c>
      <c r="F154" s="2649">
        <v>2078.0140000000001</v>
      </c>
      <c r="G154" s="2647">
        <v>620.12</v>
      </c>
      <c r="H154" s="2723">
        <v>13367.134</v>
      </c>
    </row>
    <row r="155" spans="1:8" ht="12.75">
      <c r="A155" s="1232">
        <f t="shared" si="1"/>
        <v>2024.02</v>
      </c>
      <c r="B155" s="2792" t="e">
        <v>#N/A</v>
      </c>
      <c r="C155" s="2793" t="e">
        <v>#N/A</v>
      </c>
      <c r="D155" s="2794" t="e">
        <v>#N/A</v>
      </c>
      <c r="E155" s="2793" t="e">
        <v>#N/A</v>
      </c>
      <c r="F155" s="2794" t="e">
        <v>#N/A</v>
      </c>
      <c r="G155" s="2795" t="e">
        <v>#N/A</v>
      </c>
      <c r="H155" s="2796" t="e">
        <v>#N/A</v>
      </c>
    </row>
    <row r="156" spans="1:8" ht="12.75">
      <c r="A156" s="1232">
        <f t="shared" si="1"/>
        <v>2024.03</v>
      </c>
      <c r="B156" s="2792" t="e">
        <v>#N/A</v>
      </c>
      <c r="C156" s="2793" t="e">
        <v>#N/A</v>
      </c>
      <c r="D156" s="2794" t="e">
        <v>#N/A</v>
      </c>
      <c r="E156" s="2793" t="e">
        <v>#N/A</v>
      </c>
      <c r="F156" s="2794" t="e">
        <v>#N/A</v>
      </c>
      <c r="G156" s="2795" t="e">
        <v>#N/A</v>
      </c>
      <c r="H156" s="2796" t="e">
        <v>#N/A</v>
      </c>
    </row>
    <row r="157" spans="1:8" ht="12.75">
      <c r="A157" s="1232">
        <f t="shared" si="1"/>
        <v>2024.04</v>
      </c>
      <c r="B157" s="2792" t="e">
        <v>#N/A</v>
      </c>
      <c r="C157" s="2793" t="e">
        <v>#N/A</v>
      </c>
      <c r="D157" s="2794" t="e">
        <v>#N/A</v>
      </c>
      <c r="E157" s="2793" t="e">
        <v>#N/A</v>
      </c>
      <c r="F157" s="2794" t="e">
        <v>#N/A</v>
      </c>
      <c r="G157" s="2795" t="e">
        <v>#N/A</v>
      </c>
      <c r="H157" s="2796" t="e">
        <v>#N/A</v>
      </c>
    </row>
    <row r="158" spans="1:8" ht="12.75">
      <c r="A158" s="1232">
        <f t="shared" si="1"/>
        <v>2024.05</v>
      </c>
      <c r="B158" s="2792" t="e">
        <v>#N/A</v>
      </c>
      <c r="C158" s="2793" t="e">
        <v>#N/A</v>
      </c>
      <c r="D158" s="2794" t="e">
        <v>#N/A</v>
      </c>
      <c r="E158" s="2793" t="e">
        <v>#N/A</v>
      </c>
      <c r="F158" s="2794" t="e">
        <v>#N/A</v>
      </c>
      <c r="G158" s="2795" t="e">
        <v>#N/A</v>
      </c>
      <c r="H158" s="2796" t="e">
        <v>#N/A</v>
      </c>
    </row>
    <row r="159" spans="1:8" ht="12.75">
      <c r="A159" s="1232">
        <f t="shared" si="1"/>
        <v>2024.06</v>
      </c>
      <c r="B159" s="2792" t="e">
        <v>#N/A</v>
      </c>
      <c r="C159" s="2793" t="e">
        <v>#N/A</v>
      </c>
      <c r="D159" s="2794" t="e">
        <v>#N/A</v>
      </c>
      <c r="E159" s="2793" t="e">
        <v>#N/A</v>
      </c>
      <c r="F159" s="2794" t="e">
        <v>#N/A</v>
      </c>
      <c r="G159" s="2795" t="e">
        <v>#N/A</v>
      </c>
      <c r="H159" s="2796" t="e">
        <v>#N/A</v>
      </c>
    </row>
    <row r="160" spans="1:8" ht="12.75">
      <c r="A160" s="1232">
        <f t="shared" si="1"/>
        <v>2024.07</v>
      </c>
      <c r="B160" s="2792" t="e">
        <v>#N/A</v>
      </c>
      <c r="C160" s="2793" t="e">
        <v>#N/A</v>
      </c>
      <c r="D160" s="2794" t="e">
        <v>#N/A</v>
      </c>
      <c r="E160" s="2793" t="e">
        <v>#N/A</v>
      </c>
      <c r="F160" s="2794" t="e">
        <v>#N/A</v>
      </c>
      <c r="G160" s="2795" t="e">
        <v>#N/A</v>
      </c>
      <c r="H160" s="2796" t="e">
        <v>#N/A</v>
      </c>
    </row>
    <row r="161" spans="1:8" ht="12.75">
      <c r="A161" s="1232">
        <f t="shared" si="1"/>
        <v>2024.08</v>
      </c>
      <c r="B161" s="2792" t="e">
        <v>#N/A</v>
      </c>
      <c r="C161" s="2793" t="e">
        <v>#N/A</v>
      </c>
      <c r="D161" s="2794" t="e">
        <v>#N/A</v>
      </c>
      <c r="E161" s="2793" t="e">
        <v>#N/A</v>
      </c>
      <c r="F161" s="2794" t="e">
        <v>#N/A</v>
      </c>
      <c r="G161" s="2795" t="e">
        <v>#N/A</v>
      </c>
      <c r="H161" s="2796" t="e">
        <v>#N/A</v>
      </c>
    </row>
    <row r="162" spans="1:8" ht="12.75">
      <c r="A162" s="1232">
        <f t="shared" si="1"/>
        <v>2024.09</v>
      </c>
      <c r="B162" s="2792" t="e">
        <v>#N/A</v>
      </c>
      <c r="C162" s="2793" t="e">
        <v>#N/A</v>
      </c>
      <c r="D162" s="2794" t="e">
        <v>#N/A</v>
      </c>
      <c r="E162" s="2793" t="e">
        <v>#N/A</v>
      </c>
      <c r="F162" s="2794" t="e">
        <v>#N/A</v>
      </c>
      <c r="G162" s="2795" t="e">
        <v>#N/A</v>
      </c>
      <c r="H162" s="2796" t="e">
        <v>#N/A</v>
      </c>
    </row>
    <row r="163" spans="1:8" ht="12.75">
      <c r="A163" s="1232">
        <f t="shared" si="1"/>
        <v>2024.1</v>
      </c>
      <c r="B163" s="2792" t="e">
        <v>#N/A</v>
      </c>
      <c r="C163" s="2793" t="e">
        <v>#N/A</v>
      </c>
      <c r="D163" s="2794" t="e">
        <v>#N/A</v>
      </c>
      <c r="E163" s="2793" t="e">
        <v>#N/A</v>
      </c>
      <c r="F163" s="2794" t="e">
        <v>#N/A</v>
      </c>
      <c r="G163" s="2795" t="e">
        <v>#N/A</v>
      </c>
      <c r="H163" s="2796" t="e">
        <v>#N/A</v>
      </c>
    </row>
    <row r="164" spans="1:8" ht="12.75">
      <c r="A164" s="1232">
        <f t="shared" si="1"/>
        <v>2024.11</v>
      </c>
      <c r="B164" s="2792" t="e">
        <v>#N/A</v>
      </c>
      <c r="C164" s="2793" t="e">
        <v>#N/A</v>
      </c>
      <c r="D164" s="2794" t="e">
        <v>#N/A</v>
      </c>
      <c r="E164" s="2793" t="e">
        <v>#N/A</v>
      </c>
      <c r="F164" s="2794" t="e">
        <v>#N/A</v>
      </c>
      <c r="G164" s="2795" t="e">
        <v>#N/A</v>
      </c>
      <c r="H164" s="2796" t="e">
        <v>#N/A</v>
      </c>
    </row>
    <row r="165" spans="1:8" ht="12.75">
      <c r="A165" s="1232">
        <f t="shared" si="1"/>
        <v>2024.12</v>
      </c>
      <c r="B165" s="2792" t="e">
        <v>#N/A</v>
      </c>
      <c r="C165" s="2793" t="e">
        <v>#N/A</v>
      </c>
      <c r="D165" s="2794" t="e">
        <v>#N/A</v>
      </c>
      <c r="E165" s="2793" t="e">
        <v>#N/A</v>
      </c>
      <c r="F165" s="2794" t="e">
        <v>#N/A</v>
      </c>
      <c r="G165" s="2795" t="e">
        <v>#N/A</v>
      </c>
      <c r="H165" s="2796" t="e">
        <v>#N/A</v>
      </c>
    </row>
    <row r="166" spans="1:8" ht="12.75">
      <c r="A166" s="1232">
        <f t="shared" si="1"/>
        <v>2025.01</v>
      </c>
      <c r="B166" s="2792" t="e">
        <v>#N/A</v>
      </c>
      <c r="C166" s="2793" t="e">
        <v>#N/A</v>
      </c>
      <c r="D166" s="2794" t="e">
        <v>#N/A</v>
      </c>
      <c r="E166" s="2793" t="e">
        <v>#N/A</v>
      </c>
      <c r="F166" s="2794" t="e">
        <v>#N/A</v>
      </c>
      <c r="G166" s="2795" t="e">
        <v>#N/A</v>
      </c>
      <c r="H166" s="2796" t="e">
        <v>#N/A</v>
      </c>
    </row>
    <row r="167" spans="1:8" ht="12.75">
      <c r="A167" s="1232">
        <f t="shared" si="1"/>
        <v>2025.02</v>
      </c>
      <c r="B167" s="2792" t="e">
        <v>#N/A</v>
      </c>
      <c r="C167" s="2793" t="e">
        <v>#N/A</v>
      </c>
      <c r="D167" s="2794" t="e">
        <v>#N/A</v>
      </c>
      <c r="E167" s="2793" t="e">
        <v>#N/A</v>
      </c>
      <c r="F167" s="2794" t="e">
        <v>#N/A</v>
      </c>
      <c r="G167" s="2795" t="e">
        <v>#N/A</v>
      </c>
      <c r="H167" s="2796" t="e">
        <v>#N/A</v>
      </c>
    </row>
    <row r="168" spans="1:8" ht="12.75">
      <c r="A168" s="1232">
        <f t="shared" si="1"/>
        <v>2025.03</v>
      </c>
      <c r="B168" s="2792" t="e">
        <v>#N/A</v>
      </c>
      <c r="C168" s="2793" t="e">
        <v>#N/A</v>
      </c>
      <c r="D168" s="2794" t="e">
        <v>#N/A</v>
      </c>
      <c r="E168" s="2793" t="e">
        <v>#N/A</v>
      </c>
      <c r="F168" s="2794" t="e">
        <v>#N/A</v>
      </c>
      <c r="G168" s="2795" t="e">
        <v>#N/A</v>
      </c>
      <c r="H168" s="2796" t="e">
        <v>#N/A</v>
      </c>
    </row>
    <row r="169" spans="1:8" ht="12.75">
      <c r="A169" s="1232">
        <f>A157+1</f>
        <v>2025.04</v>
      </c>
      <c r="B169" s="2792" t="e">
        <v>#N/A</v>
      </c>
      <c r="C169" s="2793" t="e">
        <v>#N/A</v>
      </c>
      <c r="D169" s="2794" t="e">
        <v>#N/A</v>
      </c>
      <c r="E169" s="2793" t="e">
        <v>#N/A</v>
      </c>
      <c r="F169" s="2794" t="e">
        <v>#N/A</v>
      </c>
      <c r="G169" s="2795" t="e">
        <v>#N/A</v>
      </c>
      <c r="H169" s="2796" t="e">
        <v>#N/A</v>
      </c>
    </row>
    <row r="170" spans="1:8" ht="12.75">
      <c r="A170" s="1232">
        <f t="shared" si="1"/>
        <v>2025.05</v>
      </c>
      <c r="B170" s="2792" t="e">
        <v>#N/A</v>
      </c>
      <c r="C170" s="2793" t="e">
        <v>#N/A</v>
      </c>
      <c r="D170" s="2794" t="e">
        <v>#N/A</v>
      </c>
      <c r="E170" s="2793" t="e">
        <v>#N/A</v>
      </c>
      <c r="F170" s="2794" t="e">
        <v>#N/A</v>
      </c>
      <c r="G170" s="2795" t="e">
        <v>#N/A</v>
      </c>
      <c r="H170" s="2796" t="e">
        <v>#N/A</v>
      </c>
    </row>
    <row r="171" spans="1:8" ht="12.75">
      <c r="A171" s="1232">
        <f t="shared" si="1"/>
        <v>2025.06</v>
      </c>
      <c r="B171" s="2792" t="e">
        <v>#N/A</v>
      </c>
      <c r="C171" s="2793" t="e">
        <v>#N/A</v>
      </c>
      <c r="D171" s="2794" t="e">
        <v>#N/A</v>
      </c>
      <c r="E171" s="2793" t="e">
        <v>#N/A</v>
      </c>
      <c r="F171" s="2794" t="e">
        <v>#N/A</v>
      </c>
      <c r="G171" s="2795" t="e">
        <v>#N/A</v>
      </c>
      <c r="H171" s="2796" t="e">
        <v>#N/A</v>
      </c>
    </row>
    <row r="172" spans="1:8" ht="12.75">
      <c r="A172" s="1232">
        <f t="shared" si="1"/>
        <v>2025.07</v>
      </c>
      <c r="B172" s="2792" t="e">
        <v>#N/A</v>
      </c>
      <c r="C172" s="2793" t="e">
        <v>#N/A</v>
      </c>
      <c r="D172" s="2794" t="e">
        <v>#N/A</v>
      </c>
      <c r="E172" s="2793" t="e">
        <v>#N/A</v>
      </c>
      <c r="F172" s="2794" t="e">
        <v>#N/A</v>
      </c>
      <c r="G172" s="2795" t="e">
        <v>#N/A</v>
      </c>
      <c r="H172" s="2796" t="e">
        <v>#N/A</v>
      </c>
    </row>
    <row r="173" spans="1:8" ht="12.75">
      <c r="A173" s="1232">
        <f t="shared" si="1"/>
        <v>2025.08</v>
      </c>
      <c r="B173" s="2792" t="e">
        <v>#N/A</v>
      </c>
      <c r="C173" s="2793" t="e">
        <v>#N/A</v>
      </c>
      <c r="D173" s="2794" t="e">
        <v>#N/A</v>
      </c>
      <c r="E173" s="2793" t="e">
        <v>#N/A</v>
      </c>
      <c r="F173" s="2794" t="e">
        <v>#N/A</v>
      </c>
      <c r="G173" s="2795" t="e">
        <v>#N/A</v>
      </c>
      <c r="H173" s="2796" t="e">
        <v>#N/A</v>
      </c>
    </row>
    <row r="174" spans="1:8" ht="12.75">
      <c r="A174" s="1232">
        <f t="shared" si="1"/>
        <v>2025.09</v>
      </c>
      <c r="B174" s="2792" t="e">
        <v>#N/A</v>
      </c>
      <c r="C174" s="2793" t="e">
        <v>#N/A</v>
      </c>
      <c r="D174" s="2794" t="e">
        <v>#N/A</v>
      </c>
      <c r="E174" s="2793" t="e">
        <v>#N/A</v>
      </c>
      <c r="F174" s="2794" t="e">
        <v>#N/A</v>
      </c>
      <c r="G174" s="2795" t="e">
        <v>#N/A</v>
      </c>
      <c r="H174" s="2796" t="e">
        <v>#N/A</v>
      </c>
    </row>
    <row r="175" spans="1:8" ht="12.75">
      <c r="A175" s="1232">
        <f>A163+1</f>
        <v>2025.1</v>
      </c>
      <c r="B175" s="2792" t="e">
        <v>#N/A</v>
      </c>
      <c r="C175" s="2793" t="e">
        <v>#N/A</v>
      </c>
      <c r="D175" s="2794" t="e">
        <v>#N/A</v>
      </c>
      <c r="E175" s="2793" t="e">
        <v>#N/A</v>
      </c>
      <c r="F175" s="2794" t="e">
        <v>#N/A</v>
      </c>
      <c r="G175" s="2795" t="e">
        <v>#N/A</v>
      </c>
      <c r="H175" s="2796" t="e">
        <v>#N/A</v>
      </c>
    </row>
    <row r="176" spans="1:8" ht="12.75">
      <c r="A176" s="1232">
        <f t="shared" si="1"/>
        <v>2025.11</v>
      </c>
      <c r="B176" s="2792" t="e">
        <v>#N/A</v>
      </c>
      <c r="C176" s="2793" t="e">
        <v>#N/A</v>
      </c>
      <c r="D176" s="2794" t="e">
        <v>#N/A</v>
      </c>
      <c r="E176" s="2793" t="e">
        <v>#N/A</v>
      </c>
      <c r="F176" s="2794" t="e">
        <v>#N/A</v>
      </c>
      <c r="G176" s="2795" t="e">
        <v>#N/A</v>
      </c>
      <c r="H176" s="2796" t="e">
        <v>#N/A</v>
      </c>
    </row>
    <row r="177" spans="1:8" ht="12.75">
      <c r="A177" s="1232">
        <f t="shared" ref="A177:A208" si="2">A165+1</f>
        <v>2025.12</v>
      </c>
      <c r="B177" s="2792" t="e">
        <v>#N/A</v>
      </c>
      <c r="C177" s="2793" t="e">
        <v>#N/A</v>
      </c>
      <c r="D177" s="2794" t="e">
        <v>#N/A</v>
      </c>
      <c r="E177" s="2793" t="e">
        <v>#N/A</v>
      </c>
      <c r="F177" s="2794" t="e">
        <v>#N/A</v>
      </c>
      <c r="G177" s="2795" t="e">
        <v>#N/A</v>
      </c>
      <c r="H177" s="2796" t="e">
        <v>#N/A</v>
      </c>
    </row>
    <row r="178" spans="1:8" ht="12.75">
      <c r="A178" s="1232">
        <f t="shared" si="2"/>
        <v>2026.01</v>
      </c>
      <c r="B178" s="2792" t="e">
        <v>#N/A</v>
      </c>
      <c r="C178" s="2793" t="e">
        <v>#N/A</v>
      </c>
      <c r="D178" s="2794" t="e">
        <v>#N/A</v>
      </c>
      <c r="E178" s="2793" t="e">
        <v>#N/A</v>
      </c>
      <c r="F178" s="2794" t="e">
        <v>#N/A</v>
      </c>
      <c r="G178" s="2795" t="e">
        <v>#N/A</v>
      </c>
      <c r="H178" s="2796" t="e">
        <v>#N/A</v>
      </c>
    </row>
    <row r="179" spans="1:8" ht="12.75">
      <c r="A179" s="1232">
        <f t="shared" si="2"/>
        <v>2026.02</v>
      </c>
      <c r="B179" s="2792" t="e">
        <v>#N/A</v>
      </c>
      <c r="C179" s="2793" t="e">
        <v>#N/A</v>
      </c>
      <c r="D179" s="2794" t="e">
        <v>#N/A</v>
      </c>
      <c r="E179" s="2793" t="e">
        <v>#N/A</v>
      </c>
      <c r="F179" s="2794" t="e">
        <v>#N/A</v>
      </c>
      <c r="G179" s="2795" t="e">
        <v>#N/A</v>
      </c>
      <c r="H179" s="2796" t="e">
        <v>#N/A</v>
      </c>
    </row>
    <row r="180" spans="1:8" ht="12.75">
      <c r="A180" s="1232">
        <f t="shared" si="2"/>
        <v>2026.03</v>
      </c>
      <c r="B180" s="2792" t="e">
        <v>#N/A</v>
      </c>
      <c r="C180" s="2793" t="e">
        <v>#N/A</v>
      </c>
      <c r="D180" s="2794" t="e">
        <v>#N/A</v>
      </c>
      <c r="E180" s="2793" t="e">
        <v>#N/A</v>
      </c>
      <c r="F180" s="2794" t="e">
        <v>#N/A</v>
      </c>
      <c r="G180" s="2795" t="e">
        <v>#N/A</v>
      </c>
      <c r="H180" s="2796" t="e">
        <v>#N/A</v>
      </c>
    </row>
    <row r="181" spans="1:8" ht="12.75">
      <c r="A181" s="1232">
        <f t="shared" si="2"/>
        <v>2026.04</v>
      </c>
      <c r="B181" s="2792" t="e">
        <v>#N/A</v>
      </c>
      <c r="C181" s="2793" t="e">
        <v>#N/A</v>
      </c>
      <c r="D181" s="2794" t="e">
        <v>#N/A</v>
      </c>
      <c r="E181" s="2793" t="e">
        <v>#N/A</v>
      </c>
      <c r="F181" s="2794" t="e">
        <v>#N/A</v>
      </c>
      <c r="G181" s="2795" t="e">
        <v>#N/A</v>
      </c>
      <c r="H181" s="2796" t="e">
        <v>#N/A</v>
      </c>
    </row>
    <row r="182" spans="1:8" ht="12.75">
      <c r="A182" s="1232">
        <f t="shared" si="2"/>
        <v>2026.05</v>
      </c>
      <c r="B182" s="2792" t="e">
        <v>#N/A</v>
      </c>
      <c r="C182" s="2793" t="e">
        <v>#N/A</v>
      </c>
      <c r="D182" s="2794" t="e">
        <v>#N/A</v>
      </c>
      <c r="E182" s="2793" t="e">
        <v>#N/A</v>
      </c>
      <c r="F182" s="2794" t="e">
        <v>#N/A</v>
      </c>
      <c r="G182" s="2795" t="e">
        <v>#N/A</v>
      </c>
      <c r="H182" s="2796" t="e">
        <v>#N/A</v>
      </c>
    </row>
    <row r="183" spans="1:8" ht="12.75">
      <c r="A183" s="1232">
        <f t="shared" si="2"/>
        <v>2026.06</v>
      </c>
      <c r="B183" s="2792" t="e">
        <v>#N/A</v>
      </c>
      <c r="C183" s="2793" t="e">
        <v>#N/A</v>
      </c>
      <c r="D183" s="2794" t="e">
        <v>#N/A</v>
      </c>
      <c r="E183" s="2793" t="e">
        <v>#N/A</v>
      </c>
      <c r="F183" s="2794" t="e">
        <v>#N/A</v>
      </c>
      <c r="G183" s="2795" t="e">
        <v>#N/A</v>
      </c>
      <c r="H183" s="2796" t="e">
        <v>#N/A</v>
      </c>
    </row>
    <row r="184" spans="1:8" ht="12.75">
      <c r="A184" s="1232">
        <f t="shared" si="2"/>
        <v>2026.07</v>
      </c>
      <c r="B184" s="2792" t="e">
        <v>#N/A</v>
      </c>
      <c r="C184" s="2793" t="e">
        <v>#N/A</v>
      </c>
      <c r="D184" s="2794" t="e">
        <v>#N/A</v>
      </c>
      <c r="E184" s="2793" t="e">
        <v>#N/A</v>
      </c>
      <c r="F184" s="2794" t="e">
        <v>#N/A</v>
      </c>
      <c r="G184" s="2795" t="e">
        <v>#N/A</v>
      </c>
      <c r="H184" s="2796" t="e">
        <v>#N/A</v>
      </c>
    </row>
    <row r="185" spans="1:8" ht="12.75">
      <c r="A185" s="1232">
        <f t="shared" si="2"/>
        <v>2026.08</v>
      </c>
      <c r="B185" s="2792" t="e">
        <v>#N/A</v>
      </c>
      <c r="C185" s="2793" t="e">
        <v>#N/A</v>
      </c>
      <c r="D185" s="2794" t="e">
        <v>#N/A</v>
      </c>
      <c r="E185" s="2793" t="e">
        <v>#N/A</v>
      </c>
      <c r="F185" s="2794" t="e">
        <v>#N/A</v>
      </c>
      <c r="G185" s="2795" t="e">
        <v>#N/A</v>
      </c>
      <c r="H185" s="2796" t="e">
        <v>#N/A</v>
      </c>
    </row>
    <row r="186" spans="1:8" ht="12.75">
      <c r="A186" s="1232">
        <f t="shared" si="2"/>
        <v>2026.09</v>
      </c>
      <c r="B186" s="2792" t="e">
        <v>#N/A</v>
      </c>
      <c r="C186" s="2793" t="e">
        <v>#N/A</v>
      </c>
      <c r="D186" s="2794" t="e">
        <v>#N/A</v>
      </c>
      <c r="E186" s="2793" t="e">
        <v>#N/A</v>
      </c>
      <c r="F186" s="2794" t="e">
        <v>#N/A</v>
      </c>
      <c r="G186" s="2795" t="e">
        <v>#N/A</v>
      </c>
      <c r="H186" s="2796" t="e">
        <v>#N/A</v>
      </c>
    </row>
    <row r="187" spans="1:8" ht="12.75">
      <c r="A187" s="1232">
        <f t="shared" si="2"/>
        <v>2026.1</v>
      </c>
      <c r="B187" s="2792" t="e">
        <v>#N/A</v>
      </c>
      <c r="C187" s="2793" t="e">
        <v>#N/A</v>
      </c>
      <c r="D187" s="2794" t="e">
        <v>#N/A</v>
      </c>
      <c r="E187" s="2793" t="e">
        <v>#N/A</v>
      </c>
      <c r="F187" s="2794" t="e">
        <v>#N/A</v>
      </c>
      <c r="G187" s="2795" t="e">
        <v>#N/A</v>
      </c>
      <c r="H187" s="2796" t="e">
        <v>#N/A</v>
      </c>
    </row>
    <row r="188" spans="1:8" ht="12.75">
      <c r="A188" s="1232">
        <f t="shared" si="2"/>
        <v>2026.11</v>
      </c>
      <c r="B188" s="2792" t="e">
        <v>#N/A</v>
      </c>
      <c r="C188" s="2793" t="e">
        <v>#N/A</v>
      </c>
      <c r="D188" s="2794" t="e">
        <v>#N/A</v>
      </c>
      <c r="E188" s="2793" t="e">
        <v>#N/A</v>
      </c>
      <c r="F188" s="2794" t="e">
        <v>#N/A</v>
      </c>
      <c r="G188" s="2795" t="e">
        <v>#N/A</v>
      </c>
      <c r="H188" s="2796" t="e">
        <v>#N/A</v>
      </c>
    </row>
    <row r="189" spans="1:8" ht="12.75">
      <c r="A189" s="1232">
        <f t="shared" si="2"/>
        <v>2026.12</v>
      </c>
      <c r="B189" s="2792" t="e">
        <v>#N/A</v>
      </c>
      <c r="C189" s="2793" t="e">
        <v>#N/A</v>
      </c>
      <c r="D189" s="2794" t="e">
        <v>#N/A</v>
      </c>
      <c r="E189" s="2793" t="e">
        <v>#N/A</v>
      </c>
      <c r="F189" s="2794" t="e">
        <v>#N/A</v>
      </c>
      <c r="G189" s="2795" t="e">
        <v>#N/A</v>
      </c>
      <c r="H189" s="2796" t="e">
        <v>#N/A</v>
      </c>
    </row>
    <row r="190" spans="1:8" ht="12.75">
      <c r="A190" s="1232">
        <f t="shared" si="2"/>
        <v>2027.01</v>
      </c>
      <c r="B190" s="2792" t="e">
        <v>#N/A</v>
      </c>
      <c r="C190" s="2793" t="e">
        <v>#N/A</v>
      </c>
      <c r="D190" s="2794" t="e">
        <v>#N/A</v>
      </c>
      <c r="E190" s="2793" t="e">
        <v>#N/A</v>
      </c>
      <c r="F190" s="2794" t="e">
        <v>#N/A</v>
      </c>
      <c r="G190" s="2795" t="e">
        <v>#N/A</v>
      </c>
      <c r="H190" s="2796" t="e">
        <v>#N/A</v>
      </c>
    </row>
    <row r="191" spans="1:8" ht="12.75">
      <c r="A191" s="1232">
        <f t="shared" si="2"/>
        <v>2027.02</v>
      </c>
      <c r="B191" s="2792" t="e">
        <v>#N/A</v>
      </c>
      <c r="C191" s="2793" t="e">
        <v>#N/A</v>
      </c>
      <c r="D191" s="2794" t="e">
        <v>#N/A</v>
      </c>
      <c r="E191" s="2793" t="e">
        <v>#N/A</v>
      </c>
      <c r="F191" s="2794" t="e">
        <v>#N/A</v>
      </c>
      <c r="G191" s="2795" t="e">
        <v>#N/A</v>
      </c>
      <c r="H191" s="2796" t="e">
        <v>#N/A</v>
      </c>
    </row>
    <row r="192" spans="1:8" ht="12.75">
      <c r="A192" s="1232">
        <f t="shared" si="2"/>
        <v>2027.03</v>
      </c>
      <c r="B192" s="2792" t="e">
        <v>#N/A</v>
      </c>
      <c r="C192" s="2793" t="e">
        <v>#N/A</v>
      </c>
      <c r="D192" s="2794" t="e">
        <v>#N/A</v>
      </c>
      <c r="E192" s="2793" t="e">
        <v>#N/A</v>
      </c>
      <c r="F192" s="2794" t="e">
        <v>#N/A</v>
      </c>
      <c r="G192" s="2795" t="e">
        <v>#N/A</v>
      </c>
      <c r="H192" s="2796" t="e">
        <v>#N/A</v>
      </c>
    </row>
    <row r="193" spans="1:8" ht="12.75">
      <c r="A193" s="1232">
        <f t="shared" si="2"/>
        <v>2027.04</v>
      </c>
      <c r="B193" s="2792" t="e">
        <v>#N/A</v>
      </c>
      <c r="C193" s="2793" t="e">
        <v>#N/A</v>
      </c>
      <c r="D193" s="2794" t="e">
        <v>#N/A</v>
      </c>
      <c r="E193" s="2793" t="e">
        <v>#N/A</v>
      </c>
      <c r="F193" s="2794" t="e">
        <v>#N/A</v>
      </c>
      <c r="G193" s="2795" t="e">
        <v>#N/A</v>
      </c>
      <c r="H193" s="2796" t="e">
        <v>#N/A</v>
      </c>
    </row>
    <row r="194" spans="1:8" ht="12.75">
      <c r="A194" s="1232">
        <f t="shared" si="2"/>
        <v>2027.05</v>
      </c>
      <c r="B194" s="2792" t="e">
        <v>#N/A</v>
      </c>
      <c r="C194" s="2793" t="e">
        <v>#N/A</v>
      </c>
      <c r="D194" s="2794" t="e">
        <v>#N/A</v>
      </c>
      <c r="E194" s="2793" t="e">
        <v>#N/A</v>
      </c>
      <c r="F194" s="2794" t="e">
        <v>#N/A</v>
      </c>
      <c r="G194" s="2795" t="e">
        <v>#N/A</v>
      </c>
      <c r="H194" s="2796" t="e">
        <v>#N/A</v>
      </c>
    </row>
    <row r="195" spans="1:8" ht="12.75">
      <c r="A195" s="1232">
        <f t="shared" si="2"/>
        <v>2027.06</v>
      </c>
      <c r="B195" s="2792" t="e">
        <v>#N/A</v>
      </c>
      <c r="C195" s="2793" t="e">
        <v>#N/A</v>
      </c>
      <c r="D195" s="2794" t="e">
        <v>#N/A</v>
      </c>
      <c r="E195" s="2793" t="e">
        <v>#N/A</v>
      </c>
      <c r="F195" s="2794" t="e">
        <v>#N/A</v>
      </c>
      <c r="G195" s="2795" t="e">
        <v>#N/A</v>
      </c>
      <c r="H195" s="2796" t="e">
        <v>#N/A</v>
      </c>
    </row>
    <row r="196" spans="1:8" ht="12.75">
      <c r="A196" s="1232">
        <f t="shared" si="2"/>
        <v>2027.07</v>
      </c>
      <c r="B196" s="2792" t="e">
        <v>#N/A</v>
      </c>
      <c r="C196" s="2793" t="e">
        <v>#N/A</v>
      </c>
      <c r="D196" s="2794" t="e">
        <v>#N/A</v>
      </c>
      <c r="E196" s="2793" t="e">
        <v>#N/A</v>
      </c>
      <c r="F196" s="2794" t="e">
        <v>#N/A</v>
      </c>
      <c r="G196" s="2795" t="e">
        <v>#N/A</v>
      </c>
      <c r="H196" s="2796" t="e">
        <v>#N/A</v>
      </c>
    </row>
    <row r="197" spans="1:8" ht="12.75">
      <c r="A197" s="1232">
        <f t="shared" si="2"/>
        <v>2027.08</v>
      </c>
      <c r="B197" s="2792" t="e">
        <v>#N/A</v>
      </c>
      <c r="C197" s="2793" t="e">
        <v>#N/A</v>
      </c>
      <c r="D197" s="2794" t="e">
        <v>#N/A</v>
      </c>
      <c r="E197" s="2793" t="e">
        <v>#N/A</v>
      </c>
      <c r="F197" s="2794" t="e">
        <v>#N/A</v>
      </c>
      <c r="G197" s="2795" t="e">
        <v>#N/A</v>
      </c>
      <c r="H197" s="2796" t="e">
        <v>#N/A</v>
      </c>
    </row>
    <row r="198" spans="1:8" ht="12.75">
      <c r="A198" s="1232">
        <f t="shared" si="2"/>
        <v>2027.09</v>
      </c>
      <c r="B198" s="2792" t="e">
        <v>#N/A</v>
      </c>
      <c r="C198" s="2793" t="e">
        <v>#N/A</v>
      </c>
      <c r="D198" s="2794" t="e">
        <v>#N/A</v>
      </c>
      <c r="E198" s="2793" t="e">
        <v>#N/A</v>
      </c>
      <c r="F198" s="2794" t="e">
        <v>#N/A</v>
      </c>
      <c r="G198" s="2795" t="e">
        <v>#N/A</v>
      </c>
      <c r="H198" s="2796" t="e">
        <v>#N/A</v>
      </c>
    </row>
    <row r="199" spans="1:8" ht="12.75">
      <c r="A199" s="1232">
        <f t="shared" si="2"/>
        <v>2027.1</v>
      </c>
      <c r="B199" s="2792" t="e">
        <v>#N/A</v>
      </c>
      <c r="C199" s="2793" t="e">
        <v>#N/A</v>
      </c>
      <c r="D199" s="2794" t="e">
        <v>#N/A</v>
      </c>
      <c r="E199" s="2793" t="e">
        <v>#N/A</v>
      </c>
      <c r="F199" s="2794" t="e">
        <v>#N/A</v>
      </c>
      <c r="G199" s="2795" t="e">
        <v>#N/A</v>
      </c>
      <c r="H199" s="2796" t="e">
        <v>#N/A</v>
      </c>
    </row>
    <row r="200" spans="1:8" ht="12.75">
      <c r="A200" s="1232">
        <f t="shared" si="2"/>
        <v>2027.11</v>
      </c>
      <c r="B200" s="2792" t="e">
        <v>#N/A</v>
      </c>
      <c r="C200" s="2793" t="e">
        <v>#N/A</v>
      </c>
      <c r="D200" s="2794" t="e">
        <v>#N/A</v>
      </c>
      <c r="E200" s="2793" t="e">
        <v>#N/A</v>
      </c>
      <c r="F200" s="2794" t="e">
        <v>#N/A</v>
      </c>
      <c r="G200" s="2795" t="e">
        <v>#N/A</v>
      </c>
      <c r="H200" s="2796" t="e">
        <v>#N/A</v>
      </c>
    </row>
    <row r="201" spans="1:8" ht="12.75">
      <c r="A201" s="1232">
        <f t="shared" si="2"/>
        <v>2027.12</v>
      </c>
      <c r="B201" s="2792" t="e">
        <v>#N/A</v>
      </c>
      <c r="C201" s="2793" t="e">
        <v>#N/A</v>
      </c>
      <c r="D201" s="2794" t="e">
        <v>#N/A</v>
      </c>
      <c r="E201" s="2793" t="e">
        <v>#N/A</v>
      </c>
      <c r="F201" s="2794" t="e">
        <v>#N/A</v>
      </c>
      <c r="G201" s="2795" t="e">
        <v>#N/A</v>
      </c>
      <c r="H201" s="2796" t="e">
        <v>#N/A</v>
      </c>
    </row>
    <row r="202" spans="1:8" ht="12.75">
      <c r="A202" s="1232">
        <f t="shared" si="2"/>
        <v>2028.01</v>
      </c>
      <c r="B202" s="2792" t="e">
        <v>#N/A</v>
      </c>
      <c r="C202" s="2793" t="e">
        <v>#N/A</v>
      </c>
      <c r="D202" s="2794" t="e">
        <v>#N/A</v>
      </c>
      <c r="E202" s="2793" t="e">
        <v>#N/A</v>
      </c>
      <c r="F202" s="2794" t="e">
        <v>#N/A</v>
      </c>
      <c r="G202" s="2795" t="e">
        <v>#N/A</v>
      </c>
      <c r="H202" s="2796" t="e">
        <v>#N/A</v>
      </c>
    </row>
    <row r="203" spans="1:8" ht="12.75">
      <c r="A203" s="1232">
        <f t="shared" si="2"/>
        <v>2028.02</v>
      </c>
      <c r="B203" s="2792" t="e">
        <v>#N/A</v>
      </c>
      <c r="C203" s="2793" t="e">
        <v>#N/A</v>
      </c>
      <c r="D203" s="2794" t="e">
        <v>#N/A</v>
      </c>
      <c r="E203" s="2793" t="e">
        <v>#N/A</v>
      </c>
      <c r="F203" s="2794" t="e">
        <v>#N/A</v>
      </c>
      <c r="G203" s="2795" t="e">
        <v>#N/A</v>
      </c>
      <c r="H203" s="2796" t="e">
        <v>#N/A</v>
      </c>
    </row>
    <row r="204" spans="1:8" ht="12.75">
      <c r="A204" s="1232">
        <f t="shared" si="2"/>
        <v>2028.03</v>
      </c>
      <c r="B204" s="2792" t="e">
        <v>#N/A</v>
      </c>
      <c r="C204" s="2793" t="e">
        <v>#N/A</v>
      </c>
      <c r="D204" s="2794" t="e">
        <v>#N/A</v>
      </c>
      <c r="E204" s="2793" t="e">
        <v>#N/A</v>
      </c>
      <c r="F204" s="2794" t="e">
        <v>#N/A</v>
      </c>
      <c r="G204" s="2795" t="e">
        <v>#N/A</v>
      </c>
      <c r="H204" s="2796" t="e">
        <v>#N/A</v>
      </c>
    </row>
    <row r="205" spans="1:8" ht="12.75">
      <c r="A205" s="1232">
        <f t="shared" si="2"/>
        <v>2028.04</v>
      </c>
      <c r="B205" s="2792" t="e">
        <v>#N/A</v>
      </c>
      <c r="C205" s="2793" t="e">
        <v>#N/A</v>
      </c>
      <c r="D205" s="2794" t="e">
        <v>#N/A</v>
      </c>
      <c r="E205" s="2793" t="e">
        <v>#N/A</v>
      </c>
      <c r="F205" s="2794" t="e">
        <v>#N/A</v>
      </c>
      <c r="G205" s="2795" t="e">
        <v>#N/A</v>
      </c>
      <c r="H205" s="2796" t="e">
        <v>#N/A</v>
      </c>
    </row>
    <row r="206" spans="1:8" ht="12.75">
      <c r="A206" s="1232">
        <f t="shared" si="2"/>
        <v>2028.05</v>
      </c>
      <c r="B206" s="2792" t="e">
        <v>#N/A</v>
      </c>
      <c r="C206" s="2793" t="e">
        <v>#N/A</v>
      </c>
      <c r="D206" s="2794" t="e">
        <v>#N/A</v>
      </c>
      <c r="E206" s="2793" t="e">
        <v>#N/A</v>
      </c>
      <c r="F206" s="2794" t="e">
        <v>#N/A</v>
      </c>
      <c r="G206" s="2795" t="e">
        <v>#N/A</v>
      </c>
      <c r="H206" s="2796" t="e">
        <v>#N/A</v>
      </c>
    </row>
    <row r="207" spans="1:8" ht="12.75">
      <c r="A207" s="1232">
        <f t="shared" si="2"/>
        <v>2028.06</v>
      </c>
      <c r="B207" s="2792" t="e">
        <v>#N/A</v>
      </c>
      <c r="C207" s="2793" t="e">
        <v>#N/A</v>
      </c>
      <c r="D207" s="2794" t="e">
        <v>#N/A</v>
      </c>
      <c r="E207" s="2793" t="e">
        <v>#N/A</v>
      </c>
      <c r="F207" s="2794" t="e">
        <v>#N/A</v>
      </c>
      <c r="G207" s="2795" t="e">
        <v>#N/A</v>
      </c>
      <c r="H207" s="2796" t="e">
        <v>#N/A</v>
      </c>
    </row>
    <row r="208" spans="1:8" ht="12.75">
      <c r="A208" s="1232">
        <f t="shared" si="2"/>
        <v>2028.07</v>
      </c>
      <c r="B208" s="2792" t="e">
        <v>#N/A</v>
      </c>
      <c r="C208" s="2793" t="e">
        <v>#N/A</v>
      </c>
      <c r="D208" s="2794" t="e">
        <v>#N/A</v>
      </c>
      <c r="E208" s="2793" t="e">
        <v>#N/A</v>
      </c>
      <c r="F208" s="2794" t="e">
        <v>#N/A</v>
      </c>
      <c r="G208" s="2795" t="e">
        <v>#N/A</v>
      </c>
      <c r="H208" s="2796" t="e">
        <v>#N/A</v>
      </c>
    </row>
    <row r="209" spans="1:8" ht="12.75">
      <c r="A209" s="1232">
        <f t="shared" ref="A209:A237" si="3">A197+1</f>
        <v>2028.08</v>
      </c>
      <c r="B209" s="2792" t="e">
        <v>#N/A</v>
      </c>
      <c r="C209" s="2793" t="e">
        <v>#N/A</v>
      </c>
      <c r="D209" s="2794" t="e">
        <v>#N/A</v>
      </c>
      <c r="E209" s="2793" t="e">
        <v>#N/A</v>
      </c>
      <c r="F209" s="2794" t="e">
        <v>#N/A</v>
      </c>
      <c r="G209" s="2795" t="e">
        <v>#N/A</v>
      </c>
      <c r="H209" s="2796" t="e">
        <v>#N/A</v>
      </c>
    </row>
    <row r="210" spans="1:8" ht="12.75">
      <c r="A210" s="1232">
        <f t="shared" si="3"/>
        <v>2028.09</v>
      </c>
      <c r="B210" s="2792" t="e">
        <v>#N/A</v>
      </c>
      <c r="C210" s="2793" t="e">
        <v>#N/A</v>
      </c>
      <c r="D210" s="2794" t="e">
        <v>#N/A</v>
      </c>
      <c r="E210" s="2793" t="e">
        <v>#N/A</v>
      </c>
      <c r="F210" s="2794" t="e">
        <v>#N/A</v>
      </c>
      <c r="G210" s="2795" t="e">
        <v>#N/A</v>
      </c>
      <c r="H210" s="2796" t="e">
        <v>#N/A</v>
      </c>
    </row>
    <row r="211" spans="1:8" ht="12.75">
      <c r="A211" s="1232">
        <f t="shared" si="3"/>
        <v>2028.1</v>
      </c>
      <c r="B211" s="2792" t="e">
        <v>#N/A</v>
      </c>
      <c r="C211" s="2793" t="e">
        <v>#N/A</v>
      </c>
      <c r="D211" s="2794" t="e">
        <v>#N/A</v>
      </c>
      <c r="E211" s="2793" t="e">
        <v>#N/A</v>
      </c>
      <c r="F211" s="2794" t="e">
        <v>#N/A</v>
      </c>
      <c r="G211" s="2795" t="e">
        <v>#N/A</v>
      </c>
      <c r="H211" s="2796" t="e">
        <v>#N/A</v>
      </c>
    </row>
    <row r="212" spans="1:8" ht="12.75">
      <c r="A212" s="1232">
        <f t="shared" si="3"/>
        <v>2028.11</v>
      </c>
      <c r="B212" s="2792" t="e">
        <v>#N/A</v>
      </c>
      <c r="C212" s="2793" t="e">
        <v>#N/A</v>
      </c>
      <c r="D212" s="2794" t="e">
        <v>#N/A</v>
      </c>
      <c r="E212" s="2793" t="e">
        <v>#N/A</v>
      </c>
      <c r="F212" s="2794" t="e">
        <v>#N/A</v>
      </c>
      <c r="G212" s="2795" t="e">
        <v>#N/A</v>
      </c>
      <c r="H212" s="2796" t="e">
        <v>#N/A</v>
      </c>
    </row>
    <row r="213" spans="1:8" ht="12.75">
      <c r="A213" s="1232">
        <f t="shared" si="3"/>
        <v>2028.12</v>
      </c>
      <c r="B213" s="2792" t="e">
        <v>#N/A</v>
      </c>
      <c r="C213" s="2793" t="e">
        <v>#N/A</v>
      </c>
      <c r="D213" s="2794" t="e">
        <v>#N/A</v>
      </c>
      <c r="E213" s="2793" t="e">
        <v>#N/A</v>
      </c>
      <c r="F213" s="2794" t="e">
        <v>#N/A</v>
      </c>
      <c r="G213" s="2795" t="e">
        <v>#N/A</v>
      </c>
      <c r="H213" s="2796" t="e">
        <v>#N/A</v>
      </c>
    </row>
    <row r="214" spans="1:8" ht="12.75">
      <c r="A214" s="1232">
        <f t="shared" si="3"/>
        <v>2029.01</v>
      </c>
      <c r="B214" s="2792" t="e">
        <v>#N/A</v>
      </c>
      <c r="C214" s="2793" t="e">
        <v>#N/A</v>
      </c>
      <c r="D214" s="2794" t="e">
        <v>#N/A</v>
      </c>
      <c r="E214" s="2793" t="e">
        <v>#N/A</v>
      </c>
      <c r="F214" s="2794" t="e">
        <v>#N/A</v>
      </c>
      <c r="G214" s="2795" t="e">
        <v>#N/A</v>
      </c>
      <c r="H214" s="2796" t="e">
        <v>#N/A</v>
      </c>
    </row>
    <row r="215" spans="1:8" ht="12.75">
      <c r="A215" s="1232">
        <f t="shared" si="3"/>
        <v>2029.02</v>
      </c>
      <c r="B215" s="2792" t="e">
        <v>#N/A</v>
      </c>
      <c r="C215" s="2793" t="e">
        <v>#N/A</v>
      </c>
      <c r="D215" s="2794" t="e">
        <v>#N/A</v>
      </c>
      <c r="E215" s="2793" t="e">
        <v>#N/A</v>
      </c>
      <c r="F215" s="2794" t="e">
        <v>#N/A</v>
      </c>
      <c r="G215" s="2795" t="e">
        <v>#N/A</v>
      </c>
      <c r="H215" s="2796" t="e">
        <v>#N/A</v>
      </c>
    </row>
    <row r="216" spans="1:8" ht="12.75">
      <c r="A216" s="1232">
        <f t="shared" si="3"/>
        <v>2029.03</v>
      </c>
      <c r="B216" s="2792" t="e">
        <v>#N/A</v>
      </c>
      <c r="C216" s="2793" t="e">
        <v>#N/A</v>
      </c>
      <c r="D216" s="2794" t="e">
        <v>#N/A</v>
      </c>
      <c r="E216" s="2793" t="e">
        <v>#N/A</v>
      </c>
      <c r="F216" s="2794" t="e">
        <v>#N/A</v>
      </c>
      <c r="G216" s="2795" t="e">
        <v>#N/A</v>
      </c>
      <c r="H216" s="2796" t="e">
        <v>#N/A</v>
      </c>
    </row>
    <row r="217" spans="1:8" ht="12.75">
      <c r="A217" s="1232">
        <f t="shared" si="3"/>
        <v>2029.04</v>
      </c>
      <c r="B217" s="2792" t="e">
        <v>#N/A</v>
      </c>
      <c r="C217" s="2793" t="e">
        <v>#N/A</v>
      </c>
      <c r="D217" s="2794" t="e">
        <v>#N/A</v>
      </c>
      <c r="E217" s="2793" t="e">
        <v>#N/A</v>
      </c>
      <c r="F217" s="2794" t="e">
        <v>#N/A</v>
      </c>
      <c r="G217" s="2795" t="e">
        <v>#N/A</v>
      </c>
      <c r="H217" s="2796" t="e">
        <v>#N/A</v>
      </c>
    </row>
    <row r="218" spans="1:8" ht="12.75">
      <c r="A218" s="1232">
        <f t="shared" si="3"/>
        <v>2029.05</v>
      </c>
      <c r="B218" s="2792" t="e">
        <v>#N/A</v>
      </c>
      <c r="C218" s="2793" t="e">
        <v>#N/A</v>
      </c>
      <c r="D218" s="2794" t="e">
        <v>#N/A</v>
      </c>
      <c r="E218" s="2793" t="e">
        <v>#N/A</v>
      </c>
      <c r="F218" s="2794" t="e">
        <v>#N/A</v>
      </c>
      <c r="G218" s="2795" t="e">
        <v>#N/A</v>
      </c>
      <c r="H218" s="2796" t="e">
        <v>#N/A</v>
      </c>
    </row>
    <row r="219" spans="1:8" ht="12.75">
      <c r="A219" s="1232">
        <f t="shared" si="3"/>
        <v>2029.06</v>
      </c>
      <c r="B219" s="2792" t="e">
        <v>#N/A</v>
      </c>
      <c r="C219" s="2793" t="e">
        <v>#N/A</v>
      </c>
      <c r="D219" s="2794" t="e">
        <v>#N/A</v>
      </c>
      <c r="E219" s="2793" t="e">
        <v>#N/A</v>
      </c>
      <c r="F219" s="2794" t="e">
        <v>#N/A</v>
      </c>
      <c r="G219" s="2795" t="e">
        <v>#N/A</v>
      </c>
      <c r="H219" s="2796" t="e">
        <v>#N/A</v>
      </c>
    </row>
    <row r="220" spans="1:8" ht="12.75">
      <c r="A220" s="1232">
        <f t="shared" si="3"/>
        <v>2029.07</v>
      </c>
      <c r="B220" s="2792" t="e">
        <v>#N/A</v>
      </c>
      <c r="C220" s="2793" t="e">
        <v>#N/A</v>
      </c>
      <c r="D220" s="2794" t="e">
        <v>#N/A</v>
      </c>
      <c r="E220" s="2793" t="e">
        <v>#N/A</v>
      </c>
      <c r="F220" s="2794" t="e">
        <v>#N/A</v>
      </c>
      <c r="G220" s="2795" t="e">
        <v>#N/A</v>
      </c>
      <c r="H220" s="2796" t="e">
        <v>#N/A</v>
      </c>
    </row>
    <row r="221" spans="1:8" ht="12.75">
      <c r="A221" s="1232">
        <f t="shared" si="3"/>
        <v>2029.08</v>
      </c>
      <c r="B221" s="2792" t="e">
        <v>#N/A</v>
      </c>
      <c r="C221" s="2793" t="e">
        <v>#N/A</v>
      </c>
      <c r="D221" s="2794" t="e">
        <v>#N/A</v>
      </c>
      <c r="E221" s="2793" t="e">
        <v>#N/A</v>
      </c>
      <c r="F221" s="2794" t="e">
        <v>#N/A</v>
      </c>
      <c r="G221" s="2795" t="e">
        <v>#N/A</v>
      </c>
      <c r="H221" s="2796" t="e">
        <v>#N/A</v>
      </c>
    </row>
    <row r="222" spans="1:8" ht="12.75">
      <c r="A222" s="1232">
        <f t="shared" si="3"/>
        <v>2029.09</v>
      </c>
      <c r="B222" s="2792" t="e">
        <v>#N/A</v>
      </c>
      <c r="C222" s="2793" t="e">
        <v>#N/A</v>
      </c>
      <c r="D222" s="2794" t="e">
        <v>#N/A</v>
      </c>
      <c r="E222" s="2793" t="e">
        <v>#N/A</v>
      </c>
      <c r="F222" s="2794" t="e">
        <v>#N/A</v>
      </c>
      <c r="G222" s="2795" t="e">
        <v>#N/A</v>
      </c>
      <c r="H222" s="2796" t="e">
        <v>#N/A</v>
      </c>
    </row>
    <row r="223" spans="1:8" ht="12.75">
      <c r="A223" s="1232">
        <f t="shared" si="3"/>
        <v>2029.1</v>
      </c>
      <c r="B223" s="2792" t="e">
        <v>#N/A</v>
      </c>
      <c r="C223" s="2793" t="e">
        <v>#N/A</v>
      </c>
      <c r="D223" s="2794" t="e">
        <v>#N/A</v>
      </c>
      <c r="E223" s="2793" t="e">
        <v>#N/A</v>
      </c>
      <c r="F223" s="2794" t="e">
        <v>#N/A</v>
      </c>
      <c r="G223" s="2795" t="e">
        <v>#N/A</v>
      </c>
      <c r="H223" s="2796" t="e">
        <v>#N/A</v>
      </c>
    </row>
    <row r="224" spans="1:8" ht="12.75">
      <c r="A224" s="1232">
        <f t="shared" si="3"/>
        <v>2029.11</v>
      </c>
      <c r="B224" s="2792" t="e">
        <v>#N/A</v>
      </c>
      <c r="C224" s="2793" t="e">
        <v>#N/A</v>
      </c>
      <c r="D224" s="2794" t="e">
        <v>#N/A</v>
      </c>
      <c r="E224" s="2793" t="e">
        <v>#N/A</v>
      </c>
      <c r="F224" s="2794" t="e">
        <v>#N/A</v>
      </c>
      <c r="G224" s="2795" t="e">
        <v>#N/A</v>
      </c>
      <c r="H224" s="2796" t="e">
        <v>#N/A</v>
      </c>
    </row>
    <row r="225" spans="1:8" ht="12.75">
      <c r="A225" s="1232">
        <f t="shared" si="3"/>
        <v>2029.12</v>
      </c>
      <c r="B225" s="2792" t="e">
        <v>#N/A</v>
      </c>
      <c r="C225" s="2793" t="e">
        <v>#N/A</v>
      </c>
      <c r="D225" s="2794" t="e">
        <v>#N/A</v>
      </c>
      <c r="E225" s="2793" t="e">
        <v>#N/A</v>
      </c>
      <c r="F225" s="2794" t="e">
        <v>#N/A</v>
      </c>
      <c r="G225" s="2795" t="e">
        <v>#N/A</v>
      </c>
      <c r="H225" s="2796" t="e">
        <v>#N/A</v>
      </c>
    </row>
    <row r="226" spans="1:8" ht="12.75">
      <c r="A226" s="1232">
        <f t="shared" si="3"/>
        <v>2030.01</v>
      </c>
      <c r="B226" s="2792" t="e">
        <v>#N/A</v>
      </c>
      <c r="C226" s="2793" t="e">
        <v>#N/A</v>
      </c>
      <c r="D226" s="2794" t="e">
        <v>#N/A</v>
      </c>
      <c r="E226" s="2793" t="e">
        <v>#N/A</v>
      </c>
      <c r="F226" s="2794" t="e">
        <v>#N/A</v>
      </c>
      <c r="G226" s="2795" t="e">
        <v>#N/A</v>
      </c>
      <c r="H226" s="2796" t="e">
        <v>#N/A</v>
      </c>
    </row>
    <row r="227" spans="1:8" ht="12.75">
      <c r="A227" s="1232">
        <f t="shared" si="3"/>
        <v>2030.02</v>
      </c>
      <c r="B227" s="2792" t="e">
        <v>#N/A</v>
      </c>
      <c r="C227" s="2793" t="e">
        <v>#N/A</v>
      </c>
      <c r="D227" s="2794" t="e">
        <v>#N/A</v>
      </c>
      <c r="E227" s="2793" t="e">
        <v>#N/A</v>
      </c>
      <c r="F227" s="2794" t="e">
        <v>#N/A</v>
      </c>
      <c r="G227" s="2795" t="e">
        <v>#N/A</v>
      </c>
      <c r="H227" s="2796" t="e">
        <v>#N/A</v>
      </c>
    </row>
    <row r="228" spans="1:8" ht="12.75">
      <c r="A228" s="1232">
        <f t="shared" si="3"/>
        <v>2030.03</v>
      </c>
      <c r="B228" s="2792" t="e">
        <v>#N/A</v>
      </c>
      <c r="C228" s="2793" t="e">
        <v>#N/A</v>
      </c>
      <c r="D228" s="2794" t="e">
        <v>#N/A</v>
      </c>
      <c r="E228" s="2793" t="e">
        <v>#N/A</v>
      </c>
      <c r="F228" s="2794" t="e">
        <v>#N/A</v>
      </c>
      <c r="G228" s="2795" t="e">
        <v>#N/A</v>
      </c>
      <c r="H228" s="2796" t="e">
        <v>#N/A</v>
      </c>
    </row>
    <row r="229" spans="1:8" ht="12.75">
      <c r="A229" s="1232">
        <f t="shared" si="3"/>
        <v>2030.04</v>
      </c>
      <c r="B229" s="2792" t="e">
        <v>#N/A</v>
      </c>
      <c r="C229" s="2793" t="e">
        <v>#N/A</v>
      </c>
      <c r="D229" s="2794" t="e">
        <v>#N/A</v>
      </c>
      <c r="E229" s="2793" t="e">
        <v>#N/A</v>
      </c>
      <c r="F229" s="2794" t="e">
        <v>#N/A</v>
      </c>
      <c r="G229" s="2795" t="e">
        <v>#N/A</v>
      </c>
      <c r="H229" s="2796" t="e">
        <v>#N/A</v>
      </c>
    </row>
    <row r="230" spans="1:8" ht="12.75">
      <c r="A230" s="1232">
        <f t="shared" si="3"/>
        <v>2030.05</v>
      </c>
      <c r="B230" s="2792" t="e">
        <v>#N/A</v>
      </c>
      <c r="C230" s="2793" t="e">
        <v>#N/A</v>
      </c>
      <c r="D230" s="2794" t="e">
        <v>#N/A</v>
      </c>
      <c r="E230" s="2793" t="e">
        <v>#N/A</v>
      </c>
      <c r="F230" s="2794" t="e">
        <v>#N/A</v>
      </c>
      <c r="G230" s="2795" t="e">
        <v>#N/A</v>
      </c>
      <c r="H230" s="2796" t="e">
        <v>#N/A</v>
      </c>
    </row>
    <row r="231" spans="1:8" ht="12.75">
      <c r="A231" s="1232">
        <f t="shared" si="3"/>
        <v>2030.06</v>
      </c>
      <c r="B231" s="2792" t="e">
        <v>#N/A</v>
      </c>
      <c r="C231" s="2793" t="e">
        <v>#N/A</v>
      </c>
      <c r="D231" s="2794" t="e">
        <v>#N/A</v>
      </c>
      <c r="E231" s="2793" t="e">
        <v>#N/A</v>
      </c>
      <c r="F231" s="2794" t="e">
        <v>#N/A</v>
      </c>
      <c r="G231" s="2795" t="e">
        <v>#N/A</v>
      </c>
      <c r="H231" s="2796" t="e">
        <v>#N/A</v>
      </c>
    </row>
    <row r="232" spans="1:8" ht="12.75">
      <c r="A232" s="1232">
        <f t="shared" si="3"/>
        <v>2030.07</v>
      </c>
      <c r="B232" s="2792" t="e">
        <v>#N/A</v>
      </c>
      <c r="C232" s="2793" t="e">
        <v>#N/A</v>
      </c>
      <c r="D232" s="2794" t="e">
        <v>#N/A</v>
      </c>
      <c r="E232" s="2793" t="e">
        <v>#N/A</v>
      </c>
      <c r="F232" s="2794" t="e">
        <v>#N/A</v>
      </c>
      <c r="G232" s="2795" t="e">
        <v>#N/A</v>
      </c>
      <c r="H232" s="2796" t="e">
        <v>#N/A</v>
      </c>
    </row>
    <row r="233" spans="1:8" ht="12.75">
      <c r="A233" s="1232">
        <f t="shared" si="3"/>
        <v>2030.08</v>
      </c>
      <c r="B233" s="2792" t="e">
        <v>#N/A</v>
      </c>
      <c r="C233" s="2793" t="e">
        <v>#N/A</v>
      </c>
      <c r="D233" s="2794" t="e">
        <v>#N/A</v>
      </c>
      <c r="E233" s="2793" t="e">
        <v>#N/A</v>
      </c>
      <c r="F233" s="2794" t="e">
        <v>#N/A</v>
      </c>
      <c r="G233" s="2795" t="e">
        <v>#N/A</v>
      </c>
      <c r="H233" s="2796" t="e">
        <v>#N/A</v>
      </c>
    </row>
    <row r="234" spans="1:8" ht="12.75">
      <c r="A234" s="1232">
        <f t="shared" si="3"/>
        <v>2030.09</v>
      </c>
      <c r="B234" s="2792" t="e">
        <v>#N/A</v>
      </c>
      <c r="C234" s="2793" t="e">
        <v>#N/A</v>
      </c>
      <c r="D234" s="2794" t="e">
        <v>#N/A</v>
      </c>
      <c r="E234" s="2793" t="e">
        <v>#N/A</v>
      </c>
      <c r="F234" s="2794" t="e">
        <v>#N/A</v>
      </c>
      <c r="G234" s="2795" t="e">
        <v>#N/A</v>
      </c>
      <c r="H234" s="2796" t="e">
        <v>#N/A</v>
      </c>
    </row>
    <row r="235" spans="1:8" ht="12.75">
      <c r="A235" s="1232">
        <f t="shared" si="3"/>
        <v>2030.1</v>
      </c>
      <c r="B235" s="2792" t="e">
        <v>#N/A</v>
      </c>
      <c r="C235" s="2793" t="e">
        <v>#N/A</v>
      </c>
      <c r="D235" s="2794" t="e">
        <v>#N/A</v>
      </c>
      <c r="E235" s="2793" t="e">
        <v>#N/A</v>
      </c>
      <c r="F235" s="2794" t="e">
        <v>#N/A</v>
      </c>
      <c r="G235" s="2795" t="e">
        <v>#N/A</v>
      </c>
      <c r="H235" s="2796" t="e">
        <v>#N/A</v>
      </c>
    </row>
    <row r="236" spans="1:8" ht="12.75">
      <c r="A236" s="1232">
        <f t="shared" si="3"/>
        <v>2030.11</v>
      </c>
      <c r="B236" s="2792" t="e">
        <v>#N/A</v>
      </c>
      <c r="C236" s="2793" t="e">
        <v>#N/A</v>
      </c>
      <c r="D236" s="2794" t="e">
        <v>#N/A</v>
      </c>
      <c r="E236" s="2793" t="e">
        <v>#N/A</v>
      </c>
      <c r="F236" s="2794" t="e">
        <v>#N/A</v>
      </c>
      <c r="G236" s="2795" t="e">
        <v>#N/A</v>
      </c>
      <c r="H236" s="2796" t="e">
        <v>#N/A</v>
      </c>
    </row>
    <row r="237" spans="1:8" ht="12.75">
      <c r="A237" s="1232">
        <f t="shared" si="3"/>
        <v>2030.12</v>
      </c>
      <c r="B237" s="2792" t="e">
        <v>#N/A</v>
      </c>
      <c r="C237" s="2793" t="e">
        <v>#N/A</v>
      </c>
      <c r="D237" s="2794" t="e">
        <v>#N/A</v>
      </c>
      <c r="E237" s="2793" t="e">
        <v>#N/A</v>
      </c>
      <c r="F237" s="2794" t="e">
        <v>#N/A</v>
      </c>
      <c r="G237" s="2795" t="e">
        <v>#N/A</v>
      </c>
      <c r="H237" s="2796" t="e">
        <v>#N/A</v>
      </c>
    </row>
  </sheetData>
  <hyperlinks>
    <hyperlink ref="A5" location="INDICE!A13" display="VOLVER AL INDICE" xr:uid="{00000000-0004-0000-0F00-000000000000}"/>
  </hyperlink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25"/>
  <sheetViews>
    <sheetView workbookViewId="0">
      <pane xSplit="1" ySplit="9" topLeftCell="B130" activePane="bottomRight" state="frozen"/>
      <selection pane="topRight" activeCell="B1" sqref="B1"/>
      <selection pane="bottomLeft" activeCell="A10" sqref="A10"/>
      <selection pane="bottomRight" activeCell="B139" sqref="B139"/>
    </sheetView>
  </sheetViews>
  <sheetFormatPr baseColWidth="10" defaultColWidth="11.42578125" defaultRowHeight="15"/>
  <cols>
    <col min="1" max="1" width="11.42578125" style="1284"/>
    <col min="2" max="5" width="16.7109375" style="1284" customWidth="1"/>
    <col min="6" max="16384" width="11.42578125" style="1284"/>
  </cols>
  <sheetData>
    <row r="1" spans="1:8" s="1259" customFormat="1" ht="3" customHeight="1">
      <c r="A1" s="37"/>
      <c r="B1" s="1257"/>
      <c r="C1" s="1257"/>
      <c r="D1" s="1257"/>
      <c r="E1" s="1258"/>
    </row>
    <row r="2" spans="1:8" s="1259" customFormat="1" ht="23.45" customHeight="1">
      <c r="A2" s="121" t="s">
        <v>212</v>
      </c>
      <c r="B2" s="1260" t="s">
        <v>1291</v>
      </c>
      <c r="C2" s="1260"/>
      <c r="D2" s="1260"/>
      <c r="E2" s="1261"/>
    </row>
    <row r="3" spans="1:8" s="1259" customFormat="1" ht="18" customHeight="1">
      <c r="A3" s="195" t="s">
        <v>211</v>
      </c>
      <c r="B3" s="1260" t="s">
        <v>1266</v>
      </c>
      <c r="C3" s="1260"/>
      <c r="D3" s="1260"/>
      <c r="E3" s="1261"/>
      <c r="H3" s="1262"/>
    </row>
    <row r="4" spans="1:8" s="1259" customFormat="1" ht="2.25" customHeight="1">
      <c r="A4" s="37"/>
      <c r="B4" s="1263"/>
      <c r="C4" s="1257"/>
      <c r="D4" s="1257"/>
      <c r="E4" s="1258"/>
    </row>
    <row r="5" spans="1:8" s="1259" customFormat="1" ht="27" customHeight="1">
      <c r="A5" s="45" t="s">
        <v>213</v>
      </c>
      <c r="B5" s="1264" t="s">
        <v>1292</v>
      </c>
      <c r="C5" s="1265" t="s">
        <v>1293</v>
      </c>
      <c r="D5" s="1264" t="s">
        <v>1292</v>
      </c>
      <c r="E5" s="1266" t="s">
        <v>1293</v>
      </c>
      <c r="G5" s="1267"/>
      <c r="H5" s="1267"/>
    </row>
    <row r="6" spans="1:8" s="1259" customFormat="1" ht="28.5" customHeight="1">
      <c r="A6" s="47" t="s">
        <v>210</v>
      </c>
      <c r="B6" s="1264" t="s">
        <v>1294</v>
      </c>
      <c r="C6" s="1265" t="s">
        <v>1294</v>
      </c>
      <c r="D6" s="1268" t="s">
        <v>215</v>
      </c>
      <c r="E6" s="1269" t="s">
        <v>215</v>
      </c>
    </row>
    <row r="7" spans="1:8" s="1259" customFormat="1" ht="2.25" customHeight="1">
      <c r="A7" s="47"/>
      <c r="B7" s="1270"/>
      <c r="C7" s="1271"/>
      <c r="D7" s="1272"/>
      <c r="E7" s="1273"/>
    </row>
    <row r="8" spans="1:8" s="1259" customFormat="1" ht="14.25" customHeight="1">
      <c r="A8" s="390" t="s">
        <v>412</v>
      </c>
      <c r="B8" s="749" t="s">
        <v>1295</v>
      </c>
      <c r="C8" s="1274" t="s">
        <v>1296</v>
      </c>
      <c r="D8" s="749" t="s">
        <v>1297</v>
      </c>
      <c r="E8" s="1275" t="s">
        <v>1298</v>
      </c>
    </row>
    <row r="9" spans="1:8" s="1259" customFormat="1" ht="3" customHeight="1">
      <c r="A9" s="52"/>
      <c r="B9" s="1276"/>
      <c r="C9" s="1277"/>
      <c r="E9" s="1278"/>
    </row>
    <row r="10" spans="1:8">
      <c r="A10" s="1279">
        <v>2013.01</v>
      </c>
      <c r="B10" s="1280">
        <v>3292276</v>
      </c>
      <c r="C10" s="1281">
        <v>21903</v>
      </c>
      <c r="D10" s="1282">
        <v>895499.07200000004</v>
      </c>
      <c r="E10" s="1283">
        <v>21026.880000000001</v>
      </c>
    </row>
    <row r="11" spans="1:8">
      <c r="A11" s="1279">
        <v>2013.02</v>
      </c>
      <c r="B11" s="1285">
        <v>3290348</v>
      </c>
      <c r="C11" s="1286">
        <v>22271</v>
      </c>
      <c r="D11" s="1285">
        <v>894974.65599999996</v>
      </c>
      <c r="E11" s="1287">
        <v>21380.16</v>
      </c>
    </row>
    <row r="12" spans="1:8">
      <c r="A12" s="1279">
        <v>2013.03</v>
      </c>
      <c r="B12" s="1285">
        <v>3251184</v>
      </c>
      <c r="C12" s="1286">
        <v>22288</v>
      </c>
      <c r="D12" s="1285">
        <v>884322.04799999995</v>
      </c>
      <c r="E12" s="1287">
        <v>21396.48</v>
      </c>
    </row>
    <row r="13" spans="1:8">
      <c r="A13" s="1279">
        <v>2013.04</v>
      </c>
      <c r="B13" s="1285">
        <v>3266972</v>
      </c>
      <c r="C13" s="1286">
        <v>22191</v>
      </c>
      <c r="D13" s="1285">
        <v>888616.38399999996</v>
      </c>
      <c r="E13" s="1287">
        <v>21303.360000000001</v>
      </c>
    </row>
    <row r="14" spans="1:8">
      <c r="A14" s="1279">
        <v>2013.05</v>
      </c>
      <c r="B14" s="1285">
        <v>3261676</v>
      </c>
      <c r="C14" s="1286">
        <v>21980</v>
      </c>
      <c r="D14" s="1285">
        <v>887175.87199999997</v>
      </c>
      <c r="E14" s="1287">
        <v>21100.799999999999</v>
      </c>
    </row>
    <row r="15" spans="1:8">
      <c r="A15" s="1279">
        <v>2013.06</v>
      </c>
      <c r="B15" s="1285">
        <v>3273060</v>
      </c>
      <c r="C15" s="1286">
        <v>21856</v>
      </c>
      <c r="D15" s="1285">
        <v>1204486.08</v>
      </c>
      <c r="E15" s="1287">
        <v>26227.200000000001</v>
      </c>
    </row>
    <row r="16" spans="1:8">
      <c r="A16" s="1279">
        <v>2013.07</v>
      </c>
      <c r="B16" s="1285">
        <v>3272876</v>
      </c>
      <c r="C16" s="1286">
        <v>21884</v>
      </c>
      <c r="D16" s="1285">
        <v>1204418.368</v>
      </c>
      <c r="E16" s="1287">
        <v>26260.799999999999</v>
      </c>
    </row>
    <row r="17" spans="1:5">
      <c r="A17" s="1279">
        <v>2013.08</v>
      </c>
      <c r="B17" s="1285">
        <v>3309595</v>
      </c>
      <c r="C17" s="1286">
        <v>21679</v>
      </c>
      <c r="D17" s="1285">
        <v>1217930.96</v>
      </c>
      <c r="E17" s="1287">
        <v>26014.799999999999</v>
      </c>
    </row>
    <row r="18" spans="1:5">
      <c r="A18" s="1279">
        <v>2013.09</v>
      </c>
      <c r="B18" s="1285">
        <v>3332641</v>
      </c>
      <c r="C18" s="1286">
        <v>22378</v>
      </c>
      <c r="D18" s="1285">
        <v>1226411.888</v>
      </c>
      <c r="E18" s="1287">
        <v>26853.599999999999</v>
      </c>
    </row>
    <row r="19" spans="1:5">
      <c r="A19" s="1279">
        <v>2013.1</v>
      </c>
      <c r="B19" s="1285">
        <v>3403442</v>
      </c>
      <c r="C19" s="1286">
        <v>22683</v>
      </c>
      <c r="D19" s="1285">
        <v>1252466.656</v>
      </c>
      <c r="E19" s="1287">
        <v>27219.599999999999</v>
      </c>
    </row>
    <row r="20" spans="1:5">
      <c r="A20" s="1279">
        <v>2013.11</v>
      </c>
      <c r="B20" s="1285">
        <v>3416318</v>
      </c>
      <c r="C20" s="1286">
        <v>22828</v>
      </c>
      <c r="D20" s="1285">
        <v>1257205.024</v>
      </c>
      <c r="E20" s="1287">
        <v>27393.599999999999</v>
      </c>
    </row>
    <row r="21" spans="1:5">
      <c r="A21" s="1279">
        <v>2013.12</v>
      </c>
      <c r="B21" s="1285">
        <v>3436740</v>
      </c>
      <c r="C21" s="1286">
        <v>22834</v>
      </c>
      <c r="D21" s="1285">
        <v>1264720.32</v>
      </c>
      <c r="E21" s="1287">
        <v>27400.799999999999</v>
      </c>
    </row>
    <row r="22" spans="1:5">
      <c r="A22" s="1279">
        <v>2014.01</v>
      </c>
      <c r="B22" s="1285">
        <v>3455646</v>
      </c>
      <c r="C22" s="1286">
        <v>22621</v>
      </c>
      <c r="D22" s="1285">
        <v>1271677.7279999999</v>
      </c>
      <c r="E22" s="1287">
        <v>27145.200000000001</v>
      </c>
    </row>
    <row r="23" spans="1:5">
      <c r="A23" s="1279">
        <v>2014.02</v>
      </c>
      <c r="B23" s="1285">
        <v>3414759</v>
      </c>
      <c r="C23" s="1286">
        <v>22616</v>
      </c>
      <c r="D23" s="1285">
        <v>1256631.3119999999</v>
      </c>
      <c r="E23" s="1287">
        <v>27139.200000000001</v>
      </c>
    </row>
    <row r="24" spans="1:5">
      <c r="A24" s="1279">
        <v>2014.03</v>
      </c>
      <c r="B24" s="1285">
        <v>3387609</v>
      </c>
      <c r="C24" s="1286">
        <v>22452</v>
      </c>
      <c r="D24" s="1285">
        <v>1246640.112</v>
      </c>
      <c r="E24" s="1287">
        <v>26942.400000000001</v>
      </c>
    </row>
    <row r="25" spans="1:5">
      <c r="A25" s="1279">
        <v>2014.04</v>
      </c>
      <c r="B25" s="1285">
        <v>3393433</v>
      </c>
      <c r="C25" s="1286">
        <v>22066</v>
      </c>
      <c r="D25" s="1285">
        <v>1248783.344</v>
      </c>
      <c r="E25" s="1287">
        <v>26479.200000000001</v>
      </c>
    </row>
    <row r="26" spans="1:5">
      <c r="A26" s="1279">
        <v>2014.05</v>
      </c>
      <c r="B26" s="1285">
        <v>3326171</v>
      </c>
      <c r="C26" s="1286">
        <v>21861</v>
      </c>
      <c r="D26" s="1285">
        <v>1224030.9280000001</v>
      </c>
      <c r="E26" s="1287">
        <v>26233.200000000001</v>
      </c>
    </row>
    <row r="27" spans="1:5">
      <c r="A27" s="1279">
        <v>2014.06</v>
      </c>
      <c r="B27" s="1285">
        <v>3264979</v>
      </c>
      <c r="C27" s="1286">
        <v>21331</v>
      </c>
      <c r="D27" s="1285">
        <v>1684729.1640000001</v>
      </c>
      <c r="E27" s="1287">
        <v>35836.080000000002</v>
      </c>
    </row>
    <row r="28" spans="1:5">
      <c r="A28" s="1279">
        <v>2014.07</v>
      </c>
      <c r="B28" s="1285">
        <v>3238256</v>
      </c>
      <c r="C28" s="1286">
        <v>21535</v>
      </c>
      <c r="D28" s="1285">
        <v>1670940.0959999999</v>
      </c>
      <c r="E28" s="1287">
        <v>36178.800000000003</v>
      </c>
    </row>
    <row r="29" spans="1:5">
      <c r="A29" s="1279">
        <v>2014.08</v>
      </c>
      <c r="B29" s="1285">
        <v>3314788</v>
      </c>
      <c r="C29" s="1286">
        <v>21900</v>
      </c>
      <c r="D29" s="1285">
        <v>1710430.608</v>
      </c>
      <c r="E29" s="1287">
        <v>36792</v>
      </c>
    </row>
    <row r="30" spans="1:5">
      <c r="A30" s="1279">
        <v>2014.09</v>
      </c>
      <c r="B30" s="1285">
        <v>3415456</v>
      </c>
      <c r="C30" s="1286">
        <v>22602</v>
      </c>
      <c r="D30" s="1285">
        <v>1762375.2960000001</v>
      </c>
      <c r="E30" s="1287">
        <v>37971.360000000001</v>
      </c>
    </row>
    <row r="31" spans="1:5">
      <c r="A31" s="1279">
        <v>2014.1</v>
      </c>
      <c r="B31" s="1285">
        <v>3501697</v>
      </c>
      <c r="C31" s="1286">
        <v>23227</v>
      </c>
      <c r="D31" s="1285">
        <v>1806875.652</v>
      </c>
      <c r="E31" s="1287">
        <v>39021.360000000001</v>
      </c>
    </row>
    <row r="32" spans="1:5">
      <c r="A32" s="1279">
        <v>2014.11</v>
      </c>
      <c r="B32" s="1285">
        <v>3519236</v>
      </c>
      <c r="C32" s="1286">
        <v>23445</v>
      </c>
      <c r="D32" s="1285">
        <v>1815925.7760000001</v>
      </c>
      <c r="E32" s="1287">
        <v>39387.599999999999</v>
      </c>
    </row>
    <row r="33" spans="1:5">
      <c r="A33" s="1279">
        <v>2014.12</v>
      </c>
      <c r="B33" s="1285">
        <v>3550859</v>
      </c>
      <c r="C33" s="1286">
        <v>23906</v>
      </c>
      <c r="D33" s="1285">
        <v>1832243.2439999999</v>
      </c>
      <c r="E33" s="1287">
        <v>40162.080000000002</v>
      </c>
    </row>
    <row r="34" spans="1:5">
      <c r="A34" s="1279">
        <v>2015.01</v>
      </c>
      <c r="B34" s="1285">
        <v>3573598</v>
      </c>
      <c r="C34" s="1286">
        <v>23769</v>
      </c>
      <c r="D34" s="1285">
        <v>1843976.568</v>
      </c>
      <c r="E34" s="1287">
        <v>39931.919999999998</v>
      </c>
    </row>
    <row r="35" spans="1:5">
      <c r="A35" s="1279">
        <v>2015.02</v>
      </c>
      <c r="B35" s="1285">
        <v>3600408</v>
      </c>
      <c r="C35" s="1286">
        <v>23822</v>
      </c>
      <c r="D35" s="1285">
        <v>1857810.5279999999</v>
      </c>
      <c r="E35" s="1287">
        <v>40020.959999999999</v>
      </c>
    </row>
    <row r="36" spans="1:5">
      <c r="A36" s="1279">
        <v>2015.03</v>
      </c>
      <c r="B36" s="1285">
        <v>3597630</v>
      </c>
      <c r="C36" s="1286">
        <v>23499</v>
      </c>
      <c r="D36" s="1285">
        <v>1856377.08</v>
      </c>
      <c r="E36" s="1287">
        <v>39478.32</v>
      </c>
    </row>
    <row r="37" spans="1:5">
      <c r="A37" s="1279">
        <v>2015.04</v>
      </c>
      <c r="B37" s="1285">
        <v>3618753</v>
      </c>
      <c r="C37" s="1286">
        <v>23549</v>
      </c>
      <c r="D37" s="1285">
        <v>1867276.548</v>
      </c>
      <c r="E37" s="1287">
        <v>39562.32</v>
      </c>
    </row>
    <row r="38" spans="1:5">
      <c r="A38" s="1279">
        <v>2015.05</v>
      </c>
      <c r="B38" s="1285">
        <v>3593983</v>
      </c>
      <c r="C38" s="1286">
        <v>23204</v>
      </c>
      <c r="D38" s="1285">
        <v>1854495.2279999999</v>
      </c>
      <c r="E38" s="1287">
        <v>38982.720000000001</v>
      </c>
    </row>
    <row r="39" spans="1:5">
      <c r="A39" s="1279">
        <v>2015.06</v>
      </c>
      <c r="B39" s="1285">
        <v>3309094</v>
      </c>
      <c r="C39" s="1286">
        <v>21589</v>
      </c>
      <c r="D39" s="1285">
        <v>2217111.7687149998</v>
      </c>
      <c r="E39" s="1287">
        <v>47094.543285</v>
      </c>
    </row>
    <row r="40" spans="1:5">
      <c r="A40" s="1279">
        <v>2015.07</v>
      </c>
      <c r="B40" s="1285">
        <v>3363602</v>
      </c>
      <c r="C40" s="1286">
        <v>21888</v>
      </c>
      <c r="D40" s="1285">
        <v>2253613.34</v>
      </c>
      <c r="E40" s="1287">
        <v>47803.392</v>
      </c>
    </row>
    <row r="41" spans="1:5">
      <c r="A41" s="1279">
        <v>2015.08</v>
      </c>
      <c r="B41" s="1285">
        <v>3424650</v>
      </c>
      <c r="C41" s="1286">
        <v>22267</v>
      </c>
      <c r="D41" s="1285">
        <v>2294515.5</v>
      </c>
      <c r="E41" s="1287">
        <v>48631.127999999997</v>
      </c>
    </row>
    <row r="42" spans="1:5">
      <c r="A42" s="1279">
        <v>2015.09</v>
      </c>
      <c r="B42" s="1285">
        <v>3509557</v>
      </c>
      <c r="C42" s="1286">
        <v>22564</v>
      </c>
      <c r="D42" s="1285">
        <v>2382783.9130000002</v>
      </c>
      <c r="E42" s="1287">
        <v>50147.916000000005</v>
      </c>
    </row>
    <row r="43" spans="1:5">
      <c r="A43" s="1279">
        <v>2015.1</v>
      </c>
      <c r="B43" s="1285">
        <v>3575302</v>
      </c>
      <c r="C43" s="1286">
        <v>22652</v>
      </c>
      <c r="D43" s="1285">
        <v>2426088.9610000001</v>
      </c>
      <c r="E43" s="1287">
        <v>50304.727199999994</v>
      </c>
    </row>
    <row r="44" spans="1:5">
      <c r="A44" s="1279">
        <v>2015.11</v>
      </c>
      <c r="B44" s="1285">
        <v>3626064</v>
      </c>
      <c r="C44" s="1286">
        <v>22866</v>
      </c>
      <c r="D44" s="1285">
        <v>2460626.9249999998</v>
      </c>
      <c r="E44" s="1287">
        <v>50797.65600000001</v>
      </c>
    </row>
    <row r="45" spans="1:5">
      <c r="A45" s="1279">
        <v>2015.12</v>
      </c>
      <c r="B45" s="1285">
        <v>3661264</v>
      </c>
      <c r="C45" s="1286">
        <v>22874</v>
      </c>
      <c r="D45" s="1285">
        <v>2484583.378</v>
      </c>
      <c r="E45" s="1287">
        <v>50813.162399999994</v>
      </c>
    </row>
    <row r="46" spans="1:5">
      <c r="A46" s="1279">
        <v>2016.01</v>
      </c>
      <c r="B46" s="1285">
        <v>3700855</v>
      </c>
      <c r="C46" s="1286">
        <v>22908</v>
      </c>
      <c r="D46" s="1285">
        <v>2511478.7859999998</v>
      </c>
      <c r="E46" s="1287">
        <v>50895.936000000002</v>
      </c>
    </row>
    <row r="47" spans="1:5">
      <c r="A47" s="1279">
        <v>2016.02</v>
      </c>
      <c r="B47" s="1285">
        <v>3725699</v>
      </c>
      <c r="C47" s="1286">
        <v>22940</v>
      </c>
      <c r="D47" s="1285">
        <v>2528850.4789999998</v>
      </c>
      <c r="E47" s="1287">
        <v>50978.928000000007</v>
      </c>
    </row>
    <row r="48" spans="1:5">
      <c r="A48" s="1279">
        <v>2016.03</v>
      </c>
      <c r="B48" s="1285">
        <v>3743295</v>
      </c>
      <c r="C48" s="1286">
        <v>23305</v>
      </c>
      <c r="D48" s="1285">
        <v>2930174.0880000042</v>
      </c>
      <c r="E48" s="1287">
        <v>59743.152000000002</v>
      </c>
    </row>
    <row r="49" spans="1:5">
      <c r="A49" s="1279">
        <v>2016.04</v>
      </c>
      <c r="B49" s="1285">
        <v>3774899</v>
      </c>
      <c r="C49" s="1286">
        <v>23595</v>
      </c>
      <c r="D49" s="1285">
        <v>2954673.2911999999</v>
      </c>
      <c r="E49" s="1287">
        <v>60487.56</v>
      </c>
    </row>
    <row r="50" spans="1:5">
      <c r="A50" s="1279">
        <v>2016.05</v>
      </c>
      <c r="B50" s="1285">
        <v>3805351</v>
      </c>
      <c r="C50" s="1286">
        <v>24071</v>
      </c>
      <c r="D50" s="1285">
        <v>2978734.8607999999</v>
      </c>
      <c r="E50" s="1287">
        <v>61705.98</v>
      </c>
    </row>
    <row r="51" spans="1:5">
      <c r="A51" s="1279">
        <v>2016.06</v>
      </c>
      <c r="B51" s="1285">
        <v>3843026</v>
      </c>
      <c r="C51" s="1286">
        <v>24264</v>
      </c>
      <c r="D51" s="1285">
        <v>3008367.4608</v>
      </c>
      <c r="E51" s="1287">
        <v>62214.264000000003</v>
      </c>
    </row>
    <row r="52" spans="1:5">
      <c r="A52" s="1279">
        <v>2016.07</v>
      </c>
      <c r="B52" s="1285">
        <v>3897334</v>
      </c>
      <c r="C52" s="1286">
        <v>24822</v>
      </c>
      <c r="D52" s="1285">
        <v>3051662.5632000002</v>
      </c>
      <c r="E52" s="1287">
        <v>63670.32</v>
      </c>
    </row>
    <row r="53" spans="1:5">
      <c r="A53" s="1279">
        <v>2016.08</v>
      </c>
      <c r="B53" s="1285">
        <v>3890290</v>
      </c>
      <c r="C53" s="1286">
        <v>25032</v>
      </c>
      <c r="D53" s="1285">
        <v>3046340.9920000001</v>
      </c>
      <c r="E53" s="1287">
        <v>64219.175999999999</v>
      </c>
    </row>
    <row r="54" spans="1:5">
      <c r="A54" s="1279">
        <v>2016.09</v>
      </c>
      <c r="B54" s="1285">
        <v>3901340</v>
      </c>
      <c r="C54" s="1286">
        <v>25347</v>
      </c>
      <c r="D54" s="1285">
        <v>3488081.6608000002</v>
      </c>
      <c r="E54" s="1287">
        <v>74239.711200000049</v>
      </c>
    </row>
    <row r="55" spans="1:5">
      <c r="A55" s="1279">
        <v>2016.1</v>
      </c>
      <c r="B55" s="1285">
        <v>3911221</v>
      </c>
      <c r="C55" s="1286">
        <v>25337</v>
      </c>
      <c r="D55" s="1285">
        <v>3496214.9175999998</v>
      </c>
      <c r="E55" s="1287">
        <v>74181.559200000003</v>
      </c>
    </row>
    <row r="56" spans="1:5">
      <c r="A56" s="1279">
        <v>2016.11</v>
      </c>
      <c r="B56" s="1285">
        <v>3926588</v>
      </c>
      <c r="C56" s="1286">
        <v>25677</v>
      </c>
      <c r="D56" s="1285">
        <v>3509991.3648000001</v>
      </c>
      <c r="E56" s="1287">
        <v>75159.079199999993</v>
      </c>
    </row>
    <row r="57" spans="1:5">
      <c r="A57" s="1279">
        <v>2016.12</v>
      </c>
      <c r="B57" s="1285">
        <v>3932013</v>
      </c>
      <c r="C57" s="1286">
        <v>25813</v>
      </c>
      <c r="D57" s="1285">
        <v>3514984.6639999999</v>
      </c>
      <c r="E57" s="1287">
        <v>75566.848800000007</v>
      </c>
    </row>
    <row r="58" spans="1:5">
      <c r="A58" s="1279">
        <v>2017.01</v>
      </c>
      <c r="B58" s="1285">
        <v>3941618</v>
      </c>
      <c r="C58" s="1286">
        <v>26007</v>
      </c>
      <c r="D58" s="1285">
        <v>3522293.1423999998</v>
      </c>
      <c r="E58" s="1287">
        <v>76119.919200000004</v>
      </c>
    </row>
    <row r="59" spans="1:5">
      <c r="A59" s="1279">
        <v>2017.02</v>
      </c>
      <c r="B59" s="1285">
        <v>3954643</v>
      </c>
      <c r="C59" s="1286">
        <v>26112</v>
      </c>
      <c r="D59" s="1285">
        <v>3534213.26</v>
      </c>
      <c r="E59" s="1287">
        <v>76431.571200000006</v>
      </c>
    </row>
    <row r="60" spans="1:5">
      <c r="A60" s="1279">
        <v>2017.03</v>
      </c>
      <c r="B60" s="1285">
        <v>3707643</v>
      </c>
      <c r="C60" s="1286">
        <v>25148</v>
      </c>
      <c r="D60" s="1285">
        <v>3741713.5216000001</v>
      </c>
      <c r="E60" s="1287">
        <v>83171.497600000002</v>
      </c>
    </row>
    <row r="61" spans="1:5">
      <c r="A61" s="1279">
        <v>2017.04</v>
      </c>
      <c r="B61" s="1285">
        <v>3723847</v>
      </c>
      <c r="C61" s="1286">
        <v>25366</v>
      </c>
      <c r="D61" s="1285">
        <v>3758835.0767999999</v>
      </c>
      <c r="E61" s="1287">
        <v>83914.419200000004</v>
      </c>
    </row>
    <row r="62" spans="1:5">
      <c r="A62" s="1279">
        <v>2017.05</v>
      </c>
      <c r="B62" s="1285">
        <v>3776146</v>
      </c>
      <c r="C62" s="1286">
        <v>26083</v>
      </c>
      <c r="D62" s="1285">
        <v>3812534.5279999999</v>
      </c>
      <c r="E62" s="1287">
        <v>86293.353600000002</v>
      </c>
    </row>
    <row r="63" spans="1:5">
      <c r="A63" s="1279">
        <v>2017.06</v>
      </c>
      <c r="B63" s="1285">
        <v>3820230</v>
      </c>
      <c r="C63" s="1286">
        <v>26618</v>
      </c>
      <c r="D63" s="1285">
        <v>3857138.392</v>
      </c>
      <c r="E63" s="1287">
        <v>88048.361600000004</v>
      </c>
    </row>
    <row r="64" spans="1:5">
      <c r="A64" s="1279">
        <v>2017.07</v>
      </c>
      <c r="B64" s="1285">
        <v>3859662</v>
      </c>
      <c r="C64" s="1286">
        <v>27359</v>
      </c>
      <c r="D64" s="1285">
        <v>3897406.1376</v>
      </c>
      <c r="E64" s="1287">
        <v>90487.756800000003</v>
      </c>
    </row>
    <row r="65" spans="1:5">
      <c r="A65" s="1279">
        <v>2017.08</v>
      </c>
      <c r="B65" s="1285">
        <v>3879327</v>
      </c>
      <c r="C65" s="1286">
        <v>27781</v>
      </c>
      <c r="D65" s="1285">
        <v>3917378.9183999998</v>
      </c>
      <c r="E65" s="1287">
        <v>91886.1152</v>
      </c>
    </row>
    <row r="66" spans="1:5">
      <c r="A66" s="1279">
        <v>2017.09</v>
      </c>
      <c r="B66" s="1285">
        <v>3894879</v>
      </c>
      <c r="C66" s="1286">
        <v>28155</v>
      </c>
      <c r="D66" s="1285">
        <v>4457054.7423999999</v>
      </c>
      <c r="E66" s="1287">
        <v>105543.2496</v>
      </c>
    </row>
    <row r="67" spans="1:5">
      <c r="A67" s="1279">
        <v>2017.1</v>
      </c>
      <c r="B67" s="1285">
        <v>3913418</v>
      </c>
      <c r="C67" s="1286">
        <v>28475</v>
      </c>
      <c r="D67" s="1285">
        <v>4478279.6288000001</v>
      </c>
      <c r="E67" s="1287">
        <v>106747.8144</v>
      </c>
    </row>
    <row r="68" spans="1:5">
      <c r="A68" s="1279">
        <v>2017.11</v>
      </c>
      <c r="B68" s="1285">
        <v>3925614</v>
      </c>
      <c r="C68" s="1286">
        <v>28661</v>
      </c>
      <c r="D68" s="1285">
        <v>4492813.3247999996</v>
      </c>
      <c r="E68" s="1287">
        <v>107437.6096</v>
      </c>
    </row>
    <row r="69" spans="1:5">
      <c r="A69" s="1279">
        <v>2017.12</v>
      </c>
      <c r="B69" s="1285">
        <v>3927108</v>
      </c>
      <c r="C69" s="1286">
        <v>28934</v>
      </c>
      <c r="D69" s="1285">
        <v>4494164.1216000002</v>
      </c>
      <c r="E69" s="1287">
        <v>108444.66559999999</v>
      </c>
    </row>
    <row r="70" spans="1:5">
      <c r="A70" s="1279">
        <v>2018.01</v>
      </c>
      <c r="B70" s="1285">
        <v>3937689</v>
      </c>
      <c r="C70" s="1286">
        <v>29272</v>
      </c>
      <c r="D70" s="1285">
        <v>4505961.0656000003</v>
      </c>
      <c r="E70" s="1287">
        <v>109714.4512</v>
      </c>
    </row>
    <row r="71" spans="1:5">
      <c r="A71" s="1279">
        <v>2018.02</v>
      </c>
      <c r="B71" s="1285">
        <v>3958881</v>
      </c>
      <c r="C71" s="1286">
        <v>29677</v>
      </c>
      <c r="D71" s="1285">
        <v>4530729.2319999998</v>
      </c>
      <c r="E71" s="1287">
        <v>111232.224</v>
      </c>
    </row>
    <row r="72" spans="1:5">
      <c r="A72" s="1279">
        <v>2018.03</v>
      </c>
      <c r="B72" s="1285">
        <v>3776753</v>
      </c>
      <c r="C72" s="1286">
        <v>29094</v>
      </c>
      <c r="D72" s="1285">
        <v>4568650.8071999997</v>
      </c>
      <c r="E72" s="1287">
        <v>115247.28720000001</v>
      </c>
    </row>
    <row r="73" spans="1:5">
      <c r="A73" s="1279">
        <v>2018.04</v>
      </c>
      <c r="B73" s="1285">
        <v>3813735</v>
      </c>
      <c r="C73" s="1286">
        <v>29638</v>
      </c>
      <c r="D73" s="1285">
        <v>4613772.2264</v>
      </c>
      <c r="E73" s="1287">
        <v>117420.0408</v>
      </c>
    </row>
    <row r="74" spans="1:5">
      <c r="A74" s="1279">
        <v>2018.05</v>
      </c>
      <c r="B74" s="1285">
        <v>3841579</v>
      </c>
      <c r="C74" s="1286">
        <v>30464</v>
      </c>
      <c r="D74" s="1285">
        <v>4647938.3607999999</v>
      </c>
      <c r="E74" s="1287">
        <v>120694.7472</v>
      </c>
    </row>
    <row r="75" spans="1:5">
      <c r="A75" s="1279">
        <v>2018.06</v>
      </c>
      <c r="B75" s="1285">
        <v>3885003</v>
      </c>
      <c r="C75" s="1286">
        <v>31326</v>
      </c>
      <c r="D75" s="1285">
        <v>4968799.2624000004</v>
      </c>
      <c r="E75" s="1287">
        <v>131225.09760000001</v>
      </c>
    </row>
    <row r="76" spans="1:5">
      <c r="A76" s="1279">
        <v>2018.07</v>
      </c>
      <c r="B76" s="1285">
        <v>3931495</v>
      </c>
      <c r="C76" s="1286">
        <v>32223</v>
      </c>
      <c r="D76" s="1285">
        <v>5028351.9264000002</v>
      </c>
      <c r="E76" s="1287">
        <v>134966.78880000001</v>
      </c>
    </row>
    <row r="77" spans="1:5">
      <c r="A77" s="1279">
        <v>2018.08</v>
      </c>
      <c r="B77" s="1285">
        <v>3979864</v>
      </c>
      <c r="C77" s="1286">
        <v>33390</v>
      </c>
      <c r="D77" s="1285">
        <v>5090501.6352000004</v>
      </c>
      <c r="E77" s="1287">
        <v>139822.704</v>
      </c>
    </row>
    <row r="78" spans="1:5">
      <c r="A78" s="1279">
        <v>2018.09</v>
      </c>
      <c r="B78" s="1285">
        <v>3877670</v>
      </c>
      <c r="C78" s="1286">
        <v>32907</v>
      </c>
      <c r="D78" s="1285">
        <v>5292198.1327999998</v>
      </c>
      <c r="E78" s="1287">
        <v>146921.71599999999</v>
      </c>
    </row>
    <row r="79" spans="1:5">
      <c r="A79" s="1279">
        <v>2018.1</v>
      </c>
      <c r="B79" s="1285">
        <v>3909872</v>
      </c>
      <c r="C79" s="1286">
        <v>33300</v>
      </c>
      <c r="D79" s="1285">
        <v>5336105.2879999997</v>
      </c>
      <c r="E79" s="1287">
        <v>148646.76800000001</v>
      </c>
    </row>
    <row r="80" spans="1:5">
      <c r="A80" s="1279">
        <v>2018.11</v>
      </c>
      <c r="B80" s="1285">
        <v>3947641</v>
      </c>
      <c r="C80" s="1286">
        <v>33815</v>
      </c>
      <c r="D80" s="1285">
        <v>5387296.9519999996</v>
      </c>
      <c r="E80" s="1287">
        <v>150887.9656</v>
      </c>
    </row>
    <row r="81" spans="1:5">
      <c r="A81" s="1279">
        <v>2018.12</v>
      </c>
      <c r="B81" s="1285">
        <v>3960198</v>
      </c>
      <c r="C81" s="1286">
        <v>34226</v>
      </c>
      <c r="D81" s="1285">
        <v>5828349.3424000004</v>
      </c>
      <c r="E81" s="1287">
        <v>164597.4</v>
      </c>
    </row>
    <row r="82" spans="1:5">
      <c r="A82" s="1279">
        <v>2019.01</v>
      </c>
      <c r="B82" s="1285">
        <v>3989385</v>
      </c>
      <c r="C82" s="1286">
        <v>34779</v>
      </c>
      <c r="D82" s="1285">
        <v>5870984.6040000003</v>
      </c>
      <c r="E82" s="1287">
        <v>167260.0104</v>
      </c>
    </row>
    <row r="83" spans="1:5">
      <c r="A83" s="1279">
        <v>2019.02</v>
      </c>
      <c r="B83" s="1285">
        <v>4020149</v>
      </c>
      <c r="C83" s="1286">
        <v>35495</v>
      </c>
      <c r="D83" s="1285">
        <v>5916068.3272000002</v>
      </c>
      <c r="E83" s="1287">
        <v>170707.24559999999</v>
      </c>
    </row>
    <row r="84" spans="1:5">
      <c r="A84" s="1279">
        <v>2019.03</v>
      </c>
      <c r="B84" s="1285">
        <v>3877128</v>
      </c>
      <c r="C84" s="1286">
        <v>35214</v>
      </c>
      <c r="D84" s="1285">
        <v>8329883.1456000004</v>
      </c>
      <c r="E84" s="1287">
        <v>247195.65359999999</v>
      </c>
    </row>
    <row r="85" spans="1:5">
      <c r="A85" s="1279">
        <v>2019.04</v>
      </c>
      <c r="B85" s="1285">
        <v>3888989</v>
      </c>
      <c r="C85" s="1286">
        <v>35745</v>
      </c>
      <c r="D85" s="1285">
        <v>8355074.8256000001</v>
      </c>
      <c r="E85" s="1287">
        <v>250904.11439999999</v>
      </c>
    </row>
    <row r="86" spans="1:5">
      <c r="A86" s="1279">
        <v>2019.05</v>
      </c>
      <c r="B86" s="1285">
        <v>3932308</v>
      </c>
      <c r="C86" s="1286">
        <v>36655</v>
      </c>
      <c r="D86" s="1285">
        <v>8448927.7503999993</v>
      </c>
      <c r="E86" s="1287">
        <v>257288.83840000001</v>
      </c>
    </row>
    <row r="87" spans="1:5">
      <c r="A87" s="1279">
        <v>2019.06</v>
      </c>
      <c r="B87" s="1285">
        <v>3886635</v>
      </c>
      <c r="C87" s="1286">
        <v>36405</v>
      </c>
      <c r="D87" s="1285">
        <v>8349206.2527999999</v>
      </c>
      <c r="E87" s="1287">
        <v>255411.0816</v>
      </c>
    </row>
    <row r="88" spans="1:5">
      <c r="A88" s="1279">
        <v>2019.07</v>
      </c>
      <c r="B88" s="1285">
        <v>3881003</v>
      </c>
      <c r="C88" s="1286">
        <v>36963</v>
      </c>
      <c r="D88" s="1285">
        <v>8337280.3263983605</v>
      </c>
      <c r="E88" s="1287">
        <v>259366.36719999724</v>
      </c>
    </row>
    <row r="89" spans="1:5">
      <c r="A89" s="1279">
        <v>2019.08</v>
      </c>
      <c r="B89" s="1285">
        <v>4229181</v>
      </c>
      <c r="C89" s="1286">
        <v>41802</v>
      </c>
      <c r="D89" s="1285">
        <v>9090287.8079993092</v>
      </c>
      <c r="E89" s="1287">
        <v>293424.23440000479</v>
      </c>
    </row>
    <row r="90" spans="1:5">
      <c r="A90" s="1279">
        <v>2019.09</v>
      </c>
      <c r="B90" s="1285">
        <v>4058411</v>
      </c>
      <c r="C90" s="1286">
        <v>40217</v>
      </c>
      <c r="D90" s="1285">
        <v>8717998.1056000013</v>
      </c>
      <c r="E90" s="1287">
        <v>282159.86080000002</v>
      </c>
    </row>
    <row r="91" spans="1:5">
      <c r="A91" s="1279">
        <v>2019.1</v>
      </c>
      <c r="B91" s="1285">
        <v>4018413</v>
      </c>
      <c r="C91" s="1286">
        <v>40187</v>
      </c>
      <c r="D91" s="1285">
        <v>8632781.1040000003</v>
      </c>
      <c r="E91" s="1287">
        <v>281942.0808</v>
      </c>
    </row>
    <row r="92" spans="1:5">
      <c r="A92" s="1279">
        <v>2019.11</v>
      </c>
      <c r="B92" s="1285">
        <v>4121639</v>
      </c>
      <c r="C92" s="1286">
        <v>41873</v>
      </c>
      <c r="D92" s="1285">
        <v>8855157.8783999998</v>
      </c>
      <c r="E92" s="1287">
        <v>293799.62719999999</v>
      </c>
    </row>
    <row r="93" spans="1:5">
      <c r="A93" s="1279">
        <v>2019.12</v>
      </c>
      <c r="B93" s="1285">
        <v>4111785</v>
      </c>
      <c r="C93" s="1286">
        <v>42867</v>
      </c>
      <c r="D93" s="1285">
        <v>9148104.2383999992</v>
      </c>
      <c r="E93" s="1287">
        <v>311417.26319999999</v>
      </c>
    </row>
    <row r="94" spans="1:5">
      <c r="A94" s="1279">
        <v>2020.01</v>
      </c>
      <c r="B94" s="1285">
        <v>4144406</v>
      </c>
      <c r="C94" s="1286">
        <v>44328</v>
      </c>
      <c r="D94" s="1285">
        <v>9220808.2464000005</v>
      </c>
      <c r="E94" s="1287">
        <v>322069.98480000003</v>
      </c>
    </row>
    <row r="95" spans="1:5">
      <c r="A95" s="1279">
        <v>2020.02</v>
      </c>
      <c r="B95" s="1285">
        <v>4231199</v>
      </c>
      <c r="C95" s="1286">
        <v>46447</v>
      </c>
      <c r="D95" s="1285">
        <v>9411622.1103999987</v>
      </c>
      <c r="E95" s="1287">
        <v>337391.59519999998</v>
      </c>
    </row>
    <row r="96" spans="1:5">
      <c r="A96" s="1279">
        <v>2020.03</v>
      </c>
      <c r="B96" s="1285">
        <v>4213520</v>
      </c>
      <c r="C96" s="1286">
        <v>46876</v>
      </c>
      <c r="D96" s="1285">
        <v>10589255.868000001</v>
      </c>
      <c r="E96" s="1287">
        <v>384760.43039999995</v>
      </c>
    </row>
    <row r="97" spans="1:5">
      <c r="A97" s="1279">
        <v>2020.04</v>
      </c>
      <c r="B97" s="1285">
        <v>4234538</v>
      </c>
      <c r="C97" s="1286">
        <v>47764</v>
      </c>
      <c r="D97" s="1285">
        <v>10641637.260799998</v>
      </c>
      <c r="E97" s="1287">
        <v>392040.37280000001</v>
      </c>
    </row>
    <row r="98" spans="1:5">
      <c r="A98" s="1279">
        <v>2020.05</v>
      </c>
      <c r="B98" s="1285">
        <v>4263867</v>
      </c>
      <c r="C98" s="1286">
        <v>48043</v>
      </c>
      <c r="D98" s="1285">
        <v>10716763.622399999</v>
      </c>
      <c r="E98" s="1287">
        <v>394377.24560000002</v>
      </c>
    </row>
    <row r="99" spans="1:5">
      <c r="A99" s="1279">
        <v>2020.06</v>
      </c>
      <c r="B99" s="1285">
        <v>4344464</v>
      </c>
      <c r="C99" s="1286">
        <v>49912</v>
      </c>
      <c r="D99" s="1285">
        <v>11587020.495999999</v>
      </c>
      <c r="E99" s="1287">
        <v>434782.1752</v>
      </c>
    </row>
    <row r="100" spans="1:5">
      <c r="A100" s="1279">
        <v>2020.07</v>
      </c>
      <c r="B100" s="1285">
        <v>4317691</v>
      </c>
      <c r="C100" s="1286">
        <v>49938</v>
      </c>
      <c r="D100" s="1285">
        <v>11515202.143200001</v>
      </c>
      <c r="E100" s="1287">
        <v>434987.33280000003</v>
      </c>
    </row>
    <row r="101" spans="1:5">
      <c r="A101" s="1279">
        <v>2020.08</v>
      </c>
      <c r="B101" s="1285">
        <v>4327163</v>
      </c>
      <c r="C101" s="1286">
        <v>49710</v>
      </c>
      <c r="D101" s="1285">
        <v>11539448.5624</v>
      </c>
      <c r="E101" s="1287">
        <v>433004.42879999999</v>
      </c>
    </row>
    <row r="102" spans="1:5">
      <c r="A102" s="1279">
        <v>2020.09</v>
      </c>
      <c r="B102" s="1285">
        <v>4299907</v>
      </c>
      <c r="C102" s="1286">
        <v>49274</v>
      </c>
      <c r="D102" s="1285">
        <v>12326603.6976</v>
      </c>
      <c r="E102" s="1287">
        <v>461459.1128</v>
      </c>
    </row>
    <row r="103" spans="1:5">
      <c r="A103" s="1279">
        <v>2020.1</v>
      </c>
      <c r="B103" s="1285">
        <v>4258758</v>
      </c>
      <c r="C103" s="1286">
        <v>48745</v>
      </c>
      <c r="D103" s="1285">
        <v>12208438.4976</v>
      </c>
      <c r="E103" s="1287">
        <v>456533.2</v>
      </c>
    </row>
    <row r="104" spans="1:5">
      <c r="A104" s="1279">
        <v>2020.11</v>
      </c>
      <c r="B104" s="1285">
        <v>4249301</v>
      </c>
      <c r="C104" s="1286">
        <v>48845</v>
      </c>
      <c r="D104" s="1285">
        <v>12180450.691200001</v>
      </c>
      <c r="E104" s="1287">
        <v>457370.16719999997</v>
      </c>
    </row>
    <row r="105" spans="1:5">
      <c r="A105" s="1279">
        <v>2020.12</v>
      </c>
      <c r="B105" s="1285">
        <v>4304207</v>
      </c>
      <c r="C105" s="1286">
        <v>49515</v>
      </c>
      <c r="D105" s="1285">
        <v>12953221.135200001</v>
      </c>
      <c r="E105" s="1287">
        <v>486810.15360000002</v>
      </c>
    </row>
    <row r="106" spans="1:5">
      <c r="A106" s="1279">
        <f>A94+1</f>
        <v>2021.01</v>
      </c>
      <c r="B106" s="1285">
        <v>4304473</v>
      </c>
      <c r="C106" s="1286">
        <v>49367</v>
      </c>
      <c r="D106" s="1285">
        <v>12952636.308</v>
      </c>
      <c r="E106" s="1287">
        <v>485312.13439999998</v>
      </c>
    </row>
    <row r="107" spans="1:5">
      <c r="A107" s="1279">
        <f t="shared" ref="A107:A170" si="0">A95+1</f>
        <v>2021.02</v>
      </c>
      <c r="B107" s="1285">
        <v>4309864</v>
      </c>
      <c r="C107" s="1286">
        <v>49453</v>
      </c>
      <c r="D107" s="1285">
        <v>12969408.0096</v>
      </c>
      <c r="E107" s="1287">
        <v>486235.56319999998</v>
      </c>
    </row>
    <row r="108" spans="1:5">
      <c r="A108" s="1279">
        <f t="shared" si="0"/>
        <v>2021.03</v>
      </c>
      <c r="B108" s="1285">
        <v>4331667</v>
      </c>
      <c r="C108" s="1286">
        <v>50067</v>
      </c>
      <c r="D108" s="1285">
        <v>14087031.012</v>
      </c>
      <c r="E108" s="1287">
        <v>532001.68559999997</v>
      </c>
    </row>
    <row r="109" spans="1:5">
      <c r="A109" s="1279">
        <f t="shared" si="0"/>
        <v>2021.04</v>
      </c>
      <c r="B109" s="1285">
        <v>4352114</v>
      </c>
      <c r="C109" s="1286">
        <v>48985</v>
      </c>
      <c r="D109" s="1285">
        <v>14152469.347200001</v>
      </c>
      <c r="E109" s="1287">
        <v>520275.14</v>
      </c>
    </row>
    <row r="110" spans="1:5">
      <c r="A110" s="1279">
        <f t="shared" si="0"/>
        <v>2021.05</v>
      </c>
      <c r="B110" s="1285">
        <v>4328422</v>
      </c>
      <c r="C110" s="1286">
        <v>48851</v>
      </c>
      <c r="D110" s="1285">
        <v>14075179.800000001</v>
      </c>
      <c r="E110" s="1287">
        <v>518859.32560000004</v>
      </c>
    </row>
    <row r="111" spans="1:5">
      <c r="A111" s="1279">
        <f t="shared" si="0"/>
        <v>2021.06</v>
      </c>
      <c r="B111" s="1285">
        <v>4315672</v>
      </c>
      <c r="C111" s="1286">
        <v>48672</v>
      </c>
      <c r="D111" s="1285">
        <v>15735572.326399999</v>
      </c>
      <c r="E111" s="1287">
        <v>579555.28320000006</v>
      </c>
    </row>
    <row r="112" spans="1:5">
      <c r="A112" s="1279">
        <f t="shared" si="0"/>
        <v>2021.07</v>
      </c>
      <c r="B112" s="1285">
        <v>4327158</v>
      </c>
      <c r="C112" s="1286">
        <v>49039</v>
      </c>
      <c r="D112" s="1285">
        <v>15776694.771200001</v>
      </c>
      <c r="E112" s="1287">
        <v>583769.32400000002</v>
      </c>
    </row>
    <row r="113" spans="1:5">
      <c r="A113" s="1279">
        <f t="shared" si="0"/>
        <v>2021.08</v>
      </c>
      <c r="B113" s="1285">
        <v>4350837</v>
      </c>
      <c r="C113" s="1286">
        <v>50003</v>
      </c>
      <c r="D113" s="1285">
        <v>15863202.5408</v>
      </c>
      <c r="E113" s="1287">
        <v>595260.86320000002</v>
      </c>
    </row>
    <row r="114" spans="1:5">
      <c r="A114" s="1279">
        <f t="shared" si="0"/>
        <v>2021.09</v>
      </c>
      <c r="B114" s="1285">
        <v>4352796</v>
      </c>
      <c r="C114" s="1286">
        <v>50357</v>
      </c>
      <c r="D114" s="1285">
        <v>17842459.342400003</v>
      </c>
      <c r="E114" s="1287">
        <v>673649.49920000008</v>
      </c>
    </row>
    <row r="115" spans="1:5">
      <c r="A115" s="1279">
        <f t="shared" si="0"/>
        <v>2021.1</v>
      </c>
      <c r="B115" s="1285">
        <v>4333674</v>
      </c>
      <c r="C115" s="1286">
        <v>50690</v>
      </c>
      <c r="D115" s="1285">
        <v>17762465.395199999</v>
      </c>
      <c r="E115" s="1287">
        <v>678012.36</v>
      </c>
    </row>
    <row r="116" spans="1:5">
      <c r="A116" s="1279">
        <f t="shared" si="0"/>
        <v>2021.11</v>
      </c>
      <c r="B116" s="1285">
        <v>4333346</v>
      </c>
      <c r="C116" s="1286">
        <v>51423</v>
      </c>
      <c r="D116" s="1285">
        <v>17759689.560800001</v>
      </c>
      <c r="E116" s="1287">
        <v>687816.26800000004</v>
      </c>
    </row>
    <row r="117" spans="1:5">
      <c r="A117" s="1279">
        <f t="shared" si="0"/>
        <v>2021.12</v>
      </c>
      <c r="B117" s="1285">
        <v>4339386</v>
      </c>
      <c r="C117" s="1286">
        <v>52126</v>
      </c>
      <c r="D117" s="1285">
        <v>19941181.646400001</v>
      </c>
      <c r="E117" s="1287">
        <v>781593.44479999994</v>
      </c>
    </row>
    <row r="118" spans="1:5">
      <c r="A118" s="1279">
        <f t="shared" si="0"/>
        <v>2022.01</v>
      </c>
      <c r="B118" s="1285">
        <v>4321019</v>
      </c>
      <c r="C118" s="1286">
        <v>52567</v>
      </c>
      <c r="D118" s="1285">
        <v>19855226.437599998</v>
      </c>
      <c r="E118" s="1287">
        <v>788073.73600000003</v>
      </c>
    </row>
    <row r="119" spans="1:5">
      <c r="A119" s="1279">
        <f t="shared" si="0"/>
        <v>2022.02</v>
      </c>
      <c r="B119" s="1285">
        <v>4320566</v>
      </c>
      <c r="C119" s="1286">
        <v>53167</v>
      </c>
      <c r="D119" s="1285">
        <v>19852362.078400001</v>
      </c>
      <c r="E119" s="1287">
        <v>796990.8088</v>
      </c>
    </row>
    <row r="120" spans="1:5">
      <c r="A120" s="1279">
        <f t="shared" si="0"/>
        <v>2022.03</v>
      </c>
      <c r="B120" s="1285">
        <v>4343327</v>
      </c>
      <c r="C120" s="1286">
        <v>54064</v>
      </c>
      <c r="D120" s="1285">
        <v>22410358.2568</v>
      </c>
      <c r="E120" s="1287">
        <v>910006.37120000005</v>
      </c>
    </row>
    <row r="121" spans="1:5">
      <c r="A121" s="1279">
        <f t="shared" si="0"/>
        <v>2022.04</v>
      </c>
      <c r="B121" s="1285">
        <v>4327669</v>
      </c>
      <c r="C121" s="1286">
        <v>54330</v>
      </c>
      <c r="D121" s="1285">
        <v>22330193.316</v>
      </c>
      <c r="E121" s="1287">
        <v>914664.60800000001</v>
      </c>
    </row>
    <row r="122" spans="1:5">
      <c r="A122" s="1279">
        <f t="shared" si="0"/>
        <v>2022.05</v>
      </c>
      <c r="B122" s="1285">
        <v>4423581</v>
      </c>
      <c r="C122" s="1286">
        <v>57230</v>
      </c>
      <c r="D122" s="1285">
        <v>22823674.0176</v>
      </c>
      <c r="E122" s="1287">
        <v>963424.85600000003</v>
      </c>
    </row>
    <row r="123" spans="1:5">
      <c r="A123" s="1279">
        <f t="shared" si="0"/>
        <v>2022.06</v>
      </c>
      <c r="B123" s="1285">
        <v>4314154</v>
      </c>
      <c r="C123" s="1286">
        <v>55052</v>
      </c>
      <c r="D123" s="1285">
        <v>25598217.382400002</v>
      </c>
      <c r="E123" s="1287">
        <v>1065330.8256000001</v>
      </c>
    </row>
    <row r="124" spans="1:5">
      <c r="A124" s="1279">
        <f t="shared" si="0"/>
        <v>2022.07</v>
      </c>
      <c r="B124" s="1285">
        <v>4309520</v>
      </c>
      <c r="C124" s="1286">
        <v>55149</v>
      </c>
      <c r="D124" s="1285">
        <v>25570791.552000001</v>
      </c>
      <c r="E124" s="1287">
        <v>1067120.9392000001</v>
      </c>
    </row>
    <row r="125" spans="1:5">
      <c r="A125" s="1279">
        <f t="shared" si="0"/>
        <v>2022.08</v>
      </c>
      <c r="B125" s="1285">
        <v>4304708</v>
      </c>
      <c r="C125" s="1286">
        <v>55325</v>
      </c>
      <c r="D125" s="1285">
        <v>25540517.6448</v>
      </c>
      <c r="E125" s="1287">
        <v>1070477.652</v>
      </c>
    </row>
    <row r="126" spans="1:5">
      <c r="A126" s="1279">
        <f t="shared" si="0"/>
        <v>2022.09</v>
      </c>
      <c r="B126" s="1285">
        <v>4279101</v>
      </c>
      <c r="C126" s="1286">
        <v>55502</v>
      </c>
      <c r="D126" s="1285">
        <v>29331097.122400001</v>
      </c>
      <c r="E126" s="1287">
        <v>1240713.4712</v>
      </c>
    </row>
    <row r="127" spans="1:5">
      <c r="A127" s="1279">
        <f t="shared" si="0"/>
        <v>2022.1</v>
      </c>
      <c r="B127" s="1285">
        <v>4271594</v>
      </c>
      <c r="C127" s="1286">
        <v>55944</v>
      </c>
      <c r="D127" s="1285">
        <v>29278692.384</v>
      </c>
      <c r="E127" s="1287">
        <v>1250383.2144000002</v>
      </c>
    </row>
    <row r="128" spans="1:5">
      <c r="A128" s="1279">
        <f t="shared" si="0"/>
        <v>2022.11</v>
      </c>
      <c r="B128" s="1285">
        <v>4272045</v>
      </c>
      <c r="C128" s="1286">
        <v>56978</v>
      </c>
      <c r="D128" s="1285">
        <v>29283294.2568</v>
      </c>
      <c r="E128" s="1287">
        <v>1273430.7967999999</v>
      </c>
    </row>
    <row r="129" spans="1:5">
      <c r="A129" s="1279">
        <f t="shared" si="0"/>
        <v>2022.12</v>
      </c>
      <c r="B129" s="1285">
        <v>4256558</v>
      </c>
      <c r="C129" s="1286">
        <v>49965</v>
      </c>
      <c r="D129" s="1285">
        <v>33737530.635200001</v>
      </c>
      <c r="E129" s="1287">
        <v>1291666.7279999999</v>
      </c>
    </row>
    <row r="130" spans="1:5">
      <c r="A130" s="1279">
        <f t="shared" si="0"/>
        <v>2023.01</v>
      </c>
      <c r="B130" s="1285">
        <v>4240935</v>
      </c>
      <c r="C130" s="1286">
        <v>50320</v>
      </c>
      <c r="D130" s="1285">
        <v>33610262.983999997</v>
      </c>
      <c r="E130" s="1287">
        <v>1300665.08</v>
      </c>
    </row>
    <row r="131" spans="1:5">
      <c r="A131" s="1279">
        <f t="shared" si="0"/>
        <v>2023.02</v>
      </c>
      <c r="B131" s="1285">
        <v>4238330</v>
      </c>
      <c r="C131" s="1286">
        <v>51103</v>
      </c>
      <c r="D131" s="1285">
        <v>33588399.513599999</v>
      </c>
      <c r="E131" s="1287">
        <v>1320800.3600000001</v>
      </c>
    </row>
    <row r="132" spans="1:5">
      <c r="A132" s="1279">
        <f t="shared" si="0"/>
        <v>2023.03</v>
      </c>
      <c r="B132" s="1285">
        <v>4218897</v>
      </c>
      <c r="C132" s="1286">
        <v>51474</v>
      </c>
      <c r="D132" s="1285">
        <v>39130010.899999999</v>
      </c>
      <c r="E132" s="1287">
        <v>1556812.9783999999</v>
      </c>
    </row>
    <row r="133" spans="1:5">
      <c r="A133" s="1279">
        <f t="shared" si="0"/>
        <v>2023.04</v>
      </c>
      <c r="B133" s="1285">
        <v>4187348</v>
      </c>
      <c r="C133" s="1286">
        <v>52312</v>
      </c>
      <c r="D133" s="1285">
        <v>38833647.887999997</v>
      </c>
      <c r="E133" s="1287">
        <v>1582120.8176</v>
      </c>
    </row>
    <row r="134" spans="1:5">
      <c r="A134" s="1279">
        <f t="shared" si="0"/>
        <v>2023.05</v>
      </c>
      <c r="B134" s="1285">
        <v>4172706</v>
      </c>
      <c r="C134" s="1286">
        <v>53608</v>
      </c>
      <c r="D134" s="1285">
        <v>38698622.184</v>
      </c>
      <c r="E134" s="1287">
        <v>1621377.3912</v>
      </c>
    </row>
    <row r="135" spans="1:5">
      <c r="A135" s="1279">
        <f t="shared" si="0"/>
        <v>2023.06</v>
      </c>
      <c r="B135" s="1285">
        <v>4169832</v>
      </c>
      <c r="C135" s="1286">
        <v>54973</v>
      </c>
      <c r="D135" s="1285">
        <v>46767745.126400001</v>
      </c>
      <c r="E135" s="1287">
        <v>2010610.6728000001</v>
      </c>
    </row>
    <row r="136" spans="1:5">
      <c r="A136" s="1279">
        <f t="shared" si="0"/>
        <v>2023.07</v>
      </c>
      <c r="B136" s="1285">
        <v>4172002</v>
      </c>
      <c r="C136" s="1286">
        <v>56557</v>
      </c>
      <c r="D136" s="1285">
        <v>46792561.830399998</v>
      </c>
      <c r="E136" s="1287">
        <v>2068276.0632</v>
      </c>
    </row>
    <row r="137" spans="1:5">
      <c r="A137" s="1279">
        <f t="shared" si="0"/>
        <v>2023.08</v>
      </c>
      <c r="B137" s="1285">
        <v>4166811</v>
      </c>
      <c r="C137" s="1286">
        <v>57922</v>
      </c>
      <c r="D137" s="1285">
        <v>46733912.467200004</v>
      </c>
      <c r="E137" s="1287">
        <v>2118248.4191999999</v>
      </c>
    </row>
    <row r="138" spans="1:5">
      <c r="A138" s="1279">
        <f t="shared" si="0"/>
        <v>2023.09</v>
      </c>
      <c r="B138" s="1285">
        <v>4063065</v>
      </c>
      <c r="C138" s="1286">
        <v>57576</v>
      </c>
      <c r="D138" s="1285">
        <v>56171487.984800003</v>
      </c>
      <c r="E138" s="1287">
        <v>2595110.1368</v>
      </c>
    </row>
    <row r="139" spans="1:5">
      <c r="A139" s="1279">
        <f t="shared" si="0"/>
        <v>2023.1</v>
      </c>
      <c r="B139" s="1285" t="e">
        <v>#N/A</v>
      </c>
      <c r="C139" s="1286" t="e">
        <v>#N/A</v>
      </c>
      <c r="D139" s="1285" t="e">
        <v>#N/A</v>
      </c>
      <c r="E139" s="1287" t="e">
        <v>#N/A</v>
      </c>
    </row>
    <row r="140" spans="1:5">
      <c r="A140" s="1279">
        <f t="shared" si="0"/>
        <v>2023.11</v>
      </c>
      <c r="B140" s="1285" t="e">
        <v>#N/A</v>
      </c>
      <c r="C140" s="1286" t="e">
        <v>#N/A</v>
      </c>
      <c r="D140" s="1285" t="e">
        <v>#N/A</v>
      </c>
      <c r="E140" s="1287" t="e">
        <v>#N/A</v>
      </c>
    </row>
    <row r="141" spans="1:5">
      <c r="A141" s="1279">
        <f t="shared" si="0"/>
        <v>2023.12</v>
      </c>
      <c r="B141" s="1285" t="e">
        <v>#N/A</v>
      </c>
      <c r="C141" s="1286" t="e">
        <v>#N/A</v>
      </c>
      <c r="D141" s="1285" t="e">
        <v>#N/A</v>
      </c>
      <c r="E141" s="1287" t="e">
        <v>#N/A</v>
      </c>
    </row>
    <row r="142" spans="1:5">
      <c r="A142" s="1279">
        <f t="shared" si="0"/>
        <v>2024.01</v>
      </c>
      <c r="B142" s="1285" t="e">
        <v>#N/A</v>
      </c>
      <c r="C142" s="1286" t="e">
        <v>#N/A</v>
      </c>
      <c r="D142" s="1285" t="e">
        <v>#N/A</v>
      </c>
      <c r="E142" s="1287" t="e">
        <v>#N/A</v>
      </c>
    </row>
    <row r="143" spans="1:5">
      <c r="A143" s="1279">
        <f t="shared" si="0"/>
        <v>2024.02</v>
      </c>
      <c r="B143" s="1285" t="e">
        <v>#N/A</v>
      </c>
      <c r="C143" s="1286" t="e">
        <v>#N/A</v>
      </c>
      <c r="D143" s="1285" t="e">
        <v>#N/A</v>
      </c>
      <c r="E143" s="1287" t="e">
        <v>#N/A</v>
      </c>
    </row>
    <row r="144" spans="1:5">
      <c r="A144" s="1279">
        <f t="shared" si="0"/>
        <v>2024.03</v>
      </c>
      <c r="B144" s="1285" t="e">
        <v>#N/A</v>
      </c>
      <c r="C144" s="1286" t="e">
        <v>#N/A</v>
      </c>
      <c r="D144" s="1285" t="e">
        <v>#N/A</v>
      </c>
      <c r="E144" s="1287" t="e">
        <v>#N/A</v>
      </c>
    </row>
    <row r="145" spans="1:5">
      <c r="A145" s="1279">
        <f t="shared" si="0"/>
        <v>2024.04</v>
      </c>
      <c r="B145" s="1285" t="e">
        <v>#N/A</v>
      </c>
      <c r="C145" s="1286" t="e">
        <v>#N/A</v>
      </c>
      <c r="D145" s="1285" t="e">
        <v>#N/A</v>
      </c>
      <c r="E145" s="1287" t="e">
        <v>#N/A</v>
      </c>
    </row>
    <row r="146" spans="1:5">
      <c r="A146" s="1279">
        <f t="shared" si="0"/>
        <v>2024.05</v>
      </c>
      <c r="B146" s="1285" t="e">
        <v>#N/A</v>
      </c>
      <c r="C146" s="1286" t="e">
        <v>#N/A</v>
      </c>
      <c r="D146" s="1285" t="e">
        <v>#N/A</v>
      </c>
      <c r="E146" s="1287" t="e">
        <v>#N/A</v>
      </c>
    </row>
    <row r="147" spans="1:5">
      <c r="A147" s="1279">
        <f t="shared" si="0"/>
        <v>2024.06</v>
      </c>
      <c r="B147" s="1285" t="e">
        <v>#N/A</v>
      </c>
      <c r="C147" s="1286" t="e">
        <v>#N/A</v>
      </c>
      <c r="D147" s="1285" t="e">
        <v>#N/A</v>
      </c>
      <c r="E147" s="1287" t="e">
        <v>#N/A</v>
      </c>
    </row>
    <row r="148" spans="1:5">
      <c r="A148" s="1279">
        <f t="shared" si="0"/>
        <v>2024.07</v>
      </c>
      <c r="B148" s="1285" t="e">
        <v>#N/A</v>
      </c>
      <c r="C148" s="1286" t="e">
        <v>#N/A</v>
      </c>
      <c r="D148" s="1285" t="e">
        <v>#N/A</v>
      </c>
      <c r="E148" s="1287" t="e">
        <v>#N/A</v>
      </c>
    </row>
    <row r="149" spans="1:5">
      <c r="A149" s="1279">
        <f t="shared" si="0"/>
        <v>2024.08</v>
      </c>
      <c r="B149" s="1285" t="e">
        <v>#N/A</v>
      </c>
      <c r="C149" s="1286" t="e">
        <v>#N/A</v>
      </c>
      <c r="D149" s="1285" t="e">
        <v>#N/A</v>
      </c>
      <c r="E149" s="1287" t="e">
        <v>#N/A</v>
      </c>
    </row>
    <row r="150" spans="1:5">
      <c r="A150" s="1279">
        <f t="shared" si="0"/>
        <v>2024.09</v>
      </c>
      <c r="B150" s="1285" t="e">
        <v>#N/A</v>
      </c>
      <c r="C150" s="1286" t="e">
        <v>#N/A</v>
      </c>
      <c r="D150" s="1285" t="e">
        <v>#N/A</v>
      </c>
      <c r="E150" s="1287" t="e">
        <v>#N/A</v>
      </c>
    </row>
    <row r="151" spans="1:5">
      <c r="A151" s="1279">
        <f t="shared" si="0"/>
        <v>2024.1</v>
      </c>
      <c r="B151" s="1285" t="e">
        <v>#N/A</v>
      </c>
      <c r="C151" s="1286" t="e">
        <v>#N/A</v>
      </c>
      <c r="D151" s="1285" t="e">
        <v>#N/A</v>
      </c>
      <c r="E151" s="1287" t="e">
        <v>#N/A</v>
      </c>
    </row>
    <row r="152" spans="1:5">
      <c r="A152" s="1279">
        <f t="shared" si="0"/>
        <v>2024.11</v>
      </c>
      <c r="B152" s="1285" t="e">
        <v>#N/A</v>
      </c>
      <c r="C152" s="1286" t="e">
        <v>#N/A</v>
      </c>
      <c r="D152" s="1285" t="e">
        <v>#N/A</v>
      </c>
      <c r="E152" s="1287" t="e">
        <v>#N/A</v>
      </c>
    </row>
    <row r="153" spans="1:5">
      <c r="A153" s="1279">
        <f t="shared" si="0"/>
        <v>2024.12</v>
      </c>
      <c r="B153" s="1285" t="e">
        <v>#N/A</v>
      </c>
      <c r="C153" s="1286" t="e">
        <v>#N/A</v>
      </c>
      <c r="D153" s="1285" t="e">
        <v>#N/A</v>
      </c>
      <c r="E153" s="1287" t="e">
        <v>#N/A</v>
      </c>
    </row>
    <row r="154" spans="1:5">
      <c r="A154" s="1279">
        <f t="shared" si="0"/>
        <v>2025.01</v>
      </c>
      <c r="B154" s="1285" t="e">
        <v>#N/A</v>
      </c>
      <c r="C154" s="1286" t="e">
        <v>#N/A</v>
      </c>
      <c r="D154" s="1285" t="e">
        <v>#N/A</v>
      </c>
      <c r="E154" s="1287" t="e">
        <v>#N/A</v>
      </c>
    </row>
    <row r="155" spans="1:5">
      <c r="A155" s="1279">
        <f t="shared" si="0"/>
        <v>2025.02</v>
      </c>
      <c r="B155" s="1285" t="e">
        <v>#N/A</v>
      </c>
      <c r="C155" s="1286" t="e">
        <v>#N/A</v>
      </c>
      <c r="D155" s="1285" t="e">
        <v>#N/A</v>
      </c>
      <c r="E155" s="1287" t="e">
        <v>#N/A</v>
      </c>
    </row>
    <row r="156" spans="1:5">
      <c r="A156" s="1279">
        <f t="shared" si="0"/>
        <v>2025.03</v>
      </c>
      <c r="B156" s="1285" t="e">
        <v>#N/A</v>
      </c>
      <c r="C156" s="1286" t="e">
        <v>#N/A</v>
      </c>
      <c r="D156" s="1285" t="e">
        <v>#N/A</v>
      </c>
      <c r="E156" s="1287" t="e">
        <v>#N/A</v>
      </c>
    </row>
    <row r="157" spans="1:5">
      <c r="A157" s="1279">
        <f>A145+1</f>
        <v>2025.04</v>
      </c>
      <c r="B157" s="1285" t="e">
        <v>#N/A</v>
      </c>
      <c r="C157" s="1286" t="e">
        <v>#N/A</v>
      </c>
      <c r="D157" s="1285" t="e">
        <v>#N/A</v>
      </c>
      <c r="E157" s="1287" t="e">
        <v>#N/A</v>
      </c>
    </row>
    <row r="158" spans="1:5">
      <c r="A158" s="1279">
        <f t="shared" si="0"/>
        <v>2025.05</v>
      </c>
      <c r="B158" s="1285" t="e">
        <v>#N/A</v>
      </c>
      <c r="C158" s="1286" t="e">
        <v>#N/A</v>
      </c>
      <c r="D158" s="1285" t="e">
        <v>#N/A</v>
      </c>
      <c r="E158" s="1287" t="e">
        <v>#N/A</v>
      </c>
    </row>
    <row r="159" spans="1:5">
      <c r="A159" s="1279">
        <f t="shared" si="0"/>
        <v>2025.06</v>
      </c>
      <c r="B159" s="1285" t="e">
        <v>#N/A</v>
      </c>
      <c r="C159" s="1286" t="e">
        <v>#N/A</v>
      </c>
      <c r="D159" s="1285" t="e">
        <v>#N/A</v>
      </c>
      <c r="E159" s="1287" t="e">
        <v>#N/A</v>
      </c>
    </row>
    <row r="160" spans="1:5">
      <c r="A160" s="1279">
        <f t="shared" si="0"/>
        <v>2025.07</v>
      </c>
      <c r="B160" s="1285" t="e">
        <v>#N/A</v>
      </c>
      <c r="C160" s="1286" t="e">
        <v>#N/A</v>
      </c>
      <c r="D160" s="1285" t="e">
        <v>#N/A</v>
      </c>
      <c r="E160" s="1287" t="e">
        <v>#N/A</v>
      </c>
    </row>
    <row r="161" spans="1:5">
      <c r="A161" s="1279">
        <f t="shared" si="0"/>
        <v>2025.08</v>
      </c>
      <c r="B161" s="1285" t="e">
        <v>#N/A</v>
      </c>
      <c r="C161" s="1286" t="e">
        <v>#N/A</v>
      </c>
      <c r="D161" s="1285" t="e">
        <v>#N/A</v>
      </c>
      <c r="E161" s="1287" t="e">
        <v>#N/A</v>
      </c>
    </row>
    <row r="162" spans="1:5">
      <c r="A162" s="1279">
        <f t="shared" si="0"/>
        <v>2025.09</v>
      </c>
      <c r="B162" s="1285" t="e">
        <v>#N/A</v>
      </c>
      <c r="C162" s="1286" t="e">
        <v>#N/A</v>
      </c>
      <c r="D162" s="1285" t="e">
        <v>#N/A</v>
      </c>
      <c r="E162" s="1287" t="e">
        <v>#N/A</v>
      </c>
    </row>
    <row r="163" spans="1:5">
      <c r="A163" s="1279">
        <f>A151+1</f>
        <v>2025.1</v>
      </c>
      <c r="B163" s="1285" t="e">
        <v>#N/A</v>
      </c>
      <c r="C163" s="1286" t="e">
        <v>#N/A</v>
      </c>
      <c r="D163" s="1285" t="e">
        <v>#N/A</v>
      </c>
      <c r="E163" s="1287" t="e">
        <v>#N/A</v>
      </c>
    </row>
    <row r="164" spans="1:5">
      <c r="A164" s="1279">
        <f t="shared" si="0"/>
        <v>2025.11</v>
      </c>
      <c r="B164" s="1285" t="e">
        <v>#N/A</v>
      </c>
      <c r="C164" s="1286" t="e">
        <v>#N/A</v>
      </c>
      <c r="D164" s="1285" t="e">
        <v>#N/A</v>
      </c>
      <c r="E164" s="1287" t="e">
        <v>#N/A</v>
      </c>
    </row>
    <row r="165" spans="1:5">
      <c r="A165" s="1279">
        <f t="shared" si="0"/>
        <v>2025.12</v>
      </c>
      <c r="B165" s="1285" t="e">
        <v>#N/A</v>
      </c>
      <c r="C165" s="1286" t="e">
        <v>#N/A</v>
      </c>
      <c r="D165" s="1285" t="e">
        <v>#N/A</v>
      </c>
      <c r="E165" s="1287" t="e">
        <v>#N/A</v>
      </c>
    </row>
    <row r="166" spans="1:5">
      <c r="A166" s="1279">
        <f t="shared" si="0"/>
        <v>2026.01</v>
      </c>
      <c r="B166" s="1285" t="e">
        <v>#N/A</v>
      </c>
      <c r="C166" s="1286" t="e">
        <v>#N/A</v>
      </c>
      <c r="D166" s="1285" t="e">
        <v>#N/A</v>
      </c>
      <c r="E166" s="1287" t="e">
        <v>#N/A</v>
      </c>
    </row>
    <row r="167" spans="1:5">
      <c r="A167" s="1279">
        <f t="shared" si="0"/>
        <v>2026.02</v>
      </c>
      <c r="B167" s="1285" t="e">
        <v>#N/A</v>
      </c>
      <c r="C167" s="1286" t="e">
        <v>#N/A</v>
      </c>
      <c r="D167" s="1285" t="e">
        <v>#N/A</v>
      </c>
      <c r="E167" s="1287" t="e">
        <v>#N/A</v>
      </c>
    </row>
    <row r="168" spans="1:5">
      <c r="A168" s="1279">
        <f t="shared" si="0"/>
        <v>2026.03</v>
      </c>
      <c r="B168" s="1285" t="e">
        <v>#N/A</v>
      </c>
      <c r="C168" s="1286" t="e">
        <v>#N/A</v>
      </c>
      <c r="D168" s="1285" t="e">
        <v>#N/A</v>
      </c>
      <c r="E168" s="1287" t="e">
        <v>#N/A</v>
      </c>
    </row>
    <row r="169" spans="1:5">
      <c r="A169" s="1279">
        <f t="shared" si="0"/>
        <v>2026.04</v>
      </c>
      <c r="B169" s="1285" t="e">
        <v>#N/A</v>
      </c>
      <c r="C169" s="1286" t="e">
        <v>#N/A</v>
      </c>
      <c r="D169" s="1285" t="e">
        <v>#N/A</v>
      </c>
      <c r="E169" s="1287" t="e">
        <v>#N/A</v>
      </c>
    </row>
    <row r="170" spans="1:5">
      <c r="A170" s="1279">
        <f t="shared" si="0"/>
        <v>2026.05</v>
      </c>
      <c r="B170" s="1285" t="e">
        <v>#N/A</v>
      </c>
      <c r="C170" s="1286" t="e">
        <v>#N/A</v>
      </c>
      <c r="D170" s="1285" t="e">
        <v>#N/A</v>
      </c>
      <c r="E170" s="1287" t="e">
        <v>#N/A</v>
      </c>
    </row>
    <row r="171" spans="1:5">
      <c r="A171" s="1279">
        <f t="shared" ref="A171:A225" si="1">A159+1</f>
        <v>2026.06</v>
      </c>
      <c r="B171" s="1285" t="e">
        <v>#N/A</v>
      </c>
      <c r="C171" s="1286" t="e">
        <v>#N/A</v>
      </c>
      <c r="D171" s="1285" t="e">
        <v>#N/A</v>
      </c>
      <c r="E171" s="1287" t="e">
        <v>#N/A</v>
      </c>
    </row>
    <row r="172" spans="1:5">
      <c r="A172" s="1279">
        <f t="shared" si="1"/>
        <v>2026.07</v>
      </c>
      <c r="B172" s="1285" t="e">
        <v>#N/A</v>
      </c>
      <c r="C172" s="1286" t="e">
        <v>#N/A</v>
      </c>
      <c r="D172" s="1285" t="e">
        <v>#N/A</v>
      </c>
      <c r="E172" s="1287" t="e">
        <v>#N/A</v>
      </c>
    </row>
    <row r="173" spans="1:5">
      <c r="A173" s="1279">
        <f t="shared" si="1"/>
        <v>2026.08</v>
      </c>
      <c r="B173" s="1285" t="e">
        <v>#N/A</v>
      </c>
      <c r="C173" s="1286" t="e">
        <v>#N/A</v>
      </c>
      <c r="D173" s="1285" t="e">
        <v>#N/A</v>
      </c>
      <c r="E173" s="1287" t="e">
        <v>#N/A</v>
      </c>
    </row>
    <row r="174" spans="1:5">
      <c r="A174" s="1279">
        <f t="shared" si="1"/>
        <v>2026.09</v>
      </c>
      <c r="B174" s="1285" t="e">
        <v>#N/A</v>
      </c>
      <c r="C174" s="1286" t="e">
        <v>#N/A</v>
      </c>
      <c r="D174" s="1285" t="e">
        <v>#N/A</v>
      </c>
      <c r="E174" s="1287" t="e">
        <v>#N/A</v>
      </c>
    </row>
    <row r="175" spans="1:5">
      <c r="A175" s="1279">
        <f t="shared" si="1"/>
        <v>2026.1</v>
      </c>
      <c r="B175" s="1285" t="e">
        <v>#N/A</v>
      </c>
      <c r="C175" s="1286" t="e">
        <v>#N/A</v>
      </c>
      <c r="D175" s="1285" t="e">
        <v>#N/A</v>
      </c>
      <c r="E175" s="1287" t="e">
        <v>#N/A</v>
      </c>
    </row>
    <row r="176" spans="1:5">
      <c r="A176" s="1279">
        <f t="shared" si="1"/>
        <v>2026.11</v>
      </c>
      <c r="B176" s="1285" t="e">
        <v>#N/A</v>
      </c>
      <c r="C176" s="1286" t="e">
        <v>#N/A</v>
      </c>
      <c r="D176" s="1285" t="e">
        <v>#N/A</v>
      </c>
      <c r="E176" s="1287" t="e">
        <v>#N/A</v>
      </c>
    </row>
    <row r="177" spans="1:5">
      <c r="A177" s="1279">
        <f t="shared" si="1"/>
        <v>2026.12</v>
      </c>
      <c r="B177" s="1285" t="e">
        <v>#N/A</v>
      </c>
      <c r="C177" s="1286" t="e">
        <v>#N/A</v>
      </c>
      <c r="D177" s="1285" t="e">
        <v>#N/A</v>
      </c>
      <c r="E177" s="1287" t="e">
        <v>#N/A</v>
      </c>
    </row>
    <row r="178" spans="1:5">
      <c r="A178" s="1279">
        <f t="shared" si="1"/>
        <v>2027.01</v>
      </c>
      <c r="B178" s="1285" t="e">
        <v>#N/A</v>
      </c>
      <c r="C178" s="1286" t="e">
        <v>#N/A</v>
      </c>
      <c r="D178" s="1285" t="e">
        <v>#N/A</v>
      </c>
      <c r="E178" s="1287" t="e">
        <v>#N/A</v>
      </c>
    </row>
    <row r="179" spans="1:5">
      <c r="A179" s="1279">
        <f t="shared" si="1"/>
        <v>2027.02</v>
      </c>
      <c r="B179" s="1285" t="e">
        <v>#N/A</v>
      </c>
      <c r="C179" s="1286" t="e">
        <v>#N/A</v>
      </c>
      <c r="D179" s="1285" t="e">
        <v>#N/A</v>
      </c>
      <c r="E179" s="1287" t="e">
        <v>#N/A</v>
      </c>
    </row>
    <row r="180" spans="1:5">
      <c r="A180" s="1279">
        <f t="shared" si="1"/>
        <v>2027.03</v>
      </c>
      <c r="B180" s="1285" t="e">
        <v>#N/A</v>
      </c>
      <c r="C180" s="1286" t="e">
        <v>#N/A</v>
      </c>
      <c r="D180" s="1285" t="e">
        <v>#N/A</v>
      </c>
      <c r="E180" s="1287" t="e">
        <v>#N/A</v>
      </c>
    </row>
    <row r="181" spans="1:5">
      <c r="A181" s="1279">
        <f t="shared" si="1"/>
        <v>2027.04</v>
      </c>
      <c r="B181" s="1285" t="e">
        <v>#N/A</v>
      </c>
      <c r="C181" s="1286" t="e">
        <v>#N/A</v>
      </c>
      <c r="D181" s="1285" t="e">
        <v>#N/A</v>
      </c>
      <c r="E181" s="1287" t="e">
        <v>#N/A</v>
      </c>
    </row>
    <row r="182" spans="1:5">
      <c r="A182" s="1279">
        <f t="shared" si="1"/>
        <v>2027.05</v>
      </c>
      <c r="B182" s="1285" t="e">
        <v>#N/A</v>
      </c>
      <c r="C182" s="1286" t="e">
        <v>#N/A</v>
      </c>
      <c r="D182" s="1285" t="e">
        <v>#N/A</v>
      </c>
      <c r="E182" s="1287" t="e">
        <v>#N/A</v>
      </c>
    </row>
    <row r="183" spans="1:5">
      <c r="A183" s="1279">
        <f t="shared" si="1"/>
        <v>2027.06</v>
      </c>
      <c r="B183" s="1285" t="e">
        <v>#N/A</v>
      </c>
      <c r="C183" s="1286" t="e">
        <v>#N/A</v>
      </c>
      <c r="D183" s="1285" t="e">
        <v>#N/A</v>
      </c>
      <c r="E183" s="1287" t="e">
        <v>#N/A</v>
      </c>
    </row>
    <row r="184" spans="1:5">
      <c r="A184" s="1279">
        <f t="shared" si="1"/>
        <v>2027.07</v>
      </c>
      <c r="B184" s="1285" t="e">
        <v>#N/A</v>
      </c>
      <c r="C184" s="1286" t="e">
        <v>#N/A</v>
      </c>
      <c r="D184" s="1285" t="e">
        <v>#N/A</v>
      </c>
      <c r="E184" s="1287" t="e">
        <v>#N/A</v>
      </c>
    </row>
    <row r="185" spans="1:5">
      <c r="A185" s="1279">
        <f t="shared" si="1"/>
        <v>2027.08</v>
      </c>
      <c r="B185" s="1285" t="e">
        <v>#N/A</v>
      </c>
      <c r="C185" s="1286" t="e">
        <v>#N/A</v>
      </c>
      <c r="D185" s="1285" t="e">
        <v>#N/A</v>
      </c>
      <c r="E185" s="1287" t="e">
        <v>#N/A</v>
      </c>
    </row>
    <row r="186" spans="1:5">
      <c r="A186" s="1279">
        <f t="shared" si="1"/>
        <v>2027.09</v>
      </c>
      <c r="B186" s="1285" t="e">
        <v>#N/A</v>
      </c>
      <c r="C186" s="1286" t="e">
        <v>#N/A</v>
      </c>
      <c r="D186" s="1285" t="e">
        <v>#N/A</v>
      </c>
      <c r="E186" s="1287" t="e">
        <v>#N/A</v>
      </c>
    </row>
    <row r="187" spans="1:5">
      <c r="A187" s="1279">
        <f t="shared" si="1"/>
        <v>2027.1</v>
      </c>
      <c r="B187" s="1285" t="e">
        <v>#N/A</v>
      </c>
      <c r="C187" s="1286" t="e">
        <v>#N/A</v>
      </c>
      <c r="D187" s="1285" t="e">
        <v>#N/A</v>
      </c>
      <c r="E187" s="1287" t="e">
        <v>#N/A</v>
      </c>
    </row>
    <row r="188" spans="1:5">
      <c r="A188" s="1279">
        <f t="shared" si="1"/>
        <v>2027.11</v>
      </c>
      <c r="B188" s="1285" t="e">
        <v>#N/A</v>
      </c>
      <c r="C188" s="1286" t="e">
        <v>#N/A</v>
      </c>
      <c r="D188" s="1285" t="e">
        <v>#N/A</v>
      </c>
      <c r="E188" s="1287" t="e">
        <v>#N/A</v>
      </c>
    </row>
    <row r="189" spans="1:5">
      <c r="A189" s="1279">
        <f t="shared" si="1"/>
        <v>2027.12</v>
      </c>
      <c r="B189" s="1285" t="e">
        <v>#N/A</v>
      </c>
      <c r="C189" s="1286" t="e">
        <v>#N/A</v>
      </c>
      <c r="D189" s="1285" t="e">
        <v>#N/A</v>
      </c>
      <c r="E189" s="1287" t="e">
        <v>#N/A</v>
      </c>
    </row>
    <row r="190" spans="1:5">
      <c r="A190" s="1279">
        <f t="shared" si="1"/>
        <v>2028.01</v>
      </c>
      <c r="B190" s="1285" t="e">
        <v>#N/A</v>
      </c>
      <c r="C190" s="1286" t="e">
        <v>#N/A</v>
      </c>
      <c r="D190" s="1285" t="e">
        <v>#N/A</v>
      </c>
      <c r="E190" s="1287" t="e">
        <v>#N/A</v>
      </c>
    </row>
    <row r="191" spans="1:5">
      <c r="A191" s="1279">
        <f t="shared" si="1"/>
        <v>2028.02</v>
      </c>
      <c r="B191" s="1285" t="e">
        <v>#N/A</v>
      </c>
      <c r="C191" s="1286" t="e">
        <v>#N/A</v>
      </c>
      <c r="D191" s="1285" t="e">
        <v>#N/A</v>
      </c>
      <c r="E191" s="1287" t="e">
        <v>#N/A</v>
      </c>
    </row>
    <row r="192" spans="1:5">
      <c r="A192" s="1279">
        <f t="shared" si="1"/>
        <v>2028.03</v>
      </c>
      <c r="B192" s="1285" t="e">
        <v>#N/A</v>
      </c>
      <c r="C192" s="1286" t="e">
        <v>#N/A</v>
      </c>
      <c r="D192" s="1285" t="e">
        <v>#N/A</v>
      </c>
      <c r="E192" s="1287" t="e">
        <v>#N/A</v>
      </c>
    </row>
    <row r="193" spans="1:5">
      <c r="A193" s="1279">
        <f t="shared" si="1"/>
        <v>2028.04</v>
      </c>
      <c r="B193" s="1285" t="e">
        <v>#N/A</v>
      </c>
      <c r="C193" s="1286" t="e">
        <v>#N/A</v>
      </c>
      <c r="D193" s="1285" t="e">
        <v>#N/A</v>
      </c>
      <c r="E193" s="1287" t="e">
        <v>#N/A</v>
      </c>
    </row>
    <row r="194" spans="1:5">
      <c r="A194" s="1279">
        <f t="shared" si="1"/>
        <v>2028.05</v>
      </c>
      <c r="B194" s="1285" t="e">
        <v>#N/A</v>
      </c>
      <c r="C194" s="1286" t="e">
        <v>#N/A</v>
      </c>
      <c r="D194" s="1285" t="e">
        <v>#N/A</v>
      </c>
      <c r="E194" s="1287" t="e">
        <v>#N/A</v>
      </c>
    </row>
    <row r="195" spans="1:5">
      <c r="A195" s="1279">
        <f t="shared" si="1"/>
        <v>2028.06</v>
      </c>
      <c r="B195" s="1285" t="e">
        <v>#N/A</v>
      </c>
      <c r="C195" s="1286" t="e">
        <v>#N/A</v>
      </c>
      <c r="D195" s="1285" t="e">
        <v>#N/A</v>
      </c>
      <c r="E195" s="1287" t="e">
        <v>#N/A</v>
      </c>
    </row>
    <row r="196" spans="1:5">
      <c r="A196" s="1279">
        <f t="shared" si="1"/>
        <v>2028.07</v>
      </c>
      <c r="B196" s="1285" t="e">
        <v>#N/A</v>
      </c>
      <c r="C196" s="1286" t="e">
        <v>#N/A</v>
      </c>
      <c r="D196" s="1285" t="e">
        <v>#N/A</v>
      </c>
      <c r="E196" s="1287" t="e">
        <v>#N/A</v>
      </c>
    </row>
    <row r="197" spans="1:5">
      <c r="A197" s="1279">
        <f t="shared" si="1"/>
        <v>2028.08</v>
      </c>
      <c r="B197" s="1285" t="e">
        <v>#N/A</v>
      </c>
      <c r="C197" s="1286" t="e">
        <v>#N/A</v>
      </c>
      <c r="D197" s="1285" t="e">
        <v>#N/A</v>
      </c>
      <c r="E197" s="1287" t="e">
        <v>#N/A</v>
      </c>
    </row>
    <row r="198" spans="1:5">
      <c r="A198" s="1279">
        <f t="shared" si="1"/>
        <v>2028.09</v>
      </c>
      <c r="B198" s="1285" t="e">
        <v>#N/A</v>
      </c>
      <c r="C198" s="1286" t="e">
        <v>#N/A</v>
      </c>
      <c r="D198" s="1285" t="e">
        <v>#N/A</v>
      </c>
      <c r="E198" s="1287" t="e">
        <v>#N/A</v>
      </c>
    </row>
    <row r="199" spans="1:5">
      <c r="A199" s="1279">
        <f t="shared" si="1"/>
        <v>2028.1</v>
      </c>
      <c r="B199" s="1285" t="e">
        <v>#N/A</v>
      </c>
      <c r="C199" s="1286" t="e">
        <v>#N/A</v>
      </c>
      <c r="D199" s="1285" t="e">
        <v>#N/A</v>
      </c>
      <c r="E199" s="1287" t="e">
        <v>#N/A</v>
      </c>
    </row>
    <row r="200" spans="1:5">
      <c r="A200" s="1279">
        <f t="shared" si="1"/>
        <v>2028.11</v>
      </c>
      <c r="B200" s="1285" t="e">
        <v>#N/A</v>
      </c>
      <c r="C200" s="1286" t="e">
        <v>#N/A</v>
      </c>
      <c r="D200" s="1285" t="e">
        <v>#N/A</v>
      </c>
      <c r="E200" s="1287" t="e">
        <v>#N/A</v>
      </c>
    </row>
    <row r="201" spans="1:5">
      <c r="A201" s="1279">
        <f t="shared" si="1"/>
        <v>2028.12</v>
      </c>
      <c r="B201" s="1285" t="e">
        <v>#N/A</v>
      </c>
      <c r="C201" s="1286" t="e">
        <v>#N/A</v>
      </c>
      <c r="D201" s="1285" t="e">
        <v>#N/A</v>
      </c>
      <c r="E201" s="1287" t="e">
        <v>#N/A</v>
      </c>
    </row>
    <row r="202" spans="1:5">
      <c r="A202" s="1279">
        <f t="shared" si="1"/>
        <v>2029.01</v>
      </c>
      <c r="B202" s="1285" t="e">
        <v>#N/A</v>
      </c>
      <c r="C202" s="1286" t="e">
        <v>#N/A</v>
      </c>
      <c r="D202" s="1285" t="e">
        <v>#N/A</v>
      </c>
      <c r="E202" s="1287" t="e">
        <v>#N/A</v>
      </c>
    </row>
    <row r="203" spans="1:5">
      <c r="A203" s="1279">
        <f t="shared" si="1"/>
        <v>2029.02</v>
      </c>
      <c r="B203" s="1285" t="e">
        <v>#N/A</v>
      </c>
      <c r="C203" s="1286" t="e">
        <v>#N/A</v>
      </c>
      <c r="D203" s="1285" t="e">
        <v>#N/A</v>
      </c>
      <c r="E203" s="1287" t="e">
        <v>#N/A</v>
      </c>
    </row>
    <row r="204" spans="1:5">
      <c r="A204" s="1279">
        <f t="shared" si="1"/>
        <v>2029.03</v>
      </c>
      <c r="B204" s="1285" t="e">
        <v>#N/A</v>
      </c>
      <c r="C204" s="1286" t="e">
        <v>#N/A</v>
      </c>
      <c r="D204" s="1285" t="e">
        <v>#N/A</v>
      </c>
      <c r="E204" s="1287" t="e">
        <v>#N/A</v>
      </c>
    </row>
    <row r="205" spans="1:5">
      <c r="A205" s="1279">
        <f t="shared" si="1"/>
        <v>2029.04</v>
      </c>
      <c r="B205" s="1285" t="e">
        <v>#N/A</v>
      </c>
      <c r="C205" s="1286" t="e">
        <v>#N/A</v>
      </c>
      <c r="D205" s="1285" t="e">
        <v>#N/A</v>
      </c>
      <c r="E205" s="1287" t="e">
        <v>#N/A</v>
      </c>
    </row>
    <row r="206" spans="1:5">
      <c r="A206" s="1279">
        <f t="shared" si="1"/>
        <v>2029.05</v>
      </c>
      <c r="B206" s="1285" t="e">
        <v>#N/A</v>
      </c>
      <c r="C206" s="1286" t="e">
        <v>#N/A</v>
      </c>
      <c r="D206" s="1285" t="e">
        <v>#N/A</v>
      </c>
      <c r="E206" s="1287" t="e">
        <v>#N/A</v>
      </c>
    </row>
    <row r="207" spans="1:5">
      <c r="A207" s="1279">
        <f t="shared" si="1"/>
        <v>2029.06</v>
      </c>
      <c r="B207" s="1285" t="e">
        <v>#N/A</v>
      </c>
      <c r="C207" s="1286" t="e">
        <v>#N/A</v>
      </c>
      <c r="D207" s="1285" t="e">
        <v>#N/A</v>
      </c>
      <c r="E207" s="1287" t="e">
        <v>#N/A</v>
      </c>
    </row>
    <row r="208" spans="1:5">
      <c r="A208" s="1279">
        <f t="shared" si="1"/>
        <v>2029.07</v>
      </c>
      <c r="B208" s="1285" t="e">
        <v>#N/A</v>
      </c>
      <c r="C208" s="1286" t="e">
        <v>#N/A</v>
      </c>
      <c r="D208" s="1285" t="e">
        <v>#N/A</v>
      </c>
      <c r="E208" s="1287" t="e">
        <v>#N/A</v>
      </c>
    </row>
    <row r="209" spans="1:5">
      <c r="A209" s="1279">
        <f t="shared" si="1"/>
        <v>2029.08</v>
      </c>
      <c r="B209" s="1285" t="e">
        <v>#N/A</v>
      </c>
      <c r="C209" s="1286" t="e">
        <v>#N/A</v>
      </c>
      <c r="D209" s="1285" t="e">
        <v>#N/A</v>
      </c>
      <c r="E209" s="1287" t="e">
        <v>#N/A</v>
      </c>
    </row>
    <row r="210" spans="1:5">
      <c r="A210" s="1279">
        <f t="shared" si="1"/>
        <v>2029.09</v>
      </c>
      <c r="B210" s="1285" t="e">
        <v>#N/A</v>
      </c>
      <c r="C210" s="1286" t="e">
        <v>#N/A</v>
      </c>
      <c r="D210" s="1285" t="e">
        <v>#N/A</v>
      </c>
      <c r="E210" s="1287" t="e">
        <v>#N/A</v>
      </c>
    </row>
    <row r="211" spans="1:5">
      <c r="A211" s="1279">
        <f t="shared" si="1"/>
        <v>2029.1</v>
      </c>
      <c r="B211" s="1285" t="e">
        <v>#N/A</v>
      </c>
      <c r="C211" s="1286" t="e">
        <v>#N/A</v>
      </c>
      <c r="D211" s="1285" t="e">
        <v>#N/A</v>
      </c>
      <c r="E211" s="1287" t="e">
        <v>#N/A</v>
      </c>
    </row>
    <row r="212" spans="1:5">
      <c r="A212" s="1279">
        <f t="shared" si="1"/>
        <v>2029.11</v>
      </c>
      <c r="B212" s="1285" t="e">
        <v>#N/A</v>
      </c>
      <c r="C212" s="1286" t="e">
        <v>#N/A</v>
      </c>
      <c r="D212" s="1285" t="e">
        <v>#N/A</v>
      </c>
      <c r="E212" s="1287" t="e">
        <v>#N/A</v>
      </c>
    </row>
    <row r="213" spans="1:5">
      <c r="A213" s="1279">
        <f t="shared" si="1"/>
        <v>2029.12</v>
      </c>
      <c r="B213" s="1285" t="e">
        <v>#N/A</v>
      </c>
      <c r="C213" s="1286" t="e">
        <v>#N/A</v>
      </c>
      <c r="D213" s="1285" t="e">
        <v>#N/A</v>
      </c>
      <c r="E213" s="1287" t="e">
        <v>#N/A</v>
      </c>
    </row>
    <row r="214" spans="1:5">
      <c r="A214" s="1279">
        <f t="shared" si="1"/>
        <v>2030.01</v>
      </c>
      <c r="B214" s="1285" t="e">
        <v>#N/A</v>
      </c>
      <c r="C214" s="1286" t="e">
        <v>#N/A</v>
      </c>
      <c r="D214" s="1285" t="e">
        <v>#N/A</v>
      </c>
      <c r="E214" s="1287" t="e">
        <v>#N/A</v>
      </c>
    </row>
    <row r="215" spans="1:5">
      <c r="A215" s="1279">
        <f t="shared" si="1"/>
        <v>2030.02</v>
      </c>
      <c r="B215" s="1285" t="e">
        <v>#N/A</v>
      </c>
      <c r="C215" s="1286" t="e">
        <v>#N/A</v>
      </c>
      <c r="D215" s="1285" t="e">
        <v>#N/A</v>
      </c>
      <c r="E215" s="1287" t="e">
        <v>#N/A</v>
      </c>
    </row>
    <row r="216" spans="1:5">
      <c r="A216" s="1279">
        <f t="shared" si="1"/>
        <v>2030.03</v>
      </c>
      <c r="B216" s="1285" t="e">
        <v>#N/A</v>
      </c>
      <c r="C216" s="1286" t="e">
        <v>#N/A</v>
      </c>
      <c r="D216" s="1285" t="e">
        <v>#N/A</v>
      </c>
      <c r="E216" s="1287" t="e">
        <v>#N/A</v>
      </c>
    </row>
    <row r="217" spans="1:5">
      <c r="A217" s="1279">
        <f t="shared" si="1"/>
        <v>2030.04</v>
      </c>
      <c r="B217" s="1285" t="e">
        <v>#N/A</v>
      </c>
      <c r="C217" s="1286" t="e">
        <v>#N/A</v>
      </c>
      <c r="D217" s="1285" t="e">
        <v>#N/A</v>
      </c>
      <c r="E217" s="1287" t="e">
        <v>#N/A</v>
      </c>
    </row>
    <row r="218" spans="1:5">
      <c r="A218" s="1279">
        <f t="shared" si="1"/>
        <v>2030.05</v>
      </c>
      <c r="B218" s="1285" t="e">
        <v>#N/A</v>
      </c>
      <c r="C218" s="1286" t="e">
        <v>#N/A</v>
      </c>
      <c r="D218" s="1285" t="e">
        <v>#N/A</v>
      </c>
      <c r="E218" s="1287" t="e">
        <v>#N/A</v>
      </c>
    </row>
    <row r="219" spans="1:5">
      <c r="A219" s="1279">
        <f t="shared" si="1"/>
        <v>2030.06</v>
      </c>
      <c r="B219" s="1285" t="e">
        <v>#N/A</v>
      </c>
      <c r="C219" s="1286" t="e">
        <v>#N/A</v>
      </c>
      <c r="D219" s="1285" t="e">
        <v>#N/A</v>
      </c>
      <c r="E219" s="1287" t="e">
        <v>#N/A</v>
      </c>
    </row>
    <row r="220" spans="1:5">
      <c r="A220" s="1279">
        <f t="shared" si="1"/>
        <v>2030.07</v>
      </c>
      <c r="B220" s="1285" t="e">
        <v>#N/A</v>
      </c>
      <c r="C220" s="1286" t="e">
        <v>#N/A</v>
      </c>
      <c r="D220" s="1285" t="e">
        <v>#N/A</v>
      </c>
      <c r="E220" s="1287" t="e">
        <v>#N/A</v>
      </c>
    </row>
    <row r="221" spans="1:5">
      <c r="A221" s="1279">
        <f t="shared" si="1"/>
        <v>2030.08</v>
      </c>
      <c r="B221" s="1285" t="e">
        <v>#N/A</v>
      </c>
      <c r="C221" s="1286" t="e">
        <v>#N/A</v>
      </c>
      <c r="D221" s="1285" t="e">
        <v>#N/A</v>
      </c>
      <c r="E221" s="1287" t="e">
        <v>#N/A</v>
      </c>
    </row>
    <row r="222" spans="1:5">
      <c r="A222" s="1279">
        <f t="shared" si="1"/>
        <v>2030.09</v>
      </c>
      <c r="B222" s="1285" t="e">
        <v>#N/A</v>
      </c>
      <c r="C222" s="1286" t="e">
        <v>#N/A</v>
      </c>
      <c r="D222" s="1285" t="e">
        <v>#N/A</v>
      </c>
      <c r="E222" s="1287" t="e">
        <v>#N/A</v>
      </c>
    </row>
    <row r="223" spans="1:5">
      <c r="A223" s="1279">
        <f t="shared" si="1"/>
        <v>2030.1</v>
      </c>
      <c r="B223" s="1285" t="e">
        <v>#N/A</v>
      </c>
      <c r="C223" s="1286" t="e">
        <v>#N/A</v>
      </c>
      <c r="D223" s="1285" t="e">
        <v>#N/A</v>
      </c>
      <c r="E223" s="1287" t="e">
        <v>#N/A</v>
      </c>
    </row>
    <row r="224" spans="1:5">
      <c r="A224" s="1279">
        <f t="shared" si="1"/>
        <v>2030.11</v>
      </c>
      <c r="B224" s="1285" t="e">
        <v>#N/A</v>
      </c>
      <c r="C224" s="1286" t="e">
        <v>#N/A</v>
      </c>
      <c r="D224" s="1285" t="e">
        <v>#N/A</v>
      </c>
      <c r="E224" s="1287" t="e">
        <v>#N/A</v>
      </c>
    </row>
    <row r="225" spans="1:5">
      <c r="A225" s="1279">
        <f t="shared" si="1"/>
        <v>2030.12</v>
      </c>
      <c r="B225" s="1285" t="e">
        <v>#N/A</v>
      </c>
      <c r="C225" s="1286" t="e">
        <v>#N/A</v>
      </c>
      <c r="D225" s="1285" t="e">
        <v>#N/A</v>
      </c>
      <c r="E225" s="1287" t="e">
        <v>#N/A</v>
      </c>
    </row>
  </sheetData>
  <hyperlinks>
    <hyperlink ref="A5" location="INDICE!A13" display="VOLVER AL INDICE" xr:uid="{00000000-0004-0000-1000-000000000000}"/>
  </hyperlink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3D14C-82BC-4A06-9607-E05C8AC36055}">
  <dimension ref="A1:U141"/>
  <sheetViews>
    <sheetView zoomScaleNormal="100" workbookViewId="0">
      <pane xSplit="1" ySplit="9" topLeftCell="B96" activePane="bottomRight" state="frozen"/>
      <selection activeCell="G79" sqref="G79"/>
      <selection pane="topRight" activeCell="G79" sqref="G79"/>
      <selection pane="bottomLeft" activeCell="G79" sqref="G79"/>
      <selection pane="bottomRight" activeCell="B112" sqref="B112"/>
    </sheetView>
  </sheetViews>
  <sheetFormatPr baseColWidth="10" defaultColWidth="11.42578125" defaultRowHeight="12.75"/>
  <cols>
    <col min="1" max="1" width="9.7109375" style="2992" bestFit="1" customWidth="1"/>
    <col min="2" max="2" width="7.7109375" style="2992" bestFit="1" customWidth="1"/>
    <col min="3" max="3" width="7.42578125" style="2992" bestFit="1" customWidth="1"/>
    <col min="4" max="4" width="11.28515625" style="2992" bestFit="1" customWidth="1"/>
    <col min="5" max="6" width="10.5703125" style="2992" customWidth="1"/>
    <col min="7" max="7" width="9.42578125" style="2992" customWidth="1"/>
    <col min="8" max="13" width="10.5703125" style="2992" customWidth="1"/>
    <col min="14" max="14" width="9.42578125" style="2992" bestFit="1" customWidth="1"/>
    <col min="15" max="16" width="10.5703125" style="2992" customWidth="1"/>
    <col min="17" max="17" width="7.7109375" style="2992" bestFit="1" customWidth="1"/>
    <col min="18" max="18" width="7.42578125" style="2992" bestFit="1" customWidth="1"/>
    <col min="19" max="19" width="10.5703125" style="2992" customWidth="1"/>
    <col min="20" max="20" width="11.5703125" style="2992" bestFit="1" customWidth="1"/>
    <col min="21" max="21" width="10.5703125" style="2992" customWidth="1"/>
    <col min="22" max="22" width="9.28515625" style="2932" bestFit="1" customWidth="1"/>
    <col min="23" max="16384" width="11.42578125" style="2932"/>
  </cols>
  <sheetData>
    <row r="1" spans="1:21" ht="3.75" customHeight="1">
      <c r="A1" s="2931"/>
      <c r="B1" s="3390"/>
      <c r="C1" s="3391"/>
      <c r="D1" s="3391"/>
      <c r="E1" s="3391"/>
      <c r="F1" s="3391"/>
      <c r="G1" s="3391"/>
      <c r="H1" s="3391"/>
      <c r="I1" s="3391"/>
      <c r="J1" s="3391"/>
      <c r="K1" s="3392"/>
      <c r="L1" s="3393"/>
      <c r="M1" s="3391"/>
      <c r="N1" s="3391"/>
      <c r="O1" s="3391"/>
      <c r="P1" s="3391"/>
      <c r="Q1" s="3391"/>
      <c r="R1" s="3391"/>
      <c r="S1" s="3391"/>
      <c r="T1" s="3391"/>
      <c r="U1" s="3394"/>
    </row>
    <row r="2" spans="1:21" ht="12.75" customHeight="1">
      <c r="A2" s="2931" t="s">
        <v>212</v>
      </c>
      <c r="B2" s="2933" t="s">
        <v>299</v>
      </c>
      <c r="C2" s="2934"/>
      <c r="D2" s="2934"/>
      <c r="E2" s="2934"/>
      <c r="F2" s="2934"/>
      <c r="G2" s="2934"/>
      <c r="H2" s="2934"/>
      <c r="I2" s="2934"/>
      <c r="J2" s="2934"/>
      <c r="K2" s="2935"/>
      <c r="L2" s="3393" t="str">
        <f>B2</f>
        <v>EPH Poblacional. PEA, Población ocupada, desocupada y subocupada; por aglomerado.</v>
      </c>
      <c r="M2" s="3391"/>
      <c r="N2" s="3391"/>
      <c r="O2" s="3391"/>
      <c r="P2" s="3391"/>
      <c r="Q2" s="3391"/>
      <c r="R2" s="3391"/>
      <c r="S2" s="3391"/>
      <c r="T2" s="3391"/>
      <c r="U2" s="3394"/>
    </row>
    <row r="3" spans="1:21" ht="12.75" customHeight="1">
      <c r="A3" s="2931" t="s">
        <v>211</v>
      </c>
      <c r="B3" s="2933" t="s">
        <v>1329</v>
      </c>
      <c r="C3" s="2934"/>
      <c r="D3" s="2934"/>
      <c r="E3" s="2934"/>
      <c r="F3" s="2934"/>
      <c r="G3" s="2934"/>
      <c r="H3" s="2934"/>
      <c r="I3" s="2934"/>
      <c r="J3" s="2934"/>
      <c r="K3" s="2935"/>
      <c r="L3" s="3395" t="str">
        <f>B3</f>
        <v>Encuesta Permanente de Hogares (EPH) - INDEC</v>
      </c>
      <c r="M3" s="3396"/>
      <c r="N3" s="3396"/>
      <c r="O3" s="3396"/>
      <c r="P3" s="3396"/>
      <c r="Q3" s="3396"/>
      <c r="R3" s="3396"/>
      <c r="S3" s="3396"/>
      <c r="T3" s="3396"/>
      <c r="U3" s="3397"/>
    </row>
    <row r="4" spans="1:21" ht="3" customHeight="1">
      <c r="A4" s="224"/>
      <c r="B4" s="2936"/>
      <c r="C4" s="2937"/>
      <c r="D4" s="2937"/>
      <c r="E4" s="2937"/>
      <c r="F4" s="2937"/>
      <c r="G4" s="2937"/>
      <c r="H4" s="2937"/>
      <c r="I4" s="2937"/>
      <c r="J4" s="2937"/>
      <c r="K4" s="2938"/>
      <c r="L4" s="2939"/>
      <c r="M4" s="2937"/>
      <c r="N4" s="2937"/>
      <c r="O4" s="2937"/>
      <c r="P4" s="2937"/>
      <c r="Q4" s="2937"/>
      <c r="R4" s="2937"/>
      <c r="S4" s="2937"/>
      <c r="T4" s="2937"/>
      <c r="U4" s="2940"/>
    </row>
    <row r="5" spans="1:21" ht="24" customHeight="1">
      <c r="A5" s="2941" t="s">
        <v>213</v>
      </c>
      <c r="B5" s="2942"/>
      <c r="C5" s="2943"/>
      <c r="D5" s="2934"/>
      <c r="E5" s="2934"/>
      <c r="F5" s="2934"/>
      <c r="G5" s="2943"/>
      <c r="H5" s="2943"/>
      <c r="I5" s="2934"/>
      <c r="J5" s="2934"/>
      <c r="K5" s="2935"/>
      <c r="L5" s="2944"/>
      <c r="M5" s="2943"/>
      <c r="N5" s="2934"/>
      <c r="O5" s="2934"/>
      <c r="P5" s="2934"/>
      <c r="Q5" s="2943"/>
      <c r="R5" s="2943"/>
      <c r="S5" s="2934"/>
      <c r="T5" s="2934"/>
      <c r="U5" s="2945"/>
    </row>
    <row r="6" spans="1:21" ht="22.5">
      <c r="A6" s="224"/>
      <c r="B6" s="2933" t="s">
        <v>28</v>
      </c>
      <c r="C6" s="2946"/>
      <c r="D6" s="2946"/>
      <c r="E6" s="2946"/>
      <c r="F6" s="2946"/>
      <c r="G6" s="2947" t="s">
        <v>27</v>
      </c>
      <c r="H6" s="2946"/>
      <c r="I6" s="2946"/>
      <c r="J6" s="2946"/>
      <c r="K6" s="2948"/>
      <c r="L6" s="2947" t="s">
        <v>301</v>
      </c>
      <c r="M6" s="2946"/>
      <c r="N6" s="2946"/>
      <c r="O6" s="2946"/>
      <c r="P6" s="2946"/>
      <c r="Q6" s="2947" t="s">
        <v>300</v>
      </c>
      <c r="R6" s="2946"/>
      <c r="S6" s="2946"/>
      <c r="T6" s="2946"/>
      <c r="U6" s="2949"/>
    </row>
    <row r="7" spans="1:21" ht="22.5">
      <c r="A7" s="2931" t="s">
        <v>210</v>
      </c>
      <c r="B7" s="2950" t="s">
        <v>740</v>
      </c>
      <c r="C7" s="2951"/>
      <c r="D7" s="2951"/>
      <c r="E7" s="2951"/>
      <c r="F7" s="2951"/>
      <c r="G7" s="2952" t="s">
        <v>740</v>
      </c>
      <c r="H7" s="2951"/>
      <c r="I7" s="2951"/>
      <c r="J7" s="2951"/>
      <c r="K7" s="2953"/>
      <c r="L7" s="2952" t="s">
        <v>740</v>
      </c>
      <c r="M7" s="2951"/>
      <c r="N7" s="2951"/>
      <c r="O7" s="2951"/>
      <c r="P7" s="2951"/>
      <c r="Q7" s="2952" t="s">
        <v>740</v>
      </c>
      <c r="R7" s="2951"/>
      <c r="S7" s="2951"/>
      <c r="T7" s="2951"/>
      <c r="U7" s="2954"/>
    </row>
    <row r="8" spans="1:21" ht="14.25" customHeight="1">
      <c r="A8" s="210" t="s">
        <v>412</v>
      </c>
      <c r="B8" s="2955" t="s">
        <v>430</v>
      </c>
      <c r="C8" s="2956" t="s">
        <v>431</v>
      </c>
      <c r="D8" s="2957" t="s">
        <v>432</v>
      </c>
      <c r="E8" s="2956" t="s">
        <v>433</v>
      </c>
      <c r="F8" s="2958" t="s">
        <v>434</v>
      </c>
      <c r="G8" s="2955" t="s">
        <v>435</v>
      </c>
      <c r="H8" s="2956" t="s">
        <v>436</v>
      </c>
      <c r="I8" s="2957" t="s">
        <v>437</v>
      </c>
      <c r="J8" s="2956" t="s">
        <v>438</v>
      </c>
      <c r="K8" s="2958" t="s">
        <v>439</v>
      </c>
      <c r="L8" s="2955" t="s">
        <v>440</v>
      </c>
      <c r="M8" s="2956" t="s">
        <v>441</v>
      </c>
      <c r="N8" s="2957" t="s">
        <v>442</v>
      </c>
      <c r="O8" s="2956" t="s">
        <v>443</v>
      </c>
      <c r="P8" s="2958" t="s">
        <v>444</v>
      </c>
      <c r="Q8" s="2955" t="s">
        <v>445</v>
      </c>
      <c r="R8" s="2956" t="s">
        <v>446</v>
      </c>
      <c r="S8" s="2957" t="s">
        <v>447</v>
      </c>
      <c r="T8" s="2956" t="s">
        <v>448</v>
      </c>
      <c r="U8" s="2959" t="s">
        <v>449</v>
      </c>
    </row>
    <row r="9" spans="1:21" ht="23.25" thickBot="1">
      <c r="A9" s="2960" t="s">
        <v>217</v>
      </c>
      <c r="B9" s="2961" t="s">
        <v>29</v>
      </c>
      <c r="C9" s="2962" t="s">
        <v>30</v>
      </c>
      <c r="D9" s="2963" t="s">
        <v>31</v>
      </c>
      <c r="E9" s="2962" t="s">
        <v>15</v>
      </c>
      <c r="F9" s="2963" t="s">
        <v>16</v>
      </c>
      <c r="G9" s="2964" t="s">
        <v>32</v>
      </c>
      <c r="H9" s="2962" t="s">
        <v>33</v>
      </c>
      <c r="I9" s="2963" t="s">
        <v>34</v>
      </c>
      <c r="J9" s="2962" t="s">
        <v>35</v>
      </c>
      <c r="K9" s="2963" t="s">
        <v>36</v>
      </c>
      <c r="L9" s="2964" t="s">
        <v>37</v>
      </c>
      <c r="M9" s="2962" t="s">
        <v>38</v>
      </c>
      <c r="N9" s="2963" t="s">
        <v>39</v>
      </c>
      <c r="O9" s="2962" t="s">
        <v>40</v>
      </c>
      <c r="P9" s="2963" t="s">
        <v>41</v>
      </c>
      <c r="Q9" s="2964" t="s">
        <v>183</v>
      </c>
      <c r="R9" s="2962" t="s">
        <v>184</v>
      </c>
      <c r="S9" s="2963" t="s">
        <v>185</v>
      </c>
      <c r="T9" s="2962" t="s">
        <v>179</v>
      </c>
      <c r="U9" s="2965" t="s">
        <v>182</v>
      </c>
    </row>
    <row r="10" spans="1:21">
      <c r="A10" s="2966" t="s">
        <v>132</v>
      </c>
      <c r="B10" s="2967">
        <v>1196.9380000000001</v>
      </c>
      <c r="C10" s="2968">
        <v>484.66500000000002</v>
      </c>
      <c r="D10" s="2969">
        <v>421.096</v>
      </c>
      <c r="E10" s="2968">
        <v>63.569000000000003</v>
      </c>
      <c r="F10" s="2970"/>
      <c r="G10" s="2971">
        <v>404.791</v>
      </c>
      <c r="H10" s="2968">
        <v>169.62100000000001</v>
      </c>
      <c r="I10" s="2969">
        <v>140.9</v>
      </c>
      <c r="J10" s="2968">
        <v>28.721</v>
      </c>
      <c r="K10" s="2972"/>
      <c r="L10" s="3080">
        <f t="shared" ref="L10:O27" si="0">B10+G10</f>
        <v>1601.729</v>
      </c>
      <c r="M10" s="3081">
        <f t="shared" si="0"/>
        <v>654.28600000000006</v>
      </c>
      <c r="N10" s="3082">
        <f t="shared" si="0"/>
        <v>561.99599999999998</v>
      </c>
      <c r="O10" s="3081">
        <f t="shared" si="0"/>
        <v>92.29</v>
      </c>
      <c r="P10" s="2973"/>
      <c r="Q10" s="2974">
        <v>19463.656000000003</v>
      </c>
      <c r="R10" s="2968">
        <v>8504.279138419457</v>
      </c>
      <c r="S10" s="2969">
        <v>7401.8880380158898</v>
      </c>
      <c r="T10" s="2968">
        <v>1102.3911004035672</v>
      </c>
      <c r="U10" s="2975"/>
    </row>
    <row r="11" spans="1:21">
      <c r="A11" s="2966" t="s">
        <v>141</v>
      </c>
      <c r="B11" s="2976">
        <v>1196.55</v>
      </c>
      <c r="C11" s="2977">
        <v>457.50799999999998</v>
      </c>
      <c r="D11" s="2978">
        <v>401.20299999999997</v>
      </c>
      <c r="E11" s="2977">
        <v>56.305</v>
      </c>
      <c r="F11" s="2979"/>
      <c r="G11" s="2980">
        <v>390.88400000000001</v>
      </c>
      <c r="H11" s="2977">
        <v>159.809</v>
      </c>
      <c r="I11" s="2978">
        <v>134.405</v>
      </c>
      <c r="J11" s="2977">
        <v>25.404</v>
      </c>
      <c r="K11" s="2972"/>
      <c r="L11" s="2981">
        <f t="shared" si="0"/>
        <v>1587.434</v>
      </c>
      <c r="M11" s="2982">
        <f t="shared" si="0"/>
        <v>617.31700000000001</v>
      </c>
      <c r="N11" s="2983">
        <f t="shared" si="0"/>
        <v>535.60799999999995</v>
      </c>
      <c r="O11" s="2982">
        <f t="shared" si="0"/>
        <v>81.709000000000003</v>
      </c>
      <c r="P11" s="2973"/>
      <c r="Q11" s="2980">
        <v>19552.965</v>
      </c>
      <c r="R11" s="2977">
        <v>8475.5130172181107</v>
      </c>
      <c r="S11" s="2978">
        <v>7253.190835368634</v>
      </c>
      <c r="T11" s="2977">
        <v>1222.3221818494767</v>
      </c>
      <c r="U11" s="2984"/>
    </row>
    <row r="12" spans="1:21">
      <c r="A12" s="2966" t="s">
        <v>133</v>
      </c>
      <c r="B12" s="2976">
        <v>1239.7560000000001</v>
      </c>
      <c r="C12" s="2977">
        <v>510.14400000000001</v>
      </c>
      <c r="D12" s="2978">
        <v>403.053</v>
      </c>
      <c r="E12" s="2977">
        <v>107.09099999999999</v>
      </c>
      <c r="F12" s="2979"/>
      <c r="G12" s="2980">
        <v>387.56400000000002</v>
      </c>
      <c r="H12" s="2977">
        <v>154.23500000000001</v>
      </c>
      <c r="I12" s="2978">
        <v>122.181</v>
      </c>
      <c r="J12" s="2977">
        <v>32.054000000000002</v>
      </c>
      <c r="K12" s="2972"/>
      <c r="L12" s="2981">
        <f t="shared" si="0"/>
        <v>1627.3200000000002</v>
      </c>
      <c r="M12" s="2982">
        <f t="shared" si="0"/>
        <v>664.37900000000002</v>
      </c>
      <c r="N12" s="2983">
        <f t="shared" si="0"/>
        <v>525.23400000000004</v>
      </c>
      <c r="O12" s="2982">
        <f t="shared" si="0"/>
        <v>139.14499999999998</v>
      </c>
      <c r="P12" s="2973"/>
      <c r="Q12" s="2980">
        <v>19680.464</v>
      </c>
      <c r="R12" s="2977">
        <v>8893.3145550173085</v>
      </c>
      <c r="S12" s="2978">
        <v>7077.0276044684852</v>
      </c>
      <c r="T12" s="2977">
        <v>1816.2869505488234</v>
      </c>
      <c r="U12" s="2984"/>
    </row>
    <row r="13" spans="1:21">
      <c r="A13" s="2966" t="s">
        <v>149</v>
      </c>
      <c r="B13" s="2976">
        <v>1194.77</v>
      </c>
      <c r="C13" s="2977">
        <v>471.61900000000003</v>
      </c>
      <c r="D13" s="2978">
        <v>386.14</v>
      </c>
      <c r="E13" s="2977">
        <v>85.478999999999999</v>
      </c>
      <c r="F13" s="2979"/>
      <c r="G13" s="2980">
        <v>430.084</v>
      </c>
      <c r="H13" s="2977">
        <v>168.15700000000001</v>
      </c>
      <c r="I13" s="2978">
        <v>133.51300000000001</v>
      </c>
      <c r="J13" s="2977">
        <v>34.643999999999998</v>
      </c>
      <c r="K13" s="2972"/>
      <c r="L13" s="2981">
        <f t="shared" si="0"/>
        <v>1624.854</v>
      </c>
      <c r="M13" s="2982">
        <f t="shared" si="0"/>
        <v>639.77600000000007</v>
      </c>
      <c r="N13" s="2983">
        <f t="shared" si="0"/>
        <v>519.65300000000002</v>
      </c>
      <c r="O13" s="2982">
        <f t="shared" si="0"/>
        <v>120.12299999999999</v>
      </c>
      <c r="P13" s="2973"/>
      <c r="Q13" s="2980">
        <v>20575.482</v>
      </c>
      <c r="R13" s="2977">
        <v>9057.5116060440341</v>
      </c>
      <c r="S13" s="2978">
        <v>7364.3897641031217</v>
      </c>
      <c r="T13" s="2977">
        <v>1693.1218419409124</v>
      </c>
      <c r="U13" s="2984"/>
    </row>
    <row r="14" spans="1:21">
      <c r="A14" s="2966" t="s">
        <v>134</v>
      </c>
      <c r="B14" s="2976">
        <v>1205.4680000000001</v>
      </c>
      <c r="C14" s="2977">
        <v>479.298</v>
      </c>
      <c r="D14" s="2978">
        <v>384.99900000000002</v>
      </c>
      <c r="E14" s="2977">
        <v>94.299000000000007</v>
      </c>
      <c r="F14" s="2979"/>
      <c r="G14" s="2980">
        <v>433.42</v>
      </c>
      <c r="H14" s="2977">
        <v>164.24700000000001</v>
      </c>
      <c r="I14" s="2978">
        <v>129.28800000000001</v>
      </c>
      <c r="J14" s="2977">
        <v>34.959000000000003</v>
      </c>
      <c r="K14" s="2972"/>
      <c r="L14" s="2981">
        <f t="shared" si="0"/>
        <v>1638.8880000000001</v>
      </c>
      <c r="M14" s="2982">
        <f t="shared" si="0"/>
        <v>643.54500000000007</v>
      </c>
      <c r="N14" s="2983">
        <f t="shared" si="0"/>
        <v>514.28700000000003</v>
      </c>
      <c r="O14" s="2982">
        <f t="shared" si="0"/>
        <v>129.25800000000001</v>
      </c>
      <c r="P14" s="2973"/>
      <c r="Q14" s="2980">
        <v>20710.228000000003</v>
      </c>
      <c r="R14" s="2977">
        <v>9022.9527358599662</v>
      </c>
      <c r="S14" s="2978">
        <v>7286.7781339499343</v>
      </c>
      <c r="T14" s="2977">
        <v>1736.1746019100319</v>
      </c>
      <c r="U14" s="2984"/>
    </row>
    <row r="15" spans="1:21">
      <c r="A15" s="2966" t="s">
        <v>150</v>
      </c>
      <c r="B15" s="2976">
        <v>1212.711</v>
      </c>
      <c r="C15" s="2977">
        <v>463.21899999999999</v>
      </c>
      <c r="D15" s="2978">
        <v>378.81599999999997</v>
      </c>
      <c r="E15" s="2977">
        <v>84.403000000000006</v>
      </c>
      <c r="F15" s="2979"/>
      <c r="G15" s="2980">
        <v>436.01100000000002</v>
      </c>
      <c r="H15" s="2977">
        <v>155.304</v>
      </c>
      <c r="I15" s="2978">
        <v>129.31700000000001</v>
      </c>
      <c r="J15" s="2977">
        <v>25.986999999999998</v>
      </c>
      <c r="K15" s="2972"/>
      <c r="L15" s="2981">
        <f t="shared" si="0"/>
        <v>1648.722</v>
      </c>
      <c r="M15" s="2982">
        <f t="shared" si="0"/>
        <v>618.52300000000002</v>
      </c>
      <c r="N15" s="2983">
        <f t="shared" si="0"/>
        <v>508.13299999999998</v>
      </c>
      <c r="O15" s="2982">
        <f t="shared" si="0"/>
        <v>110.39</v>
      </c>
      <c r="P15" s="2973"/>
      <c r="Q15" s="2980">
        <v>19574.98</v>
      </c>
      <c r="R15" s="2977">
        <v>8712.0622794160481</v>
      </c>
      <c r="S15" s="2978">
        <v>7019.0441244952162</v>
      </c>
      <c r="T15" s="2977">
        <v>1693.0181549208319</v>
      </c>
      <c r="U15" s="2984"/>
    </row>
    <row r="16" spans="1:21">
      <c r="A16" s="2966" t="s">
        <v>135</v>
      </c>
      <c r="B16" s="2976">
        <v>1223.42</v>
      </c>
      <c r="C16" s="2977">
        <v>482.38200000000001</v>
      </c>
      <c r="D16" s="2978">
        <v>404.79399999999998</v>
      </c>
      <c r="E16" s="2977">
        <v>77.587999999999994</v>
      </c>
      <c r="F16" s="2979"/>
      <c r="G16" s="2980">
        <v>450.59699999999998</v>
      </c>
      <c r="H16" s="2977">
        <v>169.696</v>
      </c>
      <c r="I16" s="2978">
        <v>138.44300000000001</v>
      </c>
      <c r="J16" s="2977">
        <v>31.253</v>
      </c>
      <c r="K16" s="2972"/>
      <c r="L16" s="2981">
        <f t="shared" si="0"/>
        <v>1674.0170000000001</v>
      </c>
      <c r="M16" s="2982">
        <f t="shared" si="0"/>
        <v>652.07799999999997</v>
      </c>
      <c r="N16" s="2983">
        <f t="shared" si="0"/>
        <v>543.23699999999997</v>
      </c>
      <c r="O16" s="2982">
        <f t="shared" si="0"/>
        <v>108.84099999999999</v>
      </c>
      <c r="P16" s="2973"/>
      <c r="Q16" s="2980">
        <v>20942.720999999998</v>
      </c>
      <c r="R16" s="2977">
        <v>9371.5501532168873</v>
      </c>
      <c r="S16" s="2978">
        <v>7654.2822376545037</v>
      </c>
      <c r="T16" s="2977">
        <v>1717.2679155623837</v>
      </c>
      <c r="U16" s="2984"/>
    </row>
    <row r="17" spans="1:21">
      <c r="A17" s="2966" t="s">
        <v>151</v>
      </c>
      <c r="B17" s="2976">
        <v>1231.5920000000001</v>
      </c>
      <c r="C17" s="2977">
        <v>483.40699999999998</v>
      </c>
      <c r="D17" s="2978">
        <v>419.78899999999999</v>
      </c>
      <c r="E17" s="2977">
        <v>63.618000000000002</v>
      </c>
      <c r="F17" s="2979"/>
      <c r="G17" s="2980">
        <v>442.899</v>
      </c>
      <c r="H17" s="2977">
        <v>167.56700000000001</v>
      </c>
      <c r="I17" s="2978">
        <v>140.40199999999999</v>
      </c>
      <c r="J17" s="2977">
        <v>27.164999999999999</v>
      </c>
      <c r="K17" s="2972"/>
      <c r="L17" s="2981">
        <f t="shared" si="0"/>
        <v>1674.491</v>
      </c>
      <c r="M17" s="2982">
        <f t="shared" si="0"/>
        <v>650.97399999999993</v>
      </c>
      <c r="N17" s="2983">
        <f t="shared" si="0"/>
        <v>560.19100000000003</v>
      </c>
      <c r="O17" s="2982">
        <f t="shared" si="0"/>
        <v>90.783000000000001</v>
      </c>
      <c r="P17" s="2973"/>
      <c r="Q17" s="2980">
        <v>21039.902999999998</v>
      </c>
      <c r="R17" s="2977">
        <v>9468.9419961486965</v>
      </c>
      <c r="S17" s="2978">
        <v>7961.9062508736088</v>
      </c>
      <c r="T17" s="2977">
        <v>1507.0357452750877</v>
      </c>
      <c r="U17" s="2984"/>
    </row>
    <row r="18" spans="1:21">
      <c r="A18" s="2966" t="s">
        <v>136</v>
      </c>
      <c r="B18" s="2976">
        <v>1241.326</v>
      </c>
      <c r="C18" s="2977">
        <v>500.72</v>
      </c>
      <c r="D18" s="2978">
        <v>431.59800000000001</v>
      </c>
      <c r="E18" s="2977">
        <v>69.122</v>
      </c>
      <c r="F18" s="2979"/>
      <c r="G18" s="2980">
        <v>448.51499999999999</v>
      </c>
      <c r="H18" s="2977">
        <v>170.95699999999999</v>
      </c>
      <c r="I18" s="2978">
        <v>144.41399999999999</v>
      </c>
      <c r="J18" s="2977">
        <v>26.542999999999999</v>
      </c>
      <c r="K18" s="2972"/>
      <c r="L18" s="2981">
        <f t="shared" si="0"/>
        <v>1689.8409999999999</v>
      </c>
      <c r="M18" s="2982">
        <f t="shared" si="0"/>
        <v>671.67700000000002</v>
      </c>
      <c r="N18" s="2983">
        <f t="shared" si="0"/>
        <v>576.01199999999994</v>
      </c>
      <c r="O18" s="2982">
        <f t="shared" si="0"/>
        <v>95.664999999999992</v>
      </c>
      <c r="P18" s="2973"/>
      <c r="Q18" s="2980">
        <v>21638.127</v>
      </c>
      <c r="R18" s="2977">
        <v>9779.1446742766711</v>
      </c>
      <c r="S18" s="2978">
        <v>8257.5895776605048</v>
      </c>
      <c r="T18" s="2977">
        <v>1521.5550966161663</v>
      </c>
      <c r="U18" s="2984"/>
    </row>
    <row r="19" spans="1:21">
      <c r="A19" s="2966" t="s">
        <v>152</v>
      </c>
      <c r="B19" s="2976">
        <v>1249.3050000000001</v>
      </c>
      <c r="C19" s="2977">
        <v>477.93900000000002</v>
      </c>
      <c r="D19" s="2978">
        <v>413.28300000000002</v>
      </c>
      <c r="E19" s="2977">
        <v>64.656000000000006</v>
      </c>
      <c r="F19" s="2979"/>
      <c r="G19" s="2980">
        <v>450.72699999999998</v>
      </c>
      <c r="H19" s="2977">
        <v>166.18199999999999</v>
      </c>
      <c r="I19" s="2978">
        <v>143.69900000000001</v>
      </c>
      <c r="J19" s="2977">
        <v>22.483000000000001</v>
      </c>
      <c r="K19" s="2972"/>
      <c r="L19" s="2981">
        <f t="shared" si="0"/>
        <v>1700.0320000000002</v>
      </c>
      <c r="M19" s="2982">
        <f t="shared" si="0"/>
        <v>644.12099999999998</v>
      </c>
      <c r="N19" s="2983">
        <f t="shared" si="0"/>
        <v>556.98199999999997</v>
      </c>
      <c r="O19" s="2982">
        <f t="shared" si="0"/>
        <v>87.13900000000001</v>
      </c>
      <c r="P19" s="2973"/>
      <c r="Q19" s="2980">
        <v>21743.636999999999</v>
      </c>
      <c r="R19" s="2977">
        <v>9753.1095255201726</v>
      </c>
      <c r="S19" s="2978">
        <v>8313.2803701983103</v>
      </c>
      <c r="T19" s="2977">
        <v>1439.8291553218623</v>
      </c>
      <c r="U19" s="2984"/>
    </row>
    <row r="20" spans="1:21">
      <c r="A20" s="2966" t="s">
        <v>137</v>
      </c>
      <c r="B20" s="2976">
        <v>1258.404</v>
      </c>
      <c r="C20" s="2977">
        <v>507.226</v>
      </c>
      <c r="D20" s="2978">
        <v>431.416</v>
      </c>
      <c r="E20" s="2977">
        <v>75.81</v>
      </c>
      <c r="F20" s="2979"/>
      <c r="G20" s="2980">
        <v>454.84500000000003</v>
      </c>
      <c r="H20" s="2977">
        <v>170.02500000000001</v>
      </c>
      <c r="I20" s="2978">
        <v>141.386</v>
      </c>
      <c r="J20" s="2977">
        <v>28.638999999999999</v>
      </c>
      <c r="K20" s="2972"/>
      <c r="L20" s="2981">
        <f t="shared" si="0"/>
        <v>1713.249</v>
      </c>
      <c r="M20" s="2982">
        <f t="shared" si="0"/>
        <v>677.25099999999998</v>
      </c>
      <c r="N20" s="2983">
        <f t="shared" si="0"/>
        <v>572.80200000000002</v>
      </c>
      <c r="O20" s="2982">
        <f t="shared" si="0"/>
        <v>104.449</v>
      </c>
      <c r="P20" s="2973"/>
      <c r="Q20" s="2980">
        <v>21894.374</v>
      </c>
      <c r="R20" s="2977">
        <v>9989.5512733293799</v>
      </c>
      <c r="S20" s="2978">
        <v>8313.6520352216667</v>
      </c>
      <c r="T20" s="2977">
        <v>1675.8992381077132</v>
      </c>
      <c r="U20" s="2984"/>
    </row>
    <row r="21" spans="1:21">
      <c r="A21" s="2966" t="s">
        <v>153</v>
      </c>
      <c r="B21" s="2976">
        <v>1266.712</v>
      </c>
      <c r="C21" s="2977">
        <v>500.05599999999998</v>
      </c>
      <c r="D21" s="2978">
        <v>416.25799999999998</v>
      </c>
      <c r="E21" s="2977">
        <v>83.798000000000002</v>
      </c>
      <c r="F21" s="2979"/>
      <c r="G21" s="2980">
        <v>469.80500000000001</v>
      </c>
      <c r="H21" s="2977">
        <v>169.554</v>
      </c>
      <c r="I21" s="2978">
        <v>146.80799999999999</v>
      </c>
      <c r="J21" s="2977">
        <v>22.745999999999999</v>
      </c>
      <c r="K21" s="2972"/>
      <c r="L21" s="2981">
        <f t="shared" si="0"/>
        <v>1736.5170000000001</v>
      </c>
      <c r="M21" s="2982">
        <f t="shared" si="0"/>
        <v>669.61</v>
      </c>
      <c r="N21" s="2983">
        <f t="shared" si="0"/>
        <v>563.06600000000003</v>
      </c>
      <c r="O21" s="2982">
        <f t="shared" si="0"/>
        <v>106.544</v>
      </c>
      <c r="P21" s="2973"/>
      <c r="Q21" s="2980">
        <v>22001.597000000002</v>
      </c>
      <c r="R21" s="2977">
        <v>10003.641753592919</v>
      </c>
      <c r="S21" s="2978">
        <v>8387.8617912444588</v>
      </c>
      <c r="T21" s="2977">
        <v>1615.7799623484607</v>
      </c>
      <c r="U21" s="2984"/>
    </row>
    <row r="22" spans="1:21">
      <c r="A22" s="2966" t="s">
        <v>138</v>
      </c>
      <c r="B22" s="2976">
        <v>1276.694</v>
      </c>
      <c r="C22" s="2977">
        <v>498.68799999999999</v>
      </c>
      <c r="D22" s="2978">
        <v>406.19099999999997</v>
      </c>
      <c r="E22" s="2977">
        <v>92.497</v>
      </c>
      <c r="F22" s="2979"/>
      <c r="G22" s="2980">
        <v>473.733</v>
      </c>
      <c r="H22" s="2977">
        <v>180.375</v>
      </c>
      <c r="I22" s="2978">
        <v>151.33099999999999</v>
      </c>
      <c r="J22" s="2977">
        <v>29.044</v>
      </c>
      <c r="K22" s="2972"/>
      <c r="L22" s="2981">
        <f t="shared" si="0"/>
        <v>1750.4269999999999</v>
      </c>
      <c r="M22" s="2982">
        <f t="shared" si="0"/>
        <v>679.06299999999999</v>
      </c>
      <c r="N22" s="2983">
        <f t="shared" si="0"/>
        <v>557.52199999999993</v>
      </c>
      <c r="O22" s="2982">
        <f t="shared" si="0"/>
        <v>121.541</v>
      </c>
      <c r="P22" s="2973"/>
      <c r="Q22" s="2980">
        <v>22154.794000000002</v>
      </c>
      <c r="R22" s="2977">
        <v>10000.737529880829</v>
      </c>
      <c r="S22" s="2978">
        <v>8239.5944458537706</v>
      </c>
      <c r="T22" s="2977">
        <v>1761.1430840270586</v>
      </c>
      <c r="U22" s="2984"/>
    </row>
    <row r="23" spans="1:21">
      <c r="A23" s="2966" t="s">
        <v>154</v>
      </c>
      <c r="B23" s="2976">
        <v>1284.981</v>
      </c>
      <c r="C23" s="2977">
        <v>535.80799999999999</v>
      </c>
      <c r="D23" s="2978">
        <v>440.18700000000001</v>
      </c>
      <c r="E23" s="2977">
        <v>95.620999999999995</v>
      </c>
      <c r="F23" s="2979"/>
      <c r="G23" s="2980">
        <v>476.83499999999998</v>
      </c>
      <c r="H23" s="2977">
        <v>186.51499999999999</v>
      </c>
      <c r="I23" s="2978">
        <v>157.30699999999999</v>
      </c>
      <c r="J23" s="2977">
        <v>29.207999999999998</v>
      </c>
      <c r="K23" s="2972"/>
      <c r="L23" s="2981">
        <f t="shared" si="0"/>
        <v>1761.816</v>
      </c>
      <c r="M23" s="2982">
        <f t="shared" si="0"/>
        <v>722.32299999999998</v>
      </c>
      <c r="N23" s="2983">
        <f t="shared" si="0"/>
        <v>597.49400000000003</v>
      </c>
      <c r="O23" s="2982">
        <f t="shared" si="0"/>
        <v>124.82899999999999</v>
      </c>
      <c r="P23" s="2973"/>
      <c r="Q23" s="2980">
        <v>22263.766000000003</v>
      </c>
      <c r="R23" s="2977">
        <v>10121.874361170972</v>
      </c>
      <c r="S23" s="2978">
        <v>8401.9193777454275</v>
      </c>
      <c r="T23" s="2977">
        <v>1719.9549834255449</v>
      </c>
      <c r="U23" s="2984"/>
    </row>
    <row r="24" spans="1:21">
      <c r="A24" s="2966" t="s">
        <v>131</v>
      </c>
      <c r="B24" s="2976">
        <v>1295.2329999999999</v>
      </c>
      <c r="C24" s="2977">
        <v>554.95000000000005</v>
      </c>
      <c r="D24" s="2978">
        <v>442.733</v>
      </c>
      <c r="E24" s="2977">
        <v>112.217</v>
      </c>
      <c r="F24" s="2979"/>
      <c r="G24" s="2980">
        <v>480.53699999999998</v>
      </c>
      <c r="H24" s="2977">
        <v>180.32900000000001</v>
      </c>
      <c r="I24" s="2978">
        <v>150.66499999999999</v>
      </c>
      <c r="J24" s="2977">
        <v>29.664000000000001</v>
      </c>
      <c r="K24" s="2972"/>
      <c r="L24" s="2981">
        <f t="shared" si="0"/>
        <v>1775.77</v>
      </c>
      <c r="M24" s="2982">
        <f t="shared" si="0"/>
        <v>735.279</v>
      </c>
      <c r="N24" s="2983">
        <f t="shared" si="0"/>
        <v>593.39800000000002</v>
      </c>
      <c r="O24" s="2982">
        <f t="shared" si="0"/>
        <v>141.881</v>
      </c>
      <c r="P24" s="2973"/>
      <c r="Q24" s="2980">
        <v>22444.063999999998</v>
      </c>
      <c r="R24" s="2977">
        <v>10207.020713332126</v>
      </c>
      <c r="S24" s="2978">
        <v>8315.4930044646535</v>
      </c>
      <c r="T24" s="2977">
        <v>1891.527708867472</v>
      </c>
      <c r="U24" s="2984"/>
    </row>
    <row r="25" spans="1:21">
      <c r="A25" s="2966" t="s">
        <v>155</v>
      </c>
      <c r="B25" s="2976">
        <v>1303.53</v>
      </c>
      <c r="C25" s="2977">
        <v>570.71699999999998</v>
      </c>
      <c r="D25" s="2978">
        <v>440.38600000000002</v>
      </c>
      <c r="E25" s="2977">
        <v>130.33099999999999</v>
      </c>
      <c r="F25" s="2979"/>
      <c r="G25" s="2980">
        <v>484.42399999999998</v>
      </c>
      <c r="H25" s="2977">
        <v>188.714</v>
      </c>
      <c r="I25" s="2978">
        <v>150.34700000000001</v>
      </c>
      <c r="J25" s="2977">
        <v>38.366999999999997</v>
      </c>
      <c r="K25" s="2972"/>
      <c r="L25" s="2981">
        <f t="shared" si="0"/>
        <v>1787.954</v>
      </c>
      <c r="M25" s="2982">
        <f t="shared" si="0"/>
        <v>759.43100000000004</v>
      </c>
      <c r="N25" s="2983">
        <f t="shared" si="0"/>
        <v>590.73300000000006</v>
      </c>
      <c r="O25" s="2982">
        <f t="shared" si="0"/>
        <v>168.69799999999998</v>
      </c>
      <c r="P25" s="2973"/>
      <c r="Q25" s="2980">
        <v>22499.792031599627</v>
      </c>
      <c r="R25" s="2977">
        <v>10085.361353105709</v>
      </c>
      <c r="S25" s="2978">
        <v>8015.7732929792201</v>
      </c>
      <c r="T25" s="2977">
        <v>2069.5880601264889</v>
      </c>
      <c r="U25" s="2984"/>
    </row>
    <row r="26" spans="1:21">
      <c r="A26" s="2966" t="s">
        <v>139</v>
      </c>
      <c r="B26" s="2976">
        <v>1313.38</v>
      </c>
      <c r="C26" s="2977">
        <v>542.68299999999999</v>
      </c>
      <c r="D26" s="2978">
        <v>410.85500000000002</v>
      </c>
      <c r="E26" s="2977">
        <v>131.828</v>
      </c>
      <c r="F26" s="2979"/>
      <c r="G26" s="2980">
        <v>488.423</v>
      </c>
      <c r="H26" s="2977">
        <v>182.453</v>
      </c>
      <c r="I26" s="2978">
        <v>139.732</v>
      </c>
      <c r="J26" s="2977">
        <v>42.720999999999997</v>
      </c>
      <c r="K26" s="2972"/>
      <c r="L26" s="2981">
        <f t="shared" si="0"/>
        <v>1801.8030000000001</v>
      </c>
      <c r="M26" s="2982">
        <f t="shared" si="0"/>
        <v>725.13599999999997</v>
      </c>
      <c r="N26" s="2983">
        <f t="shared" si="0"/>
        <v>550.58699999999999</v>
      </c>
      <c r="O26" s="2982">
        <f t="shared" si="0"/>
        <v>174.54900000000001</v>
      </c>
      <c r="P26" s="2973"/>
      <c r="Q26" s="2980">
        <v>22665.076999999997</v>
      </c>
      <c r="R26" s="2977">
        <v>10072.088384456121</v>
      </c>
      <c r="S26" s="2978">
        <v>7697.1613968040856</v>
      </c>
      <c r="T26" s="2977">
        <v>2374.9269876520357</v>
      </c>
      <c r="U26" s="2984"/>
    </row>
    <row r="27" spans="1:21">
      <c r="A27" s="2966" t="s">
        <v>140</v>
      </c>
      <c r="B27" s="2976">
        <v>1321.0260000000001</v>
      </c>
      <c r="C27" s="2977">
        <v>569.06299999999999</v>
      </c>
      <c r="D27" s="2978">
        <v>461.08499999999998</v>
      </c>
      <c r="E27" s="2977">
        <v>107.97799999999999</v>
      </c>
      <c r="F27" s="2979"/>
      <c r="G27" s="2980">
        <v>492.07600000000002</v>
      </c>
      <c r="H27" s="2977">
        <v>192.386</v>
      </c>
      <c r="I27" s="2978">
        <v>153.61099999999999</v>
      </c>
      <c r="J27" s="2977">
        <v>38.774999999999999</v>
      </c>
      <c r="K27" s="2972"/>
      <c r="L27" s="2981">
        <f t="shared" si="0"/>
        <v>1813.1020000000001</v>
      </c>
      <c r="M27" s="2982">
        <f t="shared" si="0"/>
        <v>761.44899999999996</v>
      </c>
      <c r="N27" s="2983">
        <f t="shared" si="0"/>
        <v>614.69599999999991</v>
      </c>
      <c r="O27" s="2982">
        <f t="shared" si="0"/>
        <v>146.75299999999999</v>
      </c>
      <c r="P27" s="2973"/>
      <c r="Q27" s="2980">
        <v>22775.296000000002</v>
      </c>
      <c r="R27" s="2977">
        <v>10476.725329691853</v>
      </c>
      <c r="S27" s="2978">
        <v>8290.0150532394982</v>
      </c>
      <c r="T27" s="2977">
        <v>2186.7102764523552</v>
      </c>
      <c r="U27" s="2984"/>
    </row>
    <row r="28" spans="1:21">
      <c r="A28" s="2985">
        <v>2003.1</v>
      </c>
      <c r="B28" s="2976">
        <v>1199</v>
      </c>
      <c r="C28" s="2977">
        <v>528</v>
      </c>
      <c r="D28" s="2978">
        <v>410</v>
      </c>
      <c r="E28" s="2977">
        <v>119</v>
      </c>
      <c r="F28" s="2986">
        <v>86</v>
      </c>
      <c r="G28" s="3140">
        <v>490.24950000000001</v>
      </c>
      <c r="H28" s="3141">
        <v>187.4195</v>
      </c>
      <c r="I28" s="3142">
        <v>146.67149999999998</v>
      </c>
      <c r="J28" s="3141">
        <v>40.747999999999998</v>
      </c>
      <c r="K28" s="2972"/>
      <c r="L28" s="2981">
        <f t="shared" ref="L28:P30" si="1">B28+G28</f>
        <v>1689.2494999999999</v>
      </c>
      <c r="M28" s="2982">
        <f t="shared" si="1"/>
        <v>715.41949999999997</v>
      </c>
      <c r="N28" s="2983">
        <f t="shared" si="1"/>
        <v>556.67149999999992</v>
      </c>
      <c r="O28" s="2982">
        <f t="shared" si="1"/>
        <v>159.74799999999999</v>
      </c>
      <c r="P28" s="2973"/>
      <c r="Q28" s="2980">
        <v>22830.207000000002</v>
      </c>
      <c r="R28" s="2977">
        <v>10414.543922280633</v>
      </c>
      <c r="S28" s="2978">
        <v>8289.198750503052</v>
      </c>
      <c r="T28" s="2977">
        <v>2125.3451717775806</v>
      </c>
      <c r="U28" s="2987"/>
    </row>
    <row r="29" spans="1:21">
      <c r="A29" s="2988">
        <v>2003.2</v>
      </c>
      <c r="B29" s="2976">
        <v>1200</v>
      </c>
      <c r="C29" s="2977">
        <v>535</v>
      </c>
      <c r="D29" s="2978">
        <v>413</v>
      </c>
      <c r="E29" s="2977">
        <v>122</v>
      </c>
      <c r="F29" s="2989">
        <v>83</v>
      </c>
      <c r="G29" s="3140">
        <v>471.6465</v>
      </c>
      <c r="H29" s="3141">
        <v>206.85649999999998</v>
      </c>
      <c r="I29" s="3142">
        <v>171.78300000000002</v>
      </c>
      <c r="J29" s="3141">
        <v>35.073500000000003</v>
      </c>
      <c r="K29" s="2972"/>
      <c r="L29" s="2981">
        <f t="shared" si="1"/>
        <v>1671.6465000000001</v>
      </c>
      <c r="M29" s="2982">
        <f t="shared" si="1"/>
        <v>741.85649999999998</v>
      </c>
      <c r="N29" s="2983">
        <f t="shared" si="1"/>
        <v>584.78300000000002</v>
      </c>
      <c r="O29" s="2982">
        <f t="shared" si="1"/>
        <v>157.0735</v>
      </c>
      <c r="P29" s="2973"/>
      <c r="Q29" s="2980">
        <v>22413.55</v>
      </c>
      <c r="R29" s="2977">
        <v>10223.172116312051</v>
      </c>
      <c r="S29" s="2978">
        <v>8405.719910379099</v>
      </c>
      <c r="T29" s="2977">
        <v>1817.452205932952</v>
      </c>
      <c r="U29" s="2987"/>
    </row>
    <row r="30" spans="1:21">
      <c r="A30" s="2988">
        <v>2003.3</v>
      </c>
      <c r="B30" s="3140">
        <v>1207.066</v>
      </c>
      <c r="C30" s="3141">
        <v>532.202</v>
      </c>
      <c r="D30" s="3142">
        <v>431</v>
      </c>
      <c r="E30" s="3141">
        <v>101.202</v>
      </c>
      <c r="F30" s="3142">
        <v>77.281999999999996</v>
      </c>
      <c r="G30" s="3140">
        <v>471.029</v>
      </c>
      <c r="H30" s="3141">
        <v>209.67699999999999</v>
      </c>
      <c r="I30" s="3142">
        <v>169.602</v>
      </c>
      <c r="J30" s="3141">
        <v>40.075000000000003</v>
      </c>
      <c r="K30" s="3145">
        <v>34.387999999999998</v>
      </c>
      <c r="L30" s="2981">
        <f t="shared" si="1"/>
        <v>1678.095</v>
      </c>
      <c r="M30" s="2982">
        <f t="shared" si="1"/>
        <v>741.87900000000002</v>
      </c>
      <c r="N30" s="2983">
        <f t="shared" si="1"/>
        <v>600.60199999999998</v>
      </c>
      <c r="O30" s="2982">
        <f t="shared" si="1"/>
        <v>141.27699999999999</v>
      </c>
      <c r="P30" s="3083">
        <f t="shared" si="1"/>
        <v>111.66999999999999</v>
      </c>
      <c r="Q30" s="3140">
        <v>20350.478999999999</v>
      </c>
      <c r="R30" s="3141">
        <v>9451.0439999999999</v>
      </c>
      <c r="S30" s="3142">
        <v>7896.1210000000001</v>
      </c>
      <c r="T30" s="3141">
        <v>1554.923</v>
      </c>
      <c r="U30" s="3145">
        <v>1599.11</v>
      </c>
    </row>
    <row r="31" spans="1:21">
      <c r="A31" s="2988">
        <v>2003.4</v>
      </c>
      <c r="B31" s="3140">
        <v>1208.885</v>
      </c>
      <c r="C31" s="3141">
        <v>530.36099999999999</v>
      </c>
      <c r="D31" s="3142">
        <v>441.28399999999999</v>
      </c>
      <c r="E31" s="3141">
        <v>89.076999999999998</v>
      </c>
      <c r="F31" s="3142">
        <v>64.557000000000002</v>
      </c>
      <c r="G31" s="3140">
        <v>472.26400000000001</v>
      </c>
      <c r="H31" s="3141">
        <v>204.036</v>
      </c>
      <c r="I31" s="3142">
        <v>173.964</v>
      </c>
      <c r="J31" s="3141">
        <v>30.071999999999999</v>
      </c>
      <c r="K31" s="3142">
        <v>28.373999999999999</v>
      </c>
      <c r="L31" s="2981">
        <f>B31+G31</f>
        <v>1681.1489999999999</v>
      </c>
      <c r="M31" s="2982">
        <f>C31+H31</f>
        <v>734.39699999999993</v>
      </c>
      <c r="N31" s="2983">
        <f>D31+I31</f>
        <v>615.24800000000005</v>
      </c>
      <c r="O31" s="2982">
        <f>E31+J31</f>
        <v>119.149</v>
      </c>
      <c r="P31" s="2983">
        <f>F31+K31</f>
        <v>92.930999999999997</v>
      </c>
      <c r="Q31" s="3140">
        <v>22994.239000000001</v>
      </c>
      <c r="R31" s="3141">
        <v>10639.74</v>
      </c>
      <c r="S31" s="3142">
        <v>9102.5990000000002</v>
      </c>
      <c r="T31" s="3141">
        <v>1537.1410000000001</v>
      </c>
      <c r="U31" s="3146">
        <v>1720.47</v>
      </c>
    </row>
    <row r="32" spans="1:21">
      <c r="A32" s="2988">
        <v>2004.1</v>
      </c>
      <c r="B32" s="3140">
        <v>1210.9179999999999</v>
      </c>
      <c r="C32" s="3141">
        <v>542.88699999999994</v>
      </c>
      <c r="D32" s="3142">
        <v>450.11500000000001</v>
      </c>
      <c r="E32" s="3141">
        <v>92.772000000000006</v>
      </c>
      <c r="F32" s="3142">
        <v>57.3</v>
      </c>
      <c r="G32" s="3140">
        <v>473.46699999999998</v>
      </c>
      <c r="H32" s="3141">
        <v>191.19499999999999</v>
      </c>
      <c r="I32" s="3142">
        <v>162.298</v>
      </c>
      <c r="J32" s="3141">
        <v>28.896999999999998</v>
      </c>
      <c r="K32" s="3142">
        <v>27.152999999999999</v>
      </c>
      <c r="L32" s="2981">
        <f t="shared" ref="L32:P32" si="2">B32+G32</f>
        <v>1684.3849999999998</v>
      </c>
      <c r="M32" s="2982">
        <f t="shared" si="2"/>
        <v>734.08199999999988</v>
      </c>
      <c r="N32" s="2983">
        <f t="shared" si="2"/>
        <v>612.41300000000001</v>
      </c>
      <c r="O32" s="2982">
        <f t="shared" si="2"/>
        <v>121.66900000000001</v>
      </c>
      <c r="P32" s="2983">
        <f t="shared" si="2"/>
        <v>84.453000000000003</v>
      </c>
      <c r="Q32" s="3140">
        <v>23050.146000000001</v>
      </c>
      <c r="R32" s="3141">
        <v>10624.54</v>
      </c>
      <c r="S32" s="3142">
        <v>9107.6820000000007</v>
      </c>
      <c r="T32" s="3141">
        <v>1516.8579999999999</v>
      </c>
      <c r="U32" s="3146">
        <v>1640.4280000000001</v>
      </c>
    </row>
    <row r="33" spans="1:21">
      <c r="A33" s="2988">
        <v>2004.2</v>
      </c>
      <c r="B33" s="3140">
        <v>1212.7170000000001</v>
      </c>
      <c r="C33" s="3141">
        <v>545.88499999999999</v>
      </c>
      <c r="D33" s="3142">
        <v>462.245</v>
      </c>
      <c r="E33" s="3141">
        <v>83.64</v>
      </c>
      <c r="F33" s="3142">
        <v>71.638000000000005</v>
      </c>
      <c r="G33" s="3140">
        <v>474.66</v>
      </c>
      <c r="H33" s="3141">
        <v>201.077</v>
      </c>
      <c r="I33" s="3142">
        <v>166.83099999999999</v>
      </c>
      <c r="J33" s="3141">
        <v>34.246000000000002</v>
      </c>
      <c r="K33" s="3142">
        <v>30.888999999999999</v>
      </c>
      <c r="L33" s="2981">
        <f>B33+G33</f>
        <v>1687.3770000000002</v>
      </c>
      <c r="M33" s="2982">
        <f>C33+H33</f>
        <v>746.96199999999999</v>
      </c>
      <c r="N33" s="2983">
        <f>D33+I33</f>
        <v>629.07600000000002</v>
      </c>
      <c r="O33" s="2982">
        <f>E33+J33</f>
        <v>117.886</v>
      </c>
      <c r="P33" s="2983">
        <f>F33+K33</f>
        <v>102.527</v>
      </c>
      <c r="Q33" s="3140">
        <v>23103.272000000001</v>
      </c>
      <c r="R33" s="3141">
        <v>10778.772000000001</v>
      </c>
      <c r="S33" s="3142">
        <v>9199.3070000000007</v>
      </c>
      <c r="T33" s="3141">
        <v>1579.4649999999999</v>
      </c>
      <c r="U33" s="3146">
        <v>1628.1880000000001</v>
      </c>
    </row>
    <row r="34" spans="1:21">
      <c r="A34" s="2988">
        <v>2004.3</v>
      </c>
      <c r="B34" s="3140">
        <v>1214.4960000000001</v>
      </c>
      <c r="C34" s="3141">
        <v>554.86</v>
      </c>
      <c r="D34" s="3142">
        <v>468.97300000000001</v>
      </c>
      <c r="E34" s="3141">
        <v>85.887</v>
      </c>
      <c r="F34" s="3142">
        <v>54.021999999999998</v>
      </c>
      <c r="G34" s="3140">
        <v>475.83600000000001</v>
      </c>
      <c r="H34" s="3141">
        <v>197.94499999999999</v>
      </c>
      <c r="I34" s="3142">
        <v>174.06100000000001</v>
      </c>
      <c r="J34" s="3141">
        <v>23.884</v>
      </c>
      <c r="K34" s="3142">
        <v>26.571000000000002</v>
      </c>
      <c r="L34" s="2981">
        <f t="shared" ref="L34:P34" si="3">B34+G34</f>
        <v>1690.3320000000001</v>
      </c>
      <c r="M34" s="2982">
        <f t="shared" si="3"/>
        <v>752.80500000000006</v>
      </c>
      <c r="N34" s="2983">
        <f t="shared" si="3"/>
        <v>643.03399999999999</v>
      </c>
      <c r="O34" s="2982">
        <f t="shared" si="3"/>
        <v>109.771</v>
      </c>
      <c r="P34" s="2983">
        <f t="shared" si="3"/>
        <v>80.593000000000004</v>
      </c>
      <c r="Q34" s="3140">
        <v>23155.996999999999</v>
      </c>
      <c r="R34" s="3141">
        <v>10789.562</v>
      </c>
      <c r="S34" s="3142">
        <v>9372.7479999999996</v>
      </c>
      <c r="T34" s="3141">
        <v>1416.8140000000001</v>
      </c>
      <c r="U34" s="3146">
        <v>1621.826</v>
      </c>
    </row>
    <row r="35" spans="1:21">
      <c r="A35" s="2988">
        <v>2004.4</v>
      </c>
      <c r="B35" s="3140">
        <v>1216.2570000000001</v>
      </c>
      <c r="C35" s="3141">
        <v>542.92200000000003</v>
      </c>
      <c r="D35" s="3142">
        <v>466.58499999999998</v>
      </c>
      <c r="E35" s="3141">
        <v>76.337000000000003</v>
      </c>
      <c r="F35" s="3142">
        <v>49.854999999999997</v>
      </c>
      <c r="G35" s="3140">
        <v>476.904</v>
      </c>
      <c r="H35" s="3141">
        <v>192.28299999999999</v>
      </c>
      <c r="I35" s="3142">
        <v>174.39500000000001</v>
      </c>
      <c r="J35" s="3141">
        <v>17.888000000000002</v>
      </c>
      <c r="K35" s="3142">
        <v>17.472000000000001</v>
      </c>
      <c r="L35" s="2981">
        <f>B35+G35</f>
        <v>1693.1610000000001</v>
      </c>
      <c r="M35" s="2982">
        <f>C35+H35</f>
        <v>735.20500000000004</v>
      </c>
      <c r="N35" s="2983">
        <f>D35+I35</f>
        <v>640.98</v>
      </c>
      <c r="O35" s="2982">
        <f>E35+J35</f>
        <v>94.225000000000009</v>
      </c>
      <c r="P35" s="2983">
        <f>F35+K35</f>
        <v>67.326999999999998</v>
      </c>
      <c r="Q35" s="3140">
        <v>23207</v>
      </c>
      <c r="R35" s="3141">
        <v>10771.102999999999</v>
      </c>
      <c r="S35" s="3142">
        <v>9476.2139999999999</v>
      </c>
      <c r="T35" s="3141">
        <v>1294.8889999999999</v>
      </c>
      <c r="U35" s="3146">
        <v>1520.7860000000001</v>
      </c>
    </row>
    <row r="36" spans="1:21">
      <c r="A36" s="2988">
        <v>2005.1</v>
      </c>
      <c r="B36" s="3143">
        <v>1218.037</v>
      </c>
      <c r="C36" s="3141">
        <v>530.53599999999994</v>
      </c>
      <c r="D36" s="3142">
        <v>458.30900000000003</v>
      </c>
      <c r="E36" s="3141">
        <v>72.227000000000004</v>
      </c>
      <c r="F36" s="3144">
        <v>56.436</v>
      </c>
      <c r="G36" s="3140">
        <v>478.04</v>
      </c>
      <c r="H36" s="3141">
        <v>208.785</v>
      </c>
      <c r="I36" s="3142">
        <v>186.75399999999999</v>
      </c>
      <c r="J36" s="3141">
        <v>22.030999999999999</v>
      </c>
      <c r="K36" s="3142">
        <v>28.369</v>
      </c>
      <c r="L36" s="2981">
        <f t="shared" ref="L36:P36" si="4">B36+G36</f>
        <v>1696.077</v>
      </c>
      <c r="M36" s="2982">
        <f t="shared" si="4"/>
        <v>739.32099999999991</v>
      </c>
      <c r="N36" s="2983">
        <f t="shared" si="4"/>
        <v>645.06299999999999</v>
      </c>
      <c r="O36" s="2982">
        <f t="shared" si="4"/>
        <v>94.25800000000001</v>
      </c>
      <c r="P36" s="2983">
        <f t="shared" si="4"/>
        <v>84.805000000000007</v>
      </c>
      <c r="Q36" s="3140">
        <v>23258.49</v>
      </c>
      <c r="R36" s="3141">
        <v>10696.790999999999</v>
      </c>
      <c r="S36" s="3142">
        <v>9314.93</v>
      </c>
      <c r="T36" s="3141">
        <v>1381.8610000000001</v>
      </c>
      <c r="U36" s="3146">
        <v>1333.2360000000001</v>
      </c>
    </row>
    <row r="37" spans="1:21">
      <c r="A37" s="2988">
        <v>2005.2</v>
      </c>
      <c r="B37" s="3140">
        <v>1220.2170000000001</v>
      </c>
      <c r="C37" s="3141">
        <v>547.85900000000004</v>
      </c>
      <c r="D37" s="3142">
        <v>480.35500000000002</v>
      </c>
      <c r="E37" s="3141">
        <v>67.504000000000005</v>
      </c>
      <c r="F37" s="3142">
        <v>49.222999999999999</v>
      </c>
      <c r="G37" s="3140">
        <v>479.49299999999999</v>
      </c>
      <c r="H37" s="3141">
        <v>203.78399999999999</v>
      </c>
      <c r="I37" s="3142">
        <v>181.495</v>
      </c>
      <c r="J37" s="3141">
        <v>22.289000000000001</v>
      </c>
      <c r="K37" s="3142">
        <v>28.091999999999999</v>
      </c>
      <c r="L37" s="2981">
        <f>B37+G37</f>
        <v>1699.71</v>
      </c>
      <c r="M37" s="2982">
        <f>C37+H37</f>
        <v>751.64300000000003</v>
      </c>
      <c r="N37" s="2983">
        <f>D37+I37</f>
        <v>661.85</v>
      </c>
      <c r="O37" s="2982">
        <f>E37+J37</f>
        <v>89.793000000000006</v>
      </c>
      <c r="P37" s="2983">
        <f>F37+K37</f>
        <v>77.314999999999998</v>
      </c>
      <c r="Q37" s="3140">
        <v>23320.401999999998</v>
      </c>
      <c r="R37" s="3141">
        <v>10716.448</v>
      </c>
      <c r="S37" s="3142">
        <v>9434.277</v>
      </c>
      <c r="T37" s="3141">
        <v>1282.171</v>
      </c>
      <c r="U37" s="3146">
        <v>1366.604</v>
      </c>
    </row>
    <row r="38" spans="1:21">
      <c r="A38" s="2988">
        <v>2005.3</v>
      </c>
      <c r="B38" s="3143">
        <v>1222.3910000000001</v>
      </c>
      <c r="C38" s="3141">
        <v>561.68700000000001</v>
      </c>
      <c r="D38" s="3142">
        <v>493.91199999999998</v>
      </c>
      <c r="E38" s="3141">
        <v>67.775000000000006</v>
      </c>
      <c r="F38" s="3144">
        <v>47.093000000000004</v>
      </c>
      <c r="G38" s="3140">
        <v>480.92099999999999</v>
      </c>
      <c r="H38" s="3141">
        <v>209.25700000000001</v>
      </c>
      <c r="I38" s="3142">
        <v>184.17500000000001</v>
      </c>
      <c r="J38" s="3141">
        <v>25.082000000000001</v>
      </c>
      <c r="K38" s="3142">
        <v>22.677</v>
      </c>
      <c r="L38" s="2981">
        <f t="shared" ref="L38:P38" si="5">B38+G38</f>
        <v>1703.3120000000001</v>
      </c>
      <c r="M38" s="2982">
        <f t="shared" si="5"/>
        <v>770.94399999999996</v>
      </c>
      <c r="N38" s="2983">
        <f t="shared" si="5"/>
        <v>678.08699999999999</v>
      </c>
      <c r="O38" s="2982">
        <f t="shared" si="5"/>
        <v>92.856999999999999</v>
      </c>
      <c r="P38" s="2983">
        <f t="shared" si="5"/>
        <v>69.77000000000001</v>
      </c>
      <c r="Q38" s="3140">
        <v>23380.63</v>
      </c>
      <c r="R38" s="3141">
        <v>10912.906000000001</v>
      </c>
      <c r="S38" s="3142">
        <v>9699.1980000000003</v>
      </c>
      <c r="T38" s="3141">
        <v>1213.7080000000001</v>
      </c>
      <c r="U38" s="3146">
        <v>1415.336</v>
      </c>
    </row>
    <row r="39" spans="1:21">
      <c r="A39" s="2988">
        <v>2005.4</v>
      </c>
      <c r="B39" s="3140">
        <v>1224.3489999999999</v>
      </c>
      <c r="C39" s="3141">
        <v>566.04999999999995</v>
      </c>
      <c r="D39" s="3142">
        <v>500.88900000000001</v>
      </c>
      <c r="E39" s="3141">
        <v>65.161000000000001</v>
      </c>
      <c r="F39" s="3142">
        <v>45.72</v>
      </c>
      <c r="G39" s="3140">
        <v>482.16300000000001</v>
      </c>
      <c r="H39" s="3141">
        <v>205.709</v>
      </c>
      <c r="I39" s="3142">
        <v>189.48599999999999</v>
      </c>
      <c r="J39" s="3141">
        <v>16.222999999999999</v>
      </c>
      <c r="K39" s="3142">
        <v>24.338000000000001</v>
      </c>
      <c r="L39" s="2981">
        <f>B39+G39</f>
        <v>1706.5119999999999</v>
      </c>
      <c r="M39" s="2982">
        <f>C39+H39</f>
        <v>771.75900000000001</v>
      </c>
      <c r="N39" s="2983">
        <f>D39+I39</f>
        <v>690.375</v>
      </c>
      <c r="O39" s="2982">
        <f>E39+J39</f>
        <v>81.384</v>
      </c>
      <c r="P39" s="2983">
        <f>F39+K39</f>
        <v>70.057999999999993</v>
      </c>
      <c r="Q39" s="3140">
        <v>23437.852999999999</v>
      </c>
      <c r="R39" s="3141">
        <v>10870.605</v>
      </c>
      <c r="S39" s="3142">
        <v>9779.6859999999997</v>
      </c>
      <c r="T39" s="3141">
        <v>1090.9190000000001</v>
      </c>
      <c r="U39" s="3146">
        <v>1285.2059999999999</v>
      </c>
    </row>
    <row r="40" spans="1:21">
      <c r="A40" s="2988">
        <v>2006.1</v>
      </c>
      <c r="B40" s="3143">
        <v>1226.4110000000001</v>
      </c>
      <c r="C40" s="3141">
        <v>560.11400000000003</v>
      </c>
      <c r="D40" s="3142">
        <v>482.17700000000002</v>
      </c>
      <c r="E40" s="3141">
        <v>77.936999999999998</v>
      </c>
      <c r="F40" s="3144">
        <v>45.668999999999997</v>
      </c>
      <c r="G40" s="3140">
        <v>483.48599999999999</v>
      </c>
      <c r="H40" s="3141">
        <v>191.43700000000001</v>
      </c>
      <c r="I40" s="3142">
        <v>175.083</v>
      </c>
      <c r="J40" s="3141">
        <v>16.353999999999999</v>
      </c>
      <c r="K40" s="3142">
        <v>19.550999999999998</v>
      </c>
      <c r="L40" s="2981">
        <f>B40+G40</f>
        <v>1709.8969999999999</v>
      </c>
      <c r="M40" s="2982">
        <f t="shared" ref="M40:P55" si="6">C40+H40</f>
        <v>751.55100000000004</v>
      </c>
      <c r="N40" s="2983">
        <f t="shared" si="6"/>
        <v>657.26</v>
      </c>
      <c r="O40" s="2982">
        <f t="shared" si="6"/>
        <v>94.290999999999997</v>
      </c>
      <c r="P40" s="2983">
        <f t="shared" si="6"/>
        <v>65.22</v>
      </c>
      <c r="Q40" s="3140">
        <v>23495.654999999999</v>
      </c>
      <c r="R40" s="3141">
        <v>10904.115</v>
      </c>
      <c r="S40" s="3142">
        <v>9671.0409999999993</v>
      </c>
      <c r="T40" s="3141">
        <v>1233.0740000000001</v>
      </c>
      <c r="U40" s="3146">
        <v>1196.7460000000001</v>
      </c>
    </row>
    <row r="41" spans="1:21">
      <c r="A41" s="2988">
        <v>2006.2</v>
      </c>
      <c r="B41" s="3143">
        <v>1228.2929999999999</v>
      </c>
      <c r="C41" s="3141">
        <v>557.197</v>
      </c>
      <c r="D41" s="3142">
        <v>489.76400000000001</v>
      </c>
      <c r="E41" s="3141">
        <v>67.433000000000007</v>
      </c>
      <c r="F41" s="3144">
        <v>48.374000000000002</v>
      </c>
      <c r="G41" s="3140">
        <v>484.69799999999998</v>
      </c>
      <c r="H41" s="3141">
        <v>188.86500000000001</v>
      </c>
      <c r="I41" s="3142">
        <v>178.202</v>
      </c>
      <c r="J41" s="3141">
        <v>10.663</v>
      </c>
      <c r="K41" s="3142">
        <v>17.667999999999999</v>
      </c>
      <c r="L41" s="2981">
        <f t="shared" ref="L41:P75" si="7">B41+G41</f>
        <v>1712.991</v>
      </c>
      <c r="M41" s="2982">
        <f t="shared" si="6"/>
        <v>746.06200000000001</v>
      </c>
      <c r="N41" s="2983">
        <f t="shared" si="6"/>
        <v>667.96600000000001</v>
      </c>
      <c r="O41" s="2982">
        <f t="shared" si="6"/>
        <v>78.096000000000004</v>
      </c>
      <c r="P41" s="2983">
        <f t="shared" si="6"/>
        <v>66.042000000000002</v>
      </c>
      <c r="Q41" s="3140">
        <v>23551.456999999999</v>
      </c>
      <c r="R41" s="3141">
        <v>11051.312</v>
      </c>
      <c r="S41" s="3142">
        <v>9910.2739999999994</v>
      </c>
      <c r="T41" s="3141">
        <v>1141.038</v>
      </c>
      <c r="U41" s="3146">
        <v>1331.8409999999999</v>
      </c>
    </row>
    <row r="42" spans="1:21">
      <c r="A42" s="2988">
        <v>2006.3</v>
      </c>
      <c r="B42" s="3143">
        <v>1230.29</v>
      </c>
      <c r="C42" s="3141">
        <v>567.92499999999995</v>
      </c>
      <c r="D42" s="3142">
        <v>507.41500000000002</v>
      </c>
      <c r="E42" s="3141">
        <v>60.51</v>
      </c>
      <c r="F42" s="3144">
        <v>46.481999999999999</v>
      </c>
      <c r="G42" s="3140">
        <v>485.98099999999999</v>
      </c>
      <c r="H42" s="3141">
        <v>194.95599999999999</v>
      </c>
      <c r="I42" s="3142">
        <v>180.40700000000001</v>
      </c>
      <c r="J42" s="3141">
        <v>14.548999999999999</v>
      </c>
      <c r="K42" s="3142">
        <v>21.248000000000001</v>
      </c>
      <c r="L42" s="2981">
        <f t="shared" si="7"/>
        <v>1716.271</v>
      </c>
      <c r="M42" s="2982">
        <f t="shared" si="6"/>
        <v>762.88099999999997</v>
      </c>
      <c r="N42" s="2983">
        <f t="shared" si="6"/>
        <v>687.822</v>
      </c>
      <c r="O42" s="2982">
        <f t="shared" si="6"/>
        <v>75.058999999999997</v>
      </c>
      <c r="P42" s="2983">
        <f t="shared" si="6"/>
        <v>67.73</v>
      </c>
      <c r="Q42" s="3140">
        <v>23975.986000000001</v>
      </c>
      <c r="R42" s="3141">
        <v>11190.281999999999</v>
      </c>
      <c r="S42" s="3142">
        <v>10060.668</v>
      </c>
      <c r="T42" s="3141">
        <v>1129.614</v>
      </c>
      <c r="U42" s="3146">
        <v>1214.509</v>
      </c>
    </row>
    <row r="43" spans="1:21">
      <c r="A43" s="2988">
        <v>2006.4</v>
      </c>
      <c r="B43" s="3143">
        <v>1232.319</v>
      </c>
      <c r="C43" s="3141">
        <v>565.99099999999999</v>
      </c>
      <c r="D43" s="3142">
        <v>513.31700000000001</v>
      </c>
      <c r="E43" s="3141">
        <v>52.673999999999999</v>
      </c>
      <c r="F43" s="3144">
        <v>44.435000000000002</v>
      </c>
      <c r="G43" s="3140">
        <v>487.29399999999998</v>
      </c>
      <c r="H43" s="3141">
        <v>206.38900000000001</v>
      </c>
      <c r="I43" s="3142">
        <v>188.36099999999999</v>
      </c>
      <c r="J43" s="3141">
        <v>18.027999999999999</v>
      </c>
      <c r="K43" s="3142">
        <v>19.187999999999999</v>
      </c>
      <c r="L43" s="2981">
        <f t="shared" si="7"/>
        <v>1719.6129999999998</v>
      </c>
      <c r="M43" s="2982">
        <f t="shared" si="6"/>
        <v>772.38</v>
      </c>
      <c r="N43" s="2983">
        <f t="shared" si="6"/>
        <v>701.678</v>
      </c>
      <c r="O43" s="2982">
        <f t="shared" si="6"/>
        <v>70.701999999999998</v>
      </c>
      <c r="P43" s="2983">
        <f t="shared" si="6"/>
        <v>63.623000000000005</v>
      </c>
      <c r="Q43" s="3140">
        <v>24039.305</v>
      </c>
      <c r="R43" s="3141">
        <v>11142.567999999999</v>
      </c>
      <c r="S43" s="3142">
        <v>10181.592000000001</v>
      </c>
      <c r="T43" s="3141">
        <v>960.976</v>
      </c>
      <c r="U43" s="3146">
        <v>1196.875</v>
      </c>
    </row>
    <row r="44" spans="1:21">
      <c r="A44" s="2988">
        <v>2007.1</v>
      </c>
      <c r="B44" s="3143">
        <v>1234.31</v>
      </c>
      <c r="C44" s="3141">
        <v>565.71500000000003</v>
      </c>
      <c r="D44" s="3142">
        <v>508.49099999999999</v>
      </c>
      <c r="E44" s="3141">
        <v>57.223999999999997</v>
      </c>
      <c r="F44" s="3144">
        <v>38.841000000000001</v>
      </c>
      <c r="G44" s="3140">
        <v>488.62200000000001</v>
      </c>
      <c r="H44" s="3141">
        <v>195.79400000000001</v>
      </c>
      <c r="I44" s="3142">
        <v>179.02199999999999</v>
      </c>
      <c r="J44" s="3141">
        <v>16.771999999999998</v>
      </c>
      <c r="K44" s="3142">
        <v>19.367999999999999</v>
      </c>
      <c r="L44" s="2981">
        <f t="shared" si="7"/>
        <v>1722.932</v>
      </c>
      <c r="M44" s="2982">
        <f t="shared" si="6"/>
        <v>761.50900000000001</v>
      </c>
      <c r="N44" s="2983">
        <f t="shared" si="6"/>
        <v>687.51299999999992</v>
      </c>
      <c r="O44" s="2982">
        <f t="shared" si="6"/>
        <v>73.995999999999995</v>
      </c>
      <c r="P44" s="2983">
        <f t="shared" si="6"/>
        <v>58.209000000000003</v>
      </c>
      <c r="Q44" s="3140">
        <v>24098.608</v>
      </c>
      <c r="R44" s="3141">
        <v>11208.395</v>
      </c>
      <c r="S44" s="3142">
        <v>10122.376</v>
      </c>
      <c r="T44" s="3141">
        <v>1086.019</v>
      </c>
      <c r="U44" s="3146">
        <v>1039.183</v>
      </c>
    </row>
    <row r="45" spans="1:21">
      <c r="A45" s="2988">
        <v>2007.2</v>
      </c>
      <c r="B45" s="3143">
        <v>1236.222</v>
      </c>
      <c r="C45" s="3141">
        <v>569.60599999999999</v>
      </c>
      <c r="D45" s="3142">
        <v>509.476</v>
      </c>
      <c r="E45" s="3141">
        <v>60.13</v>
      </c>
      <c r="F45" s="3144">
        <v>31.667999999999999</v>
      </c>
      <c r="G45" s="3140">
        <v>489.86599999999999</v>
      </c>
      <c r="H45" s="3141">
        <v>195.512</v>
      </c>
      <c r="I45" s="3142">
        <v>177.22200000000001</v>
      </c>
      <c r="J45" s="3141">
        <v>18.29</v>
      </c>
      <c r="K45" s="3142">
        <v>18.411999999999999</v>
      </c>
      <c r="L45" s="2981">
        <f t="shared" si="7"/>
        <v>1726.088</v>
      </c>
      <c r="M45" s="2982">
        <f t="shared" si="6"/>
        <v>765.11799999999994</v>
      </c>
      <c r="N45" s="2983">
        <f t="shared" si="6"/>
        <v>686.69799999999998</v>
      </c>
      <c r="O45" s="2982">
        <f t="shared" si="6"/>
        <v>78.42</v>
      </c>
      <c r="P45" s="2983">
        <f t="shared" si="6"/>
        <v>50.08</v>
      </c>
      <c r="Q45" s="3140">
        <v>24156.21</v>
      </c>
      <c r="R45" s="3141">
        <v>11188.709000000001</v>
      </c>
      <c r="S45" s="3142">
        <v>10261.413</v>
      </c>
      <c r="T45" s="3141">
        <v>927.29600000000005</v>
      </c>
      <c r="U45" s="3146">
        <v>1118.9970000000001</v>
      </c>
    </row>
    <row r="46" spans="1:21">
      <c r="A46" s="2988">
        <v>2007.3</v>
      </c>
      <c r="B46" s="3143">
        <v>1238</v>
      </c>
      <c r="C46" s="3141">
        <v>579</v>
      </c>
      <c r="D46" s="3142">
        <v>519</v>
      </c>
      <c r="E46" s="3141">
        <v>60</v>
      </c>
      <c r="F46" s="3144">
        <v>42</v>
      </c>
      <c r="G46" s="3140">
        <v>491</v>
      </c>
      <c r="H46" s="3141">
        <v>196</v>
      </c>
      <c r="I46" s="3142">
        <v>181</v>
      </c>
      <c r="J46" s="3141">
        <v>14</v>
      </c>
      <c r="K46" s="3142">
        <v>15</v>
      </c>
      <c r="L46" s="2981">
        <f t="shared" si="7"/>
        <v>1729</v>
      </c>
      <c r="M46" s="2982">
        <f t="shared" si="6"/>
        <v>775</v>
      </c>
      <c r="N46" s="2983">
        <f t="shared" si="6"/>
        <v>700</v>
      </c>
      <c r="O46" s="2982">
        <f t="shared" si="6"/>
        <v>74</v>
      </c>
      <c r="P46" s="2983">
        <f t="shared" si="6"/>
        <v>57</v>
      </c>
      <c r="Q46" s="3140">
        <v>24215.391</v>
      </c>
      <c r="R46" s="3141">
        <v>11121.829914</v>
      </c>
      <c r="S46" s="3142">
        <v>10235.548365937</v>
      </c>
      <c r="T46" s="3141">
        <v>886.28154806299972</v>
      </c>
      <c r="U46" s="3146">
        <v>1063.1980000000001</v>
      </c>
    </row>
    <row r="47" spans="1:21">
      <c r="A47" s="2988">
        <v>2007.4</v>
      </c>
      <c r="B47" s="3143">
        <v>1240.396</v>
      </c>
      <c r="C47" s="3141">
        <v>576.53300000000002</v>
      </c>
      <c r="D47" s="3142">
        <v>525.71400000000006</v>
      </c>
      <c r="E47" s="3141">
        <v>50.819000000000003</v>
      </c>
      <c r="F47" s="3144">
        <v>41.460999999999999</v>
      </c>
      <c r="G47" s="3140">
        <v>492.43799999999999</v>
      </c>
      <c r="H47" s="3141">
        <v>204.411</v>
      </c>
      <c r="I47" s="3142">
        <v>185.77</v>
      </c>
      <c r="J47" s="3141">
        <v>18.640999999999998</v>
      </c>
      <c r="K47" s="3142">
        <v>17.736999999999998</v>
      </c>
      <c r="L47" s="2981">
        <f t="shared" si="7"/>
        <v>1732.8339999999998</v>
      </c>
      <c r="M47" s="2982">
        <f t="shared" si="6"/>
        <v>780.94399999999996</v>
      </c>
      <c r="N47" s="2983">
        <f t="shared" si="6"/>
        <v>711.48400000000004</v>
      </c>
      <c r="O47" s="2982">
        <f t="shared" si="6"/>
        <v>69.460000000000008</v>
      </c>
      <c r="P47" s="2983">
        <f t="shared" si="6"/>
        <v>59.197999999999993</v>
      </c>
      <c r="Q47" s="3140">
        <v>24274.795999999998</v>
      </c>
      <c r="R47" s="3141">
        <v>11058.951999999999</v>
      </c>
      <c r="S47" s="3142">
        <v>10227.046</v>
      </c>
      <c r="T47" s="3141">
        <v>831.90599999999995</v>
      </c>
      <c r="U47" s="3146">
        <v>1007.399</v>
      </c>
    </row>
    <row r="48" spans="1:21">
      <c r="A48" s="2988">
        <f t="shared" ref="A48:A111" si="8">A44+1</f>
        <v>2008.1</v>
      </c>
      <c r="B48" s="3140">
        <v>1242.415</v>
      </c>
      <c r="C48" s="3141">
        <v>573.91999999999996</v>
      </c>
      <c r="D48" s="3142">
        <v>529.1</v>
      </c>
      <c r="E48" s="3141">
        <v>44.82</v>
      </c>
      <c r="F48" s="3142">
        <v>38.107999999999997</v>
      </c>
      <c r="G48" s="3140">
        <v>493.80200000000002</v>
      </c>
      <c r="H48" s="3141">
        <v>217.16200000000001</v>
      </c>
      <c r="I48" s="3142">
        <v>197.03</v>
      </c>
      <c r="J48" s="3141">
        <v>20.132000000000001</v>
      </c>
      <c r="K48" s="3142">
        <v>25.934000000000001</v>
      </c>
      <c r="L48" s="2981">
        <f t="shared" si="7"/>
        <v>1736.2170000000001</v>
      </c>
      <c r="M48" s="2982">
        <f t="shared" si="6"/>
        <v>791.08199999999999</v>
      </c>
      <c r="N48" s="2983">
        <f t="shared" si="6"/>
        <v>726.13</v>
      </c>
      <c r="O48" s="2982">
        <f t="shared" si="6"/>
        <v>64.951999999999998</v>
      </c>
      <c r="P48" s="2983">
        <f t="shared" si="6"/>
        <v>64.042000000000002</v>
      </c>
      <c r="Q48" s="3140">
        <v>24334.428</v>
      </c>
      <c r="R48" s="3141">
        <v>11132.002</v>
      </c>
      <c r="S48" s="3142">
        <v>10206.869000000001</v>
      </c>
      <c r="T48" s="3141">
        <v>925.13300000000004</v>
      </c>
      <c r="U48" s="3146">
        <v>920.09100000000001</v>
      </c>
    </row>
    <row r="49" spans="1:21">
      <c r="A49" s="2988">
        <f t="shared" si="8"/>
        <v>2008.2</v>
      </c>
      <c r="B49" s="3140">
        <v>1244.3879999999999</v>
      </c>
      <c r="C49" s="3141">
        <v>593.20399999999995</v>
      </c>
      <c r="D49" s="3142">
        <v>537.54600000000005</v>
      </c>
      <c r="E49" s="3141">
        <v>55.658000000000001</v>
      </c>
      <c r="F49" s="3142">
        <v>44.78</v>
      </c>
      <c r="G49" s="3140">
        <v>495.05099999999999</v>
      </c>
      <c r="H49" s="3141">
        <v>211.691</v>
      </c>
      <c r="I49" s="3142">
        <v>184.39500000000001</v>
      </c>
      <c r="J49" s="3141">
        <v>27.295999999999999</v>
      </c>
      <c r="K49" s="3142">
        <v>23.646999999999998</v>
      </c>
      <c r="L49" s="2981">
        <f t="shared" si="7"/>
        <v>1739.4389999999999</v>
      </c>
      <c r="M49" s="2982">
        <f t="shared" si="6"/>
        <v>804.89499999999998</v>
      </c>
      <c r="N49" s="2983">
        <f t="shared" si="6"/>
        <v>721.94100000000003</v>
      </c>
      <c r="O49" s="2982">
        <f t="shared" si="6"/>
        <v>82.954000000000008</v>
      </c>
      <c r="P49" s="2983">
        <f t="shared" si="6"/>
        <v>68.426999999999992</v>
      </c>
      <c r="Q49" s="3140">
        <v>24391.973000000002</v>
      </c>
      <c r="R49" s="3141">
        <v>11170.459000000001</v>
      </c>
      <c r="S49" s="3142">
        <v>10281.954</v>
      </c>
      <c r="T49" s="3141">
        <v>888.505</v>
      </c>
      <c r="U49" s="3146">
        <v>967.96900000000005</v>
      </c>
    </row>
    <row r="50" spans="1:21">
      <c r="A50" s="2988">
        <f t="shared" si="8"/>
        <v>2008.3</v>
      </c>
      <c r="B50" s="3140">
        <v>1246.386</v>
      </c>
      <c r="C50" s="3141">
        <v>575.75400000000002</v>
      </c>
      <c r="D50" s="3142">
        <v>521.88499999999999</v>
      </c>
      <c r="E50" s="3141">
        <v>53.869</v>
      </c>
      <c r="F50" s="3142">
        <v>45.902000000000001</v>
      </c>
      <c r="G50" s="3140">
        <v>496.38799999999998</v>
      </c>
      <c r="H50" s="3141">
        <v>210.52099999999999</v>
      </c>
      <c r="I50" s="3142">
        <v>185.518</v>
      </c>
      <c r="J50" s="3141">
        <v>25.003</v>
      </c>
      <c r="K50" s="3142">
        <v>23.841000000000001</v>
      </c>
      <c r="L50" s="2981">
        <f t="shared" si="7"/>
        <v>1742.7739999999999</v>
      </c>
      <c r="M50" s="2982">
        <f t="shared" si="6"/>
        <v>786.27499999999998</v>
      </c>
      <c r="N50" s="2983">
        <f t="shared" si="6"/>
        <v>707.40300000000002</v>
      </c>
      <c r="O50" s="2982">
        <f t="shared" si="6"/>
        <v>78.872</v>
      </c>
      <c r="P50" s="2983">
        <f t="shared" si="6"/>
        <v>69.742999999999995</v>
      </c>
      <c r="Q50" s="3140">
        <v>24451.330999999998</v>
      </c>
      <c r="R50" s="3141">
        <v>11126.999</v>
      </c>
      <c r="S50" s="3142">
        <v>10261.884</v>
      </c>
      <c r="T50" s="3141">
        <v>865.11500000000001</v>
      </c>
      <c r="U50" s="3146">
        <v>1044.241</v>
      </c>
    </row>
    <row r="51" spans="1:21">
      <c r="A51" s="2988">
        <f t="shared" si="8"/>
        <v>2008.4</v>
      </c>
      <c r="B51" s="3140">
        <v>1248.3989999999999</v>
      </c>
      <c r="C51" s="3141">
        <v>573.59400000000005</v>
      </c>
      <c r="D51" s="3142">
        <v>530.56299999999999</v>
      </c>
      <c r="E51" s="3141">
        <v>43.030999999999999</v>
      </c>
      <c r="F51" s="3142">
        <v>48.298000000000002</v>
      </c>
      <c r="G51" s="3140">
        <v>497.67</v>
      </c>
      <c r="H51" s="3141">
        <v>215.44399999999999</v>
      </c>
      <c r="I51" s="3142">
        <v>195.68700000000001</v>
      </c>
      <c r="J51" s="3141">
        <v>19.757000000000001</v>
      </c>
      <c r="K51" s="3142">
        <v>17.128</v>
      </c>
      <c r="L51" s="2981">
        <f t="shared" si="7"/>
        <v>1746.069</v>
      </c>
      <c r="M51" s="2982">
        <f t="shared" si="6"/>
        <v>789.03800000000001</v>
      </c>
      <c r="N51" s="2983">
        <f t="shared" si="6"/>
        <v>726.25</v>
      </c>
      <c r="O51" s="2982">
        <f t="shared" si="6"/>
        <v>62.787999999999997</v>
      </c>
      <c r="P51" s="2983">
        <f t="shared" si="6"/>
        <v>65.426000000000002</v>
      </c>
      <c r="Q51" s="3140">
        <v>24510.898000000001</v>
      </c>
      <c r="R51" s="3141">
        <v>11299.556</v>
      </c>
      <c r="S51" s="3142">
        <v>10477.103999999999</v>
      </c>
      <c r="T51" s="3141">
        <v>822.452</v>
      </c>
      <c r="U51" s="3146">
        <v>1031.1569999999999</v>
      </c>
    </row>
    <row r="52" spans="1:21" s="2990" customFormat="1">
      <c r="A52" s="2988">
        <f t="shared" si="8"/>
        <v>2009.1</v>
      </c>
      <c r="B52" s="3140">
        <v>1250.4559999999999</v>
      </c>
      <c r="C52" s="3141">
        <v>593.22699999999998</v>
      </c>
      <c r="D52" s="3142">
        <v>530.62199999999996</v>
      </c>
      <c r="E52" s="3141">
        <v>62.604999999999997</v>
      </c>
      <c r="F52" s="3142">
        <v>49.344000000000001</v>
      </c>
      <c r="G52" s="3140">
        <v>499.00099999999998</v>
      </c>
      <c r="H52" s="3141">
        <v>213.31299999999999</v>
      </c>
      <c r="I52" s="3142">
        <v>187.55600000000001</v>
      </c>
      <c r="J52" s="3141">
        <v>25.757000000000001</v>
      </c>
      <c r="K52" s="3142">
        <v>20.221</v>
      </c>
      <c r="L52" s="2981">
        <f t="shared" si="7"/>
        <v>1749.4569999999999</v>
      </c>
      <c r="M52" s="2982">
        <f t="shared" si="6"/>
        <v>806.54</v>
      </c>
      <c r="N52" s="2983">
        <f t="shared" si="6"/>
        <v>718.178</v>
      </c>
      <c r="O52" s="2982">
        <f t="shared" si="6"/>
        <v>88.361999999999995</v>
      </c>
      <c r="P52" s="2983">
        <f t="shared" si="6"/>
        <v>69.564999999999998</v>
      </c>
      <c r="Q52" s="3140">
        <v>24569.920999999998</v>
      </c>
      <c r="R52" s="3141">
        <v>11417.123</v>
      </c>
      <c r="S52" s="3142">
        <v>10462.531999999999</v>
      </c>
      <c r="T52" s="3141">
        <v>954.59100000000001</v>
      </c>
      <c r="U52" s="3146">
        <v>1032.213</v>
      </c>
    </row>
    <row r="53" spans="1:21" s="2990" customFormat="1">
      <c r="A53" s="2988">
        <f t="shared" si="8"/>
        <v>2009.2</v>
      </c>
      <c r="B53" s="3140">
        <v>1252.4390000000001</v>
      </c>
      <c r="C53" s="3141">
        <v>582.98099999999999</v>
      </c>
      <c r="D53" s="3142">
        <v>521.63499999999999</v>
      </c>
      <c r="E53" s="3141">
        <v>61.345999999999997</v>
      </c>
      <c r="F53" s="3142">
        <v>56.518000000000001</v>
      </c>
      <c r="G53" s="3140">
        <v>500.274</v>
      </c>
      <c r="H53" s="3141">
        <v>214.053</v>
      </c>
      <c r="I53" s="3142">
        <v>189.845</v>
      </c>
      <c r="J53" s="3141">
        <v>24.207999999999998</v>
      </c>
      <c r="K53" s="3142">
        <v>30.623000000000001</v>
      </c>
      <c r="L53" s="2981">
        <f t="shared" si="7"/>
        <v>1752.7130000000002</v>
      </c>
      <c r="M53" s="2982">
        <f t="shared" si="6"/>
        <v>797.03399999999999</v>
      </c>
      <c r="N53" s="2983">
        <f t="shared" si="6"/>
        <v>711.48</v>
      </c>
      <c r="O53" s="2982">
        <f t="shared" si="6"/>
        <v>85.554000000000002</v>
      </c>
      <c r="P53" s="2983">
        <f t="shared" si="6"/>
        <v>87.141000000000005</v>
      </c>
      <c r="Q53" s="3140">
        <v>24627.772000000001</v>
      </c>
      <c r="R53" s="3141">
        <v>11393.267</v>
      </c>
      <c r="S53" s="3142">
        <v>10397.589</v>
      </c>
      <c r="T53" s="3141">
        <v>995.678</v>
      </c>
      <c r="U53" s="3146">
        <v>1197.8040000000001</v>
      </c>
    </row>
    <row r="54" spans="1:21" s="2990" customFormat="1">
      <c r="A54" s="2988">
        <f t="shared" si="8"/>
        <v>2009.3</v>
      </c>
      <c r="B54" s="3140">
        <v>1254.423</v>
      </c>
      <c r="C54" s="3141">
        <v>578.59100000000001</v>
      </c>
      <c r="D54" s="3142">
        <v>518.98900000000003</v>
      </c>
      <c r="E54" s="3141">
        <v>59.601999999999997</v>
      </c>
      <c r="F54" s="3142">
        <v>52.448</v>
      </c>
      <c r="G54" s="3140">
        <v>501.56700000000001</v>
      </c>
      <c r="H54" s="3141">
        <v>217.27500000000001</v>
      </c>
      <c r="I54" s="3142">
        <v>188.93299999999999</v>
      </c>
      <c r="J54" s="3141">
        <v>28.341999999999999</v>
      </c>
      <c r="K54" s="3142">
        <v>28.93</v>
      </c>
      <c r="L54" s="2981">
        <f t="shared" si="7"/>
        <v>1755.99</v>
      </c>
      <c r="M54" s="2982">
        <f t="shared" si="6"/>
        <v>795.86599999999999</v>
      </c>
      <c r="N54" s="2983">
        <f t="shared" si="6"/>
        <v>707.92200000000003</v>
      </c>
      <c r="O54" s="2982">
        <f t="shared" si="6"/>
        <v>87.943999999999988</v>
      </c>
      <c r="P54" s="2983">
        <f t="shared" si="6"/>
        <v>81.378</v>
      </c>
      <c r="Q54" s="3140">
        <v>24686.553</v>
      </c>
      <c r="R54" s="3141">
        <v>11371.245000000001</v>
      </c>
      <c r="S54" s="3142">
        <v>10337.879999999999</v>
      </c>
      <c r="T54" s="3141">
        <v>1033.365</v>
      </c>
      <c r="U54" s="3146">
        <v>1202.675</v>
      </c>
    </row>
    <row r="55" spans="1:21" s="2990" customFormat="1">
      <c r="A55" s="2988">
        <f t="shared" si="8"/>
        <v>2009.4</v>
      </c>
      <c r="B55" s="3140">
        <v>1256.42</v>
      </c>
      <c r="C55" s="3141">
        <v>582.40800000000002</v>
      </c>
      <c r="D55" s="3142">
        <v>520.53099999999995</v>
      </c>
      <c r="E55" s="3141">
        <v>61.877000000000002</v>
      </c>
      <c r="F55" s="3142">
        <v>52.872</v>
      </c>
      <c r="G55" s="3140">
        <v>502.91899999999998</v>
      </c>
      <c r="H55" s="3141">
        <v>222.12</v>
      </c>
      <c r="I55" s="3142">
        <v>205.36199999999999</v>
      </c>
      <c r="J55" s="3141">
        <v>16.757999999999999</v>
      </c>
      <c r="K55" s="3142">
        <v>32.588999999999999</v>
      </c>
      <c r="L55" s="2981">
        <f t="shared" si="7"/>
        <v>1759.3389999999999</v>
      </c>
      <c r="M55" s="2982">
        <f t="shared" si="6"/>
        <v>804.52800000000002</v>
      </c>
      <c r="N55" s="2983">
        <f t="shared" si="6"/>
        <v>725.89299999999992</v>
      </c>
      <c r="O55" s="2982">
        <f t="shared" si="6"/>
        <v>78.635000000000005</v>
      </c>
      <c r="P55" s="2983">
        <f t="shared" si="6"/>
        <v>85.460999999999999</v>
      </c>
      <c r="Q55" s="3140">
        <v>24745.342000000001</v>
      </c>
      <c r="R55" s="3141">
        <v>11449.41</v>
      </c>
      <c r="S55" s="3142">
        <v>10490.844999999999</v>
      </c>
      <c r="T55" s="3141">
        <v>958.56500000000005</v>
      </c>
      <c r="U55" s="3146">
        <v>1178.711</v>
      </c>
    </row>
    <row r="56" spans="1:21" s="2990" customFormat="1">
      <c r="A56" s="2988">
        <f t="shared" si="8"/>
        <v>2010.1</v>
      </c>
      <c r="B56" s="3140">
        <v>1258.3969999999999</v>
      </c>
      <c r="C56" s="3141">
        <v>606.30799999999999</v>
      </c>
      <c r="D56" s="3142">
        <v>540.74699999999996</v>
      </c>
      <c r="E56" s="3141">
        <v>65.561000000000007</v>
      </c>
      <c r="F56" s="3142">
        <v>67.572000000000003</v>
      </c>
      <c r="G56" s="3140">
        <v>504.12700000000001</v>
      </c>
      <c r="H56" s="3141">
        <v>228.91300000000001</v>
      </c>
      <c r="I56" s="3142">
        <v>206.86</v>
      </c>
      <c r="J56" s="3141">
        <v>22.053000000000001</v>
      </c>
      <c r="K56" s="3142">
        <v>25.768999999999998</v>
      </c>
      <c r="L56" s="2981">
        <f t="shared" si="7"/>
        <v>1762.5239999999999</v>
      </c>
      <c r="M56" s="2982">
        <f t="shared" si="7"/>
        <v>835.221</v>
      </c>
      <c r="N56" s="2983">
        <f t="shared" si="7"/>
        <v>747.60699999999997</v>
      </c>
      <c r="O56" s="2982">
        <f t="shared" si="7"/>
        <v>87.614000000000004</v>
      </c>
      <c r="P56" s="2983">
        <f t="shared" si="7"/>
        <v>93.341000000000008</v>
      </c>
      <c r="Q56" s="3140">
        <v>24803.755000000001</v>
      </c>
      <c r="R56" s="3141">
        <v>11410.615</v>
      </c>
      <c r="S56" s="3142">
        <v>10466.933999999999</v>
      </c>
      <c r="T56" s="3141">
        <v>943.68100000000004</v>
      </c>
      <c r="U56" s="3146">
        <v>1054.085</v>
      </c>
    </row>
    <row r="57" spans="1:21" s="2990" customFormat="1">
      <c r="A57" s="2988">
        <f t="shared" si="8"/>
        <v>2010.2</v>
      </c>
      <c r="B57" s="3140">
        <v>1260.4159999999999</v>
      </c>
      <c r="C57" s="3141">
        <v>589.74400000000003</v>
      </c>
      <c r="D57" s="3142">
        <v>536.60400000000004</v>
      </c>
      <c r="E57" s="3141">
        <v>53.14</v>
      </c>
      <c r="F57" s="3142">
        <v>56.137</v>
      </c>
      <c r="G57" s="3140">
        <v>505.41899999999998</v>
      </c>
      <c r="H57" s="3141">
        <v>215.852</v>
      </c>
      <c r="I57" s="3142">
        <v>191.18100000000001</v>
      </c>
      <c r="J57" s="3141">
        <v>24.670999999999999</v>
      </c>
      <c r="K57" s="3142">
        <v>24.315999999999999</v>
      </c>
      <c r="L57" s="2981">
        <f t="shared" si="7"/>
        <v>1765.835</v>
      </c>
      <c r="M57" s="2982">
        <f t="shared" si="7"/>
        <v>805.596</v>
      </c>
      <c r="N57" s="2983">
        <f t="shared" si="7"/>
        <v>727.78500000000008</v>
      </c>
      <c r="O57" s="2982">
        <f t="shared" si="7"/>
        <v>77.811000000000007</v>
      </c>
      <c r="P57" s="2983">
        <f t="shared" si="7"/>
        <v>80.453000000000003</v>
      </c>
      <c r="Q57" s="3140">
        <v>24860.277999999998</v>
      </c>
      <c r="R57" s="3141">
        <v>11442.3</v>
      </c>
      <c r="S57" s="3142">
        <v>10544.008</v>
      </c>
      <c r="T57" s="3141">
        <v>898.29200000000003</v>
      </c>
      <c r="U57" s="3146">
        <v>1130.836</v>
      </c>
    </row>
    <row r="58" spans="1:21" s="2990" customFormat="1">
      <c r="A58" s="2988">
        <f t="shared" si="8"/>
        <v>2010.3</v>
      </c>
      <c r="B58" s="3140">
        <v>1262.345</v>
      </c>
      <c r="C58" s="3141">
        <v>580.19299999999998</v>
      </c>
      <c r="D58" s="3142">
        <v>533.779</v>
      </c>
      <c r="E58" s="3141">
        <v>46.414000000000001</v>
      </c>
      <c r="F58" s="3142">
        <v>49.146000000000001</v>
      </c>
      <c r="G58" s="3140">
        <v>506.65699999999998</v>
      </c>
      <c r="H58" s="3141">
        <v>216.76400000000001</v>
      </c>
      <c r="I58" s="3142">
        <v>202.74199999999999</v>
      </c>
      <c r="J58" s="3141">
        <v>14.022</v>
      </c>
      <c r="K58" s="3142">
        <v>26.765999999999998</v>
      </c>
      <c r="L58" s="2981">
        <f t="shared" si="7"/>
        <v>1769.002</v>
      </c>
      <c r="M58" s="2982">
        <f t="shared" si="7"/>
        <v>796.95699999999999</v>
      </c>
      <c r="N58" s="2983">
        <f t="shared" si="7"/>
        <v>736.52099999999996</v>
      </c>
      <c r="O58" s="2982">
        <f t="shared" si="7"/>
        <v>60.436</v>
      </c>
      <c r="P58" s="2983">
        <f t="shared" si="7"/>
        <v>75.912000000000006</v>
      </c>
      <c r="Q58" s="3140">
        <v>24919.083999999999</v>
      </c>
      <c r="R58" s="3141">
        <v>11435.732</v>
      </c>
      <c r="S58" s="3142">
        <v>10583.602999999999</v>
      </c>
      <c r="T58" s="3141">
        <v>852.12900000000002</v>
      </c>
      <c r="U58" s="3146">
        <v>1007.54</v>
      </c>
    </row>
    <row r="59" spans="1:21" s="2990" customFormat="1">
      <c r="A59" s="2988">
        <f t="shared" si="8"/>
        <v>2010.4</v>
      </c>
      <c r="B59" s="3140">
        <v>1264.3209999999999</v>
      </c>
      <c r="C59" s="3141">
        <v>580.09900000000005</v>
      </c>
      <c r="D59" s="3142">
        <v>535.12599999999998</v>
      </c>
      <c r="E59" s="3141">
        <v>44.972999999999999</v>
      </c>
      <c r="F59" s="3142">
        <v>56.165999999999997</v>
      </c>
      <c r="G59" s="3140">
        <v>507.90800000000002</v>
      </c>
      <c r="H59" s="3141">
        <v>220.85400000000001</v>
      </c>
      <c r="I59" s="3142">
        <v>201.517</v>
      </c>
      <c r="J59" s="3141">
        <v>19.337</v>
      </c>
      <c r="K59" s="3142">
        <v>27.812999999999999</v>
      </c>
      <c r="L59" s="2981">
        <f t="shared" si="7"/>
        <v>1772.2289999999998</v>
      </c>
      <c r="M59" s="2982">
        <f t="shared" si="7"/>
        <v>800.95300000000009</v>
      </c>
      <c r="N59" s="2983">
        <f t="shared" si="7"/>
        <v>736.64300000000003</v>
      </c>
      <c r="O59" s="2982">
        <f t="shared" si="7"/>
        <v>64.31</v>
      </c>
      <c r="P59" s="2983">
        <f t="shared" si="7"/>
        <v>83.978999999999999</v>
      </c>
      <c r="Q59" s="3140">
        <v>24977.17</v>
      </c>
      <c r="R59" s="3141">
        <v>11425.652</v>
      </c>
      <c r="S59" s="3142">
        <v>10592.712</v>
      </c>
      <c r="T59" s="3141">
        <v>832.94</v>
      </c>
      <c r="U59" s="3146">
        <v>955.072</v>
      </c>
    </row>
    <row r="60" spans="1:21" s="2990" customFormat="1">
      <c r="A60" s="2988">
        <f t="shared" si="8"/>
        <v>2011.1</v>
      </c>
      <c r="B60" s="3140">
        <v>1266.3800000000001</v>
      </c>
      <c r="C60" s="3141">
        <v>586.94399999999996</v>
      </c>
      <c r="D60" s="3142">
        <v>545.88400000000001</v>
      </c>
      <c r="E60" s="3141">
        <v>41.06</v>
      </c>
      <c r="F60" s="3142">
        <v>52.398000000000003</v>
      </c>
      <c r="G60" s="3140">
        <v>509.233</v>
      </c>
      <c r="H60" s="3141">
        <v>219.49199999999999</v>
      </c>
      <c r="I60" s="3142">
        <v>204.32300000000001</v>
      </c>
      <c r="J60" s="3141">
        <v>15.169</v>
      </c>
      <c r="K60" s="3142">
        <v>13.228999999999999</v>
      </c>
      <c r="L60" s="2981">
        <f t="shared" si="7"/>
        <v>1775.6130000000001</v>
      </c>
      <c r="M60" s="2982">
        <f t="shared" si="7"/>
        <v>806.43599999999992</v>
      </c>
      <c r="N60" s="2983">
        <f t="shared" si="7"/>
        <v>750.20699999999999</v>
      </c>
      <c r="O60" s="2982">
        <f t="shared" si="7"/>
        <v>56.228999999999999</v>
      </c>
      <c r="P60" s="2983">
        <f t="shared" si="7"/>
        <v>65.62700000000001</v>
      </c>
      <c r="Q60" s="3140">
        <v>25035.201000000001</v>
      </c>
      <c r="R60" s="3141">
        <v>11440.737999999999</v>
      </c>
      <c r="S60" s="3142">
        <v>10595.706</v>
      </c>
      <c r="T60" s="3141">
        <v>845.03200000000004</v>
      </c>
      <c r="U60" s="3146">
        <v>940.48900000000003</v>
      </c>
    </row>
    <row r="61" spans="1:21" s="2990" customFormat="1">
      <c r="A61" s="2988">
        <f t="shared" si="8"/>
        <v>2011.2</v>
      </c>
      <c r="B61" s="3140">
        <v>1268.2940000000001</v>
      </c>
      <c r="C61" s="3141">
        <v>595.86599999999999</v>
      </c>
      <c r="D61" s="3142">
        <v>551.67100000000005</v>
      </c>
      <c r="E61" s="3141">
        <v>44.195</v>
      </c>
      <c r="F61" s="3142">
        <v>40.569000000000003</v>
      </c>
      <c r="G61" s="3140">
        <v>510.47800000000001</v>
      </c>
      <c r="H61" s="3141">
        <v>226.89400000000001</v>
      </c>
      <c r="I61" s="3142">
        <v>208</v>
      </c>
      <c r="J61" s="3141">
        <v>19</v>
      </c>
      <c r="K61" s="3142">
        <v>20.744</v>
      </c>
      <c r="L61" s="2981">
        <f t="shared" si="7"/>
        <v>1778.7720000000002</v>
      </c>
      <c r="M61" s="2982">
        <f t="shared" si="7"/>
        <v>822.76</v>
      </c>
      <c r="N61" s="2983">
        <f t="shared" si="7"/>
        <v>759.67100000000005</v>
      </c>
      <c r="O61" s="2982">
        <f t="shared" si="7"/>
        <v>63.195</v>
      </c>
      <c r="P61" s="2983">
        <f t="shared" si="7"/>
        <v>61.313000000000002</v>
      </c>
      <c r="Q61" s="3140">
        <v>25091.832999999999</v>
      </c>
      <c r="R61" s="3141">
        <v>11681.916999999999</v>
      </c>
      <c r="S61" s="3142">
        <v>10823.455</v>
      </c>
      <c r="T61" s="3141">
        <v>858.46199999999999</v>
      </c>
      <c r="U61" s="3146">
        <v>981.44799999999998</v>
      </c>
    </row>
    <row r="62" spans="1:21" s="2990" customFormat="1">
      <c r="A62" s="2988">
        <f t="shared" si="8"/>
        <v>2011.3</v>
      </c>
      <c r="B62" s="3140">
        <v>1270.2349999999999</v>
      </c>
      <c r="C62" s="3141">
        <v>589.09100000000001</v>
      </c>
      <c r="D62" s="3142">
        <v>542.93299999999999</v>
      </c>
      <c r="E62" s="3141">
        <v>46.158000000000001</v>
      </c>
      <c r="F62" s="3142">
        <v>47.941000000000003</v>
      </c>
      <c r="G62" s="3140">
        <v>511.72899999999998</v>
      </c>
      <c r="H62" s="3141">
        <v>221.43899999999999</v>
      </c>
      <c r="I62" s="3142">
        <v>200.51300000000001</v>
      </c>
      <c r="J62" s="3141">
        <v>20.925999999999998</v>
      </c>
      <c r="K62" s="3142">
        <v>15.422000000000001</v>
      </c>
      <c r="L62" s="2981">
        <f t="shared" si="7"/>
        <v>1781.9639999999999</v>
      </c>
      <c r="M62" s="2982">
        <f t="shared" si="7"/>
        <v>810.53</v>
      </c>
      <c r="N62" s="2983">
        <f t="shared" si="7"/>
        <v>743.44600000000003</v>
      </c>
      <c r="O62" s="2982">
        <f t="shared" si="7"/>
        <v>67.084000000000003</v>
      </c>
      <c r="P62" s="2983">
        <f t="shared" si="7"/>
        <v>63.363</v>
      </c>
      <c r="Q62" s="3140">
        <v>25149.79</v>
      </c>
      <c r="R62" s="3141">
        <v>11730.245999999999</v>
      </c>
      <c r="S62" s="3142">
        <v>10882.434999999999</v>
      </c>
      <c r="T62" s="3141">
        <v>847.81100000000004</v>
      </c>
      <c r="U62" s="3146">
        <v>1032.0419999999999</v>
      </c>
    </row>
    <row r="63" spans="1:21" s="2990" customFormat="1">
      <c r="A63" s="2988">
        <f t="shared" si="8"/>
        <v>2011.4</v>
      </c>
      <c r="B63" s="3140">
        <v>1272.279</v>
      </c>
      <c r="C63" s="3141">
        <v>598.71400000000006</v>
      </c>
      <c r="D63" s="3142">
        <v>550.35400000000004</v>
      </c>
      <c r="E63" s="3141">
        <v>48.36</v>
      </c>
      <c r="F63" s="3142">
        <v>34.316000000000003</v>
      </c>
      <c r="G63" s="3140">
        <v>513.03099999999995</v>
      </c>
      <c r="H63" s="3141">
        <v>216.84399999999999</v>
      </c>
      <c r="I63" s="3142">
        <v>204.43899999999999</v>
      </c>
      <c r="J63" s="3141">
        <v>12.404999999999999</v>
      </c>
      <c r="K63" s="3142">
        <v>16.718</v>
      </c>
      <c r="L63" s="2981">
        <f t="shared" si="7"/>
        <v>1785.31</v>
      </c>
      <c r="M63" s="2982">
        <f t="shared" si="7"/>
        <v>815.55799999999999</v>
      </c>
      <c r="N63" s="2983">
        <f t="shared" si="7"/>
        <v>754.79300000000001</v>
      </c>
      <c r="O63" s="2982">
        <f t="shared" si="7"/>
        <v>60.765000000000001</v>
      </c>
      <c r="P63" s="2983">
        <f t="shared" si="7"/>
        <v>51.034000000000006</v>
      </c>
      <c r="Q63" s="3140">
        <v>25207.642</v>
      </c>
      <c r="R63" s="3141">
        <v>11605.231</v>
      </c>
      <c r="S63" s="3142">
        <v>10822.472</v>
      </c>
      <c r="T63" s="3141">
        <v>782.75900000000001</v>
      </c>
      <c r="U63" s="3146">
        <v>993.03800000000001</v>
      </c>
    </row>
    <row r="64" spans="1:21" s="2990" customFormat="1">
      <c r="A64" s="2988">
        <f t="shared" si="8"/>
        <v>2012.1</v>
      </c>
      <c r="B64" s="3140">
        <v>1274.192</v>
      </c>
      <c r="C64" s="3141">
        <v>606.64200000000005</v>
      </c>
      <c r="D64" s="3142">
        <v>547.41499999999996</v>
      </c>
      <c r="E64" s="3141">
        <v>59.226999999999997</v>
      </c>
      <c r="F64" s="3142">
        <v>45.220999999999997</v>
      </c>
      <c r="G64" s="3140">
        <v>514.37699999999995</v>
      </c>
      <c r="H64" s="3141">
        <v>230.97300000000001</v>
      </c>
      <c r="I64" s="3142">
        <v>215.69399999999999</v>
      </c>
      <c r="J64" s="3141">
        <v>15.279</v>
      </c>
      <c r="K64" s="3142">
        <v>20.146999999999998</v>
      </c>
      <c r="L64" s="2981">
        <f t="shared" si="7"/>
        <v>1788.569</v>
      </c>
      <c r="M64" s="2982">
        <f t="shared" si="7"/>
        <v>837.61500000000001</v>
      </c>
      <c r="N64" s="2983">
        <f t="shared" si="7"/>
        <v>763.10899999999992</v>
      </c>
      <c r="O64" s="2982">
        <f t="shared" si="7"/>
        <v>74.506</v>
      </c>
      <c r="P64" s="2983">
        <f t="shared" si="7"/>
        <v>65.367999999999995</v>
      </c>
      <c r="Q64" s="3140">
        <v>25265.772000000001</v>
      </c>
      <c r="R64" s="3141">
        <v>11484.643</v>
      </c>
      <c r="S64" s="3142">
        <v>10664.173000000001</v>
      </c>
      <c r="T64" s="3141">
        <v>820.47</v>
      </c>
      <c r="U64" s="3146">
        <v>852.77599999999995</v>
      </c>
    </row>
    <row r="65" spans="1:21" s="2990" customFormat="1">
      <c r="A65" s="2988">
        <f t="shared" si="8"/>
        <v>2012.2</v>
      </c>
      <c r="B65" s="3140">
        <v>1276.1099999999999</v>
      </c>
      <c r="C65" s="3141">
        <v>605.01400000000001</v>
      </c>
      <c r="D65" s="3142">
        <v>554.79100000000005</v>
      </c>
      <c r="E65" s="3141">
        <v>50.222999999999999</v>
      </c>
      <c r="F65" s="3142">
        <v>42.357999999999997</v>
      </c>
      <c r="G65" s="3140">
        <v>515.50199999999995</v>
      </c>
      <c r="H65" s="3141">
        <v>232.00399999999999</v>
      </c>
      <c r="I65" s="3142">
        <v>214.54599999999999</v>
      </c>
      <c r="J65" s="3141">
        <v>17.457999999999998</v>
      </c>
      <c r="K65" s="3142">
        <v>19.286000000000001</v>
      </c>
      <c r="L65" s="2981">
        <f t="shared" si="7"/>
        <v>1791.6119999999999</v>
      </c>
      <c r="M65" s="2982">
        <f t="shared" si="7"/>
        <v>837.01800000000003</v>
      </c>
      <c r="N65" s="2983">
        <f t="shared" si="7"/>
        <v>769.33699999999999</v>
      </c>
      <c r="O65" s="2982">
        <f t="shared" si="7"/>
        <v>67.680999999999997</v>
      </c>
      <c r="P65" s="2983">
        <f t="shared" si="7"/>
        <v>61.643999999999998</v>
      </c>
      <c r="Q65" s="3140">
        <v>25322.002</v>
      </c>
      <c r="R65" s="3141">
        <v>11674.255999999999</v>
      </c>
      <c r="S65" s="3142">
        <v>10832.084999999999</v>
      </c>
      <c r="T65" s="3141">
        <v>842.17100000000005</v>
      </c>
      <c r="U65" s="3146">
        <v>1095.7080000000001</v>
      </c>
    </row>
    <row r="66" spans="1:21" s="2990" customFormat="1">
      <c r="A66" s="2988">
        <f t="shared" si="8"/>
        <v>2012.3</v>
      </c>
      <c r="B66" s="3140">
        <v>1278.0709999999999</v>
      </c>
      <c r="C66" s="3141">
        <v>585.53399999999999</v>
      </c>
      <c r="D66" s="3142">
        <v>540.38699999999994</v>
      </c>
      <c r="E66" s="3141">
        <v>45.146999999999998</v>
      </c>
      <c r="F66" s="3142">
        <v>55.566000000000003</v>
      </c>
      <c r="G66" s="3140">
        <v>516.85400000000004</v>
      </c>
      <c r="H66" s="3141">
        <v>229.09399999999999</v>
      </c>
      <c r="I66" s="3142">
        <v>211.96199999999999</v>
      </c>
      <c r="J66" s="3141">
        <v>17.132000000000001</v>
      </c>
      <c r="K66" s="3142">
        <v>18.501000000000001</v>
      </c>
      <c r="L66" s="2981">
        <f t="shared" si="7"/>
        <v>1794.925</v>
      </c>
      <c r="M66" s="2982">
        <f t="shared" si="7"/>
        <v>814.62799999999993</v>
      </c>
      <c r="N66" s="2983">
        <f t="shared" si="7"/>
        <v>752.34899999999993</v>
      </c>
      <c r="O66" s="2982">
        <f t="shared" si="7"/>
        <v>62.278999999999996</v>
      </c>
      <c r="P66" s="2983">
        <f t="shared" si="7"/>
        <v>74.067000000000007</v>
      </c>
      <c r="Q66" s="3140">
        <v>25379.821</v>
      </c>
      <c r="R66" s="3141">
        <v>11889.038</v>
      </c>
      <c r="S66" s="3142">
        <v>10982.909</v>
      </c>
      <c r="T66" s="3141">
        <v>906.12900000000002</v>
      </c>
      <c r="U66" s="3146">
        <v>1059.001</v>
      </c>
    </row>
    <row r="67" spans="1:21" s="2990" customFormat="1">
      <c r="A67" s="2988">
        <f t="shared" si="8"/>
        <v>2012.4</v>
      </c>
      <c r="B67" s="3140">
        <v>1280.0899999999999</v>
      </c>
      <c r="C67" s="3141">
        <v>606.89200000000005</v>
      </c>
      <c r="D67" s="3142">
        <v>554.64499999999998</v>
      </c>
      <c r="E67" s="3141">
        <v>52.247</v>
      </c>
      <c r="F67" s="3142">
        <v>46.606999999999999</v>
      </c>
      <c r="G67" s="3140">
        <v>518.09699999999998</v>
      </c>
      <c r="H67" s="3141">
        <v>225.857</v>
      </c>
      <c r="I67" s="3142">
        <v>210.19499999999999</v>
      </c>
      <c r="J67" s="3141">
        <v>15.662000000000001</v>
      </c>
      <c r="K67" s="3142">
        <v>14.885999999999999</v>
      </c>
      <c r="L67" s="2981">
        <f t="shared" si="7"/>
        <v>1798.1869999999999</v>
      </c>
      <c r="M67" s="2982">
        <f t="shared" si="7"/>
        <v>832.74900000000002</v>
      </c>
      <c r="N67" s="2983">
        <f t="shared" si="7"/>
        <v>764.83999999999992</v>
      </c>
      <c r="O67" s="2982">
        <f t="shared" si="7"/>
        <v>67.909000000000006</v>
      </c>
      <c r="P67" s="2983">
        <f t="shared" si="7"/>
        <v>61.492999999999995</v>
      </c>
      <c r="Q67" s="3140">
        <v>25437.011999999999</v>
      </c>
      <c r="R67" s="3141">
        <v>11767.245999999999</v>
      </c>
      <c r="S67" s="3142">
        <v>10958.876</v>
      </c>
      <c r="T67" s="3141">
        <v>808.37</v>
      </c>
      <c r="U67" s="3146">
        <v>1061.367</v>
      </c>
    </row>
    <row r="68" spans="1:21" s="2990" customFormat="1">
      <c r="A68" s="2988">
        <f t="shared" si="8"/>
        <v>2013.1</v>
      </c>
      <c r="B68" s="3140">
        <v>1282.009</v>
      </c>
      <c r="C68" s="3141">
        <v>628.726</v>
      </c>
      <c r="D68" s="3142">
        <v>574.46600000000001</v>
      </c>
      <c r="E68" s="3141">
        <v>54.26</v>
      </c>
      <c r="F68" s="3142">
        <v>46.890999999999998</v>
      </c>
      <c r="G68" s="3140">
        <v>519.36900000000003</v>
      </c>
      <c r="H68" s="3141">
        <v>224.251</v>
      </c>
      <c r="I68" s="3142">
        <v>205.99199999999999</v>
      </c>
      <c r="J68" s="3141">
        <v>18.259</v>
      </c>
      <c r="K68" s="3142">
        <v>14.148</v>
      </c>
      <c r="L68" s="2981">
        <f t="shared" si="7"/>
        <v>1801.3780000000002</v>
      </c>
      <c r="M68" s="2982">
        <f t="shared" si="7"/>
        <v>852.97699999999998</v>
      </c>
      <c r="N68" s="2983">
        <f t="shared" si="7"/>
        <v>780.45799999999997</v>
      </c>
      <c r="O68" s="2982">
        <f t="shared" si="7"/>
        <v>72.519000000000005</v>
      </c>
      <c r="P68" s="2983">
        <f t="shared" si="7"/>
        <v>61.039000000000001</v>
      </c>
      <c r="Q68" s="3140">
        <v>25494.719000000001</v>
      </c>
      <c r="R68" s="3141">
        <v>11673.066000000001</v>
      </c>
      <c r="S68" s="3142">
        <v>10747.939</v>
      </c>
      <c r="T68" s="3141">
        <v>925.12699999999995</v>
      </c>
      <c r="U68" s="3146">
        <v>928.13499999999999</v>
      </c>
    </row>
    <row r="69" spans="1:21" s="2990" customFormat="1">
      <c r="A69" s="2988">
        <f t="shared" si="8"/>
        <v>2013.2</v>
      </c>
      <c r="B69" s="3140">
        <v>1283.9739999999999</v>
      </c>
      <c r="C69" s="3141">
        <v>624.06899999999996</v>
      </c>
      <c r="D69" s="3142">
        <v>572.98699999999997</v>
      </c>
      <c r="E69" s="3141">
        <v>51.082000000000001</v>
      </c>
      <c r="F69" s="3142">
        <v>48.718000000000004</v>
      </c>
      <c r="G69" s="3140">
        <v>520.60199999999998</v>
      </c>
      <c r="H69" s="3141">
        <v>229.59</v>
      </c>
      <c r="I69" s="3142">
        <v>211.95400000000001</v>
      </c>
      <c r="J69" s="3141">
        <v>17.635999999999999</v>
      </c>
      <c r="K69" s="3142">
        <v>13.243</v>
      </c>
      <c r="L69" s="2981">
        <f t="shared" si="7"/>
        <v>1804.576</v>
      </c>
      <c r="M69" s="2982">
        <f t="shared" si="7"/>
        <v>853.65899999999999</v>
      </c>
      <c r="N69" s="2983">
        <f t="shared" si="7"/>
        <v>784.94100000000003</v>
      </c>
      <c r="O69" s="2982">
        <f t="shared" si="7"/>
        <v>68.718000000000004</v>
      </c>
      <c r="P69" s="2983">
        <f t="shared" si="7"/>
        <v>61.961000000000006</v>
      </c>
      <c r="Q69" s="3140">
        <v>25550.272000000001</v>
      </c>
      <c r="R69" s="3141">
        <v>11843.325999999999</v>
      </c>
      <c r="S69" s="3142">
        <v>10985.307000000001</v>
      </c>
      <c r="T69" s="3141">
        <v>858.01900000000001</v>
      </c>
      <c r="U69" s="3146">
        <v>1150.759</v>
      </c>
    </row>
    <row r="70" spans="1:21" s="2990" customFormat="1">
      <c r="A70" s="2988">
        <f t="shared" si="8"/>
        <v>2013.3</v>
      </c>
      <c r="B70" s="3140">
        <v>1285.9110000000001</v>
      </c>
      <c r="C70" s="3141">
        <v>618.41099999999994</v>
      </c>
      <c r="D70" s="3142">
        <v>570.78</v>
      </c>
      <c r="E70" s="3141">
        <v>47.631</v>
      </c>
      <c r="F70" s="3142">
        <v>39.968000000000004</v>
      </c>
      <c r="G70" s="3140">
        <v>521.87199999999996</v>
      </c>
      <c r="H70" s="3141">
        <v>220.26</v>
      </c>
      <c r="I70" s="3142">
        <v>208.739</v>
      </c>
      <c r="J70" s="3141">
        <v>11.521000000000001</v>
      </c>
      <c r="K70" s="3142">
        <v>15.930999999999999</v>
      </c>
      <c r="L70" s="2981">
        <f t="shared" si="7"/>
        <v>1807.7829999999999</v>
      </c>
      <c r="M70" s="2982">
        <f t="shared" si="7"/>
        <v>838.67099999999994</v>
      </c>
      <c r="N70" s="2983">
        <f t="shared" si="7"/>
        <v>779.51900000000001</v>
      </c>
      <c r="O70" s="2982">
        <f t="shared" si="7"/>
        <v>59.152000000000001</v>
      </c>
      <c r="P70" s="2983">
        <f t="shared" si="7"/>
        <v>55.899000000000001</v>
      </c>
      <c r="Q70" s="3140">
        <v>25607.701000000001</v>
      </c>
      <c r="R70" s="3141">
        <v>11782.395</v>
      </c>
      <c r="S70" s="3142">
        <v>10978.296</v>
      </c>
      <c r="T70" s="3141">
        <v>804.09900000000005</v>
      </c>
      <c r="U70" s="3146">
        <v>1032.0160000000001</v>
      </c>
    </row>
    <row r="71" spans="1:21" s="2990" customFormat="1">
      <c r="A71" s="2988">
        <f t="shared" si="8"/>
        <v>2013.4</v>
      </c>
      <c r="B71" s="3140">
        <v>1342.5609999999999</v>
      </c>
      <c r="C71" s="3141">
        <v>637.66700000000003</v>
      </c>
      <c r="D71" s="3142">
        <v>587.37400000000002</v>
      </c>
      <c r="E71" s="3141">
        <v>50.292999999999999</v>
      </c>
      <c r="F71" s="3142">
        <v>49.427999999999997</v>
      </c>
      <c r="G71" s="3140">
        <v>521.71400000000006</v>
      </c>
      <c r="H71" s="3141">
        <v>209.90600000000001</v>
      </c>
      <c r="I71" s="3142">
        <v>196.608</v>
      </c>
      <c r="J71" s="3141">
        <v>13.298</v>
      </c>
      <c r="K71" s="3142">
        <v>13.023999999999999</v>
      </c>
      <c r="L71" s="2981">
        <f t="shared" si="7"/>
        <v>1864.2750000000001</v>
      </c>
      <c r="M71" s="2982">
        <f t="shared" si="7"/>
        <v>847.57300000000009</v>
      </c>
      <c r="N71" s="2983">
        <f t="shared" si="7"/>
        <v>783.98199999999997</v>
      </c>
      <c r="O71" s="2982">
        <f t="shared" si="7"/>
        <v>63.591000000000001</v>
      </c>
      <c r="P71" s="2983">
        <f t="shared" si="7"/>
        <v>62.451999999999998</v>
      </c>
      <c r="Q71" s="3140">
        <v>26062.870999999999</v>
      </c>
      <c r="R71" s="3141">
        <v>11869.536</v>
      </c>
      <c r="S71" s="3142">
        <v>11110.638999999999</v>
      </c>
      <c r="T71" s="3141">
        <v>758.89700000000005</v>
      </c>
      <c r="U71" s="3146">
        <v>923.779</v>
      </c>
    </row>
    <row r="72" spans="1:21" s="2990" customFormat="1">
      <c r="A72" s="2988">
        <f t="shared" si="8"/>
        <v>2014.1</v>
      </c>
      <c r="B72" s="3140">
        <v>1373.89</v>
      </c>
      <c r="C72" s="3141">
        <v>661.58399999999995</v>
      </c>
      <c r="D72" s="3142">
        <v>617.51599999999996</v>
      </c>
      <c r="E72" s="3141">
        <v>44.067999999999998</v>
      </c>
      <c r="F72" s="3142">
        <v>48.006999999999998</v>
      </c>
      <c r="G72" s="3140">
        <v>522.995</v>
      </c>
      <c r="H72" s="3141">
        <v>231.98</v>
      </c>
      <c r="I72" s="3142">
        <v>217.99199999999999</v>
      </c>
      <c r="J72" s="3141">
        <v>13.988</v>
      </c>
      <c r="K72" s="3142">
        <v>13.377000000000001</v>
      </c>
      <c r="L72" s="2981">
        <f t="shared" si="7"/>
        <v>1896.8850000000002</v>
      </c>
      <c r="M72" s="2982">
        <f t="shared" si="7"/>
        <v>893.56399999999996</v>
      </c>
      <c r="N72" s="2983">
        <f t="shared" si="7"/>
        <v>835.50799999999992</v>
      </c>
      <c r="O72" s="2982">
        <f t="shared" si="7"/>
        <v>58.055999999999997</v>
      </c>
      <c r="P72" s="2983">
        <f t="shared" si="7"/>
        <v>61.384</v>
      </c>
      <c r="Q72" s="3140">
        <v>26326.991000000002</v>
      </c>
      <c r="R72" s="3141">
        <v>11831.272000000001</v>
      </c>
      <c r="S72" s="3142">
        <v>10988.313</v>
      </c>
      <c r="T72" s="3141">
        <v>842.95899999999995</v>
      </c>
      <c r="U72" s="3146">
        <v>956.24</v>
      </c>
    </row>
    <row r="73" spans="1:21" s="2990" customFormat="1">
      <c r="A73" s="2988">
        <f t="shared" si="8"/>
        <v>2014.2</v>
      </c>
      <c r="B73" s="3140">
        <v>1406.376</v>
      </c>
      <c r="C73" s="3141">
        <v>670.30899999999997</v>
      </c>
      <c r="D73" s="3142">
        <v>607.08900000000006</v>
      </c>
      <c r="E73" s="3141">
        <v>63.22</v>
      </c>
      <c r="F73" s="3142">
        <v>52.625999999999998</v>
      </c>
      <c r="G73" s="3140">
        <v>523.82500000000005</v>
      </c>
      <c r="H73" s="3141">
        <v>232.45500000000001</v>
      </c>
      <c r="I73" s="3142">
        <v>212.072</v>
      </c>
      <c r="J73" s="3141">
        <v>20.382999999999999</v>
      </c>
      <c r="K73" s="3142">
        <v>12.615</v>
      </c>
      <c r="L73" s="2981">
        <f t="shared" si="7"/>
        <v>1930.201</v>
      </c>
      <c r="M73" s="2982">
        <f t="shared" si="7"/>
        <v>902.76400000000001</v>
      </c>
      <c r="N73" s="2983">
        <f t="shared" si="7"/>
        <v>819.16100000000006</v>
      </c>
      <c r="O73" s="2982">
        <f t="shared" si="7"/>
        <v>83.602999999999994</v>
      </c>
      <c r="P73" s="2983">
        <f t="shared" si="7"/>
        <v>65.241</v>
      </c>
      <c r="Q73" s="3140">
        <v>26593.564999999999</v>
      </c>
      <c r="R73" s="3141">
        <v>11884.038</v>
      </c>
      <c r="S73" s="3142">
        <v>10993.637000000001</v>
      </c>
      <c r="T73" s="3141">
        <v>890.40099999999995</v>
      </c>
      <c r="U73" s="3146">
        <v>1114.328</v>
      </c>
    </row>
    <row r="74" spans="1:21" s="2990" customFormat="1">
      <c r="A74" s="2988">
        <f t="shared" si="8"/>
        <v>2014.3</v>
      </c>
      <c r="B74" s="3140">
        <v>1411.078</v>
      </c>
      <c r="C74" s="3141">
        <v>665.65</v>
      </c>
      <c r="D74" s="3142">
        <v>604.02099999999996</v>
      </c>
      <c r="E74" s="3141">
        <v>61.628999999999998</v>
      </c>
      <c r="F74" s="3142">
        <v>57.581000000000003</v>
      </c>
      <c r="G74" s="3140">
        <v>525.11500000000001</v>
      </c>
      <c r="H74" s="3141">
        <v>228.65700000000001</v>
      </c>
      <c r="I74" s="3142">
        <v>211.80500000000001</v>
      </c>
      <c r="J74" s="3141">
        <v>16.852</v>
      </c>
      <c r="K74" s="3142">
        <v>14.404</v>
      </c>
      <c r="L74" s="2981">
        <f t="shared" si="7"/>
        <v>1936.193</v>
      </c>
      <c r="M74" s="2982">
        <f t="shared" si="7"/>
        <v>894.30700000000002</v>
      </c>
      <c r="N74" s="2983">
        <f t="shared" si="7"/>
        <v>815.82600000000002</v>
      </c>
      <c r="O74" s="2982">
        <f t="shared" si="7"/>
        <v>78.480999999999995</v>
      </c>
      <c r="P74" s="2983">
        <f t="shared" si="7"/>
        <v>71.984999999999999</v>
      </c>
      <c r="Q74" s="3140">
        <v>26659.772000000001</v>
      </c>
      <c r="R74" s="3141">
        <v>11897.200999999999</v>
      </c>
      <c r="S74" s="3142">
        <v>11001.92</v>
      </c>
      <c r="T74" s="3141">
        <v>895.28099999999995</v>
      </c>
      <c r="U74" s="3146">
        <v>1100.4780000000001</v>
      </c>
    </row>
    <row r="75" spans="1:21" s="2990" customFormat="1">
      <c r="A75" s="2988">
        <f t="shared" si="8"/>
        <v>2014.4</v>
      </c>
      <c r="B75" s="3140">
        <v>1415.6279999999999</v>
      </c>
      <c r="C75" s="3141">
        <v>691.16899999999998</v>
      </c>
      <c r="D75" s="3142">
        <v>631.36699999999996</v>
      </c>
      <c r="E75" s="3141">
        <v>59.802</v>
      </c>
      <c r="F75" s="3142">
        <v>62.15</v>
      </c>
      <c r="G75" s="3140">
        <v>526.36599999999999</v>
      </c>
      <c r="H75" s="3141">
        <v>226.245</v>
      </c>
      <c r="I75" s="3142">
        <v>211.209</v>
      </c>
      <c r="J75" s="3141">
        <v>15.036</v>
      </c>
      <c r="K75" s="3142">
        <v>11.991</v>
      </c>
      <c r="L75" s="2981">
        <f t="shared" si="7"/>
        <v>1941.9939999999999</v>
      </c>
      <c r="M75" s="2982">
        <f t="shared" si="7"/>
        <v>917.41399999999999</v>
      </c>
      <c r="N75" s="2983">
        <f t="shared" si="7"/>
        <v>842.57600000000002</v>
      </c>
      <c r="O75" s="2982">
        <f t="shared" si="7"/>
        <v>74.837999999999994</v>
      </c>
      <c r="P75" s="2983">
        <f t="shared" si="7"/>
        <v>74.140999999999991</v>
      </c>
      <c r="Q75" s="3140">
        <v>26725.119999999999</v>
      </c>
      <c r="R75" s="3141">
        <v>12072.839</v>
      </c>
      <c r="S75" s="3142">
        <v>11235.975</v>
      </c>
      <c r="T75" s="3141">
        <v>836.86400000000003</v>
      </c>
      <c r="U75" s="3146">
        <v>1095.6020000000001</v>
      </c>
    </row>
    <row r="76" spans="1:21" s="2990" customFormat="1">
      <c r="A76" s="2988">
        <f t="shared" si="8"/>
        <v>2015.1</v>
      </c>
      <c r="B76" s="3140">
        <v>1419.9349999999999</v>
      </c>
      <c r="C76" s="3141">
        <v>697.78200000000004</v>
      </c>
      <c r="D76" s="3142">
        <v>636.62599999999998</v>
      </c>
      <c r="E76" s="3141">
        <v>61.155999999999999</v>
      </c>
      <c r="F76" s="3142">
        <v>50.918999999999997</v>
      </c>
      <c r="G76" s="3140">
        <v>527.52499999999998</v>
      </c>
      <c r="H76" s="3141">
        <v>227.21899999999999</v>
      </c>
      <c r="I76" s="3142">
        <v>214.52699999999999</v>
      </c>
      <c r="J76" s="3141">
        <v>12.692</v>
      </c>
      <c r="K76" s="3142">
        <v>19.928000000000001</v>
      </c>
      <c r="L76" s="2981">
        <f t="shared" ref="L76:P80" si="9">B76+G76</f>
        <v>1947.46</v>
      </c>
      <c r="M76" s="2982">
        <f t="shared" si="9"/>
        <v>925.00099999999998</v>
      </c>
      <c r="N76" s="2983">
        <f t="shared" si="9"/>
        <v>851.15300000000002</v>
      </c>
      <c r="O76" s="2982">
        <f t="shared" si="9"/>
        <v>73.847999999999999</v>
      </c>
      <c r="P76" s="2983">
        <f t="shared" si="9"/>
        <v>70.846999999999994</v>
      </c>
      <c r="Q76" s="3140">
        <v>26786.536</v>
      </c>
      <c r="R76" s="3141">
        <v>11917.843999999999</v>
      </c>
      <c r="S76" s="3142">
        <v>11069.985000000001</v>
      </c>
      <c r="T76" s="3141">
        <v>847.85900000000004</v>
      </c>
      <c r="U76" s="3146">
        <v>904.93600000000004</v>
      </c>
    </row>
    <row r="77" spans="1:21" s="2990" customFormat="1">
      <c r="A77" s="2988">
        <f t="shared" si="8"/>
        <v>2015.2</v>
      </c>
      <c r="B77" s="3140">
        <v>1424.231</v>
      </c>
      <c r="C77" s="3141">
        <v>692.63099999999997</v>
      </c>
      <c r="D77" s="3142">
        <v>635.154</v>
      </c>
      <c r="E77" s="3141">
        <v>57.476999999999997</v>
      </c>
      <c r="F77" s="3142">
        <v>62.125999999999998</v>
      </c>
      <c r="G77" s="3140">
        <v>528.76400000000001</v>
      </c>
      <c r="H77" s="3141">
        <v>226</v>
      </c>
      <c r="I77" s="3142">
        <v>212.13900000000001</v>
      </c>
      <c r="J77" s="3141">
        <v>13.861000000000001</v>
      </c>
      <c r="K77" s="3142">
        <v>15.542</v>
      </c>
      <c r="L77" s="2981">
        <f t="shared" si="9"/>
        <v>1952.9949999999999</v>
      </c>
      <c r="M77" s="2982">
        <f t="shared" si="9"/>
        <v>918.63099999999997</v>
      </c>
      <c r="N77" s="2983">
        <f t="shared" si="9"/>
        <v>847.29300000000001</v>
      </c>
      <c r="O77" s="2982">
        <f t="shared" si="9"/>
        <v>71.337999999999994</v>
      </c>
      <c r="P77" s="2983">
        <f t="shared" si="9"/>
        <v>77.667999999999992</v>
      </c>
      <c r="Q77" s="3140">
        <v>26848.141</v>
      </c>
      <c r="R77" s="3141">
        <v>11920.216</v>
      </c>
      <c r="S77" s="3142">
        <v>11136.718999999999</v>
      </c>
      <c r="T77" s="3141">
        <v>783.49699999999996</v>
      </c>
      <c r="U77" s="3146">
        <v>1077.0940000000001</v>
      </c>
    </row>
    <row r="78" spans="1:21">
      <c r="A78" s="2988">
        <f t="shared" si="8"/>
        <v>2015.3</v>
      </c>
      <c r="B78" s="3140">
        <f>AVERAGE(B76:B77)</f>
        <v>1422.0830000000001</v>
      </c>
      <c r="C78" s="3141">
        <f t="shared" ref="C78:E78" si="10">AVERAGE(C76:C77)</f>
        <v>695.20650000000001</v>
      </c>
      <c r="D78" s="3142">
        <f t="shared" si="10"/>
        <v>635.89</v>
      </c>
      <c r="E78" s="3141">
        <f t="shared" si="10"/>
        <v>59.316499999999998</v>
      </c>
      <c r="F78" s="3142">
        <f>AVERAGE(F76:F77)</f>
        <v>56.522499999999994</v>
      </c>
      <c r="G78" s="3140">
        <v>529.95500000000004</v>
      </c>
      <c r="H78" s="3141">
        <v>227.821</v>
      </c>
      <c r="I78" s="3142">
        <v>216.65799999999999</v>
      </c>
      <c r="J78" s="3141">
        <v>11.163</v>
      </c>
      <c r="K78" s="3142">
        <f>AVERAGE(K76:K77)</f>
        <v>17.734999999999999</v>
      </c>
      <c r="L78" s="2981">
        <f t="shared" si="9"/>
        <v>1952.038</v>
      </c>
      <c r="M78" s="2982">
        <f t="shared" si="9"/>
        <v>923.02750000000003</v>
      </c>
      <c r="N78" s="2983">
        <f t="shared" si="9"/>
        <v>852.548</v>
      </c>
      <c r="O78" s="2982">
        <f t="shared" si="9"/>
        <v>70.479500000000002</v>
      </c>
      <c r="P78" s="2983">
        <f>F78+K78</f>
        <v>74.257499999999993</v>
      </c>
      <c r="Q78" s="3147">
        <f t="shared" ref="Q78:T78" si="11">AVERAGE(Q76:Q77)</f>
        <v>26817.338499999998</v>
      </c>
      <c r="R78" s="3141">
        <f t="shared" si="11"/>
        <v>11919.029999999999</v>
      </c>
      <c r="S78" s="3141">
        <f t="shared" si="11"/>
        <v>11103.351999999999</v>
      </c>
      <c r="T78" s="3141">
        <f t="shared" si="11"/>
        <v>815.678</v>
      </c>
      <c r="U78" s="3146">
        <f>AVERAGE(U76:U77)</f>
        <v>991.0150000000001</v>
      </c>
    </row>
    <row r="79" spans="1:21">
      <c r="A79" s="2988">
        <f t="shared" si="8"/>
        <v>2015.4</v>
      </c>
      <c r="B79" s="3140">
        <f t="shared" ref="B79:E79" si="12">AVERAGE(B78,B80)</f>
        <v>1355.0415</v>
      </c>
      <c r="C79" s="3141">
        <f t="shared" si="12"/>
        <v>654.60325</v>
      </c>
      <c r="D79" s="3142">
        <f t="shared" si="12"/>
        <v>592.69499999999994</v>
      </c>
      <c r="E79" s="3141">
        <f t="shared" si="12"/>
        <v>61.908249999999995</v>
      </c>
      <c r="F79" s="3142">
        <f>AVERAGE(F78,F80)</f>
        <v>56.261249999999997</v>
      </c>
      <c r="G79" s="3140">
        <f>AVERAGE(G77:G78)</f>
        <v>529.35950000000003</v>
      </c>
      <c r="H79" s="3141">
        <f>AVERAGE(H77:H78)</f>
        <v>226.91050000000001</v>
      </c>
      <c r="I79" s="3142">
        <f>AVERAGE(I77:I78)</f>
        <v>214.39850000000001</v>
      </c>
      <c r="J79" s="3141">
        <f>AVERAGE(J77:J78)</f>
        <v>12.512</v>
      </c>
      <c r="K79" s="3142">
        <f>AVERAGE(K78,K80)</f>
        <v>17.1175</v>
      </c>
      <c r="L79" s="2981">
        <f t="shared" si="9"/>
        <v>1884.4010000000001</v>
      </c>
      <c r="M79" s="2982">
        <f t="shared" si="9"/>
        <v>881.51375000000007</v>
      </c>
      <c r="N79" s="2983">
        <f t="shared" si="9"/>
        <v>807.09349999999995</v>
      </c>
      <c r="O79" s="2982">
        <f t="shared" si="9"/>
        <v>74.420249999999996</v>
      </c>
      <c r="P79" s="2983">
        <f>F79+K79</f>
        <v>73.378749999999997</v>
      </c>
      <c r="Q79" s="3147">
        <f t="shared" ref="Q79:T79" si="13">AVERAGE(Q78,Q80)</f>
        <v>27026.919249999999</v>
      </c>
      <c r="R79" s="3141">
        <f t="shared" si="13"/>
        <v>12221.764999999999</v>
      </c>
      <c r="S79" s="3141">
        <f t="shared" si="13"/>
        <v>11255.425999999999</v>
      </c>
      <c r="T79" s="3141">
        <f t="shared" si="13"/>
        <v>966.33899999999994</v>
      </c>
      <c r="U79" s="3146">
        <f>AVERAGE(U78,U80)</f>
        <v>1164.2575000000002</v>
      </c>
    </row>
    <row r="80" spans="1:21">
      <c r="A80" s="2988">
        <f t="shared" si="8"/>
        <v>2016.1</v>
      </c>
      <c r="B80" s="3140">
        <f>AVERAGE(B81:B82)</f>
        <v>1288</v>
      </c>
      <c r="C80" s="3141">
        <f t="shared" ref="C80:F80" si="14">AVERAGE(C81:C82)</f>
        <v>614</v>
      </c>
      <c r="D80" s="3142">
        <f t="shared" si="14"/>
        <v>549.5</v>
      </c>
      <c r="E80" s="3141">
        <f>AVERAGE(E81:E82)</f>
        <v>64.5</v>
      </c>
      <c r="F80" s="3142">
        <f t="shared" si="14"/>
        <v>56</v>
      </c>
      <c r="G80" s="3140">
        <f>AVERAGE(G81:G82)</f>
        <v>516.5</v>
      </c>
      <c r="H80" s="3141">
        <f>AVERAGE(H81:H82)</f>
        <v>211.5</v>
      </c>
      <c r="I80" s="3142">
        <f>AVERAGE(I81:I82)</f>
        <v>202.5</v>
      </c>
      <c r="J80" s="3141">
        <f>AVERAGE(J81:J82)</f>
        <v>9.5</v>
      </c>
      <c r="K80" s="3142">
        <f>AVERAGE(K81:K82)</f>
        <v>16.5</v>
      </c>
      <c r="L80" s="2981">
        <f t="shared" si="9"/>
        <v>1804.5</v>
      </c>
      <c r="M80" s="2982">
        <f t="shared" si="9"/>
        <v>825.5</v>
      </c>
      <c r="N80" s="2983">
        <f t="shared" si="9"/>
        <v>752</v>
      </c>
      <c r="O80" s="2982">
        <f t="shared" si="9"/>
        <v>74</v>
      </c>
      <c r="P80" s="2983">
        <f t="shared" si="9"/>
        <v>72.5</v>
      </c>
      <c r="Q80" s="3147">
        <f t="shared" ref="Q80:T80" si="15">AVERAGE(Q81:Q82)</f>
        <v>27236.5</v>
      </c>
      <c r="R80" s="3141">
        <f t="shared" si="15"/>
        <v>12524.5</v>
      </c>
      <c r="S80" s="3141">
        <f t="shared" si="15"/>
        <v>11407.5</v>
      </c>
      <c r="T80" s="3141">
        <f t="shared" si="15"/>
        <v>1117</v>
      </c>
      <c r="U80" s="3146">
        <f>AVERAGE(U81:U82)</f>
        <v>1337.5</v>
      </c>
    </row>
    <row r="81" spans="1:21">
      <c r="A81" s="2988">
        <f t="shared" si="8"/>
        <v>2016.2</v>
      </c>
      <c r="B81" s="2976">
        <v>1287</v>
      </c>
      <c r="C81" s="2977">
        <v>617</v>
      </c>
      <c r="D81" s="2978">
        <v>545</v>
      </c>
      <c r="E81" s="2977">
        <v>72</v>
      </c>
      <c r="F81" s="2989">
        <v>62</v>
      </c>
      <c r="G81" s="2980">
        <v>516</v>
      </c>
      <c r="H81" s="2977">
        <v>214</v>
      </c>
      <c r="I81" s="2978">
        <v>203</v>
      </c>
      <c r="J81" s="2977">
        <v>11</v>
      </c>
      <c r="K81" s="2978">
        <v>14</v>
      </c>
      <c r="L81" s="2981">
        <f>B81+G81</f>
        <v>1803</v>
      </c>
      <c r="M81" s="2982">
        <f>C81+H81</f>
        <v>831</v>
      </c>
      <c r="N81" s="2983">
        <f>D81+I81</f>
        <v>748</v>
      </c>
      <c r="O81" s="2982">
        <f>E81+J81</f>
        <v>83</v>
      </c>
      <c r="P81" s="2983">
        <f>F81+K81</f>
        <v>76</v>
      </c>
      <c r="Q81" s="2980">
        <v>27201</v>
      </c>
      <c r="R81" s="2977">
        <v>12503</v>
      </c>
      <c r="S81" s="2978">
        <v>11338</v>
      </c>
      <c r="T81" s="2977">
        <v>1165</v>
      </c>
      <c r="U81" s="2991">
        <v>1401</v>
      </c>
    </row>
    <row r="82" spans="1:21">
      <c r="A82" s="2988">
        <f t="shared" si="8"/>
        <v>2016.3</v>
      </c>
      <c r="B82" s="2976">
        <v>1289</v>
      </c>
      <c r="C82" s="2977">
        <v>611</v>
      </c>
      <c r="D82" s="2978">
        <v>554</v>
      </c>
      <c r="E82" s="2977">
        <v>57</v>
      </c>
      <c r="F82" s="2989">
        <v>50</v>
      </c>
      <c r="G82" s="2980">
        <v>517</v>
      </c>
      <c r="H82" s="2977">
        <v>209</v>
      </c>
      <c r="I82" s="2978">
        <v>202</v>
      </c>
      <c r="J82" s="2977">
        <v>8</v>
      </c>
      <c r="K82" s="2978">
        <v>19</v>
      </c>
      <c r="L82" s="2981">
        <f t="shared" ref="L82:P99" si="16">B82+G82</f>
        <v>1806</v>
      </c>
      <c r="M82" s="2982">
        <f t="shared" si="16"/>
        <v>820</v>
      </c>
      <c r="N82" s="2983">
        <f t="shared" si="16"/>
        <v>756</v>
      </c>
      <c r="O82" s="2982">
        <f t="shared" si="16"/>
        <v>65</v>
      </c>
      <c r="P82" s="2983">
        <f t="shared" si="16"/>
        <v>69</v>
      </c>
      <c r="Q82" s="2980">
        <v>27272</v>
      </c>
      <c r="R82" s="2977">
        <v>12546</v>
      </c>
      <c r="S82" s="2978">
        <v>11477</v>
      </c>
      <c r="T82" s="2977">
        <v>1069</v>
      </c>
      <c r="U82" s="2991">
        <v>1274</v>
      </c>
    </row>
    <row r="83" spans="1:21">
      <c r="A83" s="2988">
        <f t="shared" si="8"/>
        <v>2016.4</v>
      </c>
      <c r="B83" s="2976">
        <v>1291</v>
      </c>
      <c r="C83" s="2977">
        <v>629</v>
      </c>
      <c r="D83" s="2978">
        <v>575</v>
      </c>
      <c r="E83" s="2977">
        <v>54</v>
      </c>
      <c r="F83" s="2989">
        <v>56</v>
      </c>
      <c r="G83" s="2980">
        <v>518</v>
      </c>
      <c r="H83" s="2977">
        <v>226</v>
      </c>
      <c r="I83" s="2978">
        <v>214</v>
      </c>
      <c r="J83" s="2977">
        <v>11</v>
      </c>
      <c r="K83" s="2978">
        <v>20</v>
      </c>
      <c r="L83" s="2981">
        <f t="shared" si="16"/>
        <v>1809</v>
      </c>
      <c r="M83" s="2982">
        <f t="shared" si="16"/>
        <v>855</v>
      </c>
      <c r="N83" s="2983">
        <f t="shared" si="16"/>
        <v>789</v>
      </c>
      <c r="O83" s="2982">
        <f t="shared" si="16"/>
        <v>65</v>
      </c>
      <c r="P83" s="2983">
        <f t="shared" si="16"/>
        <v>76</v>
      </c>
      <c r="Q83" s="2980">
        <v>27345</v>
      </c>
      <c r="R83" s="2977">
        <v>12397</v>
      </c>
      <c r="S83" s="2978">
        <v>11459</v>
      </c>
      <c r="T83" s="2977">
        <v>937</v>
      </c>
      <c r="U83" s="2991">
        <v>1278</v>
      </c>
    </row>
    <row r="84" spans="1:21">
      <c r="A84" s="2988">
        <f t="shared" si="8"/>
        <v>2017.1</v>
      </c>
      <c r="B84" s="2976">
        <v>1293</v>
      </c>
      <c r="C84" s="2977">
        <v>618</v>
      </c>
      <c r="D84" s="2978">
        <v>555</v>
      </c>
      <c r="E84" s="2977">
        <v>63</v>
      </c>
      <c r="F84" s="2989">
        <v>67</v>
      </c>
      <c r="G84" s="2980">
        <v>519</v>
      </c>
      <c r="H84" s="2977">
        <v>217</v>
      </c>
      <c r="I84" s="2978">
        <v>206</v>
      </c>
      <c r="J84" s="2977">
        <v>11</v>
      </c>
      <c r="K84" s="2978">
        <v>15</v>
      </c>
      <c r="L84" s="2981">
        <f t="shared" si="16"/>
        <v>1812</v>
      </c>
      <c r="M84" s="2982">
        <f t="shared" si="16"/>
        <v>835</v>
      </c>
      <c r="N84" s="2983">
        <f t="shared" si="16"/>
        <v>761</v>
      </c>
      <c r="O84" s="2982">
        <f t="shared" si="16"/>
        <v>74</v>
      </c>
      <c r="P84" s="2983">
        <f t="shared" si="16"/>
        <v>82</v>
      </c>
      <c r="Q84" s="2980">
        <v>27416</v>
      </c>
      <c r="R84" s="2977">
        <v>12478</v>
      </c>
      <c r="S84" s="2978">
        <v>11328</v>
      </c>
      <c r="T84" s="2977">
        <v>1149</v>
      </c>
      <c r="U84" s="2991">
        <v>1240</v>
      </c>
    </row>
    <row r="85" spans="1:21">
      <c r="A85" s="2988">
        <f t="shared" si="8"/>
        <v>2017.2</v>
      </c>
      <c r="B85" s="2980">
        <v>1296</v>
      </c>
      <c r="C85" s="2977">
        <v>625</v>
      </c>
      <c r="D85" s="2978">
        <v>557</v>
      </c>
      <c r="E85" s="2977">
        <v>68</v>
      </c>
      <c r="F85" s="2989">
        <v>69</v>
      </c>
      <c r="G85" s="2980">
        <v>520</v>
      </c>
      <c r="H85" s="2977">
        <v>218</v>
      </c>
      <c r="I85" s="2978">
        <v>207</v>
      </c>
      <c r="J85" s="2977">
        <v>11</v>
      </c>
      <c r="K85" s="2978">
        <v>14</v>
      </c>
      <c r="L85" s="2981">
        <f t="shared" si="16"/>
        <v>1816</v>
      </c>
      <c r="M85" s="2982">
        <f t="shared" si="16"/>
        <v>843</v>
      </c>
      <c r="N85" s="2983">
        <f t="shared" si="16"/>
        <v>764</v>
      </c>
      <c r="O85" s="2982">
        <f t="shared" si="16"/>
        <v>79</v>
      </c>
      <c r="P85" s="2983">
        <f t="shared" si="16"/>
        <v>83</v>
      </c>
      <c r="Q85" s="2980">
        <v>27486</v>
      </c>
      <c r="R85" s="2977">
        <v>12483</v>
      </c>
      <c r="S85" s="2978">
        <v>11395</v>
      </c>
      <c r="T85" s="2977">
        <v>1088</v>
      </c>
      <c r="U85" s="2991">
        <v>1371</v>
      </c>
    </row>
    <row r="86" spans="1:21">
      <c r="A86" s="2988">
        <f t="shared" si="8"/>
        <v>2017.3</v>
      </c>
      <c r="B86" s="2976">
        <v>1298</v>
      </c>
      <c r="C86" s="2977">
        <v>604</v>
      </c>
      <c r="D86" s="2978">
        <v>553</v>
      </c>
      <c r="E86" s="2977">
        <v>50</v>
      </c>
      <c r="F86" s="2989">
        <v>53</v>
      </c>
      <c r="G86" s="2980">
        <v>522</v>
      </c>
      <c r="H86" s="2977">
        <v>222</v>
      </c>
      <c r="I86" s="2978">
        <v>215</v>
      </c>
      <c r="J86" s="2977">
        <v>7</v>
      </c>
      <c r="K86" s="2978">
        <v>20</v>
      </c>
      <c r="L86" s="2981">
        <f t="shared" si="16"/>
        <v>1820</v>
      </c>
      <c r="M86" s="2982">
        <f t="shared" si="16"/>
        <v>826</v>
      </c>
      <c r="N86" s="2983">
        <f t="shared" si="16"/>
        <v>768</v>
      </c>
      <c r="O86" s="2982">
        <f t="shared" si="16"/>
        <v>57</v>
      </c>
      <c r="P86" s="2983">
        <f t="shared" si="16"/>
        <v>73</v>
      </c>
      <c r="Q86" s="2980">
        <v>27558</v>
      </c>
      <c r="R86" s="2977">
        <v>12752</v>
      </c>
      <c r="S86" s="2978">
        <v>11694</v>
      </c>
      <c r="T86" s="2977">
        <v>1058</v>
      </c>
      <c r="U86" s="2991">
        <v>1380</v>
      </c>
    </row>
    <row r="87" spans="1:21">
      <c r="A87" s="2988">
        <f t="shared" si="8"/>
        <v>2017.4</v>
      </c>
      <c r="B87" s="2976">
        <v>1300</v>
      </c>
      <c r="C87" s="2977">
        <v>602</v>
      </c>
      <c r="D87" s="2978">
        <v>557</v>
      </c>
      <c r="E87" s="2977">
        <v>46</v>
      </c>
      <c r="F87" s="2989">
        <v>58</v>
      </c>
      <c r="G87" s="2980">
        <v>523</v>
      </c>
      <c r="H87" s="2977">
        <v>220</v>
      </c>
      <c r="I87" s="2978">
        <v>212</v>
      </c>
      <c r="J87" s="2977">
        <v>7</v>
      </c>
      <c r="K87" s="2978">
        <v>22</v>
      </c>
      <c r="L87" s="2981">
        <f>B87+G87</f>
        <v>1823</v>
      </c>
      <c r="M87" s="2982">
        <f t="shared" si="16"/>
        <v>822</v>
      </c>
      <c r="N87" s="2983">
        <f t="shared" si="16"/>
        <v>769</v>
      </c>
      <c r="O87" s="2982">
        <f t="shared" si="16"/>
        <v>53</v>
      </c>
      <c r="P87" s="2983">
        <f t="shared" si="16"/>
        <v>80</v>
      </c>
      <c r="Q87" s="2980">
        <v>27629</v>
      </c>
      <c r="R87" s="2977">
        <v>12818</v>
      </c>
      <c r="S87" s="2978">
        <v>11892</v>
      </c>
      <c r="T87" s="2977">
        <v>926</v>
      </c>
      <c r="U87" s="2991">
        <v>1305</v>
      </c>
    </row>
    <row r="88" spans="1:21">
      <c r="A88" s="2988">
        <f t="shared" si="8"/>
        <v>2018.1</v>
      </c>
      <c r="B88" s="2976">
        <v>1302</v>
      </c>
      <c r="C88" s="2977">
        <v>634</v>
      </c>
      <c r="D88" s="2978">
        <v>576</v>
      </c>
      <c r="E88" s="2977">
        <v>58</v>
      </c>
      <c r="F88" s="2989">
        <v>57</v>
      </c>
      <c r="G88" s="2980">
        <v>524</v>
      </c>
      <c r="H88" s="2977">
        <v>227</v>
      </c>
      <c r="I88" s="2978">
        <v>212</v>
      </c>
      <c r="J88" s="2977">
        <v>15</v>
      </c>
      <c r="K88" s="2978">
        <v>19</v>
      </c>
      <c r="L88" s="2981">
        <f t="shared" si="16"/>
        <v>1826</v>
      </c>
      <c r="M88" s="2982">
        <f t="shared" si="16"/>
        <v>861</v>
      </c>
      <c r="N88" s="2983">
        <f t="shared" si="16"/>
        <v>788</v>
      </c>
      <c r="O88" s="2982">
        <f t="shared" si="16"/>
        <v>73</v>
      </c>
      <c r="P88" s="2983">
        <f t="shared" si="16"/>
        <v>76</v>
      </c>
      <c r="Q88" s="2980">
        <v>27700</v>
      </c>
      <c r="R88" s="2977">
        <v>12932</v>
      </c>
      <c r="S88" s="2978">
        <v>11749</v>
      </c>
      <c r="T88" s="2977">
        <v>1183</v>
      </c>
      <c r="U88" s="2991">
        <v>1266</v>
      </c>
    </row>
    <row r="89" spans="1:21">
      <c r="A89" s="2988">
        <f t="shared" si="8"/>
        <v>2018.2</v>
      </c>
      <c r="B89" s="2976">
        <v>1304</v>
      </c>
      <c r="C89" s="2977">
        <v>620</v>
      </c>
      <c r="D89" s="2978">
        <v>570</v>
      </c>
      <c r="E89" s="2977">
        <v>50</v>
      </c>
      <c r="F89" s="2989">
        <v>79</v>
      </c>
      <c r="G89" s="2980">
        <v>525</v>
      </c>
      <c r="H89" s="2977">
        <v>216</v>
      </c>
      <c r="I89" s="2978">
        <v>200</v>
      </c>
      <c r="J89" s="2977">
        <v>15</v>
      </c>
      <c r="K89" s="2978">
        <v>17</v>
      </c>
      <c r="L89" s="2981">
        <f t="shared" si="16"/>
        <v>1829</v>
      </c>
      <c r="M89" s="2982">
        <f t="shared" si="16"/>
        <v>836</v>
      </c>
      <c r="N89" s="2983">
        <f t="shared" si="16"/>
        <v>770</v>
      </c>
      <c r="O89" s="2982">
        <f t="shared" si="16"/>
        <v>65</v>
      </c>
      <c r="P89" s="2983">
        <f t="shared" si="16"/>
        <v>96</v>
      </c>
      <c r="Q89" s="2980">
        <v>27768</v>
      </c>
      <c r="R89" s="2977">
        <v>12881</v>
      </c>
      <c r="S89" s="2978">
        <v>11642</v>
      </c>
      <c r="T89" s="2977">
        <v>1239</v>
      </c>
      <c r="U89" s="2991">
        <v>1447</v>
      </c>
    </row>
    <row r="90" spans="1:21">
      <c r="A90" s="2988">
        <f t="shared" si="8"/>
        <v>2018.3</v>
      </c>
      <c r="B90" s="2976">
        <v>1306</v>
      </c>
      <c r="C90" s="2977">
        <v>620</v>
      </c>
      <c r="D90" s="2978">
        <v>571</v>
      </c>
      <c r="E90" s="2977">
        <v>49</v>
      </c>
      <c r="F90" s="2989">
        <v>53</v>
      </c>
      <c r="G90" s="2980">
        <v>526</v>
      </c>
      <c r="H90" s="2977">
        <v>214</v>
      </c>
      <c r="I90" s="2978">
        <v>206</v>
      </c>
      <c r="J90" s="2977">
        <v>8</v>
      </c>
      <c r="K90" s="2978">
        <v>15</v>
      </c>
      <c r="L90" s="2981">
        <f t="shared" si="16"/>
        <v>1832</v>
      </c>
      <c r="M90" s="2982">
        <f t="shared" si="16"/>
        <v>834</v>
      </c>
      <c r="N90" s="2983">
        <f t="shared" si="16"/>
        <v>777</v>
      </c>
      <c r="O90" s="2982">
        <f t="shared" si="16"/>
        <v>57</v>
      </c>
      <c r="P90" s="2983">
        <f t="shared" si="16"/>
        <v>68</v>
      </c>
      <c r="Q90" s="2980">
        <v>27842</v>
      </c>
      <c r="R90" s="2977">
        <v>12990</v>
      </c>
      <c r="S90" s="2978">
        <v>11822</v>
      </c>
      <c r="T90" s="2977">
        <v>1168</v>
      </c>
      <c r="U90" s="2991">
        <v>1537</v>
      </c>
    </row>
    <row r="91" spans="1:21">
      <c r="A91" s="2988">
        <f t="shared" si="8"/>
        <v>2018.4</v>
      </c>
      <c r="B91" s="2976">
        <v>1308</v>
      </c>
      <c r="C91" s="2977">
        <v>610</v>
      </c>
      <c r="D91" s="2978">
        <v>532</v>
      </c>
      <c r="E91" s="2977">
        <v>78</v>
      </c>
      <c r="F91" s="2989">
        <v>78</v>
      </c>
      <c r="G91" s="2980">
        <v>527</v>
      </c>
      <c r="H91" s="2977">
        <v>222</v>
      </c>
      <c r="I91" s="2978">
        <v>216</v>
      </c>
      <c r="J91" s="2977">
        <v>7</v>
      </c>
      <c r="K91" s="2978">
        <v>15</v>
      </c>
      <c r="L91" s="2981">
        <f t="shared" si="16"/>
        <v>1835</v>
      </c>
      <c r="M91" s="2982">
        <f t="shared" si="16"/>
        <v>832</v>
      </c>
      <c r="N91" s="2983">
        <f t="shared" si="16"/>
        <v>748</v>
      </c>
      <c r="O91" s="2982">
        <f t="shared" si="16"/>
        <v>85</v>
      </c>
      <c r="P91" s="2983">
        <f t="shared" si="16"/>
        <v>93</v>
      </c>
      <c r="Q91" s="2980">
        <v>27914</v>
      </c>
      <c r="R91" s="2977">
        <v>12979</v>
      </c>
      <c r="S91" s="2978">
        <v>11793</v>
      </c>
      <c r="T91" s="2977">
        <v>1185</v>
      </c>
      <c r="U91" s="2991">
        <v>1557</v>
      </c>
    </row>
    <row r="92" spans="1:21">
      <c r="A92" s="2988">
        <f t="shared" si="8"/>
        <v>2019.1</v>
      </c>
      <c r="B92" s="2976">
        <v>1310</v>
      </c>
      <c r="C92" s="2977">
        <v>620</v>
      </c>
      <c r="D92" s="2978">
        <v>547</v>
      </c>
      <c r="E92" s="2977">
        <v>73</v>
      </c>
      <c r="F92" s="2989">
        <v>73</v>
      </c>
      <c r="G92" s="2980">
        <v>528</v>
      </c>
      <c r="H92" s="2977">
        <v>217</v>
      </c>
      <c r="I92" s="2978">
        <v>205</v>
      </c>
      <c r="J92" s="2977">
        <v>12</v>
      </c>
      <c r="K92" s="2978">
        <v>13</v>
      </c>
      <c r="L92" s="2981">
        <f t="shared" si="16"/>
        <v>1838</v>
      </c>
      <c r="M92" s="2982">
        <f t="shared" si="16"/>
        <v>837</v>
      </c>
      <c r="N92" s="2983">
        <f t="shared" si="16"/>
        <v>752</v>
      </c>
      <c r="O92" s="2982">
        <f t="shared" si="16"/>
        <v>85</v>
      </c>
      <c r="P92" s="2983">
        <f t="shared" si="16"/>
        <v>86</v>
      </c>
      <c r="Q92" s="2980">
        <v>28261</v>
      </c>
      <c r="R92" s="2977">
        <v>13285</v>
      </c>
      <c r="S92" s="2978">
        <v>11947</v>
      </c>
      <c r="T92" s="2977">
        <v>1338</v>
      </c>
      <c r="U92" s="2991">
        <v>1562</v>
      </c>
    </row>
    <row r="93" spans="1:21">
      <c r="A93" s="2988">
        <f t="shared" si="8"/>
        <v>2019.2</v>
      </c>
      <c r="B93" s="2976">
        <v>1312</v>
      </c>
      <c r="C93" s="2977">
        <v>625</v>
      </c>
      <c r="D93" s="2978">
        <v>559</v>
      </c>
      <c r="E93" s="2977">
        <v>66</v>
      </c>
      <c r="F93" s="2989">
        <v>65</v>
      </c>
      <c r="G93" s="2980">
        <v>529</v>
      </c>
      <c r="H93" s="2977">
        <v>219</v>
      </c>
      <c r="I93" s="2978">
        <v>202</v>
      </c>
      <c r="J93" s="2977">
        <v>16</v>
      </c>
      <c r="K93" s="2978">
        <v>16</v>
      </c>
      <c r="L93" s="2981">
        <f>B93+G93</f>
        <v>1841</v>
      </c>
      <c r="M93" s="2982">
        <f t="shared" si="16"/>
        <v>844</v>
      </c>
      <c r="N93" s="2983">
        <f t="shared" si="16"/>
        <v>761</v>
      </c>
      <c r="O93" s="2982">
        <f t="shared" si="16"/>
        <v>82</v>
      </c>
      <c r="P93" s="2983">
        <f t="shared" si="16"/>
        <v>81</v>
      </c>
      <c r="Q93" s="2980">
        <v>28330</v>
      </c>
      <c r="R93" s="2977">
        <v>13511</v>
      </c>
      <c r="S93" s="2978">
        <v>12073</v>
      </c>
      <c r="T93" s="2977">
        <v>1438</v>
      </c>
      <c r="U93" s="2991">
        <v>1775</v>
      </c>
    </row>
    <row r="94" spans="1:21">
      <c r="A94" s="2988">
        <f t="shared" si="8"/>
        <v>2019.3</v>
      </c>
      <c r="B94" s="2976">
        <v>1315</v>
      </c>
      <c r="C94" s="2977">
        <v>608</v>
      </c>
      <c r="D94" s="2978">
        <v>555</v>
      </c>
      <c r="E94" s="2977">
        <v>53</v>
      </c>
      <c r="F94" s="2989">
        <v>64</v>
      </c>
      <c r="G94" s="2980">
        <v>531</v>
      </c>
      <c r="H94" s="2977">
        <v>224</v>
      </c>
      <c r="I94" s="2978">
        <v>213</v>
      </c>
      <c r="J94" s="2977">
        <v>11</v>
      </c>
      <c r="K94" s="2978">
        <v>17</v>
      </c>
      <c r="L94" s="2981">
        <f t="shared" si="16"/>
        <v>1846</v>
      </c>
      <c r="M94" s="2982">
        <f t="shared" si="16"/>
        <v>832</v>
      </c>
      <c r="N94" s="2983">
        <f t="shared" si="16"/>
        <v>768</v>
      </c>
      <c r="O94" s="2982">
        <f t="shared" si="16"/>
        <v>64</v>
      </c>
      <c r="P94" s="2983">
        <f t="shared" si="16"/>
        <v>81</v>
      </c>
      <c r="Q94" s="2980">
        <v>27989</v>
      </c>
      <c r="R94" s="2977">
        <v>13221</v>
      </c>
      <c r="S94" s="2978">
        <v>11934</v>
      </c>
      <c r="T94" s="2977">
        <v>1287</v>
      </c>
      <c r="U94" s="2991">
        <v>1688</v>
      </c>
    </row>
    <row r="95" spans="1:21">
      <c r="A95" s="2988">
        <f t="shared" si="8"/>
        <v>2019.4</v>
      </c>
      <c r="B95" s="2976">
        <v>1317</v>
      </c>
      <c r="C95" s="2977">
        <v>608</v>
      </c>
      <c r="D95" s="2978">
        <v>556</v>
      </c>
      <c r="E95" s="2977">
        <v>53</v>
      </c>
      <c r="F95" s="2989">
        <v>68</v>
      </c>
      <c r="G95" s="2980">
        <v>532</v>
      </c>
      <c r="H95" s="2977">
        <v>232</v>
      </c>
      <c r="I95" s="2978">
        <v>220</v>
      </c>
      <c r="J95" s="2977">
        <v>13</v>
      </c>
      <c r="K95" s="2978">
        <v>17</v>
      </c>
      <c r="L95" s="2981">
        <f t="shared" si="16"/>
        <v>1849</v>
      </c>
      <c r="M95" s="2982">
        <f t="shared" si="16"/>
        <v>840</v>
      </c>
      <c r="N95" s="2983">
        <f t="shared" si="16"/>
        <v>776</v>
      </c>
      <c r="O95" s="2982">
        <f t="shared" si="16"/>
        <v>66</v>
      </c>
      <c r="P95" s="2983">
        <f t="shared" si="16"/>
        <v>85</v>
      </c>
      <c r="Q95" s="2980">
        <v>28468.718000000001</v>
      </c>
      <c r="R95" s="2977">
        <v>13435.703</v>
      </c>
      <c r="S95" s="2978">
        <v>12240</v>
      </c>
      <c r="T95" s="2977">
        <v>1196</v>
      </c>
      <c r="U95" s="2991">
        <v>1754</v>
      </c>
    </row>
    <row r="96" spans="1:21">
      <c r="A96" s="2988">
        <f t="shared" si="8"/>
        <v>2020.1</v>
      </c>
      <c r="B96" s="2976">
        <v>1319</v>
      </c>
      <c r="C96" s="2977">
        <v>635</v>
      </c>
      <c r="D96" s="2978">
        <v>553</v>
      </c>
      <c r="E96" s="2977">
        <v>82</v>
      </c>
      <c r="F96" s="2989">
        <v>82</v>
      </c>
      <c r="G96" s="2980">
        <v>533</v>
      </c>
      <c r="H96" s="2977">
        <v>228</v>
      </c>
      <c r="I96" s="2978">
        <v>214</v>
      </c>
      <c r="J96" s="2977">
        <v>14</v>
      </c>
      <c r="K96" s="2978">
        <v>25</v>
      </c>
      <c r="L96" s="2981">
        <f t="shared" si="16"/>
        <v>1852</v>
      </c>
      <c r="M96" s="2982">
        <f t="shared" si="16"/>
        <v>863</v>
      </c>
      <c r="N96" s="2983">
        <f t="shared" si="16"/>
        <v>767</v>
      </c>
      <c r="O96" s="2982">
        <f t="shared" si="16"/>
        <v>96</v>
      </c>
      <c r="P96" s="2983">
        <f t="shared" si="16"/>
        <v>107</v>
      </c>
      <c r="Q96" s="2980">
        <v>28537</v>
      </c>
      <c r="R96" s="2977">
        <v>13439</v>
      </c>
      <c r="S96" s="2978">
        <v>12045</v>
      </c>
      <c r="T96" s="2977">
        <v>1394</v>
      </c>
      <c r="U96" s="2991">
        <v>1569</v>
      </c>
    </row>
    <row r="97" spans="1:21">
      <c r="A97" s="2988">
        <f t="shared" si="8"/>
        <v>2020.2</v>
      </c>
      <c r="B97" s="2976">
        <v>1321</v>
      </c>
      <c r="C97" s="2977">
        <v>569</v>
      </c>
      <c r="D97" s="2978">
        <v>467</v>
      </c>
      <c r="E97" s="2977">
        <v>102</v>
      </c>
      <c r="F97" s="2989">
        <v>49</v>
      </c>
      <c r="G97" s="2980">
        <v>534</v>
      </c>
      <c r="H97" s="2977">
        <v>204</v>
      </c>
      <c r="I97" s="2978">
        <v>163</v>
      </c>
      <c r="J97" s="2977">
        <v>41</v>
      </c>
      <c r="K97" s="2978">
        <v>13</v>
      </c>
      <c r="L97" s="2981">
        <f t="shared" si="16"/>
        <v>1855</v>
      </c>
      <c r="M97" s="2982">
        <f t="shared" si="16"/>
        <v>773</v>
      </c>
      <c r="N97" s="2983">
        <f t="shared" si="16"/>
        <v>630</v>
      </c>
      <c r="O97" s="2982">
        <f t="shared" si="16"/>
        <v>143</v>
      </c>
      <c r="P97" s="2983">
        <f t="shared" si="16"/>
        <v>62</v>
      </c>
      <c r="Q97" s="2980">
        <v>28605</v>
      </c>
      <c r="R97" s="2977">
        <v>10983</v>
      </c>
      <c r="S97" s="2978">
        <v>9546</v>
      </c>
      <c r="T97" s="2977">
        <v>1437</v>
      </c>
      <c r="U97" s="2991">
        <v>1054</v>
      </c>
    </row>
    <row r="98" spans="1:21">
      <c r="A98" s="2988">
        <f t="shared" si="8"/>
        <v>2020.3</v>
      </c>
      <c r="B98" s="2976">
        <v>1322.71</v>
      </c>
      <c r="C98" s="2977">
        <v>615.36099999999999</v>
      </c>
      <c r="D98" s="2978">
        <v>546.97299999999996</v>
      </c>
      <c r="E98" s="2977">
        <v>68.388000000000005</v>
      </c>
      <c r="F98" s="2989">
        <v>76.289000000000001</v>
      </c>
      <c r="G98" s="2980">
        <v>534.64800000000002</v>
      </c>
      <c r="H98" s="2977">
        <v>234.45099999999999</v>
      </c>
      <c r="I98" s="2978">
        <v>212.15899999999999</v>
      </c>
      <c r="J98" s="2977">
        <v>22.292000000000002</v>
      </c>
      <c r="K98" s="2978">
        <v>31.478999999999999</v>
      </c>
      <c r="L98" s="2981">
        <f t="shared" si="16"/>
        <v>1857.3580000000002</v>
      </c>
      <c r="M98" s="2982">
        <f t="shared" si="16"/>
        <v>849.81200000000001</v>
      </c>
      <c r="N98" s="2983">
        <f t="shared" si="16"/>
        <v>759.13199999999995</v>
      </c>
      <c r="O98" s="2982">
        <f t="shared" si="16"/>
        <v>90.68</v>
      </c>
      <c r="P98" s="2983">
        <f t="shared" si="16"/>
        <v>107.768</v>
      </c>
      <c r="Q98" s="2980">
        <v>28506.488000000001</v>
      </c>
      <c r="R98" s="2977">
        <v>12072.483</v>
      </c>
      <c r="S98" s="2978">
        <v>10657.849</v>
      </c>
      <c r="T98" s="2977">
        <v>1414.634</v>
      </c>
      <c r="U98" s="2991">
        <v>1620.3009999999999</v>
      </c>
    </row>
    <row r="99" spans="1:21">
      <c r="A99" s="2988">
        <f t="shared" si="8"/>
        <v>2020.4</v>
      </c>
      <c r="B99" s="2976">
        <v>1324.86</v>
      </c>
      <c r="C99" s="2977">
        <v>618.61400000000003</v>
      </c>
      <c r="D99" s="2978">
        <v>534.41</v>
      </c>
      <c r="E99" s="2977">
        <v>84.203999999999994</v>
      </c>
      <c r="F99" s="2989">
        <v>75.762</v>
      </c>
      <c r="G99" s="2980">
        <v>535.79499999999996</v>
      </c>
      <c r="H99" s="2977">
        <v>240.52600000000001</v>
      </c>
      <c r="I99" s="2978">
        <v>221.74199999999999</v>
      </c>
      <c r="J99" s="2977">
        <v>18.783999999999999</v>
      </c>
      <c r="K99" s="2978">
        <v>28.882999999999999</v>
      </c>
      <c r="L99" s="2981">
        <f t="shared" si="16"/>
        <v>1860.6549999999997</v>
      </c>
      <c r="M99" s="2982">
        <f t="shared" si="16"/>
        <v>859.1400000000001</v>
      </c>
      <c r="N99" s="2983">
        <f t="shared" si="16"/>
        <v>756.15199999999993</v>
      </c>
      <c r="O99" s="2982">
        <f t="shared" si="16"/>
        <v>102.988</v>
      </c>
      <c r="P99" s="2983">
        <f t="shared" si="16"/>
        <v>104.645</v>
      </c>
      <c r="Q99" s="2980">
        <v>28739.664000000001</v>
      </c>
      <c r="R99" s="2977">
        <v>12941.803</v>
      </c>
      <c r="S99" s="2978">
        <v>11523.648999999999</v>
      </c>
      <c r="T99" s="2977">
        <v>1418.154</v>
      </c>
      <c r="U99" s="2991">
        <v>1954.5039999999999</v>
      </c>
    </row>
    <row r="100" spans="1:21">
      <c r="A100" s="2988">
        <f t="shared" si="8"/>
        <v>2021.1</v>
      </c>
      <c r="B100" s="2976">
        <v>1327</v>
      </c>
      <c r="C100" s="2977">
        <v>655</v>
      </c>
      <c r="D100" s="2978">
        <v>583</v>
      </c>
      <c r="E100" s="2977">
        <v>71</v>
      </c>
      <c r="F100" s="2989">
        <v>62</v>
      </c>
      <c r="G100" s="2980">
        <v>537</v>
      </c>
      <c r="H100" s="2977">
        <v>248</v>
      </c>
      <c r="I100" s="2978">
        <v>226</v>
      </c>
      <c r="J100" s="2977">
        <v>22</v>
      </c>
      <c r="K100" s="2978">
        <v>28</v>
      </c>
      <c r="L100" s="2981">
        <f t="shared" ref="L100:P119" si="17">B100+G100</f>
        <v>1864</v>
      </c>
      <c r="M100" s="2982">
        <f t="shared" si="17"/>
        <v>903</v>
      </c>
      <c r="N100" s="2983">
        <f t="shared" si="17"/>
        <v>809</v>
      </c>
      <c r="O100" s="2982">
        <f t="shared" si="17"/>
        <v>93</v>
      </c>
      <c r="P100" s="2983">
        <f t="shared" si="17"/>
        <v>90</v>
      </c>
      <c r="Q100" s="2980">
        <v>28807</v>
      </c>
      <c r="R100" s="2977">
        <v>13337</v>
      </c>
      <c r="S100" s="2978">
        <v>11982</v>
      </c>
      <c r="T100" s="2977">
        <v>1355</v>
      </c>
      <c r="U100" s="2991">
        <v>1592</v>
      </c>
    </row>
    <row r="101" spans="1:21">
      <c r="A101" s="2988">
        <f t="shared" si="8"/>
        <v>2021.2</v>
      </c>
      <c r="B101" s="2976">
        <v>1329</v>
      </c>
      <c r="C101" s="2977">
        <v>663</v>
      </c>
      <c r="D101" s="2978">
        <v>585</v>
      </c>
      <c r="E101" s="2977">
        <v>78</v>
      </c>
      <c r="F101" s="2989">
        <v>68</v>
      </c>
      <c r="G101" s="2980">
        <v>538</v>
      </c>
      <c r="H101" s="2977">
        <v>247</v>
      </c>
      <c r="I101" s="2978">
        <v>225</v>
      </c>
      <c r="J101" s="2977">
        <v>22</v>
      </c>
      <c r="K101" s="2978">
        <v>36</v>
      </c>
      <c r="L101" s="2981">
        <f t="shared" si="17"/>
        <v>1867</v>
      </c>
      <c r="M101" s="2982">
        <f t="shared" si="17"/>
        <v>910</v>
      </c>
      <c r="N101" s="2983">
        <f t="shared" si="17"/>
        <v>810</v>
      </c>
      <c r="O101" s="2982">
        <f t="shared" si="17"/>
        <v>100</v>
      </c>
      <c r="P101" s="2983">
        <f t="shared" si="17"/>
        <v>104</v>
      </c>
      <c r="Q101" s="2980">
        <v>28872</v>
      </c>
      <c r="R101" s="2977">
        <v>13254</v>
      </c>
      <c r="S101" s="2978">
        <v>11981</v>
      </c>
      <c r="T101" s="2977">
        <v>1273</v>
      </c>
      <c r="U101" s="2991">
        <v>1645</v>
      </c>
    </row>
    <row r="102" spans="1:21">
      <c r="A102" s="2988">
        <f t="shared" si="8"/>
        <v>2021.3</v>
      </c>
      <c r="B102" s="2976">
        <v>1331</v>
      </c>
      <c r="C102" s="2977">
        <v>664</v>
      </c>
      <c r="D102" s="2978">
        <v>612</v>
      </c>
      <c r="E102" s="2977">
        <v>52</v>
      </c>
      <c r="F102" s="2989">
        <v>69</v>
      </c>
      <c r="G102" s="2980">
        <v>539</v>
      </c>
      <c r="H102" s="2977">
        <v>253</v>
      </c>
      <c r="I102" s="2978">
        <v>232</v>
      </c>
      <c r="J102" s="2977">
        <v>22</v>
      </c>
      <c r="K102" s="2978">
        <v>35</v>
      </c>
      <c r="L102" s="2981">
        <f t="shared" si="17"/>
        <v>1870</v>
      </c>
      <c r="M102" s="2982">
        <f t="shared" si="17"/>
        <v>917</v>
      </c>
      <c r="N102" s="2983">
        <f t="shared" si="17"/>
        <v>844</v>
      </c>
      <c r="O102" s="2982">
        <f t="shared" si="17"/>
        <v>74</v>
      </c>
      <c r="P102" s="2983">
        <f t="shared" si="17"/>
        <v>104</v>
      </c>
      <c r="Q102" s="2980">
        <v>28506</v>
      </c>
      <c r="R102" s="2977">
        <v>12072</v>
      </c>
      <c r="S102" s="2978">
        <v>10658</v>
      </c>
      <c r="T102" s="2977">
        <v>1415</v>
      </c>
      <c r="U102" s="2991">
        <v>1620</v>
      </c>
    </row>
    <row r="103" spans="1:21">
      <c r="A103" s="2988">
        <f t="shared" si="8"/>
        <v>2021.4</v>
      </c>
      <c r="B103" s="2976">
        <v>1333</v>
      </c>
      <c r="C103" s="2977">
        <v>660</v>
      </c>
      <c r="D103" s="2978">
        <v>614</v>
      </c>
      <c r="E103" s="2977">
        <v>46</v>
      </c>
      <c r="F103" s="2989">
        <v>79</v>
      </c>
      <c r="G103" s="2980">
        <v>540</v>
      </c>
      <c r="H103" s="2977">
        <v>245</v>
      </c>
      <c r="I103" s="2978">
        <v>230</v>
      </c>
      <c r="J103" s="2977">
        <v>15</v>
      </c>
      <c r="K103" s="2978">
        <v>28</v>
      </c>
      <c r="L103" s="2981">
        <f t="shared" si="17"/>
        <v>1873</v>
      </c>
      <c r="M103" s="2982">
        <f t="shared" si="17"/>
        <v>905</v>
      </c>
      <c r="N103" s="2983">
        <f t="shared" si="17"/>
        <v>844</v>
      </c>
      <c r="O103" s="2982">
        <f t="shared" si="17"/>
        <v>61</v>
      </c>
      <c r="P103" s="2983">
        <f t="shared" si="17"/>
        <v>107</v>
      </c>
      <c r="Q103" s="2980">
        <v>29006.367999999999</v>
      </c>
      <c r="R103" s="2977">
        <v>13590.421</v>
      </c>
      <c r="S103" s="2978">
        <v>12643.582</v>
      </c>
      <c r="T103" s="2977">
        <v>946.83900000000006</v>
      </c>
      <c r="U103" s="2991">
        <v>1647.0450000000001</v>
      </c>
    </row>
    <row r="104" spans="1:21">
      <c r="A104" s="2988">
        <f t="shared" si="8"/>
        <v>2022.1</v>
      </c>
      <c r="B104" s="2976">
        <v>1335</v>
      </c>
      <c r="C104" s="2977">
        <v>674</v>
      </c>
      <c r="D104" s="2978">
        <v>620</v>
      </c>
      <c r="E104" s="2977">
        <v>54</v>
      </c>
      <c r="F104" s="2989">
        <v>61</v>
      </c>
      <c r="G104" s="2980">
        <v>541</v>
      </c>
      <c r="H104" s="2977">
        <v>248</v>
      </c>
      <c r="I104" s="2978">
        <v>230</v>
      </c>
      <c r="J104" s="2977">
        <v>18</v>
      </c>
      <c r="K104" s="2978">
        <v>21</v>
      </c>
      <c r="L104" s="2981">
        <f t="shared" si="17"/>
        <v>1876</v>
      </c>
      <c r="M104" s="2982">
        <f t="shared" si="17"/>
        <v>922</v>
      </c>
      <c r="N104" s="2983">
        <f t="shared" si="17"/>
        <v>850</v>
      </c>
      <c r="O104" s="2982">
        <f t="shared" si="17"/>
        <v>72</v>
      </c>
      <c r="P104" s="2983">
        <f t="shared" si="17"/>
        <v>82</v>
      </c>
      <c r="Q104" s="2980">
        <v>29073</v>
      </c>
      <c r="R104" s="2977">
        <v>13527</v>
      </c>
      <c r="S104" s="2978">
        <v>12584</v>
      </c>
      <c r="T104" s="2977">
        <v>943</v>
      </c>
      <c r="U104" s="2991">
        <v>1355</v>
      </c>
    </row>
    <row r="105" spans="1:21">
      <c r="A105" s="2988">
        <f t="shared" si="8"/>
        <v>2022.2</v>
      </c>
      <c r="B105" s="2976">
        <v>1337</v>
      </c>
      <c r="C105" s="2977">
        <v>677</v>
      </c>
      <c r="D105" s="2978">
        <v>648</v>
      </c>
      <c r="E105" s="2977">
        <v>29</v>
      </c>
      <c r="F105" s="2989">
        <v>58</v>
      </c>
      <c r="G105" s="2980">
        <v>542</v>
      </c>
      <c r="H105" s="2977">
        <v>259</v>
      </c>
      <c r="I105" s="2978">
        <v>240</v>
      </c>
      <c r="J105" s="2977">
        <v>19</v>
      </c>
      <c r="K105" s="2978">
        <v>37</v>
      </c>
      <c r="L105" s="2981">
        <f t="shared" si="17"/>
        <v>1879</v>
      </c>
      <c r="M105" s="2982">
        <f t="shared" si="17"/>
        <v>936</v>
      </c>
      <c r="N105" s="2983">
        <f t="shared" si="17"/>
        <v>888</v>
      </c>
      <c r="O105" s="2982">
        <f t="shared" si="17"/>
        <v>48</v>
      </c>
      <c r="P105" s="2983">
        <f t="shared" si="17"/>
        <v>95</v>
      </c>
      <c r="Q105" s="2980">
        <v>29137</v>
      </c>
      <c r="R105" s="2977">
        <v>13950</v>
      </c>
      <c r="S105" s="2978">
        <v>12993</v>
      </c>
      <c r="T105" s="2977">
        <v>957</v>
      </c>
      <c r="U105" s="2991">
        <v>1552</v>
      </c>
    </row>
    <row r="106" spans="1:21">
      <c r="A106" s="2988">
        <f t="shared" si="8"/>
        <v>2022.3</v>
      </c>
      <c r="B106" s="2976">
        <v>1339</v>
      </c>
      <c r="C106" s="2977">
        <v>679</v>
      </c>
      <c r="D106" s="2978">
        <v>638</v>
      </c>
      <c r="E106" s="2977">
        <v>41</v>
      </c>
      <c r="F106" s="2989">
        <v>55</v>
      </c>
      <c r="G106" s="2980">
        <v>543</v>
      </c>
      <c r="H106" s="2977">
        <v>254</v>
      </c>
      <c r="I106" s="2978">
        <v>232</v>
      </c>
      <c r="J106" s="2977">
        <v>22</v>
      </c>
      <c r="K106" s="2978">
        <v>26</v>
      </c>
      <c r="L106" s="2981">
        <f t="shared" si="17"/>
        <v>1882</v>
      </c>
      <c r="M106" s="2982">
        <f t="shared" si="17"/>
        <v>933</v>
      </c>
      <c r="N106" s="2983">
        <f t="shared" si="17"/>
        <v>870</v>
      </c>
      <c r="O106" s="2982">
        <f t="shared" si="17"/>
        <v>63</v>
      </c>
      <c r="P106" s="2983">
        <f t="shared" si="17"/>
        <v>81</v>
      </c>
      <c r="Q106" s="2980">
        <v>29204</v>
      </c>
      <c r="R106" s="2977">
        <v>13911</v>
      </c>
      <c r="S106" s="2978">
        <v>12922</v>
      </c>
      <c r="T106" s="2977">
        <v>989</v>
      </c>
      <c r="U106" s="2991">
        <v>1535</v>
      </c>
    </row>
    <row r="107" spans="1:21">
      <c r="A107" s="2988">
        <f t="shared" si="8"/>
        <v>2022.4</v>
      </c>
      <c r="B107" s="2976">
        <v>1340.825</v>
      </c>
      <c r="C107" s="2977">
        <v>661.68200000000002</v>
      </c>
      <c r="D107" s="2978">
        <v>619.79200000000003</v>
      </c>
      <c r="E107" s="2977">
        <v>41.89</v>
      </c>
      <c r="F107" s="2989">
        <v>50.115000000000002</v>
      </c>
      <c r="G107" s="2980">
        <v>544.13699999999994</v>
      </c>
      <c r="H107" s="2977">
        <v>251.99600000000001</v>
      </c>
      <c r="I107" s="2978">
        <v>234.67</v>
      </c>
      <c r="J107" s="2977">
        <v>17.326000000000001</v>
      </c>
      <c r="K107" s="2978">
        <v>28.654</v>
      </c>
      <c r="L107" s="2981">
        <f t="shared" si="17"/>
        <v>1884.962</v>
      </c>
      <c r="M107" s="2982">
        <f t="shared" si="17"/>
        <v>913.678</v>
      </c>
      <c r="N107" s="2983">
        <f t="shared" si="17"/>
        <v>854.46199999999999</v>
      </c>
      <c r="O107" s="2982">
        <f t="shared" si="17"/>
        <v>59.216000000000001</v>
      </c>
      <c r="P107" s="2983">
        <f t="shared" si="17"/>
        <v>78.769000000000005</v>
      </c>
      <c r="Q107" s="2980">
        <v>29269.321</v>
      </c>
      <c r="R107" s="2977">
        <v>13936.57</v>
      </c>
      <c r="S107" s="2978">
        <v>13061.102000000001</v>
      </c>
      <c r="T107" s="2977">
        <v>875.46799999999996</v>
      </c>
      <c r="U107" s="2991">
        <v>1517.2180000000001</v>
      </c>
    </row>
    <row r="108" spans="1:21">
      <c r="A108" s="2988">
        <f t="shared" si="8"/>
        <v>2023.1</v>
      </c>
      <c r="B108" s="2976">
        <v>1342.816</v>
      </c>
      <c r="C108" s="2977">
        <v>684.84199999999998</v>
      </c>
      <c r="D108" s="2978">
        <v>630.62400000000002</v>
      </c>
      <c r="E108" s="2977">
        <v>54.218000000000004</v>
      </c>
      <c r="F108" s="2989">
        <v>51.322000000000003</v>
      </c>
      <c r="G108" s="2980">
        <v>545.149</v>
      </c>
      <c r="H108" s="2977">
        <v>244.71799999999999</v>
      </c>
      <c r="I108" s="2978">
        <v>226.84299999999999</v>
      </c>
      <c r="J108" s="2977">
        <v>17.875</v>
      </c>
      <c r="K108" s="2978">
        <v>28.241</v>
      </c>
      <c r="L108" s="2981">
        <f t="shared" si="17"/>
        <v>1887.9650000000001</v>
      </c>
      <c r="M108" s="2982">
        <f t="shared" si="17"/>
        <v>929.56</v>
      </c>
      <c r="N108" s="2983">
        <f t="shared" si="17"/>
        <v>857.46699999999998</v>
      </c>
      <c r="O108" s="2982">
        <f t="shared" si="17"/>
        <v>72.093000000000004</v>
      </c>
      <c r="P108" s="2983">
        <f t="shared" si="17"/>
        <v>79.563000000000002</v>
      </c>
      <c r="Q108" s="2980">
        <v>29335.154999999999</v>
      </c>
      <c r="R108" s="2977">
        <v>14165.147999999999</v>
      </c>
      <c r="S108" s="2978">
        <v>13191.361000000001</v>
      </c>
      <c r="T108" s="2977">
        <v>973.78700000000003</v>
      </c>
      <c r="U108" s="2991">
        <v>1332.4580000000001</v>
      </c>
    </row>
    <row r="109" spans="1:21">
      <c r="A109" s="2988">
        <f t="shared" si="8"/>
        <v>2023.2</v>
      </c>
      <c r="B109" s="2976">
        <v>1345</v>
      </c>
      <c r="C109" s="2977">
        <v>675</v>
      </c>
      <c r="D109" s="2978">
        <v>639</v>
      </c>
      <c r="E109" s="2977">
        <v>36</v>
      </c>
      <c r="F109" s="2989">
        <v>42</v>
      </c>
      <c r="G109" s="2980">
        <v>546</v>
      </c>
      <c r="H109" s="2977">
        <v>255</v>
      </c>
      <c r="I109" s="2978">
        <v>234</v>
      </c>
      <c r="J109" s="2977">
        <v>21</v>
      </c>
      <c r="K109" s="2978">
        <v>25</v>
      </c>
      <c r="L109" s="2981">
        <f t="shared" si="17"/>
        <v>1891</v>
      </c>
      <c r="M109" s="2982">
        <f t="shared" si="17"/>
        <v>930</v>
      </c>
      <c r="N109" s="2983">
        <f t="shared" si="17"/>
        <v>873</v>
      </c>
      <c r="O109" s="2982">
        <f t="shared" si="17"/>
        <v>57</v>
      </c>
      <c r="P109" s="2983">
        <f t="shared" si="17"/>
        <v>67</v>
      </c>
      <c r="Q109" s="2980">
        <v>29399</v>
      </c>
      <c r="R109" s="2977">
        <v>13980</v>
      </c>
      <c r="S109" s="2978">
        <v>13108</v>
      </c>
      <c r="T109" s="2977">
        <v>872</v>
      </c>
      <c r="U109" s="2991">
        <v>1484</v>
      </c>
    </row>
    <row r="110" spans="1:21">
      <c r="A110" s="2988">
        <f t="shared" si="8"/>
        <v>2023.3</v>
      </c>
      <c r="B110" s="2976">
        <v>1346.673</v>
      </c>
      <c r="C110" s="2977">
        <v>658.81700000000001</v>
      </c>
      <c r="D110" s="2978">
        <v>624.17100000000005</v>
      </c>
      <c r="E110" s="2977">
        <v>34.646000000000001</v>
      </c>
      <c r="F110" s="2989">
        <v>39.923999999999999</v>
      </c>
      <c r="G110" s="2980">
        <v>547.17100000000005</v>
      </c>
      <c r="H110" s="2977">
        <v>247.85499999999999</v>
      </c>
      <c r="I110" s="2978">
        <v>239.76900000000001</v>
      </c>
      <c r="J110" s="2977">
        <v>8.0860000000000003</v>
      </c>
      <c r="K110" s="2978">
        <v>26.084</v>
      </c>
      <c r="L110" s="2981">
        <f t="shared" si="17"/>
        <v>1893.8440000000001</v>
      </c>
      <c r="M110" s="2982">
        <f t="shared" si="17"/>
        <v>906.67200000000003</v>
      </c>
      <c r="N110" s="2983">
        <f t="shared" si="17"/>
        <v>863.94</v>
      </c>
      <c r="O110" s="2982">
        <f t="shared" si="17"/>
        <v>42.731999999999999</v>
      </c>
      <c r="P110" s="2983">
        <f t="shared" si="17"/>
        <v>66.007999999999996</v>
      </c>
      <c r="Q110" s="2980">
        <v>29463.819</v>
      </c>
      <c r="R110" s="2977">
        <v>14209.862999999999</v>
      </c>
      <c r="S110" s="2978">
        <v>13396.201999999999</v>
      </c>
      <c r="T110" s="2977">
        <v>813.66099999999994</v>
      </c>
      <c r="U110" s="2991">
        <v>1466.731</v>
      </c>
    </row>
    <row r="111" spans="1:21">
      <c r="A111" s="2988">
        <f t="shared" si="8"/>
        <v>2023.4</v>
      </c>
      <c r="B111" s="2976">
        <v>1349</v>
      </c>
      <c r="C111" s="2977">
        <v>657</v>
      </c>
      <c r="D111" s="2978">
        <v>626</v>
      </c>
      <c r="E111" s="2977">
        <v>31</v>
      </c>
      <c r="F111" s="2989">
        <v>63</v>
      </c>
      <c r="G111" s="2980">
        <v>548</v>
      </c>
      <c r="H111" s="2977">
        <v>243</v>
      </c>
      <c r="I111" s="2978">
        <v>227</v>
      </c>
      <c r="J111" s="2977">
        <v>15</v>
      </c>
      <c r="K111" s="2978">
        <v>28</v>
      </c>
      <c r="L111" s="2981">
        <f t="shared" si="17"/>
        <v>1897</v>
      </c>
      <c r="M111" s="2982">
        <f t="shared" si="17"/>
        <v>900</v>
      </c>
      <c r="N111" s="2983">
        <f t="shared" si="17"/>
        <v>853</v>
      </c>
      <c r="O111" s="2982">
        <f t="shared" si="17"/>
        <v>46</v>
      </c>
      <c r="P111" s="2983">
        <f t="shared" si="17"/>
        <v>91</v>
      </c>
      <c r="Q111" s="2980">
        <v>29529</v>
      </c>
      <c r="R111" s="2977">
        <v>14340</v>
      </c>
      <c r="S111" s="2978">
        <v>13518</v>
      </c>
      <c r="T111" s="2977">
        <v>822</v>
      </c>
      <c r="U111" s="2991">
        <v>1502</v>
      </c>
    </row>
    <row r="112" spans="1:21">
      <c r="A112" s="2988">
        <f t="shared" ref="A112:A139" si="18">A108+1</f>
        <v>2024.1</v>
      </c>
      <c r="B112" s="2976" t="e">
        <v>#N/A</v>
      </c>
      <c r="C112" s="2977" t="e">
        <v>#N/A</v>
      </c>
      <c r="D112" s="2978" t="e">
        <v>#N/A</v>
      </c>
      <c r="E112" s="2977" t="e">
        <v>#N/A</v>
      </c>
      <c r="F112" s="2989" t="e">
        <v>#N/A</v>
      </c>
      <c r="G112" s="2980" t="e">
        <v>#N/A</v>
      </c>
      <c r="H112" s="2977" t="e">
        <v>#N/A</v>
      </c>
      <c r="I112" s="2978" t="e">
        <v>#N/A</v>
      </c>
      <c r="J112" s="2977" t="e">
        <v>#N/A</v>
      </c>
      <c r="K112" s="2978" t="e">
        <v>#N/A</v>
      </c>
      <c r="L112" s="2981" t="e">
        <f t="shared" si="17"/>
        <v>#N/A</v>
      </c>
      <c r="M112" s="2982" t="e">
        <f t="shared" si="17"/>
        <v>#N/A</v>
      </c>
      <c r="N112" s="2983" t="e">
        <f t="shared" si="17"/>
        <v>#N/A</v>
      </c>
      <c r="O112" s="2982" t="e">
        <f t="shared" si="17"/>
        <v>#N/A</v>
      </c>
      <c r="P112" s="2983" t="e">
        <f t="shared" si="17"/>
        <v>#N/A</v>
      </c>
      <c r="Q112" s="2980" t="e">
        <v>#N/A</v>
      </c>
      <c r="R112" s="2977" t="e">
        <v>#N/A</v>
      </c>
      <c r="S112" s="2978" t="e">
        <v>#N/A</v>
      </c>
      <c r="T112" s="2977" t="e">
        <v>#N/A</v>
      </c>
      <c r="U112" s="2991" t="e">
        <v>#N/A</v>
      </c>
    </row>
    <row r="113" spans="1:21">
      <c r="A113" s="2988">
        <f t="shared" si="18"/>
        <v>2024.2</v>
      </c>
      <c r="B113" s="2976" t="e">
        <v>#N/A</v>
      </c>
      <c r="C113" s="2977" t="e">
        <v>#N/A</v>
      </c>
      <c r="D113" s="2978" t="e">
        <v>#N/A</v>
      </c>
      <c r="E113" s="2977" t="e">
        <v>#N/A</v>
      </c>
      <c r="F113" s="2989" t="e">
        <v>#N/A</v>
      </c>
      <c r="G113" s="2980" t="e">
        <v>#N/A</v>
      </c>
      <c r="H113" s="2977" t="e">
        <v>#N/A</v>
      </c>
      <c r="I113" s="2978" t="e">
        <v>#N/A</v>
      </c>
      <c r="J113" s="2977" t="e">
        <v>#N/A</v>
      </c>
      <c r="K113" s="2978" t="e">
        <v>#N/A</v>
      </c>
      <c r="L113" s="2981" t="e">
        <f t="shared" si="17"/>
        <v>#N/A</v>
      </c>
      <c r="M113" s="2982" t="e">
        <f t="shared" si="17"/>
        <v>#N/A</v>
      </c>
      <c r="N113" s="2983" t="e">
        <f t="shared" si="17"/>
        <v>#N/A</v>
      </c>
      <c r="O113" s="2982" t="e">
        <f t="shared" si="17"/>
        <v>#N/A</v>
      </c>
      <c r="P113" s="2983" t="e">
        <f t="shared" si="17"/>
        <v>#N/A</v>
      </c>
      <c r="Q113" s="2980" t="e">
        <v>#N/A</v>
      </c>
      <c r="R113" s="2977" t="e">
        <v>#N/A</v>
      </c>
      <c r="S113" s="2978" t="e">
        <v>#N/A</v>
      </c>
      <c r="T113" s="2977" t="e">
        <v>#N/A</v>
      </c>
      <c r="U113" s="2991" t="e">
        <v>#N/A</v>
      </c>
    </row>
    <row r="114" spans="1:21">
      <c r="A114" s="2988">
        <f t="shared" si="18"/>
        <v>2024.3</v>
      </c>
      <c r="B114" s="2976" t="e">
        <v>#N/A</v>
      </c>
      <c r="C114" s="2977" t="e">
        <v>#N/A</v>
      </c>
      <c r="D114" s="2978" t="e">
        <v>#N/A</v>
      </c>
      <c r="E114" s="2977" t="e">
        <v>#N/A</v>
      </c>
      <c r="F114" s="2989" t="e">
        <v>#N/A</v>
      </c>
      <c r="G114" s="2980" t="e">
        <v>#N/A</v>
      </c>
      <c r="H114" s="2977" t="e">
        <v>#N/A</v>
      </c>
      <c r="I114" s="2978" t="e">
        <v>#N/A</v>
      </c>
      <c r="J114" s="2977" t="e">
        <v>#N/A</v>
      </c>
      <c r="K114" s="2978" t="e">
        <v>#N/A</v>
      </c>
      <c r="L114" s="2981" t="e">
        <f t="shared" si="17"/>
        <v>#N/A</v>
      </c>
      <c r="M114" s="2982" t="e">
        <f t="shared" si="17"/>
        <v>#N/A</v>
      </c>
      <c r="N114" s="2983" t="e">
        <f t="shared" si="17"/>
        <v>#N/A</v>
      </c>
      <c r="O114" s="2982" t="e">
        <f t="shared" si="17"/>
        <v>#N/A</v>
      </c>
      <c r="P114" s="2983" t="e">
        <f t="shared" si="17"/>
        <v>#N/A</v>
      </c>
      <c r="Q114" s="2980" t="e">
        <v>#N/A</v>
      </c>
      <c r="R114" s="2977" t="e">
        <v>#N/A</v>
      </c>
      <c r="S114" s="2978" t="e">
        <v>#N/A</v>
      </c>
      <c r="T114" s="2977" t="e">
        <v>#N/A</v>
      </c>
      <c r="U114" s="2991" t="e">
        <v>#N/A</v>
      </c>
    </row>
    <row r="115" spans="1:21">
      <c r="A115" s="2988">
        <f t="shared" si="18"/>
        <v>2024.4</v>
      </c>
      <c r="B115" s="2976" t="e">
        <v>#N/A</v>
      </c>
      <c r="C115" s="2977" t="e">
        <v>#N/A</v>
      </c>
      <c r="D115" s="2978" t="e">
        <v>#N/A</v>
      </c>
      <c r="E115" s="2977" t="e">
        <v>#N/A</v>
      </c>
      <c r="F115" s="2989" t="e">
        <v>#N/A</v>
      </c>
      <c r="G115" s="2980" t="e">
        <v>#N/A</v>
      </c>
      <c r="H115" s="2977" t="e">
        <v>#N/A</v>
      </c>
      <c r="I115" s="2978" t="e">
        <v>#N/A</v>
      </c>
      <c r="J115" s="2977" t="e">
        <v>#N/A</v>
      </c>
      <c r="K115" s="2978" t="e">
        <v>#N/A</v>
      </c>
      <c r="L115" s="2981" t="e">
        <f t="shared" si="17"/>
        <v>#N/A</v>
      </c>
      <c r="M115" s="2982" t="e">
        <f t="shared" si="17"/>
        <v>#N/A</v>
      </c>
      <c r="N115" s="2983" t="e">
        <f t="shared" si="17"/>
        <v>#N/A</v>
      </c>
      <c r="O115" s="2982" t="e">
        <f t="shared" si="17"/>
        <v>#N/A</v>
      </c>
      <c r="P115" s="2983" t="e">
        <f t="shared" si="17"/>
        <v>#N/A</v>
      </c>
      <c r="Q115" s="2980" t="e">
        <v>#N/A</v>
      </c>
      <c r="R115" s="2977" t="e">
        <v>#N/A</v>
      </c>
      <c r="S115" s="2978" t="e">
        <v>#N/A</v>
      </c>
      <c r="T115" s="2977" t="e">
        <v>#N/A</v>
      </c>
      <c r="U115" s="2991" t="e">
        <v>#N/A</v>
      </c>
    </row>
    <row r="116" spans="1:21">
      <c r="A116" s="2988">
        <f t="shared" si="18"/>
        <v>2025.1</v>
      </c>
      <c r="B116" s="2976" t="e">
        <v>#N/A</v>
      </c>
      <c r="C116" s="2977" t="e">
        <v>#N/A</v>
      </c>
      <c r="D116" s="2978" t="e">
        <v>#N/A</v>
      </c>
      <c r="E116" s="2977" t="e">
        <v>#N/A</v>
      </c>
      <c r="F116" s="2989" t="e">
        <v>#N/A</v>
      </c>
      <c r="G116" s="2980" t="e">
        <v>#N/A</v>
      </c>
      <c r="H116" s="2977" t="e">
        <v>#N/A</v>
      </c>
      <c r="I116" s="2978" t="e">
        <v>#N/A</v>
      </c>
      <c r="J116" s="2977" t="e">
        <v>#N/A</v>
      </c>
      <c r="K116" s="2978" t="e">
        <v>#N/A</v>
      </c>
      <c r="L116" s="2981" t="e">
        <f t="shared" si="17"/>
        <v>#N/A</v>
      </c>
      <c r="M116" s="2982" t="e">
        <f t="shared" si="17"/>
        <v>#N/A</v>
      </c>
      <c r="N116" s="2983" t="e">
        <f t="shared" si="17"/>
        <v>#N/A</v>
      </c>
      <c r="O116" s="2982" t="e">
        <f t="shared" si="17"/>
        <v>#N/A</v>
      </c>
      <c r="P116" s="2983" t="e">
        <f t="shared" si="17"/>
        <v>#N/A</v>
      </c>
      <c r="Q116" s="2980" t="e">
        <v>#N/A</v>
      </c>
      <c r="R116" s="2977" t="e">
        <v>#N/A</v>
      </c>
      <c r="S116" s="2978" t="e">
        <v>#N/A</v>
      </c>
      <c r="T116" s="2977" t="e">
        <v>#N/A</v>
      </c>
      <c r="U116" s="2991" t="e">
        <v>#N/A</v>
      </c>
    </row>
    <row r="117" spans="1:21">
      <c r="A117" s="2988">
        <f t="shared" si="18"/>
        <v>2025.2</v>
      </c>
      <c r="B117" s="2976" t="e">
        <v>#N/A</v>
      </c>
      <c r="C117" s="2977" t="e">
        <v>#N/A</v>
      </c>
      <c r="D117" s="2978" t="e">
        <v>#N/A</v>
      </c>
      <c r="E117" s="2977" t="e">
        <v>#N/A</v>
      </c>
      <c r="F117" s="2989" t="e">
        <v>#N/A</v>
      </c>
      <c r="G117" s="2980" t="e">
        <v>#N/A</v>
      </c>
      <c r="H117" s="2977" t="e">
        <v>#N/A</v>
      </c>
      <c r="I117" s="2978" t="e">
        <v>#N/A</v>
      </c>
      <c r="J117" s="2977" t="e">
        <v>#N/A</v>
      </c>
      <c r="K117" s="2978" t="e">
        <v>#N/A</v>
      </c>
      <c r="L117" s="2981" t="e">
        <f t="shared" si="17"/>
        <v>#N/A</v>
      </c>
      <c r="M117" s="2982" t="e">
        <f t="shared" si="17"/>
        <v>#N/A</v>
      </c>
      <c r="N117" s="2983" t="e">
        <f t="shared" si="17"/>
        <v>#N/A</v>
      </c>
      <c r="O117" s="2982" t="e">
        <f t="shared" si="17"/>
        <v>#N/A</v>
      </c>
      <c r="P117" s="2983" t="e">
        <f t="shared" si="17"/>
        <v>#N/A</v>
      </c>
      <c r="Q117" s="2980" t="e">
        <v>#N/A</v>
      </c>
      <c r="R117" s="2977" t="e">
        <v>#N/A</v>
      </c>
      <c r="S117" s="2978" t="e">
        <v>#N/A</v>
      </c>
      <c r="T117" s="2977" t="e">
        <v>#N/A</v>
      </c>
      <c r="U117" s="2991" t="e">
        <v>#N/A</v>
      </c>
    </row>
    <row r="118" spans="1:21">
      <c r="A118" s="2988">
        <f t="shared" si="18"/>
        <v>2025.3</v>
      </c>
      <c r="B118" s="2976" t="e">
        <v>#N/A</v>
      </c>
      <c r="C118" s="2977" t="e">
        <v>#N/A</v>
      </c>
      <c r="D118" s="2978" t="e">
        <v>#N/A</v>
      </c>
      <c r="E118" s="2977" t="e">
        <v>#N/A</v>
      </c>
      <c r="F118" s="2989" t="e">
        <v>#N/A</v>
      </c>
      <c r="G118" s="2980" t="e">
        <v>#N/A</v>
      </c>
      <c r="H118" s="2977" t="e">
        <v>#N/A</v>
      </c>
      <c r="I118" s="2978" t="e">
        <v>#N/A</v>
      </c>
      <c r="J118" s="2977" t="e">
        <v>#N/A</v>
      </c>
      <c r="K118" s="2978" t="e">
        <v>#N/A</v>
      </c>
      <c r="L118" s="2981" t="e">
        <f t="shared" si="17"/>
        <v>#N/A</v>
      </c>
      <c r="M118" s="2982" t="e">
        <f t="shared" si="17"/>
        <v>#N/A</v>
      </c>
      <c r="N118" s="2983" t="e">
        <f t="shared" si="17"/>
        <v>#N/A</v>
      </c>
      <c r="O118" s="2982" t="e">
        <f t="shared" si="17"/>
        <v>#N/A</v>
      </c>
      <c r="P118" s="2983" t="e">
        <f t="shared" si="17"/>
        <v>#N/A</v>
      </c>
      <c r="Q118" s="2980" t="e">
        <v>#N/A</v>
      </c>
      <c r="R118" s="2977" t="e">
        <v>#N/A</v>
      </c>
      <c r="S118" s="2978" t="e">
        <v>#N/A</v>
      </c>
      <c r="T118" s="2977" t="e">
        <v>#N/A</v>
      </c>
      <c r="U118" s="2991" t="e">
        <v>#N/A</v>
      </c>
    </row>
    <row r="119" spans="1:21">
      <c r="A119" s="2988">
        <f t="shared" si="18"/>
        <v>2025.4</v>
      </c>
      <c r="B119" s="2976" t="e">
        <v>#N/A</v>
      </c>
      <c r="C119" s="2977" t="e">
        <v>#N/A</v>
      </c>
      <c r="D119" s="2978" t="e">
        <v>#N/A</v>
      </c>
      <c r="E119" s="2977" t="e">
        <v>#N/A</v>
      </c>
      <c r="F119" s="2989" t="e">
        <v>#N/A</v>
      </c>
      <c r="G119" s="2980" t="e">
        <v>#N/A</v>
      </c>
      <c r="H119" s="2977" t="e">
        <v>#N/A</v>
      </c>
      <c r="I119" s="2978" t="e">
        <v>#N/A</v>
      </c>
      <c r="J119" s="2977" t="e">
        <v>#N/A</v>
      </c>
      <c r="K119" s="2978" t="e">
        <v>#N/A</v>
      </c>
      <c r="L119" s="2981" t="e">
        <f t="shared" si="17"/>
        <v>#N/A</v>
      </c>
      <c r="M119" s="2982" t="e">
        <f t="shared" si="17"/>
        <v>#N/A</v>
      </c>
      <c r="N119" s="2983" t="e">
        <f t="shared" si="17"/>
        <v>#N/A</v>
      </c>
      <c r="O119" s="2982" t="e">
        <f t="shared" si="17"/>
        <v>#N/A</v>
      </c>
      <c r="P119" s="2983" t="e">
        <f t="shared" si="17"/>
        <v>#N/A</v>
      </c>
      <c r="Q119" s="2980" t="e">
        <v>#N/A</v>
      </c>
      <c r="R119" s="2977" t="e">
        <v>#N/A</v>
      </c>
      <c r="S119" s="2978" t="e">
        <v>#N/A</v>
      </c>
      <c r="T119" s="2977" t="e">
        <v>#N/A</v>
      </c>
      <c r="U119" s="2991" t="e">
        <v>#N/A</v>
      </c>
    </row>
    <row r="120" spans="1:21">
      <c r="A120" s="2988">
        <f t="shared" si="18"/>
        <v>2026.1</v>
      </c>
      <c r="B120" s="2976" t="e">
        <v>#N/A</v>
      </c>
      <c r="C120" s="2977" t="e">
        <v>#N/A</v>
      </c>
      <c r="D120" s="2978" t="e">
        <v>#N/A</v>
      </c>
      <c r="E120" s="2977" t="e">
        <v>#N/A</v>
      </c>
      <c r="F120" s="2989" t="e">
        <v>#N/A</v>
      </c>
      <c r="G120" s="2980" t="e">
        <v>#N/A</v>
      </c>
      <c r="H120" s="2977" t="e">
        <v>#N/A</v>
      </c>
      <c r="I120" s="2978" t="e">
        <v>#N/A</v>
      </c>
      <c r="J120" s="2977" t="e">
        <v>#N/A</v>
      </c>
      <c r="K120" s="2978" t="e">
        <v>#N/A</v>
      </c>
      <c r="L120" s="2981" t="e">
        <f t="shared" ref="L120:P135" si="19">B120+G120</f>
        <v>#N/A</v>
      </c>
      <c r="M120" s="2982" t="e">
        <f t="shared" si="19"/>
        <v>#N/A</v>
      </c>
      <c r="N120" s="2983" t="e">
        <f t="shared" si="19"/>
        <v>#N/A</v>
      </c>
      <c r="O120" s="2982" t="e">
        <f t="shared" si="19"/>
        <v>#N/A</v>
      </c>
      <c r="P120" s="2983" t="e">
        <f t="shared" si="19"/>
        <v>#N/A</v>
      </c>
      <c r="Q120" s="2980" t="e">
        <v>#N/A</v>
      </c>
      <c r="R120" s="2977" t="e">
        <v>#N/A</v>
      </c>
      <c r="S120" s="2978" t="e">
        <v>#N/A</v>
      </c>
      <c r="T120" s="2977" t="e">
        <v>#N/A</v>
      </c>
      <c r="U120" s="2991" t="e">
        <v>#N/A</v>
      </c>
    </row>
    <row r="121" spans="1:21">
      <c r="A121" s="2988">
        <f t="shared" si="18"/>
        <v>2026.2</v>
      </c>
      <c r="B121" s="2976" t="e">
        <v>#N/A</v>
      </c>
      <c r="C121" s="2977" t="e">
        <v>#N/A</v>
      </c>
      <c r="D121" s="2978" t="e">
        <v>#N/A</v>
      </c>
      <c r="E121" s="2977" t="e">
        <v>#N/A</v>
      </c>
      <c r="F121" s="2989" t="e">
        <v>#N/A</v>
      </c>
      <c r="G121" s="2980" t="e">
        <v>#N/A</v>
      </c>
      <c r="H121" s="2977" t="e">
        <v>#N/A</v>
      </c>
      <c r="I121" s="2978" t="e">
        <v>#N/A</v>
      </c>
      <c r="J121" s="2977" t="e">
        <v>#N/A</v>
      </c>
      <c r="K121" s="2978" t="e">
        <v>#N/A</v>
      </c>
      <c r="L121" s="2981" t="e">
        <f t="shared" si="19"/>
        <v>#N/A</v>
      </c>
      <c r="M121" s="2982" t="e">
        <f t="shared" si="19"/>
        <v>#N/A</v>
      </c>
      <c r="N121" s="2983" t="e">
        <f t="shared" si="19"/>
        <v>#N/A</v>
      </c>
      <c r="O121" s="2982" t="e">
        <f t="shared" si="19"/>
        <v>#N/A</v>
      </c>
      <c r="P121" s="2983" t="e">
        <f t="shared" si="19"/>
        <v>#N/A</v>
      </c>
      <c r="Q121" s="2980" t="e">
        <v>#N/A</v>
      </c>
      <c r="R121" s="2977" t="e">
        <v>#N/A</v>
      </c>
      <c r="S121" s="2978" t="e">
        <v>#N/A</v>
      </c>
      <c r="T121" s="2977" t="e">
        <v>#N/A</v>
      </c>
      <c r="U121" s="2991" t="e">
        <v>#N/A</v>
      </c>
    </row>
    <row r="122" spans="1:21">
      <c r="A122" s="2988">
        <f t="shared" si="18"/>
        <v>2026.3</v>
      </c>
      <c r="B122" s="2976" t="e">
        <v>#N/A</v>
      </c>
      <c r="C122" s="2977" t="e">
        <v>#N/A</v>
      </c>
      <c r="D122" s="2978" t="e">
        <v>#N/A</v>
      </c>
      <c r="E122" s="2977" t="e">
        <v>#N/A</v>
      </c>
      <c r="F122" s="2989" t="e">
        <v>#N/A</v>
      </c>
      <c r="G122" s="2980" t="e">
        <v>#N/A</v>
      </c>
      <c r="H122" s="2977" t="e">
        <v>#N/A</v>
      </c>
      <c r="I122" s="2978" t="e">
        <v>#N/A</v>
      </c>
      <c r="J122" s="2977" t="e">
        <v>#N/A</v>
      </c>
      <c r="K122" s="2978" t="e">
        <v>#N/A</v>
      </c>
      <c r="L122" s="2981" t="e">
        <f t="shared" si="19"/>
        <v>#N/A</v>
      </c>
      <c r="M122" s="2982" t="e">
        <f t="shared" si="19"/>
        <v>#N/A</v>
      </c>
      <c r="N122" s="2983" t="e">
        <f t="shared" si="19"/>
        <v>#N/A</v>
      </c>
      <c r="O122" s="2982" t="e">
        <f t="shared" si="19"/>
        <v>#N/A</v>
      </c>
      <c r="P122" s="2983" t="e">
        <f t="shared" si="19"/>
        <v>#N/A</v>
      </c>
      <c r="Q122" s="2980" t="e">
        <v>#N/A</v>
      </c>
      <c r="R122" s="2977" t="e">
        <v>#N/A</v>
      </c>
      <c r="S122" s="2978" t="e">
        <v>#N/A</v>
      </c>
      <c r="T122" s="2977" t="e">
        <v>#N/A</v>
      </c>
      <c r="U122" s="2991" t="e">
        <v>#N/A</v>
      </c>
    </row>
    <row r="123" spans="1:21">
      <c r="A123" s="2988">
        <f t="shared" si="18"/>
        <v>2026.4</v>
      </c>
      <c r="B123" s="2976" t="e">
        <v>#N/A</v>
      </c>
      <c r="C123" s="2977" t="e">
        <v>#N/A</v>
      </c>
      <c r="D123" s="2978" t="e">
        <v>#N/A</v>
      </c>
      <c r="E123" s="2977" t="e">
        <v>#N/A</v>
      </c>
      <c r="F123" s="2989" t="e">
        <v>#N/A</v>
      </c>
      <c r="G123" s="2980" t="e">
        <v>#N/A</v>
      </c>
      <c r="H123" s="2977" t="e">
        <v>#N/A</v>
      </c>
      <c r="I123" s="2978" t="e">
        <v>#N/A</v>
      </c>
      <c r="J123" s="2977" t="e">
        <v>#N/A</v>
      </c>
      <c r="K123" s="2978" t="e">
        <v>#N/A</v>
      </c>
      <c r="L123" s="2981" t="e">
        <f t="shared" si="19"/>
        <v>#N/A</v>
      </c>
      <c r="M123" s="2982" t="e">
        <f t="shared" si="19"/>
        <v>#N/A</v>
      </c>
      <c r="N123" s="2983" t="e">
        <f t="shared" si="19"/>
        <v>#N/A</v>
      </c>
      <c r="O123" s="2982" t="e">
        <f t="shared" si="19"/>
        <v>#N/A</v>
      </c>
      <c r="P123" s="2983" t="e">
        <f t="shared" si="19"/>
        <v>#N/A</v>
      </c>
      <c r="Q123" s="2980" t="e">
        <v>#N/A</v>
      </c>
      <c r="R123" s="2977" t="e">
        <v>#N/A</v>
      </c>
      <c r="S123" s="2978" t="e">
        <v>#N/A</v>
      </c>
      <c r="T123" s="2977" t="e">
        <v>#N/A</v>
      </c>
      <c r="U123" s="2991" t="e">
        <v>#N/A</v>
      </c>
    </row>
    <row r="124" spans="1:21">
      <c r="A124" s="2988">
        <f t="shared" si="18"/>
        <v>2027.1</v>
      </c>
      <c r="B124" s="2976" t="e">
        <v>#N/A</v>
      </c>
      <c r="C124" s="2977" t="e">
        <v>#N/A</v>
      </c>
      <c r="D124" s="2978" t="e">
        <v>#N/A</v>
      </c>
      <c r="E124" s="2977" t="e">
        <v>#N/A</v>
      </c>
      <c r="F124" s="2989" t="e">
        <v>#N/A</v>
      </c>
      <c r="G124" s="2980" t="e">
        <v>#N/A</v>
      </c>
      <c r="H124" s="2977" t="e">
        <v>#N/A</v>
      </c>
      <c r="I124" s="2978" t="e">
        <v>#N/A</v>
      </c>
      <c r="J124" s="2977" t="e">
        <v>#N/A</v>
      </c>
      <c r="K124" s="2978" t="e">
        <v>#N/A</v>
      </c>
      <c r="L124" s="2981" t="e">
        <f t="shared" si="19"/>
        <v>#N/A</v>
      </c>
      <c r="M124" s="2982" t="e">
        <f t="shared" si="19"/>
        <v>#N/A</v>
      </c>
      <c r="N124" s="2983" t="e">
        <f t="shared" si="19"/>
        <v>#N/A</v>
      </c>
      <c r="O124" s="2982" t="e">
        <f t="shared" si="19"/>
        <v>#N/A</v>
      </c>
      <c r="P124" s="2983" t="e">
        <f t="shared" si="19"/>
        <v>#N/A</v>
      </c>
      <c r="Q124" s="2980" t="e">
        <v>#N/A</v>
      </c>
      <c r="R124" s="2977" t="e">
        <v>#N/A</v>
      </c>
      <c r="S124" s="2978" t="e">
        <v>#N/A</v>
      </c>
      <c r="T124" s="2977" t="e">
        <v>#N/A</v>
      </c>
      <c r="U124" s="2991" t="e">
        <v>#N/A</v>
      </c>
    </row>
    <row r="125" spans="1:21">
      <c r="A125" s="2988">
        <f t="shared" si="18"/>
        <v>2027.2</v>
      </c>
      <c r="B125" s="2976" t="e">
        <v>#N/A</v>
      </c>
      <c r="C125" s="2977" t="e">
        <v>#N/A</v>
      </c>
      <c r="D125" s="2978" t="e">
        <v>#N/A</v>
      </c>
      <c r="E125" s="2977" t="e">
        <v>#N/A</v>
      </c>
      <c r="F125" s="2989" t="e">
        <v>#N/A</v>
      </c>
      <c r="G125" s="2980" t="e">
        <v>#N/A</v>
      </c>
      <c r="H125" s="2977" t="e">
        <v>#N/A</v>
      </c>
      <c r="I125" s="2978" t="e">
        <v>#N/A</v>
      </c>
      <c r="J125" s="2977" t="e">
        <v>#N/A</v>
      </c>
      <c r="K125" s="2978" t="e">
        <v>#N/A</v>
      </c>
      <c r="L125" s="2981" t="e">
        <f t="shared" si="19"/>
        <v>#N/A</v>
      </c>
      <c r="M125" s="2982" t="e">
        <f t="shared" si="19"/>
        <v>#N/A</v>
      </c>
      <c r="N125" s="2983" t="e">
        <f t="shared" si="19"/>
        <v>#N/A</v>
      </c>
      <c r="O125" s="2982" t="e">
        <f t="shared" si="19"/>
        <v>#N/A</v>
      </c>
      <c r="P125" s="2983" t="e">
        <f t="shared" si="19"/>
        <v>#N/A</v>
      </c>
      <c r="Q125" s="2980" t="e">
        <v>#N/A</v>
      </c>
      <c r="R125" s="2977" t="e">
        <v>#N/A</v>
      </c>
      <c r="S125" s="2978" t="e">
        <v>#N/A</v>
      </c>
      <c r="T125" s="2977" t="e">
        <v>#N/A</v>
      </c>
      <c r="U125" s="2991" t="e">
        <v>#N/A</v>
      </c>
    </row>
    <row r="126" spans="1:21">
      <c r="A126" s="2988">
        <f t="shared" si="18"/>
        <v>2027.3</v>
      </c>
      <c r="B126" s="2976" t="e">
        <v>#N/A</v>
      </c>
      <c r="C126" s="2977" t="e">
        <v>#N/A</v>
      </c>
      <c r="D126" s="2978" t="e">
        <v>#N/A</v>
      </c>
      <c r="E126" s="2977" t="e">
        <v>#N/A</v>
      </c>
      <c r="F126" s="2989" t="e">
        <v>#N/A</v>
      </c>
      <c r="G126" s="2980" t="e">
        <v>#N/A</v>
      </c>
      <c r="H126" s="2977" t="e">
        <v>#N/A</v>
      </c>
      <c r="I126" s="2978" t="e">
        <v>#N/A</v>
      </c>
      <c r="J126" s="2977" t="e">
        <v>#N/A</v>
      </c>
      <c r="K126" s="2978" t="e">
        <v>#N/A</v>
      </c>
      <c r="L126" s="2981" t="e">
        <f t="shared" si="19"/>
        <v>#N/A</v>
      </c>
      <c r="M126" s="2982" t="e">
        <f t="shared" si="19"/>
        <v>#N/A</v>
      </c>
      <c r="N126" s="2983" t="e">
        <f t="shared" si="19"/>
        <v>#N/A</v>
      </c>
      <c r="O126" s="2982" t="e">
        <f t="shared" si="19"/>
        <v>#N/A</v>
      </c>
      <c r="P126" s="2983" t="e">
        <f t="shared" si="19"/>
        <v>#N/A</v>
      </c>
      <c r="Q126" s="2980" t="e">
        <v>#N/A</v>
      </c>
      <c r="R126" s="2977" t="e">
        <v>#N/A</v>
      </c>
      <c r="S126" s="2978" t="e">
        <v>#N/A</v>
      </c>
      <c r="T126" s="2977" t="e">
        <v>#N/A</v>
      </c>
      <c r="U126" s="2991" t="e">
        <v>#N/A</v>
      </c>
    </row>
    <row r="127" spans="1:21">
      <c r="A127" s="2988">
        <f t="shared" si="18"/>
        <v>2027.4</v>
      </c>
      <c r="B127" s="2976" t="e">
        <v>#N/A</v>
      </c>
      <c r="C127" s="2977" t="e">
        <v>#N/A</v>
      </c>
      <c r="D127" s="2978" t="e">
        <v>#N/A</v>
      </c>
      <c r="E127" s="2977" t="e">
        <v>#N/A</v>
      </c>
      <c r="F127" s="2989" t="e">
        <v>#N/A</v>
      </c>
      <c r="G127" s="2980" t="e">
        <v>#N/A</v>
      </c>
      <c r="H127" s="2977" t="e">
        <v>#N/A</v>
      </c>
      <c r="I127" s="2978" t="e">
        <v>#N/A</v>
      </c>
      <c r="J127" s="2977" t="e">
        <v>#N/A</v>
      </c>
      <c r="K127" s="2978" t="e">
        <v>#N/A</v>
      </c>
      <c r="L127" s="2981" t="e">
        <f t="shared" si="19"/>
        <v>#N/A</v>
      </c>
      <c r="M127" s="2982" t="e">
        <f t="shared" si="19"/>
        <v>#N/A</v>
      </c>
      <c r="N127" s="2983" t="e">
        <f t="shared" si="19"/>
        <v>#N/A</v>
      </c>
      <c r="O127" s="2982" t="e">
        <f t="shared" si="19"/>
        <v>#N/A</v>
      </c>
      <c r="P127" s="2983" t="e">
        <f t="shared" si="19"/>
        <v>#N/A</v>
      </c>
      <c r="Q127" s="2980" t="e">
        <v>#N/A</v>
      </c>
      <c r="R127" s="2977" t="e">
        <v>#N/A</v>
      </c>
      <c r="S127" s="2978" t="e">
        <v>#N/A</v>
      </c>
      <c r="T127" s="2977" t="e">
        <v>#N/A</v>
      </c>
      <c r="U127" s="2991" t="e">
        <v>#N/A</v>
      </c>
    </row>
    <row r="128" spans="1:21">
      <c r="A128" s="2988">
        <f t="shared" si="18"/>
        <v>2028.1</v>
      </c>
      <c r="B128" s="2976" t="e">
        <v>#N/A</v>
      </c>
      <c r="C128" s="2977" t="e">
        <v>#N/A</v>
      </c>
      <c r="D128" s="2978" t="e">
        <v>#N/A</v>
      </c>
      <c r="E128" s="2977" t="e">
        <v>#N/A</v>
      </c>
      <c r="F128" s="2989" t="e">
        <v>#N/A</v>
      </c>
      <c r="G128" s="2980" t="e">
        <v>#N/A</v>
      </c>
      <c r="H128" s="2977" t="e">
        <v>#N/A</v>
      </c>
      <c r="I128" s="2978" t="e">
        <v>#N/A</v>
      </c>
      <c r="J128" s="2977" t="e">
        <v>#N/A</v>
      </c>
      <c r="K128" s="2978" t="e">
        <v>#N/A</v>
      </c>
      <c r="L128" s="2981" t="e">
        <f t="shared" si="19"/>
        <v>#N/A</v>
      </c>
      <c r="M128" s="2982" t="e">
        <f t="shared" si="19"/>
        <v>#N/A</v>
      </c>
      <c r="N128" s="2983" t="e">
        <f t="shared" si="19"/>
        <v>#N/A</v>
      </c>
      <c r="O128" s="2982" t="e">
        <f t="shared" si="19"/>
        <v>#N/A</v>
      </c>
      <c r="P128" s="2983" t="e">
        <f t="shared" si="19"/>
        <v>#N/A</v>
      </c>
      <c r="Q128" s="2980" t="e">
        <v>#N/A</v>
      </c>
      <c r="R128" s="2977" t="e">
        <v>#N/A</v>
      </c>
      <c r="S128" s="2978" t="e">
        <v>#N/A</v>
      </c>
      <c r="T128" s="2977" t="e">
        <v>#N/A</v>
      </c>
      <c r="U128" s="2991" t="e">
        <v>#N/A</v>
      </c>
    </row>
    <row r="129" spans="1:21">
      <c r="A129" s="2988">
        <f t="shared" si="18"/>
        <v>2028.2</v>
      </c>
      <c r="B129" s="2976" t="e">
        <v>#N/A</v>
      </c>
      <c r="C129" s="2977" t="e">
        <v>#N/A</v>
      </c>
      <c r="D129" s="2978" t="e">
        <v>#N/A</v>
      </c>
      <c r="E129" s="2977" t="e">
        <v>#N/A</v>
      </c>
      <c r="F129" s="2989" t="e">
        <v>#N/A</v>
      </c>
      <c r="G129" s="2980" t="e">
        <v>#N/A</v>
      </c>
      <c r="H129" s="2977" t="e">
        <v>#N/A</v>
      </c>
      <c r="I129" s="2978" t="e">
        <v>#N/A</v>
      </c>
      <c r="J129" s="2977" t="e">
        <v>#N/A</v>
      </c>
      <c r="K129" s="2978" t="e">
        <v>#N/A</v>
      </c>
      <c r="L129" s="2981" t="e">
        <f t="shared" si="19"/>
        <v>#N/A</v>
      </c>
      <c r="M129" s="2982" t="e">
        <f t="shared" si="19"/>
        <v>#N/A</v>
      </c>
      <c r="N129" s="2983" t="e">
        <f t="shared" si="19"/>
        <v>#N/A</v>
      </c>
      <c r="O129" s="2982" t="e">
        <f t="shared" si="19"/>
        <v>#N/A</v>
      </c>
      <c r="P129" s="2983" t="e">
        <f t="shared" si="19"/>
        <v>#N/A</v>
      </c>
      <c r="Q129" s="2980" t="e">
        <v>#N/A</v>
      </c>
      <c r="R129" s="2977" t="e">
        <v>#N/A</v>
      </c>
      <c r="S129" s="2978" t="e">
        <v>#N/A</v>
      </c>
      <c r="T129" s="2977" t="e">
        <v>#N/A</v>
      </c>
      <c r="U129" s="2991" t="e">
        <v>#N/A</v>
      </c>
    </row>
    <row r="130" spans="1:21">
      <c r="A130" s="2988">
        <f t="shared" si="18"/>
        <v>2028.3</v>
      </c>
      <c r="B130" s="2976" t="e">
        <v>#N/A</v>
      </c>
      <c r="C130" s="2977" t="e">
        <v>#N/A</v>
      </c>
      <c r="D130" s="2978" t="e">
        <v>#N/A</v>
      </c>
      <c r="E130" s="2977" t="e">
        <v>#N/A</v>
      </c>
      <c r="F130" s="2989" t="e">
        <v>#N/A</v>
      </c>
      <c r="G130" s="2980" t="e">
        <v>#N/A</v>
      </c>
      <c r="H130" s="2977" t="e">
        <v>#N/A</v>
      </c>
      <c r="I130" s="2978" t="e">
        <v>#N/A</v>
      </c>
      <c r="J130" s="2977" t="e">
        <v>#N/A</v>
      </c>
      <c r="K130" s="2978" t="e">
        <v>#N/A</v>
      </c>
      <c r="L130" s="2981" t="e">
        <f t="shared" si="19"/>
        <v>#N/A</v>
      </c>
      <c r="M130" s="2982" t="e">
        <f t="shared" si="19"/>
        <v>#N/A</v>
      </c>
      <c r="N130" s="2983" t="e">
        <f t="shared" si="19"/>
        <v>#N/A</v>
      </c>
      <c r="O130" s="2982" t="e">
        <f t="shared" si="19"/>
        <v>#N/A</v>
      </c>
      <c r="P130" s="2983" t="e">
        <f t="shared" si="19"/>
        <v>#N/A</v>
      </c>
      <c r="Q130" s="2980" t="e">
        <v>#N/A</v>
      </c>
      <c r="R130" s="2977" t="e">
        <v>#N/A</v>
      </c>
      <c r="S130" s="2978" t="e">
        <v>#N/A</v>
      </c>
      <c r="T130" s="2977" t="e">
        <v>#N/A</v>
      </c>
      <c r="U130" s="2991" t="e">
        <v>#N/A</v>
      </c>
    </row>
    <row r="131" spans="1:21">
      <c r="A131" s="2988">
        <f t="shared" si="18"/>
        <v>2028.4</v>
      </c>
      <c r="B131" s="2976" t="e">
        <v>#N/A</v>
      </c>
      <c r="C131" s="2977" t="e">
        <v>#N/A</v>
      </c>
      <c r="D131" s="2978" t="e">
        <v>#N/A</v>
      </c>
      <c r="E131" s="2977" t="e">
        <v>#N/A</v>
      </c>
      <c r="F131" s="2989" t="e">
        <v>#N/A</v>
      </c>
      <c r="G131" s="2980" t="e">
        <v>#N/A</v>
      </c>
      <c r="H131" s="2977" t="e">
        <v>#N/A</v>
      </c>
      <c r="I131" s="2978" t="e">
        <v>#N/A</v>
      </c>
      <c r="J131" s="2977" t="e">
        <v>#N/A</v>
      </c>
      <c r="K131" s="2978" t="e">
        <v>#N/A</v>
      </c>
      <c r="L131" s="2981" t="e">
        <f t="shared" si="19"/>
        <v>#N/A</v>
      </c>
      <c r="M131" s="2982" t="e">
        <f t="shared" si="19"/>
        <v>#N/A</v>
      </c>
      <c r="N131" s="2983" t="e">
        <f t="shared" si="19"/>
        <v>#N/A</v>
      </c>
      <c r="O131" s="2982" t="e">
        <f t="shared" si="19"/>
        <v>#N/A</v>
      </c>
      <c r="P131" s="2983" t="e">
        <f t="shared" si="19"/>
        <v>#N/A</v>
      </c>
      <c r="Q131" s="2980" t="e">
        <v>#N/A</v>
      </c>
      <c r="R131" s="2977" t="e">
        <v>#N/A</v>
      </c>
      <c r="S131" s="2978" t="e">
        <v>#N/A</v>
      </c>
      <c r="T131" s="2977" t="e">
        <v>#N/A</v>
      </c>
      <c r="U131" s="2991" t="e">
        <v>#N/A</v>
      </c>
    </row>
    <row r="132" spans="1:21">
      <c r="A132" s="2988">
        <f t="shared" si="18"/>
        <v>2029.1</v>
      </c>
      <c r="B132" s="2976" t="e">
        <v>#N/A</v>
      </c>
      <c r="C132" s="2977" t="e">
        <v>#N/A</v>
      </c>
      <c r="D132" s="2978" t="e">
        <v>#N/A</v>
      </c>
      <c r="E132" s="2977" t="e">
        <v>#N/A</v>
      </c>
      <c r="F132" s="2989" t="e">
        <v>#N/A</v>
      </c>
      <c r="G132" s="2980" t="e">
        <v>#N/A</v>
      </c>
      <c r="H132" s="2977" t="e">
        <v>#N/A</v>
      </c>
      <c r="I132" s="2978" t="e">
        <v>#N/A</v>
      </c>
      <c r="J132" s="2977" t="e">
        <v>#N/A</v>
      </c>
      <c r="K132" s="2978" t="e">
        <v>#N/A</v>
      </c>
      <c r="L132" s="2981" t="e">
        <f t="shared" si="19"/>
        <v>#N/A</v>
      </c>
      <c r="M132" s="2982" t="e">
        <f t="shared" si="19"/>
        <v>#N/A</v>
      </c>
      <c r="N132" s="2983" t="e">
        <f t="shared" si="19"/>
        <v>#N/A</v>
      </c>
      <c r="O132" s="2982" t="e">
        <f t="shared" si="19"/>
        <v>#N/A</v>
      </c>
      <c r="P132" s="2983" t="e">
        <f t="shared" si="19"/>
        <v>#N/A</v>
      </c>
      <c r="Q132" s="2980" t="e">
        <v>#N/A</v>
      </c>
      <c r="R132" s="2977" t="e">
        <v>#N/A</v>
      </c>
      <c r="S132" s="2978" t="e">
        <v>#N/A</v>
      </c>
      <c r="T132" s="2977" t="e">
        <v>#N/A</v>
      </c>
      <c r="U132" s="2991" t="e">
        <v>#N/A</v>
      </c>
    </row>
    <row r="133" spans="1:21">
      <c r="A133" s="2988">
        <f t="shared" si="18"/>
        <v>2029.2</v>
      </c>
      <c r="B133" s="2976" t="e">
        <v>#N/A</v>
      </c>
      <c r="C133" s="2977" t="e">
        <v>#N/A</v>
      </c>
      <c r="D133" s="2978" t="e">
        <v>#N/A</v>
      </c>
      <c r="E133" s="2977" t="e">
        <v>#N/A</v>
      </c>
      <c r="F133" s="2989" t="e">
        <v>#N/A</v>
      </c>
      <c r="G133" s="2980" t="e">
        <v>#N/A</v>
      </c>
      <c r="H133" s="2977" t="e">
        <v>#N/A</v>
      </c>
      <c r="I133" s="2978" t="e">
        <v>#N/A</v>
      </c>
      <c r="J133" s="2977" t="e">
        <v>#N/A</v>
      </c>
      <c r="K133" s="2978" t="e">
        <v>#N/A</v>
      </c>
      <c r="L133" s="2981" t="e">
        <f t="shared" si="19"/>
        <v>#N/A</v>
      </c>
      <c r="M133" s="2982" t="e">
        <f t="shared" si="19"/>
        <v>#N/A</v>
      </c>
      <c r="N133" s="2983" t="e">
        <f t="shared" si="19"/>
        <v>#N/A</v>
      </c>
      <c r="O133" s="2982" t="e">
        <f t="shared" si="19"/>
        <v>#N/A</v>
      </c>
      <c r="P133" s="2983" t="e">
        <f t="shared" si="19"/>
        <v>#N/A</v>
      </c>
      <c r="Q133" s="2980" t="e">
        <v>#N/A</v>
      </c>
      <c r="R133" s="2977" t="e">
        <v>#N/A</v>
      </c>
      <c r="S133" s="2978" t="e">
        <v>#N/A</v>
      </c>
      <c r="T133" s="2977" t="e">
        <v>#N/A</v>
      </c>
      <c r="U133" s="2991" t="e">
        <v>#N/A</v>
      </c>
    </row>
    <row r="134" spans="1:21">
      <c r="A134" s="2988">
        <f t="shared" si="18"/>
        <v>2029.3</v>
      </c>
      <c r="B134" s="2976" t="e">
        <v>#N/A</v>
      </c>
      <c r="C134" s="2977" t="e">
        <v>#N/A</v>
      </c>
      <c r="D134" s="2978" t="e">
        <v>#N/A</v>
      </c>
      <c r="E134" s="2977" t="e">
        <v>#N/A</v>
      </c>
      <c r="F134" s="2989" t="e">
        <v>#N/A</v>
      </c>
      <c r="G134" s="2980" t="e">
        <v>#N/A</v>
      </c>
      <c r="H134" s="2977" t="e">
        <v>#N/A</v>
      </c>
      <c r="I134" s="2978" t="e">
        <v>#N/A</v>
      </c>
      <c r="J134" s="2977" t="e">
        <v>#N/A</v>
      </c>
      <c r="K134" s="2978" t="e">
        <v>#N/A</v>
      </c>
      <c r="L134" s="2981" t="e">
        <f t="shared" si="19"/>
        <v>#N/A</v>
      </c>
      <c r="M134" s="2982" t="e">
        <f t="shared" si="19"/>
        <v>#N/A</v>
      </c>
      <c r="N134" s="2983" t="e">
        <f t="shared" si="19"/>
        <v>#N/A</v>
      </c>
      <c r="O134" s="2982" t="e">
        <f t="shared" si="19"/>
        <v>#N/A</v>
      </c>
      <c r="P134" s="2983" t="e">
        <f t="shared" si="19"/>
        <v>#N/A</v>
      </c>
      <c r="Q134" s="2980" t="e">
        <v>#N/A</v>
      </c>
      <c r="R134" s="2977" t="e">
        <v>#N/A</v>
      </c>
      <c r="S134" s="2978" t="e">
        <v>#N/A</v>
      </c>
      <c r="T134" s="2977" t="e">
        <v>#N/A</v>
      </c>
      <c r="U134" s="2991" t="e">
        <v>#N/A</v>
      </c>
    </row>
    <row r="135" spans="1:21">
      <c r="A135" s="2988">
        <f t="shared" si="18"/>
        <v>2029.4</v>
      </c>
      <c r="B135" s="2976" t="e">
        <v>#N/A</v>
      </c>
      <c r="C135" s="2977" t="e">
        <v>#N/A</v>
      </c>
      <c r="D135" s="2978" t="e">
        <v>#N/A</v>
      </c>
      <c r="E135" s="2977" t="e">
        <v>#N/A</v>
      </c>
      <c r="F135" s="2989" t="e">
        <v>#N/A</v>
      </c>
      <c r="G135" s="2980" t="e">
        <v>#N/A</v>
      </c>
      <c r="H135" s="2977" t="e">
        <v>#N/A</v>
      </c>
      <c r="I135" s="2978" t="e">
        <v>#N/A</v>
      </c>
      <c r="J135" s="2977" t="e">
        <v>#N/A</v>
      </c>
      <c r="K135" s="2978" t="e">
        <v>#N/A</v>
      </c>
      <c r="L135" s="2981" t="e">
        <f t="shared" si="19"/>
        <v>#N/A</v>
      </c>
      <c r="M135" s="2982" t="e">
        <f t="shared" si="19"/>
        <v>#N/A</v>
      </c>
      <c r="N135" s="2983" t="e">
        <f t="shared" si="19"/>
        <v>#N/A</v>
      </c>
      <c r="O135" s="2982" t="e">
        <f t="shared" si="19"/>
        <v>#N/A</v>
      </c>
      <c r="P135" s="2983" t="e">
        <f t="shared" si="19"/>
        <v>#N/A</v>
      </c>
      <c r="Q135" s="2980" t="e">
        <v>#N/A</v>
      </c>
      <c r="R135" s="2977" t="e">
        <v>#N/A</v>
      </c>
      <c r="S135" s="2978" t="e">
        <v>#N/A</v>
      </c>
      <c r="T135" s="2977" t="e">
        <v>#N/A</v>
      </c>
      <c r="U135" s="2991" t="e">
        <v>#N/A</v>
      </c>
    </row>
    <row r="136" spans="1:21">
      <c r="A136" s="2988">
        <f t="shared" si="18"/>
        <v>2030.1</v>
      </c>
      <c r="B136" s="2976" t="e">
        <v>#N/A</v>
      </c>
      <c r="C136" s="2977" t="e">
        <v>#N/A</v>
      </c>
      <c r="D136" s="2978" t="e">
        <v>#N/A</v>
      </c>
      <c r="E136" s="2977" t="e">
        <v>#N/A</v>
      </c>
      <c r="F136" s="2989" t="e">
        <v>#N/A</v>
      </c>
      <c r="G136" s="2980" t="e">
        <v>#N/A</v>
      </c>
      <c r="H136" s="2977" t="e">
        <v>#N/A</v>
      </c>
      <c r="I136" s="2978" t="e">
        <v>#N/A</v>
      </c>
      <c r="J136" s="2977" t="e">
        <v>#N/A</v>
      </c>
      <c r="K136" s="2978" t="e">
        <v>#N/A</v>
      </c>
      <c r="L136" s="2981" t="e">
        <f t="shared" ref="L136:P139" si="20">B136+G136</f>
        <v>#N/A</v>
      </c>
      <c r="M136" s="2982" t="e">
        <f t="shared" si="20"/>
        <v>#N/A</v>
      </c>
      <c r="N136" s="2983" t="e">
        <f t="shared" si="20"/>
        <v>#N/A</v>
      </c>
      <c r="O136" s="2982" t="e">
        <f t="shared" si="20"/>
        <v>#N/A</v>
      </c>
      <c r="P136" s="2983" t="e">
        <f t="shared" si="20"/>
        <v>#N/A</v>
      </c>
      <c r="Q136" s="2980" t="e">
        <v>#N/A</v>
      </c>
      <c r="R136" s="2977" t="e">
        <v>#N/A</v>
      </c>
      <c r="S136" s="2978" t="e">
        <v>#N/A</v>
      </c>
      <c r="T136" s="2977" t="e">
        <v>#N/A</v>
      </c>
      <c r="U136" s="2991" t="e">
        <v>#N/A</v>
      </c>
    </row>
    <row r="137" spans="1:21">
      <c r="A137" s="2988">
        <f t="shared" si="18"/>
        <v>2030.2</v>
      </c>
      <c r="B137" s="2976" t="e">
        <v>#N/A</v>
      </c>
      <c r="C137" s="2977" t="e">
        <v>#N/A</v>
      </c>
      <c r="D137" s="2978" t="e">
        <v>#N/A</v>
      </c>
      <c r="E137" s="2977" t="e">
        <v>#N/A</v>
      </c>
      <c r="F137" s="2989" t="e">
        <v>#N/A</v>
      </c>
      <c r="G137" s="2980" t="e">
        <v>#N/A</v>
      </c>
      <c r="H137" s="2977" t="e">
        <v>#N/A</v>
      </c>
      <c r="I137" s="2978" t="e">
        <v>#N/A</v>
      </c>
      <c r="J137" s="2977" t="e">
        <v>#N/A</v>
      </c>
      <c r="K137" s="2978" t="e">
        <v>#N/A</v>
      </c>
      <c r="L137" s="2981" t="e">
        <f t="shared" si="20"/>
        <v>#N/A</v>
      </c>
      <c r="M137" s="2982" t="e">
        <f t="shared" si="20"/>
        <v>#N/A</v>
      </c>
      <c r="N137" s="2983" t="e">
        <f t="shared" si="20"/>
        <v>#N/A</v>
      </c>
      <c r="O137" s="2982" t="e">
        <f t="shared" si="20"/>
        <v>#N/A</v>
      </c>
      <c r="P137" s="2983" t="e">
        <f t="shared" si="20"/>
        <v>#N/A</v>
      </c>
      <c r="Q137" s="2980" t="e">
        <v>#N/A</v>
      </c>
      <c r="R137" s="2977" t="e">
        <v>#N/A</v>
      </c>
      <c r="S137" s="2978" t="e">
        <v>#N/A</v>
      </c>
      <c r="T137" s="2977" t="e">
        <v>#N/A</v>
      </c>
      <c r="U137" s="2991" t="e">
        <v>#N/A</v>
      </c>
    </row>
    <row r="138" spans="1:21">
      <c r="A138" s="2988">
        <f t="shared" si="18"/>
        <v>2030.3</v>
      </c>
      <c r="B138" s="2976" t="e">
        <v>#N/A</v>
      </c>
      <c r="C138" s="2977" t="e">
        <v>#N/A</v>
      </c>
      <c r="D138" s="2978" t="e">
        <v>#N/A</v>
      </c>
      <c r="E138" s="2977" t="e">
        <v>#N/A</v>
      </c>
      <c r="F138" s="2989" t="e">
        <v>#N/A</v>
      </c>
      <c r="G138" s="2980" t="e">
        <v>#N/A</v>
      </c>
      <c r="H138" s="2977" t="e">
        <v>#N/A</v>
      </c>
      <c r="I138" s="2978" t="e">
        <v>#N/A</v>
      </c>
      <c r="J138" s="2977" t="e">
        <v>#N/A</v>
      </c>
      <c r="K138" s="2978" t="e">
        <v>#N/A</v>
      </c>
      <c r="L138" s="2981" t="e">
        <f t="shared" si="20"/>
        <v>#N/A</v>
      </c>
      <c r="M138" s="2982" t="e">
        <f t="shared" si="20"/>
        <v>#N/A</v>
      </c>
      <c r="N138" s="2983" t="e">
        <f t="shared" si="20"/>
        <v>#N/A</v>
      </c>
      <c r="O138" s="2982" t="e">
        <f t="shared" si="20"/>
        <v>#N/A</v>
      </c>
      <c r="P138" s="2983" t="e">
        <f t="shared" si="20"/>
        <v>#N/A</v>
      </c>
      <c r="Q138" s="2980" t="e">
        <v>#N/A</v>
      </c>
      <c r="R138" s="2977" t="e">
        <v>#N/A</v>
      </c>
      <c r="S138" s="2978" t="e">
        <v>#N/A</v>
      </c>
      <c r="T138" s="2977" t="e">
        <v>#N/A</v>
      </c>
      <c r="U138" s="2991" t="e">
        <v>#N/A</v>
      </c>
    </row>
    <row r="139" spans="1:21">
      <c r="A139" s="2988">
        <f t="shared" si="18"/>
        <v>2030.4</v>
      </c>
      <c r="B139" s="2976" t="e">
        <v>#N/A</v>
      </c>
      <c r="C139" s="2977" t="e">
        <v>#N/A</v>
      </c>
      <c r="D139" s="2978" t="e">
        <v>#N/A</v>
      </c>
      <c r="E139" s="2977" t="e">
        <v>#N/A</v>
      </c>
      <c r="F139" s="2989" t="e">
        <v>#N/A</v>
      </c>
      <c r="G139" s="2980" t="e">
        <v>#N/A</v>
      </c>
      <c r="H139" s="2977" t="e">
        <v>#N/A</v>
      </c>
      <c r="I139" s="2978" t="e">
        <v>#N/A</v>
      </c>
      <c r="J139" s="2977" t="e">
        <v>#N/A</v>
      </c>
      <c r="K139" s="2978" t="e">
        <v>#N/A</v>
      </c>
      <c r="L139" s="2981" t="e">
        <f t="shared" si="20"/>
        <v>#N/A</v>
      </c>
      <c r="M139" s="2982" t="e">
        <f t="shared" si="20"/>
        <v>#N/A</v>
      </c>
      <c r="N139" s="2983" t="e">
        <f t="shared" si="20"/>
        <v>#N/A</v>
      </c>
      <c r="O139" s="2982" t="e">
        <f t="shared" si="20"/>
        <v>#N/A</v>
      </c>
      <c r="P139" s="2983" t="e">
        <f t="shared" si="20"/>
        <v>#N/A</v>
      </c>
      <c r="Q139" s="2980" t="e">
        <v>#N/A</v>
      </c>
      <c r="R139" s="2977" t="e">
        <v>#N/A</v>
      </c>
      <c r="S139" s="2978" t="e">
        <v>#N/A</v>
      </c>
      <c r="T139" s="2977" t="e">
        <v>#N/A</v>
      </c>
      <c r="U139" s="2991" t="e">
        <v>#N/A</v>
      </c>
    </row>
    <row r="141" spans="1:21">
      <c r="B141" s="3148" t="s">
        <v>1597</v>
      </c>
    </row>
  </sheetData>
  <mergeCells count="4">
    <mergeCell ref="B1:K1"/>
    <mergeCell ref="L1:U1"/>
    <mergeCell ref="L2:U2"/>
    <mergeCell ref="L3:U3"/>
  </mergeCells>
  <hyperlinks>
    <hyperlink ref="A5" location="INDICE!A13" display="VOLVER AL INDICE" xr:uid="{9A57235F-FF8C-4A44-ABAD-C9014BC3DFBE}"/>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805D-2CFF-453F-9A06-4865E127C96F}">
  <dimension ref="A1:AJ142"/>
  <sheetViews>
    <sheetView zoomScaleNormal="100" workbookViewId="0">
      <pane xSplit="1" ySplit="9" topLeftCell="B96" activePane="bottomRight" state="frozen"/>
      <selection activeCell="G79" sqref="G79"/>
      <selection pane="topRight" activeCell="G79" sqref="G79"/>
      <selection pane="bottomLeft" activeCell="G79" sqref="G79"/>
      <selection pane="bottomRight" activeCell="A5" sqref="A5"/>
    </sheetView>
  </sheetViews>
  <sheetFormatPr baseColWidth="10" defaultColWidth="11.42578125" defaultRowHeight="12.75"/>
  <cols>
    <col min="1" max="1" width="10.42578125" style="2992" customWidth="1"/>
    <col min="2" max="7" width="12.7109375" style="2992" customWidth="1"/>
    <col min="8" max="13" width="12" style="2992" customWidth="1"/>
    <col min="14" max="25" width="11.28515625" style="2992" customWidth="1"/>
    <col min="26" max="16384" width="11.42578125" style="2932"/>
  </cols>
  <sheetData>
    <row r="1" spans="1:36" ht="3.75" customHeight="1">
      <c r="A1" s="2931"/>
      <c r="B1" s="2993"/>
      <c r="C1" s="2993"/>
      <c r="D1" s="2993"/>
      <c r="E1" s="2993"/>
      <c r="F1" s="2994"/>
      <c r="G1" s="2995"/>
      <c r="H1" s="2993"/>
      <c r="I1" s="2993"/>
      <c r="J1" s="2993"/>
      <c r="K1" s="2993"/>
      <c r="L1" s="2994"/>
      <c r="M1" s="2994"/>
      <c r="N1" s="2996"/>
      <c r="O1" s="2993"/>
      <c r="P1" s="2993"/>
      <c r="Q1" s="2993"/>
      <c r="R1" s="2994"/>
      <c r="S1" s="2995"/>
      <c r="T1" s="2993"/>
      <c r="U1" s="2993"/>
      <c r="V1" s="2993"/>
      <c r="W1" s="2993"/>
      <c r="X1" s="2994"/>
      <c r="Y1" s="2997"/>
    </row>
    <row r="2" spans="1:36" s="2998" customFormat="1" ht="22.5">
      <c r="A2" s="2931" t="s">
        <v>212</v>
      </c>
      <c r="B2" s="2934" t="s">
        <v>298</v>
      </c>
      <c r="C2" s="2934"/>
      <c r="D2" s="2934"/>
      <c r="E2" s="2934"/>
      <c r="F2" s="2934"/>
      <c r="G2" s="2935"/>
      <c r="H2" s="2934" t="s">
        <v>715</v>
      </c>
      <c r="I2" s="2934"/>
      <c r="J2" s="2934"/>
      <c r="K2" s="2934"/>
      <c r="L2" s="2934"/>
      <c r="M2" s="2934"/>
      <c r="N2" s="2947" t="s">
        <v>26</v>
      </c>
      <c r="O2" s="2934"/>
      <c r="P2" s="2934"/>
      <c r="Q2" s="2934"/>
      <c r="R2" s="2934"/>
      <c r="S2" s="2935"/>
      <c r="T2" s="2934" t="s">
        <v>124</v>
      </c>
      <c r="U2" s="2934"/>
      <c r="V2" s="2934"/>
      <c r="W2" s="2934"/>
      <c r="X2" s="2934"/>
      <c r="Y2" s="2945"/>
    </row>
    <row r="3" spans="1:36">
      <c r="A3" s="2931" t="s">
        <v>211</v>
      </c>
      <c r="B3" s="2934" t="s">
        <v>1329</v>
      </c>
      <c r="C3" s="2934"/>
      <c r="D3" s="2934"/>
      <c r="E3" s="2934"/>
      <c r="F3" s="2937"/>
      <c r="G3" s="2935"/>
      <c r="H3" s="2934" t="s">
        <v>1329</v>
      </c>
      <c r="I3" s="2934"/>
      <c r="J3" s="2934"/>
      <c r="K3" s="2934"/>
      <c r="L3" s="2937"/>
      <c r="M3" s="2935"/>
      <c r="N3" s="2934" t="s">
        <v>1329</v>
      </c>
      <c r="O3" s="2934"/>
      <c r="P3" s="2934"/>
      <c r="Q3" s="2934"/>
      <c r="R3" s="2937"/>
      <c r="S3" s="2935"/>
      <c r="T3" s="2934" t="s">
        <v>1329</v>
      </c>
      <c r="U3" s="2934"/>
      <c r="V3" s="2934"/>
      <c r="W3" s="2934"/>
      <c r="X3" s="2937"/>
      <c r="Y3" s="2945"/>
    </row>
    <row r="4" spans="1:36" s="3008" customFormat="1" ht="36" customHeight="1">
      <c r="A4" s="2687"/>
      <c r="B4" s="2999" t="s">
        <v>735</v>
      </c>
      <c r="C4" s="3000" t="s">
        <v>737</v>
      </c>
      <c r="D4" s="3001" t="s">
        <v>738</v>
      </c>
      <c r="E4" s="3000"/>
      <c r="F4" s="3002"/>
      <c r="G4" s="3003" t="s">
        <v>739</v>
      </c>
      <c r="H4" s="3004" t="s">
        <v>735</v>
      </c>
      <c r="I4" s="3000" t="s">
        <v>737</v>
      </c>
      <c r="J4" s="3001" t="s">
        <v>738</v>
      </c>
      <c r="K4" s="3000"/>
      <c r="L4" s="3002"/>
      <c r="M4" s="3001" t="s">
        <v>739</v>
      </c>
      <c r="N4" s="3004" t="s">
        <v>735</v>
      </c>
      <c r="O4" s="3000" t="s">
        <v>737</v>
      </c>
      <c r="P4" s="3001" t="s">
        <v>738</v>
      </c>
      <c r="Q4" s="3000"/>
      <c r="R4" s="3005"/>
      <c r="S4" s="3003" t="s">
        <v>739</v>
      </c>
      <c r="T4" s="3006" t="s">
        <v>735</v>
      </c>
      <c r="U4" s="3000" t="s">
        <v>737</v>
      </c>
      <c r="V4" s="3001" t="s">
        <v>738</v>
      </c>
      <c r="W4" s="3000"/>
      <c r="X4" s="3002"/>
      <c r="Y4" s="3007" t="s">
        <v>739</v>
      </c>
    </row>
    <row r="5" spans="1:36" ht="22.5">
      <c r="A5" s="2941" t="s">
        <v>213</v>
      </c>
      <c r="B5" s="3009"/>
      <c r="C5" s="2994"/>
      <c r="D5" s="2994"/>
      <c r="E5" s="2994"/>
      <c r="F5" s="2994"/>
      <c r="G5" s="2995"/>
      <c r="H5" s="2993"/>
      <c r="I5" s="2993"/>
      <c r="J5" s="2993"/>
      <c r="K5" s="2993"/>
      <c r="L5" s="2993"/>
      <c r="M5" s="2993"/>
      <c r="N5" s="2996" t="s">
        <v>716</v>
      </c>
      <c r="O5" s="2993"/>
      <c r="P5" s="2993"/>
      <c r="Q5" s="2993"/>
      <c r="R5" s="2993"/>
      <c r="S5" s="3010"/>
      <c r="T5" s="2993" t="s">
        <v>717</v>
      </c>
      <c r="U5" s="2993"/>
      <c r="V5" s="2993"/>
      <c r="W5" s="2993"/>
      <c r="X5" s="2993"/>
      <c r="Y5" s="3011"/>
    </row>
    <row r="6" spans="1:36" s="2992" customFormat="1" ht="45">
      <c r="A6" s="224"/>
      <c r="B6" s="3012" t="s">
        <v>732</v>
      </c>
      <c r="C6" s="3013" t="s">
        <v>733</v>
      </c>
      <c r="D6" s="3014" t="s">
        <v>734</v>
      </c>
      <c r="E6" s="3013" t="s">
        <v>17</v>
      </c>
      <c r="F6" s="3013" t="s">
        <v>18</v>
      </c>
      <c r="G6" s="3015" t="s">
        <v>19</v>
      </c>
      <c r="H6" s="3012" t="s">
        <v>732</v>
      </c>
      <c r="I6" s="3013" t="s">
        <v>733</v>
      </c>
      <c r="J6" s="3014" t="s">
        <v>734</v>
      </c>
      <c r="K6" s="3013" t="s">
        <v>17</v>
      </c>
      <c r="L6" s="3013" t="s">
        <v>18</v>
      </c>
      <c r="M6" s="3015" t="s">
        <v>19</v>
      </c>
      <c r="N6" s="3012" t="s">
        <v>732</v>
      </c>
      <c r="O6" s="3013" t="s">
        <v>733</v>
      </c>
      <c r="P6" s="3014" t="s">
        <v>734</v>
      </c>
      <c r="Q6" s="3013" t="s">
        <v>17</v>
      </c>
      <c r="R6" s="3014" t="s">
        <v>18</v>
      </c>
      <c r="S6" s="3016" t="s">
        <v>19</v>
      </c>
      <c r="T6" s="3012" t="s">
        <v>732</v>
      </c>
      <c r="U6" s="3013" t="s">
        <v>733</v>
      </c>
      <c r="V6" s="3014" t="s">
        <v>734</v>
      </c>
      <c r="W6" s="3013" t="s">
        <v>17</v>
      </c>
      <c r="X6" s="3013" t="s">
        <v>18</v>
      </c>
      <c r="Y6" s="3017" t="s">
        <v>19</v>
      </c>
    </row>
    <row r="7" spans="1:36" s="2992" customFormat="1" ht="22.5">
      <c r="A7" s="2931" t="s">
        <v>210</v>
      </c>
      <c r="B7" s="2950" t="s">
        <v>287</v>
      </c>
      <c r="C7" s="3018"/>
      <c r="D7" s="3019"/>
      <c r="E7" s="3018"/>
      <c r="F7" s="3018"/>
      <c r="G7" s="3020"/>
      <c r="H7" s="3021" t="s">
        <v>287</v>
      </c>
      <c r="I7" s="3022"/>
      <c r="J7" s="3023"/>
      <c r="K7" s="3022"/>
      <c r="L7" s="3022"/>
      <c r="M7" s="3023"/>
      <c r="N7" s="3021" t="s">
        <v>287</v>
      </c>
      <c r="O7" s="3022"/>
      <c r="P7" s="3023"/>
      <c r="Q7" s="3022"/>
      <c r="R7" s="3022"/>
      <c r="S7" s="3023"/>
      <c r="T7" s="3021" t="s">
        <v>287</v>
      </c>
      <c r="U7" s="3022"/>
      <c r="V7" s="3023"/>
      <c r="W7" s="3022"/>
      <c r="X7" s="3022"/>
      <c r="Y7" s="3024"/>
    </row>
    <row r="8" spans="1:36" ht="16.5" customHeight="1">
      <c r="A8" s="225" t="s">
        <v>412</v>
      </c>
      <c r="B8" s="2955" t="s">
        <v>450</v>
      </c>
      <c r="C8" s="2956" t="s">
        <v>451</v>
      </c>
      <c r="D8" s="2957" t="s">
        <v>452</v>
      </c>
      <c r="E8" s="2956" t="s">
        <v>453</v>
      </c>
      <c r="F8" s="2956" t="s">
        <v>454</v>
      </c>
      <c r="G8" s="2958" t="s">
        <v>455</v>
      </c>
      <c r="H8" s="2955" t="s">
        <v>456</v>
      </c>
      <c r="I8" s="2956" t="s">
        <v>459</v>
      </c>
      <c r="J8" s="2957" t="s">
        <v>460</v>
      </c>
      <c r="K8" s="2956" t="s">
        <v>463</v>
      </c>
      <c r="L8" s="2956" t="s">
        <v>464</v>
      </c>
      <c r="M8" s="2958" t="s">
        <v>465</v>
      </c>
      <c r="N8" s="2955" t="s">
        <v>466</v>
      </c>
      <c r="O8" s="2956" t="s">
        <v>467</v>
      </c>
      <c r="P8" s="2957" t="s">
        <v>468</v>
      </c>
      <c r="Q8" s="2956" t="s">
        <v>469</v>
      </c>
      <c r="R8" s="2957" t="s">
        <v>470</v>
      </c>
      <c r="S8" s="3025" t="s">
        <v>471</v>
      </c>
      <c r="T8" s="2955" t="s">
        <v>472</v>
      </c>
      <c r="U8" s="2956" t="s">
        <v>473</v>
      </c>
      <c r="V8" s="2957" t="s">
        <v>480</v>
      </c>
      <c r="W8" s="2956" t="s">
        <v>481</v>
      </c>
      <c r="X8" s="2956" t="s">
        <v>482</v>
      </c>
      <c r="Y8" s="2957" t="s">
        <v>483</v>
      </c>
      <c r="Z8" s="3026"/>
      <c r="AA8" s="3027"/>
      <c r="AB8" s="3027"/>
      <c r="AC8" s="3027"/>
      <c r="AD8" s="3027"/>
      <c r="AE8" s="3027"/>
      <c r="AF8" s="3027"/>
      <c r="AG8" s="3027"/>
      <c r="AH8" s="3027"/>
      <c r="AI8" s="3027"/>
      <c r="AJ8" s="3027"/>
    </row>
    <row r="9" spans="1:36" s="3036" customFormat="1" ht="13.5" thickBot="1">
      <c r="A9" s="2960" t="s">
        <v>217</v>
      </c>
      <c r="B9" s="3028" t="s">
        <v>171</v>
      </c>
      <c r="C9" s="3029" t="s">
        <v>172</v>
      </c>
      <c r="D9" s="3030" t="s">
        <v>173</v>
      </c>
      <c r="E9" s="3029" t="s">
        <v>174</v>
      </c>
      <c r="F9" s="3029" t="s">
        <v>175</v>
      </c>
      <c r="G9" s="3031" t="s">
        <v>176</v>
      </c>
      <c r="H9" s="3030" t="s">
        <v>20</v>
      </c>
      <c r="I9" s="3029" t="s">
        <v>21</v>
      </c>
      <c r="J9" s="3030" t="s">
        <v>22</v>
      </c>
      <c r="K9" s="3029" t="s">
        <v>23</v>
      </c>
      <c r="L9" s="3029" t="s">
        <v>24</v>
      </c>
      <c r="M9" s="3030" t="s">
        <v>25</v>
      </c>
      <c r="N9" s="3032" t="s">
        <v>49</v>
      </c>
      <c r="O9" s="3029" t="s">
        <v>50</v>
      </c>
      <c r="P9" s="3030" t="s">
        <v>35</v>
      </c>
      <c r="Q9" s="3029" t="s">
        <v>51</v>
      </c>
      <c r="R9" s="3030" t="s">
        <v>52</v>
      </c>
      <c r="S9" s="3033" t="s">
        <v>36</v>
      </c>
      <c r="T9" s="3034" t="s">
        <v>177</v>
      </c>
      <c r="U9" s="3029" t="s">
        <v>178</v>
      </c>
      <c r="V9" s="3030" t="s">
        <v>179</v>
      </c>
      <c r="W9" s="3029" t="s">
        <v>180</v>
      </c>
      <c r="X9" s="3029" t="s">
        <v>181</v>
      </c>
      <c r="Y9" s="3030" t="s">
        <v>182</v>
      </c>
      <c r="Z9" s="3035"/>
    </row>
    <row r="10" spans="1:36">
      <c r="A10" s="2966" t="s">
        <v>132</v>
      </c>
      <c r="B10" s="3037">
        <v>40.492072271078364</v>
      </c>
      <c r="C10" s="3038">
        <v>35.181103783153347</v>
      </c>
      <c r="D10" s="3039">
        <v>13.116069862688661</v>
      </c>
      <c r="E10" s="3040"/>
      <c r="F10" s="3041"/>
      <c r="G10" s="3042"/>
      <c r="H10" s="3043">
        <v>41.903352594301751</v>
      </c>
      <c r="I10" s="3038">
        <v>34.808086148160413</v>
      </c>
      <c r="J10" s="3039">
        <v>16.932455297398317</v>
      </c>
      <c r="K10" s="3040"/>
      <c r="L10" s="3041"/>
      <c r="M10" s="3044"/>
      <c r="N10" s="3043">
        <v>40.848732838076856</v>
      </c>
      <c r="O10" s="3038">
        <v>35.086834289695695</v>
      </c>
      <c r="P10" s="3039">
        <v>14.105452355697661</v>
      </c>
      <c r="Q10" s="3040"/>
      <c r="R10" s="3045"/>
      <c r="S10" s="3046"/>
      <c r="T10" s="3084">
        <f>('2.3'!R10/'2.3'!Q10)*100</f>
        <v>43.69312290773869</v>
      </c>
      <c r="U10" s="3086">
        <f>('2.3'!S10/'2.3'!Q10)*100</f>
        <v>38.029278970075758</v>
      </c>
      <c r="V10" s="3088">
        <f>('2.3'!T10/'2.3'!R10)*100</f>
        <v>12.962781235899667</v>
      </c>
      <c r="W10" s="3047"/>
      <c r="X10" s="3047"/>
      <c r="Y10" s="3048"/>
    </row>
    <row r="11" spans="1:36">
      <c r="A11" s="2966" t="s">
        <v>141</v>
      </c>
      <c r="B11" s="3049">
        <v>38.235593999414988</v>
      </c>
      <c r="C11" s="3050">
        <v>33.5299820316744</v>
      </c>
      <c r="D11" s="3051">
        <v>12.306888622712609</v>
      </c>
      <c r="E11" s="3052"/>
      <c r="F11" s="3053"/>
      <c r="G11" s="3054"/>
      <c r="H11" s="3049">
        <v>40.883996275109745</v>
      </c>
      <c r="I11" s="3050">
        <v>34.384881448204581</v>
      </c>
      <c r="J11" s="3051">
        <v>15.896476418724854</v>
      </c>
      <c r="K11" s="3052"/>
      <c r="L11" s="3053"/>
      <c r="M11" s="3055"/>
      <c r="N11" s="3049">
        <v>38.887726985814844</v>
      </c>
      <c r="O11" s="3050">
        <v>33.740489368376885</v>
      </c>
      <c r="P11" s="3051">
        <v>13.236149336564521</v>
      </c>
      <c r="Q11" s="3052"/>
      <c r="R11" s="3056"/>
      <c r="S11" s="3057"/>
      <c r="T11" s="3085">
        <f>('2.3'!R11/'2.3'!Q11)*100</f>
        <v>43.346433736357177</v>
      </c>
      <c r="U11" s="3087">
        <f>('2.3'!S11/'2.3'!Q11)*100</f>
        <v>37.095094454312346</v>
      </c>
      <c r="V11" s="518">
        <f>('2.3'!T11/'2.3'!R11)*100</f>
        <v>14.421807616439427</v>
      </c>
      <c r="W11" s="3061"/>
      <c r="X11" s="3061"/>
      <c r="Y11" s="3048"/>
    </row>
    <row r="12" spans="1:36">
      <c r="A12" s="2966" t="s">
        <v>133</v>
      </c>
      <c r="B12" s="3049">
        <v>41.148742171846713</v>
      </c>
      <c r="C12" s="3050">
        <v>32.510671454705601</v>
      </c>
      <c r="D12" s="3051">
        <v>20.99230805419646</v>
      </c>
      <c r="E12" s="3052"/>
      <c r="F12" s="3053"/>
      <c r="G12" s="3054"/>
      <c r="H12" s="3049">
        <v>39.796007885149294</v>
      </c>
      <c r="I12" s="3050">
        <v>31.525373873734402</v>
      </c>
      <c r="J12" s="3051">
        <v>20.782572049145784</v>
      </c>
      <c r="K12" s="3052"/>
      <c r="L12" s="3053"/>
      <c r="M12" s="3055"/>
      <c r="N12" s="3049">
        <v>40.826573753164709</v>
      </c>
      <c r="O12" s="3050">
        <v>32.276012093503425</v>
      </c>
      <c r="P12" s="3051">
        <v>20.943618025253656</v>
      </c>
      <c r="Q12" s="3052"/>
      <c r="R12" s="3056"/>
      <c r="S12" s="3057"/>
      <c r="T12" s="3085">
        <f>('2.3'!R12/'2.3'!Q12)*100</f>
        <v>45.188541057859752</v>
      </c>
      <c r="U12" s="3087">
        <f>('2.3'!S12/'2.3'!Q12)*100</f>
        <v>35.959658290924871</v>
      </c>
      <c r="V12" s="518">
        <f>('2.3'!T12/'2.3'!R12)*100</f>
        <v>20.423059808720424</v>
      </c>
      <c r="W12" s="3061"/>
      <c r="X12" s="3061"/>
      <c r="Y12" s="3048"/>
    </row>
    <row r="13" spans="1:36">
      <c r="A13" s="2966" t="s">
        <v>149</v>
      </c>
      <c r="B13" s="3049">
        <v>39.473622538229122</v>
      </c>
      <c r="C13" s="3050">
        <v>32.319191141391229</v>
      </c>
      <c r="D13" s="3051">
        <v>18.124587855875184</v>
      </c>
      <c r="E13" s="3052"/>
      <c r="F13" s="3053"/>
      <c r="G13" s="3054"/>
      <c r="H13" s="3049">
        <v>39.098641195673409</v>
      </c>
      <c r="I13" s="3050">
        <v>31.043470577840608</v>
      </c>
      <c r="J13" s="3051">
        <v>20.602175348037843</v>
      </c>
      <c r="K13" s="3052"/>
      <c r="L13" s="3053"/>
      <c r="M13" s="3055"/>
      <c r="N13" s="3049">
        <v>39.374368404792065</v>
      </c>
      <c r="O13" s="3050">
        <v>31.981519570373706</v>
      </c>
      <c r="P13" s="3051">
        <v>18.775790276596805</v>
      </c>
      <c r="Q13" s="3052"/>
      <c r="R13" s="3056"/>
      <c r="S13" s="3057"/>
      <c r="T13" s="3085">
        <f>('2.3'!R13/'2.3'!Q13)*100</f>
        <v>44.020896356372283</v>
      </c>
      <c r="U13" s="3087">
        <f>('2.3'!S13/'2.3'!Q13)*100</f>
        <v>35.792064380815582</v>
      </c>
      <c r="V13" s="518">
        <f>('2.3'!T13/'2.3'!R13)*100</f>
        <v>18.693013220221548</v>
      </c>
      <c r="W13" s="3061"/>
      <c r="X13" s="3061"/>
      <c r="Y13" s="3048"/>
    </row>
    <row r="14" spans="1:36">
      <c r="A14" s="2966" t="s">
        <v>134</v>
      </c>
      <c r="B14" s="3049">
        <v>39.760325450364505</v>
      </c>
      <c r="C14" s="3050">
        <v>31.937720453798857</v>
      </c>
      <c r="D14" s="3051">
        <v>19.674398808257077</v>
      </c>
      <c r="E14" s="3052"/>
      <c r="F14" s="3053"/>
      <c r="G14" s="3054"/>
      <c r="H14" s="3049">
        <v>37.895574731207603</v>
      </c>
      <c r="I14" s="3050">
        <v>29.829726362419823</v>
      </c>
      <c r="J14" s="3051">
        <v>21.284407021132807</v>
      </c>
      <c r="K14" s="3052"/>
      <c r="L14" s="3053"/>
      <c r="M14" s="3055"/>
      <c r="N14" s="3049">
        <v>39.267173839823101</v>
      </c>
      <c r="O14" s="3050">
        <v>31.380240748605154</v>
      </c>
      <c r="P14" s="3051">
        <v>20.085308719669953</v>
      </c>
      <c r="Q14" s="3052"/>
      <c r="R14" s="3056"/>
      <c r="S14" s="3057"/>
      <c r="T14" s="3085">
        <f>('2.3'!R14/'2.3'!Q14)*100</f>
        <v>43.567616618513156</v>
      </c>
      <c r="U14" s="3087">
        <f>('2.3'!S14/'2.3'!Q14)*100</f>
        <v>35.184441880359465</v>
      </c>
      <c r="V14" s="518">
        <f>('2.3'!T14/'2.3'!R14)*100</f>
        <v>19.241756581633688</v>
      </c>
      <c r="W14" s="3061"/>
      <c r="X14" s="3061"/>
      <c r="Y14" s="3048"/>
    </row>
    <row r="15" spans="1:36">
      <c r="A15" s="2966" t="s">
        <v>150</v>
      </c>
      <c r="B15" s="3049">
        <v>38.196981803578922</v>
      </c>
      <c r="C15" s="3050">
        <v>31.237120797947739</v>
      </c>
      <c r="D15" s="3051">
        <v>18.220971074157148</v>
      </c>
      <c r="E15" s="3052"/>
      <c r="F15" s="3053"/>
      <c r="G15" s="3054"/>
      <c r="H15" s="3049">
        <v>35.619284834556922</v>
      </c>
      <c r="I15" s="3050">
        <v>29.659114104919372</v>
      </c>
      <c r="J15" s="3051">
        <v>16.73298820378097</v>
      </c>
      <c r="K15" s="3052"/>
      <c r="L15" s="3053"/>
      <c r="M15" s="3055"/>
      <c r="N15" s="3049">
        <v>37.515299729123527</v>
      </c>
      <c r="O15" s="3050">
        <v>30.81981073825666</v>
      </c>
      <c r="P15" s="3051">
        <v>17.847355716763968</v>
      </c>
      <c r="Q15" s="3052"/>
      <c r="R15" s="3056"/>
      <c r="S15" s="3057"/>
      <c r="T15" s="3085">
        <f>('2.3'!R15/'2.3'!Q15)*100</f>
        <v>44.506110756772408</v>
      </c>
      <c r="U15" s="3087">
        <f>('2.3'!S15/'2.3'!Q15)*100</f>
        <v>35.857222456907827</v>
      </c>
      <c r="V15" s="518">
        <f>('2.3'!T15/'2.3'!R15)*100</f>
        <v>19.43303549288116</v>
      </c>
      <c r="W15" s="3061"/>
      <c r="X15" s="3061"/>
      <c r="Y15" s="3048"/>
    </row>
    <row r="16" spans="1:36">
      <c r="A16" s="2966" t="s">
        <v>135</v>
      </c>
      <c r="B16" s="3049">
        <v>39.428977783590263</v>
      </c>
      <c r="C16" s="3050">
        <v>33.087083748835227</v>
      </c>
      <c r="D16" s="3051">
        <v>16.084348089273647</v>
      </c>
      <c r="E16" s="3052"/>
      <c r="F16" s="3053"/>
      <c r="G16" s="3054"/>
      <c r="H16" s="3049">
        <v>37.660259611138116</v>
      </c>
      <c r="I16" s="3050">
        <v>30.724350139925484</v>
      </c>
      <c r="J16" s="3051">
        <v>18.41705166886668</v>
      </c>
      <c r="K16" s="3052"/>
      <c r="L16" s="3053"/>
      <c r="M16" s="3055"/>
      <c r="N16" s="3049">
        <v>38.952889964677773</v>
      </c>
      <c r="O16" s="3050">
        <v>32.451104140519476</v>
      </c>
      <c r="P16" s="3051">
        <v>16.691408083082084</v>
      </c>
      <c r="Q16" s="3052"/>
      <c r="R16" s="3056"/>
      <c r="S16" s="3057"/>
      <c r="T16" s="3085">
        <f>('2.3'!R16/'2.3'!Q16)*100</f>
        <v>44.748483987428799</v>
      </c>
      <c r="U16" s="3087">
        <f>('2.3'!S16/'2.3'!Q16)*100</f>
        <v>36.548652095658937</v>
      </c>
      <c r="V16" s="518">
        <f>('2.3'!T16/'2.3'!R16)*100</f>
        <v>18.324267463616067</v>
      </c>
      <c r="W16" s="3061"/>
      <c r="X16" s="3061"/>
      <c r="Y16" s="3048"/>
    </row>
    <row r="17" spans="1:25">
      <c r="A17" s="2966" t="s">
        <v>151</v>
      </c>
      <c r="B17" s="3049">
        <v>39.250579737445513</v>
      </c>
      <c r="C17" s="3050">
        <v>34.085070380450667</v>
      </c>
      <c r="D17" s="3051">
        <v>13.160339010399106</v>
      </c>
      <c r="E17" s="3052"/>
      <c r="F17" s="3053"/>
      <c r="G17" s="3054"/>
      <c r="H17" s="3049">
        <v>37.834133741552819</v>
      </c>
      <c r="I17" s="3050">
        <v>31.700681193680722</v>
      </c>
      <c r="J17" s="3051">
        <v>16.211425877410228</v>
      </c>
      <c r="K17" s="3052"/>
      <c r="L17" s="3053"/>
      <c r="M17" s="3055"/>
      <c r="N17" s="3049">
        <v>38.875933044728214</v>
      </c>
      <c r="O17" s="3050">
        <v>33.454404950519297</v>
      </c>
      <c r="P17" s="3051">
        <v>13.945718262173298</v>
      </c>
      <c r="Q17" s="3052"/>
      <c r="R17" s="3056"/>
      <c r="S17" s="3057"/>
      <c r="T17" s="3085">
        <f>('2.3'!R17/'2.3'!Q17)*100</f>
        <v>45.004684651581798</v>
      </c>
      <c r="U17" s="3087">
        <f>('2.3'!S17/'2.3'!Q17)*100</f>
        <v>37.841934208886848</v>
      </c>
      <c r="V17" s="518">
        <f>('2.3'!T17/'2.3'!R17)*100</f>
        <v>15.915566341921247</v>
      </c>
      <c r="W17" s="3061"/>
      <c r="X17" s="3061"/>
      <c r="Y17" s="3048"/>
    </row>
    <row r="18" spans="1:25">
      <c r="A18" s="2966" t="s">
        <v>136</v>
      </c>
      <c r="B18" s="3049">
        <v>40.337510049737133</v>
      </c>
      <c r="C18" s="3050">
        <v>34.769109806771148</v>
      </c>
      <c r="D18" s="3051">
        <v>13.804521489055761</v>
      </c>
      <c r="E18" s="3052"/>
      <c r="F18" s="3053"/>
      <c r="G18" s="3054"/>
      <c r="H18" s="3049">
        <v>38.116227996833999</v>
      </c>
      <c r="I18" s="3050">
        <v>32.19825423898866</v>
      </c>
      <c r="J18" s="3051">
        <v>15.526126452850717</v>
      </c>
      <c r="K18" s="3052"/>
      <c r="L18" s="3053"/>
      <c r="M18" s="3055"/>
      <c r="N18" s="3049">
        <v>39.747940782594341</v>
      </c>
      <c r="O18" s="3050">
        <v>34.086757274796859</v>
      </c>
      <c r="P18" s="3051">
        <v>14.242708921103445</v>
      </c>
      <c r="Q18" s="3052"/>
      <c r="R18" s="3056"/>
      <c r="S18" s="3057"/>
      <c r="T18" s="3085">
        <f>('2.3'!R18/'2.3'!Q18)*100</f>
        <v>45.194044171552697</v>
      </c>
      <c r="U18" s="3087">
        <f>('2.3'!S18/'2.3'!Q18)*100</f>
        <v>38.162219759873416</v>
      </c>
      <c r="V18" s="518">
        <f>('2.3'!T18/'2.3'!R18)*100</f>
        <v>15.559183827380183</v>
      </c>
      <c r="W18" s="3061"/>
      <c r="X18" s="3061"/>
      <c r="Y18" s="3048"/>
    </row>
    <row r="19" spans="1:25">
      <c r="A19" s="2966" t="s">
        <v>152</v>
      </c>
      <c r="B19" s="3049">
        <v>38.256390553147554</v>
      </c>
      <c r="C19" s="3050">
        <v>33.081033054378231</v>
      </c>
      <c r="D19" s="3051">
        <v>13.528086220208019</v>
      </c>
      <c r="E19" s="3052"/>
      <c r="F19" s="3053"/>
      <c r="G19" s="3054"/>
      <c r="H19" s="3049">
        <v>36.869768174526932</v>
      </c>
      <c r="I19" s="3050">
        <v>31.881604607667175</v>
      </c>
      <c r="J19" s="3051">
        <v>13.529142747108594</v>
      </c>
      <c r="K19" s="3052"/>
      <c r="L19" s="3053"/>
      <c r="M19" s="3055"/>
      <c r="N19" s="3049">
        <v>37.888757388096217</v>
      </c>
      <c r="O19" s="3050">
        <v>32.763030342958245</v>
      </c>
      <c r="P19" s="3051">
        <v>13.528358802150532</v>
      </c>
      <c r="Q19" s="3052"/>
      <c r="R19" s="3056"/>
      <c r="S19" s="3057"/>
      <c r="T19" s="3085">
        <f>('2.3'!R19/'2.3'!Q19)*100</f>
        <v>44.855005285087188</v>
      </c>
      <c r="U19" s="3087">
        <f>('2.3'!S19/'2.3'!Q19)*100</f>
        <v>38.233163891571181</v>
      </c>
      <c r="V19" s="518">
        <f>('2.3'!T19/'2.3'!R19)*100</f>
        <v>14.762770289356208</v>
      </c>
      <c r="W19" s="3061"/>
      <c r="X19" s="3061"/>
      <c r="Y19" s="3048"/>
    </row>
    <row r="20" spans="1:25">
      <c r="A20" s="2966" t="s">
        <v>137</v>
      </c>
      <c r="B20" s="3049">
        <v>40.307087390059152</v>
      </c>
      <c r="C20" s="3050">
        <v>34.282789946630807</v>
      </c>
      <c r="D20" s="3051">
        <v>14.946000402187584</v>
      </c>
      <c r="E20" s="3052"/>
      <c r="F20" s="3053"/>
      <c r="G20" s="3054"/>
      <c r="H20" s="3049">
        <v>37.380866009299865</v>
      </c>
      <c r="I20" s="3050">
        <v>31.084435357099672</v>
      </c>
      <c r="J20" s="3051">
        <v>16.843993530363178</v>
      </c>
      <c r="K20" s="3052"/>
      <c r="L20" s="3053"/>
      <c r="M20" s="3055"/>
      <c r="N20" s="3049">
        <v>39.530214230389163</v>
      </c>
      <c r="O20" s="3050">
        <v>33.433669011334608</v>
      </c>
      <c r="P20" s="3051">
        <v>15.422494761912498</v>
      </c>
      <c r="Q20" s="3052"/>
      <c r="R20" s="3056"/>
      <c r="S20" s="3057"/>
      <c r="T20" s="3085">
        <f>('2.3'!R20/'2.3'!Q20)*100</f>
        <v>45.626110494547042</v>
      </c>
      <c r="U20" s="3087">
        <f>('2.3'!S20/'2.3'!Q20)*100</f>
        <v>37.971636161973237</v>
      </c>
      <c r="V20" s="518">
        <f>('2.3'!T20/'2.3'!R20)*100</f>
        <v>16.776521710060347</v>
      </c>
      <c r="W20" s="3061"/>
      <c r="X20" s="3061"/>
      <c r="Y20" s="3048"/>
    </row>
    <row r="21" spans="1:25">
      <c r="A21" s="2966" t="s">
        <v>153</v>
      </c>
      <c r="B21" s="3049">
        <v>39.476692413113632</v>
      </c>
      <c r="C21" s="3050">
        <v>32.861297595664993</v>
      </c>
      <c r="D21" s="3051">
        <v>16.757723135008881</v>
      </c>
      <c r="E21" s="3052"/>
      <c r="F21" s="3053"/>
      <c r="G21" s="3054"/>
      <c r="H21" s="3049">
        <v>36.090292781047459</v>
      </c>
      <c r="I21" s="3050">
        <v>31.248709570992219</v>
      </c>
      <c r="J21" s="3051">
        <v>13.415195159064369</v>
      </c>
      <c r="K21" s="3052"/>
      <c r="L21" s="3053"/>
      <c r="M21" s="3055"/>
      <c r="N21" s="3049">
        <v>38.560520858707406</v>
      </c>
      <c r="O21" s="3050">
        <v>32.425020889516198</v>
      </c>
      <c r="P21" s="3051">
        <v>15.911351383641223</v>
      </c>
      <c r="Q21" s="3052"/>
      <c r="R21" s="3056"/>
      <c r="S21" s="3057"/>
      <c r="T21" s="3085">
        <f>('2.3'!R21/'2.3'!Q21)*100</f>
        <v>45.467798331152594</v>
      </c>
      <c r="U21" s="3087">
        <f>('2.3'!S21/'2.3'!Q21)*100</f>
        <v>38.123877058762865</v>
      </c>
      <c r="V21" s="518">
        <f>('2.3'!T21/'2.3'!R21)*100</f>
        <v>16.151917493128291</v>
      </c>
      <c r="W21" s="3061"/>
      <c r="X21" s="3061"/>
      <c r="Y21" s="3048"/>
    </row>
    <row r="22" spans="1:25">
      <c r="A22" s="2966" t="s">
        <v>138</v>
      </c>
      <c r="B22" s="3049">
        <v>39.060886947067971</v>
      </c>
      <c r="C22" s="3050">
        <v>31.815846240367701</v>
      </c>
      <c r="D22" s="3051">
        <v>18.548070136036962</v>
      </c>
      <c r="E22" s="3052"/>
      <c r="F22" s="3053"/>
      <c r="G22" s="3054"/>
      <c r="H22" s="3049">
        <v>38.075244916440269</v>
      </c>
      <c r="I22" s="3050">
        <v>31.944365285931102</v>
      </c>
      <c r="J22" s="3051">
        <v>16.102009702009703</v>
      </c>
      <c r="K22" s="3052"/>
      <c r="L22" s="3053"/>
      <c r="M22" s="3055"/>
      <c r="N22" s="3049">
        <v>38.794134231247583</v>
      </c>
      <c r="O22" s="3050">
        <v>31.850628446659012</v>
      </c>
      <c r="P22" s="3051">
        <v>17.898339329340576</v>
      </c>
      <c r="Q22" s="3052"/>
      <c r="R22" s="3056"/>
      <c r="S22" s="3057"/>
      <c r="T22" s="3085">
        <f>('2.3'!R22/'2.3'!Q22)*100</f>
        <v>45.140286702195596</v>
      </c>
      <c r="U22" s="3087">
        <f>('2.3'!S22/'2.3'!Q22)*100</f>
        <v>37.191022610518381</v>
      </c>
      <c r="V22" s="518">
        <f>('2.3'!T22/'2.3'!R22)*100</f>
        <v>17.610132040412072</v>
      </c>
      <c r="W22" s="3052"/>
      <c r="X22" s="3052"/>
      <c r="Y22" s="3062"/>
    </row>
    <row r="23" spans="1:25">
      <c r="A23" s="2966" t="s">
        <v>154</v>
      </c>
      <c r="B23" s="3049">
        <v>41.697737164985313</v>
      </c>
      <c r="C23" s="3050">
        <v>34.256304178816656</v>
      </c>
      <c r="D23" s="3051">
        <v>17.846131450071667</v>
      </c>
      <c r="E23" s="3052"/>
      <c r="F23" s="3053"/>
      <c r="G23" s="3054"/>
      <c r="H23" s="3049">
        <v>39.115207566558666</v>
      </c>
      <c r="I23" s="3050">
        <v>32.989818280956726</v>
      </c>
      <c r="J23" s="3051">
        <v>15.659866498673027</v>
      </c>
      <c r="K23" s="3052"/>
      <c r="L23" s="3053"/>
      <c r="M23" s="3055"/>
      <c r="N23" s="3049">
        <v>40.998776262674419</v>
      </c>
      <c r="O23" s="3050">
        <v>33.913530130274673</v>
      </c>
      <c r="P23" s="3051">
        <v>17.28160393618921</v>
      </c>
      <c r="Q23" s="3052"/>
      <c r="R23" s="3056"/>
      <c r="S23" s="3057"/>
      <c r="T23" s="3085">
        <f>('2.3'!R23/'2.3'!Q23)*100</f>
        <v>45.463442084196224</v>
      </c>
      <c r="U23" s="3087">
        <f>('2.3'!S23/'2.3'!Q23)*100</f>
        <v>37.738086978390925</v>
      </c>
      <c r="V23" s="518">
        <f>('2.3'!T23/'2.3'!R23)*100</f>
        <v>16.992455369961419</v>
      </c>
      <c r="W23" s="3052"/>
      <c r="X23" s="3052"/>
      <c r="Y23" s="3062"/>
    </row>
    <row r="24" spans="1:25">
      <c r="A24" s="2966" t="s">
        <v>131</v>
      </c>
      <c r="B24" s="3049">
        <v>42.845572958687747</v>
      </c>
      <c r="C24" s="3050">
        <v>34.181726376644207</v>
      </c>
      <c r="D24" s="3051">
        <v>20.221101000090098</v>
      </c>
      <c r="E24" s="3052"/>
      <c r="F24" s="3053"/>
      <c r="G24" s="3054"/>
      <c r="H24" s="3049">
        <v>37.526558828976754</v>
      </c>
      <c r="I24" s="3050">
        <v>31.35346497772284</v>
      </c>
      <c r="J24" s="3051">
        <v>16.449933177691886</v>
      </c>
      <c r="K24" s="3052"/>
      <c r="L24" s="3053"/>
      <c r="M24" s="3055"/>
      <c r="N24" s="3049">
        <v>41.406206884900634</v>
      </c>
      <c r="O24" s="3050">
        <v>33.41637712091093</v>
      </c>
      <c r="P24" s="3051">
        <v>19.296212730133732</v>
      </c>
      <c r="Q24" s="3052"/>
      <c r="R24" s="3056"/>
      <c r="S24" s="3057"/>
      <c r="T24" s="3085">
        <f>('2.3'!R24/'2.3'!Q24)*100</f>
        <v>45.477595828153611</v>
      </c>
      <c r="U24" s="3087">
        <f>('2.3'!S24/'2.3'!Q24)*100</f>
        <v>37.049854270887188</v>
      </c>
      <c r="V24" s="518">
        <f>('2.3'!T24/'2.3'!R24)*100</f>
        <v>18.53163388212597</v>
      </c>
      <c r="W24" s="3052"/>
      <c r="X24" s="3052"/>
      <c r="Y24" s="3062"/>
    </row>
    <row r="25" spans="1:25">
      <c r="A25" s="2966" t="s">
        <v>155</v>
      </c>
      <c r="B25" s="3049">
        <v>43.782421578329611</v>
      </c>
      <c r="C25" s="3050">
        <v>33.784109303199777</v>
      </c>
      <c r="D25" s="3051">
        <v>22.836361979755289</v>
      </c>
      <c r="E25" s="3052"/>
      <c r="F25" s="3053"/>
      <c r="G25" s="3054"/>
      <c r="H25" s="3049">
        <v>38.95636880088518</v>
      </c>
      <c r="I25" s="3050">
        <v>31.036240978977098</v>
      </c>
      <c r="J25" s="3051">
        <v>20.33076507307354</v>
      </c>
      <c r="K25" s="3052"/>
      <c r="L25" s="3053"/>
      <c r="M25" s="3055"/>
      <c r="N25" s="3049">
        <v>42.474862328672891</v>
      </c>
      <c r="O25" s="3050">
        <v>33.039608401558432</v>
      </c>
      <c r="P25" s="3051">
        <v>22.213736336810054</v>
      </c>
      <c r="Q25" s="3052"/>
      <c r="R25" s="3056"/>
      <c r="S25" s="3057"/>
      <c r="T25" s="3085">
        <f>('2.3'!R25/'2.3'!Q25)*100</f>
        <v>44.824242548292958</v>
      </c>
      <c r="U25" s="3087">
        <f>('2.3'!S25/'2.3'!Q25)*100</f>
        <v>35.625988372343798</v>
      </c>
      <c r="V25" s="518">
        <f>('2.3'!T25/'2.3'!R25)*100</f>
        <v>20.520713018271529</v>
      </c>
      <c r="W25" s="3052"/>
      <c r="X25" s="3052"/>
      <c r="Y25" s="3062"/>
    </row>
    <row r="26" spans="1:25">
      <c r="A26" s="2966" t="s">
        <v>139</v>
      </c>
      <c r="B26" s="3049">
        <v>41.319572400980668</v>
      </c>
      <c r="C26" s="3050">
        <v>31.282264081986931</v>
      </c>
      <c r="D26" s="3051">
        <v>24.291897848283437</v>
      </c>
      <c r="E26" s="3052"/>
      <c r="F26" s="3053"/>
      <c r="G26" s="3054"/>
      <c r="H26" s="3049">
        <v>37.355529940236231</v>
      </c>
      <c r="I26" s="3050">
        <v>28.608808348501196</v>
      </c>
      <c r="J26" s="3051">
        <v>23.414797235452419</v>
      </c>
      <c r="K26" s="3052"/>
      <c r="L26" s="3053"/>
      <c r="M26" s="3055"/>
      <c r="N26" s="3049">
        <v>40.245021237060875</v>
      </c>
      <c r="O26" s="3050">
        <v>30.557558179223811</v>
      </c>
      <c r="P26" s="3051">
        <v>24.071208711193488</v>
      </c>
      <c r="Q26" s="3052"/>
      <c r="R26" s="3056"/>
      <c r="S26" s="3057"/>
      <c r="T26" s="3085">
        <f>('2.3'!R26/'2.3'!Q26)*100</f>
        <v>44.438800646722363</v>
      </c>
      <c r="U26" s="3087">
        <f>('2.3'!S26/'2.3'!Q26)*100</f>
        <v>33.960446711935219</v>
      </c>
      <c r="V26" s="518">
        <f>('2.3'!T26/'2.3'!R26)*100</f>
        <v>23.579290580066512</v>
      </c>
      <c r="W26" s="3052"/>
      <c r="X26" s="3052"/>
      <c r="Y26" s="3062"/>
    </row>
    <row r="27" spans="1:25">
      <c r="A27" s="2966" t="s">
        <v>140</v>
      </c>
      <c r="B27" s="3049">
        <v>43.077350483639229</v>
      </c>
      <c r="C27" s="3050">
        <v>34.90355223894155</v>
      </c>
      <c r="D27" s="3051">
        <v>18.974700516463027</v>
      </c>
      <c r="E27" s="3052"/>
      <c r="F27" s="3053"/>
      <c r="G27" s="3054"/>
      <c r="H27" s="3049">
        <v>39.096806184410539</v>
      </c>
      <c r="I27" s="3050">
        <v>31.216925840723786</v>
      </c>
      <c r="J27" s="3051">
        <v>20.154792968303305</v>
      </c>
      <c r="K27" s="3052"/>
      <c r="L27" s="3053"/>
      <c r="M27" s="3055"/>
      <c r="N27" s="3049">
        <v>41.997030503523789</v>
      </c>
      <c r="O27" s="3050">
        <v>33.903001596159505</v>
      </c>
      <c r="P27" s="3051">
        <v>19.272860033961564</v>
      </c>
      <c r="Q27" s="3052"/>
      <c r="R27" s="3056"/>
      <c r="S27" s="3057"/>
      <c r="T27" s="3085">
        <f>('2.3'!R27/'2.3'!Q27)*100</f>
        <v>46.000391519354359</v>
      </c>
      <c r="U27" s="3087">
        <f>('2.3'!S27/'2.3'!Q27)*100</f>
        <v>36.399153948381162</v>
      </c>
      <c r="V27" s="518">
        <f>('2.3'!T27/'2.3'!R27)*100</f>
        <v>20.872077940757389</v>
      </c>
      <c r="W27" s="3052"/>
      <c r="X27" s="3052"/>
      <c r="Y27" s="3062"/>
    </row>
    <row r="28" spans="1:25">
      <c r="A28" s="2985">
        <v>2003.1</v>
      </c>
      <c r="B28" s="3063">
        <v>44.1</v>
      </c>
      <c r="C28" s="3050">
        <v>34.200000000000003</v>
      </c>
      <c r="D28" s="3051">
        <v>22.4</v>
      </c>
      <c r="E28" s="3134">
        <v>10.1</v>
      </c>
      <c r="F28" s="3134">
        <v>6.1</v>
      </c>
      <c r="G28" s="3078">
        <f t="shared" ref="G28:G78" si="0">E28+F28</f>
        <v>16.2</v>
      </c>
      <c r="H28" s="3136">
        <f>AVERAGE(H26:H27)</f>
        <v>38.226168062323381</v>
      </c>
      <c r="I28" s="3137">
        <f t="shared" ref="I28:J28" si="1">AVERAGE(I26:I27)</f>
        <v>29.912867094612491</v>
      </c>
      <c r="J28" s="3137">
        <f t="shared" si="1"/>
        <v>21.784795101877862</v>
      </c>
      <c r="K28" s="3065" t="e">
        <v>#N/A</v>
      </c>
      <c r="L28" s="3065" t="e">
        <v>#N/A</v>
      </c>
      <c r="M28" s="3066" t="e">
        <v>#N/A</v>
      </c>
      <c r="N28" s="3049">
        <v>41.8</v>
      </c>
      <c r="O28" s="3050">
        <v>33.9</v>
      </c>
      <c r="P28" s="3051">
        <v>18.8</v>
      </c>
      <c r="Q28" s="3075">
        <v>14.6</v>
      </c>
      <c r="R28" s="3075">
        <v>4.5</v>
      </c>
      <c r="S28" s="3076">
        <v>19.100000000000001</v>
      </c>
      <c r="T28" s="3085">
        <f>('2.3'!R28/'2.3'!Q28)*100</f>
        <v>45.617387184797018</v>
      </c>
      <c r="U28" s="3087">
        <f>('2.3'!S28/'2.3'!Q28)*100</f>
        <v>36.308031506254196</v>
      </c>
      <c r="V28" s="518">
        <f>('2.3'!T28/'2.3'!R28)*100</f>
        <v>20.407472354412629</v>
      </c>
      <c r="W28" s="3064">
        <v>12</v>
      </c>
      <c r="X28" s="3064">
        <v>5.7</v>
      </c>
      <c r="Y28" s="3079">
        <f t="shared" ref="Y28:Y51" si="2">W28+X28</f>
        <v>17.7</v>
      </c>
    </row>
    <row r="29" spans="1:25">
      <c r="A29" s="2988">
        <v>2003.2</v>
      </c>
      <c r="B29" s="3063">
        <v>44.6</v>
      </c>
      <c r="C29" s="3050">
        <v>34.4</v>
      </c>
      <c r="D29" s="3051">
        <v>22.9</v>
      </c>
      <c r="E29" s="3050">
        <v>8.5</v>
      </c>
      <c r="F29" s="3050">
        <v>7</v>
      </c>
      <c r="G29" s="3067">
        <f t="shared" si="0"/>
        <v>15.5</v>
      </c>
      <c r="H29" s="3136">
        <f>AVERAGE(H30:H31)</f>
        <v>43.85923510594818</v>
      </c>
      <c r="I29" s="3137">
        <f t="shared" ref="I29:J29" si="3">AVERAGE(I30:I31)</f>
        <v>36.421438300163828</v>
      </c>
      <c r="J29" s="3137">
        <f t="shared" si="3"/>
        <v>16.925653039322675</v>
      </c>
      <c r="K29" s="3065" t="e">
        <v>#N/A</v>
      </c>
      <c r="L29" s="3065" t="e">
        <v>#N/A</v>
      </c>
      <c r="M29" s="3066" t="e">
        <v>#N/A</v>
      </c>
      <c r="N29" s="3049">
        <v>40.700000000000003</v>
      </c>
      <c r="O29" s="3050">
        <v>33.799999999999997</v>
      </c>
      <c r="P29" s="3051">
        <v>17</v>
      </c>
      <c r="Q29" s="3050">
        <v>12.6</v>
      </c>
      <c r="R29" s="3051">
        <v>4.8</v>
      </c>
      <c r="S29" s="3068">
        <v>17.399999999999999</v>
      </c>
      <c r="T29" s="3085">
        <f>('2.3'!R29/'2.3'!Q29)*100</f>
        <v>45.611570305962474</v>
      </c>
      <c r="U29" s="3087">
        <f>('2.3'!S29/'2.3'!Q29)*100</f>
        <v>37.502849438750665</v>
      </c>
      <c r="V29" s="518">
        <f>('2.3'!T29/'2.3'!R29)*100</f>
        <v>17.777771764529255</v>
      </c>
      <c r="W29" s="3050">
        <v>11.8</v>
      </c>
      <c r="X29" s="3050">
        <v>6</v>
      </c>
      <c r="Y29" s="3069">
        <f t="shared" si="2"/>
        <v>17.8</v>
      </c>
    </row>
    <row r="30" spans="1:25">
      <c r="A30" s="2988">
        <v>2003.3</v>
      </c>
      <c r="B30" s="3051">
        <v>44.4</v>
      </c>
      <c r="C30" s="3050">
        <v>35.799999999999997</v>
      </c>
      <c r="D30" s="3050">
        <v>19.399999999999999</v>
      </c>
      <c r="E30" s="3050">
        <v>10</v>
      </c>
      <c r="F30" s="3050">
        <v>4.7</v>
      </c>
      <c r="G30" s="3067">
        <f t="shared" si="0"/>
        <v>14.7</v>
      </c>
      <c r="H30" s="3136">
        <v>44.514668948196395</v>
      </c>
      <c r="I30" s="3137">
        <v>36.006700224402323</v>
      </c>
      <c r="J30" s="3137">
        <v>19.112730533153375</v>
      </c>
      <c r="K30" s="3139">
        <v>11.537746152415382</v>
      </c>
      <c r="L30" s="3139">
        <v>4.8627174177425276</v>
      </c>
      <c r="M30" s="3077">
        <f t="shared" ref="M30:M47" si="4">K30+L30</f>
        <v>16.40046357015791</v>
      </c>
      <c r="N30" s="3058">
        <f t="shared" ref="N30:S45" si="5">(B30+H30)/2</f>
        <v>44.457334474098197</v>
      </c>
      <c r="O30" s="3059">
        <f t="shared" si="5"/>
        <v>35.90335011220116</v>
      </c>
      <c r="P30" s="3060">
        <f t="shared" si="5"/>
        <v>19.256365266576687</v>
      </c>
      <c r="Q30" s="3059">
        <f t="shared" si="5"/>
        <v>10.76887307620769</v>
      </c>
      <c r="R30" s="3060">
        <f t="shared" si="5"/>
        <v>4.7813587088712639</v>
      </c>
      <c r="S30" s="3070">
        <f t="shared" si="5"/>
        <v>15.550231785078955</v>
      </c>
      <c r="T30" s="3136">
        <v>46.441383517311799</v>
      </c>
      <c r="U30" s="3137">
        <v>38.800664102304424</v>
      </c>
      <c r="V30" s="3137">
        <v>16.452394042393621</v>
      </c>
      <c r="W30" s="3136">
        <v>11.914588483558006</v>
      </c>
      <c r="X30" s="3137">
        <v>5.0053412088653912</v>
      </c>
      <c r="Y30" s="3069">
        <f t="shared" si="2"/>
        <v>16.919929692423398</v>
      </c>
    </row>
    <row r="31" spans="1:25">
      <c r="A31" s="2988">
        <v>2003.4</v>
      </c>
      <c r="B31" s="3051">
        <v>44.3</v>
      </c>
      <c r="C31" s="3050">
        <v>36.9</v>
      </c>
      <c r="D31" s="3050">
        <v>16.600000000000001</v>
      </c>
      <c r="E31" s="3050">
        <v>8.5</v>
      </c>
      <c r="F31" s="3050">
        <v>3.5</v>
      </c>
      <c r="G31" s="3067">
        <f t="shared" si="0"/>
        <v>12</v>
      </c>
      <c r="H31" s="3136">
        <v>43.203801263699965</v>
      </c>
      <c r="I31" s="3137">
        <v>36.836176375925326</v>
      </c>
      <c r="J31" s="3137">
        <v>14.738575545491972</v>
      </c>
      <c r="K31" s="3137">
        <v>8.7901154698190513</v>
      </c>
      <c r="L31" s="3137">
        <v>5.116253994393146</v>
      </c>
      <c r="M31" s="3067">
        <f t="shared" si="4"/>
        <v>13.906369464212197</v>
      </c>
      <c r="N31" s="3058">
        <f t="shared" si="5"/>
        <v>43.751900631849978</v>
      </c>
      <c r="O31" s="3059">
        <f t="shared" si="5"/>
        <v>36.868088187962663</v>
      </c>
      <c r="P31" s="3060">
        <f t="shared" si="5"/>
        <v>15.669287772745987</v>
      </c>
      <c r="Q31" s="3059">
        <f t="shared" si="5"/>
        <v>8.6450577349095248</v>
      </c>
      <c r="R31" s="3060">
        <f t="shared" si="5"/>
        <v>4.308126997196573</v>
      </c>
      <c r="S31" s="3070">
        <f t="shared" si="5"/>
        <v>12.953184732106099</v>
      </c>
      <c r="T31" s="3136">
        <v>46.271329092473991</v>
      </c>
      <c r="U31" s="3137">
        <v>39.586432932179228</v>
      </c>
      <c r="V31" s="3137">
        <v>14.447166942049336</v>
      </c>
      <c r="W31" s="3136">
        <v>11.308988753484577</v>
      </c>
      <c r="X31" s="3137">
        <v>4.8612372106837203</v>
      </c>
      <c r="Y31" s="3069">
        <f t="shared" si="2"/>
        <v>16.170225964168296</v>
      </c>
    </row>
    <row r="32" spans="1:25">
      <c r="A32" s="2988">
        <v>2004.1</v>
      </c>
      <c r="B32" s="3051">
        <v>44.3</v>
      </c>
      <c r="C32" s="3050">
        <v>36.700000000000003</v>
      </c>
      <c r="D32" s="3050">
        <v>17.2</v>
      </c>
      <c r="E32" s="3050">
        <v>7.7</v>
      </c>
      <c r="F32" s="3050">
        <v>3</v>
      </c>
      <c r="G32" s="3067">
        <f t="shared" si="0"/>
        <v>10.7</v>
      </c>
      <c r="H32" s="3136">
        <v>40.381906236337485</v>
      </c>
      <c r="I32" s="3137">
        <v>34.278629767227706</v>
      </c>
      <c r="J32" s="3137">
        <v>15.113888961531421</v>
      </c>
      <c r="K32" s="3137">
        <v>8.8061926305604228</v>
      </c>
      <c r="L32" s="3137">
        <v>5.3955385862601002</v>
      </c>
      <c r="M32" s="3067">
        <f t="shared" si="4"/>
        <v>14.201731216820523</v>
      </c>
      <c r="N32" s="3058">
        <f t="shared" si="5"/>
        <v>42.340953118168741</v>
      </c>
      <c r="O32" s="3059">
        <f t="shared" si="5"/>
        <v>35.489314883613858</v>
      </c>
      <c r="P32" s="3060">
        <f t="shared" si="5"/>
        <v>16.156944480765709</v>
      </c>
      <c r="Q32" s="3059">
        <f t="shared" si="5"/>
        <v>8.2530963152802119</v>
      </c>
      <c r="R32" s="3060">
        <f t="shared" si="5"/>
        <v>4.1977692931300501</v>
      </c>
      <c r="S32" s="3070">
        <f t="shared" si="5"/>
        <v>12.450865608410261</v>
      </c>
      <c r="T32" s="3136">
        <v>46.093157067204693</v>
      </c>
      <c r="U32" s="3137">
        <v>39.51246989932298</v>
      </c>
      <c r="V32" s="3137">
        <v>14.276928695265866</v>
      </c>
      <c r="W32" s="3136">
        <v>10.317594926462698</v>
      </c>
      <c r="X32" s="3137">
        <v>5.1223958872572366</v>
      </c>
      <c r="Y32" s="3069">
        <f t="shared" si="2"/>
        <v>15.439990813719934</v>
      </c>
    </row>
    <row r="33" spans="1:25">
      <c r="A33" s="2988">
        <v>2004.2</v>
      </c>
      <c r="B33" s="3051">
        <v>44.7</v>
      </c>
      <c r="C33" s="3050">
        <v>37.700000000000003</v>
      </c>
      <c r="D33" s="3050">
        <v>15.7</v>
      </c>
      <c r="E33" s="3050">
        <v>9.4</v>
      </c>
      <c r="F33" s="3050">
        <v>3.7</v>
      </c>
      <c r="G33" s="3067">
        <f t="shared" si="0"/>
        <v>13.100000000000001</v>
      </c>
      <c r="H33" s="3136">
        <v>42.362322504529558</v>
      </c>
      <c r="I33" s="3137">
        <v>35.147473981376145</v>
      </c>
      <c r="J33" s="3137">
        <v>17.031286522078606</v>
      </c>
      <c r="K33" s="3137">
        <v>10.496973796107959</v>
      </c>
      <c r="L33" s="3137">
        <v>4.8648030356530088</v>
      </c>
      <c r="M33" s="3067">
        <f t="shared" si="4"/>
        <v>15.361776831760967</v>
      </c>
      <c r="N33" s="3058">
        <f t="shared" si="5"/>
        <v>43.531161252264781</v>
      </c>
      <c r="O33" s="3059">
        <f t="shared" si="5"/>
        <v>36.42373699068807</v>
      </c>
      <c r="P33" s="3060">
        <f t="shared" si="5"/>
        <v>16.365643261039303</v>
      </c>
      <c r="Q33" s="3059">
        <f t="shared" si="5"/>
        <v>9.9484868980539787</v>
      </c>
      <c r="R33" s="3060">
        <f t="shared" si="5"/>
        <v>4.2824015178265045</v>
      </c>
      <c r="S33" s="3070">
        <f t="shared" si="5"/>
        <v>14.230888415880484</v>
      </c>
      <c r="T33" s="3136">
        <v>46.654742237376595</v>
      </c>
      <c r="U33" s="3137">
        <v>39.818199777070539</v>
      </c>
      <c r="V33" s="3137">
        <v>14.653478151314452</v>
      </c>
      <c r="W33" s="3136">
        <v>10.617313363711562</v>
      </c>
      <c r="X33" s="3137">
        <v>4.4881921614076257</v>
      </c>
      <c r="Y33" s="3069">
        <f t="shared" si="2"/>
        <v>15.105505525119188</v>
      </c>
    </row>
    <row r="34" spans="1:25">
      <c r="A34" s="2988">
        <v>2004.3</v>
      </c>
      <c r="B34" s="3051">
        <v>46</v>
      </c>
      <c r="C34" s="3050">
        <v>38.5</v>
      </c>
      <c r="D34" s="3050">
        <v>16.2</v>
      </c>
      <c r="E34" s="3050">
        <v>7.3</v>
      </c>
      <c r="F34" s="3050">
        <v>2.4</v>
      </c>
      <c r="G34" s="3067">
        <f t="shared" si="0"/>
        <v>9.6999999999999993</v>
      </c>
      <c r="H34" s="3136">
        <v>41.599416605721302</v>
      </c>
      <c r="I34" s="3137">
        <v>36.580040181911414</v>
      </c>
      <c r="J34" s="3137">
        <v>12.065977923160474</v>
      </c>
      <c r="K34" s="3137">
        <v>9.2490338225264583</v>
      </c>
      <c r="L34" s="3137">
        <v>4.1743918765313595</v>
      </c>
      <c r="M34" s="3067">
        <f t="shared" si="4"/>
        <v>13.423425699057818</v>
      </c>
      <c r="N34" s="3058">
        <f t="shared" si="5"/>
        <v>43.799708302860651</v>
      </c>
      <c r="O34" s="3059">
        <f t="shared" si="5"/>
        <v>37.540020090955707</v>
      </c>
      <c r="P34" s="3060">
        <f t="shared" si="5"/>
        <v>14.132988961580237</v>
      </c>
      <c r="Q34" s="3059">
        <f t="shared" si="5"/>
        <v>8.2745169112632286</v>
      </c>
      <c r="R34" s="3060">
        <f t="shared" si="5"/>
        <v>3.2871959382656799</v>
      </c>
      <c r="S34" s="3070">
        <f t="shared" si="5"/>
        <v>11.561712849528909</v>
      </c>
      <c r="T34" s="3136">
        <v>46.595108817815102</v>
      </c>
      <c r="U34" s="3137">
        <v>40.476546961031303</v>
      </c>
      <c r="V34" s="3137">
        <v>13.131339344451609</v>
      </c>
      <c r="W34" s="3136">
        <v>10.453352972066893</v>
      </c>
      <c r="X34" s="3137">
        <v>4.5780820389187253</v>
      </c>
      <c r="Y34" s="3069">
        <f t="shared" si="2"/>
        <v>15.031435010985618</v>
      </c>
    </row>
    <row r="35" spans="1:25">
      <c r="A35" s="2988">
        <v>2004.4</v>
      </c>
      <c r="B35" s="3051">
        <v>44.3</v>
      </c>
      <c r="C35" s="3050">
        <v>38</v>
      </c>
      <c r="D35" s="3050">
        <v>14.4</v>
      </c>
      <c r="E35" s="3050">
        <v>6.4</v>
      </c>
      <c r="F35" s="3050">
        <v>2.8</v>
      </c>
      <c r="G35" s="3067">
        <f t="shared" si="0"/>
        <v>9.1999999999999993</v>
      </c>
      <c r="H35" s="3136">
        <v>40.319015986445912</v>
      </c>
      <c r="I35" s="3137">
        <v>36.568156274638078</v>
      </c>
      <c r="J35" s="3137">
        <v>9.3029544993577176</v>
      </c>
      <c r="K35" s="3137">
        <v>6.013012070749884</v>
      </c>
      <c r="L35" s="3137">
        <v>3.0735946495530029</v>
      </c>
      <c r="M35" s="3067">
        <f t="shared" si="4"/>
        <v>9.0866067203028873</v>
      </c>
      <c r="N35" s="3058">
        <f t="shared" si="5"/>
        <v>42.309507993222951</v>
      </c>
      <c r="O35" s="3059">
        <f t="shared" si="5"/>
        <v>37.284078137319042</v>
      </c>
      <c r="P35" s="3060">
        <f t="shared" si="5"/>
        <v>11.851477249678858</v>
      </c>
      <c r="Q35" s="3059">
        <f t="shared" si="5"/>
        <v>6.2065060353749422</v>
      </c>
      <c r="R35" s="3060">
        <f t="shared" si="5"/>
        <v>2.9367973247765011</v>
      </c>
      <c r="S35" s="3070">
        <f t="shared" si="5"/>
        <v>9.1433033601514424</v>
      </c>
      <c r="T35" s="3136">
        <v>46.41316413151204</v>
      </c>
      <c r="U35" s="3137">
        <v>40.833429568664627</v>
      </c>
      <c r="V35" s="3137">
        <v>12.021879282001109</v>
      </c>
      <c r="W35" s="3136">
        <v>9.6459759042319071</v>
      </c>
      <c r="X35" s="3137">
        <v>4.4731537707883771</v>
      </c>
      <c r="Y35" s="3069">
        <f t="shared" si="2"/>
        <v>14.119129675020284</v>
      </c>
    </row>
    <row r="36" spans="1:25">
      <c r="A36" s="2988">
        <v>2005.1</v>
      </c>
      <c r="B36" s="3051">
        <v>43.4</v>
      </c>
      <c r="C36" s="3050">
        <v>37.299999999999997</v>
      </c>
      <c r="D36" s="3050">
        <v>14</v>
      </c>
      <c r="E36" s="3050">
        <v>8.6999999999999993</v>
      </c>
      <c r="F36" s="3050">
        <v>2</v>
      </c>
      <c r="G36" s="3067">
        <f t="shared" si="0"/>
        <v>10.7</v>
      </c>
      <c r="H36" s="3136">
        <v>43.675215463141157</v>
      </c>
      <c r="I36" s="3137">
        <v>39.066605304995399</v>
      </c>
      <c r="J36" s="3137">
        <v>10.552003256938956</v>
      </c>
      <c r="K36" s="3137">
        <v>9.855114112603875</v>
      </c>
      <c r="L36" s="3137">
        <v>3.7325478362909212</v>
      </c>
      <c r="M36" s="3067">
        <f t="shared" si="4"/>
        <v>13.587661948894796</v>
      </c>
      <c r="N36" s="3058">
        <f t="shared" si="5"/>
        <v>43.537607731570574</v>
      </c>
      <c r="O36" s="3059">
        <f t="shared" si="5"/>
        <v>38.183302652497702</v>
      </c>
      <c r="P36" s="3060">
        <f t="shared" si="5"/>
        <v>12.276001628469478</v>
      </c>
      <c r="Q36" s="3059">
        <f t="shared" si="5"/>
        <v>9.2775570563019372</v>
      </c>
      <c r="R36" s="3060">
        <f t="shared" si="5"/>
        <v>2.8662739181454606</v>
      </c>
      <c r="S36" s="3070">
        <f t="shared" si="5"/>
        <v>12.143830974447397</v>
      </c>
      <c r="T36" s="3136">
        <v>45.990909126086862</v>
      </c>
      <c r="U36" s="3137">
        <v>40.049590493621899</v>
      </c>
      <c r="V36" s="3137">
        <v>12.91846311664872</v>
      </c>
      <c r="W36" s="3136">
        <v>8.8231694907379232</v>
      </c>
      <c r="X36" s="3137">
        <v>3.6407180433832913</v>
      </c>
      <c r="Y36" s="3069">
        <f t="shared" si="2"/>
        <v>12.463887534121215</v>
      </c>
    </row>
    <row r="37" spans="1:25">
      <c r="A37" s="2988">
        <v>2005.2</v>
      </c>
      <c r="B37" s="3051">
        <v>46</v>
      </c>
      <c r="C37" s="3050">
        <v>40.200000000000003</v>
      </c>
      <c r="D37" s="3050">
        <v>12.4</v>
      </c>
      <c r="E37" s="3050">
        <v>7</v>
      </c>
      <c r="F37" s="3050">
        <v>1.8</v>
      </c>
      <c r="G37" s="3067">
        <f t="shared" si="0"/>
        <v>8.8000000000000007</v>
      </c>
      <c r="H37" s="3136">
        <v>42.4998905093505</v>
      </c>
      <c r="I37" s="3137">
        <v>37.851438915688028</v>
      </c>
      <c r="J37" s="3137">
        <v>10.937561339457465</v>
      </c>
      <c r="K37" s="3137">
        <v>8.2872060613198286</v>
      </c>
      <c r="L37" s="3137">
        <v>5.4979782514819613</v>
      </c>
      <c r="M37" s="3067">
        <f t="shared" si="4"/>
        <v>13.785184312801789</v>
      </c>
      <c r="N37" s="3058">
        <f t="shared" si="5"/>
        <v>44.249945254675254</v>
      </c>
      <c r="O37" s="3059">
        <f t="shared" si="5"/>
        <v>39.025719457844019</v>
      </c>
      <c r="P37" s="3060">
        <f t="shared" si="5"/>
        <v>11.668780669728733</v>
      </c>
      <c r="Q37" s="3059">
        <f t="shared" si="5"/>
        <v>7.6436030306599143</v>
      </c>
      <c r="R37" s="3060">
        <f t="shared" si="5"/>
        <v>3.6489891257409806</v>
      </c>
      <c r="S37" s="3070">
        <f t="shared" si="5"/>
        <v>11.292592156400895</v>
      </c>
      <c r="T37" s="3136">
        <v>45.953101494562567</v>
      </c>
      <c r="U37" s="3137">
        <v>40.455035895178817</v>
      </c>
      <c r="V37" s="3137">
        <v>11.964514734733001</v>
      </c>
      <c r="W37" s="3136">
        <v>8.9075876633750291</v>
      </c>
      <c r="X37" s="3137">
        <v>3.8448093995323824</v>
      </c>
      <c r="Y37" s="3069">
        <f t="shared" si="2"/>
        <v>12.752397062907411</v>
      </c>
    </row>
    <row r="38" spans="1:25">
      <c r="A38" s="2988">
        <v>2005.3</v>
      </c>
      <c r="B38" s="3051">
        <v>46.3</v>
      </c>
      <c r="C38" s="3050">
        <v>40.6</v>
      </c>
      <c r="D38" s="3050">
        <v>12.4</v>
      </c>
      <c r="E38" s="3050">
        <v>6.8</v>
      </c>
      <c r="F38" s="3050">
        <v>1.6</v>
      </c>
      <c r="G38" s="3067">
        <f t="shared" si="0"/>
        <v>8.4</v>
      </c>
      <c r="H38" s="3136">
        <v>43.511720220160896</v>
      </c>
      <c r="I38" s="3137">
        <v>38.29631062066327</v>
      </c>
      <c r="J38" s="3137">
        <v>11.986217904299497</v>
      </c>
      <c r="K38" s="3137">
        <v>7.611214917541588</v>
      </c>
      <c r="L38" s="3137">
        <v>3.2256985429400213</v>
      </c>
      <c r="M38" s="3067">
        <f t="shared" si="4"/>
        <v>10.836913460481609</v>
      </c>
      <c r="N38" s="3058">
        <f t="shared" si="5"/>
        <v>44.905860110080447</v>
      </c>
      <c r="O38" s="3059">
        <f t="shared" si="5"/>
        <v>39.448155310331636</v>
      </c>
      <c r="P38" s="3060">
        <f t="shared" si="5"/>
        <v>12.19310895214975</v>
      </c>
      <c r="Q38" s="3059">
        <f t="shared" si="5"/>
        <v>7.2056074587707943</v>
      </c>
      <c r="R38" s="3060">
        <f t="shared" si="5"/>
        <v>2.4128492714700105</v>
      </c>
      <c r="S38" s="3070">
        <f t="shared" si="5"/>
        <v>9.6184567302408048</v>
      </c>
      <c r="T38" s="3136">
        <v>46.674986944321006</v>
      </c>
      <c r="U38" s="3137">
        <v>41.483903556063289</v>
      </c>
      <c r="V38" s="3137">
        <v>11.121767199314279</v>
      </c>
      <c r="W38" s="3136">
        <v>8.8665567173399999</v>
      </c>
      <c r="X38" s="3137">
        <v>4.1028210084463295</v>
      </c>
      <c r="Y38" s="3069">
        <f t="shared" si="2"/>
        <v>12.96937772578633</v>
      </c>
    </row>
    <row r="39" spans="1:25">
      <c r="A39" s="2988">
        <v>2005.4</v>
      </c>
      <c r="B39" s="3051">
        <v>45.6</v>
      </c>
      <c r="C39" s="3050">
        <v>40.299999999999997</v>
      </c>
      <c r="D39" s="3050">
        <v>11.7</v>
      </c>
      <c r="E39" s="3050">
        <v>6.7</v>
      </c>
      <c r="F39" s="3050">
        <v>1.6</v>
      </c>
      <c r="G39" s="3067">
        <f t="shared" si="0"/>
        <v>8.3000000000000007</v>
      </c>
      <c r="H39" s="3136">
        <v>42.663787972117312</v>
      </c>
      <c r="I39" s="3137">
        <v>39.299158168503183</v>
      </c>
      <c r="J39" s="3137">
        <v>7.886383191790344</v>
      </c>
      <c r="K39" s="3137">
        <v>10.213456873544667</v>
      </c>
      <c r="L39" s="3137">
        <v>1.6178193467471038</v>
      </c>
      <c r="M39" s="3067">
        <f t="shared" si="4"/>
        <v>11.83127622029177</v>
      </c>
      <c r="N39" s="3058">
        <f t="shared" si="5"/>
        <v>44.131893986058657</v>
      </c>
      <c r="O39" s="3059">
        <f t="shared" si="5"/>
        <v>39.79957908425159</v>
      </c>
      <c r="P39" s="3060">
        <f t="shared" si="5"/>
        <v>9.7931915958951716</v>
      </c>
      <c r="Q39" s="3059">
        <f t="shared" si="5"/>
        <v>8.4567284367723339</v>
      </c>
      <c r="R39" s="3060">
        <f t="shared" si="5"/>
        <v>1.608909673373552</v>
      </c>
      <c r="S39" s="3070">
        <f t="shared" si="5"/>
        <v>10.065638110145885</v>
      </c>
      <c r="T39" s="3136">
        <v>46.380549447084597</v>
      </c>
      <c r="U39" s="3137">
        <v>41.726031816992794</v>
      </c>
      <c r="V39" s="3137">
        <v>10.035494804566996</v>
      </c>
      <c r="W39" s="3136">
        <v>8.3816402122972917</v>
      </c>
      <c r="X39" s="3137">
        <v>3.4411240220760484</v>
      </c>
      <c r="Y39" s="3069">
        <f t="shared" si="2"/>
        <v>11.82276423437334</v>
      </c>
    </row>
    <row r="40" spans="1:25">
      <c r="A40" s="2988">
        <v>2006.1</v>
      </c>
      <c r="B40" s="3051">
        <v>45</v>
      </c>
      <c r="C40" s="3050">
        <v>38.4</v>
      </c>
      <c r="D40" s="3050">
        <v>14.6</v>
      </c>
      <c r="E40" s="3050">
        <v>7.2</v>
      </c>
      <c r="F40" s="3050">
        <v>1</v>
      </c>
      <c r="G40" s="3067">
        <f t="shared" si="0"/>
        <v>8.1999999999999993</v>
      </c>
      <c r="H40" s="3136">
        <v>39.59514856686647</v>
      </c>
      <c r="I40" s="3137">
        <v>36.212630769039848</v>
      </c>
      <c r="J40" s="3137">
        <v>8.542758191990055</v>
      </c>
      <c r="K40" s="3137">
        <v>7.1496105768477358</v>
      </c>
      <c r="L40" s="3137">
        <v>3.0631487121089442</v>
      </c>
      <c r="M40" s="3067">
        <f t="shared" si="4"/>
        <v>10.212759288956679</v>
      </c>
      <c r="N40" s="3058">
        <f t="shared" si="5"/>
        <v>42.297574283433235</v>
      </c>
      <c r="O40" s="3059">
        <f t="shared" si="5"/>
        <v>37.30631538451992</v>
      </c>
      <c r="P40" s="3060">
        <f t="shared" si="5"/>
        <v>11.571379095995027</v>
      </c>
      <c r="Q40" s="3059">
        <f t="shared" si="5"/>
        <v>7.174805288423868</v>
      </c>
      <c r="R40" s="3060">
        <f t="shared" si="5"/>
        <v>2.0315743560544721</v>
      </c>
      <c r="S40" s="3070">
        <f t="shared" si="5"/>
        <v>9.2063796444783392</v>
      </c>
      <c r="T40" s="3136">
        <v>46.409070102535985</v>
      </c>
      <c r="U40" s="3137">
        <v>41.160976359246</v>
      </c>
      <c r="V40" s="3137">
        <v>11.30833634825018</v>
      </c>
      <c r="W40" s="3136">
        <v>7.7388582200389484</v>
      </c>
      <c r="X40" s="3137">
        <v>3.2363194995650728</v>
      </c>
      <c r="Y40" s="3069">
        <f t="shared" si="2"/>
        <v>10.975177719604021</v>
      </c>
    </row>
    <row r="41" spans="1:25">
      <c r="A41" s="2988">
        <v>2006.2</v>
      </c>
      <c r="B41" s="3063">
        <v>45.9</v>
      </c>
      <c r="C41" s="3050">
        <v>40.1</v>
      </c>
      <c r="D41" s="3051">
        <v>12.8</v>
      </c>
      <c r="E41" s="3050">
        <v>6.5</v>
      </c>
      <c r="F41" s="3050">
        <v>2.1</v>
      </c>
      <c r="G41" s="3067">
        <f t="shared" si="0"/>
        <v>8.6</v>
      </c>
      <c r="H41" s="3138">
        <v>38.965500167114371</v>
      </c>
      <c r="I41" s="3137">
        <v>36.765573614910728</v>
      </c>
      <c r="J41" s="3136">
        <v>5.645831678712308</v>
      </c>
      <c r="K41" s="3137">
        <v>6.7873878166944639</v>
      </c>
      <c r="L41" s="3137">
        <v>2.567442353003468</v>
      </c>
      <c r="M41" s="3067">
        <f t="shared" si="4"/>
        <v>9.3548301696979319</v>
      </c>
      <c r="N41" s="3058">
        <f>(B41+H41)/2</f>
        <v>42.432750083557181</v>
      </c>
      <c r="O41" s="3059">
        <f t="shared" si="5"/>
        <v>38.432786807455365</v>
      </c>
      <c r="P41" s="3060">
        <f t="shared" si="5"/>
        <v>9.2229158393561548</v>
      </c>
      <c r="Q41" s="3059">
        <f t="shared" si="5"/>
        <v>6.6436939083472319</v>
      </c>
      <c r="R41" s="3060">
        <f t="shared" si="5"/>
        <v>2.3337211765017338</v>
      </c>
      <c r="S41" s="3070">
        <f t="shared" si="5"/>
        <v>8.9774150848489658</v>
      </c>
      <c r="T41" s="3136">
        <v>46.924111743914615</v>
      </c>
      <c r="U41" s="3137">
        <v>42.079239513716708</v>
      </c>
      <c r="V41" s="3137">
        <v>10.324909838759416</v>
      </c>
      <c r="W41" s="3136">
        <v>8.1049290799137701</v>
      </c>
      <c r="X41" s="3137">
        <v>3.9464997459125213</v>
      </c>
      <c r="Y41" s="3069">
        <f t="shared" si="2"/>
        <v>12.051428825826292</v>
      </c>
    </row>
    <row r="42" spans="1:25">
      <c r="A42" s="2988">
        <v>2006.3</v>
      </c>
      <c r="B42" s="3063">
        <v>47.3</v>
      </c>
      <c r="C42" s="3050">
        <v>42</v>
      </c>
      <c r="D42" s="3051">
        <v>11.2</v>
      </c>
      <c r="E42" s="3050">
        <v>6.4</v>
      </c>
      <c r="F42" s="3050">
        <v>1.9</v>
      </c>
      <c r="G42" s="3067">
        <f t="shared" si="0"/>
        <v>8.3000000000000007</v>
      </c>
      <c r="H42" s="3049">
        <v>39.6</v>
      </c>
      <c r="I42" s="3050">
        <v>36.700000000000003</v>
      </c>
      <c r="J42" s="3051">
        <v>7.3</v>
      </c>
      <c r="K42" s="3050">
        <v>9.6999999999999993</v>
      </c>
      <c r="L42" s="3050">
        <v>1.1000000000000001</v>
      </c>
      <c r="M42" s="3067">
        <f t="shared" si="4"/>
        <v>10.799999999999999</v>
      </c>
      <c r="N42" s="3058">
        <f t="shared" ref="N42:S57" si="6">(B42+H42)/2</f>
        <v>43.45</v>
      </c>
      <c r="O42" s="3059">
        <f t="shared" si="5"/>
        <v>39.35</v>
      </c>
      <c r="P42" s="3060">
        <f t="shared" si="5"/>
        <v>9.25</v>
      </c>
      <c r="Q42" s="3059">
        <f t="shared" si="5"/>
        <v>8.0500000000000007</v>
      </c>
      <c r="R42" s="3060">
        <f t="shared" si="5"/>
        <v>1.5</v>
      </c>
      <c r="S42" s="3070">
        <f t="shared" si="5"/>
        <v>9.5500000000000007</v>
      </c>
      <c r="T42" s="3136">
        <v>46.672875100944758</v>
      </c>
      <c r="U42" s="3137">
        <v>41.961435913417702</v>
      </c>
      <c r="V42" s="3137">
        <v>10.094598152218149</v>
      </c>
      <c r="W42" s="3136">
        <v>7.3424244357738253</v>
      </c>
      <c r="X42" s="3137">
        <v>3.5108230516442749</v>
      </c>
      <c r="Y42" s="3069">
        <f t="shared" si="2"/>
        <v>10.8532474874181</v>
      </c>
    </row>
    <row r="43" spans="1:25">
      <c r="A43" s="2988">
        <v>2006.4</v>
      </c>
      <c r="B43" s="3063">
        <v>46.8</v>
      </c>
      <c r="C43" s="3050">
        <v>42.4</v>
      </c>
      <c r="D43" s="3051">
        <v>9.5</v>
      </c>
      <c r="E43" s="3050">
        <v>6.1</v>
      </c>
      <c r="F43" s="3050">
        <v>1.9</v>
      </c>
      <c r="G43" s="3067">
        <f t="shared" si="0"/>
        <v>8</v>
      </c>
      <c r="H43" s="3049">
        <v>41.7</v>
      </c>
      <c r="I43" s="3050">
        <v>38.200000000000003</v>
      </c>
      <c r="J43" s="3051">
        <v>8.4</v>
      </c>
      <c r="K43" s="3050">
        <v>7.8</v>
      </c>
      <c r="L43" s="3050">
        <v>1.7</v>
      </c>
      <c r="M43" s="3067">
        <f t="shared" si="4"/>
        <v>9.5</v>
      </c>
      <c r="N43" s="3058">
        <f t="shared" si="6"/>
        <v>44.25</v>
      </c>
      <c r="O43" s="3059">
        <f t="shared" si="5"/>
        <v>40.299999999999997</v>
      </c>
      <c r="P43" s="3060">
        <f t="shared" si="5"/>
        <v>8.9499999999999993</v>
      </c>
      <c r="Q43" s="3059">
        <f t="shared" si="5"/>
        <v>6.9499999999999993</v>
      </c>
      <c r="R43" s="3060">
        <f t="shared" si="5"/>
        <v>1.7999999999999998</v>
      </c>
      <c r="S43" s="3070">
        <f t="shared" si="5"/>
        <v>8.75</v>
      </c>
      <c r="T43" s="3136">
        <v>46.351456500094322</v>
      </c>
      <c r="U43" s="3137">
        <v>42.353936605072398</v>
      </c>
      <c r="V43" s="3137">
        <v>8.6243673810202459</v>
      </c>
      <c r="W43" s="3136">
        <v>7.4578140335333831</v>
      </c>
      <c r="X43" s="3137">
        <v>3.2836505911384166</v>
      </c>
      <c r="Y43" s="3069">
        <f t="shared" si="2"/>
        <v>10.741464624671799</v>
      </c>
    </row>
    <row r="44" spans="1:25">
      <c r="A44" s="2988">
        <v>2007.1</v>
      </c>
      <c r="B44" s="3063">
        <v>45.9</v>
      </c>
      <c r="C44" s="3050">
        <v>41.1</v>
      </c>
      <c r="D44" s="3051">
        <v>10.4</v>
      </c>
      <c r="E44" s="3050">
        <v>4.7</v>
      </c>
      <c r="F44" s="3050">
        <v>2.2000000000000002</v>
      </c>
      <c r="G44" s="3067">
        <f t="shared" si="0"/>
        <v>6.9</v>
      </c>
      <c r="H44" s="3049">
        <v>39.9</v>
      </c>
      <c r="I44" s="3050">
        <v>36.5</v>
      </c>
      <c r="J44" s="3051">
        <v>8.5</v>
      </c>
      <c r="K44" s="3050">
        <v>8.4</v>
      </c>
      <c r="L44" s="3050">
        <v>1.3</v>
      </c>
      <c r="M44" s="3067">
        <f t="shared" si="4"/>
        <v>9.7000000000000011</v>
      </c>
      <c r="N44" s="3058">
        <f t="shared" si="6"/>
        <v>42.9</v>
      </c>
      <c r="O44" s="3059">
        <f t="shared" si="5"/>
        <v>38.799999999999997</v>
      </c>
      <c r="P44" s="3060">
        <f t="shared" si="5"/>
        <v>9.4499999999999993</v>
      </c>
      <c r="Q44" s="3059">
        <f t="shared" si="5"/>
        <v>6.5500000000000007</v>
      </c>
      <c r="R44" s="3060">
        <f t="shared" si="5"/>
        <v>1.75</v>
      </c>
      <c r="S44" s="3070">
        <f t="shared" si="5"/>
        <v>8.3000000000000007</v>
      </c>
      <c r="T44" s="3136">
        <v>46.51054948899953</v>
      </c>
      <c r="U44" s="3137">
        <v>42.003986288336655</v>
      </c>
      <c r="V44" s="3137">
        <v>9.6893355382282653</v>
      </c>
      <c r="W44" s="3136">
        <v>6.4237832446126326</v>
      </c>
      <c r="X44" s="3137">
        <v>2.8476869346592446</v>
      </c>
      <c r="Y44" s="3069">
        <f t="shared" si="2"/>
        <v>9.2714701792718763</v>
      </c>
    </row>
    <row r="45" spans="1:25">
      <c r="A45" s="2988">
        <v>2007.2</v>
      </c>
      <c r="B45" s="3063">
        <v>46.5</v>
      </c>
      <c r="C45" s="3050">
        <v>41.3</v>
      </c>
      <c r="D45" s="3051">
        <v>11.2</v>
      </c>
      <c r="E45" s="3050">
        <v>4.5999999999999996</v>
      </c>
      <c r="F45" s="3050">
        <v>1</v>
      </c>
      <c r="G45" s="3067">
        <f t="shared" si="0"/>
        <v>5.6</v>
      </c>
      <c r="H45" s="3049">
        <v>41</v>
      </c>
      <c r="I45" s="3050">
        <v>37.200000000000003</v>
      </c>
      <c r="J45" s="3051">
        <v>9.4</v>
      </c>
      <c r="K45" s="3050">
        <v>8.3000000000000007</v>
      </c>
      <c r="L45" s="3050">
        <v>0.8</v>
      </c>
      <c r="M45" s="3067">
        <f t="shared" si="4"/>
        <v>9.1000000000000014</v>
      </c>
      <c r="N45" s="3058">
        <f t="shared" si="6"/>
        <v>43.75</v>
      </c>
      <c r="O45" s="3059">
        <f t="shared" si="5"/>
        <v>39.25</v>
      </c>
      <c r="P45" s="3060">
        <f t="shared" si="5"/>
        <v>10.3</v>
      </c>
      <c r="Q45" s="3059">
        <f t="shared" si="5"/>
        <v>6.45</v>
      </c>
      <c r="R45" s="3060">
        <f t="shared" si="5"/>
        <v>0.9</v>
      </c>
      <c r="S45" s="3070">
        <f t="shared" si="5"/>
        <v>7.3500000000000005</v>
      </c>
      <c r="T45" s="3136">
        <v>46.318147590205584</v>
      </c>
      <c r="U45" s="3137">
        <v>42.479399707156048</v>
      </c>
      <c r="V45" s="3137">
        <v>8.2877836933644442</v>
      </c>
      <c r="W45" s="3136">
        <v>7.0951081130092852</v>
      </c>
      <c r="X45" s="3137">
        <v>2.9060189160340126</v>
      </c>
      <c r="Y45" s="3069">
        <f t="shared" si="2"/>
        <v>10.001127029043298</v>
      </c>
    </row>
    <row r="46" spans="1:25">
      <c r="A46" s="2988">
        <v>2007.3</v>
      </c>
      <c r="B46" s="3063">
        <v>46.7</v>
      </c>
      <c r="C46" s="3050">
        <v>41.9</v>
      </c>
      <c r="D46" s="3051">
        <v>10.4</v>
      </c>
      <c r="E46" s="3050">
        <v>5.7</v>
      </c>
      <c r="F46" s="3050">
        <v>1.6</v>
      </c>
      <c r="G46" s="3067">
        <f t="shared" si="0"/>
        <v>7.3000000000000007</v>
      </c>
      <c r="H46" s="3049">
        <v>39.799999999999997</v>
      </c>
      <c r="I46" s="3050">
        <v>36.9</v>
      </c>
      <c r="J46" s="3051">
        <v>7.3</v>
      </c>
      <c r="K46" s="3050">
        <v>7.6</v>
      </c>
      <c r="L46" s="3050">
        <v>0.3</v>
      </c>
      <c r="M46" s="3067">
        <f t="shared" si="4"/>
        <v>7.8999999999999995</v>
      </c>
      <c r="N46" s="3058">
        <f t="shared" si="6"/>
        <v>43.25</v>
      </c>
      <c r="O46" s="3059">
        <f t="shared" si="6"/>
        <v>39.4</v>
      </c>
      <c r="P46" s="3060">
        <f t="shared" si="6"/>
        <v>8.85</v>
      </c>
      <c r="Q46" s="3059">
        <f t="shared" si="6"/>
        <v>6.65</v>
      </c>
      <c r="R46" s="3060">
        <f t="shared" si="6"/>
        <v>0.95000000000000007</v>
      </c>
      <c r="S46" s="3070">
        <f t="shared" si="6"/>
        <v>7.6</v>
      </c>
      <c r="T46" s="3136">
        <f>('2.3'!R46/'2.3'!Q46)*100</f>
        <v>45.928764536570974</v>
      </c>
      <c r="U46" s="3137">
        <f>('2.3'!S46/'2.3'!Q46)*100</f>
        <v>42.268771815152604</v>
      </c>
      <c r="V46" s="3137">
        <f>('2.3'!T46/'2.3'!R46)*100</f>
        <v>7.9688464480774091</v>
      </c>
      <c r="W46" s="3136">
        <v>6.7</v>
      </c>
      <c r="X46" s="3137">
        <v>2.6</v>
      </c>
      <c r="Y46" s="507">
        <f>W46+X46</f>
        <v>9.3000000000000007</v>
      </c>
    </row>
    <row r="47" spans="1:25">
      <c r="A47" s="2988">
        <v>2007.4</v>
      </c>
      <c r="B47" s="3063">
        <v>47.4</v>
      </c>
      <c r="C47" s="3050">
        <v>43.1</v>
      </c>
      <c r="D47" s="3051">
        <v>9</v>
      </c>
      <c r="E47" s="3050">
        <v>6.1</v>
      </c>
      <c r="F47" s="3050">
        <v>1.2</v>
      </c>
      <c r="G47" s="3067">
        <f t="shared" si="0"/>
        <v>7.3</v>
      </c>
      <c r="H47" s="3049">
        <v>41.4</v>
      </c>
      <c r="I47" s="3050">
        <v>37.6</v>
      </c>
      <c r="J47" s="3051">
        <v>9.1</v>
      </c>
      <c r="K47" s="3050">
        <v>8.1</v>
      </c>
      <c r="L47" s="3050">
        <v>0.6</v>
      </c>
      <c r="M47" s="3067">
        <f t="shared" si="4"/>
        <v>8.6999999999999993</v>
      </c>
      <c r="N47" s="3058">
        <f t="shared" si="6"/>
        <v>44.4</v>
      </c>
      <c r="O47" s="3059">
        <f t="shared" si="6"/>
        <v>40.35</v>
      </c>
      <c r="P47" s="3060">
        <f t="shared" si="6"/>
        <v>9.0500000000000007</v>
      </c>
      <c r="Q47" s="3059">
        <f t="shared" si="6"/>
        <v>7.1</v>
      </c>
      <c r="R47" s="3060">
        <f t="shared" si="6"/>
        <v>0.89999999999999991</v>
      </c>
      <c r="S47" s="3070">
        <f t="shared" si="6"/>
        <v>8</v>
      </c>
      <c r="T47" s="3136">
        <v>45.557342685804656</v>
      </c>
      <c r="U47" s="3137">
        <v>42.130306676933557</v>
      </c>
      <c r="V47" s="3137">
        <v>7.5224668666615067</v>
      </c>
      <c r="W47" s="3136">
        <v>6.0654843243735934</v>
      </c>
      <c r="X47" s="3137">
        <v>3.043868894629437</v>
      </c>
      <c r="Y47" s="3069">
        <f t="shared" si="2"/>
        <v>9.1093532190030295</v>
      </c>
    </row>
    <row r="48" spans="1:25">
      <c r="A48" s="2988">
        <f t="shared" ref="A48:A111" si="7">A44+1</f>
        <v>2008.1</v>
      </c>
      <c r="B48" s="3063">
        <v>46.3</v>
      </c>
      <c r="C48" s="3050">
        <v>42.5</v>
      </c>
      <c r="D48" s="3050">
        <v>8.3000000000000007</v>
      </c>
      <c r="E48" s="3050">
        <v>4.5</v>
      </c>
      <c r="F48" s="3050">
        <v>2.4</v>
      </c>
      <c r="G48" s="3067">
        <f t="shared" si="0"/>
        <v>6.9</v>
      </c>
      <c r="H48" s="3051">
        <v>44.1</v>
      </c>
      <c r="I48" s="3050">
        <v>40.1</v>
      </c>
      <c r="J48" s="3050">
        <v>9.1</v>
      </c>
      <c r="K48" s="3050">
        <v>9.6999999999999993</v>
      </c>
      <c r="L48" s="3050">
        <v>2</v>
      </c>
      <c r="M48" s="3067">
        <f>K48+L48</f>
        <v>11.7</v>
      </c>
      <c r="N48" s="3058">
        <f>(B48+H48)/2</f>
        <v>45.2</v>
      </c>
      <c r="O48" s="3059">
        <f t="shared" si="6"/>
        <v>41.3</v>
      </c>
      <c r="P48" s="3060">
        <f t="shared" si="6"/>
        <v>8.6999999999999993</v>
      </c>
      <c r="Q48" s="3059">
        <f t="shared" si="6"/>
        <v>7.1</v>
      </c>
      <c r="R48" s="3060">
        <f t="shared" si="6"/>
        <v>2.2000000000000002</v>
      </c>
      <c r="S48" s="3070">
        <f t="shared" si="6"/>
        <v>9.3000000000000007</v>
      </c>
      <c r="T48" s="3136">
        <v>45.745895486016771</v>
      </c>
      <c r="U48" s="3137">
        <v>41.944150074125432</v>
      </c>
      <c r="V48" s="3137">
        <v>8.3105716294337721</v>
      </c>
      <c r="W48" s="3136">
        <v>5.9014631869451692</v>
      </c>
      <c r="X48" s="3137">
        <v>2.3638156011829676</v>
      </c>
      <c r="Y48" s="3069">
        <f t="shared" si="2"/>
        <v>8.2652787881281373</v>
      </c>
    </row>
    <row r="49" spans="1:25">
      <c r="A49" s="2988">
        <f t="shared" si="7"/>
        <v>2008.2</v>
      </c>
      <c r="B49" s="3063">
        <v>48.2</v>
      </c>
      <c r="C49" s="3050">
        <v>43.5</v>
      </c>
      <c r="D49" s="3050">
        <v>9.6999999999999993</v>
      </c>
      <c r="E49" s="3050">
        <v>5.8</v>
      </c>
      <c r="F49" s="3050">
        <v>1.5</v>
      </c>
      <c r="G49" s="3067">
        <f t="shared" si="0"/>
        <v>7.3</v>
      </c>
      <c r="H49" s="3049">
        <v>43.8</v>
      </c>
      <c r="I49" s="3050">
        <v>38.299999999999997</v>
      </c>
      <c r="J49" s="3050">
        <v>12.6</v>
      </c>
      <c r="K49" s="3050">
        <v>9.8000000000000007</v>
      </c>
      <c r="L49" s="3050">
        <v>1.3</v>
      </c>
      <c r="M49" s="3067">
        <f t="shared" ref="M49:M50" si="8">K49+L49</f>
        <v>11.100000000000001</v>
      </c>
      <c r="N49" s="3058">
        <f t="shared" ref="N49:N51" si="9">(B49+H49)/2</f>
        <v>46</v>
      </c>
      <c r="O49" s="3059">
        <f t="shared" si="6"/>
        <v>40.9</v>
      </c>
      <c r="P49" s="3060">
        <f t="shared" si="6"/>
        <v>11.149999999999999</v>
      </c>
      <c r="Q49" s="3059">
        <f t="shared" si="6"/>
        <v>7.8000000000000007</v>
      </c>
      <c r="R49" s="3060">
        <f t="shared" si="6"/>
        <v>1.4</v>
      </c>
      <c r="S49" s="3070">
        <f t="shared" si="6"/>
        <v>9.2000000000000011</v>
      </c>
      <c r="T49" s="3136">
        <v>45.795635310025965</v>
      </c>
      <c r="U49" s="3137">
        <v>42.153023045737221</v>
      </c>
      <c r="V49" s="3137">
        <v>7.9540599003138546</v>
      </c>
      <c r="W49" s="3136">
        <v>6.2590713595564864</v>
      </c>
      <c r="X49" s="3137">
        <v>2.4063648593133014</v>
      </c>
      <c r="Y49" s="3069">
        <f t="shared" si="2"/>
        <v>8.6654362188697878</v>
      </c>
    </row>
    <row r="50" spans="1:25">
      <c r="A50" s="2988">
        <f t="shared" si="7"/>
        <v>2008.3</v>
      </c>
      <c r="B50" s="3063">
        <v>46.1</v>
      </c>
      <c r="C50" s="3050">
        <v>41.7</v>
      </c>
      <c r="D50" s="3050">
        <v>9.4</v>
      </c>
      <c r="E50" s="3050">
        <v>5.9</v>
      </c>
      <c r="F50" s="3050">
        <v>1.5</v>
      </c>
      <c r="G50" s="3067">
        <f t="shared" si="0"/>
        <v>7.4</v>
      </c>
      <c r="H50" s="3049">
        <v>43.7</v>
      </c>
      <c r="I50" s="3050">
        <v>38.700000000000003</v>
      </c>
      <c r="J50" s="3050">
        <v>11.4</v>
      </c>
      <c r="K50" s="3050">
        <v>10</v>
      </c>
      <c r="L50" s="3050">
        <v>1.2</v>
      </c>
      <c r="M50" s="3067">
        <f t="shared" si="8"/>
        <v>11.2</v>
      </c>
      <c r="N50" s="3058">
        <f t="shared" si="9"/>
        <v>44.900000000000006</v>
      </c>
      <c r="O50" s="3059">
        <f t="shared" si="6"/>
        <v>40.200000000000003</v>
      </c>
      <c r="P50" s="3060">
        <f t="shared" si="6"/>
        <v>10.4</v>
      </c>
      <c r="Q50" s="3059">
        <f t="shared" si="6"/>
        <v>7.95</v>
      </c>
      <c r="R50" s="3060">
        <f t="shared" si="6"/>
        <v>1.35</v>
      </c>
      <c r="S50" s="3070">
        <f t="shared" si="6"/>
        <v>9.3000000000000007</v>
      </c>
      <c r="T50" s="3136">
        <v>45.506721086062754</v>
      </c>
      <c r="U50" s="3137">
        <v>41.968611033894227</v>
      </c>
      <c r="V50" s="3137">
        <v>7.774917567620883</v>
      </c>
      <c r="W50" s="3136">
        <v>6.5786920624330056</v>
      </c>
      <c r="X50" s="3137">
        <v>2.8060575901912097</v>
      </c>
      <c r="Y50" s="3069">
        <f t="shared" si="2"/>
        <v>9.3847496526242153</v>
      </c>
    </row>
    <row r="51" spans="1:25">
      <c r="A51" s="2988">
        <f t="shared" si="7"/>
        <v>2008.4</v>
      </c>
      <c r="B51" s="3063">
        <v>46.1</v>
      </c>
      <c r="C51" s="3050">
        <v>42.6</v>
      </c>
      <c r="D51" s="3051">
        <v>7.7</v>
      </c>
      <c r="E51" s="3050">
        <v>6.5</v>
      </c>
      <c r="F51" s="3050">
        <v>1.7</v>
      </c>
      <c r="G51" s="3067">
        <f t="shared" si="0"/>
        <v>8.1999999999999993</v>
      </c>
      <c r="H51" s="3049">
        <v>44.2</v>
      </c>
      <c r="I51" s="3050">
        <v>40.200000000000003</v>
      </c>
      <c r="J51" s="3051">
        <v>9.1</v>
      </c>
      <c r="K51" s="3050">
        <v>7.4</v>
      </c>
      <c r="L51" s="3050">
        <v>0.7</v>
      </c>
      <c r="M51" s="3067">
        <f>K51+L51</f>
        <v>8.1</v>
      </c>
      <c r="N51" s="3058">
        <f t="shared" si="9"/>
        <v>45.150000000000006</v>
      </c>
      <c r="O51" s="3059">
        <f t="shared" si="6"/>
        <v>41.400000000000006</v>
      </c>
      <c r="P51" s="3060">
        <f t="shared" si="6"/>
        <v>8.4</v>
      </c>
      <c r="Q51" s="3059">
        <f t="shared" si="6"/>
        <v>6.95</v>
      </c>
      <c r="R51" s="3060">
        <f t="shared" si="6"/>
        <v>1.2</v>
      </c>
      <c r="S51" s="3070">
        <f t="shared" si="6"/>
        <v>8.1499999999999986</v>
      </c>
      <c r="T51" s="3136">
        <v>46.100130643928267</v>
      </c>
      <c r="U51" s="3137">
        <v>42.744676266042966</v>
      </c>
      <c r="V51" s="3137">
        <v>7.2786222750699237</v>
      </c>
      <c r="W51" s="3136">
        <v>6.0228207196813752</v>
      </c>
      <c r="X51" s="3137">
        <v>3.1028210311980402</v>
      </c>
      <c r="Y51" s="3069">
        <f t="shared" si="2"/>
        <v>9.1256417508794154</v>
      </c>
    </row>
    <row r="52" spans="1:25" s="2990" customFormat="1">
      <c r="A52" s="2988">
        <f t="shared" si="7"/>
        <v>2009.1</v>
      </c>
      <c r="B52" s="3063">
        <v>48.1</v>
      </c>
      <c r="C52" s="3050">
        <v>42.9</v>
      </c>
      <c r="D52" s="3051">
        <v>10.8</v>
      </c>
      <c r="E52" s="3050">
        <v>5.7</v>
      </c>
      <c r="F52" s="3050">
        <v>2.6</v>
      </c>
      <c r="G52" s="3067">
        <f t="shared" si="0"/>
        <v>8.3000000000000007</v>
      </c>
      <c r="H52" s="3049">
        <v>42.9</v>
      </c>
      <c r="I52" s="3050">
        <v>37.799999999999997</v>
      </c>
      <c r="J52" s="3051">
        <v>11.9</v>
      </c>
      <c r="K52" s="3050">
        <v>8.6999999999999993</v>
      </c>
      <c r="L52" s="3050">
        <v>0.6</v>
      </c>
      <c r="M52" s="3067">
        <f>K52+L52</f>
        <v>9.2999999999999989</v>
      </c>
      <c r="N52" s="3058">
        <f>(B52+H52)/2</f>
        <v>45.5</v>
      </c>
      <c r="O52" s="3059">
        <f>(C52+I52)/2</f>
        <v>40.349999999999994</v>
      </c>
      <c r="P52" s="3060">
        <f t="shared" si="6"/>
        <v>11.350000000000001</v>
      </c>
      <c r="Q52" s="3059">
        <f t="shared" si="6"/>
        <v>7.1999999999999993</v>
      </c>
      <c r="R52" s="3060">
        <f t="shared" si="6"/>
        <v>1.6</v>
      </c>
      <c r="S52" s="3070">
        <f t="shared" si="6"/>
        <v>8.8000000000000007</v>
      </c>
      <c r="T52" s="3136">
        <v>46.467886486081902</v>
      </c>
      <c r="U52" s="3137">
        <v>42.582684738790974</v>
      </c>
      <c r="V52" s="3137">
        <v>8.3610468241429992</v>
      </c>
      <c r="W52" s="3136">
        <v>6.0288480731967242</v>
      </c>
      <c r="X52" s="3137">
        <v>3.0120723057814125</v>
      </c>
      <c r="Y52" s="3069">
        <f>W52+X52</f>
        <v>9.0409203789781358</v>
      </c>
    </row>
    <row r="53" spans="1:25" s="2990" customFormat="1">
      <c r="A53" s="2988">
        <f t="shared" si="7"/>
        <v>2009.2</v>
      </c>
      <c r="B53" s="3063">
        <v>45.5</v>
      </c>
      <c r="C53" s="3050">
        <v>40.6</v>
      </c>
      <c r="D53" s="3051">
        <v>10.8</v>
      </c>
      <c r="E53" s="3050">
        <v>6.8</v>
      </c>
      <c r="F53" s="3050">
        <v>3.1</v>
      </c>
      <c r="G53" s="3067">
        <f t="shared" si="0"/>
        <v>9.9</v>
      </c>
      <c r="H53" s="3049">
        <v>43.2</v>
      </c>
      <c r="I53" s="3050">
        <v>38.4</v>
      </c>
      <c r="J53" s="3051">
        <v>11.1</v>
      </c>
      <c r="K53" s="3050">
        <v>11.6</v>
      </c>
      <c r="L53" s="3050">
        <v>2.6</v>
      </c>
      <c r="M53" s="3067">
        <f t="shared" ref="M53:M78" si="10">K53+L53</f>
        <v>14.2</v>
      </c>
      <c r="N53" s="3058">
        <f>(B53+H53)/2</f>
        <v>44.35</v>
      </c>
      <c r="O53" s="3059">
        <f t="shared" ref="O53:S78" si="11">(C53+I53)/2</f>
        <v>39.5</v>
      </c>
      <c r="P53" s="3060">
        <f t="shared" si="6"/>
        <v>10.95</v>
      </c>
      <c r="Q53" s="3059">
        <f t="shared" si="6"/>
        <v>9.1999999999999993</v>
      </c>
      <c r="R53" s="3060">
        <f t="shared" si="6"/>
        <v>2.85</v>
      </c>
      <c r="S53" s="3070">
        <f t="shared" si="6"/>
        <v>12.05</v>
      </c>
      <c r="T53" s="3136">
        <v>46.261866481466534</v>
      </c>
      <c r="U53" s="3137">
        <v>42.218959149045233</v>
      </c>
      <c r="V53" s="3137">
        <v>8.7391790256473403</v>
      </c>
      <c r="W53" s="3136">
        <v>7.4251222235027061</v>
      </c>
      <c r="X53" s="3137">
        <v>3.0881396881157968</v>
      </c>
      <c r="Y53" s="3069">
        <f t="shared" ref="Y53:Y78" si="12">W53+X53</f>
        <v>10.513261911618503</v>
      </c>
    </row>
    <row r="54" spans="1:25" s="2990" customFormat="1">
      <c r="A54" s="2988">
        <f t="shared" si="7"/>
        <v>2009.3</v>
      </c>
      <c r="B54" s="3063">
        <v>46.1</v>
      </c>
      <c r="C54" s="3050">
        <v>41.4</v>
      </c>
      <c r="D54" s="3051">
        <v>10.3</v>
      </c>
      <c r="E54" s="3050">
        <v>6.1</v>
      </c>
      <c r="F54" s="3050">
        <v>3</v>
      </c>
      <c r="G54" s="3067">
        <f t="shared" si="0"/>
        <v>9.1</v>
      </c>
      <c r="H54" s="3049">
        <v>43.3</v>
      </c>
      <c r="I54" s="3050">
        <v>37.700000000000003</v>
      </c>
      <c r="J54" s="3051">
        <v>13</v>
      </c>
      <c r="K54" s="3050">
        <v>10.5</v>
      </c>
      <c r="L54" s="3050">
        <v>2.8</v>
      </c>
      <c r="M54" s="3067">
        <f t="shared" si="10"/>
        <v>13.3</v>
      </c>
      <c r="N54" s="3058">
        <f t="shared" ref="N54:N78" si="13">(B54+H54)/2</f>
        <v>44.7</v>
      </c>
      <c r="O54" s="3059">
        <f t="shared" si="11"/>
        <v>39.549999999999997</v>
      </c>
      <c r="P54" s="3060">
        <f t="shared" si="6"/>
        <v>11.65</v>
      </c>
      <c r="Q54" s="3059">
        <f t="shared" si="6"/>
        <v>8.3000000000000007</v>
      </c>
      <c r="R54" s="3060">
        <f t="shared" si="6"/>
        <v>2.9</v>
      </c>
      <c r="S54" s="3070">
        <f t="shared" si="6"/>
        <v>11.2</v>
      </c>
      <c r="T54" s="3136">
        <v>46.1</v>
      </c>
      <c r="U54" s="3137">
        <v>41.9</v>
      </c>
      <c r="V54" s="3137">
        <v>9.1</v>
      </c>
      <c r="W54" s="3136">
        <v>7.3</v>
      </c>
      <c r="X54" s="3137">
        <v>3.2</v>
      </c>
      <c r="Y54" s="3069">
        <f t="shared" si="12"/>
        <v>10.5</v>
      </c>
    </row>
    <row r="55" spans="1:25" s="2990" customFormat="1">
      <c r="A55" s="2988">
        <f t="shared" si="7"/>
        <v>2009.4</v>
      </c>
      <c r="B55" s="3063">
        <v>46.4</v>
      </c>
      <c r="C55" s="3050">
        <v>41.5</v>
      </c>
      <c r="D55" s="3051">
        <v>10.6</v>
      </c>
      <c r="E55" s="3050">
        <v>5.3</v>
      </c>
      <c r="F55" s="3050">
        <v>3.8</v>
      </c>
      <c r="G55" s="3067">
        <f t="shared" si="0"/>
        <v>9.1</v>
      </c>
      <c r="H55" s="3049">
        <v>44.2</v>
      </c>
      <c r="I55" s="3050">
        <v>40.799999999999997</v>
      </c>
      <c r="J55" s="3051">
        <v>7.5</v>
      </c>
      <c r="K55" s="3050">
        <v>12.6</v>
      </c>
      <c r="L55" s="3050">
        <v>2.1</v>
      </c>
      <c r="M55" s="3067">
        <f t="shared" si="10"/>
        <v>14.7</v>
      </c>
      <c r="N55" s="3058">
        <f t="shared" si="13"/>
        <v>45.3</v>
      </c>
      <c r="O55" s="3059">
        <f t="shared" si="11"/>
        <v>41.15</v>
      </c>
      <c r="P55" s="3060">
        <f t="shared" si="6"/>
        <v>9.0500000000000007</v>
      </c>
      <c r="Q55" s="3059">
        <f t="shared" si="6"/>
        <v>8.9499999999999993</v>
      </c>
      <c r="R55" s="3060">
        <f t="shared" si="6"/>
        <v>2.95</v>
      </c>
      <c r="S55" s="3070">
        <f t="shared" si="6"/>
        <v>11.899999999999999</v>
      </c>
      <c r="T55" s="3136">
        <v>46.26895033416794</v>
      </c>
      <c r="U55" s="3137">
        <v>42.395231393447702</v>
      </c>
      <c r="V55" s="3137">
        <v>8.3721781297027533</v>
      </c>
      <c r="W55" s="3136">
        <v>6.8876736879891629</v>
      </c>
      <c r="X55" s="3137">
        <v>3.4072760081087146</v>
      </c>
      <c r="Y55" s="3069">
        <f t="shared" si="12"/>
        <v>10.294949696097877</v>
      </c>
    </row>
    <row r="56" spans="1:25" s="2990" customFormat="1">
      <c r="A56" s="2988">
        <f t="shared" si="7"/>
        <v>2010.1</v>
      </c>
      <c r="B56" s="3063">
        <v>48.2</v>
      </c>
      <c r="C56" s="3050">
        <v>43</v>
      </c>
      <c r="D56" s="3051">
        <v>10.8</v>
      </c>
      <c r="E56" s="3050">
        <v>8.3000000000000007</v>
      </c>
      <c r="F56" s="3050">
        <v>2.8</v>
      </c>
      <c r="G56" s="3067">
        <f t="shared" si="0"/>
        <v>11.100000000000001</v>
      </c>
      <c r="H56" s="3049">
        <v>45.4</v>
      </c>
      <c r="I56" s="3050">
        <v>41.1</v>
      </c>
      <c r="J56" s="3051">
        <v>9.6</v>
      </c>
      <c r="K56" s="3050">
        <v>9.4</v>
      </c>
      <c r="L56" s="3050">
        <v>1.8</v>
      </c>
      <c r="M56" s="3067">
        <f t="shared" si="10"/>
        <v>11.200000000000001</v>
      </c>
      <c r="N56" s="3058">
        <f t="shared" si="13"/>
        <v>46.8</v>
      </c>
      <c r="O56" s="3059">
        <f t="shared" si="11"/>
        <v>42.05</v>
      </c>
      <c r="P56" s="3060">
        <f t="shared" si="6"/>
        <v>10.199999999999999</v>
      </c>
      <c r="Q56" s="3059">
        <f t="shared" si="6"/>
        <v>8.8500000000000014</v>
      </c>
      <c r="R56" s="3060">
        <f t="shared" si="6"/>
        <v>2.2999999999999998</v>
      </c>
      <c r="S56" s="3070">
        <f t="shared" si="6"/>
        <v>11.150000000000002</v>
      </c>
      <c r="T56" s="3136">
        <v>46.00357889359897</v>
      </c>
      <c r="U56" s="3137">
        <v>42.198989628788055</v>
      </c>
      <c r="V56" s="3137">
        <v>8.2702027892449266</v>
      </c>
      <c r="W56" s="3136">
        <v>6.5567719180780344</v>
      </c>
      <c r="X56" s="3137">
        <v>2.6809860818194289</v>
      </c>
      <c r="Y56" s="3069">
        <f t="shared" si="12"/>
        <v>9.2377579998974628</v>
      </c>
    </row>
    <row r="57" spans="1:25" s="2990" customFormat="1">
      <c r="A57" s="2988">
        <f t="shared" si="7"/>
        <v>2010.2</v>
      </c>
      <c r="B57" s="3063">
        <v>46.8</v>
      </c>
      <c r="C57" s="3050">
        <v>42.6</v>
      </c>
      <c r="D57" s="3051">
        <v>9</v>
      </c>
      <c r="E57" s="3050">
        <v>6.6</v>
      </c>
      <c r="F57" s="3050">
        <v>2.9</v>
      </c>
      <c r="G57" s="3067">
        <f t="shared" si="0"/>
        <v>9.5</v>
      </c>
      <c r="H57" s="3049">
        <v>42.7</v>
      </c>
      <c r="I57" s="3050">
        <v>37.799999999999997</v>
      </c>
      <c r="J57" s="3051">
        <v>11.4</v>
      </c>
      <c r="K57" s="3050">
        <v>9.4</v>
      </c>
      <c r="L57" s="3050">
        <v>1.8</v>
      </c>
      <c r="M57" s="3067">
        <f t="shared" si="10"/>
        <v>11.200000000000001</v>
      </c>
      <c r="N57" s="3058">
        <f t="shared" si="13"/>
        <v>44.75</v>
      </c>
      <c r="O57" s="3059">
        <f t="shared" si="11"/>
        <v>40.200000000000003</v>
      </c>
      <c r="P57" s="3060">
        <f t="shared" si="6"/>
        <v>10.199999999999999</v>
      </c>
      <c r="Q57" s="3059">
        <f t="shared" si="6"/>
        <v>8</v>
      </c>
      <c r="R57" s="3060">
        <f t="shared" si="6"/>
        <v>2.35</v>
      </c>
      <c r="S57" s="3070">
        <f t="shared" si="6"/>
        <v>10.350000000000001</v>
      </c>
      <c r="T57" s="3136">
        <v>46.1</v>
      </c>
      <c r="U57" s="3137">
        <v>42.5</v>
      </c>
      <c r="V57" s="3137">
        <v>7.9</v>
      </c>
      <c r="W57" s="3136">
        <v>6.7</v>
      </c>
      <c r="X57" s="3137">
        <v>3.1</v>
      </c>
      <c r="Y57" s="3069">
        <f t="shared" si="12"/>
        <v>9.8000000000000007</v>
      </c>
    </row>
    <row r="58" spans="1:25" s="2990" customFormat="1">
      <c r="A58" s="2988">
        <f t="shared" si="7"/>
        <v>2010.3</v>
      </c>
      <c r="B58" s="3063">
        <v>46</v>
      </c>
      <c r="C58" s="3050">
        <v>42.3</v>
      </c>
      <c r="D58" s="3051">
        <v>8</v>
      </c>
      <c r="E58" s="3050">
        <v>5.7</v>
      </c>
      <c r="F58" s="3050">
        <v>2.8</v>
      </c>
      <c r="G58" s="3067">
        <f t="shared" si="0"/>
        <v>8.5</v>
      </c>
      <c r="H58" s="3049">
        <v>42.8</v>
      </c>
      <c r="I58" s="3050">
        <v>40</v>
      </c>
      <c r="J58" s="3051">
        <v>6.5</v>
      </c>
      <c r="K58" s="3050">
        <v>11</v>
      </c>
      <c r="L58" s="3050">
        <v>1.3</v>
      </c>
      <c r="M58" s="3067">
        <f t="shared" si="10"/>
        <v>12.3</v>
      </c>
      <c r="N58" s="3058">
        <f t="shared" si="13"/>
        <v>44.4</v>
      </c>
      <c r="O58" s="3059">
        <f t="shared" si="11"/>
        <v>41.15</v>
      </c>
      <c r="P58" s="3060">
        <f t="shared" si="11"/>
        <v>7.25</v>
      </c>
      <c r="Q58" s="3059">
        <f t="shared" si="11"/>
        <v>8.35</v>
      </c>
      <c r="R58" s="3060">
        <f t="shared" si="11"/>
        <v>2.0499999999999998</v>
      </c>
      <c r="S58" s="3070">
        <f t="shared" si="11"/>
        <v>10.4</v>
      </c>
      <c r="T58" s="3136">
        <v>45.891462142027372</v>
      </c>
      <c r="U58" s="3137">
        <v>42.471878179791837</v>
      </c>
      <c r="V58" s="3137">
        <v>7.4514600377133711</v>
      </c>
      <c r="W58" s="3136">
        <v>6.1401141614721295</v>
      </c>
      <c r="X58" s="3137">
        <v>2.6703406480669538</v>
      </c>
      <c r="Y58" s="3069">
        <f t="shared" si="12"/>
        <v>8.8104548095390829</v>
      </c>
    </row>
    <row r="59" spans="1:25" s="2990" customFormat="1">
      <c r="A59" s="2988">
        <f t="shared" si="7"/>
        <v>2010.4</v>
      </c>
      <c r="B59" s="3063">
        <v>45.9</v>
      </c>
      <c r="C59" s="3050">
        <v>42.3</v>
      </c>
      <c r="D59" s="3051">
        <v>7.8</v>
      </c>
      <c r="E59" s="3050">
        <v>6.5</v>
      </c>
      <c r="F59" s="3050">
        <v>3.2</v>
      </c>
      <c r="G59" s="3067">
        <f t="shared" si="0"/>
        <v>9.6999999999999993</v>
      </c>
      <c r="H59" s="3049">
        <v>43.5</v>
      </c>
      <c r="I59" s="3050">
        <v>39.700000000000003</v>
      </c>
      <c r="J59" s="3051">
        <v>8.8000000000000007</v>
      </c>
      <c r="K59" s="3050">
        <v>11.7</v>
      </c>
      <c r="L59" s="3050">
        <v>0.9</v>
      </c>
      <c r="M59" s="3067">
        <f t="shared" si="10"/>
        <v>12.6</v>
      </c>
      <c r="N59" s="3058">
        <f t="shared" si="13"/>
        <v>44.7</v>
      </c>
      <c r="O59" s="3059">
        <f t="shared" si="11"/>
        <v>41</v>
      </c>
      <c r="P59" s="3060">
        <f t="shared" si="11"/>
        <v>8.3000000000000007</v>
      </c>
      <c r="Q59" s="3059">
        <f t="shared" si="11"/>
        <v>9.1</v>
      </c>
      <c r="R59" s="3060">
        <f t="shared" si="11"/>
        <v>2.0500000000000003</v>
      </c>
      <c r="S59" s="3070">
        <f t="shared" si="11"/>
        <v>11.149999999999999</v>
      </c>
      <c r="T59" s="3136">
        <v>45.744381769431847</v>
      </c>
      <c r="U59" s="3137">
        <v>42.409576425191489</v>
      </c>
      <c r="V59" s="3137">
        <v>7.2900872527887257</v>
      </c>
      <c r="W59" s="3136">
        <v>5.5282271856345702</v>
      </c>
      <c r="X59" s="3137">
        <v>2.830788124826487</v>
      </c>
      <c r="Y59" s="3069">
        <f t="shared" si="12"/>
        <v>8.3590153104610572</v>
      </c>
    </row>
    <row r="60" spans="1:25" s="2990" customFormat="1">
      <c r="A60" s="2988">
        <f t="shared" si="7"/>
        <v>2011.1</v>
      </c>
      <c r="B60" s="3063">
        <v>46.4</v>
      </c>
      <c r="C60" s="3050">
        <v>43.2</v>
      </c>
      <c r="D60" s="3050">
        <v>7</v>
      </c>
      <c r="E60" s="3050">
        <v>6.9</v>
      </c>
      <c r="F60" s="3050">
        <v>2.1</v>
      </c>
      <c r="G60" s="3067">
        <f t="shared" si="0"/>
        <v>9</v>
      </c>
      <c r="H60" s="3051">
        <v>43.2</v>
      </c>
      <c r="I60" s="3050">
        <v>40.200000000000003</v>
      </c>
      <c r="J60" s="3050">
        <v>6.9</v>
      </c>
      <c r="K60" s="3050">
        <v>5.2</v>
      </c>
      <c r="L60" s="3050">
        <v>0.8</v>
      </c>
      <c r="M60" s="3067">
        <f t="shared" si="10"/>
        <v>6</v>
      </c>
      <c r="N60" s="3058">
        <f t="shared" si="13"/>
        <v>44.8</v>
      </c>
      <c r="O60" s="3059">
        <f t="shared" si="11"/>
        <v>41.7</v>
      </c>
      <c r="P60" s="3060">
        <f t="shared" si="11"/>
        <v>6.95</v>
      </c>
      <c r="Q60" s="3059">
        <f t="shared" si="11"/>
        <v>6.0500000000000007</v>
      </c>
      <c r="R60" s="3060">
        <f t="shared" si="11"/>
        <v>1.4500000000000002</v>
      </c>
      <c r="S60" s="3070">
        <f t="shared" si="11"/>
        <v>7.5</v>
      </c>
      <c r="T60" s="3136">
        <v>45.698606534055784</v>
      </c>
      <c r="U60" s="3137">
        <v>42.323231197544608</v>
      </c>
      <c r="V60" s="3137">
        <v>7.3861668714028754</v>
      </c>
      <c r="W60" s="3136">
        <v>5.7787356025459191</v>
      </c>
      <c r="X60" s="3137">
        <v>2.4417917795163215</v>
      </c>
      <c r="Y60" s="3069">
        <f t="shared" si="12"/>
        <v>8.2205273820622402</v>
      </c>
    </row>
    <row r="61" spans="1:25" s="2990" customFormat="1">
      <c r="A61" s="2988">
        <f t="shared" si="7"/>
        <v>2011.2</v>
      </c>
      <c r="B61" s="3063">
        <v>47</v>
      </c>
      <c r="C61" s="3050">
        <v>43.5</v>
      </c>
      <c r="D61" s="3050">
        <v>7.4</v>
      </c>
      <c r="E61" s="3050">
        <v>4.5</v>
      </c>
      <c r="F61" s="3050">
        <v>2.2999999999999998</v>
      </c>
      <c r="G61" s="3067">
        <f t="shared" si="0"/>
        <v>6.8</v>
      </c>
      <c r="H61" s="3049">
        <v>44.4</v>
      </c>
      <c r="I61" s="3050">
        <v>40.700000000000003</v>
      </c>
      <c r="J61" s="3050">
        <v>8.3000000000000007</v>
      </c>
      <c r="K61" s="3050">
        <v>7.8</v>
      </c>
      <c r="L61" s="3050">
        <v>1.3</v>
      </c>
      <c r="M61" s="3067">
        <f t="shared" si="10"/>
        <v>9.1</v>
      </c>
      <c r="N61" s="3058">
        <f t="shared" si="13"/>
        <v>45.7</v>
      </c>
      <c r="O61" s="3059">
        <f t="shared" si="11"/>
        <v>42.1</v>
      </c>
      <c r="P61" s="3060">
        <f t="shared" si="11"/>
        <v>7.8500000000000005</v>
      </c>
      <c r="Q61" s="3059">
        <f t="shared" si="11"/>
        <v>6.15</v>
      </c>
      <c r="R61" s="3060">
        <f t="shared" si="11"/>
        <v>1.7999999999999998</v>
      </c>
      <c r="S61" s="3070">
        <f t="shared" si="11"/>
        <v>7.9499999999999993</v>
      </c>
      <c r="T61" s="3136">
        <v>46.55665052449536</v>
      </c>
      <c r="U61" s="3137">
        <v>43.135369982735021</v>
      </c>
      <c r="V61" s="3137">
        <v>7.3486397823233975</v>
      </c>
      <c r="W61" s="3136">
        <v>5.713805362595882</v>
      </c>
      <c r="X61" s="3137">
        <v>2.6876239576090124</v>
      </c>
      <c r="Y61" s="3069">
        <f t="shared" si="12"/>
        <v>8.401429320204894</v>
      </c>
    </row>
    <row r="62" spans="1:25" s="2990" customFormat="1">
      <c r="A62" s="2988">
        <f t="shared" si="7"/>
        <v>2011.3</v>
      </c>
      <c r="B62" s="3063">
        <v>46.4</v>
      </c>
      <c r="C62" s="3050">
        <v>42.7</v>
      </c>
      <c r="D62" s="3050">
        <v>7.8</v>
      </c>
      <c r="E62" s="3050">
        <v>4.9000000000000004</v>
      </c>
      <c r="F62" s="3050">
        <v>3.2</v>
      </c>
      <c r="G62" s="3067">
        <f t="shared" si="0"/>
        <v>8.1000000000000014</v>
      </c>
      <c r="H62" s="3049">
        <v>43.3</v>
      </c>
      <c r="I62" s="3050">
        <v>39.200000000000003</v>
      </c>
      <c r="J62" s="3050">
        <v>9.5</v>
      </c>
      <c r="K62" s="3050">
        <v>6.2</v>
      </c>
      <c r="L62" s="3050">
        <v>0.8</v>
      </c>
      <c r="M62" s="3067">
        <f t="shared" si="10"/>
        <v>7</v>
      </c>
      <c r="N62" s="3058">
        <f t="shared" si="13"/>
        <v>44.849999999999994</v>
      </c>
      <c r="O62" s="3059">
        <f t="shared" si="11"/>
        <v>40.950000000000003</v>
      </c>
      <c r="P62" s="3060">
        <f t="shared" si="11"/>
        <v>8.65</v>
      </c>
      <c r="Q62" s="3059">
        <f t="shared" si="11"/>
        <v>5.5500000000000007</v>
      </c>
      <c r="R62" s="3060">
        <f t="shared" si="11"/>
        <v>2</v>
      </c>
      <c r="S62" s="3070">
        <f t="shared" si="11"/>
        <v>7.5500000000000007</v>
      </c>
      <c r="T62" s="3136">
        <v>46.641526629049388</v>
      </c>
      <c r="U62" s="3137">
        <v>43.270480588505912</v>
      </c>
      <c r="V62" s="3137">
        <v>7.2275636845126696</v>
      </c>
      <c r="W62" s="3136">
        <v>6.0413055276078609</v>
      </c>
      <c r="X62" s="3137">
        <v>2.7568219796924973</v>
      </c>
      <c r="Y62" s="3069">
        <f t="shared" si="12"/>
        <v>8.7981275073003573</v>
      </c>
    </row>
    <row r="63" spans="1:25" s="2990" customFormat="1">
      <c r="A63" s="2988">
        <f t="shared" si="7"/>
        <v>2011.4</v>
      </c>
      <c r="B63" s="3063">
        <v>47.1</v>
      </c>
      <c r="C63" s="3050">
        <v>43.3</v>
      </c>
      <c r="D63" s="3051">
        <v>8.1</v>
      </c>
      <c r="E63" s="3050">
        <v>4.0999999999999996</v>
      </c>
      <c r="F63" s="3050">
        <v>1.5</v>
      </c>
      <c r="G63" s="3067">
        <f t="shared" si="0"/>
        <v>5.6</v>
      </c>
      <c r="H63" s="3049">
        <v>42.3</v>
      </c>
      <c r="I63" s="3050">
        <v>39.799999999999997</v>
      </c>
      <c r="J63" s="3051">
        <v>5.7</v>
      </c>
      <c r="K63" s="3050">
        <v>6.2</v>
      </c>
      <c r="L63" s="3050">
        <v>1.5</v>
      </c>
      <c r="M63" s="3067">
        <f t="shared" si="10"/>
        <v>7.7</v>
      </c>
      <c r="N63" s="3058">
        <f t="shared" si="13"/>
        <v>44.7</v>
      </c>
      <c r="O63" s="3059">
        <f t="shared" si="11"/>
        <v>41.55</v>
      </c>
      <c r="P63" s="3060">
        <f t="shared" si="11"/>
        <v>6.9</v>
      </c>
      <c r="Q63" s="3059">
        <f t="shared" si="11"/>
        <v>5.15</v>
      </c>
      <c r="R63" s="3060">
        <f t="shared" si="11"/>
        <v>1.5</v>
      </c>
      <c r="S63" s="3070">
        <f t="shared" si="11"/>
        <v>6.65</v>
      </c>
      <c r="T63" s="3136">
        <v>46.038542597518642</v>
      </c>
      <c r="U63" s="3137">
        <v>42.933297767399267</v>
      </c>
      <c r="V63" s="3137">
        <v>6.7448808214157916</v>
      </c>
      <c r="W63" s="3136">
        <v>5.9216744586988401</v>
      </c>
      <c r="X63" s="3137">
        <v>2.6351392746943167</v>
      </c>
      <c r="Y63" s="3069">
        <f t="shared" si="12"/>
        <v>8.556813733393156</v>
      </c>
    </row>
    <row r="64" spans="1:25" s="2990" customFormat="1">
      <c r="A64" s="2988">
        <f t="shared" si="7"/>
        <v>2012.1</v>
      </c>
      <c r="B64" s="3063">
        <v>47.7</v>
      </c>
      <c r="C64" s="3050">
        <v>43.1</v>
      </c>
      <c r="D64" s="3050">
        <v>9.8000000000000007</v>
      </c>
      <c r="E64" s="3050">
        <v>4.8</v>
      </c>
      <c r="F64" s="3050">
        <v>2.6</v>
      </c>
      <c r="G64" s="3067">
        <f t="shared" si="0"/>
        <v>7.4</v>
      </c>
      <c r="H64" s="3051">
        <v>44.9</v>
      </c>
      <c r="I64" s="3050">
        <v>41.9</v>
      </c>
      <c r="J64" s="3050">
        <v>6.6</v>
      </c>
      <c r="K64" s="3050">
        <v>6.4</v>
      </c>
      <c r="L64" s="3050">
        <v>2.2999999999999998</v>
      </c>
      <c r="M64" s="3067">
        <f t="shared" si="10"/>
        <v>8.6999999999999993</v>
      </c>
      <c r="N64" s="3058">
        <f t="shared" si="13"/>
        <v>46.3</v>
      </c>
      <c r="O64" s="3059">
        <f t="shared" si="11"/>
        <v>42.5</v>
      </c>
      <c r="P64" s="3060">
        <f t="shared" si="11"/>
        <v>8.1999999999999993</v>
      </c>
      <c r="Q64" s="3059">
        <f t="shared" si="11"/>
        <v>5.6</v>
      </c>
      <c r="R64" s="3060">
        <f t="shared" si="11"/>
        <v>2.4500000000000002</v>
      </c>
      <c r="S64" s="3070">
        <f t="shared" si="11"/>
        <v>8.0500000000000007</v>
      </c>
      <c r="T64" s="3136">
        <v>45.455341716849183</v>
      </c>
      <c r="U64" s="3137">
        <v>42.207983987190254</v>
      </c>
      <c r="V64" s="3137">
        <v>7.1440618572122787</v>
      </c>
      <c r="W64" s="3136">
        <v>5.0460340822087373</v>
      </c>
      <c r="X64" s="3137">
        <v>2.3793251562107764</v>
      </c>
      <c r="Y64" s="3069">
        <f t="shared" si="12"/>
        <v>7.4253592384195137</v>
      </c>
    </row>
    <row r="65" spans="1:25" s="2990" customFormat="1">
      <c r="A65" s="2988">
        <f t="shared" si="7"/>
        <v>2012.2</v>
      </c>
      <c r="B65" s="3063">
        <v>47.4</v>
      </c>
      <c r="C65" s="3050">
        <v>43.5</v>
      </c>
      <c r="D65" s="3050">
        <v>8.3000000000000007</v>
      </c>
      <c r="E65" s="3050">
        <v>4.2</v>
      </c>
      <c r="F65" s="3050">
        <v>2.8</v>
      </c>
      <c r="G65" s="3067">
        <f t="shared" si="0"/>
        <v>7</v>
      </c>
      <c r="H65" s="3049">
        <v>45</v>
      </c>
      <c r="I65" s="3050">
        <v>41.6</v>
      </c>
      <c r="J65" s="3050">
        <v>7.5</v>
      </c>
      <c r="K65" s="3050">
        <v>6.4</v>
      </c>
      <c r="L65" s="3050">
        <v>1.9</v>
      </c>
      <c r="M65" s="3067">
        <f t="shared" si="10"/>
        <v>8.3000000000000007</v>
      </c>
      <c r="N65" s="3058">
        <f t="shared" si="13"/>
        <v>46.2</v>
      </c>
      <c r="O65" s="3059">
        <f t="shared" si="11"/>
        <v>42.55</v>
      </c>
      <c r="P65" s="3060">
        <f t="shared" si="11"/>
        <v>7.9</v>
      </c>
      <c r="Q65" s="3059">
        <f t="shared" si="11"/>
        <v>5.3000000000000007</v>
      </c>
      <c r="R65" s="3060">
        <f t="shared" si="11"/>
        <v>2.3499999999999996</v>
      </c>
      <c r="S65" s="3070">
        <f t="shared" si="11"/>
        <v>7.65</v>
      </c>
      <c r="T65" s="3136">
        <v>46.103210954647267</v>
      </c>
      <c r="U65" s="3137">
        <v>42.777364127844237</v>
      </c>
      <c r="V65" s="3137">
        <v>7.2139158161342367</v>
      </c>
      <c r="W65" s="3136">
        <v>6.6979257607508353</v>
      </c>
      <c r="X65" s="3137">
        <v>2.6877515792012785</v>
      </c>
      <c r="Y65" s="3069">
        <f t="shared" si="12"/>
        <v>9.3856773399521138</v>
      </c>
    </row>
    <row r="66" spans="1:25" s="2990" customFormat="1">
      <c r="A66" s="2988">
        <f t="shared" si="7"/>
        <v>2012.3</v>
      </c>
      <c r="B66" s="3063">
        <v>45.9</v>
      </c>
      <c r="C66" s="3050">
        <v>42.3</v>
      </c>
      <c r="D66" s="3050">
        <v>7.7</v>
      </c>
      <c r="E66" s="3050">
        <v>5</v>
      </c>
      <c r="F66" s="3050">
        <v>4.5</v>
      </c>
      <c r="G66" s="3067">
        <f t="shared" si="0"/>
        <v>9.5</v>
      </c>
      <c r="H66" s="3049">
        <v>44.3</v>
      </c>
      <c r="I66" s="3050">
        <v>41</v>
      </c>
      <c r="J66" s="3050">
        <v>7.5</v>
      </c>
      <c r="K66" s="3050">
        <v>7.6</v>
      </c>
      <c r="L66" s="3050">
        <v>0.5</v>
      </c>
      <c r="M66" s="3067">
        <f t="shared" si="10"/>
        <v>8.1</v>
      </c>
      <c r="N66" s="3058">
        <f t="shared" si="13"/>
        <v>45.099999999999994</v>
      </c>
      <c r="O66" s="3059">
        <f t="shared" si="11"/>
        <v>41.65</v>
      </c>
      <c r="P66" s="3060">
        <f t="shared" si="11"/>
        <v>7.6</v>
      </c>
      <c r="Q66" s="3059">
        <f t="shared" si="11"/>
        <v>6.3</v>
      </c>
      <c r="R66" s="3060">
        <f t="shared" si="11"/>
        <v>2.5</v>
      </c>
      <c r="S66" s="3070">
        <f t="shared" si="11"/>
        <v>8.8000000000000007</v>
      </c>
      <c r="T66" s="3136">
        <v>46.844451739829054</v>
      </c>
      <c r="U66" s="3137">
        <v>43.274178332463414</v>
      </c>
      <c r="V66" s="3137">
        <v>7.6215502044824817</v>
      </c>
      <c r="W66" s="3136">
        <v>6.1828635756736583</v>
      </c>
      <c r="X66" s="3137">
        <v>2.7245097542795307</v>
      </c>
      <c r="Y66" s="3069">
        <f t="shared" si="12"/>
        <v>8.9073733299531881</v>
      </c>
    </row>
    <row r="67" spans="1:25" s="2990" customFormat="1">
      <c r="A67" s="2988">
        <f t="shared" si="7"/>
        <v>2012.4</v>
      </c>
      <c r="B67" s="3063">
        <v>47.4</v>
      </c>
      <c r="C67" s="3050">
        <v>43.3</v>
      </c>
      <c r="D67" s="3051">
        <v>8.6</v>
      </c>
      <c r="E67" s="3050">
        <v>5.3</v>
      </c>
      <c r="F67" s="3050">
        <v>2.2999999999999998</v>
      </c>
      <c r="G67" s="3067">
        <f t="shared" si="0"/>
        <v>7.6</v>
      </c>
      <c r="H67" s="3049">
        <v>43.6</v>
      </c>
      <c r="I67" s="3050">
        <v>40.6</v>
      </c>
      <c r="J67" s="3051">
        <v>6.9</v>
      </c>
      <c r="K67" s="3050">
        <v>4.4000000000000004</v>
      </c>
      <c r="L67" s="3050">
        <v>2.2000000000000002</v>
      </c>
      <c r="M67" s="3067">
        <f t="shared" si="10"/>
        <v>6.6000000000000005</v>
      </c>
      <c r="N67" s="3058">
        <f t="shared" si="13"/>
        <v>45.5</v>
      </c>
      <c r="O67" s="3059">
        <f t="shared" si="11"/>
        <v>41.95</v>
      </c>
      <c r="P67" s="3060">
        <f t="shared" si="11"/>
        <v>7.75</v>
      </c>
      <c r="Q67" s="3059">
        <f t="shared" si="11"/>
        <v>4.8499999999999996</v>
      </c>
      <c r="R67" s="3060">
        <f t="shared" si="11"/>
        <v>2.25</v>
      </c>
      <c r="S67" s="3070">
        <f t="shared" si="11"/>
        <v>7.1</v>
      </c>
      <c r="T67" s="3136">
        <v>46.260331205567702</v>
      </c>
      <c r="U67" s="3137">
        <v>43.082402917449578</v>
      </c>
      <c r="V67" s="3137">
        <v>6.8696617713269532</v>
      </c>
      <c r="W67" s="3136">
        <v>6.4398670683012833</v>
      </c>
      <c r="X67" s="3137">
        <v>2.5798049943036796</v>
      </c>
      <c r="Y67" s="3069">
        <f t="shared" si="12"/>
        <v>9.0196720626049629</v>
      </c>
    </row>
    <row r="68" spans="1:25" s="2990" customFormat="1">
      <c r="A68" s="2988">
        <f t="shared" si="7"/>
        <v>2013.1</v>
      </c>
      <c r="B68" s="3063">
        <v>49</v>
      </c>
      <c r="C68" s="3050">
        <v>44.8</v>
      </c>
      <c r="D68" s="3050">
        <v>8.6</v>
      </c>
      <c r="E68" s="3050">
        <v>5.4</v>
      </c>
      <c r="F68" s="3050">
        <v>2</v>
      </c>
      <c r="G68" s="3067">
        <f t="shared" si="0"/>
        <v>7.4</v>
      </c>
      <c r="H68" s="3051">
        <v>43.2</v>
      </c>
      <c r="I68" s="3050">
        <v>39.700000000000003</v>
      </c>
      <c r="J68" s="3050">
        <v>8.1</v>
      </c>
      <c r="K68" s="3050">
        <v>3.6</v>
      </c>
      <c r="L68" s="3050">
        <v>2.7</v>
      </c>
      <c r="M68" s="3067">
        <f t="shared" si="10"/>
        <v>6.3000000000000007</v>
      </c>
      <c r="N68" s="3058">
        <f t="shared" si="13"/>
        <v>46.1</v>
      </c>
      <c r="O68" s="3059">
        <f t="shared" si="11"/>
        <v>42.25</v>
      </c>
      <c r="P68" s="3060">
        <f t="shared" si="11"/>
        <v>8.35</v>
      </c>
      <c r="Q68" s="3059">
        <f t="shared" si="11"/>
        <v>4.5</v>
      </c>
      <c r="R68" s="3060">
        <f t="shared" si="11"/>
        <v>2.35</v>
      </c>
      <c r="S68" s="3070">
        <f t="shared" si="11"/>
        <v>6.8500000000000005</v>
      </c>
      <c r="T68" s="3136">
        <v>45.786211646419794</v>
      </c>
      <c r="U68" s="3137">
        <v>42.157511130050111</v>
      </c>
      <c r="V68" s="3137">
        <v>7.9253128526815484</v>
      </c>
      <c r="W68" s="3136">
        <v>5.4906483009690854</v>
      </c>
      <c r="X68" s="3137">
        <v>2.4604332743428334</v>
      </c>
      <c r="Y68" s="3069">
        <f t="shared" si="12"/>
        <v>7.9510815753119193</v>
      </c>
    </row>
    <row r="69" spans="1:25" s="2990" customFormat="1">
      <c r="A69" s="2988">
        <f t="shared" si="7"/>
        <v>2013.2</v>
      </c>
      <c r="B69" s="3063">
        <v>48.6</v>
      </c>
      <c r="C69" s="3050">
        <v>44.6</v>
      </c>
      <c r="D69" s="3050">
        <v>8.1999999999999993</v>
      </c>
      <c r="E69" s="3050">
        <v>5.3</v>
      </c>
      <c r="F69" s="3050">
        <v>2.5</v>
      </c>
      <c r="G69" s="3067">
        <f t="shared" si="0"/>
        <v>7.8</v>
      </c>
      <c r="H69" s="3049">
        <v>44.1</v>
      </c>
      <c r="I69" s="3050">
        <v>40.700000000000003</v>
      </c>
      <c r="J69" s="3050">
        <v>7.7</v>
      </c>
      <c r="K69" s="3050">
        <v>3.6</v>
      </c>
      <c r="L69" s="3050">
        <v>2.2000000000000002</v>
      </c>
      <c r="M69" s="3067">
        <f t="shared" si="10"/>
        <v>5.8000000000000007</v>
      </c>
      <c r="N69" s="3058">
        <f t="shared" si="13"/>
        <v>46.35</v>
      </c>
      <c r="O69" s="3059">
        <f t="shared" si="11"/>
        <v>42.650000000000006</v>
      </c>
      <c r="P69" s="3060">
        <f t="shared" si="11"/>
        <v>7.9499999999999993</v>
      </c>
      <c r="Q69" s="3059">
        <f t="shared" si="11"/>
        <v>4.45</v>
      </c>
      <c r="R69" s="3060">
        <f t="shared" si="11"/>
        <v>2.35</v>
      </c>
      <c r="S69" s="3070">
        <f t="shared" si="11"/>
        <v>6.8000000000000007</v>
      </c>
      <c r="T69" s="3136">
        <v>46.353032954013166</v>
      </c>
      <c r="U69" s="3137">
        <v>42.994873009571094</v>
      </c>
      <c r="V69" s="3137">
        <v>7.2447469570625689</v>
      </c>
      <c r="W69" s="3136">
        <v>6.6941583808467318</v>
      </c>
      <c r="X69" s="3137">
        <v>3.0223604416529612</v>
      </c>
      <c r="Y69" s="3069">
        <f t="shared" si="12"/>
        <v>9.7165188224996939</v>
      </c>
    </row>
    <row r="70" spans="1:25" s="2990" customFormat="1">
      <c r="A70" s="2988">
        <f t="shared" si="7"/>
        <v>2013.3</v>
      </c>
      <c r="B70" s="3063">
        <v>48.2</v>
      </c>
      <c r="C70" s="3050">
        <v>44.5</v>
      </c>
      <c r="D70" s="3050">
        <v>7.7</v>
      </c>
      <c r="E70" s="3050">
        <v>4.2</v>
      </c>
      <c r="F70" s="3050">
        <v>2.2999999999999998</v>
      </c>
      <c r="G70" s="3067">
        <f t="shared" si="0"/>
        <v>6.5</v>
      </c>
      <c r="H70" s="3049">
        <v>42.2</v>
      </c>
      <c r="I70" s="3050">
        <v>40</v>
      </c>
      <c r="J70" s="3050">
        <v>5.2</v>
      </c>
      <c r="K70" s="3050">
        <v>6.3</v>
      </c>
      <c r="L70" s="3050">
        <v>0.9</v>
      </c>
      <c r="M70" s="3067">
        <f t="shared" si="10"/>
        <v>7.2</v>
      </c>
      <c r="N70" s="3058">
        <f t="shared" si="13"/>
        <v>45.2</v>
      </c>
      <c r="O70" s="3059">
        <f t="shared" si="11"/>
        <v>42.25</v>
      </c>
      <c r="P70" s="3060">
        <f t="shared" si="11"/>
        <v>6.45</v>
      </c>
      <c r="Q70" s="3059">
        <f t="shared" si="11"/>
        <v>5.25</v>
      </c>
      <c r="R70" s="3060">
        <f t="shared" si="11"/>
        <v>1.5999999999999999</v>
      </c>
      <c r="S70" s="3070">
        <f t="shared" si="11"/>
        <v>6.85</v>
      </c>
      <c r="T70" s="3136">
        <v>46.011139383422197</v>
      </c>
      <c r="U70" s="3137">
        <v>42.871072260645342</v>
      </c>
      <c r="V70" s="3137">
        <v>6.8245802317780049</v>
      </c>
      <c r="W70" s="3136">
        <v>5.8133936266777679</v>
      </c>
      <c r="X70" s="3137">
        <v>2.945572610661924</v>
      </c>
      <c r="Y70" s="3069">
        <f t="shared" si="12"/>
        <v>8.7589662373396919</v>
      </c>
    </row>
    <row r="71" spans="1:25" s="2990" customFormat="1">
      <c r="A71" s="2988">
        <f t="shared" si="7"/>
        <v>2013.4</v>
      </c>
      <c r="B71" s="3063">
        <v>47.6</v>
      </c>
      <c r="C71" s="3050">
        <v>43.8</v>
      </c>
      <c r="D71" s="3051">
        <v>7.9</v>
      </c>
      <c r="E71" s="3050">
        <v>4.5</v>
      </c>
      <c r="F71" s="3050">
        <v>3.3</v>
      </c>
      <c r="G71" s="3067">
        <f t="shared" si="0"/>
        <v>7.8</v>
      </c>
      <c r="H71" s="3049">
        <v>40.200000000000003</v>
      </c>
      <c r="I71" s="3050">
        <v>37.700000000000003</v>
      </c>
      <c r="J71" s="3051">
        <v>6.3</v>
      </c>
      <c r="K71" s="3050">
        <v>5.0999999999999996</v>
      </c>
      <c r="L71" s="3050">
        <v>1.1000000000000001</v>
      </c>
      <c r="M71" s="3067">
        <f t="shared" si="10"/>
        <v>6.1999999999999993</v>
      </c>
      <c r="N71" s="3058">
        <f t="shared" si="13"/>
        <v>43.900000000000006</v>
      </c>
      <c r="O71" s="3059">
        <f t="shared" si="11"/>
        <v>40.75</v>
      </c>
      <c r="P71" s="3060">
        <f t="shared" si="11"/>
        <v>7.1</v>
      </c>
      <c r="Q71" s="3059">
        <f t="shared" si="11"/>
        <v>4.8</v>
      </c>
      <c r="R71" s="3060">
        <f t="shared" si="11"/>
        <v>2.2000000000000002</v>
      </c>
      <c r="S71" s="3070">
        <f t="shared" si="11"/>
        <v>7</v>
      </c>
      <c r="T71" s="3136">
        <v>45.541935882658514</v>
      </c>
      <c r="U71" s="3137">
        <v>42.630142320084389</v>
      </c>
      <c r="V71" s="3137">
        <v>6.3936534671616485</v>
      </c>
      <c r="W71" s="3136">
        <v>5.072700398735047</v>
      </c>
      <c r="X71" s="3137">
        <v>2.710072238712617</v>
      </c>
      <c r="Y71" s="3069">
        <f t="shared" si="12"/>
        <v>7.782772637447664</v>
      </c>
    </row>
    <row r="72" spans="1:25" s="2990" customFormat="1">
      <c r="A72" s="2988">
        <f t="shared" si="7"/>
        <v>2014.1</v>
      </c>
      <c r="B72" s="3063">
        <v>48.3</v>
      </c>
      <c r="C72" s="3050">
        <v>45</v>
      </c>
      <c r="D72" s="3050">
        <v>6.7</v>
      </c>
      <c r="E72" s="3050">
        <v>3.7</v>
      </c>
      <c r="F72" s="3050">
        <v>3.5</v>
      </c>
      <c r="G72" s="3067">
        <f t="shared" si="0"/>
        <v>7.2</v>
      </c>
      <c r="H72" s="3051">
        <v>44.4</v>
      </c>
      <c r="I72" s="3050">
        <v>41.7</v>
      </c>
      <c r="J72" s="3050">
        <v>6</v>
      </c>
      <c r="K72" s="3050">
        <v>4.5999999999999996</v>
      </c>
      <c r="L72" s="3050">
        <v>1.2</v>
      </c>
      <c r="M72" s="3067">
        <f t="shared" si="10"/>
        <v>5.8</v>
      </c>
      <c r="N72" s="3058">
        <f t="shared" si="13"/>
        <v>46.349999999999994</v>
      </c>
      <c r="O72" s="3059">
        <f t="shared" si="11"/>
        <v>43.35</v>
      </c>
      <c r="P72" s="3060">
        <f t="shared" si="11"/>
        <v>6.35</v>
      </c>
      <c r="Q72" s="3059">
        <f t="shared" si="11"/>
        <v>4.1500000000000004</v>
      </c>
      <c r="R72" s="3060">
        <f t="shared" si="11"/>
        <v>2.35</v>
      </c>
      <c r="S72" s="3070">
        <f t="shared" si="11"/>
        <v>6.5</v>
      </c>
      <c r="T72" s="3136">
        <v>44.939704655195875</v>
      </c>
      <c r="U72" s="3137">
        <v>41.737823361583551</v>
      </c>
      <c r="V72" s="3137">
        <v>7.1248383098622021</v>
      </c>
      <c r="W72" s="3136">
        <v>5.4659380665071344</v>
      </c>
      <c r="X72" s="3137">
        <v>2.6163712574607363</v>
      </c>
      <c r="Y72" s="3069">
        <f t="shared" si="12"/>
        <v>8.0823093239678698</v>
      </c>
    </row>
    <row r="73" spans="1:25" s="2990" customFormat="1">
      <c r="A73" s="2988">
        <f t="shared" si="7"/>
        <v>2014.2</v>
      </c>
      <c r="B73" s="3063">
        <v>47.7</v>
      </c>
      <c r="C73" s="3050">
        <v>43.2</v>
      </c>
      <c r="D73" s="3050">
        <v>9.4</v>
      </c>
      <c r="E73" s="3050">
        <v>5.8</v>
      </c>
      <c r="F73" s="3050">
        <v>2</v>
      </c>
      <c r="G73" s="3067">
        <f t="shared" si="0"/>
        <v>7.8</v>
      </c>
      <c r="H73" s="3049">
        <v>44.4</v>
      </c>
      <c r="I73" s="3050">
        <v>40.5</v>
      </c>
      <c r="J73" s="3050">
        <v>8.8000000000000007</v>
      </c>
      <c r="K73" s="3050">
        <v>4.0999999999999996</v>
      </c>
      <c r="L73" s="3050">
        <v>1.3</v>
      </c>
      <c r="M73" s="3067">
        <f t="shared" si="10"/>
        <v>5.3999999999999995</v>
      </c>
      <c r="N73" s="3058">
        <f t="shared" si="13"/>
        <v>46.05</v>
      </c>
      <c r="O73" s="3059">
        <f t="shared" si="11"/>
        <v>41.85</v>
      </c>
      <c r="P73" s="3060">
        <f t="shared" si="11"/>
        <v>9.1000000000000014</v>
      </c>
      <c r="Q73" s="3059">
        <f t="shared" si="11"/>
        <v>4.9499999999999993</v>
      </c>
      <c r="R73" s="3060">
        <f t="shared" si="11"/>
        <v>1.65</v>
      </c>
      <c r="S73" s="3070">
        <f t="shared" si="11"/>
        <v>6.6</v>
      </c>
      <c r="T73" s="3136">
        <v>44.687645300658261</v>
      </c>
      <c r="U73" s="3137">
        <v>41.339463137040859</v>
      </c>
      <c r="V73" s="3137">
        <v>7.4924112494423198</v>
      </c>
      <c r="W73" s="3136">
        <v>6.7537650081563187</v>
      </c>
      <c r="X73" s="3137">
        <v>2.6229131882614309</v>
      </c>
      <c r="Y73" s="3069">
        <f t="shared" si="12"/>
        <v>9.3766781964177497</v>
      </c>
    </row>
    <row r="74" spans="1:25" s="2990" customFormat="1">
      <c r="A74" s="2988">
        <f t="shared" si="7"/>
        <v>2014.3</v>
      </c>
      <c r="B74" s="3063">
        <v>47.2</v>
      </c>
      <c r="C74" s="3050">
        <v>42.8</v>
      </c>
      <c r="D74" s="3050">
        <v>9.3000000000000007</v>
      </c>
      <c r="E74" s="3050">
        <v>5.5</v>
      </c>
      <c r="F74" s="3050">
        <v>3.2</v>
      </c>
      <c r="G74" s="3067">
        <f t="shared" si="0"/>
        <v>8.6999999999999993</v>
      </c>
      <c r="H74" s="3049">
        <v>43.6</v>
      </c>
      <c r="I74" s="3050">
        <v>40.4</v>
      </c>
      <c r="J74" s="3050">
        <v>7.4</v>
      </c>
      <c r="K74" s="3050">
        <v>4.8</v>
      </c>
      <c r="L74" s="3050">
        <v>1.5</v>
      </c>
      <c r="M74" s="3067">
        <f t="shared" si="10"/>
        <v>6.3</v>
      </c>
      <c r="N74" s="3058">
        <f t="shared" si="13"/>
        <v>45.400000000000006</v>
      </c>
      <c r="O74" s="3059">
        <f t="shared" si="11"/>
        <v>41.599999999999994</v>
      </c>
      <c r="P74" s="3060">
        <f t="shared" si="11"/>
        <v>8.3500000000000014</v>
      </c>
      <c r="Q74" s="3059">
        <f t="shared" si="11"/>
        <v>5.15</v>
      </c>
      <c r="R74" s="3060">
        <f t="shared" si="11"/>
        <v>2.35</v>
      </c>
      <c r="S74" s="3070">
        <f t="shared" si="11"/>
        <v>7.5</v>
      </c>
      <c r="T74" s="3136">
        <v>44.626041813110781</v>
      </c>
      <c r="U74" s="3137">
        <v>41.267869807738791</v>
      </c>
      <c r="V74" s="3137">
        <v>7.5251397366489821</v>
      </c>
      <c r="W74" s="3136">
        <v>6.3309680991352506</v>
      </c>
      <c r="X74" s="3137">
        <v>2.9189218539722077</v>
      </c>
      <c r="Y74" s="3069">
        <f t="shared" si="12"/>
        <v>9.2498899531074592</v>
      </c>
    </row>
    <row r="75" spans="1:25" s="2990" customFormat="1">
      <c r="A75" s="2988">
        <f t="shared" si="7"/>
        <v>2014.4</v>
      </c>
      <c r="B75" s="3063">
        <v>48.8</v>
      </c>
      <c r="C75" s="3050">
        <v>44.6</v>
      </c>
      <c r="D75" s="3051">
        <v>8.6999999999999993</v>
      </c>
      <c r="E75" s="3050">
        <v>6.6</v>
      </c>
      <c r="F75" s="3050">
        <v>2.4</v>
      </c>
      <c r="G75" s="3067">
        <f t="shared" si="0"/>
        <v>9</v>
      </c>
      <c r="H75" s="3049">
        <v>43.1</v>
      </c>
      <c r="I75" s="3050">
        <v>40.299999999999997</v>
      </c>
      <c r="J75" s="3051">
        <v>6.6</v>
      </c>
      <c r="K75" s="3050">
        <v>3.7</v>
      </c>
      <c r="L75" s="3050">
        <v>1.6</v>
      </c>
      <c r="M75" s="3067">
        <f t="shared" si="10"/>
        <v>5.3000000000000007</v>
      </c>
      <c r="N75" s="3058">
        <f t="shared" si="13"/>
        <v>45.95</v>
      </c>
      <c r="O75" s="3059">
        <f t="shared" si="11"/>
        <v>42.45</v>
      </c>
      <c r="P75" s="3060">
        <f t="shared" si="11"/>
        <v>7.6499999999999995</v>
      </c>
      <c r="Q75" s="3059">
        <f t="shared" si="11"/>
        <v>5.15</v>
      </c>
      <c r="R75" s="3060">
        <f t="shared" si="11"/>
        <v>2</v>
      </c>
      <c r="S75" s="3070">
        <f t="shared" si="11"/>
        <v>7.15</v>
      </c>
      <c r="T75" s="3136">
        <v>45.174124568944876</v>
      </c>
      <c r="U75" s="3137">
        <v>42.042748545188942</v>
      </c>
      <c r="V75" s="3137">
        <v>6.9317912712991534</v>
      </c>
      <c r="W75" s="3136">
        <v>6.0958238571722854</v>
      </c>
      <c r="X75" s="3137">
        <v>2.9791087249651884</v>
      </c>
      <c r="Y75" s="3069">
        <f t="shared" si="12"/>
        <v>9.0749325821374747</v>
      </c>
    </row>
    <row r="76" spans="1:25" s="2990" customFormat="1">
      <c r="A76" s="2988">
        <f t="shared" si="7"/>
        <v>2015.1</v>
      </c>
      <c r="B76" s="3063">
        <v>49.3</v>
      </c>
      <c r="C76" s="3050">
        <v>44.9</v>
      </c>
      <c r="D76" s="3050">
        <v>8.8000000000000007</v>
      </c>
      <c r="E76" s="3050">
        <v>5.3</v>
      </c>
      <c r="F76" s="3050">
        <v>2</v>
      </c>
      <c r="G76" s="3067">
        <f t="shared" si="0"/>
        <v>7.3</v>
      </c>
      <c r="H76" s="3051">
        <v>43.1</v>
      </c>
      <c r="I76" s="3050">
        <v>40.700000000000003</v>
      </c>
      <c r="J76" s="3050">
        <v>5.6</v>
      </c>
      <c r="K76" s="3050">
        <v>4.3</v>
      </c>
      <c r="L76" s="3050">
        <v>4.5</v>
      </c>
      <c r="M76" s="3067">
        <f t="shared" si="10"/>
        <v>8.8000000000000007</v>
      </c>
      <c r="N76" s="3058">
        <f t="shared" si="13"/>
        <v>46.2</v>
      </c>
      <c r="O76" s="3059">
        <f t="shared" si="11"/>
        <v>42.8</v>
      </c>
      <c r="P76" s="3060">
        <f t="shared" si="11"/>
        <v>7.2</v>
      </c>
      <c r="Q76" s="3059">
        <f t="shared" si="11"/>
        <v>4.8</v>
      </c>
      <c r="R76" s="3060">
        <f t="shared" si="11"/>
        <v>3.25</v>
      </c>
      <c r="S76" s="3070">
        <f t="shared" si="11"/>
        <v>8.0500000000000007</v>
      </c>
      <c r="T76" s="3136">
        <v>44.491919373225414</v>
      </c>
      <c r="U76" s="3137">
        <v>41.326676207778419</v>
      </c>
      <c r="V76" s="3137">
        <v>7.114197836454311</v>
      </c>
      <c r="W76" s="3136">
        <v>5.1418780108214204</v>
      </c>
      <c r="X76" s="3137">
        <v>2.4512403417933646</v>
      </c>
      <c r="Y76" s="3069">
        <f t="shared" si="12"/>
        <v>7.593118352614785</v>
      </c>
    </row>
    <row r="77" spans="1:25" s="2990" customFormat="1">
      <c r="A77" s="2988">
        <f t="shared" si="7"/>
        <v>2015.2</v>
      </c>
      <c r="B77" s="3063">
        <v>48.6</v>
      </c>
      <c r="C77" s="3050">
        <v>44.6</v>
      </c>
      <c r="D77" s="3050">
        <v>8.3000000000000007</v>
      </c>
      <c r="E77" s="3050">
        <v>7.1</v>
      </c>
      <c r="F77" s="3050">
        <v>1.9</v>
      </c>
      <c r="G77" s="3067">
        <f t="shared" si="0"/>
        <v>9</v>
      </c>
      <c r="H77" s="3049">
        <v>42.7</v>
      </c>
      <c r="I77" s="3050">
        <v>40.1</v>
      </c>
      <c r="J77" s="3050">
        <v>6.1</v>
      </c>
      <c r="K77" s="3050">
        <v>4</v>
      </c>
      <c r="L77" s="3050">
        <v>2.9</v>
      </c>
      <c r="M77" s="3067">
        <f t="shared" si="10"/>
        <v>6.9</v>
      </c>
      <c r="N77" s="3058">
        <f t="shared" si="13"/>
        <v>45.650000000000006</v>
      </c>
      <c r="O77" s="3059">
        <f t="shared" si="11"/>
        <v>42.35</v>
      </c>
      <c r="P77" s="3060">
        <f t="shared" si="11"/>
        <v>7.2</v>
      </c>
      <c r="Q77" s="3059">
        <f t="shared" si="11"/>
        <v>5.55</v>
      </c>
      <c r="R77" s="3060">
        <f t="shared" si="11"/>
        <v>2.4</v>
      </c>
      <c r="S77" s="3070">
        <f t="shared" si="11"/>
        <v>7.95</v>
      </c>
      <c r="T77" s="3136">
        <v>44.398664324654732</v>
      </c>
      <c r="U77" s="3137">
        <v>41.480410133424137</v>
      </c>
      <c r="V77" s="3137">
        <v>6.5728423041998569</v>
      </c>
      <c r="W77" s="3136">
        <v>6.2692488122698453</v>
      </c>
      <c r="X77" s="3137">
        <v>2.7666109406071162</v>
      </c>
      <c r="Y77" s="3069">
        <f t="shared" si="12"/>
        <v>9.0358597528769611</v>
      </c>
    </row>
    <row r="78" spans="1:25">
      <c r="A78" s="2988">
        <f t="shared" si="7"/>
        <v>2015.3</v>
      </c>
      <c r="B78" s="3063">
        <v>47.6</v>
      </c>
      <c r="C78" s="3050">
        <v>43.4</v>
      </c>
      <c r="D78" s="3050">
        <v>8.8000000000000007</v>
      </c>
      <c r="E78" s="3050">
        <v>4.9000000000000004</v>
      </c>
      <c r="F78" s="3050">
        <v>2.1</v>
      </c>
      <c r="G78" s="3067">
        <f t="shared" si="0"/>
        <v>7</v>
      </c>
      <c r="H78" s="3049">
        <v>43</v>
      </c>
      <c r="I78" s="3050">
        <v>40.9</v>
      </c>
      <c r="J78" s="3050">
        <v>4.9000000000000004</v>
      </c>
      <c r="K78" s="3050">
        <v>7.6</v>
      </c>
      <c r="L78" s="3050">
        <v>2.8</v>
      </c>
      <c r="M78" s="3067">
        <f t="shared" si="10"/>
        <v>10.399999999999999</v>
      </c>
      <c r="N78" s="3058">
        <f t="shared" si="13"/>
        <v>45.3</v>
      </c>
      <c r="O78" s="3059">
        <f t="shared" si="11"/>
        <v>42.15</v>
      </c>
      <c r="P78" s="3060">
        <f t="shared" si="11"/>
        <v>6.8500000000000005</v>
      </c>
      <c r="Q78" s="3059">
        <f t="shared" si="11"/>
        <v>6.25</v>
      </c>
      <c r="R78" s="3060">
        <f t="shared" si="11"/>
        <v>2.4500000000000002</v>
      </c>
      <c r="S78" s="3070">
        <f t="shared" si="11"/>
        <v>8.6999999999999993</v>
      </c>
      <c r="T78" s="3136">
        <v>44.8</v>
      </c>
      <c r="U78" s="3137">
        <v>42.2</v>
      </c>
      <c r="V78" s="3137">
        <v>5.9</v>
      </c>
      <c r="W78" s="3136">
        <v>5.9</v>
      </c>
      <c r="X78" s="3137">
        <v>2.7</v>
      </c>
      <c r="Y78" s="3069">
        <f t="shared" si="12"/>
        <v>8.6000000000000014</v>
      </c>
    </row>
    <row r="79" spans="1:25">
      <c r="A79" s="2988">
        <f t="shared" si="7"/>
        <v>2015.4</v>
      </c>
      <c r="B79" s="3135">
        <f>AVERAGE(B77:B78)</f>
        <v>48.1</v>
      </c>
      <c r="C79" s="3135">
        <f>AVERAGE(C77:C78)</f>
        <v>44</v>
      </c>
      <c r="D79" s="3135">
        <f t="shared" ref="D79:F79" si="14">AVERAGE(D77:D78)</f>
        <v>8.5500000000000007</v>
      </c>
      <c r="E79" s="3135">
        <f t="shared" si="14"/>
        <v>6</v>
      </c>
      <c r="F79" s="3135">
        <f t="shared" si="14"/>
        <v>2</v>
      </c>
      <c r="G79" s="3067">
        <f>E79+F79</f>
        <v>8</v>
      </c>
      <c r="H79" s="3135">
        <f>AVERAGE(H77:H78)</f>
        <v>42.85</v>
      </c>
      <c r="I79" s="3135">
        <f>AVERAGE(I77:I78)</f>
        <v>40.5</v>
      </c>
      <c r="J79" s="3135">
        <f t="shared" ref="J79:L79" si="15">AVERAGE(J77:J78)</f>
        <v>5.5</v>
      </c>
      <c r="K79" s="3135">
        <f t="shared" si="15"/>
        <v>5.8</v>
      </c>
      <c r="L79" s="3135">
        <f t="shared" si="15"/>
        <v>2.8499999999999996</v>
      </c>
      <c r="M79" s="3067">
        <f>K79+L79</f>
        <v>8.6499999999999986</v>
      </c>
      <c r="N79" s="3058">
        <f>(B79+H79)/2</f>
        <v>45.475000000000001</v>
      </c>
      <c r="O79" s="3059">
        <f t="shared" ref="O79:S94" si="16">(C79+I79)/2</f>
        <v>42.25</v>
      </c>
      <c r="P79" s="3060">
        <f t="shared" si="16"/>
        <v>7.0250000000000004</v>
      </c>
      <c r="Q79" s="3059">
        <f t="shared" si="16"/>
        <v>5.9</v>
      </c>
      <c r="R79" s="3060">
        <f t="shared" si="16"/>
        <v>2.4249999999999998</v>
      </c>
      <c r="S79" s="3070">
        <f t="shared" si="16"/>
        <v>8.3249999999999993</v>
      </c>
      <c r="T79" s="3136">
        <f>AVERAGE(T77:T78)</f>
        <v>44.599332162327364</v>
      </c>
      <c r="U79" s="3137">
        <f>AVERAGE(U77:U78)</f>
        <v>41.840205066712073</v>
      </c>
      <c r="V79" s="3137">
        <f t="shared" ref="V79:X79" si="17">AVERAGE(V77:V78)</f>
        <v>6.2364211520999291</v>
      </c>
      <c r="W79" s="3136">
        <f t="shared" si="17"/>
        <v>6.0846244061349228</v>
      </c>
      <c r="X79" s="3137">
        <f t="shared" si="17"/>
        <v>2.7333054703035584</v>
      </c>
      <c r="Y79" s="3069">
        <f>W79+X79</f>
        <v>8.8179298764384804</v>
      </c>
    </row>
    <row r="80" spans="1:25">
      <c r="A80" s="2988">
        <f t="shared" si="7"/>
        <v>2016.1</v>
      </c>
      <c r="B80" s="3135">
        <f>AVERAGE(B81:B82)</f>
        <v>47.65</v>
      </c>
      <c r="C80" s="3135">
        <f>AVERAGE(C81:C82)</f>
        <v>42.65</v>
      </c>
      <c r="D80" s="3135">
        <f t="shared" ref="D80:F80" si="18">AVERAGE(D81:D82)</f>
        <v>10.5</v>
      </c>
      <c r="E80" s="3135">
        <f t="shared" si="18"/>
        <v>7.1</v>
      </c>
      <c r="F80" s="3135">
        <f t="shared" si="18"/>
        <v>2</v>
      </c>
      <c r="G80" s="3067">
        <f>E80+F80</f>
        <v>9.1</v>
      </c>
      <c r="H80" s="3135">
        <f>AVERAGE(H81:H82)</f>
        <v>40.950000000000003</v>
      </c>
      <c r="I80" s="3135">
        <f>AVERAGE(I81:I82)</f>
        <v>39.15</v>
      </c>
      <c r="J80" s="3135">
        <f t="shared" ref="J80:L80" si="19">AVERAGE(J81:J82)</f>
        <v>4.4000000000000004</v>
      </c>
      <c r="K80" s="3135">
        <f t="shared" si="19"/>
        <v>5.5</v>
      </c>
      <c r="L80" s="3135">
        <f t="shared" si="19"/>
        <v>2.1</v>
      </c>
      <c r="M80" s="3067">
        <f>K80+L80</f>
        <v>7.6</v>
      </c>
      <c r="N80" s="3058">
        <f t="shared" ref="N80" si="20">(B80+H80)/2</f>
        <v>44.3</v>
      </c>
      <c r="O80" s="3059">
        <f t="shared" si="16"/>
        <v>40.9</v>
      </c>
      <c r="P80" s="3060">
        <f t="shared" si="16"/>
        <v>7.45</v>
      </c>
      <c r="Q80" s="3059">
        <f t="shared" si="16"/>
        <v>6.3</v>
      </c>
      <c r="R80" s="3060">
        <f t="shared" si="16"/>
        <v>2.0499999999999998</v>
      </c>
      <c r="S80" s="3070">
        <f t="shared" si="16"/>
        <v>8.35</v>
      </c>
      <c r="T80" s="3136">
        <f>AVERAGE(T81:T82)</f>
        <v>45.98422430977827</v>
      </c>
      <c r="U80" s="3137">
        <f>AVERAGE(U81:U82)</f>
        <v>41.882873325527079</v>
      </c>
      <c r="V80" s="3137">
        <f t="shared" ref="V80:X80" si="21">AVERAGE(V81:V82)</f>
        <v>8.9192038833364506</v>
      </c>
      <c r="W80" s="3136">
        <f t="shared" si="21"/>
        <v>7.35</v>
      </c>
      <c r="X80" s="3137">
        <f t="shared" si="21"/>
        <v>3.35</v>
      </c>
      <c r="Y80" s="3069">
        <f>W80+X80</f>
        <v>10.7</v>
      </c>
    </row>
    <row r="81" spans="1:25">
      <c r="A81" s="2988">
        <f t="shared" si="7"/>
        <v>2016.2</v>
      </c>
      <c r="B81" s="3063">
        <v>47.9</v>
      </c>
      <c r="C81" s="3050">
        <v>42.3</v>
      </c>
      <c r="D81" s="3051">
        <v>11.7</v>
      </c>
      <c r="E81" s="3050">
        <v>7.9</v>
      </c>
      <c r="F81" s="3050">
        <v>2.2000000000000002</v>
      </c>
      <c r="G81" s="3067">
        <f t="shared" ref="G81:G139" si="22">E81+F81</f>
        <v>10.100000000000001</v>
      </c>
      <c r="H81" s="3049">
        <v>41.4</v>
      </c>
      <c r="I81" s="3050">
        <v>39.299999999999997</v>
      </c>
      <c r="J81" s="3051">
        <v>5</v>
      </c>
      <c r="K81" s="3050">
        <v>4.8</v>
      </c>
      <c r="L81" s="3050">
        <v>1.6</v>
      </c>
      <c r="M81" s="3067">
        <f t="shared" ref="M81:M139" si="23">K81+L81</f>
        <v>6.4</v>
      </c>
      <c r="N81" s="3058">
        <f>(B81+H81)/2</f>
        <v>44.65</v>
      </c>
      <c r="O81" s="3059">
        <f>(C81+I81)/2</f>
        <v>40.799999999999997</v>
      </c>
      <c r="P81" s="3060">
        <f t="shared" si="16"/>
        <v>8.35</v>
      </c>
      <c r="Q81" s="3059">
        <f t="shared" si="16"/>
        <v>6.35</v>
      </c>
      <c r="R81" s="3060">
        <f t="shared" si="16"/>
        <v>1.9000000000000001</v>
      </c>
      <c r="S81" s="3070">
        <f>(G81+M81)/2</f>
        <v>8.25</v>
      </c>
      <c r="T81" s="3085">
        <f>('2.3'!R81/'2.3'!Q81)*100</f>
        <v>45.96522186684313</v>
      </c>
      <c r="U81" s="3087">
        <f>('2.3'!S81/'2.3'!Q81)*100</f>
        <v>41.682291092239254</v>
      </c>
      <c r="V81" s="518">
        <f>('2.3'!T81/'2.3'!R81)*100</f>
        <v>9.317763736703192</v>
      </c>
      <c r="W81" s="3050">
        <v>7.7</v>
      </c>
      <c r="X81" s="3050">
        <v>3.5</v>
      </c>
      <c r="Y81" s="3069">
        <f t="shared" ref="Y81:Y139" si="24">W81+X81</f>
        <v>11.2</v>
      </c>
    </row>
    <row r="82" spans="1:25">
      <c r="A82" s="2988">
        <f t="shared" si="7"/>
        <v>2016.3</v>
      </c>
      <c r="B82" s="3063">
        <v>47.4</v>
      </c>
      <c r="C82" s="3050">
        <v>43</v>
      </c>
      <c r="D82" s="3051">
        <v>9.3000000000000007</v>
      </c>
      <c r="E82" s="3050">
        <v>6.3</v>
      </c>
      <c r="F82" s="3050">
        <v>1.8</v>
      </c>
      <c r="G82" s="3067">
        <f t="shared" si="22"/>
        <v>8.1</v>
      </c>
      <c r="H82" s="3049">
        <v>40.5</v>
      </c>
      <c r="I82" s="3050">
        <v>39</v>
      </c>
      <c r="J82" s="3051">
        <v>3.8</v>
      </c>
      <c r="K82" s="3050">
        <v>6.2</v>
      </c>
      <c r="L82" s="3050">
        <v>2.6</v>
      </c>
      <c r="M82" s="3067">
        <f t="shared" si="23"/>
        <v>8.8000000000000007</v>
      </c>
      <c r="N82" s="3058">
        <f t="shared" ref="N82:S97" si="25">(B82+H82)/2</f>
        <v>43.95</v>
      </c>
      <c r="O82" s="3059">
        <f t="shared" si="25"/>
        <v>41</v>
      </c>
      <c r="P82" s="3060">
        <f t="shared" si="16"/>
        <v>6.5500000000000007</v>
      </c>
      <c r="Q82" s="3059">
        <f t="shared" si="16"/>
        <v>6.25</v>
      </c>
      <c r="R82" s="3060">
        <f t="shared" si="16"/>
        <v>2.2000000000000002</v>
      </c>
      <c r="S82" s="3070">
        <f t="shared" si="16"/>
        <v>8.4499999999999993</v>
      </c>
      <c r="T82" s="3085">
        <f>('2.3'!R82/'2.3'!Q82)*100</f>
        <v>46.003226752713402</v>
      </c>
      <c r="U82" s="3087">
        <f>('2.3'!S82/'2.3'!Q82)*100</f>
        <v>42.083455558814904</v>
      </c>
      <c r="V82" s="518">
        <f>('2.3'!T82/'2.3'!R82)*100</f>
        <v>8.520644029969711</v>
      </c>
      <c r="W82" s="3050">
        <v>7</v>
      </c>
      <c r="X82" s="3050">
        <v>3.2</v>
      </c>
      <c r="Y82" s="3069">
        <f t="shared" si="24"/>
        <v>10.199999999999999</v>
      </c>
    </row>
    <row r="83" spans="1:25">
      <c r="A83" s="2988">
        <f t="shared" si="7"/>
        <v>2016.4</v>
      </c>
      <c r="B83" s="3063">
        <v>48.7</v>
      </c>
      <c r="C83" s="3050">
        <v>44.6</v>
      </c>
      <c r="D83" s="3051">
        <v>8.6</v>
      </c>
      <c r="E83" s="3050">
        <v>6.6</v>
      </c>
      <c r="F83" s="3050">
        <v>2.2999999999999998</v>
      </c>
      <c r="G83" s="3067">
        <f t="shared" si="22"/>
        <v>8.8999999999999986</v>
      </c>
      <c r="H83" s="3049">
        <v>43.6</v>
      </c>
      <c r="I83" s="3050">
        <v>41.4</v>
      </c>
      <c r="J83" s="3051">
        <v>5.0999999999999996</v>
      </c>
      <c r="K83" s="3050">
        <v>6.4</v>
      </c>
      <c r="L83" s="3050">
        <v>2.4</v>
      </c>
      <c r="M83" s="3067">
        <f t="shared" si="23"/>
        <v>8.8000000000000007</v>
      </c>
      <c r="N83" s="3058">
        <f t="shared" si="25"/>
        <v>46.150000000000006</v>
      </c>
      <c r="O83" s="3059">
        <f t="shared" si="25"/>
        <v>43</v>
      </c>
      <c r="P83" s="3060">
        <f t="shared" si="16"/>
        <v>6.85</v>
      </c>
      <c r="Q83" s="3059">
        <f t="shared" si="16"/>
        <v>6.5</v>
      </c>
      <c r="R83" s="3060">
        <f t="shared" si="16"/>
        <v>2.3499999999999996</v>
      </c>
      <c r="S83" s="3070">
        <f t="shared" si="16"/>
        <v>8.85</v>
      </c>
      <c r="T83" s="3085">
        <f>('2.3'!R83/'2.3'!Q83)*100</f>
        <v>45.335527518742005</v>
      </c>
      <c r="U83" s="3087">
        <f>('2.3'!S83/'2.3'!Q83)*100</f>
        <v>41.905284329859207</v>
      </c>
      <c r="V83" s="518">
        <f>('2.3'!T83/'2.3'!R83)*100</f>
        <v>7.5582802290876829</v>
      </c>
      <c r="W83" s="3050">
        <v>7.2</v>
      </c>
      <c r="X83" s="3050">
        <v>3.1</v>
      </c>
      <c r="Y83" s="3069">
        <f t="shared" si="24"/>
        <v>10.3</v>
      </c>
    </row>
    <row r="84" spans="1:25">
      <c r="A84" s="2988">
        <f t="shared" si="7"/>
        <v>2017.1</v>
      </c>
      <c r="B84" s="3063">
        <v>47.8</v>
      </c>
      <c r="C84" s="3050">
        <v>42.9</v>
      </c>
      <c r="D84" s="3051">
        <v>10.3</v>
      </c>
      <c r="E84" s="3050">
        <v>7.3</v>
      </c>
      <c r="F84" s="3050">
        <v>3.5</v>
      </c>
      <c r="G84" s="3067">
        <f t="shared" si="22"/>
        <v>10.8</v>
      </c>
      <c r="H84" s="3049">
        <v>41.8</v>
      </c>
      <c r="I84" s="3050">
        <v>39.700000000000003</v>
      </c>
      <c r="J84" s="3051">
        <v>5.2</v>
      </c>
      <c r="K84" s="3050">
        <v>5</v>
      </c>
      <c r="L84" s="3050">
        <v>2</v>
      </c>
      <c r="M84" s="3067">
        <f t="shared" si="23"/>
        <v>7</v>
      </c>
      <c r="N84" s="3058">
        <f t="shared" si="25"/>
        <v>44.8</v>
      </c>
      <c r="O84" s="3059">
        <f t="shared" si="25"/>
        <v>41.3</v>
      </c>
      <c r="P84" s="3060">
        <f t="shared" si="16"/>
        <v>7.75</v>
      </c>
      <c r="Q84" s="3059">
        <f t="shared" si="16"/>
        <v>6.15</v>
      </c>
      <c r="R84" s="3060">
        <f t="shared" si="16"/>
        <v>2.75</v>
      </c>
      <c r="S84" s="3070">
        <f t="shared" si="16"/>
        <v>8.9</v>
      </c>
      <c r="T84" s="3276">
        <v>45.5</v>
      </c>
      <c r="U84" s="1354">
        <v>41.3</v>
      </c>
      <c r="V84" s="1758">
        <v>9.1999999999999993</v>
      </c>
      <c r="W84" s="3050">
        <v>6.6</v>
      </c>
      <c r="X84" s="3050">
        <v>3.3</v>
      </c>
      <c r="Y84" s="3069">
        <f t="shared" si="24"/>
        <v>9.8999999999999986</v>
      </c>
    </row>
    <row r="85" spans="1:25">
      <c r="A85" s="2988">
        <f t="shared" si="7"/>
        <v>2017.2</v>
      </c>
      <c r="B85" s="3063">
        <v>48.2</v>
      </c>
      <c r="C85" s="3050">
        <v>43</v>
      </c>
      <c r="D85" s="3051">
        <v>10.8</v>
      </c>
      <c r="E85" s="3050">
        <v>8.3000000000000007</v>
      </c>
      <c r="F85" s="3050">
        <v>2.8</v>
      </c>
      <c r="G85" s="3067">
        <f t="shared" si="22"/>
        <v>11.100000000000001</v>
      </c>
      <c r="H85" s="3049">
        <v>41.8</v>
      </c>
      <c r="I85" s="3050">
        <v>39.700000000000003</v>
      </c>
      <c r="J85" s="3051">
        <v>5.0999999999999996</v>
      </c>
      <c r="K85" s="3050">
        <v>4.3</v>
      </c>
      <c r="L85" s="3050">
        <v>2.2000000000000002</v>
      </c>
      <c r="M85" s="3067">
        <f t="shared" si="23"/>
        <v>6.5</v>
      </c>
      <c r="N85" s="3058">
        <f t="shared" si="25"/>
        <v>45</v>
      </c>
      <c r="O85" s="3059">
        <f t="shared" si="25"/>
        <v>41.35</v>
      </c>
      <c r="P85" s="3060">
        <f t="shared" si="16"/>
        <v>7.95</v>
      </c>
      <c r="Q85" s="3059">
        <f t="shared" si="16"/>
        <v>6.3000000000000007</v>
      </c>
      <c r="R85" s="3060">
        <f t="shared" si="16"/>
        <v>2.5</v>
      </c>
      <c r="S85" s="3070">
        <f t="shared" si="16"/>
        <v>8.8000000000000007</v>
      </c>
      <c r="T85" s="3276">
        <v>45.4</v>
      </c>
      <c r="U85" s="1354">
        <v>41.5</v>
      </c>
      <c r="V85" s="1758">
        <v>8.6999999999999993</v>
      </c>
      <c r="W85" s="3050">
        <v>7.4</v>
      </c>
      <c r="X85" s="3050">
        <v>3.6</v>
      </c>
      <c r="Y85" s="3069">
        <f t="shared" si="24"/>
        <v>11</v>
      </c>
    </row>
    <row r="86" spans="1:25">
      <c r="A86" s="2988">
        <f t="shared" si="7"/>
        <v>2017.3</v>
      </c>
      <c r="B86" s="3063">
        <v>46.5</v>
      </c>
      <c r="C86" s="3050">
        <v>42.6</v>
      </c>
      <c r="D86" s="3051">
        <v>8.4</v>
      </c>
      <c r="E86" s="3050">
        <v>6.9</v>
      </c>
      <c r="F86" s="3050">
        <v>1.9</v>
      </c>
      <c r="G86" s="3067">
        <f t="shared" si="22"/>
        <v>8.8000000000000007</v>
      </c>
      <c r="H86" s="3049">
        <v>42.6</v>
      </c>
      <c r="I86" s="3050">
        <v>41.2</v>
      </c>
      <c r="J86" s="3051">
        <v>3.1</v>
      </c>
      <c r="K86" s="3050">
        <v>5</v>
      </c>
      <c r="L86" s="3050">
        <v>4.0999999999999996</v>
      </c>
      <c r="M86" s="3067">
        <f t="shared" si="23"/>
        <v>9.1</v>
      </c>
      <c r="N86" s="3058">
        <f t="shared" si="25"/>
        <v>44.55</v>
      </c>
      <c r="O86" s="3059">
        <f t="shared" si="25"/>
        <v>41.900000000000006</v>
      </c>
      <c r="P86" s="3060">
        <f t="shared" si="16"/>
        <v>5.75</v>
      </c>
      <c r="Q86" s="3059">
        <f t="shared" si="16"/>
        <v>5.95</v>
      </c>
      <c r="R86" s="3060">
        <f t="shared" si="16"/>
        <v>3</v>
      </c>
      <c r="S86" s="3070">
        <f t="shared" si="16"/>
        <v>8.9499999999999993</v>
      </c>
      <c r="T86" s="3276">
        <v>46.3</v>
      </c>
      <c r="U86" s="1354">
        <v>42.4</v>
      </c>
      <c r="V86" s="1758">
        <v>8.3000000000000007</v>
      </c>
      <c r="W86" s="3050">
        <v>7.9</v>
      </c>
      <c r="X86" s="3050">
        <v>2.9</v>
      </c>
      <c r="Y86" s="3069">
        <f t="shared" si="24"/>
        <v>10.8</v>
      </c>
    </row>
    <row r="87" spans="1:25">
      <c r="A87" s="2988">
        <f t="shared" si="7"/>
        <v>2017.4</v>
      </c>
      <c r="B87" s="3063">
        <v>46.4</v>
      </c>
      <c r="C87" s="3050">
        <v>42.8</v>
      </c>
      <c r="D87" s="3051">
        <v>7.6</v>
      </c>
      <c r="E87" s="3050">
        <v>8</v>
      </c>
      <c r="F87" s="3050">
        <v>1.6</v>
      </c>
      <c r="G87" s="3067">
        <f t="shared" si="22"/>
        <v>9.6</v>
      </c>
      <c r="H87" s="3049">
        <v>42</v>
      </c>
      <c r="I87" s="3050">
        <v>40.6</v>
      </c>
      <c r="J87" s="3051">
        <v>3.3</v>
      </c>
      <c r="K87" s="3050">
        <v>6.6</v>
      </c>
      <c r="L87" s="3050">
        <v>3.3</v>
      </c>
      <c r="M87" s="3067">
        <f t="shared" si="23"/>
        <v>9.8999999999999986</v>
      </c>
      <c r="N87" s="3058">
        <f t="shared" si="25"/>
        <v>44.2</v>
      </c>
      <c r="O87" s="3059">
        <f t="shared" si="25"/>
        <v>41.7</v>
      </c>
      <c r="P87" s="3060">
        <f t="shared" si="16"/>
        <v>5.4499999999999993</v>
      </c>
      <c r="Q87" s="3059">
        <f t="shared" si="16"/>
        <v>7.3</v>
      </c>
      <c r="R87" s="3060">
        <f t="shared" si="16"/>
        <v>2.4500000000000002</v>
      </c>
      <c r="S87" s="3070">
        <f t="shared" si="16"/>
        <v>9.75</v>
      </c>
      <c r="T87" s="3276">
        <v>46.4</v>
      </c>
      <c r="U87" s="1354">
        <v>43</v>
      </c>
      <c r="V87" s="1758">
        <v>7.2</v>
      </c>
      <c r="W87" s="3050">
        <v>7.2</v>
      </c>
      <c r="X87" s="3050">
        <v>3</v>
      </c>
      <c r="Y87" s="3069">
        <f t="shared" si="24"/>
        <v>10.199999999999999</v>
      </c>
    </row>
    <row r="88" spans="1:25">
      <c r="A88" s="2988">
        <f t="shared" si="7"/>
        <v>2018.1</v>
      </c>
      <c r="B88" s="3063">
        <v>48.7</v>
      </c>
      <c r="C88" s="3050">
        <v>44.2</v>
      </c>
      <c r="D88" s="3051">
        <v>9.1999999999999993</v>
      </c>
      <c r="E88" s="3050">
        <v>7</v>
      </c>
      <c r="F88" s="3050">
        <v>2</v>
      </c>
      <c r="G88" s="3067">
        <f t="shared" si="22"/>
        <v>9</v>
      </c>
      <c r="H88" s="3049">
        <v>43.3</v>
      </c>
      <c r="I88" s="3050">
        <v>40.4</v>
      </c>
      <c r="J88" s="3051">
        <v>6.7</v>
      </c>
      <c r="K88" s="3050">
        <v>5.3</v>
      </c>
      <c r="L88" s="3050">
        <v>3</v>
      </c>
      <c r="M88" s="3067">
        <f t="shared" si="23"/>
        <v>8.3000000000000007</v>
      </c>
      <c r="N88" s="3058">
        <f t="shared" si="25"/>
        <v>46</v>
      </c>
      <c r="O88" s="3059">
        <f t="shared" si="25"/>
        <v>42.3</v>
      </c>
      <c r="P88" s="3060">
        <f t="shared" si="16"/>
        <v>7.9499999999999993</v>
      </c>
      <c r="Q88" s="3059">
        <f t="shared" si="16"/>
        <v>6.15</v>
      </c>
      <c r="R88" s="3060">
        <f t="shared" si="16"/>
        <v>2.5</v>
      </c>
      <c r="S88" s="3070">
        <f t="shared" si="16"/>
        <v>8.65</v>
      </c>
      <c r="T88" s="3276">
        <v>46.7</v>
      </c>
      <c r="U88" s="1354">
        <v>42.4</v>
      </c>
      <c r="V88" s="1758">
        <v>9.1</v>
      </c>
      <c r="W88" s="3050">
        <v>6.8</v>
      </c>
      <c r="X88" s="3050">
        <v>3</v>
      </c>
      <c r="Y88" s="3069">
        <f t="shared" si="24"/>
        <v>9.8000000000000007</v>
      </c>
    </row>
    <row r="89" spans="1:25">
      <c r="A89" s="2988">
        <f t="shared" si="7"/>
        <v>2018.2</v>
      </c>
      <c r="B89" s="3063">
        <v>47.5</v>
      </c>
      <c r="C89" s="3050">
        <v>43.7</v>
      </c>
      <c r="D89" s="3051">
        <v>8</v>
      </c>
      <c r="E89" s="3050">
        <v>8.5</v>
      </c>
      <c r="F89" s="3050">
        <v>4.2</v>
      </c>
      <c r="G89" s="3067">
        <f t="shared" si="22"/>
        <v>12.7</v>
      </c>
      <c r="H89" s="3049">
        <v>41.1</v>
      </c>
      <c r="I89" s="3050">
        <v>38.200000000000003</v>
      </c>
      <c r="J89" s="3051">
        <v>7</v>
      </c>
      <c r="K89" s="3050">
        <v>5.9</v>
      </c>
      <c r="L89" s="3050">
        <v>2.1</v>
      </c>
      <c r="M89" s="3067">
        <f t="shared" si="23"/>
        <v>8</v>
      </c>
      <c r="N89" s="3058">
        <f t="shared" si="25"/>
        <v>44.3</v>
      </c>
      <c r="O89" s="3059">
        <f t="shared" si="25"/>
        <v>40.950000000000003</v>
      </c>
      <c r="P89" s="3060">
        <f t="shared" si="16"/>
        <v>7.5</v>
      </c>
      <c r="Q89" s="3059">
        <f t="shared" si="16"/>
        <v>7.2</v>
      </c>
      <c r="R89" s="3060">
        <f t="shared" si="16"/>
        <v>3.1500000000000004</v>
      </c>
      <c r="S89" s="3070">
        <f t="shared" si="16"/>
        <v>10.35</v>
      </c>
      <c r="T89" s="3276">
        <v>46.4</v>
      </c>
      <c r="U89" s="1354">
        <v>41.9</v>
      </c>
      <c r="V89" s="1758">
        <v>9.6</v>
      </c>
      <c r="W89" s="3050">
        <v>7.7</v>
      </c>
      <c r="X89" s="3050">
        <v>3.5</v>
      </c>
      <c r="Y89" s="3069">
        <f t="shared" si="24"/>
        <v>11.2</v>
      </c>
    </row>
    <row r="90" spans="1:25">
      <c r="A90" s="2988">
        <f t="shared" si="7"/>
        <v>2018.3</v>
      </c>
      <c r="B90" s="3063">
        <v>47.5</v>
      </c>
      <c r="C90" s="3050">
        <v>43.7</v>
      </c>
      <c r="D90" s="3051">
        <v>7.9</v>
      </c>
      <c r="E90" s="3050">
        <v>6.1</v>
      </c>
      <c r="F90" s="3050">
        <v>2.4</v>
      </c>
      <c r="G90" s="3067">
        <f t="shared" si="22"/>
        <v>8.5</v>
      </c>
      <c r="H90" s="3049">
        <v>40.700000000000003</v>
      </c>
      <c r="I90" s="3050">
        <v>39.200000000000003</v>
      </c>
      <c r="J90" s="3051">
        <v>3.6</v>
      </c>
      <c r="K90" s="3050">
        <v>5.3</v>
      </c>
      <c r="L90" s="3050">
        <v>1.9</v>
      </c>
      <c r="M90" s="3067">
        <f t="shared" si="23"/>
        <v>7.1999999999999993</v>
      </c>
      <c r="N90" s="3058">
        <f t="shared" si="25"/>
        <v>44.1</v>
      </c>
      <c r="O90" s="3059">
        <f t="shared" si="25"/>
        <v>41.45</v>
      </c>
      <c r="P90" s="3060">
        <f t="shared" si="16"/>
        <v>5.75</v>
      </c>
      <c r="Q90" s="3059">
        <f t="shared" si="16"/>
        <v>5.6999999999999993</v>
      </c>
      <c r="R90" s="3060">
        <f t="shared" si="16"/>
        <v>2.15</v>
      </c>
      <c r="S90" s="3070">
        <f t="shared" si="16"/>
        <v>7.85</v>
      </c>
      <c r="T90" s="3276">
        <v>46.7</v>
      </c>
      <c r="U90" s="1354">
        <v>42.5</v>
      </c>
      <c r="V90" s="1758">
        <v>9</v>
      </c>
      <c r="W90" s="3050">
        <v>8.3000000000000007</v>
      </c>
      <c r="X90" s="3050">
        <v>3.5</v>
      </c>
      <c r="Y90" s="3069">
        <f t="shared" si="24"/>
        <v>11.8</v>
      </c>
    </row>
    <row r="91" spans="1:25">
      <c r="A91" s="2988">
        <f t="shared" si="7"/>
        <v>2018.4</v>
      </c>
      <c r="B91" s="3063">
        <v>46.6</v>
      </c>
      <c r="C91" s="3050">
        <v>40.700000000000003</v>
      </c>
      <c r="D91" s="3051">
        <v>12.8</v>
      </c>
      <c r="E91" s="3050">
        <v>9.9</v>
      </c>
      <c r="F91" s="3050">
        <v>2.9</v>
      </c>
      <c r="G91" s="3067">
        <f>E91+F91</f>
        <v>12.8</v>
      </c>
      <c r="H91" s="3049">
        <v>42.2</v>
      </c>
      <c r="I91" s="3050">
        <v>41</v>
      </c>
      <c r="J91" s="3051">
        <v>3</v>
      </c>
      <c r="K91" s="3050">
        <v>4.2</v>
      </c>
      <c r="L91" s="3050">
        <v>2.7</v>
      </c>
      <c r="M91" s="3067">
        <f t="shared" si="23"/>
        <v>6.9</v>
      </c>
      <c r="N91" s="3058">
        <f t="shared" si="25"/>
        <v>44.400000000000006</v>
      </c>
      <c r="O91" s="3059">
        <f t="shared" si="25"/>
        <v>40.85</v>
      </c>
      <c r="P91" s="3060">
        <f t="shared" si="16"/>
        <v>7.9</v>
      </c>
      <c r="Q91" s="3059">
        <f t="shared" si="16"/>
        <v>7.0500000000000007</v>
      </c>
      <c r="R91" s="3060">
        <f t="shared" si="16"/>
        <v>2.8</v>
      </c>
      <c r="S91" s="3070">
        <f t="shared" si="16"/>
        <v>9.8500000000000014</v>
      </c>
      <c r="T91" s="3276">
        <v>46.5</v>
      </c>
      <c r="U91" s="1354">
        <v>42.2</v>
      </c>
      <c r="V91" s="1758">
        <v>9.1</v>
      </c>
      <c r="W91" s="3050">
        <v>8.6999999999999993</v>
      </c>
      <c r="X91" s="3050">
        <v>3.3</v>
      </c>
      <c r="Y91" s="3069">
        <f t="shared" si="24"/>
        <v>12</v>
      </c>
    </row>
    <row r="92" spans="1:25">
      <c r="A92" s="2988">
        <f t="shared" si="7"/>
        <v>2019.1</v>
      </c>
      <c r="B92" s="3063">
        <v>47.3</v>
      </c>
      <c r="C92" s="3050">
        <v>41.7</v>
      </c>
      <c r="D92" s="3051">
        <v>11.7</v>
      </c>
      <c r="E92" s="3050">
        <v>8.4</v>
      </c>
      <c r="F92" s="3050">
        <v>3.4</v>
      </c>
      <c r="G92" s="3067">
        <f t="shared" si="22"/>
        <v>11.8</v>
      </c>
      <c r="H92" s="3049">
        <v>41</v>
      </c>
      <c r="I92" s="3050">
        <v>38.799999999999997</v>
      </c>
      <c r="J92" s="3051">
        <v>5.5</v>
      </c>
      <c r="K92" s="3050">
        <v>4.2</v>
      </c>
      <c r="L92" s="3050">
        <v>1.5</v>
      </c>
      <c r="M92" s="3067">
        <f t="shared" si="23"/>
        <v>5.7</v>
      </c>
      <c r="N92" s="3058">
        <f t="shared" si="25"/>
        <v>44.15</v>
      </c>
      <c r="O92" s="3059">
        <f t="shared" si="25"/>
        <v>40.25</v>
      </c>
      <c r="P92" s="3060">
        <f t="shared" si="16"/>
        <v>8.6</v>
      </c>
      <c r="Q92" s="3059">
        <f t="shared" si="16"/>
        <v>6.3000000000000007</v>
      </c>
      <c r="R92" s="3060">
        <f t="shared" si="16"/>
        <v>2.4500000000000002</v>
      </c>
      <c r="S92" s="3070">
        <f t="shared" si="16"/>
        <v>8.75</v>
      </c>
      <c r="T92" s="3276">
        <v>47</v>
      </c>
      <c r="U92" s="1354">
        <v>42.3</v>
      </c>
      <c r="V92" s="1758">
        <v>10.1</v>
      </c>
      <c r="W92" s="3050">
        <v>8.4</v>
      </c>
      <c r="X92" s="3050">
        <v>3.4</v>
      </c>
      <c r="Y92" s="3069">
        <f t="shared" si="24"/>
        <v>11.8</v>
      </c>
    </row>
    <row r="93" spans="1:25">
      <c r="A93" s="2988">
        <f t="shared" si="7"/>
        <v>2019.2</v>
      </c>
      <c r="B93" s="3049">
        <v>47.6</v>
      </c>
      <c r="C93" s="3050">
        <v>42.6</v>
      </c>
      <c r="D93" s="3051">
        <v>10.6</v>
      </c>
      <c r="E93" s="3050">
        <v>8.1999999999999993</v>
      </c>
      <c r="F93" s="3050">
        <v>2.1</v>
      </c>
      <c r="G93" s="3067">
        <f t="shared" si="22"/>
        <v>10.299999999999999</v>
      </c>
      <c r="H93" s="3049">
        <v>41.3</v>
      </c>
      <c r="I93" s="3050">
        <v>38.200000000000003</v>
      </c>
      <c r="J93" s="3051">
        <v>7.4</v>
      </c>
      <c r="K93" s="3050">
        <v>5.6</v>
      </c>
      <c r="L93" s="3050">
        <v>1.7</v>
      </c>
      <c r="M93" s="3067">
        <f t="shared" si="23"/>
        <v>7.3</v>
      </c>
      <c r="N93" s="3058">
        <f t="shared" si="25"/>
        <v>44.45</v>
      </c>
      <c r="O93" s="3059">
        <f t="shared" si="25"/>
        <v>40.400000000000006</v>
      </c>
      <c r="P93" s="3060">
        <f t="shared" si="16"/>
        <v>9</v>
      </c>
      <c r="Q93" s="3059">
        <f t="shared" si="16"/>
        <v>6.8999999999999995</v>
      </c>
      <c r="R93" s="3060">
        <f t="shared" si="16"/>
        <v>1.9</v>
      </c>
      <c r="S93" s="3070">
        <f t="shared" si="16"/>
        <v>8.7999999999999989</v>
      </c>
      <c r="T93" s="3276">
        <v>47.7</v>
      </c>
      <c r="U93" s="1354">
        <v>42.6</v>
      </c>
      <c r="V93" s="1758">
        <v>10.6</v>
      </c>
      <c r="W93" s="3050">
        <v>9.1999999999999993</v>
      </c>
      <c r="X93" s="3050">
        <v>3.9</v>
      </c>
      <c r="Y93" s="3069">
        <f t="shared" si="24"/>
        <v>13.1</v>
      </c>
    </row>
    <row r="94" spans="1:25">
      <c r="A94" s="2988">
        <f t="shared" si="7"/>
        <v>2019.3</v>
      </c>
      <c r="B94" s="3063">
        <v>46.3</v>
      </c>
      <c r="C94" s="3050">
        <v>42.2</v>
      </c>
      <c r="D94" s="3051">
        <v>8.6999999999999993</v>
      </c>
      <c r="E94" s="3050">
        <v>8.6999999999999993</v>
      </c>
      <c r="F94" s="3050">
        <v>1.9</v>
      </c>
      <c r="G94" s="3067">
        <f t="shared" si="22"/>
        <v>10.6</v>
      </c>
      <c r="H94" s="3049">
        <v>42.2</v>
      </c>
      <c r="I94" s="3050">
        <v>40.1</v>
      </c>
      <c r="J94" s="3051">
        <v>5</v>
      </c>
      <c r="K94" s="3050">
        <v>5.3</v>
      </c>
      <c r="L94" s="3050">
        <v>2.4</v>
      </c>
      <c r="M94" s="3067">
        <f t="shared" si="23"/>
        <v>7.6999999999999993</v>
      </c>
      <c r="N94" s="3058">
        <f t="shared" si="25"/>
        <v>44.25</v>
      </c>
      <c r="O94" s="3059">
        <f t="shared" si="25"/>
        <v>41.150000000000006</v>
      </c>
      <c r="P94" s="3060">
        <f t="shared" si="16"/>
        <v>6.85</v>
      </c>
      <c r="Q94" s="3059">
        <f t="shared" si="16"/>
        <v>7</v>
      </c>
      <c r="R94" s="3060">
        <f t="shared" si="16"/>
        <v>2.15</v>
      </c>
      <c r="S94" s="3070">
        <f t="shared" si="16"/>
        <v>9.1499999999999986</v>
      </c>
      <c r="T94" s="3276">
        <v>47.2</v>
      </c>
      <c r="U94" s="1354">
        <v>42.6</v>
      </c>
      <c r="V94" s="1758">
        <v>9.6999999999999993</v>
      </c>
      <c r="W94" s="3050">
        <v>9.5</v>
      </c>
      <c r="X94" s="3050">
        <v>3.3</v>
      </c>
      <c r="Y94" s="3069">
        <f t="shared" si="24"/>
        <v>12.8</v>
      </c>
    </row>
    <row r="95" spans="1:25">
      <c r="A95" s="2988">
        <f t="shared" si="7"/>
        <v>2019.4</v>
      </c>
      <c r="B95" s="3063">
        <v>46.2</v>
      </c>
      <c r="C95" s="3050">
        <v>42.2</v>
      </c>
      <c r="D95" s="3051">
        <v>8.6999999999999993</v>
      </c>
      <c r="E95" s="3050">
        <v>10</v>
      </c>
      <c r="F95" s="3050">
        <v>1.3</v>
      </c>
      <c r="G95" s="3067">
        <f t="shared" si="22"/>
        <v>11.3</v>
      </c>
      <c r="H95" s="3049">
        <v>43.7</v>
      </c>
      <c r="I95" s="3050">
        <v>41.3</v>
      </c>
      <c r="J95" s="3051">
        <v>5.5</v>
      </c>
      <c r="K95" s="3050">
        <v>4.9000000000000004</v>
      </c>
      <c r="L95" s="3050">
        <v>2.6</v>
      </c>
      <c r="M95" s="3067">
        <f t="shared" si="23"/>
        <v>7.5</v>
      </c>
      <c r="N95" s="3058">
        <f t="shared" si="25"/>
        <v>44.95</v>
      </c>
      <c r="O95" s="3059">
        <f t="shared" si="25"/>
        <v>41.75</v>
      </c>
      <c r="P95" s="3060">
        <f t="shared" si="25"/>
        <v>7.1</v>
      </c>
      <c r="Q95" s="3059">
        <f t="shared" si="25"/>
        <v>7.45</v>
      </c>
      <c r="R95" s="3060">
        <f t="shared" si="25"/>
        <v>1.9500000000000002</v>
      </c>
      <c r="S95" s="3070">
        <f t="shared" si="25"/>
        <v>9.4</v>
      </c>
      <c r="T95" s="3276">
        <v>47.2</v>
      </c>
      <c r="U95" s="1354">
        <v>43</v>
      </c>
      <c r="V95" s="1758">
        <v>8.9</v>
      </c>
      <c r="W95" s="3050">
        <v>9.5</v>
      </c>
      <c r="X95" s="3050">
        <v>3.6</v>
      </c>
      <c r="Y95" s="3069">
        <f t="shared" si="24"/>
        <v>13.1</v>
      </c>
    </row>
    <row r="96" spans="1:25">
      <c r="A96" s="2988">
        <f t="shared" si="7"/>
        <v>2020.1</v>
      </c>
      <c r="B96" s="3063">
        <v>48.2</v>
      </c>
      <c r="C96" s="3050">
        <v>42</v>
      </c>
      <c r="D96" s="3051">
        <v>12.9</v>
      </c>
      <c r="E96" s="3050">
        <v>10.3</v>
      </c>
      <c r="F96" s="3050">
        <v>2.6</v>
      </c>
      <c r="G96" s="3067">
        <f t="shared" si="22"/>
        <v>12.9</v>
      </c>
      <c r="H96" s="3049">
        <v>42.8</v>
      </c>
      <c r="I96" s="3050">
        <v>40.1</v>
      </c>
      <c r="J96" s="3051">
        <v>6.2</v>
      </c>
      <c r="K96" s="3050">
        <v>6.6</v>
      </c>
      <c r="L96" s="3050">
        <v>4.5999999999999996</v>
      </c>
      <c r="M96" s="3067">
        <f t="shared" si="23"/>
        <v>11.2</v>
      </c>
      <c r="N96" s="3058">
        <f t="shared" si="25"/>
        <v>45.5</v>
      </c>
      <c r="O96" s="3059">
        <f t="shared" si="25"/>
        <v>41.05</v>
      </c>
      <c r="P96" s="3060">
        <f t="shared" si="25"/>
        <v>9.5500000000000007</v>
      </c>
      <c r="Q96" s="3059">
        <f t="shared" si="25"/>
        <v>8.4499999999999993</v>
      </c>
      <c r="R96" s="3060">
        <f t="shared" si="25"/>
        <v>3.5999999999999996</v>
      </c>
      <c r="S96" s="3070">
        <f t="shared" si="25"/>
        <v>12.05</v>
      </c>
      <c r="T96" s="3276">
        <v>47.1</v>
      </c>
      <c r="U96" s="1354">
        <v>42.2</v>
      </c>
      <c r="V96" s="1758">
        <v>10.4</v>
      </c>
      <c r="W96" s="3050">
        <v>8.1999999999999993</v>
      </c>
      <c r="X96" s="3050">
        <v>3.5</v>
      </c>
      <c r="Y96" s="3069">
        <f t="shared" si="24"/>
        <v>11.7</v>
      </c>
    </row>
    <row r="97" spans="1:25">
      <c r="A97" s="2988">
        <f t="shared" si="7"/>
        <v>2020.2</v>
      </c>
      <c r="B97" s="3063">
        <v>43</v>
      </c>
      <c r="C97" s="3050">
        <v>35.4</v>
      </c>
      <c r="D97" s="3051">
        <v>17.899999999999999</v>
      </c>
      <c r="E97" s="3050">
        <v>4.3</v>
      </c>
      <c r="F97" s="3050">
        <v>4.4000000000000004</v>
      </c>
      <c r="G97" s="3067">
        <f t="shared" si="22"/>
        <v>8.6999999999999993</v>
      </c>
      <c r="H97" s="3049">
        <v>38.200000000000003</v>
      </c>
      <c r="I97" s="3050">
        <v>30.5</v>
      </c>
      <c r="J97" s="3051">
        <v>20.3</v>
      </c>
      <c r="K97" s="3050">
        <v>1.8</v>
      </c>
      <c r="L97" s="3050">
        <v>4.8</v>
      </c>
      <c r="M97" s="3067">
        <f t="shared" si="23"/>
        <v>6.6</v>
      </c>
      <c r="N97" s="3058">
        <f t="shared" si="25"/>
        <v>40.6</v>
      </c>
      <c r="O97" s="3059">
        <f t="shared" si="25"/>
        <v>32.950000000000003</v>
      </c>
      <c r="P97" s="3060">
        <f t="shared" si="25"/>
        <v>19.100000000000001</v>
      </c>
      <c r="Q97" s="3059">
        <f t="shared" si="25"/>
        <v>3.05</v>
      </c>
      <c r="R97" s="3060">
        <f t="shared" si="25"/>
        <v>4.5999999999999996</v>
      </c>
      <c r="S97" s="3070">
        <f t="shared" si="25"/>
        <v>7.6499999999999995</v>
      </c>
      <c r="T97" s="3276">
        <v>38.4</v>
      </c>
      <c r="U97" s="1354">
        <v>33.4</v>
      </c>
      <c r="V97" s="1758">
        <v>13.1</v>
      </c>
      <c r="W97" s="3050">
        <v>5</v>
      </c>
      <c r="X97" s="3050">
        <v>4.5999999999999996</v>
      </c>
      <c r="Y97" s="3069">
        <f t="shared" si="24"/>
        <v>9.6</v>
      </c>
    </row>
    <row r="98" spans="1:25">
      <c r="A98" s="2988">
        <f t="shared" si="7"/>
        <v>2020.3</v>
      </c>
      <c r="B98" s="3063">
        <v>46.5227449705529</v>
      </c>
      <c r="C98" s="3050">
        <v>41.352450650558303</v>
      </c>
      <c r="D98" s="3051">
        <v>11.1134764796599</v>
      </c>
      <c r="E98" s="3050">
        <v>6.6073410567130502</v>
      </c>
      <c r="F98" s="3050">
        <v>5.7900971949798601</v>
      </c>
      <c r="G98" s="3067">
        <f t="shared" si="22"/>
        <v>12.397438251692911</v>
      </c>
      <c r="H98" s="3049">
        <v>43.851468629827501</v>
      </c>
      <c r="I98" s="3050">
        <v>39.681996378926002</v>
      </c>
      <c r="J98" s="3071">
        <v>9.5081701506924698</v>
      </c>
      <c r="K98" s="3072">
        <v>8.3181560326038309</v>
      </c>
      <c r="L98" s="3050">
        <v>5.1085301406264003</v>
      </c>
      <c r="M98" s="3067">
        <f t="shared" si="23"/>
        <v>13.42668617323023</v>
      </c>
      <c r="N98" s="3058">
        <f t="shared" ref="N98:S113" si="26">(B98+H98)/2</f>
        <v>45.1871068001902</v>
      </c>
      <c r="O98" s="3059">
        <f t="shared" si="26"/>
        <v>40.517223514742156</v>
      </c>
      <c r="P98" s="3060">
        <f t="shared" si="26"/>
        <v>10.310823315176185</v>
      </c>
      <c r="Q98" s="3059">
        <f t="shared" si="26"/>
        <v>7.4627485446584405</v>
      </c>
      <c r="R98" s="3060">
        <f t="shared" si="26"/>
        <v>5.4493136678031302</v>
      </c>
      <c r="S98" s="3070">
        <f t="shared" si="26"/>
        <v>12.912062212461571</v>
      </c>
      <c r="T98" s="3276">
        <v>42.308928043906597</v>
      </c>
      <c r="U98" s="1354">
        <v>37.374544805189998</v>
      </c>
      <c r="V98" s="1758">
        <v>11.662747006012101</v>
      </c>
      <c r="W98" s="3050">
        <v>8.0826647899998108</v>
      </c>
      <c r="X98" s="3050">
        <v>5.2919993995413499</v>
      </c>
      <c r="Y98" s="3069">
        <f t="shared" si="24"/>
        <v>13.374664189541161</v>
      </c>
    </row>
    <row r="99" spans="1:25">
      <c r="A99" s="2988">
        <f t="shared" si="7"/>
        <v>2020.4</v>
      </c>
      <c r="B99" s="3063">
        <v>46.7</v>
      </c>
      <c r="C99" s="3050">
        <v>40.299999999999997</v>
      </c>
      <c r="D99" s="3051">
        <v>13.6</v>
      </c>
      <c r="E99" s="3050">
        <v>9</v>
      </c>
      <c r="F99" s="3050">
        <v>3.3</v>
      </c>
      <c r="G99" s="3067">
        <f t="shared" si="22"/>
        <v>12.3</v>
      </c>
      <c r="H99" s="3049">
        <v>44.9</v>
      </c>
      <c r="I99" s="3050">
        <v>41.4</v>
      </c>
      <c r="J99" s="3051">
        <v>7.8</v>
      </c>
      <c r="K99" s="3050">
        <v>6.7</v>
      </c>
      <c r="L99" s="3050">
        <v>5.3</v>
      </c>
      <c r="M99" s="3067">
        <f t="shared" si="23"/>
        <v>12</v>
      </c>
      <c r="N99" s="3058">
        <f t="shared" si="26"/>
        <v>45.8</v>
      </c>
      <c r="O99" s="3059">
        <f t="shared" si="26"/>
        <v>40.849999999999994</v>
      </c>
      <c r="P99" s="3060">
        <f t="shared" si="26"/>
        <v>10.7</v>
      </c>
      <c r="Q99" s="3059">
        <f t="shared" si="26"/>
        <v>7.85</v>
      </c>
      <c r="R99" s="3060">
        <f t="shared" si="26"/>
        <v>4.3</v>
      </c>
      <c r="S99" s="3070">
        <f t="shared" si="26"/>
        <v>12.15</v>
      </c>
      <c r="T99" s="3276">
        <v>45.031156244554602</v>
      </c>
      <c r="U99" s="1354">
        <v>40.096672668128605</v>
      </c>
      <c r="V99" s="1758">
        <v>10.957932213927201</v>
      </c>
      <c r="W99" s="3050">
        <v>10.279587782320601</v>
      </c>
      <c r="X99" s="3050">
        <v>4.8226665171769305</v>
      </c>
      <c r="Y99" s="3069">
        <f t="shared" si="24"/>
        <v>15.102254299497531</v>
      </c>
    </row>
    <row r="100" spans="1:25">
      <c r="A100" s="2988">
        <f t="shared" si="7"/>
        <v>2021.1</v>
      </c>
      <c r="B100" s="3063">
        <v>49.4</v>
      </c>
      <c r="C100" s="3050">
        <v>44</v>
      </c>
      <c r="D100" s="3051">
        <v>10.9</v>
      </c>
      <c r="E100" s="3050">
        <v>7.9</v>
      </c>
      <c r="F100" s="3050">
        <v>1.5</v>
      </c>
      <c r="G100" s="3067">
        <f t="shared" si="22"/>
        <v>9.4</v>
      </c>
      <c r="H100" s="3049">
        <v>46.2</v>
      </c>
      <c r="I100" s="3050">
        <v>42</v>
      </c>
      <c r="J100" s="3051">
        <v>9</v>
      </c>
      <c r="K100" s="3050">
        <v>7.8</v>
      </c>
      <c r="L100" s="3050">
        <v>3.4</v>
      </c>
      <c r="M100" s="3067">
        <f t="shared" si="23"/>
        <v>11.2</v>
      </c>
      <c r="N100" s="3058">
        <f t="shared" si="26"/>
        <v>47.8</v>
      </c>
      <c r="O100" s="3059">
        <f t="shared" si="26"/>
        <v>43</v>
      </c>
      <c r="P100" s="3060">
        <f t="shared" si="26"/>
        <v>9.9499999999999993</v>
      </c>
      <c r="Q100" s="3059">
        <f t="shared" si="26"/>
        <v>7.85</v>
      </c>
      <c r="R100" s="3060">
        <f t="shared" si="26"/>
        <v>2.4500000000000002</v>
      </c>
      <c r="S100" s="3070">
        <f t="shared" si="26"/>
        <v>10.3</v>
      </c>
      <c r="T100" s="3276">
        <v>46.3</v>
      </c>
      <c r="U100" s="1354">
        <v>41.6</v>
      </c>
      <c r="V100" s="1758">
        <v>10.199999999999999</v>
      </c>
      <c r="W100" s="3050">
        <v>8.6999999999999993</v>
      </c>
      <c r="X100" s="3050">
        <v>3.2</v>
      </c>
      <c r="Y100" s="3069">
        <f t="shared" si="24"/>
        <v>11.899999999999999</v>
      </c>
    </row>
    <row r="101" spans="1:25">
      <c r="A101" s="2988">
        <f t="shared" si="7"/>
        <v>2021.2</v>
      </c>
      <c r="B101" s="3063">
        <v>49.914433560707799</v>
      </c>
      <c r="C101" s="3050">
        <v>44.041580623603998</v>
      </c>
      <c r="D101" s="3051">
        <v>11.765841096766099</v>
      </c>
      <c r="E101" s="3050">
        <v>7.3692177565626702</v>
      </c>
      <c r="F101" s="3050">
        <v>2.8127775122538901</v>
      </c>
      <c r="G101" s="3067">
        <f t="shared" si="22"/>
        <v>10.181995268816561</v>
      </c>
      <c r="H101" s="3049">
        <v>45.838794537865901</v>
      </c>
      <c r="I101" s="3050">
        <v>41.758554337823099</v>
      </c>
      <c r="J101" s="3051">
        <v>8.9012816353017499</v>
      </c>
      <c r="K101" s="3050">
        <v>9.6422777417261507</v>
      </c>
      <c r="L101" s="3050">
        <v>4.93307916937054</v>
      </c>
      <c r="M101" s="3067">
        <f t="shared" si="23"/>
        <v>14.575356911096691</v>
      </c>
      <c r="N101" s="3058">
        <f t="shared" si="26"/>
        <v>47.87661404928685</v>
      </c>
      <c r="O101" s="3059">
        <f t="shared" si="26"/>
        <v>42.900067480713545</v>
      </c>
      <c r="P101" s="3060">
        <f t="shared" si="26"/>
        <v>10.333561366033925</v>
      </c>
      <c r="Q101" s="3059">
        <f t="shared" si="26"/>
        <v>8.50574774914441</v>
      </c>
      <c r="R101" s="3060">
        <f t="shared" si="26"/>
        <v>3.8729283408122148</v>
      </c>
      <c r="S101" s="3070">
        <f t="shared" si="26"/>
        <v>12.378676089956626</v>
      </c>
      <c r="T101" s="3276">
        <v>45.905307826609302</v>
      </c>
      <c r="U101" s="1354">
        <v>41.497983596051597</v>
      </c>
      <c r="V101" s="1758">
        <v>9.6009033360691092</v>
      </c>
      <c r="W101" s="3050">
        <v>8.49657861312925</v>
      </c>
      <c r="X101" s="3050">
        <v>3.9134201329079801</v>
      </c>
      <c r="Y101" s="3069">
        <f t="shared" si="24"/>
        <v>12.40999874603723</v>
      </c>
    </row>
    <row r="102" spans="1:25">
      <c r="A102" s="2988">
        <f t="shared" si="7"/>
        <v>2021.3</v>
      </c>
      <c r="B102" s="3063">
        <v>49.9</v>
      </c>
      <c r="C102" s="3050">
        <v>46</v>
      </c>
      <c r="D102" s="3051">
        <v>7.8</v>
      </c>
      <c r="E102" s="3050">
        <v>7.5</v>
      </c>
      <c r="F102" s="3050">
        <v>2.9</v>
      </c>
      <c r="G102" s="3067">
        <f t="shared" si="22"/>
        <v>10.4</v>
      </c>
      <c r="H102" s="3049">
        <v>47</v>
      </c>
      <c r="I102" s="3050">
        <v>43</v>
      </c>
      <c r="J102" s="3051">
        <v>8.6</v>
      </c>
      <c r="K102" s="3050">
        <v>9</v>
      </c>
      <c r="L102" s="3050">
        <v>4.7</v>
      </c>
      <c r="M102" s="3067">
        <f t="shared" si="23"/>
        <v>13.7</v>
      </c>
      <c r="N102" s="3058">
        <f t="shared" si="26"/>
        <v>48.45</v>
      </c>
      <c r="O102" s="3059">
        <f t="shared" si="26"/>
        <v>44.5</v>
      </c>
      <c r="P102" s="3060">
        <f t="shared" si="26"/>
        <v>8.1999999999999993</v>
      </c>
      <c r="Q102" s="3059">
        <f t="shared" si="26"/>
        <v>8.25</v>
      </c>
      <c r="R102" s="3060">
        <f t="shared" si="26"/>
        <v>3.8</v>
      </c>
      <c r="S102" s="3070">
        <f t="shared" si="26"/>
        <v>12.05</v>
      </c>
      <c r="T102" s="3276">
        <v>46.707021599999997</v>
      </c>
      <c r="U102" s="1354">
        <v>42.860145699999997</v>
      </c>
      <c r="V102" s="1758">
        <v>8.2361832899999996</v>
      </c>
      <c r="W102" s="3050">
        <v>8.3336471400000001</v>
      </c>
      <c r="X102" s="3050">
        <v>3.85553334</v>
      </c>
      <c r="Y102" s="3069">
        <f t="shared" si="24"/>
        <v>12.189180480000001</v>
      </c>
    </row>
    <row r="103" spans="1:25">
      <c r="A103" s="2988">
        <f t="shared" si="7"/>
        <v>2021.4</v>
      </c>
      <c r="B103" s="3063">
        <v>49.5</v>
      </c>
      <c r="C103" s="3050">
        <v>46.1</v>
      </c>
      <c r="D103" s="3051">
        <v>7</v>
      </c>
      <c r="E103" s="3050">
        <v>8.1999999999999993</v>
      </c>
      <c r="F103" s="3050">
        <v>3.7</v>
      </c>
      <c r="G103" s="3067">
        <f t="shared" si="22"/>
        <v>11.899999999999999</v>
      </c>
      <c r="H103" s="3049">
        <v>45.4</v>
      </c>
      <c r="I103" s="3050">
        <v>42.6</v>
      </c>
      <c r="J103" s="3051">
        <v>6.3</v>
      </c>
      <c r="K103" s="3050">
        <v>7.8</v>
      </c>
      <c r="L103" s="3050">
        <v>3.6</v>
      </c>
      <c r="M103" s="3067">
        <f t="shared" si="23"/>
        <v>11.4</v>
      </c>
      <c r="N103" s="3058">
        <f t="shared" si="26"/>
        <v>47.45</v>
      </c>
      <c r="O103" s="3059">
        <f t="shared" si="26"/>
        <v>44.35</v>
      </c>
      <c r="P103" s="3060">
        <f t="shared" si="26"/>
        <v>6.65</v>
      </c>
      <c r="Q103" s="3059">
        <f t="shared" si="26"/>
        <v>8</v>
      </c>
      <c r="R103" s="3060">
        <f t="shared" si="26"/>
        <v>3.6500000000000004</v>
      </c>
      <c r="S103" s="3070">
        <f t="shared" si="26"/>
        <v>11.649999999999999</v>
      </c>
      <c r="T103" s="3276">
        <v>46.9</v>
      </c>
      <c r="U103" s="1354">
        <v>43.6</v>
      </c>
      <c r="V103" s="1758">
        <v>7</v>
      </c>
      <c r="W103" s="3050">
        <v>8.6</v>
      </c>
      <c r="X103" s="3050">
        <v>3.5</v>
      </c>
      <c r="Y103" s="3069">
        <f t="shared" si="24"/>
        <v>12.1</v>
      </c>
    </row>
    <row r="104" spans="1:25">
      <c r="A104" s="2988">
        <f t="shared" si="7"/>
        <v>2022.1</v>
      </c>
      <c r="B104" s="3063">
        <v>50.5</v>
      </c>
      <c r="C104" s="3050">
        <v>46.5</v>
      </c>
      <c r="D104" s="3051">
        <v>7.9</v>
      </c>
      <c r="E104" s="3050">
        <v>6.4</v>
      </c>
      <c r="F104" s="3050">
        <v>2.6</v>
      </c>
      <c r="G104" s="3067">
        <f t="shared" si="22"/>
        <v>9</v>
      </c>
      <c r="H104" s="3049">
        <v>45.8</v>
      </c>
      <c r="I104" s="3050">
        <v>42.6</v>
      </c>
      <c r="J104" s="3051">
        <v>7.1</v>
      </c>
      <c r="K104" s="3050">
        <v>6.1</v>
      </c>
      <c r="L104" s="3050">
        <v>2.4</v>
      </c>
      <c r="M104" s="3067">
        <f t="shared" si="23"/>
        <v>8.5</v>
      </c>
      <c r="N104" s="3058">
        <f t="shared" si="26"/>
        <v>48.15</v>
      </c>
      <c r="O104" s="3059">
        <f t="shared" si="26"/>
        <v>44.55</v>
      </c>
      <c r="P104" s="3060">
        <f t="shared" si="26"/>
        <v>7.5</v>
      </c>
      <c r="Q104" s="3059">
        <f t="shared" si="26"/>
        <v>6.25</v>
      </c>
      <c r="R104" s="3060">
        <f t="shared" si="26"/>
        <v>2.5</v>
      </c>
      <c r="S104" s="3070">
        <f t="shared" si="26"/>
        <v>8.75</v>
      </c>
      <c r="T104" s="3276">
        <v>46.526264810000001</v>
      </c>
      <c r="U104" s="1354">
        <v>43.283747599999998</v>
      </c>
      <c r="V104" s="1758">
        <v>6.9692188350000004</v>
      </c>
      <c r="W104" s="3050">
        <v>6.8682628059999997</v>
      </c>
      <c r="X104" s="3050">
        <v>3.1458197320000001</v>
      </c>
      <c r="Y104" s="3069">
        <f t="shared" si="24"/>
        <v>10.014082538</v>
      </c>
    </row>
    <row r="105" spans="1:25">
      <c r="A105" s="2988">
        <f t="shared" si="7"/>
        <v>2022.2</v>
      </c>
      <c r="B105" s="3063">
        <v>50.6</v>
      </c>
      <c r="C105" s="3050">
        <v>48.5</v>
      </c>
      <c r="D105" s="3051">
        <v>4.3</v>
      </c>
      <c r="E105" s="3050">
        <v>6</v>
      </c>
      <c r="F105" s="3050">
        <v>2.5</v>
      </c>
      <c r="G105" s="3067">
        <f t="shared" si="22"/>
        <v>8.5</v>
      </c>
      <c r="H105" s="3049">
        <v>47.7</v>
      </c>
      <c r="I105" s="3050">
        <v>44.2</v>
      </c>
      <c r="J105" s="3051">
        <v>7.3</v>
      </c>
      <c r="K105" s="3050">
        <v>9.9</v>
      </c>
      <c r="L105" s="3050">
        <v>4.5</v>
      </c>
      <c r="M105" s="3067">
        <f t="shared" si="23"/>
        <v>14.4</v>
      </c>
      <c r="N105" s="3058">
        <f t="shared" si="26"/>
        <v>49.150000000000006</v>
      </c>
      <c r="O105" s="3059">
        <f t="shared" si="26"/>
        <v>46.35</v>
      </c>
      <c r="P105" s="3060">
        <f t="shared" si="26"/>
        <v>5.8</v>
      </c>
      <c r="Q105" s="3059">
        <f t="shared" si="26"/>
        <v>7.95</v>
      </c>
      <c r="R105" s="3060">
        <f t="shared" si="26"/>
        <v>3.5</v>
      </c>
      <c r="S105" s="3070">
        <f t="shared" si="26"/>
        <v>11.45</v>
      </c>
      <c r="T105" s="3276">
        <v>47.876797546724802</v>
      </c>
      <c r="U105" s="1354">
        <v>44.593370841383198</v>
      </c>
      <c r="V105" s="1758">
        <v>6.8580750459284303</v>
      </c>
      <c r="W105" s="3050">
        <v>7.6753172983098699</v>
      </c>
      <c r="X105" s="3050">
        <v>3.4517436747507002</v>
      </c>
      <c r="Y105" s="3069">
        <f t="shared" si="24"/>
        <v>11.127060973060569</v>
      </c>
    </row>
    <row r="106" spans="1:25">
      <c r="A106" s="2988">
        <f t="shared" si="7"/>
        <v>2022.3</v>
      </c>
      <c r="B106" s="3063">
        <v>50.7</v>
      </c>
      <c r="C106" s="3050">
        <v>47.6</v>
      </c>
      <c r="D106" s="3051">
        <v>6</v>
      </c>
      <c r="E106" s="3050">
        <v>5.9</v>
      </c>
      <c r="F106" s="3050">
        <v>2.2999999999999998</v>
      </c>
      <c r="G106" s="3067">
        <f t="shared" si="22"/>
        <v>8.1999999999999993</v>
      </c>
      <c r="H106" s="3049">
        <v>46.7</v>
      </c>
      <c r="I106" s="3050">
        <v>42.7</v>
      </c>
      <c r="J106" s="3051">
        <v>8.6</v>
      </c>
      <c r="K106" s="3050">
        <v>8</v>
      </c>
      <c r="L106" s="3050">
        <v>2.4</v>
      </c>
      <c r="M106" s="3067">
        <f t="shared" si="23"/>
        <v>10.4</v>
      </c>
      <c r="N106" s="3058">
        <f t="shared" si="26"/>
        <v>48.7</v>
      </c>
      <c r="O106" s="3059">
        <f t="shared" si="26"/>
        <v>45.150000000000006</v>
      </c>
      <c r="P106" s="3060">
        <f t="shared" si="26"/>
        <v>7.3</v>
      </c>
      <c r="Q106" s="3059">
        <f t="shared" si="26"/>
        <v>6.95</v>
      </c>
      <c r="R106" s="3060">
        <f t="shared" si="26"/>
        <v>2.3499999999999996</v>
      </c>
      <c r="S106" s="3070">
        <f t="shared" si="26"/>
        <v>9.3000000000000007</v>
      </c>
      <c r="T106" s="3276">
        <v>47.6</v>
      </c>
      <c r="U106" s="1354">
        <v>44.2</v>
      </c>
      <c r="V106" s="1758">
        <v>7.1</v>
      </c>
      <c r="W106" s="3050">
        <v>7.6</v>
      </c>
      <c r="X106" s="3050">
        <v>3.4</v>
      </c>
      <c r="Y106" s="3069">
        <f t="shared" si="24"/>
        <v>11</v>
      </c>
    </row>
    <row r="107" spans="1:25">
      <c r="A107" s="2988">
        <f t="shared" si="7"/>
        <v>2022.4</v>
      </c>
      <c r="B107" s="3063">
        <v>49.348871030895197</v>
      </c>
      <c r="C107" s="3050">
        <v>46.224675106744002</v>
      </c>
      <c r="D107" s="3051">
        <v>6.33083565821648</v>
      </c>
      <c r="E107" s="3050">
        <v>5.3589186346311397</v>
      </c>
      <c r="F107" s="3050">
        <v>2.2149612653812598</v>
      </c>
      <c r="G107" s="3067">
        <f t="shared" si="22"/>
        <v>7.5738799000123995</v>
      </c>
      <c r="H107" s="3049">
        <v>46.311131204090103</v>
      </c>
      <c r="I107" s="3050">
        <v>43.127006617818701</v>
      </c>
      <c r="J107" s="3051">
        <v>6.8755059604120703</v>
      </c>
      <c r="K107" s="3050">
        <v>8.1148113462118392</v>
      </c>
      <c r="L107" s="3050">
        <v>3.2560040635565599</v>
      </c>
      <c r="M107" s="3067">
        <f t="shared" si="23"/>
        <v>11.370815409768399</v>
      </c>
      <c r="N107" s="3058">
        <f t="shared" si="26"/>
        <v>47.83000111749265</v>
      </c>
      <c r="O107" s="3059">
        <f t="shared" si="26"/>
        <v>44.675840862281348</v>
      </c>
      <c r="P107" s="3060">
        <f t="shared" si="26"/>
        <v>6.6031708093142747</v>
      </c>
      <c r="Q107" s="3059">
        <f t="shared" si="26"/>
        <v>6.7368649904214895</v>
      </c>
      <c r="R107" s="3060">
        <f t="shared" si="26"/>
        <v>2.7354826644689099</v>
      </c>
      <c r="S107" s="3070">
        <f t="shared" si="26"/>
        <v>9.4723476548903989</v>
      </c>
      <c r="T107" s="3276">
        <v>47.6</v>
      </c>
      <c r="U107" s="1354">
        <v>44.6</v>
      </c>
      <c r="V107" s="1758">
        <v>6.3</v>
      </c>
      <c r="W107" s="3050">
        <v>7.1</v>
      </c>
      <c r="X107" s="3050">
        <v>3.8</v>
      </c>
      <c r="Y107" s="3069">
        <f t="shared" si="24"/>
        <v>10.899999999999999</v>
      </c>
    </row>
    <row r="108" spans="1:25">
      <c r="A108" s="2988">
        <f t="shared" si="7"/>
        <v>2023.1</v>
      </c>
      <c r="B108" s="3063">
        <v>51.000434906941798</v>
      </c>
      <c r="C108" s="3050">
        <v>46.962800562400197</v>
      </c>
      <c r="D108" s="3051">
        <v>7.91686257560138</v>
      </c>
      <c r="E108" s="3050">
        <v>5.5398179434088402</v>
      </c>
      <c r="F108" s="3050">
        <v>1.95417337137617</v>
      </c>
      <c r="G108" s="3067">
        <f t="shared" si="22"/>
        <v>7.4939913147850099</v>
      </c>
      <c r="H108" s="3049">
        <v>44.890112611414501</v>
      </c>
      <c r="I108" s="3050">
        <v>41.611192536352398</v>
      </c>
      <c r="J108" s="3051">
        <v>7.3043257954053198</v>
      </c>
      <c r="K108" s="3050">
        <v>9.5178940658227003</v>
      </c>
      <c r="L108" s="3050">
        <v>2.0223277405013098</v>
      </c>
      <c r="M108" s="3067">
        <f t="shared" si="23"/>
        <v>11.540221806324009</v>
      </c>
      <c r="N108" s="3058">
        <f t="shared" si="26"/>
        <v>47.94527375917815</v>
      </c>
      <c r="O108" s="3059">
        <f t="shared" si="26"/>
        <v>44.286996549376298</v>
      </c>
      <c r="P108" s="3060">
        <f t="shared" si="26"/>
        <v>7.6105941855033503</v>
      </c>
      <c r="Q108" s="3059">
        <f t="shared" si="26"/>
        <v>7.5288560046157702</v>
      </c>
      <c r="R108" s="3060">
        <f t="shared" si="26"/>
        <v>1.9882505559387398</v>
      </c>
      <c r="S108" s="3070">
        <f t="shared" si="26"/>
        <v>9.5171065605545095</v>
      </c>
      <c r="T108" s="3276">
        <v>48.3</v>
      </c>
      <c r="U108" s="1354">
        <v>45</v>
      </c>
      <c r="V108" s="1758">
        <v>6.9</v>
      </c>
      <c r="W108" s="3050">
        <v>6.3</v>
      </c>
      <c r="X108" s="3050">
        <v>3.1</v>
      </c>
      <c r="Y108" s="3069">
        <f t="shared" si="24"/>
        <v>9.4</v>
      </c>
    </row>
    <row r="109" spans="1:25">
      <c r="A109" s="2988">
        <f t="shared" si="7"/>
        <v>2023.2</v>
      </c>
      <c r="B109" s="3063">
        <v>50.2</v>
      </c>
      <c r="C109" s="3050">
        <v>47.6</v>
      </c>
      <c r="D109" s="3051">
        <v>5.3</v>
      </c>
      <c r="E109" s="3050">
        <v>4.4000000000000004</v>
      </c>
      <c r="F109" s="3050">
        <v>1.8</v>
      </c>
      <c r="G109" s="3067">
        <f t="shared" si="22"/>
        <v>6.2</v>
      </c>
      <c r="H109" s="3049">
        <v>46.6</v>
      </c>
      <c r="I109" s="3050">
        <v>42.9</v>
      </c>
      <c r="J109" s="3051">
        <v>8.1</v>
      </c>
      <c r="K109" s="3050">
        <v>7.6</v>
      </c>
      <c r="L109" s="3050">
        <v>2.1</v>
      </c>
      <c r="M109" s="3067">
        <f t="shared" si="23"/>
        <v>9.6999999999999993</v>
      </c>
      <c r="N109" s="3058">
        <f t="shared" si="26"/>
        <v>48.400000000000006</v>
      </c>
      <c r="O109" s="3059">
        <f t="shared" si="26"/>
        <v>45.25</v>
      </c>
      <c r="P109" s="3060">
        <f t="shared" si="26"/>
        <v>6.6999999999999993</v>
      </c>
      <c r="Q109" s="3059">
        <f t="shared" si="26"/>
        <v>6</v>
      </c>
      <c r="R109" s="3060">
        <f t="shared" si="26"/>
        <v>1.9500000000000002</v>
      </c>
      <c r="S109" s="3070">
        <f t="shared" si="26"/>
        <v>7.9499999999999993</v>
      </c>
      <c r="T109" s="3276">
        <v>47.6</v>
      </c>
      <c r="U109" s="1354">
        <v>44.6</v>
      </c>
      <c r="V109" s="1758">
        <v>6.2</v>
      </c>
      <c r="W109" s="3050">
        <v>7.4</v>
      </c>
      <c r="X109" s="3050">
        <v>3.2</v>
      </c>
      <c r="Y109" s="3069">
        <f t="shared" si="24"/>
        <v>10.600000000000001</v>
      </c>
    </row>
    <row r="110" spans="1:25">
      <c r="A110" s="2988">
        <f t="shared" si="7"/>
        <v>2023.3</v>
      </c>
      <c r="B110" s="3063">
        <v>48.9218243775586</v>
      </c>
      <c r="C110" s="3050">
        <v>46.349113704663303</v>
      </c>
      <c r="D110" s="3051">
        <v>5.2588199758051202</v>
      </c>
      <c r="E110" s="3050">
        <v>4.4991249466847396</v>
      </c>
      <c r="F110" s="3050">
        <v>1.5608279689200499</v>
      </c>
      <c r="G110" s="3067">
        <f t="shared" si="22"/>
        <v>6.0599529156047893</v>
      </c>
      <c r="H110" s="3049">
        <v>45.297539526034797</v>
      </c>
      <c r="I110" s="3050">
        <v>43.819756529494398</v>
      </c>
      <c r="J110" s="3051">
        <v>3.2623913175041901</v>
      </c>
      <c r="K110" s="3050">
        <v>7.5350507353089498</v>
      </c>
      <c r="L110" s="3050">
        <v>2.9888442839563498</v>
      </c>
      <c r="M110" s="3067">
        <f t="shared" si="23"/>
        <v>10.5238950192653</v>
      </c>
      <c r="N110" s="3058">
        <f t="shared" si="26"/>
        <v>47.109681951796702</v>
      </c>
      <c r="O110" s="3059">
        <f t="shared" si="26"/>
        <v>45.084435117078854</v>
      </c>
      <c r="P110" s="3060">
        <f t="shared" si="26"/>
        <v>4.2606056466546551</v>
      </c>
      <c r="Q110" s="3059">
        <f t="shared" si="26"/>
        <v>6.0170878409968447</v>
      </c>
      <c r="R110" s="3060">
        <f t="shared" si="26"/>
        <v>2.2748361264382</v>
      </c>
      <c r="S110" s="3070">
        <f t="shared" si="26"/>
        <v>8.2919239674350447</v>
      </c>
      <c r="T110" s="3276">
        <v>48.228177799999997</v>
      </c>
      <c r="U110" s="1354">
        <v>45.466617900000003</v>
      </c>
      <c r="V110" s="1758">
        <v>5.7260298699999996</v>
      </c>
      <c r="W110" s="3050">
        <v>6.7875460900000002</v>
      </c>
      <c r="X110" s="3050">
        <v>3.5343760899999999</v>
      </c>
      <c r="Y110" s="3069">
        <f t="shared" si="24"/>
        <v>10.32192218</v>
      </c>
    </row>
    <row r="111" spans="1:25">
      <c r="A111" s="2988">
        <f t="shared" si="7"/>
        <v>2023.4</v>
      </c>
      <c r="B111" s="3063">
        <v>48.7</v>
      </c>
      <c r="C111" s="3050">
        <v>46.4</v>
      </c>
      <c r="D111" s="3051">
        <v>4.7</v>
      </c>
      <c r="E111" s="3050">
        <v>7.4</v>
      </c>
      <c r="F111" s="3050">
        <v>2.2000000000000002</v>
      </c>
      <c r="G111" s="3067">
        <f t="shared" si="22"/>
        <v>9.6000000000000014</v>
      </c>
      <c r="H111" s="3049">
        <v>44.3</v>
      </c>
      <c r="I111" s="3050">
        <v>41.5</v>
      </c>
      <c r="J111" s="3051">
        <v>6.3</v>
      </c>
      <c r="K111" s="3050">
        <v>8.1999999999999993</v>
      </c>
      <c r="L111" s="3050">
        <v>3.2</v>
      </c>
      <c r="M111" s="3067">
        <f>K111+L111</f>
        <v>11.399999999999999</v>
      </c>
      <c r="N111" s="3058">
        <f t="shared" si="26"/>
        <v>46.5</v>
      </c>
      <c r="O111" s="3059">
        <f t="shared" si="26"/>
        <v>43.95</v>
      </c>
      <c r="P111" s="3060">
        <f t="shared" si="26"/>
        <v>5.5</v>
      </c>
      <c r="Q111" s="3059">
        <f t="shared" si="26"/>
        <v>7.8</v>
      </c>
      <c r="R111" s="3060">
        <f t="shared" si="26"/>
        <v>2.7</v>
      </c>
      <c r="S111" s="3070">
        <f t="shared" si="26"/>
        <v>10.5</v>
      </c>
      <c r="T111" s="3276">
        <v>48.6</v>
      </c>
      <c r="U111" s="1354">
        <v>45.8</v>
      </c>
      <c r="V111" s="1758">
        <v>5.7</v>
      </c>
      <c r="W111" s="3050">
        <v>6.8</v>
      </c>
      <c r="X111" s="3050">
        <v>3.7</v>
      </c>
      <c r="Y111" s="3069">
        <f t="shared" si="24"/>
        <v>10.5</v>
      </c>
    </row>
    <row r="112" spans="1:25">
      <c r="A112" s="2988">
        <f t="shared" ref="A112:A139" si="27">A108+1</f>
        <v>2024.1</v>
      </c>
      <c r="B112" s="3063" t="e">
        <v>#N/A</v>
      </c>
      <c r="C112" s="3050" t="e">
        <v>#N/A</v>
      </c>
      <c r="D112" s="3051" t="e">
        <v>#N/A</v>
      </c>
      <c r="E112" s="3050" t="e">
        <v>#N/A</v>
      </c>
      <c r="F112" s="3050" t="e">
        <v>#N/A</v>
      </c>
      <c r="G112" s="3067" t="e">
        <f t="shared" si="22"/>
        <v>#N/A</v>
      </c>
      <c r="H112" s="3049" t="e">
        <v>#N/A</v>
      </c>
      <c r="I112" s="3050" t="e">
        <v>#N/A</v>
      </c>
      <c r="J112" s="3051" t="e">
        <v>#N/A</v>
      </c>
      <c r="K112" s="3050" t="e">
        <v>#N/A</v>
      </c>
      <c r="L112" s="3050" t="e">
        <v>#N/A</v>
      </c>
      <c r="M112" s="3067" t="e">
        <f t="shared" si="23"/>
        <v>#N/A</v>
      </c>
      <c r="N112" s="3058" t="e">
        <f t="shared" si="26"/>
        <v>#N/A</v>
      </c>
      <c r="O112" s="3059" t="e">
        <f t="shared" si="26"/>
        <v>#N/A</v>
      </c>
      <c r="P112" s="3060" t="e">
        <f t="shared" si="26"/>
        <v>#N/A</v>
      </c>
      <c r="Q112" s="3059" t="e">
        <f t="shared" si="26"/>
        <v>#N/A</v>
      </c>
      <c r="R112" s="3060" t="e">
        <f t="shared" si="26"/>
        <v>#N/A</v>
      </c>
      <c r="S112" s="3070" t="e">
        <f t="shared" si="26"/>
        <v>#N/A</v>
      </c>
      <c r="T112" s="3085" t="e">
        <f>('2.3'!R112/'2.3'!Q112)*100</f>
        <v>#N/A</v>
      </c>
      <c r="U112" s="3087" t="e">
        <f>('2.3'!S112/'2.3'!Q112)*100</f>
        <v>#N/A</v>
      </c>
      <c r="V112" s="518" t="e">
        <f>('2.3'!T112/'2.3'!R112)*100</f>
        <v>#N/A</v>
      </c>
      <c r="W112" s="3050" t="e">
        <v>#N/A</v>
      </c>
      <c r="X112" s="3050" t="e">
        <v>#N/A</v>
      </c>
      <c r="Y112" s="3069" t="e">
        <f t="shared" si="24"/>
        <v>#N/A</v>
      </c>
    </row>
    <row r="113" spans="1:25">
      <c r="A113" s="2988">
        <f t="shared" si="27"/>
        <v>2024.2</v>
      </c>
      <c r="B113" s="3063" t="e">
        <v>#N/A</v>
      </c>
      <c r="C113" s="3050" t="e">
        <v>#N/A</v>
      </c>
      <c r="D113" s="3051" t="e">
        <v>#N/A</v>
      </c>
      <c r="E113" s="3050" t="e">
        <v>#N/A</v>
      </c>
      <c r="F113" s="3050" t="e">
        <v>#N/A</v>
      </c>
      <c r="G113" s="3067" t="e">
        <f t="shared" si="22"/>
        <v>#N/A</v>
      </c>
      <c r="H113" s="3049" t="e">
        <v>#N/A</v>
      </c>
      <c r="I113" s="3050" t="e">
        <v>#N/A</v>
      </c>
      <c r="J113" s="3051" t="e">
        <v>#N/A</v>
      </c>
      <c r="K113" s="3050" t="e">
        <v>#N/A</v>
      </c>
      <c r="L113" s="3050" t="e">
        <v>#N/A</v>
      </c>
      <c r="M113" s="3067" t="e">
        <f t="shared" si="23"/>
        <v>#N/A</v>
      </c>
      <c r="N113" s="3058" t="e">
        <f t="shared" si="26"/>
        <v>#N/A</v>
      </c>
      <c r="O113" s="3059" t="e">
        <f t="shared" si="26"/>
        <v>#N/A</v>
      </c>
      <c r="P113" s="3060" t="e">
        <f t="shared" si="26"/>
        <v>#N/A</v>
      </c>
      <c r="Q113" s="3059" t="e">
        <f t="shared" si="26"/>
        <v>#N/A</v>
      </c>
      <c r="R113" s="3060" t="e">
        <f t="shared" si="26"/>
        <v>#N/A</v>
      </c>
      <c r="S113" s="3070" t="e">
        <f t="shared" si="26"/>
        <v>#N/A</v>
      </c>
      <c r="T113" s="3085" t="e">
        <f>('2.3'!R113/'2.3'!Q113)*100</f>
        <v>#N/A</v>
      </c>
      <c r="U113" s="3087" t="e">
        <f>('2.3'!S113/'2.3'!Q113)*100</f>
        <v>#N/A</v>
      </c>
      <c r="V113" s="518" t="e">
        <f>('2.3'!T113/'2.3'!R113)*100</f>
        <v>#N/A</v>
      </c>
      <c r="W113" s="3050" t="e">
        <v>#N/A</v>
      </c>
      <c r="X113" s="3050" t="e">
        <v>#N/A</v>
      </c>
      <c r="Y113" s="3069" t="e">
        <f t="shared" si="24"/>
        <v>#N/A</v>
      </c>
    </row>
    <row r="114" spans="1:25">
      <c r="A114" s="2988">
        <f t="shared" si="27"/>
        <v>2024.3</v>
      </c>
      <c r="B114" s="3063" t="e">
        <v>#N/A</v>
      </c>
      <c r="C114" s="3050" t="e">
        <v>#N/A</v>
      </c>
      <c r="D114" s="3051" t="e">
        <v>#N/A</v>
      </c>
      <c r="E114" s="3050" t="e">
        <v>#N/A</v>
      </c>
      <c r="F114" s="3050" t="e">
        <v>#N/A</v>
      </c>
      <c r="G114" s="3067" t="e">
        <f t="shared" si="22"/>
        <v>#N/A</v>
      </c>
      <c r="H114" s="3049" t="e">
        <v>#N/A</v>
      </c>
      <c r="I114" s="3050" t="e">
        <v>#N/A</v>
      </c>
      <c r="J114" s="3051" t="e">
        <v>#N/A</v>
      </c>
      <c r="K114" s="3050" t="e">
        <v>#N/A</v>
      </c>
      <c r="L114" s="3050" t="e">
        <v>#N/A</v>
      </c>
      <c r="M114" s="3067" t="e">
        <f t="shared" si="23"/>
        <v>#N/A</v>
      </c>
      <c r="N114" s="3058" t="e">
        <f t="shared" ref="N114:S133" si="28">(B114+H114)/2</f>
        <v>#N/A</v>
      </c>
      <c r="O114" s="3059" t="e">
        <f t="shared" si="28"/>
        <v>#N/A</v>
      </c>
      <c r="P114" s="3060" t="e">
        <f t="shared" si="28"/>
        <v>#N/A</v>
      </c>
      <c r="Q114" s="3059" t="e">
        <f t="shared" si="28"/>
        <v>#N/A</v>
      </c>
      <c r="R114" s="3060" t="e">
        <f t="shared" si="28"/>
        <v>#N/A</v>
      </c>
      <c r="S114" s="3070" t="e">
        <f t="shared" si="28"/>
        <v>#N/A</v>
      </c>
      <c r="T114" s="3085" t="e">
        <f>('2.3'!R114/'2.3'!Q114)*100</f>
        <v>#N/A</v>
      </c>
      <c r="U114" s="3087" t="e">
        <f>('2.3'!S114/'2.3'!Q114)*100</f>
        <v>#N/A</v>
      </c>
      <c r="V114" s="518" t="e">
        <f>('2.3'!T114/'2.3'!R114)*100</f>
        <v>#N/A</v>
      </c>
      <c r="W114" s="3050" t="e">
        <v>#N/A</v>
      </c>
      <c r="X114" s="3050" t="e">
        <v>#N/A</v>
      </c>
      <c r="Y114" s="3069" t="e">
        <f t="shared" si="24"/>
        <v>#N/A</v>
      </c>
    </row>
    <row r="115" spans="1:25">
      <c r="A115" s="2988">
        <f t="shared" si="27"/>
        <v>2024.4</v>
      </c>
      <c r="B115" s="3063" t="e">
        <v>#N/A</v>
      </c>
      <c r="C115" s="3050" t="e">
        <v>#N/A</v>
      </c>
      <c r="D115" s="3051" t="e">
        <v>#N/A</v>
      </c>
      <c r="E115" s="3050" t="e">
        <v>#N/A</v>
      </c>
      <c r="F115" s="3050" t="e">
        <v>#N/A</v>
      </c>
      <c r="G115" s="3067" t="e">
        <f t="shared" si="22"/>
        <v>#N/A</v>
      </c>
      <c r="H115" s="3049" t="e">
        <v>#N/A</v>
      </c>
      <c r="I115" s="3050" t="e">
        <v>#N/A</v>
      </c>
      <c r="J115" s="3051" t="e">
        <v>#N/A</v>
      </c>
      <c r="K115" s="3050" t="e">
        <v>#N/A</v>
      </c>
      <c r="L115" s="3050" t="e">
        <v>#N/A</v>
      </c>
      <c r="M115" s="3067" t="e">
        <f t="shared" si="23"/>
        <v>#N/A</v>
      </c>
      <c r="N115" s="3058" t="e">
        <f t="shared" si="28"/>
        <v>#N/A</v>
      </c>
      <c r="O115" s="3059" t="e">
        <f t="shared" si="28"/>
        <v>#N/A</v>
      </c>
      <c r="P115" s="3060" t="e">
        <f t="shared" si="28"/>
        <v>#N/A</v>
      </c>
      <c r="Q115" s="3059" t="e">
        <f t="shared" si="28"/>
        <v>#N/A</v>
      </c>
      <c r="R115" s="3060" t="e">
        <f t="shared" si="28"/>
        <v>#N/A</v>
      </c>
      <c r="S115" s="3070" t="e">
        <f t="shared" si="28"/>
        <v>#N/A</v>
      </c>
      <c r="T115" s="3085" t="e">
        <f>('2.3'!R115/'2.3'!Q115)*100</f>
        <v>#N/A</v>
      </c>
      <c r="U115" s="3087" t="e">
        <f>('2.3'!S115/'2.3'!Q115)*100</f>
        <v>#N/A</v>
      </c>
      <c r="V115" s="518" t="e">
        <f>('2.3'!T115/'2.3'!R115)*100</f>
        <v>#N/A</v>
      </c>
      <c r="W115" s="3050" t="e">
        <v>#N/A</v>
      </c>
      <c r="X115" s="3050" t="e">
        <v>#N/A</v>
      </c>
      <c r="Y115" s="3069" t="e">
        <f t="shared" si="24"/>
        <v>#N/A</v>
      </c>
    </row>
    <row r="116" spans="1:25">
      <c r="A116" s="2988">
        <f t="shared" si="27"/>
        <v>2025.1</v>
      </c>
      <c r="B116" s="3063" t="e">
        <v>#N/A</v>
      </c>
      <c r="C116" s="3050" t="e">
        <v>#N/A</v>
      </c>
      <c r="D116" s="3051" t="e">
        <v>#N/A</v>
      </c>
      <c r="E116" s="3050" t="e">
        <v>#N/A</v>
      </c>
      <c r="F116" s="3050" t="e">
        <v>#N/A</v>
      </c>
      <c r="G116" s="3067" t="e">
        <f t="shared" si="22"/>
        <v>#N/A</v>
      </c>
      <c r="H116" s="3049" t="e">
        <v>#N/A</v>
      </c>
      <c r="I116" s="3050" t="e">
        <v>#N/A</v>
      </c>
      <c r="J116" s="3051" t="e">
        <v>#N/A</v>
      </c>
      <c r="K116" s="3050" t="e">
        <v>#N/A</v>
      </c>
      <c r="L116" s="3050" t="e">
        <v>#N/A</v>
      </c>
      <c r="M116" s="3067" t="e">
        <f t="shared" si="23"/>
        <v>#N/A</v>
      </c>
      <c r="N116" s="3058" t="e">
        <f t="shared" si="28"/>
        <v>#N/A</v>
      </c>
      <c r="O116" s="3059" t="e">
        <f t="shared" si="28"/>
        <v>#N/A</v>
      </c>
      <c r="P116" s="3060" t="e">
        <f t="shared" si="28"/>
        <v>#N/A</v>
      </c>
      <c r="Q116" s="3059" t="e">
        <f t="shared" si="28"/>
        <v>#N/A</v>
      </c>
      <c r="R116" s="3060" t="e">
        <f t="shared" si="28"/>
        <v>#N/A</v>
      </c>
      <c r="S116" s="3070" t="e">
        <f t="shared" si="28"/>
        <v>#N/A</v>
      </c>
      <c r="T116" s="3085" t="e">
        <f>('2.3'!R116/'2.3'!Q116)*100</f>
        <v>#N/A</v>
      </c>
      <c r="U116" s="3087" t="e">
        <f>('2.3'!S116/'2.3'!Q116)*100</f>
        <v>#N/A</v>
      </c>
      <c r="V116" s="518" t="e">
        <f>('2.3'!T116/'2.3'!R116)*100</f>
        <v>#N/A</v>
      </c>
      <c r="W116" s="3050" t="e">
        <v>#N/A</v>
      </c>
      <c r="X116" s="3050" t="e">
        <v>#N/A</v>
      </c>
      <c r="Y116" s="3069" t="e">
        <f t="shared" si="24"/>
        <v>#N/A</v>
      </c>
    </row>
    <row r="117" spans="1:25">
      <c r="A117" s="2988">
        <f t="shared" si="27"/>
        <v>2025.2</v>
      </c>
      <c r="B117" s="3063" t="e">
        <v>#N/A</v>
      </c>
      <c r="C117" s="3050" t="e">
        <v>#N/A</v>
      </c>
      <c r="D117" s="3051" t="e">
        <v>#N/A</v>
      </c>
      <c r="E117" s="3050" t="e">
        <v>#N/A</v>
      </c>
      <c r="F117" s="3050" t="e">
        <v>#N/A</v>
      </c>
      <c r="G117" s="3067" t="e">
        <f t="shared" si="22"/>
        <v>#N/A</v>
      </c>
      <c r="H117" s="3049" t="e">
        <v>#N/A</v>
      </c>
      <c r="I117" s="3050" t="e">
        <v>#N/A</v>
      </c>
      <c r="J117" s="3051" t="e">
        <v>#N/A</v>
      </c>
      <c r="K117" s="3050" t="e">
        <v>#N/A</v>
      </c>
      <c r="L117" s="3050" t="e">
        <v>#N/A</v>
      </c>
      <c r="M117" s="3067" t="e">
        <f t="shared" si="23"/>
        <v>#N/A</v>
      </c>
      <c r="N117" s="3058" t="e">
        <f t="shared" si="28"/>
        <v>#N/A</v>
      </c>
      <c r="O117" s="3059" t="e">
        <f t="shared" si="28"/>
        <v>#N/A</v>
      </c>
      <c r="P117" s="3060" t="e">
        <f t="shared" si="28"/>
        <v>#N/A</v>
      </c>
      <c r="Q117" s="3059" t="e">
        <f t="shared" si="28"/>
        <v>#N/A</v>
      </c>
      <c r="R117" s="3060" t="e">
        <f t="shared" si="28"/>
        <v>#N/A</v>
      </c>
      <c r="S117" s="3070" t="e">
        <f t="shared" si="28"/>
        <v>#N/A</v>
      </c>
      <c r="T117" s="3085" t="e">
        <f>('2.3'!R117/'2.3'!Q117)*100</f>
        <v>#N/A</v>
      </c>
      <c r="U117" s="3087" t="e">
        <f>('2.3'!S117/'2.3'!Q117)*100</f>
        <v>#N/A</v>
      </c>
      <c r="V117" s="518" t="e">
        <f>('2.3'!T117/'2.3'!R117)*100</f>
        <v>#N/A</v>
      </c>
      <c r="W117" s="3050" t="e">
        <v>#N/A</v>
      </c>
      <c r="X117" s="3050" t="e">
        <v>#N/A</v>
      </c>
      <c r="Y117" s="3069" t="e">
        <f t="shared" si="24"/>
        <v>#N/A</v>
      </c>
    </row>
    <row r="118" spans="1:25">
      <c r="A118" s="2988">
        <f t="shared" si="27"/>
        <v>2025.3</v>
      </c>
      <c r="B118" s="3063" t="e">
        <v>#N/A</v>
      </c>
      <c r="C118" s="3050" t="e">
        <v>#N/A</v>
      </c>
      <c r="D118" s="3051" t="e">
        <v>#N/A</v>
      </c>
      <c r="E118" s="3050" t="e">
        <v>#N/A</v>
      </c>
      <c r="F118" s="3050" t="e">
        <v>#N/A</v>
      </c>
      <c r="G118" s="3067" t="e">
        <f t="shared" si="22"/>
        <v>#N/A</v>
      </c>
      <c r="H118" s="3049" t="e">
        <v>#N/A</v>
      </c>
      <c r="I118" s="3050" t="e">
        <v>#N/A</v>
      </c>
      <c r="J118" s="3051" t="e">
        <v>#N/A</v>
      </c>
      <c r="K118" s="3050" t="e">
        <v>#N/A</v>
      </c>
      <c r="L118" s="3050" t="e">
        <v>#N/A</v>
      </c>
      <c r="M118" s="3067" t="e">
        <f t="shared" si="23"/>
        <v>#N/A</v>
      </c>
      <c r="N118" s="3058" t="e">
        <f t="shared" si="28"/>
        <v>#N/A</v>
      </c>
      <c r="O118" s="3059" t="e">
        <f t="shared" si="28"/>
        <v>#N/A</v>
      </c>
      <c r="P118" s="3060" t="e">
        <f t="shared" si="28"/>
        <v>#N/A</v>
      </c>
      <c r="Q118" s="3059" t="e">
        <f t="shared" si="28"/>
        <v>#N/A</v>
      </c>
      <c r="R118" s="3060" t="e">
        <f t="shared" si="28"/>
        <v>#N/A</v>
      </c>
      <c r="S118" s="3070" t="e">
        <f t="shared" si="28"/>
        <v>#N/A</v>
      </c>
      <c r="T118" s="3085" t="e">
        <f>('2.3'!R118/'2.3'!Q118)*100</f>
        <v>#N/A</v>
      </c>
      <c r="U118" s="3087" t="e">
        <f>('2.3'!S118/'2.3'!Q118)*100</f>
        <v>#N/A</v>
      </c>
      <c r="V118" s="518" t="e">
        <f>('2.3'!T118/'2.3'!R118)*100</f>
        <v>#N/A</v>
      </c>
      <c r="W118" s="3050" t="e">
        <v>#N/A</v>
      </c>
      <c r="X118" s="3050" t="e">
        <v>#N/A</v>
      </c>
      <c r="Y118" s="3069" t="e">
        <f t="shared" si="24"/>
        <v>#N/A</v>
      </c>
    </row>
    <row r="119" spans="1:25">
      <c r="A119" s="2988">
        <f t="shared" si="27"/>
        <v>2025.4</v>
      </c>
      <c r="B119" s="3063" t="e">
        <v>#N/A</v>
      </c>
      <c r="C119" s="3050" t="e">
        <v>#N/A</v>
      </c>
      <c r="D119" s="3051" t="e">
        <v>#N/A</v>
      </c>
      <c r="E119" s="3050" t="e">
        <v>#N/A</v>
      </c>
      <c r="F119" s="3050" t="e">
        <v>#N/A</v>
      </c>
      <c r="G119" s="3067" t="e">
        <f t="shared" si="22"/>
        <v>#N/A</v>
      </c>
      <c r="H119" s="3049" t="e">
        <v>#N/A</v>
      </c>
      <c r="I119" s="3050" t="e">
        <v>#N/A</v>
      </c>
      <c r="J119" s="3051" t="e">
        <v>#N/A</v>
      </c>
      <c r="K119" s="3050" t="e">
        <v>#N/A</v>
      </c>
      <c r="L119" s="3050" t="e">
        <v>#N/A</v>
      </c>
      <c r="M119" s="3067" t="e">
        <f t="shared" si="23"/>
        <v>#N/A</v>
      </c>
      <c r="N119" s="3058" t="e">
        <f t="shared" si="28"/>
        <v>#N/A</v>
      </c>
      <c r="O119" s="3059" t="e">
        <f t="shared" si="28"/>
        <v>#N/A</v>
      </c>
      <c r="P119" s="3060" t="e">
        <f t="shared" si="28"/>
        <v>#N/A</v>
      </c>
      <c r="Q119" s="3059" t="e">
        <f t="shared" si="28"/>
        <v>#N/A</v>
      </c>
      <c r="R119" s="3060" t="e">
        <f t="shared" si="28"/>
        <v>#N/A</v>
      </c>
      <c r="S119" s="3070" t="e">
        <f t="shared" si="28"/>
        <v>#N/A</v>
      </c>
      <c r="T119" s="3085" t="e">
        <f>('2.3'!R119/'2.3'!Q119)*100</f>
        <v>#N/A</v>
      </c>
      <c r="U119" s="3087" t="e">
        <f>('2.3'!S119/'2.3'!Q119)*100</f>
        <v>#N/A</v>
      </c>
      <c r="V119" s="518" t="e">
        <f>('2.3'!T119/'2.3'!R119)*100</f>
        <v>#N/A</v>
      </c>
      <c r="W119" s="3050" t="e">
        <v>#N/A</v>
      </c>
      <c r="X119" s="3050" t="e">
        <v>#N/A</v>
      </c>
      <c r="Y119" s="3069" t="e">
        <f t="shared" si="24"/>
        <v>#N/A</v>
      </c>
    </row>
    <row r="120" spans="1:25">
      <c r="A120" s="2988">
        <f t="shared" si="27"/>
        <v>2026.1</v>
      </c>
      <c r="B120" s="3063" t="e">
        <v>#N/A</v>
      </c>
      <c r="C120" s="3050" t="e">
        <v>#N/A</v>
      </c>
      <c r="D120" s="3051" t="e">
        <v>#N/A</v>
      </c>
      <c r="E120" s="3050" t="e">
        <v>#N/A</v>
      </c>
      <c r="F120" s="3050" t="e">
        <v>#N/A</v>
      </c>
      <c r="G120" s="3067" t="e">
        <f t="shared" si="22"/>
        <v>#N/A</v>
      </c>
      <c r="H120" s="3049" t="e">
        <v>#N/A</v>
      </c>
      <c r="I120" s="3050" t="e">
        <v>#N/A</v>
      </c>
      <c r="J120" s="3051" t="e">
        <v>#N/A</v>
      </c>
      <c r="K120" s="3050" t="e">
        <v>#N/A</v>
      </c>
      <c r="L120" s="3050" t="e">
        <v>#N/A</v>
      </c>
      <c r="M120" s="3067" t="e">
        <f t="shared" si="23"/>
        <v>#N/A</v>
      </c>
      <c r="N120" s="3058" t="e">
        <f t="shared" si="28"/>
        <v>#N/A</v>
      </c>
      <c r="O120" s="3059" t="e">
        <f t="shared" si="28"/>
        <v>#N/A</v>
      </c>
      <c r="P120" s="3060" t="e">
        <f t="shared" si="28"/>
        <v>#N/A</v>
      </c>
      <c r="Q120" s="3059" t="e">
        <f t="shared" si="28"/>
        <v>#N/A</v>
      </c>
      <c r="R120" s="3060" t="e">
        <f t="shared" si="28"/>
        <v>#N/A</v>
      </c>
      <c r="S120" s="3070" t="e">
        <f t="shared" si="28"/>
        <v>#N/A</v>
      </c>
      <c r="T120" s="3085" t="e">
        <f>('2.3'!R120/'2.3'!Q120)*100</f>
        <v>#N/A</v>
      </c>
      <c r="U120" s="3087" t="e">
        <f>('2.3'!S120/'2.3'!Q120)*100</f>
        <v>#N/A</v>
      </c>
      <c r="V120" s="518" t="e">
        <f>('2.3'!T120/'2.3'!R120)*100</f>
        <v>#N/A</v>
      </c>
      <c r="W120" s="3050" t="e">
        <v>#N/A</v>
      </c>
      <c r="X120" s="3050" t="e">
        <v>#N/A</v>
      </c>
      <c r="Y120" s="3069" t="e">
        <f t="shared" si="24"/>
        <v>#N/A</v>
      </c>
    </row>
    <row r="121" spans="1:25">
      <c r="A121" s="2988">
        <f t="shared" si="27"/>
        <v>2026.2</v>
      </c>
      <c r="B121" s="3063" t="e">
        <v>#N/A</v>
      </c>
      <c r="C121" s="3050" t="e">
        <v>#N/A</v>
      </c>
      <c r="D121" s="3051" t="e">
        <v>#N/A</v>
      </c>
      <c r="E121" s="3050" t="e">
        <v>#N/A</v>
      </c>
      <c r="F121" s="3050" t="e">
        <v>#N/A</v>
      </c>
      <c r="G121" s="3067" t="e">
        <f t="shared" si="22"/>
        <v>#N/A</v>
      </c>
      <c r="H121" s="3049" t="e">
        <v>#N/A</v>
      </c>
      <c r="I121" s="3050" t="e">
        <v>#N/A</v>
      </c>
      <c r="J121" s="3051" t="e">
        <v>#N/A</v>
      </c>
      <c r="K121" s="3050" t="e">
        <v>#N/A</v>
      </c>
      <c r="L121" s="3050" t="e">
        <v>#N/A</v>
      </c>
      <c r="M121" s="3067" t="e">
        <f t="shared" si="23"/>
        <v>#N/A</v>
      </c>
      <c r="N121" s="3058" t="e">
        <f t="shared" si="28"/>
        <v>#N/A</v>
      </c>
      <c r="O121" s="3059" t="e">
        <f t="shared" si="28"/>
        <v>#N/A</v>
      </c>
      <c r="P121" s="3060" t="e">
        <f t="shared" si="28"/>
        <v>#N/A</v>
      </c>
      <c r="Q121" s="3059" t="e">
        <f t="shared" si="28"/>
        <v>#N/A</v>
      </c>
      <c r="R121" s="3060" t="e">
        <f t="shared" si="28"/>
        <v>#N/A</v>
      </c>
      <c r="S121" s="3070" t="e">
        <f t="shared" si="28"/>
        <v>#N/A</v>
      </c>
      <c r="T121" s="3085" t="e">
        <f>('2.3'!R121/'2.3'!Q121)*100</f>
        <v>#N/A</v>
      </c>
      <c r="U121" s="3087" t="e">
        <f>('2.3'!S121/'2.3'!Q121)*100</f>
        <v>#N/A</v>
      </c>
      <c r="V121" s="518" t="e">
        <f>('2.3'!T121/'2.3'!R121)*100</f>
        <v>#N/A</v>
      </c>
      <c r="W121" s="3050" t="e">
        <v>#N/A</v>
      </c>
      <c r="X121" s="3050" t="e">
        <v>#N/A</v>
      </c>
      <c r="Y121" s="3069" t="e">
        <f t="shared" si="24"/>
        <v>#N/A</v>
      </c>
    </row>
    <row r="122" spans="1:25">
      <c r="A122" s="2988">
        <f t="shared" si="27"/>
        <v>2026.3</v>
      </c>
      <c r="B122" s="3063" t="e">
        <v>#N/A</v>
      </c>
      <c r="C122" s="3050" t="e">
        <v>#N/A</v>
      </c>
      <c r="D122" s="3051" t="e">
        <v>#N/A</v>
      </c>
      <c r="E122" s="3050" t="e">
        <v>#N/A</v>
      </c>
      <c r="F122" s="3050" t="e">
        <v>#N/A</v>
      </c>
      <c r="G122" s="3067" t="e">
        <f t="shared" si="22"/>
        <v>#N/A</v>
      </c>
      <c r="H122" s="3049" t="e">
        <v>#N/A</v>
      </c>
      <c r="I122" s="3050" t="e">
        <v>#N/A</v>
      </c>
      <c r="J122" s="3051" t="e">
        <v>#N/A</v>
      </c>
      <c r="K122" s="3050" t="e">
        <v>#N/A</v>
      </c>
      <c r="L122" s="3050" t="e">
        <v>#N/A</v>
      </c>
      <c r="M122" s="3067" t="e">
        <f t="shared" si="23"/>
        <v>#N/A</v>
      </c>
      <c r="N122" s="3058" t="e">
        <f t="shared" si="28"/>
        <v>#N/A</v>
      </c>
      <c r="O122" s="3059" t="e">
        <f t="shared" si="28"/>
        <v>#N/A</v>
      </c>
      <c r="P122" s="3060" t="e">
        <f t="shared" si="28"/>
        <v>#N/A</v>
      </c>
      <c r="Q122" s="3059" t="e">
        <f t="shared" si="28"/>
        <v>#N/A</v>
      </c>
      <c r="R122" s="3060" t="e">
        <f t="shared" si="28"/>
        <v>#N/A</v>
      </c>
      <c r="S122" s="3070" t="e">
        <f t="shared" si="28"/>
        <v>#N/A</v>
      </c>
      <c r="T122" s="3085" t="e">
        <f>('2.3'!R122/'2.3'!Q122)*100</f>
        <v>#N/A</v>
      </c>
      <c r="U122" s="3087" t="e">
        <f>('2.3'!S122/'2.3'!Q122)*100</f>
        <v>#N/A</v>
      </c>
      <c r="V122" s="518" t="e">
        <f>('2.3'!T122/'2.3'!R122)*100</f>
        <v>#N/A</v>
      </c>
      <c r="W122" s="3050" t="e">
        <v>#N/A</v>
      </c>
      <c r="X122" s="3050" t="e">
        <v>#N/A</v>
      </c>
      <c r="Y122" s="3069" t="e">
        <f t="shared" si="24"/>
        <v>#N/A</v>
      </c>
    </row>
    <row r="123" spans="1:25">
      <c r="A123" s="2988">
        <f t="shared" si="27"/>
        <v>2026.4</v>
      </c>
      <c r="B123" s="3063" t="e">
        <v>#N/A</v>
      </c>
      <c r="C123" s="3050" t="e">
        <v>#N/A</v>
      </c>
      <c r="D123" s="3051" t="e">
        <v>#N/A</v>
      </c>
      <c r="E123" s="3050" t="e">
        <v>#N/A</v>
      </c>
      <c r="F123" s="3050" t="e">
        <v>#N/A</v>
      </c>
      <c r="G123" s="3067" t="e">
        <f t="shared" si="22"/>
        <v>#N/A</v>
      </c>
      <c r="H123" s="3049" t="e">
        <v>#N/A</v>
      </c>
      <c r="I123" s="3050" t="e">
        <v>#N/A</v>
      </c>
      <c r="J123" s="3051" t="e">
        <v>#N/A</v>
      </c>
      <c r="K123" s="3050" t="e">
        <v>#N/A</v>
      </c>
      <c r="L123" s="3050" t="e">
        <v>#N/A</v>
      </c>
      <c r="M123" s="3067" t="e">
        <f t="shared" si="23"/>
        <v>#N/A</v>
      </c>
      <c r="N123" s="3058" t="e">
        <f t="shared" si="28"/>
        <v>#N/A</v>
      </c>
      <c r="O123" s="3059" t="e">
        <f t="shared" si="28"/>
        <v>#N/A</v>
      </c>
      <c r="P123" s="3060" t="e">
        <f t="shared" si="28"/>
        <v>#N/A</v>
      </c>
      <c r="Q123" s="3059" t="e">
        <f t="shared" si="28"/>
        <v>#N/A</v>
      </c>
      <c r="R123" s="3060" t="e">
        <f t="shared" si="28"/>
        <v>#N/A</v>
      </c>
      <c r="S123" s="3070" t="e">
        <f t="shared" si="28"/>
        <v>#N/A</v>
      </c>
      <c r="T123" s="3085" t="e">
        <f>('2.3'!R123/'2.3'!Q123)*100</f>
        <v>#N/A</v>
      </c>
      <c r="U123" s="3087" t="e">
        <f>('2.3'!S123/'2.3'!Q123)*100</f>
        <v>#N/A</v>
      </c>
      <c r="V123" s="518" t="e">
        <f>('2.3'!T123/'2.3'!R123)*100</f>
        <v>#N/A</v>
      </c>
      <c r="W123" s="3050" t="e">
        <v>#N/A</v>
      </c>
      <c r="X123" s="3050" t="e">
        <v>#N/A</v>
      </c>
      <c r="Y123" s="3069" t="e">
        <f t="shared" si="24"/>
        <v>#N/A</v>
      </c>
    </row>
    <row r="124" spans="1:25">
      <c r="A124" s="2988">
        <f t="shared" si="27"/>
        <v>2027.1</v>
      </c>
      <c r="B124" s="3063" t="e">
        <v>#N/A</v>
      </c>
      <c r="C124" s="3050" t="e">
        <v>#N/A</v>
      </c>
      <c r="D124" s="3051" t="e">
        <v>#N/A</v>
      </c>
      <c r="E124" s="3050" t="e">
        <v>#N/A</v>
      </c>
      <c r="F124" s="3050" t="e">
        <v>#N/A</v>
      </c>
      <c r="G124" s="3067" t="e">
        <f t="shared" si="22"/>
        <v>#N/A</v>
      </c>
      <c r="H124" s="3049" t="e">
        <v>#N/A</v>
      </c>
      <c r="I124" s="3050" t="e">
        <v>#N/A</v>
      </c>
      <c r="J124" s="3051" t="e">
        <v>#N/A</v>
      </c>
      <c r="K124" s="3050" t="e">
        <v>#N/A</v>
      </c>
      <c r="L124" s="3050" t="e">
        <v>#N/A</v>
      </c>
      <c r="M124" s="3067" t="e">
        <f t="shared" si="23"/>
        <v>#N/A</v>
      </c>
      <c r="N124" s="3058" t="e">
        <f t="shared" si="28"/>
        <v>#N/A</v>
      </c>
      <c r="O124" s="3059" t="e">
        <f t="shared" si="28"/>
        <v>#N/A</v>
      </c>
      <c r="P124" s="3060" t="e">
        <f t="shared" si="28"/>
        <v>#N/A</v>
      </c>
      <c r="Q124" s="3059" t="e">
        <f t="shared" si="28"/>
        <v>#N/A</v>
      </c>
      <c r="R124" s="3060" t="e">
        <f t="shared" si="28"/>
        <v>#N/A</v>
      </c>
      <c r="S124" s="3070" t="e">
        <f t="shared" si="28"/>
        <v>#N/A</v>
      </c>
      <c r="T124" s="3085" t="e">
        <f>('2.3'!R124/'2.3'!Q124)*100</f>
        <v>#N/A</v>
      </c>
      <c r="U124" s="3087" t="e">
        <f>('2.3'!S124/'2.3'!Q124)*100</f>
        <v>#N/A</v>
      </c>
      <c r="V124" s="518" t="e">
        <f>('2.3'!T124/'2.3'!R124)*100</f>
        <v>#N/A</v>
      </c>
      <c r="W124" s="3050" t="e">
        <v>#N/A</v>
      </c>
      <c r="X124" s="3050" t="e">
        <v>#N/A</v>
      </c>
      <c r="Y124" s="3069" t="e">
        <f t="shared" si="24"/>
        <v>#N/A</v>
      </c>
    </row>
    <row r="125" spans="1:25">
      <c r="A125" s="2988">
        <f t="shared" si="27"/>
        <v>2027.2</v>
      </c>
      <c r="B125" s="3063" t="e">
        <v>#N/A</v>
      </c>
      <c r="C125" s="3050" t="e">
        <v>#N/A</v>
      </c>
      <c r="D125" s="3051" t="e">
        <v>#N/A</v>
      </c>
      <c r="E125" s="3050" t="e">
        <v>#N/A</v>
      </c>
      <c r="F125" s="3050" t="e">
        <v>#N/A</v>
      </c>
      <c r="G125" s="3067" t="e">
        <f t="shared" si="22"/>
        <v>#N/A</v>
      </c>
      <c r="H125" s="3049" t="e">
        <v>#N/A</v>
      </c>
      <c r="I125" s="3050" t="e">
        <v>#N/A</v>
      </c>
      <c r="J125" s="3051" t="e">
        <v>#N/A</v>
      </c>
      <c r="K125" s="3050" t="e">
        <v>#N/A</v>
      </c>
      <c r="L125" s="3050" t="e">
        <v>#N/A</v>
      </c>
      <c r="M125" s="3067" t="e">
        <f t="shared" si="23"/>
        <v>#N/A</v>
      </c>
      <c r="N125" s="3058" t="e">
        <f t="shared" si="28"/>
        <v>#N/A</v>
      </c>
      <c r="O125" s="3059" t="e">
        <f t="shared" si="28"/>
        <v>#N/A</v>
      </c>
      <c r="P125" s="3060" t="e">
        <f t="shared" si="28"/>
        <v>#N/A</v>
      </c>
      <c r="Q125" s="3059" t="e">
        <f t="shared" si="28"/>
        <v>#N/A</v>
      </c>
      <c r="R125" s="3060" t="e">
        <f t="shared" si="28"/>
        <v>#N/A</v>
      </c>
      <c r="S125" s="3070" t="e">
        <f t="shared" si="28"/>
        <v>#N/A</v>
      </c>
      <c r="T125" s="3085" t="e">
        <f>('2.3'!R125/'2.3'!Q125)*100</f>
        <v>#N/A</v>
      </c>
      <c r="U125" s="3087" t="e">
        <f>('2.3'!S125/'2.3'!Q125)*100</f>
        <v>#N/A</v>
      </c>
      <c r="V125" s="518" t="e">
        <f>('2.3'!T125/'2.3'!R125)*100</f>
        <v>#N/A</v>
      </c>
      <c r="W125" s="3050" t="e">
        <v>#N/A</v>
      </c>
      <c r="X125" s="3050" t="e">
        <v>#N/A</v>
      </c>
      <c r="Y125" s="3069" t="e">
        <f t="shared" si="24"/>
        <v>#N/A</v>
      </c>
    </row>
    <row r="126" spans="1:25">
      <c r="A126" s="2988">
        <f t="shared" si="27"/>
        <v>2027.3</v>
      </c>
      <c r="B126" s="3063" t="e">
        <v>#N/A</v>
      </c>
      <c r="C126" s="3050" t="e">
        <v>#N/A</v>
      </c>
      <c r="D126" s="3051" t="e">
        <v>#N/A</v>
      </c>
      <c r="E126" s="3050" t="e">
        <v>#N/A</v>
      </c>
      <c r="F126" s="3050" t="e">
        <v>#N/A</v>
      </c>
      <c r="G126" s="3067" t="e">
        <f t="shared" si="22"/>
        <v>#N/A</v>
      </c>
      <c r="H126" s="3049" t="e">
        <v>#N/A</v>
      </c>
      <c r="I126" s="3050" t="e">
        <v>#N/A</v>
      </c>
      <c r="J126" s="3051" t="e">
        <v>#N/A</v>
      </c>
      <c r="K126" s="3050" t="e">
        <v>#N/A</v>
      </c>
      <c r="L126" s="3050" t="e">
        <v>#N/A</v>
      </c>
      <c r="M126" s="3067" t="e">
        <f t="shared" si="23"/>
        <v>#N/A</v>
      </c>
      <c r="N126" s="3058" t="e">
        <f t="shared" si="28"/>
        <v>#N/A</v>
      </c>
      <c r="O126" s="3059" t="e">
        <f t="shared" si="28"/>
        <v>#N/A</v>
      </c>
      <c r="P126" s="3060" t="e">
        <f t="shared" si="28"/>
        <v>#N/A</v>
      </c>
      <c r="Q126" s="3059" t="e">
        <f t="shared" si="28"/>
        <v>#N/A</v>
      </c>
      <c r="R126" s="3060" t="e">
        <f t="shared" si="28"/>
        <v>#N/A</v>
      </c>
      <c r="S126" s="3070" t="e">
        <f t="shared" si="28"/>
        <v>#N/A</v>
      </c>
      <c r="T126" s="3085" t="e">
        <f>('2.3'!R126/'2.3'!Q126)*100</f>
        <v>#N/A</v>
      </c>
      <c r="U126" s="3087" t="e">
        <f>('2.3'!S126/'2.3'!Q126)*100</f>
        <v>#N/A</v>
      </c>
      <c r="V126" s="518" t="e">
        <f>('2.3'!T126/'2.3'!R126)*100</f>
        <v>#N/A</v>
      </c>
      <c r="W126" s="3050" t="e">
        <v>#N/A</v>
      </c>
      <c r="X126" s="3050" t="e">
        <v>#N/A</v>
      </c>
      <c r="Y126" s="3069" t="e">
        <f t="shared" si="24"/>
        <v>#N/A</v>
      </c>
    </row>
    <row r="127" spans="1:25">
      <c r="A127" s="2988">
        <f t="shared" si="27"/>
        <v>2027.4</v>
      </c>
      <c r="B127" s="3063" t="e">
        <v>#N/A</v>
      </c>
      <c r="C127" s="3050" t="e">
        <v>#N/A</v>
      </c>
      <c r="D127" s="3051" t="e">
        <v>#N/A</v>
      </c>
      <c r="E127" s="3050" t="e">
        <v>#N/A</v>
      </c>
      <c r="F127" s="3050" t="e">
        <v>#N/A</v>
      </c>
      <c r="G127" s="3067" t="e">
        <f t="shared" si="22"/>
        <v>#N/A</v>
      </c>
      <c r="H127" s="3049" t="e">
        <v>#N/A</v>
      </c>
      <c r="I127" s="3050" t="e">
        <v>#N/A</v>
      </c>
      <c r="J127" s="3051" t="e">
        <v>#N/A</v>
      </c>
      <c r="K127" s="3050" t="e">
        <v>#N/A</v>
      </c>
      <c r="L127" s="3050" t="e">
        <v>#N/A</v>
      </c>
      <c r="M127" s="3067" t="e">
        <f t="shared" si="23"/>
        <v>#N/A</v>
      </c>
      <c r="N127" s="3058" t="e">
        <f t="shared" si="28"/>
        <v>#N/A</v>
      </c>
      <c r="O127" s="3059" t="e">
        <f t="shared" si="28"/>
        <v>#N/A</v>
      </c>
      <c r="P127" s="3060" t="e">
        <f t="shared" si="28"/>
        <v>#N/A</v>
      </c>
      <c r="Q127" s="3059" t="e">
        <f t="shared" si="28"/>
        <v>#N/A</v>
      </c>
      <c r="R127" s="3060" t="e">
        <f t="shared" si="28"/>
        <v>#N/A</v>
      </c>
      <c r="S127" s="3070" t="e">
        <f t="shared" si="28"/>
        <v>#N/A</v>
      </c>
      <c r="T127" s="3085" t="e">
        <f>('2.3'!R127/'2.3'!Q127)*100</f>
        <v>#N/A</v>
      </c>
      <c r="U127" s="3087" t="e">
        <f>('2.3'!S127/'2.3'!Q127)*100</f>
        <v>#N/A</v>
      </c>
      <c r="V127" s="518" t="e">
        <f>('2.3'!T127/'2.3'!R127)*100</f>
        <v>#N/A</v>
      </c>
      <c r="W127" s="3050" t="e">
        <v>#N/A</v>
      </c>
      <c r="X127" s="3050" t="e">
        <v>#N/A</v>
      </c>
      <c r="Y127" s="3069" t="e">
        <f t="shared" si="24"/>
        <v>#N/A</v>
      </c>
    </row>
    <row r="128" spans="1:25">
      <c r="A128" s="2988">
        <f t="shared" si="27"/>
        <v>2028.1</v>
      </c>
      <c r="B128" s="3063" t="e">
        <v>#N/A</v>
      </c>
      <c r="C128" s="3050" t="e">
        <v>#N/A</v>
      </c>
      <c r="D128" s="3051" t="e">
        <v>#N/A</v>
      </c>
      <c r="E128" s="3050" t="e">
        <v>#N/A</v>
      </c>
      <c r="F128" s="3050" t="e">
        <v>#N/A</v>
      </c>
      <c r="G128" s="3067" t="e">
        <f t="shared" si="22"/>
        <v>#N/A</v>
      </c>
      <c r="H128" s="3049" t="e">
        <v>#N/A</v>
      </c>
      <c r="I128" s="3050" t="e">
        <v>#N/A</v>
      </c>
      <c r="J128" s="3051" t="e">
        <v>#N/A</v>
      </c>
      <c r="K128" s="3050" t="e">
        <v>#N/A</v>
      </c>
      <c r="L128" s="3050" t="e">
        <v>#N/A</v>
      </c>
      <c r="M128" s="3067" t="e">
        <f t="shared" si="23"/>
        <v>#N/A</v>
      </c>
      <c r="N128" s="3058" t="e">
        <f t="shared" si="28"/>
        <v>#N/A</v>
      </c>
      <c r="O128" s="3059" t="e">
        <f t="shared" si="28"/>
        <v>#N/A</v>
      </c>
      <c r="P128" s="3060" t="e">
        <f t="shared" si="28"/>
        <v>#N/A</v>
      </c>
      <c r="Q128" s="3059" t="e">
        <f t="shared" si="28"/>
        <v>#N/A</v>
      </c>
      <c r="R128" s="3060" t="e">
        <f t="shared" si="28"/>
        <v>#N/A</v>
      </c>
      <c r="S128" s="3070" t="e">
        <f t="shared" si="28"/>
        <v>#N/A</v>
      </c>
      <c r="T128" s="3085" t="e">
        <f>('2.3'!R128/'2.3'!Q128)*100</f>
        <v>#N/A</v>
      </c>
      <c r="U128" s="3087" t="e">
        <f>('2.3'!S128/'2.3'!Q128)*100</f>
        <v>#N/A</v>
      </c>
      <c r="V128" s="518" t="e">
        <f>('2.3'!T128/'2.3'!R128)*100</f>
        <v>#N/A</v>
      </c>
      <c r="W128" s="3050" t="e">
        <v>#N/A</v>
      </c>
      <c r="X128" s="3050" t="e">
        <v>#N/A</v>
      </c>
      <c r="Y128" s="3069" t="e">
        <f t="shared" si="24"/>
        <v>#N/A</v>
      </c>
    </row>
    <row r="129" spans="1:25">
      <c r="A129" s="2988">
        <f t="shared" si="27"/>
        <v>2028.2</v>
      </c>
      <c r="B129" s="3063" t="e">
        <v>#N/A</v>
      </c>
      <c r="C129" s="3050" t="e">
        <v>#N/A</v>
      </c>
      <c r="D129" s="3051" t="e">
        <v>#N/A</v>
      </c>
      <c r="E129" s="3050" t="e">
        <v>#N/A</v>
      </c>
      <c r="F129" s="3050" t="e">
        <v>#N/A</v>
      </c>
      <c r="G129" s="3067" t="e">
        <f t="shared" si="22"/>
        <v>#N/A</v>
      </c>
      <c r="H129" s="3049" t="e">
        <v>#N/A</v>
      </c>
      <c r="I129" s="3050" t="e">
        <v>#N/A</v>
      </c>
      <c r="J129" s="3051" t="e">
        <v>#N/A</v>
      </c>
      <c r="K129" s="3050" t="e">
        <v>#N/A</v>
      </c>
      <c r="L129" s="3050" t="e">
        <v>#N/A</v>
      </c>
      <c r="M129" s="3067" t="e">
        <f t="shared" si="23"/>
        <v>#N/A</v>
      </c>
      <c r="N129" s="3058" t="e">
        <f t="shared" si="28"/>
        <v>#N/A</v>
      </c>
      <c r="O129" s="3059" t="e">
        <f t="shared" si="28"/>
        <v>#N/A</v>
      </c>
      <c r="P129" s="3060" t="e">
        <f t="shared" si="28"/>
        <v>#N/A</v>
      </c>
      <c r="Q129" s="3059" t="e">
        <f t="shared" si="28"/>
        <v>#N/A</v>
      </c>
      <c r="R129" s="3060" t="e">
        <f t="shared" si="28"/>
        <v>#N/A</v>
      </c>
      <c r="S129" s="3070" t="e">
        <f t="shared" si="28"/>
        <v>#N/A</v>
      </c>
      <c r="T129" s="3085" t="e">
        <f>('2.3'!R129/'2.3'!Q129)*100</f>
        <v>#N/A</v>
      </c>
      <c r="U129" s="3087" t="e">
        <f>('2.3'!S129/'2.3'!Q129)*100</f>
        <v>#N/A</v>
      </c>
      <c r="V129" s="518" t="e">
        <f>('2.3'!T129/'2.3'!R129)*100</f>
        <v>#N/A</v>
      </c>
      <c r="W129" s="3050" t="e">
        <v>#N/A</v>
      </c>
      <c r="X129" s="3050" t="e">
        <v>#N/A</v>
      </c>
      <c r="Y129" s="3069" t="e">
        <f t="shared" si="24"/>
        <v>#N/A</v>
      </c>
    </row>
    <row r="130" spans="1:25">
      <c r="A130" s="2988">
        <f t="shared" si="27"/>
        <v>2028.3</v>
      </c>
      <c r="B130" s="3063" t="e">
        <v>#N/A</v>
      </c>
      <c r="C130" s="3050" t="e">
        <v>#N/A</v>
      </c>
      <c r="D130" s="3051" t="e">
        <v>#N/A</v>
      </c>
      <c r="E130" s="3050" t="e">
        <v>#N/A</v>
      </c>
      <c r="F130" s="3050" t="e">
        <v>#N/A</v>
      </c>
      <c r="G130" s="3067" t="e">
        <f t="shared" si="22"/>
        <v>#N/A</v>
      </c>
      <c r="H130" s="3049" t="e">
        <v>#N/A</v>
      </c>
      <c r="I130" s="3050" t="e">
        <v>#N/A</v>
      </c>
      <c r="J130" s="3051" t="e">
        <v>#N/A</v>
      </c>
      <c r="K130" s="3050" t="e">
        <v>#N/A</v>
      </c>
      <c r="L130" s="3050" t="e">
        <v>#N/A</v>
      </c>
      <c r="M130" s="3067" t="e">
        <f t="shared" si="23"/>
        <v>#N/A</v>
      </c>
      <c r="N130" s="3058" t="e">
        <f t="shared" si="28"/>
        <v>#N/A</v>
      </c>
      <c r="O130" s="3059" t="e">
        <f t="shared" si="28"/>
        <v>#N/A</v>
      </c>
      <c r="P130" s="3060" t="e">
        <f t="shared" si="28"/>
        <v>#N/A</v>
      </c>
      <c r="Q130" s="3059" t="e">
        <f t="shared" si="28"/>
        <v>#N/A</v>
      </c>
      <c r="R130" s="3060" t="e">
        <f t="shared" si="28"/>
        <v>#N/A</v>
      </c>
      <c r="S130" s="3070" t="e">
        <f t="shared" si="28"/>
        <v>#N/A</v>
      </c>
      <c r="T130" s="3085" t="e">
        <f>('2.3'!R130/'2.3'!Q130)*100</f>
        <v>#N/A</v>
      </c>
      <c r="U130" s="3087" t="e">
        <f>('2.3'!S130/'2.3'!Q130)*100</f>
        <v>#N/A</v>
      </c>
      <c r="V130" s="518" t="e">
        <f>('2.3'!T130/'2.3'!R130)*100</f>
        <v>#N/A</v>
      </c>
      <c r="W130" s="3050" t="e">
        <v>#N/A</v>
      </c>
      <c r="X130" s="3050" t="e">
        <v>#N/A</v>
      </c>
      <c r="Y130" s="3069" t="e">
        <f t="shared" si="24"/>
        <v>#N/A</v>
      </c>
    </row>
    <row r="131" spans="1:25">
      <c r="A131" s="2988">
        <f t="shared" si="27"/>
        <v>2028.4</v>
      </c>
      <c r="B131" s="3063" t="e">
        <v>#N/A</v>
      </c>
      <c r="C131" s="3050" t="e">
        <v>#N/A</v>
      </c>
      <c r="D131" s="3051" t="e">
        <v>#N/A</v>
      </c>
      <c r="E131" s="3050" t="e">
        <v>#N/A</v>
      </c>
      <c r="F131" s="3050" t="e">
        <v>#N/A</v>
      </c>
      <c r="G131" s="3067" t="e">
        <f t="shared" si="22"/>
        <v>#N/A</v>
      </c>
      <c r="H131" s="3049" t="e">
        <v>#N/A</v>
      </c>
      <c r="I131" s="3050" t="e">
        <v>#N/A</v>
      </c>
      <c r="J131" s="3051" t="e">
        <v>#N/A</v>
      </c>
      <c r="K131" s="3050" t="e">
        <v>#N/A</v>
      </c>
      <c r="L131" s="3050" t="e">
        <v>#N/A</v>
      </c>
      <c r="M131" s="3067" t="e">
        <f t="shared" si="23"/>
        <v>#N/A</v>
      </c>
      <c r="N131" s="3058" t="e">
        <f t="shared" si="28"/>
        <v>#N/A</v>
      </c>
      <c r="O131" s="3059" t="e">
        <f t="shared" si="28"/>
        <v>#N/A</v>
      </c>
      <c r="P131" s="3060" t="e">
        <f t="shared" si="28"/>
        <v>#N/A</v>
      </c>
      <c r="Q131" s="3059" t="e">
        <f t="shared" si="28"/>
        <v>#N/A</v>
      </c>
      <c r="R131" s="3060" t="e">
        <f t="shared" si="28"/>
        <v>#N/A</v>
      </c>
      <c r="S131" s="3070" t="e">
        <f t="shared" si="28"/>
        <v>#N/A</v>
      </c>
      <c r="T131" s="3085" t="e">
        <f>('2.3'!R131/'2.3'!Q131)*100</f>
        <v>#N/A</v>
      </c>
      <c r="U131" s="3087" t="e">
        <f>('2.3'!S131/'2.3'!Q131)*100</f>
        <v>#N/A</v>
      </c>
      <c r="V131" s="518" t="e">
        <f>('2.3'!T131/'2.3'!R131)*100</f>
        <v>#N/A</v>
      </c>
      <c r="W131" s="3050" t="e">
        <v>#N/A</v>
      </c>
      <c r="X131" s="3050" t="e">
        <v>#N/A</v>
      </c>
      <c r="Y131" s="3069" t="e">
        <f t="shared" si="24"/>
        <v>#N/A</v>
      </c>
    </row>
    <row r="132" spans="1:25">
      <c r="A132" s="2988">
        <f t="shared" si="27"/>
        <v>2029.1</v>
      </c>
      <c r="B132" s="3063" t="e">
        <v>#N/A</v>
      </c>
      <c r="C132" s="3050" t="e">
        <v>#N/A</v>
      </c>
      <c r="D132" s="3051" t="e">
        <v>#N/A</v>
      </c>
      <c r="E132" s="3050" t="e">
        <v>#N/A</v>
      </c>
      <c r="F132" s="3050" t="e">
        <v>#N/A</v>
      </c>
      <c r="G132" s="3067" t="e">
        <f t="shared" si="22"/>
        <v>#N/A</v>
      </c>
      <c r="H132" s="3049" t="e">
        <v>#N/A</v>
      </c>
      <c r="I132" s="3050" t="e">
        <v>#N/A</v>
      </c>
      <c r="J132" s="3051" t="e">
        <v>#N/A</v>
      </c>
      <c r="K132" s="3050" t="e">
        <v>#N/A</v>
      </c>
      <c r="L132" s="3050" t="e">
        <v>#N/A</v>
      </c>
      <c r="M132" s="3067" t="e">
        <f t="shared" si="23"/>
        <v>#N/A</v>
      </c>
      <c r="N132" s="3058" t="e">
        <f t="shared" si="28"/>
        <v>#N/A</v>
      </c>
      <c r="O132" s="3059" t="e">
        <f t="shared" si="28"/>
        <v>#N/A</v>
      </c>
      <c r="P132" s="3060" t="e">
        <f t="shared" si="28"/>
        <v>#N/A</v>
      </c>
      <c r="Q132" s="3059" t="e">
        <f t="shared" si="28"/>
        <v>#N/A</v>
      </c>
      <c r="R132" s="3060" t="e">
        <f t="shared" si="28"/>
        <v>#N/A</v>
      </c>
      <c r="S132" s="3070" t="e">
        <f t="shared" si="28"/>
        <v>#N/A</v>
      </c>
      <c r="T132" s="3085" t="e">
        <f>('2.3'!R132/'2.3'!Q132)*100</f>
        <v>#N/A</v>
      </c>
      <c r="U132" s="3087" t="e">
        <f>('2.3'!S132/'2.3'!Q132)*100</f>
        <v>#N/A</v>
      </c>
      <c r="V132" s="518" t="e">
        <f>('2.3'!T132/'2.3'!R132)*100</f>
        <v>#N/A</v>
      </c>
      <c r="W132" s="3050" t="e">
        <v>#N/A</v>
      </c>
      <c r="X132" s="3050" t="e">
        <v>#N/A</v>
      </c>
      <c r="Y132" s="3069" t="e">
        <f t="shared" si="24"/>
        <v>#N/A</v>
      </c>
    </row>
    <row r="133" spans="1:25">
      <c r="A133" s="2988">
        <f t="shared" si="27"/>
        <v>2029.2</v>
      </c>
      <c r="B133" s="3063" t="e">
        <v>#N/A</v>
      </c>
      <c r="C133" s="3050" t="e">
        <v>#N/A</v>
      </c>
      <c r="D133" s="3051" t="e">
        <v>#N/A</v>
      </c>
      <c r="E133" s="3050" t="e">
        <v>#N/A</v>
      </c>
      <c r="F133" s="3050" t="e">
        <v>#N/A</v>
      </c>
      <c r="G133" s="3067" t="e">
        <f t="shared" si="22"/>
        <v>#N/A</v>
      </c>
      <c r="H133" s="3049" t="e">
        <v>#N/A</v>
      </c>
      <c r="I133" s="3050" t="e">
        <v>#N/A</v>
      </c>
      <c r="J133" s="3051" t="e">
        <v>#N/A</v>
      </c>
      <c r="K133" s="3050" t="e">
        <v>#N/A</v>
      </c>
      <c r="L133" s="3050" t="e">
        <v>#N/A</v>
      </c>
      <c r="M133" s="3067" t="e">
        <f t="shared" si="23"/>
        <v>#N/A</v>
      </c>
      <c r="N133" s="3058" t="e">
        <f t="shared" si="28"/>
        <v>#N/A</v>
      </c>
      <c r="O133" s="3059" t="e">
        <f t="shared" si="28"/>
        <v>#N/A</v>
      </c>
      <c r="P133" s="3060" t="e">
        <f t="shared" si="28"/>
        <v>#N/A</v>
      </c>
      <c r="Q133" s="3059" t="e">
        <f t="shared" si="28"/>
        <v>#N/A</v>
      </c>
      <c r="R133" s="3060" t="e">
        <f t="shared" si="28"/>
        <v>#N/A</v>
      </c>
      <c r="S133" s="3070" t="e">
        <f t="shared" si="28"/>
        <v>#N/A</v>
      </c>
      <c r="T133" s="3085" t="e">
        <f>('2.3'!R133/'2.3'!Q133)*100</f>
        <v>#N/A</v>
      </c>
      <c r="U133" s="3087" t="e">
        <f>('2.3'!S133/'2.3'!Q133)*100</f>
        <v>#N/A</v>
      </c>
      <c r="V133" s="518" t="e">
        <f>('2.3'!T133/'2.3'!R133)*100</f>
        <v>#N/A</v>
      </c>
      <c r="W133" s="3050" t="e">
        <v>#N/A</v>
      </c>
      <c r="X133" s="3050" t="e">
        <v>#N/A</v>
      </c>
      <c r="Y133" s="3069" t="e">
        <f t="shared" si="24"/>
        <v>#N/A</v>
      </c>
    </row>
    <row r="134" spans="1:25">
      <c r="A134" s="2988">
        <f t="shared" si="27"/>
        <v>2029.3</v>
      </c>
      <c r="B134" s="3063" t="e">
        <v>#N/A</v>
      </c>
      <c r="C134" s="3050" t="e">
        <v>#N/A</v>
      </c>
      <c r="D134" s="3051" t="e">
        <v>#N/A</v>
      </c>
      <c r="E134" s="3050" t="e">
        <v>#N/A</v>
      </c>
      <c r="F134" s="3050" t="e">
        <v>#N/A</v>
      </c>
      <c r="G134" s="3067" t="e">
        <f t="shared" si="22"/>
        <v>#N/A</v>
      </c>
      <c r="H134" s="3049" t="e">
        <v>#N/A</v>
      </c>
      <c r="I134" s="3050" t="e">
        <v>#N/A</v>
      </c>
      <c r="J134" s="3051" t="e">
        <v>#N/A</v>
      </c>
      <c r="K134" s="3050" t="e">
        <v>#N/A</v>
      </c>
      <c r="L134" s="3050" t="e">
        <v>#N/A</v>
      </c>
      <c r="M134" s="3067" t="e">
        <f t="shared" si="23"/>
        <v>#N/A</v>
      </c>
      <c r="N134" s="3058" t="e">
        <f t="shared" ref="N134:S139" si="29">(B134+H134)/2</f>
        <v>#N/A</v>
      </c>
      <c r="O134" s="3059" t="e">
        <f t="shared" si="29"/>
        <v>#N/A</v>
      </c>
      <c r="P134" s="3060" t="e">
        <f t="shared" si="29"/>
        <v>#N/A</v>
      </c>
      <c r="Q134" s="3059" t="e">
        <f t="shared" si="29"/>
        <v>#N/A</v>
      </c>
      <c r="R134" s="3060" t="e">
        <f t="shared" si="29"/>
        <v>#N/A</v>
      </c>
      <c r="S134" s="3070" t="e">
        <f t="shared" si="29"/>
        <v>#N/A</v>
      </c>
      <c r="T134" s="3085" t="e">
        <f>('2.3'!R134/'2.3'!Q134)*100</f>
        <v>#N/A</v>
      </c>
      <c r="U134" s="3087" t="e">
        <f>('2.3'!S134/'2.3'!Q134)*100</f>
        <v>#N/A</v>
      </c>
      <c r="V134" s="518" t="e">
        <f>('2.3'!T134/'2.3'!R134)*100</f>
        <v>#N/A</v>
      </c>
      <c r="W134" s="3050" t="e">
        <v>#N/A</v>
      </c>
      <c r="X134" s="3050" t="e">
        <v>#N/A</v>
      </c>
      <c r="Y134" s="3069" t="e">
        <f t="shared" si="24"/>
        <v>#N/A</v>
      </c>
    </row>
    <row r="135" spans="1:25">
      <c r="A135" s="2988">
        <f t="shared" si="27"/>
        <v>2029.4</v>
      </c>
      <c r="B135" s="3063" t="e">
        <v>#N/A</v>
      </c>
      <c r="C135" s="3050" t="e">
        <v>#N/A</v>
      </c>
      <c r="D135" s="3051" t="e">
        <v>#N/A</v>
      </c>
      <c r="E135" s="3050" t="e">
        <v>#N/A</v>
      </c>
      <c r="F135" s="3050" t="e">
        <v>#N/A</v>
      </c>
      <c r="G135" s="3067" t="e">
        <f t="shared" si="22"/>
        <v>#N/A</v>
      </c>
      <c r="H135" s="3049" t="e">
        <v>#N/A</v>
      </c>
      <c r="I135" s="3050" t="e">
        <v>#N/A</v>
      </c>
      <c r="J135" s="3051" t="e">
        <v>#N/A</v>
      </c>
      <c r="K135" s="3050" t="e">
        <v>#N/A</v>
      </c>
      <c r="L135" s="3050" t="e">
        <v>#N/A</v>
      </c>
      <c r="M135" s="3067" t="e">
        <f t="shared" si="23"/>
        <v>#N/A</v>
      </c>
      <c r="N135" s="3058" t="e">
        <f t="shared" si="29"/>
        <v>#N/A</v>
      </c>
      <c r="O135" s="3059" t="e">
        <f t="shared" si="29"/>
        <v>#N/A</v>
      </c>
      <c r="P135" s="3060" t="e">
        <f t="shared" si="29"/>
        <v>#N/A</v>
      </c>
      <c r="Q135" s="3059" t="e">
        <f t="shared" si="29"/>
        <v>#N/A</v>
      </c>
      <c r="R135" s="3060" t="e">
        <f t="shared" si="29"/>
        <v>#N/A</v>
      </c>
      <c r="S135" s="3070" t="e">
        <f t="shared" si="29"/>
        <v>#N/A</v>
      </c>
      <c r="T135" s="3085" t="e">
        <f>('2.3'!R135/'2.3'!Q135)*100</f>
        <v>#N/A</v>
      </c>
      <c r="U135" s="3087" t="e">
        <f>('2.3'!S135/'2.3'!Q135)*100</f>
        <v>#N/A</v>
      </c>
      <c r="V135" s="518" t="e">
        <f>('2.3'!T135/'2.3'!R135)*100</f>
        <v>#N/A</v>
      </c>
      <c r="W135" s="3050" t="e">
        <v>#N/A</v>
      </c>
      <c r="X135" s="3050" t="e">
        <v>#N/A</v>
      </c>
      <c r="Y135" s="3069" t="e">
        <f t="shared" si="24"/>
        <v>#N/A</v>
      </c>
    </row>
    <row r="136" spans="1:25">
      <c r="A136" s="2988">
        <f t="shared" si="27"/>
        <v>2030.1</v>
      </c>
      <c r="B136" s="3063" t="e">
        <v>#N/A</v>
      </c>
      <c r="C136" s="3050" t="e">
        <v>#N/A</v>
      </c>
      <c r="D136" s="3051" t="e">
        <v>#N/A</v>
      </c>
      <c r="E136" s="3050" t="e">
        <v>#N/A</v>
      </c>
      <c r="F136" s="3050" t="e">
        <v>#N/A</v>
      </c>
      <c r="G136" s="3067" t="e">
        <f t="shared" si="22"/>
        <v>#N/A</v>
      </c>
      <c r="H136" s="3049" t="e">
        <v>#N/A</v>
      </c>
      <c r="I136" s="3050" t="e">
        <v>#N/A</v>
      </c>
      <c r="J136" s="3051" t="e">
        <v>#N/A</v>
      </c>
      <c r="K136" s="3050" t="e">
        <v>#N/A</v>
      </c>
      <c r="L136" s="3050" t="e">
        <v>#N/A</v>
      </c>
      <c r="M136" s="3067" t="e">
        <f t="shared" si="23"/>
        <v>#N/A</v>
      </c>
      <c r="N136" s="3058" t="e">
        <f t="shared" si="29"/>
        <v>#N/A</v>
      </c>
      <c r="O136" s="3059" t="e">
        <f t="shared" si="29"/>
        <v>#N/A</v>
      </c>
      <c r="P136" s="3060" t="e">
        <f t="shared" si="29"/>
        <v>#N/A</v>
      </c>
      <c r="Q136" s="3059" t="e">
        <f t="shared" si="29"/>
        <v>#N/A</v>
      </c>
      <c r="R136" s="3060" t="e">
        <f t="shared" si="29"/>
        <v>#N/A</v>
      </c>
      <c r="S136" s="3070" t="e">
        <f t="shared" si="29"/>
        <v>#N/A</v>
      </c>
      <c r="T136" s="3085" t="e">
        <f>('2.3'!R136/'2.3'!Q136)*100</f>
        <v>#N/A</v>
      </c>
      <c r="U136" s="3087" t="e">
        <f>('2.3'!S136/'2.3'!Q136)*100</f>
        <v>#N/A</v>
      </c>
      <c r="V136" s="518" t="e">
        <f>('2.3'!T136/'2.3'!R136)*100</f>
        <v>#N/A</v>
      </c>
      <c r="W136" s="3050" t="e">
        <v>#N/A</v>
      </c>
      <c r="X136" s="3050" t="e">
        <v>#N/A</v>
      </c>
      <c r="Y136" s="3069" t="e">
        <f t="shared" si="24"/>
        <v>#N/A</v>
      </c>
    </row>
    <row r="137" spans="1:25">
      <c r="A137" s="2988">
        <f t="shared" si="27"/>
        <v>2030.2</v>
      </c>
      <c r="B137" s="3063" t="e">
        <v>#N/A</v>
      </c>
      <c r="C137" s="3050" t="e">
        <v>#N/A</v>
      </c>
      <c r="D137" s="3051" t="e">
        <v>#N/A</v>
      </c>
      <c r="E137" s="3050" t="e">
        <v>#N/A</v>
      </c>
      <c r="F137" s="3050" t="e">
        <v>#N/A</v>
      </c>
      <c r="G137" s="3067" t="e">
        <f t="shared" si="22"/>
        <v>#N/A</v>
      </c>
      <c r="H137" s="3049" t="e">
        <v>#N/A</v>
      </c>
      <c r="I137" s="3050" t="e">
        <v>#N/A</v>
      </c>
      <c r="J137" s="3051" t="e">
        <v>#N/A</v>
      </c>
      <c r="K137" s="3050" t="e">
        <v>#N/A</v>
      </c>
      <c r="L137" s="3050" t="e">
        <v>#N/A</v>
      </c>
      <c r="M137" s="3067" t="e">
        <f t="shared" si="23"/>
        <v>#N/A</v>
      </c>
      <c r="N137" s="3058" t="e">
        <f t="shared" si="29"/>
        <v>#N/A</v>
      </c>
      <c r="O137" s="3059" t="e">
        <f t="shared" si="29"/>
        <v>#N/A</v>
      </c>
      <c r="P137" s="3060" t="e">
        <f t="shared" si="29"/>
        <v>#N/A</v>
      </c>
      <c r="Q137" s="3059" t="e">
        <f t="shared" si="29"/>
        <v>#N/A</v>
      </c>
      <c r="R137" s="3060" t="e">
        <f t="shared" si="29"/>
        <v>#N/A</v>
      </c>
      <c r="S137" s="3070" t="e">
        <f t="shared" si="29"/>
        <v>#N/A</v>
      </c>
      <c r="T137" s="3085" t="e">
        <f>('2.3'!R137/'2.3'!Q137)*100</f>
        <v>#N/A</v>
      </c>
      <c r="U137" s="3087" t="e">
        <f>('2.3'!S137/'2.3'!Q137)*100</f>
        <v>#N/A</v>
      </c>
      <c r="V137" s="518" t="e">
        <f>('2.3'!T137/'2.3'!R137)*100</f>
        <v>#N/A</v>
      </c>
      <c r="W137" s="3050" t="e">
        <v>#N/A</v>
      </c>
      <c r="X137" s="3050" t="e">
        <v>#N/A</v>
      </c>
      <c r="Y137" s="3069" t="e">
        <f t="shared" si="24"/>
        <v>#N/A</v>
      </c>
    </row>
    <row r="138" spans="1:25">
      <c r="A138" s="2988">
        <f t="shared" si="27"/>
        <v>2030.3</v>
      </c>
      <c r="B138" s="3063" t="e">
        <v>#N/A</v>
      </c>
      <c r="C138" s="3050" t="e">
        <v>#N/A</v>
      </c>
      <c r="D138" s="3051" t="e">
        <v>#N/A</v>
      </c>
      <c r="E138" s="3050" t="e">
        <v>#N/A</v>
      </c>
      <c r="F138" s="3050" t="e">
        <v>#N/A</v>
      </c>
      <c r="G138" s="3067" t="e">
        <f t="shared" si="22"/>
        <v>#N/A</v>
      </c>
      <c r="H138" s="3049" t="e">
        <v>#N/A</v>
      </c>
      <c r="I138" s="3050" t="e">
        <v>#N/A</v>
      </c>
      <c r="J138" s="3051" t="e">
        <v>#N/A</v>
      </c>
      <c r="K138" s="3050" t="e">
        <v>#N/A</v>
      </c>
      <c r="L138" s="3050" t="e">
        <v>#N/A</v>
      </c>
      <c r="M138" s="3067" t="e">
        <f t="shared" si="23"/>
        <v>#N/A</v>
      </c>
      <c r="N138" s="3058" t="e">
        <f t="shared" si="29"/>
        <v>#N/A</v>
      </c>
      <c r="O138" s="3059" t="e">
        <f t="shared" si="29"/>
        <v>#N/A</v>
      </c>
      <c r="P138" s="3060" t="e">
        <f t="shared" si="29"/>
        <v>#N/A</v>
      </c>
      <c r="Q138" s="3059" t="e">
        <f t="shared" si="29"/>
        <v>#N/A</v>
      </c>
      <c r="R138" s="3060" t="e">
        <f t="shared" si="29"/>
        <v>#N/A</v>
      </c>
      <c r="S138" s="3070" t="e">
        <f t="shared" si="29"/>
        <v>#N/A</v>
      </c>
      <c r="T138" s="3085" t="e">
        <f>('2.3'!R138/'2.3'!Q138)*100</f>
        <v>#N/A</v>
      </c>
      <c r="U138" s="3087" t="e">
        <f>('2.3'!S138/'2.3'!Q138)*100</f>
        <v>#N/A</v>
      </c>
      <c r="V138" s="518" t="e">
        <f>('2.3'!T138/'2.3'!R138)*100</f>
        <v>#N/A</v>
      </c>
      <c r="W138" s="3050" t="e">
        <v>#N/A</v>
      </c>
      <c r="X138" s="3050" t="e">
        <v>#N/A</v>
      </c>
      <c r="Y138" s="3069" t="e">
        <f t="shared" si="24"/>
        <v>#N/A</v>
      </c>
    </row>
    <row r="139" spans="1:25">
      <c r="A139" s="2988">
        <f t="shared" si="27"/>
        <v>2030.4</v>
      </c>
      <c r="B139" s="3063" t="e">
        <v>#N/A</v>
      </c>
      <c r="C139" s="3050" t="e">
        <v>#N/A</v>
      </c>
      <c r="D139" s="3051" t="e">
        <v>#N/A</v>
      </c>
      <c r="E139" s="3050" t="e">
        <v>#N/A</v>
      </c>
      <c r="F139" s="3050" t="e">
        <v>#N/A</v>
      </c>
      <c r="G139" s="3067" t="e">
        <f t="shared" si="22"/>
        <v>#N/A</v>
      </c>
      <c r="H139" s="3049" t="e">
        <v>#N/A</v>
      </c>
      <c r="I139" s="3050" t="e">
        <v>#N/A</v>
      </c>
      <c r="J139" s="3051" t="e">
        <v>#N/A</v>
      </c>
      <c r="K139" s="3050" t="e">
        <v>#N/A</v>
      </c>
      <c r="L139" s="3050" t="e">
        <v>#N/A</v>
      </c>
      <c r="M139" s="3067" t="e">
        <f t="shared" si="23"/>
        <v>#N/A</v>
      </c>
      <c r="N139" s="3058" t="e">
        <f t="shared" si="29"/>
        <v>#N/A</v>
      </c>
      <c r="O139" s="3059" t="e">
        <f t="shared" si="29"/>
        <v>#N/A</v>
      </c>
      <c r="P139" s="3060" t="e">
        <f t="shared" si="29"/>
        <v>#N/A</v>
      </c>
      <c r="Q139" s="3059" t="e">
        <f t="shared" si="29"/>
        <v>#N/A</v>
      </c>
      <c r="R139" s="3060" t="e">
        <f t="shared" si="29"/>
        <v>#N/A</v>
      </c>
      <c r="S139" s="3070" t="e">
        <f t="shared" si="29"/>
        <v>#N/A</v>
      </c>
      <c r="T139" s="3085" t="e">
        <f>('2.3'!R139/'2.3'!Q139)*100</f>
        <v>#N/A</v>
      </c>
      <c r="U139" s="3087" t="e">
        <f>('2.3'!S139/'2.3'!Q139)*100</f>
        <v>#N/A</v>
      </c>
      <c r="V139" s="518" t="e">
        <f>('2.3'!T139/'2.3'!R139)*100</f>
        <v>#N/A</v>
      </c>
      <c r="W139" s="3050" t="e">
        <v>#N/A</v>
      </c>
      <c r="X139" s="3050" t="e">
        <v>#N/A</v>
      </c>
      <c r="Y139" s="3069" t="e">
        <f t="shared" si="24"/>
        <v>#N/A</v>
      </c>
    </row>
    <row r="141" spans="1:25">
      <c r="B141" s="3148" t="s">
        <v>1597</v>
      </c>
    </row>
    <row r="142" spans="1:25">
      <c r="B142" s="3073"/>
    </row>
  </sheetData>
  <hyperlinks>
    <hyperlink ref="A5" location="INDICE!A13" display="VOLVER AL INDICE" xr:uid="{54B63579-229F-4826-8C24-35038D7637BF}"/>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dimension ref="A1:W71"/>
  <sheetViews>
    <sheetView zoomScaleNormal="100" workbookViewId="0">
      <pane xSplit="1" ySplit="9" topLeftCell="B31" activePane="bottomRight" state="frozen"/>
      <selection activeCell="B68" sqref="B68"/>
      <selection pane="topRight" activeCell="B68" sqref="B68"/>
      <selection pane="bottomLeft" activeCell="B68" sqref="B68"/>
      <selection pane="bottomRight" activeCell="A5" sqref="A5"/>
    </sheetView>
  </sheetViews>
  <sheetFormatPr baseColWidth="10" defaultColWidth="11.42578125" defaultRowHeight="12.75"/>
  <cols>
    <col min="1" max="1" width="11" style="19" customWidth="1"/>
    <col min="2" max="3" width="9.42578125" style="19" customWidth="1"/>
    <col min="4" max="7" width="10" style="19" customWidth="1"/>
    <col min="8" max="9" width="10.42578125" style="19" customWidth="1"/>
    <col min="10" max="13" width="10" style="19" customWidth="1"/>
    <col min="14" max="14" width="9.5703125" style="19" bestFit="1" customWidth="1"/>
    <col min="15" max="15" width="8.5703125" style="19" bestFit="1" customWidth="1"/>
    <col min="16" max="16" width="8" style="19" bestFit="1" customWidth="1"/>
    <col min="17" max="18" width="9.28515625" style="19" bestFit="1" customWidth="1"/>
    <col min="19" max="19" width="8.42578125" style="19" bestFit="1" customWidth="1"/>
    <col min="20" max="21" width="9.5703125" style="19" bestFit="1" customWidth="1"/>
    <col min="22" max="22" width="8.7109375" style="19" bestFit="1" customWidth="1"/>
    <col min="23" max="16384" width="11.42578125" style="2"/>
  </cols>
  <sheetData>
    <row r="1" spans="1:23" s="1" customFormat="1" ht="3.75" customHeight="1">
      <c r="A1" s="47"/>
      <c r="B1" s="4"/>
      <c r="C1" s="5"/>
      <c r="D1" s="5"/>
      <c r="E1" s="5"/>
      <c r="F1" s="5"/>
      <c r="G1" s="5"/>
      <c r="H1" s="72"/>
      <c r="I1" s="5"/>
      <c r="J1" s="5"/>
      <c r="K1" s="5"/>
      <c r="L1" s="5"/>
      <c r="M1" s="5"/>
      <c r="N1" s="3403"/>
      <c r="O1" s="3404"/>
      <c r="P1" s="3404"/>
      <c r="Q1" s="3404"/>
      <c r="R1" s="3404"/>
      <c r="S1" s="3404"/>
      <c r="T1" s="3404"/>
      <c r="U1" s="3404"/>
      <c r="V1" s="3405"/>
    </row>
    <row r="2" spans="1:23" s="1" customFormat="1" ht="12.75" customHeight="1">
      <c r="A2" s="47" t="s">
        <v>212</v>
      </c>
      <c r="B2" s="40" t="s">
        <v>122</v>
      </c>
      <c r="C2" s="77"/>
      <c r="D2" s="77"/>
      <c r="E2" s="77"/>
      <c r="F2" s="77"/>
      <c r="G2" s="77"/>
      <c r="H2" s="115" t="s">
        <v>156</v>
      </c>
      <c r="I2" s="77"/>
      <c r="J2" s="77"/>
      <c r="K2" s="77"/>
      <c r="L2" s="77"/>
      <c r="M2" s="77"/>
      <c r="N2" s="115" t="s">
        <v>122</v>
      </c>
      <c r="O2" s="77"/>
      <c r="P2" s="77"/>
      <c r="Q2" s="77"/>
      <c r="R2" s="77"/>
      <c r="S2" s="77"/>
      <c r="T2" s="77"/>
      <c r="U2" s="77"/>
      <c r="V2" s="109"/>
    </row>
    <row r="3" spans="1:23" s="1" customFormat="1" ht="29.25" customHeight="1">
      <c r="A3" s="47" t="s">
        <v>211</v>
      </c>
      <c r="B3" s="256" t="str">
        <f>'2.3'!B3</f>
        <v>Encuesta Permanente de Hogares (EPH) - INDEC</v>
      </c>
      <c r="C3" s="257"/>
      <c r="D3" s="257"/>
      <c r="E3" s="257"/>
      <c r="F3" s="257"/>
      <c r="G3" s="257"/>
      <c r="H3" s="261" t="str">
        <f>B3</f>
        <v>Encuesta Permanente de Hogares (EPH) - INDEC</v>
      </c>
      <c r="I3" s="257"/>
      <c r="J3" s="257"/>
      <c r="K3" s="257"/>
      <c r="L3" s="257"/>
      <c r="M3" s="257"/>
      <c r="N3" s="261" t="str">
        <f>H3</f>
        <v>Encuesta Permanente de Hogares (EPH) - INDEC</v>
      </c>
      <c r="O3" s="257"/>
      <c r="P3" s="257"/>
      <c r="Q3" s="257"/>
      <c r="R3" s="257"/>
      <c r="S3" s="257"/>
      <c r="T3" s="257"/>
      <c r="U3" s="257"/>
      <c r="V3" s="317"/>
    </row>
    <row r="4" spans="1:23" s="1" customFormat="1" ht="3" customHeight="1">
      <c r="A4" s="224"/>
      <c r="B4" s="314"/>
      <c r="C4" s="312"/>
      <c r="D4" s="312"/>
      <c r="E4" s="312"/>
      <c r="F4" s="312"/>
      <c r="G4" s="312"/>
      <c r="H4" s="318"/>
      <c r="I4" s="315"/>
      <c r="J4" s="315"/>
      <c r="K4" s="315"/>
      <c r="L4" s="315"/>
      <c r="M4" s="315"/>
      <c r="N4" s="318"/>
      <c r="O4" s="315"/>
      <c r="P4" s="315"/>
      <c r="Q4" s="315"/>
      <c r="R4" s="315"/>
      <c r="S4" s="315"/>
      <c r="T4" s="315"/>
      <c r="U4" s="315"/>
      <c r="V4" s="316"/>
    </row>
    <row r="5" spans="1:23" s="1" customFormat="1" ht="24" customHeight="1">
      <c r="A5" s="45" t="s">
        <v>213</v>
      </c>
      <c r="B5" s="3401" t="s">
        <v>27</v>
      </c>
      <c r="C5" s="3399"/>
      <c r="D5" s="3398" t="s">
        <v>28</v>
      </c>
      <c r="E5" s="3400"/>
      <c r="F5" s="3399" t="s">
        <v>123</v>
      </c>
      <c r="G5" s="3399"/>
      <c r="H5" s="3398" t="s">
        <v>27</v>
      </c>
      <c r="I5" s="3399"/>
      <c r="J5" s="3398" t="s">
        <v>28</v>
      </c>
      <c r="K5" s="3400"/>
      <c r="L5" s="3399" t="s">
        <v>123</v>
      </c>
      <c r="M5" s="3399"/>
      <c r="N5" s="3398" t="s">
        <v>27</v>
      </c>
      <c r="O5" s="3399"/>
      <c r="P5" s="3399"/>
      <c r="Q5" s="3398" t="s">
        <v>28</v>
      </c>
      <c r="R5" s="3399"/>
      <c r="S5" s="3400"/>
      <c r="T5" s="3399" t="s">
        <v>123</v>
      </c>
      <c r="U5" s="3399"/>
      <c r="V5" s="3402"/>
    </row>
    <row r="6" spans="1:23" s="1" customFormat="1" ht="3" customHeight="1">
      <c r="A6" s="224"/>
      <c r="B6" s="3401"/>
      <c r="C6" s="3399"/>
      <c r="D6" s="3398"/>
      <c r="E6" s="3400"/>
      <c r="F6" s="3399"/>
      <c r="G6" s="3399"/>
      <c r="H6" s="3398"/>
      <c r="I6" s="3399"/>
      <c r="J6" s="3398"/>
      <c r="K6" s="3400"/>
      <c r="L6" s="3399"/>
      <c r="M6" s="3399"/>
      <c r="N6" s="3398"/>
      <c r="O6" s="3399"/>
      <c r="P6" s="3399"/>
      <c r="Q6" s="3398"/>
      <c r="R6" s="3399"/>
      <c r="S6" s="3400"/>
      <c r="T6" s="3399"/>
      <c r="U6" s="3399"/>
      <c r="V6" s="3402"/>
    </row>
    <row r="7" spans="1:23" s="1" customFormat="1" ht="22.5">
      <c r="A7" s="47" t="s">
        <v>210</v>
      </c>
      <c r="B7" s="124" t="s">
        <v>287</v>
      </c>
      <c r="C7" s="313"/>
      <c r="D7" s="3398" t="str">
        <f>B7</f>
        <v>Tasas</v>
      </c>
      <c r="E7" s="3400"/>
      <c r="F7" s="3399" t="str">
        <f>B7</f>
        <v>Tasas</v>
      </c>
      <c r="G7" s="3399"/>
      <c r="H7" s="127" t="str">
        <f>B7</f>
        <v>Tasas</v>
      </c>
      <c r="I7" s="313"/>
      <c r="J7" s="3398" t="str">
        <f>B7</f>
        <v>Tasas</v>
      </c>
      <c r="K7" s="3400"/>
      <c r="L7" s="3399" t="str">
        <f>B7</f>
        <v>Tasas</v>
      </c>
      <c r="M7" s="3399"/>
      <c r="N7" s="3398" t="s">
        <v>1330</v>
      </c>
      <c r="O7" s="3399"/>
      <c r="P7" s="3399"/>
      <c r="Q7" s="3398" t="str">
        <f>N7</f>
        <v>Miles personas</v>
      </c>
      <c r="R7" s="3399"/>
      <c r="S7" s="3400"/>
      <c r="T7" s="3399" t="str">
        <f>N7</f>
        <v>Miles personas</v>
      </c>
      <c r="U7" s="3399"/>
      <c r="V7" s="3402"/>
    </row>
    <row r="8" spans="1:23" s="1" customFormat="1" ht="15.75" customHeight="1">
      <c r="A8" s="225" t="s">
        <v>412</v>
      </c>
      <c r="B8" s="1588" t="s">
        <v>484</v>
      </c>
      <c r="C8" s="396" t="s">
        <v>485</v>
      </c>
      <c r="D8" s="1588" t="s">
        <v>486</v>
      </c>
      <c r="E8" s="396" t="s">
        <v>487</v>
      </c>
      <c r="F8" s="1588" t="s">
        <v>488</v>
      </c>
      <c r="G8" s="396" t="s">
        <v>489</v>
      </c>
      <c r="H8" s="1588" t="s">
        <v>490</v>
      </c>
      <c r="I8" s="396" t="s">
        <v>491</v>
      </c>
      <c r="J8" s="1588" t="s">
        <v>492</v>
      </c>
      <c r="K8" s="396" t="s">
        <v>493</v>
      </c>
      <c r="L8" s="1588" t="s">
        <v>494</v>
      </c>
      <c r="M8" s="396" t="s">
        <v>495</v>
      </c>
      <c r="N8" s="398" t="s">
        <v>496</v>
      </c>
      <c r="O8" s="1290" t="s">
        <v>497</v>
      </c>
      <c r="P8" s="396" t="s">
        <v>498</v>
      </c>
      <c r="Q8" s="398" t="s">
        <v>499</v>
      </c>
      <c r="R8" s="1290" t="s">
        <v>500</v>
      </c>
      <c r="S8" s="396" t="s">
        <v>501</v>
      </c>
      <c r="T8" s="398" t="s">
        <v>502</v>
      </c>
      <c r="U8" s="1290" t="s">
        <v>503</v>
      </c>
      <c r="V8" s="391" t="s">
        <v>504</v>
      </c>
      <c r="W8" s="2928"/>
    </row>
    <row r="9" spans="1:23" s="1" customFormat="1" ht="13.5" thickBot="1">
      <c r="A9" s="194" t="s">
        <v>217</v>
      </c>
      <c r="B9" s="1589" t="s">
        <v>324</v>
      </c>
      <c r="C9" s="527" t="s">
        <v>325</v>
      </c>
      <c r="D9" s="1593" t="s">
        <v>324</v>
      </c>
      <c r="E9" s="333" t="s">
        <v>325</v>
      </c>
      <c r="F9" s="1596" t="s">
        <v>324</v>
      </c>
      <c r="G9" s="333" t="s">
        <v>325</v>
      </c>
      <c r="H9" s="1593" t="s">
        <v>324</v>
      </c>
      <c r="I9" s="333" t="s">
        <v>325</v>
      </c>
      <c r="J9" s="1593" t="s">
        <v>324</v>
      </c>
      <c r="K9" s="333" t="s">
        <v>325</v>
      </c>
      <c r="L9" s="1593" t="s">
        <v>324</v>
      </c>
      <c r="M9" s="333" t="s">
        <v>325</v>
      </c>
      <c r="N9" s="332" t="s">
        <v>43</v>
      </c>
      <c r="O9" s="1599" t="s">
        <v>44</v>
      </c>
      <c r="P9" s="333" t="s">
        <v>45</v>
      </c>
      <c r="Q9" s="332" t="s">
        <v>43</v>
      </c>
      <c r="R9" s="1599" t="s">
        <v>44</v>
      </c>
      <c r="S9" s="333" t="s">
        <v>45</v>
      </c>
      <c r="T9" s="332" t="s">
        <v>43</v>
      </c>
      <c r="U9" s="1599" t="s">
        <v>44</v>
      </c>
      <c r="V9" s="1601" t="s">
        <v>45</v>
      </c>
      <c r="W9" s="2927"/>
    </row>
    <row r="10" spans="1:23" s="1" customFormat="1">
      <c r="A10" s="302" t="s">
        <v>131</v>
      </c>
      <c r="B10" s="1590">
        <v>43.7</v>
      </c>
      <c r="C10" s="1585">
        <v>15.7</v>
      </c>
      <c r="D10" s="1594">
        <v>35.799999999999997</v>
      </c>
      <c r="E10" s="1585">
        <v>14.6</v>
      </c>
      <c r="F10" s="1594">
        <v>35.9</v>
      </c>
      <c r="G10" s="1585">
        <v>11.6</v>
      </c>
      <c r="H10" s="1594">
        <v>30.8</v>
      </c>
      <c r="I10" s="1585">
        <v>10</v>
      </c>
      <c r="J10" s="1594">
        <v>27.3</v>
      </c>
      <c r="K10" s="1585">
        <v>10.6</v>
      </c>
      <c r="L10" s="1594">
        <v>26.2</v>
      </c>
      <c r="M10" s="1585">
        <v>8.3000000000000007</v>
      </c>
      <c r="N10" s="2930">
        <f>AVERAGE('2.3'!G32:G33)</f>
        <v>474.06349999999998</v>
      </c>
      <c r="O10" s="2930">
        <f>N10*(B10/100)</f>
        <v>207.1657495</v>
      </c>
      <c r="P10" s="2930">
        <f t="shared" ref="P10:P22" si="0">N10*(C10/100)</f>
        <v>74.427969500000003</v>
      </c>
      <c r="Q10" s="1600">
        <f>AVERAGE('2.3'!B32:B33)</f>
        <v>1211.8175000000001</v>
      </c>
      <c r="R10" s="1600">
        <f t="shared" ref="R10:R23" si="1">Q10*(D10/100)</f>
        <v>433.83066500000001</v>
      </c>
      <c r="S10" s="1598">
        <f t="shared" ref="S10:S22" si="2">Q10*(E10/100)</f>
        <v>176.925355</v>
      </c>
      <c r="T10" s="1600">
        <f>AVERAGE('2.3'!Q32:Q33)</f>
        <v>23076.709000000003</v>
      </c>
      <c r="U10" s="1600">
        <f t="shared" ref="U10:U23" si="3">T10*(F10/100)</f>
        <v>8284.5385310000001</v>
      </c>
      <c r="V10" s="515">
        <f t="shared" ref="V10:V23" si="4">T10*(G10/100)</f>
        <v>2676.898244</v>
      </c>
    </row>
    <row r="11" spans="1:23" s="1" customFormat="1">
      <c r="A11" s="302" t="s">
        <v>155</v>
      </c>
      <c r="B11" s="1591">
        <v>44.6</v>
      </c>
      <c r="C11" s="375">
        <v>16.100000000000001</v>
      </c>
      <c r="D11" s="1595">
        <v>41.2</v>
      </c>
      <c r="E11" s="375">
        <v>15.7</v>
      </c>
      <c r="F11" s="1595">
        <v>38.299999999999997</v>
      </c>
      <c r="G11" s="375">
        <v>13.6</v>
      </c>
      <c r="H11" s="1595">
        <v>33</v>
      </c>
      <c r="I11" s="375">
        <v>10.6</v>
      </c>
      <c r="J11" s="1595">
        <v>31.8</v>
      </c>
      <c r="K11" s="375">
        <v>10.6</v>
      </c>
      <c r="L11" s="1595">
        <v>28</v>
      </c>
      <c r="M11" s="375">
        <v>9.4</v>
      </c>
      <c r="N11" s="1576">
        <f>AVERAGE('2.3'!G33:G34)</f>
        <v>475.24800000000005</v>
      </c>
      <c r="O11" s="1577">
        <f t="shared" ref="O11:O22" si="5">N11*(B11/100)</f>
        <v>211.96060800000004</v>
      </c>
      <c r="P11" s="508">
        <f t="shared" si="0"/>
        <v>76.514928000000012</v>
      </c>
      <c r="Q11" s="1576">
        <f>AVERAGE('2.3'!B33:B34)</f>
        <v>1213.6065000000001</v>
      </c>
      <c r="R11" s="1577">
        <f t="shared" si="1"/>
        <v>500.00587800000005</v>
      </c>
      <c r="S11" s="508">
        <f t="shared" si="2"/>
        <v>190.53622050000001</v>
      </c>
      <c r="T11" s="1576">
        <f>AVERAGE('2.3'!Q33:Q34)</f>
        <v>23129.6345</v>
      </c>
      <c r="U11" s="1577">
        <f t="shared" si="3"/>
        <v>8858.6500134999987</v>
      </c>
      <c r="V11" s="526">
        <f t="shared" si="4"/>
        <v>3145.6302920000003</v>
      </c>
    </row>
    <row r="12" spans="1:23" s="1" customFormat="1">
      <c r="A12" s="302" t="s">
        <v>139</v>
      </c>
      <c r="B12" s="1592">
        <v>57.8</v>
      </c>
      <c r="C12" s="375">
        <v>29</v>
      </c>
      <c r="D12" s="1595">
        <v>56.2</v>
      </c>
      <c r="E12" s="375">
        <v>28</v>
      </c>
      <c r="F12" s="1595">
        <v>53</v>
      </c>
      <c r="G12" s="375">
        <v>24.8</v>
      </c>
      <c r="H12" s="1595">
        <v>46.4</v>
      </c>
      <c r="I12" s="375">
        <v>20</v>
      </c>
      <c r="J12" s="1595">
        <v>45.7</v>
      </c>
      <c r="K12" s="375">
        <v>21</v>
      </c>
      <c r="L12" s="1595">
        <v>41.4</v>
      </c>
      <c r="M12" s="375">
        <v>18</v>
      </c>
      <c r="N12" s="1576">
        <f>AVERAGE('2.3'!G34:G35)</f>
        <v>476.37</v>
      </c>
      <c r="O12" s="1577">
        <f t="shared" si="5"/>
        <v>275.34186</v>
      </c>
      <c r="P12" s="508">
        <f t="shared" si="0"/>
        <v>138.1473</v>
      </c>
      <c r="Q12" s="1576">
        <f>AVERAGE('2.3'!B34:B35)</f>
        <v>1215.3765000000001</v>
      </c>
      <c r="R12" s="1577">
        <f t="shared" si="1"/>
        <v>683.04159300000015</v>
      </c>
      <c r="S12" s="508">
        <f t="shared" si="2"/>
        <v>340.30542000000003</v>
      </c>
      <c r="T12" s="1576">
        <f>AVERAGE('2.3'!Q34:Q35)</f>
        <v>23181.498500000002</v>
      </c>
      <c r="U12" s="1577">
        <f t="shared" si="3"/>
        <v>12286.194205000002</v>
      </c>
      <c r="V12" s="526">
        <f t="shared" si="4"/>
        <v>5749.0116280000002</v>
      </c>
    </row>
    <row r="13" spans="1:23" s="1" customFormat="1">
      <c r="A13" s="302" t="s">
        <v>140</v>
      </c>
      <c r="B13" s="1592">
        <v>63.7</v>
      </c>
      <c r="C13" s="375">
        <v>33.799999999999997</v>
      </c>
      <c r="D13" s="1595">
        <v>60.9</v>
      </c>
      <c r="E13" s="375">
        <v>29.6</v>
      </c>
      <c r="F13" s="1595">
        <v>57.5</v>
      </c>
      <c r="G13" s="375">
        <v>27.5</v>
      </c>
      <c r="H13" s="1595">
        <v>52.6</v>
      </c>
      <c r="I13" s="375">
        <v>24.4</v>
      </c>
      <c r="J13" s="1595">
        <v>49.4</v>
      </c>
      <c r="K13" s="375">
        <v>21.3</v>
      </c>
      <c r="L13" s="1595">
        <v>45.7</v>
      </c>
      <c r="M13" s="375">
        <v>19.5</v>
      </c>
      <c r="N13" s="1576">
        <f>AVERAGE('2.3'!G35:G36)</f>
        <v>477.47199999999998</v>
      </c>
      <c r="O13" s="1577">
        <f t="shared" si="5"/>
        <v>304.14966399999997</v>
      </c>
      <c r="P13" s="508">
        <f t="shared" si="0"/>
        <v>161.38553599999997</v>
      </c>
      <c r="Q13" s="1576">
        <f>AVERAGE('2.3'!B35:B36)</f>
        <v>1217.1469999999999</v>
      </c>
      <c r="R13" s="1577">
        <f t="shared" si="1"/>
        <v>741.24252299999989</v>
      </c>
      <c r="S13" s="508">
        <f t="shared" si="2"/>
        <v>360.27551200000005</v>
      </c>
      <c r="T13" s="1576">
        <f>AVERAGE('2.3'!Q35:Q36)</f>
        <v>23232.745000000003</v>
      </c>
      <c r="U13" s="1577">
        <f t="shared" si="3"/>
        <v>13358.828375000001</v>
      </c>
      <c r="V13" s="526">
        <f t="shared" si="4"/>
        <v>6389.0048750000014</v>
      </c>
    </row>
    <row r="14" spans="1:23" s="1" customFormat="1">
      <c r="A14" s="297">
        <v>2003.1</v>
      </c>
      <c r="B14" s="1592">
        <v>38.9</v>
      </c>
      <c r="C14" s="375">
        <v>17.5</v>
      </c>
      <c r="D14" s="1595">
        <v>54.6</v>
      </c>
      <c r="E14" s="375">
        <v>29.3</v>
      </c>
      <c r="F14" s="1595">
        <v>54</v>
      </c>
      <c r="G14" s="375">
        <v>27.7</v>
      </c>
      <c r="H14" s="1595">
        <v>38.9</v>
      </c>
      <c r="I14" s="375">
        <v>17.5</v>
      </c>
      <c r="J14" s="1595">
        <v>42.4</v>
      </c>
      <c r="K14" s="375">
        <v>20.7</v>
      </c>
      <c r="L14" s="1595">
        <v>42.7</v>
      </c>
      <c r="M14" s="375">
        <v>20.399999999999999</v>
      </c>
      <c r="N14" s="1576">
        <f>AVERAGE('2.3'!G36:G37)</f>
        <v>478.76650000000001</v>
      </c>
      <c r="O14" s="1577">
        <f>N14*(B14/100)</f>
        <v>186.24016850000001</v>
      </c>
      <c r="P14" s="508">
        <f t="shared" si="0"/>
        <v>83.7841375</v>
      </c>
      <c r="Q14" s="1576">
        <f>AVERAGE('2.3'!B36:B37)</f>
        <v>1219.127</v>
      </c>
      <c r="R14" s="1577">
        <f t="shared" si="1"/>
        <v>665.64334200000008</v>
      </c>
      <c r="S14" s="508">
        <f t="shared" si="2"/>
        <v>357.20421099999999</v>
      </c>
      <c r="T14" s="1576">
        <f>AVERAGE('2.3'!Q36:Q37)</f>
        <v>23289.446</v>
      </c>
      <c r="U14" s="1577">
        <f t="shared" si="3"/>
        <v>12576.30084</v>
      </c>
      <c r="V14" s="526">
        <f t="shared" si="4"/>
        <v>6451.1765419999992</v>
      </c>
    </row>
    <row r="15" spans="1:23" s="1" customFormat="1">
      <c r="A15" s="296">
        <v>2003.2</v>
      </c>
      <c r="B15" s="1592">
        <v>36</v>
      </c>
      <c r="C15" s="375">
        <v>17.100000000000001</v>
      </c>
      <c r="D15" s="1595">
        <v>47.9</v>
      </c>
      <c r="E15" s="375">
        <v>23.9</v>
      </c>
      <c r="F15" s="1595">
        <v>47.8</v>
      </c>
      <c r="G15" s="375">
        <v>20.5</v>
      </c>
      <c r="H15" s="1595">
        <v>25.2</v>
      </c>
      <c r="I15" s="375">
        <v>10.6</v>
      </c>
      <c r="J15" s="1595">
        <v>37.5</v>
      </c>
      <c r="K15" s="375">
        <v>16.5</v>
      </c>
      <c r="L15" s="1595">
        <v>36.5</v>
      </c>
      <c r="M15" s="375">
        <v>15.1</v>
      </c>
      <c r="N15" s="1576">
        <f>AVERAGE('2.3'!G37:G38)</f>
        <v>480.20699999999999</v>
      </c>
      <c r="O15" s="1577">
        <f t="shared" si="5"/>
        <v>172.87451999999999</v>
      </c>
      <c r="P15" s="508">
        <f t="shared" si="0"/>
        <v>82.115397000000002</v>
      </c>
      <c r="Q15" s="1576">
        <f>AVERAGE('2.3'!B37:B38)</f>
        <v>1221.3040000000001</v>
      </c>
      <c r="R15" s="1577">
        <f t="shared" si="1"/>
        <v>585.00461600000006</v>
      </c>
      <c r="S15" s="508">
        <f t="shared" si="2"/>
        <v>291.89165600000001</v>
      </c>
      <c r="T15" s="1576">
        <f>AVERAGE('2.3'!Q37:Q38)</f>
        <v>23350.516</v>
      </c>
      <c r="U15" s="1577">
        <f t="shared" si="3"/>
        <v>11161.546648</v>
      </c>
      <c r="V15" s="526">
        <f t="shared" si="4"/>
        <v>4786.8557799999999</v>
      </c>
    </row>
    <row r="16" spans="1:23" s="1" customFormat="1">
      <c r="A16" s="296">
        <v>2004.1</v>
      </c>
      <c r="B16" s="1592">
        <v>46.1</v>
      </c>
      <c r="C16" s="375">
        <v>19.2</v>
      </c>
      <c r="D16" s="1595">
        <v>42</v>
      </c>
      <c r="E16" s="375">
        <v>16.5</v>
      </c>
      <c r="F16" s="1595">
        <v>44.3</v>
      </c>
      <c r="G16" s="375">
        <v>17</v>
      </c>
      <c r="H16" s="1595">
        <v>34.1</v>
      </c>
      <c r="I16" s="375">
        <v>12.5</v>
      </c>
      <c r="J16" s="1595">
        <v>31</v>
      </c>
      <c r="K16" s="375">
        <v>11.3</v>
      </c>
      <c r="L16" s="1595">
        <v>33.5</v>
      </c>
      <c r="M16" s="375">
        <v>12.1</v>
      </c>
      <c r="N16" s="1576">
        <f>AVERAGE('2.3'!G38:G39)</f>
        <v>481.54200000000003</v>
      </c>
      <c r="O16" s="1577">
        <f t="shared" si="5"/>
        <v>221.99086200000002</v>
      </c>
      <c r="P16" s="508">
        <f t="shared" si="0"/>
        <v>92.456064000000012</v>
      </c>
      <c r="Q16" s="1576">
        <f>AVERAGE('2.3'!B38:B39)</f>
        <v>1223.3699999999999</v>
      </c>
      <c r="R16" s="1577">
        <f t="shared" si="1"/>
        <v>513.81539999999995</v>
      </c>
      <c r="S16" s="508">
        <f t="shared" si="2"/>
        <v>201.85604999999998</v>
      </c>
      <c r="T16" s="1576">
        <f>AVERAGE('2.3'!Q38:Q39)</f>
        <v>23409.2415</v>
      </c>
      <c r="U16" s="1577">
        <f t="shared" si="3"/>
        <v>10370.293984499998</v>
      </c>
      <c r="V16" s="526">
        <f t="shared" si="4"/>
        <v>3979.5710550000003</v>
      </c>
    </row>
    <row r="17" spans="1:22" s="1" customFormat="1">
      <c r="A17" s="296">
        <v>2004.2</v>
      </c>
      <c r="B17" s="1592">
        <v>46.6</v>
      </c>
      <c r="C17" s="375">
        <v>17.100000000000001</v>
      </c>
      <c r="D17" s="1595">
        <v>36.5</v>
      </c>
      <c r="E17" s="375">
        <v>14.2</v>
      </c>
      <c r="F17" s="1595">
        <v>40.200000000000003</v>
      </c>
      <c r="G17" s="375">
        <v>15</v>
      </c>
      <c r="H17" s="1595">
        <v>32.700000000000003</v>
      </c>
      <c r="I17" s="375">
        <v>10.5</v>
      </c>
      <c r="J17" s="1595">
        <v>27.5</v>
      </c>
      <c r="K17" s="375">
        <v>9.6</v>
      </c>
      <c r="L17" s="1595">
        <v>29.8</v>
      </c>
      <c r="M17" s="375">
        <v>10.7</v>
      </c>
      <c r="N17" s="1576">
        <f>AVERAGE('2.3'!G39:G40)</f>
        <v>482.8245</v>
      </c>
      <c r="O17" s="1577">
        <f t="shared" si="5"/>
        <v>224.996217</v>
      </c>
      <c r="P17" s="508">
        <f t="shared" si="0"/>
        <v>82.5629895</v>
      </c>
      <c r="Q17" s="1576">
        <f>AVERAGE('2.3'!B39:B40)</f>
        <v>1225.3800000000001</v>
      </c>
      <c r="R17" s="1577">
        <f t="shared" si="1"/>
        <v>447.26370000000003</v>
      </c>
      <c r="S17" s="508">
        <f t="shared" si="2"/>
        <v>174.00396000000001</v>
      </c>
      <c r="T17" s="1576">
        <f>AVERAGE('2.3'!Q39:Q40)</f>
        <v>23466.754000000001</v>
      </c>
      <c r="U17" s="1577">
        <f t="shared" si="3"/>
        <v>9433.6351080000004</v>
      </c>
      <c r="V17" s="526">
        <f t="shared" si="4"/>
        <v>3520.0131000000001</v>
      </c>
    </row>
    <row r="18" spans="1:22" s="1" customFormat="1">
      <c r="A18" s="296">
        <v>2005.1</v>
      </c>
      <c r="B18" s="1592">
        <v>41</v>
      </c>
      <c r="C18" s="375">
        <v>17.3</v>
      </c>
      <c r="D18" s="1595">
        <v>32.9</v>
      </c>
      <c r="E18" s="375">
        <v>12.3</v>
      </c>
      <c r="F18" s="1595">
        <v>38.9</v>
      </c>
      <c r="G18" s="375">
        <v>13.8</v>
      </c>
      <c r="H18" s="1595">
        <v>28</v>
      </c>
      <c r="I18" s="375">
        <v>10.6</v>
      </c>
      <c r="J18" s="1595">
        <v>25.6</v>
      </c>
      <c r="K18" s="375">
        <v>9.5</v>
      </c>
      <c r="L18" s="1595">
        <v>28.8</v>
      </c>
      <c r="M18" s="375">
        <v>9.6999999999999993</v>
      </c>
      <c r="N18" s="1576">
        <f>AVERAGE('2.3'!G40:G41)</f>
        <v>484.09199999999998</v>
      </c>
      <c r="O18" s="1577">
        <f t="shared" si="5"/>
        <v>198.47771999999998</v>
      </c>
      <c r="P18" s="508">
        <f t="shared" si="0"/>
        <v>83.747916000000004</v>
      </c>
      <c r="Q18" s="1576">
        <f>AVERAGE('2.3'!B40:B41)</f>
        <v>1227.3519999999999</v>
      </c>
      <c r="R18" s="1577">
        <f t="shared" si="1"/>
        <v>403.79880799999989</v>
      </c>
      <c r="S18" s="508">
        <f t="shared" si="2"/>
        <v>150.96429599999999</v>
      </c>
      <c r="T18" s="1576">
        <f>AVERAGE('2.3'!Q40:Q41)</f>
        <v>23523.555999999997</v>
      </c>
      <c r="U18" s="1577">
        <f t="shared" si="3"/>
        <v>9150.6632839999984</v>
      </c>
      <c r="V18" s="526">
        <f t="shared" si="4"/>
        <v>3246.250728</v>
      </c>
    </row>
    <row r="19" spans="1:22" s="1" customFormat="1">
      <c r="A19" s="296">
        <v>2005.2</v>
      </c>
      <c r="B19" s="1592">
        <v>36.9</v>
      </c>
      <c r="C19" s="375">
        <v>18.100000000000001</v>
      </c>
      <c r="D19" s="1595">
        <v>28.5</v>
      </c>
      <c r="E19" s="375">
        <v>11.9</v>
      </c>
      <c r="F19" s="1595">
        <v>33.799999999999997</v>
      </c>
      <c r="G19" s="375">
        <v>12.2</v>
      </c>
      <c r="H19" s="1595">
        <v>25.9</v>
      </c>
      <c r="I19" s="375">
        <v>11.4</v>
      </c>
      <c r="J19" s="1595">
        <v>21.4</v>
      </c>
      <c r="K19" s="375">
        <v>8.8000000000000007</v>
      </c>
      <c r="L19" s="1595">
        <v>24.7</v>
      </c>
      <c r="M19" s="375">
        <v>8.4</v>
      </c>
      <c r="N19" s="1576">
        <f>AVERAGE('2.3'!G41:G42)</f>
        <v>485.33949999999999</v>
      </c>
      <c r="O19" s="1577">
        <f t="shared" si="5"/>
        <v>179.09027549999999</v>
      </c>
      <c r="P19" s="508">
        <f t="shared" si="0"/>
        <v>87.846449500000006</v>
      </c>
      <c r="Q19" s="1576">
        <f>AVERAGE('2.3'!B41:B42)</f>
        <v>1229.2914999999998</v>
      </c>
      <c r="R19" s="1577">
        <f t="shared" si="1"/>
        <v>350.34807749999993</v>
      </c>
      <c r="S19" s="508">
        <f t="shared" si="2"/>
        <v>146.28568849999999</v>
      </c>
      <c r="T19" s="1576">
        <f>AVERAGE('2.3'!Q41:Q42)</f>
        <v>23763.7215</v>
      </c>
      <c r="U19" s="1577">
        <f t="shared" si="3"/>
        <v>8032.1378669999995</v>
      </c>
      <c r="V19" s="526">
        <f t="shared" si="4"/>
        <v>2899.174023</v>
      </c>
    </row>
    <row r="20" spans="1:22" s="1" customFormat="1">
      <c r="A20" s="296">
        <v>2006.1</v>
      </c>
      <c r="B20" s="1592">
        <v>33.4</v>
      </c>
      <c r="C20" s="375">
        <v>14.8</v>
      </c>
      <c r="D20" s="1595">
        <v>27.4</v>
      </c>
      <c r="E20" s="375">
        <v>10.199999999999999</v>
      </c>
      <c r="F20" s="1595">
        <v>31.4</v>
      </c>
      <c r="G20" s="375">
        <v>11.2</v>
      </c>
      <c r="H20" s="1595">
        <v>23.9</v>
      </c>
      <c r="I20" s="375">
        <v>9.1999999999999993</v>
      </c>
      <c r="J20" s="1595">
        <v>20.399999999999999</v>
      </c>
      <c r="K20" s="375">
        <v>7.7</v>
      </c>
      <c r="L20" s="1595">
        <v>23.1</v>
      </c>
      <c r="M20" s="375">
        <v>8</v>
      </c>
      <c r="N20" s="1576">
        <f>AVERAGE('2.3'!G42:G43)</f>
        <v>486.63749999999999</v>
      </c>
      <c r="O20" s="1577">
        <f t="shared" si="5"/>
        <v>162.53692499999997</v>
      </c>
      <c r="P20" s="508">
        <f t="shared" si="0"/>
        <v>72.022350000000003</v>
      </c>
      <c r="Q20" s="1576">
        <f>AVERAGE('2.3'!B42:B43)</f>
        <v>1231.3045</v>
      </c>
      <c r="R20" s="1577">
        <f t="shared" si="1"/>
        <v>337.37743299999994</v>
      </c>
      <c r="S20" s="508">
        <f t="shared" si="2"/>
        <v>125.59305899999998</v>
      </c>
      <c r="T20" s="1576">
        <f>AVERAGE('2.3'!Q42:Q43)</f>
        <v>24007.645499999999</v>
      </c>
      <c r="U20" s="1577">
        <f t="shared" si="3"/>
        <v>7538.4006869999994</v>
      </c>
      <c r="V20" s="526">
        <f t="shared" si="4"/>
        <v>2688.8562959999995</v>
      </c>
    </row>
    <row r="21" spans="1:22" s="1" customFormat="1">
      <c r="A21" s="296">
        <v>2006.2</v>
      </c>
      <c r="B21" s="1592">
        <v>28.6</v>
      </c>
      <c r="C21" s="375">
        <v>11.5</v>
      </c>
      <c r="D21" s="1595">
        <v>22.9</v>
      </c>
      <c r="E21" s="375">
        <v>7.5</v>
      </c>
      <c r="F21" s="1595">
        <v>26.9</v>
      </c>
      <c r="G21" s="375">
        <v>8.6999999999999993</v>
      </c>
      <c r="H21" s="1595">
        <v>19.600000000000001</v>
      </c>
      <c r="I21" s="375">
        <v>7.3</v>
      </c>
      <c r="J21" s="1595">
        <v>16.600000000000001</v>
      </c>
      <c r="K21" s="375">
        <v>6.2</v>
      </c>
      <c r="L21" s="1595">
        <v>19.2</v>
      </c>
      <c r="M21" s="375">
        <v>6.3</v>
      </c>
      <c r="N21" s="1576">
        <f>AVERAGE('2.3'!G43:G44)</f>
        <v>487.95799999999997</v>
      </c>
      <c r="O21" s="1577">
        <f>N21*(B21/100)</f>
        <v>139.55598800000001</v>
      </c>
      <c r="P21" s="508">
        <f t="shared" si="0"/>
        <v>56.115169999999999</v>
      </c>
      <c r="Q21" s="1576">
        <f>AVERAGE('2.3'!B43:B44)</f>
        <v>1233.3145</v>
      </c>
      <c r="R21" s="1577">
        <f t="shared" si="1"/>
        <v>282.42902049999998</v>
      </c>
      <c r="S21" s="508">
        <f t="shared" si="2"/>
        <v>92.498587499999999</v>
      </c>
      <c r="T21" s="1576">
        <f>AVERAGE('2.3'!Q43:Q44)</f>
        <v>24068.9565</v>
      </c>
      <c r="U21" s="1577">
        <f t="shared" si="3"/>
        <v>6474.5492984999992</v>
      </c>
      <c r="V21" s="526">
        <f t="shared" si="4"/>
        <v>2093.9992155</v>
      </c>
    </row>
    <row r="22" spans="1:22" s="1" customFormat="1">
      <c r="A22" s="296">
        <v>2007.1</v>
      </c>
      <c r="B22" s="1592">
        <v>23.3</v>
      </c>
      <c r="C22" s="375">
        <v>8.5</v>
      </c>
      <c r="D22" s="1595">
        <v>18.3</v>
      </c>
      <c r="E22" s="375">
        <v>5.5</v>
      </c>
      <c r="F22" s="1595">
        <v>23.4</v>
      </c>
      <c r="G22" s="375">
        <v>8.1999999999999993</v>
      </c>
      <c r="H22" s="1595">
        <v>16.600000000000001</v>
      </c>
      <c r="I22" s="375">
        <v>5.7</v>
      </c>
      <c r="J22" s="1595">
        <v>12</v>
      </c>
      <c r="K22" s="375">
        <v>3.6</v>
      </c>
      <c r="L22" s="1595">
        <v>16.3</v>
      </c>
      <c r="M22" s="375">
        <v>5.7</v>
      </c>
      <c r="N22" s="1576">
        <f>AVERAGE('2.3'!G44:G45)</f>
        <v>489.24400000000003</v>
      </c>
      <c r="O22" s="1577">
        <f t="shared" si="5"/>
        <v>113.99385200000002</v>
      </c>
      <c r="P22" s="508">
        <f t="shared" si="0"/>
        <v>41.585740000000008</v>
      </c>
      <c r="Q22" s="1576">
        <f>AVERAGE('2.3'!B44:B45)</f>
        <v>1235.2660000000001</v>
      </c>
      <c r="R22" s="1577">
        <f t="shared" si="1"/>
        <v>226.05367800000002</v>
      </c>
      <c r="S22" s="508">
        <f t="shared" si="2"/>
        <v>67.939630000000008</v>
      </c>
      <c r="T22" s="1576">
        <f>AVERAGE('2.3'!Q44:Q45)</f>
        <v>24127.409</v>
      </c>
      <c r="U22" s="1577">
        <f t="shared" si="3"/>
        <v>5645.8137059999999</v>
      </c>
      <c r="V22" s="526">
        <f t="shared" si="4"/>
        <v>1978.4475379999997</v>
      </c>
    </row>
    <row r="23" spans="1:22" s="1" customFormat="1">
      <c r="A23" s="296">
        <v>2007.2</v>
      </c>
      <c r="B23" s="1592">
        <v>18</v>
      </c>
      <c r="C23" s="375">
        <v>5.9</v>
      </c>
      <c r="D23" s="1595">
        <v>13.6</v>
      </c>
      <c r="E23" s="375">
        <v>4.9000000000000004</v>
      </c>
      <c r="F23" s="1595">
        <v>20.6</v>
      </c>
      <c r="G23" s="375">
        <v>5.9</v>
      </c>
      <c r="H23" s="1595">
        <v>13.2</v>
      </c>
      <c r="I23" s="375">
        <v>4.7</v>
      </c>
      <c r="J23" s="1595">
        <v>9.6999999999999993</v>
      </c>
      <c r="K23" s="375">
        <v>3.5</v>
      </c>
      <c r="L23" s="1595">
        <v>14</v>
      </c>
      <c r="M23" s="375">
        <v>4.4000000000000004</v>
      </c>
      <c r="N23" s="1576">
        <f>AVERAGE('2.3'!G46:G47)</f>
        <v>491.71899999999999</v>
      </c>
      <c r="O23" s="1577">
        <f>N23*(B23/100)</f>
        <v>88.509419999999992</v>
      </c>
      <c r="P23" s="508">
        <f>N23*(C23/100)</f>
        <v>29.011421000000002</v>
      </c>
      <c r="Q23" s="1576">
        <f>AVERAGE('2.3'!B46:B47)</f>
        <v>1239.1979999999999</v>
      </c>
      <c r="R23" s="1577">
        <f t="shared" si="1"/>
        <v>168.53092799999999</v>
      </c>
      <c r="S23" s="508">
        <f>Q23*(E23/100)</f>
        <v>60.720701999999996</v>
      </c>
      <c r="T23" s="1576">
        <f>AVERAGE('2.3'!Q46:Q47)</f>
        <v>24245.093499999999</v>
      </c>
      <c r="U23" s="1577">
        <f t="shared" si="3"/>
        <v>4994.4892610000006</v>
      </c>
      <c r="V23" s="526">
        <f t="shared" si="4"/>
        <v>1430.4605165</v>
      </c>
    </row>
    <row r="24" spans="1:22" s="1" customFormat="1">
      <c r="A24" s="296">
        <f t="shared" ref="A24:A69" si="6">A22+1</f>
        <v>2008.1</v>
      </c>
      <c r="B24" s="2924"/>
      <c r="C24" s="2925"/>
      <c r="D24" s="2926"/>
      <c r="E24" s="2925"/>
      <c r="F24" s="2926"/>
      <c r="G24" s="2925"/>
      <c r="H24" s="2924"/>
      <c r="I24" s="2925"/>
      <c r="J24" s="2926"/>
      <c r="K24" s="2925"/>
      <c r="L24" s="2926"/>
      <c r="M24" s="2925"/>
      <c r="N24" s="1576">
        <f>AVERAGE('2.3'!G48:G49)</f>
        <v>494.42650000000003</v>
      </c>
      <c r="O24" s="3089"/>
      <c r="P24" s="2925"/>
      <c r="Q24" s="1576">
        <f>AVERAGE('2.3'!B48:B49)</f>
        <v>1243.4014999999999</v>
      </c>
      <c r="R24" s="3089"/>
      <c r="S24" s="2925"/>
      <c r="T24" s="1576">
        <f>AVERAGE('2.3'!Q47:Q48)</f>
        <v>24304.612000000001</v>
      </c>
      <c r="U24" s="2924"/>
      <c r="V24" s="3074"/>
    </row>
    <row r="25" spans="1:22" s="1" customFormat="1">
      <c r="A25" s="296">
        <f t="shared" si="6"/>
        <v>2008.2</v>
      </c>
      <c r="B25" s="2924"/>
      <c r="C25" s="2925"/>
      <c r="D25" s="2926"/>
      <c r="E25" s="2925"/>
      <c r="F25" s="2926"/>
      <c r="G25" s="2925"/>
      <c r="H25" s="2924"/>
      <c r="I25" s="2925"/>
      <c r="J25" s="2926"/>
      <c r="K25" s="2925"/>
      <c r="L25" s="2926"/>
      <c r="M25" s="2925"/>
      <c r="N25" s="1576">
        <f>AVERAGE('2.3'!G50:G51)</f>
        <v>497.029</v>
      </c>
      <c r="O25" s="3089"/>
      <c r="P25" s="2925"/>
      <c r="Q25" s="1576">
        <f>AVERAGE('2.3'!B50:B51)</f>
        <v>1247.3924999999999</v>
      </c>
      <c r="R25" s="3089"/>
      <c r="S25" s="2925"/>
      <c r="T25" s="1576">
        <f>AVERAGE('2.3'!Q48:Q49)</f>
        <v>24363.200499999999</v>
      </c>
      <c r="U25" s="2924"/>
      <c r="V25" s="3074"/>
    </row>
    <row r="26" spans="1:22" s="1" customFormat="1">
      <c r="A26" s="296">
        <f t="shared" si="6"/>
        <v>2009.1</v>
      </c>
      <c r="B26" s="2924"/>
      <c r="C26" s="2925"/>
      <c r="D26" s="2926"/>
      <c r="E26" s="2925"/>
      <c r="F26" s="2926"/>
      <c r="G26" s="2925"/>
      <c r="H26" s="2924"/>
      <c r="I26" s="2925"/>
      <c r="J26" s="2926"/>
      <c r="K26" s="2925"/>
      <c r="L26" s="2926"/>
      <c r="M26" s="2925"/>
      <c r="N26" s="1576">
        <f>AVERAGE('2.3'!G52:G53)</f>
        <v>499.63749999999999</v>
      </c>
      <c r="O26" s="3089"/>
      <c r="P26" s="2925"/>
      <c r="Q26" s="1576">
        <f>AVERAGE('2.3'!B52:B53)</f>
        <v>1251.4475</v>
      </c>
      <c r="R26" s="3089"/>
      <c r="S26" s="2925"/>
      <c r="T26" s="1576">
        <f>AVERAGE('2.3'!Q49:Q50)</f>
        <v>24421.652000000002</v>
      </c>
      <c r="U26" s="2924"/>
      <c r="V26" s="3074"/>
    </row>
    <row r="27" spans="1:22" s="1" customFormat="1">
      <c r="A27" s="296">
        <f t="shared" si="6"/>
        <v>2009.2</v>
      </c>
      <c r="B27" s="2924"/>
      <c r="C27" s="2925"/>
      <c r="D27" s="2926"/>
      <c r="E27" s="2925"/>
      <c r="F27" s="2926"/>
      <c r="G27" s="2925"/>
      <c r="H27" s="2924"/>
      <c r="I27" s="2925"/>
      <c r="J27" s="2926"/>
      <c r="K27" s="2925"/>
      <c r="L27" s="2926"/>
      <c r="M27" s="2925"/>
      <c r="N27" s="1576">
        <f>AVERAGE('2.3'!G54:G55)</f>
        <v>502.24299999999999</v>
      </c>
      <c r="O27" s="3089"/>
      <c r="P27" s="2925"/>
      <c r="Q27" s="1576">
        <f>AVERAGE('2.3'!B54:B55)</f>
        <v>1255.4214999999999</v>
      </c>
      <c r="R27" s="3089"/>
      <c r="S27" s="2925"/>
      <c r="T27" s="1576">
        <f>AVERAGE('2.3'!Q50:Q51)</f>
        <v>24481.1145</v>
      </c>
      <c r="U27" s="2924"/>
      <c r="V27" s="3074"/>
    </row>
    <row r="28" spans="1:22" s="1" customFormat="1">
      <c r="A28" s="296">
        <f t="shared" si="6"/>
        <v>2010.1</v>
      </c>
      <c r="B28" s="2924"/>
      <c r="C28" s="2925"/>
      <c r="D28" s="2926"/>
      <c r="E28" s="2925"/>
      <c r="F28" s="2926"/>
      <c r="G28" s="2925"/>
      <c r="H28" s="2924"/>
      <c r="I28" s="2925"/>
      <c r="J28" s="2926"/>
      <c r="K28" s="2925"/>
      <c r="L28" s="2926"/>
      <c r="M28" s="2925"/>
      <c r="N28" s="1576">
        <f>AVERAGE('2.3'!G56:G57)</f>
        <v>504.77300000000002</v>
      </c>
      <c r="O28" s="3089"/>
      <c r="P28" s="2925"/>
      <c r="Q28" s="1576">
        <f>AVERAGE('2.3'!B56:B57)</f>
        <v>1259.4065000000001</v>
      </c>
      <c r="R28" s="3089"/>
      <c r="S28" s="2925"/>
      <c r="T28" s="1576">
        <f>AVERAGE('2.3'!Q51:Q52)</f>
        <v>24540.409500000002</v>
      </c>
      <c r="U28" s="2924"/>
      <c r="V28" s="3074"/>
    </row>
    <row r="29" spans="1:22" s="1" customFormat="1">
      <c r="A29" s="296">
        <f t="shared" si="6"/>
        <v>2010.2</v>
      </c>
      <c r="B29" s="2924"/>
      <c r="C29" s="2925"/>
      <c r="D29" s="2926"/>
      <c r="E29" s="2925"/>
      <c r="F29" s="2926"/>
      <c r="G29" s="2925"/>
      <c r="H29" s="2924"/>
      <c r="I29" s="2925"/>
      <c r="J29" s="2926"/>
      <c r="K29" s="2925"/>
      <c r="L29" s="2926"/>
      <c r="M29" s="2925"/>
      <c r="N29" s="1576">
        <f>AVERAGE('2.3'!G58:G59)</f>
        <v>507.28250000000003</v>
      </c>
      <c r="O29" s="3089"/>
      <c r="P29" s="2925"/>
      <c r="Q29" s="1576">
        <f>AVERAGE('2.3'!B58:B59)</f>
        <v>1263.3330000000001</v>
      </c>
      <c r="R29" s="3089"/>
      <c r="S29" s="2925"/>
      <c r="T29" s="1576">
        <f>AVERAGE('2.3'!Q52:Q53)</f>
        <v>24598.8465</v>
      </c>
      <c r="U29" s="2924"/>
      <c r="V29" s="3074"/>
    </row>
    <row r="30" spans="1:22" s="1" customFormat="1">
      <c r="A30" s="296">
        <f t="shared" si="6"/>
        <v>2011.1</v>
      </c>
      <c r="B30" s="2924"/>
      <c r="C30" s="2925"/>
      <c r="D30" s="2926"/>
      <c r="E30" s="2925"/>
      <c r="F30" s="2926"/>
      <c r="G30" s="2925"/>
      <c r="H30" s="2924"/>
      <c r="I30" s="2925"/>
      <c r="J30" s="2926"/>
      <c r="K30" s="2925"/>
      <c r="L30" s="2926"/>
      <c r="M30" s="2925"/>
      <c r="N30" s="1576">
        <f>AVERAGE('2.3'!G60:G61)</f>
        <v>509.85550000000001</v>
      </c>
      <c r="O30" s="3089"/>
      <c r="P30" s="2925"/>
      <c r="Q30" s="1576">
        <f>AVERAGE('2.3'!B60:B61)</f>
        <v>1267.337</v>
      </c>
      <c r="R30" s="3089"/>
      <c r="S30" s="2925"/>
      <c r="T30" s="1576">
        <f>AVERAGE('2.3'!Q53:Q54)</f>
        <v>24657.162499999999</v>
      </c>
      <c r="U30" s="2924"/>
      <c r="V30" s="3074"/>
    </row>
    <row r="31" spans="1:22" s="1" customFormat="1">
      <c r="A31" s="296">
        <f t="shared" si="6"/>
        <v>2011.2</v>
      </c>
      <c r="B31" s="2924"/>
      <c r="C31" s="2925"/>
      <c r="D31" s="2926"/>
      <c r="E31" s="2925"/>
      <c r="F31" s="2926"/>
      <c r="G31" s="2925"/>
      <c r="H31" s="2924"/>
      <c r="I31" s="2925"/>
      <c r="J31" s="2926"/>
      <c r="K31" s="2925"/>
      <c r="L31" s="2926"/>
      <c r="M31" s="2925"/>
      <c r="N31" s="1576">
        <f>AVERAGE('2.3'!G62:G63)</f>
        <v>512.38</v>
      </c>
      <c r="O31" s="3089"/>
      <c r="P31" s="2925"/>
      <c r="Q31" s="1576">
        <f>AVERAGE('2.3'!B62:B63)</f>
        <v>1271.2570000000001</v>
      </c>
      <c r="R31" s="3089"/>
      <c r="S31" s="2925"/>
      <c r="T31" s="1576">
        <f>AVERAGE('2.3'!Q54:Q55)</f>
        <v>24715.947500000002</v>
      </c>
      <c r="U31" s="2924"/>
      <c r="V31" s="3074"/>
    </row>
    <row r="32" spans="1:22" s="1" customFormat="1">
      <c r="A32" s="296">
        <f t="shared" si="6"/>
        <v>2012.1</v>
      </c>
      <c r="B32" s="2924"/>
      <c r="C32" s="2925"/>
      <c r="D32" s="2926"/>
      <c r="E32" s="2925"/>
      <c r="F32" s="2926"/>
      <c r="G32" s="2925"/>
      <c r="H32" s="2924"/>
      <c r="I32" s="2925"/>
      <c r="J32" s="2926"/>
      <c r="K32" s="2925"/>
      <c r="L32" s="2926"/>
      <c r="M32" s="2925"/>
      <c r="N32" s="1576">
        <f>AVERAGE('2.3'!G64:G65)</f>
        <v>514.93949999999995</v>
      </c>
      <c r="O32" s="3089"/>
      <c r="P32" s="2925"/>
      <c r="Q32" s="1576">
        <f>AVERAGE('2.3'!B64:B65)</f>
        <v>1275.1509999999998</v>
      </c>
      <c r="R32" s="3089"/>
      <c r="S32" s="2925"/>
      <c r="T32" s="1576">
        <f>AVERAGE('2.3'!Q55:Q56)</f>
        <v>24774.548500000001</v>
      </c>
      <c r="U32" s="2924"/>
      <c r="V32" s="3074"/>
    </row>
    <row r="33" spans="1:22" s="1" customFormat="1">
      <c r="A33" s="296">
        <f t="shared" si="6"/>
        <v>2012.2</v>
      </c>
      <c r="B33" s="2924"/>
      <c r="C33" s="2925"/>
      <c r="D33" s="2926"/>
      <c r="E33" s="2925"/>
      <c r="F33" s="2926"/>
      <c r="G33" s="2925"/>
      <c r="H33" s="2924"/>
      <c r="I33" s="2925"/>
      <c r="J33" s="2926"/>
      <c r="K33" s="2925"/>
      <c r="L33" s="2926"/>
      <c r="M33" s="2925"/>
      <c r="N33" s="1576">
        <f>AVERAGE('2.3'!G66:G67)</f>
        <v>517.47550000000001</v>
      </c>
      <c r="O33" s="3089"/>
      <c r="P33" s="2925"/>
      <c r="Q33" s="1576">
        <f>AVERAGE('2.3'!B66:B67)</f>
        <v>1279.0805</v>
      </c>
      <c r="R33" s="3089"/>
      <c r="S33" s="2925"/>
      <c r="T33" s="1576">
        <f>AVERAGE('2.3'!Q56:Q57)</f>
        <v>24832.016499999998</v>
      </c>
      <c r="U33" s="2924"/>
      <c r="V33" s="3074"/>
    </row>
    <row r="34" spans="1:22" s="1" customFormat="1">
      <c r="A34" s="296">
        <f t="shared" si="6"/>
        <v>2013.1</v>
      </c>
      <c r="B34" s="2924"/>
      <c r="C34" s="2925"/>
      <c r="D34" s="2926"/>
      <c r="E34" s="2925"/>
      <c r="F34" s="2926"/>
      <c r="G34" s="2925"/>
      <c r="H34" s="2924"/>
      <c r="I34" s="2925"/>
      <c r="J34" s="2926"/>
      <c r="K34" s="2925"/>
      <c r="L34" s="2926"/>
      <c r="M34" s="2925"/>
      <c r="N34" s="1576">
        <f>AVERAGE('2.3'!G68:G69)</f>
        <v>519.9855</v>
      </c>
      <c r="O34" s="3089"/>
      <c r="P34" s="2925"/>
      <c r="Q34" s="1576">
        <f>AVERAGE('2.3'!B68:B69)</f>
        <v>1282.9915000000001</v>
      </c>
      <c r="R34" s="3089"/>
      <c r="S34" s="2925"/>
      <c r="T34" s="1576">
        <f>AVERAGE('2.3'!Q57:Q58)</f>
        <v>24889.680999999997</v>
      </c>
      <c r="U34" s="2924"/>
      <c r="V34" s="3074"/>
    </row>
    <row r="35" spans="1:22" s="1" customFormat="1">
      <c r="A35" s="296">
        <f t="shared" si="6"/>
        <v>2013.2</v>
      </c>
      <c r="B35" s="2924"/>
      <c r="C35" s="2925"/>
      <c r="D35" s="2926"/>
      <c r="E35" s="2925"/>
      <c r="F35" s="2926"/>
      <c r="G35" s="2925"/>
      <c r="H35" s="2924"/>
      <c r="I35" s="2925"/>
      <c r="J35" s="2926"/>
      <c r="K35" s="2925"/>
      <c r="L35" s="2926"/>
      <c r="M35" s="2925"/>
      <c r="N35" s="1576">
        <f>AVERAGE('2.3'!G70:G71)</f>
        <v>521.79300000000001</v>
      </c>
      <c r="O35" s="3089"/>
      <c r="P35" s="2925"/>
      <c r="Q35" s="1576">
        <f>AVERAGE('2.3'!B70:B71)</f>
        <v>1314.2359999999999</v>
      </c>
      <c r="R35" s="3089"/>
      <c r="S35" s="2925"/>
      <c r="T35" s="1576">
        <f>AVERAGE('2.3'!Q58:Q59)</f>
        <v>24948.127</v>
      </c>
      <c r="U35" s="2924"/>
      <c r="V35" s="3074"/>
    </row>
    <row r="36" spans="1:22" s="1" customFormat="1">
      <c r="A36" s="296">
        <f t="shared" si="6"/>
        <v>2014.1</v>
      </c>
      <c r="B36" s="2924"/>
      <c r="C36" s="2925"/>
      <c r="D36" s="2926"/>
      <c r="E36" s="2925"/>
      <c r="F36" s="2926"/>
      <c r="G36" s="2925"/>
      <c r="H36" s="2924"/>
      <c r="I36" s="2925"/>
      <c r="J36" s="2926"/>
      <c r="K36" s="2925"/>
      <c r="L36" s="2926"/>
      <c r="M36" s="2925"/>
      <c r="N36" s="1576">
        <f>AVERAGE('2.3'!G72:G73)</f>
        <v>523.41000000000008</v>
      </c>
      <c r="O36" s="3089"/>
      <c r="P36" s="2925"/>
      <c r="Q36" s="1576">
        <f>AVERAGE('2.3'!B72:B73)</f>
        <v>1390.133</v>
      </c>
      <c r="R36" s="3089"/>
      <c r="S36" s="2925"/>
      <c r="T36" s="1576">
        <f>AVERAGE('2.3'!Q59:Q60)</f>
        <v>25006.1855</v>
      </c>
      <c r="U36" s="2924"/>
      <c r="V36" s="3074"/>
    </row>
    <row r="37" spans="1:22" s="1" customFormat="1">
      <c r="A37" s="296">
        <f t="shared" si="6"/>
        <v>2014.2</v>
      </c>
      <c r="B37" s="2924"/>
      <c r="C37" s="2925"/>
      <c r="D37" s="2926"/>
      <c r="E37" s="2925"/>
      <c r="F37" s="2926"/>
      <c r="G37" s="2925"/>
      <c r="H37" s="2924"/>
      <c r="I37" s="2925"/>
      <c r="J37" s="2926"/>
      <c r="K37" s="2925"/>
      <c r="L37" s="2926"/>
      <c r="M37" s="2925"/>
      <c r="N37" s="1576">
        <f>AVERAGE('2.3'!G74:G75)</f>
        <v>525.7405</v>
      </c>
      <c r="O37" s="3089"/>
      <c r="P37" s="2925"/>
      <c r="Q37" s="1576">
        <f>AVERAGE('2.3'!B74:B75)</f>
        <v>1413.3530000000001</v>
      </c>
      <c r="R37" s="3089"/>
      <c r="S37" s="2925"/>
      <c r="T37" s="1576">
        <f>AVERAGE('2.3'!Q60:Q61)</f>
        <v>25063.517</v>
      </c>
      <c r="U37" s="2924"/>
      <c r="V37" s="3074"/>
    </row>
    <row r="38" spans="1:22" s="1" customFormat="1">
      <c r="A38" s="296">
        <f t="shared" si="6"/>
        <v>2015.1</v>
      </c>
      <c r="B38" s="2924"/>
      <c r="C38" s="2925"/>
      <c r="D38" s="2926"/>
      <c r="E38" s="2925"/>
      <c r="F38" s="2926"/>
      <c r="G38" s="2925"/>
      <c r="H38" s="2924"/>
      <c r="I38" s="2925"/>
      <c r="J38" s="2926"/>
      <c r="K38" s="2925"/>
      <c r="L38" s="2926"/>
      <c r="M38" s="2925"/>
      <c r="N38" s="1576">
        <f>AVERAGE('2.3'!G76:G77)</f>
        <v>528.14449999999999</v>
      </c>
      <c r="O38" s="3089"/>
      <c r="P38" s="2925"/>
      <c r="Q38" s="1576">
        <f>AVERAGE('2.3'!B76:B77)</f>
        <v>1422.0830000000001</v>
      </c>
      <c r="R38" s="3089"/>
      <c r="S38" s="2925"/>
      <c r="T38" s="1576">
        <f>AVERAGE('2.3'!Q61:Q62)</f>
        <v>25120.8115</v>
      </c>
      <c r="U38" s="2924"/>
      <c r="V38" s="3074"/>
    </row>
    <row r="39" spans="1:22" s="1" customFormat="1">
      <c r="A39" s="296">
        <f t="shared" si="6"/>
        <v>2015.2</v>
      </c>
      <c r="B39" s="2924"/>
      <c r="C39" s="2925"/>
      <c r="D39" s="2926"/>
      <c r="E39" s="2925"/>
      <c r="F39" s="2926"/>
      <c r="G39" s="2925"/>
      <c r="H39" s="2924"/>
      <c r="I39" s="2925"/>
      <c r="J39" s="2926"/>
      <c r="K39" s="2925"/>
      <c r="L39" s="2926"/>
      <c r="M39" s="2925"/>
      <c r="N39" s="1576">
        <f>AVERAGE('2.3'!G78:G79)</f>
        <v>529.65724999999998</v>
      </c>
      <c r="O39" s="3089"/>
      <c r="P39" s="2925"/>
      <c r="Q39" s="1576">
        <f>AVERAGE('2.3'!B78:B79)</f>
        <v>1388.5622499999999</v>
      </c>
      <c r="R39" s="3089"/>
      <c r="S39" s="2925"/>
      <c r="T39" s="1576">
        <f>AVERAGE('2.3'!Q62:Q63)</f>
        <v>25178.716</v>
      </c>
      <c r="U39" s="2924"/>
      <c r="V39" s="3074"/>
    </row>
    <row r="40" spans="1:22">
      <c r="A40" s="296">
        <f t="shared" si="6"/>
        <v>2016.1</v>
      </c>
      <c r="B40" s="2924"/>
      <c r="C40" s="2925"/>
      <c r="D40" s="2926"/>
      <c r="E40" s="2925"/>
      <c r="F40" s="2926"/>
      <c r="G40" s="2925"/>
      <c r="H40" s="2924"/>
      <c r="I40" s="2925"/>
      <c r="J40" s="2926"/>
      <c r="K40" s="2925"/>
      <c r="L40" s="2926"/>
      <c r="M40" s="2925"/>
      <c r="N40" s="1576">
        <f>AVERAGE('2.3'!G80:G81)</f>
        <v>516.25</v>
      </c>
      <c r="O40" s="3089"/>
      <c r="P40" s="2925"/>
      <c r="Q40" s="1576">
        <f>AVERAGE('2.3'!B80:B81)</f>
        <v>1287.5</v>
      </c>
      <c r="R40" s="3089"/>
      <c r="S40" s="2925"/>
      <c r="T40" s="1576">
        <f>AVERAGE('2.3'!Q63:Q64)</f>
        <v>25236.707000000002</v>
      </c>
      <c r="U40" s="2924"/>
      <c r="V40" s="3074"/>
    </row>
    <row r="41" spans="1:22">
      <c r="A41" s="296">
        <f>A39+1</f>
        <v>2016.2</v>
      </c>
      <c r="B41" s="1592">
        <v>29.3</v>
      </c>
      <c r="C41" s="375">
        <v>6.2</v>
      </c>
      <c r="D41" s="1595">
        <v>26.7</v>
      </c>
      <c r="E41" s="375">
        <v>3.8</v>
      </c>
      <c r="F41" s="1595">
        <v>30.3</v>
      </c>
      <c r="G41" s="375">
        <v>6.1</v>
      </c>
      <c r="H41" s="1595">
        <v>20.100000000000001</v>
      </c>
      <c r="I41" s="375">
        <v>4.0999999999999996</v>
      </c>
      <c r="J41" s="1595">
        <v>19.100000000000001</v>
      </c>
      <c r="K41" s="375">
        <v>3.2</v>
      </c>
      <c r="L41" s="1595">
        <v>21.5</v>
      </c>
      <c r="M41" s="375">
        <v>4.5</v>
      </c>
      <c r="N41" s="1576">
        <f>AVERAGE('2.3'!G82:G83)</f>
        <v>517.5</v>
      </c>
      <c r="O41" s="1577">
        <f>N41*(B41/100)</f>
        <v>151.6275</v>
      </c>
      <c r="P41" s="508">
        <f t="shared" ref="P41:P49" si="7">N41*(C41/100)</f>
        <v>32.085000000000001</v>
      </c>
      <c r="Q41" s="1576">
        <f>AVERAGE('2.3'!B82:B83)</f>
        <v>1290</v>
      </c>
      <c r="R41" s="1577">
        <f>Q41*(D41/100)</f>
        <v>344.43</v>
      </c>
      <c r="S41" s="508">
        <f>Q41*(E41/100)</f>
        <v>49.019999999999996</v>
      </c>
      <c r="T41" s="1576">
        <f>AVERAGE('2.3'!Q82:Q83)</f>
        <v>27308.5</v>
      </c>
      <c r="U41" s="1577">
        <f t="shared" ref="U41:U49" si="8">T41*(F41/100)</f>
        <v>8274.4755000000005</v>
      </c>
      <c r="V41" s="2730">
        <f>T41*(G41/100)</f>
        <v>1665.8184999999999</v>
      </c>
    </row>
    <row r="42" spans="1:22">
      <c r="A42" s="296">
        <f>A40+1</f>
        <v>2017.1</v>
      </c>
      <c r="B42" s="1592">
        <v>26.9</v>
      </c>
      <c r="C42" s="375">
        <v>3.4</v>
      </c>
      <c r="D42" s="1595">
        <v>26.3</v>
      </c>
      <c r="E42" s="375">
        <v>7</v>
      </c>
      <c r="F42" s="1595">
        <v>28.6</v>
      </c>
      <c r="G42" s="375">
        <v>6.2</v>
      </c>
      <c r="H42" s="1595">
        <v>18.3</v>
      </c>
      <c r="I42" s="375">
        <v>2.4</v>
      </c>
      <c r="J42" s="1595">
        <v>19</v>
      </c>
      <c r="K42" s="375">
        <v>5.3</v>
      </c>
      <c r="L42" s="1595">
        <v>20.399999999999999</v>
      </c>
      <c r="M42" s="375">
        <v>4.5</v>
      </c>
      <c r="N42" s="1576">
        <f>AVERAGE('2.3'!G84:G85)</f>
        <v>519.5</v>
      </c>
      <c r="O42" s="1577">
        <f>N42*(B42/100)</f>
        <v>139.74549999999999</v>
      </c>
      <c r="P42" s="508">
        <f>N42*(C42/100)</f>
        <v>17.663</v>
      </c>
      <c r="Q42" s="1576">
        <f>AVERAGE('2.3'!B84:B85)</f>
        <v>1294.5</v>
      </c>
      <c r="R42" s="1577">
        <f>Q42*(D42/100)</f>
        <v>340.45350000000002</v>
      </c>
      <c r="S42" s="508">
        <f>Q42*(E42/100)</f>
        <v>90.615000000000009</v>
      </c>
      <c r="T42" s="1576">
        <f>AVERAGE('2.3'!Q84:Q85)</f>
        <v>27451</v>
      </c>
      <c r="U42" s="1577">
        <f>T42*(F42/100)</f>
        <v>7850.9860000000008</v>
      </c>
      <c r="V42" s="526">
        <f>T42*(G42/100)</f>
        <v>1701.962</v>
      </c>
    </row>
    <row r="43" spans="1:22">
      <c r="A43" s="296">
        <f t="shared" si="6"/>
        <v>2017.2</v>
      </c>
      <c r="B43" s="1592">
        <v>26.4</v>
      </c>
      <c r="C43" s="375">
        <v>3.1</v>
      </c>
      <c r="D43" s="1595">
        <v>19.8</v>
      </c>
      <c r="E43" s="375">
        <v>4.5999999999999996</v>
      </c>
      <c r="F43" s="1595">
        <v>25.7</v>
      </c>
      <c r="G43" s="375">
        <v>4.8</v>
      </c>
      <c r="H43" s="1595">
        <v>18.100000000000001</v>
      </c>
      <c r="I43" s="375">
        <v>2.2999999999999998</v>
      </c>
      <c r="J43" s="1595">
        <v>14.6</v>
      </c>
      <c r="K43" s="375">
        <v>4.5999999999999996</v>
      </c>
      <c r="L43" s="1595">
        <v>17.899999999999999</v>
      </c>
      <c r="M43" s="375">
        <v>3.5</v>
      </c>
      <c r="N43" s="1576">
        <f>AVERAGE('2.3'!G86:G87)</f>
        <v>522.5</v>
      </c>
      <c r="O43" s="1577">
        <f t="shared" ref="O43:O49" si="9">N43*(B43/100)</f>
        <v>137.94</v>
      </c>
      <c r="P43" s="508">
        <f t="shared" si="7"/>
        <v>16.197500000000002</v>
      </c>
      <c r="Q43" s="1576">
        <f>AVERAGE('2.3'!B86:B87)</f>
        <v>1299</v>
      </c>
      <c r="R43" s="1577">
        <f t="shared" ref="R43:R59" si="10">Q43*(D43/100)</f>
        <v>257.202</v>
      </c>
      <c r="S43" s="508">
        <f t="shared" ref="S43:S59" si="11">Q43*(E43/100)</f>
        <v>59.753999999999998</v>
      </c>
      <c r="T43" s="1576">
        <f>AVERAGE('2.3'!Q86:Q87)</f>
        <v>27593.5</v>
      </c>
      <c r="U43" s="1577">
        <f t="shared" si="8"/>
        <v>7091.5295000000006</v>
      </c>
      <c r="V43" s="526">
        <f t="shared" ref="V43:V49" si="12">T43*(G43/100)</f>
        <v>1324.4880000000001</v>
      </c>
    </row>
    <row r="44" spans="1:22">
      <c r="A44" s="296">
        <f t="shared" si="6"/>
        <v>2018.1</v>
      </c>
      <c r="B44" s="1592">
        <v>30.3</v>
      </c>
      <c r="C44" s="375">
        <v>3.5</v>
      </c>
      <c r="D44" s="1595">
        <v>24.9</v>
      </c>
      <c r="E44" s="375">
        <v>5</v>
      </c>
      <c r="F44" s="1595">
        <v>27.3</v>
      </c>
      <c r="G44" s="375">
        <v>4.9000000000000004</v>
      </c>
      <c r="H44" s="1595">
        <v>20.399999999999999</v>
      </c>
      <c r="I44" s="375">
        <v>2.2999999999999998</v>
      </c>
      <c r="J44" s="1595">
        <v>17.899999999999999</v>
      </c>
      <c r="K44" s="375">
        <v>4.3</v>
      </c>
      <c r="L44" s="1595">
        <v>19.600000000000001</v>
      </c>
      <c r="M44" s="375">
        <v>3.8</v>
      </c>
      <c r="N44" s="1576">
        <f>AVERAGE('2.3'!G88:G89)</f>
        <v>524.5</v>
      </c>
      <c r="O44" s="1577">
        <f t="shared" si="9"/>
        <v>158.92349999999999</v>
      </c>
      <c r="P44" s="508">
        <f t="shared" si="7"/>
        <v>18.357500000000002</v>
      </c>
      <c r="Q44" s="1576">
        <f>AVERAGE('2.3'!B88:B89)</f>
        <v>1303</v>
      </c>
      <c r="R44" s="1577">
        <f t="shared" si="10"/>
        <v>324.447</v>
      </c>
      <c r="S44" s="508">
        <f t="shared" si="11"/>
        <v>65.150000000000006</v>
      </c>
      <c r="T44" s="1576">
        <f>AVERAGE('2.3'!Q88:Q89)</f>
        <v>27734</v>
      </c>
      <c r="U44" s="1577">
        <f t="shared" si="8"/>
        <v>7571.3820000000005</v>
      </c>
      <c r="V44" s="526">
        <f t="shared" si="12"/>
        <v>1358.9660000000001</v>
      </c>
    </row>
    <row r="45" spans="1:22">
      <c r="A45" s="296">
        <f t="shared" si="6"/>
        <v>2018.2</v>
      </c>
      <c r="B45" s="1592">
        <v>34.4</v>
      </c>
      <c r="C45" s="375">
        <v>3.7</v>
      </c>
      <c r="D45" s="1595">
        <v>31.8</v>
      </c>
      <c r="E45" s="375">
        <v>6</v>
      </c>
      <c r="F45" s="1595">
        <v>32</v>
      </c>
      <c r="G45" s="375">
        <v>6.7</v>
      </c>
      <c r="H45" s="1595">
        <v>23.1</v>
      </c>
      <c r="I45" s="375">
        <v>2.4</v>
      </c>
      <c r="J45" s="1595">
        <v>23.5</v>
      </c>
      <c r="K45" s="375">
        <v>4.9000000000000004</v>
      </c>
      <c r="L45" s="1595">
        <v>23.4</v>
      </c>
      <c r="M45" s="375">
        <v>4.8</v>
      </c>
      <c r="N45" s="1576">
        <f>AVERAGE('2.3'!G90:G91)</f>
        <v>526.5</v>
      </c>
      <c r="O45" s="1577">
        <f t="shared" si="9"/>
        <v>181.11599999999999</v>
      </c>
      <c r="P45" s="508">
        <f t="shared" si="7"/>
        <v>19.480500000000003</v>
      </c>
      <c r="Q45" s="1576">
        <f>AVERAGE('2.3'!B90:B91)</f>
        <v>1307</v>
      </c>
      <c r="R45" s="1577">
        <f t="shared" si="10"/>
        <v>415.62600000000003</v>
      </c>
      <c r="S45" s="508">
        <f t="shared" si="11"/>
        <v>78.42</v>
      </c>
      <c r="T45" s="1576">
        <f>AVERAGE('2.3'!Q90:Q91)</f>
        <v>27878</v>
      </c>
      <c r="U45" s="1577">
        <f t="shared" si="8"/>
        <v>8920.9600000000009</v>
      </c>
      <c r="V45" s="526">
        <f t="shared" si="12"/>
        <v>1867.826</v>
      </c>
    </row>
    <row r="46" spans="1:22">
      <c r="A46" s="296">
        <f t="shared" si="6"/>
        <v>2019.1</v>
      </c>
      <c r="B46" s="1592">
        <v>38.200000000000003</v>
      </c>
      <c r="C46" s="375">
        <v>5.9</v>
      </c>
      <c r="D46" s="1595">
        <v>35.5</v>
      </c>
      <c r="E46" s="375">
        <v>5.7</v>
      </c>
      <c r="F46" s="1595">
        <v>35.4</v>
      </c>
      <c r="G46" s="375">
        <v>7.7</v>
      </c>
      <c r="H46" s="1595">
        <v>26.2</v>
      </c>
      <c r="I46" s="375">
        <v>3.6</v>
      </c>
      <c r="J46" s="1595">
        <v>25.5</v>
      </c>
      <c r="K46" s="375">
        <v>4.4000000000000004</v>
      </c>
      <c r="L46" s="1595">
        <v>25.4</v>
      </c>
      <c r="M46" s="375">
        <v>5.5</v>
      </c>
      <c r="N46" s="1576">
        <f>AVERAGE('2.3'!G92:G93)</f>
        <v>528.5</v>
      </c>
      <c r="O46" s="1577">
        <f t="shared" si="9"/>
        <v>201.887</v>
      </c>
      <c r="P46" s="508">
        <f t="shared" si="7"/>
        <v>31.181500000000003</v>
      </c>
      <c r="Q46" s="1576">
        <f>AVERAGE('2.3'!B92:B93)</f>
        <v>1311</v>
      </c>
      <c r="R46" s="1577">
        <f t="shared" si="10"/>
        <v>465.40499999999997</v>
      </c>
      <c r="S46" s="508">
        <f t="shared" si="11"/>
        <v>74.727000000000004</v>
      </c>
      <c r="T46" s="1576">
        <f>AVERAGE('2.3'!Q92:Q93)</f>
        <v>28295.5</v>
      </c>
      <c r="U46" s="1577">
        <f t="shared" si="8"/>
        <v>10016.607</v>
      </c>
      <c r="V46" s="526">
        <f t="shared" si="12"/>
        <v>2178.7534999999998</v>
      </c>
    </row>
    <row r="47" spans="1:22">
      <c r="A47" s="296">
        <f t="shared" si="6"/>
        <v>2019.2</v>
      </c>
      <c r="B47" s="1592">
        <v>34.4</v>
      </c>
      <c r="C47" s="375">
        <v>7</v>
      </c>
      <c r="D47" s="1595">
        <v>35</v>
      </c>
      <c r="E47" s="375">
        <v>7.3</v>
      </c>
      <c r="F47" s="1595">
        <v>35.5</v>
      </c>
      <c r="G47" s="375">
        <v>8</v>
      </c>
      <c r="H47" s="1595">
        <v>23</v>
      </c>
      <c r="I47" s="375">
        <v>4.2</v>
      </c>
      <c r="J47" s="1595">
        <v>25.5</v>
      </c>
      <c r="K47" s="375">
        <v>5.4</v>
      </c>
      <c r="L47" s="1595">
        <v>25.9</v>
      </c>
      <c r="M47" s="375">
        <v>5.7</v>
      </c>
      <c r="N47" s="1576">
        <f>AVERAGE('2.3'!G94:G95)</f>
        <v>531.5</v>
      </c>
      <c r="O47" s="1577">
        <f t="shared" si="9"/>
        <v>182.83599999999998</v>
      </c>
      <c r="P47" s="508">
        <f t="shared" si="7"/>
        <v>37.205000000000005</v>
      </c>
      <c r="Q47" s="1576">
        <f>AVERAGE('2.3'!B94:B95)</f>
        <v>1316</v>
      </c>
      <c r="R47" s="1577">
        <f t="shared" si="10"/>
        <v>460.59999999999997</v>
      </c>
      <c r="S47" s="508">
        <f t="shared" si="11"/>
        <v>96.067999999999998</v>
      </c>
      <c r="T47" s="1576">
        <f>AVERAGE('2.3'!Q94:Q95)</f>
        <v>28228.859</v>
      </c>
      <c r="U47" s="1577">
        <f t="shared" si="8"/>
        <v>10021.244945</v>
      </c>
      <c r="V47" s="526">
        <f t="shared" si="12"/>
        <v>2258.30872</v>
      </c>
    </row>
    <row r="48" spans="1:22">
      <c r="A48" s="296">
        <f t="shared" si="6"/>
        <v>2020.1</v>
      </c>
      <c r="B48" s="1592">
        <v>42.6</v>
      </c>
      <c r="C48" s="375">
        <v>10.9</v>
      </c>
      <c r="D48" s="1595">
        <v>41.8</v>
      </c>
      <c r="E48" s="375">
        <v>13.3</v>
      </c>
      <c r="F48" s="1595">
        <v>40.9</v>
      </c>
      <c r="G48" s="375">
        <v>10.5</v>
      </c>
      <c r="H48" s="1595">
        <v>30.4</v>
      </c>
      <c r="I48" s="375">
        <v>7.1</v>
      </c>
      <c r="J48" s="1595">
        <v>30.6</v>
      </c>
      <c r="K48" s="375">
        <v>9.6999999999999993</v>
      </c>
      <c r="L48" s="1595">
        <v>30.4</v>
      </c>
      <c r="M48" s="375">
        <v>8.1</v>
      </c>
      <c r="N48" s="1576">
        <f>AVERAGE('2.3'!G96:G97)</f>
        <v>533.5</v>
      </c>
      <c r="O48" s="1577">
        <f t="shared" si="9"/>
        <v>227.27099999999999</v>
      </c>
      <c r="P48" s="508">
        <f t="shared" si="7"/>
        <v>58.151499999999999</v>
      </c>
      <c r="Q48" s="1576">
        <f>AVERAGE('2.3'!B96:B97)</f>
        <v>1320</v>
      </c>
      <c r="R48" s="1577">
        <f t="shared" si="10"/>
        <v>551.76</v>
      </c>
      <c r="S48" s="508">
        <f t="shared" si="11"/>
        <v>175.56</v>
      </c>
      <c r="T48" s="1576">
        <f>AVERAGE('2.3'!Q96:Q97)</f>
        <v>28571</v>
      </c>
      <c r="U48" s="1577">
        <f t="shared" si="8"/>
        <v>11685.538999999999</v>
      </c>
      <c r="V48" s="526">
        <f>T48*(G48/100)</f>
        <v>2999.9549999999999</v>
      </c>
    </row>
    <row r="49" spans="1:22">
      <c r="A49" s="296">
        <f t="shared" si="6"/>
        <v>2020.2</v>
      </c>
      <c r="B49" s="1592">
        <v>39.799999999999997</v>
      </c>
      <c r="C49" s="375">
        <v>9.1</v>
      </c>
      <c r="D49" s="1595">
        <v>38.299999999999997</v>
      </c>
      <c r="E49" s="375">
        <v>7.4</v>
      </c>
      <c r="F49" s="1595">
        <v>42</v>
      </c>
      <c r="G49" s="375">
        <v>10.5</v>
      </c>
      <c r="H49" s="1595">
        <v>28</v>
      </c>
      <c r="I49" s="375">
        <v>6</v>
      </c>
      <c r="J49" s="1595">
        <v>29.1</v>
      </c>
      <c r="K49" s="375">
        <v>5.8</v>
      </c>
      <c r="L49" s="1595">
        <v>31.6</v>
      </c>
      <c r="M49" s="375">
        <v>7.8</v>
      </c>
      <c r="N49" s="1576">
        <f>AVERAGE('2.3'!G98:G99)</f>
        <v>535.22149999999999</v>
      </c>
      <c r="O49" s="1577">
        <f t="shared" si="9"/>
        <v>213.01815699999997</v>
      </c>
      <c r="P49" s="508">
        <f t="shared" si="7"/>
        <v>48.705156500000001</v>
      </c>
      <c r="Q49" s="1576">
        <f>AVERAGE('2.3'!B98:B99)</f>
        <v>1323.7849999999999</v>
      </c>
      <c r="R49" s="1577">
        <f t="shared" si="10"/>
        <v>507.0096549999999</v>
      </c>
      <c r="S49" s="508">
        <f t="shared" si="11"/>
        <v>97.960090000000008</v>
      </c>
      <c r="T49" s="1576">
        <f>AVERAGE('2.3'!Q98:Q99)</f>
        <v>28623.076000000001</v>
      </c>
      <c r="U49" s="1577">
        <f t="shared" si="8"/>
        <v>12021.691919999999</v>
      </c>
      <c r="V49" s="526">
        <f t="shared" si="12"/>
        <v>3005.4229799999998</v>
      </c>
    </row>
    <row r="50" spans="1:22">
      <c r="A50" s="296">
        <f t="shared" si="6"/>
        <v>2021.1</v>
      </c>
      <c r="B50" s="1592">
        <v>50.5</v>
      </c>
      <c r="C50" s="375">
        <v>10.4</v>
      </c>
      <c r="D50" s="1595">
        <v>39.4</v>
      </c>
      <c r="E50" s="375">
        <v>10.6</v>
      </c>
      <c r="F50" s="1595">
        <v>40.6</v>
      </c>
      <c r="G50" s="375">
        <v>10.7</v>
      </c>
      <c r="H50" s="1595">
        <v>36.799999999999997</v>
      </c>
      <c r="I50" s="375">
        <v>7.2</v>
      </c>
      <c r="J50" s="1595">
        <v>28.3</v>
      </c>
      <c r="K50" s="375">
        <v>7.9</v>
      </c>
      <c r="L50" s="1595">
        <v>31.2</v>
      </c>
      <c r="M50" s="375">
        <v>8.1999999999999993</v>
      </c>
      <c r="N50" s="1576">
        <f>AVERAGE('2.3'!G100:G101)</f>
        <v>537.5</v>
      </c>
      <c r="O50" s="1577">
        <f t="shared" ref="O50:O59" si="13">N50*(B50/100)</f>
        <v>271.4375</v>
      </c>
      <c r="P50" s="508">
        <f t="shared" ref="P50:P59" si="14">N50*(C50/100)</f>
        <v>55.900000000000006</v>
      </c>
      <c r="Q50" s="1576">
        <f>AVERAGE('2.3'!B100:B101)</f>
        <v>1328</v>
      </c>
      <c r="R50" s="1577">
        <f t="shared" si="10"/>
        <v>523.23199999999997</v>
      </c>
      <c r="S50" s="508">
        <f t="shared" si="11"/>
        <v>140.768</v>
      </c>
      <c r="T50" s="1576">
        <f>AVERAGE('2.3'!Q100:Q101)</f>
        <v>28839.5</v>
      </c>
      <c r="U50" s="1577">
        <f t="shared" ref="U50:U59" si="15">T50*(F50/100)</f>
        <v>11708.837000000001</v>
      </c>
      <c r="V50" s="526">
        <f t="shared" ref="V50:V59" si="16">T50*(G50/100)</f>
        <v>3085.8265000000001</v>
      </c>
    </row>
    <row r="51" spans="1:22">
      <c r="A51" s="296">
        <f t="shared" si="6"/>
        <v>2021.2</v>
      </c>
      <c r="B51" s="1592">
        <v>38.6</v>
      </c>
      <c r="C51" s="375">
        <v>8.8000000000000007</v>
      </c>
      <c r="D51" s="1595">
        <v>33</v>
      </c>
      <c r="E51" s="375">
        <v>7.2</v>
      </c>
      <c r="F51" s="1595">
        <v>37.299999999999997</v>
      </c>
      <c r="G51" s="375">
        <v>8.1999999999999993</v>
      </c>
      <c r="H51" s="1595">
        <v>27.9</v>
      </c>
      <c r="I51" s="375">
        <v>5.5</v>
      </c>
      <c r="J51" s="1595">
        <v>24.8</v>
      </c>
      <c r="K51" s="375">
        <v>5.6</v>
      </c>
      <c r="L51" s="1595">
        <v>27.9</v>
      </c>
      <c r="M51" s="375">
        <v>6.1</v>
      </c>
      <c r="N51" s="1576">
        <f>AVERAGE('2.3'!G102:G103)</f>
        <v>539.5</v>
      </c>
      <c r="O51" s="1577">
        <f t="shared" si="13"/>
        <v>208.24700000000001</v>
      </c>
      <c r="P51" s="508">
        <f t="shared" si="14"/>
        <v>47.476000000000006</v>
      </c>
      <c r="Q51" s="1576">
        <f>AVERAGE('2.3'!B102:B103)</f>
        <v>1332</v>
      </c>
      <c r="R51" s="1577">
        <f t="shared" si="10"/>
        <v>439.56</v>
      </c>
      <c r="S51" s="508">
        <f t="shared" si="11"/>
        <v>95.904000000000011</v>
      </c>
      <c r="T51" s="1576">
        <f>AVERAGE('2.3'!Q102:Q103)</f>
        <v>28756.184000000001</v>
      </c>
      <c r="U51" s="1577">
        <f t="shared" si="15"/>
        <v>10726.056632</v>
      </c>
      <c r="V51" s="526">
        <f t="shared" si="16"/>
        <v>2358.0070879999998</v>
      </c>
    </row>
    <row r="52" spans="1:22">
      <c r="A52" s="296">
        <f t="shared" si="6"/>
        <v>2022.1</v>
      </c>
      <c r="B52" s="2724">
        <v>39.1</v>
      </c>
      <c r="C52" s="375">
        <v>7.8</v>
      </c>
      <c r="D52" s="1595">
        <v>31.2</v>
      </c>
      <c r="E52" s="375">
        <v>3.6</v>
      </c>
      <c r="F52" s="1595">
        <v>36.5</v>
      </c>
      <c r="G52" s="375">
        <v>8.8000000000000007</v>
      </c>
      <c r="H52" s="1595">
        <v>27.8</v>
      </c>
      <c r="I52" s="375">
        <v>5.7</v>
      </c>
      <c r="J52" s="1595">
        <v>22.8</v>
      </c>
      <c r="K52" s="375">
        <v>3.7</v>
      </c>
      <c r="L52" s="1595">
        <v>27.7</v>
      </c>
      <c r="M52" s="375">
        <v>6.8</v>
      </c>
      <c r="N52" s="1576">
        <f>AVERAGE('2.3'!G104:G105)</f>
        <v>541.5</v>
      </c>
      <c r="O52" s="1577">
        <f t="shared" si="13"/>
        <v>211.72650000000002</v>
      </c>
      <c r="P52" s="508">
        <f t="shared" si="14"/>
        <v>42.237000000000002</v>
      </c>
      <c r="Q52" s="1576">
        <f>AVERAGE('2.3'!B104:B105)</f>
        <v>1336</v>
      </c>
      <c r="R52" s="1577">
        <f t="shared" si="10"/>
        <v>416.83199999999999</v>
      </c>
      <c r="S52" s="508">
        <f t="shared" si="11"/>
        <v>48.096000000000004</v>
      </c>
      <c r="T52" s="1576">
        <f>AVERAGE('2.3'!Q104:Q105)</f>
        <v>29105</v>
      </c>
      <c r="U52" s="1577">
        <f t="shared" si="15"/>
        <v>10623.324999999999</v>
      </c>
      <c r="V52" s="526">
        <f t="shared" si="16"/>
        <v>2561.2400000000002</v>
      </c>
    </row>
    <row r="53" spans="1:22">
      <c r="A53" s="296">
        <f t="shared" si="6"/>
        <v>2022.2</v>
      </c>
      <c r="B53" s="1592">
        <v>39.5</v>
      </c>
      <c r="C53" s="375">
        <v>6</v>
      </c>
      <c r="D53" s="1595">
        <v>33.200000000000003</v>
      </c>
      <c r="E53" s="375">
        <v>6.3</v>
      </c>
      <c r="F53" s="1595">
        <v>39.200000000000003</v>
      </c>
      <c r="G53" s="375">
        <v>8.1</v>
      </c>
      <c r="H53" s="1595">
        <v>29.8</v>
      </c>
      <c r="I53" s="375">
        <v>4</v>
      </c>
      <c r="J53" s="1595">
        <v>24.6</v>
      </c>
      <c r="K53" s="375">
        <v>4.8</v>
      </c>
      <c r="L53" s="1595">
        <v>29.9</v>
      </c>
      <c r="M53" s="375">
        <v>6.2</v>
      </c>
      <c r="N53" s="1576">
        <f>AVERAGE('2.3'!G106:G107)</f>
        <v>543.56849999999997</v>
      </c>
      <c r="O53" s="1577">
        <f t="shared" si="13"/>
        <v>214.70955749999999</v>
      </c>
      <c r="P53" s="508">
        <f t="shared" si="14"/>
        <v>32.614109999999997</v>
      </c>
      <c r="Q53" s="1576">
        <f>AVERAGE('2.3'!B106:B107)</f>
        <v>1339.9124999999999</v>
      </c>
      <c r="R53" s="1577">
        <f t="shared" si="10"/>
        <v>444.85095000000001</v>
      </c>
      <c r="S53" s="508">
        <f t="shared" si="11"/>
        <v>84.414487499999993</v>
      </c>
      <c r="T53" s="1576">
        <f>AVERAGE('2.3'!Q106:Q107)</f>
        <v>29236.660499999998</v>
      </c>
      <c r="U53" s="1577">
        <f t="shared" si="15"/>
        <v>11460.770915999999</v>
      </c>
      <c r="V53" s="526">
        <f t="shared" si="16"/>
        <v>2368.1695005000001</v>
      </c>
    </row>
    <row r="54" spans="1:22">
      <c r="A54" s="296">
        <f t="shared" si="6"/>
        <v>2023.1</v>
      </c>
      <c r="B54" s="1592">
        <v>43</v>
      </c>
      <c r="C54" s="375">
        <v>10</v>
      </c>
      <c r="D54" s="1595">
        <v>33.5</v>
      </c>
      <c r="E54" s="375">
        <v>6.2</v>
      </c>
      <c r="F54" s="1595">
        <v>40.1</v>
      </c>
      <c r="G54" s="375">
        <v>9.3000000000000007</v>
      </c>
      <c r="H54" s="1595">
        <v>32.4</v>
      </c>
      <c r="I54" s="375">
        <v>6.6</v>
      </c>
      <c r="J54" s="1595">
        <v>24.4</v>
      </c>
      <c r="K54" s="375">
        <v>5.4</v>
      </c>
      <c r="L54" s="1595">
        <v>29.6</v>
      </c>
      <c r="M54" s="375">
        <v>6.8</v>
      </c>
      <c r="N54" s="1576">
        <f>AVERAGE('2.3'!G108:G109)</f>
        <v>545.57449999999994</v>
      </c>
      <c r="O54" s="1577">
        <f>N54*(B54/100)</f>
        <v>234.59703499999998</v>
      </c>
      <c r="P54" s="508">
        <f t="shared" si="14"/>
        <v>54.557449999999996</v>
      </c>
      <c r="Q54" s="1576">
        <f>AVERAGE('2.3'!B108:B109)</f>
        <v>1343.9079999999999</v>
      </c>
      <c r="R54" s="1577">
        <f t="shared" si="10"/>
        <v>450.20918</v>
      </c>
      <c r="S54" s="508">
        <f t="shared" si="11"/>
        <v>83.322295999999994</v>
      </c>
      <c r="T54" s="1576">
        <f>AVERAGE('2.3'!Q108:Q109)</f>
        <v>29367.077499999999</v>
      </c>
      <c r="U54" s="1577">
        <f t="shared" si="15"/>
        <v>11776.198077500001</v>
      </c>
      <c r="V54" s="526">
        <f t="shared" si="16"/>
        <v>2731.1382075000001</v>
      </c>
    </row>
    <row r="55" spans="1:22">
      <c r="A55" s="296">
        <f t="shared" si="6"/>
        <v>2023.2</v>
      </c>
      <c r="B55" s="1592">
        <v>48.9</v>
      </c>
      <c r="C55" s="375">
        <v>15.3</v>
      </c>
      <c r="D55" s="1595">
        <v>36.6</v>
      </c>
      <c r="E55" s="375">
        <v>10.8</v>
      </c>
      <c r="F55" s="1595">
        <v>41.7</v>
      </c>
      <c r="G55" s="375">
        <v>11.9</v>
      </c>
      <c r="H55" s="1595">
        <v>36.200000000000003</v>
      </c>
      <c r="I55" s="375">
        <v>9.6</v>
      </c>
      <c r="J55" s="1595">
        <v>28.6</v>
      </c>
      <c r="K55" s="375">
        <v>8.6999999999999993</v>
      </c>
      <c r="L55" s="1595">
        <v>31.8</v>
      </c>
      <c r="M55" s="375">
        <v>8.6999999999999993</v>
      </c>
      <c r="N55" s="1576">
        <f>AVERAGE('2.3'!G110:G111)</f>
        <v>547.58550000000002</v>
      </c>
      <c r="O55" s="1577">
        <f t="shared" si="13"/>
        <v>267.76930950000002</v>
      </c>
      <c r="P55" s="508">
        <f t="shared" si="14"/>
        <v>83.780581499999997</v>
      </c>
      <c r="Q55" s="1576">
        <f>AVERAGE('2.3'!B110:B111)</f>
        <v>1347.8364999999999</v>
      </c>
      <c r="R55" s="1577">
        <f t="shared" si="10"/>
        <v>493.30815899999993</v>
      </c>
      <c r="S55" s="508">
        <f t="shared" si="11"/>
        <v>145.56634199999999</v>
      </c>
      <c r="T55" s="1576">
        <f>AVERAGE('2.3'!Q110:Q111)</f>
        <v>29496.409500000002</v>
      </c>
      <c r="U55" s="1577">
        <f t="shared" si="15"/>
        <v>12300.002761500002</v>
      </c>
      <c r="V55" s="526">
        <f t="shared" si="16"/>
        <v>3510.0727305000005</v>
      </c>
    </row>
    <row r="56" spans="1:22">
      <c r="A56" s="296">
        <f t="shared" si="6"/>
        <v>2024.1</v>
      </c>
      <c r="B56" s="1592" t="e">
        <v>#N/A</v>
      </c>
      <c r="C56" s="375" t="e">
        <v>#N/A</v>
      </c>
      <c r="D56" s="1595" t="e">
        <v>#N/A</v>
      </c>
      <c r="E56" s="375" t="e">
        <v>#N/A</v>
      </c>
      <c r="F56" s="1595" t="e">
        <v>#N/A</v>
      </c>
      <c r="G56" s="375" t="e">
        <v>#N/A</v>
      </c>
      <c r="H56" s="1595" t="e">
        <v>#N/A</v>
      </c>
      <c r="I56" s="375" t="e">
        <v>#N/A</v>
      </c>
      <c r="J56" s="1595" t="e">
        <v>#N/A</v>
      </c>
      <c r="K56" s="375" t="e">
        <v>#N/A</v>
      </c>
      <c r="L56" s="1595" t="e">
        <v>#N/A</v>
      </c>
      <c r="M56" s="375" t="e">
        <v>#N/A</v>
      </c>
      <c r="N56" s="1576" t="e">
        <f>AVERAGE('2.3'!G112:G113)</f>
        <v>#N/A</v>
      </c>
      <c r="O56" s="1577" t="e">
        <f t="shared" si="13"/>
        <v>#N/A</v>
      </c>
      <c r="P56" s="508" t="e">
        <f t="shared" si="14"/>
        <v>#N/A</v>
      </c>
      <c r="Q56" s="1576" t="e">
        <f>AVERAGE('2.3'!B112:B113)</f>
        <v>#N/A</v>
      </c>
      <c r="R56" s="1577" t="e">
        <f t="shared" si="10"/>
        <v>#N/A</v>
      </c>
      <c r="S56" s="508" t="e">
        <f t="shared" si="11"/>
        <v>#N/A</v>
      </c>
      <c r="T56" s="1576" t="e">
        <f>AVERAGE('2.3'!Q112:Q113)</f>
        <v>#N/A</v>
      </c>
      <c r="U56" s="1577" t="e">
        <f t="shared" si="15"/>
        <v>#N/A</v>
      </c>
      <c r="V56" s="526" t="e">
        <f t="shared" si="16"/>
        <v>#N/A</v>
      </c>
    </row>
    <row r="57" spans="1:22">
      <c r="A57" s="296">
        <f t="shared" si="6"/>
        <v>2024.2</v>
      </c>
      <c r="B57" s="1592" t="e">
        <v>#N/A</v>
      </c>
      <c r="C57" s="375" t="e">
        <v>#N/A</v>
      </c>
      <c r="D57" s="1595" t="e">
        <v>#N/A</v>
      </c>
      <c r="E57" s="375" t="e">
        <v>#N/A</v>
      </c>
      <c r="F57" s="1595" t="e">
        <v>#N/A</v>
      </c>
      <c r="G57" s="375" t="e">
        <v>#N/A</v>
      </c>
      <c r="H57" s="1595" t="e">
        <v>#N/A</v>
      </c>
      <c r="I57" s="375" t="e">
        <v>#N/A</v>
      </c>
      <c r="J57" s="1595" t="e">
        <v>#N/A</v>
      </c>
      <c r="K57" s="375" t="e">
        <v>#N/A</v>
      </c>
      <c r="L57" s="1595" t="e">
        <v>#N/A</v>
      </c>
      <c r="M57" s="375" t="e">
        <v>#N/A</v>
      </c>
      <c r="N57" s="1576" t="e">
        <f>AVERAGE('2.3'!G114:G115)</f>
        <v>#N/A</v>
      </c>
      <c r="O57" s="1577" t="e">
        <f t="shared" si="13"/>
        <v>#N/A</v>
      </c>
      <c r="P57" s="508" t="e">
        <f t="shared" si="14"/>
        <v>#N/A</v>
      </c>
      <c r="Q57" s="1576" t="e">
        <f>AVERAGE('2.3'!B114:B115)</f>
        <v>#N/A</v>
      </c>
      <c r="R57" s="1577" t="e">
        <f t="shared" si="10"/>
        <v>#N/A</v>
      </c>
      <c r="S57" s="508" t="e">
        <f t="shared" si="11"/>
        <v>#N/A</v>
      </c>
      <c r="T57" s="1576" t="e">
        <f>AVERAGE('2.3'!Q114:Q115)</f>
        <v>#N/A</v>
      </c>
      <c r="U57" s="1577" t="e">
        <f t="shared" si="15"/>
        <v>#N/A</v>
      </c>
      <c r="V57" s="526" t="e">
        <f t="shared" si="16"/>
        <v>#N/A</v>
      </c>
    </row>
    <row r="58" spans="1:22">
      <c r="A58" s="296">
        <f t="shared" si="6"/>
        <v>2025.1</v>
      </c>
      <c r="B58" s="1592" t="e">
        <v>#N/A</v>
      </c>
      <c r="C58" s="375" t="e">
        <v>#N/A</v>
      </c>
      <c r="D58" s="1595" t="e">
        <v>#N/A</v>
      </c>
      <c r="E58" s="375" t="e">
        <v>#N/A</v>
      </c>
      <c r="F58" s="1595" t="e">
        <v>#N/A</v>
      </c>
      <c r="G58" s="375" t="e">
        <v>#N/A</v>
      </c>
      <c r="H58" s="1595" t="e">
        <v>#N/A</v>
      </c>
      <c r="I58" s="375" t="e">
        <v>#N/A</v>
      </c>
      <c r="J58" s="1595" t="e">
        <v>#N/A</v>
      </c>
      <c r="K58" s="375" t="e">
        <v>#N/A</v>
      </c>
      <c r="L58" s="1595" t="e">
        <v>#N/A</v>
      </c>
      <c r="M58" s="375" t="e">
        <v>#N/A</v>
      </c>
      <c r="N58" s="1576" t="e">
        <f>AVERAGE('2.3'!G116:G117)</f>
        <v>#N/A</v>
      </c>
      <c r="O58" s="1577" t="e">
        <f t="shared" si="13"/>
        <v>#N/A</v>
      </c>
      <c r="P58" s="508" t="e">
        <f t="shared" si="14"/>
        <v>#N/A</v>
      </c>
      <c r="Q58" s="1576" t="e">
        <f>AVERAGE('2.3'!B116:B117)</f>
        <v>#N/A</v>
      </c>
      <c r="R58" s="1577" t="e">
        <f t="shared" si="10"/>
        <v>#N/A</v>
      </c>
      <c r="S58" s="508" t="e">
        <f t="shared" si="11"/>
        <v>#N/A</v>
      </c>
      <c r="T58" s="1576" t="e">
        <f>AVERAGE('2.3'!Q116:Q117)</f>
        <v>#N/A</v>
      </c>
      <c r="U58" s="1577" t="e">
        <f t="shared" si="15"/>
        <v>#N/A</v>
      </c>
      <c r="V58" s="526" t="e">
        <f t="shared" si="16"/>
        <v>#N/A</v>
      </c>
    </row>
    <row r="59" spans="1:22">
      <c r="A59" s="296">
        <f t="shared" si="6"/>
        <v>2025.2</v>
      </c>
      <c r="B59" s="1592" t="e">
        <v>#N/A</v>
      </c>
      <c r="C59" s="375" t="e">
        <v>#N/A</v>
      </c>
      <c r="D59" s="1595" t="e">
        <v>#N/A</v>
      </c>
      <c r="E59" s="375" t="e">
        <v>#N/A</v>
      </c>
      <c r="F59" s="1595" t="e">
        <v>#N/A</v>
      </c>
      <c r="G59" s="375" t="e">
        <v>#N/A</v>
      </c>
      <c r="H59" s="1595" t="e">
        <v>#N/A</v>
      </c>
      <c r="I59" s="375" t="e">
        <v>#N/A</v>
      </c>
      <c r="J59" s="1595" t="e">
        <v>#N/A</v>
      </c>
      <c r="K59" s="375" t="e">
        <v>#N/A</v>
      </c>
      <c r="L59" s="1595" t="e">
        <v>#N/A</v>
      </c>
      <c r="M59" s="375" t="e">
        <v>#N/A</v>
      </c>
      <c r="N59" s="1576" t="e">
        <f>AVERAGE('2.3'!G118:G119)</f>
        <v>#N/A</v>
      </c>
      <c r="O59" s="1577" t="e">
        <f t="shared" si="13"/>
        <v>#N/A</v>
      </c>
      <c r="P59" s="508" t="e">
        <f t="shared" si="14"/>
        <v>#N/A</v>
      </c>
      <c r="Q59" s="1576" t="e">
        <f>AVERAGE('2.3'!B118:B119)</f>
        <v>#N/A</v>
      </c>
      <c r="R59" s="1577" t="e">
        <f t="shared" si="10"/>
        <v>#N/A</v>
      </c>
      <c r="S59" s="508" t="e">
        <f t="shared" si="11"/>
        <v>#N/A</v>
      </c>
      <c r="T59" s="1576" t="e">
        <f>AVERAGE('2.3'!Q118:Q119)</f>
        <v>#N/A</v>
      </c>
      <c r="U59" s="1577" t="e">
        <f t="shared" si="15"/>
        <v>#N/A</v>
      </c>
      <c r="V59" s="526" t="e">
        <f t="shared" si="16"/>
        <v>#N/A</v>
      </c>
    </row>
    <row r="60" spans="1:22">
      <c r="A60" s="296">
        <f t="shared" si="6"/>
        <v>2026.1</v>
      </c>
      <c r="B60" s="1592" t="e">
        <v>#N/A</v>
      </c>
      <c r="C60" s="375" t="e">
        <v>#N/A</v>
      </c>
      <c r="D60" s="1595" t="e">
        <v>#N/A</v>
      </c>
      <c r="E60" s="375" t="e">
        <v>#N/A</v>
      </c>
      <c r="F60" s="1595" t="e">
        <v>#N/A</v>
      </c>
      <c r="G60" s="375" t="e">
        <v>#N/A</v>
      </c>
      <c r="H60" s="1595" t="e">
        <v>#N/A</v>
      </c>
      <c r="I60" s="375" t="e">
        <v>#N/A</v>
      </c>
      <c r="J60" s="1595" t="e">
        <v>#N/A</v>
      </c>
      <c r="K60" s="375" t="e">
        <v>#N/A</v>
      </c>
      <c r="L60" s="1595" t="e">
        <v>#N/A</v>
      </c>
      <c r="M60" s="375" t="e">
        <v>#N/A</v>
      </c>
      <c r="N60" s="1576" t="e">
        <f>AVERAGE('2.3'!G120:G121)</f>
        <v>#N/A</v>
      </c>
      <c r="O60" s="1577" t="e">
        <f t="shared" ref="O60:O66" si="17">N60*(B60/100)</f>
        <v>#N/A</v>
      </c>
      <c r="P60" s="508" t="e">
        <f t="shared" ref="P60:P66" si="18">N60*(C60/100)</f>
        <v>#N/A</v>
      </c>
      <c r="Q60" s="1576" t="e">
        <f>AVERAGE('2.3'!B120:B121)</f>
        <v>#N/A</v>
      </c>
      <c r="R60" s="1577" t="e">
        <f t="shared" ref="R60:R66" si="19">Q60*(D60/100)</f>
        <v>#N/A</v>
      </c>
      <c r="S60" s="508" t="e">
        <f t="shared" ref="S60:S66" si="20">Q60*(E60/100)</f>
        <v>#N/A</v>
      </c>
      <c r="T60" s="1576" t="e">
        <f>AVERAGE('2.3'!Q120:Q121)</f>
        <v>#N/A</v>
      </c>
      <c r="U60" s="1577" t="e">
        <f t="shared" ref="U60:U66" si="21">T60*(F60/100)</f>
        <v>#N/A</v>
      </c>
      <c r="V60" s="526" t="e">
        <f t="shared" ref="V60:V66" si="22">T60*(G60/100)</f>
        <v>#N/A</v>
      </c>
    </row>
    <row r="61" spans="1:22">
      <c r="A61" s="296">
        <f t="shared" si="6"/>
        <v>2026.2</v>
      </c>
      <c r="B61" s="1592" t="e">
        <v>#N/A</v>
      </c>
      <c r="C61" s="375" t="e">
        <v>#N/A</v>
      </c>
      <c r="D61" s="1595" t="e">
        <v>#N/A</v>
      </c>
      <c r="E61" s="375" t="e">
        <v>#N/A</v>
      </c>
      <c r="F61" s="1595" t="e">
        <v>#N/A</v>
      </c>
      <c r="G61" s="375" t="e">
        <v>#N/A</v>
      </c>
      <c r="H61" s="1595" t="e">
        <v>#N/A</v>
      </c>
      <c r="I61" s="375" t="e">
        <v>#N/A</v>
      </c>
      <c r="J61" s="1595" t="e">
        <v>#N/A</v>
      </c>
      <c r="K61" s="375" t="e">
        <v>#N/A</v>
      </c>
      <c r="L61" s="1595" t="e">
        <v>#N/A</v>
      </c>
      <c r="M61" s="375" t="e">
        <v>#N/A</v>
      </c>
      <c r="N61" s="1576" t="e">
        <f>AVERAGE('2.3'!G122:G123)</f>
        <v>#N/A</v>
      </c>
      <c r="O61" s="1577" t="e">
        <f t="shared" si="17"/>
        <v>#N/A</v>
      </c>
      <c r="P61" s="508" t="e">
        <f t="shared" si="18"/>
        <v>#N/A</v>
      </c>
      <c r="Q61" s="1576" t="e">
        <f>AVERAGE('2.3'!B122:B123)</f>
        <v>#N/A</v>
      </c>
      <c r="R61" s="1577" t="e">
        <f t="shared" si="19"/>
        <v>#N/A</v>
      </c>
      <c r="S61" s="508" t="e">
        <f t="shared" si="20"/>
        <v>#N/A</v>
      </c>
      <c r="T61" s="1576" t="e">
        <f>AVERAGE('2.3'!Q122:Q123)</f>
        <v>#N/A</v>
      </c>
      <c r="U61" s="1577" t="e">
        <f t="shared" si="21"/>
        <v>#N/A</v>
      </c>
      <c r="V61" s="526" t="e">
        <f t="shared" si="22"/>
        <v>#N/A</v>
      </c>
    </row>
    <row r="62" spans="1:22">
      <c r="A62" s="296">
        <f t="shared" si="6"/>
        <v>2027.1</v>
      </c>
      <c r="B62" s="1592" t="e">
        <v>#N/A</v>
      </c>
      <c r="C62" s="375" t="e">
        <v>#N/A</v>
      </c>
      <c r="D62" s="1595" t="e">
        <v>#N/A</v>
      </c>
      <c r="E62" s="375" t="e">
        <v>#N/A</v>
      </c>
      <c r="F62" s="1595" t="e">
        <v>#N/A</v>
      </c>
      <c r="G62" s="375" t="e">
        <v>#N/A</v>
      </c>
      <c r="H62" s="1595" t="e">
        <v>#N/A</v>
      </c>
      <c r="I62" s="375" t="e">
        <v>#N/A</v>
      </c>
      <c r="J62" s="1595" t="e">
        <v>#N/A</v>
      </c>
      <c r="K62" s="375" t="e">
        <v>#N/A</v>
      </c>
      <c r="L62" s="1595" t="e">
        <v>#N/A</v>
      </c>
      <c r="M62" s="375" t="e">
        <v>#N/A</v>
      </c>
      <c r="N62" s="1576" t="e">
        <f>AVERAGE('2.3'!G124:G125)</f>
        <v>#N/A</v>
      </c>
      <c r="O62" s="1577" t="e">
        <f t="shared" si="17"/>
        <v>#N/A</v>
      </c>
      <c r="P62" s="508" t="e">
        <f t="shared" si="18"/>
        <v>#N/A</v>
      </c>
      <c r="Q62" s="1576" t="e">
        <f>AVERAGE('2.3'!B124:B125)</f>
        <v>#N/A</v>
      </c>
      <c r="R62" s="1577" t="e">
        <f t="shared" si="19"/>
        <v>#N/A</v>
      </c>
      <c r="S62" s="508" t="e">
        <f t="shared" si="20"/>
        <v>#N/A</v>
      </c>
      <c r="T62" s="1576" t="e">
        <f>AVERAGE('2.3'!Q124:Q125)</f>
        <v>#N/A</v>
      </c>
      <c r="U62" s="1577" t="e">
        <f t="shared" si="21"/>
        <v>#N/A</v>
      </c>
      <c r="V62" s="526" t="e">
        <f t="shared" si="22"/>
        <v>#N/A</v>
      </c>
    </row>
    <row r="63" spans="1:22">
      <c r="A63" s="296">
        <f t="shared" si="6"/>
        <v>2027.2</v>
      </c>
      <c r="B63" s="1592" t="e">
        <v>#N/A</v>
      </c>
      <c r="C63" s="375" t="e">
        <v>#N/A</v>
      </c>
      <c r="D63" s="1595" t="e">
        <v>#N/A</v>
      </c>
      <c r="E63" s="375" t="e">
        <v>#N/A</v>
      </c>
      <c r="F63" s="1595" t="e">
        <v>#N/A</v>
      </c>
      <c r="G63" s="375" t="e">
        <v>#N/A</v>
      </c>
      <c r="H63" s="1595" t="e">
        <v>#N/A</v>
      </c>
      <c r="I63" s="375" t="e">
        <v>#N/A</v>
      </c>
      <c r="J63" s="1595" t="e">
        <v>#N/A</v>
      </c>
      <c r="K63" s="375" t="e">
        <v>#N/A</v>
      </c>
      <c r="L63" s="1595" t="e">
        <v>#N/A</v>
      </c>
      <c r="M63" s="375" t="e">
        <v>#N/A</v>
      </c>
      <c r="N63" s="1576" t="e">
        <f>AVERAGE('2.3'!G126:G127)</f>
        <v>#N/A</v>
      </c>
      <c r="O63" s="1577" t="e">
        <f t="shared" si="17"/>
        <v>#N/A</v>
      </c>
      <c r="P63" s="508" t="e">
        <f t="shared" si="18"/>
        <v>#N/A</v>
      </c>
      <c r="Q63" s="1576" t="e">
        <f>AVERAGE('2.3'!B126:B127)</f>
        <v>#N/A</v>
      </c>
      <c r="R63" s="1577" t="e">
        <f t="shared" si="19"/>
        <v>#N/A</v>
      </c>
      <c r="S63" s="508" t="e">
        <f t="shared" si="20"/>
        <v>#N/A</v>
      </c>
      <c r="T63" s="1576" t="e">
        <f>AVERAGE('2.3'!Q126:Q127)</f>
        <v>#N/A</v>
      </c>
      <c r="U63" s="1577" t="e">
        <f t="shared" si="21"/>
        <v>#N/A</v>
      </c>
      <c r="V63" s="526" t="e">
        <f t="shared" si="22"/>
        <v>#N/A</v>
      </c>
    </row>
    <row r="64" spans="1:22">
      <c r="A64" s="296">
        <f t="shared" si="6"/>
        <v>2028.1</v>
      </c>
      <c r="B64" s="1592" t="e">
        <v>#N/A</v>
      </c>
      <c r="C64" s="375" t="e">
        <v>#N/A</v>
      </c>
      <c r="D64" s="1595" t="e">
        <v>#N/A</v>
      </c>
      <c r="E64" s="375" t="e">
        <v>#N/A</v>
      </c>
      <c r="F64" s="1595" t="e">
        <v>#N/A</v>
      </c>
      <c r="G64" s="375" t="e">
        <v>#N/A</v>
      </c>
      <c r="H64" s="1595" t="e">
        <v>#N/A</v>
      </c>
      <c r="I64" s="375" t="e">
        <v>#N/A</v>
      </c>
      <c r="J64" s="1595" t="e">
        <v>#N/A</v>
      </c>
      <c r="K64" s="375" t="e">
        <v>#N/A</v>
      </c>
      <c r="L64" s="1595" t="e">
        <v>#N/A</v>
      </c>
      <c r="M64" s="375" t="e">
        <v>#N/A</v>
      </c>
      <c r="N64" s="1576" t="e">
        <f>AVERAGE('2.3'!G128:G129)</f>
        <v>#N/A</v>
      </c>
      <c r="O64" s="1577" t="e">
        <f t="shared" si="17"/>
        <v>#N/A</v>
      </c>
      <c r="P64" s="508" t="e">
        <f t="shared" si="18"/>
        <v>#N/A</v>
      </c>
      <c r="Q64" s="1576" t="e">
        <f>AVERAGE('2.3'!B128:B129)</f>
        <v>#N/A</v>
      </c>
      <c r="R64" s="1577" t="e">
        <f t="shared" si="19"/>
        <v>#N/A</v>
      </c>
      <c r="S64" s="508" t="e">
        <f t="shared" si="20"/>
        <v>#N/A</v>
      </c>
      <c r="T64" s="1576" t="e">
        <f>AVERAGE('2.3'!Q128:Q129)</f>
        <v>#N/A</v>
      </c>
      <c r="U64" s="1577" t="e">
        <f t="shared" si="21"/>
        <v>#N/A</v>
      </c>
      <c r="V64" s="526" t="e">
        <f t="shared" si="22"/>
        <v>#N/A</v>
      </c>
    </row>
    <row r="65" spans="1:22">
      <c r="A65" s="296">
        <f t="shared" si="6"/>
        <v>2028.2</v>
      </c>
      <c r="B65" s="1592" t="e">
        <v>#N/A</v>
      </c>
      <c r="C65" s="375" t="e">
        <v>#N/A</v>
      </c>
      <c r="D65" s="1595" t="e">
        <v>#N/A</v>
      </c>
      <c r="E65" s="375" t="e">
        <v>#N/A</v>
      </c>
      <c r="F65" s="1595" t="e">
        <v>#N/A</v>
      </c>
      <c r="G65" s="375" t="e">
        <v>#N/A</v>
      </c>
      <c r="H65" s="1595" t="e">
        <v>#N/A</v>
      </c>
      <c r="I65" s="375" t="e">
        <v>#N/A</v>
      </c>
      <c r="J65" s="1595" t="e">
        <v>#N/A</v>
      </c>
      <c r="K65" s="375" t="e">
        <v>#N/A</v>
      </c>
      <c r="L65" s="1595" t="e">
        <v>#N/A</v>
      </c>
      <c r="M65" s="375" t="e">
        <v>#N/A</v>
      </c>
      <c r="N65" s="1576" t="e">
        <f>AVERAGE('2.3'!G130:G131)</f>
        <v>#N/A</v>
      </c>
      <c r="O65" s="1577" t="e">
        <f t="shared" si="17"/>
        <v>#N/A</v>
      </c>
      <c r="P65" s="508" t="e">
        <f t="shared" si="18"/>
        <v>#N/A</v>
      </c>
      <c r="Q65" s="1576" t="e">
        <f>AVERAGE('2.3'!B130:B131)</f>
        <v>#N/A</v>
      </c>
      <c r="R65" s="1577" t="e">
        <f t="shared" si="19"/>
        <v>#N/A</v>
      </c>
      <c r="S65" s="508" t="e">
        <f t="shared" si="20"/>
        <v>#N/A</v>
      </c>
      <c r="T65" s="1576" t="e">
        <f>AVERAGE('2.3'!Q130:Q131)</f>
        <v>#N/A</v>
      </c>
      <c r="U65" s="1577" t="e">
        <f t="shared" si="21"/>
        <v>#N/A</v>
      </c>
      <c r="V65" s="526" t="e">
        <f t="shared" si="22"/>
        <v>#N/A</v>
      </c>
    </row>
    <row r="66" spans="1:22">
      <c r="A66" s="296">
        <f t="shared" si="6"/>
        <v>2029.1</v>
      </c>
      <c r="B66" s="1592" t="e">
        <v>#N/A</v>
      </c>
      <c r="C66" s="375" t="e">
        <v>#N/A</v>
      </c>
      <c r="D66" s="1595" t="e">
        <v>#N/A</v>
      </c>
      <c r="E66" s="375" t="e">
        <v>#N/A</v>
      </c>
      <c r="F66" s="1595" t="e">
        <v>#N/A</v>
      </c>
      <c r="G66" s="375" t="e">
        <v>#N/A</v>
      </c>
      <c r="H66" s="1595" t="e">
        <v>#N/A</v>
      </c>
      <c r="I66" s="375" t="e">
        <v>#N/A</v>
      </c>
      <c r="J66" s="1595" t="e">
        <v>#N/A</v>
      </c>
      <c r="K66" s="375" t="e">
        <v>#N/A</v>
      </c>
      <c r="L66" s="1595" t="e">
        <v>#N/A</v>
      </c>
      <c r="M66" s="375" t="e">
        <v>#N/A</v>
      </c>
      <c r="N66" s="1576" t="e">
        <f>AVERAGE('2.3'!G132:G133)</f>
        <v>#N/A</v>
      </c>
      <c r="O66" s="1577" t="e">
        <f t="shared" si="17"/>
        <v>#N/A</v>
      </c>
      <c r="P66" s="508" t="e">
        <f t="shared" si="18"/>
        <v>#N/A</v>
      </c>
      <c r="Q66" s="1576" t="e">
        <f>AVERAGE('2.3'!B132:B133)</f>
        <v>#N/A</v>
      </c>
      <c r="R66" s="1577" t="e">
        <f t="shared" si="19"/>
        <v>#N/A</v>
      </c>
      <c r="S66" s="508" t="e">
        <f t="shared" si="20"/>
        <v>#N/A</v>
      </c>
      <c r="T66" s="1576" t="e">
        <f>AVERAGE('2.3'!Q132:Q133)</f>
        <v>#N/A</v>
      </c>
      <c r="U66" s="1577" t="e">
        <f t="shared" si="21"/>
        <v>#N/A</v>
      </c>
      <c r="V66" s="526" t="e">
        <f t="shared" si="22"/>
        <v>#N/A</v>
      </c>
    </row>
    <row r="67" spans="1:22">
      <c r="A67" s="296">
        <f t="shared" si="6"/>
        <v>2029.2</v>
      </c>
      <c r="B67" s="1592" t="e">
        <v>#N/A</v>
      </c>
      <c r="C67" s="375" t="e">
        <v>#N/A</v>
      </c>
      <c r="D67" s="1595" t="e">
        <v>#N/A</v>
      </c>
      <c r="E67" s="375" t="e">
        <v>#N/A</v>
      </c>
      <c r="F67" s="1595" t="e">
        <v>#N/A</v>
      </c>
      <c r="G67" s="375" t="e">
        <v>#N/A</v>
      </c>
      <c r="H67" s="1595" t="e">
        <v>#N/A</v>
      </c>
      <c r="I67" s="375" t="e">
        <v>#N/A</v>
      </c>
      <c r="J67" s="1595" t="e">
        <v>#N/A</v>
      </c>
      <c r="K67" s="375" t="e">
        <v>#N/A</v>
      </c>
      <c r="L67" s="1595" t="e">
        <v>#N/A</v>
      </c>
      <c r="M67" s="375" t="e">
        <v>#N/A</v>
      </c>
      <c r="N67" s="1576" t="e">
        <f>AVERAGE('2.3'!G134:G135)</f>
        <v>#N/A</v>
      </c>
      <c r="O67" s="1577" t="e">
        <f t="shared" ref="O67:O69" si="23">N67*(B67/100)</f>
        <v>#N/A</v>
      </c>
      <c r="P67" s="508" t="e">
        <f t="shared" ref="P67:P69" si="24">N67*(C67/100)</f>
        <v>#N/A</v>
      </c>
      <c r="Q67" s="1576" t="e">
        <f>AVERAGE('2.3'!B134:B135)</f>
        <v>#N/A</v>
      </c>
      <c r="R67" s="1577" t="e">
        <f t="shared" ref="R67:R69" si="25">Q67*(D67/100)</f>
        <v>#N/A</v>
      </c>
      <c r="S67" s="508" t="e">
        <f t="shared" ref="S67:S69" si="26">Q67*(E67/100)</f>
        <v>#N/A</v>
      </c>
      <c r="T67" s="1576" t="e">
        <f>AVERAGE('2.3'!Q134:Q135)</f>
        <v>#N/A</v>
      </c>
      <c r="U67" s="1577" t="e">
        <f t="shared" ref="U67:U69" si="27">T67*(F67/100)</f>
        <v>#N/A</v>
      </c>
      <c r="V67" s="526" t="e">
        <f t="shared" ref="V67:V69" si="28">T67*(G67/100)</f>
        <v>#N/A</v>
      </c>
    </row>
    <row r="68" spans="1:22">
      <c r="A68" s="296">
        <f t="shared" si="6"/>
        <v>2030.1</v>
      </c>
      <c r="B68" s="1592" t="e">
        <v>#N/A</v>
      </c>
      <c r="C68" s="375" t="e">
        <v>#N/A</v>
      </c>
      <c r="D68" s="1595" t="e">
        <v>#N/A</v>
      </c>
      <c r="E68" s="375" t="e">
        <v>#N/A</v>
      </c>
      <c r="F68" s="1595" t="e">
        <v>#N/A</v>
      </c>
      <c r="G68" s="375" t="e">
        <v>#N/A</v>
      </c>
      <c r="H68" s="1595" t="e">
        <v>#N/A</v>
      </c>
      <c r="I68" s="375" t="e">
        <v>#N/A</v>
      </c>
      <c r="J68" s="1595" t="e">
        <v>#N/A</v>
      </c>
      <c r="K68" s="375" t="e">
        <v>#N/A</v>
      </c>
      <c r="L68" s="1595" t="e">
        <v>#N/A</v>
      </c>
      <c r="M68" s="375" t="e">
        <v>#N/A</v>
      </c>
      <c r="N68" s="1576" t="e">
        <f>AVERAGE('2.3'!G136:G137)</f>
        <v>#N/A</v>
      </c>
      <c r="O68" s="1577" t="e">
        <f t="shared" si="23"/>
        <v>#N/A</v>
      </c>
      <c r="P68" s="508" t="e">
        <f t="shared" si="24"/>
        <v>#N/A</v>
      </c>
      <c r="Q68" s="1576" t="e">
        <f>AVERAGE('2.3'!B136:B137)</f>
        <v>#N/A</v>
      </c>
      <c r="R68" s="1577" t="e">
        <f t="shared" si="25"/>
        <v>#N/A</v>
      </c>
      <c r="S68" s="508" t="e">
        <f t="shared" si="26"/>
        <v>#N/A</v>
      </c>
      <c r="T68" s="1576" t="e">
        <f>AVERAGE('2.3'!Q136:Q137)</f>
        <v>#N/A</v>
      </c>
      <c r="U68" s="1577" t="e">
        <f t="shared" si="27"/>
        <v>#N/A</v>
      </c>
      <c r="V68" s="526" t="e">
        <f t="shared" si="28"/>
        <v>#N/A</v>
      </c>
    </row>
    <row r="69" spans="1:22">
      <c r="A69" s="296">
        <f t="shared" si="6"/>
        <v>2030.2</v>
      </c>
      <c r="B69" s="1592" t="e">
        <v>#N/A</v>
      </c>
      <c r="C69" s="375" t="e">
        <v>#N/A</v>
      </c>
      <c r="D69" s="1595" t="e">
        <v>#N/A</v>
      </c>
      <c r="E69" s="375" t="e">
        <v>#N/A</v>
      </c>
      <c r="F69" s="1595" t="e">
        <v>#N/A</v>
      </c>
      <c r="G69" s="375" t="e">
        <v>#N/A</v>
      </c>
      <c r="H69" s="1595" t="e">
        <v>#N/A</v>
      </c>
      <c r="I69" s="375" t="e">
        <v>#N/A</v>
      </c>
      <c r="J69" s="1595" t="e">
        <v>#N/A</v>
      </c>
      <c r="K69" s="375" t="e">
        <v>#N/A</v>
      </c>
      <c r="L69" s="1595" t="e">
        <v>#N/A</v>
      </c>
      <c r="M69" s="375" t="e">
        <v>#N/A</v>
      </c>
      <c r="N69" s="1576" t="e">
        <f>AVERAGE('2.3'!G138:G139)</f>
        <v>#N/A</v>
      </c>
      <c r="O69" s="1577" t="e">
        <f t="shared" si="23"/>
        <v>#N/A</v>
      </c>
      <c r="P69" s="508" t="e">
        <f t="shared" si="24"/>
        <v>#N/A</v>
      </c>
      <c r="Q69" s="1576" t="e">
        <f>AVERAGE('2.3'!B138:B139)</f>
        <v>#N/A</v>
      </c>
      <c r="R69" s="1577" t="e">
        <f t="shared" si="25"/>
        <v>#N/A</v>
      </c>
      <c r="S69" s="508" t="e">
        <f t="shared" si="26"/>
        <v>#N/A</v>
      </c>
      <c r="T69" s="1576" t="e">
        <f>AVERAGE('2.3'!Q138:Q139)</f>
        <v>#N/A</v>
      </c>
      <c r="U69" s="1577" t="e">
        <f t="shared" si="27"/>
        <v>#N/A</v>
      </c>
      <c r="V69" s="526" t="e">
        <f t="shared" si="28"/>
        <v>#N/A</v>
      </c>
    </row>
    <row r="71" spans="1:22">
      <c r="B71" s="2929"/>
    </row>
  </sheetData>
  <mergeCells count="26">
    <mergeCell ref="J7:K7"/>
    <mergeCell ref="L7:M7"/>
    <mergeCell ref="T6:V6"/>
    <mergeCell ref="T7:V7"/>
    <mergeCell ref="N1:V1"/>
    <mergeCell ref="N6:P6"/>
    <mergeCell ref="N7:P7"/>
    <mergeCell ref="Q6:S6"/>
    <mergeCell ref="Q7:S7"/>
    <mergeCell ref="Q5:S5"/>
    <mergeCell ref="T5:V5"/>
    <mergeCell ref="D7:E7"/>
    <mergeCell ref="F6:G6"/>
    <mergeCell ref="F7:G7"/>
    <mergeCell ref="B6:C6"/>
    <mergeCell ref="D6:E6"/>
    <mergeCell ref="H6:I6"/>
    <mergeCell ref="J5:K5"/>
    <mergeCell ref="L5:M5"/>
    <mergeCell ref="N5:P5"/>
    <mergeCell ref="B5:C5"/>
    <mergeCell ref="D5:E5"/>
    <mergeCell ref="F5:G5"/>
    <mergeCell ref="H5:I5"/>
    <mergeCell ref="J6:K6"/>
    <mergeCell ref="L6:M6"/>
  </mergeCells>
  <phoneticPr fontId="58" type="noConversion"/>
  <hyperlinks>
    <hyperlink ref="A5" location="INDICE!A13" display="VOLVER AL INDICE" xr:uid="{00000000-0004-0000-1300-000000000000}"/>
  </hyperlinks>
  <pageMargins left="0.75" right="0.75" top="1" bottom="1" header="0" footer="0"/>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autoPageBreaks="0" fitToPage="1"/>
  </sheetPr>
  <dimension ref="A1:F454"/>
  <sheetViews>
    <sheetView zoomScale="130" zoomScaleNormal="130" workbookViewId="0">
      <pane xSplit="2" ySplit="9" topLeftCell="C356" activePane="bottomRight" state="frozen"/>
      <selection pane="topRight" activeCell="C1" sqref="C1"/>
      <selection pane="bottomLeft" activeCell="A10" sqref="A10"/>
      <selection pane="bottomRight" activeCell="C372" sqref="C372"/>
    </sheetView>
  </sheetViews>
  <sheetFormatPr baseColWidth="10" defaultColWidth="11.42578125" defaultRowHeight="12.75"/>
  <cols>
    <col min="1" max="1" width="9.7109375" style="19" bestFit="1" customWidth="1"/>
    <col min="2" max="2" width="3" style="19" bestFit="1" customWidth="1"/>
    <col min="3" max="3" width="14.5703125" style="19" bestFit="1" customWidth="1"/>
    <col min="4" max="4" width="15.5703125" style="19" customWidth="1"/>
    <col min="5" max="5" width="15.5703125" style="289" customWidth="1"/>
    <col min="6" max="8" width="10.7109375" style="1" customWidth="1"/>
    <col min="9" max="16384" width="11.42578125" style="1"/>
  </cols>
  <sheetData>
    <row r="1" spans="1:6" s="8" customFormat="1" ht="3" customHeight="1">
      <c r="A1" s="37"/>
      <c r="B1" s="37"/>
      <c r="C1" s="168"/>
      <c r="D1" s="169"/>
      <c r="E1" s="285"/>
    </row>
    <row r="2" spans="1:6" s="8" customFormat="1" ht="41.25" customHeight="1">
      <c r="A2" s="2294" t="s">
        <v>212</v>
      </c>
      <c r="B2" s="2294"/>
      <c r="C2" s="156" t="s">
        <v>285</v>
      </c>
      <c r="D2" s="94"/>
      <c r="E2" s="286"/>
    </row>
    <row r="3" spans="1:6" s="8" customFormat="1" ht="22.5">
      <c r="A3" s="2294" t="s">
        <v>330</v>
      </c>
      <c r="B3" s="2295"/>
      <c r="C3" s="156" t="s">
        <v>1317</v>
      </c>
      <c r="D3" s="94"/>
      <c r="E3" s="286"/>
    </row>
    <row r="4" spans="1:6" s="8" customFormat="1" ht="3" customHeight="1">
      <c r="A4" s="2296"/>
      <c r="B4" s="2296"/>
      <c r="C4" s="168"/>
      <c r="D4" s="169"/>
      <c r="E4" s="285"/>
    </row>
    <row r="5" spans="1:6" s="8" customFormat="1" ht="22.5">
      <c r="A5" s="2297" t="s">
        <v>213</v>
      </c>
      <c r="B5" s="2298"/>
      <c r="C5" s="80" t="s">
        <v>286</v>
      </c>
      <c r="D5" s="1339" t="s">
        <v>394</v>
      </c>
      <c r="E5" s="1331" t="s">
        <v>288</v>
      </c>
    </row>
    <row r="6" spans="1:6" s="8" customFormat="1" ht="3" customHeight="1">
      <c r="A6" s="2299"/>
      <c r="B6" s="2296"/>
      <c r="C6" s="168"/>
      <c r="D6" s="169"/>
      <c r="E6" s="285"/>
    </row>
    <row r="7" spans="1:6" s="8" customFormat="1" ht="22.5">
      <c r="A7" s="2300" t="s">
        <v>210</v>
      </c>
      <c r="B7" s="2294"/>
      <c r="C7" s="80" t="s">
        <v>317</v>
      </c>
      <c r="D7" s="1335" t="s">
        <v>793</v>
      </c>
      <c r="E7" s="1328" t="s">
        <v>793</v>
      </c>
    </row>
    <row r="8" spans="1:6" s="8" customFormat="1">
      <c r="A8" s="2301" t="s">
        <v>412</v>
      </c>
      <c r="B8" s="2296"/>
      <c r="C8" s="455" t="s">
        <v>407</v>
      </c>
      <c r="D8" s="1336" t="s">
        <v>408</v>
      </c>
      <c r="E8" s="1329" t="s">
        <v>409</v>
      </c>
    </row>
    <row r="9" spans="1:6" s="9" customFormat="1" ht="13.5" thickBot="1">
      <c r="A9" s="2302"/>
      <c r="B9" s="2303"/>
      <c r="C9" s="307"/>
      <c r="D9" s="1337"/>
      <c r="E9" s="889"/>
      <c r="F9" s="8" t="s">
        <v>352</v>
      </c>
    </row>
    <row r="10" spans="1:6">
      <c r="A10" s="329">
        <v>1994.01</v>
      </c>
      <c r="B10" s="1012"/>
      <c r="C10" s="1324">
        <v>99.780524881094948</v>
      </c>
      <c r="D10" s="1338"/>
      <c r="E10" s="1330"/>
    </row>
    <row r="11" spans="1:6">
      <c r="A11" s="329">
        <v>1994.02</v>
      </c>
      <c r="B11" s="1012"/>
      <c r="C11" s="1323">
        <v>99.256034254889599</v>
      </c>
      <c r="D11" s="1332">
        <v>-5.2703065457753414E-3</v>
      </c>
      <c r="E11" s="1013"/>
    </row>
    <row r="12" spans="1:6">
      <c r="A12" s="329">
        <v>1994.03</v>
      </c>
      <c r="B12" s="1012"/>
      <c r="C12" s="1323">
        <v>99.463906945992093</v>
      </c>
      <c r="D12" s="1333">
        <v>2.0921178384726469E-3</v>
      </c>
      <c r="E12" s="1013"/>
    </row>
    <row r="13" spans="1:6">
      <c r="A13" s="329">
        <v>1994.04</v>
      </c>
      <c r="B13" s="1012"/>
      <c r="C13" s="1323">
        <v>99.439212387132969</v>
      </c>
      <c r="D13" s="1333">
        <v>-2.4830740783550101E-4</v>
      </c>
      <c r="E13" s="1013"/>
    </row>
    <row r="14" spans="1:6">
      <c r="A14" s="329">
        <v>1994.05</v>
      </c>
      <c r="B14" s="1012"/>
      <c r="C14" s="1323">
        <v>99.874697538230208</v>
      </c>
      <c r="D14" s="1333">
        <v>4.3698489909399308E-3</v>
      </c>
      <c r="E14" s="1013"/>
    </row>
    <row r="15" spans="1:6">
      <c r="A15" s="329">
        <v>1994.06</v>
      </c>
      <c r="B15" s="1012"/>
      <c r="C15" s="1323">
        <v>100.03672125120076</v>
      </c>
      <c r="D15" s="1333">
        <v>1.6209554154343934E-3</v>
      </c>
      <c r="E15" s="1013"/>
    </row>
    <row r="16" spans="1:6">
      <c r="A16" s="329">
        <v>1994.07</v>
      </c>
      <c r="B16" s="1012"/>
      <c r="C16" s="1323">
        <v>100.26992402603203</v>
      </c>
      <c r="D16" s="1333">
        <v>2.3284587475551435E-3</v>
      </c>
      <c r="E16" s="1013"/>
    </row>
    <row r="17" spans="1:5">
      <c r="A17" s="329">
        <v>1994.08</v>
      </c>
      <c r="B17" s="1012"/>
      <c r="C17" s="1323">
        <v>99.535512784442261</v>
      </c>
      <c r="D17" s="1333">
        <v>-7.3512969487205615E-3</v>
      </c>
      <c r="E17" s="1013"/>
    </row>
    <row r="18" spans="1:5">
      <c r="A18" s="329">
        <v>1994.09</v>
      </c>
      <c r="B18" s="1012"/>
      <c r="C18" s="1323">
        <v>100.45256500481604</v>
      </c>
      <c r="D18" s="1333">
        <v>9.1711331820371819E-3</v>
      </c>
      <c r="E18" s="1013"/>
    </row>
    <row r="19" spans="1:5">
      <c r="A19" s="329">
        <v>1994.1</v>
      </c>
      <c r="B19" s="1012"/>
      <c r="C19" s="1323">
        <v>100.84232759988619</v>
      </c>
      <c r="D19" s="1333">
        <v>3.8725580875188337E-3</v>
      </c>
      <c r="E19" s="1013"/>
    </row>
    <row r="20" spans="1:5">
      <c r="A20" s="329">
        <v>1994.11</v>
      </c>
      <c r="B20" s="1012"/>
      <c r="C20" s="1323">
        <v>100.69199140524472</v>
      </c>
      <c r="D20" s="1333">
        <v>-1.4919168434304694E-3</v>
      </c>
      <c r="E20" s="1013"/>
    </row>
    <row r="21" spans="1:5">
      <c r="A21" s="329">
        <v>1994.12</v>
      </c>
      <c r="B21" s="1012"/>
      <c r="C21" s="1323">
        <v>100.356581921038</v>
      </c>
      <c r="D21" s="1333">
        <v>-3.3366045809886764E-3</v>
      </c>
      <c r="E21" s="1013"/>
    </row>
    <row r="22" spans="1:5">
      <c r="A22" s="329">
        <v>1995.01</v>
      </c>
      <c r="B22" s="1012"/>
      <c r="C22" s="1323">
        <v>99.538496234915442</v>
      </c>
      <c r="D22" s="1333">
        <v>-8.1851965654697063E-3</v>
      </c>
      <c r="E22" s="1325">
        <v>-2.4285566302619352E-3</v>
      </c>
    </row>
    <row r="23" spans="1:5">
      <c r="A23" s="329">
        <v>1995.02</v>
      </c>
      <c r="B23" s="1012"/>
      <c r="C23" s="1323">
        <v>98.628588821490851</v>
      </c>
      <c r="D23" s="1333">
        <v>-9.1832991110214479E-3</v>
      </c>
      <c r="E23" s="1326">
        <v>-6.3415491955080665E-3</v>
      </c>
    </row>
    <row r="24" spans="1:5">
      <c r="A24" s="329">
        <v>1995.03</v>
      </c>
      <c r="B24" s="1012"/>
      <c r="C24" s="1323">
        <v>97.331211081002621</v>
      </c>
      <c r="D24" s="1333">
        <v>-1.3241457661405652E-2</v>
      </c>
      <c r="E24" s="1326">
        <v>-2.1675124695386409E-2</v>
      </c>
    </row>
    <row r="25" spans="1:5">
      <c r="A25" s="329">
        <v>1995.04</v>
      </c>
      <c r="B25" s="1012"/>
      <c r="C25" s="1323">
        <v>94.888584468757529</v>
      </c>
      <c r="D25" s="1333">
        <v>-2.5416301127642524E-2</v>
      </c>
      <c r="E25" s="1326">
        <v>-4.6843118415193452E-2</v>
      </c>
    </row>
    <row r="26" spans="1:5">
      <c r="A26" s="329">
        <v>1995.05</v>
      </c>
      <c r="B26" s="1012"/>
      <c r="C26" s="1323">
        <v>93.872806312746846</v>
      </c>
      <c r="D26" s="1333">
        <v>-1.0762666634395079E-2</v>
      </c>
      <c r="E26" s="1326">
        <v>-6.1975634040528575E-2</v>
      </c>
    </row>
    <row r="27" spans="1:5">
      <c r="A27" s="329">
        <v>1995.06</v>
      </c>
      <c r="B27" s="1012"/>
      <c r="C27" s="1323">
        <v>93.447084744005508</v>
      </c>
      <c r="D27" s="1333">
        <v>-4.5454041139445919E-3</v>
      </c>
      <c r="E27" s="1326">
        <v>-6.8141993569907341E-2</v>
      </c>
    </row>
    <row r="28" spans="1:5">
      <c r="A28" s="329">
        <v>1995.07</v>
      </c>
      <c r="B28" s="1012"/>
      <c r="C28" s="1323">
        <v>92.503795562549911</v>
      </c>
      <c r="D28" s="1333">
        <v>-1.0145660738985955E-2</v>
      </c>
      <c r="E28" s="1326">
        <v>-8.0616113056448613E-2</v>
      </c>
    </row>
    <row r="29" spans="1:5">
      <c r="A29" s="329">
        <v>1995.08</v>
      </c>
      <c r="B29" s="1012"/>
      <c r="C29" s="1323">
        <v>91.686075857432527</v>
      </c>
      <c r="D29" s="1333">
        <v>-8.8791535732297266E-3</v>
      </c>
      <c r="E29" s="1326">
        <v>-8.2143969680957787E-2</v>
      </c>
    </row>
    <row r="30" spans="1:5">
      <c r="A30" s="329">
        <v>1995.09</v>
      </c>
      <c r="B30" s="1012"/>
      <c r="C30" s="1323">
        <v>91.042481192877631</v>
      </c>
      <c r="D30" s="1333">
        <v>-7.044299329249373E-3</v>
      </c>
      <c r="E30" s="1326">
        <v>-9.8359402192244427E-2</v>
      </c>
    </row>
    <row r="31" spans="1:5">
      <c r="A31" s="329">
        <v>1995.1</v>
      </c>
      <c r="B31" s="1012"/>
      <c r="C31" s="1323">
        <v>90.823481127994555</v>
      </c>
      <c r="D31" s="1333">
        <v>-2.4083689761705391E-3</v>
      </c>
      <c r="E31" s="1326">
        <v>-0.10464032925593385</v>
      </c>
    </row>
    <row r="32" spans="1:5">
      <c r="A32" s="329">
        <v>1995.11</v>
      </c>
      <c r="B32" s="1012"/>
      <c r="C32" s="1323">
        <v>90.514382442175787</v>
      </c>
      <c r="D32" s="1333">
        <v>-3.4090948144352897E-3</v>
      </c>
      <c r="E32" s="1326">
        <v>-0.1065575072269387</v>
      </c>
    </row>
    <row r="33" spans="1:5">
      <c r="A33" s="329">
        <v>1995.12</v>
      </c>
      <c r="B33" s="1012"/>
      <c r="C33" s="1323">
        <v>90.459401125576107</v>
      </c>
      <c r="D33" s="1333">
        <v>-6.0761638738328892E-4</v>
      </c>
      <c r="E33" s="1326">
        <v>-0.10382851903333327</v>
      </c>
    </row>
    <row r="34" spans="1:5">
      <c r="A34" s="329">
        <v>1996.01</v>
      </c>
      <c r="B34" s="1012"/>
      <c r="C34" s="1323">
        <v>91.266894940988919</v>
      </c>
      <c r="D34" s="1333">
        <v>8.8869816579587365E-3</v>
      </c>
      <c r="E34" s="1326">
        <v>-8.6756340809904797E-2</v>
      </c>
    </row>
    <row r="35" spans="1:5">
      <c r="A35" s="329">
        <v>1996.02</v>
      </c>
      <c r="B35" s="1012"/>
      <c r="C35" s="1323">
        <v>92.423271988624293</v>
      </c>
      <c r="D35" s="1333">
        <v>1.2590682921958555E-2</v>
      </c>
      <c r="E35" s="1326">
        <v>-6.4982358776924751E-2</v>
      </c>
    </row>
    <row r="36" spans="1:5">
      <c r="A36" s="329">
        <v>1996.03</v>
      </c>
      <c r="B36" s="1012"/>
      <c r="C36" s="1323">
        <v>92.44161827115127</v>
      </c>
      <c r="D36" s="1333">
        <v>1.9848314692343515E-4</v>
      </c>
      <c r="E36" s="1326">
        <v>-5.1542417968595697E-2</v>
      </c>
    </row>
    <row r="37" spans="1:5">
      <c r="A37" s="329">
        <v>1996.04</v>
      </c>
      <c r="B37" s="1012"/>
      <c r="C37" s="1323">
        <v>94.044883728113234</v>
      </c>
      <c r="D37" s="1333">
        <v>1.7194863347339748E-2</v>
      </c>
      <c r="E37" s="1326">
        <v>-8.9312534936134471E-3</v>
      </c>
    </row>
    <row r="38" spans="1:5">
      <c r="A38" s="329">
        <v>1996.05</v>
      </c>
      <c r="B38" s="1012"/>
      <c r="C38" s="1323">
        <v>94.682371363755976</v>
      </c>
      <c r="D38" s="1333">
        <v>6.755675642753145E-3</v>
      </c>
      <c r="E38" s="1326">
        <v>8.5870887835346951E-3</v>
      </c>
    </row>
    <row r="39" spans="1:5">
      <c r="A39" s="329">
        <v>1996.06</v>
      </c>
      <c r="B39" s="1012"/>
      <c r="C39" s="1323">
        <v>95.128343731341332</v>
      </c>
      <c r="D39" s="1333">
        <v>4.6991360632156415E-3</v>
      </c>
      <c r="E39" s="1326">
        <v>1.7831628960695078E-2</v>
      </c>
    </row>
    <row r="40" spans="1:5">
      <c r="A40" s="329">
        <v>1996.07</v>
      </c>
      <c r="B40" s="1012"/>
      <c r="C40" s="1323">
        <v>95.598558271697513</v>
      </c>
      <c r="D40" s="1333">
        <v>4.9307726187811226E-3</v>
      </c>
      <c r="E40" s="1326">
        <v>3.2908062318462182E-2</v>
      </c>
    </row>
    <row r="41" spans="1:5">
      <c r="A41" s="329">
        <v>1996.08</v>
      </c>
      <c r="B41" s="1012"/>
      <c r="C41" s="1323">
        <v>96.582717906110076</v>
      </c>
      <c r="D41" s="1333">
        <v>1.0242082446191765E-2</v>
      </c>
      <c r="E41" s="1326">
        <v>5.202929833788373E-2</v>
      </c>
    </row>
    <row r="42" spans="1:5">
      <c r="A42" s="329">
        <v>1996.09</v>
      </c>
      <c r="B42" s="1012"/>
      <c r="C42" s="1323">
        <v>96.557541070841097</v>
      </c>
      <c r="D42" s="1333">
        <v>-2.6071038265089788E-4</v>
      </c>
      <c r="E42" s="1326">
        <v>5.8812887284482251E-2</v>
      </c>
    </row>
    <row r="43" spans="1:5">
      <c r="A43" s="329">
        <v>1996.1</v>
      </c>
      <c r="B43" s="1012"/>
      <c r="C43" s="1323">
        <v>97.329184176067471</v>
      </c>
      <c r="D43" s="1333">
        <v>7.9597731962897621E-3</v>
      </c>
      <c r="E43" s="1326">
        <v>6.9181029456942614E-2</v>
      </c>
    </row>
    <row r="44" spans="1:5">
      <c r="A44" s="329">
        <v>1996.11</v>
      </c>
      <c r="B44" s="1012"/>
      <c r="C44" s="1323">
        <v>97.935051246844139</v>
      </c>
      <c r="D44" s="1333">
        <v>6.2056322171350556E-3</v>
      </c>
      <c r="E44" s="1326">
        <v>7.8795756488512989E-2</v>
      </c>
    </row>
    <row r="45" spans="1:5">
      <c r="A45" s="329">
        <v>1996.12</v>
      </c>
      <c r="B45" s="1012"/>
      <c r="C45" s="1323">
        <v>98.427880519816483</v>
      </c>
      <c r="D45" s="1333">
        <v>5.0195859608036398E-3</v>
      </c>
      <c r="E45" s="1326">
        <v>8.4422958836699896E-2</v>
      </c>
    </row>
    <row r="46" spans="1:5">
      <c r="A46" s="329">
        <v>1997.01</v>
      </c>
      <c r="B46" s="1012"/>
      <c r="C46" s="1323">
        <v>98.874458812559354</v>
      </c>
      <c r="D46" s="1333">
        <v>4.5268500806875736E-3</v>
      </c>
      <c r="E46" s="1326">
        <v>8.0062827259428773E-2</v>
      </c>
    </row>
    <row r="47" spans="1:5">
      <c r="A47" s="329">
        <v>1997.02</v>
      </c>
      <c r="B47" s="1012"/>
      <c r="C47" s="1323">
        <v>99.355462229586763</v>
      </c>
      <c r="D47" s="1333">
        <v>4.8529945280697392E-3</v>
      </c>
      <c r="E47" s="1326">
        <v>7.2325138865539804E-2</v>
      </c>
    </row>
    <row r="48" spans="1:5">
      <c r="A48" s="329">
        <v>1997.03</v>
      </c>
      <c r="B48" s="1012"/>
      <c r="C48" s="1323">
        <v>100.35020047271837</v>
      </c>
      <c r="D48" s="1333">
        <v>9.9621258252814149E-3</v>
      </c>
      <c r="E48" s="1326">
        <v>8.2088781543897898E-2</v>
      </c>
    </row>
    <row r="49" spans="1:5">
      <c r="A49" s="329">
        <v>1997.04</v>
      </c>
      <c r="B49" s="1012"/>
      <c r="C49" s="1323">
        <v>100.66332713607208</v>
      </c>
      <c r="D49" s="1333">
        <v>3.1154810360440035E-3</v>
      </c>
      <c r="E49" s="1326">
        <v>6.8009399232602089E-2</v>
      </c>
    </row>
    <row r="50" spans="1:5">
      <c r="A50" s="329">
        <v>1997.05</v>
      </c>
      <c r="B50" s="1012"/>
      <c r="C50" s="1323">
        <v>101.29337549559655</v>
      </c>
      <c r="D50" s="1333">
        <v>6.239460194589006E-3</v>
      </c>
      <c r="E50" s="1326">
        <v>6.7493183784438041E-2</v>
      </c>
    </row>
    <row r="51" spans="1:5">
      <c r="A51" s="329">
        <v>1997.06</v>
      </c>
      <c r="B51" s="1012"/>
      <c r="C51" s="1323">
        <v>102.10414030046361</v>
      </c>
      <c r="D51" s="1333">
        <v>7.9722615670547517E-3</v>
      </c>
      <c r="E51" s="1326">
        <v>7.0766309288276957E-2</v>
      </c>
    </row>
    <row r="52" spans="1:5">
      <c r="A52" s="329">
        <v>1997.07</v>
      </c>
      <c r="B52" s="1012"/>
      <c r="C52" s="1323">
        <v>102.13997454433969</v>
      </c>
      <c r="D52" s="1333">
        <v>3.5089622309069762E-4</v>
      </c>
      <c r="E52" s="1326">
        <v>6.6186432892586272E-2</v>
      </c>
    </row>
    <row r="53" spans="1:5">
      <c r="A53" s="329">
        <v>1997.08</v>
      </c>
      <c r="B53" s="1012"/>
      <c r="C53" s="1323">
        <v>102.73330957819975</v>
      </c>
      <c r="D53" s="1333">
        <v>5.7922309906168427E-3</v>
      </c>
      <c r="E53" s="1326">
        <v>6.1736581437011495E-2</v>
      </c>
    </row>
    <row r="54" spans="1:5">
      <c r="A54" s="329">
        <v>1997.09</v>
      </c>
      <c r="B54" s="1012"/>
      <c r="C54" s="1323">
        <v>102.81483072320707</v>
      </c>
      <c r="D54" s="1333">
        <v>7.9320736409534164E-4</v>
      </c>
      <c r="E54" s="1326">
        <v>6.2790499183757661E-2</v>
      </c>
    </row>
    <row r="55" spans="1:5">
      <c r="A55" s="329">
        <v>1997.1</v>
      </c>
      <c r="B55" s="1012"/>
      <c r="C55" s="1323">
        <v>103.62196509162266</v>
      </c>
      <c r="D55" s="1333">
        <v>7.8197152606408367E-3</v>
      </c>
      <c r="E55" s="1326">
        <v>6.2650441248108882E-2</v>
      </c>
    </row>
    <row r="56" spans="1:5">
      <c r="A56" s="329">
        <v>1997.11</v>
      </c>
      <c r="B56" s="1012"/>
      <c r="C56" s="1323">
        <v>103.8479632768793</v>
      </c>
      <c r="D56" s="1333">
        <v>2.1786123552722876E-3</v>
      </c>
      <c r="E56" s="1326">
        <v>5.8623421386246051E-2</v>
      </c>
    </row>
    <row r="57" spans="1:5">
      <c r="A57" s="329">
        <v>1997.12</v>
      </c>
      <c r="B57" s="1012"/>
      <c r="C57" s="1323">
        <v>104.16929040649708</v>
      </c>
      <c r="D57" s="1333">
        <v>3.0894301266422425E-3</v>
      </c>
      <c r="E57" s="1326">
        <v>5.6693265552084773E-2</v>
      </c>
    </row>
    <row r="58" spans="1:5">
      <c r="A58" s="329">
        <v>1998.01</v>
      </c>
      <c r="B58" s="1012"/>
      <c r="C58" s="1323">
        <v>104.42306967408639</v>
      </c>
      <c r="D58" s="1333">
        <v>2.4332568336122786E-3</v>
      </c>
      <c r="E58" s="1326">
        <v>5.4599672305009346E-2</v>
      </c>
    </row>
    <row r="59" spans="1:5">
      <c r="A59" s="329">
        <v>1998.02</v>
      </c>
      <c r="B59" s="1012"/>
      <c r="C59" s="1323">
        <v>105.12551415309044</v>
      </c>
      <c r="D59" s="1333">
        <v>6.7043842276618233E-3</v>
      </c>
      <c r="E59" s="1326">
        <v>5.6451062004601503E-2</v>
      </c>
    </row>
    <row r="60" spans="1:5">
      <c r="A60" s="329">
        <v>1998.03</v>
      </c>
      <c r="B60" s="1012"/>
      <c r="C60" s="1323">
        <v>106.02332686348895</v>
      </c>
      <c r="D60" s="1333">
        <v>8.504125496485054E-3</v>
      </c>
      <c r="E60" s="1326">
        <v>5.4993061675805227E-2</v>
      </c>
    </row>
    <row r="61" spans="1:5">
      <c r="A61" s="329">
        <v>1998.04</v>
      </c>
      <c r="B61" s="1012"/>
      <c r="C61" s="1323">
        <v>106.61344995719203</v>
      </c>
      <c r="D61" s="1333">
        <v>5.5505413277374691E-3</v>
      </c>
      <c r="E61" s="1326">
        <v>5.7428121967498601E-2</v>
      </c>
    </row>
    <row r="62" spans="1:5">
      <c r="A62" s="329">
        <v>1998.05</v>
      </c>
      <c r="B62" s="1012"/>
      <c r="C62" s="1323">
        <v>107.2054850273951</v>
      </c>
      <c r="D62" s="1333">
        <v>5.5377376490734426E-3</v>
      </c>
      <c r="E62" s="1326">
        <v>5.6726399421983098E-2</v>
      </c>
    </row>
    <row r="63" spans="1:5">
      <c r="A63" s="329">
        <v>1998.06</v>
      </c>
      <c r="B63" s="1012"/>
      <c r="C63" s="1323">
        <v>106.75584682552692</v>
      </c>
      <c r="D63" s="1333">
        <v>-4.2029918199165545E-3</v>
      </c>
      <c r="E63" s="1326">
        <v>4.4551146035011722E-2</v>
      </c>
    </row>
    <row r="64" spans="1:5">
      <c r="A64" s="329">
        <v>1998.07</v>
      </c>
      <c r="B64" s="1012"/>
      <c r="C64" s="1323">
        <v>107.33879596795103</v>
      </c>
      <c r="D64" s="1333">
        <v>5.4457278844203417E-3</v>
      </c>
      <c r="E64" s="1326">
        <v>4.9645977696341465E-2</v>
      </c>
    </row>
    <row r="65" spans="1:5">
      <c r="A65" s="329">
        <v>1998.08</v>
      </c>
      <c r="B65" s="1012"/>
      <c r="C65" s="1323">
        <v>107.64260566886252</v>
      </c>
      <c r="D65" s="1333">
        <v>2.8263831275216682E-3</v>
      </c>
      <c r="E65" s="1326">
        <v>4.6680129833246327E-2</v>
      </c>
    </row>
    <row r="66" spans="1:5">
      <c r="A66" s="329">
        <v>1998.09</v>
      </c>
      <c r="B66" s="1012"/>
      <c r="C66" s="1323">
        <v>108.27748332821918</v>
      </c>
      <c r="D66" s="1333">
        <v>5.8806893971097857E-3</v>
      </c>
      <c r="E66" s="1326">
        <v>5.1767611866260804E-2</v>
      </c>
    </row>
    <row r="67" spans="1:5">
      <c r="A67" s="329">
        <v>1998.1</v>
      </c>
      <c r="B67" s="1012"/>
      <c r="C67" s="1323">
        <v>108.16393056781678</v>
      </c>
      <c r="D67" s="1333">
        <v>-1.0492702738959575E-3</v>
      </c>
      <c r="E67" s="1326">
        <v>4.2898626331723838E-2</v>
      </c>
    </row>
    <row r="68" spans="1:5">
      <c r="A68" s="329">
        <v>1998.11</v>
      </c>
      <c r="B68" s="1012"/>
      <c r="C68" s="1323">
        <v>108.28876837470247</v>
      </c>
      <c r="D68" s="1333">
        <v>1.1534882340330755E-3</v>
      </c>
      <c r="E68" s="1326">
        <v>4.1873502210484664E-2</v>
      </c>
    </row>
    <row r="69" spans="1:5">
      <c r="A69" s="329">
        <v>1998.12</v>
      </c>
      <c r="B69" s="1012"/>
      <c r="C69" s="1323">
        <v>108.3940098941865</v>
      </c>
      <c r="D69" s="1333">
        <v>9.7138802262237782E-4</v>
      </c>
      <c r="E69" s="1326">
        <v>3.9755460106464739E-2</v>
      </c>
    </row>
    <row r="70" spans="1:5">
      <c r="A70" s="329">
        <v>1999.01</v>
      </c>
      <c r="B70" s="1012"/>
      <c r="C70" s="1323">
        <v>108.86623761403855</v>
      </c>
      <c r="D70" s="1333">
        <v>4.3471225769752047E-3</v>
      </c>
      <c r="E70" s="1326">
        <v>4.1669325849827514E-2</v>
      </c>
    </row>
    <row r="71" spans="1:5">
      <c r="A71" s="329">
        <v>1999.02</v>
      </c>
      <c r="B71" s="1012"/>
      <c r="C71" s="1323">
        <v>109.28350547850758</v>
      </c>
      <c r="D71" s="1333">
        <v>3.8255224822491074E-3</v>
      </c>
      <c r="E71" s="1326">
        <v>3.8790464104414821E-2</v>
      </c>
    </row>
    <row r="72" spans="1:5">
      <c r="A72" s="329">
        <v>1999.03</v>
      </c>
      <c r="B72" s="1012"/>
      <c r="C72" s="1323">
        <v>110.11236088934793</v>
      </c>
      <c r="D72" s="1333">
        <v>7.5558338256896864E-3</v>
      </c>
      <c r="E72" s="1326">
        <v>3.7842172433619432E-2</v>
      </c>
    </row>
    <row r="73" spans="1:5">
      <c r="A73" s="329">
        <v>1999.04</v>
      </c>
      <c r="B73" s="1012"/>
      <c r="C73" s="1323">
        <v>111.12762983040753</v>
      </c>
      <c r="D73" s="1333">
        <v>9.1780519846358256E-3</v>
      </c>
      <c r="E73" s="1326">
        <v>4.1469683090517989E-2</v>
      </c>
    </row>
    <row r="74" spans="1:5">
      <c r="A74" s="329">
        <v>1999.05</v>
      </c>
      <c r="B74" s="1012"/>
      <c r="C74" s="1323">
        <v>111.76782664402469</v>
      </c>
      <c r="D74" s="1333">
        <v>5.7443842433955276E-3</v>
      </c>
      <c r="E74" s="1326">
        <v>4.167632968483994E-2</v>
      </c>
    </row>
    <row r="75" spans="1:5">
      <c r="A75" s="329">
        <v>1999.06</v>
      </c>
      <c r="B75" s="1012"/>
      <c r="C75" s="1323">
        <v>111.9970970450993</v>
      </c>
      <c r="D75" s="1333">
        <v>2.0492084060818503E-3</v>
      </c>
      <c r="E75" s="1326">
        <v>4.7928529910838409E-2</v>
      </c>
    </row>
    <row r="76" spans="1:5">
      <c r="A76" s="329">
        <v>1999.07</v>
      </c>
      <c r="B76" s="1012"/>
      <c r="C76" s="1323">
        <v>113.08568846056376</v>
      </c>
      <c r="D76" s="1333">
        <v>9.6728845861405229E-3</v>
      </c>
      <c r="E76" s="1326">
        <v>5.215568661255858E-2</v>
      </c>
    </row>
    <row r="77" spans="1:5">
      <c r="A77" s="329">
        <v>1999.08</v>
      </c>
      <c r="B77" s="1012"/>
      <c r="C77" s="1323">
        <v>113.24778071270804</v>
      </c>
      <c r="D77" s="1333">
        <v>1.4323315102124251E-3</v>
      </c>
      <c r="E77" s="1326">
        <v>5.0761634995249418E-2</v>
      </c>
    </row>
    <row r="78" spans="1:5">
      <c r="A78" s="329">
        <v>1999.09</v>
      </c>
      <c r="B78" s="1012"/>
      <c r="C78" s="1323">
        <v>113.78408760645173</v>
      </c>
      <c r="D78" s="1333">
        <v>4.7245163887508585E-3</v>
      </c>
      <c r="E78" s="1326">
        <v>4.9605461986890594E-2</v>
      </c>
    </row>
    <row r="79" spans="1:5">
      <c r="A79" s="329">
        <v>1999.1</v>
      </c>
      <c r="B79" s="1012"/>
      <c r="C79" s="1323">
        <v>113.96475622503669</v>
      </c>
      <c r="D79" s="1333">
        <v>1.5865604711170216E-3</v>
      </c>
      <c r="E79" s="1326">
        <v>5.2241292731903546E-2</v>
      </c>
    </row>
    <row r="80" spans="1:5">
      <c r="A80" s="329">
        <v>1999.11</v>
      </c>
      <c r="B80" s="1012"/>
      <c r="C80" s="1323">
        <v>113.9772434042364</v>
      </c>
      <c r="D80" s="1333">
        <v>1.0956453161342885E-4</v>
      </c>
      <c r="E80" s="1326">
        <v>5.1197369029483818E-2</v>
      </c>
    </row>
    <row r="81" spans="1:5">
      <c r="A81" s="329">
        <v>1999.12</v>
      </c>
      <c r="B81" s="1012"/>
      <c r="C81" s="1323">
        <v>113.98069945975588</v>
      </c>
      <c r="D81" s="1333">
        <v>3.0321869695046499E-5</v>
      </c>
      <c r="E81" s="1326">
        <v>5.0256302876556462E-2</v>
      </c>
    </row>
    <row r="82" spans="1:5">
      <c r="A82" s="329">
        <v>2000.01</v>
      </c>
      <c r="B82" s="1012"/>
      <c r="C82" s="1323">
        <v>114.49894765589684</v>
      </c>
      <c r="D82" s="1333">
        <v>4.5365010973354948E-3</v>
      </c>
      <c r="E82" s="1326">
        <v>5.0445681396916915E-2</v>
      </c>
    </row>
    <row r="83" spans="1:5">
      <c r="A83" s="329">
        <v>2000.02</v>
      </c>
      <c r="B83" s="1012"/>
      <c r="C83" s="1323">
        <v>114.87228441197141</v>
      </c>
      <c r="D83" s="1333">
        <v>3.2553087185109284E-3</v>
      </c>
      <c r="E83" s="1326">
        <v>4.987546763317878E-2</v>
      </c>
    </row>
    <row r="84" spans="1:5">
      <c r="A84" s="329">
        <v>2000.03</v>
      </c>
      <c r="B84" s="1012"/>
      <c r="C84" s="1323">
        <v>114.92363621990127</v>
      </c>
      <c r="D84" s="1333">
        <v>4.4693403297550537E-4</v>
      </c>
      <c r="E84" s="1326">
        <v>4.2766567840464439E-2</v>
      </c>
    </row>
    <row r="85" spans="1:5">
      <c r="A85" s="329">
        <v>2000.04</v>
      </c>
      <c r="B85" s="1012"/>
      <c r="C85" s="1323">
        <v>115.09584060918964</v>
      </c>
      <c r="D85" s="1333">
        <v>1.4973029574241951E-3</v>
      </c>
      <c r="E85" s="1326">
        <v>3.5085818813252838E-2</v>
      </c>
    </row>
    <row r="86" spans="1:5">
      <c r="A86" s="329">
        <v>2000.05</v>
      </c>
      <c r="B86" s="1012"/>
      <c r="C86" s="1323">
        <v>114.45798764196829</v>
      </c>
      <c r="D86" s="1333">
        <v>-5.5573423776355026E-3</v>
      </c>
      <c r="E86" s="1326">
        <v>2.3784092192221856E-2</v>
      </c>
    </row>
    <row r="87" spans="1:5">
      <c r="A87" s="329">
        <v>2000.06</v>
      </c>
      <c r="B87" s="1012"/>
      <c r="C87" s="1323">
        <v>114.36726825525669</v>
      </c>
      <c r="D87" s="1333">
        <v>-7.9291414847482199E-4</v>
      </c>
      <c r="E87" s="1326">
        <v>2.0941969637665332E-2</v>
      </c>
    </row>
    <row r="88" spans="1:5">
      <c r="A88" s="329">
        <v>2000.07</v>
      </c>
      <c r="B88" s="1012"/>
      <c r="C88" s="1323">
        <v>114.6430624101511</v>
      </c>
      <c r="D88" s="1333">
        <v>2.4085750841188395E-3</v>
      </c>
      <c r="E88" s="1326">
        <v>1.3677660135643737E-2</v>
      </c>
    </row>
    <row r="89" spans="1:5">
      <c r="A89" s="329">
        <v>2000.08</v>
      </c>
      <c r="B89" s="1012"/>
      <c r="C89" s="1323">
        <v>114.75764895385036</v>
      </c>
      <c r="D89" s="1333">
        <v>9.9900782824847425E-4</v>
      </c>
      <c r="E89" s="1326">
        <v>1.3244336453679548E-2</v>
      </c>
    </row>
    <row r="90" spans="1:5">
      <c r="A90" s="329">
        <v>2000.09</v>
      </c>
      <c r="B90" s="1012"/>
      <c r="C90" s="1323">
        <v>114.76326368816262</v>
      </c>
      <c r="D90" s="1333">
        <v>4.8925688284772299E-5</v>
      </c>
      <c r="E90" s="1326">
        <v>8.5687457532135341E-3</v>
      </c>
    </row>
    <row r="91" spans="1:5">
      <c r="A91" s="329">
        <v>2000.1</v>
      </c>
      <c r="B91" s="1012"/>
      <c r="C91" s="1323">
        <v>114.72258038134611</v>
      </c>
      <c r="D91" s="1333">
        <v>-3.5456049507260338E-4</v>
      </c>
      <c r="E91" s="1326">
        <v>6.6276247870239308E-3</v>
      </c>
    </row>
    <row r="92" spans="1:5">
      <c r="A92" s="329">
        <v>2000.11</v>
      </c>
      <c r="B92" s="1012"/>
      <c r="C92" s="1323">
        <v>114.84492963060214</v>
      </c>
      <c r="D92" s="1333">
        <v>1.0659109456189998E-3</v>
      </c>
      <c r="E92" s="1326">
        <v>7.5839712010294345E-3</v>
      </c>
    </row>
    <row r="93" spans="1:5">
      <c r="A93" s="329">
        <v>2000.12</v>
      </c>
      <c r="B93" s="1012"/>
      <c r="C93" s="1323">
        <v>115.27042526690838</v>
      </c>
      <c r="D93" s="1333">
        <v>3.6981115095065372E-3</v>
      </c>
      <c r="E93" s="1326">
        <v>1.1251760840840971E-2</v>
      </c>
    </row>
    <row r="94" spans="1:5">
      <c r="A94" s="329">
        <v>2001.01</v>
      </c>
      <c r="B94" s="1012"/>
      <c r="C94" s="1323">
        <v>115.25518456635257</v>
      </c>
      <c r="D94" s="1333">
        <v>-1.3222566107981199E-4</v>
      </c>
      <c r="E94" s="1326">
        <v>6.5830340824256321E-3</v>
      </c>
    </row>
    <row r="95" spans="1:5">
      <c r="A95" s="329">
        <v>2001.02</v>
      </c>
      <c r="B95" s="1012"/>
      <c r="C95" s="1323">
        <v>114.87554313824526</v>
      </c>
      <c r="D95" s="1333">
        <v>-3.2993575111361713E-3</v>
      </c>
      <c r="E95" s="1326">
        <v>2.8367852778506107E-5</v>
      </c>
    </row>
    <row r="96" spans="1:5">
      <c r="A96" s="329">
        <v>2001.03</v>
      </c>
      <c r="B96" s="1012"/>
      <c r="C96" s="1323">
        <v>114.46899594611914</v>
      </c>
      <c r="D96" s="1333">
        <v>-3.5453001809299146E-3</v>
      </c>
      <c r="E96" s="1326">
        <v>-3.9638663611267404E-3</v>
      </c>
    </row>
    <row r="97" spans="1:5">
      <c r="A97" s="329">
        <v>2001.04</v>
      </c>
      <c r="B97" s="1012"/>
      <c r="C97" s="1323">
        <v>113.7248913510556</v>
      </c>
      <c r="D97" s="1333">
        <v>-6.521710474139103E-3</v>
      </c>
      <c r="E97" s="1326">
        <v>-1.1982879792690079E-2</v>
      </c>
    </row>
    <row r="98" spans="1:5">
      <c r="A98" s="329">
        <v>2001.05</v>
      </c>
      <c r="B98" s="1012"/>
      <c r="C98" s="1323">
        <v>113.04325381287605</v>
      </c>
      <c r="D98" s="1333">
        <v>-6.0117755131144117E-3</v>
      </c>
      <c r="E98" s="1326">
        <v>-1.2437312928168924E-2</v>
      </c>
    </row>
    <row r="99" spans="1:5">
      <c r="A99" s="329">
        <v>2001.06</v>
      </c>
      <c r="B99" s="1012"/>
      <c r="C99" s="1323">
        <v>112.49912098883958</v>
      </c>
      <c r="D99" s="1333">
        <v>-4.8251143955587907E-3</v>
      </c>
      <c r="E99" s="1326">
        <v>-1.646951317525289E-2</v>
      </c>
    </row>
    <row r="100" spans="1:5">
      <c r="A100" s="329">
        <v>2001.07</v>
      </c>
      <c r="B100" s="1012"/>
      <c r="C100" s="1323">
        <v>111.72948712794971</v>
      </c>
      <c r="D100" s="1333">
        <v>-6.8647519132912609E-3</v>
      </c>
      <c r="E100" s="1326">
        <v>-2.5742840172663151E-2</v>
      </c>
    </row>
    <row r="101" spans="1:5">
      <c r="A101" s="329">
        <v>2001.08</v>
      </c>
      <c r="B101" s="1012"/>
      <c r="C101" s="1323">
        <v>110.38205063715688</v>
      </c>
      <c r="D101" s="1333">
        <v>-1.2133120451830789E-2</v>
      </c>
      <c r="E101" s="1326">
        <v>-3.8874968452742416E-2</v>
      </c>
    </row>
    <row r="102" spans="1:5">
      <c r="A102" s="329">
        <v>2001.09</v>
      </c>
      <c r="B102" s="1012"/>
      <c r="C102" s="1323">
        <v>108.41462714511694</v>
      </c>
      <c r="D102" s="1333">
        <v>-1.7984519150819573E-2</v>
      </c>
      <c r="E102" s="1326">
        <v>-5.6908413291846649E-2</v>
      </c>
    </row>
    <row r="103" spans="1:5">
      <c r="A103" s="329">
        <v>2001.1</v>
      </c>
      <c r="B103" s="1012"/>
      <c r="C103" s="1323">
        <v>106.11894431341649</v>
      </c>
      <c r="D103" s="1333">
        <v>-2.1402435490867719E-2</v>
      </c>
      <c r="E103" s="1326">
        <v>-7.7956288287641701E-2</v>
      </c>
    </row>
    <row r="104" spans="1:5">
      <c r="A104" s="329">
        <v>2001.11</v>
      </c>
      <c r="B104" s="1012"/>
      <c r="C104" s="1323">
        <v>104.22768958233081</v>
      </c>
      <c r="D104" s="1333">
        <v>-1.7982752201426293E-2</v>
      </c>
      <c r="E104" s="1326">
        <v>-9.7004951434687056E-2</v>
      </c>
    </row>
    <row r="105" spans="1:5">
      <c r="A105" s="329">
        <v>2001.12</v>
      </c>
      <c r="B105" s="1012"/>
      <c r="C105" s="1323">
        <v>102.54170902081735</v>
      </c>
      <c r="D105" s="1333">
        <v>-1.6308195886829874E-2</v>
      </c>
      <c r="E105" s="1326">
        <v>-0.11701125883102345</v>
      </c>
    </row>
    <row r="106" spans="1:5">
      <c r="A106" s="329">
        <v>2002.01</v>
      </c>
      <c r="B106" s="1012"/>
      <c r="C106" s="1323">
        <v>100.51837556377656</v>
      </c>
      <c r="D106" s="1333">
        <v>-1.9929080870061462E-2</v>
      </c>
      <c r="E106" s="1326">
        <v>-0.13680811404000515</v>
      </c>
    </row>
    <row r="107" spans="1:5">
      <c r="A107" s="329">
        <v>2002.02</v>
      </c>
      <c r="B107" s="1012"/>
      <c r="C107" s="1323">
        <v>98.924701032058323</v>
      </c>
      <c r="D107" s="1333">
        <v>-1.5981587117084341E-2</v>
      </c>
      <c r="E107" s="1326">
        <v>-0.14949034364595334</v>
      </c>
    </row>
    <row r="108" spans="1:5">
      <c r="A108" s="329">
        <v>2002.03</v>
      </c>
      <c r="B108" s="1012"/>
      <c r="C108" s="1323">
        <v>97.785868997927423</v>
      </c>
      <c r="D108" s="1333">
        <v>-1.1578887271686501E-2</v>
      </c>
      <c r="E108" s="1326">
        <v>-0.15752393073671006</v>
      </c>
    </row>
    <row r="109" spans="1:5">
      <c r="A109" s="329">
        <v>2002.04</v>
      </c>
      <c r="B109" s="1012"/>
      <c r="C109" s="1323">
        <v>96.493924072132344</v>
      </c>
      <c r="D109" s="1333">
        <v>-1.3300034447911058E-2</v>
      </c>
      <c r="E109" s="1326">
        <v>-0.16430225471048193</v>
      </c>
    </row>
    <row r="110" spans="1:5">
      <c r="A110" s="329">
        <v>2002.05</v>
      </c>
      <c r="B110" s="1012"/>
      <c r="C110" s="1323">
        <v>95.130902379328631</v>
      </c>
      <c r="D110" s="1333">
        <v>-1.4226180456951624E-2</v>
      </c>
      <c r="E110" s="1326">
        <v>-0.17251665965431923</v>
      </c>
    </row>
    <row r="111" spans="1:5">
      <c r="A111" s="329">
        <v>2002.06</v>
      </c>
      <c r="B111" s="1012"/>
      <c r="C111" s="1323">
        <v>93.756332391992231</v>
      </c>
      <c r="D111" s="1333">
        <v>-1.4554654838643825E-2</v>
      </c>
      <c r="E111" s="1326">
        <v>-0.18224620009740425</v>
      </c>
    </row>
    <row r="112" spans="1:5">
      <c r="A112" s="329">
        <v>2002.07</v>
      </c>
      <c r="B112" s="1012"/>
      <c r="C112" s="1323">
        <v>92.850280325111044</v>
      </c>
      <c r="D112" s="1333">
        <v>-9.7109011718000734E-3</v>
      </c>
      <c r="E112" s="1326">
        <v>-0.18509234935591315</v>
      </c>
    </row>
    <row r="113" spans="1:5">
      <c r="A113" s="329">
        <v>2002.08</v>
      </c>
      <c r="B113" s="1012"/>
      <c r="C113" s="1323">
        <v>92.839726700240945</v>
      </c>
      <c r="D113" s="1333">
        <v>-1.1366928194494536E-4</v>
      </c>
      <c r="E113" s="1326">
        <v>-0.17307289818602722</v>
      </c>
    </row>
    <row r="114" spans="1:5">
      <c r="A114" s="329">
        <v>2002.09</v>
      </c>
      <c r="B114" s="1012"/>
      <c r="C114" s="1323">
        <v>92.932452242180474</v>
      </c>
      <c r="D114" s="1333">
        <v>9.9827164829362235E-4</v>
      </c>
      <c r="E114" s="1326">
        <v>-0.15409010738691403</v>
      </c>
    </row>
    <row r="115" spans="1:5">
      <c r="A115" s="329">
        <v>2002.1</v>
      </c>
      <c r="B115" s="1012"/>
      <c r="C115" s="1323">
        <v>93.651647876305788</v>
      </c>
      <c r="D115" s="1333">
        <v>7.7091155731832169E-3</v>
      </c>
      <c r="E115" s="1326">
        <v>-0.1249785563228631</v>
      </c>
    </row>
    <row r="116" spans="1:5">
      <c r="A116" s="329">
        <v>2002.11</v>
      </c>
      <c r="B116" s="1012"/>
      <c r="C116" s="1323">
        <v>94.349661370364785</v>
      </c>
      <c r="D116" s="1333">
        <v>7.4256578770435754E-3</v>
      </c>
      <c r="E116" s="1326">
        <v>-9.9570146244393254E-2</v>
      </c>
    </row>
    <row r="117" spans="1:5">
      <c r="A117" s="329">
        <v>2002.12</v>
      </c>
      <c r="B117" s="1012"/>
      <c r="C117" s="1323">
        <v>95.226306835159377</v>
      </c>
      <c r="D117" s="1333">
        <v>9.2485531978915014E-3</v>
      </c>
      <c r="E117" s="1326">
        <v>-7.4013397159671881E-2</v>
      </c>
    </row>
    <row r="118" spans="1:5">
      <c r="A118" s="329">
        <v>2003.01</v>
      </c>
      <c r="B118" s="1012"/>
      <c r="C118" s="1323">
        <v>96.36482792300707</v>
      </c>
      <c r="D118" s="1333">
        <v>1.1885043543370499E-2</v>
      </c>
      <c r="E118" s="1326">
        <v>-4.219927274623992E-2</v>
      </c>
    </row>
    <row r="119" spans="1:5">
      <c r="A119" s="329">
        <v>2003.02</v>
      </c>
      <c r="B119" s="1012"/>
      <c r="C119" s="1323">
        <v>96.123988984253614</v>
      </c>
      <c r="D119" s="1333">
        <v>-2.5023694186275948E-3</v>
      </c>
      <c r="E119" s="1326">
        <v>-2.8720055047783168E-2</v>
      </c>
    </row>
    <row r="120" spans="1:5">
      <c r="A120" s="329">
        <v>2003.03</v>
      </c>
      <c r="B120" s="1012"/>
      <c r="C120" s="1323">
        <v>96.104195414230929</v>
      </c>
      <c r="D120" s="1333">
        <v>-2.0593827231502379E-4</v>
      </c>
      <c r="E120" s="1326">
        <v>-1.7347106048411692E-2</v>
      </c>
    </row>
    <row r="121" spans="1:5">
      <c r="A121" s="329">
        <v>2003.04</v>
      </c>
      <c r="B121" s="1012"/>
      <c r="C121" s="1323">
        <v>97.060673878342939</v>
      </c>
      <c r="D121" s="1333">
        <v>9.9033150786963942E-3</v>
      </c>
      <c r="E121" s="1326">
        <v>5.8562434781958229E-3</v>
      </c>
    </row>
    <row r="122" spans="1:5">
      <c r="A122" s="329">
        <v>2003.05</v>
      </c>
      <c r="B122" s="1012"/>
      <c r="C122" s="1323">
        <v>98.931327909375213</v>
      </c>
      <c r="D122" s="1333">
        <v>1.908966510406979E-2</v>
      </c>
      <c r="E122" s="1326">
        <v>3.9172089039217289E-2</v>
      </c>
    </row>
    <row r="123" spans="1:5">
      <c r="A123" s="329">
        <v>2003.06</v>
      </c>
      <c r="B123" s="1012"/>
      <c r="C123" s="1323">
        <v>100.94819838806515</v>
      </c>
      <c r="D123" s="1333">
        <v>2.0181546060856728E-2</v>
      </c>
      <c r="E123" s="1326">
        <v>7.3908289938717855E-2</v>
      </c>
    </row>
    <row r="124" spans="1:5">
      <c r="A124" s="329">
        <v>2003.07</v>
      </c>
      <c r="B124" s="1012"/>
      <c r="C124" s="1323">
        <v>102.86896781019617</v>
      </c>
      <c r="D124" s="1333">
        <v>1.8848523145464396E-2</v>
      </c>
      <c r="E124" s="1326">
        <v>0.10246771425598232</v>
      </c>
    </row>
    <row r="125" spans="1:5">
      <c r="A125" s="329">
        <v>2003.08</v>
      </c>
      <c r="B125" s="1012"/>
      <c r="C125" s="1323">
        <v>105.02063897739114</v>
      </c>
      <c r="D125" s="1333">
        <v>2.0700871363054429E-2</v>
      </c>
      <c r="E125" s="1326">
        <v>0.12328225490098162</v>
      </c>
    </row>
    <row r="126" spans="1:5">
      <c r="A126" s="329">
        <v>2003.09</v>
      </c>
      <c r="B126" s="1012"/>
      <c r="C126" s="1323">
        <v>107.20792971513561</v>
      </c>
      <c r="D126" s="1333">
        <v>2.0613324593000498E-2</v>
      </c>
      <c r="E126" s="1326">
        <v>0.14289730784568849</v>
      </c>
    </row>
    <row r="127" spans="1:5">
      <c r="A127" s="329">
        <v>2003.1</v>
      </c>
      <c r="B127" s="1012"/>
      <c r="C127" s="1323">
        <v>109.34070217473291</v>
      </c>
      <c r="D127" s="1333">
        <v>1.9698498260279824E-2</v>
      </c>
      <c r="E127" s="1326">
        <v>0.154886690532785</v>
      </c>
    </row>
    <row r="128" spans="1:5">
      <c r="A128" s="329">
        <v>2003.11</v>
      </c>
      <c r="B128" s="1012"/>
      <c r="C128" s="1323">
        <v>111.00439950246937</v>
      </c>
      <c r="D128" s="1333">
        <v>1.5101120299738544E-2</v>
      </c>
      <c r="E128" s="1326">
        <v>0.16256215295547974</v>
      </c>
    </row>
    <row r="129" spans="1:5">
      <c r="A129" s="329">
        <v>2003.12</v>
      </c>
      <c r="B129" s="1012"/>
      <c r="C129" s="1323">
        <v>111.92781736248079</v>
      </c>
      <c r="D129" s="1333">
        <v>8.2843400042775066E-3</v>
      </c>
      <c r="E129" s="1326">
        <v>0.16159793976186593</v>
      </c>
    </row>
    <row r="130" spans="1:5">
      <c r="A130" s="329">
        <v>2004.01</v>
      </c>
      <c r="B130" s="1012"/>
      <c r="C130" s="1323">
        <v>112.49481987694703</v>
      </c>
      <c r="D130" s="1333">
        <v>5.0529993575565936E-3</v>
      </c>
      <c r="E130" s="1326">
        <v>0.15476589557605186</v>
      </c>
    </row>
    <row r="131" spans="1:5">
      <c r="A131" s="329">
        <v>2004.02</v>
      </c>
      <c r="B131" s="1012"/>
      <c r="C131" s="1323">
        <v>113.94742161683995</v>
      </c>
      <c r="D131" s="1333">
        <v>1.2829953069189517E-2</v>
      </c>
      <c r="E131" s="1326">
        <v>0.1700982180638691</v>
      </c>
    </row>
    <row r="132" spans="1:5">
      <c r="A132" s="329">
        <v>2004.03</v>
      </c>
      <c r="B132" s="1012"/>
      <c r="C132" s="1323">
        <v>115.71623337508255</v>
      </c>
      <c r="D132" s="1333">
        <v>1.5403801990749156E-2</v>
      </c>
      <c r="E132" s="1326">
        <v>0.18570795832693335</v>
      </c>
    </row>
    <row r="133" spans="1:5">
      <c r="A133" s="329">
        <v>2004.04</v>
      </c>
      <c r="B133" s="1012"/>
      <c r="C133" s="1323">
        <v>116.53930724632941</v>
      </c>
      <c r="D133" s="1333">
        <v>7.0876872487613835E-3</v>
      </c>
      <c r="E133" s="1326">
        <v>0.18289233049699818</v>
      </c>
    </row>
    <row r="134" spans="1:5">
      <c r="A134" s="329">
        <v>2004.05</v>
      </c>
      <c r="B134" s="1012"/>
      <c r="C134" s="1323">
        <v>117.2140366077101</v>
      </c>
      <c r="D134" s="1333">
        <v>5.7730188940962983E-3</v>
      </c>
      <c r="E134" s="1326">
        <v>0.16957568428702474</v>
      </c>
    </row>
    <row r="135" spans="1:5">
      <c r="A135" s="329">
        <v>2004.06</v>
      </c>
      <c r="B135" s="1012"/>
      <c r="C135" s="1323">
        <v>117.73958109700375</v>
      </c>
      <c r="D135" s="1333">
        <v>4.4736094801368876E-3</v>
      </c>
      <c r="E135" s="1326">
        <v>0.1538677477063049</v>
      </c>
    </row>
    <row r="136" spans="1:5">
      <c r="A136" s="329">
        <v>2004.07</v>
      </c>
      <c r="B136" s="1012"/>
      <c r="C136" s="1323">
        <v>117.85942899585601</v>
      </c>
      <c r="D136" s="1333">
        <v>1.0173889028031982E-3</v>
      </c>
      <c r="E136" s="1326">
        <v>0.13603661346364362</v>
      </c>
    </row>
    <row r="137" spans="1:5">
      <c r="A137" s="329">
        <v>2004.08</v>
      </c>
      <c r="B137" s="1012"/>
      <c r="C137" s="1323">
        <v>117.80965852242737</v>
      </c>
      <c r="D137" s="1333">
        <v>-4.2237592288979888E-4</v>
      </c>
      <c r="E137" s="1326">
        <v>0.1149133661776994</v>
      </c>
    </row>
    <row r="138" spans="1:5">
      <c r="A138" s="329">
        <v>2004.09</v>
      </c>
      <c r="B138" s="1012"/>
      <c r="C138" s="1323">
        <v>118.06324822876907</v>
      </c>
      <c r="D138" s="1333">
        <v>2.1502240977122433E-3</v>
      </c>
      <c r="E138" s="1326">
        <v>9.6450265682411204E-2</v>
      </c>
    </row>
    <row r="139" spans="1:5">
      <c r="A139" s="329">
        <v>2004.1</v>
      </c>
      <c r="B139" s="1012"/>
      <c r="C139" s="1323">
        <v>118.41361630863132</v>
      </c>
      <c r="D139" s="1333">
        <v>2.9632356376392646E-3</v>
      </c>
      <c r="E139" s="1326">
        <v>7.9715003059770612E-2</v>
      </c>
    </row>
    <row r="140" spans="1:5">
      <c r="A140" s="329">
        <v>2004.11</v>
      </c>
      <c r="B140" s="1012"/>
      <c r="C140" s="1323">
        <v>119.14756450503272</v>
      </c>
      <c r="D140" s="1333">
        <v>6.1790443127163414E-3</v>
      </c>
      <c r="E140" s="1326">
        <v>7.0792927072748604E-2</v>
      </c>
    </row>
    <row r="141" spans="1:5">
      <c r="A141" s="329">
        <v>2004.12</v>
      </c>
      <c r="B141" s="1012"/>
      <c r="C141" s="1323">
        <v>119.90946408819875</v>
      </c>
      <c r="D141" s="1333">
        <v>6.3742293407024961E-3</v>
      </c>
      <c r="E141" s="1326">
        <v>6.8882816409173417E-2</v>
      </c>
    </row>
    <row r="142" spans="1:5">
      <c r="A142" s="329">
        <v>2005.01</v>
      </c>
      <c r="B142" s="1012"/>
      <c r="C142" s="1323">
        <v>121.64360984725882</v>
      </c>
      <c r="D142" s="1333">
        <v>1.4358546753015212E-2</v>
      </c>
      <c r="E142" s="1326">
        <v>7.8188363804632025E-2</v>
      </c>
    </row>
    <row r="143" spans="1:5">
      <c r="A143" s="329">
        <v>2005.02</v>
      </c>
      <c r="B143" s="1012"/>
      <c r="C143" s="1323">
        <v>123.00021093160798</v>
      </c>
      <c r="D143" s="1333">
        <v>1.1090531411339043E-2</v>
      </c>
      <c r="E143" s="1326">
        <v>7.644894214678144E-2</v>
      </c>
    </row>
    <row r="144" spans="1:5">
      <c r="A144" s="329">
        <v>2005.03</v>
      </c>
      <c r="B144" s="1012"/>
      <c r="C144" s="1323">
        <v>123.63976893462726</v>
      </c>
      <c r="D144" s="1333">
        <v>5.1861781439635516E-3</v>
      </c>
      <c r="E144" s="1326">
        <v>6.6231318299995859E-2</v>
      </c>
    </row>
    <row r="145" spans="1:5">
      <c r="A145" s="329">
        <v>2005.04</v>
      </c>
      <c r="B145" s="1012"/>
      <c r="C145" s="1323">
        <v>125.11346493280702</v>
      </c>
      <c r="D145" s="1333">
        <v>1.1848796630550501E-2</v>
      </c>
      <c r="E145" s="1326">
        <v>7.0992427681785097E-2</v>
      </c>
    </row>
    <row r="146" spans="1:5">
      <c r="A146" s="329">
        <v>2005.05</v>
      </c>
      <c r="B146" s="1012"/>
      <c r="C146" s="1323">
        <v>126.02742070956374</v>
      </c>
      <c r="D146" s="1333">
        <v>7.2784629171568976E-3</v>
      </c>
      <c r="E146" s="1326">
        <v>7.2497871704845743E-2</v>
      </c>
    </row>
    <row r="147" spans="1:5">
      <c r="A147" s="329">
        <v>2005.06</v>
      </c>
      <c r="B147" s="1012"/>
      <c r="C147" s="1323">
        <v>126.61198940337098</v>
      </c>
      <c r="D147" s="1333">
        <v>4.6277003004941263E-3</v>
      </c>
      <c r="E147" s="1326">
        <v>7.2651962525202951E-2</v>
      </c>
    </row>
    <row r="148" spans="1:5">
      <c r="A148" s="329">
        <v>2005.07</v>
      </c>
      <c r="B148" s="1012"/>
      <c r="C148" s="1323">
        <v>127.45407008589646</v>
      </c>
      <c r="D148" s="1333">
        <v>6.6288568237493463E-3</v>
      </c>
      <c r="E148" s="1326">
        <v>7.8263430446149126E-2</v>
      </c>
    </row>
    <row r="149" spans="1:5">
      <c r="A149" s="329">
        <v>2005.08</v>
      </c>
      <c r="B149" s="1012"/>
      <c r="C149" s="1323">
        <v>128.30295775926527</v>
      </c>
      <c r="D149" s="1333">
        <v>6.6382597405869846E-3</v>
      </c>
      <c r="E149" s="1326">
        <v>8.5324066109625965E-2</v>
      </c>
    </row>
    <row r="150" spans="1:5">
      <c r="A150" s="329">
        <v>2005.09</v>
      </c>
      <c r="B150" s="1012"/>
      <c r="C150" s="1323">
        <v>129.6706166687965</v>
      </c>
      <c r="D150" s="1333">
        <v>1.060319240914737E-2</v>
      </c>
      <c r="E150" s="1326">
        <v>9.3777034421061223E-2</v>
      </c>
    </row>
    <row r="151" spans="1:5">
      <c r="A151" s="329">
        <v>2005.1</v>
      </c>
      <c r="B151" s="1012"/>
      <c r="C151" s="1323">
        <v>130.56678806591617</v>
      </c>
      <c r="D151" s="1333">
        <v>6.8873645629868949E-3</v>
      </c>
      <c r="E151" s="1326">
        <v>9.7701163346408854E-2</v>
      </c>
    </row>
    <row r="152" spans="1:5">
      <c r="A152" s="329">
        <v>2005.11</v>
      </c>
      <c r="B152" s="1012"/>
      <c r="C152" s="1323">
        <v>131.12110287558372</v>
      </c>
      <c r="D152" s="1333">
        <v>4.2364638021718942E-3</v>
      </c>
      <c r="E152" s="1326">
        <v>9.5758582835864317E-2</v>
      </c>
    </row>
    <row r="153" spans="1:5">
      <c r="A153" s="329">
        <v>2005.12</v>
      </c>
      <c r="B153" s="1012"/>
      <c r="C153" s="1323">
        <v>132.50883521109589</v>
      </c>
      <c r="D153" s="1333">
        <v>1.0527978448791464E-2</v>
      </c>
      <c r="E153" s="1326">
        <v>9.9912331943953492E-2</v>
      </c>
    </row>
    <row r="154" spans="1:5">
      <c r="A154" s="329">
        <v>2006.01</v>
      </c>
      <c r="B154" s="1012"/>
      <c r="C154" s="1323">
        <v>132.91134426753464</v>
      </c>
      <c r="D154" s="1333">
        <v>3.0329974592630477E-3</v>
      </c>
      <c r="E154" s="1326">
        <v>8.8586782650201215E-2</v>
      </c>
    </row>
    <row r="155" spans="1:5">
      <c r="A155" s="329">
        <v>2006.02</v>
      </c>
      <c r="B155" s="1012"/>
      <c r="C155" s="1323">
        <v>133.37978212300629</v>
      </c>
      <c r="D155" s="1333">
        <v>3.5182421961691438E-3</v>
      </c>
      <c r="E155" s="1326">
        <v>8.1014493435031337E-2</v>
      </c>
    </row>
    <row r="156" spans="1:5">
      <c r="A156" s="329">
        <v>2006.03</v>
      </c>
      <c r="B156" s="1012"/>
      <c r="C156" s="1323">
        <v>134.30985751760829</v>
      </c>
      <c r="D156" s="1333">
        <v>6.9489363760891218E-3</v>
      </c>
      <c r="E156" s="1326">
        <v>8.2777251667156881E-2</v>
      </c>
    </row>
    <row r="157" spans="1:5">
      <c r="A157" s="329">
        <v>2006.04</v>
      </c>
      <c r="B157" s="1012"/>
      <c r="C157" s="1323">
        <v>135.59324854190558</v>
      </c>
      <c r="D157" s="1333">
        <v>9.5100846795962181E-3</v>
      </c>
      <c r="E157" s="1326">
        <v>8.0438539716202573E-2</v>
      </c>
    </row>
    <row r="158" spans="1:5">
      <c r="A158" s="329">
        <v>2006.05</v>
      </c>
      <c r="B158" s="1012"/>
      <c r="C158" s="1323">
        <v>135.92387138044941</v>
      </c>
      <c r="D158" s="1333">
        <v>2.4353749925611142E-3</v>
      </c>
      <c r="E158" s="1326">
        <v>7.5595451791606857E-2</v>
      </c>
    </row>
    <row r="159" spans="1:5">
      <c r="A159" s="329">
        <v>2006.06</v>
      </c>
      <c r="B159" s="1012"/>
      <c r="C159" s="1323">
        <v>136.7981945534469</v>
      </c>
      <c r="D159" s="1333">
        <v>6.4118476472914089E-3</v>
      </c>
      <c r="E159" s="1326">
        <v>7.7379599138404073E-2</v>
      </c>
    </row>
    <row r="160" spans="1:5">
      <c r="A160" s="329">
        <v>2006.07</v>
      </c>
      <c r="B160" s="1012"/>
      <c r="C160" s="1323">
        <v>137.4163996492606</v>
      </c>
      <c r="D160" s="1333">
        <v>4.5089222546513116E-3</v>
      </c>
      <c r="E160" s="1326">
        <v>7.5259664569305967E-2</v>
      </c>
    </row>
    <row r="161" spans="1:5">
      <c r="A161" s="329">
        <v>2006.08</v>
      </c>
      <c r="B161" s="1012"/>
      <c r="C161" s="1323">
        <v>138.1066366955904</v>
      </c>
      <c r="D161" s="1333">
        <v>5.0103867862414846E-3</v>
      </c>
      <c r="E161" s="1326">
        <v>7.363179161496046E-2</v>
      </c>
    </row>
    <row r="162" spans="1:5">
      <c r="A162" s="329">
        <v>2006.09</v>
      </c>
      <c r="B162" s="1012"/>
      <c r="C162" s="1323">
        <v>138.56463713674614</v>
      </c>
      <c r="D162" s="1333">
        <v>3.3107944541592286E-3</v>
      </c>
      <c r="E162" s="1326">
        <v>6.6339393659972282E-2</v>
      </c>
    </row>
    <row r="163" spans="1:5">
      <c r="A163" s="329">
        <v>2006.1</v>
      </c>
      <c r="B163" s="1012"/>
      <c r="C163" s="1323">
        <v>138.84849988141281</v>
      </c>
      <c r="D163" s="1333">
        <v>2.0464989278421541E-3</v>
      </c>
      <c r="E163" s="1326">
        <v>6.1498528024827519E-2</v>
      </c>
    </row>
    <row r="164" spans="1:5">
      <c r="A164" s="329">
        <v>2006.11</v>
      </c>
      <c r="B164" s="1012"/>
      <c r="C164" s="1323">
        <v>139.10623393848391</v>
      </c>
      <c r="D164" s="1333">
        <v>1.8545043460521829E-3</v>
      </c>
      <c r="E164" s="1326">
        <v>5.911656856870779E-2</v>
      </c>
    </row>
    <row r="165" spans="1:5">
      <c r="A165" s="329">
        <v>2006.12</v>
      </c>
      <c r="B165" s="1012"/>
      <c r="C165" s="1323">
        <v>139.70823096037756</v>
      </c>
      <c r="D165" s="1333">
        <v>4.3182691944441036E-3</v>
      </c>
      <c r="E165" s="1326">
        <v>5.2906859314360552E-2</v>
      </c>
    </row>
    <row r="166" spans="1:5">
      <c r="A166" s="329">
        <v>2007.01</v>
      </c>
      <c r="B166" s="1012"/>
      <c r="C166" s="1323">
        <v>140.59133031328992</v>
      </c>
      <c r="D166" s="1333">
        <v>6.3011320517132189E-3</v>
      </c>
      <c r="E166" s="1326">
        <v>5.6174993906810557E-2</v>
      </c>
    </row>
    <row r="167" spans="1:5">
      <c r="A167" s="329">
        <v>2007.02</v>
      </c>
      <c r="B167" s="1012"/>
      <c r="C167" s="1323">
        <v>141.87322792268071</v>
      </c>
      <c r="D167" s="1333">
        <v>9.076582337096354E-3</v>
      </c>
      <c r="E167" s="1326">
        <v>6.1733334047737835E-2</v>
      </c>
    </row>
    <row r="168" spans="1:5">
      <c r="A168" s="329">
        <v>2007.03</v>
      </c>
      <c r="B168" s="1012"/>
      <c r="C168" s="1323">
        <v>141.95897781155432</v>
      </c>
      <c r="D168" s="1333">
        <v>6.0422946903214187E-4</v>
      </c>
      <c r="E168" s="1326">
        <v>5.5388627140680755E-2</v>
      </c>
    </row>
    <row r="169" spans="1:5">
      <c r="A169" s="329">
        <v>2007.04</v>
      </c>
      <c r="B169" s="1012"/>
      <c r="C169" s="1323">
        <v>142.28309432592002</v>
      </c>
      <c r="D169" s="1333">
        <v>2.2805677738385352E-3</v>
      </c>
      <c r="E169" s="1326">
        <v>4.8159110234923017E-2</v>
      </c>
    </row>
    <row r="170" spans="1:5">
      <c r="A170" s="329">
        <v>2007.05</v>
      </c>
      <c r="B170" s="1012"/>
      <c r="C170" s="1323">
        <v>143.44396304765945</v>
      </c>
      <c r="D170" s="1333">
        <v>8.1257625363977924E-3</v>
      </c>
      <c r="E170" s="1326">
        <v>5.3849497778759518E-2</v>
      </c>
    </row>
    <row r="171" spans="1:5">
      <c r="A171" s="329">
        <v>2007.06</v>
      </c>
      <c r="B171" s="1012"/>
      <c r="C171" s="1323">
        <v>144.0678065461548</v>
      </c>
      <c r="D171" s="1333">
        <v>4.3396100160071121E-3</v>
      </c>
      <c r="E171" s="1326">
        <v>5.1777260147475301E-2</v>
      </c>
    </row>
    <row r="172" spans="1:5">
      <c r="A172" s="329">
        <v>2007.07</v>
      </c>
      <c r="B172" s="1012"/>
      <c r="C172" s="1323">
        <v>144.28176211869874</v>
      </c>
      <c r="D172" s="1333">
        <v>1.4840016081877319E-3</v>
      </c>
      <c r="E172" s="1326">
        <v>4.8752339501011807E-2</v>
      </c>
    </row>
    <row r="173" spans="1:5">
      <c r="A173" s="329">
        <v>2007.08</v>
      </c>
      <c r="B173" s="1012"/>
      <c r="C173" s="1323">
        <v>144.9255784762851</v>
      </c>
      <c r="D173" s="1333">
        <v>4.4522896257486438E-3</v>
      </c>
      <c r="E173" s="1326">
        <v>4.8194242340518889E-2</v>
      </c>
    </row>
    <row r="174" spans="1:5">
      <c r="A174" s="329">
        <v>2007.09</v>
      </c>
      <c r="B174" s="1012"/>
      <c r="C174" s="1323">
        <v>145.72923363574753</v>
      </c>
      <c r="D174" s="1333">
        <v>5.5299769623360518E-3</v>
      </c>
      <c r="E174" s="1326">
        <v>5.0413424848695557E-2</v>
      </c>
    </row>
    <row r="175" spans="1:5">
      <c r="A175" s="329">
        <v>2007.1</v>
      </c>
      <c r="B175" s="1012"/>
      <c r="C175" s="1323">
        <v>147.13903250744718</v>
      </c>
      <c r="D175" s="1333">
        <v>9.6276034263324227E-3</v>
      </c>
      <c r="E175" s="1326">
        <v>5.7994529347185783E-2</v>
      </c>
    </row>
    <row r="176" spans="1:5">
      <c r="A176" s="329">
        <v>2007.11</v>
      </c>
      <c r="B176" s="1012"/>
      <c r="C176" s="1323">
        <v>149.24970250214056</v>
      </c>
      <c r="D176" s="1333">
        <v>1.4242819822516281E-2</v>
      </c>
      <c r="E176" s="1326">
        <v>7.0382844823650093E-2</v>
      </c>
    </row>
    <row r="177" spans="1:5">
      <c r="A177" s="329">
        <v>2007.12</v>
      </c>
      <c r="B177" s="1012"/>
      <c r="C177" s="1323">
        <v>150.61712024407433</v>
      </c>
      <c r="D177" s="1333">
        <v>9.1202301589873632E-3</v>
      </c>
      <c r="E177" s="1326">
        <v>7.5184805788193199E-2</v>
      </c>
    </row>
    <row r="178" spans="1:5">
      <c r="A178" s="329">
        <f t="shared" ref="A178:A241" si="0">A166+1</f>
        <v>2008.01</v>
      </c>
      <c r="B178" s="1012"/>
      <c r="C178" s="1323">
        <v>151.28234111151872</v>
      </c>
      <c r="D178" s="1333">
        <v>4.4069104400107483E-3</v>
      </c>
      <c r="E178" s="1326">
        <v>7.3290584176490897E-2</v>
      </c>
    </row>
    <row r="179" spans="1:5">
      <c r="A179" s="329">
        <f t="shared" si="0"/>
        <v>2008.02</v>
      </c>
      <c r="B179" s="1012"/>
      <c r="C179" s="1323">
        <v>151.4455052558404</v>
      </c>
      <c r="D179" s="1333">
        <v>1.0779593755862282E-3</v>
      </c>
      <c r="E179" s="1326">
        <v>6.5291961214980765E-2</v>
      </c>
    </row>
    <row r="180" spans="1:5">
      <c r="A180" s="329">
        <f t="shared" si="0"/>
        <v>2008.03</v>
      </c>
      <c r="B180" s="1012"/>
      <c r="C180" s="1323">
        <v>151.71333620460231</v>
      </c>
      <c r="D180" s="1333">
        <v>1.7669352287645412E-3</v>
      </c>
      <c r="E180" s="1326">
        <v>6.6454666974713153E-2</v>
      </c>
    </row>
    <row r="181" spans="1:5">
      <c r="A181" s="329">
        <f t="shared" si="0"/>
        <v>2008.04</v>
      </c>
      <c r="B181" s="1012"/>
      <c r="C181" s="1323">
        <v>151.63315658107658</v>
      </c>
      <c r="D181" s="1333">
        <v>-5.28633937097133E-4</v>
      </c>
      <c r="E181" s="1326">
        <v>6.3645465263777623E-2</v>
      </c>
    </row>
    <row r="182" spans="1:5">
      <c r="A182" s="329">
        <f t="shared" si="0"/>
        <v>2008.05</v>
      </c>
      <c r="B182" s="1012"/>
      <c r="C182" s="1323">
        <v>151.65704546704447</v>
      </c>
      <c r="D182" s="1333">
        <v>1.5753153815048553E-4</v>
      </c>
      <c r="E182" s="1326">
        <v>5.5677234265530166E-2</v>
      </c>
    </row>
    <row r="183" spans="1:5">
      <c r="A183" s="329">
        <f t="shared" si="0"/>
        <v>2008.06</v>
      </c>
      <c r="B183" s="1012"/>
      <c r="C183" s="1323">
        <v>151.6360268033298</v>
      </c>
      <c r="D183" s="1333">
        <v>-1.3860299274879456E-4</v>
      </c>
      <c r="E183" s="1326">
        <v>5.1199021256774328E-2</v>
      </c>
    </row>
    <row r="184" spans="1:5">
      <c r="A184" s="329">
        <f t="shared" si="0"/>
        <v>2008.07</v>
      </c>
      <c r="B184" s="1012"/>
      <c r="C184" s="1323">
        <v>151.73323983953136</v>
      </c>
      <c r="D184" s="1333">
        <v>6.4088917512815889E-4</v>
      </c>
      <c r="E184" s="1326">
        <v>5.0355908823714983E-2</v>
      </c>
    </row>
    <row r="185" spans="1:5">
      <c r="A185" s="329">
        <f t="shared" si="0"/>
        <v>2008.08</v>
      </c>
      <c r="B185" s="1012"/>
      <c r="C185" s="1323">
        <v>151.25429449967186</v>
      </c>
      <c r="D185" s="1333">
        <v>-3.1614880778895659E-3</v>
      </c>
      <c r="E185" s="1326">
        <v>4.2742131120076854E-2</v>
      </c>
    </row>
    <row r="186" spans="1:5">
      <c r="A186" s="329">
        <f t="shared" si="0"/>
        <v>2008.09</v>
      </c>
      <c r="B186" s="1012"/>
      <c r="C186" s="1323">
        <v>150.19816209860764</v>
      </c>
      <c r="D186" s="1333">
        <v>-7.0069869997583184E-3</v>
      </c>
      <c r="E186" s="1326">
        <v>3.0205167157982403E-2</v>
      </c>
    </row>
    <row r="187" spans="1:5">
      <c r="A187" s="329">
        <f t="shared" si="0"/>
        <v>2008.1</v>
      </c>
      <c r="B187" s="1012"/>
      <c r="C187" s="1323">
        <v>148.55953753023431</v>
      </c>
      <c r="D187" s="1333">
        <v>-1.0969698871495197E-2</v>
      </c>
      <c r="E187" s="1326">
        <v>9.6078648601548629E-3</v>
      </c>
    </row>
    <row r="188" spans="1:5">
      <c r="A188" s="329">
        <f t="shared" si="0"/>
        <v>2008.11</v>
      </c>
      <c r="B188" s="1012"/>
      <c r="C188" s="1323">
        <v>146.48582338790362</v>
      </c>
      <c r="D188" s="1333">
        <v>-1.4057148931393803E-2</v>
      </c>
      <c r="E188" s="1326">
        <v>-1.8692103893755325E-2</v>
      </c>
    </row>
    <row r="189" spans="1:5">
      <c r="A189" s="329">
        <f t="shared" si="0"/>
        <v>2008.12</v>
      </c>
      <c r="B189" s="1012"/>
      <c r="C189" s="1323">
        <v>144.84858926875359</v>
      </c>
      <c r="D189" s="1333">
        <v>-1.1239670179648942E-2</v>
      </c>
      <c r="E189" s="1326">
        <v>-3.9052004232391503E-2</v>
      </c>
    </row>
    <row r="190" spans="1:5">
      <c r="A190" s="329">
        <f t="shared" si="0"/>
        <v>2009.01</v>
      </c>
      <c r="B190" s="1012"/>
      <c r="C190" s="1323">
        <v>144.27176508775466</v>
      </c>
      <c r="D190" s="1333">
        <v>-3.990206415040898E-3</v>
      </c>
      <c r="E190" s="1326">
        <v>-4.7449121087443286E-2</v>
      </c>
    </row>
    <row r="191" spans="1:5">
      <c r="A191" s="329">
        <f t="shared" si="0"/>
        <v>2009.02</v>
      </c>
      <c r="B191" s="1012"/>
      <c r="C191" s="1323">
        <v>143.49902984188805</v>
      </c>
      <c r="D191" s="1333">
        <v>-5.3705040036740852E-3</v>
      </c>
      <c r="E191" s="1326">
        <v>-5.3897584466703556E-2</v>
      </c>
    </row>
    <row r="192" spans="1:5">
      <c r="A192" s="329">
        <f t="shared" si="0"/>
        <v>2009.03</v>
      </c>
      <c r="B192" s="1012"/>
      <c r="C192" s="1323">
        <v>143.13658380068162</v>
      </c>
      <c r="D192" s="1333">
        <v>-2.528968607735656E-3</v>
      </c>
      <c r="E192" s="1326">
        <v>-5.819348830320363E-2</v>
      </c>
    </row>
    <row r="193" spans="1:5">
      <c r="A193" s="329">
        <f t="shared" si="0"/>
        <v>2009.04</v>
      </c>
      <c r="B193" s="1012"/>
      <c r="C193" s="1323">
        <v>142.32710245077152</v>
      </c>
      <c r="D193" s="1333">
        <v>-5.6713589755639565E-3</v>
      </c>
      <c r="E193" s="1326">
        <v>-6.3336213341670389E-2</v>
      </c>
    </row>
    <row r="194" spans="1:5">
      <c r="A194" s="329">
        <f t="shared" si="0"/>
        <v>2009.05</v>
      </c>
      <c r="B194" s="1012"/>
      <c r="C194" s="1323">
        <v>142.11039342315948</v>
      </c>
      <c r="D194" s="1333">
        <v>-1.5237728688146004E-3</v>
      </c>
      <c r="E194" s="1326">
        <v>-6.5017517748635525E-2</v>
      </c>
    </row>
    <row r="195" spans="1:5">
      <c r="A195" s="329">
        <f t="shared" si="0"/>
        <v>2009.06</v>
      </c>
      <c r="B195" s="1012"/>
      <c r="C195" s="1323">
        <v>142.27163399753431</v>
      </c>
      <c r="D195" s="1333">
        <v>1.1339717429783432E-3</v>
      </c>
      <c r="E195" s="1326">
        <v>-6.3744943012908339E-2</v>
      </c>
    </row>
    <row r="196" spans="1:5">
      <c r="A196" s="329">
        <f t="shared" si="0"/>
        <v>2009.07</v>
      </c>
      <c r="B196" s="1012"/>
      <c r="C196" s="1323">
        <v>142.68465057185026</v>
      </c>
      <c r="D196" s="1333">
        <v>2.8988085955574156E-3</v>
      </c>
      <c r="E196" s="1326">
        <v>-6.1487023592479213E-2</v>
      </c>
    </row>
    <row r="197" spans="1:5">
      <c r="A197" s="329">
        <f t="shared" si="0"/>
        <v>2009.08</v>
      </c>
      <c r="B197" s="1012"/>
      <c r="C197" s="1323">
        <v>142.92360372359826</v>
      </c>
      <c r="D197" s="1333">
        <v>1.6732934283809734E-3</v>
      </c>
      <c r="E197" s="1326">
        <v>-5.6652242086208685E-2</v>
      </c>
    </row>
    <row r="198" spans="1:5">
      <c r="A198" s="329">
        <f t="shared" si="0"/>
        <v>2009.09</v>
      </c>
      <c r="B198" s="1012"/>
      <c r="C198" s="1323">
        <v>143.38957429547821</v>
      </c>
      <c r="D198" s="1333">
        <v>3.2549740568101771E-3</v>
      </c>
      <c r="E198" s="1326">
        <v>-4.6390281029640233E-2</v>
      </c>
    </row>
    <row r="199" spans="1:5">
      <c r="A199" s="329">
        <f t="shared" si="0"/>
        <v>2009.1</v>
      </c>
      <c r="B199" s="1012"/>
      <c r="C199" s="1323">
        <v>144.55610660919783</v>
      </c>
      <c r="D199" s="1333">
        <v>8.102491358696803E-3</v>
      </c>
      <c r="E199" s="1326">
        <v>-2.7318090799448302E-2</v>
      </c>
    </row>
    <row r="200" spans="1:5">
      <c r="A200" s="329">
        <f t="shared" si="0"/>
        <v>2009.11</v>
      </c>
      <c r="B200" s="1012"/>
      <c r="C200" s="1323">
        <v>144.71957989287731</v>
      </c>
      <c r="D200" s="1333">
        <v>1.1302249633077972E-3</v>
      </c>
      <c r="E200" s="1326">
        <v>-1.2130716904746659E-2</v>
      </c>
    </row>
    <row r="201" spans="1:5">
      <c r="A201" s="329">
        <f t="shared" si="0"/>
        <v>2009.12</v>
      </c>
      <c r="B201" s="1012"/>
      <c r="C201" s="1323">
        <v>144.98301513618037</v>
      </c>
      <c r="D201" s="1333">
        <v>1.8186603809091813E-3</v>
      </c>
      <c r="E201" s="1326">
        <v>9.2761365581149841E-4</v>
      </c>
    </row>
    <row r="202" spans="1:5">
      <c r="A202" s="329">
        <f t="shared" si="0"/>
        <v>2010.01</v>
      </c>
      <c r="B202" s="1012"/>
      <c r="C202" s="1323">
        <v>145.94679902591361</v>
      </c>
      <c r="D202" s="1333">
        <v>6.6255665009729457E-3</v>
      </c>
      <c r="E202" s="1326">
        <v>1.1543386571825276E-2</v>
      </c>
    </row>
    <row r="203" spans="1:5">
      <c r="A203" s="329">
        <f t="shared" si="0"/>
        <v>2010.02</v>
      </c>
      <c r="B203" s="1012"/>
      <c r="C203" s="1323">
        <v>146.4860427241282</v>
      </c>
      <c r="D203" s="1333">
        <v>3.6879873422318386E-3</v>
      </c>
      <c r="E203" s="1326">
        <v>2.0601877917730979E-2</v>
      </c>
    </row>
    <row r="204" spans="1:5">
      <c r="A204" s="329">
        <f t="shared" si="0"/>
        <v>2010.03</v>
      </c>
      <c r="B204" s="1012"/>
      <c r="C204" s="1323">
        <v>147.79294530669637</v>
      </c>
      <c r="D204" s="1333">
        <v>8.8821236156095551E-3</v>
      </c>
      <c r="E204" s="1326">
        <v>3.2012970141076173E-2</v>
      </c>
    </row>
    <row r="205" spans="1:5">
      <c r="A205" s="329">
        <f t="shared" si="0"/>
        <v>2010.04</v>
      </c>
      <c r="B205" s="1012"/>
      <c r="C205" s="1323">
        <v>149.41293670253043</v>
      </c>
      <c r="D205" s="1333">
        <v>1.0901583971199702E-2</v>
      </c>
      <c r="E205" s="1326">
        <v>4.8585913087839876E-2</v>
      </c>
    </row>
    <row r="206" spans="1:5">
      <c r="A206" s="329">
        <f t="shared" si="0"/>
        <v>2010.05</v>
      </c>
      <c r="B206" s="1012"/>
      <c r="C206" s="1323">
        <v>150.73579693684022</v>
      </c>
      <c r="D206" s="1333">
        <v>8.8147551633388464E-3</v>
      </c>
      <c r="E206" s="1326">
        <v>5.8924441119993523E-2</v>
      </c>
    </row>
    <row r="207" spans="1:5">
      <c r="A207" s="329">
        <f t="shared" si="0"/>
        <v>2010.06</v>
      </c>
      <c r="B207" s="1012"/>
      <c r="C207" s="1323">
        <v>152.04079106218956</v>
      </c>
      <c r="D207" s="1333">
        <v>8.6202319338210751E-3</v>
      </c>
      <c r="E207" s="1326">
        <v>6.6410701310835929E-2</v>
      </c>
    </row>
    <row r="208" spans="1:5">
      <c r="A208" s="329">
        <f t="shared" si="0"/>
        <v>2010.07</v>
      </c>
      <c r="B208" s="1012"/>
      <c r="C208" s="1323">
        <v>153.2671928206355</v>
      </c>
      <c r="D208" s="1333">
        <v>8.0339094917696204E-3</v>
      </c>
      <c r="E208" s="1326">
        <v>7.1545802207048328E-2</v>
      </c>
    </row>
    <row r="209" spans="1:5">
      <c r="A209" s="329">
        <f t="shared" si="0"/>
        <v>2010.08</v>
      </c>
      <c r="B209" s="1012"/>
      <c r="C209" s="1323">
        <v>154.16511969611318</v>
      </c>
      <c r="D209" s="1333">
        <v>5.8414772438499952E-3</v>
      </c>
      <c r="E209" s="1326">
        <v>7.5713986022517277E-2</v>
      </c>
    </row>
    <row r="210" spans="1:5">
      <c r="A210" s="329">
        <f t="shared" si="0"/>
        <v>2010.09</v>
      </c>
      <c r="B210" s="1012"/>
      <c r="C210" s="1323">
        <v>155.25279293089338</v>
      </c>
      <c r="D210" s="1333">
        <v>7.0304767143699685E-3</v>
      </c>
      <c r="E210" s="1326">
        <v>7.9489488680077186E-2</v>
      </c>
    </row>
    <row r="211" spans="1:5">
      <c r="A211" s="329">
        <f t="shared" si="0"/>
        <v>2010.1</v>
      </c>
      <c r="B211" s="1012"/>
      <c r="C211" s="1323">
        <v>156.24913283799259</v>
      </c>
      <c r="D211" s="1333">
        <v>6.3970282194579803E-3</v>
      </c>
      <c r="E211" s="1326">
        <v>7.7784025540838408E-2</v>
      </c>
    </row>
    <row r="212" spans="1:5">
      <c r="A212" s="329">
        <f t="shared" si="0"/>
        <v>2010.11</v>
      </c>
      <c r="B212" s="1012"/>
      <c r="C212" s="1323">
        <v>157.72989758827705</v>
      </c>
      <c r="D212" s="1333">
        <v>9.4323224499094326E-3</v>
      </c>
      <c r="E212" s="1326">
        <v>8.6086123027440065E-2</v>
      </c>
    </row>
    <row r="213" spans="1:5">
      <c r="A213" s="329">
        <f t="shared" si="0"/>
        <v>2010.12</v>
      </c>
      <c r="B213" s="1012"/>
      <c r="C213" s="1323">
        <v>159.03452281648777</v>
      </c>
      <c r="D213" s="1333">
        <v>8.2372420699159347E-3</v>
      </c>
      <c r="E213" s="1326">
        <v>9.2504704716446853E-2</v>
      </c>
    </row>
    <row r="214" spans="1:5">
      <c r="A214" s="329">
        <f t="shared" si="0"/>
        <v>2011.01</v>
      </c>
      <c r="B214" s="1012"/>
      <c r="C214" s="1323">
        <v>159.99306467337468</v>
      </c>
      <c r="D214" s="1333">
        <v>6.0091652188740156E-3</v>
      </c>
      <c r="E214" s="1326">
        <v>9.1888303434348256E-2</v>
      </c>
    </row>
    <row r="215" spans="1:5">
      <c r="A215" s="329">
        <f t="shared" si="0"/>
        <v>2011.02</v>
      </c>
      <c r="B215" s="1012"/>
      <c r="C215" s="1323">
        <v>160.2821410212506</v>
      </c>
      <c r="D215" s="1333">
        <v>1.8051751820689617E-3</v>
      </c>
      <c r="E215" s="1326">
        <v>9.000549127418539E-2</v>
      </c>
    </row>
    <row r="216" spans="1:5">
      <c r="A216" s="329">
        <f t="shared" si="0"/>
        <v>2011.03</v>
      </c>
      <c r="B216" s="1012"/>
      <c r="C216" s="1323">
        <v>161.10063504742976</v>
      </c>
      <c r="D216" s="1333">
        <v>5.0935884356879402E-3</v>
      </c>
      <c r="E216" s="1326">
        <v>8.6216956094263622E-2</v>
      </c>
    </row>
    <row r="217" spans="1:5">
      <c r="A217" s="329">
        <f t="shared" si="0"/>
        <v>2011.04</v>
      </c>
      <c r="B217" s="1012"/>
      <c r="C217" s="1323">
        <v>162.3703729530136</v>
      </c>
      <c r="D217" s="1333">
        <v>7.8507464086803695E-3</v>
      </c>
      <c r="E217" s="1326">
        <v>8.3166118531744104E-2</v>
      </c>
    </row>
    <row r="218" spans="1:5">
      <c r="A218" s="329">
        <f t="shared" si="0"/>
        <v>2011.05</v>
      </c>
      <c r="B218" s="1012"/>
      <c r="C218" s="1323">
        <v>163.13827139639068</v>
      </c>
      <c r="D218" s="1333">
        <v>4.7181534574921276E-3</v>
      </c>
      <c r="E218" s="1326">
        <v>7.9069516825897385E-2</v>
      </c>
    </row>
    <row r="219" spans="1:5">
      <c r="A219" s="329">
        <f t="shared" si="0"/>
        <v>2011.06</v>
      </c>
      <c r="B219" s="1012"/>
      <c r="C219" s="1323">
        <v>163.59363337583591</v>
      </c>
      <c r="D219" s="1333">
        <v>2.7873756288914792E-3</v>
      </c>
      <c r="E219" s="1326">
        <v>7.3236660520967875E-2</v>
      </c>
    </row>
    <row r="220" spans="1:5">
      <c r="A220" s="329">
        <f t="shared" si="0"/>
        <v>2011.07</v>
      </c>
      <c r="B220" s="1012"/>
      <c r="C220" s="1323">
        <v>163.79545308561094</v>
      </c>
      <c r="D220" s="1333">
        <v>1.2329044777949769E-3</v>
      </c>
      <c r="E220" s="1326">
        <v>6.6435655506993443E-2</v>
      </c>
    </row>
    <row r="221" spans="1:5">
      <c r="A221" s="329">
        <f t="shared" si="0"/>
        <v>2011.08</v>
      </c>
      <c r="B221" s="1012"/>
      <c r="C221" s="1323">
        <v>164.10712666739698</v>
      </c>
      <c r="D221" s="1333">
        <v>1.9010138674888689E-3</v>
      </c>
      <c r="E221" s="1326">
        <v>6.2495192130632267E-2</v>
      </c>
    </row>
    <row r="222" spans="1:5">
      <c r="A222" s="329">
        <f t="shared" si="0"/>
        <v>2011.09</v>
      </c>
      <c r="B222" s="1012"/>
      <c r="C222" s="1323">
        <v>164.44324084284878</v>
      </c>
      <c r="D222" s="1333">
        <v>2.0460442351959958E-3</v>
      </c>
      <c r="E222" s="1326">
        <v>5.7510759651458264E-2</v>
      </c>
    </row>
    <row r="223" spans="1:5">
      <c r="A223" s="329">
        <f t="shared" si="0"/>
        <v>2011.1</v>
      </c>
      <c r="B223" s="1012"/>
      <c r="C223" s="1323">
        <v>164.33585567980222</v>
      </c>
      <c r="D223" s="1333">
        <v>-6.5323597516330845E-4</v>
      </c>
      <c r="E223" s="1326">
        <v>5.0460495456836868E-2</v>
      </c>
    </row>
    <row r="224" spans="1:5">
      <c r="A224" s="329">
        <f t="shared" si="0"/>
        <v>2011.11</v>
      </c>
      <c r="B224" s="1012"/>
      <c r="C224" s="1323">
        <v>164.04714973107519</v>
      </c>
      <c r="D224" s="1333">
        <v>-1.7583493564211174E-3</v>
      </c>
      <c r="E224" s="1326">
        <v>3.9269823650506255E-2</v>
      </c>
    </row>
    <row r="225" spans="1:5">
      <c r="A225" s="329">
        <f t="shared" si="0"/>
        <v>2011.12</v>
      </c>
      <c r="B225" s="1012"/>
      <c r="C225" s="1323">
        <v>163.85590355218858</v>
      </c>
      <c r="D225" s="1333">
        <v>-1.1664801450124783E-3</v>
      </c>
      <c r="E225" s="1326">
        <v>2.9866101435577809E-2</v>
      </c>
    </row>
    <row r="226" spans="1:5">
      <c r="A226" s="329">
        <f t="shared" si="0"/>
        <v>2012.01</v>
      </c>
      <c r="B226" s="1012"/>
      <c r="C226" s="1323">
        <v>163.35322929719874</v>
      </c>
      <c r="D226" s="1333">
        <v>-3.0724976779201432E-3</v>
      </c>
      <c r="E226" s="1326">
        <v>2.0784438538783648E-2</v>
      </c>
    </row>
    <row r="227" spans="1:5">
      <c r="A227" s="329">
        <f t="shared" si="0"/>
        <v>2012.02</v>
      </c>
      <c r="B227" s="1012"/>
      <c r="C227" s="1323">
        <v>164.15327022213089</v>
      </c>
      <c r="D227" s="1333">
        <v>4.8856588647733113E-3</v>
      </c>
      <c r="E227" s="1326">
        <v>2.3864922221487936E-2</v>
      </c>
    </row>
    <row r="228" spans="1:5">
      <c r="A228" s="329">
        <f t="shared" si="0"/>
        <v>2012.03</v>
      </c>
      <c r="B228" s="1012"/>
      <c r="C228" s="1323">
        <v>164.59931666933517</v>
      </c>
      <c r="D228" s="1333">
        <v>2.7135708657133138E-3</v>
      </c>
      <c r="E228" s="1326">
        <v>2.1484904651513249E-2</v>
      </c>
    </row>
    <row r="229" spans="1:5">
      <c r="A229" s="329">
        <f t="shared" si="0"/>
        <v>2012.04</v>
      </c>
      <c r="B229" s="1012"/>
      <c r="C229" s="1323">
        <v>163.70172201416881</v>
      </c>
      <c r="D229" s="1333">
        <v>-5.4681331214010611E-3</v>
      </c>
      <c r="E229" s="1326">
        <v>8.1660251214319152E-3</v>
      </c>
    </row>
    <row r="230" spans="1:5">
      <c r="A230" s="329">
        <f t="shared" si="0"/>
        <v>2012.05</v>
      </c>
      <c r="B230" s="1012"/>
      <c r="C230" s="1323">
        <v>163.2060941962269</v>
      </c>
      <c r="D230" s="1333">
        <v>-3.0322199293709132E-3</v>
      </c>
      <c r="E230" s="1326">
        <v>4.1565173456882434E-4</v>
      </c>
    </row>
    <row r="231" spans="1:5">
      <c r="A231" s="329">
        <f t="shared" si="0"/>
        <v>2012.06</v>
      </c>
      <c r="B231" s="1012"/>
      <c r="C231" s="1323">
        <v>162.6040184951145</v>
      </c>
      <c r="D231" s="1333">
        <v>-3.6958729210421768E-3</v>
      </c>
      <c r="E231" s="1326">
        <v>-6.0675968153647963E-3</v>
      </c>
    </row>
    <row r="232" spans="1:5">
      <c r="A232" s="329">
        <f t="shared" si="0"/>
        <v>2012.07</v>
      </c>
      <c r="B232" s="1012"/>
      <c r="C232" s="1323">
        <v>161.76161425127597</v>
      </c>
      <c r="D232" s="1333">
        <v>-5.1941762798555016E-3</v>
      </c>
      <c r="E232" s="1326">
        <v>-1.249467757301528E-2</v>
      </c>
    </row>
    <row r="233" spans="1:5">
      <c r="A233" s="329">
        <f t="shared" si="0"/>
        <v>2012.08</v>
      </c>
      <c r="B233" s="1012"/>
      <c r="C233" s="1323">
        <v>161.06815636093955</v>
      </c>
      <c r="D233" s="1333">
        <v>-4.2961276811642555E-3</v>
      </c>
      <c r="E233" s="1326">
        <v>-1.8691819121668483E-2</v>
      </c>
    </row>
    <row r="234" spans="1:5">
      <c r="A234" s="329">
        <f t="shared" si="0"/>
        <v>2012.09</v>
      </c>
      <c r="B234" s="1012"/>
      <c r="C234" s="1323">
        <v>160.79446342155109</v>
      </c>
      <c r="D234" s="1333">
        <v>-1.7006821453247444E-3</v>
      </c>
      <c r="E234" s="1326">
        <v>-2.2438545502189228E-2</v>
      </c>
    </row>
    <row r="235" spans="1:5">
      <c r="A235" s="329">
        <f t="shared" si="0"/>
        <v>2012.1</v>
      </c>
      <c r="B235" s="1012"/>
      <c r="C235" s="1323">
        <v>160.82889923681799</v>
      </c>
      <c r="D235" s="1333">
        <v>2.1413752479839714E-4</v>
      </c>
      <c r="E235" s="1326">
        <v>-2.1571172002227589E-2</v>
      </c>
    </row>
    <row r="236" spans="1:5">
      <c r="A236" s="329">
        <f t="shared" si="0"/>
        <v>2012.11</v>
      </c>
      <c r="B236" s="1012"/>
      <c r="C236" s="1323">
        <v>161.84114677472544</v>
      </c>
      <c r="D236" s="1333">
        <v>6.274216470218065E-3</v>
      </c>
      <c r="E236" s="1326">
        <v>-1.3538606175588417E-2</v>
      </c>
    </row>
    <row r="237" spans="1:5">
      <c r="A237" s="329">
        <f t="shared" si="0"/>
        <v>2012.12</v>
      </c>
      <c r="B237" s="1012"/>
      <c r="C237" s="1323">
        <v>162.51055558412915</v>
      </c>
      <c r="D237" s="1333">
        <v>4.1276784118532851E-3</v>
      </c>
      <c r="E237" s="1326">
        <v>-8.2444476187225283E-3</v>
      </c>
    </row>
    <row r="238" spans="1:5">
      <c r="A238" s="329">
        <f t="shared" si="0"/>
        <v>2013.01</v>
      </c>
      <c r="B238" s="1012"/>
      <c r="C238" s="1323">
        <v>162.96610896827519</v>
      </c>
      <c r="D238" s="1333">
        <v>2.7993016473376901E-3</v>
      </c>
      <c r="E238" s="1326">
        <v>-2.3726482934647267E-3</v>
      </c>
    </row>
    <row r="239" spans="1:5">
      <c r="A239" s="329">
        <f t="shared" si="0"/>
        <v>2013.02</v>
      </c>
      <c r="B239" s="1012"/>
      <c r="C239" s="1323">
        <v>164.40588063780461</v>
      </c>
      <c r="D239" s="1333">
        <v>8.7959935370037785E-3</v>
      </c>
      <c r="E239" s="1326">
        <v>1.5376863787655796E-3</v>
      </c>
    </row>
    <row r="240" spans="1:5">
      <c r="A240" s="329">
        <f t="shared" si="0"/>
        <v>2013.03</v>
      </c>
      <c r="B240" s="1012"/>
      <c r="C240" s="1323">
        <v>165.23629987090939</v>
      </c>
      <c r="D240" s="1333">
        <v>5.0383175386142544E-3</v>
      </c>
      <c r="E240" s="1326">
        <v>3.8624330516666646E-3</v>
      </c>
    </row>
    <row r="241" spans="1:5">
      <c r="A241" s="329">
        <f t="shared" si="0"/>
        <v>2013.04</v>
      </c>
      <c r="B241" s="1012"/>
      <c r="C241" s="1323">
        <v>166.14596238862703</v>
      </c>
      <c r="D241" s="1333">
        <v>5.4901236800875752E-3</v>
      </c>
      <c r="E241" s="1326">
        <v>1.4820689853155324E-2</v>
      </c>
    </row>
    <row r="242" spans="1:5">
      <c r="A242" s="329">
        <f t="shared" ref="A242:A306" si="1">A230+1</f>
        <v>2013.05</v>
      </c>
      <c r="B242" s="1012"/>
      <c r="C242" s="1323">
        <v>166.62899045227479</v>
      </c>
      <c r="D242" s="1333">
        <v>2.9030334089440459E-3</v>
      </c>
      <c r="E242" s="1326">
        <v>2.075594319147029E-2</v>
      </c>
    </row>
    <row r="243" spans="1:5">
      <c r="A243" s="329">
        <f t="shared" si="1"/>
        <v>2013.06</v>
      </c>
      <c r="B243" s="1012"/>
      <c r="C243" s="1323">
        <v>167.25363157975312</v>
      </c>
      <c r="D243" s="1333">
        <v>3.7416853410064694E-3</v>
      </c>
      <c r="E243" s="1326">
        <v>2.8193501453518965E-2</v>
      </c>
    </row>
    <row r="244" spans="1:5">
      <c r="A244" s="329">
        <f t="shared" si="1"/>
        <v>2013.07</v>
      </c>
      <c r="B244" s="1012"/>
      <c r="C244" s="1323">
        <v>167.40632395317721</v>
      </c>
      <c r="D244" s="1333">
        <v>9.1252258595720358E-4</v>
      </c>
      <c r="E244" s="1326">
        <v>3.4300200319331758E-2</v>
      </c>
    </row>
    <row r="245" spans="1:5">
      <c r="A245" s="329">
        <f t="shared" si="1"/>
        <v>2013.08</v>
      </c>
      <c r="B245" s="1012"/>
      <c r="C245" s="1323">
        <v>167.96205842515394</v>
      </c>
      <c r="D245" s="1333">
        <v>3.3141763496423557E-3</v>
      </c>
      <c r="E245" s="1326">
        <v>4.191050435013851E-2</v>
      </c>
    </row>
    <row r="246" spans="1:5">
      <c r="A246" s="329">
        <f t="shared" si="1"/>
        <v>2013.09</v>
      </c>
      <c r="B246" s="1012"/>
      <c r="C246" s="1323">
        <v>168.39867707738435</v>
      </c>
      <c r="D246" s="1333">
        <v>2.5961347528220642E-3</v>
      </c>
      <c r="E246" s="1326">
        <v>4.6207321248285228E-2</v>
      </c>
    </row>
    <row r="247" spans="1:5">
      <c r="A247" s="329">
        <f t="shared" si="1"/>
        <v>2013.1</v>
      </c>
      <c r="B247" s="1012"/>
      <c r="C247" s="1323">
        <v>168.34090232484772</v>
      </c>
      <c r="D247" s="1333">
        <v>-3.4314203994718266E-4</v>
      </c>
      <c r="E247" s="1326">
        <v>4.5650041683539741E-2</v>
      </c>
    </row>
    <row r="248" spans="1:5">
      <c r="A248" s="329">
        <f t="shared" si="1"/>
        <v>2013.11</v>
      </c>
      <c r="B248" s="1012"/>
      <c r="C248" s="1323">
        <v>167.84196187582043</v>
      </c>
      <c r="D248" s="1333">
        <v>-2.9682703581287357E-3</v>
      </c>
      <c r="E248" s="1326">
        <v>3.6407554855192946E-2</v>
      </c>
    </row>
    <row r="249" spans="1:5">
      <c r="A249" s="329">
        <f t="shared" si="1"/>
        <v>2013.12</v>
      </c>
      <c r="B249" s="1012"/>
      <c r="C249" s="1323">
        <v>167.75668096253028</v>
      </c>
      <c r="D249" s="1333">
        <v>-5.0823158523251137E-4</v>
      </c>
      <c r="E249" s="1326">
        <v>3.1771644858107122E-2</v>
      </c>
    </row>
    <row r="250" spans="1:5">
      <c r="A250" s="329">
        <f t="shared" si="1"/>
        <v>2014.01</v>
      </c>
      <c r="B250" s="1012"/>
      <c r="C250" s="1323">
        <v>167.35084241442382</v>
      </c>
      <c r="D250" s="1333">
        <v>-2.4221404666178638E-3</v>
      </c>
      <c r="E250" s="1326">
        <v>2.6550202744151472E-2</v>
      </c>
    </row>
    <row r="251" spans="1:5">
      <c r="A251" s="329">
        <f t="shared" si="1"/>
        <v>2014.02</v>
      </c>
      <c r="B251" s="1012"/>
      <c r="C251" s="1323">
        <v>166.09034357604193</v>
      </c>
      <c r="D251" s="1333">
        <v>-7.5605827700102107E-3</v>
      </c>
      <c r="E251" s="1326">
        <v>1.0193626437137376E-2</v>
      </c>
    </row>
    <row r="252" spans="1:5">
      <c r="A252" s="329">
        <f t="shared" si="1"/>
        <v>2014.03</v>
      </c>
      <c r="B252" s="1012"/>
      <c r="C252" s="1323">
        <v>164.63684396001364</v>
      </c>
      <c r="D252" s="1333">
        <v>-8.7897761594988248E-3</v>
      </c>
      <c r="E252" s="1326">
        <v>-3.6344672609756041E-3</v>
      </c>
    </row>
    <row r="253" spans="1:5">
      <c r="A253" s="329">
        <f t="shared" si="1"/>
        <v>2014.04</v>
      </c>
      <c r="B253" s="1012"/>
      <c r="C253" s="1323">
        <v>164.31405984988683</v>
      </c>
      <c r="D253" s="1333">
        <v>-1.962506927245236E-3</v>
      </c>
      <c r="E253" s="1326">
        <v>-1.1087097868308481E-2</v>
      </c>
    </row>
    <row r="254" spans="1:5">
      <c r="A254" s="329">
        <f t="shared" si="1"/>
        <v>2014.05</v>
      </c>
      <c r="B254" s="1012"/>
      <c r="C254" s="1323">
        <v>164.43871597922961</v>
      </c>
      <c r="D254" s="1333">
        <v>7.5835791805922909E-4</v>
      </c>
      <c r="E254" s="1326">
        <v>-1.3231773359193143E-2</v>
      </c>
    </row>
    <row r="255" spans="1:5">
      <c r="A255" s="329">
        <f t="shared" si="1"/>
        <v>2014.06</v>
      </c>
      <c r="B255" s="1012"/>
      <c r="C255" s="1323">
        <v>164.59374616067524</v>
      </c>
      <c r="D255" s="1333">
        <v>9.4233980385793057E-4</v>
      </c>
      <c r="E255" s="1326">
        <v>-1.6031118896341689E-2</v>
      </c>
    </row>
    <row r="256" spans="1:5">
      <c r="A256" s="329">
        <f t="shared" si="1"/>
        <v>2014.07</v>
      </c>
      <c r="B256" s="1012"/>
      <c r="C256" s="1323">
        <v>164.91572570012204</v>
      </c>
      <c r="D256" s="1333">
        <v>1.9542967314772996E-3</v>
      </c>
      <c r="E256" s="1326">
        <v>-1.4989344750821676E-2</v>
      </c>
    </row>
    <row r="257" spans="1:5">
      <c r="A257" s="329">
        <f t="shared" si="1"/>
        <v>2014.08</v>
      </c>
      <c r="B257" s="1012"/>
      <c r="C257" s="1323">
        <v>165.93505963320794</v>
      </c>
      <c r="D257" s="1333">
        <v>6.1619146971693545E-3</v>
      </c>
      <c r="E257" s="1326">
        <v>-1.2141606403294657E-2</v>
      </c>
    </row>
    <row r="258" spans="1:5">
      <c r="A258" s="329">
        <f t="shared" si="1"/>
        <v>2014.09</v>
      </c>
      <c r="B258" s="1012"/>
      <c r="C258" s="1323">
        <v>166.23450326275193</v>
      </c>
      <c r="D258" s="1333">
        <v>1.8029569479452565E-3</v>
      </c>
      <c r="E258" s="1326">
        <v>-1.2934784208171379E-2</v>
      </c>
    </row>
    <row r="259" spans="1:5">
      <c r="A259" s="329">
        <f t="shared" si="1"/>
        <v>2014.1</v>
      </c>
      <c r="B259" s="1012"/>
      <c r="C259" s="1323">
        <v>166.96032643380465</v>
      </c>
      <c r="D259" s="1333">
        <v>4.3567561945892759E-3</v>
      </c>
      <c r="E259" s="1326">
        <v>-8.2348859736348801E-3</v>
      </c>
    </row>
    <row r="260" spans="1:5">
      <c r="A260" s="329">
        <f t="shared" si="1"/>
        <v>2014.11</v>
      </c>
      <c r="B260" s="1012"/>
      <c r="C260" s="1323">
        <v>166.99435974477865</v>
      </c>
      <c r="D260" s="1333">
        <v>2.0381993426259675E-4</v>
      </c>
      <c r="E260" s="1326">
        <v>-5.0627956812434836E-3</v>
      </c>
    </row>
    <row r="261" spans="1:5">
      <c r="A261" s="329">
        <f t="shared" si="1"/>
        <v>2014.12</v>
      </c>
      <c r="B261" s="1012"/>
      <c r="C261" s="1323">
        <v>166.28712093707014</v>
      </c>
      <c r="D261" s="1333">
        <v>-4.2440994192002894E-3</v>
      </c>
      <c r="E261" s="1326">
        <v>-8.7986635152112035E-3</v>
      </c>
    </row>
    <row r="262" spans="1:5">
      <c r="A262" s="329">
        <f t="shared" si="1"/>
        <v>2015.01</v>
      </c>
      <c r="B262" s="1012"/>
      <c r="C262" s="1323">
        <v>166.44837872720208</v>
      </c>
      <c r="D262" s="1333">
        <v>9.6928523058079975E-4</v>
      </c>
      <c r="E262" s="1326">
        <v>-5.4072378180124153E-3</v>
      </c>
    </row>
    <row r="263" spans="1:5">
      <c r="A263" s="329">
        <f t="shared" si="1"/>
        <v>2015.02</v>
      </c>
      <c r="B263" s="1012"/>
      <c r="C263" s="1323">
        <v>167.33951338051784</v>
      </c>
      <c r="D263" s="1333">
        <v>5.3395392201045621E-3</v>
      </c>
      <c r="E263" s="1326">
        <v>7.4928841721023272E-3</v>
      </c>
    </row>
    <row r="264" spans="1:5">
      <c r="A264" s="329">
        <f t="shared" si="1"/>
        <v>2015.03</v>
      </c>
      <c r="B264" s="1012"/>
      <c r="C264" s="1323">
        <v>168.08961241394007</v>
      </c>
      <c r="D264" s="1333">
        <v>4.4724815235020867E-3</v>
      </c>
      <c r="E264" s="1326">
        <v>2.0755141855103163E-2</v>
      </c>
    </row>
    <row r="265" spans="1:5">
      <c r="A265" s="329">
        <f t="shared" si="1"/>
        <v>2015.04</v>
      </c>
      <c r="B265" s="1012"/>
      <c r="C265" s="1323">
        <v>169.3024499459421</v>
      </c>
      <c r="D265" s="1333">
        <v>7.1895156496841212E-3</v>
      </c>
      <c r="E265" s="1326">
        <v>2.9907164432032611E-2</v>
      </c>
    </row>
    <row r="266" spans="1:5">
      <c r="A266" s="329">
        <f t="shared" si="1"/>
        <v>2015.05</v>
      </c>
      <c r="B266" s="1012"/>
      <c r="C266" s="1323">
        <v>170.41003317230425</v>
      </c>
      <c r="D266" s="1333">
        <v>6.5207327132942375E-3</v>
      </c>
      <c r="E266" s="1326">
        <v>3.5669539227267642E-2</v>
      </c>
    </row>
    <row r="267" spans="1:5">
      <c r="A267" s="329">
        <f t="shared" si="1"/>
        <v>2015.06</v>
      </c>
      <c r="B267" s="1012"/>
      <c r="C267" s="1323">
        <v>171.13771916517859</v>
      </c>
      <c r="D267" s="1333">
        <v>4.2611148160070734E-3</v>
      </c>
      <c r="E267" s="1326">
        <v>3.8988314239416698E-2</v>
      </c>
    </row>
    <row r="268" spans="1:5">
      <c r="A268" s="329">
        <f t="shared" si="1"/>
        <v>2015.07</v>
      </c>
      <c r="B268" s="1012"/>
      <c r="C268" s="1323">
        <v>171.39163881338487</v>
      </c>
      <c r="D268" s="1333">
        <v>1.4826156579251792E-3</v>
      </c>
      <c r="E268" s="1326">
        <v>3.8516633165864594E-2</v>
      </c>
    </row>
    <row r="269" spans="1:5">
      <c r="A269" s="329">
        <f t="shared" si="1"/>
        <v>2015.08</v>
      </c>
      <c r="B269" s="1012"/>
      <c r="C269" s="1323">
        <v>170.37717229603001</v>
      </c>
      <c r="D269" s="1333">
        <v>-5.9365832327730392E-3</v>
      </c>
      <c r="E269" s="1326">
        <v>2.6418135235922326E-2</v>
      </c>
    </row>
    <row r="270" spans="1:5">
      <c r="A270" s="329">
        <f t="shared" si="1"/>
        <v>2015.09</v>
      </c>
      <c r="B270" s="1012"/>
      <c r="C270" s="1323">
        <v>170.23528486049057</v>
      </c>
      <c r="D270" s="1333">
        <v>-8.3313126555052794E-4</v>
      </c>
      <c r="E270" s="1326">
        <v>2.3782047022426433E-2</v>
      </c>
    </row>
    <row r="271" spans="1:5">
      <c r="A271" s="329">
        <f t="shared" si="1"/>
        <v>2015.1</v>
      </c>
      <c r="B271" s="1012"/>
      <c r="C271" s="1323">
        <v>170.40589122775427</v>
      </c>
      <c r="D271" s="1333">
        <v>1.001677973801191E-3</v>
      </c>
      <c r="E271" s="1326">
        <v>2.0426968801638162E-2</v>
      </c>
    </row>
    <row r="272" spans="1:5">
      <c r="A272" s="329">
        <f t="shared" si="1"/>
        <v>2015.11</v>
      </c>
      <c r="B272" s="1012"/>
      <c r="C272" s="1323">
        <v>169.66689509737898</v>
      </c>
      <c r="D272" s="1333">
        <v>-4.3461124989344155E-3</v>
      </c>
      <c r="E272" s="1326">
        <v>1.5877036368441191E-2</v>
      </c>
    </row>
    <row r="273" spans="1:5">
      <c r="A273" s="329">
        <f t="shared" si="1"/>
        <v>2015.12</v>
      </c>
      <c r="B273" s="1012"/>
      <c r="C273" s="1323">
        <v>168.93302456305994</v>
      </c>
      <c r="D273" s="1333">
        <v>-4.3347422183264211E-3</v>
      </c>
      <c r="E273" s="1326">
        <v>1.5786393569314973E-2</v>
      </c>
    </row>
    <row r="274" spans="1:5">
      <c r="A274" s="329">
        <f t="shared" si="1"/>
        <v>2016.01</v>
      </c>
      <c r="B274" s="1012"/>
      <c r="C274" s="1323">
        <v>168.30453195129056</v>
      </c>
      <c r="D274" s="1333">
        <v>-3.7273033637866258E-3</v>
      </c>
      <c r="E274" s="1326">
        <v>1.108980497494759E-2</v>
      </c>
    </row>
    <row r="275" spans="1:5">
      <c r="A275" s="329">
        <f t="shared" si="1"/>
        <v>2016.02</v>
      </c>
      <c r="B275" s="1012"/>
      <c r="C275" s="1323">
        <v>167.25405049715485</v>
      </c>
      <c r="D275" s="1333">
        <v>-6.2611117151245557E-3</v>
      </c>
      <c r="E275" s="1326">
        <v>-5.1084596028151544E-4</v>
      </c>
    </row>
    <row r="276" spans="1:5">
      <c r="A276" s="329">
        <f t="shared" si="1"/>
        <v>2016.03</v>
      </c>
      <c r="B276" s="1012"/>
      <c r="C276" s="1323">
        <v>167.14817101721999</v>
      </c>
      <c r="D276" s="1333">
        <v>-6.3324629240509673E-4</v>
      </c>
      <c r="E276" s="1326">
        <v>-5.6165737761886192E-3</v>
      </c>
    </row>
    <row r="277" spans="1:5">
      <c r="A277" s="329">
        <f t="shared" si="1"/>
        <v>2016.04</v>
      </c>
      <c r="B277" s="1012"/>
      <c r="C277" s="1323">
        <v>166.10572220269611</v>
      </c>
      <c r="D277" s="1333">
        <v>-6.2562042686310918E-3</v>
      </c>
      <c r="E277" s="1326">
        <v>-1.9062293694504011E-2</v>
      </c>
    </row>
    <row r="278" spans="1:5">
      <c r="A278" s="329">
        <f t="shared" si="1"/>
        <v>2016.05</v>
      </c>
      <c r="B278" s="1012"/>
      <c r="C278" s="1323">
        <v>165.41131564774105</v>
      </c>
      <c r="D278" s="1333">
        <v>-4.1892722921696253E-3</v>
      </c>
      <c r="E278" s="1326">
        <v>-2.9772298699967958E-2</v>
      </c>
    </row>
    <row r="279" spans="1:5">
      <c r="A279" s="329">
        <f t="shared" si="1"/>
        <v>2016.06</v>
      </c>
      <c r="B279" s="1012"/>
      <c r="C279" s="1323">
        <v>164.66028865584016</v>
      </c>
      <c r="D279" s="1333">
        <v>-4.5506991706317189E-3</v>
      </c>
      <c r="E279" s="1326">
        <v>-3.8584112686606747E-2</v>
      </c>
    </row>
    <row r="280" spans="1:5">
      <c r="A280" s="329">
        <f t="shared" si="1"/>
        <v>2016.07</v>
      </c>
      <c r="B280" s="1012"/>
      <c r="C280" s="1323">
        <v>165.33923811985812</v>
      </c>
      <c r="D280" s="1333">
        <v>4.1148569432922985E-3</v>
      </c>
      <c r="E280" s="1326">
        <v>-3.5951871401239704E-2</v>
      </c>
    </row>
    <row r="281" spans="1:5">
      <c r="A281" s="329">
        <f t="shared" si="1"/>
        <v>2016.08</v>
      </c>
      <c r="B281" s="1012"/>
      <c r="C281" s="1323">
        <v>166.67946435598483</v>
      </c>
      <c r="D281" s="1333">
        <v>8.0732410883883211E-3</v>
      </c>
      <c r="E281" s="1326">
        <v>-2.1942047080078311E-2</v>
      </c>
    </row>
    <row r="282" spans="1:5">
      <c r="A282" s="329">
        <f t="shared" si="1"/>
        <v>2016.09</v>
      </c>
      <c r="B282" s="1012"/>
      <c r="C282" s="1323">
        <v>167.35643659384101</v>
      </c>
      <c r="D282" s="1333">
        <v>4.0532958449918232E-3</v>
      </c>
      <c r="E282" s="1326">
        <v>-1.7055619969535935E-2</v>
      </c>
    </row>
    <row r="283" spans="1:5">
      <c r="A283" s="329">
        <f t="shared" si="1"/>
        <v>2016.1</v>
      </c>
      <c r="B283" s="1012"/>
      <c r="C283" s="1323">
        <v>167.6799757165696</v>
      </c>
      <c r="D283" s="1333">
        <v>1.9313675255121243E-3</v>
      </c>
      <c r="E283" s="1326">
        <v>-1.6125930417824955E-2</v>
      </c>
    </row>
    <row r="284" spans="1:5">
      <c r="A284" s="329">
        <f t="shared" si="1"/>
        <v>2016.11</v>
      </c>
      <c r="B284" s="1012"/>
      <c r="C284" s="1323">
        <v>168.92905841044046</v>
      </c>
      <c r="D284" s="1333">
        <v>7.4215977619642073E-3</v>
      </c>
      <c r="E284" s="1326">
        <v>-4.3582201569264418E-3</v>
      </c>
    </row>
    <row r="285" spans="1:5">
      <c r="A285" s="329">
        <f t="shared" si="1"/>
        <v>2016.12</v>
      </c>
      <c r="B285" s="1012"/>
      <c r="C285" s="1323">
        <v>170.39782899455346</v>
      </c>
      <c r="D285" s="1333">
        <v>8.6570195972061996E-3</v>
      </c>
      <c r="E285" s="1326">
        <v>8.6335416586061867E-3</v>
      </c>
    </row>
    <row r="286" spans="1:5">
      <c r="A286" s="329">
        <f t="shared" si="1"/>
        <v>2017.01</v>
      </c>
      <c r="B286" s="1012"/>
      <c r="C286" s="1323">
        <v>170.87488062609305</v>
      </c>
      <c r="D286" s="1333">
        <v>2.7957227684103849E-3</v>
      </c>
      <c r="E286" s="1326">
        <v>1.5156567790803118E-2</v>
      </c>
    </row>
    <row r="287" spans="1:5">
      <c r="A287" s="329">
        <f t="shared" si="1"/>
        <v>2017.02</v>
      </c>
      <c r="B287" s="1012"/>
      <c r="C287" s="1323">
        <v>171.13323882669033</v>
      </c>
      <c r="D287" s="1333">
        <v>1.510831088776069E-3</v>
      </c>
      <c r="E287" s="1326">
        <v>2.292851059470383E-2</v>
      </c>
    </row>
    <row r="288" spans="1:5">
      <c r="A288" s="329">
        <f t="shared" si="1"/>
        <v>2017.03</v>
      </c>
      <c r="B288" s="1012"/>
      <c r="C288" s="1323">
        <v>172.03132666293035</v>
      </c>
      <c r="D288" s="1333">
        <v>5.2341644617530363E-3</v>
      </c>
      <c r="E288" s="1326">
        <v>2.8795921348862091E-2</v>
      </c>
    </row>
    <row r="289" spans="1:5">
      <c r="A289" s="329">
        <f t="shared" si="1"/>
        <v>2017.04</v>
      </c>
      <c r="B289" s="1012"/>
      <c r="C289" s="1323">
        <v>173.17479615618905</v>
      </c>
      <c r="D289" s="1333">
        <v>6.6248748200562245E-3</v>
      </c>
      <c r="E289" s="1326">
        <v>4.1677000437549343E-2</v>
      </c>
    </row>
    <row r="290" spans="1:5">
      <c r="A290" s="329">
        <f t="shared" si="1"/>
        <v>2017.05</v>
      </c>
      <c r="B290" s="1012"/>
      <c r="C290" s="1323">
        <v>173.28761553266247</v>
      </c>
      <c r="D290" s="1333">
        <v>6.5126476440050939E-4</v>
      </c>
      <c r="E290" s="1326">
        <v>4.6517537494119368E-2</v>
      </c>
    </row>
    <row r="291" spans="1:5">
      <c r="A291" s="329">
        <f t="shared" si="1"/>
        <v>2017.06</v>
      </c>
      <c r="B291" s="1012"/>
      <c r="C291" s="1323">
        <v>173.90492529974517</v>
      </c>
      <c r="D291" s="1333">
        <v>3.5560119817326439E-3</v>
      </c>
      <c r="E291" s="1326">
        <v>5.4624248646483714E-2</v>
      </c>
    </row>
    <row r="292" spans="1:5">
      <c r="A292" s="329">
        <f t="shared" si="1"/>
        <v>2017.07</v>
      </c>
      <c r="B292" s="1012"/>
      <c r="C292" s="1323">
        <v>173.87804453199684</v>
      </c>
      <c r="D292" s="1333">
        <v>-1.5458357730896907E-4</v>
      </c>
      <c r="E292" s="1326">
        <v>5.0354808125882375E-2</v>
      </c>
    </row>
    <row r="293" spans="1:5">
      <c r="A293" s="329">
        <f t="shared" si="1"/>
        <v>2017.08</v>
      </c>
      <c r="B293" s="1012"/>
      <c r="C293" s="1323">
        <v>174.47098441511318</v>
      </c>
      <c r="D293" s="1333">
        <v>3.4042894136912497E-3</v>
      </c>
      <c r="E293" s="1326">
        <v>4.5685856451185461E-2</v>
      </c>
    </row>
    <row r="294" spans="1:5">
      <c r="A294" s="329">
        <f t="shared" si="1"/>
        <v>2017.09</v>
      </c>
      <c r="B294" s="1012"/>
      <c r="C294" s="1323">
        <v>175.50514429888074</v>
      </c>
      <c r="D294" s="1333">
        <v>5.9099053273877081E-3</v>
      </c>
      <c r="E294" s="1326">
        <v>4.7542465933581239E-2</v>
      </c>
    </row>
    <row r="295" spans="1:5">
      <c r="A295" s="329">
        <f t="shared" si="1"/>
        <v>2017.1</v>
      </c>
      <c r="B295" s="1012"/>
      <c r="C295" s="1323">
        <v>175.86777573691253</v>
      </c>
      <c r="D295" s="1333">
        <v>2.0640837475030907E-3</v>
      </c>
      <c r="E295" s="1326">
        <v>4.7675182155572322E-2</v>
      </c>
    </row>
    <row r="296" spans="1:5">
      <c r="A296" s="329">
        <f t="shared" si="1"/>
        <v>2017.11</v>
      </c>
      <c r="B296" s="1012"/>
      <c r="C296" s="1323">
        <v>176.33602567850861</v>
      </c>
      <c r="D296" s="1333">
        <v>2.6589731036229412E-3</v>
      </c>
      <c r="E296" s="1326">
        <v>4.2912557497231149E-2</v>
      </c>
    </row>
    <row r="297" spans="1:5">
      <c r="A297" s="329">
        <f t="shared" si="1"/>
        <v>2017.12</v>
      </c>
      <c r="B297" s="1012"/>
      <c r="C297" s="1323">
        <v>176.83985498226377</v>
      </c>
      <c r="D297" s="1333">
        <v>2.8531373353876269E-3</v>
      </c>
      <c r="E297" s="1326">
        <v>3.7108675235412579E-2</v>
      </c>
    </row>
    <row r="298" spans="1:5">
      <c r="A298" s="329">
        <f t="shared" si="1"/>
        <v>2018.01</v>
      </c>
      <c r="B298" s="1012"/>
      <c r="C298" s="1323">
        <v>176.59891192719198</v>
      </c>
      <c r="D298" s="1333">
        <v>-1.3634219839726695E-3</v>
      </c>
      <c r="E298" s="1326">
        <v>3.294953048302935E-2</v>
      </c>
    </row>
    <row r="299" spans="1:5">
      <c r="A299" s="329">
        <f t="shared" si="1"/>
        <v>2018.02</v>
      </c>
      <c r="B299" s="1012"/>
      <c r="C299" s="1323">
        <v>176.30234785301775</v>
      </c>
      <c r="D299" s="1333">
        <v>-1.6807202341562798E-3</v>
      </c>
      <c r="E299" s="1326">
        <v>2.9757979160097141E-2</v>
      </c>
    </row>
    <row r="300" spans="1:5">
      <c r="A300" s="329">
        <f t="shared" si="1"/>
        <v>2018.03</v>
      </c>
      <c r="B300" s="1012"/>
      <c r="C300" s="1323">
        <v>175.7290781441836</v>
      </c>
      <c r="D300" s="1333">
        <v>-3.2569263608212954E-3</v>
      </c>
      <c r="E300" s="1326">
        <v>2.1266888337522709E-2</v>
      </c>
    </row>
    <row r="301" spans="1:5">
      <c r="A301" s="329">
        <f t="shared" si="1"/>
        <v>2018.04</v>
      </c>
      <c r="B301" s="1012"/>
      <c r="C301" s="1323">
        <v>174.3156085592671</v>
      </c>
      <c r="D301" s="1333">
        <v>-8.0759818444978166E-3</v>
      </c>
      <c r="E301" s="1326">
        <v>6.5660316729685758E-3</v>
      </c>
    </row>
    <row r="302" spans="1:5">
      <c r="A302" s="329">
        <f t="shared" si="1"/>
        <v>2018.05</v>
      </c>
      <c r="B302" s="1012"/>
      <c r="C302" s="1323">
        <v>172.89145704135962</v>
      </c>
      <c r="D302" s="1333">
        <v>-8.2035168395954965E-3</v>
      </c>
      <c r="E302" s="1326">
        <v>-2.2887499310272484E-3</v>
      </c>
    </row>
    <row r="303" spans="1:5">
      <c r="A303" s="329">
        <f t="shared" si="1"/>
        <v>2018.06</v>
      </c>
      <c r="B303" s="1012"/>
      <c r="C303" s="1323">
        <v>171.36641057994655</v>
      </c>
      <c r="D303" s="1333">
        <v>-8.859965630734613E-3</v>
      </c>
      <c r="E303" s="1326">
        <v>-1.4704727543494481E-2</v>
      </c>
    </row>
    <row r="304" spans="1:5">
      <c r="A304" s="329">
        <f t="shared" si="1"/>
        <v>2018.07</v>
      </c>
      <c r="B304" s="1012"/>
      <c r="C304" s="1323">
        <v>168.38456257239125</v>
      </c>
      <c r="D304" s="1333">
        <v>-1.7553589592553938E-2</v>
      </c>
      <c r="E304" s="1326">
        <v>-3.2103733558739474E-2</v>
      </c>
    </row>
    <row r="305" spans="1:5">
      <c r="A305" s="329">
        <f t="shared" si="1"/>
        <v>2018.08</v>
      </c>
      <c r="B305" s="1012"/>
      <c r="C305" s="1323">
        <v>166.06515958086047</v>
      </c>
      <c r="D305" s="1333">
        <v>-1.3870187487555736E-2</v>
      </c>
      <c r="E305" s="1326">
        <v>-4.9378210459986423E-2</v>
      </c>
    </row>
    <row r="306" spans="1:5">
      <c r="A306" s="329">
        <f t="shared" si="1"/>
        <v>2018.09</v>
      </c>
      <c r="B306" s="1012"/>
      <c r="C306" s="1323">
        <v>163.92434974490752</v>
      </c>
      <c r="D306" s="1333">
        <v>-1.2975199575624406E-2</v>
      </c>
      <c r="E306" s="1326">
        <v>-6.8263315362998525E-2</v>
      </c>
    </row>
    <row r="307" spans="1:5">
      <c r="A307" s="329">
        <f t="shared" ref="A307:A370" si="2">A295+1</f>
        <v>2018.1</v>
      </c>
      <c r="B307" s="1012"/>
      <c r="C307" s="1323">
        <v>162.02997679499251</v>
      </c>
      <c r="D307" s="1333">
        <v>-1.1623679299027766E-2</v>
      </c>
      <c r="E307" s="1326">
        <v>-8.1951078409529546E-2</v>
      </c>
    </row>
    <row r="308" spans="1:5">
      <c r="A308" s="329">
        <f t="shared" si="2"/>
        <v>2018.11</v>
      </c>
      <c r="B308" s="1012"/>
      <c r="C308" s="1323">
        <v>160.39798684180332</v>
      </c>
      <c r="D308" s="1333">
        <v>-1.012321556655728E-2</v>
      </c>
      <c r="E308" s="1326">
        <v>-9.4733267079709776E-2</v>
      </c>
    </row>
    <row r="309" spans="1:5">
      <c r="A309" s="329">
        <f t="shared" si="2"/>
        <v>2018.12</v>
      </c>
      <c r="B309" s="1012"/>
      <c r="C309" s="1323">
        <v>160.11796964893907</v>
      </c>
      <c r="D309" s="1333">
        <v>-1.7472906320902893E-3</v>
      </c>
      <c r="E309" s="1326">
        <v>-9.9333695047187615E-2</v>
      </c>
    </row>
    <row r="310" spans="1:5">
      <c r="A310" s="329">
        <f t="shared" si="2"/>
        <v>2019.01</v>
      </c>
      <c r="B310" s="1012"/>
      <c r="C310" s="1323">
        <v>160.66769681974247</v>
      </c>
      <c r="D310" s="1333">
        <v>3.4273832430854268E-3</v>
      </c>
      <c r="E310" s="1326">
        <v>-9.4542889820129539E-2</v>
      </c>
    </row>
    <row r="311" spans="1:5">
      <c r="A311" s="329">
        <f t="shared" si="2"/>
        <v>2019.02</v>
      </c>
      <c r="B311" s="1012"/>
      <c r="C311" s="1323">
        <v>161.00210908486508</v>
      </c>
      <c r="D311" s="1333">
        <v>2.0792277015831344E-3</v>
      </c>
      <c r="E311" s="1326">
        <v>-9.0782941884390178E-2</v>
      </c>
    </row>
    <row r="312" spans="1:5">
      <c r="A312" s="329">
        <f t="shared" si="2"/>
        <v>2019.03</v>
      </c>
      <c r="B312" s="1012"/>
      <c r="C312" s="1323">
        <v>160.73818817331596</v>
      </c>
      <c r="D312" s="1333">
        <v>-1.6405838683796632E-3</v>
      </c>
      <c r="E312" s="1326">
        <v>-8.9166599391948501E-2</v>
      </c>
    </row>
    <row r="313" spans="1:5">
      <c r="A313" s="329">
        <f t="shared" si="2"/>
        <v>2019.04</v>
      </c>
      <c r="B313" s="329"/>
      <c r="C313" s="319">
        <v>160.59433078739812</v>
      </c>
      <c r="D313" s="1334">
        <v>-8.9538024968066729E-4</v>
      </c>
      <c r="E313" s="1327">
        <v>-8.198599779713131E-2</v>
      </c>
    </row>
    <row r="314" spans="1:5">
      <c r="A314" s="329">
        <f t="shared" si="2"/>
        <v>2019.05</v>
      </c>
      <c r="B314" s="1012"/>
      <c r="C314" s="319">
        <v>160.88648432312053</v>
      </c>
      <c r="D314" s="1334">
        <v>1.8175493056966949E-3</v>
      </c>
      <c r="E314" s="1327">
        <v>-7.1964931651839037E-2</v>
      </c>
    </row>
    <row r="315" spans="1:5">
      <c r="A315" s="329">
        <f t="shared" si="2"/>
        <v>2019.06</v>
      </c>
      <c r="B315" s="1012"/>
      <c r="C315" s="319">
        <v>160.42715720728759</v>
      </c>
      <c r="D315" s="1334">
        <v>-2.859059618707342E-3</v>
      </c>
      <c r="E315" s="1327">
        <v>-6.5964025639811755E-2</v>
      </c>
    </row>
    <row r="316" spans="1:5">
      <c r="A316" s="329">
        <f t="shared" si="2"/>
        <v>2019.07</v>
      </c>
      <c r="B316" s="1012"/>
      <c r="C316" s="319">
        <v>160.46465948780559</v>
      </c>
      <c r="D316" s="1334">
        <v>2.3373784395611422E-4</v>
      </c>
      <c r="E316" s="1327">
        <v>-4.8176698203301824E-2</v>
      </c>
    </row>
    <row r="317" spans="1:5">
      <c r="A317" s="329">
        <f t="shared" si="2"/>
        <v>2019.08</v>
      </c>
      <c r="B317" s="1012"/>
      <c r="C317" s="319">
        <v>159.22501792337056</v>
      </c>
      <c r="D317" s="1334">
        <v>-7.7553193938073427E-3</v>
      </c>
      <c r="E317" s="1327">
        <v>-4.2061830109553382E-2</v>
      </c>
    </row>
    <row r="318" spans="1:5">
      <c r="A318" s="329">
        <f t="shared" si="2"/>
        <v>2019.09</v>
      </c>
      <c r="B318" s="1012"/>
      <c r="C318" s="319">
        <v>157.35463995899326</v>
      </c>
      <c r="D318" s="1334">
        <v>-1.1816297607039065E-2</v>
      </c>
      <c r="E318" s="1327">
        <v>-4.0902928140968013E-2</v>
      </c>
    </row>
    <row r="319" spans="1:5">
      <c r="A319" s="329">
        <f t="shared" si="2"/>
        <v>2019.1</v>
      </c>
      <c r="B319" s="1012"/>
      <c r="C319" s="319">
        <v>155.83348010316843</v>
      </c>
      <c r="D319" s="1334">
        <v>-9.7141093179906168E-3</v>
      </c>
      <c r="E319" s="1327">
        <v>-3.8993358159930873E-2</v>
      </c>
    </row>
    <row r="320" spans="1:5">
      <c r="A320" s="329">
        <f t="shared" si="2"/>
        <v>2019.11</v>
      </c>
      <c r="B320" s="1012"/>
      <c r="C320" s="319">
        <v>155.13921060112364</v>
      </c>
      <c r="D320" s="1334">
        <v>-4.4651551490149117E-3</v>
      </c>
      <c r="E320" s="1327">
        <v>-3.3335297742388532E-2</v>
      </c>
    </row>
    <row r="321" spans="1:5">
      <c r="A321" s="329">
        <f t="shared" si="2"/>
        <v>2019.12</v>
      </c>
      <c r="B321" s="1012"/>
      <c r="C321" s="319">
        <v>153.95794954739978</v>
      </c>
      <c r="D321" s="1334">
        <v>-7.6433365093460572E-3</v>
      </c>
      <c r="E321" s="1327">
        <v>-3.9231343619644331E-2</v>
      </c>
    </row>
    <row r="322" spans="1:5">
      <c r="A322" s="329">
        <f t="shared" si="2"/>
        <v>2020.01</v>
      </c>
      <c r="B322" s="329"/>
      <c r="C322" s="319">
        <v>152.90442094236508</v>
      </c>
      <c r="D322" s="1334">
        <v>-6.8664837771831837E-3</v>
      </c>
      <c r="E322" s="1327">
        <v>-4.9525210639912873E-2</v>
      </c>
    </row>
    <row r="323" spans="1:5">
      <c r="A323" s="329">
        <f t="shared" si="2"/>
        <v>2020.02</v>
      </c>
      <c r="B323" s="329"/>
      <c r="C323" s="319">
        <v>151.54746965338856</v>
      </c>
      <c r="D323" s="1334">
        <v>-8.9141195461859609E-3</v>
      </c>
      <c r="E323" s="1327">
        <v>-6.0518557887681984E-2</v>
      </c>
    </row>
    <row r="324" spans="1:5">
      <c r="A324" s="329">
        <f t="shared" si="2"/>
        <v>2020.03</v>
      </c>
      <c r="B324" s="329"/>
      <c r="C324" s="319">
        <v>149.30746416299868</v>
      </c>
      <c r="D324" s="1334">
        <v>-1.4891209227676651E-2</v>
      </c>
      <c r="E324" s="1327">
        <v>-7.3769183246978939E-2</v>
      </c>
    </row>
    <row r="325" spans="1:5">
      <c r="A325" s="329">
        <f t="shared" si="2"/>
        <v>2020.04</v>
      </c>
      <c r="B325" s="329"/>
      <c r="C325" s="319">
        <v>148.11869084450441</v>
      </c>
      <c r="D325" s="1334">
        <v>-7.9937801618495431E-3</v>
      </c>
      <c r="E325" s="1327">
        <v>-8.0867583159147785E-2</v>
      </c>
    </row>
    <row r="326" spans="1:5">
      <c r="A326" s="329">
        <f t="shared" si="2"/>
        <v>2020.05</v>
      </c>
      <c r="B326" s="329"/>
      <c r="C326" s="319">
        <v>147.78386612251094</v>
      </c>
      <c r="D326" s="1334">
        <v>-2.2630751712729544E-3</v>
      </c>
      <c r="E326" s="1327">
        <v>-8.4948207636117559E-2</v>
      </c>
    </row>
    <row r="327" spans="1:5">
      <c r="A327" s="329">
        <f t="shared" si="2"/>
        <v>2020.06</v>
      </c>
      <c r="B327" s="329"/>
      <c r="C327" s="319">
        <v>148.86402557327125</v>
      </c>
      <c r="D327" s="1334">
        <v>7.2824668894506161E-3</v>
      </c>
      <c r="E327" s="1327">
        <v>-7.4806681127959559E-2</v>
      </c>
    </row>
    <row r="328" spans="1:5">
      <c r="A328" s="329">
        <f t="shared" si="2"/>
        <v>2020.07</v>
      </c>
      <c r="B328" s="329"/>
      <c r="C328" s="319">
        <v>150.8193679196493</v>
      </c>
      <c r="D328" s="1334">
        <v>1.3049572561663145E-2</v>
      </c>
      <c r="E328" s="1327">
        <v>-6.1990846410252563E-2</v>
      </c>
    </row>
    <row r="329" spans="1:5">
      <c r="A329" s="329">
        <f t="shared" si="2"/>
        <v>2020.08</v>
      </c>
      <c r="B329" s="329"/>
      <c r="C329" s="319">
        <v>152.84171794876312</v>
      </c>
      <c r="D329" s="1334">
        <v>1.3319980885964415E-2</v>
      </c>
      <c r="E329" s="1327">
        <v>-4.0915546130480783E-2</v>
      </c>
    </row>
    <row r="330" spans="1:5">
      <c r="A330" s="329">
        <f t="shared" si="2"/>
        <v>2020.09</v>
      </c>
      <c r="B330" s="329"/>
      <c r="C330" s="319">
        <v>154.63683277005399</v>
      </c>
      <c r="D330" s="1334">
        <v>1.1676490685995099E-2</v>
      </c>
      <c r="E330" s="1327">
        <v>-1.7422757837446432E-2</v>
      </c>
    </row>
    <row r="331" spans="1:5">
      <c r="A331" s="329">
        <f t="shared" si="2"/>
        <v>2020.1</v>
      </c>
      <c r="B331" s="1012"/>
      <c r="C331" s="319">
        <v>156.66501768823366</v>
      </c>
      <c r="D331" s="1334">
        <v>1.3030527207102459E-2</v>
      </c>
      <c r="E331" s="1327">
        <v>5.321878687646461E-3</v>
      </c>
    </row>
    <row r="332" spans="1:5">
      <c r="A332" s="329">
        <f t="shared" si="2"/>
        <v>2020.11</v>
      </c>
      <c r="B332" s="1012"/>
      <c r="C332" s="319">
        <v>157.69635102032501</v>
      </c>
      <c r="D332" s="1334">
        <v>6.5614743725482443E-3</v>
      </c>
      <c r="E332" s="1327">
        <v>1.6348508209209765E-2</v>
      </c>
    </row>
    <row r="333" spans="1:5">
      <c r="A333" s="329">
        <f t="shared" si="2"/>
        <v>2020.12</v>
      </c>
      <c r="B333" s="329"/>
      <c r="C333" s="319">
        <v>157.65103085117215</v>
      </c>
      <c r="D333" s="1334">
        <v>-2.8743012988349093E-4</v>
      </c>
      <c r="E333" s="1327">
        <v>2.3704414588672423E-2</v>
      </c>
    </row>
    <row r="334" spans="1:5">
      <c r="A334" s="329">
        <f t="shared" si="2"/>
        <v>2021.01</v>
      </c>
      <c r="B334" s="329"/>
      <c r="C334" s="319">
        <v>158.17438396731251</v>
      </c>
      <c r="D334" s="1334">
        <v>3.3141955689596206E-3</v>
      </c>
      <c r="E334" s="1327">
        <v>3.3885093934815043E-2</v>
      </c>
    </row>
    <row r="335" spans="1:5">
      <c r="A335" s="329">
        <f t="shared" si="2"/>
        <v>2021.02</v>
      </c>
      <c r="B335" s="329"/>
      <c r="C335" s="319">
        <v>159.67537337711411</v>
      </c>
      <c r="D335" s="1334">
        <v>9.4447174036958268E-3</v>
      </c>
      <c r="E335" s="1327">
        <v>5.2243930884696907E-2</v>
      </c>
    </row>
    <row r="336" spans="1:5">
      <c r="A336" s="329">
        <f t="shared" si="2"/>
        <v>2021.03</v>
      </c>
      <c r="B336" s="329"/>
      <c r="C336" s="319">
        <v>161.36985103882122</v>
      </c>
      <c r="D336" s="1334">
        <v>1.0556104047870236E-2</v>
      </c>
      <c r="E336" s="1327">
        <v>7.7691244160243755E-2</v>
      </c>
    </row>
    <row r="337" spans="1:5">
      <c r="A337" s="329">
        <f t="shared" si="2"/>
        <v>2021.04</v>
      </c>
      <c r="B337" s="329"/>
      <c r="C337" s="319">
        <v>160.85556792040504</v>
      </c>
      <c r="D337" s="1334">
        <v>-3.1920731564917455E-3</v>
      </c>
      <c r="E337" s="1327">
        <v>8.2492951165601597E-2</v>
      </c>
    </row>
    <row r="338" spans="1:5">
      <c r="A338" s="329">
        <f t="shared" si="2"/>
        <v>2021.05</v>
      </c>
      <c r="B338" s="329"/>
      <c r="C338" s="319">
        <v>160.33516547340139</v>
      </c>
      <c r="D338" s="1334">
        <v>-3.2404602516531316E-3</v>
      </c>
      <c r="E338" s="1327">
        <v>8.1515566085221383E-2</v>
      </c>
    </row>
    <row r="339" spans="1:5">
      <c r="A339" s="329">
        <f t="shared" si="2"/>
        <v>2021.06</v>
      </c>
      <c r="B339" s="329"/>
      <c r="C339" s="319">
        <v>160.07237204164664</v>
      </c>
      <c r="D339" s="1334">
        <v>-1.6403702155088336E-3</v>
      </c>
      <c r="E339" s="1327">
        <v>7.2592728980261867E-2</v>
      </c>
    </row>
    <row r="340" spans="1:5">
      <c r="A340" s="329">
        <f t="shared" si="2"/>
        <v>2021.07</v>
      </c>
      <c r="B340" s="329"/>
      <c r="C340" s="319">
        <v>160.24700398273018</v>
      </c>
      <c r="D340" s="1334">
        <v>1.0903615045238047E-3</v>
      </c>
      <c r="E340" s="1327">
        <v>6.0633517923122507E-2</v>
      </c>
    </row>
    <row r="341" spans="1:5">
      <c r="A341" s="329">
        <f t="shared" si="2"/>
        <v>2021.08</v>
      </c>
      <c r="B341" s="329"/>
      <c r="C341" s="319">
        <v>160.53198922768121</v>
      </c>
      <c r="D341" s="1334">
        <v>1.7768328098851144E-3</v>
      </c>
      <c r="E341" s="1327">
        <v>4.9090369847043229E-2</v>
      </c>
    </row>
    <row r="342" spans="1:5">
      <c r="A342" s="329">
        <f t="shared" si="2"/>
        <v>2021.09</v>
      </c>
      <c r="B342" s="329"/>
      <c r="C342" s="319">
        <v>161.30777704770136</v>
      </c>
      <c r="D342" s="1334">
        <v>4.8209662314326182E-3</v>
      </c>
      <c r="E342" s="1327">
        <v>4.2234845392480659E-2</v>
      </c>
    </row>
    <row r="343" spans="1:5">
      <c r="A343" s="329">
        <f t="shared" si="2"/>
        <v>2021.1</v>
      </c>
      <c r="B343" s="329"/>
      <c r="C343" s="319">
        <v>161.65007773521918</v>
      </c>
      <c r="D343" s="1334">
        <v>2.1197862855823636E-3</v>
      </c>
      <c r="E343" s="1327">
        <v>3.1324104470960609E-2</v>
      </c>
    </row>
    <row r="344" spans="1:5">
      <c r="A344" s="329">
        <f t="shared" si="2"/>
        <v>2021.11</v>
      </c>
      <c r="B344" s="329"/>
      <c r="C344" s="319">
        <v>162.39365624625563</v>
      </c>
      <c r="D344" s="1334">
        <v>4.589379384251204E-3</v>
      </c>
      <c r="E344" s="1327">
        <v>2.935200948266355E-2</v>
      </c>
    </row>
    <row r="345" spans="1:5">
      <c r="A345" s="329">
        <f t="shared" si="2"/>
        <v>2021.12</v>
      </c>
      <c r="B345" s="329"/>
      <c r="C345" s="319">
        <v>163.58799322618196</v>
      </c>
      <c r="D345" s="1334">
        <v>7.3276659958241572E-3</v>
      </c>
      <c r="E345" s="1327">
        <v>3.6967105608371277E-2</v>
      </c>
    </row>
    <row r="346" spans="1:5">
      <c r="A346" s="329">
        <f t="shared" si="2"/>
        <v>2022.01</v>
      </c>
      <c r="B346" s="329"/>
      <c r="C346" s="319">
        <v>164.37388866950693</v>
      </c>
      <c r="D346" s="1334">
        <v>4.7926115258230262E-3</v>
      </c>
      <c r="E346" s="1327">
        <v>3.8445521565234765E-2</v>
      </c>
    </row>
    <row r="347" spans="1:5">
      <c r="A347" s="329">
        <f t="shared" si="2"/>
        <v>2022.02</v>
      </c>
      <c r="B347" s="329"/>
      <c r="C347" s="319">
        <v>164.86166109355159</v>
      </c>
      <c r="D347" s="1334">
        <v>2.9630626539079857E-3</v>
      </c>
      <c r="E347" s="1327">
        <v>3.1963866815446856E-2</v>
      </c>
    </row>
    <row r="348" spans="1:5">
      <c r="A348" s="329">
        <f t="shared" si="2"/>
        <v>2022.03</v>
      </c>
      <c r="B348" s="329"/>
      <c r="C348" s="319">
        <v>165.30085594711025</v>
      </c>
      <c r="D348" s="1334">
        <v>2.6604783398935699E-3</v>
      </c>
      <c r="E348" s="1327">
        <v>2.4068241107470138E-2</v>
      </c>
    </row>
    <row r="349" spans="1:5">
      <c r="A349" s="329">
        <f t="shared" si="2"/>
        <v>2022.04</v>
      </c>
      <c r="B349" s="329"/>
      <c r="C349" s="319">
        <v>166.49882305583139</v>
      </c>
      <c r="D349" s="1334">
        <v>7.2210577047597986E-3</v>
      </c>
      <c r="E349" s="1327">
        <v>3.4481371968721836E-2</v>
      </c>
    </row>
    <row r="350" spans="1:5">
      <c r="A350" s="329">
        <f t="shared" si="2"/>
        <v>2022.05</v>
      </c>
      <c r="B350" s="329"/>
      <c r="C350" s="319">
        <v>166.96393376469379</v>
      </c>
      <c r="D350" s="1334">
        <v>2.7895829502073903E-3</v>
      </c>
      <c r="E350" s="1327">
        <v>4.0511415170582432E-2</v>
      </c>
    </row>
    <row r="351" spans="1:5">
      <c r="A351" s="329">
        <f t="shared" si="2"/>
        <v>2022.06</v>
      </c>
      <c r="B351" s="329"/>
      <c r="C351" s="319">
        <v>166.79332656507728</v>
      </c>
      <c r="D351" s="1334">
        <v>-1.0223430903502507E-3</v>
      </c>
      <c r="E351" s="1327">
        <v>4.1129442295740969E-2</v>
      </c>
    </row>
    <row r="352" spans="1:5">
      <c r="A352" s="329">
        <f t="shared" si="2"/>
        <v>2022.07</v>
      </c>
      <c r="B352" s="329"/>
      <c r="C352" s="319">
        <v>165.73061468620017</v>
      </c>
      <c r="D352" s="1334">
        <v>-6.3918134314872223E-3</v>
      </c>
      <c r="E352" s="1327">
        <v>3.3647267359729949E-2</v>
      </c>
    </row>
    <row r="353" spans="1:5">
      <c r="A353" s="329">
        <f t="shared" si="2"/>
        <v>2022.08</v>
      </c>
      <c r="B353" s="329"/>
      <c r="C353" s="319">
        <v>164.89483124110325</v>
      </c>
      <c r="D353" s="1334">
        <v>-5.0557828241940403E-3</v>
      </c>
      <c r="E353" s="1327">
        <v>2.6814651725650864E-2</v>
      </c>
    </row>
    <row r="354" spans="1:5">
      <c r="A354" s="329">
        <f t="shared" si="2"/>
        <v>2022.09</v>
      </c>
      <c r="B354" s="329"/>
      <c r="C354" s="319">
        <v>163.88491435753451</v>
      </c>
      <c r="D354" s="1334">
        <v>-6.1434445000695054E-3</v>
      </c>
      <c r="E354" s="1327">
        <v>1.5850240994148564E-2</v>
      </c>
    </row>
    <row r="355" spans="1:5">
      <c r="A355" s="329">
        <f t="shared" si="2"/>
        <v>2022.1</v>
      </c>
      <c r="B355" s="329"/>
      <c r="C355" s="319">
        <v>163.85034911190567</v>
      </c>
      <c r="D355" s="1334">
        <v>-2.1093394339740065E-4</v>
      </c>
      <c r="E355" s="1327">
        <v>1.3519520765168731E-2</v>
      </c>
    </row>
    <row r="356" spans="1:5">
      <c r="A356" s="329">
        <f t="shared" si="2"/>
        <v>2022.11</v>
      </c>
      <c r="B356" s="329"/>
      <c r="C356" s="319">
        <v>164.02643737713504</v>
      </c>
      <c r="D356" s="1334">
        <v>1.074112528945045E-3</v>
      </c>
      <c r="E356" s="1327">
        <v>1.0004253909862556E-2</v>
      </c>
    </row>
    <row r="357" spans="1:5">
      <c r="A357" s="329">
        <f t="shared" si="2"/>
        <v>2022.12</v>
      </c>
      <c r="B357" s="329"/>
      <c r="C357" s="319">
        <v>164.72492747521491</v>
      </c>
      <c r="D357" s="1334">
        <v>4.2493581704145652E-3</v>
      </c>
      <c r="E357" s="1327">
        <v>6.9259460844529096E-3</v>
      </c>
    </row>
    <row r="358" spans="1:5">
      <c r="A358" s="329">
        <f t="shared" si="2"/>
        <v>2023.01</v>
      </c>
      <c r="B358" s="329"/>
      <c r="C358" s="319">
        <v>164.36300845019696</v>
      </c>
      <c r="D358" s="1334">
        <v>-2.1995286452034164E-3</v>
      </c>
      <c r="E358" s="1327">
        <v>-6.6194086573586635E-5</v>
      </c>
    </row>
    <row r="359" spans="1:5">
      <c r="A359" s="329">
        <f t="shared" si="2"/>
        <v>2023.02</v>
      </c>
      <c r="B359" s="329"/>
      <c r="C359" s="319">
        <v>164.63949651648051</v>
      </c>
      <c r="D359" s="1334">
        <v>1.6807661169684195E-3</v>
      </c>
      <c r="E359" s="1327">
        <v>-1.3484906235130512E-3</v>
      </c>
    </row>
    <row r="360" spans="1:5">
      <c r="A360" s="329">
        <f t="shared" si="2"/>
        <v>2023.03</v>
      </c>
      <c r="B360" s="329" t="s">
        <v>349</v>
      </c>
      <c r="C360" s="319">
        <v>165.11213828790386</v>
      </c>
      <c r="D360" s="1334">
        <v>2.8666550531168005E-3</v>
      </c>
      <c r="E360" s="1327">
        <v>-1.142313910289702E-3</v>
      </c>
    </row>
    <row r="361" spans="1:5">
      <c r="A361" s="329">
        <f t="shared" si="2"/>
        <v>2023.04</v>
      </c>
      <c r="B361" s="329" t="s">
        <v>349</v>
      </c>
      <c r="C361" s="319">
        <v>165.14208025133735</v>
      </c>
      <c r="D361" s="1334">
        <v>1.8132675880993355E-4</v>
      </c>
      <c r="E361" s="1327">
        <v>-8.1820448562395336E-3</v>
      </c>
    </row>
    <row r="362" spans="1:5">
      <c r="A362" s="329">
        <f t="shared" si="2"/>
        <v>2023.05</v>
      </c>
      <c r="B362" s="329" t="s">
        <v>349</v>
      </c>
      <c r="C362" s="319">
        <v>164.36199814546899</v>
      </c>
      <c r="D362" s="1334">
        <v>-4.7348947367603055E-3</v>
      </c>
      <c r="E362" s="1327">
        <v>-1.5706522543207348E-2</v>
      </c>
    </row>
    <row r="363" spans="1:5">
      <c r="A363" s="329">
        <f t="shared" si="2"/>
        <v>2023.06</v>
      </c>
      <c r="B363" s="329" t="s">
        <v>349</v>
      </c>
      <c r="C363" s="319">
        <v>163.5262037435883</v>
      </c>
      <c r="D363" s="1334">
        <v>-5.0980560280500103E-3</v>
      </c>
      <c r="E363" s="1327">
        <v>-1.9782235480906962E-2</v>
      </c>
    </row>
    <row r="364" spans="1:5">
      <c r="A364" s="329">
        <f t="shared" si="2"/>
        <v>2023.07</v>
      </c>
      <c r="B364" s="329" t="s">
        <v>349</v>
      </c>
      <c r="C364" s="319">
        <v>162.83890514096854</v>
      </c>
      <c r="D364" s="1334">
        <v>-4.2118449548984374E-3</v>
      </c>
      <c r="E364" s="1327">
        <v>-1.7602267004318179E-2</v>
      </c>
    </row>
    <row r="365" spans="1:5">
      <c r="A365" s="329">
        <f t="shared" si="2"/>
        <v>2023.08</v>
      </c>
      <c r="B365" s="329" t="s">
        <v>349</v>
      </c>
      <c r="C365" s="319">
        <v>161.81577441216757</v>
      </c>
      <c r="D365" s="1334">
        <v>-6.302906936905865E-3</v>
      </c>
      <c r="E365" s="1327">
        <v>-1.8849391117030111E-2</v>
      </c>
    </row>
    <row r="366" spans="1:5">
      <c r="A366" s="329">
        <f t="shared" si="2"/>
        <v>2023.09</v>
      </c>
      <c r="B366" s="329" t="s">
        <v>349</v>
      </c>
      <c r="C366" s="319">
        <v>161.06415280029279</v>
      </c>
      <c r="D366" s="1334">
        <v>-4.6557429322960486E-3</v>
      </c>
      <c r="E366" s="1327">
        <v>-1.7361689549256657E-2</v>
      </c>
    </row>
    <row r="367" spans="1:5">
      <c r="A367" s="329">
        <f t="shared" si="2"/>
        <v>2023.1</v>
      </c>
      <c r="B367" s="329" t="s">
        <v>349</v>
      </c>
      <c r="C367" s="319">
        <v>159.62295178884423</v>
      </c>
      <c r="D367" s="1334">
        <v>-8.9882673395405097E-3</v>
      </c>
      <c r="E367" s="1327">
        <v>-2.6139022945399725E-2</v>
      </c>
    </row>
    <row r="368" spans="1:5">
      <c r="A368" s="329">
        <f t="shared" si="2"/>
        <v>2023.11</v>
      </c>
      <c r="B368" s="329" t="s">
        <v>349</v>
      </c>
      <c r="C368" s="319">
        <v>157.6942359470406</v>
      </c>
      <c r="D368" s="1334">
        <v>-1.2156540324079703E-2</v>
      </c>
      <c r="E368" s="1327">
        <v>-3.9369675798424326E-2</v>
      </c>
    </row>
    <row r="369" spans="1:5">
      <c r="A369" s="329">
        <f t="shared" si="2"/>
        <v>2023.12</v>
      </c>
      <c r="B369" s="329" t="s">
        <v>349</v>
      </c>
      <c r="C369" s="319">
        <v>155.22800088455588</v>
      </c>
      <c r="D369" s="1334">
        <v>-1.5762933006671427E-2</v>
      </c>
      <c r="E369" s="1327">
        <v>-5.9381966975510472E-2</v>
      </c>
    </row>
    <row r="370" spans="1:5">
      <c r="A370" s="329">
        <f t="shared" si="2"/>
        <v>2024.01</v>
      </c>
      <c r="B370" s="329" t="s">
        <v>349</v>
      </c>
      <c r="C370" s="319">
        <v>153.30584850160434</v>
      </c>
      <c r="D370" s="1334">
        <v>-1.2460073700881579E-2</v>
      </c>
      <c r="E370" s="1327">
        <v>-6.9642512031188597E-2</v>
      </c>
    </row>
    <row r="371" spans="1:5">
      <c r="A371" s="329">
        <f t="shared" ref="A371:A434" si="3">A359+1</f>
        <v>2024.02</v>
      </c>
      <c r="B371" s="329" t="s">
        <v>349</v>
      </c>
      <c r="C371" s="319">
        <v>151.25370167799562</v>
      </c>
      <c r="D371" s="1334">
        <v>-1.3476365329873102E-2</v>
      </c>
      <c r="E371" s="1327">
        <v>-8.4799643478030054E-2</v>
      </c>
    </row>
    <row r="372" spans="1:5">
      <c r="A372" s="329">
        <f t="shared" si="3"/>
        <v>2024.03</v>
      </c>
      <c r="B372" s="329"/>
      <c r="C372" s="319" t="e">
        <v>#N/A</v>
      </c>
      <c r="D372" s="1334" t="e">
        <v>#N/A</v>
      </c>
      <c r="E372" s="1327" t="e">
        <v>#N/A</v>
      </c>
    </row>
    <row r="373" spans="1:5">
      <c r="A373" s="329">
        <f t="shared" si="3"/>
        <v>2024.04</v>
      </c>
      <c r="B373" s="329"/>
      <c r="C373" s="319" t="e">
        <v>#N/A</v>
      </c>
      <c r="D373" s="1334" t="e">
        <v>#N/A</v>
      </c>
      <c r="E373" s="1327" t="e">
        <v>#N/A</v>
      </c>
    </row>
    <row r="374" spans="1:5">
      <c r="A374" s="329">
        <f t="shared" si="3"/>
        <v>2024.05</v>
      </c>
      <c r="B374" s="329"/>
      <c r="C374" s="319" t="e">
        <v>#N/A</v>
      </c>
      <c r="D374" s="1334" t="e">
        <v>#N/A</v>
      </c>
      <c r="E374" s="1327" t="e">
        <v>#N/A</v>
      </c>
    </row>
    <row r="375" spans="1:5">
      <c r="A375" s="329">
        <f t="shared" si="3"/>
        <v>2024.06</v>
      </c>
      <c r="B375" s="329"/>
      <c r="C375" s="319" t="e">
        <v>#N/A</v>
      </c>
      <c r="D375" s="1334" t="e">
        <v>#N/A</v>
      </c>
      <c r="E375" s="1327" t="e">
        <v>#N/A</v>
      </c>
    </row>
    <row r="376" spans="1:5">
      <c r="A376" s="329">
        <f t="shared" si="3"/>
        <v>2024.07</v>
      </c>
      <c r="B376" s="329"/>
      <c r="C376" s="319" t="e">
        <v>#N/A</v>
      </c>
      <c r="D376" s="1334" t="e">
        <v>#N/A</v>
      </c>
      <c r="E376" s="1327" t="e">
        <v>#N/A</v>
      </c>
    </row>
    <row r="377" spans="1:5">
      <c r="A377" s="329">
        <f t="shared" si="3"/>
        <v>2024.08</v>
      </c>
      <c r="B377" s="329"/>
      <c r="C377" s="319" t="e">
        <v>#N/A</v>
      </c>
      <c r="D377" s="1334" t="e">
        <v>#N/A</v>
      </c>
      <c r="E377" s="1327" t="e">
        <v>#N/A</v>
      </c>
    </row>
    <row r="378" spans="1:5">
      <c r="A378" s="329">
        <f t="shared" si="3"/>
        <v>2024.09</v>
      </c>
      <c r="B378" s="329"/>
      <c r="C378" s="319" t="e">
        <v>#N/A</v>
      </c>
      <c r="D378" s="1334" t="e">
        <v>#N/A</v>
      </c>
      <c r="E378" s="1327" t="e">
        <v>#N/A</v>
      </c>
    </row>
    <row r="379" spans="1:5">
      <c r="A379" s="329">
        <f>A367+1</f>
        <v>2024.1</v>
      </c>
      <c r="B379" s="329"/>
      <c r="C379" s="319" t="e">
        <v>#N/A</v>
      </c>
      <c r="D379" s="1334" t="e">
        <v>#N/A</v>
      </c>
      <c r="E379" s="1327" t="e">
        <v>#N/A</v>
      </c>
    </row>
    <row r="380" spans="1:5">
      <c r="A380" s="329">
        <f t="shared" si="3"/>
        <v>2024.11</v>
      </c>
      <c r="B380" s="329"/>
      <c r="C380" s="319" t="e">
        <v>#N/A</v>
      </c>
      <c r="D380" s="1334" t="e">
        <v>#N/A</v>
      </c>
      <c r="E380" s="1327" t="e">
        <v>#N/A</v>
      </c>
    </row>
    <row r="381" spans="1:5">
      <c r="A381" s="329">
        <f t="shared" si="3"/>
        <v>2024.12</v>
      </c>
      <c r="B381" s="329"/>
      <c r="C381" s="319" t="e">
        <v>#N/A</v>
      </c>
      <c r="D381" s="1334" t="e">
        <v>#N/A</v>
      </c>
      <c r="E381" s="1327" t="e">
        <v>#N/A</v>
      </c>
    </row>
    <row r="382" spans="1:5">
      <c r="A382" s="329">
        <f t="shared" si="3"/>
        <v>2025.01</v>
      </c>
      <c r="B382" s="329"/>
      <c r="C382" s="319" t="e">
        <v>#N/A</v>
      </c>
      <c r="D382" s="1334" t="e">
        <v>#N/A</v>
      </c>
      <c r="E382" s="1327" t="e">
        <v>#N/A</v>
      </c>
    </row>
    <row r="383" spans="1:5">
      <c r="A383" s="329">
        <f t="shared" si="3"/>
        <v>2025.02</v>
      </c>
      <c r="B383" s="329"/>
      <c r="C383" s="319" t="e">
        <v>#N/A</v>
      </c>
      <c r="D383" s="1334" t="e">
        <v>#N/A</v>
      </c>
      <c r="E383" s="1327" t="e">
        <v>#N/A</v>
      </c>
    </row>
    <row r="384" spans="1:5">
      <c r="A384" s="329">
        <f t="shared" si="3"/>
        <v>2025.03</v>
      </c>
      <c r="B384" s="329"/>
      <c r="C384" s="319" t="e">
        <v>#N/A</v>
      </c>
      <c r="D384" s="1334" t="e">
        <v>#N/A</v>
      </c>
      <c r="E384" s="1327" t="e">
        <v>#N/A</v>
      </c>
    </row>
    <row r="385" spans="1:5">
      <c r="A385" s="329">
        <f t="shared" si="3"/>
        <v>2025.04</v>
      </c>
      <c r="B385" s="329"/>
      <c r="C385" s="319" t="e">
        <v>#N/A</v>
      </c>
      <c r="D385" s="1334" t="e">
        <v>#N/A</v>
      </c>
      <c r="E385" s="1327" t="e">
        <v>#N/A</v>
      </c>
    </row>
    <row r="386" spans="1:5">
      <c r="A386" s="329">
        <f t="shared" si="3"/>
        <v>2025.05</v>
      </c>
      <c r="B386" s="329"/>
      <c r="C386" s="319" t="e">
        <v>#N/A</v>
      </c>
      <c r="D386" s="1334" t="e">
        <v>#N/A</v>
      </c>
      <c r="E386" s="1327" t="e">
        <v>#N/A</v>
      </c>
    </row>
    <row r="387" spans="1:5">
      <c r="A387" s="329">
        <f t="shared" si="3"/>
        <v>2025.06</v>
      </c>
      <c r="B387" s="329"/>
      <c r="C387" s="319" t="e">
        <v>#N/A</v>
      </c>
      <c r="D387" s="1334" t="e">
        <v>#N/A</v>
      </c>
      <c r="E387" s="1327" t="e">
        <v>#N/A</v>
      </c>
    </row>
    <row r="388" spans="1:5">
      <c r="A388" s="329">
        <f t="shared" si="3"/>
        <v>2025.07</v>
      </c>
      <c r="B388" s="329"/>
      <c r="C388" s="319" t="e">
        <v>#N/A</v>
      </c>
      <c r="D388" s="1334" t="e">
        <v>#N/A</v>
      </c>
      <c r="E388" s="1327" t="e">
        <v>#N/A</v>
      </c>
    </row>
    <row r="389" spans="1:5">
      <c r="A389" s="329">
        <f t="shared" si="3"/>
        <v>2025.08</v>
      </c>
      <c r="B389" s="329"/>
      <c r="C389" s="319" t="e">
        <v>#N/A</v>
      </c>
      <c r="D389" s="1334" t="e">
        <v>#N/A</v>
      </c>
      <c r="E389" s="1327" t="e">
        <v>#N/A</v>
      </c>
    </row>
    <row r="390" spans="1:5">
      <c r="A390" s="329">
        <f t="shared" si="3"/>
        <v>2025.09</v>
      </c>
      <c r="B390" s="329"/>
      <c r="C390" s="319" t="e">
        <v>#N/A</v>
      </c>
      <c r="D390" s="1334" t="e">
        <v>#N/A</v>
      </c>
      <c r="E390" s="1327" t="e">
        <v>#N/A</v>
      </c>
    </row>
    <row r="391" spans="1:5">
      <c r="A391" s="329">
        <f t="shared" si="3"/>
        <v>2025.1</v>
      </c>
      <c r="B391" s="329"/>
      <c r="C391" s="319" t="e">
        <v>#N/A</v>
      </c>
      <c r="D391" s="1334" t="e">
        <v>#N/A</v>
      </c>
      <c r="E391" s="1327" t="e">
        <v>#N/A</v>
      </c>
    </row>
    <row r="392" spans="1:5">
      <c r="A392" s="329">
        <f t="shared" si="3"/>
        <v>2025.11</v>
      </c>
      <c r="B392" s="329"/>
      <c r="C392" s="319" t="e">
        <v>#N/A</v>
      </c>
      <c r="D392" s="1334" t="e">
        <v>#N/A</v>
      </c>
      <c r="E392" s="1327" t="e">
        <v>#N/A</v>
      </c>
    </row>
    <row r="393" spans="1:5">
      <c r="A393" s="329">
        <f t="shared" si="3"/>
        <v>2025.12</v>
      </c>
      <c r="B393" s="329"/>
      <c r="C393" s="319" t="e">
        <v>#N/A</v>
      </c>
      <c r="D393" s="1334" t="e">
        <v>#N/A</v>
      </c>
      <c r="E393" s="1327" t="e">
        <v>#N/A</v>
      </c>
    </row>
    <row r="394" spans="1:5">
      <c r="A394" s="329">
        <f t="shared" si="3"/>
        <v>2026.01</v>
      </c>
      <c r="B394" s="329"/>
      <c r="C394" s="319" t="e">
        <v>#N/A</v>
      </c>
      <c r="D394" s="1334" t="e">
        <v>#N/A</v>
      </c>
      <c r="E394" s="1327" t="e">
        <v>#N/A</v>
      </c>
    </row>
    <row r="395" spans="1:5">
      <c r="A395" s="329">
        <f t="shared" si="3"/>
        <v>2026.02</v>
      </c>
      <c r="B395" s="329"/>
      <c r="C395" s="319" t="e">
        <v>#N/A</v>
      </c>
      <c r="D395" s="1334" t="e">
        <v>#N/A</v>
      </c>
      <c r="E395" s="1327" t="e">
        <v>#N/A</v>
      </c>
    </row>
    <row r="396" spans="1:5">
      <c r="A396" s="329">
        <f t="shared" si="3"/>
        <v>2026.03</v>
      </c>
      <c r="B396" s="329"/>
      <c r="C396" s="319" t="e">
        <v>#N/A</v>
      </c>
      <c r="D396" s="1334" t="e">
        <v>#N/A</v>
      </c>
      <c r="E396" s="1327" t="e">
        <v>#N/A</v>
      </c>
    </row>
    <row r="397" spans="1:5">
      <c r="A397" s="329">
        <f t="shared" si="3"/>
        <v>2026.04</v>
      </c>
      <c r="B397" s="329"/>
      <c r="C397" s="319" t="e">
        <v>#N/A</v>
      </c>
      <c r="D397" s="1334" t="e">
        <v>#N/A</v>
      </c>
      <c r="E397" s="1327" t="e">
        <v>#N/A</v>
      </c>
    </row>
    <row r="398" spans="1:5">
      <c r="A398" s="329">
        <f t="shared" si="3"/>
        <v>2026.05</v>
      </c>
      <c r="B398" s="329"/>
      <c r="C398" s="319" t="e">
        <v>#N/A</v>
      </c>
      <c r="D398" s="1334" t="e">
        <v>#N/A</v>
      </c>
      <c r="E398" s="1327" t="e">
        <v>#N/A</v>
      </c>
    </row>
    <row r="399" spans="1:5">
      <c r="A399" s="329">
        <f t="shared" si="3"/>
        <v>2026.06</v>
      </c>
      <c r="B399" s="329"/>
      <c r="C399" s="319" t="e">
        <v>#N/A</v>
      </c>
      <c r="D399" s="1334" t="e">
        <v>#N/A</v>
      </c>
      <c r="E399" s="1327" t="e">
        <v>#N/A</v>
      </c>
    </row>
    <row r="400" spans="1:5">
      <c r="A400" s="329">
        <f t="shared" si="3"/>
        <v>2026.07</v>
      </c>
      <c r="B400" s="329"/>
      <c r="C400" s="319" t="e">
        <v>#N/A</v>
      </c>
      <c r="D400" s="1334" t="e">
        <v>#N/A</v>
      </c>
      <c r="E400" s="1327" t="e">
        <v>#N/A</v>
      </c>
    </row>
    <row r="401" spans="1:5">
      <c r="A401" s="329">
        <f t="shared" si="3"/>
        <v>2026.08</v>
      </c>
      <c r="B401" s="329"/>
      <c r="C401" s="319" t="e">
        <v>#N/A</v>
      </c>
      <c r="D401" s="1334" t="e">
        <v>#N/A</v>
      </c>
      <c r="E401" s="1327" t="e">
        <v>#N/A</v>
      </c>
    </row>
    <row r="402" spans="1:5">
      <c r="A402" s="329">
        <f t="shared" si="3"/>
        <v>2026.09</v>
      </c>
      <c r="B402" s="329"/>
      <c r="C402" s="319" t="e">
        <v>#N/A</v>
      </c>
      <c r="D402" s="1334" t="e">
        <v>#N/A</v>
      </c>
      <c r="E402" s="1327" t="e">
        <v>#N/A</v>
      </c>
    </row>
    <row r="403" spans="1:5">
      <c r="A403" s="329">
        <f t="shared" si="3"/>
        <v>2026.1</v>
      </c>
      <c r="B403" s="329"/>
      <c r="C403" s="319" t="e">
        <v>#N/A</v>
      </c>
      <c r="D403" s="1334" t="e">
        <v>#N/A</v>
      </c>
      <c r="E403" s="1327" t="e">
        <v>#N/A</v>
      </c>
    </row>
    <row r="404" spans="1:5">
      <c r="A404" s="329">
        <f t="shared" si="3"/>
        <v>2026.11</v>
      </c>
      <c r="B404" s="329"/>
      <c r="C404" s="319" t="e">
        <v>#N/A</v>
      </c>
      <c r="D404" s="1334" t="e">
        <v>#N/A</v>
      </c>
      <c r="E404" s="1327" t="e">
        <v>#N/A</v>
      </c>
    </row>
    <row r="405" spans="1:5">
      <c r="A405" s="329">
        <f t="shared" si="3"/>
        <v>2026.12</v>
      </c>
      <c r="B405" s="329"/>
      <c r="C405" s="319" t="e">
        <v>#N/A</v>
      </c>
      <c r="D405" s="1334" t="e">
        <v>#N/A</v>
      </c>
      <c r="E405" s="1327" t="e">
        <v>#N/A</v>
      </c>
    </row>
    <row r="406" spans="1:5">
      <c r="A406" s="329">
        <f t="shared" si="3"/>
        <v>2027.01</v>
      </c>
      <c r="B406" s="329"/>
      <c r="C406" s="319" t="e">
        <v>#N/A</v>
      </c>
      <c r="D406" s="1334" t="e">
        <v>#N/A</v>
      </c>
      <c r="E406" s="1327" t="e">
        <v>#N/A</v>
      </c>
    </row>
    <row r="407" spans="1:5">
      <c r="A407" s="329">
        <f t="shared" si="3"/>
        <v>2027.02</v>
      </c>
      <c r="B407" s="329"/>
      <c r="C407" s="319" t="e">
        <v>#N/A</v>
      </c>
      <c r="D407" s="1334" t="e">
        <v>#N/A</v>
      </c>
      <c r="E407" s="1327" t="e">
        <v>#N/A</v>
      </c>
    </row>
    <row r="408" spans="1:5">
      <c r="A408" s="329">
        <f t="shared" si="3"/>
        <v>2027.03</v>
      </c>
      <c r="B408" s="329"/>
      <c r="C408" s="319" t="e">
        <v>#N/A</v>
      </c>
      <c r="D408" s="1334" t="e">
        <v>#N/A</v>
      </c>
      <c r="E408" s="1327" t="e">
        <v>#N/A</v>
      </c>
    </row>
    <row r="409" spans="1:5">
      <c r="A409" s="329">
        <f t="shared" si="3"/>
        <v>2027.04</v>
      </c>
      <c r="B409" s="329"/>
      <c r="C409" s="319" t="e">
        <v>#N/A</v>
      </c>
      <c r="D409" s="1334" t="e">
        <v>#N/A</v>
      </c>
      <c r="E409" s="1327" t="e">
        <v>#N/A</v>
      </c>
    </row>
    <row r="410" spans="1:5">
      <c r="A410" s="329">
        <f t="shared" si="3"/>
        <v>2027.05</v>
      </c>
      <c r="B410" s="329"/>
      <c r="C410" s="319" t="e">
        <v>#N/A</v>
      </c>
      <c r="D410" s="1334" t="e">
        <v>#N/A</v>
      </c>
      <c r="E410" s="1327" t="e">
        <v>#N/A</v>
      </c>
    </row>
    <row r="411" spans="1:5">
      <c r="A411" s="329">
        <f t="shared" si="3"/>
        <v>2027.06</v>
      </c>
      <c r="B411" s="329"/>
      <c r="C411" s="319" t="e">
        <v>#N/A</v>
      </c>
      <c r="D411" s="1334" t="e">
        <v>#N/A</v>
      </c>
      <c r="E411" s="1327" t="e">
        <v>#N/A</v>
      </c>
    </row>
    <row r="412" spans="1:5">
      <c r="A412" s="329">
        <f t="shared" si="3"/>
        <v>2027.07</v>
      </c>
      <c r="B412" s="329"/>
      <c r="C412" s="319" t="e">
        <v>#N/A</v>
      </c>
      <c r="D412" s="1334" t="e">
        <v>#N/A</v>
      </c>
      <c r="E412" s="1327" t="e">
        <v>#N/A</v>
      </c>
    </row>
    <row r="413" spans="1:5">
      <c r="A413" s="329">
        <f t="shared" si="3"/>
        <v>2027.08</v>
      </c>
      <c r="B413" s="329"/>
      <c r="C413" s="319" t="e">
        <v>#N/A</v>
      </c>
      <c r="D413" s="1334" t="e">
        <v>#N/A</v>
      </c>
      <c r="E413" s="1327" t="e">
        <v>#N/A</v>
      </c>
    </row>
    <row r="414" spans="1:5">
      <c r="A414" s="329">
        <f t="shared" si="3"/>
        <v>2027.09</v>
      </c>
      <c r="B414" s="329"/>
      <c r="C414" s="319" t="e">
        <v>#N/A</v>
      </c>
      <c r="D414" s="1334" t="e">
        <v>#N/A</v>
      </c>
      <c r="E414" s="1327" t="e">
        <v>#N/A</v>
      </c>
    </row>
    <row r="415" spans="1:5">
      <c r="A415" s="329">
        <f t="shared" si="3"/>
        <v>2027.1</v>
      </c>
      <c r="B415" s="329"/>
      <c r="C415" s="319" t="e">
        <v>#N/A</v>
      </c>
      <c r="D415" s="1334" t="e">
        <v>#N/A</v>
      </c>
      <c r="E415" s="1327" t="e">
        <v>#N/A</v>
      </c>
    </row>
    <row r="416" spans="1:5">
      <c r="A416" s="329">
        <f t="shared" si="3"/>
        <v>2027.11</v>
      </c>
      <c r="B416" s="329"/>
      <c r="C416" s="319" t="e">
        <v>#N/A</v>
      </c>
      <c r="D416" s="1334" t="e">
        <v>#N/A</v>
      </c>
      <c r="E416" s="1327" t="e">
        <v>#N/A</v>
      </c>
    </row>
    <row r="417" spans="1:5">
      <c r="A417" s="329">
        <f t="shared" si="3"/>
        <v>2027.12</v>
      </c>
      <c r="B417" s="329"/>
      <c r="C417" s="319" t="e">
        <v>#N/A</v>
      </c>
      <c r="D417" s="1334" t="e">
        <v>#N/A</v>
      </c>
      <c r="E417" s="1327" t="e">
        <v>#N/A</v>
      </c>
    </row>
    <row r="418" spans="1:5">
      <c r="A418" s="329">
        <f t="shared" si="3"/>
        <v>2028.01</v>
      </c>
      <c r="B418" s="329"/>
      <c r="C418" s="319" t="e">
        <v>#N/A</v>
      </c>
      <c r="D418" s="1334" t="e">
        <v>#N/A</v>
      </c>
      <c r="E418" s="1327" t="e">
        <v>#N/A</v>
      </c>
    </row>
    <row r="419" spans="1:5">
      <c r="A419" s="329">
        <f t="shared" si="3"/>
        <v>2028.02</v>
      </c>
      <c r="B419" s="329"/>
      <c r="C419" s="319" t="e">
        <v>#N/A</v>
      </c>
      <c r="D419" s="1334" t="e">
        <v>#N/A</v>
      </c>
      <c r="E419" s="1327" t="e">
        <v>#N/A</v>
      </c>
    </row>
    <row r="420" spans="1:5">
      <c r="A420" s="329">
        <f t="shared" si="3"/>
        <v>2028.03</v>
      </c>
      <c r="B420" s="329"/>
      <c r="C420" s="319" t="e">
        <v>#N/A</v>
      </c>
      <c r="D420" s="1334" t="e">
        <v>#N/A</v>
      </c>
      <c r="E420" s="1327" t="e">
        <v>#N/A</v>
      </c>
    </row>
    <row r="421" spans="1:5">
      <c r="A421" s="329">
        <f t="shared" si="3"/>
        <v>2028.04</v>
      </c>
      <c r="B421" s="329"/>
      <c r="C421" s="319" t="e">
        <v>#N/A</v>
      </c>
      <c r="D421" s="1334" t="e">
        <v>#N/A</v>
      </c>
      <c r="E421" s="1327" t="e">
        <v>#N/A</v>
      </c>
    </row>
    <row r="422" spans="1:5">
      <c r="A422" s="329">
        <f t="shared" si="3"/>
        <v>2028.05</v>
      </c>
      <c r="B422" s="329"/>
      <c r="C422" s="319" t="e">
        <v>#N/A</v>
      </c>
      <c r="D422" s="1334" t="e">
        <v>#N/A</v>
      </c>
      <c r="E422" s="1327" t="e">
        <v>#N/A</v>
      </c>
    </row>
    <row r="423" spans="1:5">
      <c r="A423" s="329">
        <f t="shared" si="3"/>
        <v>2028.06</v>
      </c>
      <c r="B423" s="329"/>
      <c r="C423" s="319" t="e">
        <v>#N/A</v>
      </c>
      <c r="D423" s="1334" t="e">
        <v>#N/A</v>
      </c>
      <c r="E423" s="1327" t="e">
        <v>#N/A</v>
      </c>
    </row>
    <row r="424" spans="1:5">
      <c r="A424" s="329">
        <f t="shared" si="3"/>
        <v>2028.07</v>
      </c>
      <c r="B424" s="329"/>
      <c r="C424" s="319" t="e">
        <v>#N/A</v>
      </c>
      <c r="D424" s="1334" t="e">
        <v>#N/A</v>
      </c>
      <c r="E424" s="1327" t="e">
        <v>#N/A</v>
      </c>
    </row>
    <row r="425" spans="1:5">
      <c r="A425" s="329">
        <f t="shared" si="3"/>
        <v>2028.08</v>
      </c>
      <c r="B425" s="329"/>
      <c r="C425" s="319" t="e">
        <v>#N/A</v>
      </c>
      <c r="D425" s="1334" t="e">
        <v>#N/A</v>
      </c>
      <c r="E425" s="1327" t="e">
        <v>#N/A</v>
      </c>
    </row>
    <row r="426" spans="1:5">
      <c r="A426" s="329">
        <f t="shared" si="3"/>
        <v>2028.09</v>
      </c>
      <c r="B426" s="329"/>
      <c r="C426" s="319" t="e">
        <v>#N/A</v>
      </c>
      <c r="D426" s="1334" t="e">
        <v>#N/A</v>
      </c>
      <c r="E426" s="1327" t="e">
        <v>#N/A</v>
      </c>
    </row>
    <row r="427" spans="1:5">
      <c r="A427" s="329">
        <f t="shared" si="3"/>
        <v>2028.1</v>
      </c>
      <c r="B427" s="329"/>
      <c r="C427" s="319" t="e">
        <v>#N/A</v>
      </c>
      <c r="D427" s="1334" t="e">
        <v>#N/A</v>
      </c>
      <c r="E427" s="1327" t="e">
        <v>#N/A</v>
      </c>
    </row>
    <row r="428" spans="1:5">
      <c r="A428" s="329">
        <f t="shared" si="3"/>
        <v>2028.11</v>
      </c>
      <c r="B428" s="329"/>
      <c r="C428" s="319" t="e">
        <v>#N/A</v>
      </c>
      <c r="D428" s="1334" t="e">
        <v>#N/A</v>
      </c>
      <c r="E428" s="1327" t="e">
        <v>#N/A</v>
      </c>
    </row>
    <row r="429" spans="1:5">
      <c r="A429" s="329">
        <f t="shared" si="3"/>
        <v>2028.12</v>
      </c>
      <c r="B429" s="329"/>
      <c r="C429" s="319" t="e">
        <v>#N/A</v>
      </c>
      <c r="D429" s="1334" t="e">
        <v>#N/A</v>
      </c>
      <c r="E429" s="1327" t="e">
        <v>#N/A</v>
      </c>
    </row>
    <row r="430" spans="1:5">
      <c r="A430" s="329">
        <f t="shared" si="3"/>
        <v>2029.01</v>
      </c>
      <c r="B430" s="329"/>
      <c r="C430" s="319" t="e">
        <v>#N/A</v>
      </c>
      <c r="D430" s="1334" t="e">
        <v>#N/A</v>
      </c>
      <c r="E430" s="1327" t="e">
        <v>#N/A</v>
      </c>
    </row>
    <row r="431" spans="1:5">
      <c r="A431" s="329">
        <f t="shared" si="3"/>
        <v>2029.02</v>
      </c>
      <c r="B431" s="329"/>
      <c r="C431" s="319" t="e">
        <v>#N/A</v>
      </c>
      <c r="D431" s="1334" t="e">
        <v>#N/A</v>
      </c>
      <c r="E431" s="1327" t="e">
        <v>#N/A</v>
      </c>
    </row>
    <row r="432" spans="1:5">
      <c r="A432" s="329">
        <f t="shared" si="3"/>
        <v>2029.03</v>
      </c>
      <c r="B432" s="329"/>
      <c r="C432" s="319" t="e">
        <v>#N/A</v>
      </c>
      <c r="D432" s="1334" t="e">
        <v>#N/A</v>
      </c>
      <c r="E432" s="1327" t="e">
        <v>#N/A</v>
      </c>
    </row>
    <row r="433" spans="1:5">
      <c r="A433" s="329">
        <f t="shared" si="3"/>
        <v>2029.04</v>
      </c>
      <c r="B433" s="329"/>
      <c r="C433" s="319" t="e">
        <v>#N/A</v>
      </c>
      <c r="D433" s="1334" t="e">
        <v>#N/A</v>
      </c>
      <c r="E433" s="1327" t="e">
        <v>#N/A</v>
      </c>
    </row>
    <row r="434" spans="1:5">
      <c r="A434" s="329">
        <f t="shared" si="3"/>
        <v>2029.05</v>
      </c>
      <c r="B434" s="329"/>
      <c r="C434" s="319" t="e">
        <v>#N/A</v>
      </c>
      <c r="D434" s="1334" t="e">
        <v>#N/A</v>
      </c>
      <c r="E434" s="1327" t="e">
        <v>#N/A</v>
      </c>
    </row>
    <row r="435" spans="1:5">
      <c r="A435" s="329">
        <f t="shared" ref="A435:A453" si="4">A423+1</f>
        <v>2029.06</v>
      </c>
      <c r="B435" s="329"/>
      <c r="C435" s="319" t="e">
        <v>#N/A</v>
      </c>
      <c r="D435" s="1334" t="e">
        <v>#N/A</v>
      </c>
      <c r="E435" s="1327" t="e">
        <v>#N/A</v>
      </c>
    </row>
    <row r="436" spans="1:5">
      <c r="A436" s="329">
        <f t="shared" si="4"/>
        <v>2029.07</v>
      </c>
      <c r="B436" s="329"/>
      <c r="C436" s="319" t="e">
        <v>#N/A</v>
      </c>
      <c r="D436" s="1334" t="e">
        <v>#N/A</v>
      </c>
      <c r="E436" s="1327" t="e">
        <v>#N/A</v>
      </c>
    </row>
    <row r="437" spans="1:5">
      <c r="A437" s="329">
        <f t="shared" si="4"/>
        <v>2029.08</v>
      </c>
      <c r="B437" s="329"/>
      <c r="C437" s="319" t="e">
        <v>#N/A</v>
      </c>
      <c r="D437" s="1334" t="e">
        <v>#N/A</v>
      </c>
      <c r="E437" s="1327" t="e">
        <v>#N/A</v>
      </c>
    </row>
    <row r="438" spans="1:5">
      <c r="A438" s="329">
        <f t="shared" si="4"/>
        <v>2029.09</v>
      </c>
      <c r="B438" s="329"/>
      <c r="C438" s="319" t="e">
        <v>#N/A</v>
      </c>
      <c r="D438" s="1334" t="e">
        <v>#N/A</v>
      </c>
      <c r="E438" s="1327" t="e">
        <v>#N/A</v>
      </c>
    </row>
    <row r="439" spans="1:5">
      <c r="A439" s="329">
        <f t="shared" si="4"/>
        <v>2029.1</v>
      </c>
      <c r="B439" s="329"/>
      <c r="C439" s="319" t="e">
        <v>#N/A</v>
      </c>
      <c r="D439" s="1334" t="e">
        <v>#N/A</v>
      </c>
      <c r="E439" s="1327" t="e">
        <v>#N/A</v>
      </c>
    </row>
    <row r="440" spans="1:5">
      <c r="A440" s="329">
        <f t="shared" si="4"/>
        <v>2029.11</v>
      </c>
      <c r="B440" s="329"/>
      <c r="C440" s="319" t="e">
        <v>#N/A</v>
      </c>
      <c r="D440" s="1334" t="e">
        <v>#N/A</v>
      </c>
      <c r="E440" s="1327" t="e">
        <v>#N/A</v>
      </c>
    </row>
    <row r="441" spans="1:5">
      <c r="A441" s="329">
        <f t="shared" si="4"/>
        <v>2029.12</v>
      </c>
      <c r="B441" s="329"/>
      <c r="C441" s="319" t="e">
        <v>#N/A</v>
      </c>
      <c r="D441" s="1334" t="e">
        <v>#N/A</v>
      </c>
      <c r="E441" s="1327" t="e">
        <v>#N/A</v>
      </c>
    </row>
    <row r="442" spans="1:5">
      <c r="A442" s="329">
        <f t="shared" si="4"/>
        <v>2030.01</v>
      </c>
      <c r="B442" s="329"/>
      <c r="C442" s="319" t="e">
        <v>#N/A</v>
      </c>
      <c r="D442" s="1334" t="e">
        <v>#N/A</v>
      </c>
      <c r="E442" s="1327" t="e">
        <v>#N/A</v>
      </c>
    </row>
    <row r="443" spans="1:5">
      <c r="A443" s="329">
        <f t="shared" si="4"/>
        <v>2030.02</v>
      </c>
      <c r="B443" s="329"/>
      <c r="C443" s="319" t="e">
        <v>#N/A</v>
      </c>
      <c r="D443" s="1334" t="e">
        <v>#N/A</v>
      </c>
      <c r="E443" s="1327" t="e">
        <v>#N/A</v>
      </c>
    </row>
    <row r="444" spans="1:5">
      <c r="A444" s="329">
        <f t="shared" si="4"/>
        <v>2030.03</v>
      </c>
      <c r="B444" s="329"/>
      <c r="C444" s="319" t="e">
        <v>#N/A</v>
      </c>
      <c r="D444" s="1334" t="e">
        <v>#N/A</v>
      </c>
      <c r="E444" s="1327" t="e">
        <v>#N/A</v>
      </c>
    </row>
    <row r="445" spans="1:5">
      <c r="A445" s="329">
        <f t="shared" si="4"/>
        <v>2030.04</v>
      </c>
      <c r="B445" s="329"/>
      <c r="C445" s="319" t="e">
        <v>#N/A</v>
      </c>
      <c r="D445" s="1334" t="e">
        <v>#N/A</v>
      </c>
      <c r="E445" s="1327" t="e">
        <v>#N/A</v>
      </c>
    </row>
    <row r="446" spans="1:5">
      <c r="A446" s="329">
        <f t="shared" si="4"/>
        <v>2030.05</v>
      </c>
      <c r="B446" s="329"/>
      <c r="C446" s="319" t="e">
        <v>#N/A</v>
      </c>
      <c r="D446" s="1334" t="e">
        <v>#N/A</v>
      </c>
      <c r="E446" s="1327" t="e">
        <v>#N/A</v>
      </c>
    </row>
    <row r="447" spans="1:5">
      <c r="A447" s="329">
        <f t="shared" si="4"/>
        <v>2030.06</v>
      </c>
      <c r="B447" s="329"/>
      <c r="C447" s="319" t="e">
        <v>#N/A</v>
      </c>
      <c r="D447" s="1334" t="e">
        <v>#N/A</v>
      </c>
      <c r="E447" s="1327" t="e">
        <v>#N/A</v>
      </c>
    </row>
    <row r="448" spans="1:5">
      <c r="A448" s="329">
        <f t="shared" si="4"/>
        <v>2030.07</v>
      </c>
      <c r="B448" s="329"/>
      <c r="C448" s="319" t="e">
        <v>#N/A</v>
      </c>
      <c r="D448" s="1334" t="e">
        <v>#N/A</v>
      </c>
      <c r="E448" s="1327" t="e">
        <v>#N/A</v>
      </c>
    </row>
    <row r="449" spans="1:5">
      <c r="A449" s="329">
        <f t="shared" si="4"/>
        <v>2030.08</v>
      </c>
      <c r="B449" s="329"/>
      <c r="C449" s="319" t="e">
        <v>#N/A</v>
      </c>
      <c r="D449" s="1334" t="e">
        <v>#N/A</v>
      </c>
      <c r="E449" s="1327" t="e">
        <v>#N/A</v>
      </c>
    </row>
    <row r="450" spans="1:5">
      <c r="A450" s="329">
        <f t="shared" si="4"/>
        <v>2030.09</v>
      </c>
      <c r="B450" s="329"/>
      <c r="C450" s="319" t="e">
        <v>#N/A</v>
      </c>
      <c r="D450" s="1334" t="e">
        <v>#N/A</v>
      </c>
      <c r="E450" s="1327" t="e">
        <v>#N/A</v>
      </c>
    </row>
    <row r="451" spans="1:5">
      <c r="A451" s="329">
        <f t="shared" si="4"/>
        <v>2030.1</v>
      </c>
      <c r="B451" s="329"/>
      <c r="C451" s="319" t="e">
        <v>#N/A</v>
      </c>
      <c r="D451" s="1334" t="e">
        <v>#N/A</v>
      </c>
      <c r="E451" s="1327" t="e">
        <v>#N/A</v>
      </c>
    </row>
    <row r="452" spans="1:5">
      <c r="A452" s="329">
        <f t="shared" si="4"/>
        <v>2030.11</v>
      </c>
      <c r="B452" s="329"/>
      <c r="C452" s="319" t="e">
        <v>#N/A</v>
      </c>
      <c r="D452" s="1334" t="e">
        <v>#N/A</v>
      </c>
      <c r="E452" s="1327" t="e">
        <v>#N/A</v>
      </c>
    </row>
    <row r="453" spans="1:5">
      <c r="A453" s="329">
        <f t="shared" si="4"/>
        <v>2030.12</v>
      </c>
      <c r="B453" s="329"/>
      <c r="C453" s="319" t="e">
        <v>#N/A</v>
      </c>
      <c r="D453" s="1334" t="e">
        <v>#N/A</v>
      </c>
      <c r="E453" s="1327" t="e">
        <v>#N/A</v>
      </c>
    </row>
    <row r="454" spans="1:5">
      <c r="A454" s="329"/>
    </row>
  </sheetData>
  <phoneticPr fontId="0" type="noConversion"/>
  <hyperlinks>
    <hyperlink ref="A5" location="INDICE!A13" display="VOLVER AL INDICE" xr:uid="{00000000-0004-0000-02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963"/>
  <sheetViews>
    <sheetView zoomScale="115" zoomScaleNormal="115" workbookViewId="0">
      <pane xSplit="1" ySplit="9" topLeftCell="B225" activePane="bottomRight" state="frozen"/>
      <selection pane="topRight" activeCell="B1" sqref="B1"/>
      <selection pane="bottomLeft" activeCell="A10" sqref="A10"/>
      <selection pane="bottomRight" activeCell="B241" sqref="B241"/>
    </sheetView>
  </sheetViews>
  <sheetFormatPr baseColWidth="10" defaultColWidth="11.5703125" defaultRowHeight="12.75"/>
  <cols>
    <col min="1" max="1" width="9.7109375" style="19" bestFit="1" customWidth="1"/>
    <col min="2" max="2" width="14.5703125" style="19" bestFit="1" customWidth="1"/>
    <col min="3" max="3" width="15.5703125" style="19" customWidth="1"/>
    <col min="4" max="4" width="15.5703125" style="289" customWidth="1"/>
    <col min="5" max="7" width="11.5703125" style="784"/>
    <col min="8" max="8" width="12.28515625" style="784" bestFit="1" customWidth="1"/>
    <col min="9" max="16384" width="11.5703125" style="784"/>
  </cols>
  <sheetData>
    <row r="1" spans="1:4" ht="5.0999999999999996" customHeight="1">
      <c r="A1" s="37"/>
      <c r="B1" s="368"/>
      <c r="C1" s="169"/>
      <c r="D1" s="285"/>
    </row>
    <row r="2" spans="1:4">
      <c r="A2" s="39" t="s">
        <v>212</v>
      </c>
      <c r="B2" s="303" t="s">
        <v>921</v>
      </c>
      <c r="C2" s="94"/>
      <c r="D2" s="286"/>
    </row>
    <row r="3" spans="1:4" ht="33.75">
      <c r="A3" s="39" t="s">
        <v>330</v>
      </c>
      <c r="B3" s="303" t="s">
        <v>925</v>
      </c>
      <c r="C3" s="94"/>
      <c r="D3" s="286"/>
    </row>
    <row r="4" spans="1:4" ht="4.1500000000000004" customHeight="1">
      <c r="A4" s="966"/>
      <c r="B4" s="169"/>
      <c r="C4" s="169"/>
      <c r="D4" s="285"/>
    </row>
    <row r="5" spans="1:4" ht="45">
      <c r="A5" s="45" t="s">
        <v>213</v>
      </c>
      <c r="B5" s="284" t="s">
        <v>923</v>
      </c>
      <c r="C5" s="83" t="s">
        <v>924</v>
      </c>
      <c r="D5" s="290" t="s">
        <v>922</v>
      </c>
    </row>
    <row r="6" spans="1:4" ht="2.4500000000000002" customHeight="1">
      <c r="A6" s="967"/>
      <c r="B6" s="169"/>
      <c r="C6" s="169"/>
      <c r="D6" s="285"/>
    </row>
    <row r="7" spans="1:4" ht="22.5">
      <c r="A7" s="968" t="s">
        <v>210</v>
      </c>
      <c r="B7" s="284" t="s">
        <v>1057</v>
      </c>
      <c r="C7" s="284" t="s">
        <v>1057</v>
      </c>
      <c r="D7" s="287" t="s">
        <v>793</v>
      </c>
    </row>
    <row r="8" spans="1:4">
      <c r="A8" s="969" t="s">
        <v>412</v>
      </c>
      <c r="B8" s="964" t="s">
        <v>918</v>
      </c>
      <c r="C8" s="392" t="s">
        <v>919</v>
      </c>
      <c r="D8" s="393" t="s">
        <v>920</v>
      </c>
    </row>
    <row r="9" spans="1:4" ht="13.5" thickBot="1">
      <c r="A9" s="970"/>
      <c r="B9" s="308"/>
      <c r="C9" s="464"/>
      <c r="D9" s="889"/>
    </row>
    <row r="10" spans="1:4">
      <c r="A10" s="971">
        <v>1810</v>
      </c>
      <c r="B10" s="520">
        <v>618003.40760920069</v>
      </c>
      <c r="C10" s="646"/>
      <c r="D10" s="648"/>
    </row>
    <row r="11" spans="1:4">
      <c r="A11" s="971">
        <f>A10+1</f>
        <v>1811</v>
      </c>
      <c r="B11" s="73">
        <v>626934.03121566621</v>
      </c>
      <c r="C11" s="646"/>
      <c r="D11" s="639"/>
    </row>
    <row r="12" spans="1:4">
      <c r="A12" s="971">
        <f t="shared" ref="A12:A75" si="0">A11+1</f>
        <v>1812</v>
      </c>
      <c r="B12" s="73">
        <v>635993.70918820531</v>
      </c>
      <c r="C12" s="646"/>
      <c r="D12" s="639"/>
    </row>
    <row r="13" spans="1:4">
      <c r="A13" s="971">
        <f t="shared" si="0"/>
        <v>1813</v>
      </c>
      <c r="B13" s="73">
        <v>645184.30646146729</v>
      </c>
      <c r="C13" s="646"/>
      <c r="D13" s="639"/>
    </row>
    <row r="14" spans="1:4">
      <c r="A14" s="971">
        <f t="shared" si="0"/>
        <v>1814</v>
      </c>
      <c r="B14" s="73">
        <v>654507.71491983847</v>
      </c>
      <c r="C14" s="646"/>
      <c r="D14" s="639"/>
    </row>
    <row r="15" spans="1:4">
      <c r="A15" s="971">
        <f t="shared" si="0"/>
        <v>1815</v>
      </c>
      <c r="B15" s="73">
        <v>663965.85378688679</v>
      </c>
      <c r="C15" s="646"/>
      <c r="D15" s="639"/>
    </row>
    <row r="16" spans="1:4">
      <c r="A16" s="971">
        <f t="shared" si="0"/>
        <v>1816</v>
      </c>
      <c r="B16" s="73">
        <v>673560.67002043384</v>
      </c>
      <c r="C16" s="646"/>
      <c r="D16" s="639"/>
    </row>
    <row r="17" spans="1:4">
      <c r="A17" s="971">
        <f t="shared" si="0"/>
        <v>1817</v>
      </c>
      <c r="B17" s="73">
        <v>683294.13871333632</v>
      </c>
      <c r="C17" s="646"/>
      <c r="D17" s="639"/>
    </row>
    <row r="18" spans="1:4">
      <c r="A18" s="971">
        <f t="shared" si="0"/>
        <v>1818</v>
      </c>
      <c r="B18" s="73">
        <v>693168.26350005856</v>
      </c>
      <c r="C18" s="646"/>
      <c r="D18" s="639"/>
    </row>
    <row r="19" spans="1:4">
      <c r="A19" s="971">
        <f t="shared" si="0"/>
        <v>1819</v>
      </c>
      <c r="B19" s="73">
        <v>703185.076969121</v>
      </c>
      <c r="C19" s="646"/>
      <c r="D19" s="639"/>
    </row>
    <row r="20" spans="1:4">
      <c r="A20" s="971">
        <f t="shared" si="0"/>
        <v>1820</v>
      </c>
      <c r="B20" s="73">
        <v>713346.64108150825</v>
      </c>
      <c r="C20" s="646"/>
      <c r="D20" s="639"/>
    </row>
    <row r="21" spans="1:4">
      <c r="A21" s="971">
        <f t="shared" si="0"/>
        <v>1821</v>
      </c>
      <c r="B21" s="73">
        <v>723655.04759512388</v>
      </c>
      <c r="C21" s="646"/>
      <c r="D21" s="639"/>
    </row>
    <row r="22" spans="1:4">
      <c r="A22" s="971">
        <f t="shared" si="0"/>
        <v>1822</v>
      </c>
      <c r="B22" s="73">
        <v>734112.41849537892</v>
      </c>
      <c r="C22" s="646"/>
      <c r="D22" s="639"/>
    </row>
    <row r="23" spans="1:4">
      <c r="A23" s="971">
        <f t="shared" si="0"/>
        <v>1823</v>
      </c>
      <c r="B23" s="73">
        <v>744720.9064320022</v>
      </c>
      <c r="C23" s="646"/>
      <c r="D23" s="639"/>
    </row>
    <row r="24" spans="1:4">
      <c r="A24" s="971">
        <f t="shared" si="0"/>
        <v>1824</v>
      </c>
      <c r="B24" s="430">
        <v>755482.69516216358</v>
      </c>
      <c r="C24" s="647"/>
      <c r="D24" s="649"/>
    </row>
    <row r="25" spans="1:4">
      <c r="A25" s="971">
        <f t="shared" si="0"/>
        <v>1825</v>
      </c>
      <c r="B25" s="430">
        <v>766400</v>
      </c>
      <c r="C25" s="647"/>
      <c r="D25" s="649"/>
    </row>
    <row r="26" spans="1:4">
      <c r="A26" s="971">
        <f t="shared" si="0"/>
        <v>1826</v>
      </c>
      <c r="B26" s="430">
        <v>776843.96063977352</v>
      </c>
      <c r="C26" s="647"/>
      <c r="D26" s="649"/>
    </row>
    <row r="27" spans="1:4">
      <c r="A27" s="971">
        <f t="shared" si="0"/>
        <v>1827</v>
      </c>
      <c r="B27" s="430">
        <v>787430.24423602549</v>
      </c>
      <c r="C27" s="647"/>
      <c r="D27" s="649"/>
    </row>
    <row r="28" spans="1:4">
      <c r="A28" s="971">
        <f t="shared" si="0"/>
        <v>1828</v>
      </c>
      <c r="B28" s="430">
        <v>798160.7902659945</v>
      </c>
      <c r="C28" s="647"/>
      <c r="D28" s="649"/>
    </row>
    <row r="29" spans="1:4">
      <c r="A29" s="971">
        <f t="shared" si="0"/>
        <v>1829</v>
      </c>
      <c r="B29" s="430">
        <v>809037.56463675201</v>
      </c>
      <c r="C29" s="647"/>
      <c r="D29" s="649"/>
    </row>
    <row r="30" spans="1:4">
      <c r="A30" s="971">
        <f t="shared" si="0"/>
        <v>1830</v>
      </c>
      <c r="B30" s="430">
        <v>820062.56004536955</v>
      </c>
      <c r="C30" s="647"/>
      <c r="D30" s="649"/>
    </row>
    <row r="31" spans="1:4">
      <c r="A31" s="971">
        <f t="shared" si="0"/>
        <v>1831</v>
      </c>
      <c r="B31" s="430">
        <v>831237.79634399398</v>
      </c>
      <c r="C31" s="647"/>
      <c r="D31" s="649"/>
    </row>
    <row r="32" spans="1:4">
      <c r="A32" s="971">
        <f t="shared" si="0"/>
        <v>1832</v>
      </c>
      <c r="B32" s="430">
        <v>842565.32090989791</v>
      </c>
      <c r="C32" s="647"/>
      <c r="D32" s="649"/>
    </row>
    <row r="33" spans="1:4">
      <c r="A33" s="971">
        <f t="shared" si="0"/>
        <v>1833</v>
      </c>
      <c r="B33" s="430">
        <v>854047.2090205726</v>
      </c>
      <c r="C33" s="647"/>
      <c r="D33" s="649"/>
    </row>
    <row r="34" spans="1:4">
      <c r="A34" s="971">
        <f t="shared" si="0"/>
        <v>1834</v>
      </c>
      <c r="B34" s="430">
        <v>865685.56423393276</v>
      </c>
      <c r="C34" s="647"/>
      <c r="D34" s="649"/>
    </row>
    <row r="35" spans="1:4">
      <c r="A35" s="971">
        <f t="shared" si="0"/>
        <v>1835</v>
      </c>
      <c r="B35" s="430">
        <v>877482.51877370221</v>
      </c>
      <c r="C35" s="647"/>
      <c r="D35" s="649"/>
    </row>
    <row r="36" spans="1:4">
      <c r="A36" s="971">
        <f t="shared" si="0"/>
        <v>1836</v>
      </c>
      <c r="B36" s="430">
        <v>889440.23392005113</v>
      </c>
      <c r="C36" s="647"/>
      <c r="D36" s="649"/>
    </row>
    <row r="37" spans="1:4">
      <c r="A37" s="971">
        <f t="shared" si="0"/>
        <v>1837</v>
      </c>
      <c r="B37" s="430">
        <v>901560.90040555736</v>
      </c>
      <c r="C37" s="647"/>
      <c r="D37" s="649"/>
    </row>
    <row r="38" spans="1:4">
      <c r="A38" s="971">
        <f t="shared" si="0"/>
        <v>1838</v>
      </c>
      <c r="B38" s="430">
        <v>913846.73881656257</v>
      </c>
      <c r="C38" s="647"/>
      <c r="D38" s="649"/>
    </row>
    <row r="39" spans="1:4">
      <c r="A39" s="971">
        <f t="shared" si="0"/>
        <v>1839</v>
      </c>
      <c r="B39" s="430">
        <v>926300</v>
      </c>
      <c r="C39" s="647"/>
      <c r="D39" s="649"/>
    </row>
    <row r="40" spans="1:4">
      <c r="A40" s="971">
        <f t="shared" si="0"/>
        <v>1840</v>
      </c>
      <c r="B40" s="430">
        <v>943890.36966073688</v>
      </c>
      <c r="C40" s="647"/>
      <c r="D40" s="649"/>
    </row>
    <row r="41" spans="1:4">
      <c r="A41" s="971">
        <f t="shared" si="0"/>
        <v>1841</v>
      </c>
      <c r="B41" s="430">
        <v>961814.7791625635</v>
      </c>
      <c r="C41" s="647"/>
      <c r="D41" s="649"/>
    </row>
    <row r="42" spans="1:4">
      <c r="A42" s="971">
        <f t="shared" si="0"/>
        <v>1842</v>
      </c>
      <c r="B42" s="430">
        <v>980079.57189777831</v>
      </c>
      <c r="C42" s="647"/>
      <c r="D42" s="649"/>
    </row>
    <row r="43" spans="1:4">
      <c r="A43" s="971">
        <f t="shared" si="0"/>
        <v>1843</v>
      </c>
      <c r="B43" s="430">
        <v>998691.21171923866</v>
      </c>
      <c r="C43" s="647"/>
      <c r="D43" s="649"/>
    </row>
    <row r="44" spans="1:4">
      <c r="A44" s="971">
        <f t="shared" si="0"/>
        <v>1844</v>
      </c>
      <c r="B44" s="430">
        <v>1017656.2852278975</v>
      </c>
      <c r="C44" s="647"/>
      <c r="D44" s="649"/>
    </row>
    <row r="45" spans="1:4">
      <c r="A45" s="971">
        <f t="shared" si="0"/>
        <v>1845</v>
      </c>
      <c r="B45" s="430">
        <v>1036981.5041037811</v>
      </c>
      <c r="C45" s="647"/>
      <c r="D45" s="649"/>
    </row>
    <row r="46" spans="1:4">
      <c r="A46" s="971">
        <f t="shared" si="0"/>
        <v>1846</v>
      </c>
      <c r="B46" s="430">
        <v>1056673.7074812315</v>
      </c>
      <c r="C46" s="647"/>
      <c r="D46" s="649"/>
    </row>
    <row r="47" spans="1:4">
      <c r="A47" s="971">
        <f t="shared" si="0"/>
        <v>1847</v>
      </c>
      <c r="B47" s="430">
        <v>1076739.864369255</v>
      </c>
      <c r="C47" s="647"/>
      <c r="D47" s="649"/>
    </row>
    <row r="48" spans="1:4">
      <c r="A48" s="971">
        <f t="shared" si="0"/>
        <v>1848</v>
      </c>
      <c r="B48" s="430">
        <v>1097187.076117832</v>
      </c>
      <c r="C48" s="647"/>
      <c r="D48" s="649"/>
    </row>
    <row r="49" spans="1:4">
      <c r="A49" s="971">
        <f t="shared" si="0"/>
        <v>1849</v>
      </c>
      <c r="B49" s="430">
        <v>1118022.5789310627</v>
      </c>
      <c r="C49" s="647"/>
      <c r="D49" s="649"/>
    </row>
    <row r="50" spans="1:4">
      <c r="A50" s="971">
        <f t="shared" si="0"/>
        <v>1850</v>
      </c>
      <c r="B50" s="430">
        <v>1139253.7464280375</v>
      </c>
      <c r="C50" s="647"/>
      <c r="D50" s="649"/>
    </row>
    <row r="51" spans="1:4">
      <c r="A51" s="971">
        <f t="shared" si="0"/>
        <v>1851</v>
      </c>
      <c r="B51" s="430">
        <v>1160888.0922523369</v>
      </c>
      <c r="C51" s="647"/>
      <c r="D51" s="649"/>
    </row>
    <row r="52" spans="1:4">
      <c r="A52" s="971">
        <f t="shared" si="0"/>
        <v>1852</v>
      </c>
      <c r="B52" s="430">
        <v>1182933.2727310869</v>
      </c>
      <c r="C52" s="647"/>
      <c r="D52" s="649"/>
    </row>
    <row r="53" spans="1:4">
      <c r="A53" s="971">
        <f t="shared" si="0"/>
        <v>1853</v>
      </c>
      <c r="B53" s="430">
        <v>1205397.0895845094</v>
      </c>
      <c r="C53" s="647"/>
      <c r="D53" s="649"/>
    </row>
    <row r="54" spans="1:4">
      <c r="A54" s="971">
        <f t="shared" si="0"/>
        <v>1854</v>
      </c>
      <c r="B54" s="430">
        <v>1228287.4926869252</v>
      </c>
      <c r="C54" s="647"/>
      <c r="D54" s="649"/>
    </row>
    <row r="55" spans="1:4">
      <c r="A55" s="971">
        <f t="shared" si="0"/>
        <v>1855</v>
      </c>
      <c r="B55" s="430">
        <v>1251612.5828801917</v>
      </c>
      <c r="C55" s="647"/>
      <c r="D55" s="649"/>
    </row>
    <row r="56" spans="1:4">
      <c r="A56" s="971">
        <f t="shared" si="0"/>
        <v>1856</v>
      </c>
      <c r="B56" s="430">
        <v>1275380.6148405634</v>
      </c>
      <c r="C56" s="647"/>
      <c r="D56" s="649"/>
    </row>
    <row r="57" spans="1:4">
      <c r="A57" s="971">
        <f t="shared" si="0"/>
        <v>1857</v>
      </c>
      <c r="B57" s="430">
        <v>1299600</v>
      </c>
      <c r="C57" s="647"/>
      <c r="D57" s="649"/>
    </row>
    <row r="58" spans="1:4">
      <c r="A58" s="971">
        <f t="shared" si="0"/>
        <v>1858</v>
      </c>
      <c r="B58" s="430">
        <v>1337213.3905741514</v>
      </c>
      <c r="C58" s="647"/>
      <c r="D58" s="649"/>
    </row>
    <row r="59" spans="1:4">
      <c r="A59" s="971">
        <f t="shared" si="0"/>
        <v>1859</v>
      </c>
      <c r="B59" s="430">
        <v>1375915.3985309466</v>
      </c>
      <c r="C59" s="647"/>
      <c r="D59" s="649"/>
    </row>
    <row r="60" spans="1:4">
      <c r="A60" s="971">
        <f t="shared" si="0"/>
        <v>1860</v>
      </c>
      <c r="B60" s="430">
        <v>1415737.5309424067</v>
      </c>
      <c r="C60" s="647"/>
      <c r="D60" s="649"/>
    </row>
    <row r="61" spans="1:4">
      <c r="A61" s="971">
        <f t="shared" si="0"/>
        <v>1861</v>
      </c>
      <c r="B61" s="430">
        <v>1456712.2067671386</v>
      </c>
      <c r="C61" s="647"/>
      <c r="D61" s="649"/>
    </row>
    <row r="62" spans="1:4">
      <c r="A62" s="971">
        <f t="shared" si="0"/>
        <v>1862</v>
      </c>
      <c r="B62" s="430">
        <v>1498872.7832424128</v>
      </c>
      <c r="C62" s="647"/>
      <c r="D62" s="649"/>
    </row>
    <row r="63" spans="1:4">
      <c r="A63" s="971">
        <f t="shared" si="0"/>
        <v>1863</v>
      </c>
      <c r="B63" s="430">
        <v>1542253.5830400907</v>
      </c>
      <c r="C63" s="647"/>
      <c r="D63" s="649"/>
    </row>
    <row r="64" spans="1:4">
      <c r="A64" s="971">
        <f t="shared" si="0"/>
        <v>1864</v>
      </c>
      <c r="B64" s="430">
        <v>1586889.9222085052</v>
      </c>
      <c r="C64" s="647"/>
      <c r="D64" s="649"/>
    </row>
    <row r="65" spans="1:6">
      <c r="A65" s="971">
        <f t="shared" si="0"/>
        <v>1865</v>
      </c>
      <c r="B65" s="430">
        <v>1632818.1389230429</v>
      </c>
      <c r="C65" s="647"/>
      <c r="D65" s="649"/>
    </row>
    <row r="66" spans="1:6">
      <c r="A66" s="971">
        <f t="shared" si="0"/>
        <v>1866</v>
      </c>
      <c r="B66" s="430">
        <v>1680075.6230688351</v>
      </c>
      <c r="C66" s="647"/>
      <c r="D66" s="649"/>
    </row>
    <row r="67" spans="1:6">
      <c r="A67" s="971">
        <f t="shared" si="0"/>
        <v>1867</v>
      </c>
      <c r="B67" s="430">
        <v>1728700.8466796377</v>
      </c>
      <c r="C67" s="647"/>
      <c r="D67" s="649"/>
    </row>
    <row r="68" spans="1:6">
      <c r="A68" s="971">
        <f t="shared" si="0"/>
        <v>1868</v>
      </c>
      <c r="B68" s="430">
        <v>1778733.3952576828</v>
      </c>
      <c r="C68" s="647"/>
      <c r="D68" s="649"/>
    </row>
    <row r="69" spans="1:6">
      <c r="A69" s="971">
        <f t="shared" si="0"/>
        <v>1869</v>
      </c>
      <c r="B69" s="430">
        <v>1830214</v>
      </c>
      <c r="C69" s="652">
        <v>93881.443523316048</v>
      </c>
      <c r="D69" s="651">
        <f>C69/B69</f>
        <v>5.129533678756476E-2</v>
      </c>
      <c r="F69" s="888"/>
    </row>
    <row r="70" spans="1:6">
      <c r="A70" s="971">
        <f t="shared" si="0"/>
        <v>1870</v>
      </c>
      <c r="B70" s="430">
        <v>1886897.4602614511</v>
      </c>
      <c r="C70" s="650">
        <v>99725.238295729345</v>
      </c>
      <c r="D70" s="288">
        <f>C70/B70</f>
        <v>5.2851434906224994E-2</v>
      </c>
      <c r="F70" s="888"/>
    </row>
    <row r="71" spans="1:6">
      <c r="A71" s="971">
        <f t="shared" si="0"/>
        <v>1871</v>
      </c>
      <c r="B71" s="430">
        <v>1945336.4609499841</v>
      </c>
      <c r="C71" s="650">
        <v>105907.47601737504</v>
      </c>
      <c r="D71" s="288">
        <f t="shared" ref="D71:D134" si="1">C71/B71</f>
        <v>5.4441726736389993E-2</v>
      </c>
      <c r="F71" s="888"/>
    </row>
    <row r="72" spans="1:6">
      <c r="A72" s="971">
        <f t="shared" si="0"/>
        <v>1872</v>
      </c>
      <c r="B72" s="430">
        <v>2005585.3728146134</v>
      </c>
      <c r="C72" s="650">
        <v>112445.96796401161</v>
      </c>
      <c r="D72" s="288">
        <f t="shared" si="1"/>
        <v>5.6066408086236863E-2</v>
      </c>
      <c r="F72" s="888"/>
    </row>
    <row r="73" spans="1:6">
      <c r="A73" s="971">
        <f t="shared" si="0"/>
        <v>1873</v>
      </c>
      <c r="B73" s="430">
        <v>2067700.2505179229</v>
      </c>
      <c r="C73" s="650">
        <v>119359.34819162312</v>
      </c>
      <c r="D73" s="288">
        <f t="shared" si="1"/>
        <v>5.7725653494371677E-2</v>
      </c>
      <c r="F73" s="888"/>
    </row>
    <row r="74" spans="1:6">
      <c r="A74" s="971">
        <f t="shared" si="0"/>
        <v>1874</v>
      </c>
      <c r="B74" s="430">
        <v>2131738.8847884648</v>
      </c>
      <c r="C74" s="650">
        <v>126667.10519401106</v>
      </c>
      <c r="D74" s="288">
        <f t="shared" si="1"/>
        <v>5.9419615647054447E-2</v>
      </c>
      <c r="F74" s="888"/>
    </row>
    <row r="75" spans="1:6">
      <c r="A75" s="971">
        <f t="shared" si="0"/>
        <v>1875</v>
      </c>
      <c r="B75" s="430">
        <v>2197760.8561883653</v>
      </c>
      <c r="C75" s="650">
        <v>134389.61449783569</v>
      </c>
      <c r="D75" s="288">
        <f t="shared" si="1"/>
        <v>6.1148424824942579E-2</v>
      </c>
      <c r="F75" s="888"/>
    </row>
    <row r="76" spans="1:6">
      <c r="A76" s="971">
        <f t="shared" ref="A76:A139" si="2">A75+1</f>
        <v>1876</v>
      </c>
      <c r="B76" s="430">
        <v>2265827.5905461651</v>
      </c>
      <c r="C76" s="650">
        <v>142548.17221419085</v>
      </c>
      <c r="D76" s="288">
        <f t="shared" si="1"/>
        <v>6.2912188380507106E-2</v>
      </c>
      <c r="F76" s="888"/>
    </row>
    <row r="77" spans="1:6">
      <c r="A77" s="971">
        <f t="shared" si="2"/>
        <v>1877</v>
      </c>
      <c r="B77" s="430">
        <v>2336002.4161064676</v>
      </c>
      <c r="C77" s="650">
        <v>151165.02956581282</v>
      </c>
      <c r="D77" s="288">
        <f t="shared" si="1"/>
        <v>6.4710990247076522E-2</v>
      </c>
      <c r="F77" s="888"/>
    </row>
    <row r="78" spans="1:6">
      <c r="A78" s="971">
        <f t="shared" si="2"/>
        <v>1878</v>
      </c>
      <c r="B78" s="430">
        <v>2408350.6224495647</v>
      </c>
      <c r="C78" s="650">
        <v>160263.42840894149</v>
      </c>
      <c r="D78" s="288">
        <f t="shared" si="1"/>
        <v>6.6544890480247212E-2</v>
      </c>
      <c r="F78" s="888"/>
    </row>
    <row r="79" spans="1:6">
      <c r="A79" s="971">
        <f t="shared" si="2"/>
        <v>1879</v>
      </c>
      <c r="B79" s="430">
        <v>2482939.5212358604</v>
      </c>
      <c r="C79" s="650">
        <v>169867.63776865372</v>
      </c>
      <c r="D79" s="288">
        <f t="shared" si="1"/>
        <v>6.8413924832169751E-2</v>
      </c>
      <c r="F79" s="888"/>
    </row>
    <row r="80" spans="1:6">
      <c r="A80" s="971">
        <f t="shared" si="2"/>
        <v>1880</v>
      </c>
      <c r="B80" s="430">
        <v>2559838.5088316058</v>
      </c>
      <c r="C80" s="650">
        <v>180002.99140614306</v>
      </c>
      <c r="D80" s="288">
        <f t="shared" si="1"/>
        <v>7.0318104358974703E-2</v>
      </c>
      <c r="F80" s="888"/>
    </row>
    <row r="81" spans="1:6">
      <c r="A81" s="971">
        <f t="shared" si="2"/>
        <v>1881</v>
      </c>
      <c r="B81" s="430">
        <v>2639119.1308742133</v>
      </c>
      <c r="C81" s="650">
        <v>190695.92643591278</v>
      </c>
      <c r="D81" s="288">
        <f t="shared" si="1"/>
        <v>7.2257415061344504E-2</v>
      </c>
      <c r="F81" s="888"/>
    </row>
    <row r="82" spans="1:6">
      <c r="A82" s="971">
        <f t="shared" si="2"/>
        <v>1882</v>
      </c>
      <c r="B82" s="430">
        <v>2720855.1488372185</v>
      </c>
      <c r="C82" s="650">
        <v>201974.02301013566</v>
      </c>
      <c r="D82" s="288">
        <f t="shared" si="1"/>
        <v>7.4231817557965568E-2</v>
      </c>
      <c r="F82" s="888"/>
    </row>
    <row r="83" spans="1:6">
      <c r="A83" s="971">
        <f t="shared" si="2"/>
        <v>1883</v>
      </c>
      <c r="B83" s="430">
        <v>2805122.6086568241</v>
      </c>
      <c r="C83" s="650">
        <v>213866.04508649843</v>
      </c>
      <c r="D83" s="288">
        <f t="shared" si="1"/>
        <v>7.6241246791313638E-2</v>
      </c>
      <c r="F83" s="888"/>
    </row>
    <row r="84" spans="1:6">
      <c r="A84" s="971">
        <f t="shared" si="2"/>
        <v>1884</v>
      </c>
      <c r="B84" s="430">
        <v>2891999.911483869</v>
      </c>
      <c r="C84" s="650">
        <v>226401.98229464429</v>
      </c>
      <c r="D84" s="288">
        <f t="shared" si="1"/>
        <v>7.8285611764932136E-2</v>
      </c>
      <c r="F84" s="888"/>
    </row>
    <row r="85" spans="1:6">
      <c r="A85" s="971">
        <f t="shared" si="2"/>
        <v>1885</v>
      </c>
      <c r="B85" s="430">
        <v>2981567.8866270576</v>
      </c>
      <c r="C85" s="650">
        <v>239613.09291480988</v>
      </c>
      <c r="D85" s="288">
        <f t="shared" si="1"/>
        <v>8.0364795311058876E-2</v>
      </c>
      <c r="F85" s="888"/>
    </row>
    <row r="86" spans="1:6">
      <c r="A86" s="971">
        <f t="shared" si="2"/>
        <v>1886</v>
      </c>
      <c r="B86" s="430">
        <v>3073909.8667553067</v>
      </c>
      <c r="C86" s="650">
        <v>253531.94798040262</v>
      </c>
      <c r="D86" s="288">
        <f t="shared" si="1"/>
        <v>8.2478653887148798E-2</v>
      </c>
      <c r="F86" s="888"/>
    </row>
    <row r="87" spans="1:6">
      <c r="A87" s="971">
        <f t="shared" si="2"/>
        <v>1887</v>
      </c>
      <c r="B87" s="430">
        <v>3169111.7654291815</v>
      </c>
      <c r="C87" s="650">
        <v>268192.47651399707</v>
      </c>
      <c r="D87" s="288">
        <f t="shared" si="1"/>
        <v>8.462701739951943E-2</v>
      </c>
      <c r="F87" s="888"/>
    </row>
    <row r="88" spans="1:6">
      <c r="A88" s="971">
        <f t="shared" si="2"/>
        <v>1888</v>
      </c>
      <c r="B88" s="430">
        <v>3267262.1570335524</v>
      </c>
      <c r="C88" s="650">
        <v>283630.01190352417</v>
      </c>
      <c r="D88" s="288">
        <f t="shared" si="1"/>
        <v>8.6809689052022854E-2</v>
      </c>
      <c r="F88" s="888"/>
    </row>
    <row r="89" spans="1:6">
      <c r="A89" s="971">
        <f t="shared" si="2"/>
        <v>1889</v>
      </c>
      <c r="B89" s="430">
        <v>3368452.3591858442</v>
      </c>
      <c r="C89" s="650">
        <v>299881.33942220826</v>
      </c>
      <c r="D89" s="288">
        <f t="shared" si="1"/>
        <v>8.9026445217319228E-2</v>
      </c>
      <c r="F89" s="888"/>
    </row>
    <row r="90" spans="1:6">
      <c r="A90" s="971">
        <f t="shared" si="2"/>
        <v>1890</v>
      </c>
      <c r="B90" s="430">
        <v>3472776.5176965441</v>
      </c>
      <c r="C90" s="650">
        <v>316984.7448920121</v>
      </c>
      <c r="D90" s="288">
        <f t="shared" si="1"/>
        <v>9.1277035327993042E-2</v>
      </c>
      <c r="F90" s="888"/>
    </row>
    <row r="91" spans="1:6">
      <c r="A91" s="971">
        <f t="shared" si="2"/>
        <v>1891</v>
      </c>
      <c r="B91" s="430">
        <v>3580331.6941610193</v>
      </c>
      <c r="C91" s="650">
        <v>334980.06448591739</v>
      </c>
      <c r="D91" s="288">
        <f t="shared" si="1"/>
        <v>9.3561181784419398E-2</v>
      </c>
      <c r="F91" s="888"/>
    </row>
    <row r="92" spans="1:6">
      <c r="A92" s="971">
        <f t="shared" si="2"/>
        <v>1892</v>
      </c>
      <c r="B92" s="430">
        <v>3691217.956264134</v>
      </c>
      <c r="C92" s="650">
        <v>353908.73565920943</v>
      </c>
      <c r="D92" s="288">
        <f t="shared" si="1"/>
        <v>9.5878579875949388E-2</v>
      </c>
      <c r="F92" s="888"/>
    </row>
    <row r="93" spans="1:6">
      <c r="A93" s="971">
        <f t="shared" si="2"/>
        <v>1893</v>
      </c>
      <c r="B93" s="430">
        <v>3805538.4708816884</v>
      </c>
      <c r="C93" s="650">
        <v>373813.84919397719</v>
      </c>
      <c r="D93" s="288">
        <f t="shared" si="1"/>
        <v>9.8228897711647598E-2</v>
      </c>
      <c r="F93" s="888"/>
    </row>
    <row r="94" spans="1:6">
      <c r="A94" s="971">
        <f t="shared" si="2"/>
        <v>1894</v>
      </c>
      <c r="B94" s="430">
        <v>3923399.6000652951</v>
      </c>
      <c r="C94" s="650">
        <v>394740.20233418059</v>
      </c>
      <c r="D94" s="288">
        <f t="shared" si="1"/>
        <v>0.10061177615647693</v>
      </c>
      <c r="F94" s="888"/>
    </row>
    <row r="95" spans="1:6">
      <c r="A95" s="971">
        <f t="shared" si="2"/>
        <v>1895</v>
      </c>
      <c r="B95" s="430">
        <v>4044911</v>
      </c>
      <c r="C95" s="650">
        <v>406236.88724138803</v>
      </c>
      <c r="D95" s="288">
        <f t="shared" si="1"/>
        <v>0.10043160090330493</v>
      </c>
      <c r="F95" s="888"/>
    </row>
    <row r="96" spans="1:6">
      <c r="A96" s="971">
        <f t="shared" si="2"/>
        <v>1896</v>
      </c>
      <c r="B96" s="430">
        <v>4170606.0480347686</v>
      </c>
      <c r="C96" s="650">
        <v>422349.82248286624</v>
      </c>
      <c r="D96" s="288">
        <f t="shared" si="1"/>
        <v>0.10126821320893679</v>
      </c>
      <c r="F96" s="888"/>
    </row>
    <row r="97" spans="1:6">
      <c r="A97" s="971">
        <f t="shared" si="2"/>
        <v>1897</v>
      </c>
      <c r="B97" s="430">
        <v>4295418.8026690716</v>
      </c>
      <c r="C97" s="650">
        <v>438535.00514896092</v>
      </c>
      <c r="D97" s="288">
        <f t="shared" si="1"/>
        <v>0.10209365496013233</v>
      </c>
      <c r="F97" s="888"/>
    </row>
    <row r="98" spans="1:6">
      <c r="A98" s="971">
        <f t="shared" si="2"/>
        <v>1898</v>
      </c>
      <c r="B98" s="430">
        <v>4423966.7995055821</v>
      </c>
      <c r="C98" s="650">
        <v>455259.74380618939</v>
      </c>
      <c r="D98" s="288">
        <f t="shared" si="1"/>
        <v>0.1029075859830297</v>
      </c>
      <c r="F98" s="888"/>
    </row>
    <row r="99" spans="1:6">
      <c r="A99" s="971">
        <f t="shared" si="2"/>
        <v>1899</v>
      </c>
      <c r="B99" s="430">
        <v>4556361.8222666457</v>
      </c>
      <c r="C99" s="650">
        <v>472538.77179875498</v>
      </c>
      <c r="D99" s="288">
        <f t="shared" si="1"/>
        <v>0.10370966798323358</v>
      </c>
      <c r="F99" s="888"/>
    </row>
    <row r="100" spans="1:6">
      <c r="A100" s="971">
        <f t="shared" si="2"/>
        <v>1900</v>
      </c>
      <c r="B100" s="430">
        <v>4692719</v>
      </c>
      <c r="C100" s="650">
        <v>490387.09108680999</v>
      </c>
      <c r="D100" s="288">
        <f t="shared" si="1"/>
        <v>0.10449956434357352</v>
      </c>
      <c r="F100" s="888"/>
    </row>
    <row r="101" spans="1:6">
      <c r="A101" s="971">
        <f t="shared" si="2"/>
        <v>1901</v>
      </c>
      <c r="B101" s="430">
        <v>4825716.2957140077</v>
      </c>
      <c r="C101" s="650">
        <v>508036.64442146849</v>
      </c>
      <c r="D101" s="288">
        <f t="shared" si="1"/>
        <v>0.10527693989650504</v>
      </c>
      <c r="F101" s="888"/>
    </row>
    <row r="102" spans="1:6">
      <c r="A102" s="971">
        <f t="shared" si="2"/>
        <v>1902</v>
      </c>
      <c r="B102" s="430">
        <v>4962482.8946117861</v>
      </c>
      <c r="C102" s="650">
        <v>526228.93470010697</v>
      </c>
      <c r="D102" s="288">
        <f t="shared" si="1"/>
        <v>0.10604146067112515</v>
      </c>
      <c r="F102" s="888"/>
    </row>
    <row r="103" spans="1:6">
      <c r="A103" s="971">
        <f t="shared" si="2"/>
        <v>1903</v>
      </c>
      <c r="B103" s="430">
        <v>5103125.623275145</v>
      </c>
      <c r="C103" s="650">
        <v>544977.04147687403</v>
      </c>
      <c r="D103" s="288">
        <f t="shared" si="1"/>
        <v>0.10679279361481056</v>
      </c>
      <c r="F103" s="888"/>
    </row>
    <row r="104" spans="1:6">
      <c r="A104" s="971">
        <f t="shared" si="2"/>
        <v>1904</v>
      </c>
      <c r="B104" s="430">
        <v>5247754.3358795978</v>
      </c>
      <c r="C104" s="650">
        <v>564294.20539562963</v>
      </c>
      <c r="D104" s="288">
        <f t="shared" si="1"/>
        <v>0.10753060628952744</v>
      </c>
      <c r="F104" s="888"/>
    </row>
    <row r="105" spans="1:6">
      <c r="A105" s="971">
        <f t="shared" si="2"/>
        <v>1905</v>
      </c>
      <c r="B105" s="430">
        <v>5396482</v>
      </c>
      <c r="C105" s="650">
        <v>584193.8197665374</v>
      </c>
      <c r="D105" s="288">
        <f t="shared" si="1"/>
        <v>0.10825456654289543</v>
      </c>
      <c r="F105" s="888"/>
    </row>
    <row r="106" spans="1:6">
      <c r="A106" s="971">
        <f t="shared" si="2"/>
        <v>1906</v>
      </c>
      <c r="B106" s="430">
        <v>5646864.2357462365</v>
      </c>
      <c r="C106" s="650">
        <v>615306.84668178181</v>
      </c>
      <c r="D106" s="288">
        <f t="shared" si="1"/>
        <v>0.1089643421541316</v>
      </c>
      <c r="F106" s="888"/>
    </row>
    <row r="107" spans="1:6">
      <c r="A107" s="971">
        <f t="shared" si="2"/>
        <v>1907</v>
      </c>
      <c r="B107" s="430">
        <v>5908863.5331221214</v>
      </c>
      <c r="C107" s="650">
        <v>647963.61418553384</v>
      </c>
      <c r="D107" s="288">
        <f t="shared" si="1"/>
        <v>0.10965960045504101</v>
      </c>
      <c r="F107" s="888"/>
    </row>
    <row r="108" spans="1:6">
      <c r="A108" s="971">
        <f t="shared" si="2"/>
        <v>1908</v>
      </c>
      <c r="B108" s="430">
        <v>6183018.8925104272</v>
      </c>
      <c r="C108" s="650">
        <v>682234.35360782244</v>
      </c>
      <c r="D108" s="288">
        <f t="shared" si="1"/>
        <v>0.11034000792626106</v>
      </c>
      <c r="F108" s="888"/>
    </row>
    <row r="109" spans="1:6">
      <c r="A109" s="971">
        <f t="shared" si="2"/>
        <v>1909</v>
      </c>
      <c r="B109" s="430">
        <v>6469894.3224605285</v>
      </c>
      <c r="C109" s="650">
        <v>718192.10584599245</v>
      </c>
      <c r="D109" s="288">
        <f t="shared" si="1"/>
        <v>0.11100522976901746</v>
      </c>
      <c r="F109" s="888"/>
    </row>
    <row r="110" spans="1:6">
      <c r="A110" s="971">
        <f t="shared" si="2"/>
        <v>1910</v>
      </c>
      <c r="B110" s="430">
        <v>6770080</v>
      </c>
      <c r="C110" s="650">
        <v>755912.80478912487</v>
      </c>
      <c r="D110" s="288">
        <f t="shared" si="1"/>
        <v>0.11165492945269848</v>
      </c>
      <c r="F110" s="888"/>
    </row>
    <row r="111" spans="1:6">
      <c r="A111" s="971">
        <f t="shared" si="2"/>
        <v>1911</v>
      </c>
      <c r="B111" s="430">
        <v>7040680.3464432163</v>
      </c>
      <c r="C111" s="650">
        <v>790589.32366390352</v>
      </c>
      <c r="D111" s="288">
        <f t="shared" si="1"/>
        <v>0.11228876823861068</v>
      </c>
      <c r="F111" s="888"/>
    </row>
    <row r="112" spans="1:6">
      <c r="A112" s="971">
        <f t="shared" si="2"/>
        <v>1912</v>
      </c>
      <c r="B112" s="430">
        <v>7322096.5986800408</v>
      </c>
      <c r="C112" s="650">
        <v>826711.60167911346</v>
      </c>
      <c r="D112" s="288">
        <f t="shared" si="1"/>
        <v>0.11290640468034051</v>
      </c>
      <c r="F112" s="888"/>
    </row>
    <row r="113" spans="1:6">
      <c r="A113" s="971">
        <f t="shared" si="2"/>
        <v>1913</v>
      </c>
      <c r="B113" s="430">
        <v>7614761.0688625965</v>
      </c>
      <c r="C113" s="650">
        <v>864332.44710610295</v>
      </c>
      <c r="D113" s="288">
        <f t="shared" si="1"/>
        <v>0.11350749410121765</v>
      </c>
      <c r="F113" s="888"/>
    </row>
    <row r="114" spans="1:6">
      <c r="A114" s="971">
        <f t="shared" si="2"/>
        <v>1914</v>
      </c>
      <c r="B114" s="430">
        <v>7919123.3486756179</v>
      </c>
      <c r="C114" s="650">
        <v>903506.15072223358</v>
      </c>
      <c r="D114" s="288">
        <f t="shared" si="1"/>
        <v>0.11409168804945241</v>
      </c>
      <c r="F114" s="888"/>
    </row>
    <row r="115" spans="1:6">
      <c r="A115" s="971">
        <f t="shared" si="2"/>
        <v>1915</v>
      </c>
      <c r="B115" s="430">
        <v>8235651</v>
      </c>
      <c r="C115" s="650">
        <v>938531.39512059663</v>
      </c>
      <c r="D115" s="288">
        <f t="shared" si="1"/>
        <v>0.11395958803021117</v>
      </c>
      <c r="F115" s="888"/>
    </row>
    <row r="116" spans="1:6">
      <c r="A116" s="971">
        <f t="shared" si="2"/>
        <v>1916</v>
      </c>
      <c r="B116" s="430">
        <v>8378004.4344554739</v>
      </c>
      <c r="C116" s="650">
        <v>953616.20389510889</v>
      </c>
      <c r="D116" s="288">
        <f t="shared" si="1"/>
        <v>0.11382378839204911</v>
      </c>
      <c r="F116" s="888"/>
    </row>
    <row r="117" spans="1:6">
      <c r="A117" s="971">
        <f t="shared" si="2"/>
        <v>1917</v>
      </c>
      <c r="B117" s="430">
        <v>8522818.4516021367</v>
      </c>
      <c r="C117" s="650">
        <v>968909.8154257288</v>
      </c>
      <c r="D117" s="288">
        <f t="shared" si="1"/>
        <v>0.1136842021131626</v>
      </c>
      <c r="F117" s="888"/>
    </row>
    <row r="118" spans="1:6">
      <c r="A118" s="971">
        <f t="shared" si="2"/>
        <v>1918</v>
      </c>
      <c r="B118" s="430">
        <v>8670135.5826736279</v>
      </c>
      <c r="C118" s="650">
        <v>984413.60060695605</v>
      </c>
      <c r="D118" s="288">
        <f t="shared" si="1"/>
        <v>0.11354073892156948</v>
      </c>
      <c r="F118" s="888"/>
    </row>
    <row r="119" spans="1:6">
      <c r="A119" s="971">
        <f t="shared" si="2"/>
        <v>1919</v>
      </c>
      <c r="B119" s="430">
        <v>8819999.0940570273</v>
      </c>
      <c r="C119" s="650">
        <v>1000128.8490800337</v>
      </c>
      <c r="D119" s="288">
        <f t="shared" si="1"/>
        <v>0.11339330519363965</v>
      </c>
      <c r="F119" s="888"/>
    </row>
    <row r="120" spans="1:6">
      <c r="A120" s="971">
        <f t="shared" si="2"/>
        <v>1920</v>
      </c>
      <c r="B120" s="430">
        <v>8972453</v>
      </c>
      <c r="C120" s="650">
        <v>1016056.7626887012</v>
      </c>
      <c r="D120" s="288">
        <f t="shared" si="1"/>
        <v>0.11324180385104288</v>
      </c>
      <c r="F120" s="888"/>
    </row>
    <row r="121" spans="1:6">
      <c r="A121" s="971">
        <f t="shared" si="2"/>
        <v>1921</v>
      </c>
      <c r="B121" s="430">
        <v>9245755.2268240955</v>
      </c>
      <c r="C121" s="650">
        <v>1045566.716881134</v>
      </c>
      <c r="D121" s="288">
        <f t="shared" si="1"/>
        <v>0.11308613425625856</v>
      </c>
      <c r="F121" s="888"/>
    </row>
    <row r="122" spans="1:6">
      <c r="A122" s="971">
        <f t="shared" si="2"/>
        <v>1922</v>
      </c>
      <c r="B122" s="430">
        <v>9527382.2793326508</v>
      </c>
      <c r="C122" s="650">
        <v>1075891.0015509275</v>
      </c>
      <c r="D122" s="288">
        <f t="shared" si="1"/>
        <v>0.11292619210680908</v>
      </c>
      <c r="F122" s="888"/>
    </row>
    <row r="123" spans="1:6">
      <c r="A123" s="971">
        <f t="shared" si="2"/>
        <v>1923</v>
      </c>
      <c r="B123" s="430">
        <v>9817587.7329300158</v>
      </c>
      <c r="C123" s="650">
        <v>1107049.5450607983</v>
      </c>
      <c r="D123" s="288">
        <f t="shared" si="1"/>
        <v>0.11276186932840418</v>
      </c>
      <c r="F123" s="888"/>
    </row>
    <row r="124" spans="1:6">
      <c r="A124" s="971">
        <f t="shared" si="2"/>
        <v>1924</v>
      </c>
      <c r="B124" s="430">
        <v>10116632.886964334</v>
      </c>
      <c r="C124" s="650">
        <v>1139062.5926084011</v>
      </c>
      <c r="D124" s="288">
        <f t="shared" si="1"/>
        <v>0.11259305396720747</v>
      </c>
      <c r="F124" s="888"/>
    </row>
    <row r="125" spans="1:6">
      <c r="A125" s="971">
        <f t="shared" si="2"/>
        <v>1925</v>
      </c>
      <c r="B125" s="430">
        <v>10424787</v>
      </c>
      <c r="C125" s="650">
        <v>1171950.6982180539</v>
      </c>
      <c r="D125" s="288">
        <f t="shared" si="1"/>
        <v>0.11241963008146391</v>
      </c>
      <c r="F125" s="888"/>
    </row>
    <row r="126" spans="1:6">
      <c r="A126" s="971">
        <f t="shared" si="2"/>
        <v>1926</v>
      </c>
      <c r="B126" s="430">
        <v>10710841.868658403</v>
      </c>
      <c r="C126" s="650">
        <v>1202200.7180290206</v>
      </c>
      <c r="D126" s="288">
        <f t="shared" si="1"/>
        <v>0.11224147763275712</v>
      </c>
      <c r="F126" s="888"/>
    </row>
    <row r="127" spans="1:6">
      <c r="A127" s="971">
        <f t="shared" si="2"/>
        <v>1927</v>
      </c>
      <c r="B127" s="430">
        <v>11004746.047608055</v>
      </c>
      <c r="C127" s="650">
        <v>1233175.0309939429</v>
      </c>
      <c r="D127" s="288">
        <f t="shared" si="1"/>
        <v>0.11205847237719589</v>
      </c>
      <c r="F127" s="888"/>
    </row>
    <row r="128" spans="1:6">
      <c r="A128" s="971">
        <f t="shared" si="2"/>
        <v>1928</v>
      </c>
      <c r="B128" s="430">
        <v>11306714.920954591</v>
      </c>
      <c r="C128" s="650">
        <v>1264887.6905215681</v>
      </c>
      <c r="D128" s="288">
        <f t="shared" si="1"/>
        <v>0.11187048575686363</v>
      </c>
      <c r="F128" s="888"/>
    </row>
    <row r="129" spans="1:6">
      <c r="A129" s="971">
        <f t="shared" si="2"/>
        <v>1929</v>
      </c>
      <c r="B129" s="430">
        <v>11616969.782916918</v>
      </c>
      <c r="C129" s="650">
        <v>1297352.8045627219</v>
      </c>
      <c r="D129" s="288">
        <f t="shared" si="1"/>
        <v>0.11167738479190294</v>
      </c>
      <c r="F129" s="888"/>
    </row>
    <row r="130" spans="1:6">
      <c r="A130" s="971">
        <f t="shared" si="2"/>
        <v>1930</v>
      </c>
      <c r="B130" s="430">
        <v>11935738</v>
      </c>
      <c r="C130" s="650">
        <v>1330584.5181310382</v>
      </c>
      <c r="D130" s="288">
        <f t="shared" si="1"/>
        <v>0.11147903197364405</v>
      </c>
      <c r="F130" s="888"/>
    </row>
    <row r="131" spans="1:6">
      <c r="A131" s="971">
        <f t="shared" si="2"/>
        <v>1931</v>
      </c>
      <c r="B131" s="430">
        <v>12158616.964790491</v>
      </c>
      <c r="C131" s="650">
        <v>1352953.5698989232</v>
      </c>
      <c r="D131" s="288">
        <f t="shared" si="1"/>
        <v>0.1112752851592308</v>
      </c>
      <c r="F131" s="888"/>
    </row>
    <row r="132" spans="1:6">
      <c r="A132" s="971">
        <f t="shared" si="2"/>
        <v>1932</v>
      </c>
      <c r="B132" s="430">
        <v>12385657.803186627</v>
      </c>
      <c r="C132" s="650">
        <v>1375625.4382112231</v>
      </c>
      <c r="D132" s="288">
        <f t="shared" si="1"/>
        <v>0.11106599746824082</v>
      </c>
      <c r="F132" s="888"/>
    </row>
    <row r="133" spans="1:6">
      <c r="A133" s="971">
        <f t="shared" si="2"/>
        <v>1933</v>
      </c>
      <c r="B133" s="430">
        <v>12616938.230875598</v>
      </c>
      <c r="C133" s="650">
        <v>1398600.436613084</v>
      </c>
      <c r="D133" s="288">
        <f t="shared" si="1"/>
        <v>0.11085101718184627</v>
      </c>
      <c r="F133" s="888"/>
    </row>
    <row r="134" spans="1:6">
      <c r="A134" s="971">
        <f t="shared" si="2"/>
        <v>1934</v>
      </c>
      <c r="B134" s="430">
        <v>12852537.414748697</v>
      </c>
      <c r="C134" s="650">
        <v>1421878.6259094591</v>
      </c>
      <c r="D134" s="288">
        <f t="shared" si="1"/>
        <v>0.11063018764511108</v>
      </c>
      <c r="F134" s="888"/>
    </row>
    <row r="135" spans="1:6">
      <c r="A135" s="971">
        <f t="shared" si="2"/>
        <v>1935</v>
      </c>
      <c r="B135" s="430">
        <v>13092536</v>
      </c>
      <c r="C135" s="650">
        <v>1445459.7973840127</v>
      </c>
      <c r="D135" s="288">
        <f t="shared" ref="D135:D198" si="3">C135/B135</f>
        <v>0.1104033471730773</v>
      </c>
      <c r="F135" s="888"/>
    </row>
    <row r="136" spans="1:6">
      <c r="A136" s="971">
        <f t="shared" si="2"/>
        <v>1936</v>
      </c>
      <c r="B136" s="430">
        <v>13298008.098787645</v>
      </c>
      <c r="C136" s="650">
        <v>1465045.9267740985</v>
      </c>
      <c r="D136" s="288">
        <f t="shared" si="3"/>
        <v>0.11017032896134754</v>
      </c>
      <c r="F136" s="888"/>
    </row>
    <row r="137" spans="1:6">
      <c r="A137" s="971">
        <f t="shared" si="2"/>
        <v>1937</v>
      </c>
      <c r="B137" s="430">
        <v>13506704.842776205</v>
      </c>
      <c r="C137" s="650">
        <v>1484805.0433358725</v>
      </c>
      <c r="D137" s="288">
        <f t="shared" si="3"/>
        <v>0.10993096100193461</v>
      </c>
      <c r="F137" s="888"/>
    </row>
    <row r="138" spans="1:6">
      <c r="A138" s="971">
        <f t="shared" si="2"/>
        <v>1938</v>
      </c>
      <c r="B138" s="430">
        <v>13718676.839015167</v>
      </c>
      <c r="C138" s="650">
        <v>1504733.9745915406</v>
      </c>
      <c r="D138" s="288">
        <f t="shared" si="3"/>
        <v>0.10968506600521119</v>
      </c>
      <c r="F138" s="888"/>
    </row>
    <row r="139" spans="1:6">
      <c r="A139" s="971">
        <f t="shared" si="2"/>
        <v>1939</v>
      </c>
      <c r="B139" s="430">
        <v>13933975.488772701</v>
      </c>
      <c r="C139" s="650">
        <v>1524829.2338324164</v>
      </c>
      <c r="D139" s="288">
        <f t="shared" si="3"/>
        <v>0.10943246132886104</v>
      </c>
      <c r="F139" s="888"/>
    </row>
    <row r="140" spans="1:6">
      <c r="A140" s="971">
        <f t="shared" ref="A140:A186" si="4">A139+1</f>
        <v>1940</v>
      </c>
      <c r="B140" s="430">
        <v>14152653</v>
      </c>
      <c r="C140" s="650">
        <v>1545087.0045044648</v>
      </c>
      <c r="D140" s="288">
        <f t="shared" si="3"/>
        <v>0.10917295891480309</v>
      </c>
      <c r="F140" s="888"/>
    </row>
    <row r="141" spans="1:6">
      <c r="A141" s="971">
        <f t="shared" si="4"/>
        <v>1941</v>
      </c>
      <c r="B141" s="430">
        <v>14373250.652338</v>
      </c>
      <c r="C141" s="650">
        <v>1565338.4851596579</v>
      </c>
      <c r="D141" s="288">
        <f t="shared" si="3"/>
        <v>0.10890636523513453</v>
      </c>
      <c r="F141" s="888"/>
    </row>
    <row r="142" spans="1:6">
      <c r="A142" s="971">
        <f t="shared" si="4"/>
        <v>1942</v>
      </c>
      <c r="B142" s="430">
        <v>14597286.764180167</v>
      </c>
      <c r="C142" s="650">
        <v>1585739.4806846143</v>
      </c>
      <c r="D142" s="288">
        <f t="shared" si="3"/>
        <v>0.10863248124821467</v>
      </c>
      <c r="F142" s="888"/>
    </row>
    <row r="143" spans="1:6">
      <c r="A143" s="971">
        <f t="shared" si="4"/>
        <v>1943</v>
      </c>
      <c r="B143" s="430">
        <v>14824814.930855539</v>
      </c>
      <c r="C143" s="650">
        <v>1606285.0401314935</v>
      </c>
      <c r="D143" s="288">
        <f t="shared" si="3"/>
        <v>0.10835110236609172</v>
      </c>
      <c r="F143" s="888"/>
    </row>
    <row r="144" spans="1:6">
      <c r="A144" s="971">
        <f t="shared" si="4"/>
        <v>1944</v>
      </c>
      <c r="B144" s="430">
        <v>15055889.583084492</v>
      </c>
      <c r="C144" s="650">
        <v>1626969.8176759332</v>
      </c>
      <c r="D144" s="288">
        <f t="shared" si="3"/>
        <v>0.10806201843455715</v>
      </c>
      <c r="F144" s="888"/>
    </row>
    <row r="145" spans="1:6">
      <c r="A145" s="971">
        <f t="shared" si="4"/>
        <v>1945</v>
      </c>
      <c r="B145" s="430">
        <v>15290566</v>
      </c>
      <c r="C145" s="650">
        <v>1647788.0548865895</v>
      </c>
      <c r="D145" s="288">
        <f t="shared" si="3"/>
        <v>0.10776501372719555</v>
      </c>
      <c r="F145" s="888"/>
    </row>
    <row r="146" spans="1:6">
      <c r="A146" s="971">
        <f t="shared" si="4"/>
        <v>1946</v>
      </c>
      <c r="B146" s="430">
        <v>15645641.543607164</v>
      </c>
      <c r="C146" s="650">
        <v>1681278.5586998751</v>
      </c>
      <c r="D146" s="288">
        <f t="shared" si="3"/>
        <v>0.10745986695488677</v>
      </c>
      <c r="F146" s="888"/>
    </row>
    <row r="147" spans="1:6">
      <c r="A147" s="971">
        <f t="shared" si="4"/>
        <v>1947</v>
      </c>
      <c r="B147" s="430">
        <v>16008962.605507629</v>
      </c>
      <c r="C147" s="650">
        <v>1715301.9311550588</v>
      </c>
      <c r="D147" s="288">
        <f t="shared" si="3"/>
        <v>0.10714635129230275</v>
      </c>
      <c r="F147" s="888"/>
    </row>
    <row r="148" spans="1:6">
      <c r="A148" s="971">
        <f t="shared" si="4"/>
        <v>1948</v>
      </c>
      <c r="B148" s="430">
        <v>16380720.662059452</v>
      </c>
      <c r="C148" s="650">
        <v>1740011.2942383008</v>
      </c>
      <c r="D148" s="288">
        <f t="shared" si="3"/>
        <v>0.10622312229940312</v>
      </c>
      <c r="F148" s="888"/>
    </row>
    <row r="149" spans="1:6">
      <c r="A149" s="971">
        <f t="shared" si="4"/>
        <v>1949</v>
      </c>
      <c r="B149" s="430">
        <v>16761111.636059882</v>
      </c>
      <c r="C149" s="650">
        <v>1764705.680262222</v>
      </c>
      <c r="D149" s="288">
        <f t="shared" si="3"/>
        <v>0.10528571842846218</v>
      </c>
      <c r="F149" s="888"/>
    </row>
    <row r="150" spans="1:6">
      <c r="A150" s="971">
        <f t="shared" si="4"/>
        <v>1950</v>
      </c>
      <c r="B150" s="430">
        <v>17150336</v>
      </c>
      <c r="C150" s="650">
        <v>1789373.5839928843</v>
      </c>
      <c r="D150" s="288">
        <f t="shared" si="3"/>
        <v>0.10433460802125884</v>
      </c>
      <c r="F150" s="888"/>
    </row>
    <row r="151" spans="1:6">
      <c r="A151" s="971">
        <f t="shared" si="4"/>
        <v>1951</v>
      </c>
      <c r="B151" s="430">
        <v>17517342</v>
      </c>
      <c r="C151" s="650">
        <v>1810772.4148598092</v>
      </c>
      <c r="D151" s="288">
        <f t="shared" si="3"/>
        <v>0.10337027243401477</v>
      </c>
      <c r="F151" s="888"/>
    </row>
    <row r="152" spans="1:6">
      <c r="A152" s="971">
        <f t="shared" si="4"/>
        <v>1952</v>
      </c>
      <c r="B152" s="430">
        <v>17876956</v>
      </c>
      <c r="C152" s="650">
        <v>1830478.8266193613</v>
      </c>
      <c r="D152" s="288">
        <f t="shared" si="3"/>
        <v>0.10239320534320055</v>
      </c>
      <c r="F152" s="888"/>
    </row>
    <row r="153" spans="1:6">
      <c r="A153" s="971">
        <f t="shared" si="4"/>
        <v>1953</v>
      </c>
      <c r="B153" s="430">
        <v>18230816</v>
      </c>
      <c r="C153" s="650">
        <v>1848676.0617227673</v>
      </c>
      <c r="D153" s="288">
        <f t="shared" si="3"/>
        <v>0.10140391202032686</v>
      </c>
      <c r="F153" s="888"/>
    </row>
    <row r="154" spans="1:6">
      <c r="A154" s="971">
        <f t="shared" si="4"/>
        <v>1954</v>
      </c>
      <c r="B154" s="430">
        <v>18580559</v>
      </c>
      <c r="C154" s="650">
        <v>1865542.1666032516</v>
      </c>
      <c r="D154" s="288">
        <f t="shared" si="3"/>
        <v>0.10040290857789863</v>
      </c>
      <c r="F154" s="888"/>
    </row>
    <row r="155" spans="1:6">
      <c r="A155" s="971">
        <f t="shared" si="4"/>
        <v>1955</v>
      </c>
      <c r="B155" s="430">
        <v>18927821</v>
      </c>
      <c r="C155" s="650">
        <v>1881249.7797233539</v>
      </c>
      <c r="D155" s="288">
        <f t="shared" si="3"/>
        <v>9.93907211888444E-2</v>
      </c>
      <c r="F155" s="888"/>
    </row>
    <row r="156" spans="1:6">
      <c r="A156" s="971">
        <f t="shared" si="4"/>
        <v>1956</v>
      </c>
      <c r="B156" s="430">
        <v>19271511</v>
      </c>
      <c r="C156" s="650">
        <v>1895697.7832560483</v>
      </c>
      <c r="D156" s="288">
        <f t="shared" si="3"/>
        <v>9.8367885281857165E-2</v>
      </c>
      <c r="F156" s="888"/>
    </row>
    <row r="157" spans="1:6">
      <c r="A157" s="971">
        <f t="shared" si="4"/>
        <v>1957</v>
      </c>
      <c r="B157" s="430">
        <v>19610538</v>
      </c>
      <c r="C157" s="650">
        <v>1908790.6320651297</v>
      </c>
      <c r="D157" s="288">
        <f t="shared" si="3"/>
        <v>9.7334944715189844E-2</v>
      </c>
      <c r="F157" s="888"/>
    </row>
    <row r="158" spans="1:6">
      <c r="A158" s="971">
        <f t="shared" si="4"/>
        <v>1958</v>
      </c>
      <c r="B158" s="430">
        <v>19946539</v>
      </c>
      <c r="C158" s="650">
        <v>1920701.1279116857</v>
      </c>
      <c r="D158" s="288">
        <f t="shared" si="3"/>
        <v>9.6292450931546855E-2</v>
      </c>
      <c r="F158" s="888"/>
    </row>
    <row r="159" spans="1:6">
      <c r="A159" s="971">
        <f t="shared" si="4"/>
        <v>1959</v>
      </c>
      <c r="B159" s="430">
        <v>20281151</v>
      </c>
      <c r="C159" s="650">
        <v>1931596.3336703472</v>
      </c>
      <c r="D159" s="288">
        <f t="shared" si="3"/>
        <v>9.5240962096793585E-2</v>
      </c>
      <c r="F159" s="888"/>
    </row>
    <row r="160" spans="1:6">
      <c r="A160" s="971">
        <f t="shared" si="4"/>
        <v>1960</v>
      </c>
      <c r="B160" s="430">
        <v>20616009</v>
      </c>
      <c r="C160" s="650">
        <v>1941637.2141455787</v>
      </c>
      <c r="D160" s="288">
        <f t="shared" si="3"/>
        <v>9.4181042225271572E-2</v>
      </c>
      <c r="F160" s="888"/>
    </row>
    <row r="161" spans="1:6">
      <c r="A161" s="971">
        <f t="shared" si="4"/>
        <v>1961</v>
      </c>
      <c r="B161" s="430">
        <v>20950583</v>
      </c>
      <c r="C161" s="650">
        <v>1968272.124307299</v>
      </c>
      <c r="D161" s="288">
        <f t="shared" si="3"/>
        <v>9.394832231195184E-2</v>
      </c>
      <c r="F161" s="888"/>
    </row>
    <row r="162" spans="1:6">
      <c r="A162" s="971">
        <f t="shared" si="4"/>
        <v>1962</v>
      </c>
      <c r="B162" s="430">
        <v>21283782</v>
      </c>
      <c r="C162" s="650">
        <v>1994403.1584279533</v>
      </c>
      <c r="D162" s="288">
        <f t="shared" si="3"/>
        <v>9.3705299106519382E-2</v>
      </c>
      <c r="F162" s="888"/>
    </row>
    <row r="163" spans="1:6">
      <c r="A163" s="971">
        <f t="shared" si="4"/>
        <v>1963</v>
      </c>
      <c r="B163" s="430">
        <v>21616402</v>
      </c>
      <c r="C163" s="650">
        <v>2020097.6394842996</v>
      </c>
      <c r="D163" s="288">
        <f t="shared" si="3"/>
        <v>9.3452075858151587E-2</v>
      </c>
      <c r="F163" s="888"/>
    </row>
    <row r="164" spans="1:6">
      <c r="A164" s="971">
        <f t="shared" si="4"/>
        <v>1964</v>
      </c>
      <c r="B164" s="430">
        <v>21949243</v>
      </c>
      <c r="C164" s="650">
        <v>2045422.7512945251</v>
      </c>
      <c r="D164" s="288">
        <f t="shared" si="3"/>
        <v>9.318876060074259E-2</v>
      </c>
      <c r="F164" s="888"/>
    </row>
    <row r="165" spans="1:6">
      <c r="A165" s="971">
        <f t="shared" si="4"/>
        <v>1965</v>
      </c>
      <c r="B165" s="430">
        <v>22283099</v>
      </c>
      <c r="C165" s="650">
        <v>2070444.5282673773</v>
      </c>
      <c r="D165" s="288">
        <f t="shared" si="3"/>
        <v>9.2915466034027727E-2</v>
      </c>
      <c r="F165" s="888"/>
    </row>
    <row r="166" spans="1:6">
      <c r="A166" s="971">
        <f t="shared" si="4"/>
        <v>1966</v>
      </c>
      <c r="B166" s="430">
        <v>22611641</v>
      </c>
      <c r="C166" s="650">
        <v>2094568.5251508958</v>
      </c>
      <c r="D166" s="288">
        <f t="shared" si="3"/>
        <v>9.2632309399874865E-2</v>
      </c>
      <c r="F166" s="888"/>
    </row>
    <row r="167" spans="1:6">
      <c r="A167" s="971">
        <f t="shared" si="4"/>
        <v>1967</v>
      </c>
      <c r="B167" s="430">
        <v>22934336</v>
      </c>
      <c r="C167" s="650">
        <v>2117743.1089691333</v>
      </c>
      <c r="D167" s="288">
        <f t="shared" si="3"/>
        <v>9.233941235399766E-2</v>
      </c>
      <c r="F167" s="888"/>
    </row>
    <row r="168" spans="1:6">
      <c r="A168" s="971">
        <f t="shared" si="4"/>
        <v>1968</v>
      </c>
      <c r="B168" s="430">
        <v>23260682</v>
      </c>
      <c r="C168" s="650">
        <v>2140841.0825501112</v>
      </c>
      <c r="D168" s="288">
        <f t="shared" si="3"/>
        <v>9.2036900833350935E-2</v>
      </c>
      <c r="F168" s="888"/>
    </row>
    <row r="169" spans="1:6">
      <c r="A169" s="971">
        <f t="shared" si="4"/>
        <v>1969</v>
      </c>
      <c r="B169" s="430">
        <v>23600175</v>
      </c>
      <c r="C169" s="650">
        <v>2164723.807958052</v>
      </c>
      <c r="D169" s="288">
        <f t="shared" si="3"/>
        <v>9.1724904919478434E-2</v>
      </c>
      <c r="F169" s="888"/>
    </row>
    <row r="170" spans="1:6">
      <c r="A170" s="971">
        <f t="shared" si="4"/>
        <v>1970</v>
      </c>
      <c r="B170" s="430">
        <v>23962313</v>
      </c>
      <c r="C170" s="650">
        <v>2190240.6828373987</v>
      </c>
      <c r="D170" s="288">
        <f t="shared" si="3"/>
        <v>9.1403558698085557E-2</v>
      </c>
      <c r="F170" s="888"/>
    </row>
    <row r="171" spans="1:6">
      <c r="A171" s="971">
        <f t="shared" si="4"/>
        <v>1971</v>
      </c>
      <c r="B171" s="430">
        <v>24354307</v>
      </c>
      <c r="C171" s="650">
        <v>2218936.5443980303</v>
      </c>
      <c r="D171" s="288">
        <f t="shared" si="3"/>
        <v>9.1110641924569247E-2</v>
      </c>
      <c r="F171" s="888"/>
    </row>
    <row r="172" spans="1:6">
      <c r="A172" s="971">
        <f t="shared" si="4"/>
        <v>1972</v>
      </c>
      <c r="B172" s="430">
        <v>24769825</v>
      </c>
      <c r="C172" s="650">
        <v>2249388.9832210736</v>
      </c>
      <c r="D172" s="288">
        <f t="shared" si="3"/>
        <v>9.0811662303672866E-2</v>
      </c>
      <c r="F172" s="888"/>
    </row>
    <row r="173" spans="1:6">
      <c r="A173" s="971">
        <f t="shared" si="4"/>
        <v>1973</v>
      </c>
      <c r="B173" s="430">
        <v>25198051</v>
      </c>
      <c r="C173" s="650">
        <v>2280593.1318512773</v>
      </c>
      <c r="D173" s="288">
        <f t="shared" si="3"/>
        <v>9.0506727359638939E-2</v>
      </c>
      <c r="F173" s="888"/>
    </row>
    <row r="174" spans="1:6">
      <c r="A174" s="971">
        <f t="shared" si="4"/>
        <v>1974</v>
      </c>
      <c r="B174" s="430">
        <v>25628167</v>
      </c>
      <c r="C174" s="650">
        <v>2311556.7225941485</v>
      </c>
      <c r="D174" s="288">
        <f t="shared" si="3"/>
        <v>9.0195944274678266E-2</v>
      </c>
      <c r="F174" s="888"/>
    </row>
    <row r="175" spans="1:6">
      <c r="A175" s="971">
        <f t="shared" si="4"/>
        <v>1975</v>
      </c>
      <c r="B175" s="430">
        <v>26049356</v>
      </c>
      <c r="C175" s="650">
        <v>2341301.0040904512</v>
      </c>
      <c r="D175" s="288">
        <f t="shared" si="3"/>
        <v>8.9879419824829873E-2</v>
      </c>
      <c r="F175" s="888"/>
    </row>
    <row r="176" spans="1:6">
      <c r="A176" s="971">
        <f t="shared" si="4"/>
        <v>1976</v>
      </c>
      <c r="B176" s="430">
        <v>26458254</v>
      </c>
      <c r="C176" s="650">
        <v>2369528.7410404286</v>
      </c>
      <c r="D176" s="288">
        <f t="shared" si="3"/>
        <v>8.9557260318100684E-2</v>
      </c>
      <c r="F176" s="888"/>
    </row>
    <row r="177" spans="1:7">
      <c r="A177" s="971">
        <f t="shared" si="4"/>
        <v>1977</v>
      </c>
      <c r="B177" s="430">
        <v>26862074</v>
      </c>
      <c r="C177" s="650">
        <v>2396891.353558253</v>
      </c>
      <c r="D177" s="288">
        <f t="shared" si="3"/>
        <v>8.9229571534880481E-2</v>
      </c>
      <c r="F177" s="888"/>
    </row>
    <row r="178" spans="1:7">
      <c r="A178" s="971">
        <f t="shared" si="4"/>
        <v>1978</v>
      </c>
      <c r="B178" s="430">
        <v>27265859</v>
      </c>
      <c r="C178" s="650">
        <v>2423838.3077126811</v>
      </c>
      <c r="D178" s="288">
        <f t="shared" si="3"/>
        <v>8.8896458670628384E-2</v>
      </c>
      <c r="F178" s="888"/>
    </row>
    <row r="179" spans="1:7">
      <c r="A179" s="971">
        <f t="shared" si="4"/>
        <v>1979</v>
      </c>
      <c r="B179" s="430">
        <v>27674655</v>
      </c>
      <c r="C179" s="650">
        <v>2450812.824802632</v>
      </c>
      <c r="D179" s="288">
        <f t="shared" si="3"/>
        <v>8.8558026280820198E-2</v>
      </c>
      <c r="F179" s="888"/>
    </row>
    <row r="180" spans="1:7">
      <c r="A180" s="971">
        <f t="shared" si="4"/>
        <v>1980</v>
      </c>
      <c r="B180" s="430">
        <v>28093507</v>
      </c>
      <c r="C180" s="650">
        <v>2478251.2522530649</v>
      </c>
      <c r="D180" s="288">
        <f t="shared" si="3"/>
        <v>8.8214378228145915E-2</v>
      </c>
      <c r="F180" s="888"/>
    </row>
    <row r="181" spans="1:7">
      <c r="A181" s="971">
        <f t="shared" si="4"/>
        <v>1981</v>
      </c>
      <c r="B181" s="430">
        <v>28524921</v>
      </c>
      <c r="C181" s="650">
        <v>2510570.8139027162</v>
      </c>
      <c r="D181" s="288">
        <f t="shared" si="3"/>
        <v>8.8013243363678939E-2</v>
      </c>
      <c r="F181" s="888"/>
    </row>
    <row r="182" spans="1:7">
      <c r="A182" s="971">
        <f t="shared" si="4"/>
        <v>1982</v>
      </c>
      <c r="B182" s="430">
        <v>28907602.932</v>
      </c>
      <c r="C182" s="650">
        <v>2538333.4046779471</v>
      </c>
      <c r="D182" s="288">
        <f t="shared" si="3"/>
        <v>8.7808505279698398E-2</v>
      </c>
      <c r="F182" s="888"/>
    </row>
    <row r="183" spans="1:7">
      <c r="A183" s="971">
        <f t="shared" si="4"/>
        <v>1983</v>
      </c>
      <c r="B183" s="430">
        <v>29323351.241999999</v>
      </c>
      <c r="C183" s="650">
        <v>2568729.8523432016</v>
      </c>
      <c r="D183" s="288">
        <f t="shared" si="3"/>
        <v>8.7600146079619842E-2</v>
      </c>
      <c r="F183" s="888"/>
    </row>
    <row r="184" spans="1:7">
      <c r="A184" s="971">
        <f t="shared" si="4"/>
        <v>1984</v>
      </c>
      <c r="B184" s="430">
        <v>29710021.41</v>
      </c>
      <c r="C184" s="650">
        <v>2596303.7051331806</v>
      </c>
      <c r="D184" s="288">
        <f t="shared" si="3"/>
        <v>8.7388146555131704E-2</v>
      </c>
      <c r="F184" s="888"/>
    </row>
    <row r="185" spans="1:7">
      <c r="A185" s="971">
        <f t="shared" si="4"/>
        <v>1985</v>
      </c>
      <c r="B185" s="430">
        <v>30123140.18</v>
      </c>
      <c r="C185" s="650">
        <v>2625909.0190790966</v>
      </c>
      <c r="D185" s="288">
        <f t="shared" si="3"/>
        <v>8.717248611492856E-2</v>
      </c>
      <c r="F185" s="888"/>
    </row>
    <row r="186" spans="1:7">
      <c r="A186" s="971">
        <f t="shared" si="4"/>
        <v>1986</v>
      </c>
      <c r="B186" s="430">
        <v>30502417.760000002</v>
      </c>
      <c r="C186" s="650">
        <v>2652281.0844887258</v>
      </c>
      <c r="D186" s="288">
        <f t="shared" si="3"/>
        <v>8.6953142710111703E-2</v>
      </c>
      <c r="F186" s="888"/>
    </row>
    <row r="187" spans="1:7">
      <c r="A187" s="971">
        <f>A186+1</f>
        <v>1987</v>
      </c>
      <c r="B187" s="430">
        <v>30911399.839000002</v>
      </c>
      <c r="C187" s="650">
        <v>2680948.5752581214</v>
      </c>
      <c r="D187" s="288">
        <f t="shared" si="3"/>
        <v>8.6730092756124477E-2</v>
      </c>
      <c r="F187" s="888"/>
    </row>
    <row r="188" spans="1:7">
      <c r="A188" s="971">
        <f t="shared" ref="A188:A204" si="5">A187+1</f>
        <v>1988</v>
      </c>
      <c r="B188" s="430">
        <v>31319984.52</v>
      </c>
      <c r="C188" s="650">
        <v>2709282.3630488948</v>
      </c>
      <c r="D188" s="288">
        <f t="shared" si="3"/>
        <v>8.6503311051090354E-2</v>
      </c>
      <c r="F188" s="888"/>
    </row>
    <row r="189" spans="1:7">
      <c r="A189" s="971">
        <f t="shared" si="5"/>
        <v>1989</v>
      </c>
      <c r="B189" s="430">
        <v>31760455.32</v>
      </c>
      <c r="C189" s="650">
        <v>2740062.4788457472</v>
      </c>
      <c r="D189" s="288">
        <f t="shared" si="3"/>
        <v>8.6272770690421802E-2</v>
      </c>
      <c r="F189" s="888"/>
    </row>
    <row r="190" spans="1:7">
      <c r="A190" s="971">
        <f t="shared" si="5"/>
        <v>1990</v>
      </c>
      <c r="B190" s="430">
        <v>32201824.050000001</v>
      </c>
      <c r="C190" s="650">
        <v>2770594.8022995857</v>
      </c>
      <c r="D190" s="288">
        <f t="shared" si="3"/>
        <v>8.6038442977567464E-2</v>
      </c>
      <c r="F190" s="2743"/>
      <c r="G190" s="2743"/>
    </row>
    <row r="191" spans="1:7">
      <c r="A191" s="2736">
        <f t="shared" si="5"/>
        <v>1991</v>
      </c>
      <c r="B191" s="2740">
        <v>32615528</v>
      </c>
      <c r="C191" s="2741">
        <v>2798422</v>
      </c>
      <c r="D191" s="2742">
        <f t="shared" si="3"/>
        <v>8.5800297330768341E-2</v>
      </c>
      <c r="F191" s="2743"/>
      <c r="G191" s="2743"/>
    </row>
    <row r="192" spans="1:7">
      <c r="A192" s="971">
        <f t="shared" si="5"/>
        <v>1992</v>
      </c>
      <c r="B192" s="430">
        <v>32962861.665310036</v>
      </c>
      <c r="C192" s="650">
        <v>2818629.3972762167</v>
      </c>
      <c r="D192" s="288">
        <f t="shared" si="3"/>
        <v>8.5509244491431075E-2</v>
      </c>
      <c r="F192" s="2743"/>
      <c r="G192" s="2743"/>
    </row>
    <row r="193" spans="1:7">
      <c r="A193" s="971">
        <f t="shared" si="5"/>
        <v>1993</v>
      </c>
      <c r="B193" s="430">
        <v>33313894.202981044</v>
      </c>
      <c r="C193" s="650">
        <v>2838845.0288502183</v>
      </c>
      <c r="D193" s="288">
        <f t="shared" si="3"/>
        <v>8.5215046057154992E-2</v>
      </c>
      <c r="F193" s="2743"/>
      <c r="G193" s="2743"/>
    </row>
    <row r="194" spans="1:7">
      <c r="A194" s="971">
        <f t="shared" si="5"/>
        <v>1994</v>
      </c>
      <c r="B194" s="430">
        <v>33668665.003541812</v>
      </c>
      <c r="C194" s="650">
        <v>2859067.5345733506</v>
      </c>
      <c r="D194" s="288">
        <f t="shared" si="3"/>
        <v>8.4917757632284735E-2</v>
      </c>
      <c r="F194" s="2743"/>
      <c r="G194" s="2743"/>
    </row>
    <row r="195" spans="1:7">
      <c r="A195" s="971">
        <f t="shared" si="5"/>
        <v>1995</v>
      </c>
      <c r="B195" s="430">
        <v>34027213.877004042</v>
      </c>
      <c r="C195" s="650">
        <v>2879295.5436092531</v>
      </c>
      <c r="D195" s="288">
        <f t="shared" si="3"/>
        <v>8.4617434563313221E-2</v>
      </c>
      <c r="F195" s="2743"/>
      <c r="G195" s="2743"/>
    </row>
    <row r="196" spans="1:7">
      <c r="A196" s="971">
        <f t="shared" si="5"/>
        <v>1996</v>
      </c>
      <c r="B196" s="430">
        <v>34389581.057329573</v>
      </c>
      <c r="C196" s="650">
        <v>2899527.674220046</v>
      </c>
      <c r="D196" s="288">
        <f t="shared" si="3"/>
        <v>8.4314131928107897E-2</v>
      </c>
      <c r="F196" s="2743"/>
      <c r="G196" s="2743"/>
    </row>
    <row r="197" spans="1:7">
      <c r="A197" s="971">
        <f t="shared" si="5"/>
        <v>1997</v>
      </c>
      <c r="B197" s="430">
        <v>34755807.206945144</v>
      </c>
      <c r="C197" s="650">
        <v>2919762.533552275</v>
      </c>
      <c r="D197" s="288">
        <f t="shared" si="3"/>
        <v>8.40079045256307E-2</v>
      </c>
      <c r="F197" s="2743"/>
      <c r="G197" s="2743"/>
    </row>
    <row r="198" spans="1:7">
      <c r="A198" s="971">
        <f t="shared" si="5"/>
        <v>1998</v>
      </c>
      <c r="B198" s="430">
        <v>35125933.421305284</v>
      </c>
      <c r="C198" s="650">
        <v>2939998.717422843</v>
      </c>
      <c r="D198" s="288">
        <f t="shared" si="3"/>
        <v>8.3698806866143408E-2</v>
      </c>
      <c r="F198" s="2743"/>
      <c r="G198" s="2743"/>
    </row>
    <row r="199" spans="1:7">
      <c r="A199" s="971">
        <f t="shared" si="5"/>
        <v>1999</v>
      </c>
      <c r="B199" s="430">
        <v>35500001.233503766</v>
      </c>
      <c r="C199" s="650">
        <v>2960234.8101051068</v>
      </c>
      <c r="D199" s="288">
        <f t="shared" ref="D199:D204" si="6">C199/B199</f>
        <v>8.338689316188902E-2</v>
      </c>
      <c r="F199" s="2743"/>
      <c r="G199" s="2743"/>
    </row>
    <row r="200" spans="1:7">
      <c r="A200" s="971">
        <f t="shared" si="5"/>
        <v>2000</v>
      </c>
      <c r="B200" s="430">
        <v>35878052.618934155</v>
      </c>
      <c r="C200" s="650">
        <v>2980469.3841153737</v>
      </c>
      <c r="D200" s="288">
        <f t="shared" si="6"/>
        <v>8.3072217318240715E-2</v>
      </c>
      <c r="F200" s="2743"/>
      <c r="G200" s="2743"/>
    </row>
    <row r="201" spans="1:7">
      <c r="A201" s="2736">
        <f t="shared" si="5"/>
        <v>2001</v>
      </c>
      <c r="B201" s="2737">
        <v>36260130</v>
      </c>
      <c r="C201" s="2738">
        <v>3000700.9999999991</v>
      </c>
      <c r="D201" s="2739">
        <f t="shared" si="6"/>
        <v>8.2754832925309399E-2</v>
      </c>
      <c r="F201" s="2743"/>
      <c r="G201" s="2743"/>
    </row>
    <row r="202" spans="1:7">
      <c r="A202" s="971">
        <f t="shared" si="5"/>
        <v>2002</v>
      </c>
      <c r="B202" s="965">
        <f>B201*1.013261</f>
        <v>36740975.583930001</v>
      </c>
      <c r="C202" s="965">
        <f>C201*1.00918</f>
        <v>3028247.4351799991</v>
      </c>
      <c r="D202" s="288">
        <f t="shared" si="6"/>
        <v>8.2421530377231281E-2</v>
      </c>
      <c r="F202" s="2743"/>
      <c r="G202" s="2743"/>
    </row>
    <row r="203" spans="1:7">
      <c r="A203" s="971">
        <f t="shared" si="5"/>
        <v>2003</v>
      </c>
      <c r="B203" s="965">
        <f t="shared" ref="B203:B209" si="7">B202*1.013261</f>
        <v>37228197.661148496</v>
      </c>
      <c r="C203" s="965">
        <f t="shared" ref="C203:C209" si="8">C202*1.00918</f>
        <v>3056046.7466349513</v>
      </c>
      <c r="D203" s="288">
        <f t="shared" si="6"/>
        <v>8.2089570235205203E-2</v>
      </c>
      <c r="F203" s="2743"/>
      <c r="G203" s="2743"/>
    </row>
    <row r="204" spans="1:7">
      <c r="A204" s="971">
        <f t="shared" si="5"/>
        <v>2004</v>
      </c>
      <c r="B204" s="965">
        <f t="shared" si="7"/>
        <v>37721880.790332988</v>
      </c>
      <c r="C204" s="965">
        <f t="shared" si="8"/>
        <v>3084101.25576906</v>
      </c>
      <c r="D204" s="288">
        <f t="shared" si="6"/>
        <v>8.1758947092569798E-2</v>
      </c>
      <c r="F204" s="2743"/>
      <c r="G204" s="2743"/>
    </row>
    <row r="205" spans="1:7">
      <c r="A205" s="971">
        <f>A204+1</f>
        <v>2005</v>
      </c>
      <c r="B205" s="965">
        <f t="shared" si="7"/>
        <v>38222110.651493594</v>
      </c>
      <c r="C205" s="965">
        <f t="shared" si="8"/>
        <v>3112413.3052970199</v>
      </c>
      <c r="D205" s="288">
        <f t="shared" ref="D205:D240" si="9">C205/B205</f>
        <v>8.1429655564439554E-2</v>
      </c>
      <c r="F205" s="2743"/>
      <c r="G205" s="2743"/>
    </row>
    <row r="206" spans="1:7">
      <c r="A206" s="971">
        <f t="shared" ref="A206:A255" si="10">A205+1</f>
        <v>2006</v>
      </c>
      <c r="B206" s="965">
        <f t="shared" si="7"/>
        <v>38728974.06084305</v>
      </c>
      <c r="C206" s="965">
        <f t="shared" si="8"/>
        <v>3140985.2594396463</v>
      </c>
      <c r="D206" s="288">
        <f t="shared" si="9"/>
        <v>8.1101690287617018E-2</v>
      </c>
      <c r="F206" s="2743"/>
      <c r="G206" s="2743"/>
    </row>
    <row r="207" spans="1:7">
      <c r="A207" s="971">
        <f t="shared" si="10"/>
        <v>2007</v>
      </c>
      <c r="B207" s="965">
        <f t="shared" si="7"/>
        <v>39242558.985863887</v>
      </c>
      <c r="C207" s="965">
        <f t="shared" si="8"/>
        <v>3169819.5041213022</v>
      </c>
      <c r="D207" s="288">
        <f t="shared" si="9"/>
        <v>8.0775045920505523E-2</v>
      </c>
      <c r="F207" s="2743"/>
      <c r="G207" s="2743"/>
    </row>
    <row r="208" spans="1:7">
      <c r="A208" s="971">
        <f t="shared" si="10"/>
        <v>2008</v>
      </c>
      <c r="B208" s="965">
        <f t="shared" si="7"/>
        <v>39762954.560575426</v>
      </c>
      <c r="C208" s="965">
        <f t="shared" si="8"/>
        <v>3198918.4471691358</v>
      </c>
      <c r="D208" s="288">
        <f t="shared" si="9"/>
        <v>8.0449717143022154E-2</v>
      </c>
      <c r="F208" s="2743"/>
      <c r="G208" s="2743"/>
    </row>
    <row r="209" spans="1:7">
      <c r="A209" s="971">
        <f t="shared" si="10"/>
        <v>2009</v>
      </c>
      <c r="B209" s="965">
        <f t="shared" si="7"/>
        <v>40290251.101003215</v>
      </c>
      <c r="C209" s="965">
        <f t="shared" si="8"/>
        <v>3228284.5185141484</v>
      </c>
      <c r="D209" s="288">
        <f t="shared" si="9"/>
        <v>8.0125698656511105E-2</v>
      </c>
      <c r="F209" s="2743"/>
      <c r="G209" s="2743"/>
    </row>
    <row r="210" spans="1:7">
      <c r="A210" s="2736">
        <f t="shared" si="10"/>
        <v>2010</v>
      </c>
      <c r="B210" s="2737">
        <v>40788453</v>
      </c>
      <c r="C210" s="2738">
        <v>3257907</v>
      </c>
      <c r="D210" s="2739">
        <f t="shared" si="9"/>
        <v>7.9873267073894666E-2</v>
      </c>
      <c r="F210" s="2743"/>
      <c r="G210" s="2744"/>
    </row>
    <row r="211" spans="1:7">
      <c r="A211" s="971">
        <f t="shared" si="10"/>
        <v>2011</v>
      </c>
      <c r="B211" s="965">
        <f>B210*1.010156</f>
        <v>41202700.528668001</v>
      </c>
      <c r="C211" s="965">
        <f>C210*1.007355</f>
        <v>3281868.9059850001</v>
      </c>
      <c r="D211" s="288">
        <f t="shared" si="9"/>
        <v>7.9651791360169283E-2</v>
      </c>
      <c r="F211" s="2735"/>
      <c r="G211" s="2735"/>
    </row>
    <row r="212" spans="1:7">
      <c r="A212" s="971">
        <f t="shared" si="10"/>
        <v>2012</v>
      </c>
      <c r="B212" s="965">
        <f t="shared" ref="B212:B221" si="11">B211*1.010156</f>
        <v>41621155.155237153</v>
      </c>
      <c r="C212" s="965">
        <f t="shared" ref="C212:C221" si="12">C211*1.007355</f>
        <v>3306007.0517885196</v>
      </c>
      <c r="D212" s="288">
        <f t="shared" si="9"/>
        <v>7.9430929762950797E-2</v>
      </c>
      <c r="F212" s="2735"/>
      <c r="G212" s="2735"/>
    </row>
    <row r="213" spans="1:7">
      <c r="A213" s="971">
        <f t="shared" si="10"/>
        <v>2013</v>
      </c>
      <c r="B213" s="965">
        <f t="shared" si="11"/>
        <v>42043859.606993742</v>
      </c>
      <c r="C213" s="965">
        <f t="shared" si="12"/>
        <v>3330322.7336544241</v>
      </c>
      <c r="D213" s="288">
        <f t="shared" si="9"/>
        <v>7.9210680579392984E-2</v>
      </c>
      <c r="F213" s="2735"/>
      <c r="G213" s="2735"/>
    </row>
    <row r="214" spans="1:7">
      <c r="A214" s="971">
        <f t="shared" si="10"/>
        <v>2014</v>
      </c>
      <c r="B214" s="965">
        <f t="shared" si="11"/>
        <v>42470857.045162372</v>
      </c>
      <c r="C214" s="965">
        <f t="shared" si="12"/>
        <v>3354817.2573604523</v>
      </c>
      <c r="D214" s="288">
        <f t="shared" si="9"/>
        <v>7.8991042111371326E-2</v>
      </c>
      <c r="F214" s="2735"/>
      <c r="G214" s="2735"/>
    </row>
    <row r="215" spans="1:7">
      <c r="A215" s="971">
        <f t="shared" si="10"/>
        <v>2015</v>
      </c>
      <c r="B215" s="965">
        <f t="shared" si="11"/>
        <v>42902191.069313042</v>
      </c>
      <c r="C215" s="965">
        <f t="shared" si="12"/>
        <v>3379491.9382883385</v>
      </c>
      <c r="D215" s="288">
        <f t="shared" si="9"/>
        <v>7.8772012665469945E-2</v>
      </c>
      <c r="F215" s="2735"/>
      <c r="G215" s="2735"/>
    </row>
    <row r="216" spans="1:7">
      <c r="A216" s="971">
        <f t="shared" si="10"/>
        <v>2016</v>
      </c>
      <c r="B216" s="965">
        <f t="shared" si="11"/>
        <v>43337905.721812986</v>
      </c>
      <c r="C216" s="965">
        <f t="shared" si="12"/>
        <v>3404348.1014944492</v>
      </c>
      <c r="D216" s="288">
        <f t="shared" si="9"/>
        <v>7.8553590552968525E-2</v>
      </c>
      <c r="F216" s="2735"/>
      <c r="G216" s="2735"/>
    </row>
    <row r="217" spans="1:7">
      <c r="A217" s="971">
        <f t="shared" si="10"/>
        <v>2017</v>
      </c>
      <c r="B217" s="965">
        <f t="shared" si="11"/>
        <v>43778045.492323719</v>
      </c>
      <c r="C217" s="965">
        <f t="shared" si="12"/>
        <v>3429387.0817809408</v>
      </c>
      <c r="D217" s="288">
        <f t="shared" si="9"/>
        <v>7.8335774089829294E-2</v>
      </c>
      <c r="F217" s="2735"/>
      <c r="G217" s="2735"/>
    </row>
    <row r="218" spans="1:7">
      <c r="A218" s="971">
        <f t="shared" si="10"/>
        <v>2018</v>
      </c>
      <c r="B218" s="965">
        <f t="shared" si="11"/>
        <v>44222655.322343759</v>
      </c>
      <c r="C218" s="965">
        <f t="shared" si="12"/>
        <v>3454610.2237674394</v>
      </c>
      <c r="D218" s="288">
        <f t="shared" si="9"/>
        <v>7.8118561596684066E-2</v>
      </c>
      <c r="F218" s="2735"/>
      <c r="G218" s="2735"/>
    </row>
    <row r="219" spans="1:7">
      <c r="A219" s="971">
        <f t="shared" si="10"/>
        <v>2019</v>
      </c>
      <c r="B219" s="965">
        <f t="shared" si="11"/>
        <v>44671780.609797485</v>
      </c>
      <c r="C219" s="965">
        <f t="shared" si="12"/>
        <v>3480018.8819632488</v>
      </c>
      <c r="D219" s="288">
        <f t="shared" si="9"/>
        <v>7.7901951398821237E-2</v>
      </c>
      <c r="F219" s="2735"/>
      <c r="G219" s="2735"/>
    </row>
    <row r="220" spans="1:7">
      <c r="A220" s="971">
        <f t="shared" si="10"/>
        <v>2020</v>
      </c>
      <c r="B220" s="965">
        <f t="shared" si="11"/>
        <v>45125467.213670589</v>
      </c>
      <c r="C220" s="965">
        <f t="shared" si="12"/>
        <v>3505614.4208400887</v>
      </c>
      <c r="D220" s="288">
        <f t="shared" si="9"/>
        <v>7.7685941826172958E-2</v>
      </c>
      <c r="F220" s="2735"/>
      <c r="G220" s="2735"/>
    </row>
    <row r="221" spans="1:7">
      <c r="A221" s="971">
        <f t="shared" si="10"/>
        <v>2021</v>
      </c>
      <c r="B221" s="965">
        <f t="shared" si="11"/>
        <v>45583761.458692633</v>
      </c>
      <c r="C221" s="965">
        <f t="shared" si="12"/>
        <v>3531398.2149053677</v>
      </c>
      <c r="D221" s="288">
        <f t="shared" si="9"/>
        <v>7.7470531213302163E-2</v>
      </c>
      <c r="F221" s="2735"/>
      <c r="G221" s="2735"/>
    </row>
    <row r="222" spans="1:7">
      <c r="A222" s="2736">
        <f t="shared" si="10"/>
        <v>2022</v>
      </c>
      <c r="B222" s="2737">
        <v>46044703</v>
      </c>
      <c r="C222" s="2738">
        <v>3556522</v>
      </c>
      <c r="D222" s="2739">
        <f t="shared" si="9"/>
        <v>7.7240632869322673E-2</v>
      </c>
      <c r="F222" s="2743"/>
      <c r="G222" s="2743"/>
    </row>
    <row r="223" spans="1:7">
      <c r="A223" s="971">
        <f t="shared" si="10"/>
        <v>2023</v>
      </c>
      <c r="B223" s="965">
        <f>B222*1.010156</f>
        <v>46512333.003668003</v>
      </c>
      <c r="C223" s="965">
        <f>C222*1.007355</f>
        <v>3582680.2193100001</v>
      </c>
      <c r="D223" s="288">
        <f t="shared" si="9"/>
        <v>7.7026457026515241E-2</v>
      </c>
      <c r="F223" s="2743"/>
      <c r="G223" s="2743"/>
    </row>
    <row r="224" spans="1:7">
      <c r="A224" s="971">
        <f t="shared" si="10"/>
        <v>2024</v>
      </c>
      <c r="B224" s="965">
        <f t="shared" ref="B224:B240" si="13">B223*1.010156</f>
        <v>46984712.257653259</v>
      </c>
      <c r="C224" s="965">
        <f t="shared" ref="C224:C240" si="14">C223*1.007355</f>
        <v>3609030.832323025</v>
      </c>
      <c r="D224" s="288">
        <f t="shared" si="9"/>
        <v>7.6812875058847596E-2</v>
      </c>
      <c r="F224" s="2743"/>
      <c r="G224" s="2743"/>
    </row>
    <row r="225" spans="1:7">
      <c r="A225" s="971">
        <f t="shared" si="10"/>
        <v>2025</v>
      </c>
      <c r="B225" s="965">
        <f t="shared" si="13"/>
        <v>47461888.995341986</v>
      </c>
      <c r="C225" s="965">
        <f t="shared" si="14"/>
        <v>3635575.2540947609</v>
      </c>
      <c r="D225" s="288">
        <f t="shared" si="9"/>
        <v>7.6599885319599562E-2</v>
      </c>
      <c r="F225" s="2743"/>
      <c r="G225" s="2743"/>
    </row>
    <row r="226" spans="1:7">
      <c r="A226" s="971">
        <f t="shared" si="10"/>
        <v>2026</v>
      </c>
      <c r="B226" s="965">
        <f t="shared" si="13"/>
        <v>47943911.939978682</v>
      </c>
      <c r="C226" s="965">
        <f t="shared" si="14"/>
        <v>3662314.9100886281</v>
      </c>
      <c r="D226" s="288">
        <f t="shared" si="9"/>
        <v>7.6387486166617058E-2</v>
      </c>
      <c r="F226" s="2743"/>
      <c r="G226" s="2743"/>
    </row>
    <row r="227" spans="1:7">
      <c r="A227" s="971">
        <f t="shared" si="10"/>
        <v>2027</v>
      </c>
      <c r="B227" s="965">
        <f t="shared" si="13"/>
        <v>48430830.309641108</v>
      </c>
      <c r="C227" s="965">
        <f t="shared" si="14"/>
        <v>3689251.2362523298</v>
      </c>
      <c r="D227" s="288">
        <f>C227/B227</f>
        <v>7.6175675962299405E-2</v>
      </c>
      <c r="F227" s="2743"/>
      <c r="G227" s="2743"/>
    </row>
    <row r="228" spans="1:7">
      <c r="A228" s="971">
        <f t="shared" si="10"/>
        <v>2028</v>
      </c>
      <c r="B228" s="965">
        <f t="shared" si="13"/>
        <v>48922693.822265826</v>
      </c>
      <c r="C228" s="965">
        <f t="shared" si="14"/>
        <v>3716385.6790949656</v>
      </c>
      <c r="D228" s="288">
        <f t="shared" si="9"/>
        <v>7.5964453073586763E-2</v>
      </c>
      <c r="F228" s="2743"/>
      <c r="G228" s="2743"/>
    </row>
    <row r="229" spans="1:7">
      <c r="A229" s="971">
        <f t="shared" si="10"/>
        <v>2029</v>
      </c>
      <c r="B229" s="965">
        <f t="shared" si="13"/>
        <v>49419552.700724758</v>
      </c>
      <c r="C229" s="965">
        <f t="shared" si="14"/>
        <v>3743719.6957647093</v>
      </c>
      <c r="D229" s="288">
        <f t="shared" si="9"/>
        <v>7.5753815871947502E-2</v>
      </c>
      <c r="F229" s="2743"/>
      <c r="G229" s="2743"/>
    </row>
    <row r="230" spans="1:7">
      <c r="A230" s="971">
        <f t="shared" si="10"/>
        <v>2030</v>
      </c>
      <c r="B230" s="965">
        <f t="shared" si="13"/>
        <v>49921457.677953325</v>
      </c>
      <c r="C230" s="965">
        <f t="shared" si="14"/>
        <v>3771254.7541270587</v>
      </c>
      <c r="D230" s="288">
        <f t="shared" si="9"/>
        <v>7.5543762733365605E-2</v>
      </c>
      <c r="F230" s="2743"/>
      <c r="G230" s="2743"/>
    </row>
    <row r="231" spans="1:7">
      <c r="A231" s="971">
        <f t="shared" si="10"/>
        <v>2031</v>
      </c>
      <c r="B231" s="965">
        <f t="shared" si="13"/>
        <v>50428460.00213062</v>
      </c>
      <c r="C231" s="965">
        <f t="shared" si="14"/>
        <v>3798992.3328436632</v>
      </c>
      <c r="D231" s="288">
        <f t="shared" si="9"/>
        <v>7.5334292038328241E-2</v>
      </c>
      <c r="F231" s="2743"/>
      <c r="G231" s="2743"/>
    </row>
    <row r="232" spans="1:7">
      <c r="A232" s="971">
        <f t="shared" si="10"/>
        <v>2032</v>
      </c>
      <c r="B232" s="965">
        <f t="shared" si="13"/>
        <v>50940611.441912264</v>
      </c>
      <c r="C232" s="965">
        <f t="shared" si="14"/>
        <v>3826933.9214517283</v>
      </c>
      <c r="D232" s="288">
        <f t="shared" si="9"/>
        <v>7.512540217181321E-2</v>
      </c>
      <c r="F232" s="2743"/>
      <c r="G232" s="2743"/>
    </row>
    <row r="233" spans="1:7">
      <c r="A233" s="971">
        <f t="shared" si="10"/>
        <v>2033</v>
      </c>
      <c r="B233" s="965">
        <f t="shared" si="13"/>
        <v>51457964.29171633</v>
      </c>
      <c r="C233" s="965">
        <f t="shared" si="14"/>
        <v>3855081.0204440057</v>
      </c>
      <c r="D233" s="288">
        <f t="shared" si="9"/>
        <v>7.4917091523276483E-2</v>
      </c>
      <c r="F233" s="2743"/>
      <c r="G233" s="2743"/>
    </row>
    <row r="234" spans="1:7">
      <c r="A234" s="971">
        <f t="shared" si="10"/>
        <v>2034</v>
      </c>
      <c r="B234" s="965">
        <f t="shared" si="13"/>
        <v>51980571.377063006</v>
      </c>
      <c r="C234" s="965">
        <f t="shared" si="14"/>
        <v>3883435.1413493715</v>
      </c>
      <c r="D234" s="288">
        <f t="shared" si="9"/>
        <v>7.4709358486639871E-2</v>
      </c>
      <c r="F234" s="2743"/>
      <c r="G234" s="2743"/>
    </row>
    <row r="235" spans="1:7">
      <c r="A235" s="971">
        <f t="shared" si="10"/>
        <v>2035</v>
      </c>
      <c r="B235" s="965">
        <f t="shared" si="13"/>
        <v>52508486.059968464</v>
      </c>
      <c r="C235" s="965">
        <f t="shared" si="14"/>
        <v>3911997.8068139963</v>
      </c>
      <c r="D235" s="288">
        <f t="shared" si="9"/>
        <v>7.4502201460278514E-2</v>
      </c>
      <c r="F235" s="2743"/>
      <c r="G235" s="2743"/>
    </row>
    <row r="236" spans="1:7">
      <c r="A236" s="971">
        <f t="shared" si="10"/>
        <v>2036</v>
      </c>
      <c r="B236" s="965">
        <f t="shared" si="13"/>
        <v>53041762.244393505</v>
      </c>
      <c r="C236" s="965">
        <f t="shared" si="14"/>
        <v>3940770.5506831133</v>
      </c>
      <c r="D236" s="288">
        <f t="shared" si="9"/>
        <v>7.4295618847008638E-2</v>
      </c>
      <c r="F236" s="2743"/>
      <c r="G236" s="2743"/>
    </row>
    <row r="237" spans="1:7">
      <c r="A237" s="971">
        <f t="shared" si="10"/>
        <v>2037</v>
      </c>
      <c r="B237" s="965">
        <f t="shared" si="13"/>
        <v>53580454.381747566</v>
      </c>
      <c r="C237" s="965">
        <f t="shared" si="14"/>
        <v>3969754.9180833874</v>
      </c>
      <c r="D237" s="288">
        <f t="shared" si="9"/>
        <v>7.4089609054075189E-2</v>
      </c>
      <c r="F237" s="2743"/>
      <c r="G237" s="2743"/>
    </row>
    <row r="238" spans="1:7">
      <c r="A238" s="971">
        <f t="shared" si="10"/>
        <v>2038</v>
      </c>
      <c r="B238" s="965">
        <f t="shared" si="13"/>
        <v>54124617.476448596</v>
      </c>
      <c r="C238" s="965">
        <f t="shared" si="14"/>
        <v>3998952.4655058905</v>
      </c>
      <c r="D238" s="288">
        <f t="shared" si="9"/>
        <v>7.3884170493139584E-2</v>
      </c>
      <c r="F238" s="2743"/>
      <c r="G238" s="2743"/>
    </row>
    <row r="239" spans="1:7">
      <c r="A239" s="971">
        <f t="shared" si="10"/>
        <v>2039</v>
      </c>
      <c r="B239" s="965">
        <f t="shared" si="13"/>
        <v>54674307.091539413</v>
      </c>
      <c r="C239" s="965">
        <f t="shared" si="14"/>
        <v>4028364.7608896862</v>
      </c>
      <c r="D239" s="288">
        <f t="shared" si="9"/>
        <v>7.367930158026742E-2</v>
      </c>
      <c r="F239" s="2743"/>
      <c r="G239" s="2743"/>
    </row>
    <row r="240" spans="1:7">
      <c r="A240" s="971">
        <f t="shared" si="10"/>
        <v>2040</v>
      </c>
      <c r="B240" s="965">
        <f t="shared" si="13"/>
        <v>55229579.354361087</v>
      </c>
      <c r="C240" s="965">
        <f t="shared" si="14"/>
        <v>4057993.38370603</v>
      </c>
      <c r="D240" s="288">
        <f t="shared" si="9"/>
        <v>7.3475000735916327E-2</v>
      </c>
      <c r="F240" s="2743"/>
      <c r="G240" s="2743"/>
    </row>
    <row r="241" spans="1:4">
      <c r="A241" s="971">
        <f t="shared" si="10"/>
        <v>2041</v>
      </c>
      <c r="B241" s="430" t="e">
        <v>#N/A</v>
      </c>
      <c r="C241" s="650" t="e">
        <v>#N/A</v>
      </c>
      <c r="D241" s="288" t="e">
        <v>#N/A</v>
      </c>
    </row>
    <row r="242" spans="1:4">
      <c r="A242" s="971">
        <f t="shared" si="10"/>
        <v>2042</v>
      </c>
      <c r="B242" s="430" t="e">
        <v>#N/A</v>
      </c>
      <c r="C242" s="650" t="e">
        <v>#N/A</v>
      </c>
      <c r="D242" s="288" t="e">
        <v>#N/A</v>
      </c>
    </row>
    <row r="243" spans="1:4">
      <c r="A243" s="971">
        <f t="shared" si="10"/>
        <v>2043</v>
      </c>
      <c r="B243" s="430" t="e">
        <v>#N/A</v>
      </c>
      <c r="C243" s="650" t="e">
        <v>#N/A</v>
      </c>
      <c r="D243" s="288" t="e">
        <v>#N/A</v>
      </c>
    </row>
    <row r="244" spans="1:4">
      <c r="A244" s="971">
        <f t="shared" si="10"/>
        <v>2044</v>
      </c>
      <c r="B244" s="430" t="e">
        <v>#N/A</v>
      </c>
      <c r="C244" s="650" t="e">
        <v>#N/A</v>
      </c>
      <c r="D244" s="288" t="e">
        <v>#N/A</v>
      </c>
    </row>
    <row r="245" spans="1:4">
      <c r="A245" s="971">
        <f t="shared" si="10"/>
        <v>2045</v>
      </c>
      <c r="B245" s="430" t="e">
        <v>#N/A</v>
      </c>
      <c r="C245" s="650" t="e">
        <v>#N/A</v>
      </c>
      <c r="D245" s="288" t="e">
        <v>#N/A</v>
      </c>
    </row>
    <row r="246" spans="1:4">
      <c r="A246" s="971">
        <f t="shared" si="10"/>
        <v>2046</v>
      </c>
      <c r="B246" s="430" t="e">
        <v>#N/A</v>
      </c>
      <c r="C246" s="650" t="e">
        <v>#N/A</v>
      </c>
      <c r="D246" s="288" t="e">
        <v>#N/A</v>
      </c>
    </row>
    <row r="247" spans="1:4">
      <c r="A247" s="971">
        <f t="shared" si="10"/>
        <v>2047</v>
      </c>
      <c r="B247" s="430" t="e">
        <v>#N/A</v>
      </c>
      <c r="C247" s="650" t="e">
        <v>#N/A</v>
      </c>
      <c r="D247" s="288" t="e">
        <v>#N/A</v>
      </c>
    </row>
    <row r="248" spans="1:4">
      <c r="A248" s="971">
        <f t="shared" si="10"/>
        <v>2048</v>
      </c>
      <c r="B248" s="430" t="e">
        <v>#N/A</v>
      </c>
      <c r="C248" s="650" t="e">
        <v>#N/A</v>
      </c>
      <c r="D248" s="288" t="e">
        <v>#N/A</v>
      </c>
    </row>
    <row r="249" spans="1:4">
      <c r="A249" s="971">
        <f t="shared" si="10"/>
        <v>2049</v>
      </c>
      <c r="B249" s="430" t="e">
        <v>#N/A</v>
      </c>
      <c r="C249" s="650" t="e">
        <v>#N/A</v>
      </c>
      <c r="D249" s="288" t="e">
        <v>#N/A</v>
      </c>
    </row>
    <row r="250" spans="1:4">
      <c r="A250" s="971">
        <f t="shared" si="10"/>
        <v>2050</v>
      </c>
      <c r="B250" s="430" t="e">
        <v>#N/A</v>
      </c>
      <c r="C250" s="650" t="e">
        <v>#N/A</v>
      </c>
      <c r="D250" s="288" t="e">
        <v>#N/A</v>
      </c>
    </row>
    <row r="251" spans="1:4">
      <c r="A251" s="971">
        <f t="shared" si="10"/>
        <v>2051</v>
      </c>
      <c r="B251" s="430" t="e">
        <v>#N/A</v>
      </c>
      <c r="C251" s="650" t="e">
        <v>#N/A</v>
      </c>
      <c r="D251" s="288" t="e">
        <v>#N/A</v>
      </c>
    </row>
    <row r="252" spans="1:4">
      <c r="A252" s="971">
        <f t="shared" si="10"/>
        <v>2052</v>
      </c>
      <c r="B252" s="430" t="e">
        <v>#N/A</v>
      </c>
      <c r="C252" s="650" t="e">
        <v>#N/A</v>
      </c>
      <c r="D252" s="288" t="e">
        <v>#N/A</v>
      </c>
    </row>
    <row r="253" spans="1:4">
      <c r="A253" s="971">
        <f t="shared" si="10"/>
        <v>2053</v>
      </c>
      <c r="B253" s="430" t="e">
        <v>#N/A</v>
      </c>
      <c r="C253" s="650" t="e">
        <v>#N/A</v>
      </c>
      <c r="D253" s="288" t="e">
        <v>#N/A</v>
      </c>
    </row>
    <row r="254" spans="1:4">
      <c r="A254" s="971">
        <f t="shared" si="10"/>
        <v>2054</v>
      </c>
      <c r="B254" s="430" t="e">
        <v>#N/A</v>
      </c>
      <c r="C254" s="650" t="e">
        <v>#N/A</v>
      </c>
      <c r="D254" s="288" t="e">
        <v>#N/A</v>
      </c>
    </row>
    <row r="255" spans="1:4">
      <c r="A255" s="971">
        <f t="shared" si="10"/>
        <v>2055</v>
      </c>
      <c r="B255" s="430" t="e">
        <v>#N/A</v>
      </c>
      <c r="C255" s="650" t="e">
        <v>#N/A</v>
      </c>
      <c r="D255" s="288" t="e">
        <v>#N/A</v>
      </c>
    </row>
    <row r="960" spans="1:2">
      <c r="A960" s="972"/>
      <c r="B960" s="972"/>
    </row>
    <row r="961" spans="1:2">
      <c r="A961" s="972"/>
      <c r="B961" s="972"/>
    </row>
    <row r="962" spans="1:2">
      <c r="A962" s="972"/>
      <c r="B962" s="972"/>
    </row>
    <row r="963" spans="1:2">
      <c r="A963" s="972"/>
      <c r="B963" s="972"/>
    </row>
  </sheetData>
  <hyperlinks>
    <hyperlink ref="A5" location="INDICE!A13" display="VOLVER AL INDICE" xr:uid="{00000000-0004-0000-1400-000000000000}"/>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dimension ref="A1:M489"/>
  <sheetViews>
    <sheetView zoomScaleNormal="100" workbookViewId="0">
      <pane xSplit="1" ySplit="9" topLeftCell="B399" activePane="bottomRight" state="frozen"/>
      <selection sqref="A1:A5"/>
      <selection pane="topRight" sqref="A1:A5"/>
      <selection pane="bottomLeft" sqref="A1:A5"/>
      <selection pane="bottomRight" activeCell="A5" sqref="A5"/>
    </sheetView>
  </sheetViews>
  <sheetFormatPr baseColWidth="10" defaultColWidth="11.42578125" defaultRowHeight="12.75"/>
  <cols>
    <col min="1" max="1" width="10.42578125" style="19" bestFit="1" customWidth="1"/>
    <col min="2" max="3" width="22.5703125" style="19" customWidth="1"/>
    <col min="4" max="4" width="16.5703125" style="19" customWidth="1"/>
    <col min="5" max="5" width="22" style="19" customWidth="1"/>
    <col min="6" max="6" width="22.5703125" style="19" customWidth="1"/>
    <col min="7" max="16384" width="11.42578125" style="1"/>
  </cols>
  <sheetData>
    <row r="1" spans="1:6" ht="3" customHeight="1">
      <c r="A1" s="47"/>
      <c r="B1" s="266"/>
      <c r="C1" s="942"/>
      <c r="D1" s="942"/>
      <c r="E1" s="936"/>
      <c r="F1" s="933"/>
    </row>
    <row r="2" spans="1:6" ht="70.349999999999994" customHeight="1">
      <c r="A2" s="47" t="s">
        <v>212</v>
      </c>
      <c r="B2" s="156" t="s">
        <v>1462</v>
      </c>
      <c r="C2" s="115" t="s">
        <v>82</v>
      </c>
      <c r="D2" s="115"/>
      <c r="E2" s="783" t="s">
        <v>1461</v>
      </c>
      <c r="F2" s="109" t="s">
        <v>458</v>
      </c>
    </row>
    <row r="3" spans="1:6" ht="45">
      <c r="A3" s="47" t="s">
        <v>211</v>
      </c>
      <c r="B3" s="156" t="s">
        <v>1331</v>
      </c>
      <c r="C3" s="115" t="s">
        <v>1331</v>
      </c>
      <c r="D3" s="115"/>
      <c r="E3" s="2424" t="s">
        <v>1459</v>
      </c>
      <c r="F3" s="110" t="s">
        <v>1193</v>
      </c>
    </row>
    <row r="4" spans="1:6" ht="3" customHeight="1">
      <c r="A4" s="224"/>
      <c r="B4" s="183"/>
      <c r="C4" s="185" t="s">
        <v>74</v>
      </c>
      <c r="D4" s="185"/>
      <c r="E4" s="130"/>
      <c r="F4" s="890"/>
    </row>
    <row r="5" spans="1:6" ht="33.75">
      <c r="A5" s="45" t="s">
        <v>213</v>
      </c>
      <c r="B5" s="158" t="s">
        <v>254</v>
      </c>
      <c r="C5" s="104" t="s">
        <v>83</v>
      </c>
      <c r="D5" s="104" t="s">
        <v>83</v>
      </c>
      <c r="E5" s="83" t="s">
        <v>1077</v>
      </c>
      <c r="F5" s="866" t="s">
        <v>457</v>
      </c>
    </row>
    <row r="6" spans="1:6" ht="3" customHeight="1">
      <c r="A6" s="224"/>
      <c r="B6" s="183"/>
      <c r="C6" s="185"/>
      <c r="D6" s="185"/>
      <c r="E6" s="130"/>
      <c r="F6" s="890"/>
    </row>
    <row r="7" spans="1:6" ht="22.5">
      <c r="A7" s="47" t="s">
        <v>210</v>
      </c>
      <c r="B7" s="260" t="s">
        <v>1332</v>
      </c>
      <c r="C7" s="262" t="s">
        <v>229</v>
      </c>
      <c r="D7" s="262" t="s">
        <v>1463</v>
      </c>
      <c r="E7" s="138" t="s">
        <v>1078</v>
      </c>
      <c r="F7" s="891" t="s">
        <v>512</v>
      </c>
    </row>
    <row r="8" spans="1:6">
      <c r="A8" s="225" t="s">
        <v>412</v>
      </c>
      <c r="B8" s="396" t="s">
        <v>505</v>
      </c>
      <c r="C8" s="398" t="s">
        <v>506</v>
      </c>
      <c r="D8" s="398" t="s">
        <v>513</v>
      </c>
      <c r="E8" s="394" t="s">
        <v>1079</v>
      </c>
      <c r="F8" s="391" t="s">
        <v>1562</v>
      </c>
    </row>
    <row r="9" spans="1:6" ht="13.5" thickBot="1">
      <c r="A9" s="194"/>
      <c r="B9" s="116"/>
      <c r="C9" s="308"/>
      <c r="D9" s="308"/>
      <c r="E9" s="118"/>
      <c r="F9" s="309"/>
    </row>
    <row r="10" spans="1:6">
      <c r="A10" s="49">
        <v>1991.01</v>
      </c>
      <c r="B10" s="54">
        <v>128926860</v>
      </c>
      <c r="C10" s="509"/>
      <c r="D10" s="509"/>
      <c r="E10" s="937"/>
      <c r="F10" s="934"/>
    </row>
    <row r="11" spans="1:6">
      <c r="A11" s="49">
        <v>1991.02</v>
      </c>
      <c r="B11" s="120">
        <v>108608079</v>
      </c>
      <c r="C11" s="929"/>
      <c r="D11" s="929"/>
      <c r="E11" s="938"/>
      <c r="F11" s="268"/>
    </row>
    <row r="12" spans="1:6">
      <c r="A12" s="49">
        <v>1991.03</v>
      </c>
      <c r="B12" s="120">
        <v>105015628</v>
      </c>
      <c r="C12" s="929"/>
      <c r="D12" s="929"/>
      <c r="E12" s="938"/>
      <c r="F12" s="268"/>
    </row>
    <row r="13" spans="1:6">
      <c r="A13" s="49">
        <v>1991.04</v>
      </c>
      <c r="B13" s="120">
        <v>99343516</v>
      </c>
      <c r="C13" s="929"/>
      <c r="D13" s="929"/>
      <c r="E13" s="938"/>
      <c r="F13" s="268"/>
    </row>
    <row r="14" spans="1:6">
      <c r="A14" s="49">
        <v>1991.05</v>
      </c>
      <c r="B14" s="120">
        <v>100696627</v>
      </c>
      <c r="C14" s="929"/>
      <c r="D14" s="929"/>
      <c r="E14" s="938"/>
      <c r="F14" s="268"/>
    </row>
    <row r="15" spans="1:6">
      <c r="A15" s="49">
        <v>1991.06</v>
      </c>
      <c r="B15" s="120">
        <v>96864242</v>
      </c>
      <c r="C15" s="929"/>
      <c r="D15" s="929"/>
      <c r="E15" s="938"/>
      <c r="F15" s="268"/>
    </row>
    <row r="16" spans="1:6">
      <c r="A16" s="49">
        <v>1991.07</v>
      </c>
      <c r="B16" s="120">
        <v>112008590</v>
      </c>
      <c r="C16" s="929"/>
      <c r="D16" s="929"/>
      <c r="E16" s="938"/>
      <c r="F16" s="268"/>
    </row>
    <row r="17" spans="1:6">
      <c r="A17" s="49">
        <v>1991.08</v>
      </c>
      <c r="B17" s="120">
        <v>117656877</v>
      </c>
      <c r="C17" s="929"/>
      <c r="D17" s="929"/>
      <c r="E17" s="938"/>
      <c r="F17" s="268"/>
    </row>
    <row r="18" spans="1:6">
      <c r="A18" s="49">
        <v>1991.09</v>
      </c>
      <c r="B18" s="120">
        <v>122702739</v>
      </c>
      <c r="C18" s="929"/>
      <c r="D18" s="929"/>
      <c r="E18" s="938"/>
      <c r="F18" s="268"/>
    </row>
    <row r="19" spans="1:6">
      <c r="A19" s="49">
        <v>1991.1</v>
      </c>
      <c r="B19" s="120">
        <v>141539355</v>
      </c>
      <c r="C19" s="929"/>
      <c r="D19" s="929"/>
      <c r="E19" s="938"/>
      <c r="F19" s="268"/>
    </row>
    <row r="20" spans="1:6">
      <c r="A20" s="49">
        <v>1991.11</v>
      </c>
      <c r="B20" s="120">
        <v>141261703</v>
      </c>
      <c r="C20" s="929"/>
      <c r="D20" s="929"/>
      <c r="E20" s="938"/>
      <c r="F20" s="268"/>
    </row>
    <row r="21" spans="1:6">
      <c r="A21" s="49">
        <v>1991.12</v>
      </c>
      <c r="B21" s="120">
        <v>139349960</v>
      </c>
      <c r="C21" s="929"/>
      <c r="D21" s="929"/>
      <c r="E21" s="938"/>
      <c r="F21" s="268"/>
    </row>
    <row r="22" spans="1:6">
      <c r="A22" s="49">
        <v>1992.01</v>
      </c>
      <c r="B22" s="120">
        <v>131027567</v>
      </c>
      <c r="C22" s="929"/>
      <c r="D22" s="929"/>
      <c r="E22" s="938"/>
      <c r="F22" s="268"/>
    </row>
    <row r="23" spans="1:6">
      <c r="A23" s="49">
        <v>1992.02</v>
      </c>
      <c r="B23" s="120">
        <v>112415384</v>
      </c>
      <c r="C23" s="929"/>
      <c r="D23" s="929"/>
      <c r="E23" s="938"/>
      <c r="F23" s="268"/>
    </row>
    <row r="24" spans="1:6">
      <c r="A24" s="49">
        <v>1992.03</v>
      </c>
      <c r="B24" s="120">
        <v>107799234</v>
      </c>
      <c r="C24" s="929"/>
      <c r="D24" s="929"/>
      <c r="E24" s="938"/>
      <c r="F24" s="268"/>
    </row>
    <row r="25" spans="1:6">
      <c r="A25" s="49">
        <v>1992.04</v>
      </c>
      <c r="B25" s="120">
        <v>98644955</v>
      </c>
      <c r="C25" s="929"/>
      <c r="D25" s="929"/>
      <c r="E25" s="938"/>
      <c r="F25" s="268"/>
    </row>
    <row r="26" spans="1:6">
      <c r="A26" s="49">
        <v>1992.05</v>
      </c>
      <c r="B26" s="120">
        <v>102394433</v>
      </c>
      <c r="C26" s="929"/>
      <c r="D26" s="929"/>
      <c r="E26" s="938"/>
      <c r="F26" s="268"/>
    </row>
    <row r="27" spans="1:6">
      <c r="A27" s="49">
        <v>1992.06</v>
      </c>
      <c r="B27" s="120">
        <v>108394385</v>
      </c>
      <c r="C27" s="929"/>
      <c r="D27" s="929"/>
      <c r="E27" s="938"/>
      <c r="F27" s="268"/>
    </row>
    <row r="28" spans="1:6">
      <c r="A28" s="49">
        <v>1992.07</v>
      </c>
      <c r="B28" s="120">
        <v>119005241</v>
      </c>
      <c r="C28" s="929"/>
      <c r="D28" s="929"/>
      <c r="E28" s="938"/>
      <c r="F28" s="268"/>
    </row>
    <row r="29" spans="1:6">
      <c r="A29" s="49">
        <v>1992.08</v>
      </c>
      <c r="B29" s="120">
        <v>122338331</v>
      </c>
      <c r="C29" s="929"/>
      <c r="D29" s="929"/>
      <c r="E29" s="938"/>
      <c r="F29" s="268"/>
    </row>
    <row r="30" spans="1:6">
      <c r="A30" s="49">
        <v>1992.09</v>
      </c>
      <c r="B30" s="120">
        <v>131262183</v>
      </c>
      <c r="C30" s="929"/>
      <c r="D30" s="929"/>
      <c r="E30" s="938"/>
      <c r="F30" s="268"/>
    </row>
    <row r="31" spans="1:6">
      <c r="A31" s="49">
        <v>1992.1</v>
      </c>
      <c r="B31" s="120">
        <v>154309183</v>
      </c>
      <c r="C31" s="929"/>
      <c r="D31" s="929"/>
      <c r="E31" s="938"/>
      <c r="F31" s="268"/>
    </row>
    <row r="32" spans="1:6">
      <c r="A32" s="49">
        <v>1992.11</v>
      </c>
      <c r="B32" s="120">
        <v>153920132</v>
      </c>
      <c r="C32" s="929"/>
      <c r="D32" s="929"/>
      <c r="E32" s="938"/>
      <c r="F32" s="268"/>
    </row>
    <row r="33" spans="1:6">
      <c r="A33" s="49">
        <v>1992.12</v>
      </c>
      <c r="B33" s="120">
        <v>153561364</v>
      </c>
      <c r="C33" s="929"/>
      <c r="D33" s="929"/>
      <c r="E33" s="938"/>
      <c r="F33" s="268"/>
    </row>
    <row r="34" spans="1:6">
      <c r="A34" s="49">
        <v>1993.01</v>
      </c>
      <c r="B34" s="120">
        <v>131383178</v>
      </c>
      <c r="C34" s="929"/>
      <c r="D34" s="929"/>
      <c r="E34" s="938"/>
      <c r="F34" s="268"/>
    </row>
    <row r="35" spans="1:6">
      <c r="A35" s="49">
        <v>1993.02</v>
      </c>
      <c r="B35" s="120">
        <v>118816277</v>
      </c>
      <c r="C35" s="929"/>
      <c r="D35" s="929"/>
      <c r="E35" s="938"/>
      <c r="F35" s="268"/>
    </row>
    <row r="36" spans="1:6">
      <c r="A36" s="49">
        <v>1993.03</v>
      </c>
      <c r="B36" s="120">
        <v>116251172</v>
      </c>
      <c r="C36" s="929"/>
      <c r="D36" s="929"/>
      <c r="E36" s="938"/>
      <c r="F36" s="268"/>
    </row>
    <row r="37" spans="1:6">
      <c r="A37" s="49">
        <v>1993.04</v>
      </c>
      <c r="B37" s="120">
        <v>109624355</v>
      </c>
      <c r="C37" s="929"/>
      <c r="D37" s="929"/>
      <c r="E37" s="938"/>
      <c r="F37" s="268"/>
    </row>
    <row r="38" spans="1:6">
      <c r="A38" s="49">
        <v>1993.05</v>
      </c>
      <c r="B38" s="120">
        <v>115191255</v>
      </c>
      <c r="C38" s="929"/>
      <c r="D38" s="929"/>
      <c r="E38" s="938"/>
      <c r="F38" s="268"/>
    </row>
    <row r="39" spans="1:6">
      <c r="A39" s="49">
        <v>1993.06</v>
      </c>
      <c r="B39" s="120">
        <v>117679189</v>
      </c>
      <c r="C39" s="929"/>
      <c r="D39" s="929"/>
      <c r="E39" s="938"/>
      <c r="F39" s="268"/>
    </row>
    <row r="40" spans="1:6">
      <c r="A40" s="49">
        <v>1993.07</v>
      </c>
      <c r="B40" s="120">
        <v>128152942</v>
      </c>
      <c r="C40" s="929"/>
      <c r="D40" s="929"/>
      <c r="E40" s="938"/>
      <c r="F40" s="268"/>
    </row>
    <row r="41" spans="1:6">
      <c r="A41" s="49">
        <v>1993.08</v>
      </c>
      <c r="B41" s="120">
        <v>132739100</v>
      </c>
      <c r="C41" s="929"/>
      <c r="D41" s="929"/>
      <c r="E41" s="938"/>
      <c r="F41" s="268"/>
    </row>
    <row r="42" spans="1:6">
      <c r="A42" s="49">
        <v>1993.09</v>
      </c>
      <c r="B42" s="120">
        <v>137813132</v>
      </c>
      <c r="C42" s="929"/>
      <c r="D42" s="929"/>
      <c r="E42" s="938"/>
      <c r="F42" s="268"/>
    </row>
    <row r="43" spans="1:6">
      <c r="A43" s="49">
        <v>1993.1</v>
      </c>
      <c r="B43" s="120">
        <v>148619046</v>
      </c>
      <c r="C43" s="929"/>
      <c r="D43" s="929"/>
      <c r="E43" s="938"/>
      <c r="F43" s="268"/>
    </row>
    <row r="44" spans="1:6">
      <c r="A44" s="49">
        <v>1993.11</v>
      </c>
      <c r="B44" s="120">
        <v>147923346</v>
      </c>
      <c r="C44" s="929"/>
      <c r="D44" s="929"/>
      <c r="E44" s="938"/>
      <c r="F44" s="268"/>
    </row>
    <row r="45" spans="1:6">
      <c r="A45" s="49">
        <v>1993.12</v>
      </c>
      <c r="B45" s="120">
        <v>153727914</v>
      </c>
      <c r="C45" s="929"/>
      <c r="D45" s="929"/>
      <c r="E45" s="938"/>
      <c r="F45" s="268"/>
    </row>
    <row r="46" spans="1:6">
      <c r="A46" s="49">
        <v>1994.01</v>
      </c>
      <c r="B46" s="120">
        <v>151521451</v>
      </c>
      <c r="C46" s="929"/>
      <c r="D46" s="929"/>
      <c r="E46" s="938"/>
      <c r="F46" s="268"/>
    </row>
    <row r="47" spans="1:6">
      <c r="A47" s="49">
        <v>1994.02</v>
      </c>
      <c r="B47" s="120">
        <v>129500344</v>
      </c>
      <c r="C47" s="929"/>
      <c r="D47" s="929"/>
      <c r="E47" s="938"/>
      <c r="F47" s="268"/>
    </row>
    <row r="48" spans="1:6">
      <c r="A48" s="49">
        <v>1994.03</v>
      </c>
      <c r="B48" s="120">
        <v>130473173</v>
      </c>
      <c r="C48" s="929"/>
      <c r="D48" s="929"/>
      <c r="E48" s="938"/>
      <c r="F48" s="268"/>
    </row>
    <row r="49" spans="1:6">
      <c r="A49" s="49">
        <v>1994.04</v>
      </c>
      <c r="B49" s="120">
        <v>124023923</v>
      </c>
      <c r="C49" s="929"/>
      <c r="D49" s="929"/>
      <c r="E49" s="938"/>
      <c r="F49" s="268"/>
    </row>
    <row r="50" spans="1:6">
      <c r="A50" s="49">
        <v>1994.05</v>
      </c>
      <c r="B50" s="120">
        <v>135229265</v>
      </c>
      <c r="C50" s="929"/>
      <c r="D50" s="929"/>
      <c r="E50" s="938"/>
      <c r="F50" s="268"/>
    </row>
    <row r="51" spans="1:6">
      <c r="A51" s="49">
        <v>1994.06</v>
      </c>
      <c r="B51" s="120">
        <v>137742463</v>
      </c>
      <c r="C51" s="929"/>
      <c r="D51" s="929"/>
      <c r="E51" s="938"/>
      <c r="F51" s="268"/>
    </row>
    <row r="52" spans="1:6">
      <c r="A52" s="49">
        <v>1994.07</v>
      </c>
      <c r="B52" s="120">
        <v>142824446</v>
      </c>
      <c r="C52" s="929"/>
      <c r="D52" s="929"/>
      <c r="E52" s="938"/>
      <c r="F52" s="268"/>
    </row>
    <row r="53" spans="1:6">
      <c r="A53" s="49">
        <v>1994.08</v>
      </c>
      <c r="B53" s="120">
        <v>151176958</v>
      </c>
      <c r="C53" s="929"/>
      <c r="D53" s="929"/>
      <c r="E53" s="938"/>
      <c r="F53" s="268"/>
    </row>
    <row r="54" spans="1:6">
      <c r="A54" s="49">
        <v>1994.09</v>
      </c>
      <c r="B54" s="120">
        <v>154010998</v>
      </c>
      <c r="C54" s="929"/>
      <c r="D54" s="929"/>
      <c r="E54" s="938"/>
      <c r="F54" s="268"/>
    </row>
    <row r="55" spans="1:6">
      <c r="A55" s="49">
        <v>1994.1</v>
      </c>
      <c r="B55" s="120">
        <v>165808423</v>
      </c>
      <c r="C55" s="929"/>
      <c r="D55" s="929"/>
      <c r="E55" s="938"/>
      <c r="F55" s="268"/>
    </row>
    <row r="56" spans="1:6">
      <c r="A56" s="49">
        <v>1994.11</v>
      </c>
      <c r="B56" s="120">
        <v>168944455</v>
      </c>
      <c r="C56" s="929"/>
      <c r="D56" s="929"/>
      <c r="E56" s="938"/>
      <c r="F56" s="268"/>
    </row>
    <row r="57" spans="1:6">
      <c r="A57" s="49">
        <v>1994.12</v>
      </c>
      <c r="B57" s="120">
        <v>173188513</v>
      </c>
      <c r="C57" s="929"/>
      <c r="D57" s="929"/>
      <c r="E57" s="938"/>
      <c r="F57" s="268"/>
    </row>
    <row r="58" spans="1:6">
      <c r="A58" s="49">
        <v>1995.01</v>
      </c>
      <c r="B58" s="120">
        <v>171811607</v>
      </c>
      <c r="C58" s="929"/>
      <c r="D58" s="929"/>
      <c r="E58" s="938"/>
      <c r="F58" s="819">
        <v>1750</v>
      </c>
    </row>
    <row r="59" spans="1:6">
      <c r="A59" s="49">
        <v>1995.02</v>
      </c>
      <c r="B59" s="120">
        <v>148235585</v>
      </c>
      <c r="C59" s="929"/>
      <c r="D59" s="929"/>
      <c r="E59" s="938"/>
      <c r="F59" s="935">
        <v>1925</v>
      </c>
    </row>
    <row r="60" spans="1:6">
      <c r="A60" s="49">
        <v>1995.03</v>
      </c>
      <c r="B60" s="120">
        <v>157395538</v>
      </c>
      <c r="C60" s="929"/>
      <c r="D60" s="929"/>
      <c r="E60" s="938"/>
      <c r="F60" s="935">
        <v>2050</v>
      </c>
    </row>
    <row r="61" spans="1:6">
      <c r="A61" s="49">
        <v>1995.04</v>
      </c>
      <c r="B61" s="50">
        <v>152699648</v>
      </c>
      <c r="C61" s="930"/>
      <c r="D61" s="930"/>
      <c r="E61" s="939"/>
      <c r="F61" s="935">
        <v>2200</v>
      </c>
    </row>
    <row r="62" spans="1:6">
      <c r="A62" s="49">
        <v>1995.05</v>
      </c>
      <c r="B62" s="50">
        <v>164324764</v>
      </c>
      <c r="C62" s="930"/>
      <c r="D62" s="930"/>
      <c r="E62" s="939"/>
      <c r="F62" s="935">
        <v>2175</v>
      </c>
    </row>
    <row r="63" spans="1:6">
      <c r="A63" s="49">
        <v>1995.06</v>
      </c>
      <c r="B63" s="50">
        <v>171092648</v>
      </c>
      <c r="C63" s="930"/>
      <c r="D63" s="930"/>
      <c r="E63" s="939"/>
      <c r="F63" s="935">
        <v>2200</v>
      </c>
    </row>
    <row r="64" spans="1:6">
      <c r="A64" s="49">
        <v>1995.07</v>
      </c>
      <c r="B64" s="50">
        <v>169254307</v>
      </c>
      <c r="C64" s="930"/>
      <c r="D64" s="930"/>
      <c r="E64" s="939"/>
      <c r="F64" s="935">
        <v>2275</v>
      </c>
    </row>
    <row r="65" spans="1:6">
      <c r="A65" s="49">
        <v>1995.08</v>
      </c>
      <c r="B65" s="50">
        <v>164524904</v>
      </c>
      <c r="C65" s="930"/>
      <c r="D65" s="930"/>
      <c r="E65" s="939"/>
      <c r="F65" s="935">
        <v>2300</v>
      </c>
    </row>
    <row r="66" spans="1:6">
      <c r="A66" s="49">
        <v>1995.09</v>
      </c>
      <c r="B66" s="50">
        <v>166172751</v>
      </c>
      <c r="C66" s="930"/>
      <c r="D66" s="930"/>
      <c r="E66" s="939"/>
      <c r="F66" s="935">
        <v>2300</v>
      </c>
    </row>
    <row r="67" spans="1:6">
      <c r="A67" s="49">
        <v>1995.1</v>
      </c>
      <c r="B67" s="50">
        <v>170586886</v>
      </c>
      <c r="C67" s="930"/>
      <c r="D67" s="930"/>
      <c r="E67" s="939"/>
      <c r="F67" s="935">
        <v>2275</v>
      </c>
    </row>
    <row r="68" spans="1:6">
      <c r="A68" s="49">
        <v>1995.11</v>
      </c>
      <c r="B68" s="50">
        <v>180806332</v>
      </c>
      <c r="C68" s="930"/>
      <c r="D68" s="930"/>
      <c r="E68" s="939"/>
      <c r="F68" s="935">
        <v>2275</v>
      </c>
    </row>
    <row r="69" spans="1:6">
      <c r="A69" s="49">
        <v>1995.12</v>
      </c>
      <c r="B69" s="50">
        <v>182930636</v>
      </c>
      <c r="C69" s="930"/>
      <c r="D69" s="930"/>
      <c r="E69" s="939"/>
      <c r="F69" s="935">
        <v>2200</v>
      </c>
    </row>
    <row r="70" spans="1:6">
      <c r="A70" s="49">
        <v>1996.01</v>
      </c>
      <c r="B70" s="50">
        <v>176466230</v>
      </c>
      <c r="C70" s="930"/>
      <c r="D70" s="930"/>
      <c r="E70" s="939"/>
      <c r="F70" s="935">
        <v>2225</v>
      </c>
    </row>
    <row r="71" spans="1:6">
      <c r="A71" s="49">
        <v>1996.02</v>
      </c>
      <c r="B71" s="50">
        <v>157305371</v>
      </c>
      <c r="C71" s="930"/>
      <c r="D71" s="930"/>
      <c r="E71" s="939"/>
      <c r="F71" s="935">
        <v>2125</v>
      </c>
    </row>
    <row r="72" spans="1:6">
      <c r="A72" s="49">
        <v>1996.03</v>
      </c>
      <c r="B72" s="50">
        <v>158439722</v>
      </c>
      <c r="C72" s="930"/>
      <c r="D72" s="930"/>
      <c r="E72" s="939"/>
      <c r="F72" s="935">
        <v>1900</v>
      </c>
    </row>
    <row r="73" spans="1:6">
      <c r="A73" s="49">
        <v>1996.04</v>
      </c>
      <c r="B73" s="50">
        <v>145673509</v>
      </c>
      <c r="C73" s="930"/>
      <c r="D73" s="930"/>
      <c r="E73" s="939"/>
      <c r="F73" s="935">
        <v>1925</v>
      </c>
    </row>
    <row r="74" spans="1:6">
      <c r="A74" s="49">
        <v>1996.05</v>
      </c>
      <c r="B74" s="50">
        <v>155479654</v>
      </c>
      <c r="C74" s="930"/>
      <c r="D74" s="930"/>
      <c r="E74" s="939"/>
      <c r="F74" s="935">
        <v>1900</v>
      </c>
    </row>
    <row r="75" spans="1:6">
      <c r="A75" s="49">
        <v>1996.06</v>
      </c>
      <c r="B75" s="120">
        <v>153233162</v>
      </c>
      <c r="C75" s="929"/>
      <c r="D75" s="929"/>
      <c r="E75" s="938"/>
      <c r="F75" s="935">
        <v>1862.5</v>
      </c>
    </row>
    <row r="76" spans="1:6">
      <c r="A76" s="49">
        <v>1996.07</v>
      </c>
      <c r="B76" s="120">
        <v>161258391</v>
      </c>
      <c r="C76" s="929"/>
      <c r="D76" s="929"/>
      <c r="E76" s="938"/>
      <c r="F76" s="935">
        <v>1850</v>
      </c>
    </row>
    <row r="77" spans="1:6">
      <c r="A77" s="49">
        <v>1996.08</v>
      </c>
      <c r="B77" s="120">
        <v>166487994</v>
      </c>
      <c r="C77" s="931">
        <v>0.18720000000000001</v>
      </c>
      <c r="D77" s="2773">
        <f>C77/'8.1'!B65</f>
        <v>1.4737437758837579E-2</v>
      </c>
      <c r="E77" s="938"/>
      <c r="F77" s="935">
        <v>1850</v>
      </c>
    </row>
    <row r="78" spans="1:6">
      <c r="A78" s="49">
        <v>1996.09</v>
      </c>
      <c r="B78" s="120">
        <v>166621116</v>
      </c>
      <c r="C78" s="932">
        <v>0.18149999999999999</v>
      </c>
      <c r="D78" s="2772">
        <f>C78/'8.1'!B66</f>
        <v>1.4248204113302024E-2</v>
      </c>
      <c r="E78" s="938"/>
      <c r="F78" s="935">
        <v>1850</v>
      </c>
    </row>
    <row r="79" spans="1:6">
      <c r="A79" s="49">
        <v>1996.1</v>
      </c>
      <c r="B79" s="120">
        <v>180728308</v>
      </c>
      <c r="C79" s="932">
        <v>0.17749999999999999</v>
      </c>
      <c r="D79" s="2772">
        <f>C79/'8.1'!B67</f>
        <v>1.3941206737033172E-2</v>
      </c>
      <c r="E79" s="938"/>
      <c r="F79" s="935">
        <v>1850</v>
      </c>
    </row>
    <row r="80" spans="1:6">
      <c r="A80" s="49">
        <v>1996.11</v>
      </c>
      <c r="B80" s="120">
        <v>182331563</v>
      </c>
      <c r="C80" s="932">
        <v>0.17119999999999999</v>
      </c>
      <c r="D80" s="2772">
        <f>C80/'8.1'!B68</f>
        <v>1.3488694518831161E-2</v>
      </c>
      <c r="E80" s="938"/>
      <c r="F80" s="935">
        <v>1850</v>
      </c>
    </row>
    <row r="81" spans="1:6">
      <c r="A81" s="49">
        <v>1996.12</v>
      </c>
      <c r="B81" s="120">
        <v>187514982</v>
      </c>
      <c r="C81" s="932">
        <v>0.17119999999999999</v>
      </c>
      <c r="D81" s="2772">
        <f>C81/'8.1'!B69</f>
        <v>1.3608133030357433E-2</v>
      </c>
      <c r="E81" s="938"/>
      <c r="F81" s="935">
        <v>1890</v>
      </c>
    </row>
    <row r="82" spans="1:6">
      <c r="A82" s="49">
        <v>1997.01</v>
      </c>
      <c r="B82" s="120">
        <v>172310618</v>
      </c>
      <c r="C82" s="932">
        <v>0.17199999999999999</v>
      </c>
      <c r="D82" s="2772">
        <f>C82/'8.1'!B70</f>
        <v>1.3863609573889438E-2</v>
      </c>
      <c r="E82" s="938"/>
      <c r="F82" s="935">
        <v>1875</v>
      </c>
    </row>
    <row r="83" spans="1:6">
      <c r="A83" s="49">
        <v>1997.02</v>
      </c>
      <c r="B83" s="120">
        <v>155960884</v>
      </c>
      <c r="C83" s="932">
        <v>0.17899999999999999</v>
      </c>
      <c r="D83" s="2772">
        <f>C83/'8.1'!B71</f>
        <v>1.4583989672435134E-2</v>
      </c>
      <c r="E83" s="938"/>
      <c r="F83" s="935">
        <v>1975</v>
      </c>
    </row>
    <row r="84" spans="1:6">
      <c r="A84" s="49">
        <v>1997.03</v>
      </c>
      <c r="B84" s="120">
        <v>166632426</v>
      </c>
      <c r="C84" s="932">
        <v>0.187</v>
      </c>
      <c r="D84" s="2772">
        <f>C84/'8.1'!B72</f>
        <v>1.5406769114971125E-2</v>
      </c>
      <c r="E84" s="938"/>
      <c r="F84" s="935">
        <v>1840</v>
      </c>
    </row>
    <row r="85" spans="1:6">
      <c r="A85" s="49">
        <v>1997.04</v>
      </c>
      <c r="B85" s="120">
        <v>154689738</v>
      </c>
      <c r="C85" s="932">
        <v>0.1943</v>
      </c>
      <c r="D85" s="2772">
        <f>C85/'8.1'!B73</f>
        <v>1.5987242290079241E-2</v>
      </c>
      <c r="E85" s="938"/>
      <c r="F85" s="935">
        <v>1825</v>
      </c>
    </row>
    <row r="86" spans="1:6">
      <c r="A86" s="49">
        <v>1997.05</v>
      </c>
      <c r="B86" s="120">
        <v>160346453</v>
      </c>
      <c r="C86" s="932">
        <v>0.17699999999999999</v>
      </c>
      <c r="D86" s="2772">
        <f>C86/'8.1'!B74</f>
        <v>1.4604810187483372E-2</v>
      </c>
      <c r="E86" s="938"/>
      <c r="F86" s="935">
        <v>1775</v>
      </c>
    </row>
    <row r="87" spans="1:6">
      <c r="A87" s="49">
        <v>1997.06</v>
      </c>
      <c r="B87" s="120">
        <v>157048276</v>
      </c>
      <c r="C87" s="932">
        <v>0.17899999999999999</v>
      </c>
      <c r="D87" s="2772">
        <f>C87/'8.1'!B75</f>
        <v>1.491479122781594E-2</v>
      </c>
      <c r="E87" s="938"/>
      <c r="F87" s="935">
        <v>1725</v>
      </c>
    </row>
    <row r="88" spans="1:6">
      <c r="A88" s="49">
        <v>1997.07</v>
      </c>
      <c r="B88" s="120">
        <v>176382146</v>
      </c>
      <c r="C88" s="932">
        <v>0.19900000000000001</v>
      </c>
      <c r="D88" s="2772">
        <f>C88/'8.1'!B76</f>
        <v>1.6499965802085736E-2</v>
      </c>
      <c r="E88" s="938"/>
      <c r="F88" s="935">
        <v>1762.5</v>
      </c>
    </row>
    <row r="89" spans="1:6">
      <c r="A89" s="49">
        <v>1997.08</v>
      </c>
      <c r="B89" s="120">
        <v>192730926</v>
      </c>
      <c r="C89" s="932">
        <v>0.19500000000000001</v>
      </c>
      <c r="D89" s="2772">
        <f>C89/'8.1'!B77</f>
        <v>1.6110668604419408E-2</v>
      </c>
      <c r="E89" s="938"/>
      <c r="F89" s="935">
        <v>1675</v>
      </c>
    </row>
    <row r="90" spans="1:6">
      <c r="A90" s="49">
        <v>1997.09</v>
      </c>
      <c r="B90" s="120">
        <v>191083435</v>
      </c>
      <c r="C90" s="932">
        <v>0.17949999999999999</v>
      </c>
      <c r="D90" s="2772">
        <f>C90/'8.1'!B78</f>
        <v>1.4847481717996255E-2</v>
      </c>
      <c r="E90" s="938"/>
      <c r="F90" s="935">
        <v>1725</v>
      </c>
    </row>
    <row r="91" spans="1:6">
      <c r="A91" s="49">
        <v>1997.1</v>
      </c>
      <c r="B91" s="120">
        <v>195818606</v>
      </c>
      <c r="C91" s="932">
        <v>0.17199999999999999</v>
      </c>
      <c r="D91" s="2772">
        <f>C91/'8.1'!B79</f>
        <v>1.4429860163466018E-2</v>
      </c>
      <c r="E91" s="938"/>
      <c r="F91" s="935">
        <v>1750</v>
      </c>
    </row>
    <row r="92" spans="1:6">
      <c r="A92" s="49">
        <v>1997.11</v>
      </c>
      <c r="B92" s="120">
        <v>185246533</v>
      </c>
      <c r="C92" s="932">
        <v>0.16500000000000001</v>
      </c>
      <c r="D92" s="2772">
        <f>C92/'8.1'!B80</f>
        <v>1.3900327654775625E-2</v>
      </c>
      <c r="E92" s="938"/>
      <c r="F92" s="935">
        <v>1787.5</v>
      </c>
    </row>
    <row r="93" spans="1:6">
      <c r="A93" s="49">
        <v>1997.12</v>
      </c>
      <c r="B93" s="120">
        <v>182562546</v>
      </c>
      <c r="C93" s="932">
        <v>0.17</v>
      </c>
      <c r="D93" s="2772">
        <f>C93/'8.1'!B81</f>
        <v>1.4455027414998848E-2</v>
      </c>
      <c r="E93" s="938"/>
      <c r="F93" s="935">
        <v>1775</v>
      </c>
    </row>
    <row r="94" spans="1:6">
      <c r="A94" s="49">
        <v>1998.01</v>
      </c>
      <c r="B94" s="120">
        <v>177190748</v>
      </c>
      <c r="C94" s="932">
        <v>0.17</v>
      </c>
      <c r="D94" s="2772">
        <f>C94/'8.1'!B82</f>
        <v>1.4432212361899486E-2</v>
      </c>
      <c r="E94" s="938"/>
      <c r="F94" s="935">
        <v>1800</v>
      </c>
    </row>
    <row r="95" spans="1:6">
      <c r="A95" s="49">
        <v>1998.02</v>
      </c>
      <c r="B95" s="120">
        <v>152698690</v>
      </c>
      <c r="C95" s="932">
        <v>0.17499999999999999</v>
      </c>
      <c r="D95" s="2772">
        <f>C95/'8.1'!B83</f>
        <v>1.4891929551427912E-2</v>
      </c>
      <c r="E95" s="938"/>
      <c r="F95" s="935">
        <v>1762.5</v>
      </c>
    </row>
    <row r="96" spans="1:6">
      <c r="A96" s="49">
        <v>1998.03</v>
      </c>
      <c r="B96" s="120">
        <v>153794690</v>
      </c>
      <c r="C96" s="932">
        <v>0.18</v>
      </c>
      <c r="D96" s="2772">
        <f>C96/'8.1'!B84</f>
        <v>1.5384984774273495E-2</v>
      </c>
      <c r="E96" s="938"/>
      <c r="F96" s="935">
        <v>1650</v>
      </c>
    </row>
    <row r="97" spans="1:6">
      <c r="A97" s="49">
        <v>1998.04</v>
      </c>
      <c r="B97" s="120">
        <v>143463497</v>
      </c>
      <c r="C97" s="932">
        <v>0.184</v>
      </c>
      <c r="D97" s="2772">
        <f>C97/'8.1'!B85</f>
        <v>1.5761637217287128E-2</v>
      </c>
      <c r="E97" s="938"/>
      <c r="F97" s="935">
        <v>1725</v>
      </c>
    </row>
    <row r="98" spans="1:6">
      <c r="A98" s="49">
        <v>1998.05</v>
      </c>
      <c r="B98" s="120">
        <v>149879095</v>
      </c>
      <c r="C98" s="932">
        <v>0.19600000000000001</v>
      </c>
      <c r="D98" s="2772">
        <f>C98/'8.1'!B86</f>
        <v>1.6782695327137255E-2</v>
      </c>
      <c r="E98" s="938"/>
      <c r="F98" s="935">
        <v>1725</v>
      </c>
    </row>
    <row r="99" spans="1:6">
      <c r="A99" s="49">
        <v>1998.06</v>
      </c>
      <c r="B99" s="120">
        <v>156888191</v>
      </c>
      <c r="C99" s="932">
        <v>0.188</v>
      </c>
      <c r="D99" s="2772">
        <f>C99/'8.1'!B87</f>
        <v>1.6096799322414364E-2</v>
      </c>
      <c r="E99" s="938"/>
      <c r="F99" s="935">
        <v>1725</v>
      </c>
    </row>
    <row r="100" spans="1:6">
      <c r="A100" s="49">
        <v>1998.07</v>
      </c>
      <c r="B100" s="120">
        <v>175856559</v>
      </c>
      <c r="C100" s="932">
        <v>0.188</v>
      </c>
      <c r="D100" s="2772">
        <f>C100/'8.1'!B88</f>
        <v>1.6160526394518097E-2</v>
      </c>
      <c r="E100" s="938"/>
      <c r="F100" s="935">
        <v>1725</v>
      </c>
    </row>
    <row r="101" spans="1:6">
      <c r="A101" s="49">
        <v>1998.08</v>
      </c>
      <c r="B101" s="120">
        <v>191930119</v>
      </c>
      <c r="C101" s="932">
        <v>0.184</v>
      </c>
      <c r="D101" s="2772">
        <f>C101/'8.1'!B89</f>
        <v>1.5921252324950879E-2</v>
      </c>
      <c r="E101" s="938"/>
      <c r="F101" s="935">
        <v>1725</v>
      </c>
    </row>
    <row r="102" spans="1:6">
      <c r="A102" s="49">
        <v>1998.09</v>
      </c>
      <c r="B102" s="120">
        <v>198827892</v>
      </c>
      <c r="C102" s="932">
        <v>0.17299999999999999</v>
      </c>
      <c r="D102" s="2772">
        <f>C102/'8.1'!B90</f>
        <v>1.5010085972104795E-2</v>
      </c>
      <c r="E102" s="938"/>
      <c r="F102" s="935">
        <v>1675</v>
      </c>
    </row>
    <row r="103" spans="1:6">
      <c r="A103" s="49">
        <v>1998.1</v>
      </c>
      <c r="B103" s="120">
        <v>208468167</v>
      </c>
      <c r="C103" s="932">
        <v>0.17100000000000001</v>
      </c>
      <c r="D103" s="2772">
        <f>C103/'8.1'!B91</f>
        <v>1.4858837649540671E-2</v>
      </c>
      <c r="E103" s="938"/>
      <c r="F103" s="935">
        <v>1640</v>
      </c>
    </row>
    <row r="104" spans="1:6">
      <c r="A104" s="49">
        <v>1998.11</v>
      </c>
      <c r="B104" s="120">
        <v>205005580</v>
      </c>
      <c r="C104" s="932">
        <v>0.16600000000000001</v>
      </c>
      <c r="D104" s="2772">
        <f>C104/'8.1'!B92</f>
        <v>1.4388791240714908E-2</v>
      </c>
      <c r="E104" s="938"/>
      <c r="F104" s="935">
        <v>1625</v>
      </c>
    </row>
    <row r="105" spans="1:6">
      <c r="A105" s="49">
        <v>1998.12</v>
      </c>
      <c r="B105" s="120">
        <v>214900701</v>
      </c>
      <c r="C105" s="932">
        <v>0.16200000000000001</v>
      </c>
      <c r="D105" s="2772">
        <f>C105/'8.1'!B93</f>
        <v>1.4118548409423443E-2</v>
      </c>
      <c r="E105" s="938"/>
      <c r="F105" s="935">
        <v>1625</v>
      </c>
    </row>
    <row r="106" spans="1:6">
      <c r="A106" s="49">
        <v>1999.01</v>
      </c>
      <c r="B106" s="120">
        <v>217527053</v>
      </c>
      <c r="C106" s="932">
        <v>0.16</v>
      </c>
      <c r="D106" s="2772">
        <f>C106/'8.1'!B94</f>
        <v>1.4098569384113585E-2</v>
      </c>
      <c r="E106" s="938"/>
      <c r="F106" s="935">
        <v>1650</v>
      </c>
    </row>
    <row r="107" spans="1:6">
      <c r="A107" s="49">
        <v>1999.02</v>
      </c>
      <c r="B107" s="120">
        <v>178214918</v>
      </c>
      <c r="C107" s="932">
        <v>0.15</v>
      </c>
      <c r="D107" s="2772">
        <f>C107/'8.1'!B95</f>
        <v>1.3330867453053299E-2</v>
      </c>
      <c r="E107" s="938"/>
      <c r="F107" s="935">
        <v>1600</v>
      </c>
    </row>
    <row r="108" spans="1:6">
      <c r="A108" s="49">
        <v>1999.03</v>
      </c>
      <c r="B108" s="120">
        <v>177123454</v>
      </c>
      <c r="C108" s="932">
        <v>0.14699999999999999</v>
      </c>
      <c r="D108" s="2772">
        <f>C108/'8.1'!B96</f>
        <v>1.3119926202255525E-2</v>
      </c>
      <c r="E108" s="938"/>
      <c r="F108" s="935">
        <v>1550</v>
      </c>
    </row>
    <row r="109" spans="1:6">
      <c r="A109" s="49">
        <v>1999.04</v>
      </c>
      <c r="B109" s="120">
        <v>161992517</v>
      </c>
      <c r="C109" s="932">
        <v>0.15</v>
      </c>
      <c r="D109" s="2772">
        <f>C109/'8.1'!B97</f>
        <v>1.3343464905292403E-2</v>
      </c>
      <c r="E109" s="938"/>
      <c r="F109" s="935">
        <v>1525</v>
      </c>
    </row>
    <row r="110" spans="1:6">
      <c r="A110" s="49">
        <v>1999.05</v>
      </c>
      <c r="B110" s="120">
        <v>172727779</v>
      </c>
      <c r="C110" s="932">
        <v>0.15</v>
      </c>
      <c r="D110" s="2772">
        <f>C110/'8.1'!B98</f>
        <v>1.3404412023358247E-2</v>
      </c>
      <c r="E110" s="938"/>
      <c r="F110" s="935">
        <v>1450</v>
      </c>
    </row>
    <row r="111" spans="1:6">
      <c r="A111" s="49">
        <v>1999.06</v>
      </c>
      <c r="B111" s="120">
        <v>176481344</v>
      </c>
      <c r="C111" s="932">
        <v>0.15</v>
      </c>
      <c r="D111" s="2772">
        <f>C111/'8.1'!B99</f>
        <v>1.3473013029588407E-2</v>
      </c>
      <c r="E111" s="938"/>
      <c r="F111" s="935">
        <v>1450</v>
      </c>
    </row>
    <row r="112" spans="1:6">
      <c r="A112" s="49">
        <v>1999.07</v>
      </c>
      <c r="B112" s="120">
        <v>184806339</v>
      </c>
      <c r="C112" s="932">
        <v>0.15</v>
      </c>
      <c r="D112" s="2772">
        <f>C112/'8.1'!B100</f>
        <v>1.3471450970756761E-2</v>
      </c>
      <c r="E112" s="938"/>
      <c r="F112" s="935">
        <v>1450</v>
      </c>
    </row>
    <row r="113" spans="1:6">
      <c r="A113" s="49">
        <v>1999.08</v>
      </c>
      <c r="B113" s="120">
        <v>206463993</v>
      </c>
      <c r="C113" s="932">
        <v>0.14000000000000001</v>
      </c>
      <c r="D113" s="2772">
        <f>C113/'8.1'!B101</f>
        <v>1.2618802134399977E-2</v>
      </c>
      <c r="E113" s="938"/>
      <c r="F113" s="935">
        <v>1450</v>
      </c>
    </row>
    <row r="114" spans="1:6">
      <c r="A114" s="49">
        <v>1999.09</v>
      </c>
      <c r="B114" s="120">
        <v>205205498</v>
      </c>
      <c r="C114" s="932">
        <v>0.13</v>
      </c>
      <c r="D114" s="2772">
        <f>C114/'8.1'!B102</f>
        <v>1.1779479333233022E-2</v>
      </c>
      <c r="E114" s="938"/>
      <c r="F114" s="935">
        <v>1450</v>
      </c>
    </row>
    <row r="115" spans="1:6">
      <c r="A115" s="49">
        <v>1999.1</v>
      </c>
      <c r="B115" s="120">
        <v>213930951</v>
      </c>
      <c r="C115" s="932">
        <v>0.13</v>
      </c>
      <c r="D115" s="2772">
        <f>C115/'8.1'!B103</f>
        <v>1.1956250206064339E-2</v>
      </c>
      <c r="E115" s="938"/>
      <c r="F115" s="935">
        <v>1450</v>
      </c>
    </row>
    <row r="116" spans="1:6">
      <c r="A116" s="49">
        <v>1999.11</v>
      </c>
      <c r="B116" s="120">
        <v>203454132</v>
      </c>
      <c r="C116" s="932">
        <v>0.13</v>
      </c>
      <c r="D116" s="2772">
        <f>C116/'8.1'!B104</f>
        <v>1.1980616777611419E-2</v>
      </c>
      <c r="E116" s="938"/>
      <c r="F116" s="935">
        <v>1487.5</v>
      </c>
    </row>
    <row r="117" spans="1:6">
      <c r="A117" s="49">
        <v>1999.12</v>
      </c>
      <c r="B117" s="120">
        <v>202734084</v>
      </c>
      <c r="C117" s="932">
        <v>0.13</v>
      </c>
      <c r="D117" s="2772">
        <f>C117/'8.1'!B105</f>
        <v>1.2094061368133648E-2</v>
      </c>
      <c r="E117" s="938"/>
      <c r="F117" s="935">
        <v>1487.5</v>
      </c>
    </row>
    <row r="118" spans="1:6">
      <c r="A118" s="49">
        <v>2000.01</v>
      </c>
      <c r="B118" s="120">
        <v>189074253</v>
      </c>
      <c r="C118" s="932">
        <v>0.13</v>
      </c>
      <c r="D118" s="2772">
        <f>C118/'8.1'!B106</f>
        <v>1.2162795158281847E-2</v>
      </c>
      <c r="E118" s="938"/>
      <c r="F118" s="935">
        <v>1562.5</v>
      </c>
    </row>
    <row r="119" spans="1:6">
      <c r="A119" s="49">
        <v>2000.02</v>
      </c>
      <c r="B119" s="120">
        <v>172008152</v>
      </c>
      <c r="C119" s="932">
        <v>0.13</v>
      </c>
      <c r="D119" s="2772">
        <f>C119/'8.1'!B107</f>
        <v>1.2133747324447353E-2</v>
      </c>
      <c r="E119" s="938"/>
      <c r="F119" s="935">
        <v>1600</v>
      </c>
    </row>
    <row r="120" spans="1:6">
      <c r="A120" s="49">
        <v>2000.03</v>
      </c>
      <c r="B120" s="120">
        <v>170236977</v>
      </c>
      <c r="C120" s="932">
        <v>0.14000000000000001</v>
      </c>
      <c r="D120" s="2772">
        <f>C120/'8.1'!B108</f>
        <v>1.2916830894076803E-2</v>
      </c>
      <c r="E120" s="938"/>
      <c r="F120" s="935">
        <v>1600</v>
      </c>
    </row>
    <row r="121" spans="1:6">
      <c r="A121" s="49">
        <v>2000.04</v>
      </c>
      <c r="B121" s="120">
        <v>153980744</v>
      </c>
      <c r="C121" s="932">
        <v>0.14399999999999999</v>
      </c>
      <c r="D121" s="2772">
        <f>C121/'8.1'!B109</f>
        <v>1.3457329952545349E-2</v>
      </c>
      <c r="E121" s="938"/>
      <c r="F121" s="935">
        <v>1687.5</v>
      </c>
    </row>
    <row r="122" spans="1:6">
      <c r="A122" s="49">
        <v>2000.05</v>
      </c>
      <c r="B122" s="120">
        <v>158364551</v>
      </c>
      <c r="C122" s="932">
        <v>0.15</v>
      </c>
      <c r="D122" s="2772">
        <f>C122/'8.1'!B110</f>
        <v>1.4197960763263153E-2</v>
      </c>
      <c r="E122" s="938"/>
      <c r="F122" s="935">
        <v>1675</v>
      </c>
    </row>
    <row r="123" spans="1:6">
      <c r="A123" s="49">
        <v>2000.06</v>
      </c>
      <c r="B123" s="120">
        <v>163713513</v>
      </c>
      <c r="C123" s="932">
        <v>0.16</v>
      </c>
      <c r="D123" s="2772">
        <f>C123/'8.1'!B111</f>
        <v>1.5101042967278237E-2</v>
      </c>
      <c r="E123" s="938"/>
      <c r="F123" s="935">
        <v>1900</v>
      </c>
    </row>
    <row r="124" spans="1:6">
      <c r="A124" s="49">
        <v>2000.07</v>
      </c>
      <c r="B124" s="120">
        <v>172133805</v>
      </c>
      <c r="C124" s="932">
        <v>0.16</v>
      </c>
      <c r="D124" s="2772">
        <f>C124/'8.1'!B112</f>
        <v>1.520573446688763E-2</v>
      </c>
      <c r="E124" s="938"/>
      <c r="F124" s="935">
        <v>1900</v>
      </c>
    </row>
    <row r="125" spans="1:6">
      <c r="A125" s="49">
        <v>2000.08</v>
      </c>
      <c r="B125" s="120">
        <v>183847994</v>
      </c>
      <c r="C125" s="932">
        <v>0.156</v>
      </c>
      <c r="D125" s="2772">
        <f>C125/'8.1'!B113</f>
        <v>1.4787511018741567E-2</v>
      </c>
      <c r="E125" s="938"/>
      <c r="F125" s="935">
        <v>2010</v>
      </c>
    </row>
    <row r="126" spans="1:6">
      <c r="A126" s="49">
        <v>2000.09</v>
      </c>
      <c r="B126" s="120">
        <v>196074217</v>
      </c>
      <c r="C126" s="932">
        <v>0.153</v>
      </c>
      <c r="D126" s="2772">
        <f>C126/'8.1'!B114</f>
        <v>1.4526170880021604E-2</v>
      </c>
      <c r="E126" s="938"/>
      <c r="F126" s="935">
        <v>1975</v>
      </c>
    </row>
    <row r="127" spans="1:6">
      <c r="A127" s="49">
        <v>2000.1</v>
      </c>
      <c r="B127" s="120">
        <v>205000878</v>
      </c>
      <c r="C127" s="932">
        <v>0.14699999999999999</v>
      </c>
      <c r="D127" s="2772">
        <f>C127/'8.1'!B115</f>
        <v>1.3986505386926258E-2</v>
      </c>
      <c r="E127" s="938"/>
      <c r="F127" s="935">
        <v>2000</v>
      </c>
    </row>
    <row r="128" spans="1:6">
      <c r="A128" s="49">
        <v>2000.11</v>
      </c>
      <c r="B128" s="120">
        <v>193080735</v>
      </c>
      <c r="C128" s="932">
        <v>0.14399999999999999</v>
      </c>
      <c r="D128" s="2772">
        <f>C128/'8.1'!B116</f>
        <v>1.3804000037033184E-2</v>
      </c>
      <c r="E128" s="938"/>
      <c r="F128" s="935">
        <v>2050</v>
      </c>
    </row>
    <row r="129" spans="1:6">
      <c r="A129" s="49">
        <v>2000.12</v>
      </c>
      <c r="B129" s="120">
        <v>196370406</v>
      </c>
      <c r="C129" s="932">
        <v>0.14299999999999999</v>
      </c>
      <c r="D129" s="2772">
        <f>C129/'8.1'!B117</f>
        <v>1.3873898053591592E-2</v>
      </c>
      <c r="E129" s="938"/>
      <c r="F129" s="935">
        <v>2075</v>
      </c>
    </row>
    <row r="130" spans="1:6">
      <c r="A130" s="49">
        <v>2001.01</v>
      </c>
      <c r="B130" s="120">
        <v>185717550</v>
      </c>
      <c r="C130" s="932">
        <v>0.14499999999999999</v>
      </c>
      <c r="D130" s="2772">
        <f>C130/'8.1'!B118</f>
        <v>1.4135770390298501E-2</v>
      </c>
      <c r="E130" s="938"/>
      <c r="F130" s="935">
        <v>2075</v>
      </c>
    </row>
    <row r="131" spans="1:6">
      <c r="A131" s="49">
        <v>2001.02</v>
      </c>
      <c r="B131" s="120">
        <v>149053835</v>
      </c>
      <c r="C131" s="932">
        <v>0.14899999999999999</v>
      </c>
      <c r="D131" s="2772">
        <f>C131/'8.1'!B119</f>
        <v>1.4525081238638075E-2</v>
      </c>
      <c r="E131" s="938"/>
      <c r="F131" s="935">
        <v>2025</v>
      </c>
    </row>
    <row r="132" spans="1:6">
      <c r="A132" s="49">
        <v>2001.03</v>
      </c>
      <c r="B132" s="120">
        <v>148527081</v>
      </c>
      <c r="C132" s="932">
        <v>0.158</v>
      </c>
      <c r="D132" s="2772">
        <f>C132/'8.1'!B120</f>
        <v>1.5285576064795166E-2</v>
      </c>
      <c r="E132" s="938"/>
      <c r="F132" s="935">
        <v>2075</v>
      </c>
    </row>
    <row r="133" spans="1:6">
      <c r="A133" s="49">
        <v>2001.04</v>
      </c>
      <c r="B133" s="120">
        <v>145602072</v>
      </c>
      <c r="C133" s="932">
        <v>0.16300000000000001</v>
      </c>
      <c r="D133" s="2772">
        <f>C133/'8.1'!B121</f>
        <v>1.5706690569168295E-2</v>
      </c>
      <c r="E133" s="938"/>
      <c r="F133" s="935">
        <v>2062.5</v>
      </c>
    </row>
    <row r="134" spans="1:6">
      <c r="A134" s="49">
        <v>2001.05</v>
      </c>
      <c r="B134" s="120">
        <v>159242452</v>
      </c>
      <c r="C134" s="932">
        <v>0.16700000000000001</v>
      </c>
      <c r="D134" s="2772">
        <f>C134/'8.1'!B122</f>
        <v>1.6145756543459601E-2</v>
      </c>
      <c r="E134" s="938"/>
      <c r="F134" s="935">
        <v>2090</v>
      </c>
    </row>
    <row r="135" spans="1:6">
      <c r="A135" s="49">
        <v>2001.06</v>
      </c>
      <c r="B135" s="120">
        <v>161753187</v>
      </c>
      <c r="C135" s="932">
        <v>0.16600000000000001</v>
      </c>
      <c r="D135" s="2772">
        <f>C135/'8.1'!B123</f>
        <v>1.6219870004265318E-2</v>
      </c>
      <c r="E135" s="938"/>
      <c r="F135" s="935">
        <v>2100</v>
      </c>
    </row>
    <row r="136" spans="1:6">
      <c r="A136" s="49">
        <v>2001.07</v>
      </c>
      <c r="B136" s="120">
        <v>183322776</v>
      </c>
      <c r="C136" s="932">
        <v>0.159</v>
      </c>
      <c r="D136" s="2772">
        <f>C136/'8.1'!B124</f>
        <v>1.5572687801201973E-2</v>
      </c>
      <c r="E136" s="938"/>
      <c r="F136" s="935">
        <v>2100</v>
      </c>
    </row>
    <row r="137" spans="1:6">
      <c r="A137" s="49">
        <v>2001.08</v>
      </c>
      <c r="B137" s="120">
        <v>194049070</v>
      </c>
      <c r="C137" s="932">
        <v>0.14729999999999999</v>
      </c>
      <c r="D137" s="2772">
        <f>C137/'8.1'!B125</f>
        <v>1.4438732788725938E-2</v>
      </c>
      <c r="E137" s="938"/>
      <c r="F137" s="935">
        <v>2050</v>
      </c>
    </row>
    <row r="138" spans="1:6">
      <c r="A138" s="49">
        <v>2001.09</v>
      </c>
      <c r="B138" s="120">
        <v>199153408</v>
      </c>
      <c r="C138" s="932">
        <v>0.14050000000000001</v>
      </c>
      <c r="D138" s="2772">
        <f>C138/'8.1'!B126</f>
        <v>1.3716785664107663E-2</v>
      </c>
      <c r="E138" s="938"/>
      <c r="F138" s="935">
        <v>2025</v>
      </c>
    </row>
    <row r="139" spans="1:6">
      <c r="A139" s="49">
        <v>2001.1</v>
      </c>
      <c r="B139" s="120">
        <v>204058619</v>
      </c>
      <c r="C139" s="932">
        <v>0.12570000000000001</v>
      </c>
      <c r="D139" s="2772">
        <f>C139/'8.1'!B127</f>
        <v>1.232546617211604E-2</v>
      </c>
      <c r="E139" s="938"/>
      <c r="F139" s="935">
        <v>1950</v>
      </c>
    </row>
    <row r="140" spans="1:6">
      <c r="A140" s="49">
        <v>2001.11</v>
      </c>
      <c r="B140" s="120">
        <v>189759033</v>
      </c>
      <c r="C140" s="932">
        <v>0.12559999999999999</v>
      </c>
      <c r="D140" s="2772">
        <f>C140/'8.1'!B128</f>
        <v>1.2255345851369007E-2</v>
      </c>
      <c r="E140" s="938"/>
      <c r="F140" s="935">
        <v>1800</v>
      </c>
    </row>
    <row r="141" spans="1:6">
      <c r="A141" s="49">
        <v>2001.12</v>
      </c>
      <c r="B141" s="120">
        <v>192017122</v>
      </c>
      <c r="C141" s="932">
        <v>0.1265</v>
      </c>
      <c r="D141" s="2772">
        <f>C141/'8.1'!B129</f>
        <v>1.2373097926910432E-2</v>
      </c>
      <c r="E141" s="938"/>
      <c r="F141" s="935">
        <v>1662.5</v>
      </c>
    </row>
    <row r="142" spans="1:6">
      <c r="A142" s="49">
        <v>2002.01</v>
      </c>
      <c r="B142" s="120">
        <v>174357051</v>
      </c>
      <c r="C142" s="932">
        <v>0.13</v>
      </c>
      <c r="D142" s="2772">
        <f>C142/'8.1'!B130</f>
        <v>1.2030195992133751E-2</v>
      </c>
      <c r="E142" s="938"/>
      <c r="F142" s="935">
        <v>1600</v>
      </c>
    </row>
    <row r="143" spans="1:6">
      <c r="A143" s="49">
        <v>2002.02</v>
      </c>
      <c r="B143" s="120">
        <v>150066889</v>
      </c>
      <c r="C143" s="932">
        <v>0.13900000000000001</v>
      </c>
      <c r="D143" s="2772">
        <f>C143/'8.1'!B131</f>
        <v>1.2209208613584162E-2</v>
      </c>
      <c r="E143" s="938"/>
      <c r="F143" s="935">
        <v>1475</v>
      </c>
    </row>
    <row r="144" spans="1:6">
      <c r="A144" s="49">
        <v>2002.03</v>
      </c>
      <c r="B144" s="120">
        <v>145688488</v>
      </c>
      <c r="C144" s="932">
        <v>0.185</v>
      </c>
      <c r="D144" s="2772">
        <f>C144/'8.1'!B132</f>
        <v>1.4767476124681558E-2</v>
      </c>
      <c r="E144" s="938"/>
      <c r="F144" s="935">
        <v>1325</v>
      </c>
    </row>
    <row r="145" spans="1:6">
      <c r="A145" s="49">
        <v>2002.04</v>
      </c>
      <c r="B145" s="120">
        <v>138436135</v>
      </c>
      <c r="C145" s="932">
        <v>0.22500000000000001</v>
      </c>
      <c r="D145" s="2772">
        <f>C145/'8.1'!B133</f>
        <v>1.5406110521011662E-2</v>
      </c>
      <c r="E145" s="938"/>
      <c r="F145" s="935">
        <v>1312.5</v>
      </c>
    </row>
    <row r="146" spans="1:6">
      <c r="A146" s="49">
        <v>2002.05</v>
      </c>
      <c r="B146" s="120">
        <v>148958489</v>
      </c>
      <c r="C146" s="932">
        <v>0.25600000000000001</v>
      </c>
      <c r="D146" s="2772">
        <f>C146/'8.1'!B134</f>
        <v>1.6293306062420132E-2</v>
      </c>
      <c r="E146" s="938"/>
      <c r="F146" s="935">
        <v>1287.5</v>
      </c>
    </row>
    <row r="147" spans="1:6">
      <c r="A147" s="49">
        <v>2002.06</v>
      </c>
      <c r="B147" s="120">
        <v>154513879</v>
      </c>
      <c r="C147" s="932">
        <v>0.27300000000000002</v>
      </c>
      <c r="D147" s="2772">
        <f>C147/'8.1'!B135</f>
        <v>1.6269235947763819E-2</v>
      </c>
      <c r="E147" s="938"/>
      <c r="F147" s="935">
        <v>1237.5</v>
      </c>
    </row>
    <row r="148" spans="1:6">
      <c r="A148" s="49">
        <v>2002.07</v>
      </c>
      <c r="B148" s="120">
        <v>160489504</v>
      </c>
      <c r="C148" s="932">
        <v>0.28050000000000003</v>
      </c>
      <c r="D148" s="2772">
        <f>C148/'8.1'!B136</f>
        <v>1.5898103961008336E-2</v>
      </c>
      <c r="E148" s="938"/>
      <c r="F148" s="935">
        <v>1237.5</v>
      </c>
    </row>
    <row r="149" spans="1:6">
      <c r="A149" s="49">
        <v>2002.08</v>
      </c>
      <c r="B149" s="120">
        <v>181593906</v>
      </c>
      <c r="C149" s="932">
        <v>0.28670000000000001</v>
      </c>
      <c r="D149" s="2772">
        <f>C149/'8.1'!B137</f>
        <v>1.5650125053855241E-2</v>
      </c>
      <c r="E149" s="938"/>
      <c r="F149" s="935">
        <v>1225</v>
      </c>
    </row>
    <row r="150" spans="1:6">
      <c r="A150" s="49">
        <v>2002.09</v>
      </c>
      <c r="B150" s="120">
        <v>187052745</v>
      </c>
      <c r="C150" s="932">
        <v>0.2908</v>
      </c>
      <c r="D150" s="2772">
        <f>C150/'8.1'!B138</f>
        <v>1.5653208301007665E-2</v>
      </c>
      <c r="E150" s="938"/>
      <c r="F150" s="935">
        <v>1300</v>
      </c>
    </row>
    <row r="151" spans="1:6">
      <c r="A151" s="49">
        <v>2002.1</v>
      </c>
      <c r="B151" s="120">
        <v>184286430</v>
      </c>
      <c r="C151" s="932">
        <v>0.3</v>
      </c>
      <c r="D151" s="2772">
        <f>C151/'8.1'!B139</f>
        <v>1.5944621967655288E-2</v>
      </c>
      <c r="E151" s="938"/>
      <c r="F151" s="935">
        <v>1425</v>
      </c>
    </row>
    <row r="152" spans="1:6">
      <c r="A152" s="49">
        <v>2002.11</v>
      </c>
      <c r="B152" s="120">
        <v>174960329</v>
      </c>
      <c r="C152" s="932">
        <v>0.3145</v>
      </c>
      <c r="D152" s="2772">
        <f>C152/'8.1'!B140</f>
        <v>1.6739728122374106E-2</v>
      </c>
      <c r="E152" s="938"/>
      <c r="F152" s="935">
        <v>1500</v>
      </c>
    </row>
    <row r="153" spans="1:6">
      <c r="A153" s="49">
        <v>2002.12</v>
      </c>
      <c r="B153" s="120">
        <v>171145739</v>
      </c>
      <c r="C153" s="932">
        <v>0.33</v>
      </c>
      <c r="D153" s="2772">
        <f>C153/'8.1'!B141</f>
        <v>1.746137423111431E-2</v>
      </c>
      <c r="E153" s="938"/>
      <c r="F153" s="935">
        <v>1587.5</v>
      </c>
    </row>
    <row r="154" spans="1:6">
      <c r="A154" s="49">
        <v>2003.01</v>
      </c>
      <c r="B154" s="50">
        <v>148699121</v>
      </c>
      <c r="C154" s="932">
        <v>0.36580000000000001</v>
      </c>
      <c r="D154" s="2772">
        <f>C154/'8.1'!B142</f>
        <v>1.8858529605338525E-2</v>
      </c>
      <c r="E154" s="938"/>
      <c r="F154" s="935">
        <v>1775</v>
      </c>
    </row>
    <row r="155" spans="1:6">
      <c r="A155" s="49">
        <v>2003.02</v>
      </c>
      <c r="B155" s="120">
        <v>124831462</v>
      </c>
      <c r="C155" s="932">
        <v>0.37490000000000001</v>
      </c>
      <c r="D155" s="2772">
        <f>C155/'8.1'!B143</f>
        <v>1.901194528760736E-2</v>
      </c>
      <c r="E155" s="938"/>
      <c r="F155" s="935">
        <v>1800</v>
      </c>
    </row>
    <row r="156" spans="1:6">
      <c r="A156" s="49">
        <v>2003.03</v>
      </c>
      <c r="B156" s="120">
        <v>123506564</v>
      </c>
      <c r="C156" s="932">
        <v>0.42799999999999999</v>
      </c>
      <c r="D156" s="2772">
        <f>C156/'8.1'!B144</f>
        <v>2.1517676358842462E-2</v>
      </c>
      <c r="E156" s="938"/>
      <c r="F156" s="935">
        <v>1825</v>
      </c>
    </row>
    <row r="157" spans="1:6">
      <c r="A157" s="49">
        <v>2003.04</v>
      </c>
      <c r="B157" s="120">
        <v>109101726</v>
      </c>
      <c r="C157" s="932">
        <v>0.46600000000000003</v>
      </c>
      <c r="D157" s="2772">
        <f>C157/'8.1'!B145</f>
        <v>2.3659077918296544E-2</v>
      </c>
      <c r="E157" s="938"/>
      <c r="F157" s="935">
        <v>1762.5</v>
      </c>
    </row>
    <row r="158" spans="1:6">
      <c r="A158" s="49">
        <v>2003.05</v>
      </c>
      <c r="B158" s="120">
        <v>111488636</v>
      </c>
      <c r="C158" s="932">
        <v>0.50360000000000005</v>
      </c>
      <c r="D158" s="2772">
        <f>C158/'8.1'!B146</f>
        <v>2.5672975256047854E-2</v>
      </c>
      <c r="E158" s="938"/>
      <c r="F158" s="935">
        <v>1737.5</v>
      </c>
    </row>
    <row r="159" spans="1:6">
      <c r="A159" s="49">
        <v>2003.06</v>
      </c>
      <c r="B159" s="120">
        <v>121200149</v>
      </c>
      <c r="C159" s="932">
        <v>0.50960000000000005</v>
      </c>
      <c r="D159" s="2772">
        <f>C159/'8.1'!B147</f>
        <v>2.6199630799258435E-2</v>
      </c>
      <c r="E159" s="938"/>
      <c r="F159" s="935">
        <v>1737.5</v>
      </c>
    </row>
    <row r="160" spans="1:6">
      <c r="A160" s="49">
        <v>2003.07</v>
      </c>
      <c r="B160" s="120">
        <v>136906879</v>
      </c>
      <c r="C160" s="932">
        <v>0.48349999999999999</v>
      </c>
      <c r="D160" s="2772">
        <f>C160/'8.1'!B148</f>
        <v>2.5113710282723745E-2</v>
      </c>
      <c r="E160" s="938"/>
      <c r="F160" s="935">
        <v>1700</v>
      </c>
    </row>
    <row r="161" spans="1:6">
      <c r="A161" s="49">
        <v>2003.08</v>
      </c>
      <c r="B161" s="120">
        <v>137507085</v>
      </c>
      <c r="C161" s="932">
        <v>0.4466</v>
      </c>
      <c r="D161" s="2772">
        <f>C161/'8.1'!B149</f>
        <v>2.3383949097214723E-2</v>
      </c>
      <c r="E161" s="938"/>
      <c r="F161" s="935">
        <v>1700</v>
      </c>
    </row>
    <row r="162" spans="1:6">
      <c r="A162" s="49">
        <v>2003.09</v>
      </c>
      <c r="B162" s="120">
        <v>156141749</v>
      </c>
      <c r="C162" s="932">
        <v>0.43530000000000002</v>
      </c>
      <c r="D162" s="2772">
        <f>C162/'8.1'!B150</f>
        <v>2.2886420135689547E-2</v>
      </c>
      <c r="E162" s="938"/>
      <c r="F162" s="935">
        <v>1750</v>
      </c>
    </row>
    <row r="163" spans="1:6">
      <c r="A163" s="49">
        <v>2003.1</v>
      </c>
      <c r="B163" s="120">
        <v>173357553</v>
      </c>
      <c r="C163" s="932">
        <v>0.43640000000000001</v>
      </c>
      <c r="D163" s="2772">
        <f>C163/'8.1'!B151</f>
        <v>2.2864193397059803E-2</v>
      </c>
      <c r="E163" s="938"/>
      <c r="F163" s="935">
        <v>1800</v>
      </c>
    </row>
    <row r="164" spans="1:6">
      <c r="A164" s="49">
        <v>2003.11</v>
      </c>
      <c r="B164" s="120">
        <v>165486220</v>
      </c>
      <c r="C164" s="932">
        <v>0.44290000000000002</v>
      </c>
      <c r="D164" s="2772">
        <f>C164/'8.1'!B152</f>
        <v>2.3036639226050169E-2</v>
      </c>
      <c r="E164" s="938"/>
      <c r="F164" s="935">
        <v>1800</v>
      </c>
    </row>
    <row r="165" spans="1:6">
      <c r="A165" s="49">
        <v>2003.12</v>
      </c>
      <c r="B165" s="120">
        <v>176345008</v>
      </c>
      <c r="C165" s="932">
        <v>0.4458333333333333</v>
      </c>
      <c r="D165" s="2772">
        <f>C165/'8.1'!B153</f>
        <v>2.2896477377712433E-2</v>
      </c>
      <c r="E165" s="938"/>
      <c r="F165" s="935">
        <v>1825</v>
      </c>
    </row>
    <row r="166" spans="1:6">
      <c r="A166" s="49">
        <v>2004.01</v>
      </c>
      <c r="B166" s="50">
        <v>163229794</v>
      </c>
      <c r="C166" s="932">
        <v>0.44690000000000002</v>
      </c>
      <c r="D166" s="2772">
        <f>C166/'8.1'!B154</f>
        <v>2.2926594914346166E-2</v>
      </c>
      <c r="E166" s="938"/>
      <c r="F166" s="935">
        <v>1850</v>
      </c>
    </row>
    <row r="167" spans="1:6">
      <c r="A167" s="49">
        <v>2004.02</v>
      </c>
      <c r="B167" s="120">
        <v>148355360</v>
      </c>
      <c r="C167" s="932">
        <v>0.45400000000000001</v>
      </c>
      <c r="D167" s="2772">
        <f>C167/'8.1'!B155</f>
        <v>2.3061835556747925E-2</v>
      </c>
      <c r="E167" s="938"/>
      <c r="F167" s="935">
        <v>1850</v>
      </c>
    </row>
    <row r="168" spans="1:6">
      <c r="A168" s="49">
        <v>2004.03</v>
      </c>
      <c r="B168" s="120">
        <v>149303670</v>
      </c>
      <c r="C168" s="932">
        <v>0.44700000000000001</v>
      </c>
      <c r="D168" s="2772">
        <f>C168/'8.1'!B156</f>
        <v>2.2511554840634756E-2</v>
      </c>
      <c r="E168" s="938"/>
      <c r="F168" s="935">
        <v>1875</v>
      </c>
    </row>
    <row r="169" spans="1:6">
      <c r="A169" s="49">
        <v>2004.04</v>
      </c>
      <c r="B169" s="120">
        <v>136827945</v>
      </c>
      <c r="C169" s="932">
        <v>0.45229999999999998</v>
      </c>
      <c r="D169" s="2772">
        <f>C169/'8.1'!B157</f>
        <v>2.2695394449212637E-2</v>
      </c>
      <c r="E169" s="938"/>
      <c r="F169" s="935">
        <v>1875</v>
      </c>
    </row>
    <row r="170" spans="1:6">
      <c r="A170" s="49">
        <v>2004.05</v>
      </c>
      <c r="B170" s="120">
        <v>149204224</v>
      </c>
      <c r="C170" s="932">
        <v>0.44479999999999997</v>
      </c>
      <c r="D170" s="2772">
        <f>C170/'8.1'!B158</f>
        <v>2.2217593641028523E-2</v>
      </c>
      <c r="E170" s="938"/>
      <c r="F170" s="935">
        <v>1950</v>
      </c>
    </row>
    <row r="171" spans="1:6">
      <c r="A171" s="49">
        <v>2004.06</v>
      </c>
      <c r="B171" s="120">
        <v>151525875</v>
      </c>
      <c r="C171" s="932">
        <v>0.43869999999999998</v>
      </c>
      <c r="D171" s="2772">
        <f>C171/'8.1'!B159</f>
        <v>2.177591896131232E-2</v>
      </c>
      <c r="E171" s="938"/>
      <c r="F171" s="935">
        <v>2050</v>
      </c>
    </row>
    <row r="172" spans="1:6">
      <c r="A172" s="49">
        <v>2004.07</v>
      </c>
      <c r="B172" s="120">
        <v>167333813</v>
      </c>
      <c r="C172" s="932">
        <v>0.43840000000000001</v>
      </c>
      <c r="D172" s="2772">
        <f>C172/'8.1'!B160</f>
        <v>2.1654282812612717E-2</v>
      </c>
      <c r="E172" s="938"/>
      <c r="F172" s="935">
        <v>2100</v>
      </c>
    </row>
    <row r="173" spans="1:6">
      <c r="A173" s="49">
        <v>2004.08</v>
      </c>
      <c r="B173" s="120">
        <v>178804579</v>
      </c>
      <c r="C173" s="932">
        <v>0.43049999999999999</v>
      </c>
      <c r="D173" s="2772">
        <f>C173/'8.1'!B161</f>
        <v>2.09326748177577E-2</v>
      </c>
      <c r="E173" s="938"/>
      <c r="F173" s="935">
        <v>2100</v>
      </c>
    </row>
    <row r="174" spans="1:6">
      <c r="A174" s="49">
        <v>2004.09</v>
      </c>
      <c r="B174" s="120">
        <v>176966773</v>
      </c>
      <c r="C174" s="932">
        <v>0.42009999999999997</v>
      </c>
      <c r="D174" s="2772">
        <f>C174/'8.1'!B162</f>
        <v>2.0324269648787485E-2</v>
      </c>
      <c r="E174" s="938"/>
      <c r="F174" s="935">
        <v>2100</v>
      </c>
    </row>
    <row r="175" spans="1:6">
      <c r="A175" s="49">
        <v>2004.1</v>
      </c>
      <c r="B175" s="120">
        <v>185844751</v>
      </c>
      <c r="C175" s="932">
        <v>0.42120000000000002</v>
      </c>
      <c r="D175" s="2772">
        <f>C175/'8.1'!B163</f>
        <v>2.0490309273828753E-2</v>
      </c>
      <c r="E175" s="938"/>
      <c r="F175" s="935">
        <v>2125</v>
      </c>
    </row>
    <row r="176" spans="1:6">
      <c r="A176" s="49">
        <v>2004.11</v>
      </c>
      <c r="B176" s="120">
        <v>178215537</v>
      </c>
      <c r="C176" s="932">
        <v>0.42130000000000001</v>
      </c>
      <c r="D176" s="2772">
        <f>C176/'8.1'!B164</f>
        <v>2.0660142134763474E-2</v>
      </c>
      <c r="E176" s="938"/>
      <c r="F176" s="935">
        <v>2225</v>
      </c>
    </row>
    <row r="177" spans="1:6">
      <c r="A177" s="49">
        <v>2004.12</v>
      </c>
      <c r="B177" s="120">
        <v>182365692</v>
      </c>
      <c r="C177" s="932">
        <v>0.42420000000000002</v>
      </c>
      <c r="D177" s="2772">
        <f>C177/'8.1'!B165</f>
        <v>2.0767393447403405E-2</v>
      </c>
      <c r="E177" s="938"/>
      <c r="F177" s="935">
        <v>2225</v>
      </c>
    </row>
    <row r="178" spans="1:6">
      <c r="A178" s="49">
        <v>2005.01</v>
      </c>
      <c r="B178" s="120">
        <v>167074394</v>
      </c>
      <c r="C178" s="932">
        <v>0.43290000000000001</v>
      </c>
      <c r="D178" s="2772">
        <f>C178/'8.1'!B166</f>
        <v>2.1120042767593779E-2</v>
      </c>
      <c r="E178" s="938"/>
      <c r="F178" s="935">
        <v>2275</v>
      </c>
    </row>
    <row r="179" spans="1:6">
      <c r="A179" s="49">
        <v>2005.02</v>
      </c>
      <c r="B179" s="120">
        <v>150635142</v>
      </c>
      <c r="C179" s="932">
        <v>0.45269999999999999</v>
      </c>
      <c r="D179" s="2772">
        <f>C179/'8.1'!B167</f>
        <v>2.1645308181969657E-2</v>
      </c>
      <c r="E179" s="938"/>
      <c r="F179" s="935">
        <v>2275</v>
      </c>
    </row>
    <row r="180" spans="1:6">
      <c r="A180" s="49">
        <v>2005.03</v>
      </c>
      <c r="B180" s="120">
        <v>149304264</v>
      </c>
      <c r="C180" s="932">
        <v>0.48259999999999997</v>
      </c>
      <c r="D180" s="2772">
        <f>C180/'8.1'!B168</f>
        <v>2.2459983859779639E-2</v>
      </c>
      <c r="E180" s="938"/>
      <c r="F180" s="935">
        <v>2250</v>
      </c>
    </row>
    <row r="181" spans="1:6">
      <c r="A181" s="49">
        <v>2005.04</v>
      </c>
      <c r="B181" s="120">
        <v>146166122</v>
      </c>
      <c r="C181" s="932">
        <v>0.49480000000000002</v>
      </c>
      <c r="D181" s="2772">
        <f>C181/'8.1'!B169</f>
        <v>2.2958217452376778E-2</v>
      </c>
      <c r="E181" s="938"/>
      <c r="F181" s="935">
        <v>2225</v>
      </c>
    </row>
    <row r="182" spans="1:6">
      <c r="A182" s="49">
        <v>2005.05</v>
      </c>
      <c r="B182" s="120">
        <v>156310742</v>
      </c>
      <c r="C182" s="932">
        <v>0.51239999999999997</v>
      </c>
      <c r="D182" s="2772">
        <f>C182/'8.1'!B170</f>
        <v>2.3891235488819107E-2</v>
      </c>
      <c r="E182" s="938"/>
      <c r="F182" s="935">
        <v>2225</v>
      </c>
    </row>
    <row r="183" spans="1:6">
      <c r="A183" s="49">
        <v>2005.06</v>
      </c>
      <c r="B183" s="120">
        <v>157366539</v>
      </c>
      <c r="C183" s="932">
        <v>0.53211666666666668</v>
      </c>
      <c r="D183" s="2772">
        <f>C183/'8.1'!B171</f>
        <v>2.4680234053359399E-2</v>
      </c>
      <c r="E183" s="938"/>
      <c r="F183" s="935">
        <v>2225</v>
      </c>
    </row>
    <row r="184" spans="1:6">
      <c r="A184" s="49">
        <v>2005.07</v>
      </c>
      <c r="B184" s="120">
        <v>173409158</v>
      </c>
      <c r="C184" s="932">
        <v>0.53280000000000005</v>
      </c>
      <c r="D184" s="2772">
        <f>C184/'8.1'!B172</f>
        <v>2.437761466107425E-2</v>
      </c>
      <c r="E184" s="938"/>
      <c r="F184" s="935">
        <v>2250</v>
      </c>
    </row>
    <row r="185" spans="1:6">
      <c r="A185" s="49">
        <v>2005.08</v>
      </c>
      <c r="B185" s="120">
        <v>192085695</v>
      </c>
      <c r="C185" s="932">
        <v>0.53080000000000005</v>
      </c>
      <c r="D185" s="2772">
        <f>C185/'8.1'!B173</f>
        <v>2.397620016403073E-2</v>
      </c>
      <c r="E185" s="938"/>
      <c r="F185" s="935">
        <v>2300</v>
      </c>
    </row>
    <row r="186" spans="1:6">
      <c r="A186" s="49">
        <v>2005.09</v>
      </c>
      <c r="B186" s="120">
        <v>196413094</v>
      </c>
      <c r="C186" s="932">
        <v>0.51900000000000002</v>
      </c>
      <c r="D186" s="2772">
        <f>C186/'8.1'!B174</f>
        <v>2.3210267978211747E-2</v>
      </c>
      <c r="E186" s="938"/>
      <c r="F186" s="935">
        <v>2325</v>
      </c>
    </row>
    <row r="187" spans="1:6">
      <c r="A187" s="49">
        <v>2005.1</v>
      </c>
      <c r="B187" s="120">
        <v>203713404</v>
      </c>
      <c r="C187" s="932">
        <v>0.51500000000000001</v>
      </c>
      <c r="D187" s="2772">
        <f>C187/'8.1'!B175</f>
        <v>2.2940939478051571E-2</v>
      </c>
      <c r="E187" s="938"/>
      <c r="F187" s="935">
        <v>2300</v>
      </c>
    </row>
    <row r="188" spans="1:6">
      <c r="A188" s="49">
        <v>2005.11</v>
      </c>
      <c r="B188" s="120">
        <v>192853615</v>
      </c>
      <c r="C188" s="932">
        <v>0.50119999999999998</v>
      </c>
      <c r="D188" s="2772">
        <f>C188/'8.1'!B176</f>
        <v>2.2069197276526079E-2</v>
      </c>
      <c r="E188" s="938"/>
      <c r="F188" s="935">
        <v>2275</v>
      </c>
    </row>
    <row r="189" spans="1:6">
      <c r="A189" s="49">
        <v>2005.12</v>
      </c>
      <c r="B189" s="120">
        <v>199042174</v>
      </c>
      <c r="C189" s="932">
        <v>0.48499999999999999</v>
      </c>
      <c r="D189" s="2772">
        <f>C189/'8.1'!B177</f>
        <v>2.1196187180350688E-2</v>
      </c>
      <c r="E189" s="938"/>
      <c r="F189" s="935">
        <v>2250</v>
      </c>
    </row>
    <row r="190" spans="1:6">
      <c r="A190" s="49">
        <v>2006.01</v>
      </c>
      <c r="B190" s="120">
        <v>186032989</v>
      </c>
      <c r="C190" s="932">
        <v>0.48309999999999997</v>
      </c>
      <c r="D190" s="2772">
        <f>C190/'8.1'!B178</f>
        <v>2.0629603615496032E-2</v>
      </c>
      <c r="E190" s="938"/>
      <c r="F190" s="935">
        <v>2175</v>
      </c>
    </row>
    <row r="191" spans="1:6">
      <c r="A191" s="49">
        <v>2006.02</v>
      </c>
      <c r="B191" s="120">
        <v>158721778</v>
      </c>
      <c r="C191" s="932">
        <v>0.48559999999999998</v>
      </c>
      <c r="D191" s="2772">
        <f>C191/'8.1'!B179</f>
        <v>2.0705765369840465E-2</v>
      </c>
      <c r="E191" s="938"/>
      <c r="F191" s="935">
        <v>2200</v>
      </c>
    </row>
    <row r="192" spans="1:6">
      <c r="A192" s="49">
        <v>2006.03</v>
      </c>
      <c r="B192" s="120">
        <v>167970381</v>
      </c>
      <c r="C192" s="932">
        <v>0.49009999999999998</v>
      </c>
      <c r="D192" s="2772">
        <f>C192/'8.1'!B180</f>
        <v>2.0719321316099101E-2</v>
      </c>
      <c r="E192" s="938"/>
      <c r="F192" s="935">
        <v>2150</v>
      </c>
    </row>
    <row r="193" spans="1:6">
      <c r="A193" s="49">
        <v>2006.04</v>
      </c>
      <c r="B193" s="120">
        <v>155958914</v>
      </c>
      <c r="C193" s="932">
        <v>0.49559999999999998</v>
      </c>
      <c r="D193" s="2772">
        <f>C193/'8.1'!B181</f>
        <v>2.0732799564485538E-2</v>
      </c>
      <c r="E193" s="938"/>
      <c r="F193" s="935">
        <v>2100</v>
      </c>
    </row>
    <row r="194" spans="1:6">
      <c r="A194" s="49">
        <v>2006.05</v>
      </c>
      <c r="B194" s="120">
        <v>169986654</v>
      </c>
      <c r="C194" s="932">
        <v>0.49619999999999997</v>
      </c>
      <c r="D194" s="2772">
        <f>C194/'8.1'!B182</f>
        <v>2.067311261322418E-2</v>
      </c>
      <c r="E194" s="938"/>
      <c r="F194" s="935">
        <v>2100</v>
      </c>
    </row>
    <row r="195" spans="1:6">
      <c r="A195" s="49">
        <v>2006.06</v>
      </c>
      <c r="B195" s="120">
        <v>171140278</v>
      </c>
      <c r="C195" s="932">
        <v>0.50439999999999996</v>
      </c>
      <c r="D195" s="2772">
        <f>C195/'8.1'!B183</f>
        <v>2.09727555469605E-2</v>
      </c>
      <c r="E195" s="938"/>
      <c r="F195" s="935">
        <v>2075</v>
      </c>
    </row>
    <row r="196" spans="1:6">
      <c r="A196" s="49">
        <v>2006.07</v>
      </c>
      <c r="B196" s="120">
        <v>194238703</v>
      </c>
      <c r="C196" s="932">
        <v>0.49009999999999998</v>
      </c>
      <c r="D196" s="2772">
        <f>C196/'8.1'!B184</f>
        <v>2.0314840541402351E-2</v>
      </c>
      <c r="E196" s="938"/>
      <c r="F196" s="935">
        <v>2100</v>
      </c>
    </row>
    <row r="197" spans="1:6">
      <c r="A197" s="49">
        <v>2006.08</v>
      </c>
      <c r="B197" s="120">
        <v>197740863</v>
      </c>
      <c r="C197" s="932">
        <v>0.49030000000000001</v>
      </c>
      <c r="D197" s="2772">
        <f>C197/'8.1'!B185</f>
        <v>2.0205600039296993E-2</v>
      </c>
      <c r="E197" s="938"/>
      <c r="F197" s="935">
        <v>2100</v>
      </c>
    </row>
    <row r="198" spans="1:6">
      <c r="A198" s="49">
        <v>2006.09</v>
      </c>
      <c r="B198" s="254">
        <v>199758653</v>
      </c>
      <c r="C198" s="932">
        <v>0.49330000000000002</v>
      </c>
      <c r="D198" s="2772">
        <f>C198/'8.1'!B186</f>
        <v>2.0188490033651418E-2</v>
      </c>
      <c r="E198" s="938"/>
      <c r="F198" s="935">
        <v>2075</v>
      </c>
    </row>
    <row r="199" spans="1:6">
      <c r="A199" s="49">
        <v>2006.1</v>
      </c>
      <c r="B199" s="254">
        <v>207393276</v>
      </c>
      <c r="C199" s="932">
        <v>0.49049999999999999</v>
      </c>
      <c r="D199" s="2772">
        <f>C199/'8.1'!B187</f>
        <v>1.9785928179085952E-2</v>
      </c>
      <c r="E199" s="938"/>
      <c r="F199" s="935">
        <v>2200</v>
      </c>
    </row>
    <row r="200" spans="1:6">
      <c r="A200" s="49">
        <v>2006.11</v>
      </c>
      <c r="B200" s="254">
        <v>197507285</v>
      </c>
      <c r="C200" s="932">
        <v>0.49459999999999998</v>
      </c>
      <c r="D200" s="2772">
        <f>C200/'8.1'!B188</f>
        <v>1.9750683969996567E-2</v>
      </c>
      <c r="E200" s="938"/>
      <c r="F200" s="935">
        <v>2500</v>
      </c>
    </row>
    <row r="201" spans="1:6">
      <c r="A201" s="49">
        <v>2006.12</v>
      </c>
      <c r="B201" s="254">
        <v>196204543</v>
      </c>
      <c r="C201" s="932">
        <v>0.50460000000000005</v>
      </c>
      <c r="D201" s="2772">
        <f>C201/'8.1'!B189</f>
        <v>1.9911566801901644E-2</v>
      </c>
      <c r="E201" s="938"/>
      <c r="F201" s="935">
        <v>2800</v>
      </c>
    </row>
    <row r="202" spans="1:6">
      <c r="A202" s="49">
        <v>2007.01</v>
      </c>
      <c r="B202" s="254">
        <v>161729620</v>
      </c>
      <c r="C202" s="932">
        <v>0.53290000000000004</v>
      </c>
      <c r="D202" s="2772">
        <f>C202/'8.1'!B190</f>
        <v>2.0763681829387037E-2</v>
      </c>
      <c r="E202" s="938"/>
      <c r="F202" s="935">
        <v>2850</v>
      </c>
    </row>
    <row r="203" spans="1:6">
      <c r="A203" s="49">
        <v>2007.02</v>
      </c>
      <c r="B203" s="254">
        <v>138345039</v>
      </c>
      <c r="C203" s="932">
        <v>0.55659999999999998</v>
      </c>
      <c r="D203" s="2772">
        <f>C203/'8.1'!B191</f>
        <v>2.1503506537360131E-2</v>
      </c>
      <c r="E203" s="938"/>
      <c r="F203" s="935">
        <v>3050</v>
      </c>
    </row>
    <row r="204" spans="1:6">
      <c r="A204" s="49">
        <v>2007.03</v>
      </c>
      <c r="B204" s="254">
        <v>136198826</v>
      </c>
      <c r="C204" s="932">
        <v>0.57589999999999997</v>
      </c>
      <c r="D204" s="2772">
        <f>C204/'8.1'!B192</f>
        <v>2.1945983731238704E-2</v>
      </c>
      <c r="E204" s="938"/>
      <c r="F204" s="935">
        <v>3375</v>
      </c>
    </row>
    <row r="205" spans="1:6">
      <c r="A205" s="49">
        <v>2007.04</v>
      </c>
      <c r="B205" s="254">
        <v>118424085</v>
      </c>
      <c r="C205" s="932">
        <v>0.64600000000000002</v>
      </c>
      <c r="D205" s="2772">
        <f>C205/'8.1'!B193</f>
        <v>2.4195465452669804E-2</v>
      </c>
      <c r="E205" s="938"/>
      <c r="F205" s="935">
        <v>4000</v>
      </c>
    </row>
    <row r="206" spans="1:6">
      <c r="A206" s="49">
        <v>2007.05</v>
      </c>
      <c r="B206" s="254">
        <v>130043414</v>
      </c>
      <c r="C206" s="932">
        <v>0.69</v>
      </c>
      <c r="D206" s="2772">
        <f>C206/'8.1'!B194</f>
        <v>2.5656878483942561E-2</v>
      </c>
      <c r="E206" s="938"/>
      <c r="F206" s="935">
        <v>4050</v>
      </c>
    </row>
    <row r="207" spans="1:6">
      <c r="A207" s="49">
        <v>2007.06</v>
      </c>
      <c r="B207" s="254">
        <v>132571219</v>
      </c>
      <c r="C207" s="932">
        <v>0.79200000000000004</v>
      </c>
      <c r="D207" s="2772">
        <f>C207/'8.1'!B195</f>
        <v>2.9203316255178715E-2</v>
      </c>
      <c r="E207" s="938"/>
      <c r="F207" s="935">
        <v>4525</v>
      </c>
    </row>
    <row r="208" spans="1:6">
      <c r="A208" s="49">
        <v>2007.07</v>
      </c>
      <c r="B208" s="254">
        <v>144931596</v>
      </c>
      <c r="C208" s="932">
        <v>0.80200000000000005</v>
      </c>
      <c r="D208" s="2772">
        <f>C208/'8.1'!B196</f>
        <v>2.929175109179143E-2</v>
      </c>
      <c r="E208" s="938"/>
      <c r="F208" s="935">
        <v>4650</v>
      </c>
    </row>
    <row r="209" spans="1:6">
      <c r="A209" s="49">
        <v>2007.08</v>
      </c>
      <c r="B209" s="254">
        <v>153404085</v>
      </c>
      <c r="C209" s="932">
        <v>0.80200000000000005</v>
      </c>
      <c r="D209" s="2772">
        <f>C209/'8.1'!B197</f>
        <v>2.8976414140879665E-2</v>
      </c>
      <c r="E209" s="938"/>
      <c r="F209" s="935">
        <v>4750</v>
      </c>
    </row>
    <row r="210" spans="1:6">
      <c r="A210" s="49">
        <v>2007.09</v>
      </c>
      <c r="B210" s="254">
        <v>162809206</v>
      </c>
      <c r="C210" s="932">
        <v>0.80200000000000005</v>
      </c>
      <c r="D210" s="2772">
        <f>C210/'8.1'!B198</f>
        <v>2.8685534295956088E-2</v>
      </c>
      <c r="E210" s="938"/>
      <c r="F210" s="935">
        <v>4750</v>
      </c>
    </row>
    <row r="211" spans="1:6">
      <c r="A211" s="49">
        <v>2007.1</v>
      </c>
      <c r="B211" s="254">
        <v>174983186</v>
      </c>
      <c r="C211" s="932">
        <v>0.79800000000000004</v>
      </c>
      <c r="D211" s="2772">
        <f>C211/'8.1'!B199</f>
        <v>2.8270335111104314E-2</v>
      </c>
      <c r="E211" s="938"/>
      <c r="F211" s="935">
        <v>5050</v>
      </c>
    </row>
    <row r="212" spans="1:6">
      <c r="A212" s="49">
        <v>2007.11</v>
      </c>
      <c r="B212" s="254">
        <v>166571185</v>
      </c>
      <c r="C212" s="932">
        <v>0.79600000000000004</v>
      </c>
      <c r="D212" s="2772">
        <f>C212/'8.1'!B200</f>
        <v>2.8338433873322678E-2</v>
      </c>
      <c r="E212" s="938"/>
      <c r="F212" s="935">
        <v>4850</v>
      </c>
    </row>
    <row r="213" spans="1:6">
      <c r="A213" s="49">
        <v>2007.12</v>
      </c>
      <c r="B213" s="254">
        <v>166436684</v>
      </c>
      <c r="C213" s="932">
        <v>0.80200000000000005</v>
      </c>
      <c r="D213" s="2772">
        <f>C213/'8.1'!B201</f>
        <v>2.8134224209345568E-2</v>
      </c>
      <c r="E213" s="938"/>
      <c r="F213" s="935">
        <v>4800</v>
      </c>
    </row>
    <row r="214" spans="1:6">
      <c r="A214" s="49">
        <v>2008.01</v>
      </c>
      <c r="B214" s="254">
        <v>161288480</v>
      </c>
      <c r="C214" s="932">
        <v>0.81</v>
      </c>
      <c r="D214" s="2772">
        <f>C214/'8.1'!B202</f>
        <v>2.8036731043864841E-2</v>
      </c>
      <c r="E214" s="938"/>
      <c r="F214" s="935">
        <v>4400</v>
      </c>
    </row>
    <row r="215" spans="1:6">
      <c r="A215" s="49">
        <v>2008.02</v>
      </c>
      <c r="B215" s="254">
        <v>146562800</v>
      </c>
      <c r="C215" s="932">
        <v>0.81799999999999995</v>
      </c>
      <c r="D215" s="2772">
        <f>C215/'8.1'!B203</f>
        <v>2.7932627735073112E-2</v>
      </c>
      <c r="E215" s="938"/>
      <c r="F215" s="935">
        <v>4550</v>
      </c>
    </row>
    <row r="216" spans="1:6">
      <c r="A216" s="49">
        <v>2008.03</v>
      </c>
      <c r="B216" s="254">
        <v>143005625</v>
      </c>
      <c r="C216" s="932">
        <v>0.82199999999999995</v>
      </c>
      <c r="D216" s="2772">
        <f>C216/'8.1'!B204</f>
        <v>2.6925663430831397E-2</v>
      </c>
      <c r="E216" s="938"/>
      <c r="F216" s="935">
        <v>4750</v>
      </c>
    </row>
    <row r="217" spans="1:6">
      <c r="A217" s="49">
        <v>2008.04</v>
      </c>
      <c r="B217" s="254">
        <v>137258076</v>
      </c>
      <c r="C217" s="932">
        <v>0.83899999999999997</v>
      </c>
      <c r="D217" s="2772">
        <f>C217/'8.1'!B205</f>
        <v>2.6564205938404393E-2</v>
      </c>
      <c r="E217" s="938"/>
      <c r="F217" s="935">
        <v>4550</v>
      </c>
    </row>
    <row r="218" spans="1:6">
      <c r="A218" s="49">
        <v>2008.05</v>
      </c>
      <c r="B218" s="254">
        <v>142529903</v>
      </c>
      <c r="C218" s="932">
        <v>0.85199999999999998</v>
      </c>
      <c r="D218" s="2772">
        <f>C218/'8.1'!B206</f>
        <v>2.6517442632643617E-2</v>
      </c>
      <c r="E218" s="938"/>
      <c r="F218" s="935">
        <v>4500</v>
      </c>
    </row>
    <row r="219" spans="1:6">
      <c r="A219" s="49">
        <v>2008.06</v>
      </c>
      <c r="B219" s="254">
        <v>141123079</v>
      </c>
      <c r="C219" s="932">
        <v>0.85699999999999998</v>
      </c>
      <c r="D219" s="2772">
        <f>C219/'8.1'!B207</f>
        <v>2.6103024105519495E-2</v>
      </c>
      <c r="E219" s="938"/>
      <c r="F219" s="935">
        <v>4400</v>
      </c>
    </row>
    <row r="220" spans="1:6">
      <c r="A220" s="49">
        <v>2008.07</v>
      </c>
      <c r="B220" s="254">
        <v>152248387</v>
      </c>
      <c r="C220" s="932">
        <v>0.94199999999999995</v>
      </c>
      <c r="D220" s="2772">
        <f>C220/'8.1'!B208</f>
        <v>2.8266656772780424E-2</v>
      </c>
      <c r="E220" s="938"/>
      <c r="F220" s="935">
        <v>4400</v>
      </c>
    </row>
    <row r="221" spans="1:6">
      <c r="A221" s="49">
        <v>2008.08</v>
      </c>
      <c r="B221" s="254">
        <v>163630873</v>
      </c>
      <c r="C221" s="932">
        <v>0.94399999999999995</v>
      </c>
      <c r="D221" s="2772">
        <f>C221/'8.1'!B209</f>
        <v>2.8053194334612182E-2</v>
      </c>
      <c r="E221" s="938"/>
      <c r="F221" s="935">
        <v>3600</v>
      </c>
    </row>
    <row r="222" spans="1:6">
      <c r="A222" s="49">
        <v>2008.09</v>
      </c>
      <c r="B222" s="254">
        <v>168425193</v>
      </c>
      <c r="C222" s="932">
        <v>0.93799999999999994</v>
      </c>
      <c r="D222" s="2772">
        <f>C222/'8.1'!B210</f>
        <v>2.7408299263269778E-2</v>
      </c>
      <c r="E222" s="938"/>
      <c r="F222" s="935">
        <v>3050</v>
      </c>
    </row>
    <row r="223" spans="1:6">
      <c r="A223" s="49">
        <v>2008.1</v>
      </c>
      <c r="B223" s="254">
        <v>185769379</v>
      </c>
      <c r="C223" s="932">
        <v>0.88600000000000001</v>
      </c>
      <c r="D223" s="2772">
        <f>C223/'8.1'!B211</f>
        <v>2.5714094030791508E-2</v>
      </c>
      <c r="E223" s="938"/>
      <c r="F223" s="935">
        <v>2850</v>
      </c>
    </row>
    <row r="224" spans="1:6">
      <c r="A224" s="49">
        <v>2008.11</v>
      </c>
      <c r="B224" s="254">
        <v>185829282</v>
      </c>
      <c r="C224" s="932">
        <v>0.79600000000000004</v>
      </c>
      <c r="D224" s="2772">
        <f>C224/'8.1'!B212</f>
        <v>2.2902721004258352E-2</v>
      </c>
      <c r="E224" s="938"/>
      <c r="F224" s="935">
        <v>2450</v>
      </c>
    </row>
    <row r="225" spans="1:6">
      <c r="A225" s="49">
        <v>2008.12</v>
      </c>
      <c r="B225" s="254">
        <v>188689119</v>
      </c>
      <c r="C225" s="932">
        <v>0.76500000000000001</v>
      </c>
      <c r="D225" s="2772">
        <f>C225/'8.1'!B213</f>
        <v>2.1907785193106884E-2</v>
      </c>
      <c r="E225" s="938"/>
      <c r="F225" s="935">
        <v>2100</v>
      </c>
    </row>
    <row r="226" spans="1:6">
      <c r="A226" s="49">
        <f t="shared" ref="A226:A289" si="0">A214+1</f>
        <v>2009.01</v>
      </c>
      <c r="B226" s="254">
        <v>181393569</v>
      </c>
      <c r="C226" s="932">
        <v>0.73599999999999999</v>
      </c>
      <c r="D226" s="2772">
        <f>C226/'8.1'!B214</f>
        <v>2.0912663607332689E-2</v>
      </c>
      <c r="E226" s="938"/>
      <c r="F226" s="935">
        <v>1850</v>
      </c>
    </row>
    <row r="227" spans="1:6">
      <c r="A227" s="49">
        <f t="shared" si="0"/>
        <v>2009.02</v>
      </c>
      <c r="B227" s="254">
        <v>159259635</v>
      </c>
      <c r="C227" s="932">
        <v>0.73499999999999999</v>
      </c>
      <c r="D227" s="2772">
        <f>C227/'8.1'!B215</f>
        <v>2.0813763898520115E-2</v>
      </c>
      <c r="E227" s="938"/>
      <c r="F227" s="935">
        <v>1850</v>
      </c>
    </row>
    <row r="228" spans="1:6">
      <c r="A228" s="49">
        <f t="shared" si="0"/>
        <v>2009.03</v>
      </c>
      <c r="B228" s="254">
        <v>167365393</v>
      </c>
      <c r="C228" s="932">
        <v>0.73099999999999998</v>
      </c>
      <c r="D228" s="2772">
        <f>C228/'8.1'!B216</f>
        <v>2.0366773755389905E-2</v>
      </c>
      <c r="E228" s="938"/>
      <c r="F228" s="935">
        <v>1950</v>
      </c>
    </row>
    <row r="229" spans="1:6">
      <c r="A229" s="49">
        <f t="shared" si="0"/>
        <v>2009.04</v>
      </c>
      <c r="B229" s="254">
        <v>155759229</v>
      </c>
      <c r="C229" s="932">
        <v>0.73299999999999998</v>
      </c>
      <c r="D229" s="2772">
        <f>C229/'8.1'!B217</f>
        <v>2.008789578555209E-2</v>
      </c>
      <c r="E229" s="938"/>
      <c r="F229" s="935">
        <v>2075</v>
      </c>
    </row>
    <row r="230" spans="1:6">
      <c r="A230" s="49">
        <f t="shared" si="0"/>
        <v>2009.05</v>
      </c>
      <c r="B230" s="254">
        <v>159819157</v>
      </c>
      <c r="C230" s="932">
        <v>0.74099999999999999</v>
      </c>
      <c r="D230" s="2772">
        <f>C230/'8.1'!B218</f>
        <v>2.0195423998491589E-2</v>
      </c>
      <c r="E230" s="938"/>
      <c r="F230" s="935">
        <v>2200</v>
      </c>
    </row>
    <row r="231" spans="1:6">
      <c r="A231" s="49">
        <f t="shared" si="0"/>
        <v>2009.06</v>
      </c>
      <c r="B231" s="254">
        <v>155527859</v>
      </c>
      <c r="C231" s="932">
        <v>0.76180000000000003</v>
      </c>
      <c r="D231" s="2772">
        <f>C231/'8.1'!B219</f>
        <v>2.0684287802580664E-2</v>
      </c>
      <c r="E231" s="938"/>
      <c r="F231" s="935">
        <v>2050</v>
      </c>
    </row>
    <row r="232" spans="1:6">
      <c r="A232" s="49">
        <f t="shared" si="0"/>
        <v>2009.07</v>
      </c>
      <c r="B232" s="254">
        <v>163334988</v>
      </c>
      <c r="C232" s="932">
        <v>0.79</v>
      </c>
      <c r="D232" s="2772">
        <f>C232/'8.1'!B220</f>
        <v>2.1289953930145402E-2</v>
      </c>
      <c r="E232" s="938"/>
      <c r="F232" s="935">
        <v>2000</v>
      </c>
    </row>
    <row r="233" spans="1:6">
      <c r="A233" s="49">
        <f t="shared" si="0"/>
        <v>2009.08</v>
      </c>
      <c r="B233" s="254">
        <v>173578442</v>
      </c>
      <c r="C233" s="932">
        <v>0.80320000000000003</v>
      </c>
      <c r="D233" s="2772">
        <f>C233/'8.1'!B221</f>
        <v>2.1330746059274267E-2</v>
      </c>
      <c r="E233" s="938"/>
      <c r="F233" s="935">
        <v>2225</v>
      </c>
    </row>
    <row r="234" spans="1:6">
      <c r="A234" s="49">
        <f t="shared" si="0"/>
        <v>2009.09</v>
      </c>
      <c r="B234" s="254">
        <v>181491227</v>
      </c>
      <c r="C234" s="932">
        <v>0.80379999999999996</v>
      </c>
      <c r="D234" s="2772">
        <f>C234/'8.1'!B222</f>
        <v>2.1173727735132864E-2</v>
      </c>
      <c r="E234" s="938"/>
      <c r="F234" s="935">
        <v>2800</v>
      </c>
    </row>
    <row r="235" spans="1:6">
      <c r="A235" s="49">
        <f t="shared" si="0"/>
        <v>2009.1</v>
      </c>
      <c r="B235" s="254">
        <v>196588419</v>
      </c>
      <c r="C235" s="932">
        <v>0.86509999999999998</v>
      </c>
      <c r="D235" s="2772">
        <f>C235/'8.1'!B223</f>
        <v>2.246877971974387E-2</v>
      </c>
      <c r="E235" s="938"/>
      <c r="F235" s="935">
        <v>3150</v>
      </c>
    </row>
    <row r="236" spans="1:6">
      <c r="A236" s="49">
        <f t="shared" si="0"/>
        <v>2009.11</v>
      </c>
      <c r="B236" s="254">
        <v>186085492</v>
      </c>
      <c r="C236" s="932">
        <v>0.92179999999999995</v>
      </c>
      <c r="D236" s="2772">
        <f>C236/'8.1'!B224</f>
        <v>2.3618316069882635E-2</v>
      </c>
      <c r="E236" s="938"/>
      <c r="F236" s="935">
        <v>3550</v>
      </c>
    </row>
    <row r="237" spans="1:6">
      <c r="A237" s="49">
        <f t="shared" si="0"/>
        <v>2009.12</v>
      </c>
      <c r="B237" s="254">
        <v>184157449</v>
      </c>
      <c r="C237" s="932">
        <v>0.99299999999999999</v>
      </c>
      <c r="D237" s="2772">
        <f>C237/'8.1'!B225</f>
        <v>2.4884916161565376E-2</v>
      </c>
      <c r="E237" s="938"/>
      <c r="F237" s="935">
        <v>3550</v>
      </c>
    </row>
    <row r="238" spans="1:6">
      <c r="A238" s="49">
        <f t="shared" si="0"/>
        <v>2010.01</v>
      </c>
      <c r="B238" s="254">
        <v>159960053</v>
      </c>
      <c r="C238" s="932">
        <v>1.0531999999999999</v>
      </c>
      <c r="D238" s="2772">
        <f>C238/'8.1'!B226</f>
        <v>2.5763062193979339E-2</v>
      </c>
      <c r="E238" s="938"/>
      <c r="F238" s="935">
        <v>3250</v>
      </c>
    </row>
    <row r="239" spans="1:6">
      <c r="A239" s="49">
        <f t="shared" si="0"/>
        <v>2010.02</v>
      </c>
      <c r="B239" s="254">
        <v>134001785</v>
      </c>
      <c r="C239" s="932">
        <v>1.1153999999999999</v>
      </c>
      <c r="D239" s="2772">
        <f>C239/'8.1'!B227</f>
        <v>2.6339546804985247E-2</v>
      </c>
      <c r="E239" s="938"/>
      <c r="F239" s="935">
        <v>3125</v>
      </c>
    </row>
    <row r="240" spans="1:6">
      <c r="A240" s="49">
        <f t="shared" si="0"/>
        <v>2010.03</v>
      </c>
      <c r="B240" s="254">
        <v>142015182</v>
      </c>
      <c r="C240" s="932">
        <v>1.1884999999999999</v>
      </c>
      <c r="D240" s="2772">
        <f>C240/'8.1'!B228</f>
        <v>2.7444099780082939E-2</v>
      </c>
      <c r="E240" s="938"/>
      <c r="F240" s="935">
        <v>3175</v>
      </c>
    </row>
    <row r="241" spans="1:6">
      <c r="A241" s="49">
        <f t="shared" si="0"/>
        <v>2010.04</v>
      </c>
      <c r="B241" s="254">
        <v>139315180</v>
      </c>
      <c r="C241" s="932">
        <v>1.2929999999999999</v>
      </c>
      <c r="D241" s="2772">
        <f>C241/'8.1'!B229</f>
        <v>2.9238071804020618E-2</v>
      </c>
      <c r="E241" s="938"/>
      <c r="F241" s="935">
        <v>3700</v>
      </c>
    </row>
    <row r="242" spans="1:6">
      <c r="A242" s="49">
        <f t="shared" si="0"/>
        <v>2010.05</v>
      </c>
      <c r="B242" s="254">
        <v>154380116</v>
      </c>
      <c r="C242" s="932">
        <v>1.3979999999999999</v>
      </c>
      <c r="D242" s="2772">
        <f>C242/'8.1'!B230</f>
        <v>3.1115997993791566E-2</v>
      </c>
      <c r="E242" s="938"/>
      <c r="F242" s="935">
        <v>3900</v>
      </c>
    </row>
    <row r="243" spans="1:6">
      <c r="A243" s="49">
        <f t="shared" si="0"/>
        <v>2010.06</v>
      </c>
      <c r="B243" s="254">
        <v>162117361</v>
      </c>
      <c r="C243" s="932">
        <v>1.4044000000000001</v>
      </c>
      <c r="D243" s="2772">
        <f>C243/'8.1'!B231</f>
        <v>3.094990049384384E-2</v>
      </c>
      <c r="E243" s="938"/>
      <c r="F243" s="935">
        <v>3850</v>
      </c>
    </row>
    <row r="244" spans="1:6">
      <c r="A244" s="49">
        <f t="shared" si="0"/>
        <v>2010.07</v>
      </c>
      <c r="B244" s="254">
        <v>179433227</v>
      </c>
      <c r="C244" s="932">
        <v>1.3428</v>
      </c>
      <c r="D244" s="2772">
        <f>C244/'8.1'!B232</f>
        <v>2.9238120074993424E-2</v>
      </c>
      <c r="E244" s="938"/>
      <c r="F244" s="935">
        <v>3250</v>
      </c>
    </row>
    <row r="245" spans="1:6">
      <c r="A245" s="49">
        <f t="shared" si="0"/>
        <v>2010.08</v>
      </c>
      <c r="B245" s="254">
        <v>184952664</v>
      </c>
      <c r="C245" s="932">
        <v>1.3012999999999999</v>
      </c>
      <c r="D245" s="2772">
        <f>C245/'8.1'!B233</f>
        <v>2.8000476615714892E-2</v>
      </c>
      <c r="E245" s="938"/>
      <c r="F245" s="935">
        <v>3150</v>
      </c>
    </row>
    <row r="246" spans="1:6">
      <c r="A246" s="49">
        <f t="shared" si="0"/>
        <v>2010.09</v>
      </c>
      <c r="B246" s="254">
        <v>188536846</v>
      </c>
      <c r="C246" s="932">
        <v>1.3073999999999999</v>
      </c>
      <c r="D246" s="2772">
        <f>C246/'8.1'!B234</f>
        <v>2.787918663478749E-2</v>
      </c>
      <c r="E246" s="938"/>
      <c r="F246" s="935">
        <v>3400</v>
      </c>
    </row>
    <row r="247" spans="1:6">
      <c r="A247" s="49">
        <f t="shared" si="0"/>
        <v>2010.1</v>
      </c>
      <c r="B247" s="254">
        <v>203033187</v>
      </c>
      <c r="C247" s="932">
        <v>1.3143</v>
      </c>
      <c r="D247" s="2772">
        <f>C247/'8.1'!B235</f>
        <v>2.7241300312994841E-2</v>
      </c>
      <c r="E247" s="938"/>
      <c r="F247" s="935">
        <v>3500</v>
      </c>
    </row>
    <row r="248" spans="1:6">
      <c r="A248" s="49">
        <f t="shared" si="0"/>
        <v>2010.11</v>
      </c>
      <c r="B248" s="254">
        <v>185925783</v>
      </c>
      <c r="C248" s="932">
        <v>1.3494999999999999</v>
      </c>
      <c r="D248" s="2772">
        <f>C248/'8.1'!B236</f>
        <v>2.7399917392378324E-2</v>
      </c>
      <c r="E248" s="938"/>
      <c r="F248" s="935">
        <v>3525</v>
      </c>
    </row>
    <row r="249" spans="1:6">
      <c r="A249" s="49">
        <f t="shared" si="0"/>
        <v>2010.12</v>
      </c>
      <c r="B249" s="254">
        <v>177937388</v>
      </c>
      <c r="C249" s="932">
        <v>1.3735999999999999</v>
      </c>
      <c r="D249" s="2772">
        <f>C249/'8.1'!B237</f>
        <v>2.7401547874925252E-2</v>
      </c>
      <c r="E249" s="938"/>
      <c r="F249" s="935">
        <v>3550</v>
      </c>
    </row>
    <row r="250" spans="1:6">
      <c r="A250" s="49">
        <f t="shared" si="0"/>
        <v>2011.01</v>
      </c>
      <c r="B250" s="254">
        <v>176973759</v>
      </c>
      <c r="C250" s="932">
        <v>1.4147000000000001</v>
      </c>
      <c r="D250" s="2772">
        <f>C250/'8.1'!B238</f>
        <v>2.7927990853541709E-2</v>
      </c>
      <c r="E250" s="938"/>
      <c r="F250" s="935">
        <v>3862.5</v>
      </c>
    </row>
    <row r="251" spans="1:6">
      <c r="A251" s="49">
        <f t="shared" si="0"/>
        <v>2011.02</v>
      </c>
      <c r="B251" s="254">
        <v>156445493</v>
      </c>
      <c r="C251" s="932">
        <v>1.4986999999999999</v>
      </c>
      <c r="D251" s="2772">
        <f>C251/'8.1'!B239</f>
        <v>2.9195157938481094E-2</v>
      </c>
      <c r="E251" s="938"/>
      <c r="F251" s="935">
        <v>4250</v>
      </c>
    </row>
    <row r="252" spans="1:6">
      <c r="A252" s="49">
        <f t="shared" si="0"/>
        <v>2011.03</v>
      </c>
      <c r="B252" s="254">
        <v>163196423</v>
      </c>
      <c r="C252" s="932">
        <v>1.5651999999999999</v>
      </c>
      <c r="D252" s="2772">
        <f>C252/'8.1'!B240</f>
        <v>2.9692253093142506E-2</v>
      </c>
      <c r="E252" s="938"/>
      <c r="F252" s="935">
        <v>4650</v>
      </c>
    </row>
    <row r="253" spans="1:6">
      <c r="A253" s="49">
        <f t="shared" si="0"/>
        <v>2011.04</v>
      </c>
      <c r="B253" s="254">
        <v>161940953</v>
      </c>
      <c r="C253" s="932">
        <v>1.5485</v>
      </c>
      <c r="D253" s="2772">
        <f>C253/'8.1'!B241</f>
        <v>2.8751600187363845E-2</v>
      </c>
      <c r="E253" s="938"/>
      <c r="F253" s="935">
        <v>4125</v>
      </c>
    </row>
    <row r="254" spans="1:6">
      <c r="A254" s="49">
        <f t="shared" si="0"/>
        <v>2011.05</v>
      </c>
      <c r="B254" s="254">
        <v>175508836</v>
      </c>
      <c r="C254" s="932">
        <v>1.5610999999999999</v>
      </c>
      <c r="D254" s="2772">
        <f>C254/'8.1'!B242</f>
        <v>2.8656202902025515E-2</v>
      </c>
      <c r="E254" s="938"/>
      <c r="F254" s="935">
        <v>4100</v>
      </c>
    </row>
    <row r="255" spans="1:6">
      <c r="A255" s="49">
        <f t="shared" si="0"/>
        <v>2011.06</v>
      </c>
      <c r="B255" s="254">
        <v>179601836</v>
      </c>
      <c r="C255" s="932">
        <v>1.5249999999999999</v>
      </c>
      <c r="D255" s="2772">
        <f>C255/'8.1'!B243</f>
        <v>2.7655876713592865E-2</v>
      </c>
      <c r="E255" s="938"/>
      <c r="F255" s="935">
        <v>3950</v>
      </c>
    </row>
    <row r="256" spans="1:6">
      <c r="A256" s="49">
        <f t="shared" si="0"/>
        <v>2011.07</v>
      </c>
      <c r="B256" s="254">
        <v>193452778</v>
      </c>
      <c r="C256" s="932">
        <v>1.4979</v>
      </c>
      <c r="D256" s="2772">
        <f>C256/'8.1'!B244</f>
        <v>2.6752200212291466E-2</v>
      </c>
      <c r="E256" s="938"/>
      <c r="F256" s="935">
        <v>3787</v>
      </c>
    </row>
    <row r="257" spans="1:6">
      <c r="A257" s="49">
        <f t="shared" si="0"/>
        <v>2011.08</v>
      </c>
      <c r="B257" s="254">
        <v>211786006</v>
      </c>
      <c r="C257" s="932">
        <v>1.4812000000000001</v>
      </c>
      <c r="D257" s="2772">
        <f>C257/'8.1'!B245</f>
        <v>2.5983811752634801E-2</v>
      </c>
      <c r="E257" s="938"/>
      <c r="F257" s="935">
        <v>3529.5</v>
      </c>
    </row>
    <row r="258" spans="1:6">
      <c r="A258" s="49">
        <f t="shared" si="0"/>
        <v>2011.09</v>
      </c>
      <c r="B258" s="254">
        <v>222126650</v>
      </c>
      <c r="C258" s="932">
        <v>1.4832000000000001</v>
      </c>
      <c r="D258" s="2772">
        <f>C258/'8.1'!B246</f>
        <v>2.5542568236736427E-2</v>
      </c>
      <c r="E258" s="938"/>
      <c r="F258" s="935">
        <v>3487.5</v>
      </c>
    </row>
    <row r="259" spans="1:6">
      <c r="A259" s="49">
        <f t="shared" si="0"/>
        <v>2011.1</v>
      </c>
      <c r="B259" s="254">
        <v>225221234</v>
      </c>
      <c r="C259" s="932">
        <v>1.4783999999999999</v>
      </c>
      <c r="D259" s="2772">
        <f>C259/'8.1'!B247</f>
        <v>2.5281636643405055E-2</v>
      </c>
      <c r="E259" s="938"/>
      <c r="F259" s="935">
        <v>3500</v>
      </c>
    </row>
    <row r="260" spans="1:6">
      <c r="A260" s="49">
        <f t="shared" si="0"/>
        <v>2011.11</v>
      </c>
      <c r="B260" s="254">
        <v>210042361</v>
      </c>
      <c r="C260" s="932">
        <v>1.4756</v>
      </c>
      <c r="D260" s="2772">
        <f>C260/'8.1'!B248</f>
        <v>2.478562543339138E-2</v>
      </c>
      <c r="E260" s="938"/>
      <c r="F260" s="935">
        <v>3575</v>
      </c>
    </row>
    <row r="261" spans="1:6">
      <c r="A261" s="49">
        <f t="shared" si="0"/>
        <v>2011.12</v>
      </c>
      <c r="B261" s="254">
        <v>212261101</v>
      </c>
      <c r="C261" s="932">
        <v>1.4748000000000001</v>
      </c>
      <c r="D261" s="2772">
        <f>C261/'8.1'!B249</f>
        <v>2.4304462322319746E-2</v>
      </c>
      <c r="E261" s="938"/>
      <c r="F261" s="935">
        <v>3675</v>
      </c>
    </row>
    <row r="262" spans="1:6">
      <c r="A262" s="49">
        <f t="shared" si="0"/>
        <v>2012.01</v>
      </c>
      <c r="B262" s="254">
        <v>204823057</v>
      </c>
      <c r="C262" s="932">
        <v>1.4838</v>
      </c>
      <c r="D262" s="2772">
        <f>C262/'8.1'!B250</f>
        <v>2.418007894967222E-2</v>
      </c>
      <c r="E262" s="938"/>
      <c r="F262" s="935">
        <v>3600</v>
      </c>
    </row>
    <row r="263" spans="1:6">
      <c r="A263" s="49">
        <f t="shared" si="0"/>
        <v>2012.02</v>
      </c>
      <c r="B263" s="254">
        <v>174210812</v>
      </c>
      <c r="C263" s="932">
        <v>1.5046999999999999</v>
      </c>
      <c r="D263" s="2772">
        <f>C263/'8.1'!B251</f>
        <v>2.4304437453660618E-2</v>
      </c>
      <c r="E263" s="938"/>
      <c r="F263" s="935">
        <v>3550</v>
      </c>
    </row>
    <row r="264" spans="1:6">
      <c r="A264" s="49">
        <f t="shared" si="0"/>
        <v>2012.03</v>
      </c>
      <c r="B264" s="254">
        <v>179658661</v>
      </c>
      <c r="C264" s="932">
        <v>1.5468999999999999</v>
      </c>
      <c r="D264" s="2772">
        <f>C264/'8.1'!B252</f>
        <v>2.4139106624604067E-2</v>
      </c>
      <c r="E264" s="938"/>
      <c r="F264" s="935">
        <v>3450</v>
      </c>
    </row>
    <row r="265" spans="1:6">
      <c r="A265" s="49">
        <f t="shared" si="0"/>
        <v>2012.04</v>
      </c>
      <c r="B265" s="254">
        <v>171487463</v>
      </c>
      <c r="C265" s="932">
        <v>1.5693999999999999</v>
      </c>
      <c r="D265" s="2772">
        <f>C265/'8.1'!B253</f>
        <v>2.3788048218255545E-2</v>
      </c>
      <c r="E265" s="938"/>
      <c r="F265" s="935">
        <v>3175</v>
      </c>
    </row>
    <row r="266" spans="1:6">
      <c r="A266" s="49">
        <f t="shared" si="0"/>
        <v>2012.05</v>
      </c>
      <c r="B266" s="254">
        <v>183893164</v>
      </c>
      <c r="C266" s="932">
        <v>1.569</v>
      </c>
      <c r="D266" s="2772">
        <f>C266/'8.1'!B254</f>
        <v>2.3576583201352939E-2</v>
      </c>
      <c r="E266" s="938"/>
      <c r="F266" s="935">
        <v>2925</v>
      </c>
    </row>
    <row r="267" spans="1:6">
      <c r="A267" s="49">
        <f t="shared" si="0"/>
        <v>2012.06</v>
      </c>
      <c r="B267" s="254">
        <v>186163236</v>
      </c>
      <c r="C267" s="932">
        <v>1.5637000000000001</v>
      </c>
      <c r="D267" s="2772">
        <f>C267/'8.1'!B255</f>
        <v>2.3280405842972605E-2</v>
      </c>
      <c r="E267" s="938"/>
      <c r="F267" s="935">
        <v>2850</v>
      </c>
    </row>
    <row r="268" spans="1:6">
      <c r="A268" s="49">
        <f t="shared" si="0"/>
        <v>2012.07</v>
      </c>
      <c r="B268" s="254">
        <v>202264898</v>
      </c>
      <c r="C268" s="932">
        <v>1.5662</v>
      </c>
      <c r="D268" s="2772">
        <f>C268/'8.1'!B256</f>
        <v>2.3127658874400672E-2</v>
      </c>
      <c r="E268" s="938"/>
      <c r="F268" s="935">
        <v>2800</v>
      </c>
    </row>
    <row r="269" spans="1:6">
      <c r="A269" s="49">
        <f t="shared" si="0"/>
        <v>2012.08</v>
      </c>
      <c r="B269" s="254">
        <v>195849793</v>
      </c>
      <c r="C269" s="932">
        <v>1.5465</v>
      </c>
      <c r="D269" s="2772">
        <f>C269/'8.1'!B257</f>
        <v>2.2603202332965509E-2</v>
      </c>
      <c r="E269" s="938"/>
      <c r="F269" s="935">
        <v>2900</v>
      </c>
    </row>
    <row r="270" spans="1:6">
      <c r="A270" s="49">
        <f t="shared" si="0"/>
        <v>2012.09</v>
      </c>
      <c r="B270" s="254">
        <v>216625710</v>
      </c>
      <c r="C270" s="932">
        <v>1.5357000000000001</v>
      </c>
      <c r="D270" s="2772">
        <f>C270/'8.1'!B258</f>
        <v>2.2148520623161121E-2</v>
      </c>
      <c r="E270" s="938"/>
      <c r="F270" s="935">
        <v>3237.5</v>
      </c>
    </row>
    <row r="271" spans="1:6">
      <c r="A271" s="49">
        <f t="shared" si="0"/>
        <v>2012.1</v>
      </c>
      <c r="B271" s="254">
        <v>216596985</v>
      </c>
      <c r="C271" s="932">
        <v>1.5442</v>
      </c>
      <c r="D271" s="2772">
        <f>C271/'8.1'!B259</f>
        <v>2.2041342068000382E-2</v>
      </c>
      <c r="E271" s="938"/>
      <c r="F271" s="935">
        <v>3300</v>
      </c>
    </row>
    <row r="272" spans="1:6">
      <c r="A272" s="49">
        <f t="shared" si="0"/>
        <v>2012.11</v>
      </c>
      <c r="B272" s="254">
        <v>205233177</v>
      </c>
      <c r="C272" s="932">
        <v>1.5792999999999999</v>
      </c>
      <c r="D272" s="2772">
        <f>C272/'8.1'!B260</f>
        <v>2.2304279189665287E-2</v>
      </c>
      <c r="E272" s="938"/>
      <c r="F272" s="935">
        <v>3375</v>
      </c>
    </row>
    <row r="273" spans="1:6">
      <c r="A273" s="49">
        <f t="shared" si="0"/>
        <v>2012.12</v>
      </c>
      <c r="B273" s="254">
        <v>200694219</v>
      </c>
      <c r="C273" s="932">
        <v>1.629</v>
      </c>
      <c r="D273" s="2772">
        <f>C273/'8.1'!B261</f>
        <v>2.2799448027377888E-2</v>
      </c>
      <c r="E273" s="938"/>
      <c r="F273" s="935">
        <v>3300</v>
      </c>
    </row>
    <row r="274" spans="1:6">
      <c r="A274" s="49">
        <f t="shared" si="0"/>
        <v>2013.01</v>
      </c>
      <c r="B274" s="254">
        <v>187984200</v>
      </c>
      <c r="C274" s="932">
        <v>1.7141</v>
      </c>
      <c r="D274" s="2772">
        <f>C274/'8.1'!B262</f>
        <v>2.3709195076898053E-2</v>
      </c>
      <c r="E274" s="938"/>
      <c r="F274" s="935">
        <v>3350</v>
      </c>
    </row>
    <row r="275" spans="1:6">
      <c r="A275" s="49">
        <f t="shared" si="0"/>
        <v>2013.02</v>
      </c>
      <c r="B275" s="254">
        <v>159111381</v>
      </c>
      <c r="C275" s="932">
        <v>1.8193999999999999</v>
      </c>
      <c r="D275" s="2772">
        <f>C275/'8.1'!B263</f>
        <v>2.4952713990472726E-2</v>
      </c>
      <c r="E275" s="938"/>
      <c r="F275" s="935">
        <v>3475</v>
      </c>
    </row>
    <row r="276" spans="1:6">
      <c r="A276" s="49">
        <f t="shared" si="0"/>
        <v>2013.03</v>
      </c>
      <c r="B276" s="254">
        <v>174516556</v>
      </c>
      <c r="C276" s="932">
        <v>1.9172</v>
      </c>
      <c r="D276" s="2772">
        <f>C276/'8.1'!B264</f>
        <v>2.5985728162218853E-2</v>
      </c>
      <c r="E276" s="938"/>
      <c r="F276" s="935">
        <v>4950</v>
      </c>
    </row>
    <row r="277" spans="1:6">
      <c r="A277" s="49">
        <f t="shared" si="0"/>
        <v>2013.04</v>
      </c>
      <c r="B277" s="254">
        <v>168662468</v>
      </c>
      <c r="C277" s="932">
        <v>2.0969000000000002</v>
      </c>
      <c r="D277" s="2772">
        <f>C277/'8.1'!B265</f>
        <v>2.8120250506963523E-2</v>
      </c>
      <c r="E277" s="938"/>
      <c r="F277" s="935">
        <v>5600</v>
      </c>
    </row>
    <row r="278" spans="1:6">
      <c r="A278" s="49">
        <f t="shared" si="0"/>
        <v>2013.05</v>
      </c>
      <c r="B278" s="254">
        <v>187781810</v>
      </c>
      <c r="C278" s="932">
        <v>2.0907</v>
      </c>
      <c r="D278" s="2772">
        <f>C278/'8.1'!B266</f>
        <v>2.7822649830411387E-2</v>
      </c>
      <c r="E278" s="938"/>
      <c r="F278" s="935">
        <v>5262.5</v>
      </c>
    </row>
    <row r="279" spans="1:6">
      <c r="A279" s="49">
        <f t="shared" si="0"/>
        <v>2013.06</v>
      </c>
      <c r="B279" s="254">
        <v>194379088</v>
      </c>
      <c r="C279" s="932">
        <v>2.0891000000000002</v>
      </c>
      <c r="D279" s="2772">
        <f>C279/'8.1'!B267</f>
        <v>2.7462033655755422E-2</v>
      </c>
      <c r="E279" s="938"/>
      <c r="F279" s="935">
        <v>4750</v>
      </c>
    </row>
    <row r="280" spans="1:6">
      <c r="A280" s="49">
        <f t="shared" si="0"/>
        <v>2013.07</v>
      </c>
      <c r="B280" s="254">
        <v>212213739</v>
      </c>
      <c r="C280" s="932">
        <v>2.0992999999999999</v>
      </c>
      <c r="D280" s="2772">
        <f>C280/'8.1'!B268</f>
        <v>2.7284475288769015E-2</v>
      </c>
      <c r="E280" s="938"/>
      <c r="F280" s="935">
        <v>4912</v>
      </c>
    </row>
    <row r="281" spans="1:6">
      <c r="A281" s="49">
        <f t="shared" si="0"/>
        <v>2013.08</v>
      </c>
      <c r="B281" s="254">
        <v>216365690</v>
      </c>
      <c r="C281" s="932">
        <v>2.1025</v>
      </c>
      <c r="D281" s="2772">
        <f>C281/'8.1'!B269</f>
        <v>2.6976932428683709E-2</v>
      </c>
      <c r="E281" s="938"/>
      <c r="F281" s="935">
        <v>5000</v>
      </c>
    </row>
    <row r="282" spans="1:6">
      <c r="A282" s="49">
        <f t="shared" si="0"/>
        <v>2013.09</v>
      </c>
      <c r="B282" s="254">
        <v>214519356</v>
      </c>
      <c r="C282" s="932">
        <v>2.1434000000000002</v>
      </c>
      <c r="D282" s="2772">
        <f>C282/'8.1'!B270</f>
        <v>2.7171976459167264E-2</v>
      </c>
      <c r="E282" s="938"/>
      <c r="F282" s="935">
        <v>5025</v>
      </c>
    </row>
    <row r="283" spans="1:6">
      <c r="A283" s="49">
        <f t="shared" si="0"/>
        <v>2013.1</v>
      </c>
      <c r="B283" s="254">
        <v>225685353</v>
      </c>
      <c r="C283" s="932">
        <v>2.1909000000000001</v>
      </c>
      <c r="D283" s="2772">
        <f>C283/'8.1'!B271</f>
        <v>2.7392964310327061E-2</v>
      </c>
      <c r="E283" s="938"/>
      <c r="F283" s="935">
        <v>5125</v>
      </c>
    </row>
    <row r="284" spans="1:6">
      <c r="A284" s="49">
        <f t="shared" si="0"/>
        <v>2013.11</v>
      </c>
      <c r="B284" s="254">
        <v>216681331</v>
      </c>
      <c r="C284" s="932">
        <v>2.2395999999999998</v>
      </c>
      <c r="D284" s="2772">
        <f>C284/'8.1'!B272</f>
        <v>2.748397110633842E-2</v>
      </c>
      <c r="E284" s="938"/>
      <c r="F284" s="935">
        <v>4950</v>
      </c>
    </row>
    <row r="285" spans="1:6">
      <c r="A285" s="49">
        <f t="shared" si="0"/>
        <v>2013.12</v>
      </c>
      <c r="B285" s="254">
        <v>203912652</v>
      </c>
      <c r="C285" s="932">
        <v>2.3308</v>
      </c>
      <c r="D285" s="2772">
        <f>C285/'8.1'!B273</f>
        <v>2.8095467695274833E-2</v>
      </c>
      <c r="E285" s="938"/>
      <c r="F285" s="935">
        <v>5137.5</v>
      </c>
    </row>
    <row r="286" spans="1:6">
      <c r="A286" s="49">
        <f t="shared" si="0"/>
        <v>2014.01</v>
      </c>
      <c r="B286" s="254">
        <v>192051334</v>
      </c>
      <c r="C286" s="932">
        <v>2.4424999999999999</v>
      </c>
      <c r="D286" s="2772">
        <f>C286/'8.1'!B274</f>
        <v>2.8654387611450022E-2</v>
      </c>
      <c r="E286" s="938"/>
      <c r="F286" s="935">
        <v>5137.5</v>
      </c>
    </row>
    <row r="287" spans="1:6">
      <c r="A287" s="49">
        <f t="shared" si="0"/>
        <v>2014.02</v>
      </c>
      <c r="B287" s="254">
        <v>163062382</v>
      </c>
      <c r="C287" s="932">
        <v>2.6724000000000001</v>
      </c>
      <c r="D287" s="2772">
        <f>C287/'8.1'!B275</f>
        <v>2.9597962122051166E-2</v>
      </c>
      <c r="E287" s="938"/>
      <c r="F287" s="935">
        <v>5125</v>
      </c>
    </row>
    <row r="288" spans="1:6">
      <c r="A288" s="49">
        <f t="shared" si="0"/>
        <v>2014.03</v>
      </c>
      <c r="B288" s="254">
        <v>163280618</v>
      </c>
      <c r="C288" s="932">
        <v>2.7826</v>
      </c>
      <c r="D288" s="2772">
        <f>C288/'8.1'!B276</f>
        <v>2.9798672092525166E-2</v>
      </c>
      <c r="E288" s="938"/>
      <c r="F288" s="935">
        <v>4725</v>
      </c>
    </row>
    <row r="289" spans="1:7">
      <c r="A289" s="49">
        <f t="shared" si="0"/>
        <v>2014.04</v>
      </c>
      <c r="B289" s="254">
        <v>151215613</v>
      </c>
      <c r="C289" s="932">
        <v>2.9842</v>
      </c>
      <c r="D289" s="2772">
        <f>C289/'8.1'!B277</f>
        <v>3.1340054610375971E-2</v>
      </c>
      <c r="E289" s="938"/>
      <c r="F289" s="935">
        <v>4337.5</v>
      </c>
    </row>
    <row r="290" spans="1:7">
      <c r="A290" s="49">
        <f t="shared" ref="A290:A353" si="1">A278+1</f>
        <v>2014.05</v>
      </c>
      <c r="B290" s="254">
        <v>168454825</v>
      </c>
      <c r="C290" s="932">
        <v>3.016</v>
      </c>
      <c r="D290" s="2772">
        <f>C290/'8.1'!B278</f>
        <v>3.1099195710455763E-2</v>
      </c>
      <c r="E290" s="938"/>
      <c r="F290" s="935">
        <v>4112.5</v>
      </c>
    </row>
    <row r="291" spans="1:7">
      <c r="A291" s="49">
        <f t="shared" si="1"/>
        <v>2014.06</v>
      </c>
      <c r="B291" s="254">
        <v>179766407</v>
      </c>
      <c r="C291" s="932">
        <v>3.052</v>
      </c>
      <c r="D291" s="2772">
        <f>C291/'8.1'!B279</f>
        <v>3.0809610337169391E-2</v>
      </c>
      <c r="E291" s="938"/>
      <c r="F291" s="935">
        <v>3975</v>
      </c>
    </row>
    <row r="292" spans="1:7">
      <c r="A292" s="49">
        <f t="shared" si="1"/>
        <v>2014.07</v>
      </c>
      <c r="B292" s="254">
        <v>199826397</v>
      </c>
      <c r="C292" s="932">
        <v>3.1196000000000002</v>
      </c>
      <c r="D292" s="2772">
        <f>C292/'8.1'!B280</f>
        <v>3.0982222663621016E-2</v>
      </c>
      <c r="E292" s="938"/>
      <c r="F292" s="935">
        <v>3500</v>
      </c>
    </row>
    <row r="293" spans="1:7">
      <c r="A293" s="49">
        <f t="shared" si="1"/>
        <v>2014.08</v>
      </c>
      <c r="B293" s="254">
        <v>213240407</v>
      </c>
      <c r="C293" s="932">
        <v>3.1151</v>
      </c>
      <c r="D293" s="2772">
        <f>C293/'8.1'!B281</f>
        <v>3.0305477186496739E-2</v>
      </c>
      <c r="E293" s="938"/>
      <c r="F293" s="935">
        <v>3012.5</v>
      </c>
    </row>
    <row r="294" spans="1:7">
      <c r="A294" s="49">
        <f t="shared" si="1"/>
        <v>2014.09</v>
      </c>
      <c r="B294" s="254">
        <v>213393489</v>
      </c>
      <c r="C294" s="932">
        <v>3.1335999999999999</v>
      </c>
      <c r="D294" s="2772">
        <f>C294/'8.1'!B282</f>
        <v>2.9634953659920561E-2</v>
      </c>
      <c r="E294" s="938"/>
      <c r="F294" s="935">
        <v>2875</v>
      </c>
    </row>
    <row r="295" spans="1:7">
      <c r="A295" s="49">
        <f t="shared" si="1"/>
        <v>2014.1</v>
      </c>
      <c r="B295" s="254">
        <v>213982985</v>
      </c>
      <c r="C295" s="932">
        <v>3.1716000000000002</v>
      </c>
      <c r="D295" s="2772">
        <f>C295/'8.1'!B283</f>
        <v>2.9344929681717247E-2</v>
      </c>
      <c r="E295" s="938"/>
      <c r="F295" s="935">
        <v>2725</v>
      </c>
    </row>
    <row r="296" spans="1:7">
      <c r="A296" s="49">
        <f t="shared" si="1"/>
        <v>2014.11</v>
      </c>
      <c r="B296" s="254">
        <v>202397863</v>
      </c>
      <c r="C296" s="932">
        <v>3.2385000000000002</v>
      </c>
      <c r="D296" s="2772">
        <f>C296/'8.1'!B284</f>
        <v>2.9336896458012504E-2</v>
      </c>
      <c r="E296" s="938"/>
      <c r="F296" s="935">
        <v>2550</v>
      </c>
    </row>
    <row r="297" spans="1:7">
      <c r="A297" s="49">
        <f t="shared" si="1"/>
        <v>2014.12</v>
      </c>
      <c r="B297" s="254">
        <v>210403710</v>
      </c>
      <c r="C297" s="932">
        <v>3.2238000000000002</v>
      </c>
      <c r="D297" s="2772">
        <f>C297/'8.1'!B285</f>
        <v>2.8745430227374053E-2</v>
      </c>
      <c r="E297" s="938"/>
      <c r="F297" s="935">
        <v>2450</v>
      </c>
    </row>
    <row r="298" spans="1:7">
      <c r="A298" s="49">
        <f t="shared" si="1"/>
        <v>2015.01</v>
      </c>
      <c r="B298" s="254">
        <v>183054305</v>
      </c>
      <c r="C298" s="932">
        <v>3.1410999999999998</v>
      </c>
      <c r="D298" s="2772">
        <f>C298/'8.1'!B286</f>
        <v>2.7682206750682999E-2</v>
      </c>
      <c r="E298" s="940">
        <v>973.79013632348392</v>
      </c>
      <c r="F298" s="935">
        <v>2500</v>
      </c>
    </row>
    <row r="299" spans="1:7">
      <c r="A299" s="49">
        <f t="shared" si="1"/>
        <v>2015.02</v>
      </c>
      <c r="B299" s="254">
        <v>156799303</v>
      </c>
      <c r="C299" s="932">
        <v>3.2002999999999999</v>
      </c>
      <c r="D299" s="2772">
        <f>C299/'8.1'!B287</f>
        <v>2.7727430254721883E-2</v>
      </c>
      <c r="E299" s="941">
        <v>746.72200440490212</v>
      </c>
      <c r="F299" s="935">
        <v>3200</v>
      </c>
    </row>
    <row r="300" spans="1:7">
      <c r="A300" s="49">
        <f t="shared" si="1"/>
        <v>2015.03</v>
      </c>
      <c r="B300" s="254">
        <v>157852868</v>
      </c>
      <c r="C300" s="932">
        <v>3.2195</v>
      </c>
      <c r="D300" s="2772">
        <f>C300/'8.1'!B288</f>
        <v>2.7437361513550366E-2</v>
      </c>
      <c r="E300" s="941">
        <v>863.9697897568816</v>
      </c>
      <c r="F300" s="935">
        <v>3125</v>
      </c>
    </row>
    <row r="301" spans="1:7">
      <c r="A301" s="49">
        <f t="shared" si="1"/>
        <v>2015.04</v>
      </c>
      <c r="B301" s="254">
        <v>162400778</v>
      </c>
      <c r="C301" s="932">
        <v>3.2387999999999999</v>
      </c>
      <c r="D301" s="2772">
        <f>C301/'8.1'!B289</f>
        <v>2.6951818257468584E-2</v>
      </c>
      <c r="E301" s="941">
        <v>879.36105084103986</v>
      </c>
      <c r="F301" s="935">
        <v>2687.5</v>
      </c>
    </row>
    <row r="302" spans="1:7">
      <c r="A302" s="49">
        <f t="shared" si="1"/>
        <v>2015.05</v>
      </c>
      <c r="B302" s="254">
        <v>180010237</v>
      </c>
      <c r="C302" s="932">
        <v>3.2229999999999999</v>
      </c>
      <c r="D302" s="2772">
        <f>C302/'8.1'!B290</f>
        <v>2.6355384741188974E-2</v>
      </c>
      <c r="E302" s="941">
        <v>949.40321824260104</v>
      </c>
      <c r="F302" s="935">
        <v>2387.5</v>
      </c>
    </row>
    <row r="303" spans="1:7">
      <c r="A303" s="49">
        <f t="shared" si="1"/>
        <v>2015.06</v>
      </c>
      <c r="B303" s="254">
        <v>187249031</v>
      </c>
      <c r="C303" s="932">
        <v>3.1431</v>
      </c>
      <c r="D303" s="2772">
        <f>C303/'8.1'!B291</f>
        <v>2.5404946653734238E-2</v>
      </c>
      <c r="E303" s="941">
        <v>986.14223052906129</v>
      </c>
      <c r="F303" s="935">
        <v>2325</v>
      </c>
      <c r="G303" s="512"/>
    </row>
    <row r="304" spans="1:7">
      <c r="A304" s="49">
        <f t="shared" si="1"/>
        <v>2015.07</v>
      </c>
      <c r="B304" s="254">
        <v>198223480</v>
      </c>
      <c r="C304" s="932">
        <v>2.9047999999999998</v>
      </c>
      <c r="D304" s="2772">
        <f>C304/'8.1'!B292</f>
        <v>2.2984649469852823E-2</v>
      </c>
      <c r="E304" s="941">
        <v>1049.7610967197841</v>
      </c>
      <c r="F304" s="935">
        <v>1887.5</v>
      </c>
      <c r="G304" s="512"/>
    </row>
    <row r="305" spans="1:7">
      <c r="A305" s="49">
        <f t="shared" si="1"/>
        <v>2015.08</v>
      </c>
      <c r="B305" s="254">
        <v>209693046</v>
      </c>
      <c r="C305" s="932">
        <v>2.738</v>
      </c>
      <c r="D305" s="2772">
        <f>C305/'8.1'!B293</f>
        <v>2.114122461585978E-2</v>
      </c>
      <c r="E305" s="941">
        <v>1093.0513023879746</v>
      </c>
      <c r="F305" s="935">
        <v>1850</v>
      </c>
      <c r="G305" s="512"/>
    </row>
    <row r="306" spans="1:7">
      <c r="A306" s="49">
        <f t="shared" si="1"/>
        <v>2015.09</v>
      </c>
      <c r="B306" s="254">
        <v>219385798</v>
      </c>
      <c r="C306" s="932">
        <v>2.5232000000000001</v>
      </c>
      <c r="D306" s="2772">
        <f>C306/'8.1'!B294</f>
        <v>1.9148516354253624E-2</v>
      </c>
      <c r="E306" s="941">
        <v>1148.9362733844948</v>
      </c>
      <c r="F306" s="935">
        <v>2300</v>
      </c>
      <c r="G306" s="512"/>
    </row>
    <row r="307" spans="1:7">
      <c r="A307" s="49">
        <f t="shared" si="1"/>
        <v>2015.1</v>
      </c>
      <c r="B307" s="254">
        <v>227165787</v>
      </c>
      <c r="C307" s="932">
        <v>2.4790000000000001</v>
      </c>
      <c r="D307" s="2772">
        <f>C307/'8.1'!B295</f>
        <v>1.8517965190109807E-2</v>
      </c>
      <c r="E307" s="941">
        <v>1193.0071805524919</v>
      </c>
      <c r="F307" s="935">
        <v>2800</v>
      </c>
      <c r="G307" s="512"/>
    </row>
    <row r="308" spans="1:7">
      <c r="A308" s="49">
        <f t="shared" si="1"/>
        <v>2015.11</v>
      </c>
      <c r="B308" s="254">
        <v>208267289</v>
      </c>
      <c r="C308" s="932">
        <v>2.4727999999999999</v>
      </c>
      <c r="D308" s="2772">
        <f>C308/'8.1'!B296</f>
        <v>1.814366424535916E-2</v>
      </c>
      <c r="E308" s="941">
        <v>1111.5235298538996</v>
      </c>
      <c r="F308" s="935">
        <v>2275</v>
      </c>
      <c r="G308" s="512"/>
    </row>
    <row r="309" spans="1:7">
      <c r="A309" s="49">
        <f t="shared" si="1"/>
        <v>2015.12</v>
      </c>
      <c r="B309" s="254">
        <v>200511953</v>
      </c>
      <c r="C309" s="932">
        <v>2.4866000000000001</v>
      </c>
      <c r="D309" s="2772">
        <f>C309/'8.1'!B297</f>
        <v>1.7224993072873371E-2</v>
      </c>
      <c r="E309" s="941">
        <v>1065.2304595363987</v>
      </c>
      <c r="F309" s="935">
        <v>2250</v>
      </c>
      <c r="G309" s="512"/>
    </row>
    <row r="310" spans="1:7">
      <c r="A310" s="49">
        <f t="shared" si="1"/>
        <v>2016.01</v>
      </c>
      <c r="B310" s="254">
        <v>176247046</v>
      </c>
      <c r="C310" s="932">
        <v>2.7176</v>
      </c>
      <c r="D310" s="2772">
        <f>C310/'8.1'!B298</f>
        <v>1.8125792036283599E-2</v>
      </c>
      <c r="E310" s="941">
        <v>905.82853245908507</v>
      </c>
      <c r="F310" s="935">
        <v>2100</v>
      </c>
      <c r="G310" s="512"/>
    </row>
    <row r="311" spans="1:7">
      <c r="A311" s="49">
        <f t="shared" si="1"/>
        <v>2016.02</v>
      </c>
      <c r="B311" s="254">
        <v>155086887</v>
      </c>
      <c r="C311" s="932">
        <v>2.7418999999999998</v>
      </c>
      <c r="D311" s="2772">
        <f>C311/'8.1'!B299</f>
        <v>1.7707956600361664E-2</v>
      </c>
      <c r="E311" s="941">
        <v>777.83842919894039</v>
      </c>
      <c r="F311" s="935">
        <v>1967.5</v>
      </c>
      <c r="G311" s="512"/>
    </row>
    <row r="312" spans="1:7">
      <c r="A312" s="49">
        <f t="shared" si="1"/>
        <v>2016.03</v>
      </c>
      <c r="B312" s="254">
        <v>159016611</v>
      </c>
      <c r="C312" s="932">
        <v>2.7746</v>
      </c>
      <c r="D312" s="2772">
        <f>C312/'8.1'!B300</f>
        <v>1.7481098790322582E-2</v>
      </c>
      <c r="E312" s="941">
        <v>813.35177376910701</v>
      </c>
      <c r="F312" s="935">
        <v>2062.5</v>
      </c>
      <c r="G312" s="512"/>
    </row>
    <row r="313" spans="1:7">
      <c r="A313" s="49">
        <f t="shared" si="1"/>
        <v>2016.04</v>
      </c>
      <c r="B313" s="254">
        <v>119367683</v>
      </c>
      <c r="C313" s="932">
        <v>3.4264000000000001</v>
      </c>
      <c r="D313" s="2772">
        <f>C313/'8.1'!B301</f>
        <v>2.0673343791480631E-2</v>
      </c>
      <c r="E313" s="941">
        <v>696.74703382737755</v>
      </c>
      <c r="F313" s="935">
        <v>2050</v>
      </c>
      <c r="G313" s="512"/>
    </row>
    <row r="314" spans="1:7">
      <c r="A314" s="49">
        <f t="shared" si="1"/>
        <v>2016.05</v>
      </c>
      <c r="B314" s="254">
        <v>124134595</v>
      </c>
      <c r="C314" s="932">
        <v>4.1041999999999996</v>
      </c>
      <c r="D314" s="2772">
        <f>C314/'8.1'!B302</f>
        <v>2.3867178413584551E-2</v>
      </c>
      <c r="E314" s="941">
        <v>740.65727679334475</v>
      </c>
      <c r="F314" s="935">
        <v>2062.5</v>
      </c>
    </row>
    <row r="315" spans="1:7">
      <c r="A315" s="49">
        <f t="shared" si="1"/>
        <v>2016.06</v>
      </c>
      <c r="B315" s="254">
        <v>136406537</v>
      </c>
      <c r="C315" s="932">
        <v>4.0907</v>
      </c>
      <c r="D315" s="2772">
        <f>C315/'8.1'!B303</f>
        <v>2.3082609186322087E-2</v>
      </c>
      <c r="E315" s="941">
        <v>775.19692886902442</v>
      </c>
      <c r="F315" s="935">
        <v>2100</v>
      </c>
    </row>
    <row r="316" spans="1:7">
      <c r="A316" s="49">
        <f t="shared" si="1"/>
        <v>2016.07</v>
      </c>
      <c r="B316" s="254">
        <v>152066715</v>
      </c>
      <c r="C316" s="932">
        <v>4.2206000000000001</v>
      </c>
      <c r="D316" s="2772">
        <f>C316/'8.1'!B304</f>
        <v>2.3337572573956317E-2</v>
      </c>
      <c r="E316" s="941">
        <v>840.87137301154303</v>
      </c>
      <c r="F316" s="935">
        <v>2212.5</v>
      </c>
    </row>
    <row r="317" spans="1:7">
      <c r="A317" s="49">
        <f t="shared" si="1"/>
        <v>2016.08</v>
      </c>
      <c r="B317" s="254">
        <v>167997697</v>
      </c>
      <c r="C317" s="932">
        <v>4.3331</v>
      </c>
      <c r="D317" s="2772">
        <f>C317/'8.1'!B305</f>
        <v>2.3873829201101929E-2</v>
      </c>
      <c r="E317" s="941">
        <v>936.36971622474402</v>
      </c>
      <c r="F317" s="935">
        <v>2662.5</v>
      </c>
    </row>
    <row r="318" spans="1:7">
      <c r="A318" s="49">
        <f t="shared" si="1"/>
        <v>2016.09</v>
      </c>
      <c r="B318" s="254">
        <v>180102897</v>
      </c>
      <c r="C318" s="932">
        <v>4.3836000000000004</v>
      </c>
      <c r="D318" s="2772">
        <f>C318/'8.1'!B306</f>
        <v>2.3986867305061561E-2</v>
      </c>
      <c r="E318" s="941">
        <v>976.49204341799441</v>
      </c>
      <c r="F318" s="935">
        <v>2850</v>
      </c>
    </row>
    <row r="319" spans="1:7">
      <c r="A319" s="49">
        <f t="shared" si="1"/>
        <v>2016.1</v>
      </c>
      <c r="B319" s="254">
        <v>183727491</v>
      </c>
      <c r="C319" s="932">
        <v>4.4180000000000001</v>
      </c>
      <c r="D319" s="2772">
        <f>C319/'8.1'!B307</f>
        <v>2.3582790648019644E-2</v>
      </c>
      <c r="E319" s="941">
        <v>1002.7932987553244</v>
      </c>
      <c r="F319" s="935">
        <v>2825</v>
      </c>
    </row>
    <row r="320" spans="1:7">
      <c r="A320" s="49">
        <f t="shared" si="1"/>
        <v>2016.11</v>
      </c>
      <c r="B320" s="254">
        <v>171735822</v>
      </c>
      <c r="C320" s="932">
        <v>4.5328999999999997</v>
      </c>
      <c r="D320" s="2772">
        <f>C320/'8.1'!B308</f>
        <v>2.401027596800678E-2</v>
      </c>
      <c r="E320" s="941">
        <v>917.25944499524951</v>
      </c>
      <c r="F320" s="935">
        <v>3150</v>
      </c>
    </row>
    <row r="321" spans="1:9">
      <c r="A321" s="49">
        <f t="shared" si="1"/>
        <v>2016.12</v>
      </c>
      <c r="B321" s="254">
        <v>168433120</v>
      </c>
      <c r="C321" s="932">
        <v>4.7178000000000004</v>
      </c>
      <c r="D321" s="2772">
        <f>C321/'8.1'!B309</f>
        <v>2.4592368640533779E-2</v>
      </c>
      <c r="E321" s="941">
        <v>908.79559944927291</v>
      </c>
      <c r="F321" s="935">
        <v>3287.5</v>
      </c>
    </row>
    <row r="322" spans="1:9">
      <c r="A322" s="49">
        <f t="shared" si="1"/>
        <v>2017.01</v>
      </c>
      <c r="B322" s="254">
        <v>141288873</v>
      </c>
      <c r="C322" s="932">
        <v>4.9692999999999996</v>
      </c>
      <c r="D322" s="2772">
        <f>C322/'8.1'!B310</f>
        <v>2.53768767235216E-2</v>
      </c>
      <c r="E322" s="941">
        <v>811.98887649631718</v>
      </c>
      <c r="F322" s="935">
        <v>3187.5</v>
      </c>
      <c r="G322" s="778"/>
    </row>
    <row r="323" spans="1:9">
      <c r="A323" s="49">
        <f t="shared" si="1"/>
        <v>2017.02</v>
      </c>
      <c r="B323" s="254">
        <v>118331652</v>
      </c>
      <c r="C323" s="932">
        <v>5.1045999999999996</v>
      </c>
      <c r="D323" s="2772">
        <f>C323/'8.1'!B311</f>
        <v>2.538465363767467E-2</v>
      </c>
      <c r="E323" s="941">
        <v>681.55738577130273</v>
      </c>
      <c r="F323" s="935">
        <v>3300</v>
      </c>
      <c r="G323" s="778"/>
    </row>
    <row r="324" spans="1:9">
      <c r="A324" s="49">
        <f t="shared" si="1"/>
        <v>2017.03</v>
      </c>
      <c r="B324" s="254">
        <v>117635793</v>
      </c>
      <c r="C324" s="932">
        <v>5.2145999999999999</v>
      </c>
      <c r="D324" s="2772">
        <f>C324/'8.1'!B312</f>
        <v>2.5220545560069647E-2</v>
      </c>
      <c r="E324" s="941">
        <v>731.66221149187754</v>
      </c>
      <c r="F324" s="935">
        <v>2962.5</v>
      </c>
      <c r="G324" s="778"/>
    </row>
    <row r="325" spans="1:9">
      <c r="A325" s="49">
        <f t="shared" si="1"/>
        <v>2017.04</v>
      </c>
      <c r="B325" s="254">
        <v>119035740</v>
      </c>
      <c r="C325" s="932">
        <v>5.3075999999999999</v>
      </c>
      <c r="D325" s="2772">
        <f>C325/'8.1'!B313</f>
        <v>2.5068959002456075E-2</v>
      </c>
      <c r="E325" s="941">
        <v>710.91506057351148</v>
      </c>
      <c r="F325" s="935">
        <v>3075</v>
      </c>
      <c r="G325" s="778"/>
    </row>
    <row r="326" spans="1:9">
      <c r="A326" s="49">
        <f t="shared" si="1"/>
        <v>2017.05</v>
      </c>
      <c r="B326" s="254">
        <v>123830278</v>
      </c>
      <c r="C326" s="932">
        <v>5.5018000000000002</v>
      </c>
      <c r="D326" s="2772">
        <f>C326/'8.1'!B314</f>
        <v>2.550199313989061E-2</v>
      </c>
      <c r="E326" s="941">
        <v>782.04042521641952</v>
      </c>
      <c r="F326" s="935">
        <v>3225</v>
      </c>
      <c r="G326" s="778"/>
    </row>
    <row r="327" spans="1:9">
      <c r="A327" s="49">
        <f t="shared" si="1"/>
        <v>2017.06</v>
      </c>
      <c r="B327" s="254">
        <v>129514145</v>
      </c>
      <c r="C327" s="932">
        <v>5.5907</v>
      </c>
      <c r="D327" s="2772">
        <f>C327/'8.1'!B315</f>
        <v>2.558438586857038E-2</v>
      </c>
      <c r="E327" s="941">
        <v>795.64695192034264</v>
      </c>
      <c r="F327" s="935">
        <v>3125</v>
      </c>
      <c r="G327" s="778"/>
    </row>
    <row r="328" spans="1:9">
      <c r="A328" s="49">
        <f t="shared" si="1"/>
        <v>2017.07</v>
      </c>
      <c r="B328" s="254">
        <v>142934585</v>
      </c>
      <c r="C328" s="932">
        <v>5.6436000000000002</v>
      </c>
      <c r="D328" s="2772">
        <f>C328/'8.1'!B316</f>
        <v>2.5314434376962413E-2</v>
      </c>
      <c r="E328" s="941">
        <v>861.42034438680696</v>
      </c>
      <c r="F328" s="935">
        <v>3200</v>
      </c>
      <c r="G328" s="778"/>
    </row>
    <row r="329" spans="1:9">
      <c r="A329" s="49">
        <f t="shared" si="1"/>
        <v>2017.08</v>
      </c>
      <c r="B329" s="254">
        <v>151324430</v>
      </c>
      <c r="C329" s="932">
        <v>5.7092000000000001</v>
      </c>
      <c r="D329" s="2772">
        <f>C329/'8.1'!B317</f>
        <v>2.5258593991947971E-2</v>
      </c>
      <c r="E329" s="941">
        <v>911.06693689061683</v>
      </c>
      <c r="F329" s="935">
        <v>3200</v>
      </c>
      <c r="G329" s="778"/>
    </row>
    <row r="330" spans="1:9">
      <c r="A330" s="49">
        <f t="shared" si="1"/>
        <v>2017.09</v>
      </c>
      <c r="B330" s="254">
        <v>156565498</v>
      </c>
      <c r="C330" s="932">
        <v>5.7605000000000004</v>
      </c>
      <c r="D330" s="2772">
        <f>C330/'8.1'!B318</f>
        <v>2.5098030672708261E-2</v>
      </c>
      <c r="E330" s="941">
        <v>938.86429552372419</v>
      </c>
      <c r="F330" s="935">
        <v>3175</v>
      </c>
      <c r="G330" s="778"/>
    </row>
    <row r="331" spans="1:9">
      <c r="A331" s="49">
        <f t="shared" si="1"/>
        <v>2017.1</v>
      </c>
      <c r="B331" s="254">
        <v>166359731</v>
      </c>
      <c r="C331" s="932">
        <v>5.7420999999999998</v>
      </c>
      <c r="D331" s="2772">
        <f>C331/'8.1'!B319</f>
        <v>2.4706768211350628E-2</v>
      </c>
      <c r="E331" s="941">
        <v>990.97534608128046</v>
      </c>
      <c r="F331" s="935">
        <v>3012.5</v>
      </c>
      <c r="G331" s="778"/>
    </row>
    <row r="332" spans="1:9">
      <c r="A332" s="49">
        <f t="shared" si="1"/>
        <v>2017.11</v>
      </c>
      <c r="B332" s="254">
        <v>159832644</v>
      </c>
      <c r="C332" s="932">
        <v>5.7759</v>
      </c>
      <c r="D332" s="2772">
        <f>C332/'8.1'!B320</f>
        <v>2.4481413978722503E-2</v>
      </c>
      <c r="E332" s="941">
        <v>951.49471414387449</v>
      </c>
      <c r="F332" s="935">
        <v>2825</v>
      </c>
      <c r="G332" s="778"/>
      <c r="H332" s="640"/>
    </row>
    <row r="333" spans="1:9">
      <c r="A333" s="49">
        <f t="shared" si="1"/>
        <v>2017.12</v>
      </c>
      <c r="B333" s="254">
        <v>135494620</v>
      </c>
      <c r="C333" s="932">
        <v>5.7694999999999999</v>
      </c>
      <c r="D333" s="2772">
        <f>C333/'8.1'!B321</f>
        <v>2.3855695679139963E-2</v>
      </c>
      <c r="E333" s="941">
        <v>929.84505385764248</v>
      </c>
      <c r="F333" s="935">
        <v>2750</v>
      </c>
      <c r="G333" s="778"/>
      <c r="H333" s="640"/>
    </row>
    <row r="334" spans="1:9">
      <c r="A334" s="49">
        <f t="shared" si="1"/>
        <v>2018.01</v>
      </c>
      <c r="B334" s="254">
        <v>151650893</v>
      </c>
      <c r="C334" s="932">
        <v>5.7827999999999999</v>
      </c>
      <c r="D334" s="2772">
        <f>C334/'8.1'!B322</f>
        <v>2.3493946534492566E-2</v>
      </c>
      <c r="E334" s="941">
        <v>884.62691814202128</v>
      </c>
      <c r="F334" s="935">
        <v>2938</v>
      </c>
      <c r="G334" s="778"/>
      <c r="H334" s="956"/>
      <c r="I334" s="414"/>
    </row>
    <row r="335" spans="1:9">
      <c r="A335" s="49">
        <f t="shared" si="1"/>
        <v>2018.02</v>
      </c>
      <c r="B335" s="254">
        <v>125316156</v>
      </c>
      <c r="C335" s="932">
        <v>5.8311999999999999</v>
      </c>
      <c r="D335" s="2772">
        <f>C335/'8.1'!B323</f>
        <v>2.3034564487458029E-2</v>
      </c>
      <c r="E335" s="941">
        <v>741.30308808159123</v>
      </c>
      <c r="F335" s="935">
        <v>3100</v>
      </c>
      <c r="G335" s="778"/>
      <c r="H335" s="957"/>
      <c r="I335" s="414"/>
    </row>
    <row r="336" spans="1:9">
      <c r="A336" s="49">
        <f t="shared" si="1"/>
        <v>2018.03</v>
      </c>
      <c r="B336" s="254">
        <v>133800373</v>
      </c>
      <c r="C336" s="932">
        <v>5.9843999999999999</v>
      </c>
      <c r="D336" s="2772">
        <f>C336/'8.1'!B324</f>
        <v>2.3151379163604009E-2</v>
      </c>
      <c r="E336" s="941">
        <v>809.86212386120633</v>
      </c>
      <c r="F336" s="935">
        <v>3238</v>
      </c>
      <c r="G336" s="778"/>
      <c r="H336" s="957"/>
      <c r="I336" s="414"/>
    </row>
    <row r="337" spans="1:12">
      <c r="A337" s="49">
        <f t="shared" si="1"/>
        <v>2018.04</v>
      </c>
      <c r="B337" s="254">
        <v>125414828</v>
      </c>
      <c r="C337" s="932">
        <v>6.1978999999999997</v>
      </c>
      <c r="D337" s="2772">
        <f>C337/'8.1'!B325</f>
        <v>2.3336345494935806E-2</v>
      </c>
      <c r="E337" s="941">
        <v>775.70350741690379</v>
      </c>
      <c r="F337" s="935">
        <v>3313</v>
      </c>
      <c r="G337" s="778"/>
      <c r="H337" s="958"/>
      <c r="I337" s="414"/>
    </row>
    <row r="338" spans="1:12">
      <c r="A338" s="49">
        <f t="shared" si="1"/>
        <v>2018.05</v>
      </c>
      <c r="B338" s="254">
        <v>128044201</v>
      </c>
      <c r="C338" s="932">
        <v>6.4061000000000003</v>
      </c>
      <c r="D338" s="2772">
        <f>C338/'8.1'!B326</f>
        <v>2.348621498753483E-2</v>
      </c>
      <c r="E338" s="941">
        <v>798.19958201925988</v>
      </c>
      <c r="F338" s="935">
        <v>3269</v>
      </c>
      <c r="G338" s="778"/>
      <c r="H338" s="958"/>
      <c r="I338" s="414"/>
    </row>
    <row r="339" spans="1:12">
      <c r="A339" s="49">
        <f t="shared" si="1"/>
        <v>2018.06</v>
      </c>
      <c r="B339" s="254">
        <v>134850760</v>
      </c>
      <c r="C339" s="932">
        <v>6.8216000000000001</v>
      </c>
      <c r="D339" s="2772">
        <f>C339/'8.1'!B327</f>
        <v>2.4119934940951843E-2</v>
      </c>
      <c r="E339" s="941">
        <v>833.67134054216501</v>
      </c>
      <c r="F339" s="935">
        <v>3231</v>
      </c>
      <c r="G339" s="778"/>
      <c r="H339" s="958"/>
      <c r="I339" s="414"/>
    </row>
    <row r="340" spans="1:12">
      <c r="A340" s="49">
        <f t="shared" si="1"/>
        <v>2018.07</v>
      </c>
      <c r="B340" s="254">
        <v>150895535</v>
      </c>
      <c r="C340" s="932">
        <v>7.2571000000000003</v>
      </c>
      <c r="D340" s="2772">
        <f>C340/'8.1'!B328</f>
        <v>2.4815688688277937E-2</v>
      </c>
      <c r="E340" s="941">
        <v>897.00223735873112</v>
      </c>
      <c r="F340" s="935">
        <v>3013</v>
      </c>
      <c r="G340" s="778"/>
      <c r="H340" s="958"/>
      <c r="I340" s="414"/>
    </row>
    <row r="341" spans="1:12">
      <c r="A341" s="49">
        <f t="shared" si="1"/>
        <v>2018.08</v>
      </c>
      <c r="B341" s="254">
        <v>161328751</v>
      </c>
      <c r="C341" s="932">
        <v>7.5689000000000002</v>
      </c>
      <c r="D341" s="2772">
        <f>C341/'8.1'!B329</f>
        <v>2.490015462052176E-2</v>
      </c>
      <c r="E341" s="941">
        <v>947.51726339131642</v>
      </c>
      <c r="F341" s="935">
        <v>3004</v>
      </c>
      <c r="G341" s="778"/>
      <c r="H341" s="959"/>
      <c r="I341" s="414"/>
    </row>
    <row r="342" spans="1:12">
      <c r="A342" s="49">
        <f t="shared" si="1"/>
        <v>2018.09</v>
      </c>
      <c r="B342" s="254">
        <v>165190486</v>
      </c>
      <c r="C342" s="932">
        <v>8.1470000000000002</v>
      </c>
      <c r="D342" s="2772">
        <f>C342/'8.1'!B330</f>
        <v>2.521900634576691E-2</v>
      </c>
      <c r="E342" s="941">
        <v>974.13464110908421</v>
      </c>
      <c r="F342" s="935">
        <v>2819</v>
      </c>
      <c r="G342" s="778"/>
      <c r="H342" s="958"/>
      <c r="I342" s="414"/>
    </row>
    <row r="343" spans="1:12">
      <c r="A343" s="49">
        <f t="shared" si="1"/>
        <v>2018.1</v>
      </c>
      <c r="B343" s="254">
        <v>169743432</v>
      </c>
      <c r="C343" s="932">
        <v>8.5875000000000004</v>
      </c>
      <c r="D343" s="2772">
        <f>C343/'8.1'!B331</f>
        <v>2.5178115929281382E-2</v>
      </c>
      <c r="E343" s="941">
        <v>1011.5253565929336</v>
      </c>
      <c r="F343" s="935">
        <v>2725</v>
      </c>
      <c r="G343" s="778"/>
      <c r="H343" s="958"/>
      <c r="I343" s="414"/>
    </row>
    <row r="344" spans="1:12">
      <c r="A344" s="49">
        <f t="shared" si="1"/>
        <v>2018.11</v>
      </c>
      <c r="B344" s="254">
        <v>154985707</v>
      </c>
      <c r="C344" s="932">
        <v>9.1113</v>
      </c>
      <c r="D344" s="2772">
        <f>C344/'8.1'!B332</f>
        <v>2.5893938102139996E-2</v>
      </c>
      <c r="E344" s="941">
        <v>942.6</v>
      </c>
      <c r="F344" s="935">
        <v>2654</v>
      </c>
      <c r="G344" s="778"/>
      <c r="H344" s="958"/>
      <c r="I344" s="414"/>
      <c r="L344" s="1" t="s">
        <v>74</v>
      </c>
    </row>
    <row r="345" spans="1:12">
      <c r="A345" s="49">
        <f t="shared" si="1"/>
        <v>2018.12</v>
      </c>
      <c r="B345" s="254">
        <v>152510872</v>
      </c>
      <c r="C345" s="932">
        <v>9.4381000000000004</v>
      </c>
      <c r="D345" s="2772">
        <f>C345/'8.1'!B333</f>
        <v>2.6139976735168671E-2</v>
      </c>
      <c r="E345" s="941">
        <v>910.55797451465844</v>
      </c>
      <c r="F345" s="935">
        <v>2644</v>
      </c>
      <c r="G345" s="778"/>
      <c r="H345" s="958"/>
      <c r="I345" s="414"/>
    </row>
    <row r="346" spans="1:12">
      <c r="A346" s="49">
        <f t="shared" si="1"/>
        <v>2019.01</v>
      </c>
      <c r="B346" s="254">
        <v>138630039</v>
      </c>
      <c r="C346" s="932">
        <v>9.7840000000000007</v>
      </c>
      <c r="D346" s="2772">
        <f>C346/'8.1'!B334</f>
        <v>2.6201060468105618E-2</v>
      </c>
      <c r="E346" s="941">
        <v>819.92089979597256</v>
      </c>
      <c r="F346" s="935">
        <v>2738</v>
      </c>
      <c r="H346" s="640"/>
    </row>
    <row r="347" spans="1:12">
      <c r="A347" s="49">
        <f t="shared" si="1"/>
        <v>2019.02</v>
      </c>
      <c r="B347" s="254">
        <v>110664611</v>
      </c>
      <c r="C347" s="932">
        <v>10.758699999999999</v>
      </c>
      <c r="D347" s="2772">
        <f>C347/'8.1'!B335</f>
        <v>2.7739332216062909E-2</v>
      </c>
      <c r="E347" s="941">
        <v>668.29091999426385</v>
      </c>
      <c r="F347" s="935">
        <v>2919</v>
      </c>
      <c r="H347" s="640"/>
    </row>
    <row r="348" spans="1:12">
      <c r="A348" s="49">
        <f t="shared" si="1"/>
        <v>2019.03</v>
      </c>
      <c r="B348" s="254">
        <v>119402540</v>
      </c>
      <c r="C348" s="932">
        <v>12.1797</v>
      </c>
      <c r="D348" s="2772">
        <f>C348/'8.1'!B336</f>
        <v>3.0237586891757696E-2</v>
      </c>
      <c r="E348" s="941">
        <v>745.50222796594608</v>
      </c>
      <c r="F348" s="935">
        <v>3188</v>
      </c>
      <c r="H348" s="640"/>
    </row>
    <row r="349" spans="1:12">
      <c r="A349" s="49">
        <f t="shared" si="1"/>
        <v>2019.04</v>
      </c>
      <c r="B349" s="254">
        <v>115192681</v>
      </c>
      <c r="C349" s="932">
        <v>13.724399999999999</v>
      </c>
      <c r="D349" s="2772">
        <f>C349/'8.1'!B337</f>
        <v>3.2939087025392402E-2</v>
      </c>
      <c r="E349" s="941">
        <v>736.86310977334062</v>
      </c>
      <c r="F349" s="935">
        <v>3319</v>
      </c>
    </row>
    <row r="350" spans="1:12">
      <c r="A350" s="49">
        <f t="shared" si="1"/>
        <v>2019.05</v>
      </c>
      <c r="B350" s="254">
        <v>122245897</v>
      </c>
      <c r="C350" s="932">
        <v>14.814399999999999</v>
      </c>
      <c r="D350" s="2772">
        <f>C350/'8.1'!B338</f>
        <v>3.4450490674852334E-2</v>
      </c>
      <c r="E350" s="941">
        <v>784.88578080260697</v>
      </c>
      <c r="F350" s="935">
        <v>3231</v>
      </c>
    </row>
    <row r="351" spans="1:12">
      <c r="A351" s="49">
        <f t="shared" si="1"/>
        <v>2019.06</v>
      </c>
      <c r="B351" s="254">
        <v>142227157</v>
      </c>
      <c r="C351" s="932">
        <v>15.319100000000001</v>
      </c>
      <c r="D351" s="2772">
        <f>C351/'8.1'!B339</f>
        <v>3.4660949838224313E-2</v>
      </c>
      <c r="E351" s="941">
        <v>807.91592064604265</v>
      </c>
      <c r="F351" s="935">
        <v>3069</v>
      </c>
    </row>
    <row r="352" spans="1:12">
      <c r="A352" s="49">
        <f t="shared" si="1"/>
        <v>2019.07</v>
      </c>
      <c r="B352" s="254">
        <v>145944240</v>
      </c>
      <c r="C352" s="932">
        <v>15.417199999999999</v>
      </c>
      <c r="D352" s="2772">
        <f>C352/'8.1'!B340</f>
        <v>3.4105076872027427E-2</v>
      </c>
      <c r="E352" s="941">
        <v>897.36647576994596</v>
      </c>
      <c r="F352" s="935">
        <v>3069</v>
      </c>
    </row>
    <row r="353" spans="1:13">
      <c r="A353" s="49">
        <f t="shared" si="1"/>
        <v>2019.08</v>
      </c>
      <c r="B353" s="254">
        <v>162968814</v>
      </c>
      <c r="C353" s="932">
        <v>15.5107</v>
      </c>
      <c r="D353" s="2772">
        <f>C353/'8.1'!B341</f>
        <v>3.3082435747040631E-2</v>
      </c>
      <c r="E353" s="941">
        <v>967.05183259332784</v>
      </c>
      <c r="F353" s="935">
        <v>3154</v>
      </c>
    </row>
    <row r="354" spans="1:13">
      <c r="A354" s="49">
        <f t="shared" ref="A354:A417" si="2">A342+1</f>
        <v>2019.09</v>
      </c>
      <c r="B354" s="254">
        <v>170319790</v>
      </c>
      <c r="C354" s="932">
        <v>15.7704</v>
      </c>
      <c r="D354" s="2772">
        <f>C354/'8.1'!B342</f>
        <v>3.181889716118879E-2</v>
      </c>
      <c r="E354" s="941">
        <v>986.53278723073583</v>
      </c>
      <c r="F354" s="935">
        <v>3150</v>
      </c>
    </row>
    <row r="355" spans="1:13">
      <c r="A355" s="49">
        <f t="shared" si="2"/>
        <v>2019.1</v>
      </c>
      <c r="B355" s="254">
        <v>174649381</v>
      </c>
      <c r="C355" s="932">
        <v>16.339600000000001</v>
      </c>
      <c r="D355" s="2772">
        <f>C355/'8.1'!B343</f>
        <v>3.196947759733907E-2</v>
      </c>
      <c r="E355" s="941">
        <v>1020.6612792094955</v>
      </c>
      <c r="F355" s="935">
        <v>3175</v>
      </c>
    </row>
    <row r="356" spans="1:13">
      <c r="A356" s="49">
        <f t="shared" si="2"/>
        <v>2019.11</v>
      </c>
      <c r="B356" s="254">
        <v>160201110</v>
      </c>
      <c r="C356" s="932">
        <v>16.699000000000002</v>
      </c>
      <c r="D356" s="2772">
        <f>C356/'8.1'!B344</f>
        <v>3.1373764701461693E-2</v>
      </c>
      <c r="E356" s="941">
        <v>961.3515208455176</v>
      </c>
      <c r="F356" s="935">
        <v>3294</v>
      </c>
    </row>
    <row r="357" spans="1:13">
      <c r="A357" s="49">
        <f t="shared" si="2"/>
        <v>2019.12</v>
      </c>
      <c r="B357" s="254">
        <v>151943275</v>
      </c>
      <c r="C357" s="932">
        <v>16.959900000000001</v>
      </c>
      <c r="D357" s="2772">
        <f>C357/'8.1'!B345</f>
        <v>3.0684433347807207E-2</v>
      </c>
      <c r="E357" s="941">
        <v>943.59194570602222</v>
      </c>
      <c r="F357" s="935">
        <v>3250</v>
      </c>
    </row>
    <row r="358" spans="1:13">
      <c r="A358" s="49">
        <f t="shared" si="2"/>
        <v>2020.01</v>
      </c>
      <c r="B358" s="254">
        <v>148016182</v>
      </c>
      <c r="C358" s="932">
        <v>17.459800000000001</v>
      </c>
      <c r="D358" s="2772">
        <f>C358/'8.1'!B346</f>
        <v>3.0714210322626043E-2</v>
      </c>
      <c r="E358" s="941">
        <v>864.87561474082577</v>
      </c>
      <c r="F358" s="935">
        <v>3171</v>
      </c>
      <c r="L358" s="620"/>
      <c r="M358" s="620"/>
    </row>
    <row r="359" spans="1:13">
      <c r="A359" s="49">
        <f t="shared" si="2"/>
        <v>2020.02</v>
      </c>
      <c r="B359" s="254">
        <v>128320751</v>
      </c>
      <c r="C359" s="932">
        <v>18.060400000000001</v>
      </c>
      <c r="D359" s="2772">
        <f>C359/'8.1'!B347</f>
        <v>3.1208031656615575E-2</v>
      </c>
      <c r="E359" s="941">
        <v>771.18492994555857</v>
      </c>
      <c r="F359" s="935">
        <v>3006</v>
      </c>
    </row>
    <row r="360" spans="1:13">
      <c r="A360" s="49">
        <f t="shared" si="2"/>
        <v>2020.03</v>
      </c>
      <c r="B360" s="254">
        <v>130760887</v>
      </c>
      <c r="C360" s="932">
        <v>18.273800000000001</v>
      </c>
      <c r="D360" s="2772">
        <f>C360/'8.1'!B348</f>
        <v>3.0842897650553605E-2</v>
      </c>
      <c r="E360" s="941">
        <v>793.66984819439301</v>
      </c>
      <c r="F360" s="935">
        <v>2875</v>
      </c>
    </row>
    <row r="361" spans="1:13">
      <c r="A361" s="49">
        <f t="shared" si="2"/>
        <v>2020.04</v>
      </c>
      <c r="B361" s="254">
        <v>130016778</v>
      </c>
      <c r="C361" s="932">
        <v>18.4177</v>
      </c>
      <c r="D361" s="2772">
        <f>C361/'8.1'!B349</f>
        <v>3.0455064076064488E-2</v>
      </c>
      <c r="E361" s="941">
        <v>793.59683418365523</v>
      </c>
      <c r="F361" s="935">
        <v>2781</v>
      </c>
    </row>
    <row r="362" spans="1:13">
      <c r="A362" s="49">
        <f t="shared" si="2"/>
        <v>2020.05</v>
      </c>
      <c r="B362" s="254">
        <v>143751806</v>
      </c>
      <c r="C362" s="932">
        <v>18.450700000000001</v>
      </c>
      <c r="D362" s="2772">
        <f>C362/'8.1'!B350</f>
        <v>3.0025060617402486E-2</v>
      </c>
      <c r="E362" s="941">
        <v>870.51610688506628</v>
      </c>
      <c r="F362" s="935">
        <v>2694</v>
      </c>
    </row>
    <row r="363" spans="1:13">
      <c r="A363" s="49">
        <f t="shared" si="2"/>
        <v>2020.06</v>
      </c>
      <c r="B363" s="254">
        <v>150681340</v>
      </c>
      <c r="C363" s="932">
        <v>18.4617</v>
      </c>
      <c r="D363" s="2772">
        <f>C363/'8.1'!B351</f>
        <v>2.949718795935323E-2</v>
      </c>
      <c r="E363" s="941">
        <v>893.8825852456788</v>
      </c>
      <c r="F363" s="935">
        <v>2794</v>
      </c>
    </row>
    <row r="364" spans="1:13">
      <c r="A364" s="49">
        <f t="shared" si="2"/>
        <v>2020.07</v>
      </c>
      <c r="B364" s="254">
        <v>168049560</v>
      </c>
      <c r="C364" s="932">
        <v>18.5169</v>
      </c>
      <c r="D364" s="2772">
        <f>C364/'8.1'!B352</f>
        <v>2.8867703916188574E-2</v>
      </c>
      <c r="E364" s="941">
        <v>965.40131564506157</v>
      </c>
      <c r="F364" s="935">
        <v>3113</v>
      </c>
    </row>
    <row r="365" spans="1:13">
      <c r="A365" s="49">
        <f t="shared" si="2"/>
        <v>2020.08</v>
      </c>
      <c r="B365" s="254">
        <v>176870972</v>
      </c>
      <c r="C365" s="932">
        <v>18.7654</v>
      </c>
      <c r="D365" s="2772">
        <f>C365/'8.1'!B353</f>
        <v>2.8456569210238987E-2</v>
      </c>
      <c r="E365" s="941">
        <v>1015.8516984409009</v>
      </c>
      <c r="F365" s="935">
        <v>3025</v>
      </c>
    </row>
    <row r="366" spans="1:13">
      <c r="A366" s="49">
        <f t="shared" si="2"/>
        <v>2020.09</v>
      </c>
      <c r="B366" s="254">
        <v>175791525</v>
      </c>
      <c r="C366" s="932">
        <v>19.216899999999999</v>
      </c>
      <c r="D366" s="2772">
        <f>C366/'8.1'!B354</f>
        <v>2.8369034086715185E-2</v>
      </c>
      <c r="E366" s="941">
        <v>1022.3012993385237</v>
      </c>
      <c r="F366" s="935">
        <v>2956</v>
      </c>
    </row>
    <row r="367" spans="1:13">
      <c r="A367" s="49">
        <f t="shared" si="2"/>
        <v>2020.1</v>
      </c>
      <c r="B367" s="254">
        <v>183650342</v>
      </c>
      <c r="C367" s="932">
        <v>19.777999999999999</v>
      </c>
      <c r="D367" s="2772">
        <f>C367/'8.1'!B355</f>
        <v>2.8151732972742153E-2</v>
      </c>
      <c r="E367" s="941">
        <v>1079.2406235194237</v>
      </c>
      <c r="F367" s="935">
        <v>3038</v>
      </c>
    </row>
    <row r="368" spans="1:13">
      <c r="A368" s="49">
        <f t="shared" si="2"/>
        <v>2020.11</v>
      </c>
      <c r="B368" s="254">
        <v>174735573</v>
      </c>
      <c r="C368" s="932">
        <v>20.690899999999999</v>
      </c>
      <c r="D368" s="2772">
        <f>C368/'8.1'!B356</f>
        <v>2.8416491560572972E-2</v>
      </c>
      <c r="E368" s="941">
        <v>1030.4165375386092</v>
      </c>
      <c r="F368" s="935">
        <v>3019</v>
      </c>
    </row>
    <row r="369" spans="1:6">
      <c r="A369" s="49">
        <f t="shared" si="2"/>
        <v>2020.12</v>
      </c>
      <c r="B369" s="254">
        <v>174220252</v>
      </c>
      <c r="C369" s="932">
        <v>21.627199999999998</v>
      </c>
      <c r="D369" s="2772">
        <f>C369/'8.1'!B357</f>
        <v>2.8638470298471889E-2</v>
      </c>
      <c r="E369" s="941">
        <v>1012.250191799375</v>
      </c>
      <c r="F369" s="935">
        <v>3163</v>
      </c>
    </row>
    <row r="370" spans="1:6">
      <c r="A370" s="49">
        <f t="shared" si="2"/>
        <v>2021.01</v>
      </c>
      <c r="B370" s="254">
        <v>158211746</v>
      </c>
      <c r="C370" s="932">
        <v>23.081299999999999</v>
      </c>
      <c r="D370" s="2772">
        <f>C370/'8.1'!B358</f>
        <v>2.9150416771912099E-2</v>
      </c>
      <c r="E370" s="941">
        <v>931.34263347781075</v>
      </c>
      <c r="F370" s="935">
        <v>3338</v>
      </c>
    </row>
    <row r="371" spans="1:6">
      <c r="A371" s="49">
        <f t="shared" si="2"/>
        <v>2021.02</v>
      </c>
      <c r="B371" s="254">
        <v>126976250</v>
      </c>
      <c r="C371" s="932">
        <v>24.605699999999999</v>
      </c>
      <c r="D371" s="2772">
        <f>C371/'8.1'!B359</f>
        <v>2.9966386963987769E-2</v>
      </c>
      <c r="E371" s="941">
        <v>787.60326176063938</v>
      </c>
      <c r="F371" s="935">
        <v>3494</v>
      </c>
    </row>
    <row r="372" spans="1:6">
      <c r="A372" s="49">
        <f t="shared" si="2"/>
        <v>2021.03</v>
      </c>
      <c r="B372" s="254">
        <v>131527470</v>
      </c>
      <c r="C372" s="932">
        <v>26.31</v>
      </c>
      <c r="D372" s="2772">
        <f>C372/'8.1'!B360</f>
        <v>3.0728801681850031E-2</v>
      </c>
      <c r="E372" s="941">
        <v>828.32366281380234</v>
      </c>
      <c r="F372" s="935">
        <v>4113</v>
      </c>
    </row>
    <row r="373" spans="1:6">
      <c r="A373" s="49">
        <f t="shared" si="2"/>
        <v>2021.04</v>
      </c>
      <c r="B373" s="254">
        <v>129136804</v>
      </c>
      <c r="C373" s="932">
        <v>28.467099999999999</v>
      </c>
      <c r="D373" s="2772">
        <f>C373/'8.1'!B361</f>
        <v>3.1869843153499097E-2</v>
      </c>
      <c r="E373" s="941">
        <v>821.17372</v>
      </c>
      <c r="F373" s="935">
        <v>4067</v>
      </c>
    </row>
    <row r="374" spans="1:6">
      <c r="A374" s="49">
        <f t="shared" si="2"/>
        <v>2021.05</v>
      </c>
      <c r="B374" s="254">
        <v>140685226</v>
      </c>
      <c r="C374" s="932">
        <v>30.045300000000001</v>
      </c>
      <c r="D374" s="2772">
        <f>C374/'8.1'!B362</f>
        <v>3.2474032922255487E-2</v>
      </c>
      <c r="E374" s="941">
        <v>900.21173115402667</v>
      </c>
      <c r="F374" s="935">
        <v>4150</v>
      </c>
    </row>
    <row r="375" spans="1:6">
      <c r="A375" s="49">
        <f t="shared" si="2"/>
        <v>2021.06</v>
      </c>
      <c r="B375" s="254">
        <v>150652935</v>
      </c>
      <c r="C375" s="932">
        <v>31.607099999999999</v>
      </c>
      <c r="D375" s="2772">
        <f>C375/'8.1'!B363</f>
        <v>3.309817267919786E-2</v>
      </c>
      <c r="E375" s="941">
        <v>920.71312599999999</v>
      </c>
      <c r="F375" s="935">
        <v>4063</v>
      </c>
    </row>
    <row r="376" spans="1:6">
      <c r="A376" s="49">
        <f t="shared" si="2"/>
        <v>2021.07</v>
      </c>
      <c r="B376" s="254">
        <v>165534013</v>
      </c>
      <c r="C376" s="932">
        <v>32.579799999999999</v>
      </c>
      <c r="D376" s="2772">
        <f>C376/'8.1'!B364</f>
        <v>3.3126722183245381E-2</v>
      </c>
      <c r="E376" s="941">
        <v>999.25784363658761</v>
      </c>
      <c r="F376" s="935">
        <v>3931</v>
      </c>
    </row>
    <row r="377" spans="1:6">
      <c r="A377" s="49">
        <f t="shared" si="2"/>
        <v>2021.08</v>
      </c>
      <c r="B377" s="254">
        <v>171963580</v>
      </c>
      <c r="C377" s="932">
        <v>32.926299999999998</v>
      </c>
      <c r="D377" s="2772">
        <f>C377/'8.1'!B365</f>
        <v>3.2582554054722677E-2</v>
      </c>
      <c r="E377" s="941">
        <v>1055.0738320763428</v>
      </c>
      <c r="F377" s="935">
        <v>3675</v>
      </c>
    </row>
    <row r="378" spans="1:6">
      <c r="A378" s="49">
        <f t="shared" si="2"/>
        <v>2021.09</v>
      </c>
      <c r="B378" s="254">
        <v>175291676</v>
      </c>
      <c r="C378" s="932">
        <v>33.459600000000002</v>
      </c>
      <c r="D378" s="2772">
        <f>C378/'8.1'!B366</f>
        <v>3.214147798772346E-2</v>
      </c>
      <c r="E378" s="941">
        <v>1069.3952866315219</v>
      </c>
      <c r="F378" s="935">
        <v>3625</v>
      </c>
    </row>
    <row r="379" spans="1:6">
      <c r="A379" s="49">
        <f t="shared" si="2"/>
        <v>2021.1</v>
      </c>
      <c r="B379" s="254">
        <v>182990607</v>
      </c>
      <c r="C379" s="932">
        <v>33.655200000000001</v>
      </c>
      <c r="D379" s="2772">
        <f>C379/'8.1'!B367</f>
        <v>3.1338939017236077E-2</v>
      </c>
      <c r="E379" s="941">
        <v>1116.356738</v>
      </c>
      <c r="F379" s="935">
        <v>3800</v>
      </c>
    </row>
    <row r="380" spans="1:6">
      <c r="A380" s="49">
        <f t="shared" si="2"/>
        <v>2021.11</v>
      </c>
      <c r="B380" s="254">
        <v>172408268</v>
      </c>
      <c r="C380" s="932">
        <v>34.070300000000003</v>
      </c>
      <c r="D380" s="2772">
        <f>C380/'8.1'!B368</f>
        <v>3.0852953960951935E-2</v>
      </c>
      <c r="E380" s="941">
        <v>1077.0217453240068</v>
      </c>
      <c r="F380" s="935">
        <v>3944</v>
      </c>
    </row>
    <row r="381" spans="1:6">
      <c r="A381" s="49">
        <f t="shared" si="2"/>
        <v>2021.12</v>
      </c>
      <c r="B381" s="254">
        <v>169151155</v>
      </c>
      <c r="C381" s="932">
        <v>34.654600000000002</v>
      </c>
      <c r="D381" s="2772">
        <f>C381/'8.1'!B369</f>
        <v>3.0446845897030398E-2</v>
      </c>
      <c r="E381" s="941">
        <v>1046.8323780256612</v>
      </c>
      <c r="F381" s="935">
        <v>3963</v>
      </c>
    </row>
    <row r="382" spans="1:6">
      <c r="A382" s="49">
        <f t="shared" si="2"/>
        <v>2022.01</v>
      </c>
      <c r="B382" s="254">
        <v>142265354</v>
      </c>
      <c r="C382" s="932">
        <v>36.092100000000002</v>
      </c>
      <c r="D382" s="2772">
        <f>C382/'8.1'!B370</f>
        <v>3.0479588562163255E-2</v>
      </c>
      <c r="E382" s="941">
        <v>922.79606746666479</v>
      </c>
      <c r="F382" s="935">
        <v>3956</v>
      </c>
    </row>
    <row r="383" spans="1:6">
      <c r="A383" s="49">
        <f t="shared" si="2"/>
        <v>2022.02</v>
      </c>
      <c r="B383" s="254">
        <v>127465518</v>
      </c>
      <c r="C383" s="932">
        <v>37.928199999999997</v>
      </c>
      <c r="D383" s="2772">
        <f>C383/'8.1'!B371</f>
        <v>3.0531120198344978E-2</v>
      </c>
      <c r="E383" s="941">
        <v>815.85451077095513</v>
      </c>
      <c r="F383" s="935">
        <v>4331</v>
      </c>
    </row>
    <row r="384" spans="1:6">
      <c r="A384" s="49">
        <f t="shared" si="2"/>
        <v>2022.03</v>
      </c>
      <c r="B384" s="254">
        <v>127207773</v>
      </c>
      <c r="C384" s="932">
        <v>40.547199999999997</v>
      </c>
      <c r="D384" s="2772">
        <f>C384/'8.1'!B372</f>
        <v>3.0784041301294456E-2</v>
      </c>
      <c r="E384" s="941">
        <v>848.94792292527416</v>
      </c>
      <c r="F384" s="935">
        <v>4625</v>
      </c>
    </row>
    <row r="385" spans="1:6">
      <c r="A385" s="49">
        <f t="shared" si="2"/>
        <v>2022.04</v>
      </c>
      <c r="B385" s="254">
        <v>126122058</v>
      </c>
      <c r="C385" s="932">
        <v>43.6477</v>
      </c>
      <c r="D385" s="2772">
        <f>C385/'8.1'!B373</f>
        <v>3.1277911542981623E-2</v>
      </c>
      <c r="E385" s="941">
        <v>837.38449990583501</v>
      </c>
      <c r="F385" s="935">
        <v>4408</v>
      </c>
    </row>
    <row r="386" spans="1:6">
      <c r="A386" s="49">
        <f t="shared" si="2"/>
        <v>2022.05</v>
      </c>
      <c r="B386" s="254">
        <v>139527830</v>
      </c>
      <c r="C386" s="932">
        <v>45.819400000000002</v>
      </c>
      <c r="D386" s="2772">
        <f>C386/'8.1'!B374</f>
        <v>3.1196612038972445E-2</v>
      </c>
      <c r="E386" s="941">
        <v>903.9173197845123</v>
      </c>
      <c r="F386" s="935">
        <v>3844</v>
      </c>
    </row>
    <row r="387" spans="1:6">
      <c r="A387" s="49">
        <f t="shared" si="2"/>
        <v>2022.06</v>
      </c>
      <c r="B387" s="254">
        <v>145008346</v>
      </c>
      <c r="C387" s="932">
        <v>48.010599999999997</v>
      </c>
      <c r="D387" s="2772">
        <f>C387/'8.1'!B375</f>
        <v>3.1111874335778528E-2</v>
      </c>
      <c r="E387" s="941">
        <v>914.18313985132443</v>
      </c>
      <c r="F387" s="935">
        <v>4063</v>
      </c>
    </row>
    <row r="388" spans="1:6">
      <c r="A388" s="49">
        <f t="shared" si="2"/>
        <v>2022.07</v>
      </c>
      <c r="B388" s="254">
        <v>158136481</v>
      </c>
      <c r="C388" s="932">
        <v>50.4527</v>
      </c>
      <c r="D388" s="2772">
        <f>C388/'8.1'!B376</f>
        <v>3.0478201248059347E-2</v>
      </c>
      <c r="E388" s="941">
        <v>989.39382650891253</v>
      </c>
      <c r="F388" s="935">
        <v>3938</v>
      </c>
    </row>
    <row r="389" spans="1:6">
      <c r="A389" s="49">
        <f t="shared" si="2"/>
        <v>2022.08</v>
      </c>
      <c r="B389" s="254">
        <v>171296605</v>
      </c>
      <c r="C389" s="932">
        <v>53.294899999999998</v>
      </c>
      <c r="D389" s="2772">
        <f>C389/'8.1'!B377</f>
        <v>3.0186346309606746E-2</v>
      </c>
      <c r="E389" s="941">
        <v>1061.7972100777479</v>
      </c>
      <c r="F389" s="935">
        <v>3525</v>
      </c>
    </row>
    <row r="390" spans="1:6">
      <c r="A390" s="49">
        <f t="shared" si="2"/>
        <v>2022.09</v>
      </c>
      <c r="B390" s="254">
        <v>174425758</v>
      </c>
      <c r="C390" s="932">
        <v>55.820099999999996</v>
      </c>
      <c r="D390" s="2772">
        <f>C390/'8.1'!B378</f>
        <v>2.9790421398684996E-2</v>
      </c>
      <c r="E390" s="941">
        <v>1073.0982083719618</v>
      </c>
      <c r="F390" s="935">
        <v>3542</v>
      </c>
    </row>
    <row r="391" spans="1:6">
      <c r="A391" s="49">
        <f t="shared" si="2"/>
        <v>2022.1</v>
      </c>
      <c r="B391" s="254">
        <v>182060232</v>
      </c>
      <c r="C391" s="932">
        <v>58.846299999999999</v>
      </c>
      <c r="D391" s="2772">
        <f>C391/'8.1'!B379</f>
        <v>2.9693509403115367E-2</v>
      </c>
      <c r="E391" s="941">
        <v>1114.1505089099103</v>
      </c>
      <c r="F391" s="935">
        <v>3475</v>
      </c>
    </row>
    <row r="392" spans="1:6">
      <c r="A392" s="49">
        <f t="shared" si="2"/>
        <v>2022.11</v>
      </c>
      <c r="B392" s="254">
        <v>168994697</v>
      </c>
      <c r="C392" s="932">
        <v>62.0533</v>
      </c>
      <c r="D392" s="2772">
        <f>C392/'8.1'!B380</f>
        <v>2.9845083157783361E-2</v>
      </c>
      <c r="E392" s="941">
        <v>1045.6709512080477</v>
      </c>
      <c r="F392" s="935">
        <v>3313</v>
      </c>
    </row>
    <row r="393" spans="1:6">
      <c r="A393" s="49">
        <f t="shared" si="2"/>
        <v>2022.12</v>
      </c>
      <c r="B393" s="254">
        <v>168198157</v>
      </c>
      <c r="C393" s="932">
        <v>66.39</v>
      </c>
      <c r="D393" s="2772">
        <f>C393/'8.1'!B381</f>
        <v>3.0278154031386392E-2</v>
      </c>
      <c r="E393" s="941">
        <v>1030.2248364729714</v>
      </c>
      <c r="F393" s="935">
        <v>3338</v>
      </c>
    </row>
    <row r="394" spans="1:6">
      <c r="A394" s="49">
        <f t="shared" si="2"/>
        <v>2023.01</v>
      </c>
      <c r="B394" s="254">
        <v>154590032</v>
      </c>
      <c r="C394" s="932">
        <v>70.297899999999998</v>
      </c>
      <c r="D394" s="2772">
        <f>C394/'8.1'!B382</f>
        <v>3.0331673599005887E-2</v>
      </c>
      <c r="E394" s="941">
        <v>954.99660012424931</v>
      </c>
      <c r="F394" s="935">
        <v>3213</v>
      </c>
    </row>
    <row r="395" spans="1:6">
      <c r="A395" s="49">
        <f t="shared" si="2"/>
        <v>2023.02</v>
      </c>
      <c r="B395" s="254">
        <v>126622023</v>
      </c>
      <c r="C395" s="932">
        <v>74.239999999999995</v>
      </c>
      <c r="D395" s="2772">
        <f>C395/'8.1'!B383</f>
        <v>3.0086401141208318E-2</v>
      </c>
      <c r="E395" s="941">
        <v>805.21184744095876</v>
      </c>
      <c r="F395" s="935">
        <v>3244</v>
      </c>
    </row>
    <row r="396" spans="1:6">
      <c r="A396" s="49">
        <f t="shared" si="2"/>
        <v>2023.03</v>
      </c>
      <c r="B396" s="254">
        <v>122997322</v>
      </c>
      <c r="C396" s="932">
        <v>82.192800000000005</v>
      </c>
      <c r="D396" s="2772">
        <f>C396/'8.1'!B384</f>
        <v>3.0912797213843528E-2</v>
      </c>
      <c r="E396" s="941">
        <v>822.33563195882698</v>
      </c>
      <c r="F396" s="935">
        <v>3263</v>
      </c>
    </row>
    <row r="397" spans="1:6">
      <c r="A397" s="49">
        <f t="shared" si="2"/>
        <v>2023.04</v>
      </c>
      <c r="B397" s="254">
        <v>129413685</v>
      </c>
      <c r="C397" s="932">
        <v>89.700800000000001</v>
      </c>
      <c r="D397" s="2772">
        <f>C397/'8.1'!B385</f>
        <v>3.1093748375132159E-2</v>
      </c>
      <c r="E397" s="941">
        <v>852.72197686359311</v>
      </c>
      <c r="F397" s="935">
        <v>3056</v>
      </c>
    </row>
    <row r="398" spans="1:6">
      <c r="A398" s="49">
        <f t="shared" si="2"/>
        <v>2023.05</v>
      </c>
      <c r="B398" s="254">
        <v>131087346</v>
      </c>
      <c r="C398" s="932">
        <v>96.750799999999998</v>
      </c>
      <c r="D398" s="2772">
        <f>C398/'8.1'!B386</f>
        <v>3.1270661090246218E-2</v>
      </c>
      <c r="E398" s="941">
        <v>882.28767110143883</v>
      </c>
      <c r="F398" s="935">
        <v>3250</v>
      </c>
    </row>
    <row r="399" spans="1:6">
      <c r="A399" s="49">
        <f t="shared" si="2"/>
        <v>2023.06</v>
      </c>
      <c r="B399" s="254">
        <v>139358281</v>
      </c>
      <c r="C399" s="932">
        <v>102.1476</v>
      </c>
      <c r="D399" s="2772">
        <f>C399/'8.1'!B387</f>
        <v>3.1242479759964029E-2</v>
      </c>
      <c r="E399" s="941">
        <v>906.28333199999997</v>
      </c>
      <c r="F399" s="935">
        <v>3175</v>
      </c>
    </row>
    <row r="400" spans="1:6">
      <c r="A400" s="49">
        <f t="shared" si="2"/>
        <v>2023.07</v>
      </c>
      <c r="B400" s="254">
        <v>155414242</v>
      </c>
      <c r="C400" s="932">
        <v>107.09220000000001</v>
      </c>
      <c r="D400" s="2772">
        <f>C400/'8.1'!B388</f>
        <v>3.0637074418325222E-2</v>
      </c>
      <c r="E400" s="941">
        <v>987.80988100000002</v>
      </c>
      <c r="F400" s="935">
        <v>3200</v>
      </c>
    </row>
    <row r="401" spans="1:6">
      <c r="A401" s="49">
        <f t="shared" si="2"/>
        <v>2023.08</v>
      </c>
      <c r="B401" s="254">
        <v>165184265</v>
      </c>
      <c r="C401" s="932">
        <v>112.8279</v>
      </c>
      <c r="D401" s="2772">
        <f>C401/'8.1'!B389</f>
        <v>2.8697121841045052E-2</v>
      </c>
      <c r="E401" s="941">
        <v>1057.997023272831</v>
      </c>
      <c r="F401" s="935">
        <v>2844</v>
      </c>
    </row>
    <row r="402" spans="1:6">
      <c r="A402" s="49">
        <f t="shared" si="2"/>
        <v>2023.09</v>
      </c>
      <c r="B402" s="254">
        <v>162480961</v>
      </c>
      <c r="C402" s="932">
        <v>118.602</v>
      </c>
      <c r="D402" s="2772">
        <f>C402/'8.1'!B390</f>
        <v>2.6806891922130229E-2</v>
      </c>
      <c r="E402" s="941">
        <v>1034.269851</v>
      </c>
      <c r="F402" s="935">
        <v>2708</v>
      </c>
    </row>
    <row r="403" spans="1:6">
      <c r="A403" s="49">
        <f t="shared" si="2"/>
        <v>2023.1</v>
      </c>
      <c r="B403" s="254">
        <v>163519709</v>
      </c>
      <c r="C403" s="932">
        <v>130.99600000000001</v>
      </c>
      <c r="D403" s="2772">
        <f>C403/'8.1'!B391</f>
        <v>2.7248257930317214E-2</v>
      </c>
      <c r="E403" s="941">
        <v>1066.4538274426991</v>
      </c>
      <c r="F403" s="935">
        <v>2988</v>
      </c>
    </row>
    <row r="404" spans="1:6">
      <c r="A404" s="49">
        <f t="shared" si="2"/>
        <v>2023.11</v>
      </c>
      <c r="B404" s="254">
        <v>147815928</v>
      </c>
      <c r="C404" s="932">
        <v>152.6942</v>
      </c>
      <c r="D404" s="2772">
        <f>C404/'8.1'!B392</f>
        <v>2.8236858359130264E-2</v>
      </c>
      <c r="E404" s="941">
        <v>1004.076114</v>
      </c>
      <c r="F404" s="935">
        <v>3006</v>
      </c>
    </row>
    <row r="405" spans="1:6">
      <c r="A405" s="49">
        <f t="shared" si="2"/>
        <v>2023.12</v>
      </c>
      <c r="B405" s="254">
        <v>141243186</v>
      </c>
      <c r="C405" s="932">
        <v>197.53720000000001</v>
      </c>
      <c r="D405" s="2772">
        <f>C405/'8.1'!B393</f>
        <v>2.8564124143056903E-2</v>
      </c>
      <c r="E405" s="941">
        <v>951.1919811026338</v>
      </c>
      <c r="F405" s="935">
        <v>3106</v>
      </c>
    </row>
    <row r="406" spans="1:6">
      <c r="A406" s="49">
        <f t="shared" si="2"/>
        <v>2024.01</v>
      </c>
      <c r="B406" s="254">
        <v>123451269</v>
      </c>
      <c r="C406" s="932">
        <v>245.50708</v>
      </c>
      <c r="D406" s="2772">
        <f>C406/'8.1'!B394</f>
        <v>2.9417511721731543E-2</v>
      </c>
      <c r="E406" s="941">
        <v>834.31595347365749</v>
      </c>
      <c r="F406" s="935">
        <v>3256</v>
      </c>
    </row>
    <row r="407" spans="1:6">
      <c r="A407" s="49">
        <f t="shared" si="2"/>
        <v>2024.02</v>
      </c>
      <c r="B407" s="254">
        <v>97891866</v>
      </c>
      <c r="C407" s="932">
        <v>298.31799999999998</v>
      </c>
      <c r="D407" s="2772">
        <f>C407/'8.1'!B395</f>
        <v>3.1825780634066145E-2</v>
      </c>
      <c r="E407" s="941">
        <v>685.78768400000001</v>
      </c>
      <c r="F407" s="935">
        <v>3375</v>
      </c>
    </row>
    <row r="408" spans="1:6">
      <c r="A408" s="49">
        <f t="shared" si="2"/>
        <v>2024.03</v>
      </c>
      <c r="B408" s="254">
        <v>96546305</v>
      </c>
      <c r="C408" s="932">
        <v>334.64800000000002</v>
      </c>
      <c r="D408" s="2772">
        <f>C408/'8.1'!B396</f>
        <v>3.1762911442024873E-2</v>
      </c>
      <c r="E408" s="941">
        <v>704.30779900000005</v>
      </c>
      <c r="F408" s="935">
        <v>3291</v>
      </c>
    </row>
    <row r="409" spans="1:6">
      <c r="A409" s="49">
        <f t="shared" si="2"/>
        <v>2024.04</v>
      </c>
      <c r="B409" s="254" t="e">
        <v>#N/A</v>
      </c>
      <c r="C409" s="932" t="e">
        <v>#N/A</v>
      </c>
      <c r="D409" s="2772" t="e">
        <f>C409/'8.1'!B397</f>
        <v>#N/A</v>
      </c>
      <c r="E409" s="941" t="e">
        <v>#N/A</v>
      </c>
      <c r="F409" s="935">
        <v>3244</v>
      </c>
    </row>
    <row r="410" spans="1:6">
      <c r="A410" s="49">
        <f t="shared" si="2"/>
        <v>2024.05</v>
      </c>
      <c r="B410" s="254" t="e">
        <v>#N/A</v>
      </c>
      <c r="C410" s="932" t="e">
        <v>#N/A</v>
      </c>
      <c r="D410" s="2772" t="e">
        <f>C410/'8.1'!B398</f>
        <v>#N/A</v>
      </c>
      <c r="E410" s="941" t="e">
        <v>#N/A</v>
      </c>
      <c r="F410" s="935">
        <v>3363</v>
      </c>
    </row>
    <row r="411" spans="1:6">
      <c r="A411" s="49">
        <f t="shared" si="2"/>
        <v>2024.06</v>
      </c>
      <c r="B411" s="254" t="e">
        <v>#N/A</v>
      </c>
      <c r="C411" s="932" t="e">
        <v>#N/A</v>
      </c>
      <c r="D411" s="2772" t="e">
        <f>C411/'8.1'!B399</f>
        <v>#N/A</v>
      </c>
      <c r="E411" s="941" t="e">
        <v>#N/A</v>
      </c>
      <c r="F411" s="935" t="e">
        <v>#N/A</v>
      </c>
    </row>
    <row r="412" spans="1:6">
      <c r="A412" s="49">
        <f t="shared" si="2"/>
        <v>2024.07</v>
      </c>
      <c r="B412" s="254" t="e">
        <v>#N/A</v>
      </c>
      <c r="C412" s="932" t="e">
        <v>#N/A</v>
      </c>
      <c r="D412" s="2772" t="e">
        <f>C412/'8.1'!B400</f>
        <v>#N/A</v>
      </c>
      <c r="E412" s="941" t="e">
        <v>#N/A</v>
      </c>
      <c r="F412" s="935" t="e">
        <v>#N/A</v>
      </c>
    </row>
    <row r="413" spans="1:6">
      <c r="A413" s="49">
        <f t="shared" si="2"/>
        <v>2024.08</v>
      </c>
      <c r="B413" s="254" t="e">
        <v>#N/A</v>
      </c>
      <c r="C413" s="932" t="e">
        <v>#N/A</v>
      </c>
      <c r="D413" s="2772" t="e">
        <f>C413/'8.1'!B401</f>
        <v>#N/A</v>
      </c>
      <c r="E413" s="941" t="e">
        <v>#N/A</v>
      </c>
      <c r="F413" s="935" t="e">
        <v>#N/A</v>
      </c>
    </row>
    <row r="414" spans="1:6">
      <c r="A414" s="49">
        <f t="shared" si="2"/>
        <v>2024.09</v>
      </c>
      <c r="B414" s="254" t="e">
        <v>#N/A</v>
      </c>
      <c r="C414" s="932" t="e">
        <v>#N/A</v>
      </c>
      <c r="D414" s="2772" t="e">
        <f>C414/'8.1'!B402</f>
        <v>#N/A</v>
      </c>
      <c r="E414" s="941" t="e">
        <v>#N/A</v>
      </c>
      <c r="F414" s="935" t="e">
        <v>#N/A</v>
      </c>
    </row>
    <row r="415" spans="1:6">
      <c r="A415" s="49">
        <f t="shared" si="2"/>
        <v>2024.1</v>
      </c>
      <c r="B415" s="254" t="e">
        <v>#N/A</v>
      </c>
      <c r="C415" s="932" t="e">
        <v>#N/A</v>
      </c>
      <c r="D415" s="2772" t="e">
        <f>C415/'8.1'!B403</f>
        <v>#N/A</v>
      </c>
      <c r="E415" s="941" t="e">
        <v>#N/A</v>
      </c>
      <c r="F415" s="935" t="e">
        <v>#N/A</v>
      </c>
    </row>
    <row r="416" spans="1:6">
      <c r="A416" s="49">
        <f t="shared" si="2"/>
        <v>2024.11</v>
      </c>
      <c r="B416" s="254" t="e">
        <v>#N/A</v>
      </c>
      <c r="C416" s="932" t="e">
        <v>#N/A</v>
      </c>
      <c r="D416" s="2772" t="e">
        <f>C416/'8.1'!B404</f>
        <v>#N/A</v>
      </c>
      <c r="E416" s="941" t="e">
        <v>#N/A</v>
      </c>
      <c r="F416" s="935" t="e">
        <v>#N/A</v>
      </c>
    </row>
    <row r="417" spans="1:6">
      <c r="A417" s="49">
        <f t="shared" si="2"/>
        <v>2024.12</v>
      </c>
      <c r="B417" s="254" t="e">
        <v>#N/A</v>
      </c>
      <c r="C417" s="932" t="e">
        <v>#N/A</v>
      </c>
      <c r="D417" s="2772" t="e">
        <f>C417/'8.1'!B405</f>
        <v>#N/A</v>
      </c>
      <c r="E417" s="941" t="e">
        <v>#N/A</v>
      </c>
      <c r="F417" s="935" t="e">
        <v>#N/A</v>
      </c>
    </row>
    <row r="418" spans="1:6">
      <c r="A418" s="49">
        <f t="shared" ref="A418:A481" si="3">A406+1</f>
        <v>2025.01</v>
      </c>
      <c r="B418" s="254" t="e">
        <v>#N/A</v>
      </c>
      <c r="C418" s="932" t="e">
        <v>#N/A</v>
      </c>
      <c r="D418" s="2772" t="e">
        <f>C418/'8.1'!B406</f>
        <v>#N/A</v>
      </c>
      <c r="E418" s="941" t="e">
        <v>#N/A</v>
      </c>
      <c r="F418" s="935" t="e">
        <v>#N/A</v>
      </c>
    </row>
    <row r="419" spans="1:6">
      <c r="A419" s="49">
        <f t="shared" si="3"/>
        <v>2025.02</v>
      </c>
      <c r="B419" s="254" t="e">
        <v>#N/A</v>
      </c>
      <c r="C419" s="932" t="e">
        <v>#N/A</v>
      </c>
      <c r="D419" s="2772" t="e">
        <f>C419/'8.1'!B407</f>
        <v>#N/A</v>
      </c>
      <c r="E419" s="941" t="e">
        <v>#N/A</v>
      </c>
      <c r="F419" s="935" t="e">
        <v>#N/A</v>
      </c>
    </row>
    <row r="420" spans="1:6">
      <c r="A420" s="49">
        <f t="shared" si="3"/>
        <v>2025.03</v>
      </c>
      <c r="B420" s="254" t="e">
        <v>#N/A</v>
      </c>
      <c r="C420" s="932" t="e">
        <v>#N/A</v>
      </c>
      <c r="D420" s="2772" t="e">
        <f>C420/'8.1'!B408</f>
        <v>#N/A</v>
      </c>
      <c r="E420" s="941" t="e">
        <v>#N/A</v>
      </c>
      <c r="F420" s="935" t="e">
        <v>#N/A</v>
      </c>
    </row>
    <row r="421" spans="1:6">
      <c r="A421" s="49">
        <f t="shared" si="3"/>
        <v>2025.04</v>
      </c>
      <c r="B421" s="254" t="e">
        <v>#N/A</v>
      </c>
      <c r="C421" s="932" t="e">
        <v>#N/A</v>
      </c>
      <c r="D421" s="2772" t="e">
        <f>C421/'8.1'!B409</f>
        <v>#N/A</v>
      </c>
      <c r="E421" s="941" t="e">
        <v>#N/A</v>
      </c>
      <c r="F421" s="935" t="e">
        <v>#N/A</v>
      </c>
    </row>
    <row r="422" spans="1:6">
      <c r="A422" s="49">
        <f t="shared" si="3"/>
        <v>2025.05</v>
      </c>
      <c r="B422" s="254" t="e">
        <v>#N/A</v>
      </c>
      <c r="C422" s="932" t="e">
        <v>#N/A</v>
      </c>
      <c r="D422" s="2772" t="e">
        <f>C422/'8.1'!B410</f>
        <v>#N/A</v>
      </c>
      <c r="E422" s="941" t="e">
        <v>#N/A</v>
      </c>
      <c r="F422" s="935" t="e">
        <v>#N/A</v>
      </c>
    </row>
    <row r="423" spans="1:6">
      <c r="A423" s="49">
        <f t="shared" si="3"/>
        <v>2025.06</v>
      </c>
      <c r="B423" s="254" t="e">
        <v>#N/A</v>
      </c>
      <c r="C423" s="932" t="e">
        <v>#N/A</v>
      </c>
      <c r="D423" s="2772" t="e">
        <f>C423/'8.1'!B411</f>
        <v>#N/A</v>
      </c>
      <c r="E423" s="941" t="e">
        <v>#N/A</v>
      </c>
      <c r="F423" s="935" t="e">
        <v>#N/A</v>
      </c>
    </row>
    <row r="424" spans="1:6">
      <c r="A424" s="49">
        <f t="shared" si="3"/>
        <v>2025.07</v>
      </c>
      <c r="B424" s="254" t="e">
        <v>#N/A</v>
      </c>
      <c r="C424" s="932" t="e">
        <v>#N/A</v>
      </c>
      <c r="D424" s="2772" t="e">
        <f>C424/'8.1'!B412</f>
        <v>#N/A</v>
      </c>
      <c r="E424" s="941" t="e">
        <v>#N/A</v>
      </c>
      <c r="F424" s="935" t="e">
        <v>#N/A</v>
      </c>
    </row>
    <row r="425" spans="1:6">
      <c r="A425" s="49">
        <f t="shared" si="3"/>
        <v>2025.08</v>
      </c>
      <c r="B425" s="254" t="e">
        <v>#N/A</v>
      </c>
      <c r="C425" s="932" t="e">
        <v>#N/A</v>
      </c>
      <c r="D425" s="2772" t="e">
        <f>C425/'8.1'!B413</f>
        <v>#N/A</v>
      </c>
      <c r="E425" s="941" t="e">
        <v>#N/A</v>
      </c>
      <c r="F425" s="935" t="e">
        <v>#N/A</v>
      </c>
    </row>
    <row r="426" spans="1:6">
      <c r="A426" s="49">
        <f t="shared" si="3"/>
        <v>2025.09</v>
      </c>
      <c r="B426" s="254" t="e">
        <v>#N/A</v>
      </c>
      <c r="C426" s="932" t="e">
        <v>#N/A</v>
      </c>
      <c r="D426" s="2772" t="e">
        <f>C426/'8.1'!B414</f>
        <v>#N/A</v>
      </c>
      <c r="E426" s="941" t="e">
        <v>#N/A</v>
      </c>
      <c r="F426" s="935" t="e">
        <v>#N/A</v>
      </c>
    </row>
    <row r="427" spans="1:6">
      <c r="A427" s="49">
        <f t="shared" si="3"/>
        <v>2025.1</v>
      </c>
      <c r="B427" s="254" t="e">
        <v>#N/A</v>
      </c>
      <c r="C427" s="932" t="e">
        <v>#N/A</v>
      </c>
      <c r="D427" s="2772" t="e">
        <f>C427/'8.1'!B415</f>
        <v>#N/A</v>
      </c>
      <c r="E427" s="941" t="e">
        <v>#N/A</v>
      </c>
      <c r="F427" s="935" t="e">
        <v>#N/A</v>
      </c>
    </row>
    <row r="428" spans="1:6">
      <c r="A428" s="49">
        <f t="shared" si="3"/>
        <v>2025.11</v>
      </c>
      <c r="B428" s="254" t="e">
        <v>#N/A</v>
      </c>
      <c r="C428" s="932" t="e">
        <v>#N/A</v>
      </c>
      <c r="D428" s="2772" t="e">
        <f>C428/'8.1'!B416</f>
        <v>#N/A</v>
      </c>
      <c r="E428" s="941" t="e">
        <v>#N/A</v>
      </c>
      <c r="F428" s="935" t="e">
        <v>#N/A</v>
      </c>
    </row>
    <row r="429" spans="1:6">
      <c r="A429" s="49">
        <f t="shared" si="3"/>
        <v>2025.12</v>
      </c>
      <c r="B429" s="254" t="e">
        <v>#N/A</v>
      </c>
      <c r="C429" s="932" t="e">
        <v>#N/A</v>
      </c>
      <c r="D429" s="2772" t="e">
        <f>C429/'8.1'!B417</f>
        <v>#N/A</v>
      </c>
      <c r="E429" s="941" t="e">
        <v>#N/A</v>
      </c>
      <c r="F429" s="935" t="e">
        <v>#N/A</v>
      </c>
    </row>
    <row r="430" spans="1:6">
      <c r="A430" s="49">
        <f t="shared" si="3"/>
        <v>2026.01</v>
      </c>
      <c r="B430" s="254" t="e">
        <v>#N/A</v>
      </c>
      <c r="C430" s="932" t="e">
        <v>#N/A</v>
      </c>
      <c r="D430" s="2772" t="e">
        <f>C430/'8.1'!B418</f>
        <v>#N/A</v>
      </c>
      <c r="E430" s="941" t="e">
        <v>#N/A</v>
      </c>
      <c r="F430" s="935" t="e">
        <v>#N/A</v>
      </c>
    </row>
    <row r="431" spans="1:6">
      <c r="A431" s="49">
        <f t="shared" si="3"/>
        <v>2026.02</v>
      </c>
      <c r="B431" s="254" t="e">
        <v>#N/A</v>
      </c>
      <c r="C431" s="932" t="e">
        <v>#N/A</v>
      </c>
      <c r="D431" s="2772" t="e">
        <f>C431/'8.1'!B419</f>
        <v>#N/A</v>
      </c>
      <c r="E431" s="941" t="e">
        <v>#N/A</v>
      </c>
      <c r="F431" s="935" t="e">
        <v>#N/A</v>
      </c>
    </row>
    <row r="432" spans="1:6">
      <c r="A432" s="49">
        <f t="shared" si="3"/>
        <v>2026.03</v>
      </c>
      <c r="B432" s="254" t="e">
        <v>#N/A</v>
      </c>
      <c r="C432" s="932" t="e">
        <v>#N/A</v>
      </c>
      <c r="D432" s="2772" t="e">
        <f>C432/'8.1'!B420</f>
        <v>#N/A</v>
      </c>
      <c r="E432" s="941" t="e">
        <v>#N/A</v>
      </c>
      <c r="F432" s="935" t="e">
        <v>#N/A</v>
      </c>
    </row>
    <row r="433" spans="1:6">
      <c r="A433" s="49">
        <f t="shared" si="3"/>
        <v>2026.04</v>
      </c>
      <c r="B433" s="254" t="e">
        <v>#N/A</v>
      </c>
      <c r="C433" s="932" t="e">
        <v>#N/A</v>
      </c>
      <c r="D433" s="2772" t="e">
        <f>C433/'8.1'!B421</f>
        <v>#N/A</v>
      </c>
      <c r="E433" s="941" t="e">
        <v>#N/A</v>
      </c>
      <c r="F433" s="935" t="e">
        <v>#N/A</v>
      </c>
    </row>
    <row r="434" spans="1:6">
      <c r="A434" s="49">
        <f t="shared" si="3"/>
        <v>2026.05</v>
      </c>
      <c r="B434" s="254" t="e">
        <v>#N/A</v>
      </c>
      <c r="C434" s="932" t="e">
        <v>#N/A</v>
      </c>
      <c r="D434" s="2772" t="e">
        <f>C434/'8.1'!B422</f>
        <v>#N/A</v>
      </c>
      <c r="E434" s="941" t="e">
        <v>#N/A</v>
      </c>
      <c r="F434" s="935" t="e">
        <v>#N/A</v>
      </c>
    </row>
    <row r="435" spans="1:6">
      <c r="A435" s="49">
        <f t="shared" si="3"/>
        <v>2026.06</v>
      </c>
      <c r="B435" s="254" t="e">
        <v>#N/A</v>
      </c>
      <c r="C435" s="932" t="e">
        <v>#N/A</v>
      </c>
      <c r="D435" s="2772" t="e">
        <f>C435/'8.1'!B423</f>
        <v>#N/A</v>
      </c>
      <c r="E435" s="941" t="e">
        <v>#N/A</v>
      </c>
      <c r="F435" s="935" t="e">
        <v>#N/A</v>
      </c>
    </row>
    <row r="436" spans="1:6">
      <c r="A436" s="49">
        <f t="shared" si="3"/>
        <v>2026.07</v>
      </c>
      <c r="B436" s="254" t="e">
        <v>#N/A</v>
      </c>
      <c r="C436" s="932" t="e">
        <v>#N/A</v>
      </c>
      <c r="D436" s="2772" t="e">
        <f>C436/'8.1'!B424</f>
        <v>#N/A</v>
      </c>
      <c r="E436" s="941" t="e">
        <v>#N/A</v>
      </c>
      <c r="F436" s="935" t="e">
        <v>#N/A</v>
      </c>
    </row>
    <row r="437" spans="1:6">
      <c r="A437" s="49">
        <f t="shared" si="3"/>
        <v>2026.08</v>
      </c>
      <c r="B437" s="254" t="e">
        <v>#N/A</v>
      </c>
      <c r="C437" s="932" t="e">
        <v>#N/A</v>
      </c>
      <c r="D437" s="2772" t="e">
        <f>C437/'8.1'!B425</f>
        <v>#N/A</v>
      </c>
      <c r="E437" s="941" t="e">
        <v>#N/A</v>
      </c>
      <c r="F437" s="935" t="e">
        <v>#N/A</v>
      </c>
    </row>
    <row r="438" spans="1:6">
      <c r="A438" s="49">
        <f t="shared" si="3"/>
        <v>2026.09</v>
      </c>
      <c r="B438" s="254" t="e">
        <v>#N/A</v>
      </c>
      <c r="C438" s="932" t="e">
        <v>#N/A</v>
      </c>
      <c r="D438" s="2772" t="e">
        <f>C438/'8.1'!B426</f>
        <v>#N/A</v>
      </c>
      <c r="E438" s="941" t="e">
        <v>#N/A</v>
      </c>
      <c r="F438" s="935" t="e">
        <v>#N/A</v>
      </c>
    </row>
    <row r="439" spans="1:6">
      <c r="A439" s="49">
        <f t="shared" si="3"/>
        <v>2026.1</v>
      </c>
      <c r="B439" s="254" t="e">
        <v>#N/A</v>
      </c>
      <c r="C439" s="932" t="e">
        <v>#N/A</v>
      </c>
      <c r="D439" s="2772" t="e">
        <f>C439/'8.1'!B427</f>
        <v>#N/A</v>
      </c>
      <c r="E439" s="941" t="e">
        <v>#N/A</v>
      </c>
      <c r="F439" s="935" t="e">
        <v>#N/A</v>
      </c>
    </row>
    <row r="440" spans="1:6">
      <c r="A440" s="49">
        <f t="shared" si="3"/>
        <v>2026.11</v>
      </c>
      <c r="B440" s="254" t="e">
        <v>#N/A</v>
      </c>
      <c r="C440" s="932" t="e">
        <v>#N/A</v>
      </c>
      <c r="D440" s="2772" t="e">
        <f>C440/'8.1'!B428</f>
        <v>#N/A</v>
      </c>
      <c r="E440" s="941" t="e">
        <v>#N/A</v>
      </c>
      <c r="F440" s="935" t="e">
        <v>#N/A</v>
      </c>
    </row>
    <row r="441" spans="1:6">
      <c r="A441" s="49">
        <f t="shared" si="3"/>
        <v>2026.12</v>
      </c>
      <c r="B441" s="254" t="e">
        <v>#N/A</v>
      </c>
      <c r="C441" s="932" t="e">
        <v>#N/A</v>
      </c>
      <c r="D441" s="2772" t="e">
        <f>C441/'8.1'!B429</f>
        <v>#N/A</v>
      </c>
      <c r="E441" s="941" t="e">
        <v>#N/A</v>
      </c>
      <c r="F441" s="935" t="e">
        <v>#N/A</v>
      </c>
    </row>
    <row r="442" spans="1:6">
      <c r="A442" s="49">
        <f t="shared" si="3"/>
        <v>2027.01</v>
      </c>
      <c r="B442" s="254" t="e">
        <v>#N/A</v>
      </c>
      <c r="C442" s="932" t="e">
        <v>#N/A</v>
      </c>
      <c r="D442" s="2772" t="e">
        <f>C442/'8.1'!B430</f>
        <v>#N/A</v>
      </c>
      <c r="E442" s="941" t="e">
        <v>#N/A</v>
      </c>
      <c r="F442" s="935" t="e">
        <v>#N/A</v>
      </c>
    </row>
    <row r="443" spans="1:6">
      <c r="A443" s="49">
        <f t="shared" si="3"/>
        <v>2027.02</v>
      </c>
      <c r="B443" s="254" t="e">
        <v>#N/A</v>
      </c>
      <c r="C443" s="932" t="e">
        <v>#N/A</v>
      </c>
      <c r="D443" s="2772" t="e">
        <f>C443/'8.1'!B431</f>
        <v>#N/A</v>
      </c>
      <c r="E443" s="941" t="e">
        <v>#N/A</v>
      </c>
      <c r="F443" s="935" t="e">
        <v>#N/A</v>
      </c>
    </row>
    <row r="444" spans="1:6">
      <c r="A444" s="49">
        <f t="shared" si="3"/>
        <v>2027.03</v>
      </c>
      <c r="B444" s="254" t="e">
        <v>#N/A</v>
      </c>
      <c r="C444" s="932" t="e">
        <v>#N/A</v>
      </c>
      <c r="D444" s="2772" t="e">
        <f>C444/'8.1'!B432</f>
        <v>#N/A</v>
      </c>
      <c r="E444" s="941" t="e">
        <v>#N/A</v>
      </c>
      <c r="F444" s="935" t="e">
        <v>#N/A</v>
      </c>
    </row>
    <row r="445" spans="1:6">
      <c r="A445" s="49">
        <f t="shared" si="3"/>
        <v>2027.04</v>
      </c>
      <c r="B445" s="254" t="e">
        <v>#N/A</v>
      </c>
      <c r="C445" s="932" t="e">
        <v>#N/A</v>
      </c>
      <c r="D445" s="2772" t="e">
        <f>C445/'8.1'!B433</f>
        <v>#N/A</v>
      </c>
      <c r="E445" s="941" t="e">
        <v>#N/A</v>
      </c>
      <c r="F445" s="935" t="e">
        <v>#N/A</v>
      </c>
    </row>
    <row r="446" spans="1:6">
      <c r="A446" s="49">
        <f t="shared" si="3"/>
        <v>2027.05</v>
      </c>
      <c r="B446" s="254" t="e">
        <v>#N/A</v>
      </c>
      <c r="C446" s="932" t="e">
        <v>#N/A</v>
      </c>
      <c r="D446" s="2772" t="e">
        <f>C446/'8.1'!B434</f>
        <v>#N/A</v>
      </c>
      <c r="E446" s="941" t="e">
        <v>#N/A</v>
      </c>
      <c r="F446" s="935" t="e">
        <v>#N/A</v>
      </c>
    </row>
    <row r="447" spans="1:6">
      <c r="A447" s="49">
        <f t="shared" si="3"/>
        <v>2027.06</v>
      </c>
      <c r="B447" s="254" t="e">
        <v>#N/A</v>
      </c>
      <c r="C447" s="932" t="e">
        <v>#N/A</v>
      </c>
      <c r="D447" s="2772" t="e">
        <f>C447/'8.1'!B435</f>
        <v>#N/A</v>
      </c>
      <c r="E447" s="941" t="e">
        <v>#N/A</v>
      </c>
      <c r="F447" s="935" t="e">
        <v>#N/A</v>
      </c>
    </row>
    <row r="448" spans="1:6">
      <c r="A448" s="49">
        <f t="shared" si="3"/>
        <v>2027.07</v>
      </c>
      <c r="B448" s="254" t="e">
        <v>#N/A</v>
      </c>
      <c r="C448" s="932" t="e">
        <v>#N/A</v>
      </c>
      <c r="D448" s="2772" t="e">
        <f>C448/'8.1'!B436</f>
        <v>#N/A</v>
      </c>
      <c r="E448" s="941" t="e">
        <v>#N/A</v>
      </c>
      <c r="F448" s="935" t="e">
        <v>#N/A</v>
      </c>
    </row>
    <row r="449" spans="1:6">
      <c r="A449" s="49">
        <f t="shared" si="3"/>
        <v>2027.08</v>
      </c>
      <c r="B449" s="254" t="e">
        <v>#N/A</v>
      </c>
      <c r="C449" s="932" t="e">
        <v>#N/A</v>
      </c>
      <c r="D449" s="2772" t="e">
        <f>C449/'8.1'!B437</f>
        <v>#N/A</v>
      </c>
      <c r="E449" s="941" t="e">
        <v>#N/A</v>
      </c>
      <c r="F449" s="935" t="e">
        <v>#N/A</v>
      </c>
    </row>
    <row r="450" spans="1:6">
      <c r="A450" s="49">
        <f t="shared" si="3"/>
        <v>2027.09</v>
      </c>
      <c r="B450" s="254" t="e">
        <v>#N/A</v>
      </c>
      <c r="C450" s="932" t="e">
        <v>#N/A</v>
      </c>
      <c r="D450" s="2772" t="e">
        <f>C450/'8.1'!B438</f>
        <v>#N/A</v>
      </c>
      <c r="E450" s="941" t="e">
        <v>#N/A</v>
      </c>
      <c r="F450" s="935" t="e">
        <v>#N/A</v>
      </c>
    </row>
    <row r="451" spans="1:6">
      <c r="A451" s="49">
        <f t="shared" si="3"/>
        <v>2027.1</v>
      </c>
      <c r="B451" s="254" t="e">
        <v>#N/A</v>
      </c>
      <c r="C451" s="932" t="e">
        <v>#N/A</v>
      </c>
      <c r="D451" s="2772" t="e">
        <f>C451/'8.1'!B439</f>
        <v>#N/A</v>
      </c>
      <c r="E451" s="941" t="e">
        <v>#N/A</v>
      </c>
      <c r="F451" s="935" t="e">
        <v>#N/A</v>
      </c>
    </row>
    <row r="452" spans="1:6">
      <c r="A452" s="49">
        <f t="shared" si="3"/>
        <v>2027.11</v>
      </c>
      <c r="B452" s="254" t="e">
        <v>#N/A</v>
      </c>
      <c r="C452" s="932" t="e">
        <v>#N/A</v>
      </c>
      <c r="D452" s="2772" t="e">
        <f>C452/'8.1'!B440</f>
        <v>#N/A</v>
      </c>
      <c r="E452" s="941" t="e">
        <v>#N/A</v>
      </c>
      <c r="F452" s="935" t="e">
        <v>#N/A</v>
      </c>
    </row>
    <row r="453" spans="1:6">
      <c r="A453" s="49">
        <f t="shared" si="3"/>
        <v>2027.12</v>
      </c>
      <c r="B453" s="254" t="e">
        <v>#N/A</v>
      </c>
      <c r="C453" s="932" t="e">
        <v>#N/A</v>
      </c>
      <c r="D453" s="2772" t="e">
        <f>C453/'8.1'!B441</f>
        <v>#N/A</v>
      </c>
      <c r="E453" s="941" t="e">
        <v>#N/A</v>
      </c>
      <c r="F453" s="935" t="e">
        <v>#N/A</v>
      </c>
    </row>
    <row r="454" spans="1:6">
      <c r="A454" s="49">
        <f t="shared" si="3"/>
        <v>2028.01</v>
      </c>
      <c r="B454" s="254" t="e">
        <v>#N/A</v>
      </c>
      <c r="C454" s="932" t="e">
        <v>#N/A</v>
      </c>
      <c r="D454" s="2772" t="e">
        <f>C454/'8.1'!B442</f>
        <v>#N/A</v>
      </c>
      <c r="E454" s="941" t="e">
        <v>#N/A</v>
      </c>
      <c r="F454" s="935" t="e">
        <v>#N/A</v>
      </c>
    </row>
    <row r="455" spans="1:6">
      <c r="A455" s="49">
        <f t="shared" si="3"/>
        <v>2028.02</v>
      </c>
      <c r="B455" s="254" t="e">
        <v>#N/A</v>
      </c>
      <c r="C455" s="932" t="e">
        <v>#N/A</v>
      </c>
      <c r="D455" s="2772" t="e">
        <f>C455/'8.1'!B443</f>
        <v>#N/A</v>
      </c>
      <c r="E455" s="941" t="e">
        <v>#N/A</v>
      </c>
      <c r="F455" s="935" t="e">
        <v>#N/A</v>
      </c>
    </row>
    <row r="456" spans="1:6">
      <c r="A456" s="49">
        <f t="shared" si="3"/>
        <v>2028.03</v>
      </c>
      <c r="B456" s="254" t="e">
        <v>#N/A</v>
      </c>
      <c r="C456" s="932" t="e">
        <v>#N/A</v>
      </c>
      <c r="D456" s="2772" t="e">
        <f>C456/'8.1'!B444</f>
        <v>#N/A</v>
      </c>
      <c r="E456" s="941" t="e">
        <v>#N/A</v>
      </c>
      <c r="F456" s="935" t="e">
        <v>#N/A</v>
      </c>
    </row>
    <row r="457" spans="1:6">
      <c r="A457" s="49">
        <f t="shared" si="3"/>
        <v>2028.04</v>
      </c>
      <c r="B457" s="254" t="e">
        <v>#N/A</v>
      </c>
      <c r="C457" s="932" t="e">
        <v>#N/A</v>
      </c>
      <c r="D457" s="2772" t="e">
        <f>C457/'8.1'!B445</f>
        <v>#N/A</v>
      </c>
      <c r="E457" s="941" t="e">
        <v>#N/A</v>
      </c>
      <c r="F457" s="935" t="e">
        <v>#N/A</v>
      </c>
    </row>
    <row r="458" spans="1:6">
      <c r="A458" s="49">
        <f t="shared" si="3"/>
        <v>2028.05</v>
      </c>
      <c r="B458" s="254" t="e">
        <v>#N/A</v>
      </c>
      <c r="C458" s="932" t="e">
        <v>#N/A</v>
      </c>
      <c r="D458" s="2772" t="e">
        <f>C458/'8.1'!B446</f>
        <v>#N/A</v>
      </c>
      <c r="E458" s="941" t="e">
        <v>#N/A</v>
      </c>
      <c r="F458" s="935" t="e">
        <v>#N/A</v>
      </c>
    </row>
    <row r="459" spans="1:6">
      <c r="A459" s="49">
        <f t="shared" si="3"/>
        <v>2028.06</v>
      </c>
      <c r="B459" s="254" t="e">
        <v>#N/A</v>
      </c>
      <c r="C459" s="932" t="e">
        <v>#N/A</v>
      </c>
      <c r="D459" s="2772" t="e">
        <f>C459/'8.1'!B447</f>
        <v>#N/A</v>
      </c>
      <c r="E459" s="941" t="e">
        <v>#N/A</v>
      </c>
      <c r="F459" s="935" t="e">
        <v>#N/A</v>
      </c>
    </row>
    <row r="460" spans="1:6">
      <c r="A460" s="49">
        <f t="shared" si="3"/>
        <v>2028.07</v>
      </c>
      <c r="B460" s="254" t="e">
        <v>#N/A</v>
      </c>
      <c r="C460" s="932" t="e">
        <v>#N/A</v>
      </c>
      <c r="D460" s="2772" t="e">
        <f>C460/'8.1'!B448</f>
        <v>#N/A</v>
      </c>
      <c r="E460" s="941" t="e">
        <v>#N/A</v>
      </c>
      <c r="F460" s="935" t="e">
        <v>#N/A</v>
      </c>
    </row>
    <row r="461" spans="1:6">
      <c r="A461" s="49">
        <f t="shared" si="3"/>
        <v>2028.08</v>
      </c>
      <c r="B461" s="254" t="e">
        <v>#N/A</v>
      </c>
      <c r="C461" s="932" t="e">
        <v>#N/A</v>
      </c>
      <c r="D461" s="2772" t="e">
        <f>C461/'8.1'!B449</f>
        <v>#N/A</v>
      </c>
      <c r="E461" s="941" t="e">
        <v>#N/A</v>
      </c>
      <c r="F461" s="935" t="e">
        <v>#N/A</v>
      </c>
    </row>
    <row r="462" spans="1:6">
      <c r="A462" s="49">
        <f t="shared" si="3"/>
        <v>2028.09</v>
      </c>
      <c r="B462" s="254" t="e">
        <v>#N/A</v>
      </c>
      <c r="C462" s="932" t="e">
        <v>#N/A</v>
      </c>
      <c r="D462" s="2772" t="e">
        <f>C462/'8.1'!B450</f>
        <v>#N/A</v>
      </c>
      <c r="E462" s="941" t="e">
        <v>#N/A</v>
      </c>
      <c r="F462" s="935" t="e">
        <v>#N/A</v>
      </c>
    </row>
    <row r="463" spans="1:6">
      <c r="A463" s="49">
        <f t="shared" si="3"/>
        <v>2028.1</v>
      </c>
      <c r="B463" s="254" t="e">
        <v>#N/A</v>
      </c>
      <c r="C463" s="932" t="e">
        <v>#N/A</v>
      </c>
      <c r="D463" s="2772" t="e">
        <f>C463/'8.1'!B451</f>
        <v>#N/A</v>
      </c>
      <c r="E463" s="941" t="e">
        <v>#N/A</v>
      </c>
      <c r="F463" s="935" t="e">
        <v>#N/A</v>
      </c>
    </row>
    <row r="464" spans="1:6">
      <c r="A464" s="49">
        <f t="shared" si="3"/>
        <v>2028.11</v>
      </c>
      <c r="B464" s="254" t="e">
        <v>#N/A</v>
      </c>
      <c r="C464" s="932" t="e">
        <v>#N/A</v>
      </c>
      <c r="D464" s="2772" t="e">
        <f>C464/'8.1'!B452</f>
        <v>#N/A</v>
      </c>
      <c r="E464" s="941" t="e">
        <v>#N/A</v>
      </c>
      <c r="F464" s="935" t="e">
        <v>#N/A</v>
      </c>
    </row>
    <row r="465" spans="1:6">
      <c r="A465" s="49">
        <f t="shared" si="3"/>
        <v>2028.12</v>
      </c>
      <c r="B465" s="254" t="e">
        <v>#N/A</v>
      </c>
      <c r="C465" s="932" t="e">
        <v>#N/A</v>
      </c>
      <c r="D465" s="2772" t="e">
        <f>C465/'8.1'!B453</f>
        <v>#N/A</v>
      </c>
      <c r="E465" s="941" t="e">
        <v>#N/A</v>
      </c>
      <c r="F465" s="935" t="e">
        <v>#N/A</v>
      </c>
    </row>
    <row r="466" spans="1:6">
      <c r="A466" s="49">
        <f t="shared" si="3"/>
        <v>2029.01</v>
      </c>
      <c r="B466" s="254" t="e">
        <v>#N/A</v>
      </c>
      <c r="C466" s="932" t="e">
        <v>#N/A</v>
      </c>
      <c r="D466" s="2772" t="e">
        <f>C466/'8.1'!B454</f>
        <v>#N/A</v>
      </c>
      <c r="E466" s="941" t="e">
        <v>#N/A</v>
      </c>
      <c r="F466" s="935" t="e">
        <v>#N/A</v>
      </c>
    </row>
    <row r="467" spans="1:6">
      <c r="A467" s="49">
        <f t="shared" si="3"/>
        <v>2029.02</v>
      </c>
      <c r="B467" s="254" t="e">
        <v>#N/A</v>
      </c>
      <c r="C467" s="932" t="e">
        <v>#N/A</v>
      </c>
      <c r="D467" s="2772" t="e">
        <f>C467/'8.1'!B455</f>
        <v>#N/A</v>
      </c>
      <c r="E467" s="941" t="e">
        <v>#N/A</v>
      </c>
      <c r="F467" s="935" t="e">
        <v>#N/A</v>
      </c>
    </row>
    <row r="468" spans="1:6">
      <c r="A468" s="49">
        <f t="shared" si="3"/>
        <v>2029.03</v>
      </c>
      <c r="B468" s="254" t="e">
        <v>#N/A</v>
      </c>
      <c r="C468" s="932" t="e">
        <v>#N/A</v>
      </c>
      <c r="D468" s="2772" t="e">
        <f>C468/'8.1'!B456</f>
        <v>#N/A</v>
      </c>
      <c r="E468" s="941" t="e">
        <v>#N/A</v>
      </c>
      <c r="F468" s="935" t="e">
        <v>#N/A</v>
      </c>
    </row>
    <row r="469" spans="1:6">
      <c r="A469" s="49">
        <f t="shared" si="3"/>
        <v>2029.04</v>
      </c>
      <c r="B469" s="254" t="e">
        <v>#N/A</v>
      </c>
      <c r="C469" s="932" t="e">
        <v>#N/A</v>
      </c>
      <c r="D469" s="2772" t="e">
        <f>C469/'8.1'!B457</f>
        <v>#N/A</v>
      </c>
      <c r="E469" s="941" t="e">
        <v>#N/A</v>
      </c>
      <c r="F469" s="935" t="e">
        <v>#N/A</v>
      </c>
    </row>
    <row r="470" spans="1:6">
      <c r="A470" s="49">
        <f t="shared" si="3"/>
        <v>2029.05</v>
      </c>
      <c r="B470" s="254" t="e">
        <v>#N/A</v>
      </c>
      <c r="C470" s="932" t="e">
        <v>#N/A</v>
      </c>
      <c r="D470" s="2772" t="e">
        <f>C470/'8.1'!B458</f>
        <v>#N/A</v>
      </c>
      <c r="E470" s="941" t="e">
        <v>#N/A</v>
      </c>
      <c r="F470" s="935" t="e">
        <v>#N/A</v>
      </c>
    </row>
    <row r="471" spans="1:6">
      <c r="A471" s="49">
        <f t="shared" si="3"/>
        <v>2029.06</v>
      </c>
      <c r="B471" s="254" t="e">
        <v>#N/A</v>
      </c>
      <c r="C471" s="932" t="e">
        <v>#N/A</v>
      </c>
      <c r="D471" s="2772" t="e">
        <f>C471/'8.1'!B459</f>
        <v>#N/A</v>
      </c>
      <c r="E471" s="941" t="e">
        <v>#N/A</v>
      </c>
      <c r="F471" s="935" t="e">
        <v>#N/A</v>
      </c>
    </row>
    <row r="472" spans="1:6">
      <c r="A472" s="49">
        <f t="shared" si="3"/>
        <v>2029.07</v>
      </c>
      <c r="B472" s="254" t="e">
        <v>#N/A</v>
      </c>
      <c r="C472" s="932" t="e">
        <v>#N/A</v>
      </c>
      <c r="D472" s="2772" t="e">
        <f>C472/'8.1'!B460</f>
        <v>#N/A</v>
      </c>
      <c r="E472" s="941" t="e">
        <v>#N/A</v>
      </c>
      <c r="F472" s="935" t="e">
        <v>#N/A</v>
      </c>
    </row>
    <row r="473" spans="1:6">
      <c r="A473" s="49">
        <f t="shared" si="3"/>
        <v>2029.08</v>
      </c>
      <c r="B473" s="254" t="e">
        <v>#N/A</v>
      </c>
      <c r="C473" s="932" t="e">
        <v>#N/A</v>
      </c>
      <c r="D473" s="2772" t="e">
        <f>C473/'8.1'!B461</f>
        <v>#N/A</v>
      </c>
      <c r="E473" s="941" t="e">
        <v>#N/A</v>
      </c>
      <c r="F473" s="935" t="e">
        <v>#N/A</v>
      </c>
    </row>
    <row r="474" spans="1:6">
      <c r="A474" s="49">
        <f t="shared" si="3"/>
        <v>2029.09</v>
      </c>
      <c r="B474" s="254" t="e">
        <v>#N/A</v>
      </c>
      <c r="C474" s="932" t="e">
        <v>#N/A</v>
      </c>
      <c r="D474" s="2772" t="e">
        <f>C474/'8.1'!B462</f>
        <v>#N/A</v>
      </c>
      <c r="E474" s="941" t="e">
        <v>#N/A</v>
      </c>
      <c r="F474" s="935" t="e">
        <v>#N/A</v>
      </c>
    </row>
    <row r="475" spans="1:6">
      <c r="A475" s="49">
        <f t="shared" si="3"/>
        <v>2029.1</v>
      </c>
      <c r="B475" s="254" t="e">
        <v>#N/A</v>
      </c>
      <c r="C475" s="932" t="e">
        <v>#N/A</v>
      </c>
      <c r="D475" s="2772" t="e">
        <f>C475/'8.1'!B463</f>
        <v>#N/A</v>
      </c>
      <c r="E475" s="941" t="e">
        <v>#N/A</v>
      </c>
      <c r="F475" s="935" t="e">
        <v>#N/A</v>
      </c>
    </row>
    <row r="476" spans="1:6">
      <c r="A476" s="49">
        <f t="shared" si="3"/>
        <v>2029.11</v>
      </c>
      <c r="B476" s="254" t="e">
        <v>#N/A</v>
      </c>
      <c r="C476" s="932" t="e">
        <v>#N/A</v>
      </c>
      <c r="D476" s="2772" t="e">
        <f>C476/'8.1'!B464</f>
        <v>#N/A</v>
      </c>
      <c r="E476" s="941" t="e">
        <v>#N/A</v>
      </c>
      <c r="F476" s="935" t="e">
        <v>#N/A</v>
      </c>
    </row>
    <row r="477" spans="1:6">
      <c r="A477" s="49">
        <f t="shared" si="3"/>
        <v>2029.12</v>
      </c>
      <c r="B477" s="254" t="e">
        <v>#N/A</v>
      </c>
      <c r="C477" s="932" t="e">
        <v>#N/A</v>
      </c>
      <c r="D477" s="2772" t="e">
        <f>C477/'8.1'!B465</f>
        <v>#N/A</v>
      </c>
      <c r="E477" s="941" t="e">
        <v>#N/A</v>
      </c>
      <c r="F477" s="935" t="e">
        <v>#N/A</v>
      </c>
    </row>
    <row r="478" spans="1:6">
      <c r="A478" s="49">
        <f t="shared" si="3"/>
        <v>2030.01</v>
      </c>
      <c r="B478" s="254" t="e">
        <v>#N/A</v>
      </c>
      <c r="C478" s="932" t="e">
        <v>#N/A</v>
      </c>
      <c r="D478" s="2772" t="e">
        <f>C478/'8.1'!B466</f>
        <v>#N/A</v>
      </c>
      <c r="E478" s="941" t="e">
        <v>#N/A</v>
      </c>
      <c r="F478" s="935" t="e">
        <v>#N/A</v>
      </c>
    </row>
    <row r="479" spans="1:6">
      <c r="A479" s="49">
        <f t="shared" si="3"/>
        <v>2030.02</v>
      </c>
      <c r="B479" s="254" t="e">
        <v>#N/A</v>
      </c>
      <c r="C479" s="932" t="e">
        <v>#N/A</v>
      </c>
      <c r="D479" s="2772" t="e">
        <f>C479/'8.1'!B467</f>
        <v>#N/A</v>
      </c>
      <c r="E479" s="941" t="e">
        <v>#N/A</v>
      </c>
      <c r="F479" s="935" t="e">
        <v>#N/A</v>
      </c>
    </row>
    <row r="480" spans="1:6">
      <c r="A480" s="49">
        <f t="shared" si="3"/>
        <v>2030.03</v>
      </c>
      <c r="B480" s="254" t="e">
        <v>#N/A</v>
      </c>
      <c r="C480" s="932" t="e">
        <v>#N/A</v>
      </c>
      <c r="D480" s="2772" t="e">
        <f>C480/'8.1'!B468</f>
        <v>#N/A</v>
      </c>
      <c r="E480" s="941" t="e">
        <v>#N/A</v>
      </c>
      <c r="F480" s="935" t="e">
        <v>#N/A</v>
      </c>
    </row>
    <row r="481" spans="1:6">
      <c r="A481" s="49">
        <f t="shared" si="3"/>
        <v>2030.04</v>
      </c>
      <c r="B481" s="254" t="e">
        <v>#N/A</v>
      </c>
      <c r="C481" s="932" t="e">
        <v>#N/A</v>
      </c>
      <c r="D481" s="2772" t="e">
        <f>C481/'8.1'!B469</f>
        <v>#N/A</v>
      </c>
      <c r="E481" s="941" t="e">
        <v>#N/A</v>
      </c>
      <c r="F481" s="935" t="e">
        <v>#N/A</v>
      </c>
    </row>
    <row r="482" spans="1:6">
      <c r="A482" s="49">
        <f t="shared" ref="A482:A489" si="4">A470+1</f>
        <v>2030.05</v>
      </c>
      <c r="B482" s="254" t="e">
        <v>#N/A</v>
      </c>
      <c r="C482" s="932" t="e">
        <v>#N/A</v>
      </c>
      <c r="D482" s="2772" t="e">
        <f>C482/'8.1'!B470</f>
        <v>#N/A</v>
      </c>
      <c r="E482" s="941" t="e">
        <v>#N/A</v>
      </c>
      <c r="F482" s="935" t="e">
        <v>#N/A</v>
      </c>
    </row>
    <row r="483" spans="1:6">
      <c r="A483" s="49">
        <f t="shared" si="4"/>
        <v>2030.06</v>
      </c>
      <c r="B483" s="254" t="e">
        <v>#N/A</v>
      </c>
      <c r="C483" s="932" t="e">
        <v>#N/A</v>
      </c>
      <c r="D483" s="2772" t="e">
        <f>C483/'8.1'!B471</f>
        <v>#N/A</v>
      </c>
      <c r="E483" s="941" t="e">
        <v>#N/A</v>
      </c>
      <c r="F483" s="935" t="e">
        <v>#N/A</v>
      </c>
    </row>
    <row r="484" spans="1:6">
      <c r="A484" s="49">
        <f t="shared" si="4"/>
        <v>2030.07</v>
      </c>
      <c r="B484" s="254" t="e">
        <v>#N/A</v>
      </c>
      <c r="C484" s="932" t="e">
        <v>#N/A</v>
      </c>
      <c r="D484" s="2772" t="e">
        <f>C484/'8.1'!B472</f>
        <v>#N/A</v>
      </c>
      <c r="E484" s="941" t="e">
        <v>#N/A</v>
      </c>
      <c r="F484" s="935" t="e">
        <v>#N/A</v>
      </c>
    </row>
    <row r="485" spans="1:6">
      <c r="A485" s="49">
        <f t="shared" si="4"/>
        <v>2030.08</v>
      </c>
      <c r="B485" s="254" t="e">
        <v>#N/A</v>
      </c>
      <c r="C485" s="932" t="e">
        <v>#N/A</v>
      </c>
      <c r="D485" s="2772" t="e">
        <f>C485/'8.1'!B473</f>
        <v>#N/A</v>
      </c>
      <c r="E485" s="941" t="e">
        <v>#N/A</v>
      </c>
      <c r="F485" s="935" t="e">
        <v>#N/A</v>
      </c>
    </row>
    <row r="486" spans="1:6">
      <c r="A486" s="49">
        <f t="shared" si="4"/>
        <v>2030.09</v>
      </c>
      <c r="B486" s="254" t="e">
        <v>#N/A</v>
      </c>
      <c r="C486" s="932" t="e">
        <v>#N/A</v>
      </c>
      <c r="D486" s="2772" t="e">
        <f>C486/'8.1'!B474</f>
        <v>#N/A</v>
      </c>
      <c r="E486" s="941" t="e">
        <v>#N/A</v>
      </c>
      <c r="F486" s="935" t="e">
        <v>#N/A</v>
      </c>
    </row>
    <row r="487" spans="1:6">
      <c r="A487" s="49">
        <f t="shared" si="4"/>
        <v>2030.1</v>
      </c>
      <c r="B487" s="254" t="e">
        <v>#N/A</v>
      </c>
      <c r="C487" s="932" t="e">
        <v>#N/A</v>
      </c>
      <c r="D487" s="2772" t="e">
        <f>C487/'8.1'!B475</f>
        <v>#N/A</v>
      </c>
      <c r="E487" s="941" t="e">
        <v>#N/A</v>
      </c>
      <c r="F487" s="935" t="e">
        <v>#N/A</v>
      </c>
    </row>
    <row r="488" spans="1:6">
      <c r="A488" s="49">
        <f t="shared" si="4"/>
        <v>2030.11</v>
      </c>
      <c r="B488" s="254" t="e">
        <v>#N/A</v>
      </c>
      <c r="C488" s="932" t="e">
        <v>#N/A</v>
      </c>
      <c r="D488" s="2772" t="e">
        <f>C488/'8.1'!B476</f>
        <v>#N/A</v>
      </c>
      <c r="E488" s="941" t="e">
        <v>#N/A</v>
      </c>
      <c r="F488" s="935" t="e">
        <v>#N/A</v>
      </c>
    </row>
    <row r="489" spans="1:6">
      <c r="A489" s="49">
        <f t="shared" si="4"/>
        <v>2030.12</v>
      </c>
      <c r="B489" s="254" t="e">
        <v>#N/A</v>
      </c>
      <c r="C489" s="932" t="e">
        <v>#N/A</v>
      </c>
      <c r="D489" s="2772" t="e">
        <f>C489/'8.1'!B477</f>
        <v>#N/A</v>
      </c>
      <c r="E489" s="941" t="e">
        <v>#N/A</v>
      </c>
      <c r="F489" s="935" t="e">
        <v>#N/A</v>
      </c>
    </row>
  </sheetData>
  <phoneticPr fontId="58" type="noConversion"/>
  <hyperlinks>
    <hyperlink ref="A5" location="INDICE!A13" display="VOLVER AL INDICE" xr:uid="{00000000-0004-0000-1500-000000000000}"/>
  </hyperlinks>
  <pageMargins left="0.75" right="0.75" top="1" bottom="1" header="0" footer="0"/>
  <pageSetup paperSize="9"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dimension ref="A1:AU465"/>
  <sheetViews>
    <sheetView zoomScale="116" zoomScaleNormal="116" workbookViewId="0">
      <pane xSplit="1" ySplit="9" topLeftCell="B376" activePane="bottomRight" state="frozen"/>
      <selection activeCell="A5" sqref="A5"/>
      <selection pane="topRight" activeCell="A5" sqref="A5"/>
      <selection pane="bottomLeft" activeCell="A5" sqref="A5"/>
      <selection pane="bottomRight" activeCell="B2" sqref="B2"/>
    </sheetView>
  </sheetViews>
  <sheetFormatPr baseColWidth="10" defaultColWidth="11.42578125" defaultRowHeight="12.75"/>
  <cols>
    <col min="1" max="1" width="10" style="133" customWidth="1"/>
    <col min="2" max="33" width="11" style="133" customWidth="1"/>
    <col min="34" max="34" width="11.42578125" style="784"/>
    <col min="35" max="35" width="12.28515625" style="784" bestFit="1" customWidth="1"/>
    <col min="36" max="16384" width="11.42578125" style="784"/>
  </cols>
  <sheetData>
    <row r="1" spans="1:46" s="2" customFormat="1">
      <c r="A1" s="37"/>
      <c r="B1" s="172"/>
      <c r="C1" s="173"/>
      <c r="D1" s="173"/>
      <c r="E1" s="173"/>
      <c r="F1" s="181"/>
      <c r="G1" s="173"/>
      <c r="H1" s="173"/>
      <c r="I1" s="181"/>
      <c r="J1" s="181"/>
      <c r="K1" s="181"/>
      <c r="L1" s="181"/>
      <c r="M1" s="181"/>
      <c r="N1" s="181"/>
      <c r="O1" s="181"/>
      <c r="P1" s="181"/>
      <c r="Q1" s="181"/>
      <c r="R1" s="173"/>
      <c r="S1" s="173"/>
      <c r="T1" s="173"/>
      <c r="U1" s="893"/>
      <c r="V1" s="173"/>
      <c r="W1" s="173"/>
      <c r="X1" s="173"/>
      <c r="Y1" s="173"/>
      <c r="Z1" s="173"/>
      <c r="AA1" s="173"/>
      <c r="AB1" s="173"/>
      <c r="AC1" s="173"/>
      <c r="AD1" s="173"/>
      <c r="AE1" s="173"/>
      <c r="AF1" s="173"/>
      <c r="AG1" s="174"/>
    </row>
    <row r="2" spans="1:46" s="2" customFormat="1" ht="22.5">
      <c r="A2" s="121" t="s">
        <v>212</v>
      </c>
      <c r="B2" s="40" t="s">
        <v>236</v>
      </c>
      <c r="C2" s="176"/>
      <c r="D2" s="176"/>
      <c r="E2" s="176"/>
      <c r="F2" s="94" t="s">
        <v>237</v>
      </c>
      <c r="G2" s="176"/>
      <c r="H2" s="176"/>
      <c r="I2" s="421"/>
      <c r="J2" s="94" t="s">
        <v>238</v>
      </c>
      <c r="K2" s="138"/>
      <c r="L2" s="420"/>
      <c r="M2" s="421"/>
      <c r="N2" s="94" t="s">
        <v>240</v>
      </c>
      <c r="O2" s="138"/>
      <c r="P2" s="420"/>
      <c r="Q2" s="421"/>
      <c r="R2" s="77" t="s">
        <v>239</v>
      </c>
      <c r="S2" s="176"/>
      <c r="T2" s="176"/>
      <c r="U2" s="421"/>
      <c r="V2" s="77" t="s">
        <v>769</v>
      </c>
      <c r="W2" s="77"/>
      <c r="X2" s="77"/>
      <c r="Y2" s="77"/>
      <c r="Z2" s="77"/>
      <c r="AA2" s="77"/>
      <c r="AB2" s="176"/>
      <c r="AC2" s="176"/>
      <c r="AD2" s="176"/>
      <c r="AE2" s="176"/>
      <c r="AF2" s="176"/>
      <c r="AG2" s="177"/>
    </row>
    <row r="3" spans="1:46" s="2" customFormat="1" ht="17.25" customHeight="1">
      <c r="A3" s="121" t="s">
        <v>211</v>
      </c>
      <c r="B3" s="40" t="s">
        <v>1333</v>
      </c>
      <c r="C3" s="76"/>
      <c r="D3" s="76"/>
      <c r="E3" s="76"/>
      <c r="F3" s="94"/>
      <c r="G3" s="76"/>
      <c r="H3" s="76"/>
      <c r="I3" s="125"/>
      <c r="J3" s="94"/>
      <c r="K3" s="84"/>
      <c r="L3" s="127"/>
      <c r="M3" s="125"/>
      <c r="N3" s="94"/>
      <c r="O3" s="84"/>
      <c r="P3" s="127"/>
      <c r="Q3" s="76"/>
      <c r="R3" s="115"/>
      <c r="S3" s="76"/>
      <c r="T3" s="76"/>
      <c r="U3" s="125"/>
      <c r="V3" s="77" t="s">
        <v>1333</v>
      </c>
      <c r="W3" s="77"/>
      <c r="X3" s="77"/>
      <c r="Y3" s="77"/>
      <c r="Z3" s="77"/>
      <c r="AA3" s="77"/>
      <c r="AB3" s="76"/>
      <c r="AC3" s="76"/>
      <c r="AD3" s="76"/>
      <c r="AE3" s="76"/>
      <c r="AF3" s="76"/>
      <c r="AG3" s="78"/>
    </row>
    <row r="4" spans="1:46" s="2" customFormat="1" ht="3" customHeight="1">
      <c r="A4" s="171"/>
      <c r="B4" s="183"/>
      <c r="C4" s="184"/>
      <c r="D4" s="184"/>
      <c r="E4" s="184"/>
      <c r="F4" s="178"/>
      <c r="G4" s="184"/>
      <c r="H4" s="184"/>
      <c r="I4" s="185"/>
      <c r="J4" s="178"/>
      <c r="K4" s="184"/>
      <c r="L4" s="184"/>
      <c r="M4" s="185"/>
      <c r="N4" s="178"/>
      <c r="O4" s="184"/>
      <c r="P4" s="184"/>
      <c r="Q4" s="184"/>
      <c r="R4" s="179"/>
      <c r="S4" s="182"/>
      <c r="T4" s="182"/>
      <c r="U4" s="894"/>
      <c r="V4" s="182"/>
      <c r="W4" s="182"/>
      <c r="X4" s="182"/>
      <c r="Y4" s="182"/>
      <c r="Z4" s="182"/>
      <c r="AA4" s="182"/>
      <c r="AB4" s="182"/>
      <c r="AC4" s="182"/>
      <c r="AD4" s="182"/>
      <c r="AE4" s="182"/>
      <c r="AF4" s="182"/>
      <c r="AG4" s="186"/>
    </row>
    <row r="5" spans="1:46" s="2" customFormat="1" ht="33.75">
      <c r="A5" s="45" t="s">
        <v>213</v>
      </c>
      <c r="B5" s="21" t="s">
        <v>68</v>
      </c>
      <c r="C5" s="1289" t="s">
        <v>66</v>
      </c>
      <c r="D5" s="1289" t="s">
        <v>67</v>
      </c>
      <c r="E5" s="113" t="s">
        <v>474</v>
      </c>
      <c r="F5" s="114" t="s">
        <v>68</v>
      </c>
      <c r="G5" s="1289" t="s">
        <v>66</v>
      </c>
      <c r="H5" s="1289" t="s">
        <v>67</v>
      </c>
      <c r="I5" s="113" t="s">
        <v>474</v>
      </c>
      <c r="J5" s="114" t="s">
        <v>68</v>
      </c>
      <c r="K5" s="1289" t="s">
        <v>66</v>
      </c>
      <c r="L5" s="1289" t="s">
        <v>67</v>
      </c>
      <c r="M5" s="113" t="s">
        <v>474</v>
      </c>
      <c r="N5" s="114" t="s">
        <v>68</v>
      </c>
      <c r="O5" s="1289" t="s">
        <v>66</v>
      </c>
      <c r="P5" s="1289" t="s">
        <v>67</v>
      </c>
      <c r="Q5" s="113" t="s">
        <v>474</v>
      </c>
      <c r="R5" s="114" t="s">
        <v>68</v>
      </c>
      <c r="S5" s="1289" t="s">
        <v>66</v>
      </c>
      <c r="T5" s="1289" t="s">
        <v>67</v>
      </c>
      <c r="U5" s="1294" t="s">
        <v>474</v>
      </c>
      <c r="V5" s="1148" t="s">
        <v>770</v>
      </c>
      <c r="W5" s="1169"/>
      <c r="X5" s="565" t="s">
        <v>778</v>
      </c>
      <c r="Y5" s="1148"/>
      <c r="Z5" s="1170" t="s">
        <v>771</v>
      </c>
      <c r="AA5" s="1169"/>
      <c r="AB5" s="1170" t="s">
        <v>776</v>
      </c>
      <c r="AC5" s="1169"/>
      <c r="AD5" s="1171" t="s">
        <v>1046</v>
      </c>
      <c r="AE5" s="1148"/>
      <c r="AF5" s="1170" t="s">
        <v>777</v>
      </c>
      <c r="AG5" s="901"/>
      <c r="AI5" s="973"/>
      <c r="AJ5" s="973"/>
      <c r="AK5" s="973"/>
      <c r="AL5" s="973"/>
      <c r="AM5" s="973"/>
      <c r="AN5" s="973"/>
      <c r="AO5" s="973"/>
      <c r="AP5" s="973"/>
      <c r="AQ5" s="973"/>
      <c r="AR5" s="973"/>
      <c r="AS5" s="973"/>
      <c r="AT5" s="973"/>
    </row>
    <row r="6" spans="1:46" s="2" customFormat="1" ht="3" customHeight="1">
      <c r="A6" s="171"/>
      <c r="B6" s="183"/>
      <c r="C6" s="184"/>
      <c r="D6" s="184"/>
      <c r="E6" s="184"/>
      <c r="F6" s="178"/>
      <c r="G6" s="184"/>
      <c r="H6" s="184"/>
      <c r="I6" s="184"/>
      <c r="J6" s="178"/>
      <c r="K6" s="184"/>
      <c r="L6" s="184"/>
      <c r="M6" s="184"/>
      <c r="N6" s="178"/>
      <c r="O6" s="184"/>
      <c r="P6" s="184"/>
      <c r="Q6" s="184"/>
      <c r="R6" s="178"/>
      <c r="S6" s="184"/>
      <c r="T6" s="184"/>
      <c r="U6" s="184"/>
      <c r="V6" s="182"/>
      <c r="W6" s="182"/>
      <c r="X6" s="182"/>
      <c r="Y6" s="182"/>
      <c r="Z6" s="182"/>
      <c r="AA6" s="182"/>
      <c r="AB6" s="182"/>
      <c r="AC6" s="182"/>
      <c r="AD6" s="182"/>
      <c r="AE6" s="182"/>
      <c r="AF6" s="182"/>
      <c r="AG6" s="186"/>
    </row>
    <row r="7" spans="1:46" s="2" customFormat="1" ht="22.5">
      <c r="A7" s="47" t="s">
        <v>210</v>
      </c>
      <c r="B7" s="21" t="s">
        <v>731</v>
      </c>
      <c r="C7" s="1289" t="s">
        <v>731</v>
      </c>
      <c r="D7" s="1289" t="s">
        <v>731</v>
      </c>
      <c r="E7" s="113" t="s">
        <v>731</v>
      </c>
      <c r="F7" s="114" t="s">
        <v>731</v>
      </c>
      <c r="G7" s="1289" t="s">
        <v>731</v>
      </c>
      <c r="H7" s="1289" t="s">
        <v>731</v>
      </c>
      <c r="I7" s="113" t="s">
        <v>731</v>
      </c>
      <c r="J7" s="114" t="s">
        <v>731</v>
      </c>
      <c r="K7" s="1289" t="s">
        <v>731</v>
      </c>
      <c r="L7" s="1289" t="s">
        <v>731</v>
      </c>
      <c r="M7" s="113" t="s">
        <v>731</v>
      </c>
      <c r="N7" s="114" t="s">
        <v>731</v>
      </c>
      <c r="O7" s="1289" t="s">
        <v>731</v>
      </c>
      <c r="P7" s="1289" t="s">
        <v>731</v>
      </c>
      <c r="Q7" s="113" t="s">
        <v>731</v>
      </c>
      <c r="R7" s="114" t="s">
        <v>731</v>
      </c>
      <c r="S7" s="1289" t="s">
        <v>731</v>
      </c>
      <c r="T7" s="1289" t="s">
        <v>731</v>
      </c>
      <c r="U7" s="1294" t="s">
        <v>731</v>
      </c>
      <c r="V7" s="1296" t="s">
        <v>731</v>
      </c>
      <c r="W7" s="1299" t="s">
        <v>731</v>
      </c>
      <c r="X7" s="1303" t="s">
        <v>731</v>
      </c>
      <c r="Y7" s="1299" t="s">
        <v>731</v>
      </c>
      <c r="Z7" s="1303" t="s">
        <v>731</v>
      </c>
      <c r="AA7" s="1299" t="s">
        <v>731</v>
      </c>
      <c r="AB7" s="1303" t="s">
        <v>731</v>
      </c>
      <c r="AC7" s="1299" t="s">
        <v>731</v>
      </c>
      <c r="AD7" s="1303"/>
      <c r="AE7" s="1299"/>
      <c r="AF7" s="1303" t="s">
        <v>731</v>
      </c>
      <c r="AG7" s="1318" t="s">
        <v>731</v>
      </c>
    </row>
    <row r="8" spans="1:46" s="2" customFormat="1">
      <c r="A8" s="390" t="s">
        <v>412</v>
      </c>
      <c r="B8" s="398" t="s">
        <v>507</v>
      </c>
      <c r="C8" s="1290" t="s">
        <v>508</v>
      </c>
      <c r="D8" s="1290" t="s">
        <v>509</v>
      </c>
      <c r="E8" s="396" t="s">
        <v>510</v>
      </c>
      <c r="F8" s="398" t="s">
        <v>511</v>
      </c>
      <c r="G8" s="1290" t="s">
        <v>514</v>
      </c>
      <c r="H8" s="1290" t="s">
        <v>515</v>
      </c>
      <c r="I8" s="396" t="s">
        <v>516</v>
      </c>
      <c r="J8" s="398" t="s">
        <v>517</v>
      </c>
      <c r="K8" s="1290" t="s">
        <v>518</v>
      </c>
      <c r="L8" s="1290" t="s">
        <v>519</v>
      </c>
      <c r="M8" s="396" t="s">
        <v>520</v>
      </c>
      <c r="N8" s="398" t="s">
        <v>521</v>
      </c>
      <c r="O8" s="1290" t="s">
        <v>522</v>
      </c>
      <c r="P8" s="1290" t="s">
        <v>523</v>
      </c>
      <c r="Q8" s="396" t="s">
        <v>524</v>
      </c>
      <c r="R8" s="398" t="s">
        <v>525</v>
      </c>
      <c r="S8" s="1290" t="s">
        <v>526</v>
      </c>
      <c r="T8" s="1290" t="s">
        <v>527</v>
      </c>
      <c r="U8" s="396" t="s">
        <v>528</v>
      </c>
      <c r="V8" s="397" t="s">
        <v>529</v>
      </c>
      <c r="W8" s="1156" t="s">
        <v>530</v>
      </c>
      <c r="X8" s="398" t="s">
        <v>531</v>
      </c>
      <c r="Y8" s="1156" t="s">
        <v>475</v>
      </c>
      <c r="Z8" s="398" t="s">
        <v>476</v>
      </c>
      <c r="AA8" s="1156" t="s">
        <v>477</v>
      </c>
      <c r="AB8" s="398" t="s">
        <v>478</v>
      </c>
      <c r="AC8" s="1156" t="s">
        <v>479</v>
      </c>
      <c r="AD8" s="398" t="s">
        <v>772</v>
      </c>
      <c r="AE8" s="1156" t="s">
        <v>773</v>
      </c>
      <c r="AF8" s="398" t="s">
        <v>774</v>
      </c>
      <c r="AG8" s="1319" t="s">
        <v>775</v>
      </c>
    </row>
    <row r="9" spans="1:46" s="2" customFormat="1" ht="13.5" thickBot="1">
      <c r="A9" s="152"/>
      <c r="B9" s="484"/>
      <c r="C9" s="485"/>
      <c r="D9" s="485"/>
      <c r="E9" s="485"/>
      <c r="F9" s="485"/>
      <c r="G9" s="485"/>
      <c r="H9" s="485"/>
      <c r="I9" s="485"/>
      <c r="J9" s="485"/>
      <c r="K9" s="485"/>
      <c r="L9" s="485"/>
      <c r="M9" s="485"/>
      <c r="N9" s="485"/>
      <c r="O9" s="485"/>
      <c r="P9" s="485"/>
      <c r="Q9" s="485"/>
      <c r="R9" s="485"/>
      <c r="S9" s="485"/>
      <c r="T9" s="485"/>
      <c r="U9" s="895"/>
      <c r="V9" s="1297" t="s">
        <v>81</v>
      </c>
      <c r="W9" s="1300" t="s">
        <v>326</v>
      </c>
      <c r="X9" s="1304" t="s">
        <v>81</v>
      </c>
      <c r="Y9" s="1300" t="s">
        <v>326</v>
      </c>
      <c r="Z9" s="1309" t="s">
        <v>327</v>
      </c>
      <c r="AA9" s="1312" t="s">
        <v>12</v>
      </c>
      <c r="AB9" s="1309" t="s">
        <v>81</v>
      </c>
      <c r="AC9" s="1312" t="s">
        <v>326</v>
      </c>
      <c r="AD9" s="1309" t="s">
        <v>81</v>
      </c>
      <c r="AE9" s="1312" t="s">
        <v>326</v>
      </c>
      <c r="AF9" s="1309" t="s">
        <v>327</v>
      </c>
      <c r="AG9" s="1320" t="s">
        <v>12</v>
      </c>
    </row>
    <row r="10" spans="1:46" s="2" customFormat="1">
      <c r="A10" s="175">
        <v>1993.01</v>
      </c>
      <c r="B10" s="486">
        <v>439294</v>
      </c>
      <c r="C10" s="1292">
        <v>81821</v>
      </c>
      <c r="D10" s="1292">
        <v>20443</v>
      </c>
      <c r="E10" s="892">
        <v>0</v>
      </c>
      <c r="F10" s="1293">
        <v>75458</v>
      </c>
      <c r="G10" s="1292">
        <v>32736</v>
      </c>
      <c r="H10" s="1292">
        <v>6784</v>
      </c>
      <c r="I10" s="892">
        <v>0</v>
      </c>
      <c r="J10" s="1293">
        <v>347068</v>
      </c>
      <c r="K10" s="1292">
        <v>33767</v>
      </c>
      <c r="L10" s="1292">
        <v>0</v>
      </c>
      <c r="M10" s="892">
        <v>0</v>
      </c>
      <c r="N10" s="1293">
        <v>5963</v>
      </c>
      <c r="O10" s="1292">
        <v>0</v>
      </c>
      <c r="P10" s="1292">
        <v>12695</v>
      </c>
      <c r="Q10" s="892">
        <v>0</v>
      </c>
      <c r="R10" s="1293">
        <v>513190</v>
      </c>
      <c r="S10" s="1292">
        <v>180863</v>
      </c>
      <c r="T10" s="1292">
        <v>30650</v>
      </c>
      <c r="U10" s="896">
        <v>0</v>
      </c>
      <c r="V10" s="1298">
        <v>28770</v>
      </c>
      <c r="W10" s="1301">
        <v>51225</v>
      </c>
      <c r="X10" s="1305"/>
      <c r="Y10" s="1307"/>
      <c r="Z10" s="1310">
        <f>SUM(V10:Y10)</f>
        <v>79995</v>
      </c>
      <c r="AA10" s="1313">
        <v>80000</v>
      </c>
      <c r="AB10" s="1293">
        <v>6120</v>
      </c>
      <c r="AC10" s="1314">
        <v>5460</v>
      </c>
      <c r="AD10" s="1315"/>
      <c r="AE10" s="1316"/>
      <c r="AF10" s="1317">
        <f>SUM(AB10:AE10)</f>
        <v>11580</v>
      </c>
      <c r="AG10" s="1321">
        <v>26580</v>
      </c>
    </row>
    <row r="11" spans="1:46" s="2" customFormat="1">
      <c r="A11" s="134">
        <f t="shared" ref="A11:A21" si="0">A10+0.01</f>
        <v>1993.02</v>
      </c>
      <c r="B11" s="611">
        <v>326454</v>
      </c>
      <c r="C11" s="1291">
        <v>157439</v>
      </c>
      <c r="D11" s="1291">
        <v>18240</v>
      </c>
      <c r="E11" s="334">
        <v>0</v>
      </c>
      <c r="F11" s="1181">
        <v>54755</v>
      </c>
      <c r="G11" s="1291">
        <v>60794</v>
      </c>
      <c r="H11" s="1291">
        <v>5933</v>
      </c>
      <c r="I11" s="180">
        <v>0</v>
      </c>
      <c r="J11" s="1181">
        <v>257466</v>
      </c>
      <c r="K11" s="1291">
        <v>71221</v>
      </c>
      <c r="L11" s="1291">
        <v>0</v>
      </c>
      <c r="M11" s="180">
        <v>0</v>
      </c>
      <c r="N11" s="1181">
        <v>3885</v>
      </c>
      <c r="O11" s="1291">
        <v>0</v>
      </c>
      <c r="P11" s="1291">
        <v>11611</v>
      </c>
      <c r="Q11" s="180">
        <v>0</v>
      </c>
      <c r="R11" s="334">
        <v>375875</v>
      </c>
      <c r="S11" s="1291">
        <v>288323</v>
      </c>
      <c r="T11" s="1291">
        <v>25217</v>
      </c>
      <c r="U11" s="180">
        <v>0</v>
      </c>
      <c r="V11" s="334">
        <v>13130</v>
      </c>
      <c r="W11" s="1302">
        <v>37150</v>
      </c>
      <c r="X11" s="1306"/>
      <c r="Y11" s="1308"/>
      <c r="Z11" s="1311">
        <f>SUM(V11:Y11)</f>
        <v>50280</v>
      </c>
      <c r="AA11" s="1302">
        <v>58080</v>
      </c>
      <c r="AB11" s="1181">
        <v>0</v>
      </c>
      <c r="AC11" s="1302">
        <v>7620</v>
      </c>
      <c r="AD11" s="1315"/>
      <c r="AE11" s="1316"/>
      <c r="AF11" s="1311">
        <f t="shared" ref="AF11:AF74" si="1">SUM(AB11:AE11)</f>
        <v>7620</v>
      </c>
      <c r="AG11" s="1322">
        <v>26210</v>
      </c>
    </row>
    <row r="12" spans="1:46" s="2" customFormat="1">
      <c r="A12" s="134">
        <f t="shared" si="0"/>
        <v>1993.03</v>
      </c>
      <c r="B12" s="611">
        <v>142181</v>
      </c>
      <c r="C12" s="1291">
        <v>128443</v>
      </c>
      <c r="D12" s="1291">
        <v>8375</v>
      </c>
      <c r="E12" s="334">
        <v>14811</v>
      </c>
      <c r="F12" s="1181">
        <v>24601</v>
      </c>
      <c r="G12" s="1291">
        <v>50568</v>
      </c>
      <c r="H12" s="1291">
        <v>2731</v>
      </c>
      <c r="I12" s="180">
        <v>3625</v>
      </c>
      <c r="J12" s="1181">
        <v>109311</v>
      </c>
      <c r="K12" s="1291">
        <v>55155</v>
      </c>
      <c r="L12" s="1291">
        <v>0</v>
      </c>
      <c r="M12" s="180">
        <v>6847</v>
      </c>
      <c r="N12" s="1181">
        <v>4734</v>
      </c>
      <c r="O12" s="1291">
        <v>0</v>
      </c>
      <c r="P12" s="1291">
        <v>5477</v>
      </c>
      <c r="Q12" s="180">
        <v>0</v>
      </c>
      <c r="R12" s="334">
        <v>172072</v>
      </c>
      <c r="S12" s="1291">
        <v>487179</v>
      </c>
      <c r="T12" s="1291">
        <v>9946</v>
      </c>
      <c r="U12" s="180">
        <v>25832</v>
      </c>
      <c r="V12" s="334">
        <v>12675</v>
      </c>
      <c r="W12" s="1302">
        <v>54428</v>
      </c>
      <c r="X12" s="1306"/>
      <c r="Y12" s="1308"/>
      <c r="Z12" s="1311">
        <f t="shared" ref="Z12:Z74" si="2">SUM(V12:Y12)</f>
        <v>67103</v>
      </c>
      <c r="AA12" s="1302">
        <v>67100</v>
      </c>
      <c r="AB12" s="1181">
        <v>0</v>
      </c>
      <c r="AC12" s="1302">
        <v>29101</v>
      </c>
      <c r="AD12" s="1315"/>
      <c r="AE12" s="1316"/>
      <c r="AF12" s="1311">
        <f t="shared" si="1"/>
        <v>29101</v>
      </c>
      <c r="AG12" s="1322">
        <v>47700</v>
      </c>
    </row>
    <row r="13" spans="1:46" s="2" customFormat="1">
      <c r="A13" s="134">
        <f t="shared" si="0"/>
        <v>1993.04</v>
      </c>
      <c r="B13" s="611">
        <v>391717</v>
      </c>
      <c r="C13" s="1291">
        <v>45062</v>
      </c>
      <c r="D13" s="1291">
        <v>13782</v>
      </c>
      <c r="E13" s="334">
        <v>41522</v>
      </c>
      <c r="F13" s="1181">
        <v>71298</v>
      </c>
      <c r="G13" s="1291">
        <v>17689</v>
      </c>
      <c r="H13" s="1291">
        <v>4588</v>
      </c>
      <c r="I13" s="180">
        <v>9605</v>
      </c>
      <c r="J13" s="1181">
        <v>310104</v>
      </c>
      <c r="K13" s="1291">
        <v>19353</v>
      </c>
      <c r="L13" s="1291">
        <v>0</v>
      </c>
      <c r="M13" s="180">
        <v>19122</v>
      </c>
      <c r="N13" s="1181">
        <v>5092</v>
      </c>
      <c r="O13" s="1291">
        <v>0</v>
      </c>
      <c r="P13" s="1291">
        <v>8722</v>
      </c>
      <c r="Q13" s="180">
        <v>0</v>
      </c>
      <c r="R13" s="334">
        <v>419365</v>
      </c>
      <c r="S13" s="1291">
        <v>405513</v>
      </c>
      <c r="T13" s="1291">
        <v>19586</v>
      </c>
      <c r="U13" s="180">
        <v>62251</v>
      </c>
      <c r="V13" s="334">
        <v>2500</v>
      </c>
      <c r="W13" s="1302">
        <v>44505</v>
      </c>
      <c r="X13" s="1306"/>
      <c r="Y13" s="1308"/>
      <c r="Z13" s="1311">
        <f t="shared" si="2"/>
        <v>47005</v>
      </c>
      <c r="AA13" s="1302">
        <v>59410</v>
      </c>
      <c r="AB13" s="1181">
        <v>8500</v>
      </c>
      <c r="AC13" s="1302">
        <v>6875</v>
      </c>
      <c r="AD13" s="1315"/>
      <c r="AE13" s="1316"/>
      <c r="AF13" s="1311">
        <f t="shared" si="1"/>
        <v>15375</v>
      </c>
      <c r="AG13" s="1322">
        <v>158910</v>
      </c>
    </row>
    <row r="14" spans="1:46" s="2" customFormat="1">
      <c r="A14" s="134">
        <f t="shared" si="0"/>
        <v>1993.05</v>
      </c>
      <c r="B14" s="611">
        <v>733836</v>
      </c>
      <c r="C14" s="1291">
        <v>30124</v>
      </c>
      <c r="D14" s="1291">
        <v>7188</v>
      </c>
      <c r="E14" s="334">
        <v>23431</v>
      </c>
      <c r="F14" s="1181">
        <v>130903</v>
      </c>
      <c r="G14" s="1291">
        <v>11744</v>
      </c>
      <c r="H14" s="1291">
        <v>2473</v>
      </c>
      <c r="I14" s="180">
        <v>4328</v>
      </c>
      <c r="J14" s="1181">
        <v>585011</v>
      </c>
      <c r="K14" s="1291">
        <v>12758</v>
      </c>
      <c r="L14" s="1291">
        <v>0</v>
      </c>
      <c r="M14" s="180">
        <v>11114</v>
      </c>
      <c r="N14" s="1181">
        <v>2858</v>
      </c>
      <c r="O14" s="1291">
        <v>0</v>
      </c>
      <c r="P14" s="1291">
        <v>4555</v>
      </c>
      <c r="Q14" s="180">
        <v>0</v>
      </c>
      <c r="R14" s="334">
        <v>854279</v>
      </c>
      <c r="S14" s="1291">
        <v>365678</v>
      </c>
      <c r="T14" s="1291">
        <v>7990</v>
      </c>
      <c r="U14" s="180">
        <v>45061</v>
      </c>
      <c r="V14" s="334">
        <v>28440</v>
      </c>
      <c r="W14" s="1302">
        <v>43950</v>
      </c>
      <c r="X14" s="1306"/>
      <c r="Y14" s="1308"/>
      <c r="Z14" s="1311">
        <f t="shared" si="2"/>
        <v>72390</v>
      </c>
      <c r="AA14" s="1302">
        <v>72640</v>
      </c>
      <c r="AB14" s="1181">
        <v>7500</v>
      </c>
      <c r="AC14" s="1302">
        <v>21200</v>
      </c>
      <c r="AD14" s="1315"/>
      <c r="AE14" s="1316"/>
      <c r="AF14" s="1311">
        <f t="shared" si="1"/>
        <v>28700</v>
      </c>
      <c r="AG14" s="1322">
        <v>110480</v>
      </c>
    </row>
    <row r="15" spans="1:46" s="2" customFormat="1">
      <c r="A15" s="134">
        <f t="shared" si="0"/>
        <v>1993.06</v>
      </c>
      <c r="B15" s="611">
        <v>765899</v>
      </c>
      <c r="C15" s="1291">
        <v>24553</v>
      </c>
      <c r="D15" s="1291">
        <v>7663</v>
      </c>
      <c r="E15" s="334">
        <v>23089</v>
      </c>
      <c r="F15" s="1181">
        <v>135740</v>
      </c>
      <c r="G15" s="1291">
        <v>9652</v>
      </c>
      <c r="H15" s="1291">
        <v>2644</v>
      </c>
      <c r="I15" s="180">
        <v>3975</v>
      </c>
      <c r="J15" s="1181">
        <v>608690</v>
      </c>
      <c r="K15" s="1291">
        <v>10536</v>
      </c>
      <c r="L15" s="1291">
        <v>0</v>
      </c>
      <c r="M15" s="180">
        <v>10892</v>
      </c>
      <c r="N15" s="1181">
        <v>6059</v>
      </c>
      <c r="O15" s="1291">
        <v>0</v>
      </c>
      <c r="P15" s="1291">
        <v>4794</v>
      </c>
      <c r="Q15" s="180">
        <v>0</v>
      </c>
      <c r="R15" s="334">
        <v>979155</v>
      </c>
      <c r="S15" s="1291">
        <v>266697</v>
      </c>
      <c r="T15" s="1291">
        <v>7663</v>
      </c>
      <c r="U15" s="180">
        <v>23089</v>
      </c>
      <c r="V15" s="334">
        <v>10994</v>
      </c>
      <c r="W15" s="1302">
        <v>123717</v>
      </c>
      <c r="X15" s="1306"/>
      <c r="Y15" s="1308"/>
      <c r="Z15" s="1311">
        <f t="shared" si="2"/>
        <v>134711</v>
      </c>
      <c r="AA15" s="1302">
        <v>135960</v>
      </c>
      <c r="AB15" s="1181">
        <v>0</v>
      </c>
      <c r="AC15" s="1302">
        <v>4000</v>
      </c>
      <c r="AD15" s="1315"/>
      <c r="AE15" s="1316"/>
      <c r="AF15" s="1311">
        <f t="shared" si="1"/>
        <v>4000</v>
      </c>
      <c r="AG15" s="1322">
        <v>62240</v>
      </c>
    </row>
    <row r="16" spans="1:46" s="2" customFormat="1">
      <c r="A16" s="134">
        <f t="shared" si="0"/>
        <v>1993.07</v>
      </c>
      <c r="B16" s="611">
        <v>736614</v>
      </c>
      <c r="C16" s="1291">
        <v>7971</v>
      </c>
      <c r="D16" s="1291">
        <v>5612</v>
      </c>
      <c r="E16" s="334">
        <v>28110</v>
      </c>
      <c r="F16" s="1181">
        <v>130284</v>
      </c>
      <c r="G16" s="1291">
        <v>4358</v>
      </c>
      <c r="H16" s="1291">
        <v>1986</v>
      </c>
      <c r="I16" s="180">
        <v>4778</v>
      </c>
      <c r="J16" s="1181">
        <v>587619</v>
      </c>
      <c r="K16" s="1291">
        <v>3301</v>
      </c>
      <c r="L16" s="1291">
        <v>0</v>
      </c>
      <c r="M16" s="180">
        <v>13358</v>
      </c>
      <c r="N16" s="1181">
        <v>4405</v>
      </c>
      <c r="O16" s="1291">
        <v>0</v>
      </c>
      <c r="P16" s="1291">
        <v>3478</v>
      </c>
      <c r="Q16" s="180">
        <v>0</v>
      </c>
      <c r="R16" s="334">
        <v>981837</v>
      </c>
      <c r="S16" s="1291">
        <v>199080</v>
      </c>
      <c r="T16" s="1291">
        <v>5612</v>
      </c>
      <c r="U16" s="180">
        <v>28110</v>
      </c>
      <c r="V16" s="334">
        <v>21551</v>
      </c>
      <c r="W16" s="1302">
        <v>42434</v>
      </c>
      <c r="X16" s="1306"/>
      <c r="Y16" s="1308"/>
      <c r="Z16" s="1311">
        <f t="shared" si="2"/>
        <v>63985</v>
      </c>
      <c r="AA16" s="1302">
        <v>67480</v>
      </c>
      <c r="AB16" s="1181">
        <v>3300</v>
      </c>
      <c r="AC16" s="1302">
        <v>1000</v>
      </c>
      <c r="AD16" s="1315"/>
      <c r="AE16" s="1316"/>
      <c r="AF16" s="1311">
        <f t="shared" si="1"/>
        <v>4300</v>
      </c>
      <c r="AG16" s="1322">
        <v>43010</v>
      </c>
    </row>
    <row r="17" spans="1:33" s="2" customFormat="1">
      <c r="A17" s="134">
        <f t="shared" si="0"/>
        <v>1993.08</v>
      </c>
      <c r="B17" s="611">
        <v>753553</v>
      </c>
      <c r="C17" s="1291">
        <v>0</v>
      </c>
      <c r="D17" s="1291">
        <v>2151</v>
      </c>
      <c r="E17" s="334">
        <v>29183</v>
      </c>
      <c r="F17" s="1181">
        <v>134477</v>
      </c>
      <c r="G17" s="1291">
        <v>0</v>
      </c>
      <c r="H17" s="1291">
        <v>740</v>
      </c>
      <c r="I17" s="180">
        <v>4426</v>
      </c>
      <c r="J17" s="1181">
        <v>599587</v>
      </c>
      <c r="K17" s="1291">
        <v>0</v>
      </c>
      <c r="L17" s="1291">
        <v>1376</v>
      </c>
      <c r="M17" s="180">
        <v>13938</v>
      </c>
      <c r="N17" s="1181">
        <v>2790</v>
      </c>
      <c r="O17" s="1291">
        <v>0</v>
      </c>
      <c r="P17" s="1291">
        <v>0</v>
      </c>
      <c r="Q17" s="180">
        <v>0</v>
      </c>
      <c r="R17" s="334">
        <v>987468</v>
      </c>
      <c r="S17" s="1291">
        <v>189738</v>
      </c>
      <c r="T17" s="1291">
        <v>4421</v>
      </c>
      <c r="U17" s="180">
        <v>29183</v>
      </c>
      <c r="V17" s="334">
        <v>42455</v>
      </c>
      <c r="W17" s="1302">
        <v>86440</v>
      </c>
      <c r="X17" s="1306"/>
      <c r="Y17" s="1308"/>
      <c r="Z17" s="1311">
        <f>SUM(V17:Y17)</f>
        <v>128895</v>
      </c>
      <c r="AA17" s="1302">
        <v>128900</v>
      </c>
      <c r="AB17" s="1181">
        <v>2000</v>
      </c>
      <c r="AC17" s="1302">
        <v>0</v>
      </c>
      <c r="AD17" s="1315"/>
      <c r="AE17" s="1316"/>
      <c r="AF17" s="1311">
        <f t="shared" si="1"/>
        <v>2000</v>
      </c>
      <c r="AG17" s="1322">
        <v>38680</v>
      </c>
    </row>
    <row r="18" spans="1:33" s="2" customFormat="1">
      <c r="A18" s="134">
        <f t="shared" si="0"/>
        <v>1993.09</v>
      </c>
      <c r="B18" s="611">
        <v>565909</v>
      </c>
      <c r="C18" s="1291">
        <v>16625</v>
      </c>
      <c r="D18" s="1291">
        <v>0</v>
      </c>
      <c r="E18" s="334">
        <v>0</v>
      </c>
      <c r="F18" s="1181">
        <v>101385</v>
      </c>
      <c r="G18" s="1291">
        <v>6839</v>
      </c>
      <c r="H18" s="1291">
        <v>0</v>
      </c>
      <c r="I18" s="180">
        <v>0</v>
      </c>
      <c r="J18" s="1181">
        <v>449488</v>
      </c>
      <c r="K18" s="1291">
        <v>7367</v>
      </c>
      <c r="L18" s="1291">
        <v>0</v>
      </c>
      <c r="M18" s="180">
        <v>0</v>
      </c>
      <c r="N18" s="1181">
        <v>3981</v>
      </c>
      <c r="O18" s="1291">
        <v>0</v>
      </c>
      <c r="P18" s="1291">
        <v>0</v>
      </c>
      <c r="Q18" s="180">
        <v>0</v>
      </c>
      <c r="R18" s="334">
        <v>773050</v>
      </c>
      <c r="S18" s="1291">
        <v>187394</v>
      </c>
      <c r="T18" s="1291">
        <v>4139</v>
      </c>
      <c r="U18" s="180">
        <v>0</v>
      </c>
      <c r="V18" s="334">
        <v>45023</v>
      </c>
      <c r="W18" s="1302">
        <v>97449</v>
      </c>
      <c r="X18" s="1306"/>
      <c r="Y18" s="1308"/>
      <c r="Z18" s="1311">
        <f t="shared" si="2"/>
        <v>142472</v>
      </c>
      <c r="AA18" s="1302">
        <v>168700</v>
      </c>
      <c r="AB18" s="1181">
        <v>1000</v>
      </c>
      <c r="AC18" s="1302">
        <v>0</v>
      </c>
      <c r="AD18" s="1315"/>
      <c r="AE18" s="1316"/>
      <c r="AF18" s="1311">
        <f t="shared" si="1"/>
        <v>1000</v>
      </c>
      <c r="AG18" s="1322">
        <v>34250</v>
      </c>
    </row>
    <row r="19" spans="1:33" s="2" customFormat="1">
      <c r="A19" s="134">
        <f t="shared" si="0"/>
        <v>1993.1</v>
      </c>
      <c r="B19" s="611">
        <v>666348</v>
      </c>
      <c r="C19" s="1291">
        <v>19659</v>
      </c>
      <c r="D19" s="1291">
        <v>0</v>
      </c>
      <c r="E19" s="334">
        <v>0</v>
      </c>
      <c r="F19" s="1181">
        <v>120004</v>
      </c>
      <c r="G19" s="1291">
        <v>7728</v>
      </c>
      <c r="H19" s="1291">
        <v>0</v>
      </c>
      <c r="I19" s="180">
        <v>0</v>
      </c>
      <c r="J19" s="1181">
        <v>529878</v>
      </c>
      <c r="K19" s="1291">
        <v>8195</v>
      </c>
      <c r="L19" s="1291">
        <v>0</v>
      </c>
      <c r="M19" s="180">
        <v>0</v>
      </c>
      <c r="N19" s="1181">
        <v>4156</v>
      </c>
      <c r="O19" s="1291">
        <v>0</v>
      </c>
      <c r="P19" s="1291">
        <v>0</v>
      </c>
      <c r="Q19" s="180">
        <v>0</v>
      </c>
      <c r="R19" s="334">
        <v>855567</v>
      </c>
      <c r="S19" s="1291">
        <v>132675</v>
      </c>
      <c r="T19" s="1291">
        <v>2391</v>
      </c>
      <c r="U19" s="180">
        <v>0</v>
      </c>
      <c r="V19" s="334">
        <v>47100</v>
      </c>
      <c r="W19" s="1302">
        <v>32620</v>
      </c>
      <c r="X19" s="1306"/>
      <c r="Y19" s="1308"/>
      <c r="Z19" s="1311">
        <f t="shared" si="2"/>
        <v>79720</v>
      </c>
      <c r="AA19" s="1302">
        <v>79720</v>
      </c>
      <c r="AB19" s="1181">
        <v>0</v>
      </c>
      <c r="AC19" s="1302">
        <v>0</v>
      </c>
      <c r="AD19" s="1315"/>
      <c r="AE19" s="1316"/>
      <c r="AF19" s="1311">
        <f t="shared" si="1"/>
        <v>0</v>
      </c>
      <c r="AG19" s="1322">
        <v>13500</v>
      </c>
    </row>
    <row r="20" spans="1:33" s="2" customFormat="1">
      <c r="A20" s="134">
        <f t="shared" si="0"/>
        <v>1993.11</v>
      </c>
      <c r="B20" s="611">
        <v>662304</v>
      </c>
      <c r="C20" s="1291">
        <v>24429</v>
      </c>
      <c r="D20" s="1291">
        <v>0</v>
      </c>
      <c r="E20" s="334">
        <v>0</v>
      </c>
      <c r="F20" s="1181">
        <v>119017</v>
      </c>
      <c r="G20" s="1291">
        <v>9406</v>
      </c>
      <c r="H20" s="1291">
        <v>0</v>
      </c>
      <c r="I20" s="180">
        <v>0</v>
      </c>
      <c r="J20" s="1181">
        <v>526772</v>
      </c>
      <c r="K20" s="1291">
        <v>10704</v>
      </c>
      <c r="L20" s="1291">
        <v>0</v>
      </c>
      <c r="M20" s="180">
        <v>0</v>
      </c>
      <c r="N20" s="1181">
        <v>3941</v>
      </c>
      <c r="O20" s="1291">
        <v>0</v>
      </c>
      <c r="P20" s="1291">
        <v>0</v>
      </c>
      <c r="Q20" s="180">
        <v>0</v>
      </c>
      <c r="R20" s="334">
        <v>831711</v>
      </c>
      <c r="S20" s="1291">
        <v>132498</v>
      </c>
      <c r="T20" s="1291">
        <v>542</v>
      </c>
      <c r="U20" s="180">
        <v>0</v>
      </c>
      <c r="V20" s="334">
        <v>25500</v>
      </c>
      <c r="W20" s="1302">
        <v>117846</v>
      </c>
      <c r="X20" s="1306"/>
      <c r="Y20" s="1308"/>
      <c r="Z20" s="1311">
        <f t="shared" si="2"/>
        <v>143346</v>
      </c>
      <c r="AA20" s="1302">
        <v>148350</v>
      </c>
      <c r="AB20" s="1181">
        <v>0</v>
      </c>
      <c r="AC20" s="1302">
        <v>0</v>
      </c>
      <c r="AD20" s="1315"/>
      <c r="AE20" s="1316"/>
      <c r="AF20" s="1311">
        <f t="shared" si="1"/>
        <v>0</v>
      </c>
      <c r="AG20" s="1322">
        <v>11100</v>
      </c>
    </row>
    <row r="21" spans="1:33" s="2" customFormat="1">
      <c r="A21" s="134">
        <f t="shared" si="0"/>
        <v>1993.12</v>
      </c>
      <c r="B21" s="611">
        <v>433076</v>
      </c>
      <c r="C21" s="1291">
        <v>15012</v>
      </c>
      <c r="D21" s="1291">
        <v>0</v>
      </c>
      <c r="E21" s="334">
        <v>0</v>
      </c>
      <c r="F21" s="1181">
        <v>77491</v>
      </c>
      <c r="G21" s="1291">
        <v>6161</v>
      </c>
      <c r="H21" s="1291">
        <v>0</v>
      </c>
      <c r="I21" s="180">
        <v>0</v>
      </c>
      <c r="J21" s="1181">
        <v>339198</v>
      </c>
      <c r="K21" s="1291">
        <v>6669</v>
      </c>
      <c r="L21" s="1291">
        <v>0</v>
      </c>
      <c r="M21" s="180">
        <v>0</v>
      </c>
      <c r="N21" s="1181">
        <v>3190</v>
      </c>
      <c r="O21" s="1291">
        <v>0</v>
      </c>
      <c r="P21" s="1291">
        <v>0</v>
      </c>
      <c r="Q21" s="180">
        <v>0</v>
      </c>
      <c r="R21" s="334">
        <v>542317</v>
      </c>
      <c r="S21" s="1291">
        <v>94445</v>
      </c>
      <c r="T21" s="1291">
        <v>0</v>
      </c>
      <c r="U21" s="180">
        <v>0</v>
      </c>
      <c r="V21" s="334">
        <v>28290</v>
      </c>
      <c r="W21" s="1302">
        <v>85320</v>
      </c>
      <c r="X21" s="1306"/>
      <c r="Y21" s="1308"/>
      <c r="Z21" s="1311">
        <f t="shared" si="2"/>
        <v>113610</v>
      </c>
      <c r="AA21" s="1302">
        <v>122770</v>
      </c>
      <c r="AB21" s="1181">
        <v>7335</v>
      </c>
      <c r="AC21" s="1302">
        <v>4700</v>
      </c>
      <c r="AD21" s="1315"/>
      <c r="AE21" s="1316"/>
      <c r="AF21" s="1311">
        <f t="shared" si="1"/>
        <v>12035</v>
      </c>
      <c r="AG21" s="1322">
        <v>16840</v>
      </c>
    </row>
    <row r="22" spans="1:33" s="2" customFormat="1">
      <c r="A22" s="134">
        <f t="shared" ref="A22:A85" si="3">A10+1</f>
        <v>1994.01</v>
      </c>
      <c r="B22" s="611">
        <v>495831</v>
      </c>
      <c r="C22" s="1291">
        <v>44314</v>
      </c>
      <c r="D22" s="1291">
        <v>11389</v>
      </c>
      <c r="E22" s="334">
        <v>0</v>
      </c>
      <c r="F22" s="1181">
        <v>88430</v>
      </c>
      <c r="G22" s="1291">
        <v>17894</v>
      </c>
      <c r="H22" s="1291">
        <v>3469</v>
      </c>
      <c r="I22" s="180">
        <v>0</v>
      </c>
      <c r="J22" s="1181">
        <v>394646</v>
      </c>
      <c r="K22" s="1291">
        <v>18624</v>
      </c>
      <c r="L22" s="1291">
        <v>0</v>
      </c>
      <c r="M22" s="180">
        <v>0</v>
      </c>
      <c r="N22" s="1181">
        <v>2515</v>
      </c>
      <c r="O22" s="1291">
        <v>0</v>
      </c>
      <c r="P22" s="1291">
        <v>7169</v>
      </c>
      <c r="Q22" s="180">
        <v>0</v>
      </c>
      <c r="R22" s="334">
        <v>652926</v>
      </c>
      <c r="S22" s="1291">
        <v>116191</v>
      </c>
      <c r="T22" s="1291">
        <v>11389</v>
      </c>
      <c r="U22" s="180">
        <v>0</v>
      </c>
      <c r="V22" s="334">
        <v>26500</v>
      </c>
      <c r="W22" s="1302">
        <v>75627</v>
      </c>
      <c r="X22" s="1306"/>
      <c r="Y22" s="1308"/>
      <c r="Z22" s="1311">
        <f t="shared" si="2"/>
        <v>102127</v>
      </c>
      <c r="AA22" s="1302">
        <v>115630</v>
      </c>
      <c r="AB22" s="1181">
        <v>8500</v>
      </c>
      <c r="AC22" s="1302">
        <v>13075</v>
      </c>
      <c r="AD22" s="1315"/>
      <c r="AE22" s="1316"/>
      <c r="AF22" s="1311">
        <f t="shared" si="1"/>
        <v>21575</v>
      </c>
      <c r="AG22" s="1322">
        <v>41980</v>
      </c>
    </row>
    <row r="23" spans="1:33" s="2" customFormat="1">
      <c r="A23" s="134">
        <f t="shared" si="3"/>
        <v>1994.02</v>
      </c>
      <c r="B23" s="611">
        <v>458697</v>
      </c>
      <c r="C23" s="1291">
        <v>103667</v>
      </c>
      <c r="D23" s="1291">
        <v>12097</v>
      </c>
      <c r="E23" s="334">
        <v>0</v>
      </c>
      <c r="F23" s="1181">
        <v>84399</v>
      </c>
      <c r="G23" s="1291">
        <v>41801</v>
      </c>
      <c r="H23" s="1291">
        <v>3840</v>
      </c>
      <c r="I23" s="180">
        <v>0</v>
      </c>
      <c r="J23" s="1181">
        <v>374935</v>
      </c>
      <c r="K23" s="1291">
        <v>44597</v>
      </c>
      <c r="L23" s="1291">
        <v>0</v>
      </c>
      <c r="M23" s="180">
        <v>0</v>
      </c>
      <c r="N23" s="1181">
        <v>3573</v>
      </c>
      <c r="O23" s="1291">
        <v>0</v>
      </c>
      <c r="P23" s="1291">
        <v>7563</v>
      </c>
      <c r="Q23" s="180">
        <v>0</v>
      </c>
      <c r="R23" s="334">
        <v>578503</v>
      </c>
      <c r="S23" s="1291">
        <v>151579</v>
      </c>
      <c r="T23" s="1291">
        <v>14702</v>
      </c>
      <c r="U23" s="180">
        <v>0</v>
      </c>
      <c r="V23" s="334">
        <v>20686</v>
      </c>
      <c r="W23" s="1302">
        <v>78140</v>
      </c>
      <c r="X23" s="1306"/>
      <c r="Y23" s="1308"/>
      <c r="Z23" s="1311">
        <f t="shared" si="2"/>
        <v>98826</v>
      </c>
      <c r="AA23" s="1302">
        <v>123180</v>
      </c>
      <c r="AB23" s="1181">
        <v>0</v>
      </c>
      <c r="AC23" s="1302">
        <v>7565</v>
      </c>
      <c r="AD23" s="1315"/>
      <c r="AE23" s="1316"/>
      <c r="AF23" s="1311">
        <f t="shared" si="1"/>
        <v>7565</v>
      </c>
      <c r="AG23" s="1322">
        <v>21570</v>
      </c>
    </row>
    <row r="24" spans="1:33" s="2" customFormat="1">
      <c r="A24" s="134">
        <f t="shared" si="3"/>
        <v>1994.03</v>
      </c>
      <c r="B24" s="611">
        <v>191766</v>
      </c>
      <c r="C24" s="1291">
        <v>133097</v>
      </c>
      <c r="D24" s="1291">
        <v>15523</v>
      </c>
      <c r="E24" s="334">
        <v>29948</v>
      </c>
      <c r="F24" s="1181">
        <v>34930</v>
      </c>
      <c r="G24" s="1291">
        <v>53834</v>
      </c>
      <c r="H24" s="1291">
        <v>4763</v>
      </c>
      <c r="I24" s="180">
        <v>4704</v>
      </c>
      <c r="J24" s="1181">
        <v>152105</v>
      </c>
      <c r="K24" s="1291">
        <v>60770</v>
      </c>
      <c r="L24" s="1291">
        <v>0</v>
      </c>
      <c r="M24" s="180">
        <v>13712</v>
      </c>
      <c r="N24" s="1181">
        <v>2896</v>
      </c>
      <c r="O24" s="1291">
        <v>0</v>
      </c>
      <c r="P24" s="1291">
        <v>10218</v>
      </c>
      <c r="Q24" s="180">
        <v>0</v>
      </c>
      <c r="R24" s="334">
        <v>283493</v>
      </c>
      <c r="S24" s="1291">
        <v>449810</v>
      </c>
      <c r="T24" s="1291">
        <v>17597</v>
      </c>
      <c r="U24" s="180">
        <v>29948</v>
      </c>
      <c r="V24" s="334">
        <v>20500</v>
      </c>
      <c r="W24" s="1302">
        <v>53518</v>
      </c>
      <c r="X24" s="1306"/>
      <c r="Y24" s="1308"/>
      <c r="Z24" s="1311">
        <f t="shared" si="2"/>
        <v>74018</v>
      </c>
      <c r="AA24" s="1302">
        <v>74020</v>
      </c>
      <c r="AB24" s="1181">
        <v>5500</v>
      </c>
      <c r="AC24" s="1302">
        <v>29230</v>
      </c>
      <c r="AD24" s="1315"/>
      <c r="AE24" s="1316"/>
      <c r="AF24" s="1311">
        <f t="shared" si="1"/>
        <v>34730</v>
      </c>
      <c r="AG24" s="1322">
        <v>45830</v>
      </c>
    </row>
    <row r="25" spans="1:33" s="2" customFormat="1">
      <c r="A25" s="134">
        <f t="shared" si="3"/>
        <v>1994.04</v>
      </c>
      <c r="B25" s="611">
        <v>332837</v>
      </c>
      <c r="C25" s="1291">
        <v>94221</v>
      </c>
      <c r="D25" s="1291">
        <v>9978</v>
      </c>
      <c r="E25" s="334">
        <v>49080</v>
      </c>
      <c r="F25" s="1181">
        <v>60201</v>
      </c>
      <c r="G25" s="1291">
        <v>38158</v>
      </c>
      <c r="H25" s="1291">
        <v>2994</v>
      </c>
      <c r="I25" s="180">
        <v>7876</v>
      </c>
      <c r="J25" s="1181">
        <v>264533</v>
      </c>
      <c r="K25" s="1291">
        <v>41469</v>
      </c>
      <c r="L25" s="1291">
        <v>0</v>
      </c>
      <c r="M25" s="180">
        <v>32778</v>
      </c>
      <c r="N25" s="1181">
        <v>3303</v>
      </c>
      <c r="O25" s="1291">
        <v>0</v>
      </c>
      <c r="P25" s="1291">
        <v>6839</v>
      </c>
      <c r="Q25" s="180">
        <v>0</v>
      </c>
      <c r="R25" s="334">
        <v>392086</v>
      </c>
      <c r="S25" s="1291">
        <v>493393</v>
      </c>
      <c r="T25" s="1291">
        <v>12342</v>
      </c>
      <c r="U25" s="180">
        <v>49080</v>
      </c>
      <c r="V25" s="334">
        <v>31436</v>
      </c>
      <c r="W25" s="1302">
        <v>13520</v>
      </c>
      <c r="X25" s="1306"/>
      <c r="Y25" s="1308"/>
      <c r="Z25" s="1311">
        <f t="shared" si="2"/>
        <v>44956</v>
      </c>
      <c r="AA25" s="1302">
        <v>44960</v>
      </c>
      <c r="AB25" s="1181">
        <v>5479</v>
      </c>
      <c r="AC25" s="1302">
        <v>37315</v>
      </c>
      <c r="AD25" s="1315"/>
      <c r="AE25" s="1316"/>
      <c r="AF25" s="1311">
        <f t="shared" si="1"/>
        <v>42794</v>
      </c>
      <c r="AG25" s="1322">
        <v>124590</v>
      </c>
    </row>
    <row r="26" spans="1:33" s="2" customFormat="1">
      <c r="A26" s="134">
        <f t="shared" si="3"/>
        <v>1994.05</v>
      </c>
      <c r="B26" s="611">
        <v>664623</v>
      </c>
      <c r="C26" s="1291">
        <v>70558</v>
      </c>
      <c r="D26" s="1291">
        <v>9347</v>
      </c>
      <c r="E26" s="334">
        <v>55369</v>
      </c>
      <c r="F26" s="1181">
        <v>121721</v>
      </c>
      <c r="G26" s="1291">
        <v>28734</v>
      </c>
      <c r="H26" s="1291">
        <v>2732</v>
      </c>
      <c r="I26" s="180">
        <v>8472</v>
      </c>
      <c r="J26" s="1181">
        <v>555241</v>
      </c>
      <c r="K26" s="1291">
        <v>30254</v>
      </c>
      <c r="L26" s="1291">
        <v>0</v>
      </c>
      <c r="M26" s="180">
        <v>26158</v>
      </c>
      <c r="N26" s="1181">
        <v>4418</v>
      </c>
      <c r="O26" s="1291">
        <v>0</v>
      </c>
      <c r="P26" s="1291">
        <v>6042</v>
      </c>
      <c r="Q26" s="180">
        <v>0</v>
      </c>
      <c r="R26" s="334">
        <v>796918</v>
      </c>
      <c r="S26" s="1291">
        <v>432952</v>
      </c>
      <c r="T26" s="1291">
        <v>10958</v>
      </c>
      <c r="U26" s="180">
        <v>55369</v>
      </c>
      <c r="V26" s="334">
        <v>28240</v>
      </c>
      <c r="W26" s="1302">
        <v>79165</v>
      </c>
      <c r="X26" s="1306"/>
      <c r="Y26" s="1308"/>
      <c r="Z26" s="1311">
        <f t="shared" si="2"/>
        <v>107405</v>
      </c>
      <c r="AA26" s="1302">
        <v>107410</v>
      </c>
      <c r="AB26" s="1181">
        <v>18776</v>
      </c>
      <c r="AC26" s="1302">
        <v>28770</v>
      </c>
      <c r="AD26" s="1315"/>
      <c r="AE26" s="1316"/>
      <c r="AF26" s="1311">
        <f t="shared" si="1"/>
        <v>47546</v>
      </c>
      <c r="AG26" s="1322">
        <v>115810</v>
      </c>
    </row>
    <row r="27" spans="1:33" s="2" customFormat="1">
      <c r="A27" s="134">
        <f t="shared" si="3"/>
        <v>1994.06</v>
      </c>
      <c r="B27" s="611">
        <v>736413</v>
      </c>
      <c r="C27" s="1291">
        <v>27923</v>
      </c>
      <c r="D27" s="1291">
        <v>8899</v>
      </c>
      <c r="E27" s="334">
        <v>51731</v>
      </c>
      <c r="F27" s="1181">
        <v>125242</v>
      </c>
      <c r="G27" s="1291">
        <v>11295</v>
      </c>
      <c r="H27" s="1291">
        <v>2497</v>
      </c>
      <c r="I27" s="180">
        <v>8051</v>
      </c>
      <c r="J27" s="1181">
        <v>589962</v>
      </c>
      <c r="K27" s="1291">
        <v>11612</v>
      </c>
      <c r="L27" s="1291">
        <v>0</v>
      </c>
      <c r="M27" s="180">
        <v>25240</v>
      </c>
      <c r="N27" s="1181">
        <v>4237</v>
      </c>
      <c r="O27" s="1291">
        <v>0</v>
      </c>
      <c r="P27" s="1291">
        <v>5263</v>
      </c>
      <c r="Q27" s="180">
        <v>0</v>
      </c>
      <c r="R27" s="334">
        <v>954752</v>
      </c>
      <c r="S27" s="1291">
        <v>277142</v>
      </c>
      <c r="T27" s="1291">
        <v>9549</v>
      </c>
      <c r="U27" s="180">
        <v>51731</v>
      </c>
      <c r="V27" s="334">
        <v>45958</v>
      </c>
      <c r="W27" s="1302">
        <v>90847</v>
      </c>
      <c r="X27" s="1306"/>
      <c r="Y27" s="1308"/>
      <c r="Z27" s="1311">
        <f t="shared" si="2"/>
        <v>136805</v>
      </c>
      <c r="AA27" s="1302">
        <v>142500</v>
      </c>
      <c r="AB27" s="1181">
        <v>12000</v>
      </c>
      <c r="AC27" s="1302">
        <v>10200</v>
      </c>
      <c r="AD27" s="1315"/>
      <c r="AE27" s="1316"/>
      <c r="AF27" s="1311">
        <f t="shared" si="1"/>
        <v>22200</v>
      </c>
      <c r="AG27" s="1322">
        <v>66750</v>
      </c>
    </row>
    <row r="28" spans="1:33" s="2" customFormat="1">
      <c r="A28" s="134">
        <f t="shared" si="3"/>
        <v>1994.07</v>
      </c>
      <c r="B28" s="611">
        <v>751246</v>
      </c>
      <c r="C28" s="1291">
        <v>40827</v>
      </c>
      <c r="D28" s="1291">
        <v>8625</v>
      </c>
      <c r="E28" s="334">
        <v>52618</v>
      </c>
      <c r="F28" s="1181">
        <v>128524</v>
      </c>
      <c r="G28" s="1291">
        <v>16800</v>
      </c>
      <c r="H28" s="1291">
        <v>2770</v>
      </c>
      <c r="I28" s="180">
        <v>8147</v>
      </c>
      <c r="J28" s="1181">
        <v>602968</v>
      </c>
      <c r="K28" s="1291">
        <v>17448</v>
      </c>
      <c r="L28" s="1291">
        <v>0</v>
      </c>
      <c r="M28" s="180">
        <v>25118</v>
      </c>
      <c r="N28" s="1181">
        <v>3873</v>
      </c>
      <c r="O28" s="1291">
        <v>0</v>
      </c>
      <c r="P28" s="1291">
        <v>5392</v>
      </c>
      <c r="Q28" s="180">
        <v>0</v>
      </c>
      <c r="R28" s="334">
        <v>960490</v>
      </c>
      <c r="S28" s="1291">
        <v>313411</v>
      </c>
      <c r="T28" s="1291">
        <v>9669</v>
      </c>
      <c r="U28" s="180">
        <v>52618</v>
      </c>
      <c r="V28" s="334">
        <v>33750</v>
      </c>
      <c r="W28" s="1302">
        <v>67425</v>
      </c>
      <c r="X28" s="1306"/>
      <c r="Y28" s="1308"/>
      <c r="Z28" s="1311">
        <f t="shared" si="2"/>
        <v>101175</v>
      </c>
      <c r="AA28" s="1302">
        <v>120880</v>
      </c>
      <c r="AB28" s="1181">
        <v>12000</v>
      </c>
      <c r="AC28" s="1302">
        <v>4350</v>
      </c>
      <c r="AD28" s="1315"/>
      <c r="AE28" s="1316"/>
      <c r="AF28" s="1311">
        <f t="shared" si="1"/>
        <v>16350</v>
      </c>
      <c r="AG28" s="1322">
        <v>80330</v>
      </c>
    </row>
    <row r="29" spans="1:33" s="2" customFormat="1">
      <c r="A29" s="134">
        <f t="shared" si="3"/>
        <v>1994.08</v>
      </c>
      <c r="B29" s="611">
        <v>742737</v>
      </c>
      <c r="C29" s="1291">
        <v>30760</v>
      </c>
      <c r="D29" s="1291">
        <v>7610</v>
      </c>
      <c r="E29" s="334">
        <v>44935</v>
      </c>
      <c r="F29" s="1181">
        <v>127694</v>
      </c>
      <c r="G29" s="1291">
        <v>12642</v>
      </c>
      <c r="H29" s="1291">
        <v>2250</v>
      </c>
      <c r="I29" s="180">
        <v>10533</v>
      </c>
      <c r="J29" s="1181">
        <v>595581</v>
      </c>
      <c r="K29" s="1291">
        <v>13016</v>
      </c>
      <c r="L29" s="1291">
        <v>0</v>
      </c>
      <c r="M29" s="180">
        <v>21621</v>
      </c>
      <c r="N29" s="1181">
        <v>4861</v>
      </c>
      <c r="O29" s="1291">
        <v>0</v>
      </c>
      <c r="P29" s="1291">
        <v>5157</v>
      </c>
      <c r="Q29" s="180">
        <v>0</v>
      </c>
      <c r="R29" s="334">
        <v>919079</v>
      </c>
      <c r="S29" s="1291">
        <v>263798</v>
      </c>
      <c r="T29" s="1291">
        <v>7872</v>
      </c>
      <c r="U29" s="180">
        <v>44935</v>
      </c>
      <c r="V29" s="334">
        <v>45484</v>
      </c>
      <c r="W29" s="1302">
        <v>131245</v>
      </c>
      <c r="X29" s="1306"/>
      <c r="Y29" s="1308"/>
      <c r="Z29" s="1311">
        <f t="shared" si="2"/>
        <v>176729</v>
      </c>
      <c r="AA29" s="1302">
        <v>195230</v>
      </c>
      <c r="AB29" s="1181">
        <v>3080</v>
      </c>
      <c r="AC29" s="1302">
        <v>13991</v>
      </c>
      <c r="AD29" s="1315"/>
      <c r="AE29" s="1316"/>
      <c r="AF29" s="1311">
        <f t="shared" si="1"/>
        <v>17071</v>
      </c>
      <c r="AG29" s="1322">
        <v>57130</v>
      </c>
    </row>
    <row r="30" spans="1:33" s="2" customFormat="1">
      <c r="A30" s="134">
        <f t="shared" si="3"/>
        <v>1994.09</v>
      </c>
      <c r="B30" s="611">
        <v>784628</v>
      </c>
      <c r="C30" s="1291">
        <v>32129</v>
      </c>
      <c r="D30" s="1291">
        <v>6715</v>
      </c>
      <c r="E30" s="334">
        <v>0</v>
      </c>
      <c r="F30" s="1181">
        <v>134183</v>
      </c>
      <c r="G30" s="1291">
        <v>12339</v>
      </c>
      <c r="H30" s="1291">
        <v>2175</v>
      </c>
      <c r="I30" s="180">
        <v>0</v>
      </c>
      <c r="J30" s="1181">
        <v>630420</v>
      </c>
      <c r="K30" s="1291">
        <v>13179</v>
      </c>
      <c r="L30" s="1291">
        <v>0</v>
      </c>
      <c r="M30" s="180">
        <v>0</v>
      </c>
      <c r="N30" s="1181">
        <v>4330</v>
      </c>
      <c r="O30" s="1291">
        <v>0</v>
      </c>
      <c r="P30" s="1291">
        <v>4278</v>
      </c>
      <c r="Q30" s="180">
        <v>0</v>
      </c>
      <c r="R30" s="334">
        <v>1012037</v>
      </c>
      <c r="S30" s="1291">
        <v>238232</v>
      </c>
      <c r="T30" s="1291">
        <v>6715</v>
      </c>
      <c r="U30" s="180">
        <v>0</v>
      </c>
      <c r="V30" s="334">
        <v>56315</v>
      </c>
      <c r="W30" s="1302">
        <v>48457</v>
      </c>
      <c r="X30" s="1306"/>
      <c r="Y30" s="1308"/>
      <c r="Z30" s="1311">
        <f t="shared" si="2"/>
        <v>104772</v>
      </c>
      <c r="AA30" s="1302">
        <v>120520</v>
      </c>
      <c r="AB30" s="1181">
        <v>20500</v>
      </c>
      <c r="AC30" s="1302">
        <v>2860</v>
      </c>
      <c r="AD30" s="1315"/>
      <c r="AE30" s="1316"/>
      <c r="AF30" s="1311">
        <f t="shared" si="1"/>
        <v>23360</v>
      </c>
      <c r="AG30" s="1322">
        <v>53590</v>
      </c>
    </row>
    <row r="31" spans="1:33" s="2" customFormat="1">
      <c r="A31" s="134">
        <f t="shared" si="3"/>
        <v>1994.1</v>
      </c>
      <c r="B31" s="611">
        <v>787544</v>
      </c>
      <c r="C31" s="1291">
        <v>31606</v>
      </c>
      <c r="D31" s="1291">
        <v>3855</v>
      </c>
      <c r="E31" s="334">
        <v>0</v>
      </c>
      <c r="F31" s="1181">
        <v>134990</v>
      </c>
      <c r="G31" s="1291">
        <v>13049</v>
      </c>
      <c r="H31" s="1291">
        <v>1148</v>
      </c>
      <c r="I31" s="180">
        <v>0</v>
      </c>
      <c r="J31" s="1181">
        <v>634419</v>
      </c>
      <c r="K31" s="1291">
        <v>13148</v>
      </c>
      <c r="L31" s="1291">
        <v>0</v>
      </c>
      <c r="M31" s="180">
        <v>0</v>
      </c>
      <c r="N31" s="1181">
        <v>3669</v>
      </c>
      <c r="O31" s="1291">
        <v>0</v>
      </c>
      <c r="P31" s="1291">
        <v>2440</v>
      </c>
      <c r="Q31" s="180">
        <v>0</v>
      </c>
      <c r="R31" s="334">
        <v>937688</v>
      </c>
      <c r="S31" s="1291">
        <v>302370</v>
      </c>
      <c r="T31" s="1291">
        <v>4623</v>
      </c>
      <c r="U31" s="180">
        <v>0</v>
      </c>
      <c r="V31" s="334">
        <v>52819</v>
      </c>
      <c r="W31" s="1302">
        <v>112267</v>
      </c>
      <c r="X31" s="1306"/>
      <c r="Y31" s="1308"/>
      <c r="Z31" s="1311">
        <f t="shared" si="2"/>
        <v>165086</v>
      </c>
      <c r="AA31" s="1302">
        <v>172300</v>
      </c>
      <c r="AB31" s="1181">
        <v>13700</v>
      </c>
      <c r="AC31" s="1302">
        <v>17248</v>
      </c>
      <c r="AD31" s="1315"/>
      <c r="AE31" s="1316"/>
      <c r="AF31" s="1311">
        <f t="shared" si="1"/>
        <v>30948</v>
      </c>
      <c r="AG31" s="1322">
        <v>61320</v>
      </c>
    </row>
    <row r="32" spans="1:33" s="2" customFormat="1">
      <c r="A32" s="134">
        <f t="shared" si="3"/>
        <v>1994.11</v>
      </c>
      <c r="B32" s="611">
        <v>734824</v>
      </c>
      <c r="C32" s="1291">
        <v>32522</v>
      </c>
      <c r="D32" s="1291">
        <v>5398</v>
      </c>
      <c r="E32" s="334">
        <v>0</v>
      </c>
      <c r="F32" s="1181">
        <v>126698</v>
      </c>
      <c r="G32" s="1291">
        <v>13096</v>
      </c>
      <c r="H32" s="1291">
        <v>1578</v>
      </c>
      <c r="I32" s="180">
        <v>0</v>
      </c>
      <c r="J32" s="1181">
        <v>588704</v>
      </c>
      <c r="K32" s="1291">
        <v>13982</v>
      </c>
      <c r="L32" s="1291">
        <v>0</v>
      </c>
      <c r="M32" s="180">
        <v>0</v>
      </c>
      <c r="N32" s="1181">
        <v>6149</v>
      </c>
      <c r="O32" s="1291">
        <v>0</v>
      </c>
      <c r="P32" s="1291">
        <v>2968</v>
      </c>
      <c r="Q32" s="180">
        <v>0</v>
      </c>
      <c r="R32" s="334">
        <v>897102</v>
      </c>
      <c r="S32" s="1291">
        <v>182923</v>
      </c>
      <c r="T32" s="1291">
        <v>5398</v>
      </c>
      <c r="U32" s="180">
        <v>0</v>
      </c>
      <c r="V32" s="334">
        <v>52255</v>
      </c>
      <c r="W32" s="1302">
        <v>87391</v>
      </c>
      <c r="X32" s="1306"/>
      <c r="Y32" s="1308"/>
      <c r="Z32" s="1311">
        <f t="shared" si="2"/>
        <v>139646</v>
      </c>
      <c r="AA32" s="1302">
        <v>145700</v>
      </c>
      <c r="AB32" s="1181">
        <v>1300</v>
      </c>
      <c r="AC32" s="1302">
        <v>5264</v>
      </c>
      <c r="AD32" s="1315"/>
      <c r="AE32" s="1316"/>
      <c r="AF32" s="1311">
        <f t="shared" si="1"/>
        <v>6564</v>
      </c>
      <c r="AG32" s="1322">
        <v>43590</v>
      </c>
    </row>
    <row r="33" spans="1:33" s="2" customFormat="1">
      <c r="A33" s="134">
        <f t="shared" si="3"/>
        <v>1994.12</v>
      </c>
      <c r="B33" s="611">
        <v>414647</v>
      </c>
      <c r="C33" s="1291">
        <v>8175</v>
      </c>
      <c r="D33" s="1291">
        <v>7036</v>
      </c>
      <c r="E33" s="334">
        <v>0</v>
      </c>
      <c r="F33" s="1181">
        <v>69846</v>
      </c>
      <c r="G33" s="1291">
        <v>3330</v>
      </c>
      <c r="H33" s="1291">
        <v>2176</v>
      </c>
      <c r="I33" s="180">
        <v>0</v>
      </c>
      <c r="J33" s="1181">
        <v>332641</v>
      </c>
      <c r="K33" s="1291">
        <v>3482</v>
      </c>
      <c r="L33" s="1291">
        <v>0</v>
      </c>
      <c r="M33" s="180">
        <v>0</v>
      </c>
      <c r="N33" s="1181">
        <v>4139</v>
      </c>
      <c r="O33" s="1291">
        <v>0</v>
      </c>
      <c r="P33" s="1291">
        <v>4192</v>
      </c>
      <c r="Q33" s="180">
        <v>0</v>
      </c>
      <c r="R33" s="334">
        <v>520343</v>
      </c>
      <c r="S33" s="1291">
        <v>131236</v>
      </c>
      <c r="T33" s="1291">
        <v>10803</v>
      </c>
      <c r="U33" s="180">
        <v>0</v>
      </c>
      <c r="V33" s="334">
        <v>23434</v>
      </c>
      <c r="W33" s="1302">
        <v>61966</v>
      </c>
      <c r="X33" s="1306"/>
      <c r="Y33" s="1308"/>
      <c r="Z33" s="1311">
        <f t="shared" si="2"/>
        <v>85400</v>
      </c>
      <c r="AA33" s="1302">
        <v>86900</v>
      </c>
      <c r="AB33" s="1181">
        <v>3200</v>
      </c>
      <c r="AC33" s="1302">
        <v>2000</v>
      </c>
      <c r="AD33" s="1315"/>
      <c r="AE33" s="1316"/>
      <c r="AF33" s="1311">
        <f t="shared" si="1"/>
        <v>5200</v>
      </c>
      <c r="AG33" s="1322">
        <v>54550</v>
      </c>
    </row>
    <row r="34" spans="1:33" s="2" customFormat="1">
      <c r="A34" s="134">
        <f t="shared" si="3"/>
        <v>1995.01</v>
      </c>
      <c r="B34" s="611">
        <v>566521</v>
      </c>
      <c r="C34" s="1291">
        <v>113984</v>
      </c>
      <c r="D34" s="1291">
        <v>14415</v>
      </c>
      <c r="E34" s="334">
        <v>0</v>
      </c>
      <c r="F34" s="1181">
        <v>93841</v>
      </c>
      <c r="G34" s="1291">
        <v>44797</v>
      </c>
      <c r="H34" s="1291">
        <v>4806</v>
      </c>
      <c r="I34" s="180">
        <v>0</v>
      </c>
      <c r="J34" s="1181">
        <v>435834</v>
      </c>
      <c r="K34" s="1291">
        <v>50766</v>
      </c>
      <c r="L34" s="1291">
        <v>0</v>
      </c>
      <c r="M34" s="180">
        <v>0</v>
      </c>
      <c r="N34" s="1181">
        <v>3212</v>
      </c>
      <c r="O34" s="1291">
        <v>0</v>
      </c>
      <c r="P34" s="1291">
        <v>9624</v>
      </c>
      <c r="Q34" s="180">
        <v>0</v>
      </c>
      <c r="R34" s="334">
        <v>666081</v>
      </c>
      <c r="S34" s="1291">
        <v>152262</v>
      </c>
      <c r="T34" s="1291">
        <v>24368</v>
      </c>
      <c r="U34" s="180">
        <v>0</v>
      </c>
      <c r="V34" s="334">
        <v>36540</v>
      </c>
      <c r="W34" s="1302">
        <v>81693</v>
      </c>
      <c r="X34" s="1306"/>
      <c r="Y34" s="1308"/>
      <c r="Z34" s="1311">
        <f t="shared" si="2"/>
        <v>118233</v>
      </c>
      <c r="AA34" s="1302">
        <v>121650</v>
      </c>
      <c r="AB34" s="1181">
        <v>0</v>
      </c>
      <c r="AC34" s="1302">
        <v>14850</v>
      </c>
      <c r="AD34" s="1315"/>
      <c r="AE34" s="1316"/>
      <c r="AF34" s="1311">
        <f t="shared" si="1"/>
        <v>14850</v>
      </c>
      <c r="AG34" s="1322">
        <v>59850</v>
      </c>
    </row>
    <row r="35" spans="1:33" s="2" customFormat="1">
      <c r="A35" s="134">
        <f t="shared" si="3"/>
        <v>1995.02</v>
      </c>
      <c r="B35" s="611">
        <v>385956</v>
      </c>
      <c r="C35" s="1291">
        <v>164283</v>
      </c>
      <c r="D35" s="1291">
        <v>11367</v>
      </c>
      <c r="E35" s="334">
        <v>0</v>
      </c>
      <c r="F35" s="1181">
        <v>66503</v>
      </c>
      <c r="G35" s="1291">
        <v>65029</v>
      </c>
      <c r="H35" s="1291">
        <v>3753</v>
      </c>
      <c r="I35" s="180">
        <v>0</v>
      </c>
      <c r="J35" s="1181">
        <v>307496</v>
      </c>
      <c r="K35" s="1291">
        <v>75247</v>
      </c>
      <c r="L35" s="1291">
        <v>0</v>
      </c>
      <c r="M35" s="180">
        <v>0</v>
      </c>
      <c r="N35" s="1181">
        <v>4263</v>
      </c>
      <c r="O35" s="1291">
        <v>0</v>
      </c>
      <c r="P35" s="1291">
        <v>7437</v>
      </c>
      <c r="Q35" s="180">
        <v>0</v>
      </c>
      <c r="R35" s="334">
        <v>471777</v>
      </c>
      <c r="S35" s="1291">
        <v>296323</v>
      </c>
      <c r="T35" s="1291">
        <v>20304</v>
      </c>
      <c r="U35" s="180">
        <v>0</v>
      </c>
      <c r="V35" s="334">
        <v>20973</v>
      </c>
      <c r="W35" s="1302">
        <v>49105</v>
      </c>
      <c r="X35" s="1306"/>
      <c r="Y35" s="1308"/>
      <c r="Z35" s="1311">
        <f t="shared" si="2"/>
        <v>70078</v>
      </c>
      <c r="AA35" s="1302">
        <v>72580</v>
      </c>
      <c r="AB35" s="1181">
        <v>0</v>
      </c>
      <c r="AC35" s="1302">
        <v>26680</v>
      </c>
      <c r="AD35" s="1315"/>
      <c r="AE35" s="1316"/>
      <c r="AF35" s="1311">
        <f t="shared" si="1"/>
        <v>26680</v>
      </c>
      <c r="AG35" s="1322">
        <v>51630</v>
      </c>
    </row>
    <row r="36" spans="1:33" s="2" customFormat="1">
      <c r="A36" s="134">
        <f t="shared" si="3"/>
        <v>1995.03</v>
      </c>
      <c r="B36" s="611">
        <v>148630</v>
      </c>
      <c r="C36" s="1291">
        <v>240431</v>
      </c>
      <c r="D36" s="1291">
        <v>10722</v>
      </c>
      <c r="E36" s="334">
        <v>38908</v>
      </c>
      <c r="F36" s="1181">
        <v>25385</v>
      </c>
      <c r="G36" s="1291">
        <v>96442</v>
      </c>
      <c r="H36" s="1291">
        <v>3630</v>
      </c>
      <c r="I36" s="180">
        <v>6128</v>
      </c>
      <c r="J36" s="1181">
        <v>115555</v>
      </c>
      <c r="K36" s="1291">
        <v>120874</v>
      </c>
      <c r="L36" s="1291">
        <v>0</v>
      </c>
      <c r="M36" s="180">
        <v>18003</v>
      </c>
      <c r="N36" s="1181">
        <v>5714</v>
      </c>
      <c r="O36" s="1291">
        <v>23</v>
      </c>
      <c r="P36" s="1291">
        <v>7027</v>
      </c>
      <c r="Q36" s="180">
        <v>0</v>
      </c>
      <c r="R36" s="334">
        <v>243223</v>
      </c>
      <c r="S36" s="1291">
        <v>664903</v>
      </c>
      <c r="T36" s="1291">
        <v>15478</v>
      </c>
      <c r="U36" s="180">
        <v>38908</v>
      </c>
      <c r="V36" s="334">
        <v>28356</v>
      </c>
      <c r="W36" s="1302">
        <v>50220</v>
      </c>
      <c r="X36" s="1306"/>
      <c r="Y36" s="1308"/>
      <c r="Z36" s="1311">
        <f t="shared" si="2"/>
        <v>78576</v>
      </c>
      <c r="AA36" s="1302">
        <v>86950</v>
      </c>
      <c r="AB36" s="1181">
        <v>17438</v>
      </c>
      <c r="AC36" s="1302">
        <v>78855</v>
      </c>
      <c r="AD36" s="1315"/>
      <c r="AE36" s="1316"/>
      <c r="AF36" s="1311">
        <f t="shared" si="1"/>
        <v>96293</v>
      </c>
      <c r="AG36" s="1322">
        <v>149670</v>
      </c>
    </row>
    <row r="37" spans="1:33" s="2" customFormat="1">
      <c r="A37" s="134">
        <f t="shared" si="3"/>
        <v>1995.04</v>
      </c>
      <c r="B37" s="611">
        <v>354996</v>
      </c>
      <c r="C37" s="1291">
        <v>155609</v>
      </c>
      <c r="D37" s="1291">
        <v>6815</v>
      </c>
      <c r="E37" s="334">
        <v>57751</v>
      </c>
      <c r="F37" s="1181">
        <v>63976</v>
      </c>
      <c r="G37" s="1291">
        <v>68479</v>
      </c>
      <c r="H37" s="1291">
        <v>2328</v>
      </c>
      <c r="I37" s="180">
        <v>8876</v>
      </c>
      <c r="J37" s="1181">
        <v>279113</v>
      </c>
      <c r="K37" s="1291">
        <v>83828</v>
      </c>
      <c r="L37" s="1291">
        <v>0</v>
      </c>
      <c r="M37" s="180">
        <v>26546</v>
      </c>
      <c r="N37" s="1181">
        <v>4828</v>
      </c>
      <c r="O37" s="1291">
        <v>647</v>
      </c>
      <c r="P37" s="1291">
        <v>4442</v>
      </c>
      <c r="Q37" s="180">
        <v>0</v>
      </c>
      <c r="R37" s="334">
        <v>426228</v>
      </c>
      <c r="S37" s="1291">
        <v>573203</v>
      </c>
      <c r="T37" s="1291">
        <v>9906</v>
      </c>
      <c r="U37" s="180">
        <v>57751</v>
      </c>
      <c r="V37" s="334">
        <v>12108</v>
      </c>
      <c r="W37" s="1302">
        <v>24300</v>
      </c>
      <c r="X37" s="1306"/>
      <c r="Y37" s="1308"/>
      <c r="Z37" s="1311">
        <f t="shared" si="2"/>
        <v>36408</v>
      </c>
      <c r="AA37" s="1302">
        <v>39630</v>
      </c>
      <c r="AB37" s="1181">
        <v>20915</v>
      </c>
      <c r="AC37" s="1302">
        <v>96050</v>
      </c>
      <c r="AD37" s="1315"/>
      <c r="AE37" s="1316"/>
      <c r="AF37" s="1311">
        <f t="shared" si="1"/>
        <v>116965</v>
      </c>
      <c r="AG37" s="1322">
        <v>219280</v>
      </c>
    </row>
    <row r="38" spans="1:33" s="2" customFormat="1">
      <c r="A38" s="134">
        <f t="shared" si="3"/>
        <v>1995.05</v>
      </c>
      <c r="B38" s="611">
        <v>743167</v>
      </c>
      <c r="C38" s="1291">
        <v>105841</v>
      </c>
      <c r="D38" s="1291">
        <v>10059</v>
      </c>
      <c r="E38" s="334">
        <v>65085</v>
      </c>
      <c r="F38" s="1181">
        <v>131844</v>
      </c>
      <c r="G38" s="1291">
        <v>41964</v>
      </c>
      <c r="H38" s="1291">
        <v>3150</v>
      </c>
      <c r="I38" s="180">
        <v>10056</v>
      </c>
      <c r="J38" s="1181">
        <v>590389</v>
      </c>
      <c r="K38" s="1291">
        <v>47126</v>
      </c>
      <c r="L38" s="1291">
        <v>0</v>
      </c>
      <c r="M38" s="180">
        <v>26944</v>
      </c>
      <c r="N38" s="1181">
        <v>6172</v>
      </c>
      <c r="O38" s="1291">
        <v>673</v>
      </c>
      <c r="P38" s="1291">
        <v>6662</v>
      </c>
      <c r="Q38" s="180">
        <v>0</v>
      </c>
      <c r="R38" s="334">
        <v>844169</v>
      </c>
      <c r="S38" s="1291">
        <v>536068</v>
      </c>
      <c r="T38" s="1291">
        <v>16332</v>
      </c>
      <c r="U38" s="180">
        <v>65085</v>
      </c>
      <c r="V38" s="334">
        <v>35892</v>
      </c>
      <c r="W38" s="1302">
        <v>79666</v>
      </c>
      <c r="X38" s="1306"/>
      <c r="Y38" s="1308"/>
      <c r="Z38" s="1311">
        <f t="shared" si="2"/>
        <v>115558</v>
      </c>
      <c r="AA38" s="1302">
        <v>122020</v>
      </c>
      <c r="AB38" s="1181">
        <v>9871</v>
      </c>
      <c r="AC38" s="1302">
        <v>39744</v>
      </c>
      <c r="AD38" s="1315"/>
      <c r="AE38" s="1316"/>
      <c r="AF38" s="1311">
        <f t="shared" si="1"/>
        <v>49615</v>
      </c>
      <c r="AG38" s="1322">
        <v>152480</v>
      </c>
    </row>
    <row r="39" spans="1:33" s="2" customFormat="1">
      <c r="A39" s="134">
        <f t="shared" si="3"/>
        <v>1995.06</v>
      </c>
      <c r="B39" s="611">
        <v>760299</v>
      </c>
      <c r="C39" s="1291">
        <v>78447</v>
      </c>
      <c r="D39" s="1291">
        <v>8066</v>
      </c>
      <c r="E39" s="334">
        <v>64145</v>
      </c>
      <c r="F39" s="1181">
        <v>132409</v>
      </c>
      <c r="G39" s="1291">
        <v>31163</v>
      </c>
      <c r="H39" s="1291">
        <v>2684</v>
      </c>
      <c r="I39" s="180">
        <v>9710</v>
      </c>
      <c r="J39" s="1181">
        <v>608156</v>
      </c>
      <c r="K39" s="1291">
        <v>35038</v>
      </c>
      <c r="L39" s="1291">
        <v>0</v>
      </c>
      <c r="M39" s="180">
        <v>29356</v>
      </c>
      <c r="N39" s="1181">
        <v>5393</v>
      </c>
      <c r="O39" s="1291">
        <v>333</v>
      </c>
      <c r="P39" s="1291">
        <v>5441</v>
      </c>
      <c r="Q39" s="180">
        <v>0</v>
      </c>
      <c r="R39" s="334">
        <v>853598</v>
      </c>
      <c r="S39" s="1291">
        <v>498207</v>
      </c>
      <c r="T39" s="1291">
        <v>11675</v>
      </c>
      <c r="U39" s="180">
        <v>64145</v>
      </c>
      <c r="V39" s="334">
        <v>66000</v>
      </c>
      <c r="W39" s="1302">
        <v>66312</v>
      </c>
      <c r="X39" s="1306"/>
      <c r="Y39" s="1308"/>
      <c r="Z39" s="1311">
        <f t="shared" si="2"/>
        <v>132312</v>
      </c>
      <c r="AA39" s="1302">
        <v>132810</v>
      </c>
      <c r="AB39" s="1181">
        <v>24900</v>
      </c>
      <c r="AC39" s="1302">
        <v>31020</v>
      </c>
      <c r="AD39" s="1315"/>
      <c r="AE39" s="1316"/>
      <c r="AF39" s="1311">
        <f t="shared" si="1"/>
        <v>55920</v>
      </c>
      <c r="AG39" s="1322">
        <v>136620</v>
      </c>
    </row>
    <row r="40" spans="1:33" s="2" customFormat="1">
      <c r="A40" s="134">
        <f t="shared" si="3"/>
        <v>1995.07</v>
      </c>
      <c r="B40" s="611">
        <v>793848</v>
      </c>
      <c r="C40" s="1291">
        <v>87839</v>
      </c>
      <c r="D40" s="1291">
        <v>5810</v>
      </c>
      <c r="E40" s="334">
        <v>77310</v>
      </c>
      <c r="F40" s="1181">
        <v>140667</v>
      </c>
      <c r="G40" s="1291">
        <v>35180</v>
      </c>
      <c r="H40" s="1291">
        <v>1891</v>
      </c>
      <c r="I40" s="180">
        <v>11633</v>
      </c>
      <c r="J40" s="1181">
        <v>634716</v>
      </c>
      <c r="K40" s="1291">
        <v>38998</v>
      </c>
      <c r="L40" s="1291">
        <v>0</v>
      </c>
      <c r="M40" s="180">
        <v>0</v>
      </c>
      <c r="N40" s="1181">
        <v>4843</v>
      </c>
      <c r="O40" s="1291">
        <v>0</v>
      </c>
      <c r="P40" s="1291">
        <v>3740</v>
      </c>
      <c r="Q40" s="180">
        <v>0</v>
      </c>
      <c r="R40" s="334">
        <v>879421</v>
      </c>
      <c r="S40" s="1291">
        <v>470079</v>
      </c>
      <c r="T40" s="1291">
        <v>11367</v>
      </c>
      <c r="U40" s="180">
        <v>77310</v>
      </c>
      <c r="V40" s="334">
        <v>48778</v>
      </c>
      <c r="W40" s="1302">
        <v>84836</v>
      </c>
      <c r="X40" s="1306"/>
      <c r="Y40" s="1308"/>
      <c r="Z40" s="1311">
        <f t="shared" si="2"/>
        <v>133614</v>
      </c>
      <c r="AA40" s="1302">
        <v>133610</v>
      </c>
      <c r="AB40" s="1181">
        <v>4068</v>
      </c>
      <c r="AC40" s="1302">
        <v>27934</v>
      </c>
      <c r="AD40" s="1315"/>
      <c r="AE40" s="1316"/>
      <c r="AF40" s="1311">
        <f t="shared" si="1"/>
        <v>32002</v>
      </c>
      <c r="AG40" s="1322">
        <v>106510</v>
      </c>
    </row>
    <row r="41" spans="1:33" s="2" customFormat="1">
      <c r="A41" s="134">
        <f t="shared" si="3"/>
        <v>1995.08</v>
      </c>
      <c r="B41" s="611">
        <v>801939</v>
      </c>
      <c r="C41" s="1291">
        <v>80899</v>
      </c>
      <c r="D41" s="1291">
        <v>2610</v>
      </c>
      <c r="E41" s="334">
        <v>62599</v>
      </c>
      <c r="F41" s="1181">
        <v>141101</v>
      </c>
      <c r="G41" s="1291">
        <v>31648</v>
      </c>
      <c r="H41" s="1291">
        <v>845</v>
      </c>
      <c r="I41" s="180">
        <v>9496</v>
      </c>
      <c r="J41" s="1181">
        <v>640711</v>
      </c>
      <c r="K41" s="1291">
        <v>33861</v>
      </c>
      <c r="L41" s="1291">
        <v>0</v>
      </c>
      <c r="M41" s="180">
        <v>29869</v>
      </c>
      <c r="N41" s="1181">
        <v>4934</v>
      </c>
      <c r="O41" s="1291">
        <v>1084</v>
      </c>
      <c r="P41" s="1291">
        <v>1723</v>
      </c>
      <c r="Q41" s="180">
        <v>0</v>
      </c>
      <c r="R41" s="334">
        <v>965592</v>
      </c>
      <c r="S41" s="1291">
        <v>398724</v>
      </c>
      <c r="T41" s="1291">
        <v>5974</v>
      </c>
      <c r="U41" s="180">
        <v>62599</v>
      </c>
      <c r="V41" s="334">
        <v>48610</v>
      </c>
      <c r="W41" s="1302">
        <v>100891</v>
      </c>
      <c r="X41" s="1306"/>
      <c r="Y41" s="1308"/>
      <c r="Z41" s="1311">
        <f t="shared" si="2"/>
        <v>149501</v>
      </c>
      <c r="AA41" s="1302">
        <v>152500</v>
      </c>
      <c r="AB41" s="1181">
        <v>14000</v>
      </c>
      <c r="AC41" s="1302">
        <v>16642</v>
      </c>
      <c r="AD41" s="1315"/>
      <c r="AE41" s="1316"/>
      <c r="AF41" s="1311">
        <f t="shared" si="1"/>
        <v>30642</v>
      </c>
      <c r="AG41" s="1322">
        <v>116340</v>
      </c>
    </row>
    <row r="42" spans="1:33" s="2" customFormat="1">
      <c r="A42" s="134">
        <f t="shared" si="3"/>
        <v>1995.09</v>
      </c>
      <c r="B42" s="611">
        <v>805874</v>
      </c>
      <c r="C42" s="1291">
        <v>57267</v>
      </c>
      <c r="D42" s="1291">
        <v>5050</v>
      </c>
      <c r="E42" s="334">
        <v>53818</v>
      </c>
      <c r="F42" s="1181">
        <v>141913</v>
      </c>
      <c r="G42" s="1291">
        <v>21642</v>
      </c>
      <c r="H42" s="1291">
        <v>1575</v>
      </c>
      <c r="I42" s="180">
        <v>9003</v>
      </c>
      <c r="J42" s="1181">
        <v>645424</v>
      </c>
      <c r="K42" s="1291">
        <v>24401</v>
      </c>
      <c r="L42" s="1291">
        <v>0</v>
      </c>
      <c r="M42" s="180">
        <v>27298</v>
      </c>
      <c r="N42" s="1181">
        <v>4349</v>
      </c>
      <c r="O42" s="1291">
        <v>817</v>
      </c>
      <c r="P42" s="1291">
        <v>3353</v>
      </c>
      <c r="Q42" s="180">
        <v>0</v>
      </c>
      <c r="R42" s="334">
        <v>989442</v>
      </c>
      <c r="S42" s="1291">
        <v>362556</v>
      </c>
      <c r="T42" s="1291">
        <v>6981</v>
      </c>
      <c r="U42" s="180">
        <v>53818</v>
      </c>
      <c r="V42" s="334">
        <v>66436</v>
      </c>
      <c r="W42" s="1302">
        <v>86655</v>
      </c>
      <c r="X42" s="1306"/>
      <c r="Y42" s="1308"/>
      <c r="Z42" s="1311">
        <f t="shared" si="2"/>
        <v>153091</v>
      </c>
      <c r="AA42" s="1302">
        <v>160090</v>
      </c>
      <c r="AB42" s="1181">
        <v>9062</v>
      </c>
      <c r="AC42" s="1302">
        <v>12895</v>
      </c>
      <c r="AD42" s="1315"/>
      <c r="AE42" s="1316"/>
      <c r="AF42" s="1311">
        <f t="shared" si="1"/>
        <v>21957</v>
      </c>
      <c r="AG42" s="1322">
        <v>95200</v>
      </c>
    </row>
    <row r="43" spans="1:33" s="2" customFormat="1">
      <c r="A43" s="134">
        <f t="shared" si="3"/>
        <v>1995.1</v>
      </c>
      <c r="B43" s="611">
        <v>814107</v>
      </c>
      <c r="C43" s="1291">
        <v>60077</v>
      </c>
      <c r="D43" s="1291">
        <v>4648</v>
      </c>
      <c r="E43" s="334">
        <v>0</v>
      </c>
      <c r="F43" s="1181">
        <v>146953</v>
      </c>
      <c r="G43" s="1291">
        <v>23609</v>
      </c>
      <c r="H43" s="1291">
        <v>1861</v>
      </c>
      <c r="I43" s="180">
        <v>0</v>
      </c>
      <c r="J43" s="1181">
        <v>672262</v>
      </c>
      <c r="K43" s="1291">
        <v>26657</v>
      </c>
      <c r="L43" s="1291">
        <v>0</v>
      </c>
      <c r="M43" s="180">
        <v>0</v>
      </c>
      <c r="N43" s="1181">
        <v>3120</v>
      </c>
      <c r="O43" s="1291">
        <v>0</v>
      </c>
      <c r="P43" s="1291">
        <v>3674</v>
      </c>
      <c r="Q43" s="180">
        <v>0</v>
      </c>
      <c r="R43" s="334">
        <v>946091</v>
      </c>
      <c r="S43" s="1291">
        <v>423397</v>
      </c>
      <c r="T43" s="1291">
        <v>6189</v>
      </c>
      <c r="U43" s="180">
        <v>0</v>
      </c>
      <c r="V43" s="334">
        <v>30800</v>
      </c>
      <c r="W43" s="1302">
        <v>81110</v>
      </c>
      <c r="X43" s="1306"/>
      <c r="Y43" s="1308"/>
      <c r="Z43" s="1311">
        <f t="shared" si="2"/>
        <v>111910</v>
      </c>
      <c r="AA43" s="1302">
        <v>111910</v>
      </c>
      <c r="AB43" s="1181">
        <v>3000</v>
      </c>
      <c r="AC43" s="1302">
        <v>13883</v>
      </c>
      <c r="AD43" s="1315"/>
      <c r="AE43" s="1316"/>
      <c r="AF43" s="1311">
        <f t="shared" si="1"/>
        <v>16883</v>
      </c>
      <c r="AG43" s="1322">
        <v>63080</v>
      </c>
    </row>
    <row r="44" spans="1:33" s="2" customFormat="1">
      <c r="A44" s="134">
        <f t="shared" si="3"/>
        <v>1995.11</v>
      </c>
      <c r="B44" s="611">
        <v>791441</v>
      </c>
      <c r="C44" s="1291">
        <v>61564</v>
      </c>
      <c r="D44" s="1291">
        <v>3322</v>
      </c>
      <c r="E44" s="334">
        <v>0</v>
      </c>
      <c r="F44" s="1181">
        <v>144660</v>
      </c>
      <c r="G44" s="1291">
        <v>24725</v>
      </c>
      <c r="H44" s="1291">
        <v>1103</v>
      </c>
      <c r="I44" s="180">
        <v>0</v>
      </c>
      <c r="J44" s="1181">
        <v>652603</v>
      </c>
      <c r="K44" s="1291">
        <v>27040</v>
      </c>
      <c r="L44" s="1291">
        <v>0</v>
      </c>
      <c r="M44" s="180">
        <v>0</v>
      </c>
      <c r="N44" s="1181">
        <v>3168</v>
      </c>
      <c r="O44" s="1291">
        <v>0</v>
      </c>
      <c r="P44" s="1291">
        <v>2057</v>
      </c>
      <c r="Q44" s="180">
        <v>0</v>
      </c>
      <c r="R44" s="334">
        <v>961652</v>
      </c>
      <c r="S44" s="1291">
        <v>300520</v>
      </c>
      <c r="T44" s="1291">
        <v>3322</v>
      </c>
      <c r="U44" s="180">
        <v>0</v>
      </c>
      <c r="V44" s="334">
        <v>61820</v>
      </c>
      <c r="W44" s="1302">
        <v>112816</v>
      </c>
      <c r="X44" s="1306"/>
      <c r="Y44" s="1308"/>
      <c r="Z44" s="1311">
        <f t="shared" si="2"/>
        <v>174636</v>
      </c>
      <c r="AA44" s="1302">
        <v>185940</v>
      </c>
      <c r="AB44" s="1181">
        <v>18300</v>
      </c>
      <c r="AC44" s="1302">
        <v>19578</v>
      </c>
      <c r="AD44" s="1315"/>
      <c r="AE44" s="1316"/>
      <c r="AF44" s="1311">
        <f t="shared" si="1"/>
        <v>37878</v>
      </c>
      <c r="AG44" s="1322">
        <v>63410</v>
      </c>
    </row>
    <row r="45" spans="1:33" s="2" customFormat="1">
      <c r="A45" s="134">
        <f t="shared" si="3"/>
        <v>1995.12</v>
      </c>
      <c r="B45" s="611">
        <v>731471</v>
      </c>
      <c r="C45" s="1291">
        <v>13282</v>
      </c>
      <c r="D45" s="1291">
        <v>2933</v>
      </c>
      <c r="E45" s="334">
        <v>0</v>
      </c>
      <c r="F45" s="1181">
        <v>134666</v>
      </c>
      <c r="G45" s="1291">
        <v>5153</v>
      </c>
      <c r="H45" s="1291">
        <v>937</v>
      </c>
      <c r="I45" s="180">
        <v>0</v>
      </c>
      <c r="J45" s="1181">
        <v>605200</v>
      </c>
      <c r="K45" s="1291">
        <v>6066</v>
      </c>
      <c r="L45" s="1291">
        <v>0</v>
      </c>
      <c r="M45" s="180">
        <v>0</v>
      </c>
      <c r="N45" s="1181">
        <v>2960</v>
      </c>
      <c r="O45" s="1291">
        <v>0</v>
      </c>
      <c r="P45" s="1291">
        <v>1907</v>
      </c>
      <c r="Q45" s="180">
        <v>0</v>
      </c>
      <c r="R45" s="334">
        <v>855772</v>
      </c>
      <c r="S45" s="1291">
        <v>268544</v>
      </c>
      <c r="T45" s="1291">
        <v>10128</v>
      </c>
      <c r="U45" s="180">
        <v>0</v>
      </c>
      <c r="V45" s="334">
        <v>49320</v>
      </c>
      <c r="W45" s="1302">
        <v>96663</v>
      </c>
      <c r="X45" s="1306"/>
      <c r="Y45" s="1308"/>
      <c r="Z45" s="1311">
        <f t="shared" si="2"/>
        <v>145983</v>
      </c>
      <c r="AA45" s="1302">
        <v>152079</v>
      </c>
      <c r="AB45" s="1181">
        <v>20900</v>
      </c>
      <c r="AC45" s="1302">
        <v>13530</v>
      </c>
      <c r="AD45" s="1315"/>
      <c r="AE45" s="1316"/>
      <c r="AF45" s="1311">
        <f t="shared" si="1"/>
        <v>34430</v>
      </c>
      <c r="AG45" s="1322">
        <v>115160</v>
      </c>
    </row>
    <row r="46" spans="1:33" s="2" customFormat="1">
      <c r="A46" s="134">
        <f t="shared" si="3"/>
        <v>1996.01</v>
      </c>
      <c r="B46" s="611">
        <v>656988</v>
      </c>
      <c r="C46" s="1291">
        <v>89649</v>
      </c>
      <c r="D46" s="1291">
        <v>16436</v>
      </c>
      <c r="E46" s="334">
        <v>0</v>
      </c>
      <c r="F46" s="1181">
        <v>122093</v>
      </c>
      <c r="G46" s="1291">
        <v>36139</v>
      </c>
      <c r="H46" s="1291">
        <v>5364</v>
      </c>
      <c r="I46" s="180">
        <v>0</v>
      </c>
      <c r="J46" s="1181">
        <v>544940</v>
      </c>
      <c r="K46" s="1291">
        <v>39338</v>
      </c>
      <c r="L46" s="1291">
        <v>0</v>
      </c>
      <c r="M46" s="180">
        <v>0</v>
      </c>
      <c r="N46" s="1181">
        <v>2112</v>
      </c>
      <c r="O46" s="1291">
        <v>0</v>
      </c>
      <c r="P46" s="1291">
        <v>10272</v>
      </c>
      <c r="Q46" s="180">
        <v>0</v>
      </c>
      <c r="R46" s="334">
        <v>719476</v>
      </c>
      <c r="S46" s="1291">
        <v>207623</v>
      </c>
      <c r="T46" s="1291">
        <v>25186</v>
      </c>
      <c r="U46" s="180">
        <v>0</v>
      </c>
      <c r="V46" s="334">
        <v>49562</v>
      </c>
      <c r="W46" s="1302">
        <v>51832</v>
      </c>
      <c r="X46" s="1306"/>
      <c r="Y46" s="1308"/>
      <c r="Z46" s="1311">
        <f t="shared" si="2"/>
        <v>101394</v>
      </c>
      <c r="AA46" s="1302">
        <v>119950</v>
      </c>
      <c r="AB46" s="1181">
        <v>4350</v>
      </c>
      <c r="AC46" s="1302">
        <v>9000</v>
      </c>
      <c r="AD46" s="1315"/>
      <c r="AE46" s="1316"/>
      <c r="AF46" s="1311">
        <f t="shared" si="1"/>
        <v>13350</v>
      </c>
      <c r="AG46" s="1322">
        <v>69780</v>
      </c>
    </row>
    <row r="47" spans="1:33" s="2" customFormat="1">
      <c r="A47" s="134">
        <f t="shared" si="3"/>
        <v>1996.02</v>
      </c>
      <c r="B47" s="611">
        <v>553571</v>
      </c>
      <c r="C47" s="1291">
        <v>134192</v>
      </c>
      <c r="D47" s="1291">
        <v>13578</v>
      </c>
      <c r="E47" s="334">
        <v>0</v>
      </c>
      <c r="F47" s="1181">
        <v>100543</v>
      </c>
      <c r="G47" s="1291">
        <v>53035</v>
      </c>
      <c r="H47" s="1291">
        <v>4293</v>
      </c>
      <c r="I47" s="180">
        <v>0</v>
      </c>
      <c r="J47" s="1181">
        <v>449909</v>
      </c>
      <c r="K47" s="1291">
        <v>60765</v>
      </c>
      <c r="L47" s="1291">
        <v>0</v>
      </c>
      <c r="M47" s="180">
        <v>0</v>
      </c>
      <c r="N47" s="1181">
        <v>3253</v>
      </c>
      <c r="O47" s="1291">
        <v>0</v>
      </c>
      <c r="P47" s="1291">
        <v>8582</v>
      </c>
      <c r="Q47" s="180">
        <v>0</v>
      </c>
      <c r="R47" s="334">
        <v>591688</v>
      </c>
      <c r="S47" s="1291">
        <v>294498</v>
      </c>
      <c r="T47" s="1291">
        <v>23672</v>
      </c>
      <c r="U47" s="180">
        <v>0</v>
      </c>
      <c r="V47" s="334">
        <v>28580</v>
      </c>
      <c r="W47" s="1302">
        <v>102327</v>
      </c>
      <c r="X47" s="1306"/>
      <c r="Y47" s="1308"/>
      <c r="Z47" s="1311">
        <f t="shared" si="2"/>
        <v>130907</v>
      </c>
      <c r="AA47" s="1302">
        <v>134850</v>
      </c>
      <c r="AB47" s="1181">
        <v>4780</v>
      </c>
      <c r="AC47" s="1302">
        <v>16795</v>
      </c>
      <c r="AD47" s="1315"/>
      <c r="AE47" s="1316"/>
      <c r="AF47" s="1311">
        <f t="shared" si="1"/>
        <v>21575</v>
      </c>
      <c r="AG47" s="1322">
        <v>32460</v>
      </c>
    </row>
    <row r="48" spans="1:33" s="2" customFormat="1">
      <c r="A48" s="134">
        <f t="shared" si="3"/>
        <v>1996.03</v>
      </c>
      <c r="B48" s="611">
        <v>263063</v>
      </c>
      <c r="C48" s="1291">
        <v>228897</v>
      </c>
      <c r="D48" s="1291">
        <v>9926</v>
      </c>
      <c r="E48" s="334">
        <v>30768</v>
      </c>
      <c r="F48" s="1181">
        <v>48361</v>
      </c>
      <c r="G48" s="1291">
        <v>90933</v>
      </c>
      <c r="H48" s="1291">
        <v>3235</v>
      </c>
      <c r="I48" s="180">
        <v>4928</v>
      </c>
      <c r="J48" s="1181">
        <v>205364</v>
      </c>
      <c r="K48" s="1291">
        <v>105523</v>
      </c>
      <c r="L48" s="1291">
        <v>0</v>
      </c>
      <c r="M48" s="180">
        <v>14259</v>
      </c>
      <c r="N48" s="1181">
        <v>3109</v>
      </c>
      <c r="O48" s="1291">
        <v>0</v>
      </c>
      <c r="P48" s="1291">
        <v>6335</v>
      </c>
      <c r="Q48" s="180">
        <v>0</v>
      </c>
      <c r="R48" s="334">
        <v>319033</v>
      </c>
      <c r="S48" s="1291">
        <v>720321</v>
      </c>
      <c r="T48" s="1291">
        <v>15111</v>
      </c>
      <c r="U48" s="180">
        <v>30768</v>
      </c>
      <c r="V48" s="334">
        <v>36597</v>
      </c>
      <c r="W48" s="1302">
        <v>57936</v>
      </c>
      <c r="X48" s="1306"/>
      <c r="Y48" s="1308"/>
      <c r="Z48" s="1311">
        <f t="shared" si="2"/>
        <v>94533</v>
      </c>
      <c r="AA48" s="1302">
        <v>98420</v>
      </c>
      <c r="AB48" s="1181">
        <v>6500</v>
      </c>
      <c r="AC48" s="1302">
        <v>50140</v>
      </c>
      <c r="AD48" s="1315"/>
      <c r="AE48" s="1316"/>
      <c r="AF48" s="1311">
        <f t="shared" si="1"/>
        <v>56640</v>
      </c>
      <c r="AG48" s="1322">
        <v>101380</v>
      </c>
    </row>
    <row r="49" spans="1:33" s="2" customFormat="1">
      <c r="A49" s="134">
        <f t="shared" si="3"/>
        <v>1996.04</v>
      </c>
      <c r="B49" s="611">
        <v>467936</v>
      </c>
      <c r="C49" s="1291">
        <v>164038</v>
      </c>
      <c r="D49" s="1291">
        <v>6225</v>
      </c>
      <c r="E49" s="334">
        <v>62874</v>
      </c>
      <c r="F49" s="1181">
        <v>84864</v>
      </c>
      <c r="G49" s="1291">
        <v>64010</v>
      </c>
      <c r="H49" s="1291">
        <v>1976</v>
      </c>
      <c r="I49" s="180">
        <v>9185</v>
      </c>
      <c r="J49" s="1181">
        <v>366708</v>
      </c>
      <c r="K49" s="1291">
        <v>76026</v>
      </c>
      <c r="L49" s="1291">
        <v>0</v>
      </c>
      <c r="M49" s="180">
        <v>28360</v>
      </c>
      <c r="N49" s="1181">
        <v>2793</v>
      </c>
      <c r="O49" s="1291">
        <v>0</v>
      </c>
      <c r="P49" s="1291">
        <v>4028</v>
      </c>
      <c r="Q49" s="180">
        <v>0</v>
      </c>
      <c r="R49" s="334">
        <v>568528</v>
      </c>
      <c r="S49" s="1291">
        <v>693055</v>
      </c>
      <c r="T49" s="1291">
        <v>12750</v>
      </c>
      <c r="U49" s="180">
        <v>62874</v>
      </c>
      <c r="V49" s="334">
        <v>22500</v>
      </c>
      <c r="W49" s="1302">
        <v>19965</v>
      </c>
      <c r="X49" s="1306"/>
      <c r="Y49" s="1308"/>
      <c r="Z49" s="1311">
        <f t="shared" si="2"/>
        <v>42465</v>
      </c>
      <c r="AA49" s="1302">
        <v>46000</v>
      </c>
      <c r="AB49" s="1181">
        <v>27450</v>
      </c>
      <c r="AC49" s="1302">
        <v>68946</v>
      </c>
      <c r="AD49" s="1315"/>
      <c r="AE49" s="1316"/>
      <c r="AF49" s="1311">
        <f t="shared" si="1"/>
        <v>96396</v>
      </c>
      <c r="AG49" s="1322">
        <v>223490</v>
      </c>
    </row>
    <row r="50" spans="1:33" s="2" customFormat="1">
      <c r="A50" s="134">
        <f t="shared" si="3"/>
        <v>1996.05</v>
      </c>
      <c r="B50" s="611">
        <v>778159</v>
      </c>
      <c r="C50" s="1291">
        <v>80940</v>
      </c>
      <c r="D50" s="1291">
        <v>4816</v>
      </c>
      <c r="E50" s="334">
        <v>69637</v>
      </c>
      <c r="F50" s="1181">
        <v>139291</v>
      </c>
      <c r="G50" s="1291">
        <v>32070</v>
      </c>
      <c r="H50" s="1291">
        <v>1494</v>
      </c>
      <c r="I50" s="180">
        <v>10591</v>
      </c>
      <c r="J50" s="1181">
        <v>616430</v>
      </c>
      <c r="K50" s="1291">
        <v>31346</v>
      </c>
      <c r="L50" s="1291">
        <v>0</v>
      </c>
      <c r="M50" s="180">
        <v>32379</v>
      </c>
      <c r="N50" s="1181">
        <v>4018</v>
      </c>
      <c r="O50" s="1291">
        <v>0</v>
      </c>
      <c r="P50" s="1291">
        <v>3142</v>
      </c>
      <c r="Q50" s="180">
        <v>0</v>
      </c>
      <c r="R50" s="334">
        <v>913345</v>
      </c>
      <c r="S50" s="1291">
        <v>584447</v>
      </c>
      <c r="T50" s="1291">
        <v>10730</v>
      </c>
      <c r="U50" s="180">
        <v>69637</v>
      </c>
      <c r="V50" s="334">
        <v>41300</v>
      </c>
      <c r="W50" s="1302">
        <v>64932</v>
      </c>
      <c r="X50" s="1306"/>
      <c r="Y50" s="1308"/>
      <c r="Z50" s="1311">
        <f t="shared" si="2"/>
        <v>106232</v>
      </c>
      <c r="AA50" s="1302">
        <v>110180</v>
      </c>
      <c r="AB50" s="1181">
        <v>10000</v>
      </c>
      <c r="AC50" s="1302">
        <v>49050</v>
      </c>
      <c r="AD50" s="1315"/>
      <c r="AE50" s="1316"/>
      <c r="AF50" s="1311">
        <f t="shared" si="1"/>
        <v>59050</v>
      </c>
      <c r="AG50" s="1322">
        <v>145410</v>
      </c>
    </row>
    <row r="51" spans="1:33" s="2" customFormat="1">
      <c r="A51" s="134">
        <f t="shared" si="3"/>
        <v>1996.06</v>
      </c>
      <c r="B51" s="611">
        <v>814739</v>
      </c>
      <c r="C51" s="1291">
        <v>52057</v>
      </c>
      <c r="D51" s="1291">
        <v>1240</v>
      </c>
      <c r="E51" s="334">
        <v>71667</v>
      </c>
      <c r="F51" s="1181">
        <v>143642</v>
      </c>
      <c r="G51" s="1291">
        <v>18645</v>
      </c>
      <c r="H51" s="1291">
        <v>391</v>
      </c>
      <c r="I51" s="180">
        <v>10930</v>
      </c>
      <c r="J51" s="1181">
        <v>653385</v>
      </c>
      <c r="K51" s="1291">
        <v>19724</v>
      </c>
      <c r="L51" s="1291">
        <v>0</v>
      </c>
      <c r="M51" s="180">
        <v>33349</v>
      </c>
      <c r="N51" s="1181">
        <v>3162</v>
      </c>
      <c r="O51" s="1291">
        <v>0</v>
      </c>
      <c r="P51" s="1291">
        <v>813</v>
      </c>
      <c r="Q51" s="180">
        <v>0</v>
      </c>
      <c r="R51" s="334">
        <v>1040193</v>
      </c>
      <c r="S51" s="1291">
        <v>368594</v>
      </c>
      <c r="T51" s="1291">
        <v>8657</v>
      </c>
      <c r="U51" s="180">
        <v>73917</v>
      </c>
      <c r="V51" s="334">
        <v>43041</v>
      </c>
      <c r="W51" s="1302">
        <v>77943</v>
      </c>
      <c r="X51" s="1306"/>
      <c r="Y51" s="1308"/>
      <c r="Z51" s="1311">
        <f t="shared" si="2"/>
        <v>120984</v>
      </c>
      <c r="AA51" s="1302">
        <v>132970</v>
      </c>
      <c r="AB51" s="1181">
        <v>12562</v>
      </c>
      <c r="AC51" s="1302">
        <v>34475</v>
      </c>
      <c r="AD51" s="1315"/>
      <c r="AE51" s="1316"/>
      <c r="AF51" s="1311">
        <f t="shared" si="1"/>
        <v>47037</v>
      </c>
      <c r="AG51" s="1322">
        <v>116290</v>
      </c>
    </row>
    <row r="52" spans="1:33" s="2" customFormat="1">
      <c r="A52" s="134">
        <f t="shared" si="3"/>
        <v>1996.07</v>
      </c>
      <c r="B52" s="611">
        <v>854131</v>
      </c>
      <c r="C52" s="1291">
        <v>61285</v>
      </c>
      <c r="D52" s="1291">
        <v>0</v>
      </c>
      <c r="E52" s="334">
        <v>76858</v>
      </c>
      <c r="F52" s="1181">
        <v>149933</v>
      </c>
      <c r="G52" s="1291">
        <v>23977</v>
      </c>
      <c r="H52" s="1291">
        <v>0</v>
      </c>
      <c r="I52" s="180">
        <v>11895</v>
      </c>
      <c r="J52" s="1181">
        <v>684356</v>
      </c>
      <c r="K52" s="1291">
        <v>23886</v>
      </c>
      <c r="L52" s="1291">
        <v>0</v>
      </c>
      <c r="M52" s="180">
        <v>36600</v>
      </c>
      <c r="N52" s="1181">
        <v>2320</v>
      </c>
      <c r="O52" s="1291">
        <v>0</v>
      </c>
      <c r="P52" s="1291">
        <v>0</v>
      </c>
      <c r="Q52" s="180">
        <v>0</v>
      </c>
      <c r="R52" s="334">
        <v>1078131</v>
      </c>
      <c r="S52" s="1291">
        <v>437398</v>
      </c>
      <c r="T52" s="1291">
        <v>8055</v>
      </c>
      <c r="U52" s="180">
        <v>90256</v>
      </c>
      <c r="V52" s="334">
        <v>78502</v>
      </c>
      <c r="W52" s="1302">
        <v>100199</v>
      </c>
      <c r="X52" s="1306"/>
      <c r="Y52" s="1308"/>
      <c r="Z52" s="1311">
        <f t="shared" si="2"/>
        <v>178701</v>
      </c>
      <c r="AA52" s="1302">
        <v>183460</v>
      </c>
      <c r="AB52" s="1181">
        <v>12125</v>
      </c>
      <c r="AC52" s="1302">
        <v>29870</v>
      </c>
      <c r="AD52" s="1315"/>
      <c r="AE52" s="1316"/>
      <c r="AF52" s="1311">
        <f t="shared" si="1"/>
        <v>41995</v>
      </c>
      <c r="AG52" s="1322">
        <v>151980</v>
      </c>
    </row>
    <row r="53" spans="1:33" s="2" customFormat="1">
      <c r="A53" s="134">
        <f t="shared" si="3"/>
        <v>1996.08</v>
      </c>
      <c r="B53" s="611">
        <v>883591</v>
      </c>
      <c r="C53" s="1291">
        <v>49539</v>
      </c>
      <c r="D53" s="1291">
        <v>2519</v>
      </c>
      <c r="E53" s="334">
        <v>59713</v>
      </c>
      <c r="F53" s="1181">
        <v>156513</v>
      </c>
      <c r="G53" s="1291">
        <v>19258</v>
      </c>
      <c r="H53" s="1291">
        <v>798</v>
      </c>
      <c r="I53" s="180">
        <v>9525</v>
      </c>
      <c r="J53" s="1181">
        <v>705327</v>
      </c>
      <c r="K53" s="1291">
        <v>20894</v>
      </c>
      <c r="L53" s="1291">
        <v>0</v>
      </c>
      <c r="M53" s="180">
        <v>28764</v>
      </c>
      <c r="N53" s="1181">
        <v>2215</v>
      </c>
      <c r="O53" s="1291">
        <v>0</v>
      </c>
      <c r="P53" s="1291">
        <v>1644</v>
      </c>
      <c r="Q53" s="180">
        <v>0</v>
      </c>
      <c r="R53" s="334">
        <v>1162199</v>
      </c>
      <c r="S53" s="1291">
        <v>340876</v>
      </c>
      <c r="T53" s="1291">
        <v>10454</v>
      </c>
      <c r="U53" s="180">
        <v>74657</v>
      </c>
      <c r="V53" s="334">
        <v>44600</v>
      </c>
      <c r="W53" s="1302">
        <v>108971</v>
      </c>
      <c r="X53" s="1306"/>
      <c r="Y53" s="1308"/>
      <c r="Z53" s="1311">
        <f t="shared" si="2"/>
        <v>153571</v>
      </c>
      <c r="AA53" s="1302">
        <v>174370</v>
      </c>
      <c r="AB53" s="1181">
        <v>6850</v>
      </c>
      <c r="AC53" s="1302">
        <v>18909</v>
      </c>
      <c r="AD53" s="1315"/>
      <c r="AE53" s="1316"/>
      <c r="AF53" s="1311">
        <f t="shared" si="1"/>
        <v>25759</v>
      </c>
      <c r="AG53" s="1322">
        <v>111300</v>
      </c>
    </row>
    <row r="54" spans="1:33" s="2" customFormat="1">
      <c r="A54" s="134">
        <f t="shared" si="3"/>
        <v>1996.09</v>
      </c>
      <c r="B54" s="611">
        <v>866967</v>
      </c>
      <c r="C54" s="1291">
        <v>53574</v>
      </c>
      <c r="D54" s="1291">
        <v>0</v>
      </c>
      <c r="E54" s="334">
        <v>30838</v>
      </c>
      <c r="F54" s="1181">
        <v>153825</v>
      </c>
      <c r="G54" s="1291">
        <v>20906</v>
      </c>
      <c r="H54" s="1291">
        <v>0</v>
      </c>
      <c r="I54" s="180">
        <v>4454</v>
      </c>
      <c r="J54" s="1181">
        <v>691501</v>
      </c>
      <c r="K54" s="1291">
        <v>21516</v>
      </c>
      <c r="L54" s="1291">
        <v>0</v>
      </c>
      <c r="M54" s="180">
        <v>15131</v>
      </c>
      <c r="N54" s="1181">
        <v>2011</v>
      </c>
      <c r="O54" s="1291">
        <v>0</v>
      </c>
      <c r="P54" s="1291">
        <v>0</v>
      </c>
      <c r="Q54" s="180">
        <v>0</v>
      </c>
      <c r="R54" s="334">
        <v>1098941</v>
      </c>
      <c r="S54" s="1291">
        <v>354148</v>
      </c>
      <c r="T54" s="1291">
        <v>4684</v>
      </c>
      <c r="U54" s="180">
        <v>30838</v>
      </c>
      <c r="V54" s="334">
        <v>65154</v>
      </c>
      <c r="W54" s="1302">
        <v>72251</v>
      </c>
      <c r="X54" s="1306"/>
      <c r="Y54" s="1308"/>
      <c r="Z54" s="1311">
        <f t="shared" si="2"/>
        <v>137405</v>
      </c>
      <c r="AA54" s="1302">
        <v>139400</v>
      </c>
      <c r="AB54" s="1181">
        <v>15893</v>
      </c>
      <c r="AC54" s="1302">
        <v>21360</v>
      </c>
      <c r="AD54" s="1315"/>
      <c r="AE54" s="1316"/>
      <c r="AF54" s="1311">
        <f t="shared" si="1"/>
        <v>37253</v>
      </c>
      <c r="AG54" s="1322">
        <v>78500</v>
      </c>
    </row>
    <row r="55" spans="1:33" s="2" customFormat="1">
      <c r="A55" s="134">
        <f t="shared" si="3"/>
        <v>1996.1</v>
      </c>
      <c r="B55" s="611">
        <v>938250</v>
      </c>
      <c r="C55" s="1291">
        <v>24306</v>
      </c>
      <c r="D55" s="1291">
        <v>0</v>
      </c>
      <c r="E55" s="334">
        <v>0</v>
      </c>
      <c r="F55" s="1181">
        <v>167137</v>
      </c>
      <c r="G55" s="1291">
        <v>9532</v>
      </c>
      <c r="H55" s="1291">
        <v>0</v>
      </c>
      <c r="I55" s="180">
        <v>0</v>
      </c>
      <c r="J55" s="1181">
        <v>747362</v>
      </c>
      <c r="K55" s="1291">
        <v>10933</v>
      </c>
      <c r="L55" s="1291">
        <v>0</v>
      </c>
      <c r="M55" s="180">
        <v>0</v>
      </c>
      <c r="N55" s="1181">
        <v>2428</v>
      </c>
      <c r="O55" s="1291">
        <v>0</v>
      </c>
      <c r="P55" s="1291">
        <v>0</v>
      </c>
      <c r="Q55" s="180">
        <v>0</v>
      </c>
      <c r="R55" s="334">
        <v>1095301</v>
      </c>
      <c r="S55" s="1291">
        <v>416808</v>
      </c>
      <c r="T55" s="1291">
        <v>1648</v>
      </c>
      <c r="U55" s="180">
        <v>0</v>
      </c>
      <c r="V55" s="334">
        <v>63768</v>
      </c>
      <c r="W55" s="1302">
        <v>123682</v>
      </c>
      <c r="X55" s="1306"/>
      <c r="Y55" s="1308"/>
      <c r="Z55" s="1311">
        <f t="shared" si="2"/>
        <v>187450</v>
      </c>
      <c r="AA55" s="1302">
        <v>216200</v>
      </c>
      <c r="AB55" s="1181">
        <v>10942</v>
      </c>
      <c r="AC55" s="1302">
        <v>4000</v>
      </c>
      <c r="AD55" s="1315"/>
      <c r="AE55" s="1316"/>
      <c r="AF55" s="1311">
        <f t="shared" si="1"/>
        <v>14942</v>
      </c>
      <c r="AG55" s="1322">
        <v>132380</v>
      </c>
    </row>
    <row r="56" spans="1:33" s="2" customFormat="1">
      <c r="A56" s="134">
        <f t="shared" si="3"/>
        <v>1996.11</v>
      </c>
      <c r="B56" s="611">
        <v>900408</v>
      </c>
      <c r="C56" s="1291">
        <v>31457</v>
      </c>
      <c r="D56" s="1291">
        <v>0</v>
      </c>
      <c r="E56" s="334">
        <v>0</v>
      </c>
      <c r="F56" s="1181">
        <v>160776</v>
      </c>
      <c r="G56" s="1291">
        <v>12454</v>
      </c>
      <c r="H56" s="1291">
        <v>0</v>
      </c>
      <c r="I56" s="180">
        <v>0</v>
      </c>
      <c r="J56" s="1181">
        <v>710103</v>
      </c>
      <c r="K56" s="1291">
        <v>13979</v>
      </c>
      <c r="L56" s="1291">
        <v>0</v>
      </c>
      <c r="M56" s="180">
        <v>0</v>
      </c>
      <c r="N56" s="1181">
        <v>3638</v>
      </c>
      <c r="O56" s="1291">
        <v>0</v>
      </c>
      <c r="P56" s="1291">
        <v>0</v>
      </c>
      <c r="Q56" s="180">
        <v>0</v>
      </c>
      <c r="R56" s="334">
        <v>1039995</v>
      </c>
      <c r="S56" s="1291">
        <v>365813</v>
      </c>
      <c r="T56" s="1291">
        <v>781</v>
      </c>
      <c r="U56" s="180">
        <v>0</v>
      </c>
      <c r="V56" s="334">
        <v>56100</v>
      </c>
      <c r="W56" s="1302">
        <v>136674</v>
      </c>
      <c r="X56" s="1306"/>
      <c r="Y56" s="1308"/>
      <c r="Z56" s="1311">
        <f t="shared" si="2"/>
        <v>192774</v>
      </c>
      <c r="AA56" s="1302">
        <v>197770</v>
      </c>
      <c r="AB56" s="1181">
        <v>4000</v>
      </c>
      <c r="AC56" s="1302">
        <v>24728</v>
      </c>
      <c r="AD56" s="1315"/>
      <c r="AE56" s="1316"/>
      <c r="AF56" s="1311">
        <f t="shared" si="1"/>
        <v>28728</v>
      </c>
      <c r="AG56" s="1322">
        <v>121140</v>
      </c>
    </row>
    <row r="57" spans="1:33" s="2" customFormat="1">
      <c r="A57" s="134">
        <f t="shared" si="3"/>
        <v>1996.12</v>
      </c>
      <c r="B57" s="611">
        <v>654368</v>
      </c>
      <c r="C57" s="1291">
        <v>24446</v>
      </c>
      <c r="D57" s="1291">
        <v>0</v>
      </c>
      <c r="E57" s="334">
        <v>0</v>
      </c>
      <c r="F57" s="1181">
        <v>116729</v>
      </c>
      <c r="G57" s="1291">
        <v>9638</v>
      </c>
      <c r="H57" s="1291">
        <v>0</v>
      </c>
      <c r="I57" s="180">
        <v>0</v>
      </c>
      <c r="J57" s="1181">
        <v>521359</v>
      </c>
      <c r="K57" s="1291">
        <v>10710</v>
      </c>
      <c r="L57" s="1291">
        <v>0</v>
      </c>
      <c r="M57" s="180">
        <v>0</v>
      </c>
      <c r="N57" s="1181">
        <v>2373</v>
      </c>
      <c r="O57" s="1291">
        <v>0</v>
      </c>
      <c r="P57" s="1291">
        <v>0</v>
      </c>
      <c r="Q57" s="180">
        <v>0</v>
      </c>
      <c r="R57" s="334">
        <v>733107</v>
      </c>
      <c r="S57" s="1291">
        <v>259733</v>
      </c>
      <c r="T57" s="1291">
        <v>9160</v>
      </c>
      <c r="U57" s="180">
        <v>0</v>
      </c>
      <c r="V57" s="334">
        <v>4969</v>
      </c>
      <c r="W57" s="1302">
        <v>97690</v>
      </c>
      <c r="X57" s="1306"/>
      <c r="Y57" s="1308"/>
      <c r="Z57" s="1311">
        <f t="shared" si="2"/>
        <v>102659</v>
      </c>
      <c r="AA57" s="1302">
        <v>104220</v>
      </c>
      <c r="AB57" s="1181">
        <v>2000</v>
      </c>
      <c r="AC57" s="1302">
        <v>11750</v>
      </c>
      <c r="AD57" s="1315"/>
      <c r="AE57" s="1316"/>
      <c r="AF57" s="1311">
        <f t="shared" si="1"/>
        <v>13750</v>
      </c>
      <c r="AG57" s="1322">
        <v>92350</v>
      </c>
    </row>
    <row r="58" spans="1:33" s="2" customFormat="1">
      <c r="A58" s="134">
        <f t="shared" si="3"/>
        <v>1997.01</v>
      </c>
      <c r="B58" s="611">
        <v>478361</v>
      </c>
      <c r="C58" s="1291">
        <v>90625</v>
      </c>
      <c r="D58" s="1291">
        <v>685</v>
      </c>
      <c r="E58" s="334">
        <v>0</v>
      </c>
      <c r="F58" s="1181">
        <v>85547</v>
      </c>
      <c r="G58" s="1291">
        <v>36139</v>
      </c>
      <c r="H58" s="1291">
        <v>208</v>
      </c>
      <c r="I58" s="180">
        <v>0</v>
      </c>
      <c r="J58" s="1181">
        <v>381362</v>
      </c>
      <c r="K58" s="1291">
        <v>38735</v>
      </c>
      <c r="L58" s="1291">
        <v>0</v>
      </c>
      <c r="M58" s="180">
        <v>0</v>
      </c>
      <c r="N58" s="1181">
        <v>1987</v>
      </c>
      <c r="O58" s="1291">
        <v>0</v>
      </c>
      <c r="P58" s="1291">
        <v>455</v>
      </c>
      <c r="Q58" s="180">
        <v>0</v>
      </c>
      <c r="R58" s="334">
        <v>511370</v>
      </c>
      <c r="S58" s="1291">
        <v>159665</v>
      </c>
      <c r="T58" s="1291">
        <v>11221</v>
      </c>
      <c r="U58" s="180">
        <v>0</v>
      </c>
      <c r="V58" s="334">
        <v>67750</v>
      </c>
      <c r="W58" s="1302">
        <v>83295</v>
      </c>
      <c r="X58" s="1306"/>
      <c r="Y58" s="1308"/>
      <c r="Z58" s="1311">
        <f t="shared" si="2"/>
        <v>151045</v>
      </c>
      <c r="AA58" s="1302">
        <v>151990</v>
      </c>
      <c r="AB58" s="1181">
        <v>4900</v>
      </c>
      <c r="AC58" s="1302">
        <v>7850</v>
      </c>
      <c r="AD58" s="1315"/>
      <c r="AE58" s="1316"/>
      <c r="AF58" s="1311">
        <f t="shared" si="1"/>
        <v>12750</v>
      </c>
      <c r="AG58" s="1322">
        <v>50410</v>
      </c>
    </row>
    <row r="59" spans="1:33" s="2" customFormat="1">
      <c r="A59" s="134">
        <f t="shared" si="3"/>
        <v>1997.02</v>
      </c>
      <c r="B59" s="611">
        <v>330950</v>
      </c>
      <c r="C59" s="1291">
        <v>188432</v>
      </c>
      <c r="D59" s="1291">
        <v>7055</v>
      </c>
      <c r="E59" s="334">
        <v>0</v>
      </c>
      <c r="F59" s="1181">
        <v>59622</v>
      </c>
      <c r="G59" s="1291">
        <v>73411</v>
      </c>
      <c r="H59" s="1291">
        <v>2202</v>
      </c>
      <c r="I59" s="180">
        <v>0</v>
      </c>
      <c r="J59" s="1181">
        <v>266656</v>
      </c>
      <c r="K59" s="1291">
        <v>86358</v>
      </c>
      <c r="L59" s="1291">
        <v>0</v>
      </c>
      <c r="M59" s="180">
        <v>0</v>
      </c>
      <c r="N59" s="1181">
        <v>1831</v>
      </c>
      <c r="O59" s="1291">
        <v>0</v>
      </c>
      <c r="P59" s="1291">
        <v>4594</v>
      </c>
      <c r="Q59" s="180">
        <v>0</v>
      </c>
      <c r="R59" s="334">
        <v>357247</v>
      </c>
      <c r="S59" s="1291">
        <v>421711</v>
      </c>
      <c r="T59" s="1291">
        <v>12831</v>
      </c>
      <c r="U59" s="180">
        <v>0</v>
      </c>
      <c r="V59" s="334">
        <v>31557</v>
      </c>
      <c r="W59" s="1302">
        <v>75209</v>
      </c>
      <c r="X59" s="1306"/>
      <c r="Y59" s="1308"/>
      <c r="Z59" s="1311">
        <f t="shared" si="2"/>
        <v>106766</v>
      </c>
      <c r="AA59" s="1302">
        <v>108570</v>
      </c>
      <c r="AB59" s="1181">
        <v>5000</v>
      </c>
      <c r="AC59" s="1302">
        <v>35864</v>
      </c>
      <c r="AD59" s="1315"/>
      <c r="AE59" s="1316"/>
      <c r="AF59" s="1311">
        <f t="shared" si="1"/>
        <v>40864</v>
      </c>
      <c r="AG59" s="1322">
        <v>85620</v>
      </c>
    </row>
    <row r="60" spans="1:33" s="2" customFormat="1">
      <c r="A60" s="134">
        <f t="shared" si="3"/>
        <v>1997.03</v>
      </c>
      <c r="B60" s="611">
        <v>280130</v>
      </c>
      <c r="C60" s="1291">
        <v>198918</v>
      </c>
      <c r="D60" s="1291">
        <v>3732</v>
      </c>
      <c r="E60" s="334">
        <v>33112</v>
      </c>
      <c r="F60" s="1181">
        <v>50401</v>
      </c>
      <c r="G60" s="1291">
        <v>78267</v>
      </c>
      <c r="H60" s="1291">
        <v>1203</v>
      </c>
      <c r="I60" s="180">
        <v>5419</v>
      </c>
      <c r="J60" s="1181">
        <v>217934</v>
      </c>
      <c r="K60" s="1291">
        <v>96970</v>
      </c>
      <c r="L60" s="1291">
        <v>0</v>
      </c>
      <c r="M60" s="180">
        <v>16319</v>
      </c>
      <c r="N60" s="1181">
        <v>3873</v>
      </c>
      <c r="O60" s="1291">
        <v>0</v>
      </c>
      <c r="P60" s="1291">
        <v>2363</v>
      </c>
      <c r="Q60" s="180">
        <v>0</v>
      </c>
      <c r="R60" s="334">
        <v>346153</v>
      </c>
      <c r="S60" s="1291">
        <v>759530</v>
      </c>
      <c r="T60" s="1291">
        <v>9997</v>
      </c>
      <c r="U60" s="180">
        <v>33112</v>
      </c>
      <c r="V60" s="334">
        <v>31217</v>
      </c>
      <c r="W60" s="1302">
        <v>96608</v>
      </c>
      <c r="X60" s="1306"/>
      <c r="Y60" s="1308"/>
      <c r="Z60" s="1311">
        <f t="shared" si="2"/>
        <v>127825</v>
      </c>
      <c r="AA60" s="1302">
        <v>129230</v>
      </c>
      <c r="AB60" s="1181">
        <v>0</v>
      </c>
      <c r="AC60" s="1302">
        <v>40360</v>
      </c>
      <c r="AD60" s="1315"/>
      <c r="AE60" s="1316"/>
      <c r="AF60" s="1311">
        <f t="shared" si="1"/>
        <v>40360</v>
      </c>
      <c r="AG60" s="1322">
        <v>119440</v>
      </c>
    </row>
    <row r="61" spans="1:33" s="2" customFormat="1">
      <c r="A61" s="134">
        <f t="shared" si="3"/>
        <v>1997.04</v>
      </c>
      <c r="B61" s="611">
        <v>676235</v>
      </c>
      <c r="C61" s="1291">
        <v>112520</v>
      </c>
      <c r="D61" s="1291">
        <v>565</v>
      </c>
      <c r="E61" s="334">
        <v>63976</v>
      </c>
      <c r="F61" s="1181">
        <v>123105</v>
      </c>
      <c r="G61" s="1291">
        <v>42700</v>
      </c>
      <c r="H61" s="1291">
        <v>180</v>
      </c>
      <c r="I61" s="180">
        <v>10097</v>
      </c>
      <c r="J61" s="1181">
        <v>536527</v>
      </c>
      <c r="K61" s="1291">
        <v>46928</v>
      </c>
      <c r="L61" s="1291">
        <v>0</v>
      </c>
      <c r="M61" s="180">
        <v>30508</v>
      </c>
      <c r="N61" s="1181">
        <v>4204</v>
      </c>
      <c r="O61" s="1291">
        <v>0</v>
      </c>
      <c r="P61" s="1291">
        <v>367</v>
      </c>
      <c r="Q61" s="180">
        <v>0</v>
      </c>
      <c r="R61" s="334">
        <v>802551</v>
      </c>
      <c r="S61" s="1291">
        <v>639215</v>
      </c>
      <c r="T61" s="1291">
        <v>5628</v>
      </c>
      <c r="U61" s="180">
        <v>63976</v>
      </c>
      <c r="V61" s="334">
        <v>59500</v>
      </c>
      <c r="W61" s="1302">
        <v>48465</v>
      </c>
      <c r="X61" s="1306"/>
      <c r="Y61" s="1308"/>
      <c r="Z61" s="1311">
        <f t="shared" si="2"/>
        <v>107965</v>
      </c>
      <c r="AA61" s="1302">
        <v>107970</v>
      </c>
      <c r="AB61" s="1181">
        <v>14800</v>
      </c>
      <c r="AC61" s="1302">
        <v>93890</v>
      </c>
      <c r="AD61" s="1315"/>
      <c r="AE61" s="1316"/>
      <c r="AF61" s="1311">
        <f t="shared" si="1"/>
        <v>108690</v>
      </c>
      <c r="AG61" s="1322">
        <v>258760</v>
      </c>
    </row>
    <row r="62" spans="1:33" s="2" customFormat="1">
      <c r="A62" s="134">
        <f t="shared" si="3"/>
        <v>1997.05</v>
      </c>
      <c r="B62" s="611">
        <v>923459</v>
      </c>
      <c r="C62" s="1291">
        <v>75199</v>
      </c>
      <c r="D62" s="1291">
        <v>0</v>
      </c>
      <c r="E62" s="334">
        <v>68007</v>
      </c>
      <c r="F62" s="1181">
        <v>163885</v>
      </c>
      <c r="G62" s="1291">
        <v>28891</v>
      </c>
      <c r="H62" s="1291">
        <v>0</v>
      </c>
      <c r="I62" s="180">
        <v>10766</v>
      </c>
      <c r="J62" s="1181">
        <v>735253</v>
      </c>
      <c r="K62" s="1291">
        <v>30749</v>
      </c>
      <c r="L62" s="1291">
        <v>0</v>
      </c>
      <c r="M62" s="180">
        <v>32715</v>
      </c>
      <c r="N62" s="1181">
        <v>4749</v>
      </c>
      <c r="O62" s="1291">
        <v>0</v>
      </c>
      <c r="P62" s="1291">
        <v>0</v>
      </c>
      <c r="Q62" s="180">
        <v>0</v>
      </c>
      <c r="R62" s="334">
        <v>1120252</v>
      </c>
      <c r="S62" s="1291">
        <v>555987</v>
      </c>
      <c r="T62" s="1291">
        <v>396</v>
      </c>
      <c r="U62" s="180">
        <v>68007</v>
      </c>
      <c r="V62" s="334">
        <v>67774</v>
      </c>
      <c r="W62" s="1302">
        <v>110636</v>
      </c>
      <c r="X62" s="1306"/>
      <c r="Y62" s="1308"/>
      <c r="Z62" s="1311">
        <f t="shared" si="2"/>
        <v>178410</v>
      </c>
      <c r="AA62" s="1302">
        <v>178780</v>
      </c>
      <c r="AB62" s="1181">
        <v>3000</v>
      </c>
      <c r="AC62" s="1302">
        <v>31430</v>
      </c>
      <c r="AD62" s="1315"/>
      <c r="AE62" s="1316"/>
      <c r="AF62" s="1311">
        <f t="shared" si="1"/>
        <v>34430</v>
      </c>
      <c r="AG62" s="1322">
        <v>147380</v>
      </c>
    </row>
    <row r="63" spans="1:33" s="2" customFormat="1">
      <c r="A63" s="134">
        <f t="shared" si="3"/>
        <v>1997.06</v>
      </c>
      <c r="B63" s="611">
        <v>955655</v>
      </c>
      <c r="C63" s="1291">
        <v>83656</v>
      </c>
      <c r="D63" s="1291">
        <v>0</v>
      </c>
      <c r="E63" s="334">
        <v>46587</v>
      </c>
      <c r="F63" s="1181">
        <v>169869</v>
      </c>
      <c r="G63" s="1291">
        <v>32269</v>
      </c>
      <c r="H63" s="1291">
        <v>0</v>
      </c>
      <c r="I63" s="180">
        <v>7697</v>
      </c>
      <c r="J63" s="1181">
        <v>762946</v>
      </c>
      <c r="K63" s="1291">
        <v>31020</v>
      </c>
      <c r="L63" s="1291">
        <v>0</v>
      </c>
      <c r="M63" s="180">
        <v>23835</v>
      </c>
      <c r="N63" s="1181">
        <v>4222</v>
      </c>
      <c r="O63" s="1291">
        <v>0</v>
      </c>
      <c r="P63" s="1291">
        <v>0</v>
      </c>
      <c r="Q63" s="180">
        <v>0</v>
      </c>
      <c r="R63" s="334">
        <v>1191460</v>
      </c>
      <c r="S63" s="1291">
        <v>486151</v>
      </c>
      <c r="T63" s="1291">
        <v>0</v>
      </c>
      <c r="U63" s="180">
        <v>46587</v>
      </c>
      <c r="V63" s="334">
        <v>59318</v>
      </c>
      <c r="W63" s="1302">
        <v>131586</v>
      </c>
      <c r="X63" s="1306"/>
      <c r="Y63" s="1308"/>
      <c r="Z63" s="1311">
        <f t="shared" si="2"/>
        <v>190904</v>
      </c>
      <c r="AA63" s="1302">
        <v>193400</v>
      </c>
      <c r="AB63" s="1181">
        <v>10000</v>
      </c>
      <c r="AC63" s="1302">
        <v>34924</v>
      </c>
      <c r="AD63" s="1315"/>
      <c r="AE63" s="1316"/>
      <c r="AF63" s="1311">
        <f t="shared" si="1"/>
        <v>44924</v>
      </c>
      <c r="AG63" s="1322">
        <v>160560</v>
      </c>
    </row>
    <row r="64" spans="1:33" s="2" customFormat="1">
      <c r="A64" s="134">
        <f t="shared" si="3"/>
        <v>1997.07</v>
      </c>
      <c r="B64" s="611">
        <v>1045724</v>
      </c>
      <c r="C64" s="1291">
        <v>55167</v>
      </c>
      <c r="D64" s="1291">
        <v>877</v>
      </c>
      <c r="E64" s="334">
        <v>6745</v>
      </c>
      <c r="F64" s="1181">
        <v>187462</v>
      </c>
      <c r="G64" s="1291">
        <v>21206</v>
      </c>
      <c r="H64" s="1291">
        <v>284</v>
      </c>
      <c r="I64" s="180">
        <v>877</v>
      </c>
      <c r="J64" s="1181">
        <v>835228</v>
      </c>
      <c r="K64" s="1291">
        <v>20040</v>
      </c>
      <c r="L64" s="1291">
        <v>0</v>
      </c>
      <c r="M64" s="180">
        <v>3035</v>
      </c>
      <c r="N64" s="1181">
        <v>4852</v>
      </c>
      <c r="O64" s="1291">
        <v>0</v>
      </c>
      <c r="P64" s="1291">
        <v>567</v>
      </c>
      <c r="Q64" s="180">
        <v>0</v>
      </c>
      <c r="R64" s="334">
        <v>1289784</v>
      </c>
      <c r="S64" s="1291">
        <v>393638</v>
      </c>
      <c r="T64" s="1291">
        <v>1279</v>
      </c>
      <c r="U64" s="180">
        <v>26391</v>
      </c>
      <c r="V64" s="334">
        <v>58485</v>
      </c>
      <c r="W64" s="1302">
        <v>126251</v>
      </c>
      <c r="X64" s="1306"/>
      <c r="Y64" s="1308"/>
      <c r="Z64" s="1311">
        <f t="shared" si="2"/>
        <v>184736</v>
      </c>
      <c r="AA64" s="1302">
        <v>194970</v>
      </c>
      <c r="AB64" s="1181">
        <v>25788</v>
      </c>
      <c r="AC64" s="1302">
        <v>50000</v>
      </c>
      <c r="AD64" s="1315"/>
      <c r="AE64" s="1316"/>
      <c r="AF64" s="1311">
        <f t="shared" si="1"/>
        <v>75788</v>
      </c>
      <c r="AG64" s="1322">
        <v>170370</v>
      </c>
    </row>
    <row r="65" spans="1:33" s="2" customFormat="1">
      <c r="A65" s="134">
        <f t="shared" si="3"/>
        <v>1997.08</v>
      </c>
      <c r="B65" s="611">
        <v>1140156</v>
      </c>
      <c r="C65" s="1291">
        <v>87264</v>
      </c>
      <c r="D65" s="1291">
        <v>0</v>
      </c>
      <c r="E65" s="334">
        <v>6759</v>
      </c>
      <c r="F65" s="1181">
        <v>203269</v>
      </c>
      <c r="G65" s="1291">
        <v>34151</v>
      </c>
      <c r="H65" s="1291">
        <v>0</v>
      </c>
      <c r="I65" s="180">
        <v>879</v>
      </c>
      <c r="J65" s="1181">
        <v>908656</v>
      </c>
      <c r="K65" s="1291">
        <v>31351</v>
      </c>
      <c r="L65" s="1291">
        <v>0</v>
      </c>
      <c r="M65" s="180">
        <v>3042</v>
      </c>
      <c r="N65" s="1181">
        <v>4978</v>
      </c>
      <c r="O65" s="1291">
        <v>0</v>
      </c>
      <c r="P65" s="1291">
        <v>0</v>
      </c>
      <c r="Q65" s="180">
        <v>0</v>
      </c>
      <c r="R65" s="334">
        <v>1304837</v>
      </c>
      <c r="S65" s="1291">
        <v>490330</v>
      </c>
      <c r="T65" s="1291">
        <v>0</v>
      </c>
      <c r="U65" s="180">
        <v>6759</v>
      </c>
      <c r="V65" s="334">
        <v>79200</v>
      </c>
      <c r="W65" s="1302">
        <v>120212</v>
      </c>
      <c r="X65" s="1306"/>
      <c r="Y65" s="1308"/>
      <c r="Z65" s="1311">
        <f t="shared" si="2"/>
        <v>199412</v>
      </c>
      <c r="AA65" s="1302">
        <v>206420</v>
      </c>
      <c r="AB65" s="1181">
        <v>8500</v>
      </c>
      <c r="AC65" s="1302">
        <v>14280</v>
      </c>
      <c r="AD65" s="1315"/>
      <c r="AE65" s="1316"/>
      <c r="AF65" s="1311">
        <f t="shared" si="1"/>
        <v>22780</v>
      </c>
      <c r="AG65" s="1322">
        <v>154090</v>
      </c>
    </row>
    <row r="66" spans="1:33" s="2" customFormat="1">
      <c r="A66" s="134">
        <f t="shared" si="3"/>
        <v>1997.09</v>
      </c>
      <c r="B66" s="611">
        <v>1052207</v>
      </c>
      <c r="C66" s="1291">
        <v>76757</v>
      </c>
      <c r="D66" s="1291">
        <v>0</v>
      </c>
      <c r="E66" s="334">
        <v>16238</v>
      </c>
      <c r="F66" s="1181">
        <v>187781</v>
      </c>
      <c r="G66" s="1291">
        <v>29678</v>
      </c>
      <c r="H66" s="1291">
        <v>0</v>
      </c>
      <c r="I66" s="180">
        <v>2111</v>
      </c>
      <c r="J66" s="1181">
        <v>836687</v>
      </c>
      <c r="K66" s="1291">
        <v>27088</v>
      </c>
      <c r="L66" s="1291">
        <v>0</v>
      </c>
      <c r="M66" s="180">
        <v>7307</v>
      </c>
      <c r="N66" s="1181">
        <v>4411</v>
      </c>
      <c r="O66" s="1291">
        <v>0</v>
      </c>
      <c r="P66" s="1291">
        <v>0</v>
      </c>
      <c r="Q66" s="180">
        <v>0</v>
      </c>
      <c r="R66" s="334">
        <v>1253725</v>
      </c>
      <c r="S66" s="1291">
        <v>459265</v>
      </c>
      <c r="T66" s="1291">
        <v>0</v>
      </c>
      <c r="U66" s="180">
        <v>16245</v>
      </c>
      <c r="V66" s="334">
        <v>77754</v>
      </c>
      <c r="W66" s="1302">
        <v>124866</v>
      </c>
      <c r="X66" s="1306"/>
      <c r="Y66" s="1308"/>
      <c r="Z66" s="1311">
        <f t="shared" si="2"/>
        <v>202620</v>
      </c>
      <c r="AA66" s="1302">
        <v>203590</v>
      </c>
      <c r="AB66" s="1181">
        <v>16700</v>
      </c>
      <c r="AC66" s="1302">
        <v>28566</v>
      </c>
      <c r="AD66" s="1315"/>
      <c r="AE66" s="1316"/>
      <c r="AF66" s="1311">
        <f t="shared" si="1"/>
        <v>45266</v>
      </c>
      <c r="AG66" s="1322">
        <v>141820</v>
      </c>
    </row>
    <row r="67" spans="1:33" s="2" customFormat="1">
      <c r="A67" s="134">
        <f t="shared" si="3"/>
        <v>1997.1</v>
      </c>
      <c r="B67" s="611">
        <v>944422</v>
      </c>
      <c r="C67" s="1291">
        <v>96350</v>
      </c>
      <c r="D67" s="1291">
        <v>0</v>
      </c>
      <c r="E67" s="334">
        <v>0</v>
      </c>
      <c r="F67" s="1181">
        <v>170215</v>
      </c>
      <c r="G67" s="1291">
        <v>37860</v>
      </c>
      <c r="H67" s="1291">
        <v>0</v>
      </c>
      <c r="I67" s="180">
        <v>0</v>
      </c>
      <c r="J67" s="1181">
        <v>756423</v>
      </c>
      <c r="K67" s="1291">
        <v>37552</v>
      </c>
      <c r="L67" s="1291">
        <v>0</v>
      </c>
      <c r="M67" s="180">
        <v>0</v>
      </c>
      <c r="N67" s="1181">
        <v>4097</v>
      </c>
      <c r="O67" s="1291">
        <v>0</v>
      </c>
      <c r="P67" s="1291">
        <v>0</v>
      </c>
      <c r="Q67" s="180">
        <v>0</v>
      </c>
      <c r="R67" s="334">
        <v>1097042</v>
      </c>
      <c r="S67" s="1291">
        <v>501175</v>
      </c>
      <c r="T67" s="1291">
        <v>0</v>
      </c>
      <c r="U67" s="180">
        <v>0</v>
      </c>
      <c r="V67" s="334">
        <v>86191</v>
      </c>
      <c r="W67" s="1302">
        <v>113340</v>
      </c>
      <c r="X67" s="1306"/>
      <c r="Y67" s="1308"/>
      <c r="Z67" s="1311">
        <f t="shared" si="2"/>
        <v>199531</v>
      </c>
      <c r="AA67" s="1302">
        <v>199530</v>
      </c>
      <c r="AB67" s="1181">
        <v>2500</v>
      </c>
      <c r="AC67" s="1302">
        <v>28588</v>
      </c>
      <c r="AD67" s="1315"/>
      <c r="AE67" s="1316"/>
      <c r="AF67" s="1311">
        <f t="shared" si="1"/>
        <v>31088</v>
      </c>
      <c r="AG67" s="1322">
        <v>111440</v>
      </c>
    </row>
    <row r="68" spans="1:33" s="2" customFormat="1">
      <c r="A68" s="134">
        <f t="shared" si="3"/>
        <v>1997.11</v>
      </c>
      <c r="B68" s="611">
        <v>526382</v>
      </c>
      <c r="C68" s="1291">
        <v>17008</v>
      </c>
      <c r="D68" s="1291">
        <v>0</v>
      </c>
      <c r="E68" s="334">
        <v>0</v>
      </c>
      <c r="F68" s="1181">
        <v>95198</v>
      </c>
      <c r="G68" s="1291">
        <v>6955</v>
      </c>
      <c r="H68" s="1291">
        <v>0</v>
      </c>
      <c r="I68" s="180">
        <v>0</v>
      </c>
      <c r="J68" s="1181">
        <v>423227</v>
      </c>
      <c r="K68" s="1291">
        <v>7361</v>
      </c>
      <c r="L68" s="1291">
        <v>0</v>
      </c>
      <c r="M68" s="180">
        <v>0</v>
      </c>
      <c r="N68" s="1181">
        <v>3946</v>
      </c>
      <c r="O68" s="1291">
        <v>0</v>
      </c>
      <c r="P68" s="1291">
        <v>0</v>
      </c>
      <c r="Q68" s="180">
        <v>0</v>
      </c>
      <c r="R68" s="334">
        <v>580703</v>
      </c>
      <c r="S68" s="1291">
        <v>372785</v>
      </c>
      <c r="T68" s="1291">
        <v>0</v>
      </c>
      <c r="U68" s="180">
        <v>0</v>
      </c>
      <c r="V68" s="334">
        <v>40100</v>
      </c>
      <c r="W68" s="1302">
        <v>85445</v>
      </c>
      <c r="X68" s="1306"/>
      <c r="Y68" s="1308"/>
      <c r="Z68" s="1311">
        <f t="shared" si="2"/>
        <v>125545</v>
      </c>
      <c r="AA68" s="1302">
        <v>125590</v>
      </c>
      <c r="AB68" s="1181">
        <v>1000</v>
      </c>
      <c r="AC68" s="1302">
        <v>6125</v>
      </c>
      <c r="AD68" s="1315"/>
      <c r="AE68" s="1316"/>
      <c r="AF68" s="1311">
        <f t="shared" si="1"/>
        <v>7125</v>
      </c>
      <c r="AG68" s="1322">
        <v>102540</v>
      </c>
    </row>
    <row r="69" spans="1:33" s="2" customFormat="1">
      <c r="A69" s="134">
        <f t="shared" si="3"/>
        <v>1997.12</v>
      </c>
      <c r="B69" s="611">
        <v>531655</v>
      </c>
      <c r="C69" s="1291">
        <v>22150</v>
      </c>
      <c r="D69" s="1291">
        <v>0</v>
      </c>
      <c r="E69" s="334">
        <v>0</v>
      </c>
      <c r="F69" s="1181">
        <v>94826</v>
      </c>
      <c r="G69" s="1291">
        <v>9037</v>
      </c>
      <c r="H69" s="1291">
        <v>0</v>
      </c>
      <c r="I69" s="180">
        <v>0</v>
      </c>
      <c r="J69" s="1181">
        <v>421692</v>
      </c>
      <c r="K69" s="1291">
        <v>7786</v>
      </c>
      <c r="L69" s="1291">
        <v>0</v>
      </c>
      <c r="M69" s="180">
        <v>0</v>
      </c>
      <c r="N69" s="1181">
        <v>3812</v>
      </c>
      <c r="O69" s="1291">
        <v>0</v>
      </c>
      <c r="P69" s="1291">
        <v>0</v>
      </c>
      <c r="Q69" s="180">
        <v>0</v>
      </c>
      <c r="R69" s="334">
        <v>615185</v>
      </c>
      <c r="S69" s="1291">
        <v>221388</v>
      </c>
      <c r="T69" s="1291">
        <v>8842</v>
      </c>
      <c r="U69" s="180">
        <v>0</v>
      </c>
      <c r="V69" s="334">
        <v>36325</v>
      </c>
      <c r="W69" s="1302">
        <v>90125</v>
      </c>
      <c r="X69" s="1306"/>
      <c r="Y69" s="1308"/>
      <c r="Z69" s="1311">
        <f t="shared" si="2"/>
        <v>126450</v>
      </c>
      <c r="AA69" s="1302">
        <v>131700</v>
      </c>
      <c r="AB69" s="1181">
        <v>2000</v>
      </c>
      <c r="AC69" s="1302">
        <v>0</v>
      </c>
      <c r="AD69" s="1315"/>
      <c r="AE69" s="1316"/>
      <c r="AF69" s="1311">
        <f t="shared" si="1"/>
        <v>2000</v>
      </c>
      <c r="AG69" s="1322">
        <v>114480</v>
      </c>
    </row>
    <row r="70" spans="1:33" s="2" customFormat="1">
      <c r="A70" s="134">
        <f t="shared" si="3"/>
        <v>1998.01</v>
      </c>
      <c r="B70" s="611">
        <v>496298</v>
      </c>
      <c r="C70" s="1291">
        <v>113108</v>
      </c>
      <c r="D70" s="1291">
        <v>0</v>
      </c>
      <c r="E70" s="334">
        <v>0</v>
      </c>
      <c r="F70" s="1181">
        <v>88057</v>
      </c>
      <c r="G70" s="1291">
        <v>43760</v>
      </c>
      <c r="H70" s="1291">
        <v>0</v>
      </c>
      <c r="I70" s="180">
        <v>0</v>
      </c>
      <c r="J70" s="1181">
        <v>392828</v>
      </c>
      <c r="K70" s="1291">
        <v>45774</v>
      </c>
      <c r="L70" s="1291">
        <v>0</v>
      </c>
      <c r="M70" s="180">
        <v>0</v>
      </c>
      <c r="N70" s="1181">
        <v>4008</v>
      </c>
      <c r="O70" s="1291">
        <v>0</v>
      </c>
      <c r="P70" s="1291">
        <v>0</v>
      </c>
      <c r="Q70" s="180">
        <v>0</v>
      </c>
      <c r="R70" s="334">
        <v>543041</v>
      </c>
      <c r="S70" s="1295">
        <v>163693</v>
      </c>
      <c r="T70" s="1291">
        <v>9738</v>
      </c>
      <c r="U70" s="180">
        <v>0</v>
      </c>
      <c r="V70" s="334">
        <v>37861</v>
      </c>
      <c r="W70" s="1302">
        <v>79803</v>
      </c>
      <c r="X70" s="1306"/>
      <c r="Y70" s="1308"/>
      <c r="Z70" s="1311">
        <f t="shared" si="2"/>
        <v>117664</v>
      </c>
      <c r="AA70" s="1302">
        <v>117660</v>
      </c>
      <c r="AB70" s="1181">
        <v>843</v>
      </c>
      <c r="AC70" s="1302">
        <v>18151</v>
      </c>
      <c r="AD70" s="1315"/>
      <c r="AE70" s="1316"/>
      <c r="AF70" s="1311">
        <f t="shared" si="1"/>
        <v>18994</v>
      </c>
      <c r="AG70" s="1322">
        <v>73930</v>
      </c>
    </row>
    <row r="71" spans="1:33" s="2" customFormat="1">
      <c r="A71" s="134">
        <f t="shared" si="3"/>
        <v>1998.02</v>
      </c>
      <c r="B71" s="611">
        <v>241353</v>
      </c>
      <c r="C71" s="1291">
        <v>155083</v>
      </c>
      <c r="D71" s="1291">
        <v>6969</v>
      </c>
      <c r="E71" s="334">
        <v>0</v>
      </c>
      <c r="F71" s="1181">
        <v>42688</v>
      </c>
      <c r="G71" s="1291">
        <v>57968</v>
      </c>
      <c r="H71" s="1291">
        <v>2106</v>
      </c>
      <c r="I71" s="180">
        <v>0</v>
      </c>
      <c r="J71" s="1181">
        <v>191137</v>
      </c>
      <c r="K71" s="1291">
        <v>76768</v>
      </c>
      <c r="L71" s="1291">
        <v>0</v>
      </c>
      <c r="M71" s="180">
        <v>0</v>
      </c>
      <c r="N71" s="1181">
        <v>3617</v>
      </c>
      <c r="O71" s="1291">
        <v>0</v>
      </c>
      <c r="P71" s="1291">
        <v>4744</v>
      </c>
      <c r="Q71" s="180">
        <v>0</v>
      </c>
      <c r="R71" s="334">
        <v>255597</v>
      </c>
      <c r="S71" s="1291">
        <v>295165</v>
      </c>
      <c r="T71" s="1291">
        <v>16941</v>
      </c>
      <c r="U71" s="180">
        <v>0</v>
      </c>
      <c r="V71" s="334">
        <v>24526</v>
      </c>
      <c r="W71" s="1302">
        <v>51500</v>
      </c>
      <c r="X71" s="1306"/>
      <c r="Y71" s="1308"/>
      <c r="Z71" s="1311">
        <f t="shared" si="2"/>
        <v>76026</v>
      </c>
      <c r="AA71" s="1302">
        <v>76030</v>
      </c>
      <c r="AB71" s="1181">
        <v>0</v>
      </c>
      <c r="AC71" s="1302">
        <v>37100</v>
      </c>
      <c r="AD71" s="1315"/>
      <c r="AE71" s="1316"/>
      <c r="AF71" s="1311">
        <f t="shared" si="1"/>
        <v>37100</v>
      </c>
      <c r="AG71" s="1322">
        <v>43540</v>
      </c>
    </row>
    <row r="72" spans="1:33" s="2" customFormat="1">
      <c r="A72" s="134">
        <f t="shared" si="3"/>
        <v>1998.03</v>
      </c>
      <c r="B72" s="611">
        <v>330831</v>
      </c>
      <c r="C72" s="1291">
        <v>257288</v>
      </c>
      <c r="D72" s="1291">
        <v>6592</v>
      </c>
      <c r="E72" s="334">
        <v>28633</v>
      </c>
      <c r="F72" s="1181">
        <v>60399</v>
      </c>
      <c r="G72" s="1291">
        <v>97583</v>
      </c>
      <c r="H72" s="1291">
        <v>2116</v>
      </c>
      <c r="I72" s="180">
        <v>3722</v>
      </c>
      <c r="J72" s="1181">
        <v>262006</v>
      </c>
      <c r="K72" s="1291">
        <v>133971</v>
      </c>
      <c r="L72" s="1291">
        <v>0</v>
      </c>
      <c r="M72" s="180">
        <v>12885</v>
      </c>
      <c r="N72" s="1181">
        <v>4699</v>
      </c>
      <c r="O72" s="1291">
        <v>0</v>
      </c>
      <c r="P72" s="1291">
        <v>4177</v>
      </c>
      <c r="Q72" s="180">
        <v>0</v>
      </c>
      <c r="R72" s="334">
        <v>369302</v>
      </c>
      <c r="S72" s="1291">
        <v>822151</v>
      </c>
      <c r="T72" s="1291">
        <v>14436</v>
      </c>
      <c r="U72" s="180">
        <v>28633</v>
      </c>
      <c r="V72" s="334">
        <v>4970</v>
      </c>
      <c r="W72" s="1302">
        <v>29179</v>
      </c>
      <c r="X72" s="1306"/>
      <c r="Y72" s="1308"/>
      <c r="Z72" s="1311">
        <f t="shared" si="2"/>
        <v>34149</v>
      </c>
      <c r="AA72" s="1302">
        <v>34620</v>
      </c>
      <c r="AB72" s="1181">
        <v>19298</v>
      </c>
      <c r="AC72" s="1302">
        <v>83460</v>
      </c>
      <c r="AD72" s="1315"/>
      <c r="AE72" s="1316"/>
      <c r="AF72" s="1311">
        <f t="shared" si="1"/>
        <v>102758</v>
      </c>
      <c r="AG72" s="1322">
        <v>176310</v>
      </c>
    </row>
    <row r="73" spans="1:33" s="2" customFormat="1">
      <c r="A73" s="134">
        <f t="shared" si="3"/>
        <v>1998.04</v>
      </c>
      <c r="B73" s="611">
        <v>1033458</v>
      </c>
      <c r="C73" s="1291">
        <v>130729</v>
      </c>
      <c r="D73" s="1291">
        <v>0</v>
      </c>
      <c r="E73" s="334">
        <v>31044</v>
      </c>
      <c r="F73" s="1181">
        <v>186876</v>
      </c>
      <c r="G73" s="1291">
        <v>50196</v>
      </c>
      <c r="H73" s="1291">
        <v>0</v>
      </c>
      <c r="I73" s="180">
        <v>3841</v>
      </c>
      <c r="J73" s="1181">
        <v>817081</v>
      </c>
      <c r="K73" s="1291">
        <v>57432</v>
      </c>
      <c r="L73" s="1291">
        <v>0</v>
      </c>
      <c r="M73" s="180">
        <v>14258</v>
      </c>
      <c r="N73" s="1181">
        <v>5617</v>
      </c>
      <c r="O73" s="1291">
        <v>0</v>
      </c>
      <c r="P73" s="1291">
        <v>0</v>
      </c>
      <c r="Q73" s="180">
        <v>0</v>
      </c>
      <c r="R73" s="334">
        <v>1161016</v>
      </c>
      <c r="S73" s="1291">
        <v>664661</v>
      </c>
      <c r="T73" s="1291">
        <v>1430</v>
      </c>
      <c r="U73" s="180">
        <v>31044</v>
      </c>
      <c r="V73" s="334">
        <v>47100</v>
      </c>
      <c r="W73" s="1302">
        <v>73342</v>
      </c>
      <c r="X73" s="1306"/>
      <c r="Y73" s="1308"/>
      <c r="Z73" s="1311">
        <f t="shared" si="2"/>
        <v>120442</v>
      </c>
      <c r="AA73" s="1302">
        <v>120440</v>
      </c>
      <c r="AB73" s="1181">
        <v>15750</v>
      </c>
      <c r="AC73" s="1302">
        <v>69911</v>
      </c>
      <c r="AD73" s="1315"/>
      <c r="AE73" s="1316"/>
      <c r="AF73" s="1311">
        <f t="shared" si="1"/>
        <v>85661</v>
      </c>
      <c r="AG73" s="1322">
        <v>271760</v>
      </c>
    </row>
    <row r="74" spans="1:33" s="2" customFormat="1">
      <c r="A74" s="134">
        <f t="shared" si="3"/>
        <v>1998.05</v>
      </c>
      <c r="B74" s="611">
        <v>1247989</v>
      </c>
      <c r="C74" s="1291">
        <v>80350</v>
      </c>
      <c r="D74" s="1291">
        <v>330</v>
      </c>
      <c r="E74" s="334">
        <v>33089</v>
      </c>
      <c r="F74" s="1181">
        <v>222368</v>
      </c>
      <c r="G74" s="1291">
        <v>30687</v>
      </c>
      <c r="H74" s="1291">
        <v>109</v>
      </c>
      <c r="I74" s="180">
        <v>4302</v>
      </c>
      <c r="J74" s="1181">
        <v>994853</v>
      </c>
      <c r="K74" s="1291">
        <v>30259</v>
      </c>
      <c r="L74" s="1291">
        <v>0</v>
      </c>
      <c r="M74" s="180">
        <v>14890</v>
      </c>
      <c r="N74" s="1181">
        <v>5856</v>
      </c>
      <c r="O74" s="1291">
        <v>0</v>
      </c>
      <c r="P74" s="1291">
        <v>203</v>
      </c>
      <c r="Q74" s="180">
        <v>0</v>
      </c>
      <c r="R74" s="334">
        <v>1460967</v>
      </c>
      <c r="S74" s="1291">
        <v>589933</v>
      </c>
      <c r="T74" s="1291">
        <v>2236</v>
      </c>
      <c r="U74" s="180">
        <v>33089</v>
      </c>
      <c r="V74" s="334">
        <v>84490</v>
      </c>
      <c r="W74" s="1302">
        <v>139441</v>
      </c>
      <c r="X74" s="1306"/>
      <c r="Y74" s="1308"/>
      <c r="Z74" s="1311">
        <f t="shared" si="2"/>
        <v>223931</v>
      </c>
      <c r="AA74" s="1302">
        <v>223930</v>
      </c>
      <c r="AB74" s="1181">
        <v>25558</v>
      </c>
      <c r="AC74" s="1302">
        <v>23015</v>
      </c>
      <c r="AD74" s="1315"/>
      <c r="AE74" s="1316"/>
      <c r="AF74" s="1311">
        <f t="shared" si="1"/>
        <v>48573</v>
      </c>
      <c r="AG74" s="1322">
        <v>118130</v>
      </c>
    </row>
    <row r="75" spans="1:33" s="2" customFormat="1">
      <c r="A75" s="134">
        <f t="shared" si="3"/>
        <v>1998.06</v>
      </c>
      <c r="B75" s="611">
        <v>1369662</v>
      </c>
      <c r="C75" s="1291">
        <v>54915</v>
      </c>
      <c r="D75" s="1291">
        <v>0</v>
      </c>
      <c r="E75" s="334">
        <v>34077</v>
      </c>
      <c r="F75" s="1181">
        <v>240045</v>
      </c>
      <c r="G75" s="1291">
        <v>21138</v>
      </c>
      <c r="H75" s="1291">
        <v>0</v>
      </c>
      <c r="I75" s="180">
        <v>4430</v>
      </c>
      <c r="J75" s="1181">
        <v>1094433</v>
      </c>
      <c r="K75" s="1291">
        <v>23293</v>
      </c>
      <c r="L75" s="1291">
        <v>0</v>
      </c>
      <c r="M75" s="180">
        <v>15335</v>
      </c>
      <c r="N75" s="1181">
        <v>5890</v>
      </c>
      <c r="O75" s="1291">
        <v>0</v>
      </c>
      <c r="P75" s="1291">
        <v>0</v>
      </c>
      <c r="Q75" s="180">
        <v>0</v>
      </c>
      <c r="R75" s="334">
        <v>1570656</v>
      </c>
      <c r="S75" s="1291">
        <v>554382</v>
      </c>
      <c r="T75" s="1291">
        <v>4420</v>
      </c>
      <c r="U75" s="180">
        <v>34077</v>
      </c>
      <c r="V75" s="334">
        <v>75485</v>
      </c>
      <c r="W75" s="1302">
        <v>207103</v>
      </c>
      <c r="X75" s="1306"/>
      <c r="Y75" s="1308"/>
      <c r="Z75" s="1311">
        <f t="shared" ref="Z75:Z138" si="4">SUM(V75:Y75)</f>
        <v>282588</v>
      </c>
      <c r="AA75" s="1302">
        <v>282590</v>
      </c>
      <c r="AB75" s="1181">
        <v>13000</v>
      </c>
      <c r="AC75" s="1302">
        <v>14650</v>
      </c>
      <c r="AD75" s="1315"/>
      <c r="AE75" s="1316"/>
      <c r="AF75" s="1311">
        <f t="shared" ref="AF75:AF138" si="5">SUM(AB75:AE75)</f>
        <v>27650</v>
      </c>
      <c r="AG75" s="1322">
        <v>192870</v>
      </c>
    </row>
    <row r="76" spans="1:33" s="2" customFormat="1">
      <c r="A76" s="134">
        <f t="shared" si="3"/>
        <v>1998.07</v>
      </c>
      <c r="B76" s="611">
        <v>1519291</v>
      </c>
      <c r="C76" s="1291">
        <v>47176</v>
      </c>
      <c r="D76" s="1291">
        <v>0</v>
      </c>
      <c r="E76" s="334">
        <v>34366</v>
      </c>
      <c r="F76" s="1181">
        <v>267673</v>
      </c>
      <c r="G76" s="1291">
        <v>17930</v>
      </c>
      <c r="H76" s="1291">
        <v>0</v>
      </c>
      <c r="I76" s="180">
        <v>4460</v>
      </c>
      <c r="J76" s="1181">
        <v>1221847</v>
      </c>
      <c r="K76" s="1291">
        <v>18967</v>
      </c>
      <c r="L76" s="1291">
        <v>0</v>
      </c>
      <c r="M76" s="180">
        <v>15465</v>
      </c>
      <c r="N76" s="1181">
        <v>5077</v>
      </c>
      <c r="O76" s="1291">
        <v>0</v>
      </c>
      <c r="P76" s="1291">
        <v>0</v>
      </c>
      <c r="Q76" s="180">
        <v>0</v>
      </c>
      <c r="R76" s="334">
        <v>1713358</v>
      </c>
      <c r="S76" s="1291">
        <v>520542</v>
      </c>
      <c r="T76" s="1291">
        <v>1250</v>
      </c>
      <c r="U76" s="180">
        <v>34366</v>
      </c>
      <c r="V76" s="334">
        <v>80000</v>
      </c>
      <c r="W76" s="1302">
        <v>185822</v>
      </c>
      <c r="X76" s="1306"/>
      <c r="Y76" s="1308"/>
      <c r="Z76" s="1311">
        <f t="shared" si="4"/>
        <v>265822</v>
      </c>
      <c r="AA76" s="1302">
        <v>265820</v>
      </c>
      <c r="AB76" s="1181">
        <v>23300</v>
      </c>
      <c r="AC76" s="1302">
        <v>15661</v>
      </c>
      <c r="AD76" s="1315"/>
      <c r="AE76" s="1316"/>
      <c r="AF76" s="1311">
        <f t="shared" si="5"/>
        <v>38961</v>
      </c>
      <c r="AG76" s="1322">
        <v>119850</v>
      </c>
    </row>
    <row r="77" spans="1:33" s="2" customFormat="1">
      <c r="A77" s="134">
        <f t="shared" si="3"/>
        <v>1998.08</v>
      </c>
      <c r="B77" s="611">
        <v>1450350</v>
      </c>
      <c r="C77" s="1291">
        <v>53648</v>
      </c>
      <c r="D77" s="1291">
        <v>501</v>
      </c>
      <c r="E77" s="334">
        <v>64421</v>
      </c>
      <c r="F77" s="1181">
        <v>254888</v>
      </c>
      <c r="G77" s="1291">
        <v>20176</v>
      </c>
      <c r="H77" s="1291">
        <v>164</v>
      </c>
      <c r="I77" s="180">
        <v>9176</v>
      </c>
      <c r="J77" s="1181">
        <v>1155278</v>
      </c>
      <c r="K77" s="1291">
        <v>22387</v>
      </c>
      <c r="L77" s="1291">
        <v>0</v>
      </c>
      <c r="M77" s="180">
        <v>28497</v>
      </c>
      <c r="N77" s="1181">
        <v>5807</v>
      </c>
      <c r="O77" s="1291">
        <v>0</v>
      </c>
      <c r="P77" s="1291">
        <v>308</v>
      </c>
      <c r="Q77" s="180">
        <v>0</v>
      </c>
      <c r="R77" s="334">
        <v>1720233</v>
      </c>
      <c r="S77" s="1291">
        <v>405934</v>
      </c>
      <c r="T77" s="1291">
        <v>1351</v>
      </c>
      <c r="U77" s="180">
        <v>64421</v>
      </c>
      <c r="V77" s="334">
        <v>115803</v>
      </c>
      <c r="W77" s="1302">
        <v>173032</v>
      </c>
      <c r="X77" s="1306"/>
      <c r="Y77" s="1308"/>
      <c r="Z77" s="1311">
        <f t="shared" si="4"/>
        <v>288835</v>
      </c>
      <c r="AA77" s="1302">
        <v>288830</v>
      </c>
      <c r="AB77" s="1181">
        <v>8000</v>
      </c>
      <c r="AC77" s="1302">
        <v>10000</v>
      </c>
      <c r="AD77" s="1315"/>
      <c r="AE77" s="1316"/>
      <c r="AF77" s="1311">
        <f t="shared" si="5"/>
        <v>18000</v>
      </c>
      <c r="AG77" s="1322">
        <v>124340</v>
      </c>
    </row>
    <row r="78" spans="1:33" s="2" customFormat="1">
      <c r="A78" s="134">
        <f t="shared" si="3"/>
        <v>1998.09</v>
      </c>
      <c r="B78" s="611">
        <v>1491394</v>
      </c>
      <c r="C78" s="1291">
        <v>59980</v>
      </c>
      <c r="D78" s="1291">
        <v>1398</v>
      </c>
      <c r="E78" s="334">
        <v>54699</v>
      </c>
      <c r="F78" s="1181">
        <v>263588</v>
      </c>
      <c r="G78" s="1291">
        <v>23215</v>
      </c>
      <c r="H78" s="1291">
        <v>425</v>
      </c>
      <c r="I78" s="180">
        <v>8092</v>
      </c>
      <c r="J78" s="1181">
        <v>1201812</v>
      </c>
      <c r="K78" s="1291">
        <v>23883</v>
      </c>
      <c r="L78" s="1291">
        <v>0</v>
      </c>
      <c r="M78" s="180">
        <v>23384</v>
      </c>
      <c r="N78" s="1181">
        <v>5147</v>
      </c>
      <c r="O78" s="1291">
        <v>0</v>
      </c>
      <c r="P78" s="1291">
        <v>897</v>
      </c>
      <c r="Q78" s="180">
        <v>0</v>
      </c>
      <c r="R78" s="334">
        <v>1799139</v>
      </c>
      <c r="S78" s="1291">
        <v>396330</v>
      </c>
      <c r="T78" s="1291">
        <v>3452</v>
      </c>
      <c r="U78" s="180">
        <v>54699</v>
      </c>
      <c r="V78" s="334">
        <v>55875</v>
      </c>
      <c r="W78" s="1302">
        <v>179681</v>
      </c>
      <c r="X78" s="1306"/>
      <c r="Y78" s="1308"/>
      <c r="Z78" s="1311">
        <f t="shared" si="4"/>
        <v>235556</v>
      </c>
      <c r="AA78" s="1302">
        <v>240560</v>
      </c>
      <c r="AB78" s="1181">
        <v>3960</v>
      </c>
      <c r="AC78" s="1302">
        <v>6620</v>
      </c>
      <c r="AD78" s="1315"/>
      <c r="AE78" s="1316"/>
      <c r="AF78" s="1311">
        <f t="shared" si="5"/>
        <v>10580</v>
      </c>
      <c r="AG78" s="1322">
        <v>97890</v>
      </c>
    </row>
    <row r="79" spans="1:33" s="2" customFormat="1">
      <c r="A79" s="134">
        <f t="shared" si="3"/>
        <v>1998.1</v>
      </c>
      <c r="B79" s="611">
        <v>1387716</v>
      </c>
      <c r="C79" s="1291">
        <v>37205</v>
      </c>
      <c r="D79" s="1291">
        <v>0</v>
      </c>
      <c r="E79" s="334">
        <v>61741</v>
      </c>
      <c r="F79" s="1181">
        <v>244490</v>
      </c>
      <c r="G79" s="1291">
        <v>14398</v>
      </c>
      <c r="H79" s="1291">
        <v>0</v>
      </c>
      <c r="I79" s="180">
        <v>9336</v>
      </c>
      <c r="J79" s="1181">
        <v>1112858</v>
      </c>
      <c r="K79" s="1291">
        <v>15992</v>
      </c>
      <c r="L79" s="1291">
        <v>0</v>
      </c>
      <c r="M79" s="180">
        <v>27661</v>
      </c>
      <c r="N79" s="1181">
        <v>5495</v>
      </c>
      <c r="O79" s="1291">
        <v>0</v>
      </c>
      <c r="P79" s="1291">
        <v>0</v>
      </c>
      <c r="Q79" s="180">
        <v>0</v>
      </c>
      <c r="R79" s="334">
        <v>1676215</v>
      </c>
      <c r="S79" s="1291">
        <v>395045</v>
      </c>
      <c r="T79" s="1291">
        <v>2705</v>
      </c>
      <c r="U79" s="180">
        <v>61741</v>
      </c>
      <c r="V79" s="334">
        <v>55060</v>
      </c>
      <c r="W79" s="1302">
        <v>174271</v>
      </c>
      <c r="X79" s="1306"/>
      <c r="Y79" s="1308"/>
      <c r="Z79" s="1311">
        <f t="shared" si="4"/>
        <v>229331</v>
      </c>
      <c r="AA79" s="1302">
        <v>229330</v>
      </c>
      <c r="AB79" s="1181">
        <v>16900</v>
      </c>
      <c r="AC79" s="1302">
        <v>0</v>
      </c>
      <c r="AD79" s="1315"/>
      <c r="AE79" s="1316"/>
      <c r="AF79" s="1311">
        <f t="shared" si="5"/>
        <v>16900</v>
      </c>
      <c r="AG79" s="1322">
        <v>100170</v>
      </c>
    </row>
    <row r="80" spans="1:33" s="2" customFormat="1">
      <c r="A80" s="134">
        <f t="shared" si="3"/>
        <v>1998.11</v>
      </c>
      <c r="B80" s="611">
        <v>1367955</v>
      </c>
      <c r="C80" s="1291">
        <v>37810</v>
      </c>
      <c r="D80" s="1291">
        <v>0</v>
      </c>
      <c r="E80" s="334">
        <v>9836</v>
      </c>
      <c r="F80" s="1181">
        <v>240037</v>
      </c>
      <c r="G80" s="1291">
        <v>14652</v>
      </c>
      <c r="H80" s="1291">
        <v>0</v>
      </c>
      <c r="I80" s="180">
        <v>1759</v>
      </c>
      <c r="J80" s="1181">
        <v>1095182</v>
      </c>
      <c r="K80" s="1291">
        <v>16030</v>
      </c>
      <c r="L80" s="1291">
        <v>0</v>
      </c>
      <c r="M80" s="180">
        <v>4641</v>
      </c>
      <c r="N80" s="1181">
        <v>5592</v>
      </c>
      <c r="O80" s="1291">
        <v>0</v>
      </c>
      <c r="P80" s="1291">
        <v>0</v>
      </c>
      <c r="Q80" s="180">
        <v>0</v>
      </c>
      <c r="R80" s="334">
        <v>1660790</v>
      </c>
      <c r="S80" s="1291">
        <v>269170</v>
      </c>
      <c r="T80" s="1291">
        <v>1061</v>
      </c>
      <c r="U80" s="180">
        <v>9836</v>
      </c>
      <c r="V80" s="334">
        <v>99550</v>
      </c>
      <c r="W80" s="1302">
        <v>159505</v>
      </c>
      <c r="X80" s="1306"/>
      <c r="Y80" s="1308"/>
      <c r="Z80" s="1311">
        <f t="shared" si="4"/>
        <v>259055</v>
      </c>
      <c r="AA80" s="1302">
        <v>270560</v>
      </c>
      <c r="AB80" s="1181">
        <v>25000</v>
      </c>
      <c r="AC80" s="1302">
        <v>10199</v>
      </c>
      <c r="AD80" s="1315"/>
      <c r="AE80" s="1316"/>
      <c r="AF80" s="1311">
        <f t="shared" si="5"/>
        <v>35199</v>
      </c>
      <c r="AG80" s="1322">
        <v>81600</v>
      </c>
    </row>
    <row r="81" spans="1:33" s="2" customFormat="1">
      <c r="A81" s="134">
        <f t="shared" si="3"/>
        <v>1998.12</v>
      </c>
      <c r="B81" s="611">
        <v>1139957</v>
      </c>
      <c r="C81" s="1291">
        <v>13028</v>
      </c>
      <c r="D81" s="1291">
        <v>574</v>
      </c>
      <c r="E81" s="334">
        <v>0</v>
      </c>
      <c r="F81" s="1181">
        <v>201099</v>
      </c>
      <c r="G81" s="1291">
        <v>4977</v>
      </c>
      <c r="H81" s="1291">
        <v>198</v>
      </c>
      <c r="I81" s="180">
        <v>0</v>
      </c>
      <c r="J81" s="1181">
        <v>911204</v>
      </c>
      <c r="K81" s="1291">
        <v>5206</v>
      </c>
      <c r="L81" s="1291">
        <v>0</v>
      </c>
      <c r="M81" s="180">
        <v>0</v>
      </c>
      <c r="N81" s="1181">
        <v>4495</v>
      </c>
      <c r="O81" s="1291">
        <v>0</v>
      </c>
      <c r="P81" s="1291">
        <v>354</v>
      </c>
      <c r="Q81" s="180">
        <v>0</v>
      </c>
      <c r="R81" s="334">
        <v>1377126</v>
      </c>
      <c r="S81" s="1291">
        <v>83195</v>
      </c>
      <c r="T81" s="1291">
        <v>3244</v>
      </c>
      <c r="U81" s="180">
        <v>0</v>
      </c>
      <c r="V81" s="334">
        <v>105510</v>
      </c>
      <c r="W81" s="1302">
        <v>194690</v>
      </c>
      <c r="X81" s="1306"/>
      <c r="Y81" s="1308"/>
      <c r="Z81" s="1311">
        <f t="shared" si="4"/>
        <v>300200</v>
      </c>
      <c r="AA81" s="1302">
        <v>303200</v>
      </c>
      <c r="AB81" s="1181">
        <v>4905</v>
      </c>
      <c r="AC81" s="1302">
        <v>0</v>
      </c>
      <c r="AD81" s="1315"/>
      <c r="AE81" s="1316"/>
      <c r="AF81" s="1311">
        <f t="shared" si="5"/>
        <v>4905</v>
      </c>
      <c r="AG81" s="1322">
        <v>28680</v>
      </c>
    </row>
    <row r="82" spans="1:33" s="2" customFormat="1">
      <c r="A82" s="134">
        <f t="shared" si="3"/>
        <v>1999.01</v>
      </c>
      <c r="B82" s="611">
        <v>980792</v>
      </c>
      <c r="C82" s="1291">
        <v>156717</v>
      </c>
      <c r="D82" s="1291">
        <v>1421</v>
      </c>
      <c r="E82" s="334">
        <v>0</v>
      </c>
      <c r="F82" s="1181">
        <v>174367</v>
      </c>
      <c r="G82" s="1291">
        <v>62421</v>
      </c>
      <c r="H82" s="1291">
        <v>471</v>
      </c>
      <c r="I82" s="180">
        <v>0</v>
      </c>
      <c r="J82" s="1181">
        <v>783227</v>
      </c>
      <c r="K82" s="1291">
        <v>70450</v>
      </c>
      <c r="L82" s="1291">
        <v>0</v>
      </c>
      <c r="M82" s="180">
        <v>0</v>
      </c>
      <c r="N82" s="1181">
        <v>4701</v>
      </c>
      <c r="O82" s="1291">
        <v>0</v>
      </c>
      <c r="P82" s="1291">
        <v>901</v>
      </c>
      <c r="Q82" s="180">
        <v>0</v>
      </c>
      <c r="R82" s="334">
        <v>1160945</v>
      </c>
      <c r="S82" s="1291">
        <v>230580</v>
      </c>
      <c r="T82" s="1291">
        <v>10539</v>
      </c>
      <c r="U82" s="180">
        <v>0</v>
      </c>
      <c r="V82" s="334">
        <v>59000</v>
      </c>
      <c r="W82" s="1302">
        <v>151447</v>
      </c>
      <c r="X82" s="1306"/>
      <c r="Y82" s="1308"/>
      <c r="Z82" s="1311">
        <f t="shared" si="4"/>
        <v>210447</v>
      </c>
      <c r="AA82" s="1302">
        <v>215950</v>
      </c>
      <c r="AB82" s="1181">
        <v>1200</v>
      </c>
      <c r="AC82" s="1302">
        <v>20900</v>
      </c>
      <c r="AD82" s="1315"/>
      <c r="AE82" s="1316"/>
      <c r="AF82" s="1311">
        <f t="shared" si="5"/>
        <v>22100</v>
      </c>
      <c r="AG82" s="1322">
        <v>42980</v>
      </c>
    </row>
    <row r="83" spans="1:33" s="2" customFormat="1">
      <c r="A83" s="134">
        <f t="shared" si="3"/>
        <v>1999.02</v>
      </c>
      <c r="B83" s="611">
        <v>660988</v>
      </c>
      <c r="C83" s="1291">
        <v>210179</v>
      </c>
      <c r="D83" s="1291">
        <v>1160</v>
      </c>
      <c r="E83" s="334">
        <v>0</v>
      </c>
      <c r="F83" s="1181">
        <v>117695</v>
      </c>
      <c r="G83" s="1291">
        <v>81967</v>
      </c>
      <c r="H83" s="1291">
        <v>369</v>
      </c>
      <c r="I83" s="180">
        <v>0</v>
      </c>
      <c r="J83" s="1181">
        <v>526732</v>
      </c>
      <c r="K83" s="1291">
        <v>97913</v>
      </c>
      <c r="L83" s="1291">
        <v>0</v>
      </c>
      <c r="M83" s="180">
        <v>0</v>
      </c>
      <c r="N83" s="1181">
        <v>4592</v>
      </c>
      <c r="O83" s="1291">
        <v>0</v>
      </c>
      <c r="P83" s="1291">
        <v>746</v>
      </c>
      <c r="Q83" s="180">
        <v>0</v>
      </c>
      <c r="R83" s="334">
        <v>822854</v>
      </c>
      <c r="S83" s="1291">
        <v>459254</v>
      </c>
      <c r="T83" s="1291">
        <v>10091</v>
      </c>
      <c r="U83" s="180">
        <v>0</v>
      </c>
      <c r="V83" s="334">
        <v>9750</v>
      </c>
      <c r="W83" s="1302">
        <v>83179</v>
      </c>
      <c r="X83" s="1306"/>
      <c r="Y83" s="1308"/>
      <c r="Z83" s="1311">
        <f t="shared" si="4"/>
        <v>92929</v>
      </c>
      <c r="AA83" s="1302">
        <v>105750</v>
      </c>
      <c r="AB83" s="1181">
        <v>1980</v>
      </c>
      <c r="AC83" s="1302">
        <v>61724</v>
      </c>
      <c r="AD83" s="1315"/>
      <c r="AE83" s="1316"/>
      <c r="AF83" s="1311">
        <f t="shared" si="5"/>
        <v>63704</v>
      </c>
      <c r="AG83" s="1322">
        <v>96260</v>
      </c>
    </row>
    <row r="84" spans="1:33" s="2" customFormat="1">
      <c r="A84" s="134">
        <f t="shared" si="3"/>
        <v>1999.03</v>
      </c>
      <c r="B84" s="611">
        <v>590872</v>
      </c>
      <c r="C84" s="1291">
        <v>239697</v>
      </c>
      <c r="D84" s="1291">
        <v>0</v>
      </c>
      <c r="E84" s="334">
        <v>0</v>
      </c>
      <c r="F84" s="1181">
        <v>106463</v>
      </c>
      <c r="G84" s="1291">
        <v>95619</v>
      </c>
      <c r="H84" s="1291">
        <v>0</v>
      </c>
      <c r="I84" s="180">
        <v>0</v>
      </c>
      <c r="J84" s="1181">
        <v>468287</v>
      </c>
      <c r="K84" s="1291">
        <v>112776</v>
      </c>
      <c r="L84" s="1291">
        <v>0</v>
      </c>
      <c r="M84" s="180">
        <v>0</v>
      </c>
      <c r="N84" s="1181">
        <v>3980</v>
      </c>
      <c r="O84" s="1291">
        <v>0</v>
      </c>
      <c r="P84" s="1291">
        <v>0</v>
      </c>
      <c r="Q84" s="180">
        <v>0</v>
      </c>
      <c r="R84" s="334">
        <v>619126</v>
      </c>
      <c r="S84" s="1291">
        <v>870991</v>
      </c>
      <c r="T84" s="1291">
        <v>7256</v>
      </c>
      <c r="U84" s="180">
        <v>0</v>
      </c>
      <c r="V84" s="334">
        <v>77843</v>
      </c>
      <c r="W84" s="1302">
        <v>111393</v>
      </c>
      <c r="X84" s="1306"/>
      <c r="Y84" s="1308"/>
      <c r="Z84" s="1311">
        <f t="shared" si="4"/>
        <v>189236</v>
      </c>
      <c r="AA84" s="1302">
        <v>190170</v>
      </c>
      <c r="AB84" s="1181">
        <v>30000</v>
      </c>
      <c r="AC84" s="1302">
        <v>97696</v>
      </c>
      <c r="AD84" s="1315"/>
      <c r="AE84" s="1316"/>
      <c r="AF84" s="1311">
        <f t="shared" si="5"/>
        <v>127696</v>
      </c>
      <c r="AG84" s="1322">
        <v>197250</v>
      </c>
    </row>
    <row r="85" spans="1:33" s="2" customFormat="1">
      <c r="A85" s="134">
        <f t="shared" si="3"/>
        <v>1999.04</v>
      </c>
      <c r="B85" s="611">
        <v>1243221</v>
      </c>
      <c r="C85" s="1291">
        <v>177555</v>
      </c>
      <c r="D85" s="1291">
        <v>0</v>
      </c>
      <c r="E85" s="334">
        <v>0</v>
      </c>
      <c r="F85" s="1181">
        <v>231564</v>
      </c>
      <c r="G85" s="1291">
        <v>70872</v>
      </c>
      <c r="H85" s="1291">
        <v>0</v>
      </c>
      <c r="I85" s="180">
        <v>0</v>
      </c>
      <c r="J85" s="1181">
        <v>978053</v>
      </c>
      <c r="K85" s="1291">
        <v>84225</v>
      </c>
      <c r="L85" s="1291">
        <v>0</v>
      </c>
      <c r="M85" s="180">
        <v>0</v>
      </c>
      <c r="N85" s="1181">
        <v>4453</v>
      </c>
      <c r="O85" s="1291">
        <v>0</v>
      </c>
      <c r="P85" s="1291">
        <v>0</v>
      </c>
      <c r="Q85" s="180">
        <v>0</v>
      </c>
      <c r="R85" s="334">
        <v>1355129</v>
      </c>
      <c r="S85" s="1291">
        <v>763339</v>
      </c>
      <c r="T85" s="1291">
        <v>7125</v>
      </c>
      <c r="U85" s="180">
        <v>0</v>
      </c>
      <c r="V85" s="334">
        <v>79082</v>
      </c>
      <c r="W85" s="1302">
        <v>105791</v>
      </c>
      <c r="X85" s="1306"/>
      <c r="Y85" s="1308"/>
      <c r="Z85" s="1311">
        <f t="shared" si="4"/>
        <v>184873</v>
      </c>
      <c r="AA85" s="1302">
        <v>185810</v>
      </c>
      <c r="AB85" s="1181">
        <v>26862</v>
      </c>
      <c r="AC85" s="1302">
        <v>67742</v>
      </c>
      <c r="AD85" s="1315"/>
      <c r="AE85" s="1316"/>
      <c r="AF85" s="1311">
        <f t="shared" si="5"/>
        <v>94604</v>
      </c>
      <c r="AG85" s="1322">
        <v>224040</v>
      </c>
    </row>
    <row r="86" spans="1:33" s="2" customFormat="1">
      <c r="A86" s="134">
        <f t="shared" ref="A86:A149" si="6">A74+1</f>
        <v>1999.05</v>
      </c>
      <c r="B86" s="611">
        <v>1533893</v>
      </c>
      <c r="C86" s="1291">
        <v>100444</v>
      </c>
      <c r="D86" s="1291">
        <v>3523</v>
      </c>
      <c r="E86" s="334">
        <v>0</v>
      </c>
      <c r="F86" s="1181">
        <v>281404</v>
      </c>
      <c r="G86" s="1291">
        <v>39547</v>
      </c>
      <c r="H86" s="1291">
        <v>1264</v>
      </c>
      <c r="I86" s="180">
        <v>0</v>
      </c>
      <c r="J86" s="1181">
        <v>1200604</v>
      </c>
      <c r="K86" s="1291">
        <v>39162</v>
      </c>
      <c r="L86" s="1291">
        <v>2231</v>
      </c>
      <c r="M86" s="180">
        <v>0</v>
      </c>
      <c r="N86" s="1181">
        <v>6300</v>
      </c>
      <c r="O86" s="1291">
        <v>0</v>
      </c>
      <c r="P86" s="1291">
        <v>0</v>
      </c>
      <c r="Q86" s="180">
        <v>0</v>
      </c>
      <c r="R86" s="334">
        <v>1776405</v>
      </c>
      <c r="S86" s="1291">
        <v>630913</v>
      </c>
      <c r="T86" s="1291">
        <v>11302</v>
      </c>
      <c r="U86" s="180">
        <v>0</v>
      </c>
      <c r="V86" s="334">
        <v>108410</v>
      </c>
      <c r="W86" s="1302">
        <v>244635</v>
      </c>
      <c r="X86" s="1306"/>
      <c r="Y86" s="1308"/>
      <c r="Z86" s="1311">
        <f t="shared" si="4"/>
        <v>353045</v>
      </c>
      <c r="AA86" s="1302">
        <v>353190</v>
      </c>
      <c r="AB86" s="1181">
        <v>21500</v>
      </c>
      <c r="AC86" s="1302">
        <v>61115</v>
      </c>
      <c r="AD86" s="1315"/>
      <c r="AE86" s="1316"/>
      <c r="AF86" s="1311">
        <f t="shared" si="5"/>
        <v>82615</v>
      </c>
      <c r="AG86" s="1322">
        <v>184350</v>
      </c>
    </row>
    <row r="87" spans="1:33" s="2" customFormat="1">
      <c r="A87" s="134">
        <f t="shared" si="6"/>
        <v>1999.06</v>
      </c>
      <c r="B87" s="611">
        <v>1542375</v>
      </c>
      <c r="C87" s="1291">
        <v>73743</v>
      </c>
      <c r="D87" s="1291">
        <v>0</v>
      </c>
      <c r="E87" s="334">
        <v>0</v>
      </c>
      <c r="F87" s="1181">
        <v>276623</v>
      </c>
      <c r="G87" s="1291">
        <v>29341</v>
      </c>
      <c r="H87" s="1291">
        <v>0</v>
      </c>
      <c r="I87" s="180">
        <v>0</v>
      </c>
      <c r="J87" s="1181">
        <v>1205854</v>
      </c>
      <c r="K87" s="1291">
        <v>29791</v>
      </c>
      <c r="L87" s="1291">
        <v>0</v>
      </c>
      <c r="M87" s="180">
        <v>0</v>
      </c>
      <c r="N87" s="1181">
        <v>5732</v>
      </c>
      <c r="O87" s="1291">
        <v>0</v>
      </c>
      <c r="P87" s="1291">
        <v>0</v>
      </c>
      <c r="Q87" s="180">
        <v>0</v>
      </c>
      <c r="R87" s="334">
        <v>1825033</v>
      </c>
      <c r="S87" s="1291">
        <v>538975</v>
      </c>
      <c r="T87" s="1291">
        <v>5610</v>
      </c>
      <c r="U87" s="180">
        <v>0</v>
      </c>
      <c r="V87" s="334">
        <v>87350</v>
      </c>
      <c r="W87" s="1302">
        <v>172830</v>
      </c>
      <c r="X87" s="1306"/>
      <c r="Y87" s="1308"/>
      <c r="Z87" s="1311">
        <f t="shared" si="4"/>
        <v>260180</v>
      </c>
      <c r="AA87" s="1302">
        <v>275180</v>
      </c>
      <c r="AB87" s="1181">
        <v>11000</v>
      </c>
      <c r="AC87" s="1302">
        <v>50206</v>
      </c>
      <c r="AD87" s="1315"/>
      <c r="AE87" s="1316"/>
      <c r="AF87" s="1311">
        <f t="shared" si="5"/>
        <v>61206</v>
      </c>
      <c r="AG87" s="1322">
        <v>158970</v>
      </c>
    </row>
    <row r="88" spans="1:33" s="2" customFormat="1">
      <c r="A88" s="134">
        <f t="shared" si="6"/>
        <v>1999.07</v>
      </c>
      <c r="B88" s="611">
        <v>1528017</v>
      </c>
      <c r="C88" s="1291">
        <v>100420</v>
      </c>
      <c r="D88" s="1291">
        <v>130</v>
      </c>
      <c r="E88" s="334">
        <v>0</v>
      </c>
      <c r="F88" s="1181">
        <v>278929</v>
      </c>
      <c r="G88" s="1291">
        <v>39839</v>
      </c>
      <c r="H88" s="1291">
        <v>17</v>
      </c>
      <c r="I88" s="180">
        <v>0</v>
      </c>
      <c r="J88" s="1181">
        <v>1196363</v>
      </c>
      <c r="K88" s="1291">
        <v>38335</v>
      </c>
      <c r="L88" s="1291">
        <v>0</v>
      </c>
      <c r="M88" s="180">
        <v>0</v>
      </c>
      <c r="N88" s="1181">
        <v>6300</v>
      </c>
      <c r="O88" s="1291">
        <v>0</v>
      </c>
      <c r="P88" s="1291">
        <v>80</v>
      </c>
      <c r="Q88" s="180">
        <v>0</v>
      </c>
      <c r="R88" s="334">
        <v>1709025</v>
      </c>
      <c r="S88" s="1291">
        <v>623961</v>
      </c>
      <c r="T88" s="1291">
        <v>1846</v>
      </c>
      <c r="U88" s="180">
        <v>0</v>
      </c>
      <c r="V88" s="334">
        <v>108160</v>
      </c>
      <c r="W88" s="1302">
        <v>215918</v>
      </c>
      <c r="X88" s="1306"/>
      <c r="Y88" s="1308"/>
      <c r="Z88" s="1311">
        <f t="shared" si="4"/>
        <v>324078</v>
      </c>
      <c r="AA88" s="1302">
        <v>324080</v>
      </c>
      <c r="AB88" s="1181">
        <v>31000</v>
      </c>
      <c r="AC88" s="1302">
        <v>41056</v>
      </c>
      <c r="AD88" s="1315"/>
      <c r="AE88" s="1316"/>
      <c r="AF88" s="1311">
        <f t="shared" si="5"/>
        <v>72056</v>
      </c>
      <c r="AG88" s="1322">
        <v>167530</v>
      </c>
    </row>
    <row r="89" spans="1:33" s="2" customFormat="1">
      <c r="A89" s="134">
        <f t="shared" si="6"/>
        <v>1999.08</v>
      </c>
      <c r="B89" s="611">
        <v>1535746</v>
      </c>
      <c r="C89" s="1291">
        <v>101613</v>
      </c>
      <c r="D89" s="1291">
        <v>370</v>
      </c>
      <c r="E89" s="334">
        <v>0</v>
      </c>
      <c r="F89" s="1181">
        <v>279205</v>
      </c>
      <c r="G89" s="1291">
        <v>40228</v>
      </c>
      <c r="H89" s="1291">
        <v>120</v>
      </c>
      <c r="I89" s="180">
        <v>0</v>
      </c>
      <c r="J89" s="1181">
        <v>1205361</v>
      </c>
      <c r="K89" s="1291">
        <v>38032</v>
      </c>
      <c r="L89" s="1291">
        <v>0</v>
      </c>
      <c r="M89" s="180">
        <v>0</v>
      </c>
      <c r="N89" s="1181">
        <v>3965</v>
      </c>
      <c r="O89" s="1291">
        <v>0</v>
      </c>
      <c r="P89" s="1291">
        <v>230</v>
      </c>
      <c r="Q89" s="180">
        <v>0</v>
      </c>
      <c r="R89" s="334">
        <v>1829138</v>
      </c>
      <c r="S89" s="1291">
        <v>461216</v>
      </c>
      <c r="T89" s="1291">
        <v>1001</v>
      </c>
      <c r="U89" s="180">
        <v>0</v>
      </c>
      <c r="V89" s="334">
        <v>108060</v>
      </c>
      <c r="W89" s="1302">
        <v>238269</v>
      </c>
      <c r="X89" s="1306"/>
      <c r="Y89" s="1308"/>
      <c r="Z89" s="1311">
        <f t="shared" si="4"/>
        <v>346329</v>
      </c>
      <c r="AA89" s="1302">
        <v>363330</v>
      </c>
      <c r="AB89" s="1181">
        <v>30200</v>
      </c>
      <c r="AC89" s="1302">
        <v>44577</v>
      </c>
      <c r="AD89" s="1315"/>
      <c r="AE89" s="1316"/>
      <c r="AF89" s="1311">
        <f t="shared" si="5"/>
        <v>74777</v>
      </c>
      <c r="AG89" s="1322">
        <v>265210</v>
      </c>
    </row>
    <row r="90" spans="1:33" s="2" customFormat="1">
      <c r="A90" s="134">
        <f t="shared" si="6"/>
        <v>1999.09</v>
      </c>
      <c r="B90" s="611">
        <v>1453455</v>
      </c>
      <c r="C90" s="1291">
        <v>58645</v>
      </c>
      <c r="D90" s="1291">
        <v>0</v>
      </c>
      <c r="E90" s="334">
        <v>0</v>
      </c>
      <c r="F90" s="1181">
        <v>265924</v>
      </c>
      <c r="G90" s="1291">
        <v>23158</v>
      </c>
      <c r="H90" s="1291">
        <v>0</v>
      </c>
      <c r="I90" s="180">
        <v>0</v>
      </c>
      <c r="J90" s="1181">
        <v>1143478</v>
      </c>
      <c r="K90" s="1291">
        <v>23597</v>
      </c>
      <c r="L90" s="1291">
        <v>0</v>
      </c>
      <c r="M90" s="180">
        <v>0</v>
      </c>
      <c r="N90" s="1181">
        <v>3527</v>
      </c>
      <c r="O90" s="1291">
        <v>0</v>
      </c>
      <c r="P90" s="1291">
        <v>0</v>
      </c>
      <c r="Q90" s="180">
        <v>0</v>
      </c>
      <c r="R90" s="334">
        <v>1694839</v>
      </c>
      <c r="S90" s="1291">
        <v>492436</v>
      </c>
      <c r="T90" s="1291">
        <v>2473</v>
      </c>
      <c r="U90" s="180">
        <v>0</v>
      </c>
      <c r="V90" s="334">
        <v>113350</v>
      </c>
      <c r="W90" s="1302">
        <v>246992</v>
      </c>
      <c r="X90" s="1306"/>
      <c r="Y90" s="1308"/>
      <c r="Z90" s="1311">
        <f t="shared" si="4"/>
        <v>360342</v>
      </c>
      <c r="AA90" s="1302">
        <v>369340</v>
      </c>
      <c r="AB90" s="1181">
        <v>15100</v>
      </c>
      <c r="AC90" s="1302">
        <v>60872</v>
      </c>
      <c r="AD90" s="1315"/>
      <c r="AE90" s="1316"/>
      <c r="AF90" s="1311">
        <f t="shared" si="5"/>
        <v>75972</v>
      </c>
      <c r="AG90" s="1322">
        <v>131470</v>
      </c>
    </row>
    <row r="91" spans="1:33" s="2" customFormat="1">
      <c r="A91" s="134">
        <f t="shared" si="6"/>
        <v>1999.1</v>
      </c>
      <c r="B91" s="611">
        <v>1380616</v>
      </c>
      <c r="C91" s="1291">
        <v>92809</v>
      </c>
      <c r="D91" s="1291">
        <v>0</v>
      </c>
      <c r="E91" s="334">
        <v>0</v>
      </c>
      <c r="F91" s="1181">
        <v>254643</v>
      </c>
      <c r="G91" s="1291">
        <v>37500</v>
      </c>
      <c r="H91" s="1291">
        <v>0</v>
      </c>
      <c r="I91" s="180">
        <v>0</v>
      </c>
      <c r="J91" s="1181">
        <v>1085333</v>
      </c>
      <c r="K91" s="1291">
        <v>36455</v>
      </c>
      <c r="L91" s="1291">
        <v>0</v>
      </c>
      <c r="M91" s="180">
        <v>0</v>
      </c>
      <c r="N91" s="1181">
        <v>3072</v>
      </c>
      <c r="O91" s="1291">
        <v>0</v>
      </c>
      <c r="P91" s="1291">
        <v>0</v>
      </c>
      <c r="Q91" s="180">
        <v>0</v>
      </c>
      <c r="R91" s="334">
        <v>1656054</v>
      </c>
      <c r="S91" s="1291">
        <v>453236</v>
      </c>
      <c r="T91" s="1291">
        <v>488</v>
      </c>
      <c r="U91" s="180">
        <v>0</v>
      </c>
      <c r="V91" s="334">
        <v>70300</v>
      </c>
      <c r="W91" s="1302">
        <v>142251</v>
      </c>
      <c r="X91" s="1306"/>
      <c r="Y91" s="1308"/>
      <c r="Z91" s="1311">
        <f t="shared" si="4"/>
        <v>212551</v>
      </c>
      <c r="AA91" s="1302">
        <v>221610</v>
      </c>
      <c r="AB91" s="1181">
        <v>9000</v>
      </c>
      <c r="AC91" s="1302">
        <v>11400</v>
      </c>
      <c r="AD91" s="1315"/>
      <c r="AE91" s="1316"/>
      <c r="AF91" s="1311">
        <f t="shared" si="5"/>
        <v>20400</v>
      </c>
      <c r="AG91" s="1322">
        <v>89110</v>
      </c>
    </row>
    <row r="92" spans="1:33" s="2" customFormat="1">
      <c r="A92" s="134">
        <f t="shared" si="6"/>
        <v>1999.11</v>
      </c>
      <c r="B92" s="611">
        <v>1262725</v>
      </c>
      <c r="C92" s="1291">
        <v>41633</v>
      </c>
      <c r="D92" s="1291">
        <v>254</v>
      </c>
      <c r="E92" s="334">
        <v>0</v>
      </c>
      <c r="F92" s="1181">
        <v>231562</v>
      </c>
      <c r="G92" s="1291">
        <v>17245</v>
      </c>
      <c r="H92" s="1291">
        <v>24</v>
      </c>
      <c r="I92" s="180">
        <v>0</v>
      </c>
      <c r="J92" s="1181">
        <v>942735</v>
      </c>
      <c r="K92" s="1291">
        <v>17751</v>
      </c>
      <c r="L92" s="1291">
        <v>0</v>
      </c>
      <c r="M92" s="180">
        <v>0</v>
      </c>
      <c r="N92" s="1181">
        <v>3005</v>
      </c>
      <c r="O92" s="1291">
        <v>0</v>
      </c>
      <c r="P92" s="1291">
        <v>224</v>
      </c>
      <c r="Q92" s="180">
        <v>0</v>
      </c>
      <c r="R92" s="334">
        <v>1472559</v>
      </c>
      <c r="S92" s="1291">
        <v>371681</v>
      </c>
      <c r="T92" s="1291">
        <v>842</v>
      </c>
      <c r="U92" s="180">
        <v>0</v>
      </c>
      <c r="V92" s="334">
        <v>81223</v>
      </c>
      <c r="W92" s="1302">
        <v>153841</v>
      </c>
      <c r="X92" s="1306"/>
      <c r="Y92" s="1308"/>
      <c r="Z92" s="1311">
        <f t="shared" si="4"/>
        <v>235064</v>
      </c>
      <c r="AA92" s="1302">
        <v>239920</v>
      </c>
      <c r="AB92" s="1181">
        <v>1750</v>
      </c>
      <c r="AC92" s="1302">
        <v>12127</v>
      </c>
      <c r="AD92" s="1315"/>
      <c r="AE92" s="1316"/>
      <c r="AF92" s="1311">
        <f t="shared" si="5"/>
        <v>13877</v>
      </c>
      <c r="AG92" s="1322">
        <v>102580</v>
      </c>
    </row>
    <row r="93" spans="1:33" s="2" customFormat="1">
      <c r="A93" s="134">
        <f t="shared" si="6"/>
        <v>1999.12</v>
      </c>
      <c r="B93" s="611">
        <v>989496</v>
      </c>
      <c r="C93" s="1291">
        <v>18655</v>
      </c>
      <c r="D93" s="1291">
        <v>3252</v>
      </c>
      <c r="E93" s="334">
        <v>0</v>
      </c>
      <c r="F93" s="1181">
        <v>180549</v>
      </c>
      <c r="G93" s="1291">
        <v>7519</v>
      </c>
      <c r="H93" s="1291">
        <v>878</v>
      </c>
      <c r="I93" s="180">
        <v>0</v>
      </c>
      <c r="J93" s="1181">
        <v>773901</v>
      </c>
      <c r="K93" s="1291">
        <v>8039</v>
      </c>
      <c r="L93" s="1291">
        <v>0</v>
      </c>
      <c r="M93" s="180">
        <v>0</v>
      </c>
      <c r="N93" s="1181">
        <v>2333</v>
      </c>
      <c r="O93" s="1291">
        <v>0</v>
      </c>
      <c r="P93" s="1291">
        <v>2279</v>
      </c>
      <c r="Q93" s="180">
        <v>0</v>
      </c>
      <c r="R93" s="334">
        <v>1136608</v>
      </c>
      <c r="S93" s="1291">
        <v>187153</v>
      </c>
      <c r="T93" s="1291">
        <v>6269</v>
      </c>
      <c r="U93" s="180">
        <v>0</v>
      </c>
      <c r="V93" s="334">
        <v>60546</v>
      </c>
      <c r="W93" s="1302">
        <v>129774</v>
      </c>
      <c r="X93" s="1306"/>
      <c r="Y93" s="1308"/>
      <c r="Z93" s="1311">
        <f t="shared" si="4"/>
        <v>190320</v>
      </c>
      <c r="AA93" s="1302">
        <v>190320</v>
      </c>
      <c r="AB93" s="1181">
        <v>9000</v>
      </c>
      <c r="AC93" s="1302">
        <v>15538</v>
      </c>
      <c r="AD93" s="1315"/>
      <c r="AE93" s="1316"/>
      <c r="AF93" s="1311">
        <f t="shared" si="5"/>
        <v>24538</v>
      </c>
      <c r="AG93" s="1322">
        <v>73350</v>
      </c>
    </row>
    <row r="94" spans="1:33" s="2" customFormat="1">
      <c r="A94" s="134">
        <f t="shared" si="6"/>
        <v>2000.01</v>
      </c>
      <c r="B94" s="611">
        <v>1000086</v>
      </c>
      <c r="C94" s="1291">
        <v>189688</v>
      </c>
      <c r="D94" s="1291">
        <v>2547</v>
      </c>
      <c r="E94" s="334">
        <v>0</v>
      </c>
      <c r="F94" s="1181">
        <v>184705</v>
      </c>
      <c r="G94" s="1291">
        <v>77751</v>
      </c>
      <c r="H94" s="1291">
        <v>840</v>
      </c>
      <c r="I94" s="180">
        <v>0</v>
      </c>
      <c r="J94" s="1181">
        <v>784861</v>
      </c>
      <c r="K94" s="1291">
        <v>83551</v>
      </c>
      <c r="L94" s="1291">
        <v>0</v>
      </c>
      <c r="M94" s="180">
        <v>0</v>
      </c>
      <c r="N94" s="1181">
        <v>3399</v>
      </c>
      <c r="O94" s="1291">
        <v>0</v>
      </c>
      <c r="P94" s="1291">
        <v>2064</v>
      </c>
      <c r="Q94" s="180">
        <v>0</v>
      </c>
      <c r="R94" s="334">
        <v>1107800</v>
      </c>
      <c r="S94" s="1291">
        <v>340035</v>
      </c>
      <c r="T94" s="1291">
        <v>10651</v>
      </c>
      <c r="U94" s="180">
        <v>0</v>
      </c>
      <c r="V94" s="334">
        <v>85056</v>
      </c>
      <c r="W94" s="1302">
        <v>141621</v>
      </c>
      <c r="X94" s="1306"/>
      <c r="Y94" s="1308"/>
      <c r="Z94" s="1311">
        <f t="shared" si="4"/>
        <v>226677</v>
      </c>
      <c r="AA94" s="1302">
        <v>228930</v>
      </c>
      <c r="AB94" s="1181">
        <v>5000</v>
      </c>
      <c r="AC94" s="1302">
        <v>38088</v>
      </c>
      <c r="AD94" s="1315"/>
      <c r="AE94" s="1316"/>
      <c r="AF94" s="1311">
        <f t="shared" si="5"/>
        <v>43088</v>
      </c>
      <c r="AG94" s="1322">
        <v>69940</v>
      </c>
    </row>
    <row r="95" spans="1:33" s="2" customFormat="1">
      <c r="A95" s="134">
        <f t="shared" si="6"/>
        <v>2000.02</v>
      </c>
      <c r="B95" s="611">
        <v>666381</v>
      </c>
      <c r="C95" s="1291">
        <v>243355</v>
      </c>
      <c r="D95" s="1291">
        <v>2619</v>
      </c>
      <c r="E95" s="334">
        <v>0</v>
      </c>
      <c r="F95" s="1181">
        <v>122703</v>
      </c>
      <c r="G95" s="1291">
        <v>100263</v>
      </c>
      <c r="H95" s="1291">
        <v>773</v>
      </c>
      <c r="I95" s="180">
        <v>0</v>
      </c>
      <c r="J95" s="1181">
        <v>519581</v>
      </c>
      <c r="K95" s="1291">
        <v>112124</v>
      </c>
      <c r="L95" s="1291">
        <v>0</v>
      </c>
      <c r="M95" s="180">
        <v>0</v>
      </c>
      <c r="N95" s="1181">
        <v>2324</v>
      </c>
      <c r="O95" s="1291">
        <v>0</v>
      </c>
      <c r="P95" s="1291">
        <v>1494</v>
      </c>
      <c r="Q95" s="180">
        <v>0</v>
      </c>
      <c r="R95" s="334">
        <v>843549</v>
      </c>
      <c r="S95" s="1291">
        <v>461190</v>
      </c>
      <c r="T95" s="1291">
        <v>14316</v>
      </c>
      <c r="U95" s="180">
        <v>0</v>
      </c>
      <c r="V95" s="334">
        <v>50555</v>
      </c>
      <c r="W95" s="1302">
        <v>139216</v>
      </c>
      <c r="X95" s="1306"/>
      <c r="Y95" s="1308"/>
      <c r="Z95" s="1311">
        <f t="shared" si="4"/>
        <v>189771</v>
      </c>
      <c r="AA95" s="1302">
        <v>196450</v>
      </c>
      <c r="AB95" s="1181">
        <v>1050</v>
      </c>
      <c r="AC95" s="1302">
        <v>33122</v>
      </c>
      <c r="AD95" s="1315"/>
      <c r="AE95" s="1316"/>
      <c r="AF95" s="1311">
        <f t="shared" si="5"/>
        <v>34172</v>
      </c>
      <c r="AG95" s="1322">
        <v>70570</v>
      </c>
    </row>
    <row r="96" spans="1:33" s="2" customFormat="1">
      <c r="A96" s="134">
        <f t="shared" si="6"/>
        <v>2000.03</v>
      </c>
      <c r="B96" s="611">
        <v>650722</v>
      </c>
      <c r="C96" s="1291">
        <v>231523</v>
      </c>
      <c r="D96" s="1291">
        <v>1317</v>
      </c>
      <c r="E96" s="334">
        <v>0</v>
      </c>
      <c r="F96" s="1181">
        <v>121616</v>
      </c>
      <c r="G96" s="1291">
        <v>94503</v>
      </c>
      <c r="H96" s="1291">
        <v>345</v>
      </c>
      <c r="I96" s="180">
        <v>0</v>
      </c>
      <c r="J96" s="1181">
        <v>502053</v>
      </c>
      <c r="K96" s="1291">
        <v>106952</v>
      </c>
      <c r="L96" s="1291">
        <v>0</v>
      </c>
      <c r="M96" s="180">
        <v>0</v>
      </c>
      <c r="N96" s="1181">
        <v>3930</v>
      </c>
      <c r="O96" s="1291">
        <v>0</v>
      </c>
      <c r="P96" s="1291">
        <v>775</v>
      </c>
      <c r="Q96" s="180">
        <v>0</v>
      </c>
      <c r="R96" s="334">
        <v>702347</v>
      </c>
      <c r="S96" s="1291">
        <v>778651</v>
      </c>
      <c r="T96" s="1291">
        <v>6134</v>
      </c>
      <c r="U96" s="180">
        <v>0</v>
      </c>
      <c r="V96" s="334">
        <v>42550</v>
      </c>
      <c r="W96" s="1302">
        <v>98202</v>
      </c>
      <c r="X96" s="1306"/>
      <c r="Y96" s="1308"/>
      <c r="Z96" s="1311">
        <f t="shared" si="4"/>
        <v>140752</v>
      </c>
      <c r="AA96" s="1302">
        <v>141330</v>
      </c>
      <c r="AB96" s="1181">
        <v>5500</v>
      </c>
      <c r="AC96" s="1302">
        <v>122333</v>
      </c>
      <c r="AD96" s="1315"/>
      <c r="AE96" s="1316"/>
      <c r="AF96" s="1311">
        <f t="shared" si="5"/>
        <v>127833</v>
      </c>
      <c r="AG96" s="1322">
        <v>183620</v>
      </c>
    </row>
    <row r="97" spans="1:33" s="2" customFormat="1">
      <c r="A97" s="134">
        <f t="shared" si="6"/>
        <v>2000.04</v>
      </c>
      <c r="B97" s="611">
        <v>1386458</v>
      </c>
      <c r="C97" s="1291">
        <v>131145</v>
      </c>
      <c r="D97" s="1291">
        <v>780</v>
      </c>
      <c r="E97" s="334">
        <v>0</v>
      </c>
      <c r="F97" s="1181">
        <v>259763</v>
      </c>
      <c r="G97" s="1291">
        <v>51921</v>
      </c>
      <c r="H97" s="1291">
        <v>216</v>
      </c>
      <c r="I97" s="180">
        <v>0</v>
      </c>
      <c r="J97" s="1181">
        <v>1091357</v>
      </c>
      <c r="K97" s="1291">
        <v>55393</v>
      </c>
      <c r="L97" s="1291">
        <v>0</v>
      </c>
      <c r="M97" s="180">
        <v>0</v>
      </c>
      <c r="N97" s="1181">
        <v>4162</v>
      </c>
      <c r="O97" s="1291">
        <v>0</v>
      </c>
      <c r="P97" s="1291">
        <v>536</v>
      </c>
      <c r="Q97" s="180">
        <v>0</v>
      </c>
      <c r="R97" s="334">
        <v>1584894</v>
      </c>
      <c r="S97" s="1291">
        <v>575171</v>
      </c>
      <c r="T97" s="1291">
        <v>1296</v>
      </c>
      <c r="U97" s="180">
        <v>0</v>
      </c>
      <c r="V97" s="334">
        <v>32300</v>
      </c>
      <c r="W97" s="1302">
        <v>178469</v>
      </c>
      <c r="X97" s="1306"/>
      <c r="Y97" s="1308"/>
      <c r="Z97" s="1311">
        <f t="shared" si="4"/>
        <v>210769</v>
      </c>
      <c r="AA97" s="1302">
        <v>210770</v>
      </c>
      <c r="AB97" s="1181">
        <v>15281</v>
      </c>
      <c r="AC97" s="1302">
        <v>70480</v>
      </c>
      <c r="AD97" s="1315"/>
      <c r="AE97" s="1316"/>
      <c r="AF97" s="1311">
        <f t="shared" si="5"/>
        <v>85761</v>
      </c>
      <c r="AG97" s="1322">
        <v>200170</v>
      </c>
    </row>
    <row r="98" spans="1:33" s="2" customFormat="1">
      <c r="A98" s="134">
        <f t="shared" si="6"/>
        <v>2000.05</v>
      </c>
      <c r="B98" s="611">
        <v>1536833</v>
      </c>
      <c r="C98" s="1291">
        <v>74121</v>
      </c>
      <c r="D98" s="1291">
        <v>0</v>
      </c>
      <c r="E98" s="334">
        <v>0</v>
      </c>
      <c r="F98" s="1181">
        <v>280627</v>
      </c>
      <c r="G98" s="1291">
        <v>29836</v>
      </c>
      <c r="H98" s="1291">
        <v>0</v>
      </c>
      <c r="I98" s="180">
        <v>0</v>
      </c>
      <c r="J98" s="1181">
        <v>1207533</v>
      </c>
      <c r="K98" s="1291">
        <v>28081</v>
      </c>
      <c r="L98" s="1291">
        <v>0</v>
      </c>
      <c r="M98" s="180">
        <v>0</v>
      </c>
      <c r="N98" s="1181">
        <v>4166</v>
      </c>
      <c r="O98" s="1291">
        <v>0</v>
      </c>
      <c r="P98" s="1291">
        <v>0</v>
      </c>
      <c r="Q98" s="180">
        <v>0</v>
      </c>
      <c r="R98" s="334">
        <v>1791916</v>
      </c>
      <c r="S98" s="1291">
        <v>431995</v>
      </c>
      <c r="T98" s="1291">
        <v>0</v>
      </c>
      <c r="U98" s="180">
        <v>0</v>
      </c>
      <c r="V98" s="334">
        <v>69320</v>
      </c>
      <c r="W98" s="1302">
        <v>177350</v>
      </c>
      <c r="X98" s="1306"/>
      <c r="Y98" s="1308"/>
      <c r="Z98" s="1311">
        <f t="shared" si="4"/>
        <v>246670</v>
      </c>
      <c r="AA98" s="1302">
        <v>246670</v>
      </c>
      <c r="AB98" s="1181">
        <v>4910</v>
      </c>
      <c r="AC98" s="1302">
        <v>54200</v>
      </c>
      <c r="AD98" s="1315"/>
      <c r="AE98" s="1316"/>
      <c r="AF98" s="1311">
        <f t="shared" si="5"/>
        <v>59110</v>
      </c>
      <c r="AG98" s="1322">
        <v>96000</v>
      </c>
    </row>
    <row r="99" spans="1:33" s="2" customFormat="1">
      <c r="A99" s="134">
        <f t="shared" si="6"/>
        <v>2000.06</v>
      </c>
      <c r="B99" s="611">
        <v>1367226</v>
      </c>
      <c r="C99" s="1291">
        <v>61418</v>
      </c>
      <c r="D99" s="1291">
        <v>0</v>
      </c>
      <c r="E99" s="334">
        <v>0</v>
      </c>
      <c r="F99" s="1181">
        <v>248080</v>
      </c>
      <c r="G99" s="1291">
        <v>24679</v>
      </c>
      <c r="H99" s="1291">
        <v>0</v>
      </c>
      <c r="I99" s="180">
        <v>0</v>
      </c>
      <c r="J99" s="1181">
        <v>1080052</v>
      </c>
      <c r="K99" s="1291">
        <v>25557</v>
      </c>
      <c r="L99" s="1291">
        <v>0</v>
      </c>
      <c r="M99" s="180">
        <v>0</v>
      </c>
      <c r="N99" s="1181">
        <v>3842</v>
      </c>
      <c r="O99" s="1291">
        <v>0</v>
      </c>
      <c r="P99" s="1291">
        <v>0</v>
      </c>
      <c r="Q99" s="180">
        <v>0</v>
      </c>
      <c r="R99" s="334">
        <v>1589279</v>
      </c>
      <c r="S99" s="1291">
        <v>418152</v>
      </c>
      <c r="T99" s="1291">
        <v>0</v>
      </c>
      <c r="U99" s="180">
        <v>0</v>
      </c>
      <c r="V99" s="334">
        <v>89269</v>
      </c>
      <c r="W99" s="1302">
        <v>122517</v>
      </c>
      <c r="X99" s="1306"/>
      <c r="Y99" s="1308"/>
      <c r="Z99" s="1311">
        <f t="shared" si="4"/>
        <v>211786</v>
      </c>
      <c r="AA99" s="1302">
        <v>239290</v>
      </c>
      <c r="AB99" s="1181">
        <v>23580</v>
      </c>
      <c r="AC99" s="1302">
        <v>38494</v>
      </c>
      <c r="AD99" s="1315"/>
      <c r="AE99" s="1316"/>
      <c r="AF99" s="1311">
        <f t="shared" si="5"/>
        <v>62074</v>
      </c>
      <c r="AG99" s="1322">
        <v>163770</v>
      </c>
    </row>
    <row r="100" spans="1:33" s="2" customFormat="1">
      <c r="A100" s="134">
        <f t="shared" si="6"/>
        <v>2000.07</v>
      </c>
      <c r="B100" s="611">
        <v>1450314</v>
      </c>
      <c r="C100" s="1291">
        <v>57437</v>
      </c>
      <c r="D100" s="1291">
        <v>0</v>
      </c>
      <c r="E100" s="334">
        <v>0</v>
      </c>
      <c r="F100" s="1181">
        <v>264219</v>
      </c>
      <c r="G100" s="1291">
        <v>23090</v>
      </c>
      <c r="H100" s="1291">
        <v>0</v>
      </c>
      <c r="I100" s="180">
        <v>0</v>
      </c>
      <c r="J100" s="1181">
        <v>1146627</v>
      </c>
      <c r="K100" s="1291">
        <v>23316</v>
      </c>
      <c r="L100" s="1291">
        <v>0</v>
      </c>
      <c r="M100" s="180">
        <v>0</v>
      </c>
      <c r="N100" s="1181">
        <v>4073</v>
      </c>
      <c r="O100" s="1291">
        <v>0</v>
      </c>
      <c r="P100" s="1291">
        <v>0</v>
      </c>
      <c r="Q100" s="180">
        <v>0</v>
      </c>
      <c r="R100" s="334">
        <v>1719366</v>
      </c>
      <c r="S100" s="1291">
        <v>345889</v>
      </c>
      <c r="T100" s="1291">
        <v>0</v>
      </c>
      <c r="U100" s="180">
        <v>0</v>
      </c>
      <c r="V100" s="334">
        <v>78067</v>
      </c>
      <c r="W100" s="1302">
        <v>321522</v>
      </c>
      <c r="X100" s="1306"/>
      <c r="Y100" s="1308"/>
      <c r="Z100" s="1311">
        <f t="shared" si="4"/>
        <v>399589</v>
      </c>
      <c r="AA100" s="1302">
        <v>419590</v>
      </c>
      <c r="AB100" s="1181">
        <v>17426</v>
      </c>
      <c r="AC100" s="1302">
        <v>99303</v>
      </c>
      <c r="AD100" s="1315"/>
      <c r="AE100" s="1316"/>
      <c r="AF100" s="1311">
        <f t="shared" si="5"/>
        <v>116729</v>
      </c>
      <c r="AG100" s="1322">
        <v>229690</v>
      </c>
    </row>
    <row r="101" spans="1:33" s="2" customFormat="1">
      <c r="A101" s="134">
        <f t="shared" si="6"/>
        <v>2000.08</v>
      </c>
      <c r="B101" s="611">
        <v>1486917</v>
      </c>
      <c r="C101" s="1291">
        <v>89320</v>
      </c>
      <c r="D101" s="1291">
        <v>0</v>
      </c>
      <c r="E101" s="334">
        <v>0</v>
      </c>
      <c r="F101" s="1181">
        <v>271672</v>
      </c>
      <c r="G101" s="1291">
        <v>36626</v>
      </c>
      <c r="H101" s="1291">
        <v>0</v>
      </c>
      <c r="I101" s="180">
        <v>0</v>
      </c>
      <c r="J101" s="1181">
        <v>1175890</v>
      </c>
      <c r="K101" s="1291">
        <v>37688</v>
      </c>
      <c r="L101" s="1291">
        <v>0</v>
      </c>
      <c r="M101" s="180">
        <v>0</v>
      </c>
      <c r="N101" s="1181">
        <v>5116</v>
      </c>
      <c r="O101" s="1291">
        <v>0</v>
      </c>
      <c r="P101" s="1291">
        <v>0</v>
      </c>
      <c r="Q101" s="180">
        <v>0</v>
      </c>
      <c r="R101" s="334">
        <v>1797276</v>
      </c>
      <c r="S101" s="1291">
        <v>417682</v>
      </c>
      <c r="T101" s="1291">
        <v>307</v>
      </c>
      <c r="U101" s="180">
        <v>0</v>
      </c>
      <c r="V101" s="334">
        <v>109713</v>
      </c>
      <c r="W101" s="1302">
        <v>214543</v>
      </c>
      <c r="X101" s="1306"/>
      <c r="Y101" s="1308"/>
      <c r="Z101" s="1311">
        <f t="shared" si="4"/>
        <v>324256</v>
      </c>
      <c r="AA101" s="1302">
        <v>330460</v>
      </c>
      <c r="AB101" s="1181">
        <v>4499</v>
      </c>
      <c r="AC101" s="1302">
        <v>26698</v>
      </c>
      <c r="AD101" s="1315"/>
      <c r="AE101" s="1316"/>
      <c r="AF101" s="1311">
        <f t="shared" si="5"/>
        <v>31197</v>
      </c>
      <c r="AG101" s="1322">
        <v>59510</v>
      </c>
    </row>
    <row r="102" spans="1:33" s="2" customFormat="1">
      <c r="A102" s="134">
        <f t="shared" si="6"/>
        <v>2000.09</v>
      </c>
      <c r="B102" s="611">
        <v>1398503</v>
      </c>
      <c r="C102" s="1291">
        <v>70735</v>
      </c>
      <c r="D102" s="1291">
        <v>0</v>
      </c>
      <c r="E102" s="334">
        <v>0</v>
      </c>
      <c r="F102" s="1181">
        <v>256235</v>
      </c>
      <c r="G102" s="1291">
        <v>28766</v>
      </c>
      <c r="H102" s="1291">
        <v>0</v>
      </c>
      <c r="I102" s="180">
        <v>0</v>
      </c>
      <c r="J102" s="1181">
        <v>1098624</v>
      </c>
      <c r="K102" s="1291">
        <v>29936</v>
      </c>
      <c r="L102" s="1291">
        <v>0</v>
      </c>
      <c r="M102" s="180">
        <v>0</v>
      </c>
      <c r="N102" s="1181">
        <v>4811</v>
      </c>
      <c r="O102" s="1291">
        <v>0</v>
      </c>
      <c r="P102" s="1291">
        <v>0</v>
      </c>
      <c r="Q102" s="180">
        <v>0</v>
      </c>
      <c r="R102" s="334">
        <v>1671860</v>
      </c>
      <c r="S102" s="1291">
        <v>371443</v>
      </c>
      <c r="T102" s="1291">
        <v>1069</v>
      </c>
      <c r="U102" s="180">
        <v>0</v>
      </c>
      <c r="V102" s="334">
        <v>93099</v>
      </c>
      <c r="W102" s="1302">
        <v>174738</v>
      </c>
      <c r="X102" s="1306"/>
      <c r="Y102" s="1308"/>
      <c r="Z102" s="1311">
        <f t="shared" si="4"/>
        <v>267837</v>
      </c>
      <c r="AA102" s="1302">
        <v>274840</v>
      </c>
      <c r="AB102" s="1181">
        <v>9500</v>
      </c>
      <c r="AC102" s="1302">
        <v>17781</v>
      </c>
      <c r="AD102" s="1315"/>
      <c r="AE102" s="1316"/>
      <c r="AF102" s="1311">
        <f t="shared" si="5"/>
        <v>27281</v>
      </c>
      <c r="AG102" s="1322">
        <v>119490</v>
      </c>
    </row>
    <row r="103" spans="1:33" s="2" customFormat="1">
      <c r="A103" s="134">
        <f t="shared" si="6"/>
        <v>2000.1</v>
      </c>
      <c r="B103" s="611">
        <v>1305026</v>
      </c>
      <c r="C103" s="1291">
        <v>48475</v>
      </c>
      <c r="D103" s="1291">
        <v>0</v>
      </c>
      <c r="E103" s="334">
        <v>0</v>
      </c>
      <c r="F103" s="1181">
        <v>238860</v>
      </c>
      <c r="G103" s="1291">
        <v>20016</v>
      </c>
      <c r="H103" s="1291">
        <v>0</v>
      </c>
      <c r="I103" s="180">
        <v>0</v>
      </c>
      <c r="J103" s="1181">
        <v>1025055</v>
      </c>
      <c r="K103" s="1291">
        <v>20974</v>
      </c>
      <c r="L103" s="1291">
        <v>0</v>
      </c>
      <c r="M103" s="180">
        <v>0</v>
      </c>
      <c r="N103" s="1181">
        <v>4458</v>
      </c>
      <c r="O103" s="1291">
        <v>0</v>
      </c>
      <c r="P103" s="1291">
        <v>0</v>
      </c>
      <c r="Q103" s="180">
        <v>0</v>
      </c>
      <c r="R103" s="334">
        <v>1506751</v>
      </c>
      <c r="S103" s="1291">
        <v>393554</v>
      </c>
      <c r="T103" s="1291">
        <v>0</v>
      </c>
      <c r="U103" s="180">
        <v>0</v>
      </c>
      <c r="V103" s="334">
        <v>102370</v>
      </c>
      <c r="W103" s="1302">
        <v>223258</v>
      </c>
      <c r="X103" s="1306"/>
      <c r="Y103" s="1308"/>
      <c r="Z103" s="1311">
        <f t="shared" si="4"/>
        <v>325628</v>
      </c>
      <c r="AA103" s="1302">
        <v>329470</v>
      </c>
      <c r="AB103" s="1181">
        <v>14000</v>
      </c>
      <c r="AC103" s="1302">
        <v>50350</v>
      </c>
      <c r="AD103" s="1315"/>
      <c r="AE103" s="1316"/>
      <c r="AF103" s="1311">
        <f t="shared" si="5"/>
        <v>64350</v>
      </c>
      <c r="AG103" s="1322">
        <v>145670</v>
      </c>
    </row>
    <row r="104" spans="1:33" s="2" customFormat="1">
      <c r="A104" s="134">
        <f t="shared" si="6"/>
        <v>2000.11</v>
      </c>
      <c r="B104" s="611">
        <v>1277367</v>
      </c>
      <c r="C104" s="1291">
        <v>53360</v>
      </c>
      <c r="D104" s="1291">
        <v>499</v>
      </c>
      <c r="E104" s="334">
        <v>0</v>
      </c>
      <c r="F104" s="1181">
        <v>233588</v>
      </c>
      <c r="G104" s="1291">
        <v>21913</v>
      </c>
      <c r="H104" s="1291">
        <v>115</v>
      </c>
      <c r="I104" s="180">
        <v>0</v>
      </c>
      <c r="J104" s="1181">
        <v>1006068</v>
      </c>
      <c r="K104" s="1291">
        <v>23101</v>
      </c>
      <c r="L104" s="1291">
        <v>0</v>
      </c>
      <c r="M104" s="180">
        <v>0</v>
      </c>
      <c r="N104" s="1181">
        <v>5384</v>
      </c>
      <c r="O104" s="1291">
        <v>0</v>
      </c>
      <c r="P104" s="1291">
        <v>457</v>
      </c>
      <c r="Q104" s="180">
        <v>0</v>
      </c>
      <c r="R104" s="334">
        <v>1508319</v>
      </c>
      <c r="S104" s="1291">
        <v>344902</v>
      </c>
      <c r="T104" s="1291">
        <v>548</v>
      </c>
      <c r="U104" s="180">
        <v>0</v>
      </c>
      <c r="V104" s="334">
        <v>88500</v>
      </c>
      <c r="W104" s="1302">
        <v>134019</v>
      </c>
      <c r="X104" s="1306"/>
      <c r="Y104" s="1308"/>
      <c r="Z104" s="1311">
        <f t="shared" si="4"/>
        <v>222519</v>
      </c>
      <c r="AA104" s="1302">
        <v>228690</v>
      </c>
      <c r="AB104" s="1181">
        <v>2000</v>
      </c>
      <c r="AC104" s="1302">
        <v>21710</v>
      </c>
      <c r="AD104" s="1315"/>
      <c r="AE104" s="1316"/>
      <c r="AF104" s="1311">
        <f t="shared" si="5"/>
        <v>23710</v>
      </c>
      <c r="AG104" s="1322">
        <v>95830</v>
      </c>
    </row>
    <row r="105" spans="1:33" s="2" customFormat="1">
      <c r="A105" s="134">
        <f t="shared" si="6"/>
        <v>2000.12</v>
      </c>
      <c r="B105" s="611">
        <v>1054630</v>
      </c>
      <c r="C105" s="1291">
        <v>16877</v>
      </c>
      <c r="D105" s="1291">
        <v>631</v>
      </c>
      <c r="E105" s="334">
        <v>0</v>
      </c>
      <c r="F105" s="1181">
        <v>193043</v>
      </c>
      <c r="G105" s="1291">
        <v>6972</v>
      </c>
      <c r="H105" s="1291">
        <v>220</v>
      </c>
      <c r="I105" s="180">
        <v>0</v>
      </c>
      <c r="J105" s="1181">
        <v>829309</v>
      </c>
      <c r="K105" s="1291">
        <v>7248</v>
      </c>
      <c r="L105" s="1291">
        <v>0</v>
      </c>
      <c r="M105" s="180">
        <v>0</v>
      </c>
      <c r="N105" s="1181">
        <v>4782</v>
      </c>
      <c r="O105" s="1291">
        <v>0</v>
      </c>
      <c r="P105" s="1291">
        <v>703</v>
      </c>
      <c r="Q105" s="180">
        <v>0</v>
      </c>
      <c r="R105" s="334">
        <v>1207575</v>
      </c>
      <c r="S105" s="1291">
        <v>270710</v>
      </c>
      <c r="T105" s="1291">
        <v>970</v>
      </c>
      <c r="U105" s="180">
        <v>0</v>
      </c>
      <c r="V105" s="334">
        <v>84017</v>
      </c>
      <c r="W105" s="1302">
        <v>206917</v>
      </c>
      <c r="X105" s="1306"/>
      <c r="Y105" s="1308"/>
      <c r="Z105" s="1311">
        <f t="shared" si="4"/>
        <v>290934</v>
      </c>
      <c r="AA105" s="1302">
        <v>295930</v>
      </c>
      <c r="AB105" s="1181">
        <v>2057</v>
      </c>
      <c r="AC105" s="1302">
        <v>18549</v>
      </c>
      <c r="AD105" s="1315"/>
      <c r="AE105" s="1316"/>
      <c r="AF105" s="1311">
        <f t="shared" si="5"/>
        <v>20606</v>
      </c>
      <c r="AG105" s="1322">
        <v>122010</v>
      </c>
    </row>
    <row r="106" spans="1:33" s="2" customFormat="1">
      <c r="A106" s="134">
        <f t="shared" si="6"/>
        <v>2001.01</v>
      </c>
      <c r="B106" s="611">
        <v>818443</v>
      </c>
      <c r="C106" s="1291">
        <v>116149</v>
      </c>
      <c r="D106" s="1291">
        <v>1501</v>
      </c>
      <c r="E106" s="334">
        <v>0</v>
      </c>
      <c r="F106" s="1181">
        <v>151037</v>
      </c>
      <c r="G106" s="1291">
        <v>45005</v>
      </c>
      <c r="H106" s="1291">
        <v>467</v>
      </c>
      <c r="I106" s="180">
        <v>0</v>
      </c>
      <c r="J106" s="1181">
        <v>648163</v>
      </c>
      <c r="K106" s="1291">
        <v>49099</v>
      </c>
      <c r="L106" s="1291">
        <v>0</v>
      </c>
      <c r="M106" s="180">
        <v>0</v>
      </c>
      <c r="N106" s="1181">
        <v>3413</v>
      </c>
      <c r="O106" s="1291">
        <v>0</v>
      </c>
      <c r="P106" s="1291">
        <v>1011</v>
      </c>
      <c r="Q106" s="180">
        <v>0</v>
      </c>
      <c r="R106" s="334">
        <v>904738</v>
      </c>
      <c r="S106" s="1291">
        <v>201699</v>
      </c>
      <c r="T106" s="1291">
        <v>5307</v>
      </c>
      <c r="U106" s="180">
        <v>0</v>
      </c>
      <c r="V106" s="334">
        <v>15405</v>
      </c>
      <c r="W106" s="1302">
        <v>82630</v>
      </c>
      <c r="X106" s="1306"/>
      <c r="Y106" s="1308"/>
      <c r="Z106" s="1311">
        <f t="shared" si="4"/>
        <v>98035</v>
      </c>
      <c r="AA106" s="1302">
        <v>98030</v>
      </c>
      <c r="AB106" s="1181">
        <v>0</v>
      </c>
      <c r="AC106" s="1302">
        <v>19200</v>
      </c>
      <c r="AD106" s="1315"/>
      <c r="AE106" s="1316"/>
      <c r="AF106" s="1311">
        <f t="shared" si="5"/>
        <v>19200</v>
      </c>
      <c r="AG106" s="1322">
        <v>90670</v>
      </c>
    </row>
    <row r="107" spans="1:33" s="2" customFormat="1">
      <c r="A107" s="134">
        <f t="shared" si="6"/>
        <v>2001.02</v>
      </c>
      <c r="B107" s="611">
        <v>334851</v>
      </c>
      <c r="C107" s="1291">
        <v>105409</v>
      </c>
      <c r="D107" s="1291">
        <v>418</v>
      </c>
      <c r="E107" s="334">
        <v>0</v>
      </c>
      <c r="F107" s="1181">
        <v>60945</v>
      </c>
      <c r="G107" s="1291">
        <v>42956</v>
      </c>
      <c r="H107" s="1291">
        <v>123</v>
      </c>
      <c r="I107" s="180">
        <v>0</v>
      </c>
      <c r="J107" s="1181">
        <v>262044</v>
      </c>
      <c r="K107" s="1291">
        <v>44539</v>
      </c>
      <c r="L107" s="1291">
        <v>0</v>
      </c>
      <c r="M107" s="180">
        <v>0</v>
      </c>
      <c r="N107" s="1181">
        <v>3267</v>
      </c>
      <c r="O107" s="1291">
        <v>0</v>
      </c>
      <c r="P107" s="1291">
        <v>280</v>
      </c>
      <c r="Q107" s="180">
        <v>0</v>
      </c>
      <c r="R107" s="334">
        <v>362038</v>
      </c>
      <c r="S107" s="1291">
        <v>274807</v>
      </c>
      <c r="T107" s="1291">
        <v>1333</v>
      </c>
      <c r="U107" s="180">
        <v>0</v>
      </c>
      <c r="V107" s="334">
        <v>94962</v>
      </c>
      <c r="W107" s="1302">
        <v>91851</v>
      </c>
      <c r="X107" s="1306"/>
      <c r="Y107" s="1308"/>
      <c r="Z107" s="1311">
        <f t="shared" si="4"/>
        <v>186813</v>
      </c>
      <c r="AA107" s="1302">
        <v>186810</v>
      </c>
      <c r="AB107" s="1181">
        <v>0</v>
      </c>
      <c r="AC107" s="1302">
        <v>21089</v>
      </c>
      <c r="AD107" s="1315"/>
      <c r="AE107" s="1316"/>
      <c r="AF107" s="1311">
        <f t="shared" si="5"/>
        <v>21089</v>
      </c>
      <c r="AG107" s="1322">
        <v>52760</v>
      </c>
    </row>
    <row r="108" spans="1:33" s="2" customFormat="1">
      <c r="A108" s="134">
        <f t="shared" si="6"/>
        <v>2001.03</v>
      </c>
      <c r="B108" s="611">
        <v>798504</v>
      </c>
      <c r="C108" s="1291">
        <v>120055</v>
      </c>
      <c r="D108" s="1291">
        <v>1136</v>
      </c>
      <c r="E108" s="334">
        <v>15384</v>
      </c>
      <c r="F108" s="1181">
        <v>147104</v>
      </c>
      <c r="G108" s="1291">
        <v>50148</v>
      </c>
      <c r="H108" s="1291">
        <v>335</v>
      </c>
      <c r="I108" s="180">
        <v>2542</v>
      </c>
      <c r="J108" s="1181">
        <v>626417</v>
      </c>
      <c r="K108" s="1291">
        <v>51183</v>
      </c>
      <c r="L108" s="1291">
        <v>0</v>
      </c>
      <c r="M108" s="180">
        <v>8000</v>
      </c>
      <c r="N108" s="1181">
        <v>3947</v>
      </c>
      <c r="O108" s="1291">
        <v>0</v>
      </c>
      <c r="P108" s="1291">
        <v>866</v>
      </c>
      <c r="Q108" s="180">
        <v>0</v>
      </c>
      <c r="R108" s="334">
        <v>870377</v>
      </c>
      <c r="S108" s="1291">
        <v>490321</v>
      </c>
      <c r="T108" s="1291">
        <v>1136</v>
      </c>
      <c r="U108" s="180">
        <v>15384</v>
      </c>
      <c r="V108" s="334">
        <v>15000</v>
      </c>
      <c r="W108" s="1302">
        <v>142455</v>
      </c>
      <c r="X108" s="1306"/>
      <c r="Y108" s="1308"/>
      <c r="Z108" s="1311">
        <f t="shared" si="4"/>
        <v>157455</v>
      </c>
      <c r="AA108" s="1302">
        <v>157460</v>
      </c>
      <c r="AB108" s="1181">
        <v>0</v>
      </c>
      <c r="AC108" s="1302">
        <v>62113</v>
      </c>
      <c r="AD108" s="1315"/>
      <c r="AE108" s="1316"/>
      <c r="AF108" s="1311">
        <f t="shared" si="5"/>
        <v>62113</v>
      </c>
      <c r="AG108" s="1322">
        <v>105770</v>
      </c>
    </row>
    <row r="109" spans="1:33" s="2" customFormat="1">
      <c r="A109" s="134">
        <f t="shared" si="6"/>
        <v>2001.04</v>
      </c>
      <c r="B109" s="611">
        <v>1425353</v>
      </c>
      <c r="C109" s="1291">
        <v>59473</v>
      </c>
      <c r="D109" s="1291">
        <v>0</v>
      </c>
      <c r="E109" s="334">
        <v>25551</v>
      </c>
      <c r="F109" s="1181">
        <v>270285</v>
      </c>
      <c r="G109" s="1291">
        <v>26182</v>
      </c>
      <c r="H109" s="1291">
        <v>0</v>
      </c>
      <c r="I109" s="180">
        <v>4331</v>
      </c>
      <c r="J109" s="1181">
        <v>1127778</v>
      </c>
      <c r="K109" s="1291">
        <v>27580</v>
      </c>
      <c r="L109" s="1291">
        <v>0</v>
      </c>
      <c r="M109" s="180">
        <v>12468</v>
      </c>
      <c r="N109" s="1181">
        <v>4656</v>
      </c>
      <c r="O109" s="1291">
        <v>0</v>
      </c>
      <c r="P109" s="1291">
        <v>0</v>
      </c>
      <c r="Q109" s="180">
        <v>0</v>
      </c>
      <c r="R109" s="334">
        <v>1704680</v>
      </c>
      <c r="S109" s="1291">
        <v>305416</v>
      </c>
      <c r="T109" s="1291">
        <v>676</v>
      </c>
      <c r="U109" s="180">
        <v>25551</v>
      </c>
      <c r="V109" s="334">
        <v>72000</v>
      </c>
      <c r="W109" s="1302">
        <v>145278</v>
      </c>
      <c r="X109" s="1306"/>
      <c r="Y109" s="1308"/>
      <c r="Z109" s="1311">
        <f t="shared" si="4"/>
        <v>217278</v>
      </c>
      <c r="AA109" s="1302">
        <v>217280</v>
      </c>
      <c r="AB109" s="1181">
        <v>5500</v>
      </c>
      <c r="AC109" s="1302">
        <v>29440</v>
      </c>
      <c r="AD109" s="1315"/>
      <c r="AE109" s="1316"/>
      <c r="AF109" s="1311">
        <f t="shared" si="5"/>
        <v>34940</v>
      </c>
      <c r="AG109" s="1322">
        <v>111450</v>
      </c>
    </row>
    <row r="110" spans="1:33" s="2" customFormat="1">
      <c r="A110" s="134">
        <f t="shared" si="6"/>
        <v>2001.05</v>
      </c>
      <c r="B110" s="611">
        <v>1491045</v>
      </c>
      <c r="C110" s="1291">
        <v>44879</v>
      </c>
      <c r="D110" s="1291">
        <v>685</v>
      </c>
      <c r="E110" s="334">
        <v>33678</v>
      </c>
      <c r="F110" s="1181">
        <v>276668</v>
      </c>
      <c r="G110" s="1291">
        <v>18756</v>
      </c>
      <c r="H110" s="1291">
        <v>212</v>
      </c>
      <c r="I110" s="180">
        <v>5108</v>
      </c>
      <c r="J110" s="1181">
        <v>1178164</v>
      </c>
      <c r="K110" s="1291">
        <v>19223</v>
      </c>
      <c r="L110" s="1291">
        <v>0</v>
      </c>
      <c r="M110" s="180">
        <v>16838</v>
      </c>
      <c r="N110" s="1181">
        <v>4465</v>
      </c>
      <c r="O110" s="1291">
        <v>0</v>
      </c>
      <c r="P110" s="1291">
        <v>463</v>
      </c>
      <c r="Q110" s="180">
        <v>0</v>
      </c>
      <c r="R110" s="334">
        <v>1871926</v>
      </c>
      <c r="S110" s="1291">
        <v>240620</v>
      </c>
      <c r="T110" s="1291">
        <v>837</v>
      </c>
      <c r="U110" s="180">
        <v>33678</v>
      </c>
      <c r="V110" s="334">
        <v>64800</v>
      </c>
      <c r="W110" s="1302">
        <v>219310</v>
      </c>
      <c r="X110" s="1306"/>
      <c r="Y110" s="1308"/>
      <c r="Z110" s="1311">
        <f t="shared" si="4"/>
        <v>284110</v>
      </c>
      <c r="AA110" s="1302">
        <v>293950</v>
      </c>
      <c r="AB110" s="1181">
        <v>12500</v>
      </c>
      <c r="AC110" s="1302">
        <v>9975</v>
      </c>
      <c r="AD110" s="1315"/>
      <c r="AE110" s="1316"/>
      <c r="AF110" s="1311">
        <f t="shared" si="5"/>
        <v>22475</v>
      </c>
      <c r="AG110" s="1322">
        <v>88390</v>
      </c>
    </row>
    <row r="111" spans="1:33" s="2" customFormat="1">
      <c r="A111" s="134">
        <f t="shared" si="6"/>
        <v>2001.06</v>
      </c>
      <c r="B111" s="611">
        <v>1417487</v>
      </c>
      <c r="C111" s="1291">
        <v>14668</v>
      </c>
      <c r="D111" s="1291">
        <v>181</v>
      </c>
      <c r="E111" s="334">
        <v>23967</v>
      </c>
      <c r="F111" s="1181">
        <v>259823</v>
      </c>
      <c r="G111" s="1291">
        <v>5988</v>
      </c>
      <c r="H111" s="1291">
        <v>54</v>
      </c>
      <c r="I111" s="180">
        <v>4114</v>
      </c>
      <c r="J111" s="1181">
        <v>1119809</v>
      </c>
      <c r="K111" s="1291">
        <v>6483</v>
      </c>
      <c r="L111" s="1291">
        <v>0</v>
      </c>
      <c r="M111" s="180">
        <v>11984</v>
      </c>
      <c r="N111" s="1181">
        <v>5288</v>
      </c>
      <c r="O111" s="1291">
        <v>0</v>
      </c>
      <c r="P111" s="1291">
        <v>127</v>
      </c>
      <c r="Q111" s="180">
        <v>0</v>
      </c>
      <c r="R111" s="334">
        <v>1792080</v>
      </c>
      <c r="S111" s="1291">
        <v>223591</v>
      </c>
      <c r="T111" s="1291">
        <v>181</v>
      </c>
      <c r="U111" s="180">
        <v>23967</v>
      </c>
      <c r="V111" s="334">
        <v>108500</v>
      </c>
      <c r="W111" s="1302">
        <v>229722</v>
      </c>
      <c r="X111" s="1306"/>
      <c r="Y111" s="1308"/>
      <c r="Z111" s="1311">
        <f t="shared" si="4"/>
        <v>338222</v>
      </c>
      <c r="AA111" s="1302">
        <v>358720</v>
      </c>
      <c r="AB111" s="1181">
        <v>10240</v>
      </c>
      <c r="AC111" s="1302">
        <v>15100</v>
      </c>
      <c r="AD111" s="1315"/>
      <c r="AE111" s="1316"/>
      <c r="AF111" s="1311">
        <f t="shared" si="5"/>
        <v>25340</v>
      </c>
      <c r="AG111" s="1322">
        <v>134680</v>
      </c>
    </row>
    <row r="112" spans="1:33" s="2" customFormat="1">
      <c r="A112" s="134">
        <f t="shared" si="6"/>
        <v>2001.07</v>
      </c>
      <c r="B112" s="611">
        <v>1558903</v>
      </c>
      <c r="C112" s="1291">
        <v>20794</v>
      </c>
      <c r="D112" s="1291">
        <v>531</v>
      </c>
      <c r="E112" s="334">
        <v>0</v>
      </c>
      <c r="F112" s="1181">
        <v>287221</v>
      </c>
      <c r="G112" s="1291">
        <v>8377</v>
      </c>
      <c r="H112" s="1291">
        <v>164</v>
      </c>
      <c r="I112" s="180">
        <v>0</v>
      </c>
      <c r="J112" s="1181">
        <v>1239995</v>
      </c>
      <c r="K112" s="1291">
        <v>9327</v>
      </c>
      <c r="L112" s="1291">
        <v>0</v>
      </c>
      <c r="M112" s="180">
        <v>0</v>
      </c>
      <c r="N112" s="1181">
        <v>5389</v>
      </c>
      <c r="O112" s="1291">
        <v>0</v>
      </c>
      <c r="P112" s="1291">
        <v>396</v>
      </c>
      <c r="Q112" s="180">
        <v>0</v>
      </c>
      <c r="R112" s="334">
        <v>1923557</v>
      </c>
      <c r="S112" s="1291">
        <v>231665</v>
      </c>
      <c r="T112" s="1291">
        <v>531</v>
      </c>
      <c r="U112" s="180">
        <v>0</v>
      </c>
      <c r="V112" s="334">
        <v>104159</v>
      </c>
      <c r="W112" s="1302">
        <v>277482</v>
      </c>
      <c r="X112" s="1306"/>
      <c r="Y112" s="1308"/>
      <c r="Z112" s="1311">
        <f t="shared" si="4"/>
        <v>381641</v>
      </c>
      <c r="AA112" s="1302">
        <v>401340</v>
      </c>
      <c r="AB112" s="1181">
        <v>7000</v>
      </c>
      <c r="AC112" s="1302">
        <v>4300</v>
      </c>
      <c r="AD112" s="1315"/>
      <c r="AE112" s="1316"/>
      <c r="AF112" s="1311">
        <f t="shared" si="5"/>
        <v>11300</v>
      </c>
      <c r="AG112" s="1322">
        <v>64030</v>
      </c>
    </row>
    <row r="113" spans="1:33" s="2" customFormat="1">
      <c r="A113" s="134">
        <f t="shared" si="6"/>
        <v>2001.08</v>
      </c>
      <c r="B113" s="611">
        <v>1563280</v>
      </c>
      <c r="C113" s="1291">
        <v>29837</v>
      </c>
      <c r="D113" s="1291">
        <v>1195</v>
      </c>
      <c r="E113" s="334">
        <v>26791</v>
      </c>
      <c r="F113" s="1181">
        <v>289570</v>
      </c>
      <c r="G113" s="1291">
        <v>12040</v>
      </c>
      <c r="H113" s="1291">
        <v>355</v>
      </c>
      <c r="I113" s="180">
        <v>3841</v>
      </c>
      <c r="J113" s="1181">
        <v>1244872</v>
      </c>
      <c r="K113" s="1291">
        <v>13447</v>
      </c>
      <c r="L113" s="1291">
        <v>0</v>
      </c>
      <c r="M113" s="180">
        <v>13244</v>
      </c>
      <c r="N113" s="1181">
        <v>5316</v>
      </c>
      <c r="O113" s="1291">
        <v>0</v>
      </c>
      <c r="P113" s="1291">
        <v>897</v>
      </c>
      <c r="Q113" s="180">
        <v>0</v>
      </c>
      <c r="R113" s="334">
        <v>1948630</v>
      </c>
      <c r="S113" s="1291">
        <v>242368</v>
      </c>
      <c r="T113" s="1291">
        <v>1417</v>
      </c>
      <c r="U113" s="180">
        <v>26791</v>
      </c>
      <c r="V113" s="334">
        <v>103685</v>
      </c>
      <c r="W113" s="1302">
        <v>228846</v>
      </c>
      <c r="X113" s="1306"/>
      <c r="Y113" s="1308"/>
      <c r="Z113" s="1311">
        <f t="shared" si="4"/>
        <v>332531</v>
      </c>
      <c r="AA113" s="1302">
        <v>351060</v>
      </c>
      <c r="AB113" s="1181">
        <v>1500</v>
      </c>
      <c r="AC113" s="1302">
        <v>6500</v>
      </c>
      <c r="AD113" s="1315"/>
      <c r="AE113" s="1316"/>
      <c r="AF113" s="1311">
        <f t="shared" si="5"/>
        <v>8000</v>
      </c>
      <c r="AG113" s="1322">
        <v>53230</v>
      </c>
    </row>
    <row r="114" spans="1:33" s="2" customFormat="1">
      <c r="A114" s="134">
        <f t="shared" si="6"/>
        <v>2001.09</v>
      </c>
      <c r="B114" s="611">
        <v>1392964</v>
      </c>
      <c r="C114" s="1291">
        <v>10257</v>
      </c>
      <c r="D114" s="1291">
        <v>84</v>
      </c>
      <c r="E114" s="334">
        <v>11095</v>
      </c>
      <c r="F114" s="1181">
        <v>259356</v>
      </c>
      <c r="G114" s="1291">
        <v>4145</v>
      </c>
      <c r="H114" s="1291">
        <v>26</v>
      </c>
      <c r="I114" s="180">
        <v>2055</v>
      </c>
      <c r="J114" s="1181">
        <v>1100123</v>
      </c>
      <c r="K114" s="1291">
        <v>4554</v>
      </c>
      <c r="L114" s="1291">
        <v>0</v>
      </c>
      <c r="M114" s="180">
        <v>6000</v>
      </c>
      <c r="N114" s="1181">
        <v>5131</v>
      </c>
      <c r="O114" s="1291">
        <v>0</v>
      </c>
      <c r="P114" s="1291">
        <v>62</v>
      </c>
      <c r="Q114" s="180">
        <v>0</v>
      </c>
      <c r="R114" s="334">
        <v>1699771</v>
      </c>
      <c r="S114" s="1291">
        <v>276361</v>
      </c>
      <c r="T114" s="1291">
        <v>206</v>
      </c>
      <c r="U114" s="180">
        <v>11095</v>
      </c>
      <c r="V114" s="334">
        <v>56518</v>
      </c>
      <c r="W114" s="1302">
        <v>223017</v>
      </c>
      <c r="X114" s="1306"/>
      <c r="Y114" s="1308"/>
      <c r="Z114" s="1311">
        <f t="shared" si="4"/>
        <v>279535</v>
      </c>
      <c r="AA114" s="1302">
        <v>296060</v>
      </c>
      <c r="AB114" s="1181">
        <v>1000</v>
      </c>
      <c r="AC114" s="1302">
        <v>23050</v>
      </c>
      <c r="AD114" s="1315"/>
      <c r="AE114" s="1316"/>
      <c r="AF114" s="1311">
        <f t="shared" si="5"/>
        <v>24050</v>
      </c>
      <c r="AG114" s="1322">
        <v>84800</v>
      </c>
    </row>
    <row r="115" spans="1:33" s="2" customFormat="1">
      <c r="A115" s="134">
        <f t="shared" si="6"/>
        <v>2001.1</v>
      </c>
      <c r="B115" s="611">
        <v>1467560</v>
      </c>
      <c r="C115" s="1291">
        <v>44273</v>
      </c>
      <c r="D115" s="1291">
        <v>0</v>
      </c>
      <c r="E115" s="334">
        <v>0</v>
      </c>
      <c r="F115" s="1181">
        <v>271727</v>
      </c>
      <c r="G115" s="1291">
        <v>17712</v>
      </c>
      <c r="H115" s="1291">
        <v>0</v>
      </c>
      <c r="I115" s="180">
        <v>0</v>
      </c>
      <c r="J115" s="1181">
        <v>1155229</v>
      </c>
      <c r="K115" s="1291">
        <v>19829</v>
      </c>
      <c r="L115" s="1291">
        <v>0</v>
      </c>
      <c r="M115" s="180">
        <v>0</v>
      </c>
      <c r="N115" s="1181">
        <v>5237</v>
      </c>
      <c r="O115" s="1291">
        <v>0</v>
      </c>
      <c r="P115" s="1291">
        <v>0</v>
      </c>
      <c r="Q115" s="180">
        <v>0</v>
      </c>
      <c r="R115" s="334">
        <v>1830550</v>
      </c>
      <c r="S115" s="1291">
        <v>234161</v>
      </c>
      <c r="T115" s="1291">
        <v>32</v>
      </c>
      <c r="U115" s="180">
        <v>0</v>
      </c>
      <c r="V115" s="334">
        <v>120600</v>
      </c>
      <c r="W115" s="1302">
        <v>207619</v>
      </c>
      <c r="X115" s="1306"/>
      <c r="Y115" s="1308"/>
      <c r="Z115" s="1311">
        <f t="shared" si="4"/>
        <v>328219</v>
      </c>
      <c r="AA115" s="1302">
        <v>344320</v>
      </c>
      <c r="AB115" s="1181">
        <v>4500</v>
      </c>
      <c r="AC115" s="1302">
        <v>31746</v>
      </c>
      <c r="AD115" s="1315"/>
      <c r="AE115" s="1316"/>
      <c r="AF115" s="1311">
        <f t="shared" si="5"/>
        <v>36246</v>
      </c>
      <c r="AG115" s="1322">
        <v>133400</v>
      </c>
    </row>
    <row r="116" spans="1:33" s="2" customFormat="1">
      <c r="A116" s="134">
        <f t="shared" si="6"/>
        <v>2001.11</v>
      </c>
      <c r="B116" s="611">
        <v>1446285</v>
      </c>
      <c r="C116" s="1291">
        <v>43065</v>
      </c>
      <c r="D116" s="1291">
        <v>0</v>
      </c>
      <c r="E116" s="334">
        <v>0</v>
      </c>
      <c r="F116" s="1181">
        <v>271911</v>
      </c>
      <c r="G116" s="1291">
        <v>16888</v>
      </c>
      <c r="H116" s="1291">
        <v>0</v>
      </c>
      <c r="I116" s="180">
        <v>0</v>
      </c>
      <c r="J116" s="1181">
        <v>1144994</v>
      </c>
      <c r="K116" s="1291">
        <v>19743</v>
      </c>
      <c r="L116" s="1291">
        <v>0</v>
      </c>
      <c r="M116" s="180">
        <v>0</v>
      </c>
      <c r="N116" s="1181">
        <v>4966</v>
      </c>
      <c r="O116" s="1291">
        <v>0</v>
      </c>
      <c r="P116" s="1291">
        <v>0</v>
      </c>
      <c r="Q116" s="180">
        <v>0</v>
      </c>
      <c r="R116" s="334">
        <v>1765385</v>
      </c>
      <c r="S116" s="1291">
        <v>196486</v>
      </c>
      <c r="T116" s="1291">
        <v>0</v>
      </c>
      <c r="U116" s="180">
        <v>0</v>
      </c>
      <c r="V116" s="334">
        <v>123750</v>
      </c>
      <c r="W116" s="1302">
        <v>195859</v>
      </c>
      <c r="X116" s="1306"/>
      <c r="Y116" s="1308"/>
      <c r="Z116" s="1311">
        <f t="shared" si="4"/>
        <v>319609</v>
      </c>
      <c r="AA116" s="1302">
        <v>319610</v>
      </c>
      <c r="AB116" s="1181">
        <v>1500</v>
      </c>
      <c r="AC116" s="1302">
        <v>16931</v>
      </c>
      <c r="AD116" s="1315"/>
      <c r="AE116" s="1316"/>
      <c r="AF116" s="1311">
        <f t="shared" si="5"/>
        <v>18431</v>
      </c>
      <c r="AG116" s="1322">
        <v>45230</v>
      </c>
    </row>
    <row r="117" spans="1:33" s="2" customFormat="1">
      <c r="A117" s="134">
        <f t="shared" si="6"/>
        <v>2001.12</v>
      </c>
      <c r="B117" s="611">
        <v>1307214</v>
      </c>
      <c r="C117" s="1291">
        <v>43178</v>
      </c>
      <c r="D117" s="1291">
        <v>0</v>
      </c>
      <c r="E117" s="334">
        <v>0</v>
      </c>
      <c r="F117" s="1181">
        <v>244563</v>
      </c>
      <c r="G117" s="1291">
        <v>17239</v>
      </c>
      <c r="H117" s="1291">
        <v>0</v>
      </c>
      <c r="I117" s="180">
        <v>0</v>
      </c>
      <c r="J117" s="1181">
        <v>1041813</v>
      </c>
      <c r="K117" s="1291">
        <v>18474</v>
      </c>
      <c r="L117" s="1291">
        <v>0</v>
      </c>
      <c r="M117" s="180">
        <v>0</v>
      </c>
      <c r="N117" s="1181">
        <v>3932</v>
      </c>
      <c r="O117" s="1291">
        <v>0</v>
      </c>
      <c r="P117" s="1291">
        <v>0</v>
      </c>
      <c r="Q117" s="180">
        <v>0</v>
      </c>
      <c r="R117" s="334">
        <v>1600480</v>
      </c>
      <c r="S117" s="1291">
        <v>218808</v>
      </c>
      <c r="T117" s="1291">
        <v>0</v>
      </c>
      <c r="U117" s="180">
        <v>0</v>
      </c>
      <c r="V117" s="334">
        <v>91920</v>
      </c>
      <c r="W117" s="1302">
        <v>396566</v>
      </c>
      <c r="X117" s="1306"/>
      <c r="Y117" s="1308"/>
      <c r="Z117" s="1311">
        <f t="shared" si="4"/>
        <v>488486</v>
      </c>
      <c r="AA117" s="1302">
        <v>493510</v>
      </c>
      <c r="AB117" s="1181">
        <v>4500</v>
      </c>
      <c r="AC117" s="1302">
        <v>7641</v>
      </c>
      <c r="AD117" s="1315"/>
      <c r="AE117" s="1316"/>
      <c r="AF117" s="1311">
        <f t="shared" si="5"/>
        <v>12141</v>
      </c>
      <c r="AG117" s="1322">
        <v>47390</v>
      </c>
    </row>
    <row r="118" spans="1:33" s="2" customFormat="1">
      <c r="A118" s="134">
        <f t="shared" si="6"/>
        <v>2002.01</v>
      </c>
      <c r="B118" s="611">
        <v>1131812</v>
      </c>
      <c r="C118" s="1291">
        <v>77263</v>
      </c>
      <c r="D118" s="1291">
        <v>272</v>
      </c>
      <c r="E118" s="334">
        <v>0</v>
      </c>
      <c r="F118" s="1181">
        <v>212347</v>
      </c>
      <c r="G118" s="1291">
        <v>31533</v>
      </c>
      <c r="H118" s="1291">
        <v>86</v>
      </c>
      <c r="I118" s="180">
        <v>0</v>
      </c>
      <c r="J118" s="1181">
        <v>903005</v>
      </c>
      <c r="K118" s="1291">
        <v>32533</v>
      </c>
      <c r="L118" s="1291">
        <v>0</v>
      </c>
      <c r="M118" s="180">
        <v>0</v>
      </c>
      <c r="N118" s="1181">
        <v>2871</v>
      </c>
      <c r="O118" s="1291">
        <v>0</v>
      </c>
      <c r="P118" s="1291">
        <v>171</v>
      </c>
      <c r="Q118" s="180">
        <v>0</v>
      </c>
      <c r="R118" s="334">
        <v>1376856</v>
      </c>
      <c r="S118" s="1291">
        <v>103439</v>
      </c>
      <c r="T118" s="1291">
        <v>1511</v>
      </c>
      <c r="U118" s="180">
        <v>0</v>
      </c>
      <c r="V118" s="334">
        <v>86309</v>
      </c>
      <c r="W118" s="1302">
        <v>123115</v>
      </c>
      <c r="X118" s="1306"/>
      <c r="Y118" s="1308"/>
      <c r="Z118" s="1311">
        <f t="shared" si="4"/>
        <v>209424</v>
      </c>
      <c r="AA118" s="1302">
        <v>215450</v>
      </c>
      <c r="AB118" s="1181">
        <v>4000</v>
      </c>
      <c r="AC118" s="1302">
        <v>11000</v>
      </c>
      <c r="AD118" s="1315"/>
      <c r="AE118" s="1316"/>
      <c r="AF118" s="1311">
        <f t="shared" si="5"/>
        <v>15000</v>
      </c>
      <c r="AG118" s="1322">
        <v>55010</v>
      </c>
    </row>
    <row r="119" spans="1:33" s="2" customFormat="1">
      <c r="A119" s="134">
        <f t="shared" si="6"/>
        <v>2002.02</v>
      </c>
      <c r="B119" s="611">
        <v>708454</v>
      </c>
      <c r="C119" s="1291">
        <v>93410</v>
      </c>
      <c r="D119" s="1291">
        <v>303</v>
      </c>
      <c r="E119" s="334">
        <v>0</v>
      </c>
      <c r="F119" s="1181">
        <v>131148</v>
      </c>
      <c r="G119" s="1291">
        <v>38748</v>
      </c>
      <c r="H119" s="1291">
        <v>95</v>
      </c>
      <c r="I119" s="180">
        <v>0</v>
      </c>
      <c r="J119" s="1181">
        <v>565087</v>
      </c>
      <c r="K119" s="1291">
        <v>39059</v>
      </c>
      <c r="L119" s="1291">
        <v>0</v>
      </c>
      <c r="M119" s="180">
        <v>0</v>
      </c>
      <c r="N119" s="1181">
        <v>3811</v>
      </c>
      <c r="O119" s="1291">
        <v>0</v>
      </c>
      <c r="P119" s="1291">
        <v>192</v>
      </c>
      <c r="Q119" s="180">
        <v>0</v>
      </c>
      <c r="R119" s="334">
        <v>879947</v>
      </c>
      <c r="S119" s="1291">
        <v>178447</v>
      </c>
      <c r="T119" s="1291">
        <v>533</v>
      </c>
      <c r="U119" s="180">
        <v>0</v>
      </c>
      <c r="V119" s="334">
        <v>45652</v>
      </c>
      <c r="W119" s="1302">
        <v>106843</v>
      </c>
      <c r="X119" s="1306"/>
      <c r="Y119" s="1308"/>
      <c r="Z119" s="1311">
        <f t="shared" si="4"/>
        <v>152495</v>
      </c>
      <c r="AA119" s="1302">
        <v>157790</v>
      </c>
      <c r="AB119" s="1181">
        <v>6000</v>
      </c>
      <c r="AC119" s="1302">
        <v>30780</v>
      </c>
      <c r="AD119" s="1315"/>
      <c r="AE119" s="1316"/>
      <c r="AF119" s="1311">
        <f t="shared" si="5"/>
        <v>36780</v>
      </c>
      <c r="AG119" s="1322">
        <v>68460</v>
      </c>
    </row>
    <row r="120" spans="1:33" s="2" customFormat="1">
      <c r="A120" s="134">
        <f t="shared" si="6"/>
        <v>2002.03</v>
      </c>
      <c r="B120" s="611">
        <v>980609</v>
      </c>
      <c r="C120" s="1291">
        <v>101059</v>
      </c>
      <c r="D120" s="1291">
        <v>0</v>
      </c>
      <c r="E120" s="334">
        <v>0</v>
      </c>
      <c r="F120" s="1181">
        <v>187236</v>
      </c>
      <c r="G120" s="1291">
        <v>42511</v>
      </c>
      <c r="H120" s="1291">
        <v>0</v>
      </c>
      <c r="I120" s="180">
        <v>0</v>
      </c>
      <c r="J120" s="1181">
        <v>779326</v>
      </c>
      <c r="K120" s="1291">
        <v>41672</v>
      </c>
      <c r="L120" s="1291">
        <v>0</v>
      </c>
      <c r="M120" s="180">
        <v>0</v>
      </c>
      <c r="N120" s="1181">
        <v>5302</v>
      </c>
      <c r="O120" s="1291">
        <v>0</v>
      </c>
      <c r="P120" s="1291">
        <v>0</v>
      </c>
      <c r="Q120" s="180">
        <v>0</v>
      </c>
      <c r="R120" s="334">
        <v>1112699</v>
      </c>
      <c r="S120" s="1291">
        <v>469520</v>
      </c>
      <c r="T120" s="1291">
        <v>634</v>
      </c>
      <c r="U120" s="180">
        <v>0</v>
      </c>
      <c r="V120" s="334">
        <v>46700</v>
      </c>
      <c r="W120" s="1302">
        <v>188134</v>
      </c>
      <c r="X120" s="1306"/>
      <c r="Y120" s="1308"/>
      <c r="Z120" s="1311">
        <f t="shared" si="4"/>
        <v>234834</v>
      </c>
      <c r="AA120" s="1302">
        <v>248810</v>
      </c>
      <c r="AB120" s="1181">
        <v>28500</v>
      </c>
      <c r="AC120" s="1302">
        <v>33717</v>
      </c>
      <c r="AD120" s="1315"/>
      <c r="AE120" s="1316"/>
      <c r="AF120" s="1311">
        <f t="shared" si="5"/>
        <v>62217</v>
      </c>
      <c r="AG120" s="1322">
        <v>109500</v>
      </c>
    </row>
    <row r="121" spans="1:33" s="2" customFormat="1">
      <c r="A121" s="134">
        <f t="shared" si="6"/>
        <v>2002.04</v>
      </c>
      <c r="B121" s="611">
        <v>1400878</v>
      </c>
      <c r="C121" s="1291">
        <v>35937</v>
      </c>
      <c r="D121" s="1291">
        <v>0</v>
      </c>
      <c r="E121" s="334">
        <v>15920</v>
      </c>
      <c r="F121" s="1181">
        <v>267844</v>
      </c>
      <c r="G121" s="1291">
        <v>14565</v>
      </c>
      <c r="H121" s="1291">
        <v>0</v>
      </c>
      <c r="I121" s="180">
        <v>2575</v>
      </c>
      <c r="J121" s="1181">
        <v>1099640</v>
      </c>
      <c r="K121" s="1291">
        <v>15222</v>
      </c>
      <c r="L121" s="1291">
        <v>0</v>
      </c>
      <c r="M121" s="180">
        <v>7511</v>
      </c>
      <c r="N121" s="1181">
        <v>5138</v>
      </c>
      <c r="O121" s="1291">
        <v>0</v>
      </c>
      <c r="P121" s="1291">
        <v>0</v>
      </c>
      <c r="Q121" s="180">
        <v>0</v>
      </c>
      <c r="R121" s="334">
        <v>1592562</v>
      </c>
      <c r="S121" s="1291">
        <v>391546</v>
      </c>
      <c r="T121" s="1291">
        <v>0</v>
      </c>
      <c r="U121" s="180">
        <v>15920</v>
      </c>
      <c r="V121" s="334">
        <v>58742</v>
      </c>
      <c r="W121" s="1302">
        <v>175319</v>
      </c>
      <c r="X121" s="1306"/>
      <c r="Y121" s="1308"/>
      <c r="Z121" s="1311">
        <f t="shared" si="4"/>
        <v>234061</v>
      </c>
      <c r="AA121" s="1302">
        <v>234060</v>
      </c>
      <c r="AB121" s="1181">
        <v>12400</v>
      </c>
      <c r="AC121" s="1302">
        <v>22646</v>
      </c>
      <c r="AD121" s="1315"/>
      <c r="AE121" s="1316"/>
      <c r="AF121" s="1311">
        <f t="shared" si="5"/>
        <v>35046</v>
      </c>
      <c r="AG121" s="1322">
        <v>130000</v>
      </c>
    </row>
    <row r="122" spans="1:33" s="2" customFormat="1">
      <c r="A122" s="134">
        <f t="shared" si="6"/>
        <v>2002.05</v>
      </c>
      <c r="B122" s="611">
        <v>1718262</v>
      </c>
      <c r="C122" s="1291">
        <v>33722</v>
      </c>
      <c r="D122" s="1291">
        <v>0</v>
      </c>
      <c r="E122" s="334">
        <v>400</v>
      </c>
      <c r="F122" s="1181">
        <v>319493</v>
      </c>
      <c r="G122" s="1291">
        <v>13800</v>
      </c>
      <c r="H122" s="1291">
        <v>0</v>
      </c>
      <c r="I122" s="180">
        <v>72</v>
      </c>
      <c r="J122" s="1181">
        <v>1350622</v>
      </c>
      <c r="K122" s="1291">
        <v>14078</v>
      </c>
      <c r="L122" s="1291">
        <v>0</v>
      </c>
      <c r="M122" s="180">
        <v>196</v>
      </c>
      <c r="N122" s="1181">
        <v>6064</v>
      </c>
      <c r="O122" s="1291">
        <v>0</v>
      </c>
      <c r="P122" s="1291">
        <v>0</v>
      </c>
      <c r="Q122" s="180">
        <v>0</v>
      </c>
      <c r="R122" s="334">
        <v>2039294</v>
      </c>
      <c r="S122" s="1291">
        <v>361368</v>
      </c>
      <c r="T122" s="1291">
        <v>251</v>
      </c>
      <c r="U122" s="180">
        <v>400</v>
      </c>
      <c r="V122" s="334">
        <v>98333</v>
      </c>
      <c r="W122" s="1302">
        <v>190113</v>
      </c>
      <c r="X122" s="1306"/>
      <c r="Y122" s="1308"/>
      <c r="Z122" s="1311">
        <f t="shared" si="4"/>
        <v>288446</v>
      </c>
      <c r="AA122" s="1302">
        <v>288450</v>
      </c>
      <c r="AB122" s="1181">
        <v>30875</v>
      </c>
      <c r="AC122" s="1302">
        <v>44020</v>
      </c>
      <c r="AD122" s="1315"/>
      <c r="AE122" s="1316"/>
      <c r="AF122" s="1311">
        <f t="shared" si="5"/>
        <v>74895</v>
      </c>
      <c r="AG122" s="1322">
        <v>138680</v>
      </c>
    </row>
    <row r="123" spans="1:33" s="2" customFormat="1">
      <c r="A123" s="134">
        <f t="shared" si="6"/>
        <v>2002.06</v>
      </c>
      <c r="B123" s="611">
        <v>1709511</v>
      </c>
      <c r="C123" s="1291">
        <v>46893</v>
      </c>
      <c r="D123" s="1291">
        <v>0</v>
      </c>
      <c r="E123" s="334">
        <v>350</v>
      </c>
      <c r="F123" s="1181">
        <v>311649</v>
      </c>
      <c r="G123" s="1291">
        <v>18878</v>
      </c>
      <c r="H123" s="1291">
        <v>0</v>
      </c>
      <c r="I123" s="180">
        <v>63</v>
      </c>
      <c r="J123" s="1181">
        <v>1350085</v>
      </c>
      <c r="K123" s="1291">
        <v>18975</v>
      </c>
      <c r="L123" s="1291">
        <v>0</v>
      </c>
      <c r="M123" s="180">
        <v>200</v>
      </c>
      <c r="N123" s="1181">
        <v>4917</v>
      </c>
      <c r="O123" s="1291">
        <v>0</v>
      </c>
      <c r="P123" s="1291">
        <v>0</v>
      </c>
      <c r="Q123" s="180">
        <v>0</v>
      </c>
      <c r="R123" s="334">
        <v>2053985</v>
      </c>
      <c r="S123" s="1291">
        <v>277939</v>
      </c>
      <c r="T123" s="1291">
        <v>222</v>
      </c>
      <c r="U123" s="180">
        <v>350</v>
      </c>
      <c r="V123" s="334">
        <v>42970</v>
      </c>
      <c r="W123" s="1302">
        <v>280860</v>
      </c>
      <c r="X123" s="1306"/>
      <c r="Y123" s="1308"/>
      <c r="Z123" s="1311">
        <f t="shared" si="4"/>
        <v>323830</v>
      </c>
      <c r="AA123" s="1302">
        <v>341530</v>
      </c>
      <c r="AB123" s="1181">
        <v>10000</v>
      </c>
      <c r="AC123" s="1302">
        <v>18650</v>
      </c>
      <c r="AD123" s="1315"/>
      <c r="AE123" s="1316"/>
      <c r="AF123" s="1311">
        <f t="shared" si="5"/>
        <v>28650</v>
      </c>
      <c r="AG123" s="1322">
        <v>120910</v>
      </c>
    </row>
    <row r="124" spans="1:33" s="2" customFormat="1">
      <c r="A124" s="134">
        <f t="shared" si="6"/>
        <v>2002.07</v>
      </c>
      <c r="B124" s="611">
        <v>1815306</v>
      </c>
      <c r="C124" s="1291">
        <v>29547</v>
      </c>
      <c r="D124" s="1291">
        <v>0</v>
      </c>
      <c r="E124" s="334">
        <v>33560</v>
      </c>
      <c r="F124" s="1181">
        <v>333487</v>
      </c>
      <c r="G124" s="1291">
        <v>11907</v>
      </c>
      <c r="H124" s="1291">
        <v>0</v>
      </c>
      <c r="I124" s="180">
        <v>5521</v>
      </c>
      <c r="J124" s="1181">
        <v>1430667</v>
      </c>
      <c r="K124" s="1291">
        <v>11160</v>
      </c>
      <c r="L124" s="1291">
        <v>0</v>
      </c>
      <c r="M124" s="180">
        <v>16647</v>
      </c>
      <c r="N124" s="1181">
        <v>5389</v>
      </c>
      <c r="O124" s="1291">
        <v>0</v>
      </c>
      <c r="P124" s="1291">
        <v>0</v>
      </c>
      <c r="Q124" s="180">
        <v>0</v>
      </c>
      <c r="R124" s="334">
        <v>2181887</v>
      </c>
      <c r="S124" s="1291">
        <v>290656</v>
      </c>
      <c r="T124" s="1291">
        <v>0</v>
      </c>
      <c r="U124" s="180">
        <v>33560</v>
      </c>
      <c r="V124" s="334">
        <v>139267</v>
      </c>
      <c r="W124" s="1302">
        <v>251375</v>
      </c>
      <c r="X124" s="1306"/>
      <c r="Y124" s="1308"/>
      <c r="Z124" s="1311">
        <f t="shared" si="4"/>
        <v>390642</v>
      </c>
      <c r="AA124" s="1302">
        <v>397830</v>
      </c>
      <c r="AB124" s="1181">
        <v>2880</v>
      </c>
      <c r="AC124" s="1302">
        <v>23920</v>
      </c>
      <c r="AD124" s="1315"/>
      <c r="AE124" s="1316"/>
      <c r="AF124" s="1311">
        <f t="shared" si="5"/>
        <v>26800</v>
      </c>
      <c r="AG124" s="1322">
        <v>100740</v>
      </c>
    </row>
    <row r="125" spans="1:33" s="2" customFormat="1">
      <c r="A125" s="134">
        <f t="shared" si="6"/>
        <v>2002.08</v>
      </c>
      <c r="B125" s="611">
        <v>1783716</v>
      </c>
      <c r="C125" s="1291">
        <v>42420</v>
      </c>
      <c r="D125" s="1291">
        <v>0</v>
      </c>
      <c r="E125" s="334">
        <v>17075</v>
      </c>
      <c r="F125" s="1181">
        <v>328548</v>
      </c>
      <c r="G125" s="1291">
        <v>17132</v>
      </c>
      <c r="H125" s="1291">
        <v>0</v>
      </c>
      <c r="I125" s="180">
        <v>2771</v>
      </c>
      <c r="J125" s="1181">
        <v>1405138</v>
      </c>
      <c r="K125" s="1291">
        <v>17445</v>
      </c>
      <c r="L125" s="1291">
        <v>0</v>
      </c>
      <c r="M125" s="180">
        <v>8473</v>
      </c>
      <c r="N125" s="1181">
        <v>5460</v>
      </c>
      <c r="O125" s="1291">
        <v>0</v>
      </c>
      <c r="P125" s="1291">
        <v>0</v>
      </c>
      <c r="Q125" s="180">
        <v>0</v>
      </c>
      <c r="R125" s="334">
        <v>2228747</v>
      </c>
      <c r="S125" s="1291">
        <v>186508</v>
      </c>
      <c r="T125" s="1291">
        <v>0</v>
      </c>
      <c r="U125" s="180">
        <v>17075</v>
      </c>
      <c r="V125" s="334">
        <v>81400</v>
      </c>
      <c r="W125" s="1302">
        <v>283959</v>
      </c>
      <c r="X125" s="1306"/>
      <c r="Y125" s="1308"/>
      <c r="Z125" s="1311">
        <f t="shared" si="4"/>
        <v>365359</v>
      </c>
      <c r="AA125" s="1302">
        <v>365360</v>
      </c>
      <c r="AB125" s="1181">
        <v>23000</v>
      </c>
      <c r="AC125" s="1302">
        <v>18960</v>
      </c>
      <c r="AD125" s="1315"/>
      <c r="AE125" s="1316"/>
      <c r="AF125" s="1311">
        <f t="shared" si="5"/>
        <v>41960</v>
      </c>
      <c r="AG125" s="1322">
        <v>69770</v>
      </c>
    </row>
    <row r="126" spans="1:33" s="2" customFormat="1">
      <c r="A126" s="134">
        <f t="shared" si="6"/>
        <v>2002.09</v>
      </c>
      <c r="B126" s="611">
        <v>1795354</v>
      </c>
      <c r="C126" s="1291">
        <v>25523</v>
      </c>
      <c r="D126" s="1291">
        <v>0</v>
      </c>
      <c r="E126" s="334">
        <v>0</v>
      </c>
      <c r="F126" s="1181">
        <v>334122</v>
      </c>
      <c r="G126" s="1291">
        <v>10489</v>
      </c>
      <c r="H126" s="1291">
        <v>0</v>
      </c>
      <c r="I126" s="180">
        <v>0</v>
      </c>
      <c r="J126" s="1181">
        <v>1410345</v>
      </c>
      <c r="K126" s="1291">
        <v>10573</v>
      </c>
      <c r="L126" s="1291">
        <v>0</v>
      </c>
      <c r="M126" s="180">
        <v>0</v>
      </c>
      <c r="N126" s="1181">
        <v>5719</v>
      </c>
      <c r="O126" s="1291">
        <v>0</v>
      </c>
      <c r="P126" s="1291">
        <v>0</v>
      </c>
      <c r="Q126" s="180">
        <v>0</v>
      </c>
      <c r="R126" s="334">
        <v>2196670</v>
      </c>
      <c r="S126" s="1291">
        <v>184710</v>
      </c>
      <c r="T126" s="1291">
        <v>0</v>
      </c>
      <c r="U126" s="180">
        <v>0</v>
      </c>
      <c r="V126" s="334">
        <v>126260</v>
      </c>
      <c r="W126" s="1302">
        <v>266995</v>
      </c>
      <c r="X126" s="1306"/>
      <c r="Y126" s="1308"/>
      <c r="Z126" s="1311">
        <f t="shared" si="4"/>
        <v>393255</v>
      </c>
      <c r="AA126" s="1302">
        <v>431320</v>
      </c>
      <c r="AB126" s="1181">
        <v>5573</v>
      </c>
      <c r="AC126" s="1302">
        <v>19356</v>
      </c>
      <c r="AD126" s="1315"/>
      <c r="AE126" s="1316"/>
      <c r="AF126" s="1311">
        <f t="shared" si="5"/>
        <v>24929</v>
      </c>
      <c r="AG126" s="1322">
        <v>27630</v>
      </c>
    </row>
    <row r="127" spans="1:33" s="2" customFormat="1">
      <c r="A127" s="134">
        <f t="shared" si="6"/>
        <v>2002.1</v>
      </c>
      <c r="B127" s="611">
        <v>1778381</v>
      </c>
      <c r="C127" s="1291">
        <v>31231</v>
      </c>
      <c r="D127" s="1291">
        <v>0</v>
      </c>
      <c r="E127" s="334">
        <v>0</v>
      </c>
      <c r="F127" s="1181">
        <v>330350</v>
      </c>
      <c r="G127" s="1291">
        <v>12743</v>
      </c>
      <c r="H127" s="1291">
        <v>0</v>
      </c>
      <c r="I127" s="180">
        <v>0</v>
      </c>
      <c r="J127" s="1181">
        <v>1412243</v>
      </c>
      <c r="K127" s="1291">
        <v>13145</v>
      </c>
      <c r="L127" s="1291">
        <v>0</v>
      </c>
      <c r="M127" s="180">
        <v>0</v>
      </c>
      <c r="N127" s="1181">
        <v>5548</v>
      </c>
      <c r="O127" s="1291">
        <v>0</v>
      </c>
      <c r="P127" s="1291">
        <v>0</v>
      </c>
      <c r="Q127" s="180">
        <v>0</v>
      </c>
      <c r="R127" s="334">
        <v>2185255</v>
      </c>
      <c r="S127" s="1291">
        <v>187402</v>
      </c>
      <c r="T127" s="1291">
        <v>0</v>
      </c>
      <c r="U127" s="180">
        <v>0</v>
      </c>
      <c r="V127" s="334">
        <v>110958</v>
      </c>
      <c r="W127" s="1302">
        <v>184385</v>
      </c>
      <c r="X127" s="1306"/>
      <c r="Y127" s="1308"/>
      <c r="Z127" s="1311">
        <f t="shared" si="4"/>
        <v>295343</v>
      </c>
      <c r="AA127" s="1302">
        <v>295340</v>
      </c>
      <c r="AB127" s="1181">
        <v>0</v>
      </c>
      <c r="AC127" s="1302">
        <v>28550</v>
      </c>
      <c r="AD127" s="1315"/>
      <c r="AE127" s="1316"/>
      <c r="AF127" s="1311">
        <f t="shared" si="5"/>
        <v>28550</v>
      </c>
      <c r="AG127" s="1322">
        <v>75990</v>
      </c>
    </row>
    <row r="128" spans="1:33" s="2" customFormat="1">
      <c r="A128" s="134">
        <f t="shared" si="6"/>
        <v>2002.11</v>
      </c>
      <c r="B128" s="611">
        <v>1533279</v>
      </c>
      <c r="C128" s="1291">
        <v>34247</v>
      </c>
      <c r="D128" s="1291">
        <v>0</v>
      </c>
      <c r="E128" s="334">
        <v>0</v>
      </c>
      <c r="F128" s="1181">
        <v>286957</v>
      </c>
      <c r="G128" s="1291">
        <v>13747</v>
      </c>
      <c r="H128" s="1291">
        <v>0</v>
      </c>
      <c r="I128" s="180">
        <v>0</v>
      </c>
      <c r="J128" s="1181">
        <v>1218009</v>
      </c>
      <c r="K128" s="1291">
        <v>14364</v>
      </c>
      <c r="L128" s="1291">
        <v>0</v>
      </c>
      <c r="M128" s="180">
        <v>0</v>
      </c>
      <c r="N128" s="1181">
        <v>5549</v>
      </c>
      <c r="O128" s="1291">
        <v>0</v>
      </c>
      <c r="P128" s="1291">
        <v>0</v>
      </c>
      <c r="Q128" s="180">
        <v>0</v>
      </c>
      <c r="R128" s="334">
        <v>1818467</v>
      </c>
      <c r="S128" s="1291">
        <v>207683</v>
      </c>
      <c r="T128" s="1291">
        <v>0</v>
      </c>
      <c r="U128" s="180">
        <v>0</v>
      </c>
      <c r="V128" s="334">
        <v>79822</v>
      </c>
      <c r="W128" s="1302">
        <v>213875</v>
      </c>
      <c r="X128" s="1306"/>
      <c r="Y128" s="1308"/>
      <c r="Z128" s="1311">
        <f t="shared" si="4"/>
        <v>293697</v>
      </c>
      <c r="AA128" s="1302">
        <v>319020</v>
      </c>
      <c r="AB128" s="1181">
        <v>2050</v>
      </c>
      <c r="AC128" s="1302">
        <v>25680</v>
      </c>
      <c r="AD128" s="1315"/>
      <c r="AE128" s="1316"/>
      <c r="AF128" s="1311">
        <f t="shared" si="5"/>
        <v>27730</v>
      </c>
      <c r="AG128" s="1322">
        <v>47570</v>
      </c>
    </row>
    <row r="129" spans="1:33" s="2" customFormat="1">
      <c r="A129" s="134">
        <f t="shared" si="6"/>
        <v>2002.12</v>
      </c>
      <c r="B129" s="611">
        <v>1503589</v>
      </c>
      <c r="C129" s="1291">
        <v>24083</v>
      </c>
      <c r="D129" s="1291">
        <v>0</v>
      </c>
      <c r="E129" s="334">
        <v>0</v>
      </c>
      <c r="F129" s="1181">
        <v>281666</v>
      </c>
      <c r="G129" s="1291">
        <v>9469</v>
      </c>
      <c r="H129" s="1291">
        <v>0</v>
      </c>
      <c r="I129" s="180">
        <v>0</v>
      </c>
      <c r="J129" s="1181">
        <v>1196352</v>
      </c>
      <c r="K129" s="1291">
        <v>9740</v>
      </c>
      <c r="L129" s="1291">
        <v>0</v>
      </c>
      <c r="M129" s="180">
        <v>0</v>
      </c>
      <c r="N129" s="1181">
        <v>4673</v>
      </c>
      <c r="O129" s="1291">
        <v>0</v>
      </c>
      <c r="P129" s="1291">
        <v>0</v>
      </c>
      <c r="Q129" s="180">
        <v>0</v>
      </c>
      <c r="R129" s="334">
        <v>1727159</v>
      </c>
      <c r="S129" s="1291">
        <v>149784</v>
      </c>
      <c r="T129" s="1291">
        <v>84</v>
      </c>
      <c r="U129" s="180">
        <v>0</v>
      </c>
      <c r="V129" s="334">
        <v>53513</v>
      </c>
      <c r="W129" s="1302">
        <v>237054</v>
      </c>
      <c r="X129" s="1306"/>
      <c r="Y129" s="1308"/>
      <c r="Z129" s="1311">
        <f t="shared" si="4"/>
        <v>290567</v>
      </c>
      <c r="AA129" s="1302">
        <v>297200</v>
      </c>
      <c r="AB129" s="1181">
        <v>20937</v>
      </c>
      <c r="AC129" s="1302">
        <v>33700</v>
      </c>
      <c r="AD129" s="1315"/>
      <c r="AE129" s="1316"/>
      <c r="AF129" s="1311">
        <f t="shared" si="5"/>
        <v>54637</v>
      </c>
      <c r="AG129" s="1322">
        <v>120250</v>
      </c>
    </row>
    <row r="130" spans="1:33" s="2" customFormat="1">
      <c r="A130" s="134">
        <f t="shared" si="6"/>
        <v>2003.01</v>
      </c>
      <c r="B130" s="611">
        <v>1307026</v>
      </c>
      <c r="C130" s="1291">
        <v>157157</v>
      </c>
      <c r="D130" s="1291">
        <v>136</v>
      </c>
      <c r="E130" s="334">
        <v>0</v>
      </c>
      <c r="F130" s="1181">
        <v>247800</v>
      </c>
      <c r="G130" s="1291">
        <v>62312</v>
      </c>
      <c r="H130" s="1291">
        <v>44</v>
      </c>
      <c r="I130" s="180">
        <v>0</v>
      </c>
      <c r="J130" s="1181">
        <v>1030839</v>
      </c>
      <c r="K130" s="1291">
        <v>65261</v>
      </c>
      <c r="L130" s="1291">
        <v>0</v>
      </c>
      <c r="M130" s="180">
        <v>0</v>
      </c>
      <c r="N130" s="1181">
        <v>5012</v>
      </c>
      <c r="O130" s="1291">
        <v>0</v>
      </c>
      <c r="P130" s="1291">
        <v>0</v>
      </c>
      <c r="Q130" s="180">
        <v>0</v>
      </c>
      <c r="R130" s="334">
        <v>1520110</v>
      </c>
      <c r="S130" s="1291">
        <v>390842</v>
      </c>
      <c r="T130" s="1291">
        <v>779</v>
      </c>
      <c r="U130" s="180">
        <v>0</v>
      </c>
      <c r="V130" s="334">
        <v>117588</v>
      </c>
      <c r="W130" s="1302">
        <v>200163</v>
      </c>
      <c r="X130" s="1306"/>
      <c r="Y130" s="1308"/>
      <c r="Z130" s="1311">
        <f t="shared" si="4"/>
        <v>317751</v>
      </c>
      <c r="AA130" s="1302">
        <v>334400</v>
      </c>
      <c r="AB130" s="1181">
        <v>4528</v>
      </c>
      <c r="AC130" s="1302">
        <v>30737</v>
      </c>
      <c r="AD130" s="1315"/>
      <c r="AE130" s="1316"/>
      <c r="AF130" s="1311">
        <f t="shared" si="5"/>
        <v>35265</v>
      </c>
      <c r="AG130" s="1322">
        <v>72960</v>
      </c>
    </row>
    <row r="131" spans="1:33" s="2" customFormat="1">
      <c r="A131" s="134">
        <f t="shared" si="6"/>
        <v>2003.02</v>
      </c>
      <c r="B131" s="611">
        <v>1139489</v>
      </c>
      <c r="C131" s="1291">
        <v>120580</v>
      </c>
      <c r="D131" s="1291">
        <v>0</v>
      </c>
      <c r="E131" s="334">
        <v>0</v>
      </c>
      <c r="F131" s="1181">
        <v>216674</v>
      </c>
      <c r="G131" s="1291">
        <v>47628</v>
      </c>
      <c r="H131" s="1291">
        <v>0</v>
      </c>
      <c r="I131" s="180">
        <v>0</v>
      </c>
      <c r="J131" s="1181">
        <v>901144</v>
      </c>
      <c r="K131" s="1291">
        <v>49975</v>
      </c>
      <c r="L131" s="1291">
        <v>0</v>
      </c>
      <c r="M131" s="180">
        <v>0</v>
      </c>
      <c r="N131" s="1181">
        <v>4980</v>
      </c>
      <c r="O131" s="1291">
        <v>0</v>
      </c>
      <c r="P131" s="1291">
        <v>0</v>
      </c>
      <c r="Q131" s="180">
        <v>0</v>
      </c>
      <c r="R131" s="334">
        <v>1351618</v>
      </c>
      <c r="S131" s="1291">
        <v>298069</v>
      </c>
      <c r="T131" s="1291">
        <v>1189</v>
      </c>
      <c r="U131" s="180">
        <v>0</v>
      </c>
      <c r="V131" s="334">
        <v>83529</v>
      </c>
      <c r="W131" s="1302">
        <v>150384</v>
      </c>
      <c r="X131" s="1306"/>
      <c r="Y131" s="1308"/>
      <c r="Z131" s="1311">
        <f t="shared" si="4"/>
        <v>233913</v>
      </c>
      <c r="AA131" s="1302">
        <v>239410</v>
      </c>
      <c r="AB131" s="1181">
        <v>20801</v>
      </c>
      <c r="AC131" s="1302">
        <v>83135</v>
      </c>
      <c r="AD131" s="1315"/>
      <c r="AE131" s="1316"/>
      <c r="AF131" s="1311">
        <f t="shared" si="5"/>
        <v>103936</v>
      </c>
      <c r="AG131" s="1322">
        <v>166710</v>
      </c>
    </row>
    <row r="132" spans="1:33" s="2" customFormat="1">
      <c r="A132" s="134">
        <f t="shared" si="6"/>
        <v>2003.03</v>
      </c>
      <c r="B132" s="611">
        <v>1394286</v>
      </c>
      <c r="C132" s="1291">
        <v>119646</v>
      </c>
      <c r="D132" s="1291">
        <v>0</v>
      </c>
      <c r="E132" s="334">
        <v>0</v>
      </c>
      <c r="F132" s="1181">
        <v>262531</v>
      </c>
      <c r="G132" s="1291">
        <v>47291</v>
      </c>
      <c r="H132" s="1291">
        <v>0</v>
      </c>
      <c r="I132" s="180">
        <v>0</v>
      </c>
      <c r="J132" s="1181">
        <v>1086415</v>
      </c>
      <c r="K132" s="1291">
        <v>50883</v>
      </c>
      <c r="L132" s="1291">
        <v>0</v>
      </c>
      <c r="M132" s="180">
        <v>0</v>
      </c>
      <c r="N132" s="1181">
        <v>5284</v>
      </c>
      <c r="O132" s="1291">
        <v>0</v>
      </c>
      <c r="P132" s="1291">
        <v>0</v>
      </c>
      <c r="Q132" s="180">
        <v>0</v>
      </c>
      <c r="R132" s="334">
        <v>1501341</v>
      </c>
      <c r="S132" s="1291">
        <v>503306</v>
      </c>
      <c r="T132" s="1291">
        <v>70</v>
      </c>
      <c r="U132" s="180">
        <v>0</v>
      </c>
      <c r="V132" s="334">
        <v>87365</v>
      </c>
      <c r="W132" s="1302">
        <v>191781</v>
      </c>
      <c r="X132" s="1306"/>
      <c r="Y132" s="1308"/>
      <c r="Z132" s="1311">
        <f t="shared" si="4"/>
        <v>279146</v>
      </c>
      <c r="AA132" s="1302">
        <v>280650</v>
      </c>
      <c r="AB132" s="1181">
        <v>0</v>
      </c>
      <c r="AC132" s="1302">
        <v>19230</v>
      </c>
      <c r="AD132" s="1315"/>
      <c r="AE132" s="1316"/>
      <c r="AF132" s="1311">
        <f t="shared" si="5"/>
        <v>19230</v>
      </c>
      <c r="AG132" s="1322">
        <v>88430</v>
      </c>
    </row>
    <row r="133" spans="1:33" s="2" customFormat="1">
      <c r="A133" s="134">
        <f t="shared" si="6"/>
        <v>2003.04</v>
      </c>
      <c r="B133" s="611">
        <v>1727381</v>
      </c>
      <c r="C133" s="1291">
        <v>53832</v>
      </c>
      <c r="D133" s="1291">
        <v>0</v>
      </c>
      <c r="E133" s="334">
        <v>0</v>
      </c>
      <c r="F133" s="1181">
        <v>327588</v>
      </c>
      <c r="G133" s="1291">
        <v>22456</v>
      </c>
      <c r="H133" s="1291">
        <v>0</v>
      </c>
      <c r="I133" s="180">
        <v>0</v>
      </c>
      <c r="J133" s="1181">
        <v>1360147</v>
      </c>
      <c r="K133" s="1291">
        <v>24704</v>
      </c>
      <c r="L133" s="1291">
        <v>0</v>
      </c>
      <c r="M133" s="180">
        <v>0</v>
      </c>
      <c r="N133" s="1181">
        <v>4921</v>
      </c>
      <c r="O133" s="1291">
        <v>0</v>
      </c>
      <c r="P133" s="1291">
        <v>0</v>
      </c>
      <c r="Q133" s="180">
        <v>0</v>
      </c>
      <c r="R133" s="334">
        <v>1968633</v>
      </c>
      <c r="S133" s="1291">
        <v>331022</v>
      </c>
      <c r="T133" s="1291">
        <v>0</v>
      </c>
      <c r="U133" s="180">
        <v>0</v>
      </c>
      <c r="V133" s="334">
        <v>47121</v>
      </c>
      <c r="W133" s="1302">
        <v>229693</v>
      </c>
      <c r="X133" s="1306"/>
      <c r="Y133" s="1308"/>
      <c r="Z133" s="1311">
        <f t="shared" si="4"/>
        <v>276814</v>
      </c>
      <c r="AA133" s="1302">
        <v>276810</v>
      </c>
      <c r="AB133" s="1181">
        <v>13750</v>
      </c>
      <c r="AC133" s="1302">
        <v>48237</v>
      </c>
      <c r="AD133" s="1315"/>
      <c r="AE133" s="1316"/>
      <c r="AF133" s="1311">
        <f t="shared" si="5"/>
        <v>61987</v>
      </c>
      <c r="AG133" s="1322">
        <v>77280</v>
      </c>
    </row>
    <row r="134" spans="1:33" s="2" customFormat="1">
      <c r="A134" s="134">
        <f t="shared" si="6"/>
        <v>2003.05</v>
      </c>
      <c r="B134" s="611">
        <v>1863632</v>
      </c>
      <c r="C134" s="1291">
        <v>43945</v>
      </c>
      <c r="D134" s="1291">
        <v>0</v>
      </c>
      <c r="E134" s="334">
        <v>0</v>
      </c>
      <c r="F134" s="1181">
        <v>338181</v>
      </c>
      <c r="G134" s="1291">
        <v>17190</v>
      </c>
      <c r="H134" s="1291">
        <v>0</v>
      </c>
      <c r="I134" s="180">
        <v>0</v>
      </c>
      <c r="J134" s="1181">
        <v>1473745</v>
      </c>
      <c r="K134" s="1291">
        <v>18145</v>
      </c>
      <c r="L134" s="1291">
        <v>0</v>
      </c>
      <c r="M134" s="180">
        <v>0</v>
      </c>
      <c r="N134" s="1181">
        <v>5583</v>
      </c>
      <c r="O134" s="1291">
        <v>0</v>
      </c>
      <c r="P134" s="1291">
        <v>0</v>
      </c>
      <c r="Q134" s="180">
        <v>0</v>
      </c>
      <c r="R134" s="334">
        <v>2277943</v>
      </c>
      <c r="S134" s="1291">
        <v>232394</v>
      </c>
      <c r="T134" s="1291">
        <v>0</v>
      </c>
      <c r="U134" s="180">
        <v>0</v>
      </c>
      <c r="V134" s="334">
        <v>111423</v>
      </c>
      <c r="W134" s="1302">
        <v>325028</v>
      </c>
      <c r="X134" s="1306"/>
      <c r="Y134" s="1308"/>
      <c r="Z134" s="1311">
        <f t="shared" si="4"/>
        <v>436451</v>
      </c>
      <c r="AA134" s="1302">
        <v>438430</v>
      </c>
      <c r="AB134" s="1181">
        <v>15000</v>
      </c>
      <c r="AC134" s="1302">
        <v>22900</v>
      </c>
      <c r="AD134" s="1315"/>
      <c r="AE134" s="1316"/>
      <c r="AF134" s="1311">
        <f t="shared" si="5"/>
        <v>37900</v>
      </c>
      <c r="AG134" s="1322">
        <v>87110</v>
      </c>
    </row>
    <row r="135" spans="1:33" s="2" customFormat="1">
      <c r="A135" s="134">
        <f t="shared" si="6"/>
        <v>2003.06</v>
      </c>
      <c r="B135" s="611">
        <v>1840910</v>
      </c>
      <c r="C135" s="1291">
        <v>27649</v>
      </c>
      <c r="D135" s="1291">
        <v>0</v>
      </c>
      <c r="E135" s="334">
        <v>0</v>
      </c>
      <c r="F135" s="1181">
        <v>342810</v>
      </c>
      <c r="G135" s="1291">
        <v>10781</v>
      </c>
      <c r="H135" s="1291">
        <v>0</v>
      </c>
      <c r="I135" s="180">
        <v>0</v>
      </c>
      <c r="J135" s="1181">
        <v>1449476</v>
      </c>
      <c r="K135" s="1291">
        <v>11557</v>
      </c>
      <c r="L135" s="1291">
        <v>0</v>
      </c>
      <c r="M135" s="180">
        <v>0</v>
      </c>
      <c r="N135" s="1181">
        <v>5400</v>
      </c>
      <c r="O135" s="1291">
        <v>0</v>
      </c>
      <c r="P135" s="1291">
        <v>0</v>
      </c>
      <c r="Q135" s="180">
        <v>0</v>
      </c>
      <c r="R135" s="334">
        <v>2220114</v>
      </c>
      <c r="S135" s="1291">
        <v>283543</v>
      </c>
      <c r="T135" s="1291">
        <v>0</v>
      </c>
      <c r="U135" s="180">
        <v>0</v>
      </c>
      <c r="V135" s="334">
        <v>102374</v>
      </c>
      <c r="W135" s="1302">
        <v>280614</v>
      </c>
      <c r="X135" s="1306"/>
      <c r="Y135" s="1308"/>
      <c r="Z135" s="1311">
        <f t="shared" si="4"/>
        <v>382988</v>
      </c>
      <c r="AA135" s="1302">
        <v>425440</v>
      </c>
      <c r="AB135" s="1181">
        <v>20750</v>
      </c>
      <c r="AC135" s="1302">
        <v>43601</v>
      </c>
      <c r="AD135" s="1315"/>
      <c r="AE135" s="1316"/>
      <c r="AF135" s="1311">
        <f t="shared" si="5"/>
        <v>64351</v>
      </c>
      <c r="AG135" s="1322">
        <v>138760</v>
      </c>
    </row>
    <row r="136" spans="1:33" s="2" customFormat="1">
      <c r="A136" s="134">
        <f t="shared" si="6"/>
        <v>2003.07</v>
      </c>
      <c r="B136" s="611">
        <v>1960100</v>
      </c>
      <c r="C136" s="1291">
        <v>36971</v>
      </c>
      <c r="D136" s="1291">
        <v>0</v>
      </c>
      <c r="E136" s="334">
        <v>0</v>
      </c>
      <c r="F136" s="1181">
        <v>366495</v>
      </c>
      <c r="G136" s="1291">
        <v>14542</v>
      </c>
      <c r="H136" s="1291">
        <v>0</v>
      </c>
      <c r="I136" s="180">
        <v>0</v>
      </c>
      <c r="J136" s="1181">
        <v>1545919</v>
      </c>
      <c r="K136" s="1291">
        <v>15417</v>
      </c>
      <c r="L136" s="1291">
        <v>0</v>
      </c>
      <c r="M136" s="180">
        <v>0</v>
      </c>
      <c r="N136" s="1181">
        <v>5810</v>
      </c>
      <c r="O136" s="1291">
        <v>0</v>
      </c>
      <c r="P136" s="1291">
        <v>0</v>
      </c>
      <c r="Q136" s="180">
        <v>0</v>
      </c>
      <c r="R136" s="334">
        <v>2405385</v>
      </c>
      <c r="S136" s="1291">
        <v>236055</v>
      </c>
      <c r="T136" s="1291">
        <v>0</v>
      </c>
      <c r="U136" s="180">
        <v>0</v>
      </c>
      <c r="V136" s="334">
        <v>108582</v>
      </c>
      <c r="W136" s="1302">
        <v>346971</v>
      </c>
      <c r="X136" s="1306"/>
      <c r="Y136" s="1308"/>
      <c r="Z136" s="1311">
        <f t="shared" si="4"/>
        <v>455553</v>
      </c>
      <c r="AA136" s="1302">
        <v>479820</v>
      </c>
      <c r="AB136" s="1181">
        <v>17370</v>
      </c>
      <c r="AC136" s="1302">
        <v>21008</v>
      </c>
      <c r="AD136" s="1315"/>
      <c r="AE136" s="1316"/>
      <c r="AF136" s="1311">
        <f t="shared" si="5"/>
        <v>38378</v>
      </c>
      <c r="AG136" s="1322">
        <v>88320</v>
      </c>
    </row>
    <row r="137" spans="1:33" s="2" customFormat="1">
      <c r="A137" s="134">
        <f t="shared" si="6"/>
        <v>2003.08</v>
      </c>
      <c r="B137" s="611">
        <v>1793671</v>
      </c>
      <c r="C137" s="1291">
        <v>55382</v>
      </c>
      <c r="D137" s="1291">
        <v>0</v>
      </c>
      <c r="E137" s="334">
        <v>15255</v>
      </c>
      <c r="F137" s="1181">
        <v>337558</v>
      </c>
      <c r="G137" s="1291">
        <v>22320</v>
      </c>
      <c r="H137" s="1291">
        <v>0</v>
      </c>
      <c r="I137" s="180">
        <v>2675</v>
      </c>
      <c r="J137" s="1181">
        <v>1426693</v>
      </c>
      <c r="K137" s="1291">
        <v>22986</v>
      </c>
      <c r="L137" s="1291">
        <v>0</v>
      </c>
      <c r="M137" s="180">
        <v>7342</v>
      </c>
      <c r="N137" s="1181">
        <v>7428</v>
      </c>
      <c r="O137" s="1291">
        <v>0</v>
      </c>
      <c r="P137" s="1291">
        <v>0</v>
      </c>
      <c r="Q137" s="180">
        <v>0</v>
      </c>
      <c r="R137" s="334">
        <v>2251363</v>
      </c>
      <c r="S137" s="1291">
        <v>222147</v>
      </c>
      <c r="T137" s="1291">
        <v>0</v>
      </c>
      <c r="U137" s="180">
        <v>15255</v>
      </c>
      <c r="V137" s="334">
        <v>28400</v>
      </c>
      <c r="W137" s="1302">
        <v>217976</v>
      </c>
      <c r="X137" s="1306"/>
      <c r="Y137" s="1308"/>
      <c r="Z137" s="1311">
        <f t="shared" si="4"/>
        <v>246376</v>
      </c>
      <c r="AA137" s="1302">
        <v>253480</v>
      </c>
      <c r="AB137" s="1181">
        <v>0</v>
      </c>
      <c r="AC137" s="1302">
        <v>27735</v>
      </c>
      <c r="AD137" s="1315"/>
      <c r="AE137" s="1316"/>
      <c r="AF137" s="1311">
        <f t="shared" si="5"/>
        <v>27735</v>
      </c>
      <c r="AG137" s="1322">
        <v>68240</v>
      </c>
    </row>
    <row r="138" spans="1:33" s="2" customFormat="1">
      <c r="A138" s="134">
        <f t="shared" si="6"/>
        <v>2003.09</v>
      </c>
      <c r="B138" s="611">
        <v>1885382</v>
      </c>
      <c r="C138" s="1291">
        <v>0</v>
      </c>
      <c r="D138" s="1291">
        <v>0</v>
      </c>
      <c r="E138" s="334">
        <v>24220</v>
      </c>
      <c r="F138" s="1181">
        <v>353312</v>
      </c>
      <c r="G138" s="1291">
        <v>0</v>
      </c>
      <c r="H138" s="1291">
        <v>0</v>
      </c>
      <c r="I138" s="180">
        <v>4344</v>
      </c>
      <c r="J138" s="1181">
        <v>1486153</v>
      </c>
      <c r="K138" s="1291">
        <v>0</v>
      </c>
      <c r="L138" s="1291">
        <v>0</v>
      </c>
      <c r="M138" s="180">
        <v>11718</v>
      </c>
      <c r="N138" s="1181">
        <v>7234</v>
      </c>
      <c r="O138" s="1291">
        <v>0</v>
      </c>
      <c r="P138" s="1291">
        <v>0</v>
      </c>
      <c r="Q138" s="180">
        <v>0</v>
      </c>
      <c r="R138" s="334">
        <v>2305171</v>
      </c>
      <c r="S138" s="1291">
        <v>182658</v>
      </c>
      <c r="T138" s="1291">
        <v>0</v>
      </c>
      <c r="U138" s="180">
        <v>24220</v>
      </c>
      <c r="V138" s="334">
        <v>60160</v>
      </c>
      <c r="W138" s="1302">
        <v>306013</v>
      </c>
      <c r="X138" s="1306"/>
      <c r="Y138" s="1308"/>
      <c r="Z138" s="1311">
        <f t="shared" si="4"/>
        <v>366173</v>
      </c>
      <c r="AA138" s="1302">
        <v>395880</v>
      </c>
      <c r="AB138" s="1181">
        <v>0</v>
      </c>
      <c r="AC138" s="1302">
        <v>5000</v>
      </c>
      <c r="AD138" s="1315"/>
      <c r="AE138" s="1316"/>
      <c r="AF138" s="1311">
        <f t="shared" si="5"/>
        <v>5000</v>
      </c>
      <c r="AG138" s="1322">
        <v>66230</v>
      </c>
    </row>
    <row r="139" spans="1:33" s="2" customFormat="1">
      <c r="A139" s="134">
        <f t="shared" si="6"/>
        <v>2003.1</v>
      </c>
      <c r="B139" s="611">
        <v>1994994</v>
      </c>
      <c r="C139" s="1291">
        <v>2269</v>
      </c>
      <c r="D139" s="1291">
        <v>0</v>
      </c>
      <c r="E139" s="334">
        <v>0</v>
      </c>
      <c r="F139" s="1181">
        <v>376788</v>
      </c>
      <c r="G139" s="1291">
        <v>916</v>
      </c>
      <c r="H139" s="1291">
        <v>0</v>
      </c>
      <c r="I139" s="180">
        <v>0</v>
      </c>
      <c r="J139" s="1181">
        <v>1574220</v>
      </c>
      <c r="K139" s="1291">
        <v>1045</v>
      </c>
      <c r="L139" s="1291">
        <v>0</v>
      </c>
      <c r="M139" s="180">
        <v>0</v>
      </c>
      <c r="N139" s="1181">
        <v>6811</v>
      </c>
      <c r="O139" s="1291">
        <v>0</v>
      </c>
      <c r="P139" s="1291">
        <v>0</v>
      </c>
      <c r="Q139" s="180">
        <v>0</v>
      </c>
      <c r="R139" s="334">
        <v>2428875</v>
      </c>
      <c r="S139" s="1291">
        <v>215374</v>
      </c>
      <c r="T139" s="1291">
        <v>0</v>
      </c>
      <c r="U139" s="180">
        <v>0</v>
      </c>
      <c r="V139" s="334">
        <v>58265</v>
      </c>
      <c r="W139" s="1302">
        <v>385666</v>
      </c>
      <c r="X139" s="1306"/>
      <c r="Y139" s="1308"/>
      <c r="Z139" s="1311">
        <f t="shared" ref="Z139:Z202" si="7">SUM(V139:Y139)</f>
        <v>443931</v>
      </c>
      <c r="AA139" s="1302">
        <v>464600</v>
      </c>
      <c r="AB139" s="1181">
        <v>3050</v>
      </c>
      <c r="AC139" s="1302">
        <v>12460</v>
      </c>
      <c r="AD139" s="1315"/>
      <c r="AE139" s="1316"/>
      <c r="AF139" s="1311">
        <f t="shared" ref="AF139:AF202" si="8">SUM(AB139:AE139)</f>
        <v>15510</v>
      </c>
      <c r="AG139" s="1322">
        <v>54040</v>
      </c>
    </row>
    <row r="140" spans="1:33" s="2" customFormat="1">
      <c r="A140" s="134">
        <f t="shared" si="6"/>
        <v>2003.11</v>
      </c>
      <c r="B140" s="611">
        <v>1801097</v>
      </c>
      <c r="C140" s="1291">
        <v>25579</v>
      </c>
      <c r="D140" s="1291">
        <v>0</v>
      </c>
      <c r="E140" s="334">
        <v>0</v>
      </c>
      <c r="F140" s="1181">
        <v>341134</v>
      </c>
      <c r="G140" s="1291">
        <v>10153</v>
      </c>
      <c r="H140" s="1291">
        <v>0</v>
      </c>
      <c r="I140" s="180">
        <v>0</v>
      </c>
      <c r="J140" s="1181">
        <v>1435782</v>
      </c>
      <c r="K140" s="1291">
        <v>10630</v>
      </c>
      <c r="L140" s="1291">
        <v>0</v>
      </c>
      <c r="M140" s="180">
        <v>0</v>
      </c>
      <c r="N140" s="1181">
        <v>6202</v>
      </c>
      <c r="O140" s="1291">
        <v>0</v>
      </c>
      <c r="P140" s="1291">
        <v>0</v>
      </c>
      <c r="Q140" s="180">
        <v>0</v>
      </c>
      <c r="R140" s="334">
        <v>2174013</v>
      </c>
      <c r="S140" s="1291">
        <v>221274</v>
      </c>
      <c r="T140" s="1291">
        <v>0</v>
      </c>
      <c r="U140" s="180">
        <v>0</v>
      </c>
      <c r="V140" s="334">
        <v>135696</v>
      </c>
      <c r="W140" s="1302">
        <v>340204</v>
      </c>
      <c r="X140" s="1306"/>
      <c r="Y140" s="1308"/>
      <c r="Z140" s="1311">
        <f t="shared" si="7"/>
        <v>475900</v>
      </c>
      <c r="AA140" s="1302">
        <v>489250</v>
      </c>
      <c r="AB140" s="1181">
        <v>1500</v>
      </c>
      <c r="AC140" s="1302">
        <v>7341</v>
      </c>
      <c r="AD140" s="1315"/>
      <c r="AE140" s="1316"/>
      <c r="AF140" s="1311">
        <f t="shared" si="8"/>
        <v>8841</v>
      </c>
      <c r="AG140" s="1322">
        <v>88480</v>
      </c>
    </row>
    <row r="141" spans="1:33" s="2" customFormat="1">
      <c r="A141" s="134">
        <f t="shared" si="6"/>
        <v>2003.12</v>
      </c>
      <c r="B141" s="611">
        <v>1662395</v>
      </c>
      <c r="C141" s="1291">
        <v>2250</v>
      </c>
      <c r="D141" s="1291">
        <v>0</v>
      </c>
      <c r="E141" s="334">
        <v>0</v>
      </c>
      <c r="F141" s="1181">
        <v>318045</v>
      </c>
      <c r="G141" s="1291">
        <v>895</v>
      </c>
      <c r="H141" s="1291">
        <v>0</v>
      </c>
      <c r="I141" s="180">
        <v>0</v>
      </c>
      <c r="J141" s="1181">
        <v>1303322</v>
      </c>
      <c r="K141" s="1291">
        <v>920</v>
      </c>
      <c r="L141" s="1291">
        <v>0</v>
      </c>
      <c r="M141" s="180">
        <v>0</v>
      </c>
      <c r="N141" s="1181">
        <v>1325</v>
      </c>
      <c r="O141" s="1291">
        <v>0</v>
      </c>
      <c r="P141" s="1291">
        <v>0</v>
      </c>
      <c r="Q141" s="180">
        <v>0</v>
      </c>
      <c r="R141" s="334">
        <v>1915321</v>
      </c>
      <c r="S141" s="1291">
        <v>169569</v>
      </c>
      <c r="T141" s="1291">
        <v>757</v>
      </c>
      <c r="U141" s="180">
        <v>0</v>
      </c>
      <c r="V141" s="334">
        <v>62236</v>
      </c>
      <c r="W141" s="1302">
        <v>189915</v>
      </c>
      <c r="X141" s="1306"/>
      <c r="Y141" s="1308"/>
      <c r="Z141" s="1311">
        <f t="shared" si="7"/>
        <v>252151</v>
      </c>
      <c r="AA141" s="1302">
        <v>259290</v>
      </c>
      <c r="AB141" s="1181">
        <v>7015</v>
      </c>
      <c r="AC141" s="1302">
        <v>6015</v>
      </c>
      <c r="AD141" s="1315"/>
      <c r="AE141" s="1316"/>
      <c r="AF141" s="1311">
        <f t="shared" si="8"/>
        <v>13030</v>
      </c>
      <c r="AG141" s="1322">
        <v>50740</v>
      </c>
    </row>
    <row r="142" spans="1:33" s="2" customFormat="1">
      <c r="A142" s="134">
        <f t="shared" si="6"/>
        <v>2004.01</v>
      </c>
      <c r="B142" s="611">
        <v>1708020</v>
      </c>
      <c r="C142" s="1291">
        <v>87086</v>
      </c>
      <c r="D142" s="1291">
        <v>257</v>
      </c>
      <c r="E142" s="334">
        <v>0</v>
      </c>
      <c r="F142" s="1181">
        <v>324821</v>
      </c>
      <c r="G142" s="1291">
        <v>35699</v>
      </c>
      <c r="H142" s="1291">
        <v>74</v>
      </c>
      <c r="I142" s="180">
        <v>0</v>
      </c>
      <c r="J142" s="1181">
        <v>1341644</v>
      </c>
      <c r="K142" s="1291">
        <v>35580</v>
      </c>
      <c r="L142" s="1291">
        <v>0</v>
      </c>
      <c r="M142" s="180">
        <v>0</v>
      </c>
      <c r="N142" s="1181">
        <v>5425</v>
      </c>
      <c r="O142" s="1291">
        <v>0</v>
      </c>
      <c r="P142" s="1291">
        <v>162</v>
      </c>
      <c r="Q142" s="180">
        <v>0</v>
      </c>
      <c r="R142" s="334">
        <v>1971086</v>
      </c>
      <c r="S142" s="1291">
        <v>193184</v>
      </c>
      <c r="T142" s="1291">
        <v>836</v>
      </c>
      <c r="U142" s="180">
        <v>0</v>
      </c>
      <c r="V142" s="334">
        <v>53999</v>
      </c>
      <c r="W142" s="1302">
        <v>215089</v>
      </c>
      <c r="X142" s="1306"/>
      <c r="Y142" s="1308"/>
      <c r="Z142" s="1311">
        <f t="shared" si="7"/>
        <v>269088</v>
      </c>
      <c r="AA142" s="1302">
        <v>274090</v>
      </c>
      <c r="AB142" s="1181">
        <v>2000</v>
      </c>
      <c r="AC142" s="1302">
        <v>10300</v>
      </c>
      <c r="AD142" s="1315"/>
      <c r="AE142" s="1316"/>
      <c r="AF142" s="1311">
        <f t="shared" si="8"/>
        <v>12300</v>
      </c>
      <c r="AG142" s="1322">
        <v>58550</v>
      </c>
    </row>
    <row r="143" spans="1:33" s="2" customFormat="1">
      <c r="A143" s="134">
        <f t="shared" si="6"/>
        <v>2004.02</v>
      </c>
      <c r="B143" s="611">
        <v>1189448</v>
      </c>
      <c r="C143" s="1291">
        <v>157074</v>
      </c>
      <c r="D143" s="1291">
        <v>325</v>
      </c>
      <c r="E143" s="334">
        <v>0</v>
      </c>
      <c r="F143" s="1181">
        <v>228554</v>
      </c>
      <c r="G143" s="1291">
        <v>65708</v>
      </c>
      <c r="H143" s="1291">
        <v>22</v>
      </c>
      <c r="I143" s="180">
        <v>0</v>
      </c>
      <c r="J143" s="1181">
        <v>937567</v>
      </c>
      <c r="K143" s="1291">
        <v>59995</v>
      </c>
      <c r="L143" s="1291">
        <v>0</v>
      </c>
      <c r="M143" s="180">
        <v>0</v>
      </c>
      <c r="N143" s="1181">
        <v>5985</v>
      </c>
      <c r="O143" s="1291">
        <v>0</v>
      </c>
      <c r="P143" s="1291">
        <v>44</v>
      </c>
      <c r="Q143" s="180">
        <v>0</v>
      </c>
      <c r="R143" s="334">
        <v>1371680</v>
      </c>
      <c r="S143" s="1291">
        <v>239109</v>
      </c>
      <c r="T143" s="1291">
        <v>2979</v>
      </c>
      <c r="U143" s="180">
        <v>0</v>
      </c>
      <c r="V143" s="334">
        <v>40250</v>
      </c>
      <c r="W143" s="1302">
        <v>377309</v>
      </c>
      <c r="X143" s="1306"/>
      <c r="Y143" s="1308"/>
      <c r="Z143" s="1311">
        <f t="shared" si="7"/>
        <v>417559</v>
      </c>
      <c r="AA143" s="1302">
        <v>433360</v>
      </c>
      <c r="AB143" s="1181">
        <v>3250</v>
      </c>
      <c r="AC143" s="1302">
        <v>31331</v>
      </c>
      <c r="AD143" s="1315"/>
      <c r="AE143" s="1316"/>
      <c r="AF143" s="1311">
        <f t="shared" si="8"/>
        <v>34581</v>
      </c>
      <c r="AG143" s="1322">
        <v>55210</v>
      </c>
    </row>
    <row r="144" spans="1:33" s="2" customFormat="1">
      <c r="A144" s="134">
        <f t="shared" si="6"/>
        <v>2004.03</v>
      </c>
      <c r="B144" s="611">
        <v>1327763</v>
      </c>
      <c r="C144" s="1291">
        <v>101858</v>
      </c>
      <c r="D144" s="1291">
        <v>0</v>
      </c>
      <c r="E144" s="334">
        <v>0</v>
      </c>
      <c r="F144" s="1181">
        <v>264339</v>
      </c>
      <c r="G144" s="1291">
        <v>42914</v>
      </c>
      <c r="H144" s="1291">
        <v>0</v>
      </c>
      <c r="I144" s="180">
        <v>0</v>
      </c>
      <c r="J144" s="1181">
        <v>1066276</v>
      </c>
      <c r="K144" s="1291">
        <v>40077</v>
      </c>
      <c r="L144" s="1291">
        <v>0</v>
      </c>
      <c r="M144" s="180">
        <v>0</v>
      </c>
      <c r="N144" s="1181">
        <v>5160</v>
      </c>
      <c r="O144" s="1291">
        <v>0</v>
      </c>
      <c r="P144" s="1291">
        <v>0</v>
      </c>
      <c r="Q144" s="180">
        <v>0</v>
      </c>
      <c r="R144" s="334">
        <v>1525764</v>
      </c>
      <c r="S144" s="1291">
        <v>416807</v>
      </c>
      <c r="T144" s="1291">
        <v>1000</v>
      </c>
      <c r="U144" s="180">
        <v>0</v>
      </c>
      <c r="V144" s="334">
        <v>66137</v>
      </c>
      <c r="W144" s="1302">
        <v>162794</v>
      </c>
      <c r="X144" s="1306"/>
      <c r="Y144" s="1308"/>
      <c r="Z144" s="1311">
        <f t="shared" si="7"/>
        <v>228931</v>
      </c>
      <c r="AA144" s="1302">
        <v>230340</v>
      </c>
      <c r="AB144" s="1181">
        <v>11100</v>
      </c>
      <c r="AC144" s="1302">
        <v>60000</v>
      </c>
      <c r="AD144" s="1315"/>
      <c r="AE144" s="1316"/>
      <c r="AF144" s="1311">
        <f t="shared" si="8"/>
        <v>71100</v>
      </c>
      <c r="AG144" s="1322">
        <v>124980</v>
      </c>
    </row>
    <row r="145" spans="1:33" s="2" customFormat="1">
      <c r="A145" s="134">
        <f t="shared" si="6"/>
        <v>2004.04</v>
      </c>
      <c r="B145" s="611">
        <v>1795846</v>
      </c>
      <c r="C145" s="1291">
        <v>87773</v>
      </c>
      <c r="D145" s="1291">
        <v>0</v>
      </c>
      <c r="E145" s="334">
        <v>0</v>
      </c>
      <c r="F145" s="1181">
        <v>343185</v>
      </c>
      <c r="G145" s="1291">
        <v>36043</v>
      </c>
      <c r="H145" s="1291">
        <v>0</v>
      </c>
      <c r="I145" s="180">
        <v>0</v>
      </c>
      <c r="J145" s="1181">
        <v>1412917</v>
      </c>
      <c r="K145" s="1291">
        <v>34517</v>
      </c>
      <c r="L145" s="1291">
        <v>0</v>
      </c>
      <c r="M145" s="180">
        <v>0</v>
      </c>
      <c r="N145" s="1181">
        <v>7339</v>
      </c>
      <c r="O145" s="1291">
        <v>0</v>
      </c>
      <c r="P145" s="1291">
        <v>0</v>
      </c>
      <c r="Q145" s="180">
        <v>0</v>
      </c>
      <c r="R145" s="334">
        <v>2195563</v>
      </c>
      <c r="S145" s="1291">
        <v>281895</v>
      </c>
      <c r="T145" s="1291">
        <v>111</v>
      </c>
      <c r="U145" s="180">
        <v>0</v>
      </c>
      <c r="V145" s="334">
        <v>59965</v>
      </c>
      <c r="W145" s="1302">
        <v>272487</v>
      </c>
      <c r="X145" s="1306"/>
      <c r="Y145" s="1308"/>
      <c r="Z145" s="1311">
        <f t="shared" si="7"/>
        <v>332452</v>
      </c>
      <c r="AA145" s="1302">
        <v>334740</v>
      </c>
      <c r="AB145" s="1181">
        <v>750</v>
      </c>
      <c r="AC145" s="1302">
        <v>39349</v>
      </c>
      <c r="AD145" s="1315"/>
      <c r="AE145" s="1316"/>
      <c r="AF145" s="1311">
        <f t="shared" si="8"/>
        <v>40099</v>
      </c>
      <c r="AG145" s="1322">
        <v>131590</v>
      </c>
    </row>
    <row r="146" spans="1:33" s="2" customFormat="1">
      <c r="A146" s="134">
        <f t="shared" si="6"/>
        <v>2004.05</v>
      </c>
      <c r="B146" s="611">
        <v>2074373</v>
      </c>
      <c r="C146" s="1291">
        <v>9046</v>
      </c>
      <c r="D146" s="1291">
        <v>0</v>
      </c>
      <c r="E146" s="334">
        <v>0</v>
      </c>
      <c r="F146" s="1181">
        <v>386282</v>
      </c>
      <c r="G146" s="1291">
        <v>3593</v>
      </c>
      <c r="H146" s="1291">
        <v>0</v>
      </c>
      <c r="I146" s="180">
        <v>0</v>
      </c>
      <c r="J146" s="1181">
        <v>1609553</v>
      </c>
      <c r="K146" s="1291">
        <v>3692</v>
      </c>
      <c r="L146" s="1291">
        <v>0</v>
      </c>
      <c r="M146" s="180">
        <v>0</v>
      </c>
      <c r="N146" s="1181">
        <v>8045</v>
      </c>
      <c r="O146" s="1291">
        <v>0</v>
      </c>
      <c r="P146" s="1291">
        <v>0</v>
      </c>
      <c r="Q146" s="180">
        <v>0</v>
      </c>
      <c r="R146" s="334">
        <v>2517329</v>
      </c>
      <c r="S146" s="1291">
        <v>193537</v>
      </c>
      <c r="T146" s="1291">
        <v>57</v>
      </c>
      <c r="U146" s="180">
        <v>0</v>
      </c>
      <c r="V146" s="334">
        <v>122080</v>
      </c>
      <c r="W146" s="1302">
        <v>349592</v>
      </c>
      <c r="X146" s="1306"/>
      <c r="Y146" s="1308"/>
      <c r="Z146" s="1311">
        <f t="shared" si="7"/>
        <v>471672</v>
      </c>
      <c r="AA146" s="1302">
        <v>484670</v>
      </c>
      <c r="AB146" s="1181">
        <v>5500</v>
      </c>
      <c r="AC146" s="1302">
        <v>17800</v>
      </c>
      <c r="AD146" s="1315"/>
      <c r="AE146" s="1316"/>
      <c r="AF146" s="1311">
        <f t="shared" si="8"/>
        <v>23300</v>
      </c>
      <c r="AG146" s="1322">
        <v>44660</v>
      </c>
    </row>
    <row r="147" spans="1:33" s="2" customFormat="1">
      <c r="A147" s="134">
        <f t="shared" si="6"/>
        <v>2004.06</v>
      </c>
      <c r="B147" s="611">
        <v>1965091</v>
      </c>
      <c r="C147" s="1291">
        <v>25198</v>
      </c>
      <c r="D147" s="1291">
        <v>0</v>
      </c>
      <c r="E147" s="334">
        <v>0</v>
      </c>
      <c r="F147" s="1181">
        <v>365668</v>
      </c>
      <c r="G147" s="1291">
        <v>10451</v>
      </c>
      <c r="H147" s="1291">
        <v>0</v>
      </c>
      <c r="I147" s="180">
        <v>0</v>
      </c>
      <c r="J147" s="1181">
        <v>1548110</v>
      </c>
      <c r="K147" s="1291">
        <v>9733</v>
      </c>
      <c r="L147" s="1291">
        <v>0</v>
      </c>
      <c r="M147" s="180">
        <v>0</v>
      </c>
      <c r="N147" s="1181">
        <v>8413</v>
      </c>
      <c r="O147" s="1291">
        <v>135</v>
      </c>
      <c r="P147" s="1291">
        <v>0</v>
      </c>
      <c r="Q147" s="180">
        <v>0</v>
      </c>
      <c r="R147" s="334">
        <v>2403436</v>
      </c>
      <c r="S147" s="1291">
        <v>208058</v>
      </c>
      <c r="T147" s="1291">
        <v>0</v>
      </c>
      <c r="U147" s="180">
        <v>0</v>
      </c>
      <c r="V147" s="334">
        <v>30700</v>
      </c>
      <c r="W147" s="1302">
        <v>226822</v>
      </c>
      <c r="X147" s="1306"/>
      <c r="Y147" s="1308"/>
      <c r="Z147" s="1311">
        <f t="shared" si="7"/>
        <v>257522</v>
      </c>
      <c r="AA147" s="1302">
        <v>284580</v>
      </c>
      <c r="AB147" s="1181">
        <v>0</v>
      </c>
      <c r="AC147" s="1302">
        <v>4121</v>
      </c>
      <c r="AD147" s="1315"/>
      <c r="AE147" s="1316"/>
      <c r="AF147" s="1311">
        <f t="shared" si="8"/>
        <v>4121</v>
      </c>
      <c r="AG147" s="1322">
        <v>75470</v>
      </c>
    </row>
    <row r="148" spans="1:33" s="2" customFormat="1">
      <c r="A148" s="134">
        <f t="shared" si="6"/>
        <v>2004.07</v>
      </c>
      <c r="B148" s="611">
        <v>1853384</v>
      </c>
      <c r="C148" s="1291">
        <v>39142</v>
      </c>
      <c r="D148" s="1291">
        <v>0</v>
      </c>
      <c r="E148" s="334">
        <v>32467</v>
      </c>
      <c r="F148" s="1181">
        <v>346346</v>
      </c>
      <c r="G148" s="1291">
        <v>16090</v>
      </c>
      <c r="H148" s="1291">
        <v>0</v>
      </c>
      <c r="I148" s="180">
        <v>5067</v>
      </c>
      <c r="J148" s="1181">
        <v>1445963</v>
      </c>
      <c r="K148" s="1291">
        <v>15749</v>
      </c>
      <c r="L148" s="1291">
        <v>0</v>
      </c>
      <c r="M148" s="180">
        <v>16071</v>
      </c>
      <c r="N148" s="1181">
        <v>7731</v>
      </c>
      <c r="O148" s="1291">
        <v>0</v>
      </c>
      <c r="P148" s="1291">
        <v>0</v>
      </c>
      <c r="Q148" s="180">
        <v>0</v>
      </c>
      <c r="R148" s="334">
        <v>2269980</v>
      </c>
      <c r="S148" s="1291">
        <v>248730</v>
      </c>
      <c r="T148" s="1291">
        <v>0</v>
      </c>
      <c r="U148" s="180">
        <v>32467</v>
      </c>
      <c r="V148" s="334">
        <v>70963</v>
      </c>
      <c r="W148" s="1302">
        <v>418060</v>
      </c>
      <c r="X148" s="1306"/>
      <c r="Y148" s="1308"/>
      <c r="Z148" s="1311">
        <f t="shared" si="7"/>
        <v>489023</v>
      </c>
      <c r="AA148" s="1302">
        <v>526430</v>
      </c>
      <c r="AB148" s="1181">
        <v>1195</v>
      </c>
      <c r="AC148" s="1302">
        <v>11500</v>
      </c>
      <c r="AD148" s="1315"/>
      <c r="AE148" s="1316"/>
      <c r="AF148" s="1311">
        <f t="shared" si="8"/>
        <v>12695</v>
      </c>
      <c r="AG148" s="1322">
        <v>57900</v>
      </c>
    </row>
    <row r="149" spans="1:33" s="2" customFormat="1">
      <c r="A149" s="134">
        <f t="shared" si="6"/>
        <v>2004.08</v>
      </c>
      <c r="B149" s="611">
        <v>1840434</v>
      </c>
      <c r="C149" s="1291">
        <v>34287</v>
      </c>
      <c r="D149" s="1291">
        <v>0</v>
      </c>
      <c r="E149" s="334">
        <v>30693</v>
      </c>
      <c r="F149" s="1181">
        <v>346073</v>
      </c>
      <c r="G149" s="1291">
        <v>14087</v>
      </c>
      <c r="H149" s="1291">
        <v>0</v>
      </c>
      <c r="I149" s="180">
        <v>4988</v>
      </c>
      <c r="J149" s="1181">
        <v>1436988</v>
      </c>
      <c r="K149" s="1291">
        <v>14965</v>
      </c>
      <c r="L149" s="1291">
        <v>0</v>
      </c>
      <c r="M149" s="180">
        <v>16035</v>
      </c>
      <c r="N149" s="1181">
        <v>6947</v>
      </c>
      <c r="O149" s="1291">
        <v>0</v>
      </c>
      <c r="P149" s="1291">
        <v>0</v>
      </c>
      <c r="Q149" s="180">
        <v>0</v>
      </c>
      <c r="R149" s="334">
        <v>2145475</v>
      </c>
      <c r="S149" s="1291">
        <v>247761</v>
      </c>
      <c r="T149" s="1291">
        <v>0</v>
      </c>
      <c r="U149" s="180">
        <v>30693</v>
      </c>
      <c r="V149" s="334">
        <v>109181</v>
      </c>
      <c r="W149" s="1302">
        <v>293529</v>
      </c>
      <c r="X149" s="1306"/>
      <c r="Y149" s="1308"/>
      <c r="Z149" s="1311">
        <f t="shared" si="7"/>
        <v>402710</v>
      </c>
      <c r="AA149" s="1302">
        <v>403710</v>
      </c>
      <c r="AB149" s="1181">
        <v>20417</v>
      </c>
      <c r="AC149" s="1302">
        <v>8192</v>
      </c>
      <c r="AD149" s="1315"/>
      <c r="AE149" s="1316"/>
      <c r="AF149" s="1311">
        <f t="shared" si="8"/>
        <v>28609</v>
      </c>
      <c r="AG149" s="1322">
        <v>72100</v>
      </c>
    </row>
    <row r="150" spans="1:33" s="2" customFormat="1">
      <c r="A150" s="134">
        <f t="shared" ref="A150:A213" si="9">A138+1</f>
        <v>2004.09</v>
      </c>
      <c r="B150" s="611">
        <v>1712007</v>
      </c>
      <c r="C150" s="1291">
        <v>41694</v>
      </c>
      <c r="D150" s="1291">
        <v>0</v>
      </c>
      <c r="E150" s="334">
        <v>0</v>
      </c>
      <c r="F150" s="1181">
        <v>323970</v>
      </c>
      <c r="G150" s="1291">
        <v>17262</v>
      </c>
      <c r="H150" s="1291">
        <v>0</v>
      </c>
      <c r="I150" s="180">
        <v>0</v>
      </c>
      <c r="J150" s="1181">
        <v>1346560</v>
      </c>
      <c r="K150" s="1291">
        <v>17074</v>
      </c>
      <c r="L150" s="1291">
        <v>0</v>
      </c>
      <c r="M150" s="180">
        <v>0</v>
      </c>
      <c r="N150" s="1181">
        <v>6624</v>
      </c>
      <c r="O150" s="1291">
        <v>0</v>
      </c>
      <c r="P150" s="1291">
        <v>0</v>
      </c>
      <c r="Q150" s="180">
        <v>0</v>
      </c>
      <c r="R150" s="334">
        <v>2121037</v>
      </c>
      <c r="S150" s="1291">
        <v>198596</v>
      </c>
      <c r="T150" s="1291">
        <v>200</v>
      </c>
      <c r="U150" s="180">
        <v>0</v>
      </c>
      <c r="V150" s="334">
        <v>39050</v>
      </c>
      <c r="W150" s="1302">
        <v>223139</v>
      </c>
      <c r="X150" s="1306"/>
      <c r="Y150" s="1308"/>
      <c r="Z150" s="1311">
        <f t="shared" si="7"/>
        <v>262189</v>
      </c>
      <c r="AA150" s="1302">
        <v>300420</v>
      </c>
      <c r="AB150" s="1181">
        <v>1500</v>
      </c>
      <c r="AC150" s="1302">
        <v>19200</v>
      </c>
      <c r="AD150" s="1315"/>
      <c r="AE150" s="1316"/>
      <c r="AF150" s="1311">
        <f t="shared" si="8"/>
        <v>20700</v>
      </c>
      <c r="AG150" s="1322">
        <v>89890</v>
      </c>
    </row>
    <row r="151" spans="1:33" s="2" customFormat="1">
      <c r="A151" s="134">
        <f t="shared" si="9"/>
        <v>2004.1</v>
      </c>
      <c r="B151" s="611">
        <v>1753331</v>
      </c>
      <c r="C151" s="1291">
        <v>16460</v>
      </c>
      <c r="D151" s="1291">
        <v>0</v>
      </c>
      <c r="E151" s="334">
        <v>0</v>
      </c>
      <c r="F151" s="1181">
        <v>328202</v>
      </c>
      <c r="G151" s="1291">
        <v>7498</v>
      </c>
      <c r="H151" s="1291">
        <v>0</v>
      </c>
      <c r="I151" s="180">
        <v>0</v>
      </c>
      <c r="J151" s="1181">
        <v>1366137</v>
      </c>
      <c r="K151" s="1291">
        <v>6888</v>
      </c>
      <c r="L151" s="1291">
        <v>0</v>
      </c>
      <c r="M151" s="180">
        <v>0</v>
      </c>
      <c r="N151" s="1181">
        <v>8775</v>
      </c>
      <c r="O151" s="1291">
        <v>0</v>
      </c>
      <c r="P151" s="1291">
        <v>0</v>
      </c>
      <c r="Q151" s="180">
        <v>0</v>
      </c>
      <c r="R151" s="334">
        <v>2122414</v>
      </c>
      <c r="S151" s="1291">
        <v>240933</v>
      </c>
      <c r="T151" s="1291">
        <v>0</v>
      </c>
      <c r="U151" s="180">
        <v>0</v>
      </c>
      <c r="V151" s="334">
        <v>104168</v>
      </c>
      <c r="W151" s="1302">
        <v>300484</v>
      </c>
      <c r="X151" s="1306"/>
      <c r="Y151" s="1308"/>
      <c r="Z151" s="1311">
        <f t="shared" si="7"/>
        <v>404652</v>
      </c>
      <c r="AA151" s="1302">
        <v>417450</v>
      </c>
      <c r="AB151" s="1181">
        <v>0</v>
      </c>
      <c r="AC151" s="1302">
        <v>10400</v>
      </c>
      <c r="AD151" s="1315"/>
      <c r="AE151" s="1316"/>
      <c r="AF151" s="1311">
        <f t="shared" si="8"/>
        <v>10400</v>
      </c>
      <c r="AG151" s="1322">
        <v>60130</v>
      </c>
    </row>
    <row r="152" spans="1:33" s="2" customFormat="1">
      <c r="A152" s="134">
        <f t="shared" si="9"/>
        <v>2004.11</v>
      </c>
      <c r="B152" s="611">
        <v>1625981</v>
      </c>
      <c r="C152" s="1291">
        <v>26110</v>
      </c>
      <c r="D152" s="1291">
        <v>0</v>
      </c>
      <c r="E152" s="334">
        <v>0</v>
      </c>
      <c r="F152" s="1181">
        <v>306775</v>
      </c>
      <c r="G152" s="1291">
        <v>11338</v>
      </c>
      <c r="H152" s="1291">
        <v>0</v>
      </c>
      <c r="I152" s="180">
        <v>0</v>
      </c>
      <c r="J152" s="1181">
        <v>1273980</v>
      </c>
      <c r="K152" s="1291">
        <v>10696</v>
      </c>
      <c r="L152" s="1291">
        <v>0</v>
      </c>
      <c r="M152" s="180">
        <v>0</v>
      </c>
      <c r="N152" s="1181">
        <v>8168</v>
      </c>
      <c r="O152" s="1291">
        <v>0</v>
      </c>
      <c r="P152" s="1291">
        <v>0</v>
      </c>
      <c r="Q152" s="180">
        <v>0</v>
      </c>
      <c r="R152" s="334">
        <v>1926535</v>
      </c>
      <c r="S152" s="1291">
        <v>231105</v>
      </c>
      <c r="T152" s="1291">
        <v>1172</v>
      </c>
      <c r="U152" s="180">
        <v>0</v>
      </c>
      <c r="V152" s="334">
        <v>115732</v>
      </c>
      <c r="W152" s="1302">
        <v>380474</v>
      </c>
      <c r="X152" s="1306"/>
      <c r="Y152" s="1308"/>
      <c r="Z152" s="1311">
        <f t="shared" si="7"/>
        <v>496206</v>
      </c>
      <c r="AA152" s="1302">
        <v>516110</v>
      </c>
      <c r="AB152" s="1181">
        <v>9500</v>
      </c>
      <c r="AC152" s="1302">
        <v>8900</v>
      </c>
      <c r="AD152" s="1315"/>
      <c r="AE152" s="1316"/>
      <c r="AF152" s="1311">
        <f t="shared" si="8"/>
        <v>18400</v>
      </c>
      <c r="AG152" s="1322">
        <v>72980</v>
      </c>
    </row>
    <row r="153" spans="1:33" s="2" customFormat="1">
      <c r="A153" s="134">
        <f t="shared" si="9"/>
        <v>2004.12</v>
      </c>
      <c r="B153" s="611">
        <v>1370071</v>
      </c>
      <c r="C153" s="1291">
        <v>8350</v>
      </c>
      <c r="D153" s="1291">
        <v>0</v>
      </c>
      <c r="E153" s="334">
        <v>0</v>
      </c>
      <c r="F153" s="1181">
        <v>257967</v>
      </c>
      <c r="G153" s="1291">
        <v>3464</v>
      </c>
      <c r="H153" s="1291">
        <v>0</v>
      </c>
      <c r="I153" s="180">
        <v>0</v>
      </c>
      <c r="J153" s="1181">
        <v>1069304</v>
      </c>
      <c r="K153" s="1291">
        <v>3305</v>
      </c>
      <c r="L153" s="1291">
        <v>0</v>
      </c>
      <c r="M153" s="180">
        <v>0</v>
      </c>
      <c r="N153" s="1181">
        <v>8454</v>
      </c>
      <c r="O153" s="1291">
        <v>0</v>
      </c>
      <c r="P153" s="1291">
        <v>0</v>
      </c>
      <c r="Q153" s="180">
        <v>0</v>
      </c>
      <c r="R153" s="334">
        <v>1659187</v>
      </c>
      <c r="S153" s="1291">
        <v>142763</v>
      </c>
      <c r="T153" s="1291">
        <v>2279</v>
      </c>
      <c r="U153" s="180">
        <v>0</v>
      </c>
      <c r="V153" s="334">
        <v>36300</v>
      </c>
      <c r="W153" s="1302">
        <v>298435</v>
      </c>
      <c r="X153" s="1306"/>
      <c r="Y153" s="1308"/>
      <c r="Z153" s="1311">
        <f t="shared" si="7"/>
        <v>334735</v>
      </c>
      <c r="AA153" s="1302">
        <v>382240</v>
      </c>
      <c r="AB153" s="1181">
        <v>3250</v>
      </c>
      <c r="AC153" s="1302">
        <v>25465</v>
      </c>
      <c r="AD153" s="1315"/>
      <c r="AE153" s="1316"/>
      <c r="AF153" s="1311">
        <f t="shared" si="8"/>
        <v>28715</v>
      </c>
      <c r="AG153" s="1322">
        <v>57270</v>
      </c>
    </row>
    <row r="154" spans="1:33" s="2" customFormat="1">
      <c r="A154" s="134">
        <f t="shared" si="9"/>
        <v>2005.01</v>
      </c>
      <c r="B154" s="611">
        <v>1733221</v>
      </c>
      <c r="C154" s="1291">
        <v>146073</v>
      </c>
      <c r="D154" s="1291">
        <v>0</v>
      </c>
      <c r="E154" s="334">
        <v>0</v>
      </c>
      <c r="F154" s="1181">
        <v>331699</v>
      </c>
      <c r="G154" s="1291">
        <v>59665</v>
      </c>
      <c r="H154" s="1291">
        <v>0</v>
      </c>
      <c r="I154" s="180">
        <v>0</v>
      </c>
      <c r="J154" s="1181">
        <v>1366648</v>
      </c>
      <c r="K154" s="1291">
        <v>61106</v>
      </c>
      <c r="L154" s="1291">
        <v>0</v>
      </c>
      <c r="M154" s="180">
        <v>0</v>
      </c>
      <c r="N154" s="1181">
        <v>7990</v>
      </c>
      <c r="O154" s="1291">
        <v>0</v>
      </c>
      <c r="P154" s="1291">
        <v>0</v>
      </c>
      <c r="Q154" s="180">
        <v>0</v>
      </c>
      <c r="R154" s="334">
        <v>1986404</v>
      </c>
      <c r="S154" s="1291">
        <v>213898</v>
      </c>
      <c r="T154" s="1291">
        <v>2227</v>
      </c>
      <c r="U154" s="180">
        <v>0</v>
      </c>
      <c r="V154" s="334">
        <v>87153</v>
      </c>
      <c r="W154" s="1302">
        <v>192068</v>
      </c>
      <c r="X154" s="1306"/>
      <c r="Y154" s="1308"/>
      <c r="Z154" s="1311">
        <f t="shared" si="7"/>
        <v>279221</v>
      </c>
      <c r="AA154" s="1302">
        <v>302570</v>
      </c>
      <c r="AB154" s="1181">
        <v>22522</v>
      </c>
      <c r="AC154" s="1302">
        <v>61950</v>
      </c>
      <c r="AD154" s="1315"/>
      <c r="AE154" s="1316"/>
      <c r="AF154" s="1311">
        <f t="shared" si="8"/>
        <v>84472</v>
      </c>
      <c r="AG154" s="1322">
        <v>113050</v>
      </c>
    </row>
    <row r="155" spans="1:33" s="2" customFormat="1">
      <c r="A155" s="134">
        <f t="shared" si="9"/>
        <v>2005.02</v>
      </c>
      <c r="B155" s="611">
        <v>1601148</v>
      </c>
      <c r="C155" s="1291">
        <v>141348</v>
      </c>
      <c r="D155" s="1291">
        <v>0</v>
      </c>
      <c r="E155" s="334">
        <v>0</v>
      </c>
      <c r="F155" s="1181">
        <v>304185.75</v>
      </c>
      <c r="G155" s="1291">
        <v>56877</v>
      </c>
      <c r="H155" s="1291">
        <v>0</v>
      </c>
      <c r="I155" s="180">
        <v>0</v>
      </c>
      <c r="J155" s="1181">
        <v>1262998</v>
      </c>
      <c r="K155" s="1291">
        <v>57907</v>
      </c>
      <c r="L155" s="1291">
        <v>0</v>
      </c>
      <c r="M155" s="180">
        <v>0</v>
      </c>
      <c r="N155" s="1181">
        <v>7912</v>
      </c>
      <c r="O155" s="1291">
        <v>0</v>
      </c>
      <c r="P155" s="1291">
        <v>0</v>
      </c>
      <c r="Q155" s="180">
        <v>0</v>
      </c>
      <c r="R155" s="334">
        <v>1799936</v>
      </c>
      <c r="S155" s="1291">
        <v>235302</v>
      </c>
      <c r="T155" s="1291">
        <v>3918</v>
      </c>
      <c r="U155" s="180">
        <v>0</v>
      </c>
      <c r="V155" s="334">
        <v>66000</v>
      </c>
      <c r="W155" s="1302">
        <v>224273</v>
      </c>
      <c r="X155" s="1306"/>
      <c r="Y155" s="1308"/>
      <c r="Z155" s="1311">
        <f t="shared" si="7"/>
        <v>290273</v>
      </c>
      <c r="AA155" s="1302">
        <v>295600</v>
      </c>
      <c r="AB155" s="1181">
        <v>2200</v>
      </c>
      <c r="AC155" s="1302">
        <v>67247</v>
      </c>
      <c r="AD155" s="1315"/>
      <c r="AE155" s="1316"/>
      <c r="AF155" s="1311">
        <f t="shared" si="8"/>
        <v>69447</v>
      </c>
      <c r="AG155" s="1322">
        <v>89610</v>
      </c>
    </row>
    <row r="156" spans="1:33" s="2" customFormat="1">
      <c r="A156" s="134">
        <f t="shared" si="9"/>
        <v>2005.03</v>
      </c>
      <c r="B156" s="611">
        <v>1709170</v>
      </c>
      <c r="C156" s="1291">
        <v>146112</v>
      </c>
      <c r="D156" s="1291">
        <v>0</v>
      </c>
      <c r="E156" s="334">
        <v>8236</v>
      </c>
      <c r="F156" s="1181">
        <v>330421.19</v>
      </c>
      <c r="G156" s="1291">
        <v>59740</v>
      </c>
      <c r="H156" s="1291">
        <v>0</v>
      </c>
      <c r="I156" s="180">
        <v>1194</v>
      </c>
      <c r="J156" s="1181">
        <v>1315592.53</v>
      </c>
      <c r="K156" s="1291">
        <v>59795</v>
      </c>
      <c r="L156" s="1291">
        <v>0</v>
      </c>
      <c r="M156" s="180">
        <v>7042</v>
      </c>
      <c r="N156" s="1181">
        <v>8614</v>
      </c>
      <c r="O156" s="1291">
        <v>0</v>
      </c>
      <c r="P156" s="1291">
        <v>0</v>
      </c>
      <c r="Q156" s="180">
        <v>0</v>
      </c>
      <c r="R156" s="334">
        <v>1924887</v>
      </c>
      <c r="S156" s="1291">
        <v>551689</v>
      </c>
      <c r="T156" s="1291">
        <v>4488</v>
      </c>
      <c r="U156" s="180">
        <v>8236</v>
      </c>
      <c r="V156" s="334">
        <v>83150</v>
      </c>
      <c r="W156" s="1302">
        <v>328093</v>
      </c>
      <c r="X156" s="1306"/>
      <c r="Y156" s="1308"/>
      <c r="Z156" s="1311">
        <f t="shared" si="7"/>
        <v>411243</v>
      </c>
      <c r="AA156" s="1302">
        <v>431010</v>
      </c>
      <c r="AB156" s="1181">
        <v>35700</v>
      </c>
      <c r="AC156" s="1302">
        <v>87400</v>
      </c>
      <c r="AD156" s="1315"/>
      <c r="AE156" s="1316"/>
      <c r="AF156" s="1311">
        <f t="shared" si="8"/>
        <v>123100</v>
      </c>
      <c r="AG156" s="1322">
        <v>170190</v>
      </c>
    </row>
    <row r="157" spans="1:33" s="2" customFormat="1">
      <c r="A157" s="134">
        <f t="shared" si="9"/>
        <v>2005.04</v>
      </c>
      <c r="B157" s="611">
        <v>1927413</v>
      </c>
      <c r="C157" s="1291">
        <v>31147</v>
      </c>
      <c r="D157" s="1291">
        <v>0</v>
      </c>
      <c r="E157" s="334">
        <v>28833</v>
      </c>
      <c r="F157" s="1181">
        <v>368414</v>
      </c>
      <c r="G157" s="1291">
        <v>12766</v>
      </c>
      <c r="H157" s="1291">
        <v>0</v>
      </c>
      <c r="I157" s="180">
        <v>4326</v>
      </c>
      <c r="J157" s="1181">
        <v>1505788</v>
      </c>
      <c r="K157" s="1291">
        <v>13925</v>
      </c>
      <c r="L157" s="1291">
        <v>0</v>
      </c>
      <c r="M157" s="180">
        <v>24048</v>
      </c>
      <c r="N157" s="1181">
        <v>9871</v>
      </c>
      <c r="O157" s="1291">
        <v>0</v>
      </c>
      <c r="P157" s="1291">
        <v>0</v>
      </c>
      <c r="Q157" s="180">
        <v>0</v>
      </c>
      <c r="R157" s="334">
        <v>2247994</v>
      </c>
      <c r="S157" s="1291">
        <v>343878</v>
      </c>
      <c r="T157" s="1291">
        <v>820</v>
      </c>
      <c r="U157" s="180">
        <v>28833</v>
      </c>
      <c r="V157" s="334">
        <v>82366</v>
      </c>
      <c r="W157" s="1302">
        <v>294687</v>
      </c>
      <c r="X157" s="1306"/>
      <c r="Y157" s="1308"/>
      <c r="Z157" s="1311">
        <f t="shared" si="7"/>
        <v>377053</v>
      </c>
      <c r="AA157" s="1302">
        <v>381050</v>
      </c>
      <c r="AB157" s="1181">
        <v>39300</v>
      </c>
      <c r="AC157" s="1302">
        <v>17136</v>
      </c>
      <c r="AD157" s="1315"/>
      <c r="AE157" s="1316"/>
      <c r="AF157" s="1311">
        <f t="shared" si="8"/>
        <v>56436</v>
      </c>
      <c r="AG157" s="1322">
        <v>162530</v>
      </c>
    </row>
    <row r="158" spans="1:33" s="2" customFormat="1">
      <c r="A158" s="134">
        <f t="shared" si="9"/>
        <v>2005.05</v>
      </c>
      <c r="B158" s="611">
        <v>2328722</v>
      </c>
      <c r="C158" s="1291">
        <v>44121</v>
      </c>
      <c r="D158" s="1291">
        <v>0</v>
      </c>
      <c r="E158" s="334">
        <v>16592</v>
      </c>
      <c r="F158" s="1181">
        <v>414927</v>
      </c>
      <c r="G158" s="1291">
        <v>17186</v>
      </c>
      <c r="H158" s="1291">
        <v>0</v>
      </c>
      <c r="I158" s="180">
        <v>2390</v>
      </c>
      <c r="J158" s="1181">
        <v>1839466</v>
      </c>
      <c r="K158" s="1291">
        <v>17332</v>
      </c>
      <c r="L158" s="1291">
        <v>0</v>
      </c>
      <c r="M158" s="180">
        <v>13870</v>
      </c>
      <c r="N158" s="1181">
        <v>10083</v>
      </c>
      <c r="O158" s="1291">
        <v>0</v>
      </c>
      <c r="P158" s="1291">
        <v>0</v>
      </c>
      <c r="Q158" s="180">
        <v>0</v>
      </c>
      <c r="R158" s="334">
        <v>2749303</v>
      </c>
      <c r="S158" s="1291">
        <v>264859</v>
      </c>
      <c r="T158" s="1291">
        <v>1470</v>
      </c>
      <c r="U158" s="180">
        <v>16592</v>
      </c>
      <c r="V158" s="334">
        <v>71500</v>
      </c>
      <c r="W158" s="1302">
        <v>312298</v>
      </c>
      <c r="X158" s="1306"/>
      <c r="Y158" s="1308"/>
      <c r="Z158" s="1311">
        <f t="shared" si="7"/>
        <v>383798</v>
      </c>
      <c r="AA158" s="1302">
        <v>389800</v>
      </c>
      <c r="AB158" s="1181">
        <v>4000</v>
      </c>
      <c r="AC158" s="1302">
        <v>21599</v>
      </c>
      <c r="AD158" s="1315"/>
      <c r="AE158" s="1316"/>
      <c r="AF158" s="1311">
        <f t="shared" si="8"/>
        <v>25599</v>
      </c>
      <c r="AG158" s="1322">
        <v>68170</v>
      </c>
    </row>
    <row r="159" spans="1:33" s="2" customFormat="1">
      <c r="A159" s="134">
        <f t="shared" si="9"/>
        <v>2005.06</v>
      </c>
      <c r="B159" s="611">
        <v>2279287</v>
      </c>
      <c r="C159" s="1291">
        <v>99303</v>
      </c>
      <c r="D159" s="1291">
        <v>0</v>
      </c>
      <c r="E159" s="334">
        <v>0</v>
      </c>
      <c r="F159" s="1181">
        <v>421927</v>
      </c>
      <c r="G159" s="1291">
        <v>40534</v>
      </c>
      <c r="H159" s="1291">
        <v>0</v>
      </c>
      <c r="I159" s="180">
        <v>0</v>
      </c>
      <c r="J159" s="1181">
        <v>1787114</v>
      </c>
      <c r="K159" s="1291">
        <v>40665</v>
      </c>
      <c r="L159" s="1291">
        <v>0</v>
      </c>
      <c r="M159" s="180">
        <v>0</v>
      </c>
      <c r="N159" s="1181">
        <v>7953</v>
      </c>
      <c r="O159" s="1291">
        <v>0</v>
      </c>
      <c r="P159" s="1291">
        <v>0</v>
      </c>
      <c r="Q159" s="180">
        <v>0</v>
      </c>
      <c r="R159" s="334">
        <v>2669452</v>
      </c>
      <c r="S159" s="1291">
        <v>376105</v>
      </c>
      <c r="T159" s="1291">
        <v>1</v>
      </c>
      <c r="U159" s="180">
        <v>0</v>
      </c>
      <c r="V159" s="334">
        <v>24900</v>
      </c>
      <c r="W159" s="1302">
        <v>413798</v>
      </c>
      <c r="X159" s="1306"/>
      <c r="Y159" s="1308"/>
      <c r="Z159" s="1311">
        <f t="shared" si="7"/>
        <v>438698</v>
      </c>
      <c r="AA159" s="1302">
        <v>466550</v>
      </c>
      <c r="AB159" s="1181">
        <v>3000</v>
      </c>
      <c r="AC159" s="1302">
        <v>45000</v>
      </c>
      <c r="AD159" s="1315"/>
      <c r="AE159" s="1316"/>
      <c r="AF159" s="1311">
        <f t="shared" si="8"/>
        <v>48000</v>
      </c>
      <c r="AG159" s="1322">
        <v>138000</v>
      </c>
    </row>
    <row r="160" spans="1:33" s="2" customFormat="1">
      <c r="A160" s="134">
        <f t="shared" si="9"/>
        <v>2005.07</v>
      </c>
      <c r="B160" s="611">
        <v>2455082</v>
      </c>
      <c r="C160" s="1291">
        <v>77216</v>
      </c>
      <c r="D160" s="1291">
        <v>0</v>
      </c>
      <c r="E160" s="334">
        <v>0</v>
      </c>
      <c r="F160" s="1181">
        <v>462772.96799999999</v>
      </c>
      <c r="G160" s="1291">
        <v>31378</v>
      </c>
      <c r="H160" s="1291">
        <v>0</v>
      </c>
      <c r="I160" s="180">
        <v>0</v>
      </c>
      <c r="J160" s="1181">
        <v>2010968</v>
      </c>
      <c r="K160" s="1291">
        <v>31809</v>
      </c>
      <c r="L160" s="1291">
        <v>0</v>
      </c>
      <c r="M160" s="180">
        <v>0</v>
      </c>
      <c r="N160" s="1181">
        <v>10677</v>
      </c>
      <c r="O160" s="1291">
        <v>0</v>
      </c>
      <c r="P160" s="1291">
        <v>0</v>
      </c>
      <c r="Q160" s="180">
        <v>0</v>
      </c>
      <c r="R160" s="334">
        <v>2860824</v>
      </c>
      <c r="S160" s="1291">
        <v>332407</v>
      </c>
      <c r="T160" s="1291">
        <v>378</v>
      </c>
      <c r="U160" s="180">
        <v>0</v>
      </c>
      <c r="V160" s="334">
        <v>68100</v>
      </c>
      <c r="W160" s="1302">
        <v>335246</v>
      </c>
      <c r="X160" s="1306"/>
      <c r="Y160" s="1308"/>
      <c r="Z160" s="1311">
        <f t="shared" si="7"/>
        <v>403346</v>
      </c>
      <c r="AA160" s="1302">
        <v>408850</v>
      </c>
      <c r="AB160" s="1181">
        <v>4700</v>
      </c>
      <c r="AC160" s="1302">
        <v>48705</v>
      </c>
      <c r="AD160" s="1315"/>
      <c r="AE160" s="1316"/>
      <c r="AF160" s="1311">
        <f t="shared" si="8"/>
        <v>53405</v>
      </c>
      <c r="AG160" s="1322">
        <v>82050</v>
      </c>
    </row>
    <row r="161" spans="1:33" s="2" customFormat="1">
      <c r="A161" s="134">
        <f t="shared" si="9"/>
        <v>2005.08</v>
      </c>
      <c r="B161" s="611">
        <v>2270189</v>
      </c>
      <c r="C161" s="1291">
        <v>57545</v>
      </c>
      <c r="D161" s="1291">
        <v>0</v>
      </c>
      <c r="E161" s="334">
        <v>6313</v>
      </c>
      <c r="F161" s="1181">
        <v>427487</v>
      </c>
      <c r="G161" s="1291">
        <v>24022</v>
      </c>
      <c r="H161" s="1291">
        <v>0</v>
      </c>
      <c r="I161" s="180">
        <v>666</v>
      </c>
      <c r="J161" s="1181">
        <v>1757892</v>
      </c>
      <c r="K161" s="1291">
        <v>24102</v>
      </c>
      <c r="L161" s="1291">
        <v>0</v>
      </c>
      <c r="M161" s="180">
        <v>5521</v>
      </c>
      <c r="N161" s="1181">
        <v>8494</v>
      </c>
      <c r="O161" s="1291">
        <v>0</v>
      </c>
      <c r="P161" s="1291">
        <v>0</v>
      </c>
      <c r="Q161" s="180">
        <v>0</v>
      </c>
      <c r="R161" s="334">
        <v>2591338</v>
      </c>
      <c r="S161" s="1291">
        <v>332116</v>
      </c>
      <c r="T161" s="1291">
        <v>0</v>
      </c>
      <c r="U161" s="180">
        <v>6313</v>
      </c>
      <c r="V161" s="334">
        <v>117736</v>
      </c>
      <c r="W161" s="1302">
        <v>414298</v>
      </c>
      <c r="X161" s="1306"/>
      <c r="Y161" s="1308"/>
      <c r="Z161" s="1311">
        <f t="shared" si="7"/>
        <v>532034</v>
      </c>
      <c r="AA161" s="1302">
        <v>556850</v>
      </c>
      <c r="AB161" s="1181">
        <v>7100</v>
      </c>
      <c r="AC161" s="1302">
        <v>47800</v>
      </c>
      <c r="AD161" s="1315"/>
      <c r="AE161" s="1316"/>
      <c r="AF161" s="1311">
        <f t="shared" si="8"/>
        <v>54900</v>
      </c>
      <c r="AG161" s="1322">
        <v>135940</v>
      </c>
    </row>
    <row r="162" spans="1:33" s="2" customFormat="1">
      <c r="A162" s="134">
        <f t="shared" si="9"/>
        <v>2005.09</v>
      </c>
      <c r="B162" s="611">
        <v>2324396</v>
      </c>
      <c r="C162" s="1291">
        <v>79012</v>
      </c>
      <c r="D162" s="1291">
        <v>0</v>
      </c>
      <c r="E162" s="334">
        <v>0</v>
      </c>
      <c r="F162" s="1181">
        <v>436615</v>
      </c>
      <c r="G162" s="1291">
        <v>33231</v>
      </c>
      <c r="H162" s="1291">
        <v>0</v>
      </c>
      <c r="I162" s="180">
        <v>0</v>
      </c>
      <c r="J162" s="1181">
        <v>1809961</v>
      </c>
      <c r="K162" s="1291">
        <v>32862</v>
      </c>
      <c r="L162" s="1291">
        <v>0</v>
      </c>
      <c r="M162" s="180">
        <v>0</v>
      </c>
      <c r="N162" s="1181">
        <v>8987</v>
      </c>
      <c r="O162" s="1291">
        <v>0</v>
      </c>
      <c r="P162" s="1291">
        <v>0</v>
      </c>
      <c r="Q162" s="180">
        <v>0</v>
      </c>
      <c r="R162" s="334">
        <v>2774658</v>
      </c>
      <c r="S162" s="1291">
        <v>262481</v>
      </c>
      <c r="T162" s="1291">
        <v>770</v>
      </c>
      <c r="U162" s="180">
        <v>0</v>
      </c>
      <c r="V162" s="334">
        <v>76593</v>
      </c>
      <c r="W162" s="1302">
        <v>318151</v>
      </c>
      <c r="X162" s="1306"/>
      <c r="Y162" s="1308"/>
      <c r="Z162" s="1311">
        <f t="shared" si="7"/>
        <v>394744</v>
      </c>
      <c r="AA162" s="1302">
        <v>404770</v>
      </c>
      <c r="AB162" s="1181">
        <v>2500</v>
      </c>
      <c r="AC162" s="1302">
        <v>3500</v>
      </c>
      <c r="AD162" s="1315"/>
      <c r="AE162" s="1316"/>
      <c r="AF162" s="1311">
        <f t="shared" si="8"/>
        <v>6000</v>
      </c>
      <c r="AG162" s="1322">
        <v>63440</v>
      </c>
    </row>
    <row r="163" spans="1:33" s="2" customFormat="1">
      <c r="A163" s="134">
        <f t="shared" si="9"/>
        <v>2005.1</v>
      </c>
      <c r="B163" s="611">
        <v>1991119</v>
      </c>
      <c r="C163" s="1291">
        <v>0</v>
      </c>
      <c r="D163" s="1291">
        <v>0</v>
      </c>
      <c r="E163" s="334">
        <v>0</v>
      </c>
      <c r="F163" s="1181">
        <v>376190</v>
      </c>
      <c r="G163" s="1291">
        <v>0</v>
      </c>
      <c r="H163" s="1291">
        <v>0</v>
      </c>
      <c r="I163" s="180">
        <v>0</v>
      </c>
      <c r="J163" s="1181">
        <v>1556159</v>
      </c>
      <c r="K163" s="1291">
        <v>0</v>
      </c>
      <c r="L163" s="1291">
        <v>0</v>
      </c>
      <c r="M163" s="180">
        <v>0</v>
      </c>
      <c r="N163" s="1181">
        <v>9642</v>
      </c>
      <c r="O163" s="1291">
        <v>0</v>
      </c>
      <c r="P163" s="1291">
        <v>0</v>
      </c>
      <c r="Q163" s="180">
        <v>0</v>
      </c>
      <c r="R163" s="334">
        <v>2421991</v>
      </c>
      <c r="S163" s="1291">
        <v>225971</v>
      </c>
      <c r="T163" s="1291">
        <v>76</v>
      </c>
      <c r="U163" s="180">
        <v>0</v>
      </c>
      <c r="V163" s="334">
        <v>53410</v>
      </c>
      <c r="W163" s="1302">
        <v>302151</v>
      </c>
      <c r="X163" s="1306"/>
      <c r="Y163" s="1308"/>
      <c r="Z163" s="1311">
        <f t="shared" si="7"/>
        <v>355561</v>
      </c>
      <c r="AA163" s="1302">
        <v>359560</v>
      </c>
      <c r="AB163" s="1181">
        <v>4500</v>
      </c>
      <c r="AC163" s="1302">
        <v>35664</v>
      </c>
      <c r="AD163" s="1315"/>
      <c r="AE163" s="1316"/>
      <c r="AF163" s="1311">
        <f t="shared" si="8"/>
        <v>40164</v>
      </c>
      <c r="AG163" s="1322">
        <v>77900</v>
      </c>
    </row>
    <row r="164" spans="1:33" s="2" customFormat="1">
      <c r="A164" s="134">
        <f t="shared" si="9"/>
        <v>2005.11</v>
      </c>
      <c r="B164" s="611">
        <v>1688682</v>
      </c>
      <c r="C164" s="1291">
        <v>0</v>
      </c>
      <c r="D164" s="1291">
        <v>0</v>
      </c>
      <c r="E164" s="334">
        <v>0</v>
      </c>
      <c r="F164" s="1181">
        <v>319520</v>
      </c>
      <c r="G164" s="1291">
        <v>0</v>
      </c>
      <c r="H164" s="1291">
        <v>0</v>
      </c>
      <c r="I164" s="180">
        <v>0</v>
      </c>
      <c r="J164" s="1181">
        <v>1306118</v>
      </c>
      <c r="K164" s="1291">
        <v>0</v>
      </c>
      <c r="L164" s="1291">
        <v>0</v>
      </c>
      <c r="M164" s="180">
        <v>0</v>
      </c>
      <c r="N164" s="1181">
        <v>10467</v>
      </c>
      <c r="O164" s="1291">
        <v>0</v>
      </c>
      <c r="P164" s="1291">
        <v>0</v>
      </c>
      <c r="Q164" s="180">
        <v>0</v>
      </c>
      <c r="R164" s="334">
        <v>2078839</v>
      </c>
      <c r="S164" s="1291">
        <v>221549</v>
      </c>
      <c r="T164" s="1291">
        <v>0</v>
      </c>
      <c r="U164" s="180">
        <v>0</v>
      </c>
      <c r="V164" s="334">
        <v>45678</v>
      </c>
      <c r="W164" s="1302">
        <v>291458</v>
      </c>
      <c r="X164" s="1306"/>
      <c r="Y164" s="1308"/>
      <c r="Z164" s="1311">
        <f t="shared" si="7"/>
        <v>337136</v>
      </c>
      <c r="AA164" s="1302">
        <v>358700</v>
      </c>
      <c r="AB164" s="1181">
        <v>6730</v>
      </c>
      <c r="AC164" s="1302">
        <v>29481</v>
      </c>
      <c r="AD164" s="1315"/>
      <c r="AE164" s="1316"/>
      <c r="AF164" s="1311">
        <f t="shared" si="8"/>
        <v>36211</v>
      </c>
      <c r="AG164" s="1322">
        <v>84030</v>
      </c>
    </row>
    <row r="165" spans="1:33" s="2" customFormat="1">
      <c r="A165" s="134">
        <f t="shared" si="9"/>
        <v>2005.12</v>
      </c>
      <c r="B165" s="611">
        <v>2176678</v>
      </c>
      <c r="C165" s="1291">
        <v>49521</v>
      </c>
      <c r="D165" s="1291">
        <v>0</v>
      </c>
      <c r="E165" s="334">
        <v>0</v>
      </c>
      <c r="F165" s="1181">
        <v>413623</v>
      </c>
      <c r="G165" s="1291">
        <v>21370</v>
      </c>
      <c r="H165" s="1291">
        <v>0</v>
      </c>
      <c r="I165" s="180">
        <v>0</v>
      </c>
      <c r="J165" s="1181">
        <v>1708911</v>
      </c>
      <c r="K165" s="1291">
        <v>22245</v>
      </c>
      <c r="L165" s="1291">
        <v>0</v>
      </c>
      <c r="M165" s="180">
        <v>0</v>
      </c>
      <c r="N165" s="1181">
        <v>8402</v>
      </c>
      <c r="O165" s="1291">
        <v>0</v>
      </c>
      <c r="P165" s="1291">
        <v>0</v>
      </c>
      <c r="Q165" s="180">
        <v>0</v>
      </c>
      <c r="R165" s="334">
        <v>2585185</v>
      </c>
      <c r="S165" s="1291">
        <v>203007</v>
      </c>
      <c r="T165" s="1291">
        <v>4983</v>
      </c>
      <c r="U165" s="180">
        <v>0</v>
      </c>
      <c r="V165" s="334">
        <v>104759</v>
      </c>
      <c r="W165" s="1302">
        <v>459413</v>
      </c>
      <c r="X165" s="1306"/>
      <c r="Y165" s="1308"/>
      <c r="Z165" s="1311">
        <f t="shared" si="7"/>
        <v>564172</v>
      </c>
      <c r="AA165" s="1302">
        <v>608870</v>
      </c>
      <c r="AB165" s="1181">
        <v>500</v>
      </c>
      <c r="AC165" s="1302">
        <v>12500</v>
      </c>
      <c r="AD165" s="1315"/>
      <c r="AE165" s="1316"/>
      <c r="AF165" s="1311">
        <f t="shared" si="8"/>
        <v>13000</v>
      </c>
      <c r="AG165" s="1322">
        <v>91330</v>
      </c>
    </row>
    <row r="166" spans="1:33" s="2" customFormat="1">
      <c r="A166" s="134">
        <f t="shared" si="9"/>
        <v>2006.01</v>
      </c>
      <c r="B166" s="611">
        <v>2193463</v>
      </c>
      <c r="C166" s="1291">
        <v>176970</v>
      </c>
      <c r="D166" s="1291">
        <v>0</v>
      </c>
      <c r="E166" s="334">
        <v>0</v>
      </c>
      <c r="F166" s="1181">
        <v>416962</v>
      </c>
      <c r="G166" s="1291">
        <v>73168</v>
      </c>
      <c r="H166" s="1291">
        <v>0</v>
      </c>
      <c r="I166" s="180">
        <v>0</v>
      </c>
      <c r="J166" s="1181">
        <v>1712631</v>
      </c>
      <c r="K166" s="1291">
        <v>72220</v>
      </c>
      <c r="L166" s="1291">
        <v>0</v>
      </c>
      <c r="M166" s="180">
        <v>0</v>
      </c>
      <c r="N166" s="1181">
        <v>9234</v>
      </c>
      <c r="O166" s="1291">
        <v>0</v>
      </c>
      <c r="P166" s="1291">
        <v>0</v>
      </c>
      <c r="Q166" s="180">
        <v>0</v>
      </c>
      <c r="R166" s="334">
        <v>2372189</v>
      </c>
      <c r="S166" s="1291">
        <v>269243</v>
      </c>
      <c r="T166" s="1291">
        <v>8217</v>
      </c>
      <c r="U166" s="180">
        <v>0</v>
      </c>
      <c r="V166" s="334">
        <v>65795</v>
      </c>
      <c r="W166" s="1302">
        <v>397408</v>
      </c>
      <c r="X166" s="1306"/>
      <c r="Y166" s="1308"/>
      <c r="Z166" s="1311">
        <f t="shared" si="7"/>
        <v>463203</v>
      </c>
      <c r="AA166" s="1302">
        <v>463200</v>
      </c>
      <c r="AB166" s="1181">
        <v>0</v>
      </c>
      <c r="AC166" s="1302">
        <v>53172</v>
      </c>
      <c r="AD166" s="1315"/>
      <c r="AE166" s="1316"/>
      <c r="AF166" s="1311">
        <f t="shared" si="8"/>
        <v>53172</v>
      </c>
      <c r="AG166" s="1322">
        <v>102890</v>
      </c>
    </row>
    <row r="167" spans="1:33" s="2" customFormat="1">
      <c r="A167" s="134">
        <f t="shared" si="9"/>
        <v>2006.02</v>
      </c>
      <c r="B167" s="611">
        <v>1767369</v>
      </c>
      <c r="C167" s="1291">
        <v>144248</v>
      </c>
      <c r="D167" s="1291">
        <v>0</v>
      </c>
      <c r="E167" s="334">
        <v>0</v>
      </c>
      <c r="F167" s="1181">
        <v>340470</v>
      </c>
      <c r="G167" s="1291">
        <v>58524</v>
      </c>
      <c r="H167" s="1291">
        <v>0</v>
      </c>
      <c r="I167" s="180">
        <v>0</v>
      </c>
      <c r="J167" s="1181">
        <v>1387700</v>
      </c>
      <c r="K167" s="1291">
        <v>64862</v>
      </c>
      <c r="L167" s="1291">
        <v>0</v>
      </c>
      <c r="M167" s="180">
        <v>0</v>
      </c>
      <c r="N167" s="1181">
        <v>7876</v>
      </c>
      <c r="O167" s="1291">
        <v>0</v>
      </c>
      <c r="P167" s="1291">
        <v>0</v>
      </c>
      <c r="Q167" s="180">
        <v>0</v>
      </c>
      <c r="R167" s="334">
        <v>2372189</v>
      </c>
      <c r="S167" s="1291">
        <v>269243</v>
      </c>
      <c r="T167" s="1291">
        <v>8217</v>
      </c>
      <c r="U167" s="180">
        <v>0</v>
      </c>
      <c r="V167" s="334">
        <v>68400</v>
      </c>
      <c r="W167" s="1302">
        <v>296391</v>
      </c>
      <c r="X167" s="1306"/>
      <c r="Y167" s="1308"/>
      <c r="Z167" s="1311">
        <f t="shared" si="7"/>
        <v>364791</v>
      </c>
      <c r="AA167" s="1302">
        <v>369230</v>
      </c>
      <c r="AB167" s="1181">
        <v>12595.531000000001</v>
      </c>
      <c r="AC167" s="1302">
        <v>34398</v>
      </c>
      <c r="AD167" s="1315"/>
      <c r="AE167" s="1316"/>
      <c r="AF167" s="1311">
        <f t="shared" si="8"/>
        <v>46993.531000000003</v>
      </c>
      <c r="AG167" s="1322">
        <v>53110</v>
      </c>
    </row>
    <row r="168" spans="1:33" s="2" customFormat="1">
      <c r="A168" s="134">
        <f t="shared" si="9"/>
        <v>2006.03</v>
      </c>
      <c r="B168" s="611">
        <v>2033101</v>
      </c>
      <c r="C168" s="1291">
        <v>164559</v>
      </c>
      <c r="D168" s="1291">
        <v>0</v>
      </c>
      <c r="E168" s="334">
        <v>0</v>
      </c>
      <c r="F168" s="1181">
        <v>389168</v>
      </c>
      <c r="G168" s="1291">
        <v>67915</v>
      </c>
      <c r="H168" s="1291">
        <v>0</v>
      </c>
      <c r="I168" s="180">
        <v>0</v>
      </c>
      <c r="J168" s="1181">
        <v>1596667</v>
      </c>
      <c r="K168" s="1291">
        <v>67879</v>
      </c>
      <c r="L168" s="1291">
        <v>0</v>
      </c>
      <c r="M168" s="180">
        <v>0</v>
      </c>
      <c r="N168" s="1181">
        <v>8274</v>
      </c>
      <c r="O168" s="1291">
        <v>0</v>
      </c>
      <c r="P168" s="1291">
        <v>0</v>
      </c>
      <c r="Q168" s="180">
        <v>0</v>
      </c>
      <c r="R168" s="334">
        <v>2272583</v>
      </c>
      <c r="S168" s="1291">
        <v>341563</v>
      </c>
      <c r="T168" s="1291">
        <v>4804</v>
      </c>
      <c r="U168" s="180">
        <v>0</v>
      </c>
      <c r="V168" s="334">
        <v>69595</v>
      </c>
      <c r="W168" s="1302">
        <v>388555.4</v>
      </c>
      <c r="X168" s="1306"/>
      <c r="Y168" s="1308"/>
      <c r="Z168" s="1311">
        <f t="shared" si="7"/>
        <v>458150.40000000002</v>
      </c>
      <c r="AA168" s="1302">
        <v>460350</v>
      </c>
      <c r="AB168" s="1181">
        <v>5850</v>
      </c>
      <c r="AC168" s="1302">
        <v>92881.34</v>
      </c>
      <c r="AD168" s="1315"/>
      <c r="AE168" s="1316"/>
      <c r="AF168" s="1311">
        <f t="shared" si="8"/>
        <v>98731.34</v>
      </c>
      <c r="AG168" s="1322">
        <v>170640</v>
      </c>
    </row>
    <row r="169" spans="1:33" s="2" customFormat="1">
      <c r="A169" s="134">
        <f t="shared" si="9"/>
        <v>2006.04</v>
      </c>
      <c r="B169" s="611">
        <v>2582850</v>
      </c>
      <c r="C169" s="1291">
        <v>163129</v>
      </c>
      <c r="D169" s="1291">
        <v>0</v>
      </c>
      <c r="E169" s="334">
        <v>0</v>
      </c>
      <c r="F169" s="1181">
        <v>487895</v>
      </c>
      <c r="G169" s="1291">
        <v>67241</v>
      </c>
      <c r="H169" s="1291">
        <v>0</v>
      </c>
      <c r="I169" s="180">
        <v>0</v>
      </c>
      <c r="J169" s="1181">
        <v>2001580</v>
      </c>
      <c r="K169" s="1291">
        <v>72176</v>
      </c>
      <c r="L169" s="1291">
        <v>0</v>
      </c>
      <c r="M169" s="180">
        <v>0</v>
      </c>
      <c r="N169" s="1181">
        <v>10607</v>
      </c>
      <c r="O169" s="1291">
        <v>0</v>
      </c>
      <c r="P169" s="1291">
        <v>0</v>
      </c>
      <c r="Q169" s="180">
        <v>0</v>
      </c>
      <c r="R169" s="334">
        <v>2961181</v>
      </c>
      <c r="S169" s="1291">
        <v>558842</v>
      </c>
      <c r="T169" s="1291">
        <v>4147</v>
      </c>
      <c r="U169" s="180">
        <v>0</v>
      </c>
      <c r="V169" s="334">
        <v>26601</v>
      </c>
      <c r="W169" s="1302">
        <v>454482.7</v>
      </c>
      <c r="X169" s="1306"/>
      <c r="Y169" s="1308"/>
      <c r="Z169" s="1311">
        <f t="shared" si="7"/>
        <v>481083.7</v>
      </c>
      <c r="AA169" s="1302">
        <v>481080</v>
      </c>
      <c r="AB169" s="1181">
        <v>16977.169999999998</v>
      </c>
      <c r="AC169" s="1302">
        <v>82586.960000000006</v>
      </c>
      <c r="AD169" s="1315"/>
      <c r="AE169" s="1316"/>
      <c r="AF169" s="1311">
        <f t="shared" si="8"/>
        <v>99564.13</v>
      </c>
      <c r="AG169" s="1322">
        <v>153020</v>
      </c>
    </row>
    <row r="170" spans="1:33" s="2" customFormat="1">
      <c r="A170" s="134">
        <f t="shared" si="9"/>
        <v>2006.05</v>
      </c>
      <c r="B170" s="611">
        <v>2862943</v>
      </c>
      <c r="C170" s="1291">
        <v>147362</v>
      </c>
      <c r="D170" s="1291">
        <v>0</v>
      </c>
      <c r="E170" s="334">
        <v>829</v>
      </c>
      <c r="F170" s="1181">
        <v>533861</v>
      </c>
      <c r="G170" s="1291">
        <v>60088</v>
      </c>
      <c r="H170" s="1291">
        <v>0</v>
      </c>
      <c r="I170" s="180">
        <v>141</v>
      </c>
      <c r="J170" s="1181">
        <v>2227743</v>
      </c>
      <c r="K170" s="1291">
        <v>69244</v>
      </c>
      <c r="L170" s="1291">
        <v>0</v>
      </c>
      <c r="M170" s="180">
        <v>671</v>
      </c>
      <c r="N170" s="1181">
        <v>10883</v>
      </c>
      <c r="O170" s="1291">
        <v>0</v>
      </c>
      <c r="P170" s="1291">
        <v>0</v>
      </c>
      <c r="Q170" s="180">
        <v>0</v>
      </c>
      <c r="R170" s="334">
        <v>3343470</v>
      </c>
      <c r="S170" s="1291">
        <v>426113</v>
      </c>
      <c r="T170" s="1291">
        <v>2308</v>
      </c>
      <c r="U170" s="180">
        <v>829</v>
      </c>
      <c r="V170" s="334">
        <v>134184</v>
      </c>
      <c r="W170" s="1302">
        <v>538767</v>
      </c>
      <c r="X170" s="1306"/>
      <c r="Y170" s="1308"/>
      <c r="Z170" s="1311">
        <f t="shared" si="7"/>
        <v>672951</v>
      </c>
      <c r="AA170" s="1302">
        <v>679650</v>
      </c>
      <c r="AB170" s="1181">
        <v>1600</v>
      </c>
      <c r="AC170" s="1302">
        <v>55713</v>
      </c>
      <c r="AD170" s="1315"/>
      <c r="AE170" s="1316"/>
      <c r="AF170" s="1311">
        <f t="shared" si="8"/>
        <v>57313</v>
      </c>
      <c r="AG170" s="1322">
        <v>121060</v>
      </c>
    </row>
    <row r="171" spans="1:33" s="2" customFormat="1">
      <c r="A171" s="134">
        <f t="shared" si="9"/>
        <v>2006.06</v>
      </c>
      <c r="B171" s="611">
        <v>2668353</v>
      </c>
      <c r="C171" s="1291">
        <v>123349</v>
      </c>
      <c r="D171" s="1291">
        <v>0</v>
      </c>
      <c r="E171" s="334">
        <v>27482</v>
      </c>
      <c r="F171" s="1181">
        <v>494643</v>
      </c>
      <c r="G171" s="1291">
        <v>50538</v>
      </c>
      <c r="H171" s="1291">
        <v>0</v>
      </c>
      <c r="I171" s="180">
        <v>4672</v>
      </c>
      <c r="J171" s="1181">
        <v>2074055</v>
      </c>
      <c r="K171" s="1291">
        <v>51767</v>
      </c>
      <c r="L171" s="1291">
        <v>0</v>
      </c>
      <c r="M171" s="180">
        <v>22260</v>
      </c>
      <c r="N171" s="1181">
        <v>10503</v>
      </c>
      <c r="O171" s="1291">
        <v>0</v>
      </c>
      <c r="P171" s="1291">
        <v>0</v>
      </c>
      <c r="Q171" s="180">
        <v>0</v>
      </c>
      <c r="R171" s="334">
        <v>3047458</v>
      </c>
      <c r="S171" s="1291">
        <v>333815</v>
      </c>
      <c r="T171" s="1291">
        <v>3364</v>
      </c>
      <c r="U171" s="180">
        <v>27482</v>
      </c>
      <c r="V171" s="334">
        <v>85030</v>
      </c>
      <c r="W171" s="1302">
        <v>346814</v>
      </c>
      <c r="X171" s="1306"/>
      <c r="Y171" s="1308"/>
      <c r="Z171" s="1311">
        <f t="shared" si="7"/>
        <v>431844</v>
      </c>
      <c r="AA171" s="1302">
        <v>453140</v>
      </c>
      <c r="AB171" s="1181">
        <v>2350</v>
      </c>
      <c r="AC171" s="1302">
        <v>53250</v>
      </c>
      <c r="AD171" s="1315"/>
      <c r="AE171" s="1316"/>
      <c r="AF171" s="1311">
        <f t="shared" si="8"/>
        <v>55600</v>
      </c>
      <c r="AG171" s="1322">
        <v>123760</v>
      </c>
    </row>
    <row r="172" spans="1:33" s="2" customFormat="1">
      <c r="A172" s="134">
        <f t="shared" si="9"/>
        <v>2006.07</v>
      </c>
      <c r="B172" s="611">
        <v>2664044</v>
      </c>
      <c r="C172" s="1291">
        <v>110022</v>
      </c>
      <c r="D172" s="1291">
        <v>0</v>
      </c>
      <c r="E172" s="334">
        <v>3346</v>
      </c>
      <c r="F172" s="1181">
        <v>494423</v>
      </c>
      <c r="G172" s="1291">
        <v>45059</v>
      </c>
      <c r="H172" s="1291">
        <v>0</v>
      </c>
      <c r="I172" s="180">
        <v>249</v>
      </c>
      <c r="J172" s="1181">
        <v>2043033</v>
      </c>
      <c r="K172" s="1291">
        <v>47261</v>
      </c>
      <c r="L172" s="1291">
        <v>0</v>
      </c>
      <c r="M172" s="180">
        <v>2038</v>
      </c>
      <c r="N172" s="1181">
        <v>10027</v>
      </c>
      <c r="O172" s="1291">
        <v>0</v>
      </c>
      <c r="P172" s="1291">
        <v>0</v>
      </c>
      <c r="Q172" s="180">
        <v>0</v>
      </c>
      <c r="R172" s="334">
        <v>3047582</v>
      </c>
      <c r="S172" s="1291">
        <v>386116</v>
      </c>
      <c r="T172" s="1291">
        <v>0</v>
      </c>
      <c r="U172" s="180">
        <v>3346</v>
      </c>
      <c r="V172" s="334">
        <v>84769</v>
      </c>
      <c r="W172" s="1302">
        <v>394371</v>
      </c>
      <c r="X172" s="1306"/>
      <c r="Y172" s="1308"/>
      <c r="Z172" s="1311">
        <f t="shared" si="7"/>
        <v>479140</v>
      </c>
      <c r="AA172" s="1302">
        <v>485370</v>
      </c>
      <c r="AB172" s="1181">
        <v>0</v>
      </c>
      <c r="AC172" s="1302">
        <v>55154</v>
      </c>
      <c r="AD172" s="1315"/>
      <c r="AE172" s="1316"/>
      <c r="AF172" s="1311">
        <f t="shared" si="8"/>
        <v>55154</v>
      </c>
      <c r="AG172" s="1322">
        <v>94190</v>
      </c>
    </row>
    <row r="173" spans="1:33" s="2" customFormat="1">
      <c r="A173" s="134">
        <f t="shared" si="9"/>
        <v>2006.08</v>
      </c>
      <c r="B173" s="611">
        <v>2425168</v>
      </c>
      <c r="C173" s="1291">
        <v>100266</v>
      </c>
      <c r="D173" s="1291">
        <v>0</v>
      </c>
      <c r="E173" s="334">
        <v>0</v>
      </c>
      <c r="F173" s="1181">
        <v>456713</v>
      </c>
      <c r="G173" s="1291">
        <v>44217</v>
      </c>
      <c r="H173" s="1291">
        <v>0</v>
      </c>
      <c r="I173" s="180">
        <v>0</v>
      </c>
      <c r="J173" s="1181">
        <v>1904980</v>
      </c>
      <c r="K173" s="1291">
        <v>41810</v>
      </c>
      <c r="L173" s="1291">
        <v>0</v>
      </c>
      <c r="M173" s="180">
        <v>0</v>
      </c>
      <c r="N173" s="1181">
        <v>8549</v>
      </c>
      <c r="O173" s="1291">
        <v>0</v>
      </c>
      <c r="P173" s="1291">
        <v>0</v>
      </c>
      <c r="Q173" s="180">
        <v>0</v>
      </c>
      <c r="R173" s="334">
        <v>2763436</v>
      </c>
      <c r="S173" s="1291">
        <v>287409</v>
      </c>
      <c r="T173" s="1291">
        <v>1995</v>
      </c>
      <c r="U173" s="180">
        <v>0</v>
      </c>
      <c r="V173" s="334">
        <v>73500</v>
      </c>
      <c r="W173" s="1302">
        <v>539122</v>
      </c>
      <c r="X173" s="1306"/>
      <c r="Y173" s="1308"/>
      <c r="Z173" s="1311">
        <f t="shared" si="7"/>
        <v>612622</v>
      </c>
      <c r="AA173" s="1302">
        <v>644790</v>
      </c>
      <c r="AB173" s="1181">
        <v>0</v>
      </c>
      <c r="AC173" s="1302">
        <v>23608</v>
      </c>
      <c r="AD173" s="1315"/>
      <c r="AE173" s="1316"/>
      <c r="AF173" s="1311">
        <f t="shared" si="8"/>
        <v>23608</v>
      </c>
      <c r="AG173" s="1322">
        <v>103350</v>
      </c>
    </row>
    <row r="174" spans="1:33" s="2" customFormat="1">
      <c r="A174" s="134">
        <f t="shared" si="9"/>
        <v>2006.09</v>
      </c>
      <c r="B174" s="611">
        <v>2649679</v>
      </c>
      <c r="C174" s="1291">
        <v>10288</v>
      </c>
      <c r="D174" s="1291">
        <v>0</v>
      </c>
      <c r="E174" s="334">
        <v>5049</v>
      </c>
      <c r="F174" s="1181">
        <v>499901</v>
      </c>
      <c r="G174" s="1291">
        <v>4267</v>
      </c>
      <c r="H174" s="1291">
        <v>0</v>
      </c>
      <c r="I174" s="180">
        <v>811</v>
      </c>
      <c r="J174" s="1181">
        <v>2059347</v>
      </c>
      <c r="K174" s="1291">
        <v>4312</v>
      </c>
      <c r="L174" s="1291">
        <v>0</v>
      </c>
      <c r="M174" s="180">
        <v>2818</v>
      </c>
      <c r="N174" s="1181">
        <v>11798</v>
      </c>
      <c r="O174" s="1291">
        <v>0</v>
      </c>
      <c r="P174" s="1291">
        <v>0</v>
      </c>
      <c r="Q174" s="180">
        <v>0</v>
      </c>
      <c r="R174" s="334">
        <v>3057683</v>
      </c>
      <c r="S174" s="1291">
        <v>347549</v>
      </c>
      <c r="T174" s="1291">
        <v>1435</v>
      </c>
      <c r="U174" s="180">
        <v>5049</v>
      </c>
      <c r="V174" s="334">
        <v>103130</v>
      </c>
      <c r="W174" s="1302">
        <v>421547</v>
      </c>
      <c r="X174" s="1306"/>
      <c r="Y174" s="1308"/>
      <c r="Z174" s="1311">
        <f t="shared" si="7"/>
        <v>524677</v>
      </c>
      <c r="AA174" s="1302">
        <v>528330</v>
      </c>
      <c r="AB174" s="1181">
        <v>0</v>
      </c>
      <c r="AC174" s="1302">
        <v>38083</v>
      </c>
      <c r="AD174" s="1315"/>
      <c r="AE174" s="1316"/>
      <c r="AF174" s="1311">
        <f t="shared" si="8"/>
        <v>38083</v>
      </c>
      <c r="AG174" s="1322">
        <v>78390</v>
      </c>
    </row>
    <row r="175" spans="1:33" s="2" customFormat="1">
      <c r="A175" s="134">
        <f t="shared" si="9"/>
        <v>2006.1</v>
      </c>
      <c r="B175" s="611">
        <v>2358565</v>
      </c>
      <c r="C175" s="1291">
        <v>40403</v>
      </c>
      <c r="D175" s="1291">
        <v>0</v>
      </c>
      <c r="E175" s="334">
        <v>2293</v>
      </c>
      <c r="F175" s="1181">
        <v>445098</v>
      </c>
      <c r="G175" s="1291">
        <v>16085</v>
      </c>
      <c r="H175" s="1291">
        <v>0</v>
      </c>
      <c r="I175" s="180">
        <v>636</v>
      </c>
      <c r="J175" s="1181">
        <v>1832924</v>
      </c>
      <c r="K175" s="1291">
        <v>19713</v>
      </c>
      <c r="L175" s="1291">
        <v>0</v>
      </c>
      <c r="M175" s="180">
        <v>2721</v>
      </c>
      <c r="N175" s="1181">
        <v>9773</v>
      </c>
      <c r="O175" s="1291">
        <v>0</v>
      </c>
      <c r="P175" s="1291">
        <v>0</v>
      </c>
      <c r="Q175" s="180">
        <v>0</v>
      </c>
      <c r="R175" s="334">
        <v>2636081</v>
      </c>
      <c r="S175" s="1291">
        <v>246494</v>
      </c>
      <c r="T175" s="1291">
        <v>120</v>
      </c>
      <c r="U175" s="180">
        <v>2293</v>
      </c>
      <c r="V175" s="334">
        <v>132849</v>
      </c>
      <c r="W175" s="1302">
        <v>422698</v>
      </c>
      <c r="X175" s="1306"/>
      <c r="Y175" s="1308"/>
      <c r="Z175" s="1311">
        <f t="shared" si="7"/>
        <v>555547</v>
      </c>
      <c r="AA175" s="1302">
        <v>576900</v>
      </c>
      <c r="AB175" s="1181">
        <v>1000</v>
      </c>
      <c r="AC175" s="1302">
        <v>40600</v>
      </c>
      <c r="AD175" s="1315"/>
      <c r="AE175" s="1316"/>
      <c r="AF175" s="1311">
        <f t="shared" si="8"/>
        <v>41600</v>
      </c>
      <c r="AG175" s="1322">
        <v>101300</v>
      </c>
    </row>
    <row r="176" spans="1:33" s="2" customFormat="1">
      <c r="A176" s="134">
        <f t="shared" si="9"/>
        <v>2006.11</v>
      </c>
      <c r="B176" s="611">
        <v>2313550</v>
      </c>
      <c r="C176" s="1291">
        <v>11104</v>
      </c>
      <c r="D176" s="1291">
        <v>0</v>
      </c>
      <c r="E176" s="334">
        <v>0</v>
      </c>
      <c r="F176" s="1181">
        <v>439167</v>
      </c>
      <c r="G176" s="1291">
        <v>4594</v>
      </c>
      <c r="H176" s="1291">
        <v>0</v>
      </c>
      <c r="I176" s="180">
        <v>0</v>
      </c>
      <c r="J176" s="1181">
        <v>1800837</v>
      </c>
      <c r="K176" s="1291">
        <v>4914</v>
      </c>
      <c r="L176" s="1291">
        <v>0</v>
      </c>
      <c r="M176" s="180">
        <v>0</v>
      </c>
      <c r="N176" s="1181">
        <v>9166</v>
      </c>
      <c r="O176" s="1291">
        <v>0</v>
      </c>
      <c r="P176" s="1291">
        <v>0</v>
      </c>
      <c r="Q176" s="180">
        <v>0</v>
      </c>
      <c r="R176" s="334">
        <v>2682960</v>
      </c>
      <c r="S176" s="1291">
        <v>259761</v>
      </c>
      <c r="T176" s="1291">
        <v>850</v>
      </c>
      <c r="U176" s="180">
        <v>0</v>
      </c>
      <c r="V176" s="334">
        <v>74088</v>
      </c>
      <c r="W176" s="1302">
        <v>362494</v>
      </c>
      <c r="X176" s="1306"/>
      <c r="Y176" s="1308"/>
      <c r="Z176" s="1311">
        <f t="shared" si="7"/>
        <v>436582</v>
      </c>
      <c r="AA176" s="1302">
        <v>449620</v>
      </c>
      <c r="AB176" s="1181">
        <v>0</v>
      </c>
      <c r="AC176" s="1302">
        <v>7030</v>
      </c>
      <c r="AD176" s="1315"/>
      <c r="AE176" s="1316"/>
      <c r="AF176" s="1311">
        <f t="shared" si="8"/>
        <v>7030</v>
      </c>
      <c r="AG176" s="1322">
        <v>37600</v>
      </c>
    </row>
    <row r="177" spans="1:33" s="2" customFormat="1">
      <c r="A177" s="134">
        <f t="shared" si="9"/>
        <v>2006.12</v>
      </c>
      <c r="B177" s="611">
        <v>2284849</v>
      </c>
      <c r="C177" s="1291">
        <v>96283</v>
      </c>
      <c r="D177" s="1291">
        <v>0</v>
      </c>
      <c r="E177" s="334">
        <v>0</v>
      </c>
      <c r="F177" s="1181">
        <v>437967</v>
      </c>
      <c r="G177" s="1291">
        <v>37820</v>
      </c>
      <c r="H177" s="1291">
        <v>0</v>
      </c>
      <c r="I177" s="180">
        <v>0</v>
      </c>
      <c r="J177" s="1181">
        <v>1776521</v>
      </c>
      <c r="K177" s="1291">
        <v>40586</v>
      </c>
      <c r="L177" s="1291">
        <v>0</v>
      </c>
      <c r="M177" s="180">
        <v>0</v>
      </c>
      <c r="N177" s="1181">
        <v>9491</v>
      </c>
      <c r="O177" s="1291">
        <v>0</v>
      </c>
      <c r="P177" s="1291">
        <v>0</v>
      </c>
      <c r="Q177" s="180">
        <v>0</v>
      </c>
      <c r="R177" s="334">
        <v>2610711</v>
      </c>
      <c r="S177" s="1291">
        <v>108733</v>
      </c>
      <c r="T177" s="1291">
        <v>0</v>
      </c>
      <c r="U177" s="180">
        <v>0</v>
      </c>
      <c r="V177" s="334">
        <v>96553</v>
      </c>
      <c r="W177" s="1302">
        <v>378470.66666666698</v>
      </c>
      <c r="X177" s="1306"/>
      <c r="Y177" s="1308"/>
      <c r="Z177" s="1311">
        <f t="shared" si="7"/>
        <v>475023.66666666698</v>
      </c>
      <c r="AA177" s="1302">
        <v>494620</v>
      </c>
      <c r="AB177" s="1181">
        <v>1000</v>
      </c>
      <c r="AC177" s="1302">
        <v>27121</v>
      </c>
      <c r="AD177" s="1315"/>
      <c r="AE177" s="1316"/>
      <c r="AF177" s="1311">
        <f t="shared" si="8"/>
        <v>28121</v>
      </c>
      <c r="AG177" s="1322">
        <v>75020</v>
      </c>
    </row>
    <row r="178" spans="1:33" s="2" customFormat="1">
      <c r="A178" s="134">
        <f t="shared" si="9"/>
        <v>2007.01</v>
      </c>
      <c r="B178" s="611">
        <v>2155118</v>
      </c>
      <c r="C178" s="1291">
        <v>166276</v>
      </c>
      <c r="D178" s="1291">
        <v>0</v>
      </c>
      <c r="E178" s="334">
        <v>0</v>
      </c>
      <c r="F178" s="1181">
        <v>411691</v>
      </c>
      <c r="G178" s="1291">
        <v>66844</v>
      </c>
      <c r="H178" s="1291">
        <v>0</v>
      </c>
      <c r="I178" s="180">
        <v>0</v>
      </c>
      <c r="J178" s="1181">
        <v>1650183</v>
      </c>
      <c r="K178" s="1291">
        <v>69094</v>
      </c>
      <c r="L178" s="1291">
        <v>0</v>
      </c>
      <c r="M178" s="180">
        <v>0</v>
      </c>
      <c r="N178" s="1181">
        <v>6663</v>
      </c>
      <c r="O178" s="1291">
        <v>0</v>
      </c>
      <c r="P178" s="1291">
        <v>0</v>
      </c>
      <c r="Q178" s="180">
        <v>0</v>
      </c>
      <c r="R178" s="334">
        <v>2359169</v>
      </c>
      <c r="S178" s="1291">
        <v>189188</v>
      </c>
      <c r="T178" s="1291">
        <v>0</v>
      </c>
      <c r="U178" s="180">
        <v>0</v>
      </c>
      <c r="V178" s="334">
        <v>35400</v>
      </c>
      <c r="W178" s="1302">
        <v>186630</v>
      </c>
      <c r="X178" s="1306"/>
      <c r="Y178" s="1308"/>
      <c r="Z178" s="1311">
        <f t="shared" si="7"/>
        <v>222030</v>
      </c>
      <c r="AA178" s="1302">
        <v>228530</v>
      </c>
      <c r="AB178" s="1181">
        <v>0</v>
      </c>
      <c r="AC178" s="1302">
        <v>20855</v>
      </c>
      <c r="AD178" s="1315"/>
      <c r="AE178" s="1316"/>
      <c r="AF178" s="1311">
        <f t="shared" si="8"/>
        <v>20855</v>
      </c>
      <c r="AG178" s="1322">
        <v>40420</v>
      </c>
    </row>
    <row r="179" spans="1:33" s="2" customFormat="1">
      <c r="A179" s="134">
        <f t="shared" si="9"/>
        <v>2007.02</v>
      </c>
      <c r="B179" s="611">
        <v>1797926</v>
      </c>
      <c r="C179" s="1291">
        <v>139068</v>
      </c>
      <c r="D179" s="1291">
        <v>0</v>
      </c>
      <c r="E179" s="334">
        <v>0</v>
      </c>
      <c r="F179" s="1181">
        <v>343909</v>
      </c>
      <c r="G179" s="1291">
        <v>55490</v>
      </c>
      <c r="H179" s="1291">
        <v>0</v>
      </c>
      <c r="I179" s="180">
        <v>0</v>
      </c>
      <c r="J179" s="1181">
        <v>1393290</v>
      </c>
      <c r="K179" s="1291">
        <v>57732</v>
      </c>
      <c r="L179" s="1291">
        <v>0</v>
      </c>
      <c r="M179" s="180">
        <v>0</v>
      </c>
      <c r="N179" s="1181">
        <v>7869</v>
      </c>
      <c r="O179" s="1291">
        <v>0</v>
      </c>
      <c r="P179" s="1291">
        <v>0</v>
      </c>
      <c r="Q179" s="180">
        <v>0</v>
      </c>
      <c r="R179" s="334">
        <v>1874825</v>
      </c>
      <c r="S179" s="1291">
        <v>269363</v>
      </c>
      <c r="T179" s="1291">
        <v>2911</v>
      </c>
      <c r="U179" s="180">
        <v>0</v>
      </c>
      <c r="V179" s="334">
        <v>78451</v>
      </c>
      <c r="W179" s="1302">
        <v>427762</v>
      </c>
      <c r="X179" s="1306"/>
      <c r="Y179" s="1308"/>
      <c r="Z179" s="1311">
        <f t="shared" si="7"/>
        <v>506213</v>
      </c>
      <c r="AA179" s="1302">
        <v>506210</v>
      </c>
      <c r="AB179" s="1181">
        <v>0</v>
      </c>
      <c r="AC179" s="1302">
        <v>83478</v>
      </c>
      <c r="AD179" s="1315"/>
      <c r="AE179" s="1316"/>
      <c r="AF179" s="1311">
        <f t="shared" si="8"/>
        <v>83478</v>
      </c>
      <c r="AG179" s="1322">
        <v>98160</v>
      </c>
    </row>
    <row r="180" spans="1:33" s="2" customFormat="1">
      <c r="A180" s="134">
        <f t="shared" si="9"/>
        <v>2007.03</v>
      </c>
      <c r="B180" s="611">
        <v>2200671</v>
      </c>
      <c r="C180" s="1291">
        <v>161222</v>
      </c>
      <c r="D180" s="1291">
        <v>0</v>
      </c>
      <c r="E180" s="334">
        <v>0</v>
      </c>
      <c r="F180" s="1181">
        <v>427360</v>
      </c>
      <c r="G180" s="1291">
        <v>63813</v>
      </c>
      <c r="H180" s="1291">
        <v>0</v>
      </c>
      <c r="I180" s="180">
        <v>0</v>
      </c>
      <c r="J180" s="1181">
        <v>1701101</v>
      </c>
      <c r="K180" s="1291">
        <v>67808</v>
      </c>
      <c r="L180" s="1291">
        <v>0</v>
      </c>
      <c r="M180" s="180">
        <v>0</v>
      </c>
      <c r="N180" s="1181">
        <v>8868</v>
      </c>
      <c r="O180" s="1291">
        <v>0</v>
      </c>
      <c r="P180" s="1291">
        <v>0</v>
      </c>
      <c r="Q180" s="180">
        <v>0</v>
      </c>
      <c r="R180" s="334">
        <v>2362293</v>
      </c>
      <c r="S180" s="1291">
        <v>290873</v>
      </c>
      <c r="T180" s="1291">
        <v>3289</v>
      </c>
      <c r="U180" s="180">
        <v>0</v>
      </c>
      <c r="V180" s="334">
        <v>75653</v>
      </c>
      <c r="W180" s="1302">
        <v>376186</v>
      </c>
      <c r="X180" s="1306"/>
      <c r="Y180" s="1308"/>
      <c r="Z180" s="1311">
        <f t="shared" si="7"/>
        <v>451839</v>
      </c>
      <c r="AA180" s="1302">
        <v>461340</v>
      </c>
      <c r="AB180" s="1181">
        <v>12529</v>
      </c>
      <c r="AC180" s="1302">
        <v>53493</v>
      </c>
      <c r="AD180" s="1315"/>
      <c r="AE180" s="1316"/>
      <c r="AF180" s="1311">
        <f t="shared" si="8"/>
        <v>66022</v>
      </c>
      <c r="AG180" s="1322">
        <v>97550</v>
      </c>
    </row>
    <row r="181" spans="1:33" s="2" customFormat="1">
      <c r="A181" s="134">
        <f t="shared" si="9"/>
        <v>2007.04</v>
      </c>
      <c r="B181" s="611">
        <v>2723659</v>
      </c>
      <c r="C181" s="1291">
        <v>91734</v>
      </c>
      <c r="D181" s="1291">
        <v>0</v>
      </c>
      <c r="E181" s="334">
        <v>0</v>
      </c>
      <c r="F181" s="1181">
        <v>531204</v>
      </c>
      <c r="G181" s="1291">
        <v>37107</v>
      </c>
      <c r="H181" s="1291">
        <v>0</v>
      </c>
      <c r="I181" s="180">
        <v>0</v>
      </c>
      <c r="J181" s="1181">
        <v>2082917</v>
      </c>
      <c r="K181" s="1291">
        <v>37720</v>
      </c>
      <c r="L181" s="1291">
        <v>0</v>
      </c>
      <c r="M181" s="180">
        <v>0</v>
      </c>
      <c r="N181" s="1181">
        <v>9533</v>
      </c>
      <c r="O181" s="1291">
        <v>0</v>
      </c>
      <c r="P181" s="1291">
        <v>0</v>
      </c>
      <c r="Q181" s="180">
        <v>0</v>
      </c>
      <c r="R181" s="334">
        <v>2979279</v>
      </c>
      <c r="S181" s="1291">
        <v>521222</v>
      </c>
      <c r="T181" s="1291">
        <v>3981</v>
      </c>
      <c r="U181" s="180">
        <v>0</v>
      </c>
      <c r="V181" s="334">
        <v>70000</v>
      </c>
      <c r="W181" s="1302">
        <v>335463</v>
      </c>
      <c r="X181" s="1306"/>
      <c r="Y181" s="1308"/>
      <c r="Z181" s="1311">
        <f t="shared" si="7"/>
        <v>405463</v>
      </c>
      <c r="AA181" s="1302">
        <v>419160</v>
      </c>
      <c r="AB181" s="1181">
        <v>7000</v>
      </c>
      <c r="AC181" s="1302">
        <v>32623</v>
      </c>
      <c r="AD181" s="1315"/>
      <c r="AE181" s="1316"/>
      <c r="AF181" s="1311">
        <f t="shared" si="8"/>
        <v>39623</v>
      </c>
      <c r="AG181" s="1322">
        <v>106930</v>
      </c>
    </row>
    <row r="182" spans="1:33" s="2" customFormat="1">
      <c r="A182" s="134">
        <f t="shared" si="9"/>
        <v>2007.05</v>
      </c>
      <c r="B182" s="611">
        <v>2993642</v>
      </c>
      <c r="C182" s="1291">
        <v>122432</v>
      </c>
      <c r="D182" s="1291">
        <v>0</v>
      </c>
      <c r="E182" s="180">
        <v>9071</v>
      </c>
      <c r="F182" s="1181">
        <v>572692</v>
      </c>
      <c r="G182" s="1291">
        <v>48369</v>
      </c>
      <c r="H182" s="1291">
        <v>0</v>
      </c>
      <c r="I182" s="180">
        <v>5058</v>
      </c>
      <c r="J182" s="1181">
        <v>2302082</v>
      </c>
      <c r="K182" s="1291">
        <v>51579</v>
      </c>
      <c r="L182" s="1291">
        <v>0</v>
      </c>
      <c r="M182" s="180">
        <v>428</v>
      </c>
      <c r="N182" s="1181">
        <v>11137</v>
      </c>
      <c r="O182" s="1291">
        <v>0</v>
      </c>
      <c r="P182" s="1291">
        <v>0</v>
      </c>
      <c r="Q182" s="180">
        <v>0</v>
      </c>
      <c r="R182" s="334">
        <v>3441014</v>
      </c>
      <c r="S182" s="1291">
        <v>256293</v>
      </c>
      <c r="T182" s="1291">
        <v>2457</v>
      </c>
      <c r="U182" s="180">
        <v>9071</v>
      </c>
      <c r="V182" s="334">
        <v>174123</v>
      </c>
      <c r="W182" s="1302">
        <v>430699.89</v>
      </c>
      <c r="X182" s="1306"/>
      <c r="Y182" s="1308"/>
      <c r="Z182" s="1311">
        <f t="shared" si="7"/>
        <v>604822.89</v>
      </c>
      <c r="AA182" s="1302">
        <v>614770</v>
      </c>
      <c r="AB182" s="1181">
        <v>2000</v>
      </c>
      <c r="AC182" s="1302">
        <v>71080</v>
      </c>
      <c r="AD182" s="1315"/>
      <c r="AE182" s="1316"/>
      <c r="AF182" s="1311">
        <f t="shared" si="8"/>
        <v>73080</v>
      </c>
      <c r="AG182" s="1322">
        <v>111390</v>
      </c>
    </row>
    <row r="183" spans="1:33" s="2" customFormat="1">
      <c r="A183" s="134">
        <f t="shared" si="9"/>
        <v>2007.06</v>
      </c>
      <c r="B183" s="611">
        <v>2858824</v>
      </c>
      <c r="C183" s="1291">
        <v>69899</v>
      </c>
      <c r="D183" s="1291">
        <v>0</v>
      </c>
      <c r="E183" s="180">
        <v>28884</v>
      </c>
      <c r="F183" s="1181">
        <v>546978</v>
      </c>
      <c r="G183" s="1291">
        <v>27009</v>
      </c>
      <c r="H183" s="1291">
        <v>0</v>
      </c>
      <c r="I183" s="180">
        <v>4044</v>
      </c>
      <c r="J183" s="1181">
        <v>2198938</v>
      </c>
      <c r="K183" s="1291">
        <v>30589</v>
      </c>
      <c r="L183" s="1291">
        <v>0</v>
      </c>
      <c r="M183" s="180">
        <v>15885</v>
      </c>
      <c r="N183" s="1181">
        <v>9237</v>
      </c>
      <c r="O183" s="1291">
        <v>0</v>
      </c>
      <c r="P183" s="1291">
        <v>0</v>
      </c>
      <c r="Q183" s="180">
        <v>0</v>
      </c>
      <c r="R183" s="334">
        <v>3252083</v>
      </c>
      <c r="S183" s="1291">
        <v>263691</v>
      </c>
      <c r="T183" s="1291">
        <v>654</v>
      </c>
      <c r="U183" s="180">
        <v>28884</v>
      </c>
      <c r="V183" s="334">
        <v>144087</v>
      </c>
      <c r="W183" s="1302">
        <v>511018</v>
      </c>
      <c r="X183" s="1306"/>
      <c r="Y183" s="1308"/>
      <c r="Z183" s="1311">
        <f t="shared" si="7"/>
        <v>655105</v>
      </c>
      <c r="AA183" s="1302">
        <v>662010</v>
      </c>
      <c r="AB183" s="1181">
        <v>0</v>
      </c>
      <c r="AC183" s="1302">
        <v>38352</v>
      </c>
      <c r="AD183" s="1315"/>
      <c r="AE183" s="1316"/>
      <c r="AF183" s="1311">
        <f t="shared" si="8"/>
        <v>38352</v>
      </c>
      <c r="AG183" s="1322">
        <v>89360</v>
      </c>
    </row>
    <row r="184" spans="1:33" s="2" customFormat="1">
      <c r="A184" s="134">
        <f t="shared" si="9"/>
        <v>2007.07</v>
      </c>
      <c r="B184" s="611">
        <v>2499480</v>
      </c>
      <c r="C184" s="1291">
        <v>96177</v>
      </c>
      <c r="D184" s="1291">
        <v>0</v>
      </c>
      <c r="E184" s="180">
        <v>410</v>
      </c>
      <c r="F184" s="1181">
        <v>481097</v>
      </c>
      <c r="G184" s="1291">
        <v>37221</v>
      </c>
      <c r="H184" s="1291">
        <v>0</v>
      </c>
      <c r="I184" s="180">
        <v>57</v>
      </c>
      <c r="J184" s="1181">
        <v>1902927</v>
      </c>
      <c r="K184" s="1291">
        <v>40902</v>
      </c>
      <c r="L184" s="1291">
        <v>0</v>
      </c>
      <c r="M184" s="180">
        <v>225</v>
      </c>
      <c r="N184" s="1181">
        <v>8530</v>
      </c>
      <c r="O184" s="1291">
        <v>0</v>
      </c>
      <c r="P184" s="1291">
        <v>0</v>
      </c>
      <c r="Q184" s="180">
        <v>0</v>
      </c>
      <c r="R184" s="334">
        <v>2798413</v>
      </c>
      <c r="S184" s="1291">
        <v>322488</v>
      </c>
      <c r="T184" s="1291">
        <v>0</v>
      </c>
      <c r="U184" s="180">
        <v>410</v>
      </c>
      <c r="V184" s="334">
        <v>148302</v>
      </c>
      <c r="W184" s="1302">
        <v>549106</v>
      </c>
      <c r="X184" s="1306"/>
      <c r="Y184" s="1308"/>
      <c r="Z184" s="1311">
        <f t="shared" si="7"/>
        <v>697408</v>
      </c>
      <c r="AA184" s="1302">
        <v>716510</v>
      </c>
      <c r="AB184" s="1181">
        <v>0</v>
      </c>
      <c r="AC184" s="1302">
        <v>44913</v>
      </c>
      <c r="AD184" s="1315"/>
      <c r="AE184" s="1316"/>
      <c r="AF184" s="1311">
        <f t="shared" si="8"/>
        <v>44913</v>
      </c>
      <c r="AG184" s="1322">
        <v>65600</v>
      </c>
    </row>
    <row r="185" spans="1:33" s="2" customFormat="1">
      <c r="A185" s="134">
        <f t="shared" si="9"/>
        <v>2007.08</v>
      </c>
      <c r="B185" s="611">
        <v>2672478</v>
      </c>
      <c r="C185" s="1291">
        <v>21814</v>
      </c>
      <c r="D185" s="1291">
        <v>0</v>
      </c>
      <c r="E185" s="180">
        <v>14699</v>
      </c>
      <c r="F185" s="1181">
        <v>513782</v>
      </c>
      <c r="G185" s="1291">
        <v>8538</v>
      </c>
      <c r="H185" s="1291">
        <v>0</v>
      </c>
      <c r="I185" s="180">
        <v>2478</v>
      </c>
      <c r="J185" s="1181">
        <v>2056156</v>
      </c>
      <c r="K185" s="1291">
        <v>9283</v>
      </c>
      <c r="L185" s="1291">
        <v>0</v>
      </c>
      <c r="M185" s="180">
        <v>8345</v>
      </c>
      <c r="N185" s="1181">
        <v>11526</v>
      </c>
      <c r="O185" s="1291">
        <v>0</v>
      </c>
      <c r="P185" s="1291">
        <v>0</v>
      </c>
      <c r="Q185" s="180">
        <v>0</v>
      </c>
      <c r="R185" s="334">
        <v>3014169</v>
      </c>
      <c r="S185" s="1291">
        <v>256753</v>
      </c>
      <c r="T185" s="1291">
        <v>180</v>
      </c>
      <c r="U185" s="180">
        <v>14699</v>
      </c>
      <c r="V185" s="334">
        <v>121027</v>
      </c>
      <c r="W185" s="1302">
        <v>437027</v>
      </c>
      <c r="X185" s="1306"/>
      <c r="Y185" s="1308"/>
      <c r="Z185" s="1311">
        <f t="shared" si="7"/>
        <v>558054</v>
      </c>
      <c r="AA185" s="1302">
        <v>570850</v>
      </c>
      <c r="AB185" s="1181">
        <v>0</v>
      </c>
      <c r="AC185" s="1302">
        <v>35380</v>
      </c>
      <c r="AD185" s="1315"/>
      <c r="AE185" s="1316"/>
      <c r="AF185" s="1311">
        <f t="shared" si="8"/>
        <v>35380</v>
      </c>
      <c r="AG185" s="1322">
        <v>88470</v>
      </c>
    </row>
    <row r="186" spans="1:33" s="2" customFormat="1">
      <c r="A186" s="134">
        <f t="shared" si="9"/>
        <v>2007.09</v>
      </c>
      <c r="B186" s="611">
        <v>3120813</v>
      </c>
      <c r="C186" s="1291">
        <v>31624</v>
      </c>
      <c r="D186" s="1291">
        <v>0</v>
      </c>
      <c r="E186" s="180">
        <v>0</v>
      </c>
      <c r="F186" s="1181">
        <v>602935</v>
      </c>
      <c r="G186" s="1291">
        <v>12561</v>
      </c>
      <c r="H186" s="1291">
        <v>0</v>
      </c>
      <c r="I186" s="180">
        <v>0</v>
      </c>
      <c r="J186" s="1181">
        <v>2411814</v>
      </c>
      <c r="K186" s="1291">
        <v>14086</v>
      </c>
      <c r="L186" s="1291">
        <v>0</v>
      </c>
      <c r="M186" s="180">
        <v>0</v>
      </c>
      <c r="N186" s="1181">
        <v>11578</v>
      </c>
      <c r="O186" s="1291">
        <v>0</v>
      </c>
      <c r="P186" s="1291">
        <v>0</v>
      </c>
      <c r="Q186" s="180">
        <v>0</v>
      </c>
      <c r="R186" s="334">
        <v>3579232</v>
      </c>
      <c r="S186" s="1291">
        <v>192318</v>
      </c>
      <c r="T186" s="1291">
        <v>411</v>
      </c>
      <c r="U186" s="180">
        <v>0</v>
      </c>
      <c r="V186" s="334">
        <v>143440</v>
      </c>
      <c r="W186" s="1302">
        <v>344728</v>
      </c>
      <c r="X186" s="1306"/>
      <c r="Y186" s="1308"/>
      <c r="Z186" s="1311">
        <f t="shared" si="7"/>
        <v>488168</v>
      </c>
      <c r="AA186" s="1302">
        <v>509740</v>
      </c>
      <c r="AB186" s="1181">
        <v>0</v>
      </c>
      <c r="AC186" s="1302">
        <v>24518</v>
      </c>
      <c r="AD186" s="1315"/>
      <c r="AE186" s="1316"/>
      <c r="AF186" s="1311">
        <f t="shared" si="8"/>
        <v>24518</v>
      </c>
      <c r="AG186" s="1322">
        <v>79450</v>
      </c>
    </row>
    <row r="187" spans="1:33" s="2" customFormat="1">
      <c r="A187" s="134">
        <f t="shared" si="9"/>
        <v>2007.1</v>
      </c>
      <c r="B187" s="611">
        <v>3192195</v>
      </c>
      <c r="C187" s="1291">
        <v>39669</v>
      </c>
      <c r="D187" s="1291">
        <v>0</v>
      </c>
      <c r="E187" s="180">
        <v>0</v>
      </c>
      <c r="F187" s="1181">
        <v>611309</v>
      </c>
      <c r="G187" s="1291">
        <v>15605</v>
      </c>
      <c r="H187" s="1291">
        <v>0</v>
      </c>
      <c r="I187" s="180">
        <v>0</v>
      </c>
      <c r="J187" s="1181">
        <v>2472363</v>
      </c>
      <c r="K187" s="1291">
        <v>17327</v>
      </c>
      <c r="L187" s="1291">
        <v>0</v>
      </c>
      <c r="M187" s="180">
        <v>0</v>
      </c>
      <c r="N187" s="1181">
        <v>10390</v>
      </c>
      <c r="O187" s="1291">
        <v>0</v>
      </c>
      <c r="P187" s="1291">
        <v>0</v>
      </c>
      <c r="Q187" s="180">
        <v>0</v>
      </c>
      <c r="R187" s="334">
        <v>3580250</v>
      </c>
      <c r="S187" s="1291">
        <v>185343</v>
      </c>
      <c r="T187" s="1291">
        <v>0</v>
      </c>
      <c r="U187" s="180">
        <v>0</v>
      </c>
      <c r="V187" s="334">
        <v>146082</v>
      </c>
      <c r="W187" s="1302">
        <v>556186</v>
      </c>
      <c r="X187" s="1306"/>
      <c r="Y187" s="1308"/>
      <c r="Z187" s="1311">
        <f t="shared" si="7"/>
        <v>702268</v>
      </c>
      <c r="AA187" s="1302">
        <v>733410</v>
      </c>
      <c r="AB187" s="1181">
        <v>0</v>
      </c>
      <c r="AC187" s="1302">
        <v>11020</v>
      </c>
      <c r="AD187" s="1315"/>
      <c r="AE187" s="1316"/>
      <c r="AF187" s="1311">
        <f t="shared" si="8"/>
        <v>11020</v>
      </c>
      <c r="AG187" s="1322">
        <v>47830</v>
      </c>
    </row>
    <row r="188" spans="1:33" s="2" customFormat="1">
      <c r="A188" s="134">
        <f t="shared" si="9"/>
        <v>2007.11</v>
      </c>
      <c r="B188" s="611">
        <v>3021078</v>
      </c>
      <c r="C188" s="1291">
        <v>0</v>
      </c>
      <c r="D188" s="1291">
        <v>0</v>
      </c>
      <c r="E188" s="180">
        <v>0</v>
      </c>
      <c r="F188" s="1181">
        <v>587216</v>
      </c>
      <c r="G188" s="1291">
        <v>0</v>
      </c>
      <c r="H188" s="1291">
        <v>0</v>
      </c>
      <c r="I188" s="180">
        <v>0</v>
      </c>
      <c r="J188" s="1181">
        <v>2333339</v>
      </c>
      <c r="K188" s="1291">
        <v>0</v>
      </c>
      <c r="L188" s="1291">
        <v>0</v>
      </c>
      <c r="M188" s="180">
        <v>0</v>
      </c>
      <c r="N188" s="1181">
        <v>10649</v>
      </c>
      <c r="O188" s="1291">
        <v>0</v>
      </c>
      <c r="P188" s="1291">
        <v>0</v>
      </c>
      <c r="Q188" s="180">
        <v>0</v>
      </c>
      <c r="R188" s="334">
        <v>3426008</v>
      </c>
      <c r="S188" s="1291">
        <v>120010</v>
      </c>
      <c r="T188" s="1291">
        <v>630</v>
      </c>
      <c r="U188" s="180">
        <v>0</v>
      </c>
      <c r="V188" s="334">
        <v>131600</v>
      </c>
      <c r="W188" s="1302">
        <v>366019</v>
      </c>
      <c r="X188" s="1306"/>
      <c r="Y188" s="1308"/>
      <c r="Z188" s="1311">
        <f t="shared" si="7"/>
        <v>497619</v>
      </c>
      <c r="AA188" s="1302">
        <v>515000</v>
      </c>
      <c r="AB188" s="1181">
        <v>0</v>
      </c>
      <c r="AC188" s="1302">
        <v>8399</v>
      </c>
      <c r="AD188" s="1315"/>
      <c r="AE188" s="1316"/>
      <c r="AF188" s="1311">
        <f t="shared" si="8"/>
        <v>8399</v>
      </c>
      <c r="AG188" s="1322">
        <v>34400</v>
      </c>
    </row>
    <row r="189" spans="1:33" s="2" customFormat="1">
      <c r="A189" s="134">
        <f t="shared" si="9"/>
        <v>2007.12</v>
      </c>
      <c r="B189" s="611">
        <v>3173124</v>
      </c>
      <c r="C189" s="1291">
        <v>16107</v>
      </c>
      <c r="D189" s="1291">
        <v>0</v>
      </c>
      <c r="E189" s="180">
        <v>0</v>
      </c>
      <c r="F189" s="1181">
        <v>611310</v>
      </c>
      <c r="G189" s="1291">
        <v>6230</v>
      </c>
      <c r="H189" s="1291">
        <v>0</v>
      </c>
      <c r="I189" s="180">
        <v>0</v>
      </c>
      <c r="J189" s="1181">
        <v>2439520</v>
      </c>
      <c r="K189" s="1291">
        <v>6713</v>
      </c>
      <c r="L189" s="1291">
        <v>0</v>
      </c>
      <c r="M189" s="180">
        <v>0</v>
      </c>
      <c r="N189" s="1181">
        <v>8313</v>
      </c>
      <c r="O189" s="1291">
        <v>0</v>
      </c>
      <c r="P189" s="1291">
        <v>0</v>
      </c>
      <c r="Q189" s="180">
        <v>0</v>
      </c>
      <c r="R189" s="334">
        <v>3599303</v>
      </c>
      <c r="S189" s="1291">
        <v>43115</v>
      </c>
      <c r="T189" s="1291">
        <v>0</v>
      </c>
      <c r="U189" s="180">
        <v>0</v>
      </c>
      <c r="V189" s="334">
        <v>165400</v>
      </c>
      <c r="W189" s="1302">
        <v>520320</v>
      </c>
      <c r="X189" s="1306"/>
      <c r="Y189" s="1308"/>
      <c r="Z189" s="1311">
        <f t="shared" si="7"/>
        <v>685720</v>
      </c>
      <c r="AA189" s="1302">
        <v>700240</v>
      </c>
      <c r="AB189" s="1181">
        <v>0</v>
      </c>
      <c r="AC189" s="1302">
        <v>4036</v>
      </c>
      <c r="AD189" s="1315"/>
      <c r="AE189" s="1316"/>
      <c r="AF189" s="1311">
        <f t="shared" si="8"/>
        <v>4036</v>
      </c>
      <c r="AG189" s="1322">
        <v>27940</v>
      </c>
    </row>
    <row r="190" spans="1:33" s="2" customFormat="1">
      <c r="A190" s="134">
        <f t="shared" si="9"/>
        <v>2008.01</v>
      </c>
      <c r="B190" s="611">
        <v>2602520</v>
      </c>
      <c r="C190" s="1291">
        <v>167226</v>
      </c>
      <c r="D190" s="1291">
        <v>0</v>
      </c>
      <c r="E190" s="180">
        <v>0</v>
      </c>
      <c r="F190" s="1181">
        <v>509249</v>
      </c>
      <c r="G190" s="1291">
        <v>68440</v>
      </c>
      <c r="H190" s="1291">
        <v>0</v>
      </c>
      <c r="I190" s="180">
        <v>0</v>
      </c>
      <c r="J190" s="1181">
        <v>2000671</v>
      </c>
      <c r="K190" s="1291">
        <v>69544</v>
      </c>
      <c r="L190" s="1291">
        <v>0</v>
      </c>
      <c r="M190" s="180">
        <v>0</v>
      </c>
      <c r="N190" s="1181">
        <v>9790</v>
      </c>
      <c r="O190" s="1291">
        <v>0</v>
      </c>
      <c r="P190" s="1291">
        <v>0</v>
      </c>
      <c r="Q190" s="180">
        <v>0</v>
      </c>
      <c r="R190" s="334">
        <v>2942092</v>
      </c>
      <c r="S190" s="1291">
        <v>239943</v>
      </c>
      <c r="T190" s="1291">
        <v>210</v>
      </c>
      <c r="U190" s="180">
        <v>0</v>
      </c>
      <c r="V190" s="334">
        <v>162096</v>
      </c>
      <c r="W190" s="1302">
        <v>490002</v>
      </c>
      <c r="X190" s="1306"/>
      <c r="Y190" s="1308"/>
      <c r="Z190" s="1311">
        <f t="shared" si="7"/>
        <v>652098</v>
      </c>
      <c r="AA190" s="1302">
        <v>672800</v>
      </c>
      <c r="AB190" s="1181">
        <v>0</v>
      </c>
      <c r="AC190" s="1302">
        <v>49328</v>
      </c>
      <c r="AD190" s="1315"/>
      <c r="AE190" s="1316"/>
      <c r="AF190" s="1311">
        <f t="shared" si="8"/>
        <v>49328</v>
      </c>
      <c r="AG190" s="1322">
        <v>54980</v>
      </c>
    </row>
    <row r="191" spans="1:33" s="2" customFormat="1">
      <c r="A191" s="134">
        <f t="shared" si="9"/>
        <v>2008.02</v>
      </c>
      <c r="B191" s="611">
        <v>1925063</v>
      </c>
      <c r="C191" s="1291">
        <v>172461</v>
      </c>
      <c r="D191" s="1291">
        <v>0</v>
      </c>
      <c r="E191" s="180">
        <v>0</v>
      </c>
      <c r="F191" s="1181">
        <v>375471</v>
      </c>
      <c r="G191" s="1291">
        <v>71151</v>
      </c>
      <c r="H191" s="1291">
        <v>0</v>
      </c>
      <c r="I191" s="180">
        <v>0</v>
      </c>
      <c r="J191" s="1181">
        <v>1496146</v>
      </c>
      <c r="K191" s="1291">
        <v>72753</v>
      </c>
      <c r="L191" s="1291">
        <v>0</v>
      </c>
      <c r="M191" s="180">
        <v>0</v>
      </c>
      <c r="N191" s="1181">
        <v>8095</v>
      </c>
      <c r="O191" s="1291">
        <v>0</v>
      </c>
      <c r="P191" s="1291">
        <v>0</v>
      </c>
      <c r="Q191" s="180">
        <v>0</v>
      </c>
      <c r="R191" s="334">
        <v>2177204</v>
      </c>
      <c r="S191" s="1291">
        <v>255468</v>
      </c>
      <c r="T191" s="1291">
        <v>1671</v>
      </c>
      <c r="U191" s="180">
        <v>0</v>
      </c>
      <c r="V191" s="334">
        <v>69416</v>
      </c>
      <c r="W191" s="1302">
        <v>273540</v>
      </c>
      <c r="X191" s="1306"/>
      <c r="Y191" s="1308"/>
      <c r="Z191" s="1311">
        <f t="shared" si="7"/>
        <v>342956</v>
      </c>
      <c r="AA191" s="1302">
        <v>348760</v>
      </c>
      <c r="AB191" s="1181">
        <v>0</v>
      </c>
      <c r="AC191" s="1302">
        <v>70645</v>
      </c>
      <c r="AD191" s="1315"/>
      <c r="AE191" s="1316"/>
      <c r="AF191" s="1311">
        <f t="shared" si="8"/>
        <v>70645</v>
      </c>
      <c r="AG191" s="1322">
        <v>86350</v>
      </c>
    </row>
    <row r="192" spans="1:33" s="2" customFormat="1">
      <c r="A192" s="134">
        <f t="shared" si="9"/>
        <v>2008.03</v>
      </c>
      <c r="B192" s="611">
        <v>1152908</v>
      </c>
      <c r="C192" s="1291">
        <v>178838</v>
      </c>
      <c r="D192" s="1291">
        <v>0</v>
      </c>
      <c r="E192" s="180">
        <v>0</v>
      </c>
      <c r="F192" s="1181">
        <v>221304</v>
      </c>
      <c r="G192" s="1291">
        <v>74492</v>
      </c>
      <c r="H192" s="1291">
        <v>0</v>
      </c>
      <c r="I192" s="180">
        <v>0</v>
      </c>
      <c r="J192" s="1181">
        <v>888695</v>
      </c>
      <c r="K192" s="1291">
        <v>74075</v>
      </c>
      <c r="L192" s="1291">
        <v>0</v>
      </c>
      <c r="M192" s="180">
        <v>0</v>
      </c>
      <c r="N192" s="1181">
        <v>8283</v>
      </c>
      <c r="O192" s="1291">
        <v>0</v>
      </c>
      <c r="P192" s="1291">
        <v>0</v>
      </c>
      <c r="Q192" s="180">
        <v>0</v>
      </c>
      <c r="R192" s="334">
        <v>1179405</v>
      </c>
      <c r="S192" s="1291">
        <v>510405</v>
      </c>
      <c r="T192" s="1291">
        <v>1663</v>
      </c>
      <c r="U192" s="180">
        <v>0</v>
      </c>
      <c r="V192" s="334">
        <v>58552</v>
      </c>
      <c r="W192" s="1302">
        <v>221632</v>
      </c>
      <c r="X192" s="1306"/>
      <c r="Y192" s="1308"/>
      <c r="Z192" s="1311">
        <f t="shared" si="7"/>
        <v>280184</v>
      </c>
      <c r="AA192" s="1302">
        <v>282790</v>
      </c>
      <c r="AB192" s="1181">
        <v>0</v>
      </c>
      <c r="AC192" s="1302">
        <v>67658</v>
      </c>
      <c r="AD192" s="1315"/>
      <c r="AE192" s="1316"/>
      <c r="AF192" s="1311">
        <f t="shared" si="8"/>
        <v>67658</v>
      </c>
      <c r="AG192" s="1322">
        <v>87660</v>
      </c>
    </row>
    <row r="193" spans="1:33" s="2" customFormat="1">
      <c r="A193" s="134">
        <f t="shared" si="9"/>
        <v>2008.04</v>
      </c>
      <c r="B193" s="611">
        <v>2665207</v>
      </c>
      <c r="C193" s="1291">
        <v>163109</v>
      </c>
      <c r="D193" s="1291">
        <v>0</v>
      </c>
      <c r="E193" s="180">
        <v>5011</v>
      </c>
      <c r="F193" s="1181">
        <v>508122</v>
      </c>
      <c r="G193" s="1291">
        <v>68282</v>
      </c>
      <c r="H193" s="1291">
        <v>0</v>
      </c>
      <c r="I193" s="180">
        <v>0</v>
      </c>
      <c r="J193" s="1181">
        <v>2079141</v>
      </c>
      <c r="K193" s="1291">
        <v>64390</v>
      </c>
      <c r="L193" s="1291">
        <v>0</v>
      </c>
      <c r="M193" s="180">
        <v>0</v>
      </c>
      <c r="N193" s="1181">
        <v>14238</v>
      </c>
      <c r="O193" s="1291">
        <v>0</v>
      </c>
      <c r="P193" s="1291">
        <v>0</v>
      </c>
      <c r="Q193" s="180">
        <v>0</v>
      </c>
      <c r="R193" s="334">
        <v>2796236</v>
      </c>
      <c r="S193" s="1291">
        <v>550804</v>
      </c>
      <c r="T193" s="1291">
        <v>1114</v>
      </c>
      <c r="U193" s="180">
        <v>5011</v>
      </c>
      <c r="V193" s="334">
        <v>63300</v>
      </c>
      <c r="W193" s="1302">
        <v>258416</v>
      </c>
      <c r="X193" s="1306"/>
      <c r="Y193" s="1308"/>
      <c r="Z193" s="1311">
        <f t="shared" si="7"/>
        <v>321716</v>
      </c>
      <c r="AA193" s="1302">
        <v>326720</v>
      </c>
      <c r="AB193" s="1181">
        <v>22730</v>
      </c>
      <c r="AC193" s="1302">
        <v>113660</v>
      </c>
      <c r="AD193" s="1315"/>
      <c r="AE193" s="1316"/>
      <c r="AF193" s="1311">
        <f t="shared" si="8"/>
        <v>136390</v>
      </c>
      <c r="AG193" s="1322">
        <v>226740</v>
      </c>
    </row>
    <row r="194" spans="1:33" s="2" customFormat="1">
      <c r="A194" s="134">
        <f t="shared" si="9"/>
        <v>2008.05</v>
      </c>
      <c r="B194" s="611">
        <v>3063751</v>
      </c>
      <c r="C194" s="1291">
        <v>168732</v>
      </c>
      <c r="D194" s="1291">
        <v>0</v>
      </c>
      <c r="E194" s="180">
        <v>0</v>
      </c>
      <c r="F194" s="1181">
        <v>578627</v>
      </c>
      <c r="G194" s="1291">
        <v>69914</v>
      </c>
      <c r="H194" s="1291">
        <v>0</v>
      </c>
      <c r="I194" s="180">
        <v>0</v>
      </c>
      <c r="J194" s="1181">
        <v>2401796</v>
      </c>
      <c r="K194" s="1291">
        <v>68385</v>
      </c>
      <c r="L194" s="1291">
        <v>0</v>
      </c>
      <c r="M194" s="180">
        <v>0</v>
      </c>
      <c r="N194" s="1181">
        <v>14547</v>
      </c>
      <c r="O194" s="1291">
        <v>0</v>
      </c>
      <c r="P194" s="1291">
        <v>0</v>
      </c>
      <c r="Q194" s="180">
        <v>0</v>
      </c>
      <c r="R194" s="334">
        <v>3300346</v>
      </c>
      <c r="S194" s="1291">
        <v>470001</v>
      </c>
      <c r="T194" s="1291">
        <v>420</v>
      </c>
      <c r="U194" s="180">
        <v>0</v>
      </c>
      <c r="V194" s="334">
        <v>184463</v>
      </c>
      <c r="W194" s="1302">
        <v>373524</v>
      </c>
      <c r="X194" s="1306"/>
      <c r="Y194" s="1308"/>
      <c r="Z194" s="1311">
        <f t="shared" si="7"/>
        <v>557987</v>
      </c>
      <c r="AA194" s="1302">
        <v>557990</v>
      </c>
      <c r="AB194" s="1181">
        <v>0</v>
      </c>
      <c r="AC194" s="1302">
        <v>68036</v>
      </c>
      <c r="AD194" s="1315"/>
      <c r="AE194" s="1316"/>
      <c r="AF194" s="1311">
        <f t="shared" si="8"/>
        <v>68036</v>
      </c>
      <c r="AG194" s="1322">
        <v>136280</v>
      </c>
    </row>
    <row r="195" spans="1:33" s="2" customFormat="1">
      <c r="A195" s="134">
        <f t="shared" si="9"/>
        <v>2008.06</v>
      </c>
      <c r="B195" s="611">
        <v>1747920</v>
      </c>
      <c r="C195" s="1291">
        <v>135401</v>
      </c>
      <c r="D195" s="1291">
        <v>0</v>
      </c>
      <c r="E195" s="180">
        <v>0</v>
      </c>
      <c r="F195" s="1181">
        <v>335895</v>
      </c>
      <c r="G195" s="1291">
        <v>55607</v>
      </c>
      <c r="H195" s="1291">
        <v>0</v>
      </c>
      <c r="I195" s="180">
        <v>0</v>
      </c>
      <c r="J195" s="1181">
        <v>1383934</v>
      </c>
      <c r="K195" s="1291">
        <v>54822</v>
      </c>
      <c r="L195" s="1291">
        <v>0</v>
      </c>
      <c r="M195" s="180">
        <v>0</v>
      </c>
      <c r="N195" s="1181">
        <v>8864</v>
      </c>
      <c r="O195" s="1291">
        <v>0</v>
      </c>
      <c r="P195" s="1291">
        <v>0</v>
      </c>
      <c r="Q195" s="180">
        <v>0</v>
      </c>
      <c r="R195" s="334">
        <v>1899191</v>
      </c>
      <c r="S195" s="1291">
        <v>307556</v>
      </c>
      <c r="T195" s="1291">
        <v>1226</v>
      </c>
      <c r="U195" s="180">
        <v>0</v>
      </c>
      <c r="V195" s="334">
        <v>44276</v>
      </c>
      <c r="W195" s="1302">
        <v>209005</v>
      </c>
      <c r="X195" s="1306"/>
      <c r="Y195" s="1308"/>
      <c r="Z195" s="1311">
        <f t="shared" si="7"/>
        <v>253281</v>
      </c>
      <c r="AA195" s="1302">
        <v>258280</v>
      </c>
      <c r="AB195" s="1181">
        <v>10575</v>
      </c>
      <c r="AC195" s="1302">
        <v>25892</v>
      </c>
      <c r="AD195" s="1315"/>
      <c r="AE195" s="1316"/>
      <c r="AF195" s="1311">
        <f t="shared" si="8"/>
        <v>36467</v>
      </c>
      <c r="AG195" s="1322">
        <v>62170</v>
      </c>
    </row>
    <row r="196" spans="1:33" s="2" customFormat="1">
      <c r="A196" s="134">
        <f t="shared" si="9"/>
        <v>2008.07</v>
      </c>
      <c r="B196" s="611">
        <v>3183098</v>
      </c>
      <c r="C196" s="1291">
        <v>112564</v>
      </c>
      <c r="D196" s="1291">
        <v>0</v>
      </c>
      <c r="E196" s="180">
        <v>2331</v>
      </c>
      <c r="F196" s="1181">
        <v>605451</v>
      </c>
      <c r="G196" s="1291">
        <v>45630</v>
      </c>
      <c r="H196" s="1291">
        <v>0</v>
      </c>
      <c r="I196" s="180">
        <v>373</v>
      </c>
      <c r="J196" s="1181">
        <v>2499209</v>
      </c>
      <c r="K196" s="1291">
        <v>46114</v>
      </c>
      <c r="L196" s="1291">
        <v>0</v>
      </c>
      <c r="M196" s="180">
        <v>1349</v>
      </c>
      <c r="N196" s="1181">
        <v>9836</v>
      </c>
      <c r="O196" s="1291">
        <v>0</v>
      </c>
      <c r="P196" s="1291">
        <v>0</v>
      </c>
      <c r="Q196" s="180">
        <v>0</v>
      </c>
      <c r="R196" s="334">
        <v>3453937</v>
      </c>
      <c r="S196" s="1291">
        <v>410738</v>
      </c>
      <c r="T196" s="1291">
        <v>910</v>
      </c>
      <c r="U196" s="180">
        <v>2331</v>
      </c>
      <c r="V196" s="334">
        <v>101424</v>
      </c>
      <c r="W196" s="1302">
        <v>291720</v>
      </c>
      <c r="X196" s="1306"/>
      <c r="Y196" s="1308"/>
      <c r="Z196" s="1311">
        <f t="shared" si="7"/>
        <v>393144</v>
      </c>
      <c r="AA196" s="1302">
        <v>408990</v>
      </c>
      <c r="AB196" s="1181">
        <v>0</v>
      </c>
      <c r="AC196" s="1302">
        <v>102406</v>
      </c>
      <c r="AD196" s="1315"/>
      <c r="AE196" s="1316"/>
      <c r="AF196" s="1311">
        <f t="shared" si="8"/>
        <v>102406</v>
      </c>
      <c r="AG196" s="1322">
        <v>160360</v>
      </c>
    </row>
    <row r="197" spans="1:33" s="2" customFormat="1">
      <c r="A197" s="134">
        <f t="shared" si="9"/>
        <v>2008.08</v>
      </c>
      <c r="B197" s="611">
        <v>2776840</v>
      </c>
      <c r="C197" s="1291">
        <v>75726</v>
      </c>
      <c r="D197" s="1291">
        <v>0</v>
      </c>
      <c r="E197" s="180">
        <v>22703</v>
      </c>
      <c r="F197" s="1181">
        <v>526598</v>
      </c>
      <c r="G197" s="1291">
        <v>30451</v>
      </c>
      <c r="H197" s="1291">
        <v>0</v>
      </c>
      <c r="I197" s="180">
        <v>3726</v>
      </c>
      <c r="J197" s="1181">
        <v>2171410</v>
      </c>
      <c r="K197" s="1291">
        <v>30199</v>
      </c>
      <c r="L197" s="1291">
        <v>0</v>
      </c>
      <c r="M197" s="180">
        <v>12605</v>
      </c>
      <c r="N197" s="1181">
        <v>14181</v>
      </c>
      <c r="O197" s="1291">
        <v>0</v>
      </c>
      <c r="P197" s="1291">
        <v>0</v>
      </c>
      <c r="Q197" s="180">
        <v>0</v>
      </c>
      <c r="R197" s="334">
        <v>3033116</v>
      </c>
      <c r="S197" s="1291">
        <v>370998</v>
      </c>
      <c r="T197" s="1291">
        <v>840</v>
      </c>
      <c r="U197" s="180">
        <v>22703</v>
      </c>
      <c r="V197" s="334">
        <v>161313</v>
      </c>
      <c r="W197" s="1302">
        <v>432607</v>
      </c>
      <c r="X197" s="1306"/>
      <c r="Y197" s="1308"/>
      <c r="Z197" s="1311">
        <f t="shared" si="7"/>
        <v>593920</v>
      </c>
      <c r="AA197" s="1302">
        <v>601480</v>
      </c>
      <c r="AB197" s="1181">
        <v>0</v>
      </c>
      <c r="AC197" s="1302">
        <v>40448</v>
      </c>
      <c r="AD197" s="1315"/>
      <c r="AE197" s="1316"/>
      <c r="AF197" s="1311">
        <f t="shared" si="8"/>
        <v>40448</v>
      </c>
      <c r="AG197" s="1322">
        <v>117090</v>
      </c>
    </row>
    <row r="198" spans="1:33" s="2" customFormat="1">
      <c r="A198" s="134">
        <f t="shared" si="9"/>
        <v>2008.09</v>
      </c>
      <c r="B198" s="611">
        <v>2918183</v>
      </c>
      <c r="C198" s="1291">
        <v>85025</v>
      </c>
      <c r="D198" s="1291">
        <v>0</v>
      </c>
      <c r="E198" s="180">
        <v>0</v>
      </c>
      <c r="F198" s="1181">
        <v>560751</v>
      </c>
      <c r="G198" s="1291">
        <v>35117</v>
      </c>
      <c r="H198" s="1291">
        <v>0</v>
      </c>
      <c r="I198" s="180">
        <v>0</v>
      </c>
      <c r="J198" s="1181">
        <v>2266445</v>
      </c>
      <c r="K198" s="1291">
        <v>35550</v>
      </c>
      <c r="L198" s="1291">
        <v>0</v>
      </c>
      <c r="M198" s="180">
        <v>0</v>
      </c>
      <c r="N198" s="1181">
        <v>11768</v>
      </c>
      <c r="O198" s="1291">
        <v>0</v>
      </c>
      <c r="P198" s="1291">
        <v>0</v>
      </c>
      <c r="Q198" s="180">
        <v>0</v>
      </c>
      <c r="R198" s="334">
        <v>3217285</v>
      </c>
      <c r="S198" s="1291">
        <v>340442</v>
      </c>
      <c r="T198" s="1291">
        <v>70</v>
      </c>
      <c r="U198" s="180">
        <v>0</v>
      </c>
      <c r="V198" s="334">
        <v>72789</v>
      </c>
      <c r="W198" s="1302">
        <v>568047</v>
      </c>
      <c r="X198" s="1306"/>
      <c r="Y198" s="1308"/>
      <c r="Z198" s="1311">
        <f t="shared" si="7"/>
        <v>640836</v>
      </c>
      <c r="AA198" s="1302">
        <v>657790</v>
      </c>
      <c r="AB198" s="1181">
        <v>0</v>
      </c>
      <c r="AC198" s="1302">
        <v>38141</v>
      </c>
      <c r="AD198" s="1315"/>
      <c r="AE198" s="1316"/>
      <c r="AF198" s="1311">
        <f t="shared" si="8"/>
        <v>38141</v>
      </c>
      <c r="AG198" s="1322">
        <v>75730</v>
      </c>
    </row>
    <row r="199" spans="1:33" s="2" customFormat="1">
      <c r="A199" s="134">
        <f t="shared" si="9"/>
        <v>2008.1</v>
      </c>
      <c r="B199" s="611">
        <v>2507675</v>
      </c>
      <c r="C199" s="1291">
        <v>45111</v>
      </c>
      <c r="D199" s="1291">
        <v>0</v>
      </c>
      <c r="E199" s="180">
        <v>0</v>
      </c>
      <c r="F199" s="1181">
        <v>478778</v>
      </c>
      <c r="G199" s="1291">
        <v>19065</v>
      </c>
      <c r="H199" s="1291">
        <v>0</v>
      </c>
      <c r="I199" s="180">
        <v>0</v>
      </c>
      <c r="J199" s="1181">
        <v>1953838</v>
      </c>
      <c r="K199" s="1291">
        <v>19992</v>
      </c>
      <c r="L199" s="1291">
        <v>0</v>
      </c>
      <c r="M199" s="180">
        <v>0</v>
      </c>
      <c r="N199" s="1181">
        <v>13930</v>
      </c>
      <c r="O199" s="1291">
        <v>0</v>
      </c>
      <c r="P199" s="1291">
        <v>0</v>
      </c>
      <c r="Q199" s="180">
        <v>0</v>
      </c>
      <c r="R199" s="334">
        <v>2767180</v>
      </c>
      <c r="S199" s="1291">
        <v>297314</v>
      </c>
      <c r="T199" s="1291">
        <v>0</v>
      </c>
      <c r="U199" s="180">
        <v>0</v>
      </c>
      <c r="V199" s="334">
        <v>115834</v>
      </c>
      <c r="W199" s="1302">
        <v>225274</v>
      </c>
      <c r="X199" s="1306"/>
      <c r="Y199" s="1308"/>
      <c r="Z199" s="1311">
        <f t="shared" si="7"/>
        <v>341108</v>
      </c>
      <c r="AA199" s="1302">
        <v>366680</v>
      </c>
      <c r="AB199" s="1181">
        <v>0</v>
      </c>
      <c r="AC199" s="1302">
        <v>10891</v>
      </c>
      <c r="AD199" s="1315"/>
      <c r="AE199" s="1316"/>
      <c r="AF199" s="1311">
        <f t="shared" si="8"/>
        <v>10891</v>
      </c>
      <c r="AG199" s="1322">
        <v>78320</v>
      </c>
    </row>
    <row r="200" spans="1:33" s="2" customFormat="1">
      <c r="A200" s="134">
        <f t="shared" si="9"/>
        <v>2008.11</v>
      </c>
      <c r="B200" s="611">
        <v>2209837</v>
      </c>
      <c r="C200" s="1291">
        <v>18090</v>
      </c>
      <c r="D200" s="1291">
        <v>0</v>
      </c>
      <c r="E200" s="180">
        <v>0</v>
      </c>
      <c r="F200" s="1181">
        <v>427326</v>
      </c>
      <c r="G200" s="1291">
        <v>6720</v>
      </c>
      <c r="H200" s="1291">
        <v>0</v>
      </c>
      <c r="I200" s="180">
        <v>0</v>
      </c>
      <c r="J200" s="1181">
        <v>1726922</v>
      </c>
      <c r="K200" s="1291">
        <v>7204</v>
      </c>
      <c r="L200" s="1291">
        <v>0</v>
      </c>
      <c r="M200" s="180">
        <v>0</v>
      </c>
      <c r="N200" s="1181">
        <v>11558</v>
      </c>
      <c r="O200" s="1291">
        <v>0</v>
      </c>
      <c r="P200" s="1291">
        <v>0</v>
      </c>
      <c r="Q200" s="180">
        <v>0</v>
      </c>
      <c r="R200" s="334">
        <v>2602112</v>
      </c>
      <c r="S200" s="1291">
        <v>200146</v>
      </c>
      <c r="T200" s="1291">
        <v>93</v>
      </c>
      <c r="U200" s="180">
        <v>0</v>
      </c>
      <c r="V200" s="334">
        <v>76601</v>
      </c>
      <c r="W200" s="1302">
        <v>276336</v>
      </c>
      <c r="X200" s="1306"/>
      <c r="Y200" s="1308"/>
      <c r="Z200" s="1311">
        <f t="shared" si="7"/>
        <v>352937</v>
      </c>
      <c r="AA200" s="1302">
        <v>355200</v>
      </c>
      <c r="AB200" s="1181">
        <v>0</v>
      </c>
      <c r="AC200" s="1302">
        <v>30987</v>
      </c>
      <c r="AD200" s="1315"/>
      <c r="AE200" s="1316"/>
      <c r="AF200" s="1311">
        <f t="shared" si="8"/>
        <v>30987</v>
      </c>
      <c r="AG200" s="1322">
        <v>59980</v>
      </c>
    </row>
    <row r="201" spans="1:33" s="2" customFormat="1">
      <c r="A201" s="134">
        <f t="shared" si="9"/>
        <v>2008.12</v>
      </c>
      <c r="B201" s="611">
        <v>2071662</v>
      </c>
      <c r="C201" s="1291">
        <v>80918</v>
      </c>
      <c r="D201" s="1291">
        <v>0</v>
      </c>
      <c r="E201" s="180">
        <v>0</v>
      </c>
      <c r="F201" s="1181">
        <v>397286</v>
      </c>
      <c r="G201" s="1291">
        <v>31937</v>
      </c>
      <c r="H201" s="1291">
        <v>0</v>
      </c>
      <c r="I201" s="180">
        <v>0</v>
      </c>
      <c r="J201" s="1181">
        <v>1605129</v>
      </c>
      <c r="K201" s="1291">
        <v>33996</v>
      </c>
      <c r="L201" s="1291">
        <v>0</v>
      </c>
      <c r="M201" s="180">
        <v>0</v>
      </c>
      <c r="N201" s="1181">
        <v>12441</v>
      </c>
      <c r="O201" s="1291">
        <v>0</v>
      </c>
      <c r="P201" s="1291">
        <v>0</v>
      </c>
      <c r="Q201" s="180">
        <v>0</v>
      </c>
      <c r="R201" s="334">
        <v>2338139</v>
      </c>
      <c r="S201" s="1291">
        <v>249089</v>
      </c>
      <c r="T201" s="1291">
        <v>210</v>
      </c>
      <c r="U201" s="180">
        <v>0</v>
      </c>
      <c r="V201" s="334">
        <v>89875</v>
      </c>
      <c r="W201" s="1302">
        <v>189498</v>
      </c>
      <c r="X201" s="1306"/>
      <c r="Y201" s="1308"/>
      <c r="Z201" s="1311">
        <f t="shared" si="7"/>
        <v>279373</v>
      </c>
      <c r="AA201" s="1302">
        <v>288010</v>
      </c>
      <c r="AB201" s="1181">
        <v>0</v>
      </c>
      <c r="AC201" s="1302">
        <v>15727</v>
      </c>
      <c r="AD201" s="1315"/>
      <c r="AE201" s="1316"/>
      <c r="AF201" s="1311">
        <f t="shared" si="8"/>
        <v>15727</v>
      </c>
      <c r="AG201" s="1322">
        <v>41740</v>
      </c>
    </row>
    <row r="202" spans="1:33" s="2" customFormat="1">
      <c r="A202" s="134">
        <f t="shared" si="9"/>
        <v>2009.01</v>
      </c>
      <c r="B202" s="611">
        <v>2203830</v>
      </c>
      <c r="C202" s="1291">
        <v>90596</v>
      </c>
      <c r="D202" s="1291">
        <v>0</v>
      </c>
      <c r="E202" s="180">
        <v>0</v>
      </c>
      <c r="F202" s="1181">
        <v>419434</v>
      </c>
      <c r="G202" s="1291">
        <v>35931</v>
      </c>
      <c r="H202" s="1291">
        <v>0</v>
      </c>
      <c r="I202" s="180">
        <v>0</v>
      </c>
      <c r="J202" s="1181">
        <v>1712399</v>
      </c>
      <c r="K202" s="1291">
        <v>39754</v>
      </c>
      <c r="L202" s="1291">
        <v>0</v>
      </c>
      <c r="M202" s="180">
        <v>0</v>
      </c>
      <c r="N202" s="1181">
        <v>11920</v>
      </c>
      <c r="O202" s="1291">
        <v>0</v>
      </c>
      <c r="P202" s="1291">
        <v>0</v>
      </c>
      <c r="Q202" s="180">
        <v>0</v>
      </c>
      <c r="R202" s="334">
        <v>2314057</v>
      </c>
      <c r="S202" s="1291">
        <v>216789</v>
      </c>
      <c r="T202" s="1291">
        <v>306</v>
      </c>
      <c r="U202" s="180">
        <v>0</v>
      </c>
      <c r="V202" s="334">
        <v>133863</v>
      </c>
      <c r="W202" s="1302">
        <v>341484</v>
      </c>
      <c r="X202" s="1306"/>
      <c r="Y202" s="1308"/>
      <c r="Z202" s="1311">
        <f t="shared" si="7"/>
        <v>475347</v>
      </c>
      <c r="AA202" s="1302">
        <v>496504</v>
      </c>
      <c r="AB202" s="1181">
        <v>0</v>
      </c>
      <c r="AC202" s="1302">
        <v>58164</v>
      </c>
      <c r="AD202" s="1315"/>
      <c r="AE202" s="1316"/>
      <c r="AF202" s="1311">
        <f t="shared" si="8"/>
        <v>58164</v>
      </c>
      <c r="AG202" s="1322">
        <v>71641</v>
      </c>
    </row>
    <row r="203" spans="1:33" s="2" customFormat="1">
      <c r="A203" s="134">
        <f t="shared" si="9"/>
        <v>2009.02</v>
      </c>
      <c r="B203" s="611">
        <v>1883818</v>
      </c>
      <c r="C203" s="1291">
        <v>102132</v>
      </c>
      <c r="D203" s="1291">
        <v>0</v>
      </c>
      <c r="E203" s="180">
        <v>0</v>
      </c>
      <c r="F203" s="1181">
        <v>353610</v>
      </c>
      <c r="G203" s="1291">
        <v>41084</v>
      </c>
      <c r="H203" s="1291">
        <v>0</v>
      </c>
      <c r="I203" s="180">
        <v>0</v>
      </c>
      <c r="J203" s="1181">
        <v>1452942</v>
      </c>
      <c r="K203" s="1291">
        <v>43829</v>
      </c>
      <c r="L203" s="1291">
        <v>0</v>
      </c>
      <c r="M203" s="180">
        <v>0</v>
      </c>
      <c r="N203" s="1181">
        <v>10772</v>
      </c>
      <c r="O203" s="1291">
        <v>0</v>
      </c>
      <c r="P203" s="1291">
        <v>0</v>
      </c>
      <c r="Q203" s="180">
        <v>0</v>
      </c>
      <c r="R203" s="334">
        <v>2084034</v>
      </c>
      <c r="S203" s="1291">
        <v>327550</v>
      </c>
      <c r="T203" s="1291">
        <v>0</v>
      </c>
      <c r="U203" s="180">
        <v>0</v>
      </c>
      <c r="V203" s="334">
        <v>79220</v>
      </c>
      <c r="W203" s="1302">
        <v>326224</v>
      </c>
      <c r="X203" s="1306"/>
      <c r="Y203" s="1308"/>
      <c r="Z203" s="1311">
        <f t="shared" ref="Z203:Z265" si="10">SUM(V203:Y203)</f>
        <v>405444</v>
      </c>
      <c r="AA203" s="1302">
        <v>413794</v>
      </c>
      <c r="AB203" s="1181">
        <v>0</v>
      </c>
      <c r="AC203" s="1302">
        <v>47880</v>
      </c>
      <c r="AD203" s="1315"/>
      <c r="AE203" s="1316"/>
      <c r="AF203" s="1311">
        <f t="shared" ref="AF203:AF224" si="11">SUM(AB203:AE203)</f>
        <v>47880</v>
      </c>
      <c r="AG203" s="1322">
        <v>93097</v>
      </c>
    </row>
    <row r="204" spans="1:33" s="2" customFormat="1">
      <c r="A204" s="134">
        <f t="shared" si="9"/>
        <v>2009.03</v>
      </c>
      <c r="B204" s="611">
        <v>1930031</v>
      </c>
      <c r="C204" s="1291">
        <v>135420</v>
      </c>
      <c r="D204" s="1291">
        <v>0</v>
      </c>
      <c r="E204" s="180">
        <v>0</v>
      </c>
      <c r="F204" s="1181">
        <v>373489</v>
      </c>
      <c r="G204" s="1291">
        <v>53934</v>
      </c>
      <c r="H204" s="1291">
        <v>0</v>
      </c>
      <c r="I204" s="180">
        <v>0</v>
      </c>
      <c r="J204" s="1181">
        <v>1501984</v>
      </c>
      <c r="K204" s="1291">
        <v>59357</v>
      </c>
      <c r="L204" s="1291">
        <v>0</v>
      </c>
      <c r="M204" s="180">
        <v>0</v>
      </c>
      <c r="N204" s="1181">
        <v>11478</v>
      </c>
      <c r="O204" s="1291">
        <v>0</v>
      </c>
      <c r="P204" s="1291">
        <v>0</v>
      </c>
      <c r="Q204" s="180">
        <v>0</v>
      </c>
      <c r="R204" s="334">
        <v>2074538</v>
      </c>
      <c r="S204" s="1291">
        <v>493931</v>
      </c>
      <c r="T204" s="1291">
        <v>743</v>
      </c>
      <c r="U204" s="180">
        <v>0</v>
      </c>
      <c r="V204" s="334">
        <v>63595</v>
      </c>
      <c r="W204" s="1302">
        <v>361910</v>
      </c>
      <c r="X204" s="1306"/>
      <c r="Y204" s="1308"/>
      <c r="Z204" s="1311">
        <f t="shared" si="10"/>
        <v>425505</v>
      </c>
      <c r="AA204" s="1302">
        <v>433205</v>
      </c>
      <c r="AB204" s="1181">
        <v>0</v>
      </c>
      <c r="AC204" s="1302">
        <v>15550</v>
      </c>
      <c r="AD204" s="1315"/>
      <c r="AE204" s="1316"/>
      <c r="AF204" s="1311">
        <f t="shared" si="11"/>
        <v>15550</v>
      </c>
      <c r="AG204" s="1322">
        <v>62690</v>
      </c>
    </row>
    <row r="205" spans="1:33" s="2" customFormat="1">
      <c r="A205" s="134">
        <f t="shared" si="9"/>
        <v>2009.04</v>
      </c>
      <c r="B205" s="1288">
        <f>F205/0.19</f>
        <v>2961694.7368421052</v>
      </c>
      <c r="C205" s="1291">
        <v>118090</v>
      </c>
      <c r="D205" s="1291">
        <v>0</v>
      </c>
      <c r="E205" s="180">
        <v>0</v>
      </c>
      <c r="F205" s="1181">
        <v>562722</v>
      </c>
      <c r="G205" s="1291">
        <v>45898</v>
      </c>
      <c r="H205" s="1291">
        <v>0</v>
      </c>
      <c r="I205" s="180">
        <v>0</v>
      </c>
      <c r="J205" s="1181">
        <v>2318143</v>
      </c>
      <c r="K205" s="1291">
        <v>50759</v>
      </c>
      <c r="L205" s="1291">
        <v>0</v>
      </c>
      <c r="M205" s="180">
        <v>0</v>
      </c>
      <c r="N205" s="1181">
        <v>12717</v>
      </c>
      <c r="O205" s="1291">
        <v>0</v>
      </c>
      <c r="P205" s="1291">
        <v>0</v>
      </c>
      <c r="Q205" s="180">
        <v>0</v>
      </c>
      <c r="R205" s="334">
        <v>3182545</v>
      </c>
      <c r="S205" s="1291">
        <v>318734</v>
      </c>
      <c r="T205" s="1291">
        <v>0</v>
      </c>
      <c r="U205" s="180">
        <v>0</v>
      </c>
      <c r="V205" s="334">
        <v>87206</v>
      </c>
      <c r="W205" s="1302">
        <v>376173</v>
      </c>
      <c r="X205" s="1306"/>
      <c r="Y205" s="1308"/>
      <c r="Z205" s="1311">
        <f t="shared" si="10"/>
        <v>463379</v>
      </c>
      <c r="AA205" s="1302">
        <v>463929</v>
      </c>
      <c r="AB205" s="1181">
        <v>730</v>
      </c>
      <c r="AC205" s="1302">
        <v>44248</v>
      </c>
      <c r="AD205" s="1315"/>
      <c r="AE205" s="1316"/>
      <c r="AF205" s="1311">
        <f t="shared" si="11"/>
        <v>44978</v>
      </c>
      <c r="AG205" s="1322">
        <v>120472</v>
      </c>
    </row>
    <row r="206" spans="1:33" s="2" customFormat="1">
      <c r="A206" s="134">
        <f t="shared" si="9"/>
        <v>2009.05</v>
      </c>
      <c r="B206" s="611">
        <v>3298255</v>
      </c>
      <c r="C206" s="1291">
        <v>85707</v>
      </c>
      <c r="D206" s="1291">
        <v>0</v>
      </c>
      <c r="E206" s="180">
        <v>15642</v>
      </c>
      <c r="F206" s="1181">
        <v>627085</v>
      </c>
      <c r="G206" s="1291">
        <v>33765</v>
      </c>
      <c r="H206" s="1291">
        <v>0</v>
      </c>
      <c r="I206" s="180">
        <v>2144</v>
      </c>
      <c r="J206" s="1181">
        <v>2563096</v>
      </c>
      <c r="K206" s="1291">
        <v>36579</v>
      </c>
      <c r="L206" s="1291">
        <v>0</v>
      </c>
      <c r="M206" s="180">
        <v>13157</v>
      </c>
      <c r="N206" s="1181">
        <v>11592</v>
      </c>
      <c r="O206" s="1291">
        <v>0</v>
      </c>
      <c r="P206" s="1291">
        <v>0</v>
      </c>
      <c r="Q206" s="180">
        <v>0</v>
      </c>
      <c r="R206" s="334">
        <v>3566404</v>
      </c>
      <c r="S206" s="1291">
        <v>348345</v>
      </c>
      <c r="T206" s="1291">
        <v>0</v>
      </c>
      <c r="U206" s="180">
        <v>15642</v>
      </c>
      <c r="V206" s="334">
        <v>143065</v>
      </c>
      <c r="W206" s="1302">
        <v>356171</v>
      </c>
      <c r="X206" s="1306"/>
      <c r="Y206" s="1308"/>
      <c r="Z206" s="1311">
        <f t="shared" si="10"/>
        <v>499236</v>
      </c>
      <c r="AA206" s="1302">
        <v>509296</v>
      </c>
      <c r="AB206" s="1181">
        <v>0</v>
      </c>
      <c r="AC206" s="1302">
        <v>33956</v>
      </c>
      <c r="AD206" s="1315"/>
      <c r="AE206" s="1316"/>
      <c r="AF206" s="1311">
        <f t="shared" si="11"/>
        <v>33956</v>
      </c>
      <c r="AG206" s="1322">
        <v>107500</v>
      </c>
    </row>
    <row r="207" spans="1:33" s="2" customFormat="1">
      <c r="A207" s="134">
        <f t="shared" si="9"/>
        <v>2009.06</v>
      </c>
      <c r="B207" s="611">
        <v>2820313</v>
      </c>
      <c r="C207" s="1291">
        <v>78457</v>
      </c>
      <c r="D207" s="1291">
        <v>0</v>
      </c>
      <c r="E207" s="180">
        <v>269</v>
      </c>
      <c r="F207" s="1181">
        <v>531432</v>
      </c>
      <c r="G207" s="1291">
        <v>31232</v>
      </c>
      <c r="H207" s="1291">
        <v>0</v>
      </c>
      <c r="I207" s="180">
        <v>38</v>
      </c>
      <c r="J207" s="1181">
        <v>2233872</v>
      </c>
      <c r="K207" s="1291">
        <v>32918</v>
      </c>
      <c r="L207" s="1291">
        <v>0</v>
      </c>
      <c r="M207" s="180">
        <v>218</v>
      </c>
      <c r="N207" s="1181">
        <v>11252</v>
      </c>
      <c r="O207" s="1291">
        <v>0</v>
      </c>
      <c r="P207" s="1291">
        <v>0</v>
      </c>
      <c r="Q207" s="180">
        <v>0</v>
      </c>
      <c r="R207" s="334">
        <v>3024434</v>
      </c>
      <c r="S207" s="1291">
        <v>327368</v>
      </c>
      <c r="T207" s="1291">
        <v>380</v>
      </c>
      <c r="U207" s="180">
        <v>269</v>
      </c>
      <c r="V207" s="334">
        <v>118740</v>
      </c>
      <c r="W207" s="1302">
        <v>278059</v>
      </c>
      <c r="X207" s="1306"/>
      <c r="Y207" s="1308"/>
      <c r="Z207" s="1311">
        <f t="shared" si="10"/>
        <v>396799</v>
      </c>
      <c r="AA207" s="1302">
        <v>415229</v>
      </c>
      <c r="AB207" s="1181">
        <v>0</v>
      </c>
      <c r="AC207" s="1302">
        <v>94300</v>
      </c>
      <c r="AD207" s="1315"/>
      <c r="AE207" s="1316"/>
      <c r="AF207" s="1311">
        <f t="shared" si="11"/>
        <v>94300</v>
      </c>
      <c r="AG207" s="1322">
        <v>110307</v>
      </c>
    </row>
    <row r="208" spans="1:33" s="2" customFormat="1">
      <c r="A208" s="134">
        <f t="shared" si="9"/>
        <v>2009.07</v>
      </c>
      <c r="B208" s="611">
        <v>2477476</v>
      </c>
      <c r="C208" s="1291">
        <v>116246</v>
      </c>
      <c r="D208" s="1291">
        <v>0</v>
      </c>
      <c r="E208" s="180">
        <v>3847</v>
      </c>
      <c r="F208" s="1181">
        <v>470355</v>
      </c>
      <c r="G208" s="1291">
        <v>51472</v>
      </c>
      <c r="H208" s="1291">
        <v>0</v>
      </c>
      <c r="I208" s="180">
        <v>539</v>
      </c>
      <c r="J208" s="1181">
        <v>1932394</v>
      </c>
      <c r="K208" s="1291">
        <v>58159</v>
      </c>
      <c r="L208" s="1291">
        <v>0</v>
      </c>
      <c r="M208" s="180">
        <v>3232</v>
      </c>
      <c r="N208" s="1181">
        <v>11077</v>
      </c>
      <c r="O208" s="1291">
        <v>0</v>
      </c>
      <c r="P208" s="1291">
        <v>0</v>
      </c>
      <c r="Q208" s="180">
        <v>0</v>
      </c>
      <c r="R208" s="334">
        <v>2748733</v>
      </c>
      <c r="S208" s="1291">
        <v>304982</v>
      </c>
      <c r="T208" s="1291">
        <v>490</v>
      </c>
      <c r="U208" s="180">
        <v>3847</v>
      </c>
      <c r="V208" s="334">
        <v>82100</v>
      </c>
      <c r="W208" s="1302">
        <v>335915</v>
      </c>
      <c r="X208" s="1306"/>
      <c r="Y208" s="1308"/>
      <c r="Z208" s="1311">
        <f t="shared" si="10"/>
        <v>418015</v>
      </c>
      <c r="AA208" s="1302">
        <v>435775</v>
      </c>
      <c r="AB208" s="1181">
        <v>0</v>
      </c>
      <c r="AC208" s="1302">
        <v>27220</v>
      </c>
      <c r="AD208" s="1315"/>
      <c r="AE208" s="1316"/>
      <c r="AF208" s="1311">
        <f t="shared" si="11"/>
        <v>27220</v>
      </c>
      <c r="AG208" s="1322">
        <v>79414</v>
      </c>
    </row>
    <row r="209" spans="1:33" s="2" customFormat="1">
      <c r="A209" s="134">
        <f t="shared" si="9"/>
        <v>2009.08</v>
      </c>
      <c r="B209" s="611">
        <v>1956384</v>
      </c>
      <c r="C209" s="1291">
        <v>55364</v>
      </c>
      <c r="D209" s="1291">
        <v>0</v>
      </c>
      <c r="E209" s="180">
        <v>7225</v>
      </c>
      <c r="F209" s="1181">
        <v>375094</v>
      </c>
      <c r="G209" s="1291">
        <v>24488</v>
      </c>
      <c r="H209" s="1291">
        <v>0</v>
      </c>
      <c r="I209" s="180">
        <v>1002</v>
      </c>
      <c r="J209" s="1181">
        <v>1536239</v>
      </c>
      <c r="K209" s="1291">
        <v>25297</v>
      </c>
      <c r="L209" s="1291">
        <v>0</v>
      </c>
      <c r="M209" s="180">
        <v>6079</v>
      </c>
      <c r="N209" s="1181">
        <v>12340</v>
      </c>
      <c r="O209" s="1291">
        <v>0</v>
      </c>
      <c r="P209" s="1291">
        <v>0</v>
      </c>
      <c r="Q209" s="180">
        <v>0</v>
      </c>
      <c r="R209" s="334">
        <v>2211410</v>
      </c>
      <c r="S209" s="1291">
        <v>261986</v>
      </c>
      <c r="T209" s="1291">
        <v>583</v>
      </c>
      <c r="U209" s="180">
        <v>7225</v>
      </c>
      <c r="V209" s="334">
        <v>83212</v>
      </c>
      <c r="W209" s="1302">
        <v>201692</v>
      </c>
      <c r="X209" s="1306"/>
      <c r="Y209" s="1308"/>
      <c r="Z209" s="1311">
        <f t="shared" si="10"/>
        <v>284904</v>
      </c>
      <c r="AA209" s="1302">
        <v>300182</v>
      </c>
      <c r="AB209" s="1181">
        <v>0</v>
      </c>
      <c r="AC209" s="1302">
        <v>38250</v>
      </c>
      <c r="AD209" s="1315"/>
      <c r="AE209" s="1316"/>
      <c r="AF209" s="1311">
        <f t="shared" si="11"/>
        <v>38250</v>
      </c>
      <c r="AG209" s="1322">
        <v>74315</v>
      </c>
    </row>
    <row r="210" spans="1:33" s="2" customFormat="1">
      <c r="A210" s="134">
        <f t="shared" si="9"/>
        <v>2009.09</v>
      </c>
      <c r="B210" s="611">
        <v>2059999</v>
      </c>
      <c r="C210" s="1291">
        <v>69606</v>
      </c>
      <c r="D210" s="1291">
        <v>0</v>
      </c>
      <c r="E210" s="180">
        <v>272</v>
      </c>
      <c r="F210" s="1181">
        <v>395766</v>
      </c>
      <c r="G210" s="1291">
        <v>27472</v>
      </c>
      <c r="H210" s="1291">
        <v>0</v>
      </c>
      <c r="I210" s="180">
        <v>38</v>
      </c>
      <c r="J210" s="1181">
        <v>1611434</v>
      </c>
      <c r="K210" s="1291">
        <v>30699</v>
      </c>
      <c r="L210" s="1291">
        <v>0</v>
      </c>
      <c r="M210" s="180">
        <v>229</v>
      </c>
      <c r="N210" s="1181">
        <v>13785</v>
      </c>
      <c r="O210" s="1291">
        <v>0</v>
      </c>
      <c r="P210" s="1291">
        <v>0</v>
      </c>
      <c r="Q210" s="180">
        <v>0</v>
      </c>
      <c r="R210" s="334">
        <v>2350691</v>
      </c>
      <c r="S210" s="1291">
        <v>273892</v>
      </c>
      <c r="T210" s="1291">
        <v>0</v>
      </c>
      <c r="U210" s="180">
        <v>272</v>
      </c>
      <c r="V210" s="334">
        <v>94670</v>
      </c>
      <c r="W210" s="1302">
        <v>243410</v>
      </c>
      <c r="X210" s="1306"/>
      <c r="Y210" s="1308"/>
      <c r="Z210" s="1311">
        <f t="shared" si="10"/>
        <v>338080</v>
      </c>
      <c r="AA210" s="1302">
        <v>350280</v>
      </c>
      <c r="AB210" s="1181">
        <v>0</v>
      </c>
      <c r="AC210" s="1302">
        <v>23318</v>
      </c>
      <c r="AD210" s="1315"/>
      <c r="AE210" s="1316"/>
      <c r="AF210" s="1311">
        <f t="shared" si="11"/>
        <v>23318</v>
      </c>
      <c r="AG210" s="1322">
        <v>63652</v>
      </c>
    </row>
    <row r="211" spans="1:33" s="2" customFormat="1">
      <c r="A211" s="134">
        <f t="shared" si="9"/>
        <v>2009.1</v>
      </c>
      <c r="B211" s="611">
        <v>2144398</v>
      </c>
      <c r="C211" s="1291">
        <v>47341</v>
      </c>
      <c r="D211" s="1291">
        <v>0</v>
      </c>
      <c r="E211" s="180">
        <v>7778</v>
      </c>
      <c r="F211" s="1181">
        <v>411397</v>
      </c>
      <c r="G211" s="1291">
        <v>19204</v>
      </c>
      <c r="H211" s="1291">
        <v>0</v>
      </c>
      <c r="I211" s="180">
        <v>1089</v>
      </c>
      <c r="J211" s="1181">
        <v>1688220</v>
      </c>
      <c r="K211" s="1291">
        <v>21917</v>
      </c>
      <c r="L211" s="1291">
        <v>0</v>
      </c>
      <c r="M211" s="180">
        <v>6534</v>
      </c>
      <c r="N211" s="1181">
        <v>10972</v>
      </c>
      <c r="O211" s="1291">
        <v>0</v>
      </c>
      <c r="P211" s="1291">
        <v>0</v>
      </c>
      <c r="Q211" s="180">
        <v>0</v>
      </c>
      <c r="R211" s="334">
        <v>2419401</v>
      </c>
      <c r="S211" s="1291">
        <v>269833</v>
      </c>
      <c r="T211" s="1291">
        <v>77</v>
      </c>
      <c r="U211" s="180">
        <v>7778</v>
      </c>
      <c r="V211" s="334">
        <v>46100</v>
      </c>
      <c r="W211" s="1302">
        <v>181628</v>
      </c>
      <c r="X211" s="1306"/>
      <c r="Y211" s="1308"/>
      <c r="Z211" s="1311">
        <f t="shared" si="10"/>
        <v>227728</v>
      </c>
      <c r="AA211" s="1302">
        <v>238228</v>
      </c>
      <c r="AB211" s="1181">
        <v>0</v>
      </c>
      <c r="AC211" s="1302">
        <v>18400</v>
      </c>
      <c r="AD211" s="1315"/>
      <c r="AE211" s="1316"/>
      <c r="AF211" s="1311">
        <f t="shared" si="11"/>
        <v>18400</v>
      </c>
      <c r="AG211" s="1322">
        <v>50560</v>
      </c>
    </row>
    <row r="212" spans="1:33" s="2" customFormat="1">
      <c r="A212" s="134">
        <f t="shared" si="9"/>
        <v>2009.11</v>
      </c>
      <c r="B212" s="611">
        <v>2051707</v>
      </c>
      <c r="C212" s="1291">
        <v>0</v>
      </c>
      <c r="D212" s="1291">
        <v>0</v>
      </c>
      <c r="E212" s="180">
        <v>6606</v>
      </c>
      <c r="F212" s="1181">
        <v>395745</v>
      </c>
      <c r="G212" s="1291">
        <v>0</v>
      </c>
      <c r="H212" s="1291">
        <v>0</v>
      </c>
      <c r="I212" s="180">
        <v>972</v>
      </c>
      <c r="J212" s="1181">
        <v>1614229</v>
      </c>
      <c r="K212" s="1291">
        <v>0</v>
      </c>
      <c r="L212" s="1291">
        <v>0</v>
      </c>
      <c r="M212" s="180">
        <v>5518</v>
      </c>
      <c r="N212" s="1181">
        <v>9755</v>
      </c>
      <c r="O212" s="1291">
        <v>0</v>
      </c>
      <c r="P212" s="1291">
        <v>0</v>
      </c>
      <c r="Q212" s="180">
        <v>0</v>
      </c>
      <c r="R212" s="334">
        <v>2349613</v>
      </c>
      <c r="S212" s="1291">
        <v>178424</v>
      </c>
      <c r="T212" s="1291">
        <v>490</v>
      </c>
      <c r="U212" s="180">
        <v>6606</v>
      </c>
      <c r="V212" s="334">
        <v>40835</v>
      </c>
      <c r="W212" s="1302">
        <v>233771</v>
      </c>
      <c r="X212" s="1306"/>
      <c r="Y212" s="1308"/>
      <c r="Z212" s="1311">
        <f t="shared" si="10"/>
        <v>274606</v>
      </c>
      <c r="AA212" s="1302">
        <v>290706</v>
      </c>
      <c r="AB212" s="1181">
        <v>0</v>
      </c>
      <c r="AC212" s="1302">
        <v>3900</v>
      </c>
      <c r="AD212" s="1315"/>
      <c r="AE212" s="1316"/>
      <c r="AF212" s="1311">
        <f t="shared" si="11"/>
        <v>3900</v>
      </c>
      <c r="AG212" s="1322">
        <v>43250</v>
      </c>
    </row>
    <row r="213" spans="1:33" s="2" customFormat="1">
      <c r="A213" s="134">
        <f t="shared" si="9"/>
        <v>2009.12</v>
      </c>
      <c r="B213" s="611">
        <v>1769471</v>
      </c>
      <c r="C213" s="1291">
        <v>12005</v>
      </c>
      <c r="D213" s="1291">
        <v>0</v>
      </c>
      <c r="E213" s="180">
        <v>0</v>
      </c>
      <c r="F213" s="1181">
        <v>339403</v>
      </c>
      <c r="G213" s="1291">
        <v>4790</v>
      </c>
      <c r="H213" s="1291">
        <v>0</v>
      </c>
      <c r="I213" s="180">
        <v>0</v>
      </c>
      <c r="J213" s="1181">
        <v>1380711</v>
      </c>
      <c r="K213" s="1291">
        <v>5836</v>
      </c>
      <c r="L213" s="1291">
        <v>0</v>
      </c>
      <c r="M213" s="180">
        <v>0</v>
      </c>
      <c r="N213" s="1181">
        <v>9407</v>
      </c>
      <c r="O213" s="1291">
        <v>0</v>
      </c>
      <c r="P213" s="1291">
        <v>0</v>
      </c>
      <c r="Q213" s="180">
        <v>0</v>
      </c>
      <c r="R213" s="334">
        <v>1981080</v>
      </c>
      <c r="S213" s="1291">
        <v>141519</v>
      </c>
      <c r="T213" s="1291">
        <v>280</v>
      </c>
      <c r="U213" s="180">
        <v>0</v>
      </c>
      <c r="V213" s="334">
        <v>104223</v>
      </c>
      <c r="W213" s="1302">
        <v>168666</v>
      </c>
      <c r="X213" s="1306"/>
      <c r="Y213" s="1308"/>
      <c r="Z213" s="1311">
        <f t="shared" si="10"/>
        <v>272889</v>
      </c>
      <c r="AA213" s="1302">
        <v>297639</v>
      </c>
      <c r="AB213" s="1181">
        <v>0</v>
      </c>
      <c r="AC213" s="1302">
        <v>0</v>
      </c>
      <c r="AD213" s="1315"/>
      <c r="AE213" s="1316"/>
      <c r="AF213" s="1311">
        <f t="shared" si="11"/>
        <v>0</v>
      </c>
      <c r="AG213" s="1322">
        <v>20250</v>
      </c>
    </row>
    <row r="214" spans="1:33" s="2" customFormat="1">
      <c r="A214" s="134">
        <f t="shared" ref="A214:A277" si="12">A202+1</f>
        <v>2010.01</v>
      </c>
      <c r="B214" s="611">
        <v>1494065</v>
      </c>
      <c r="C214" s="1291">
        <v>34892</v>
      </c>
      <c r="D214" s="1291">
        <v>0</v>
      </c>
      <c r="E214" s="180">
        <v>0</v>
      </c>
      <c r="F214" s="1181">
        <v>287432</v>
      </c>
      <c r="G214" s="1291">
        <v>13672</v>
      </c>
      <c r="H214" s="1291">
        <v>0</v>
      </c>
      <c r="I214" s="180">
        <v>0</v>
      </c>
      <c r="J214" s="1181">
        <v>1161354</v>
      </c>
      <c r="K214" s="1291">
        <v>15350</v>
      </c>
      <c r="L214" s="1291">
        <v>0</v>
      </c>
      <c r="M214" s="180">
        <v>0</v>
      </c>
      <c r="N214" s="1181">
        <v>6981</v>
      </c>
      <c r="O214" s="1291">
        <v>0</v>
      </c>
      <c r="P214" s="1291">
        <v>0</v>
      </c>
      <c r="Q214" s="180">
        <v>0</v>
      </c>
      <c r="R214" s="334">
        <v>1628176</v>
      </c>
      <c r="S214" s="1291">
        <v>113919</v>
      </c>
      <c r="T214" s="1291">
        <v>350</v>
      </c>
      <c r="U214" s="180">
        <v>0</v>
      </c>
      <c r="V214" s="334">
        <v>43000</v>
      </c>
      <c r="W214" s="1302">
        <v>129563</v>
      </c>
      <c r="X214" s="1181">
        <v>0</v>
      </c>
      <c r="Y214" s="1302">
        <f>15100+1997</f>
        <v>17097</v>
      </c>
      <c r="Z214" s="1311">
        <f t="shared" si="10"/>
        <v>189660</v>
      </c>
      <c r="AA214" s="1302">
        <f>198793+17097</f>
        <v>215890</v>
      </c>
      <c r="AB214" s="1181">
        <v>0</v>
      </c>
      <c r="AC214" s="1302">
        <v>7500</v>
      </c>
      <c r="AD214" s="1181">
        <v>0</v>
      </c>
      <c r="AE214" s="1302">
        <v>0</v>
      </c>
      <c r="AF214" s="1311">
        <f t="shared" si="11"/>
        <v>7500</v>
      </c>
      <c r="AG214" s="1322">
        <v>38250</v>
      </c>
    </row>
    <row r="215" spans="1:33" s="2" customFormat="1">
      <c r="A215" s="134">
        <f t="shared" si="12"/>
        <v>2010.02</v>
      </c>
      <c r="B215" s="611">
        <v>1153769</v>
      </c>
      <c r="C215" s="1291">
        <v>74676</v>
      </c>
      <c r="D215" s="1291">
        <v>0</v>
      </c>
      <c r="E215" s="180">
        <v>0</v>
      </c>
      <c r="F215" s="1181">
        <v>222008</v>
      </c>
      <c r="G215" s="1291">
        <v>29323</v>
      </c>
      <c r="H215" s="1291">
        <v>0</v>
      </c>
      <c r="I215" s="180">
        <v>0</v>
      </c>
      <c r="J215" s="1181">
        <v>906928</v>
      </c>
      <c r="K215" s="1291">
        <v>32368</v>
      </c>
      <c r="L215" s="1291">
        <v>0</v>
      </c>
      <c r="M215" s="180">
        <v>0</v>
      </c>
      <c r="N215" s="1181">
        <v>6520</v>
      </c>
      <c r="O215" s="1291">
        <v>0</v>
      </c>
      <c r="P215" s="1291">
        <v>0</v>
      </c>
      <c r="Q215" s="180">
        <v>0</v>
      </c>
      <c r="R215" s="334">
        <v>1401766</v>
      </c>
      <c r="S215" s="1291">
        <v>248953</v>
      </c>
      <c r="T215" s="1291">
        <v>1572</v>
      </c>
      <c r="U215" s="180">
        <v>0</v>
      </c>
      <c r="V215" s="334">
        <v>51914</v>
      </c>
      <c r="W215" s="1302">
        <v>189809</v>
      </c>
      <c r="X215" s="1181">
        <v>3255</v>
      </c>
      <c r="Y215" s="1302">
        <v>10500</v>
      </c>
      <c r="Z215" s="1311">
        <f t="shared" si="10"/>
        <v>255478</v>
      </c>
      <c r="AA215" s="1302">
        <f>267008+10500+3255</f>
        <v>280763</v>
      </c>
      <c r="AB215" s="1181">
        <v>0</v>
      </c>
      <c r="AC215" s="1302">
        <v>618</v>
      </c>
      <c r="AD215" s="1181">
        <v>0</v>
      </c>
      <c r="AE215" s="1302">
        <v>0</v>
      </c>
      <c r="AF215" s="1311">
        <f t="shared" si="11"/>
        <v>618</v>
      </c>
      <c r="AG215" s="1322">
        <v>618</v>
      </c>
    </row>
    <row r="216" spans="1:33" s="2" customFormat="1">
      <c r="A216" s="134">
        <f t="shared" si="12"/>
        <v>2010.03</v>
      </c>
      <c r="B216" s="611">
        <v>1551161</v>
      </c>
      <c r="C216" s="1291">
        <v>99071</v>
      </c>
      <c r="D216" s="1291">
        <v>0</v>
      </c>
      <c r="E216" s="180">
        <v>0</v>
      </c>
      <c r="F216" s="1181">
        <v>299941</v>
      </c>
      <c r="G216" s="1291">
        <v>39074</v>
      </c>
      <c r="H216" s="1291">
        <v>0</v>
      </c>
      <c r="I216" s="180">
        <v>0</v>
      </c>
      <c r="J216" s="1181">
        <v>1203648</v>
      </c>
      <c r="K216" s="1291">
        <v>41504</v>
      </c>
      <c r="L216" s="1291">
        <v>0</v>
      </c>
      <c r="M216" s="180">
        <v>0</v>
      </c>
      <c r="N216" s="1181">
        <v>20043</v>
      </c>
      <c r="O216" s="1291">
        <v>0</v>
      </c>
      <c r="P216" s="1291">
        <v>0</v>
      </c>
      <c r="Q216" s="180">
        <v>0</v>
      </c>
      <c r="R216" s="334">
        <v>1708403</v>
      </c>
      <c r="S216" s="1291">
        <v>429657</v>
      </c>
      <c r="T216" s="1291">
        <v>350</v>
      </c>
      <c r="U216" s="180">
        <v>0</v>
      </c>
      <c r="V216" s="334">
        <v>19272</v>
      </c>
      <c r="W216" s="1302">
        <v>57750</v>
      </c>
      <c r="X216" s="1181">
        <v>0</v>
      </c>
      <c r="Y216" s="1302">
        <f>5000+2120</f>
        <v>7120</v>
      </c>
      <c r="Z216" s="1311">
        <f t="shared" si="10"/>
        <v>84142</v>
      </c>
      <c r="AA216" s="1302">
        <f>83572+7120</f>
        <v>90692</v>
      </c>
      <c r="AB216" s="1181">
        <v>0</v>
      </c>
      <c r="AC216" s="1302">
        <v>42700</v>
      </c>
      <c r="AD216" s="1181">
        <v>0</v>
      </c>
      <c r="AE216" s="1302">
        <v>0</v>
      </c>
      <c r="AF216" s="1311">
        <f t="shared" si="11"/>
        <v>42700</v>
      </c>
      <c r="AG216" s="1322">
        <v>115212</v>
      </c>
    </row>
    <row r="217" spans="1:33" s="2" customFormat="1">
      <c r="A217" s="134">
        <f t="shared" si="12"/>
        <v>2010.04</v>
      </c>
      <c r="B217" s="611">
        <v>3244912</v>
      </c>
      <c r="C217" s="1291">
        <v>85295</v>
      </c>
      <c r="D217" s="1291">
        <v>0</v>
      </c>
      <c r="E217" s="180">
        <v>0</v>
      </c>
      <c r="F217" s="1181">
        <v>620109</v>
      </c>
      <c r="G217" s="1291">
        <v>36925</v>
      </c>
      <c r="H217" s="1291">
        <v>0</v>
      </c>
      <c r="I217" s="180">
        <v>0</v>
      </c>
      <c r="J217" s="1181">
        <v>2514533</v>
      </c>
      <c r="K217" s="1291">
        <v>43682</v>
      </c>
      <c r="L217" s="1291">
        <v>0</v>
      </c>
      <c r="M217" s="180">
        <v>0</v>
      </c>
      <c r="N217" s="1181">
        <v>10185</v>
      </c>
      <c r="O217" s="1291">
        <v>0</v>
      </c>
      <c r="P217" s="1291">
        <v>0</v>
      </c>
      <c r="Q217" s="180">
        <v>0</v>
      </c>
      <c r="R217" s="334">
        <v>3616827</v>
      </c>
      <c r="S217" s="1291">
        <v>320939</v>
      </c>
      <c r="T217" s="1291">
        <v>140</v>
      </c>
      <c r="U217" s="180">
        <v>0</v>
      </c>
      <c r="V217" s="334">
        <v>151276</v>
      </c>
      <c r="W217" s="1302">
        <v>351762</v>
      </c>
      <c r="X217" s="1181">
        <f>46+2562</f>
        <v>2608</v>
      </c>
      <c r="Y217" s="1302">
        <f>18354+984</f>
        <v>19338</v>
      </c>
      <c r="Z217" s="1311">
        <f t="shared" si="10"/>
        <v>524984</v>
      </c>
      <c r="AA217" s="1302">
        <f>519998+18400+3546</f>
        <v>541944</v>
      </c>
      <c r="AB217" s="1181">
        <v>0</v>
      </c>
      <c r="AC217" s="1302">
        <v>69000</v>
      </c>
      <c r="AD217" s="1181">
        <v>0</v>
      </c>
      <c r="AE217" s="1302">
        <v>0</v>
      </c>
      <c r="AF217" s="1311">
        <f t="shared" si="11"/>
        <v>69000</v>
      </c>
      <c r="AG217" s="1322">
        <v>106700</v>
      </c>
    </row>
    <row r="218" spans="1:33" s="2" customFormat="1">
      <c r="A218" s="134">
        <f t="shared" si="12"/>
        <v>2010.05</v>
      </c>
      <c r="B218" s="611">
        <v>3514579</v>
      </c>
      <c r="C218" s="1291">
        <v>47580</v>
      </c>
      <c r="D218" s="1291">
        <v>0</v>
      </c>
      <c r="E218" s="180">
        <v>8968</v>
      </c>
      <c r="F218" s="1181">
        <v>655096</v>
      </c>
      <c r="G218" s="1291">
        <v>18836</v>
      </c>
      <c r="H218" s="1291">
        <v>0</v>
      </c>
      <c r="I218" s="180">
        <v>1491</v>
      </c>
      <c r="J218" s="1181">
        <v>2703540</v>
      </c>
      <c r="K218" s="1291">
        <v>21289</v>
      </c>
      <c r="L218" s="1291">
        <v>0</v>
      </c>
      <c r="M218" s="180">
        <v>7298</v>
      </c>
      <c r="N218" s="1181">
        <v>9916</v>
      </c>
      <c r="O218" s="1291">
        <v>0</v>
      </c>
      <c r="P218" s="1291">
        <v>0</v>
      </c>
      <c r="Q218" s="180">
        <v>0</v>
      </c>
      <c r="R218" s="334">
        <v>3960757</v>
      </c>
      <c r="S218" s="1291">
        <v>229986</v>
      </c>
      <c r="T218" s="1291">
        <v>420</v>
      </c>
      <c r="U218" s="180">
        <v>8968</v>
      </c>
      <c r="V218" s="334">
        <v>88533</v>
      </c>
      <c r="W218" s="1302">
        <v>380614</v>
      </c>
      <c r="X218" s="1181">
        <v>3417</v>
      </c>
      <c r="Y218" s="1302">
        <v>17705</v>
      </c>
      <c r="Z218" s="1311">
        <f t="shared" si="10"/>
        <v>490269</v>
      </c>
      <c r="AA218" s="1302">
        <f>492699+21122</f>
        <v>513821</v>
      </c>
      <c r="AB218" s="1181">
        <v>0</v>
      </c>
      <c r="AC218" s="1302">
        <v>24660</v>
      </c>
      <c r="AD218" s="1181">
        <v>4000</v>
      </c>
      <c r="AE218" s="1302">
        <v>0</v>
      </c>
      <c r="AF218" s="1311">
        <f t="shared" si="11"/>
        <v>28660</v>
      </c>
      <c r="AG218" s="1322">
        <f>48270+4000</f>
        <v>52270</v>
      </c>
    </row>
    <row r="219" spans="1:33" s="2" customFormat="1">
      <c r="A219" s="134">
        <f t="shared" si="12"/>
        <v>2010.06</v>
      </c>
      <c r="B219" s="611">
        <v>3042356</v>
      </c>
      <c r="C219" s="1291">
        <v>28412</v>
      </c>
      <c r="D219" s="1291">
        <v>0</v>
      </c>
      <c r="E219" s="180">
        <v>9817</v>
      </c>
      <c r="F219" s="1181">
        <v>574001</v>
      </c>
      <c r="G219" s="1291">
        <v>10959</v>
      </c>
      <c r="H219" s="1291">
        <v>0</v>
      </c>
      <c r="I219" s="180">
        <v>1422</v>
      </c>
      <c r="J219" s="1181">
        <v>2340290</v>
      </c>
      <c r="K219" s="1291">
        <v>13039</v>
      </c>
      <c r="L219" s="1291">
        <v>0</v>
      </c>
      <c r="M219" s="180">
        <v>8200</v>
      </c>
      <c r="N219" s="1181">
        <v>11883</v>
      </c>
      <c r="O219" s="1291">
        <v>0</v>
      </c>
      <c r="P219" s="1291">
        <v>0</v>
      </c>
      <c r="Q219" s="180">
        <v>0</v>
      </c>
      <c r="R219" s="334">
        <v>3435659</v>
      </c>
      <c r="S219" s="1291">
        <v>212444</v>
      </c>
      <c r="T219" s="1291">
        <v>350</v>
      </c>
      <c r="U219" s="180">
        <v>9817</v>
      </c>
      <c r="V219" s="334">
        <v>132770</v>
      </c>
      <c r="W219" s="1302">
        <v>362868</v>
      </c>
      <c r="X219" s="1181">
        <v>0</v>
      </c>
      <c r="Y219" s="1302">
        <v>16000</v>
      </c>
      <c r="Z219" s="1311">
        <f t="shared" si="10"/>
        <v>511638</v>
      </c>
      <c r="AA219" s="1302">
        <f>529573+16000</f>
        <v>545573</v>
      </c>
      <c r="AB219" s="1181">
        <v>4000</v>
      </c>
      <c r="AC219" s="1302">
        <v>3500</v>
      </c>
      <c r="AD219" s="1181">
        <v>0</v>
      </c>
      <c r="AE219" s="1302">
        <v>0</v>
      </c>
      <c r="AF219" s="1311">
        <f t="shared" si="11"/>
        <v>7500</v>
      </c>
      <c r="AG219" s="1322">
        <v>34000</v>
      </c>
    </row>
    <row r="220" spans="1:33" s="2" customFormat="1">
      <c r="A220" s="134">
        <f t="shared" si="12"/>
        <v>2010.07</v>
      </c>
      <c r="B220" s="611">
        <v>2908450</v>
      </c>
      <c r="C220" s="1291">
        <v>31123</v>
      </c>
      <c r="D220" s="1291">
        <v>0</v>
      </c>
      <c r="E220" s="180">
        <v>26310</v>
      </c>
      <c r="F220" s="1181">
        <v>549227</v>
      </c>
      <c r="G220" s="1291">
        <v>12114</v>
      </c>
      <c r="H220" s="1291">
        <v>0</v>
      </c>
      <c r="I220" s="180">
        <v>3887</v>
      </c>
      <c r="J220" s="1181">
        <v>2245039</v>
      </c>
      <c r="K220" s="1291">
        <v>14270</v>
      </c>
      <c r="L220" s="1291">
        <v>0</v>
      </c>
      <c r="M220" s="180">
        <v>21897</v>
      </c>
      <c r="N220" s="1181">
        <v>11916</v>
      </c>
      <c r="O220" s="1291">
        <v>0</v>
      </c>
      <c r="P220" s="1291">
        <v>0</v>
      </c>
      <c r="Q220" s="180">
        <v>0</v>
      </c>
      <c r="R220" s="334">
        <v>3359074</v>
      </c>
      <c r="S220" s="1291">
        <v>202739</v>
      </c>
      <c r="T220" s="1291">
        <v>540</v>
      </c>
      <c r="U220" s="180">
        <v>26310</v>
      </c>
      <c r="V220" s="334">
        <v>88939</v>
      </c>
      <c r="W220" s="1302">
        <v>499432</v>
      </c>
      <c r="X220" s="1181">
        <v>4461</v>
      </c>
      <c r="Y220" s="1302">
        <v>19000</v>
      </c>
      <c r="Z220" s="1311">
        <f t="shared" si="10"/>
        <v>611832</v>
      </c>
      <c r="AA220" s="1302">
        <f>625071+23461</f>
        <v>648532</v>
      </c>
      <c r="AB220" s="1181">
        <v>0</v>
      </c>
      <c r="AC220" s="1302">
        <v>8050</v>
      </c>
      <c r="AD220" s="1181">
        <v>0</v>
      </c>
      <c r="AE220" s="1302">
        <v>0</v>
      </c>
      <c r="AF220" s="1311">
        <f t="shared" si="11"/>
        <v>8050</v>
      </c>
      <c r="AG220" s="1322">
        <v>26050</v>
      </c>
    </row>
    <row r="221" spans="1:33" s="2" customFormat="1">
      <c r="A221" s="134">
        <f t="shared" si="12"/>
        <v>2010.08</v>
      </c>
      <c r="B221" s="611">
        <v>3355217</v>
      </c>
      <c r="C221" s="1291">
        <v>28872</v>
      </c>
      <c r="D221" s="1291">
        <v>0</v>
      </c>
      <c r="E221" s="180">
        <v>23862</v>
      </c>
      <c r="F221" s="1181">
        <v>640789</v>
      </c>
      <c r="G221" s="1291">
        <v>11832</v>
      </c>
      <c r="H221" s="1291">
        <v>0</v>
      </c>
      <c r="I221" s="180">
        <v>3453</v>
      </c>
      <c r="J221" s="1181">
        <v>2610232</v>
      </c>
      <c r="K221" s="1291">
        <v>12920</v>
      </c>
      <c r="L221" s="1291">
        <v>0</v>
      </c>
      <c r="M221" s="180">
        <v>19931</v>
      </c>
      <c r="N221" s="1181">
        <v>11143</v>
      </c>
      <c r="O221" s="1291">
        <v>0</v>
      </c>
      <c r="P221" s="1291">
        <v>0</v>
      </c>
      <c r="Q221" s="180">
        <v>0</v>
      </c>
      <c r="R221" s="334">
        <v>3799353</v>
      </c>
      <c r="S221" s="1291">
        <v>227116</v>
      </c>
      <c r="T221" s="1291">
        <v>350</v>
      </c>
      <c r="U221" s="180">
        <v>23862</v>
      </c>
      <c r="V221" s="334">
        <v>101173</v>
      </c>
      <c r="W221" s="1302">
        <v>366254</v>
      </c>
      <c r="X221" s="1181">
        <v>0</v>
      </c>
      <c r="Y221" s="1302">
        <v>36833</v>
      </c>
      <c r="Z221" s="1311">
        <f t="shared" si="10"/>
        <v>504260</v>
      </c>
      <c r="AA221" s="1302">
        <f>511606+36833</f>
        <v>548439</v>
      </c>
      <c r="AB221" s="1181">
        <v>5737</v>
      </c>
      <c r="AC221" s="1302">
        <v>0</v>
      </c>
      <c r="AD221" s="1181">
        <v>0</v>
      </c>
      <c r="AE221" s="1302">
        <v>0</v>
      </c>
      <c r="AF221" s="1311">
        <f t="shared" si="11"/>
        <v>5737</v>
      </c>
      <c r="AG221" s="1322">
        <v>17637</v>
      </c>
    </row>
    <row r="222" spans="1:33" s="2" customFormat="1">
      <c r="A222" s="134">
        <f t="shared" si="12"/>
        <v>2010.09</v>
      </c>
      <c r="B222" s="611">
        <v>3144024</v>
      </c>
      <c r="C222" s="1291">
        <v>42295</v>
      </c>
      <c r="D222" s="1291">
        <v>0</v>
      </c>
      <c r="E222" s="180">
        <v>2482</v>
      </c>
      <c r="F222" s="1181">
        <v>600542</v>
      </c>
      <c r="G222" s="1291">
        <v>16876</v>
      </c>
      <c r="H222" s="1291">
        <v>0</v>
      </c>
      <c r="I222" s="180">
        <v>1200</v>
      </c>
      <c r="J222" s="1181">
        <v>2416159</v>
      </c>
      <c r="K222" s="1291">
        <v>18308</v>
      </c>
      <c r="L222" s="1291">
        <v>0</v>
      </c>
      <c r="M222" s="180">
        <v>6969</v>
      </c>
      <c r="N222" s="1181">
        <v>10532</v>
      </c>
      <c r="O222" s="1291">
        <v>0</v>
      </c>
      <c r="P222" s="1291">
        <v>0</v>
      </c>
      <c r="Q222" s="180">
        <v>0</v>
      </c>
      <c r="R222" s="334">
        <v>3607395</v>
      </c>
      <c r="S222" s="1291">
        <v>207818</v>
      </c>
      <c r="T222" s="1291">
        <v>640</v>
      </c>
      <c r="U222" s="180">
        <v>2482</v>
      </c>
      <c r="V222" s="334">
        <v>85437</v>
      </c>
      <c r="W222" s="1302">
        <v>429977</v>
      </c>
      <c r="X222" s="1181">
        <v>9700</v>
      </c>
      <c r="Y222" s="1302">
        <f>27589+4500</f>
        <v>32089</v>
      </c>
      <c r="Z222" s="1311">
        <f t="shared" si="10"/>
        <v>557203</v>
      </c>
      <c r="AA222" s="1302">
        <f>538914+37289+4500</f>
        <v>580703</v>
      </c>
      <c r="AB222" s="1181">
        <v>500</v>
      </c>
      <c r="AC222" s="1302">
        <v>0</v>
      </c>
      <c r="AD222" s="1181">
        <v>0</v>
      </c>
      <c r="AE222" s="1302">
        <v>0</v>
      </c>
      <c r="AF222" s="1311">
        <f t="shared" si="11"/>
        <v>500</v>
      </c>
      <c r="AG222" s="1322">
        <v>34150</v>
      </c>
    </row>
    <row r="223" spans="1:33" s="2" customFormat="1">
      <c r="A223" s="134">
        <f t="shared" si="12"/>
        <v>2010.1</v>
      </c>
      <c r="B223" s="611">
        <v>3141269</v>
      </c>
      <c r="C223" s="1291">
        <v>10957</v>
      </c>
      <c r="D223" s="1291">
        <v>0</v>
      </c>
      <c r="E223" s="334">
        <v>21201</v>
      </c>
      <c r="F223" s="1181">
        <v>605262</v>
      </c>
      <c r="G223" s="1291">
        <v>4263</v>
      </c>
      <c r="H223" s="1291">
        <v>0</v>
      </c>
      <c r="I223" s="180">
        <v>3068</v>
      </c>
      <c r="J223" s="1181">
        <v>2425370</v>
      </c>
      <c r="K223" s="1291">
        <v>5126</v>
      </c>
      <c r="L223" s="1291">
        <v>0</v>
      </c>
      <c r="M223" s="180">
        <v>17709</v>
      </c>
      <c r="N223" s="1181">
        <v>12071</v>
      </c>
      <c r="O223" s="1291">
        <v>0</v>
      </c>
      <c r="P223" s="1291">
        <v>0</v>
      </c>
      <c r="Q223" s="180">
        <v>0</v>
      </c>
      <c r="R223" s="334">
        <v>3564164</v>
      </c>
      <c r="S223" s="1291">
        <v>207474</v>
      </c>
      <c r="T223" s="1291">
        <v>280</v>
      </c>
      <c r="U223" s="180">
        <v>21201</v>
      </c>
      <c r="V223" s="334">
        <v>103898</v>
      </c>
      <c r="W223" s="1302">
        <v>297781</v>
      </c>
      <c r="X223" s="1181">
        <f>8831+1554</f>
        <v>10385</v>
      </c>
      <c r="Y223" s="1302">
        <v>2900</v>
      </c>
      <c r="Z223" s="1311">
        <f t="shared" si="10"/>
        <v>414964</v>
      </c>
      <c r="AA223" s="1302">
        <f>432379+11731+1554</f>
        <v>445664</v>
      </c>
      <c r="AB223" s="1181">
        <v>0</v>
      </c>
      <c r="AC223" s="1302">
        <v>5000</v>
      </c>
      <c r="AD223" s="1181">
        <v>0</v>
      </c>
      <c r="AE223" s="1302">
        <v>0</v>
      </c>
      <c r="AF223" s="1311">
        <f t="shared" si="11"/>
        <v>5000</v>
      </c>
      <c r="AG223" s="1322">
        <v>36800</v>
      </c>
    </row>
    <row r="224" spans="1:33" s="2" customFormat="1">
      <c r="A224" s="134">
        <f t="shared" si="12"/>
        <v>2010.11</v>
      </c>
      <c r="B224" s="611">
        <v>2685278</v>
      </c>
      <c r="C224" s="1291">
        <v>6700</v>
      </c>
      <c r="D224" s="1291">
        <v>0</v>
      </c>
      <c r="E224" s="334">
        <v>29346</v>
      </c>
      <c r="F224" s="1181">
        <v>520604</v>
      </c>
      <c r="G224" s="1291">
        <v>2665</v>
      </c>
      <c r="H224" s="1291">
        <v>0</v>
      </c>
      <c r="I224" s="180">
        <v>4255</v>
      </c>
      <c r="J224" s="1181">
        <v>2086915</v>
      </c>
      <c r="K224" s="1291">
        <v>2816</v>
      </c>
      <c r="L224" s="1291">
        <v>0</v>
      </c>
      <c r="M224" s="180">
        <v>24506</v>
      </c>
      <c r="N224" s="1181">
        <v>12261</v>
      </c>
      <c r="O224" s="1291">
        <v>0</v>
      </c>
      <c r="P224" s="1291">
        <v>0</v>
      </c>
      <c r="Q224" s="180">
        <v>0</v>
      </c>
      <c r="R224" s="334">
        <v>3142342</v>
      </c>
      <c r="S224" s="1291">
        <v>131252</v>
      </c>
      <c r="T224" s="1291">
        <v>1270</v>
      </c>
      <c r="U224" s="180">
        <v>29346</v>
      </c>
      <c r="V224" s="334">
        <v>110000</v>
      </c>
      <c r="W224" s="1302">
        <v>342099</v>
      </c>
      <c r="X224" s="1181">
        <v>0</v>
      </c>
      <c r="Y224" s="1302">
        <v>25226</v>
      </c>
      <c r="Z224" s="1311">
        <f t="shared" si="10"/>
        <v>477325</v>
      </c>
      <c r="AA224" s="1302">
        <f>511099+25226</f>
        <v>536325</v>
      </c>
      <c r="AB224" s="1181">
        <v>8335</v>
      </c>
      <c r="AC224" s="1302">
        <v>0</v>
      </c>
      <c r="AD224" s="1181">
        <v>0</v>
      </c>
      <c r="AE224" s="1302">
        <v>0</v>
      </c>
      <c r="AF224" s="1311">
        <f t="shared" si="11"/>
        <v>8335</v>
      </c>
      <c r="AG224" s="1322">
        <v>12835</v>
      </c>
    </row>
    <row r="225" spans="1:33" s="2" customFormat="1">
      <c r="A225" s="134">
        <f t="shared" si="12"/>
        <v>2010.12</v>
      </c>
      <c r="B225" s="611">
        <v>2314331</v>
      </c>
      <c r="C225" s="1291">
        <v>5713</v>
      </c>
      <c r="D225" s="1291">
        <v>0</v>
      </c>
      <c r="E225" s="334">
        <v>8051</v>
      </c>
      <c r="F225" s="1181">
        <v>447304</v>
      </c>
      <c r="G225" s="1291">
        <v>2170</v>
      </c>
      <c r="H225" s="1291">
        <v>0</v>
      </c>
      <c r="I225" s="180">
        <v>1167</v>
      </c>
      <c r="J225" s="1181">
        <v>1784184</v>
      </c>
      <c r="K225" s="1291">
        <v>2751</v>
      </c>
      <c r="L225" s="1291">
        <v>0</v>
      </c>
      <c r="M225" s="180">
        <v>6723</v>
      </c>
      <c r="N225" s="1181">
        <v>10451</v>
      </c>
      <c r="O225" s="1291">
        <v>0</v>
      </c>
      <c r="P225" s="1291">
        <v>0</v>
      </c>
      <c r="Q225" s="180">
        <v>0</v>
      </c>
      <c r="R225" s="334">
        <v>2680163</v>
      </c>
      <c r="S225" s="1291">
        <v>176645</v>
      </c>
      <c r="T225" s="1291">
        <v>800</v>
      </c>
      <c r="U225" s="180">
        <v>8051</v>
      </c>
      <c r="V225" s="334">
        <v>94811</v>
      </c>
      <c r="W225" s="1302">
        <v>278947</v>
      </c>
      <c r="X225" s="1181">
        <v>0</v>
      </c>
      <c r="Y225" s="1302">
        <f>12500+4475</f>
        <v>16975</v>
      </c>
      <c r="Z225" s="1311">
        <f t="shared" si="10"/>
        <v>390733</v>
      </c>
      <c r="AA225" s="1302">
        <f>391258+12500+4475</f>
        <v>408233</v>
      </c>
      <c r="AB225" s="1181">
        <v>0</v>
      </c>
      <c r="AC225" s="1302">
        <v>3000</v>
      </c>
      <c r="AD225" s="1181">
        <v>0</v>
      </c>
      <c r="AE225" s="1302">
        <v>0</v>
      </c>
      <c r="AF225" s="1311">
        <f>SUM(AB225:AE225)</f>
        <v>3000</v>
      </c>
      <c r="AG225" s="1322">
        <v>27600</v>
      </c>
    </row>
    <row r="226" spans="1:33" s="2" customFormat="1">
      <c r="A226" s="134">
        <f t="shared" si="12"/>
        <v>2011.01</v>
      </c>
      <c r="B226" s="611">
        <v>1996061</v>
      </c>
      <c r="C226" s="1291">
        <v>99572</v>
      </c>
      <c r="D226" s="1291">
        <v>0</v>
      </c>
      <c r="E226" s="334">
        <v>0</v>
      </c>
      <c r="F226" s="1181">
        <v>386219</v>
      </c>
      <c r="G226" s="1291">
        <v>39950</v>
      </c>
      <c r="H226" s="1291">
        <v>0</v>
      </c>
      <c r="I226" s="180">
        <v>0</v>
      </c>
      <c r="J226" s="1181">
        <v>1554593</v>
      </c>
      <c r="K226" s="1291">
        <v>42629</v>
      </c>
      <c r="L226" s="1291">
        <v>0</v>
      </c>
      <c r="M226" s="180">
        <v>0</v>
      </c>
      <c r="N226" s="1181">
        <v>4043</v>
      </c>
      <c r="O226" s="1291">
        <v>0</v>
      </c>
      <c r="P226" s="1291">
        <v>0</v>
      </c>
      <c r="Q226" s="180">
        <v>0</v>
      </c>
      <c r="R226" s="334">
        <v>2304419</v>
      </c>
      <c r="S226" s="1291">
        <v>178855</v>
      </c>
      <c r="T226" s="1291">
        <v>0</v>
      </c>
      <c r="U226" s="180">
        <v>0</v>
      </c>
      <c r="V226" s="334">
        <v>37087</v>
      </c>
      <c r="W226" s="1302">
        <v>194376</v>
      </c>
      <c r="X226" s="1181">
        <v>0</v>
      </c>
      <c r="Y226" s="1302">
        <v>6600</v>
      </c>
      <c r="Z226" s="1311">
        <f t="shared" si="10"/>
        <v>238063</v>
      </c>
      <c r="AA226" s="1302">
        <f>264964+6600</f>
        <v>271564</v>
      </c>
      <c r="AB226" s="1181">
        <v>1000</v>
      </c>
      <c r="AC226" s="1302">
        <v>4750</v>
      </c>
      <c r="AD226" s="1181">
        <v>0</v>
      </c>
      <c r="AE226" s="1302">
        <v>0</v>
      </c>
      <c r="AF226" s="1311">
        <f t="shared" ref="AF226:AF289" si="13">SUM(AB226:AE226)</f>
        <v>5750</v>
      </c>
      <c r="AG226" s="1322">
        <v>14750</v>
      </c>
    </row>
    <row r="227" spans="1:33" s="2" customFormat="1">
      <c r="A227" s="134">
        <f t="shared" si="12"/>
        <v>2011.02</v>
      </c>
      <c r="B227" s="611">
        <v>1663572</v>
      </c>
      <c r="C227" s="1291">
        <v>135914</v>
      </c>
      <c r="D227" s="1291">
        <v>0</v>
      </c>
      <c r="E227" s="334">
        <v>0</v>
      </c>
      <c r="F227" s="1181">
        <v>320648</v>
      </c>
      <c r="G227" s="1291">
        <v>59575</v>
      </c>
      <c r="H227" s="1291">
        <v>0</v>
      </c>
      <c r="I227" s="180">
        <v>0</v>
      </c>
      <c r="J227" s="1181">
        <v>1297282</v>
      </c>
      <c r="K227" s="1291">
        <v>64852</v>
      </c>
      <c r="L227" s="1291">
        <v>0</v>
      </c>
      <c r="M227" s="180">
        <v>0</v>
      </c>
      <c r="N227" s="1181">
        <v>8654</v>
      </c>
      <c r="O227" s="1291">
        <v>0</v>
      </c>
      <c r="P227" s="1291">
        <v>0</v>
      </c>
      <c r="Q227" s="180">
        <v>0</v>
      </c>
      <c r="R227" s="334">
        <v>2019596</v>
      </c>
      <c r="S227" s="1291">
        <v>216518</v>
      </c>
      <c r="T227" s="1291">
        <v>0</v>
      </c>
      <c r="U227" s="180">
        <v>0</v>
      </c>
      <c r="V227" s="334">
        <v>63640</v>
      </c>
      <c r="W227" s="1302">
        <v>183260</v>
      </c>
      <c r="X227" s="1181">
        <v>0</v>
      </c>
      <c r="Y227" s="1302">
        <v>13800</v>
      </c>
      <c r="Z227" s="1311">
        <f t="shared" si="10"/>
        <v>260700</v>
      </c>
      <c r="AA227" s="1302">
        <f>266900+13800</f>
        <v>280700</v>
      </c>
      <c r="AB227" s="1181">
        <v>0</v>
      </c>
      <c r="AC227" s="1302">
        <v>7400</v>
      </c>
      <c r="AD227" s="1181">
        <v>0</v>
      </c>
      <c r="AE227" s="1302">
        <v>0</v>
      </c>
      <c r="AF227" s="1311">
        <f t="shared" si="13"/>
        <v>7400</v>
      </c>
      <c r="AG227" s="1322">
        <v>32900</v>
      </c>
    </row>
    <row r="228" spans="1:33" s="2" customFormat="1">
      <c r="A228" s="134">
        <f t="shared" si="12"/>
        <v>2011.03</v>
      </c>
      <c r="B228" s="611">
        <v>2538860</v>
      </c>
      <c r="C228" s="1291">
        <v>172309</v>
      </c>
      <c r="D228" s="1291">
        <v>0</v>
      </c>
      <c r="E228" s="334">
        <v>0</v>
      </c>
      <c r="F228" s="1181">
        <v>491161</v>
      </c>
      <c r="G228" s="1291">
        <v>71266</v>
      </c>
      <c r="H228" s="1291">
        <v>0</v>
      </c>
      <c r="I228" s="180">
        <v>0</v>
      </c>
      <c r="J228" s="1181">
        <v>1976395</v>
      </c>
      <c r="K228" s="1291">
        <v>80072</v>
      </c>
      <c r="L228" s="1291">
        <v>0</v>
      </c>
      <c r="M228" s="180">
        <v>0</v>
      </c>
      <c r="N228" s="1181">
        <v>8285</v>
      </c>
      <c r="O228" s="1291">
        <v>0</v>
      </c>
      <c r="P228" s="1291">
        <v>0</v>
      </c>
      <c r="Q228" s="180">
        <v>0</v>
      </c>
      <c r="R228" s="334">
        <v>2750251</v>
      </c>
      <c r="S228" s="1291">
        <v>528336</v>
      </c>
      <c r="T228" s="1291">
        <v>940</v>
      </c>
      <c r="U228" s="180">
        <v>0</v>
      </c>
      <c r="V228" s="334">
        <v>185257</v>
      </c>
      <c r="W228" s="1302">
        <v>194535</v>
      </c>
      <c r="X228" s="1181">
        <v>0</v>
      </c>
      <c r="Y228" s="1302">
        <v>12150</v>
      </c>
      <c r="Z228" s="1311">
        <f t="shared" si="10"/>
        <v>391942</v>
      </c>
      <c r="AA228" s="1302">
        <f>400934+12150</f>
        <v>413084</v>
      </c>
      <c r="AB228" s="1181">
        <v>3000</v>
      </c>
      <c r="AC228" s="1302">
        <v>39800</v>
      </c>
      <c r="AD228" s="1181">
        <v>0</v>
      </c>
      <c r="AE228" s="1302">
        <v>0</v>
      </c>
      <c r="AF228" s="1311">
        <f t="shared" si="13"/>
        <v>42800</v>
      </c>
      <c r="AG228" s="1322">
        <v>61800</v>
      </c>
    </row>
    <row r="229" spans="1:33" s="2" customFormat="1">
      <c r="A229" s="134">
        <f t="shared" si="12"/>
        <v>2011.04</v>
      </c>
      <c r="B229" s="611">
        <v>3302936</v>
      </c>
      <c r="C229" s="1291">
        <v>85904</v>
      </c>
      <c r="D229" s="1291">
        <v>0</v>
      </c>
      <c r="E229" s="334">
        <v>0</v>
      </c>
      <c r="F229" s="1181">
        <v>639170</v>
      </c>
      <c r="G229" s="1291">
        <v>35132</v>
      </c>
      <c r="H229" s="1291">
        <v>0</v>
      </c>
      <c r="I229" s="180">
        <v>0</v>
      </c>
      <c r="J229" s="1181">
        <v>2582678</v>
      </c>
      <c r="K229" s="1291">
        <v>42845</v>
      </c>
      <c r="L229" s="1291">
        <v>0</v>
      </c>
      <c r="M229" s="180">
        <v>0</v>
      </c>
      <c r="N229" s="1181">
        <v>11802</v>
      </c>
      <c r="O229" s="1291">
        <v>0</v>
      </c>
      <c r="P229" s="1291">
        <v>0</v>
      </c>
      <c r="Q229" s="180">
        <v>0</v>
      </c>
      <c r="R229" s="334">
        <v>3742495</v>
      </c>
      <c r="S229" s="1291">
        <v>314222</v>
      </c>
      <c r="T229" s="1291">
        <v>862</v>
      </c>
      <c r="U229" s="180">
        <v>0</v>
      </c>
      <c r="V229" s="334">
        <v>75920</v>
      </c>
      <c r="W229" s="1302">
        <v>206074</v>
      </c>
      <c r="X229" s="1181">
        <v>0</v>
      </c>
      <c r="Y229" s="1302">
        <v>0</v>
      </c>
      <c r="Z229" s="1311">
        <f t="shared" si="10"/>
        <v>281994</v>
      </c>
      <c r="AA229" s="1302">
        <v>300994</v>
      </c>
      <c r="AB229" s="1181">
        <v>3550</v>
      </c>
      <c r="AC229" s="1302">
        <v>19000</v>
      </c>
      <c r="AD229" s="1181">
        <v>0</v>
      </c>
      <c r="AE229" s="1302">
        <v>0</v>
      </c>
      <c r="AF229" s="1311">
        <f t="shared" si="13"/>
        <v>22550</v>
      </c>
      <c r="AG229" s="1322">
        <v>135640</v>
      </c>
    </row>
    <row r="230" spans="1:33" s="2" customFormat="1">
      <c r="A230" s="134">
        <f t="shared" si="12"/>
        <v>2011.05</v>
      </c>
      <c r="B230" s="611">
        <v>3480090</v>
      </c>
      <c r="C230" s="1291">
        <v>67897</v>
      </c>
      <c r="D230" s="1291">
        <v>0</v>
      </c>
      <c r="E230" s="334">
        <v>22405</v>
      </c>
      <c r="F230" s="1181">
        <v>657478</v>
      </c>
      <c r="G230" s="1291">
        <v>27604</v>
      </c>
      <c r="H230" s="1291">
        <v>0</v>
      </c>
      <c r="I230" s="180">
        <v>3363</v>
      </c>
      <c r="J230" s="1181">
        <v>2688328</v>
      </c>
      <c r="K230" s="1291">
        <v>34997</v>
      </c>
      <c r="L230" s="1291">
        <v>0</v>
      </c>
      <c r="M230" s="180">
        <v>18594</v>
      </c>
      <c r="N230" s="1181">
        <v>11863</v>
      </c>
      <c r="O230" s="1291">
        <v>0</v>
      </c>
      <c r="P230" s="1291">
        <v>0</v>
      </c>
      <c r="Q230" s="180">
        <v>0</v>
      </c>
      <c r="R230" s="334">
        <v>3963056</v>
      </c>
      <c r="S230" s="1291">
        <v>268969</v>
      </c>
      <c r="T230" s="1291">
        <v>150</v>
      </c>
      <c r="U230" s="180">
        <v>22405</v>
      </c>
      <c r="V230" s="334">
        <v>113063</v>
      </c>
      <c r="W230" s="1302">
        <v>418916</v>
      </c>
      <c r="X230" s="1181">
        <v>0</v>
      </c>
      <c r="Y230" s="1302">
        <v>40004</v>
      </c>
      <c r="Z230" s="1311">
        <f t="shared" si="10"/>
        <v>571983</v>
      </c>
      <c r="AA230" s="1302">
        <f>558329+40004</f>
        <v>598333</v>
      </c>
      <c r="AB230" s="1181">
        <v>15600</v>
      </c>
      <c r="AC230" s="1302">
        <v>33200</v>
      </c>
      <c r="AD230" s="1181">
        <v>0</v>
      </c>
      <c r="AE230" s="1302">
        <v>0</v>
      </c>
      <c r="AF230" s="1311">
        <f t="shared" si="13"/>
        <v>48800</v>
      </c>
      <c r="AG230" s="1322">
        <v>71882</v>
      </c>
    </row>
    <row r="231" spans="1:33" s="2" customFormat="1">
      <c r="A231" s="134">
        <f t="shared" si="12"/>
        <v>2011.06</v>
      </c>
      <c r="B231" s="611">
        <v>2859165</v>
      </c>
      <c r="C231" s="1291">
        <v>123127</v>
      </c>
      <c r="D231" s="1291">
        <v>0</v>
      </c>
      <c r="E231" s="334">
        <v>25796</v>
      </c>
      <c r="F231" s="1181">
        <v>541410</v>
      </c>
      <c r="G231" s="1291">
        <v>50670</v>
      </c>
      <c r="H231" s="1291">
        <v>0</v>
      </c>
      <c r="I231" s="180">
        <v>3723</v>
      </c>
      <c r="J231" s="1181">
        <v>2217835</v>
      </c>
      <c r="K231" s="1291">
        <v>57721</v>
      </c>
      <c r="L231" s="1291">
        <v>0</v>
      </c>
      <c r="M231" s="180">
        <v>21556</v>
      </c>
      <c r="N231" s="1181">
        <v>12639</v>
      </c>
      <c r="O231" s="1291">
        <v>0</v>
      </c>
      <c r="P231" s="1291">
        <v>0</v>
      </c>
      <c r="Q231" s="180">
        <v>0</v>
      </c>
      <c r="R231" s="334">
        <v>3265023</v>
      </c>
      <c r="S231" s="1291">
        <v>394674</v>
      </c>
      <c r="T231" s="1291">
        <v>1137</v>
      </c>
      <c r="U231" s="180">
        <v>25796</v>
      </c>
      <c r="V231" s="334">
        <v>74772</v>
      </c>
      <c r="W231" s="1302">
        <v>412585</v>
      </c>
      <c r="X231" s="1181">
        <v>0</v>
      </c>
      <c r="Y231" s="1302">
        <v>2957</v>
      </c>
      <c r="Z231" s="1311">
        <f t="shared" si="10"/>
        <v>490314</v>
      </c>
      <c r="AA231" s="1302">
        <f>532557+2957</f>
        <v>535514</v>
      </c>
      <c r="AB231" s="1181">
        <v>5508</v>
      </c>
      <c r="AC231" s="1302">
        <v>75100</v>
      </c>
      <c r="AD231" s="1181">
        <v>0</v>
      </c>
      <c r="AE231" s="1302">
        <v>0</v>
      </c>
      <c r="AF231" s="1311">
        <f t="shared" si="13"/>
        <v>80608</v>
      </c>
      <c r="AG231" s="1322">
        <v>135107</v>
      </c>
    </row>
    <row r="232" spans="1:33" s="2" customFormat="1">
      <c r="A232" s="134">
        <f t="shared" si="12"/>
        <v>2011.07</v>
      </c>
      <c r="B232" s="611">
        <v>2744956</v>
      </c>
      <c r="C232" s="1291">
        <v>105720</v>
      </c>
      <c r="D232" s="1291">
        <v>0</v>
      </c>
      <c r="E232" s="334">
        <v>31740</v>
      </c>
      <c r="F232" s="1181">
        <v>523124</v>
      </c>
      <c r="G232" s="1291">
        <v>43650</v>
      </c>
      <c r="H232" s="1291">
        <v>0</v>
      </c>
      <c r="I232" s="180">
        <v>4444</v>
      </c>
      <c r="J232" s="1181">
        <v>2137138</v>
      </c>
      <c r="K232" s="1291">
        <v>49592</v>
      </c>
      <c r="L232" s="1291">
        <v>0</v>
      </c>
      <c r="M232" s="180">
        <v>26661</v>
      </c>
      <c r="N232" s="1181">
        <v>12821</v>
      </c>
      <c r="O232" s="1291">
        <v>0</v>
      </c>
      <c r="P232" s="1291">
        <v>0</v>
      </c>
      <c r="Q232" s="180">
        <v>0</v>
      </c>
      <c r="R232" s="334">
        <v>3228883</v>
      </c>
      <c r="S232" s="1291">
        <v>314022</v>
      </c>
      <c r="T232" s="1291">
        <v>1216</v>
      </c>
      <c r="U232" s="180">
        <v>31740</v>
      </c>
      <c r="V232" s="334">
        <v>116715</v>
      </c>
      <c r="W232" s="1302">
        <v>183460</v>
      </c>
      <c r="X232" s="1181">
        <v>0</v>
      </c>
      <c r="Y232" s="1302">
        <f>20000+1831</f>
        <v>21831</v>
      </c>
      <c r="Z232" s="1311">
        <f t="shared" si="10"/>
        <v>322006</v>
      </c>
      <c r="AA232" s="1302">
        <f>318175+21831</f>
        <v>340006</v>
      </c>
      <c r="AB232" s="1181">
        <v>0</v>
      </c>
      <c r="AC232" s="1302">
        <v>20500</v>
      </c>
      <c r="AD232" s="1181">
        <v>0</v>
      </c>
      <c r="AE232" s="1302">
        <v>0</v>
      </c>
      <c r="AF232" s="1311">
        <f t="shared" si="13"/>
        <v>20500</v>
      </c>
      <c r="AG232" s="1322">
        <v>67280</v>
      </c>
    </row>
    <row r="233" spans="1:33" s="2" customFormat="1">
      <c r="A233" s="134">
        <f t="shared" si="12"/>
        <v>2011.08</v>
      </c>
      <c r="B233" s="611">
        <v>2573611</v>
      </c>
      <c r="C233" s="1291">
        <v>107255</v>
      </c>
      <c r="D233" s="1291">
        <v>0</v>
      </c>
      <c r="E233" s="334">
        <v>30804</v>
      </c>
      <c r="F233" s="1181">
        <v>485803</v>
      </c>
      <c r="G233" s="1291">
        <v>44567</v>
      </c>
      <c r="H233" s="1291">
        <v>0</v>
      </c>
      <c r="I233" s="180">
        <v>4405</v>
      </c>
      <c r="J233" s="1181">
        <v>1966167</v>
      </c>
      <c r="K233" s="1291">
        <v>51468</v>
      </c>
      <c r="L233" s="1291">
        <v>0</v>
      </c>
      <c r="M233" s="180">
        <v>25783</v>
      </c>
      <c r="N233" s="1181">
        <v>12922</v>
      </c>
      <c r="O233" s="1291">
        <v>0</v>
      </c>
      <c r="P233" s="1291">
        <v>0</v>
      </c>
      <c r="Q233" s="180">
        <v>0</v>
      </c>
      <c r="R233" s="334">
        <v>3011541</v>
      </c>
      <c r="S233" s="1291">
        <v>352275</v>
      </c>
      <c r="T233" s="1291">
        <v>77</v>
      </c>
      <c r="U233" s="180">
        <v>30804</v>
      </c>
      <c r="V233" s="334">
        <v>64996</v>
      </c>
      <c r="W233" s="1302">
        <v>352645</v>
      </c>
      <c r="X233" s="1181">
        <v>0</v>
      </c>
      <c r="Y233" s="1302">
        <f>21602+1847</f>
        <v>23449</v>
      </c>
      <c r="Z233" s="1311">
        <f t="shared" si="10"/>
        <v>441090</v>
      </c>
      <c r="AA233" s="1302">
        <f>457316+23449</f>
        <v>480765</v>
      </c>
      <c r="AB233" s="1181">
        <v>0</v>
      </c>
      <c r="AC233" s="1302">
        <v>17800</v>
      </c>
      <c r="AD233" s="1181">
        <v>0</v>
      </c>
      <c r="AE233" s="1302">
        <v>0</v>
      </c>
      <c r="AF233" s="1311">
        <f t="shared" si="13"/>
        <v>17800</v>
      </c>
      <c r="AG233" s="1322">
        <v>56601</v>
      </c>
    </row>
    <row r="234" spans="1:33" s="2" customFormat="1">
      <c r="A234" s="134">
        <f t="shared" si="12"/>
        <v>2011.09</v>
      </c>
      <c r="B234" s="611">
        <v>3273214</v>
      </c>
      <c r="C234" s="1291">
        <v>54343</v>
      </c>
      <c r="D234" s="1291">
        <v>0</v>
      </c>
      <c r="E234" s="334">
        <v>30404</v>
      </c>
      <c r="F234" s="1181">
        <v>624547</v>
      </c>
      <c r="G234" s="1291">
        <v>22498</v>
      </c>
      <c r="H234" s="1291">
        <v>0</v>
      </c>
      <c r="I234" s="180">
        <v>4363</v>
      </c>
      <c r="J234" s="1181">
        <v>2528579</v>
      </c>
      <c r="K234" s="1291">
        <v>28127</v>
      </c>
      <c r="L234" s="1291">
        <v>0</v>
      </c>
      <c r="M234" s="180">
        <v>25433</v>
      </c>
      <c r="N234" s="1181">
        <v>12851</v>
      </c>
      <c r="O234" s="1291">
        <v>0</v>
      </c>
      <c r="P234" s="1291">
        <v>0</v>
      </c>
      <c r="Q234" s="180">
        <v>0</v>
      </c>
      <c r="R234" s="334">
        <v>3717074</v>
      </c>
      <c r="S234" s="1291">
        <v>284145</v>
      </c>
      <c r="T234" s="1291">
        <v>383</v>
      </c>
      <c r="U234" s="180">
        <v>30404</v>
      </c>
      <c r="V234" s="334">
        <v>91017</v>
      </c>
      <c r="W234" s="1302">
        <v>219501</v>
      </c>
      <c r="X234" s="1181">
        <v>0</v>
      </c>
      <c r="Y234" s="1302">
        <f>20000</f>
        <v>20000</v>
      </c>
      <c r="Z234" s="1311">
        <f t="shared" si="10"/>
        <v>330518</v>
      </c>
      <c r="AA234" s="1302">
        <f>326460+20000</f>
        <v>346460</v>
      </c>
      <c r="AB234" s="1181">
        <v>4100</v>
      </c>
      <c r="AC234" s="1302">
        <v>2200</v>
      </c>
      <c r="AD234" s="1181">
        <v>0</v>
      </c>
      <c r="AE234" s="1302">
        <v>0</v>
      </c>
      <c r="AF234" s="1311">
        <f t="shared" si="13"/>
        <v>6300</v>
      </c>
      <c r="AG234" s="1322">
        <v>21700</v>
      </c>
    </row>
    <row r="235" spans="1:33" s="2" customFormat="1">
      <c r="A235" s="134">
        <f t="shared" si="12"/>
        <v>2011.1</v>
      </c>
      <c r="B235" s="611">
        <v>2880412</v>
      </c>
      <c r="C235" s="1291">
        <v>52550</v>
      </c>
      <c r="D235" s="1291">
        <v>0</v>
      </c>
      <c r="E235" s="334">
        <v>12529</v>
      </c>
      <c r="F235" s="1181">
        <v>552026</v>
      </c>
      <c r="G235" s="1291">
        <v>21854</v>
      </c>
      <c r="H235" s="1291">
        <v>0</v>
      </c>
      <c r="I235" s="180">
        <v>2496</v>
      </c>
      <c r="J235" s="1181">
        <v>2206352</v>
      </c>
      <c r="K235" s="1291">
        <v>23798</v>
      </c>
      <c r="L235" s="1291">
        <v>0</v>
      </c>
      <c r="M235" s="180">
        <v>0</v>
      </c>
      <c r="N235" s="1181">
        <v>11966</v>
      </c>
      <c r="O235" s="1291">
        <v>0</v>
      </c>
      <c r="P235" s="1291">
        <v>0</v>
      </c>
      <c r="Q235" s="180">
        <v>0</v>
      </c>
      <c r="R235" s="334">
        <v>3316838</v>
      </c>
      <c r="S235" s="1291">
        <v>248004</v>
      </c>
      <c r="T235" s="1291">
        <v>300</v>
      </c>
      <c r="U235" s="180">
        <v>12529</v>
      </c>
      <c r="V235" s="334">
        <v>93082</v>
      </c>
      <c r="W235" s="1302">
        <v>271660</v>
      </c>
      <c r="X235" s="1181">
        <v>0</v>
      </c>
      <c r="Y235" s="1302">
        <f>9000</f>
        <v>9000</v>
      </c>
      <c r="Z235" s="1311">
        <f t="shared" si="10"/>
        <v>373742</v>
      </c>
      <c r="AA235" s="1302">
        <f>414022+9000</f>
        <v>423022</v>
      </c>
      <c r="AB235" s="1181">
        <v>4925</v>
      </c>
      <c r="AC235" s="1302">
        <f>15000+5250</f>
        <v>20250</v>
      </c>
      <c r="AD235" s="1181">
        <v>0</v>
      </c>
      <c r="AE235" s="1302">
        <v>0</v>
      </c>
      <c r="AF235" s="1311">
        <f t="shared" si="13"/>
        <v>25175</v>
      </c>
      <c r="AG235" s="1322">
        <f>5250+77405</f>
        <v>82655</v>
      </c>
    </row>
    <row r="236" spans="1:33" s="2" customFormat="1">
      <c r="A236" s="134">
        <f t="shared" si="12"/>
        <v>2011.11</v>
      </c>
      <c r="B236" s="611">
        <v>2600324</v>
      </c>
      <c r="C236" s="1291">
        <v>14387</v>
      </c>
      <c r="D236" s="1291">
        <v>0</v>
      </c>
      <c r="E236" s="334">
        <v>3952</v>
      </c>
      <c r="F236" s="1181">
        <v>502606</v>
      </c>
      <c r="G236" s="1291">
        <v>6000</v>
      </c>
      <c r="H236" s="1291">
        <v>0</v>
      </c>
      <c r="I236" s="180">
        <v>566</v>
      </c>
      <c r="J236" s="1181">
        <v>2018395</v>
      </c>
      <c r="K236" s="1291">
        <v>7843</v>
      </c>
      <c r="L236" s="1291">
        <v>0</v>
      </c>
      <c r="M236" s="180">
        <v>0</v>
      </c>
      <c r="N236" s="1181">
        <v>12873</v>
      </c>
      <c r="O236" s="1291">
        <v>0</v>
      </c>
      <c r="P236" s="1291">
        <v>0</v>
      </c>
      <c r="Q236" s="180">
        <v>0</v>
      </c>
      <c r="R236" s="334">
        <v>2977055</v>
      </c>
      <c r="S236" s="1291">
        <v>184877</v>
      </c>
      <c r="T236" s="1291">
        <v>80</v>
      </c>
      <c r="U236" s="180">
        <v>3952</v>
      </c>
      <c r="V236" s="334">
        <v>51455</v>
      </c>
      <c r="W236" s="1302">
        <v>212551</v>
      </c>
      <c r="X236" s="1181">
        <v>0</v>
      </c>
      <c r="Y236" s="1302">
        <f>6478</f>
        <v>6478</v>
      </c>
      <c r="Z236" s="1311">
        <f t="shared" si="10"/>
        <v>270484</v>
      </c>
      <c r="AA236" s="1302">
        <f>271006+6478</f>
        <v>277484</v>
      </c>
      <c r="AB236" s="1181">
        <v>0</v>
      </c>
      <c r="AC236" s="1302">
        <v>4500</v>
      </c>
      <c r="AD236" s="1181">
        <v>0</v>
      </c>
      <c r="AE236" s="1302">
        <v>0</v>
      </c>
      <c r="AF236" s="1311">
        <f t="shared" si="13"/>
        <v>4500</v>
      </c>
      <c r="AG236" s="1322">
        <v>62840</v>
      </c>
    </row>
    <row r="237" spans="1:33" s="2" customFormat="1">
      <c r="A237" s="134">
        <f t="shared" si="12"/>
        <v>2011.12</v>
      </c>
      <c r="B237" s="611">
        <v>2422645</v>
      </c>
      <c r="C237" s="1291">
        <v>21132</v>
      </c>
      <c r="D237" s="1291">
        <v>0</v>
      </c>
      <c r="E237" s="334">
        <v>0</v>
      </c>
      <c r="F237" s="1181">
        <v>464209</v>
      </c>
      <c r="G237" s="1291">
        <v>8420</v>
      </c>
      <c r="H237" s="1291">
        <v>0</v>
      </c>
      <c r="I237" s="180">
        <v>0</v>
      </c>
      <c r="J237" s="1181">
        <v>1865659</v>
      </c>
      <c r="K237" s="1291">
        <v>10125</v>
      </c>
      <c r="L237" s="1291">
        <v>0</v>
      </c>
      <c r="M237" s="180">
        <v>0</v>
      </c>
      <c r="N237" s="1181">
        <v>13745</v>
      </c>
      <c r="O237" s="1291">
        <v>0</v>
      </c>
      <c r="P237" s="1291">
        <v>0</v>
      </c>
      <c r="Q237" s="180">
        <v>0</v>
      </c>
      <c r="R237" s="334">
        <v>2845965</v>
      </c>
      <c r="S237" s="1291">
        <v>246870</v>
      </c>
      <c r="T237" s="1291">
        <v>267</v>
      </c>
      <c r="U237" s="180">
        <v>0</v>
      </c>
      <c r="V237" s="334">
        <v>78238</v>
      </c>
      <c r="W237" s="1302">
        <v>133250</v>
      </c>
      <c r="X237" s="1181">
        <v>0</v>
      </c>
      <c r="Y237" s="1302">
        <f>21500</f>
        <v>21500</v>
      </c>
      <c r="Z237" s="1311">
        <f t="shared" si="10"/>
        <v>232988</v>
      </c>
      <c r="AA237" s="1302">
        <f>234738+21500</f>
        <v>256238</v>
      </c>
      <c r="AB237" s="1181">
        <v>2875</v>
      </c>
      <c r="AC237" s="1302">
        <v>11950</v>
      </c>
      <c r="AD237" s="1181">
        <v>1475</v>
      </c>
      <c r="AE237" s="1302">
        <v>0</v>
      </c>
      <c r="AF237" s="1311">
        <f t="shared" si="13"/>
        <v>16300</v>
      </c>
      <c r="AG237" s="1322">
        <f>38375+1475</f>
        <v>39850</v>
      </c>
    </row>
    <row r="238" spans="1:33" s="2" customFormat="1">
      <c r="A238" s="134">
        <f t="shared" si="12"/>
        <v>2012.01</v>
      </c>
      <c r="B238" s="611">
        <v>2243816</v>
      </c>
      <c r="C238" s="1291">
        <v>147360</v>
      </c>
      <c r="D238" s="1291">
        <v>0</v>
      </c>
      <c r="E238" s="334">
        <v>0</v>
      </c>
      <c r="F238" s="1181">
        <v>428443</v>
      </c>
      <c r="G238" s="1291">
        <v>52971</v>
      </c>
      <c r="H238" s="1291">
        <v>0</v>
      </c>
      <c r="I238" s="180">
        <v>0</v>
      </c>
      <c r="J238" s="1181">
        <v>1736705</v>
      </c>
      <c r="K238" s="1291">
        <v>54691</v>
      </c>
      <c r="L238" s="1291">
        <v>0</v>
      </c>
      <c r="M238" s="180">
        <v>0</v>
      </c>
      <c r="N238" s="1181">
        <v>10974</v>
      </c>
      <c r="O238" s="1291">
        <v>0</v>
      </c>
      <c r="P238" s="1291">
        <v>0</v>
      </c>
      <c r="Q238" s="180">
        <v>0</v>
      </c>
      <c r="R238" s="334">
        <v>2697485</v>
      </c>
      <c r="S238" s="1291">
        <v>216838</v>
      </c>
      <c r="T238" s="1291">
        <v>1080</v>
      </c>
      <c r="U238" s="180">
        <v>0</v>
      </c>
      <c r="V238" s="334">
        <v>23868</v>
      </c>
      <c r="W238" s="1302">
        <v>147769</v>
      </c>
      <c r="X238" s="1181">
        <v>0</v>
      </c>
      <c r="Y238" s="1302">
        <f>16500</f>
        <v>16500</v>
      </c>
      <c r="Z238" s="1311">
        <f t="shared" si="10"/>
        <v>188137</v>
      </c>
      <c r="AA238" s="1302">
        <f>191937+16500</f>
        <v>208437</v>
      </c>
      <c r="AB238" s="1181">
        <v>0</v>
      </c>
      <c r="AC238" s="1302">
        <v>4597</v>
      </c>
      <c r="AD238" s="1181">
        <v>0</v>
      </c>
      <c r="AE238" s="1302">
        <v>0</v>
      </c>
      <c r="AF238" s="1311">
        <f t="shared" si="13"/>
        <v>4597</v>
      </c>
      <c r="AG238" s="1322">
        <v>33597</v>
      </c>
    </row>
    <row r="239" spans="1:33" s="2" customFormat="1">
      <c r="A239" s="134">
        <f t="shared" si="12"/>
        <v>2012.02</v>
      </c>
      <c r="B239" s="611">
        <v>1910375</v>
      </c>
      <c r="C239" s="1291">
        <v>200864</v>
      </c>
      <c r="D239" s="1291">
        <v>0</v>
      </c>
      <c r="E239" s="334">
        <v>0</v>
      </c>
      <c r="F239" s="1181">
        <v>369542</v>
      </c>
      <c r="G239" s="1291">
        <v>72625</v>
      </c>
      <c r="H239" s="1291">
        <v>0</v>
      </c>
      <c r="I239" s="180">
        <v>0</v>
      </c>
      <c r="J239" s="1181">
        <v>1487426</v>
      </c>
      <c r="K239" s="1291">
        <v>73478</v>
      </c>
      <c r="L239" s="1291">
        <v>0</v>
      </c>
      <c r="M239" s="180">
        <v>0</v>
      </c>
      <c r="N239" s="1181">
        <v>11288</v>
      </c>
      <c r="O239" s="1291">
        <v>0</v>
      </c>
      <c r="P239" s="1291">
        <v>0</v>
      </c>
      <c r="Q239" s="180">
        <v>0</v>
      </c>
      <c r="R239" s="334">
        <v>2265447</v>
      </c>
      <c r="S239" s="1291">
        <v>323945</v>
      </c>
      <c r="T239" s="1291">
        <v>600</v>
      </c>
      <c r="U239" s="180">
        <v>0</v>
      </c>
      <c r="V239" s="334">
        <v>96079</v>
      </c>
      <c r="W239" s="1302">
        <v>229740</v>
      </c>
      <c r="X239" s="1181">
        <v>0</v>
      </c>
      <c r="Y239" s="1302">
        <v>19086</v>
      </c>
      <c r="Z239" s="1311">
        <f t="shared" si="10"/>
        <v>344905</v>
      </c>
      <c r="AA239" s="1302">
        <f>421139+19086</f>
        <v>440225</v>
      </c>
      <c r="AB239" s="1181">
        <v>0</v>
      </c>
      <c r="AC239" s="1302">
        <v>41700</v>
      </c>
      <c r="AD239" s="1181">
        <v>0</v>
      </c>
      <c r="AE239" s="1302">
        <v>0</v>
      </c>
      <c r="AF239" s="1311">
        <f t="shared" si="13"/>
        <v>41700</v>
      </c>
      <c r="AG239" s="1322">
        <v>80100</v>
      </c>
    </row>
    <row r="240" spans="1:33" s="2" customFormat="1">
      <c r="A240" s="134">
        <f t="shared" si="12"/>
        <v>2012.03</v>
      </c>
      <c r="B240" s="611">
        <v>2062809</v>
      </c>
      <c r="C240" s="1291">
        <v>180018</v>
      </c>
      <c r="D240" s="1291">
        <v>0</v>
      </c>
      <c r="E240" s="334">
        <v>0</v>
      </c>
      <c r="F240" s="1181">
        <v>401362</v>
      </c>
      <c r="G240" s="1291">
        <v>73995</v>
      </c>
      <c r="H240" s="1291">
        <v>0</v>
      </c>
      <c r="I240" s="180">
        <v>0</v>
      </c>
      <c r="J240" s="1181">
        <v>1591089</v>
      </c>
      <c r="K240" s="1291">
        <v>80872</v>
      </c>
      <c r="L240" s="1291">
        <v>0</v>
      </c>
      <c r="M240" s="180">
        <v>0</v>
      </c>
      <c r="N240" s="1181">
        <v>13127</v>
      </c>
      <c r="O240" s="1291">
        <v>0</v>
      </c>
      <c r="P240" s="1291">
        <v>0</v>
      </c>
      <c r="Q240" s="180">
        <v>0</v>
      </c>
      <c r="R240" s="334">
        <v>2436638</v>
      </c>
      <c r="S240" s="1291">
        <v>566052</v>
      </c>
      <c r="T240" s="1291">
        <v>220</v>
      </c>
      <c r="U240" s="180">
        <v>0</v>
      </c>
      <c r="V240" s="334">
        <v>17300</v>
      </c>
      <c r="W240" s="1302">
        <v>274806</v>
      </c>
      <c r="X240" s="1181">
        <v>0</v>
      </c>
      <c r="Y240" s="1302">
        <f>11000+4964</f>
        <v>15964</v>
      </c>
      <c r="Z240" s="1311">
        <f t="shared" si="10"/>
        <v>308070</v>
      </c>
      <c r="AA240" s="1302">
        <f>316856+15964</f>
        <v>332820</v>
      </c>
      <c r="AB240" s="1181">
        <v>0</v>
      </c>
      <c r="AC240" s="1302">
        <v>61000</v>
      </c>
      <c r="AD240" s="1181">
        <v>0</v>
      </c>
      <c r="AE240" s="1302">
        <v>0</v>
      </c>
      <c r="AF240" s="1311">
        <f t="shared" si="13"/>
        <v>61000</v>
      </c>
      <c r="AG240" s="1322">
        <v>86350</v>
      </c>
    </row>
    <row r="241" spans="1:35" s="2" customFormat="1">
      <c r="A241" s="134">
        <f t="shared" si="12"/>
        <v>2012.04</v>
      </c>
      <c r="B241" s="611">
        <v>3167072</v>
      </c>
      <c r="C241" s="1291">
        <v>140386</v>
      </c>
      <c r="D241" s="1291">
        <v>0</v>
      </c>
      <c r="E241" s="334">
        <v>0</v>
      </c>
      <c r="F241" s="1181">
        <v>616109</v>
      </c>
      <c r="G241" s="1291">
        <v>57842</v>
      </c>
      <c r="H241" s="1291">
        <v>0</v>
      </c>
      <c r="I241" s="180">
        <v>0</v>
      </c>
      <c r="J241" s="1181">
        <v>2461016</v>
      </c>
      <c r="K241" s="1291">
        <v>64511</v>
      </c>
      <c r="L241" s="1291">
        <v>0</v>
      </c>
      <c r="M241" s="180">
        <v>0</v>
      </c>
      <c r="N241" s="1181">
        <v>8828</v>
      </c>
      <c r="O241" s="1291">
        <v>0</v>
      </c>
      <c r="P241" s="1291">
        <v>0</v>
      </c>
      <c r="Q241" s="180">
        <v>0</v>
      </c>
      <c r="R241" s="334">
        <v>3505040</v>
      </c>
      <c r="S241" s="1291">
        <v>479905</v>
      </c>
      <c r="T241" s="1291">
        <v>0</v>
      </c>
      <c r="U241" s="180">
        <v>0</v>
      </c>
      <c r="V241" s="334">
        <v>30278</v>
      </c>
      <c r="W241" s="1302">
        <v>249019</v>
      </c>
      <c r="X241" s="1181">
        <v>1772</v>
      </c>
      <c r="Y241" s="1302">
        <v>0</v>
      </c>
      <c r="Z241" s="1311">
        <f t="shared" si="10"/>
        <v>281069</v>
      </c>
      <c r="AA241" s="1302">
        <f>295947+1772</f>
        <v>297719</v>
      </c>
      <c r="AB241" s="1181">
        <v>0</v>
      </c>
      <c r="AC241" s="1302">
        <v>27267</v>
      </c>
      <c r="AD241" s="1181">
        <v>0</v>
      </c>
      <c r="AE241" s="1302">
        <v>0</v>
      </c>
      <c r="AF241" s="1311">
        <f t="shared" si="13"/>
        <v>27267</v>
      </c>
      <c r="AG241" s="1322">
        <v>86517</v>
      </c>
    </row>
    <row r="242" spans="1:35" s="2" customFormat="1">
      <c r="A242" s="134">
        <f t="shared" si="12"/>
        <v>2012.05</v>
      </c>
      <c r="B242" s="611">
        <v>3275086</v>
      </c>
      <c r="C242" s="1291">
        <v>96929</v>
      </c>
      <c r="D242" s="1291">
        <v>0</v>
      </c>
      <c r="E242" s="334">
        <v>27184</v>
      </c>
      <c r="F242" s="1181">
        <v>615550</v>
      </c>
      <c r="G242" s="1291">
        <v>30153</v>
      </c>
      <c r="H242" s="1291">
        <v>0</v>
      </c>
      <c r="I242" s="180">
        <v>4185</v>
      </c>
      <c r="J242" s="1181">
        <v>2549974</v>
      </c>
      <c r="K242" s="1291">
        <v>36228</v>
      </c>
      <c r="L242" s="1291">
        <v>0</v>
      </c>
      <c r="M242" s="180">
        <v>22456</v>
      </c>
      <c r="N242" s="1181">
        <v>11218</v>
      </c>
      <c r="O242" s="1291">
        <v>0</v>
      </c>
      <c r="P242" s="1291">
        <v>0</v>
      </c>
      <c r="Q242" s="180">
        <v>0</v>
      </c>
      <c r="R242" s="334">
        <v>3766583</v>
      </c>
      <c r="S242" s="1291">
        <v>287994</v>
      </c>
      <c r="T242" s="1291">
        <v>175</v>
      </c>
      <c r="U242" s="180">
        <v>27184</v>
      </c>
      <c r="V242" s="334">
        <v>79266</v>
      </c>
      <c r="W242" s="1302">
        <v>343738</v>
      </c>
      <c r="X242" s="1181">
        <v>2923</v>
      </c>
      <c r="Y242" s="1302">
        <v>1471</v>
      </c>
      <c r="Z242" s="1311">
        <f t="shared" si="10"/>
        <v>427398</v>
      </c>
      <c r="AA242" s="1302">
        <f>465304+2923+1471</f>
        <v>469698</v>
      </c>
      <c r="AB242" s="1181">
        <v>0</v>
      </c>
      <c r="AC242" s="1302">
        <v>17000</v>
      </c>
      <c r="AD242" s="1181">
        <v>0</v>
      </c>
      <c r="AE242" s="1302">
        <v>0</v>
      </c>
      <c r="AF242" s="1311">
        <f t="shared" si="13"/>
        <v>17000</v>
      </c>
      <c r="AG242" s="1322">
        <v>66300</v>
      </c>
    </row>
    <row r="243" spans="1:35" s="2" customFormat="1">
      <c r="A243" s="134">
        <f t="shared" si="12"/>
        <v>2012.06</v>
      </c>
      <c r="B243" s="611">
        <v>2731818</v>
      </c>
      <c r="C243" s="1291">
        <v>108025</v>
      </c>
      <c r="D243" s="1291">
        <v>0</v>
      </c>
      <c r="E243" s="334">
        <v>16399</v>
      </c>
      <c r="F243" s="1181">
        <v>522568</v>
      </c>
      <c r="G243" s="1291">
        <v>44042</v>
      </c>
      <c r="H243" s="1291">
        <v>0</v>
      </c>
      <c r="I243" s="180">
        <v>2614</v>
      </c>
      <c r="J243" s="1181">
        <v>2119871</v>
      </c>
      <c r="K243" s="1291">
        <v>50594</v>
      </c>
      <c r="L243" s="1291">
        <v>0</v>
      </c>
      <c r="M243" s="180">
        <v>13457</v>
      </c>
      <c r="N243" s="1181">
        <v>13360</v>
      </c>
      <c r="O243" s="1291">
        <v>0</v>
      </c>
      <c r="P243" s="1291">
        <v>0</v>
      </c>
      <c r="Q243" s="180">
        <v>0</v>
      </c>
      <c r="R243" s="334">
        <v>3213159</v>
      </c>
      <c r="S243" s="1291">
        <v>369608</v>
      </c>
      <c r="T243" s="1291">
        <v>260</v>
      </c>
      <c r="U243" s="180">
        <v>16399</v>
      </c>
      <c r="V243" s="334">
        <v>28420</v>
      </c>
      <c r="W243" s="1302">
        <v>357917</v>
      </c>
      <c r="X243" s="1181">
        <v>1034</v>
      </c>
      <c r="Y243" s="1302">
        <f>12000+998</f>
        <v>12998</v>
      </c>
      <c r="Z243" s="1311">
        <f t="shared" si="10"/>
        <v>400369</v>
      </c>
      <c r="AA243" s="1302">
        <f>403384+12000+2032</f>
        <v>417416</v>
      </c>
      <c r="AB243" s="1181">
        <v>6000</v>
      </c>
      <c r="AC243" s="1302">
        <v>1200</v>
      </c>
      <c r="AD243" s="1181">
        <v>0</v>
      </c>
      <c r="AE243" s="1302">
        <v>0</v>
      </c>
      <c r="AF243" s="1311">
        <f t="shared" si="13"/>
        <v>7200</v>
      </c>
      <c r="AG243" s="1322">
        <v>83594</v>
      </c>
      <c r="AI243" s="439"/>
    </row>
    <row r="244" spans="1:35" s="2" customFormat="1">
      <c r="A244" s="134">
        <f t="shared" si="12"/>
        <v>2012.07</v>
      </c>
      <c r="B244" s="611">
        <v>2466046</v>
      </c>
      <c r="C244" s="1291">
        <v>86638</v>
      </c>
      <c r="D244" s="1291">
        <v>0</v>
      </c>
      <c r="E244" s="334">
        <v>25183</v>
      </c>
      <c r="F244" s="1181">
        <v>467201</v>
      </c>
      <c r="G244" s="1291">
        <v>35679</v>
      </c>
      <c r="H244" s="1291">
        <v>0</v>
      </c>
      <c r="I244" s="180">
        <v>3903</v>
      </c>
      <c r="J244" s="1181">
        <v>1909155</v>
      </c>
      <c r="K244" s="1291">
        <v>42139</v>
      </c>
      <c r="L244" s="1291">
        <v>0</v>
      </c>
      <c r="M244" s="180">
        <v>20776</v>
      </c>
      <c r="N244" s="1181">
        <v>12775</v>
      </c>
      <c r="O244" s="1291">
        <v>0</v>
      </c>
      <c r="P244" s="1291">
        <v>0</v>
      </c>
      <c r="Q244" s="180">
        <v>0</v>
      </c>
      <c r="R244" s="334">
        <v>2963372</v>
      </c>
      <c r="S244" s="1291">
        <v>332219</v>
      </c>
      <c r="T244" s="1291">
        <v>200</v>
      </c>
      <c r="U244" s="180">
        <v>25183</v>
      </c>
      <c r="V244" s="334">
        <v>64978</v>
      </c>
      <c r="W244" s="1302">
        <v>205235</v>
      </c>
      <c r="X244" s="1181">
        <v>0</v>
      </c>
      <c r="Y244" s="1302">
        <v>2300</v>
      </c>
      <c r="Z244" s="1311">
        <f t="shared" si="10"/>
        <v>272513</v>
      </c>
      <c r="AA244" s="1302">
        <f>299603+2300</f>
        <v>301903</v>
      </c>
      <c r="AB244" s="1181">
        <v>0</v>
      </c>
      <c r="AC244" s="1302">
        <v>30740</v>
      </c>
      <c r="AD244" s="1181">
        <v>0</v>
      </c>
      <c r="AE244" s="1302">
        <v>0</v>
      </c>
      <c r="AF244" s="1311">
        <f t="shared" si="13"/>
        <v>30740</v>
      </c>
      <c r="AG244" s="1322">
        <v>56390</v>
      </c>
    </row>
    <row r="245" spans="1:35" s="2" customFormat="1">
      <c r="A245" s="134">
        <f t="shared" si="12"/>
        <v>2012.08</v>
      </c>
      <c r="B245" s="611">
        <v>2304062</v>
      </c>
      <c r="C245" s="1291">
        <v>53430</v>
      </c>
      <c r="D245" s="1291">
        <v>0</v>
      </c>
      <c r="E245" s="334">
        <v>12204</v>
      </c>
      <c r="F245" s="1181">
        <v>437058</v>
      </c>
      <c r="G245" s="1291">
        <v>22499</v>
      </c>
      <c r="H245" s="1291">
        <v>0</v>
      </c>
      <c r="I245" s="180">
        <v>1824</v>
      </c>
      <c r="J245" s="1181">
        <v>1785949</v>
      </c>
      <c r="K245" s="1291">
        <v>24222</v>
      </c>
      <c r="L245" s="1291">
        <v>0</v>
      </c>
      <c r="M245" s="180">
        <v>10137</v>
      </c>
      <c r="N245" s="1181">
        <v>11986</v>
      </c>
      <c r="O245" s="1291">
        <v>0</v>
      </c>
      <c r="P245" s="1291">
        <v>0</v>
      </c>
      <c r="Q245" s="180">
        <v>0</v>
      </c>
      <c r="R245" s="334">
        <v>2812108</v>
      </c>
      <c r="S245" s="1291">
        <v>294938</v>
      </c>
      <c r="T245" s="1291">
        <v>70</v>
      </c>
      <c r="U245" s="180">
        <v>12204</v>
      </c>
      <c r="V245" s="334">
        <v>43845</v>
      </c>
      <c r="W245" s="1302">
        <v>286985</v>
      </c>
      <c r="X245" s="1181">
        <f>1955</f>
        <v>1955</v>
      </c>
      <c r="Y245" s="1302">
        <v>1408</v>
      </c>
      <c r="Z245" s="1311">
        <f t="shared" si="10"/>
        <v>334193</v>
      </c>
      <c r="AA245" s="1302">
        <f>366337+1955+1408</f>
        <v>369700</v>
      </c>
      <c r="AB245" s="1181">
        <v>0</v>
      </c>
      <c r="AC245" s="1302">
        <v>0</v>
      </c>
      <c r="AD245" s="1181">
        <v>0</v>
      </c>
      <c r="AE245" s="1302">
        <v>0</v>
      </c>
      <c r="AF245" s="1311">
        <f t="shared" si="13"/>
        <v>0</v>
      </c>
      <c r="AG245" s="1322">
        <v>16060</v>
      </c>
    </row>
    <row r="246" spans="1:35" s="2" customFormat="1">
      <c r="A246" s="134">
        <f t="shared" si="12"/>
        <v>2012.09</v>
      </c>
      <c r="B246" s="611">
        <v>2554620</v>
      </c>
      <c r="C246" s="1291">
        <v>51606</v>
      </c>
      <c r="D246" s="1291">
        <v>0</v>
      </c>
      <c r="E246" s="334">
        <v>28237</v>
      </c>
      <c r="F246" s="1181">
        <v>487638</v>
      </c>
      <c r="G246" s="1291">
        <v>21512</v>
      </c>
      <c r="H246" s="1291">
        <v>0</v>
      </c>
      <c r="I246" s="180">
        <v>4240</v>
      </c>
      <c r="J246" s="1181">
        <v>1981466</v>
      </c>
      <c r="K246" s="1291">
        <v>25890</v>
      </c>
      <c r="L246" s="1291">
        <v>0</v>
      </c>
      <c r="M246" s="180">
        <v>23432</v>
      </c>
      <c r="N246" s="1181">
        <v>11406</v>
      </c>
      <c r="O246" s="1291">
        <v>0</v>
      </c>
      <c r="P246" s="1291">
        <v>0</v>
      </c>
      <c r="Q246" s="180">
        <v>0</v>
      </c>
      <c r="R246" s="334">
        <v>3079868</v>
      </c>
      <c r="S246" s="1291">
        <v>233503</v>
      </c>
      <c r="T246" s="1291">
        <v>430</v>
      </c>
      <c r="U246" s="180">
        <v>28237</v>
      </c>
      <c r="V246" s="334">
        <v>27200</v>
      </c>
      <c r="W246" s="1302">
        <v>279153</v>
      </c>
      <c r="X246" s="1181">
        <v>0</v>
      </c>
      <c r="Y246" s="1302">
        <v>5000</v>
      </c>
      <c r="Z246" s="1311">
        <f t="shared" si="10"/>
        <v>311353</v>
      </c>
      <c r="AA246" s="1302">
        <v>382019</v>
      </c>
      <c r="AB246" s="1181">
        <v>0</v>
      </c>
      <c r="AC246" s="1302">
        <v>24300</v>
      </c>
      <c r="AD246" s="1181">
        <v>0</v>
      </c>
      <c r="AE246" s="1302">
        <v>0</v>
      </c>
      <c r="AF246" s="1311">
        <f t="shared" si="13"/>
        <v>24300</v>
      </c>
      <c r="AG246" s="1322">
        <v>38050</v>
      </c>
    </row>
    <row r="247" spans="1:35" s="2" customFormat="1">
      <c r="A247" s="134">
        <f t="shared" si="12"/>
        <v>2012.1</v>
      </c>
      <c r="B247" s="611">
        <v>1945648</v>
      </c>
      <c r="C247" s="1291">
        <v>48933</v>
      </c>
      <c r="D247" s="1291">
        <v>0</v>
      </c>
      <c r="E247" s="334">
        <v>1827</v>
      </c>
      <c r="F247" s="1181">
        <v>378599</v>
      </c>
      <c r="G247" s="1291">
        <v>20456</v>
      </c>
      <c r="H247" s="1291">
        <v>0</v>
      </c>
      <c r="I247" s="180">
        <v>275</v>
      </c>
      <c r="J247" s="1181">
        <v>1508324</v>
      </c>
      <c r="K247" s="1291">
        <v>24418</v>
      </c>
      <c r="L247" s="1291">
        <v>0</v>
      </c>
      <c r="M247" s="180">
        <v>1516</v>
      </c>
      <c r="N247" s="1181">
        <v>11367</v>
      </c>
      <c r="O247" s="1291">
        <v>0</v>
      </c>
      <c r="P247" s="1291">
        <v>0</v>
      </c>
      <c r="Q247" s="180">
        <v>0</v>
      </c>
      <c r="R247" s="334">
        <v>2409273</v>
      </c>
      <c r="S247" s="1291">
        <v>260610</v>
      </c>
      <c r="T247" s="1291">
        <v>255</v>
      </c>
      <c r="U247" s="180">
        <v>1827</v>
      </c>
      <c r="V247" s="334">
        <v>44366</v>
      </c>
      <c r="W247" s="1302">
        <v>263966</v>
      </c>
      <c r="X247" s="1181">
        <v>1950</v>
      </c>
      <c r="Y247" s="1302">
        <v>10000</v>
      </c>
      <c r="Z247" s="1311">
        <f t="shared" si="10"/>
        <v>320282</v>
      </c>
      <c r="AA247" s="1302">
        <f>368471+11950</f>
        <v>380421</v>
      </c>
      <c r="AB247" s="1181">
        <v>0</v>
      </c>
      <c r="AC247" s="1302">
        <v>4440</v>
      </c>
      <c r="AD247" s="1181">
        <v>0</v>
      </c>
      <c r="AE247" s="1302">
        <v>0</v>
      </c>
      <c r="AF247" s="1311">
        <f t="shared" si="13"/>
        <v>4440</v>
      </c>
      <c r="AG247" s="1322">
        <v>22350</v>
      </c>
    </row>
    <row r="248" spans="1:35" s="2" customFormat="1">
      <c r="A248" s="134">
        <f t="shared" si="12"/>
        <v>2012.11</v>
      </c>
      <c r="B248" s="611">
        <v>1836983</v>
      </c>
      <c r="C248" s="1291">
        <v>19611</v>
      </c>
      <c r="D248" s="1291">
        <v>0</v>
      </c>
      <c r="E248" s="334">
        <v>0</v>
      </c>
      <c r="F248" s="1181">
        <v>348703</v>
      </c>
      <c r="G248" s="1291">
        <v>8537</v>
      </c>
      <c r="H248" s="1291">
        <v>0</v>
      </c>
      <c r="I248" s="180">
        <v>0</v>
      </c>
      <c r="J248" s="1181">
        <v>1420935</v>
      </c>
      <c r="K248" s="1291">
        <v>10169</v>
      </c>
      <c r="L248" s="1291">
        <v>0</v>
      </c>
      <c r="M248" s="180">
        <v>0</v>
      </c>
      <c r="N248" s="1181">
        <v>12122</v>
      </c>
      <c r="O248" s="1291">
        <v>0</v>
      </c>
      <c r="P248" s="1291">
        <v>0</v>
      </c>
      <c r="Q248" s="180">
        <v>0</v>
      </c>
      <c r="R248" s="334">
        <v>2236196</v>
      </c>
      <c r="S248" s="1291">
        <v>189350</v>
      </c>
      <c r="T248" s="1291">
        <v>28</v>
      </c>
      <c r="U248" s="180">
        <v>0</v>
      </c>
      <c r="V248" s="334">
        <v>26496</v>
      </c>
      <c r="W248" s="1302">
        <v>292800</v>
      </c>
      <c r="X248" s="1181">
        <v>0</v>
      </c>
      <c r="Y248" s="1302">
        <v>0</v>
      </c>
      <c r="Z248" s="1311">
        <f t="shared" si="10"/>
        <v>319296</v>
      </c>
      <c r="AA248" s="1302">
        <f>330546</f>
        <v>330546</v>
      </c>
      <c r="AB248" s="1181">
        <v>2000</v>
      </c>
      <c r="AC248" s="1302">
        <v>2700</v>
      </c>
      <c r="AD248" s="1181">
        <v>0</v>
      </c>
      <c r="AE248" s="1302">
        <v>0</v>
      </c>
      <c r="AF248" s="1311">
        <f t="shared" si="13"/>
        <v>4700</v>
      </c>
      <c r="AG248" s="1322">
        <v>32560</v>
      </c>
    </row>
    <row r="249" spans="1:35" s="2" customFormat="1">
      <c r="A249" s="134">
        <f t="shared" si="12"/>
        <v>2012.12</v>
      </c>
      <c r="B249" s="611">
        <v>1538074</v>
      </c>
      <c r="C249" s="1291">
        <v>65502</v>
      </c>
      <c r="D249" s="1291">
        <v>0</v>
      </c>
      <c r="E249" s="334">
        <v>0</v>
      </c>
      <c r="F249" s="1181">
        <v>297386</v>
      </c>
      <c r="G249" s="1291">
        <v>25756</v>
      </c>
      <c r="H249" s="1291">
        <v>0</v>
      </c>
      <c r="I249" s="180">
        <v>0</v>
      </c>
      <c r="J249" s="1181">
        <v>1190121</v>
      </c>
      <c r="K249" s="1291">
        <v>28768</v>
      </c>
      <c r="L249" s="1291">
        <v>0</v>
      </c>
      <c r="M249" s="180">
        <v>0</v>
      </c>
      <c r="N249" s="1181">
        <v>10210</v>
      </c>
      <c r="O249" s="1291">
        <v>0</v>
      </c>
      <c r="P249" s="1291">
        <v>0</v>
      </c>
      <c r="Q249" s="180">
        <v>0</v>
      </c>
      <c r="R249" s="334">
        <v>1957999</v>
      </c>
      <c r="S249" s="1291">
        <v>154272</v>
      </c>
      <c r="T249" s="1291">
        <v>100</v>
      </c>
      <c r="U249" s="180">
        <v>0</v>
      </c>
      <c r="V249" s="334">
        <v>5200</v>
      </c>
      <c r="W249" s="1302">
        <v>236469</v>
      </c>
      <c r="X249" s="1181">
        <v>0</v>
      </c>
      <c r="Y249" s="1302">
        <v>4312</v>
      </c>
      <c r="Z249" s="1311">
        <f t="shared" si="10"/>
        <v>245981</v>
      </c>
      <c r="AA249" s="1302">
        <f>306759+4312</f>
        <v>311071</v>
      </c>
      <c r="AB249" s="1181">
        <v>0</v>
      </c>
      <c r="AC249" s="1302">
        <v>8500</v>
      </c>
      <c r="AD249" s="1181">
        <v>0</v>
      </c>
      <c r="AE249" s="1302">
        <v>0</v>
      </c>
      <c r="AF249" s="1311">
        <f t="shared" si="13"/>
        <v>8500</v>
      </c>
      <c r="AG249" s="1322">
        <v>40716</v>
      </c>
    </row>
    <row r="250" spans="1:35" s="2" customFormat="1">
      <c r="A250" s="134">
        <f t="shared" si="12"/>
        <v>2013.01</v>
      </c>
      <c r="B250" s="611">
        <v>1451685</v>
      </c>
      <c r="C250" s="1291">
        <v>176787</v>
      </c>
      <c r="D250" s="1291">
        <v>0</v>
      </c>
      <c r="E250" s="334">
        <v>0</v>
      </c>
      <c r="F250" s="1181">
        <v>278912</v>
      </c>
      <c r="G250" s="1291">
        <v>70085</v>
      </c>
      <c r="H250" s="1291">
        <v>0</v>
      </c>
      <c r="I250" s="180">
        <v>0</v>
      </c>
      <c r="J250" s="1181">
        <v>1127653</v>
      </c>
      <c r="K250" s="1291">
        <v>82705</v>
      </c>
      <c r="L250" s="1291">
        <v>0</v>
      </c>
      <c r="M250" s="180">
        <v>0</v>
      </c>
      <c r="N250" s="1181">
        <v>10671</v>
      </c>
      <c r="O250" s="1291">
        <v>0</v>
      </c>
      <c r="P250" s="1291">
        <v>0</v>
      </c>
      <c r="Q250" s="180">
        <v>0</v>
      </c>
      <c r="R250" s="334">
        <v>1708802</v>
      </c>
      <c r="S250" s="1291">
        <v>331824</v>
      </c>
      <c r="T250" s="1291">
        <v>500</v>
      </c>
      <c r="U250" s="180">
        <v>0</v>
      </c>
      <c r="V250" s="334">
        <v>46311</v>
      </c>
      <c r="W250" s="1302">
        <v>76654</v>
      </c>
      <c r="X250" s="1181">
        <v>0</v>
      </c>
      <c r="Y250" s="1302">
        <v>0</v>
      </c>
      <c r="Z250" s="1311">
        <f t="shared" si="10"/>
        <v>122965</v>
      </c>
      <c r="AA250" s="1302">
        <v>176779</v>
      </c>
      <c r="AB250" s="1181">
        <v>0</v>
      </c>
      <c r="AC250" s="1302">
        <v>54150</v>
      </c>
      <c r="AD250" s="1181">
        <v>0</v>
      </c>
      <c r="AE250" s="1302">
        <v>0</v>
      </c>
      <c r="AF250" s="1311">
        <f t="shared" si="13"/>
        <v>54150</v>
      </c>
      <c r="AG250" s="1322">
        <v>64350</v>
      </c>
    </row>
    <row r="251" spans="1:35" s="2" customFormat="1">
      <c r="A251" s="134">
        <f t="shared" si="12"/>
        <v>2013.02</v>
      </c>
      <c r="B251" s="611">
        <v>973744</v>
      </c>
      <c r="C251" s="1291">
        <v>161114</v>
      </c>
      <c r="D251" s="1291">
        <v>0</v>
      </c>
      <c r="E251" s="334">
        <v>0</v>
      </c>
      <c r="F251" s="1181">
        <v>187174</v>
      </c>
      <c r="G251" s="1291">
        <v>64010</v>
      </c>
      <c r="H251" s="1291">
        <v>0</v>
      </c>
      <c r="I251" s="180">
        <v>0</v>
      </c>
      <c r="J251" s="1181">
        <v>754313</v>
      </c>
      <c r="K251" s="1291">
        <v>73611</v>
      </c>
      <c r="L251" s="1291">
        <v>0</v>
      </c>
      <c r="M251" s="180">
        <v>0</v>
      </c>
      <c r="N251" s="1181">
        <v>9263</v>
      </c>
      <c r="O251" s="1291">
        <v>0</v>
      </c>
      <c r="P251" s="1291">
        <v>0</v>
      </c>
      <c r="Q251" s="180">
        <v>0</v>
      </c>
      <c r="R251" s="334">
        <v>1212383</v>
      </c>
      <c r="S251" s="1291">
        <v>276254</v>
      </c>
      <c r="T251" s="1291">
        <v>295</v>
      </c>
      <c r="U251" s="180">
        <v>0</v>
      </c>
      <c r="V251" s="334">
        <v>22066</v>
      </c>
      <c r="W251" s="1302">
        <v>167725</v>
      </c>
      <c r="X251" s="1181">
        <v>0</v>
      </c>
      <c r="Y251" s="1302">
        <f>11368+4779</f>
        <v>16147</v>
      </c>
      <c r="Z251" s="1311">
        <f t="shared" si="10"/>
        <v>205938</v>
      </c>
      <c r="AA251" s="1302">
        <f>235470+11368+4779</f>
        <v>251617</v>
      </c>
      <c r="AB251" s="1181">
        <v>0</v>
      </c>
      <c r="AC251" s="1302">
        <v>46100</v>
      </c>
      <c r="AD251" s="1181">
        <v>0</v>
      </c>
      <c r="AE251" s="1302">
        <v>0</v>
      </c>
      <c r="AF251" s="1311">
        <f t="shared" si="13"/>
        <v>46100</v>
      </c>
      <c r="AG251" s="1322">
        <v>52450</v>
      </c>
    </row>
    <row r="252" spans="1:35" s="2" customFormat="1">
      <c r="A252" s="134">
        <f t="shared" si="12"/>
        <v>2013.03</v>
      </c>
      <c r="B252" s="611">
        <v>1478890</v>
      </c>
      <c r="C252" s="1291">
        <v>112941</v>
      </c>
      <c r="D252" s="1291">
        <v>0</v>
      </c>
      <c r="E252" s="334">
        <v>0</v>
      </c>
      <c r="F252" s="1181">
        <v>287250</v>
      </c>
      <c r="G252" s="1291">
        <v>46515</v>
      </c>
      <c r="H252" s="1291">
        <v>0</v>
      </c>
      <c r="I252" s="180">
        <v>0</v>
      </c>
      <c r="J252" s="1181">
        <v>1136603</v>
      </c>
      <c r="K252" s="1291">
        <v>51955</v>
      </c>
      <c r="L252" s="1291">
        <v>0</v>
      </c>
      <c r="M252" s="180">
        <v>0</v>
      </c>
      <c r="N252" s="1181">
        <v>11925</v>
      </c>
      <c r="O252" s="1291">
        <v>0</v>
      </c>
      <c r="P252" s="1291">
        <v>0</v>
      </c>
      <c r="Q252" s="180">
        <v>0</v>
      </c>
      <c r="R252" s="334">
        <v>1721068</v>
      </c>
      <c r="S252" s="1291">
        <v>411044</v>
      </c>
      <c r="T252" s="1291">
        <v>82</v>
      </c>
      <c r="U252" s="180">
        <v>3107</v>
      </c>
      <c r="V252" s="334">
        <v>8956</v>
      </c>
      <c r="W252" s="1302">
        <v>120408</v>
      </c>
      <c r="X252" s="1181">
        <v>15846</v>
      </c>
      <c r="Y252" s="1302">
        <v>0</v>
      </c>
      <c r="Z252" s="1311">
        <f t="shared" si="10"/>
        <v>145210</v>
      </c>
      <c r="AA252" s="1302">
        <f>151924+15846</f>
        <v>167770</v>
      </c>
      <c r="AB252" s="1181">
        <v>0</v>
      </c>
      <c r="AC252" s="1302">
        <v>25026</v>
      </c>
      <c r="AD252" s="1181">
        <v>0</v>
      </c>
      <c r="AE252" s="1302">
        <v>0</v>
      </c>
      <c r="AF252" s="1311">
        <f t="shared" si="13"/>
        <v>25026</v>
      </c>
      <c r="AG252" s="1322">
        <v>35026</v>
      </c>
    </row>
    <row r="253" spans="1:35" s="2" customFormat="1">
      <c r="A253" s="134">
        <f t="shared" si="12"/>
        <v>2013.04</v>
      </c>
      <c r="B253" s="611">
        <v>3044899</v>
      </c>
      <c r="C253" s="1291">
        <v>70902</v>
      </c>
      <c r="D253" s="1291">
        <v>0</v>
      </c>
      <c r="E253" s="334">
        <v>0</v>
      </c>
      <c r="F253" s="1181">
        <v>594210</v>
      </c>
      <c r="G253" s="1291">
        <v>28925</v>
      </c>
      <c r="H253" s="1291">
        <v>0</v>
      </c>
      <c r="I253" s="180">
        <v>0</v>
      </c>
      <c r="J253" s="1181">
        <v>2338356</v>
      </c>
      <c r="K253" s="1291">
        <v>34520</v>
      </c>
      <c r="L253" s="1291">
        <v>0</v>
      </c>
      <c r="M253" s="180">
        <v>0</v>
      </c>
      <c r="N253" s="1181">
        <v>14879</v>
      </c>
      <c r="O253" s="1291">
        <v>0</v>
      </c>
      <c r="P253" s="1291">
        <v>0</v>
      </c>
      <c r="Q253" s="180">
        <v>0</v>
      </c>
      <c r="R253" s="334">
        <v>3587628</v>
      </c>
      <c r="S253" s="1291">
        <v>284528</v>
      </c>
      <c r="T253" s="1291">
        <v>50</v>
      </c>
      <c r="U253" s="180">
        <v>0</v>
      </c>
      <c r="V253" s="334">
        <v>39450</v>
      </c>
      <c r="W253" s="1302">
        <v>380223</v>
      </c>
      <c r="X253" s="1181">
        <v>13000</v>
      </c>
      <c r="Y253" s="1302">
        <v>0</v>
      </c>
      <c r="Z253" s="1311">
        <f t="shared" si="10"/>
        <v>432673</v>
      </c>
      <c r="AA253" s="1302">
        <f>459357+13000</f>
        <v>472357</v>
      </c>
      <c r="AB253" s="1181">
        <v>0</v>
      </c>
      <c r="AC253" s="1302">
        <v>14280</v>
      </c>
      <c r="AD253" s="1181">
        <v>0</v>
      </c>
      <c r="AE253" s="1302">
        <v>0</v>
      </c>
      <c r="AF253" s="1311">
        <f t="shared" si="13"/>
        <v>14280</v>
      </c>
      <c r="AG253" s="1322">
        <v>50484</v>
      </c>
    </row>
    <row r="254" spans="1:35" s="2" customFormat="1">
      <c r="A254" s="134">
        <f t="shared" si="12"/>
        <v>2013.05</v>
      </c>
      <c r="B254" s="611">
        <v>3324968</v>
      </c>
      <c r="C254" s="1291">
        <v>73592</v>
      </c>
      <c r="D254" s="1291">
        <v>0</v>
      </c>
      <c r="E254" s="334">
        <v>25796</v>
      </c>
      <c r="F254" s="1181">
        <v>621742</v>
      </c>
      <c r="G254" s="1291">
        <v>29571</v>
      </c>
      <c r="H254" s="1291">
        <v>0</v>
      </c>
      <c r="I254" s="180">
        <v>3953</v>
      </c>
      <c r="J254" s="1181">
        <v>2564450</v>
      </c>
      <c r="K254" s="1291">
        <v>35336</v>
      </c>
      <c r="L254" s="1291">
        <v>0</v>
      </c>
      <c r="M254" s="180">
        <v>21326</v>
      </c>
      <c r="N254" s="1181">
        <v>14367</v>
      </c>
      <c r="O254" s="1291">
        <v>0</v>
      </c>
      <c r="P254" s="1291">
        <v>0</v>
      </c>
      <c r="Q254" s="180">
        <v>0</v>
      </c>
      <c r="R254" s="334">
        <v>3933147</v>
      </c>
      <c r="S254" s="1291">
        <v>202431</v>
      </c>
      <c r="T254" s="1291">
        <v>0</v>
      </c>
      <c r="U254" s="180">
        <v>25796</v>
      </c>
      <c r="V254" s="334">
        <v>94837</v>
      </c>
      <c r="W254" s="1302">
        <v>513870</v>
      </c>
      <c r="X254" s="1181">
        <v>10810</v>
      </c>
      <c r="Y254" s="1302">
        <v>20450</v>
      </c>
      <c r="Z254" s="1311">
        <f t="shared" si="10"/>
        <v>639967</v>
      </c>
      <c r="AA254" s="1302">
        <f>632207+10810+20450</f>
        <v>663467</v>
      </c>
      <c r="AB254" s="1181">
        <v>0</v>
      </c>
      <c r="AC254" s="1302">
        <v>7440</v>
      </c>
      <c r="AD254" s="1181">
        <v>0</v>
      </c>
      <c r="AE254" s="1302">
        <v>0</v>
      </c>
      <c r="AF254" s="1311">
        <f t="shared" si="13"/>
        <v>7440</v>
      </c>
      <c r="AG254" s="1322">
        <v>22560</v>
      </c>
    </row>
    <row r="255" spans="1:35" s="2" customFormat="1">
      <c r="A255" s="134">
        <f t="shared" si="12"/>
        <v>2013.06</v>
      </c>
      <c r="B255" s="611">
        <v>3394774</v>
      </c>
      <c r="C255" s="1291">
        <v>58565</v>
      </c>
      <c r="D255" s="1291">
        <v>0</v>
      </c>
      <c r="E255" s="334">
        <v>22270</v>
      </c>
      <c r="F255" s="1181">
        <v>635638</v>
      </c>
      <c r="G255" s="1291">
        <v>23831</v>
      </c>
      <c r="H255" s="1291">
        <v>0</v>
      </c>
      <c r="I255" s="180">
        <v>3627</v>
      </c>
      <c r="J255" s="1181">
        <v>2610701</v>
      </c>
      <c r="K255" s="1291">
        <v>28844</v>
      </c>
      <c r="L255" s="1291">
        <v>0</v>
      </c>
      <c r="M255" s="180">
        <v>18197</v>
      </c>
      <c r="N255" s="1181">
        <v>13931</v>
      </c>
      <c r="O255" s="1291">
        <v>0</v>
      </c>
      <c r="P255" s="1291">
        <v>0</v>
      </c>
      <c r="Q255" s="180">
        <v>0</v>
      </c>
      <c r="R255" s="334">
        <v>3925034</v>
      </c>
      <c r="S255" s="1291">
        <v>213761</v>
      </c>
      <c r="T255" s="1291">
        <v>0</v>
      </c>
      <c r="U255" s="180">
        <v>22270</v>
      </c>
      <c r="V255" s="334">
        <v>50117</v>
      </c>
      <c r="W255" s="1302">
        <v>419135</v>
      </c>
      <c r="X255" s="1181">
        <v>0</v>
      </c>
      <c r="Y255" s="1302">
        <v>8116</v>
      </c>
      <c r="Z255" s="1311">
        <f t="shared" si="10"/>
        <v>477368</v>
      </c>
      <c r="AA255" s="1302">
        <f>506852+8116</f>
        <v>514968</v>
      </c>
      <c r="AB255" s="1181">
        <v>0</v>
      </c>
      <c r="AC255" s="1302">
        <v>5300</v>
      </c>
      <c r="AD255" s="1181">
        <v>0</v>
      </c>
      <c r="AE255" s="1302">
        <v>0</v>
      </c>
      <c r="AF255" s="1311">
        <f t="shared" si="13"/>
        <v>5300</v>
      </c>
      <c r="AG255" s="1322">
        <v>15250</v>
      </c>
    </row>
    <row r="256" spans="1:35" s="2" customFormat="1">
      <c r="A256" s="134">
        <f t="shared" si="12"/>
        <v>2013.07</v>
      </c>
      <c r="B256" s="611">
        <v>3133681</v>
      </c>
      <c r="C256" s="1291">
        <v>65763</v>
      </c>
      <c r="D256" s="1291">
        <v>0</v>
      </c>
      <c r="E256" s="334">
        <v>10892</v>
      </c>
      <c r="F256" s="1181">
        <v>591396</v>
      </c>
      <c r="G256" s="1291">
        <v>26967</v>
      </c>
      <c r="H256" s="1291">
        <v>0</v>
      </c>
      <c r="I256" s="180">
        <v>1941</v>
      </c>
      <c r="J256" s="1181">
        <v>2420311</v>
      </c>
      <c r="K256" s="1291">
        <v>31606</v>
      </c>
      <c r="L256" s="1291">
        <v>0</v>
      </c>
      <c r="M256" s="180">
        <v>8733</v>
      </c>
      <c r="N256" s="1181">
        <v>15040</v>
      </c>
      <c r="O256" s="1291">
        <v>0</v>
      </c>
      <c r="P256" s="1291">
        <v>0</v>
      </c>
      <c r="Q256" s="180">
        <v>0</v>
      </c>
      <c r="R256" s="334">
        <v>3641364</v>
      </c>
      <c r="S256" s="1291">
        <v>176382</v>
      </c>
      <c r="T256" s="1291">
        <v>64</v>
      </c>
      <c r="U256" s="180">
        <v>10892</v>
      </c>
      <c r="V256" s="334">
        <v>87650</v>
      </c>
      <c r="W256" s="1302">
        <v>311120</v>
      </c>
      <c r="X256" s="1181">
        <v>0</v>
      </c>
      <c r="Y256" s="1302">
        <f>23414+1972</f>
        <v>25386</v>
      </c>
      <c r="Z256" s="1311">
        <f t="shared" si="10"/>
        <v>424156</v>
      </c>
      <c r="AA256" s="1302">
        <f>409770+25386</f>
        <v>435156</v>
      </c>
      <c r="AB256" s="1181">
        <v>0</v>
      </c>
      <c r="AC256" s="1302">
        <v>3400</v>
      </c>
      <c r="AD256" s="1181">
        <v>0</v>
      </c>
      <c r="AE256" s="1302">
        <v>0</v>
      </c>
      <c r="AF256" s="1311">
        <f t="shared" si="13"/>
        <v>3400</v>
      </c>
      <c r="AG256" s="1322">
        <v>5499</v>
      </c>
    </row>
    <row r="257" spans="1:33" s="2" customFormat="1">
      <c r="A257" s="134">
        <f t="shared" si="12"/>
        <v>2013.08</v>
      </c>
      <c r="B257" s="611">
        <v>3094712</v>
      </c>
      <c r="C257" s="1291">
        <v>40301</v>
      </c>
      <c r="D257" s="1291">
        <v>0</v>
      </c>
      <c r="E257" s="334">
        <v>22982</v>
      </c>
      <c r="F257" s="1181">
        <v>578223</v>
      </c>
      <c r="G257" s="1291">
        <v>16791</v>
      </c>
      <c r="H257" s="1291">
        <v>0</v>
      </c>
      <c r="I257" s="180">
        <v>4596</v>
      </c>
      <c r="J257" s="1181">
        <v>2377826</v>
      </c>
      <c r="K257" s="1291">
        <v>19688</v>
      </c>
      <c r="L257" s="1291">
        <v>0</v>
      </c>
      <c r="M257" s="180">
        <v>17926</v>
      </c>
      <c r="N257" s="1181">
        <v>16728</v>
      </c>
      <c r="O257" s="1291">
        <v>0</v>
      </c>
      <c r="P257" s="1291">
        <v>0</v>
      </c>
      <c r="Q257" s="180">
        <v>0</v>
      </c>
      <c r="R257" s="334">
        <v>3678455</v>
      </c>
      <c r="S257" s="1291">
        <v>155861</v>
      </c>
      <c r="T257" s="1291">
        <v>0</v>
      </c>
      <c r="U257" s="180">
        <v>22982</v>
      </c>
      <c r="V257" s="334">
        <v>72516</v>
      </c>
      <c r="W257" s="1302">
        <v>352754</v>
      </c>
      <c r="X257" s="1181">
        <f>5293</f>
        <v>5293</v>
      </c>
      <c r="Y257" s="1302">
        <f>27959+8656</f>
        <v>36615</v>
      </c>
      <c r="Z257" s="1311">
        <f t="shared" si="10"/>
        <v>467178</v>
      </c>
      <c r="AA257" s="1302">
        <f>444020+33252+8656</f>
        <v>485928</v>
      </c>
      <c r="AB257" s="1181">
        <v>0</v>
      </c>
      <c r="AC257" s="1302">
        <v>4500</v>
      </c>
      <c r="AD257" s="1181">
        <v>0</v>
      </c>
      <c r="AE257" s="1302">
        <v>0</v>
      </c>
      <c r="AF257" s="1311">
        <f t="shared" si="13"/>
        <v>4500</v>
      </c>
      <c r="AG257" s="1322">
        <v>9245</v>
      </c>
    </row>
    <row r="258" spans="1:33" s="2" customFormat="1">
      <c r="A258" s="134">
        <f t="shared" si="12"/>
        <v>2013.09</v>
      </c>
      <c r="B258" s="611">
        <v>3117419</v>
      </c>
      <c r="C258" s="1291">
        <v>50011</v>
      </c>
      <c r="D258" s="1291">
        <v>0</v>
      </c>
      <c r="E258" s="334">
        <v>2440</v>
      </c>
      <c r="F258" s="1181">
        <v>594240</v>
      </c>
      <c r="G258" s="1291">
        <v>20447</v>
      </c>
      <c r="H258" s="1291">
        <v>0</v>
      </c>
      <c r="I258" s="180">
        <v>415</v>
      </c>
      <c r="J258" s="1181">
        <v>2378638</v>
      </c>
      <c r="K258" s="1291">
        <v>24640</v>
      </c>
      <c r="L258" s="1291">
        <v>0</v>
      </c>
      <c r="M258" s="180">
        <v>1977</v>
      </c>
      <c r="N258" s="1181">
        <v>15405</v>
      </c>
      <c r="O258" s="1291">
        <v>0</v>
      </c>
      <c r="P258" s="1291">
        <v>0</v>
      </c>
      <c r="Q258" s="180">
        <v>0</v>
      </c>
      <c r="R258" s="334">
        <v>3582271</v>
      </c>
      <c r="S258" s="1291">
        <v>190218</v>
      </c>
      <c r="T258" s="1291">
        <v>0</v>
      </c>
      <c r="U258" s="180">
        <v>2440</v>
      </c>
      <c r="V258" s="334">
        <v>55420</v>
      </c>
      <c r="W258" s="1302">
        <v>434770</v>
      </c>
      <c r="X258" s="1181">
        <f>4761</f>
        <v>4761</v>
      </c>
      <c r="Y258" s="1302">
        <f>27600+2007</f>
        <v>29607</v>
      </c>
      <c r="Z258" s="1311">
        <f t="shared" si="10"/>
        <v>524558</v>
      </c>
      <c r="AA258" s="1302">
        <f>524190+32361+2007</f>
        <v>558558</v>
      </c>
      <c r="AB258" s="1181">
        <v>0</v>
      </c>
      <c r="AC258" s="1302">
        <v>4000</v>
      </c>
      <c r="AD258" s="1181">
        <v>0</v>
      </c>
      <c r="AE258" s="1302">
        <v>0</v>
      </c>
      <c r="AF258" s="1311">
        <f t="shared" si="13"/>
        <v>4000</v>
      </c>
      <c r="AG258" s="1322">
        <v>4000</v>
      </c>
    </row>
    <row r="259" spans="1:33" s="2" customFormat="1">
      <c r="A259" s="134">
        <f t="shared" si="12"/>
        <v>2013.1</v>
      </c>
      <c r="B259" s="611">
        <v>2494526</v>
      </c>
      <c r="C259" s="1291">
        <v>51692</v>
      </c>
      <c r="D259" s="1291">
        <v>0</v>
      </c>
      <c r="E259" s="334">
        <v>0</v>
      </c>
      <c r="F259" s="1181">
        <v>473307</v>
      </c>
      <c r="G259" s="1291">
        <v>21285</v>
      </c>
      <c r="H259" s="1291">
        <v>0</v>
      </c>
      <c r="I259" s="180">
        <v>0</v>
      </c>
      <c r="J259" s="1181">
        <v>1932962</v>
      </c>
      <c r="K259" s="1291">
        <v>23136</v>
      </c>
      <c r="L259" s="1291">
        <v>0</v>
      </c>
      <c r="M259" s="180">
        <v>0</v>
      </c>
      <c r="N259" s="1181">
        <v>17613</v>
      </c>
      <c r="O259" s="1291">
        <v>0</v>
      </c>
      <c r="P259" s="1291">
        <v>0</v>
      </c>
      <c r="Q259" s="180">
        <v>0</v>
      </c>
      <c r="R259" s="334">
        <v>2963012</v>
      </c>
      <c r="S259" s="1291">
        <v>201893</v>
      </c>
      <c r="T259" s="1291">
        <v>0</v>
      </c>
      <c r="U259" s="180">
        <v>0</v>
      </c>
      <c r="V259" s="334">
        <v>25000</v>
      </c>
      <c r="W259" s="1302">
        <v>285746</v>
      </c>
      <c r="X259" s="1181">
        <f>5293</f>
        <v>5293</v>
      </c>
      <c r="Y259" s="1302">
        <f>27959+8656</f>
        <v>36615</v>
      </c>
      <c r="Z259" s="1311">
        <f t="shared" si="10"/>
        <v>352654</v>
      </c>
      <c r="AA259" s="1302">
        <f>310746+33252+8656</f>
        <v>352654</v>
      </c>
      <c r="AB259" s="1181">
        <v>0</v>
      </c>
      <c r="AC259" s="1302">
        <v>9550</v>
      </c>
      <c r="AD259" s="1181">
        <v>0</v>
      </c>
      <c r="AE259" s="1302">
        <v>0</v>
      </c>
      <c r="AF259" s="1311">
        <f t="shared" si="13"/>
        <v>9550</v>
      </c>
      <c r="AG259" s="1322">
        <v>12050</v>
      </c>
    </row>
    <row r="260" spans="1:33" s="2" customFormat="1">
      <c r="A260" s="134">
        <f t="shared" si="12"/>
        <v>2013.11</v>
      </c>
      <c r="B260" s="611">
        <v>2038608</v>
      </c>
      <c r="C260" s="1291">
        <v>0</v>
      </c>
      <c r="D260" s="1291">
        <v>0</v>
      </c>
      <c r="E260" s="334">
        <v>0</v>
      </c>
      <c r="F260" s="1181">
        <v>390223</v>
      </c>
      <c r="G260" s="1291">
        <v>0</v>
      </c>
      <c r="H260" s="1291">
        <v>0</v>
      </c>
      <c r="I260" s="180">
        <v>0</v>
      </c>
      <c r="J260" s="1181">
        <v>1607056</v>
      </c>
      <c r="K260" s="1291">
        <v>0</v>
      </c>
      <c r="L260" s="1291">
        <v>0</v>
      </c>
      <c r="M260" s="180">
        <v>0</v>
      </c>
      <c r="N260" s="1181">
        <v>13907</v>
      </c>
      <c r="O260" s="1291">
        <v>0</v>
      </c>
      <c r="P260" s="1291">
        <v>0</v>
      </c>
      <c r="Q260" s="180">
        <v>0</v>
      </c>
      <c r="R260" s="334">
        <v>2318967</v>
      </c>
      <c r="S260" s="1291">
        <v>58460</v>
      </c>
      <c r="T260" s="1291">
        <v>0</v>
      </c>
      <c r="U260" s="180">
        <v>0</v>
      </c>
      <c r="V260" s="334">
        <v>26105</v>
      </c>
      <c r="W260" s="1302">
        <v>305472</v>
      </c>
      <c r="X260" s="1181">
        <f>6195</f>
        <v>6195</v>
      </c>
      <c r="Y260" s="1302">
        <f>41315+2559</f>
        <v>43874</v>
      </c>
      <c r="Z260" s="1311">
        <f t="shared" si="10"/>
        <v>381646</v>
      </c>
      <c r="AA260" s="1302">
        <f>331577+47510+2559</f>
        <v>381646</v>
      </c>
      <c r="AB260" s="1181">
        <v>0</v>
      </c>
      <c r="AC260" s="1302">
        <v>5200</v>
      </c>
      <c r="AD260" s="1181">
        <v>0</v>
      </c>
      <c r="AE260" s="1302">
        <v>0</v>
      </c>
      <c r="AF260" s="1311">
        <f t="shared" si="13"/>
        <v>5200</v>
      </c>
      <c r="AG260" s="1322">
        <v>10900</v>
      </c>
    </row>
    <row r="261" spans="1:33" s="2" customFormat="1">
      <c r="A261" s="134">
        <f t="shared" si="12"/>
        <v>2013.12</v>
      </c>
      <c r="B261" s="611">
        <v>1417314</v>
      </c>
      <c r="C261" s="1291">
        <v>22388</v>
      </c>
      <c r="D261" s="1291">
        <v>0</v>
      </c>
      <c r="E261" s="334">
        <v>0</v>
      </c>
      <c r="F261" s="1181">
        <v>268820</v>
      </c>
      <c r="G261" s="1291">
        <v>9116</v>
      </c>
      <c r="H261" s="1291">
        <v>0</v>
      </c>
      <c r="I261" s="180">
        <v>0</v>
      </c>
      <c r="J261" s="1181">
        <v>1093675</v>
      </c>
      <c r="K261" s="1291">
        <v>10204</v>
      </c>
      <c r="L261" s="1291">
        <v>0</v>
      </c>
      <c r="M261" s="180">
        <v>0</v>
      </c>
      <c r="N261" s="1181">
        <v>13022</v>
      </c>
      <c r="O261" s="1291">
        <v>0</v>
      </c>
      <c r="P261" s="1291">
        <v>0</v>
      </c>
      <c r="Q261" s="180">
        <v>0</v>
      </c>
      <c r="R261" s="334">
        <v>1768668</v>
      </c>
      <c r="S261" s="1291">
        <v>81755</v>
      </c>
      <c r="T261" s="1291">
        <v>0</v>
      </c>
      <c r="U261" s="180">
        <v>0</v>
      </c>
      <c r="V261" s="334">
        <v>23312</v>
      </c>
      <c r="W261" s="1302">
        <v>280344</v>
      </c>
      <c r="X261" s="1181">
        <f>6914</f>
        <v>6914</v>
      </c>
      <c r="Y261" s="1302">
        <f>54213+5794</f>
        <v>60007</v>
      </c>
      <c r="Z261" s="1311">
        <f t="shared" si="10"/>
        <v>370577</v>
      </c>
      <c r="AA261" s="1302">
        <f>303656+61127+5794</f>
        <v>370577</v>
      </c>
      <c r="AB261" s="1181">
        <v>0</v>
      </c>
      <c r="AC261" s="1302">
        <v>0</v>
      </c>
      <c r="AD261" s="1181">
        <v>0</v>
      </c>
      <c r="AE261" s="1302">
        <v>0</v>
      </c>
      <c r="AF261" s="1311">
        <f t="shared" si="13"/>
        <v>0</v>
      </c>
      <c r="AG261" s="1322">
        <v>2550</v>
      </c>
    </row>
    <row r="262" spans="1:33" s="2" customFormat="1">
      <c r="A262" s="134">
        <f t="shared" si="12"/>
        <v>2014.01</v>
      </c>
      <c r="B262" s="611">
        <v>1597188</v>
      </c>
      <c r="C262" s="1291">
        <v>101164</v>
      </c>
      <c r="D262" s="1291">
        <v>0</v>
      </c>
      <c r="E262" s="334">
        <v>0</v>
      </c>
      <c r="F262" s="1181">
        <v>307178</v>
      </c>
      <c r="G262" s="1291">
        <v>38675</v>
      </c>
      <c r="H262" s="1291">
        <v>0</v>
      </c>
      <c r="I262" s="180">
        <v>0</v>
      </c>
      <c r="J262" s="1181">
        <v>1214323</v>
      </c>
      <c r="K262" s="1291">
        <v>49381</v>
      </c>
      <c r="L262" s="1291">
        <v>0</v>
      </c>
      <c r="M262" s="180">
        <v>0</v>
      </c>
      <c r="N262" s="1181">
        <v>14073</v>
      </c>
      <c r="O262" s="1291">
        <v>0</v>
      </c>
      <c r="P262" s="1291">
        <v>0</v>
      </c>
      <c r="Q262" s="180">
        <v>0</v>
      </c>
      <c r="R262" s="334">
        <v>1968357</v>
      </c>
      <c r="S262" s="1291">
        <v>180816</v>
      </c>
      <c r="T262" s="1291">
        <v>1000</v>
      </c>
      <c r="U262" s="180">
        <v>0</v>
      </c>
      <c r="V262" s="334">
        <v>28905</v>
      </c>
      <c r="W262" s="1302">
        <v>153445</v>
      </c>
      <c r="X262" s="1181">
        <v>4895</v>
      </c>
      <c r="Y262" s="1302">
        <v>35000</v>
      </c>
      <c r="Z262" s="1311">
        <f t="shared" si="10"/>
        <v>222245</v>
      </c>
      <c r="AA262" s="1302">
        <v>233105</v>
      </c>
      <c r="AB262" s="1181">
        <v>0</v>
      </c>
      <c r="AC262" s="1302">
        <v>500</v>
      </c>
      <c r="AD262" s="1181">
        <v>0</v>
      </c>
      <c r="AE262" s="1302">
        <v>0</v>
      </c>
      <c r="AF262" s="1311">
        <f t="shared" si="13"/>
        <v>500</v>
      </c>
      <c r="AG262" s="1322">
        <v>500</v>
      </c>
    </row>
    <row r="263" spans="1:33" s="2" customFormat="1">
      <c r="A263" s="134">
        <f t="shared" si="12"/>
        <v>2014.02</v>
      </c>
      <c r="B263" s="611">
        <v>1283810</v>
      </c>
      <c r="C263" s="1291">
        <v>89431</v>
      </c>
      <c r="D263" s="1291">
        <v>0</v>
      </c>
      <c r="E263" s="334">
        <v>0</v>
      </c>
      <c r="F263" s="1181">
        <v>247469</v>
      </c>
      <c r="G263" s="1291">
        <v>35833</v>
      </c>
      <c r="H263" s="1291">
        <v>0</v>
      </c>
      <c r="I263" s="180">
        <v>0</v>
      </c>
      <c r="J263" s="1181">
        <v>982482</v>
      </c>
      <c r="K263" s="1291">
        <v>37567</v>
      </c>
      <c r="L263" s="1291">
        <v>0</v>
      </c>
      <c r="M263" s="180">
        <v>0</v>
      </c>
      <c r="N263" s="1181">
        <v>11295</v>
      </c>
      <c r="O263" s="1291">
        <v>0</v>
      </c>
      <c r="P263" s="1291">
        <v>0</v>
      </c>
      <c r="Q263" s="180">
        <v>0</v>
      </c>
      <c r="R263" s="334">
        <v>1533689</v>
      </c>
      <c r="S263" s="1291">
        <v>186811</v>
      </c>
      <c r="T263" s="1291">
        <v>100</v>
      </c>
      <c r="U263" s="180">
        <v>0</v>
      </c>
      <c r="V263" s="334">
        <v>20500</v>
      </c>
      <c r="W263" s="1302">
        <v>105658</v>
      </c>
      <c r="X263" s="1181">
        <v>0</v>
      </c>
      <c r="Y263" s="1302">
        <v>28796</v>
      </c>
      <c r="Z263" s="1311">
        <f t="shared" si="10"/>
        <v>154954</v>
      </c>
      <c r="AA263" s="1302">
        <v>169954</v>
      </c>
      <c r="AB263" s="1181">
        <v>3000</v>
      </c>
      <c r="AC263" s="1302">
        <v>1470</v>
      </c>
      <c r="AD263" s="1181">
        <v>0</v>
      </c>
      <c r="AE263" s="1302">
        <v>0</v>
      </c>
      <c r="AF263" s="1311">
        <f t="shared" si="13"/>
        <v>4470</v>
      </c>
      <c r="AG263" s="1322">
        <v>6470</v>
      </c>
    </row>
    <row r="264" spans="1:33" s="2" customFormat="1">
      <c r="A264" s="134">
        <f t="shared" si="12"/>
        <v>2014.03</v>
      </c>
      <c r="B264" s="611">
        <v>1812063</v>
      </c>
      <c r="C264" s="1291">
        <v>74463</v>
      </c>
      <c r="D264" s="1291">
        <v>0</v>
      </c>
      <c r="E264" s="334">
        <v>0</v>
      </c>
      <c r="F264" s="1181">
        <v>352923</v>
      </c>
      <c r="G264" s="1291">
        <v>30344</v>
      </c>
      <c r="H264" s="1291">
        <v>0</v>
      </c>
      <c r="I264" s="180">
        <v>0</v>
      </c>
      <c r="J264" s="1181">
        <v>1377051</v>
      </c>
      <c r="K264" s="1291">
        <v>35235</v>
      </c>
      <c r="L264" s="1291">
        <v>0</v>
      </c>
      <c r="M264" s="180">
        <v>0</v>
      </c>
      <c r="N264" s="1181">
        <v>12653</v>
      </c>
      <c r="O264" s="1291">
        <v>0</v>
      </c>
      <c r="P264" s="1291">
        <v>0</v>
      </c>
      <c r="Q264" s="180">
        <v>0</v>
      </c>
      <c r="R264" s="334">
        <v>2108432</v>
      </c>
      <c r="S264" s="1291">
        <v>320204</v>
      </c>
      <c r="T264" s="1291">
        <v>150</v>
      </c>
      <c r="U264" s="180">
        <v>0</v>
      </c>
      <c r="V264" s="334">
        <v>48177</v>
      </c>
      <c r="W264" s="1302">
        <v>218030</v>
      </c>
      <c r="X264" s="1181">
        <v>6973</v>
      </c>
      <c r="Y264" s="1302">
        <v>21597</v>
      </c>
      <c r="Z264" s="1311">
        <f t="shared" si="10"/>
        <v>294777</v>
      </c>
      <c r="AA264" s="1302">
        <v>313277</v>
      </c>
      <c r="AB264" s="1181">
        <v>0</v>
      </c>
      <c r="AC264" s="1302">
        <v>15730</v>
      </c>
      <c r="AD264" s="1181">
        <v>0</v>
      </c>
      <c r="AE264" s="1302">
        <v>0</v>
      </c>
      <c r="AF264" s="1311">
        <f t="shared" si="13"/>
        <v>15730</v>
      </c>
      <c r="AG264" s="1322">
        <v>15730</v>
      </c>
    </row>
    <row r="265" spans="1:33" s="2" customFormat="1">
      <c r="A265" s="134">
        <f t="shared" si="12"/>
        <v>2014.04</v>
      </c>
      <c r="B265" s="611">
        <v>3432145</v>
      </c>
      <c r="C265" s="1291">
        <v>60386</v>
      </c>
      <c r="D265" s="1291">
        <v>0</v>
      </c>
      <c r="E265" s="334">
        <v>1155</v>
      </c>
      <c r="F265" s="1181">
        <v>646166</v>
      </c>
      <c r="G265" s="1291">
        <v>24900</v>
      </c>
      <c r="H265" s="1291">
        <v>0</v>
      </c>
      <c r="I265" s="180">
        <v>191</v>
      </c>
      <c r="J265" s="1181">
        <v>2598037</v>
      </c>
      <c r="K265" s="1291">
        <v>29409</v>
      </c>
      <c r="L265" s="1291">
        <v>0</v>
      </c>
      <c r="M265" s="180">
        <v>942</v>
      </c>
      <c r="N265" s="1181">
        <v>15988</v>
      </c>
      <c r="O265" s="1291">
        <v>0</v>
      </c>
      <c r="P265" s="1291">
        <v>0</v>
      </c>
      <c r="Q265" s="180">
        <v>0</v>
      </c>
      <c r="R265" s="334">
        <v>3902595</v>
      </c>
      <c r="S265" s="1291">
        <v>278019</v>
      </c>
      <c r="T265" s="1291">
        <v>100</v>
      </c>
      <c r="U265" s="180">
        <v>1155</v>
      </c>
      <c r="V265" s="334">
        <v>29787</v>
      </c>
      <c r="W265" s="1302">
        <v>439309</v>
      </c>
      <c r="X265" s="1181">
        <v>5620</v>
      </c>
      <c r="Y265" s="1302">
        <v>27863</v>
      </c>
      <c r="Z265" s="1311">
        <f t="shared" si="10"/>
        <v>502579</v>
      </c>
      <c r="AA265" s="1302">
        <v>521579</v>
      </c>
      <c r="AB265" s="1181">
        <v>0</v>
      </c>
      <c r="AC265" s="1302">
        <v>15150</v>
      </c>
      <c r="AD265" s="1181">
        <v>0</v>
      </c>
      <c r="AE265" s="1302">
        <v>0</v>
      </c>
      <c r="AF265" s="1311">
        <f>SUM(AB265:AE265)</f>
        <v>15150</v>
      </c>
      <c r="AG265" s="1322">
        <v>25150</v>
      </c>
    </row>
    <row r="266" spans="1:33" s="2" customFormat="1">
      <c r="A266" s="134">
        <f t="shared" si="12"/>
        <v>2014.05</v>
      </c>
      <c r="B266" s="611">
        <v>4040546</v>
      </c>
      <c r="C266" s="1291">
        <v>52270</v>
      </c>
      <c r="D266" s="1291">
        <v>0</v>
      </c>
      <c r="E266" s="334">
        <v>21084</v>
      </c>
      <c r="F266" s="1181">
        <v>744510</v>
      </c>
      <c r="G266" s="1291">
        <v>21574</v>
      </c>
      <c r="H266" s="1291">
        <v>0</v>
      </c>
      <c r="I266" s="180">
        <v>3479</v>
      </c>
      <c r="J266" s="1181">
        <v>3099433</v>
      </c>
      <c r="K266" s="1291">
        <v>25695</v>
      </c>
      <c r="L266" s="1291">
        <v>0</v>
      </c>
      <c r="M266" s="180">
        <v>17184</v>
      </c>
      <c r="N266" s="1181">
        <v>17523</v>
      </c>
      <c r="O266" s="1291">
        <v>0</v>
      </c>
      <c r="P266" s="1291">
        <v>0</v>
      </c>
      <c r="Q266" s="180">
        <v>0</v>
      </c>
      <c r="R266" s="334">
        <v>4658613</v>
      </c>
      <c r="S266" s="1291">
        <v>185215</v>
      </c>
      <c r="T266" s="1291">
        <v>220</v>
      </c>
      <c r="U266" s="180">
        <v>21084</v>
      </c>
      <c r="V266" s="334">
        <v>100528</v>
      </c>
      <c r="W266" s="1302">
        <v>513225</v>
      </c>
      <c r="X266" s="1181">
        <v>9919</v>
      </c>
      <c r="Y266" s="1302">
        <v>47513</v>
      </c>
      <c r="Z266" s="1311">
        <f>SUM(V266:Y266)</f>
        <v>671185</v>
      </c>
      <c r="AA266" s="1302">
        <v>679235</v>
      </c>
      <c r="AB266" s="1181">
        <v>0</v>
      </c>
      <c r="AC266" s="1302">
        <v>9500</v>
      </c>
      <c r="AD266" s="1181">
        <v>0</v>
      </c>
      <c r="AE266" s="1302">
        <v>0</v>
      </c>
      <c r="AF266" s="1311">
        <f t="shared" si="13"/>
        <v>9500</v>
      </c>
      <c r="AG266" s="1322">
        <v>24320</v>
      </c>
    </row>
    <row r="267" spans="1:33" s="2" customFormat="1">
      <c r="A267" s="134">
        <f t="shared" si="12"/>
        <v>2014.06</v>
      </c>
      <c r="B267" s="611">
        <v>3632853</v>
      </c>
      <c r="C267" s="1291">
        <v>77457</v>
      </c>
      <c r="D267" s="1291">
        <v>0</v>
      </c>
      <c r="E267" s="334">
        <v>25197</v>
      </c>
      <c r="F267" s="1181">
        <v>677815</v>
      </c>
      <c r="G267" s="1291">
        <v>31851</v>
      </c>
      <c r="H267" s="1291">
        <v>0</v>
      </c>
      <c r="I267" s="180">
        <v>3917</v>
      </c>
      <c r="J267" s="1181">
        <v>2765012</v>
      </c>
      <c r="K267" s="1291">
        <v>33415</v>
      </c>
      <c r="L267" s="1291">
        <v>0</v>
      </c>
      <c r="M267" s="180">
        <v>20776</v>
      </c>
      <c r="N267" s="1181">
        <v>15327</v>
      </c>
      <c r="O267" s="1291">
        <v>0</v>
      </c>
      <c r="P267" s="1291">
        <v>0</v>
      </c>
      <c r="Q267" s="180">
        <v>0</v>
      </c>
      <c r="R267" s="334">
        <v>4186684</v>
      </c>
      <c r="S267" s="1291">
        <v>243046</v>
      </c>
      <c r="T267" s="1291">
        <v>270</v>
      </c>
      <c r="U267" s="180">
        <v>25197</v>
      </c>
      <c r="V267" s="334">
        <v>47000</v>
      </c>
      <c r="W267" s="1302">
        <v>448602</v>
      </c>
      <c r="X267" s="1181">
        <v>0</v>
      </c>
      <c r="Y267" s="1302">
        <v>71713</v>
      </c>
      <c r="Z267" s="1311">
        <f t="shared" ref="Z267:Z330" si="14">SUM(V267:Y267)</f>
        <v>567315</v>
      </c>
      <c r="AA267" s="1302">
        <v>583815</v>
      </c>
      <c r="AB267" s="1181">
        <v>0</v>
      </c>
      <c r="AC267" s="1302">
        <v>19850</v>
      </c>
      <c r="AD267" s="1181">
        <v>0</v>
      </c>
      <c r="AE267" s="1302">
        <v>0</v>
      </c>
      <c r="AF267" s="1311">
        <f t="shared" si="13"/>
        <v>19850</v>
      </c>
      <c r="AG267" s="1322">
        <v>35315</v>
      </c>
    </row>
    <row r="268" spans="1:33" s="2" customFormat="1">
      <c r="A268" s="134">
        <f t="shared" si="12"/>
        <v>2014.07</v>
      </c>
      <c r="B268" s="611">
        <v>3293488</v>
      </c>
      <c r="C268" s="1291">
        <v>27671</v>
      </c>
      <c r="D268" s="1291">
        <v>0</v>
      </c>
      <c r="E268" s="334">
        <v>32393</v>
      </c>
      <c r="F268" s="1181">
        <v>620446</v>
      </c>
      <c r="G268" s="1291">
        <v>11600</v>
      </c>
      <c r="H268" s="1291">
        <v>0</v>
      </c>
      <c r="I268" s="180">
        <v>4836</v>
      </c>
      <c r="J268" s="1181">
        <v>2526818</v>
      </c>
      <c r="K268" s="1291">
        <v>12166</v>
      </c>
      <c r="L268" s="1291">
        <v>0</v>
      </c>
      <c r="M268" s="180">
        <v>26909</v>
      </c>
      <c r="N268" s="1181">
        <v>15946</v>
      </c>
      <c r="O268" s="1291">
        <v>0</v>
      </c>
      <c r="P268" s="1291">
        <v>0</v>
      </c>
      <c r="Q268" s="180">
        <v>0</v>
      </c>
      <c r="R268" s="334">
        <v>3907983</v>
      </c>
      <c r="S268" s="1291">
        <v>139863</v>
      </c>
      <c r="T268" s="1291">
        <v>0</v>
      </c>
      <c r="U268" s="180">
        <v>32393</v>
      </c>
      <c r="V268" s="334">
        <v>21267.172829473115</v>
      </c>
      <c r="W268" s="1302">
        <v>377879.86795296823</v>
      </c>
      <c r="X268" s="1181">
        <v>7766.0109779813065</v>
      </c>
      <c r="Y268" s="1302">
        <v>49226</v>
      </c>
      <c r="Z268" s="1311">
        <f>SUM(V268:Y268)</f>
        <v>456139.05176042265</v>
      </c>
      <c r="AA268" s="1302">
        <v>442664</v>
      </c>
      <c r="AB268" s="1181">
        <v>0</v>
      </c>
      <c r="AC268" s="1302">
        <v>2827.4285714285716</v>
      </c>
      <c r="AD268" s="1181">
        <v>0</v>
      </c>
      <c r="AE268" s="1302">
        <v>0</v>
      </c>
      <c r="AF268" s="1311">
        <f t="shared" si="13"/>
        <v>2827.4285714285716</v>
      </c>
      <c r="AG268" s="1322">
        <v>2000</v>
      </c>
    </row>
    <row r="269" spans="1:33" s="2" customFormat="1">
      <c r="A269" s="134">
        <f t="shared" si="12"/>
        <v>2014.08</v>
      </c>
      <c r="B269" s="611">
        <v>2965883</v>
      </c>
      <c r="C269" s="1291">
        <v>43157</v>
      </c>
      <c r="D269" s="1291">
        <v>0</v>
      </c>
      <c r="E269" s="334">
        <v>28527</v>
      </c>
      <c r="F269" s="1181">
        <v>557876</v>
      </c>
      <c r="G269" s="1291">
        <v>18225</v>
      </c>
      <c r="H269" s="1291">
        <v>0</v>
      </c>
      <c r="I269" s="180">
        <v>4136</v>
      </c>
      <c r="J269" s="1181">
        <v>2266332</v>
      </c>
      <c r="K269" s="1291">
        <v>21847</v>
      </c>
      <c r="L269" s="1291">
        <v>0</v>
      </c>
      <c r="M269" s="180">
        <v>23820</v>
      </c>
      <c r="N269" s="1181">
        <v>17018</v>
      </c>
      <c r="O269" s="1291">
        <v>0</v>
      </c>
      <c r="P269" s="1291">
        <v>0</v>
      </c>
      <c r="Q269" s="180">
        <v>0</v>
      </c>
      <c r="R269" s="334">
        <v>3494906</v>
      </c>
      <c r="S269" s="1291">
        <v>145759</v>
      </c>
      <c r="T269" s="1291">
        <v>543</v>
      </c>
      <c r="U269" s="180">
        <v>28527</v>
      </c>
      <c r="V269" s="334">
        <v>78453.711228497894</v>
      </c>
      <c r="W269" s="1302">
        <v>312450.09207617579</v>
      </c>
      <c r="X269" s="1181">
        <v>8627.2331723229399</v>
      </c>
      <c r="Y269" s="1302">
        <v>67246</v>
      </c>
      <c r="Z269" s="1311">
        <f t="shared" si="14"/>
        <v>466777.03647699661</v>
      </c>
      <c r="AA269" s="1302">
        <v>450881</v>
      </c>
      <c r="AB269" s="1181">
        <v>0</v>
      </c>
      <c r="AC269" s="1302">
        <v>4241.1428571428569</v>
      </c>
      <c r="AD269" s="1181">
        <v>0</v>
      </c>
      <c r="AE269" s="1302">
        <v>0</v>
      </c>
      <c r="AF269" s="1311">
        <f t="shared" si="13"/>
        <v>4241.1428571428569</v>
      </c>
      <c r="AG269" s="1322">
        <v>3000</v>
      </c>
    </row>
    <row r="270" spans="1:33" s="2" customFormat="1">
      <c r="A270" s="134">
        <f t="shared" si="12"/>
        <v>2014.09</v>
      </c>
      <c r="B270" s="611">
        <v>2853120</v>
      </c>
      <c r="C270" s="1291">
        <v>6190</v>
      </c>
      <c r="D270" s="1291">
        <v>0</v>
      </c>
      <c r="E270" s="334">
        <v>26796</v>
      </c>
      <c r="F270" s="1181">
        <v>535692</v>
      </c>
      <c r="G270" s="1291">
        <v>2490</v>
      </c>
      <c r="H270" s="1291">
        <v>0</v>
      </c>
      <c r="I270" s="180">
        <v>4116</v>
      </c>
      <c r="J270" s="1181">
        <v>2153844</v>
      </c>
      <c r="K270" s="1291">
        <v>3421</v>
      </c>
      <c r="L270" s="1291">
        <v>0</v>
      </c>
      <c r="M270" s="180">
        <v>22144</v>
      </c>
      <c r="N270" s="1181">
        <v>18428</v>
      </c>
      <c r="O270" s="1291">
        <v>0</v>
      </c>
      <c r="P270" s="1291">
        <v>0</v>
      </c>
      <c r="Q270" s="180">
        <v>0</v>
      </c>
      <c r="R270" s="334">
        <v>3357760</v>
      </c>
      <c r="S270" s="1291">
        <v>120788</v>
      </c>
      <c r="T270" s="1291">
        <v>500</v>
      </c>
      <c r="U270" s="180">
        <v>26796</v>
      </c>
      <c r="V270" s="334">
        <v>39100</v>
      </c>
      <c r="W270" s="1302">
        <v>260951</v>
      </c>
      <c r="X270" s="1181">
        <v>8637.7035317734153</v>
      </c>
      <c r="Y270" s="1302">
        <v>12056</v>
      </c>
      <c r="Z270" s="1311">
        <f t="shared" si="14"/>
        <v>320744.70353177341</v>
      </c>
      <c r="AA270" s="1302">
        <v>323067</v>
      </c>
      <c r="AB270" s="1181">
        <v>0</v>
      </c>
      <c r="AC270" s="1302">
        <v>9000</v>
      </c>
      <c r="AD270" s="1181">
        <v>0</v>
      </c>
      <c r="AE270" s="1302">
        <v>0</v>
      </c>
      <c r="AF270" s="1311">
        <f t="shared" si="13"/>
        <v>9000</v>
      </c>
      <c r="AG270" s="1322">
        <v>11500</v>
      </c>
    </row>
    <row r="271" spans="1:33" s="2" customFormat="1">
      <c r="A271" s="134">
        <f t="shared" si="12"/>
        <v>2014.1</v>
      </c>
      <c r="B271" s="611">
        <v>2529528</v>
      </c>
      <c r="C271" s="1291">
        <v>62979</v>
      </c>
      <c r="D271" s="1291">
        <v>0</v>
      </c>
      <c r="E271" s="334">
        <v>29016</v>
      </c>
      <c r="F271" s="1181">
        <v>475352</v>
      </c>
      <c r="G271" s="1291">
        <v>27014</v>
      </c>
      <c r="H271" s="1291">
        <v>0</v>
      </c>
      <c r="I271" s="180">
        <v>4263</v>
      </c>
      <c r="J271" s="1181">
        <v>1924261</v>
      </c>
      <c r="K271" s="1291">
        <v>30668</v>
      </c>
      <c r="L271" s="1291">
        <v>0</v>
      </c>
      <c r="M271" s="180">
        <v>24172</v>
      </c>
      <c r="N271" s="1181">
        <v>17623</v>
      </c>
      <c r="O271" s="1291">
        <v>0</v>
      </c>
      <c r="P271" s="1291">
        <v>0</v>
      </c>
      <c r="Q271" s="180">
        <v>0</v>
      </c>
      <c r="R271" s="334">
        <v>3137103</v>
      </c>
      <c r="S271" s="1291">
        <v>201357</v>
      </c>
      <c r="T271" s="1291">
        <v>56</v>
      </c>
      <c r="U271" s="180">
        <v>29016</v>
      </c>
      <c r="V271" s="334">
        <v>56548</v>
      </c>
      <c r="W271" s="1302">
        <v>302050</v>
      </c>
      <c r="X271" s="1181">
        <v>4662</v>
      </c>
      <c r="Y271" s="1302">
        <v>38101</v>
      </c>
      <c r="Z271" s="1311">
        <f t="shared" si="14"/>
        <v>401361</v>
      </c>
      <c r="AA271" s="1302">
        <v>410561</v>
      </c>
      <c r="AB271" s="1181">
        <v>0</v>
      </c>
      <c r="AC271" s="1302">
        <v>12955</v>
      </c>
      <c r="AD271" s="1181">
        <v>0</v>
      </c>
      <c r="AE271" s="1302">
        <v>0</v>
      </c>
      <c r="AF271" s="1311">
        <f>SUM(AB271:AE271)</f>
        <v>12955</v>
      </c>
      <c r="AG271" s="1322">
        <v>12955</v>
      </c>
    </row>
    <row r="272" spans="1:33" s="2" customFormat="1">
      <c r="A272" s="134">
        <f t="shared" si="12"/>
        <v>2014.11</v>
      </c>
      <c r="B272" s="611">
        <v>2599085</v>
      </c>
      <c r="C272" s="1291">
        <v>14649</v>
      </c>
      <c r="D272" s="1291">
        <v>0</v>
      </c>
      <c r="E272" s="180">
        <v>11496</v>
      </c>
      <c r="F272" s="1181">
        <v>488379</v>
      </c>
      <c r="G272" s="1291">
        <v>6138</v>
      </c>
      <c r="H272" s="1291">
        <v>0</v>
      </c>
      <c r="I272" s="180">
        <v>1715</v>
      </c>
      <c r="J272" s="1181">
        <v>1983322</v>
      </c>
      <c r="K272" s="1291">
        <v>7432</v>
      </c>
      <c r="L272" s="1291">
        <v>0</v>
      </c>
      <c r="M272" s="180">
        <v>9550</v>
      </c>
      <c r="N272" s="1181">
        <v>15597</v>
      </c>
      <c r="O272" s="1291">
        <v>0</v>
      </c>
      <c r="P272" s="1291">
        <v>0</v>
      </c>
      <c r="Q272" s="180">
        <v>0</v>
      </c>
      <c r="R272" s="334">
        <v>3192368</v>
      </c>
      <c r="S272" s="1291">
        <v>104469</v>
      </c>
      <c r="T272" s="1291">
        <v>120</v>
      </c>
      <c r="U272" s="180">
        <v>11496</v>
      </c>
      <c r="V272" s="334">
        <v>17977</v>
      </c>
      <c r="W272" s="1302">
        <v>199195</v>
      </c>
      <c r="X272" s="1181">
        <v>23</v>
      </c>
      <c r="Y272" s="1302">
        <v>45599</v>
      </c>
      <c r="Z272" s="1311">
        <f t="shared" si="14"/>
        <v>262794</v>
      </c>
      <c r="AA272" s="1302">
        <v>262794</v>
      </c>
      <c r="AB272" s="1181">
        <v>0</v>
      </c>
      <c r="AC272" s="1302">
        <v>0</v>
      </c>
      <c r="AD272" s="1181">
        <v>0</v>
      </c>
      <c r="AE272" s="1302">
        <v>0</v>
      </c>
      <c r="AF272" s="1311">
        <f t="shared" si="13"/>
        <v>0</v>
      </c>
      <c r="AG272" s="1322">
        <v>0</v>
      </c>
    </row>
    <row r="273" spans="1:33" s="2" customFormat="1">
      <c r="A273" s="134">
        <f t="shared" si="12"/>
        <v>2014.12</v>
      </c>
      <c r="B273" s="611">
        <v>2050934</v>
      </c>
      <c r="C273" s="1291">
        <v>16973</v>
      </c>
      <c r="D273" s="1291">
        <v>0</v>
      </c>
      <c r="E273" s="334">
        <v>0</v>
      </c>
      <c r="F273" s="1181">
        <v>385928</v>
      </c>
      <c r="G273" s="1291">
        <v>7157</v>
      </c>
      <c r="H273" s="1291">
        <v>0</v>
      </c>
      <c r="I273" s="180">
        <v>0</v>
      </c>
      <c r="J273" s="1181">
        <v>1563085</v>
      </c>
      <c r="K273" s="1291">
        <v>8350</v>
      </c>
      <c r="L273" s="1291">
        <v>0</v>
      </c>
      <c r="M273" s="180">
        <v>0</v>
      </c>
      <c r="N273" s="1181">
        <v>14500</v>
      </c>
      <c r="O273" s="1291">
        <v>0</v>
      </c>
      <c r="P273" s="1291">
        <v>0</v>
      </c>
      <c r="Q273" s="180">
        <v>0</v>
      </c>
      <c r="R273" s="334">
        <v>2484742</v>
      </c>
      <c r="S273" s="1291">
        <v>110244</v>
      </c>
      <c r="T273" s="1291">
        <v>500</v>
      </c>
      <c r="U273" s="180">
        <v>0</v>
      </c>
      <c r="V273" s="334">
        <v>49231</v>
      </c>
      <c r="W273" s="1302">
        <v>246529.45589688589</v>
      </c>
      <c r="X273" s="1181">
        <v>0</v>
      </c>
      <c r="Y273" s="1302">
        <v>44673</v>
      </c>
      <c r="Z273" s="1311">
        <f>SUM(V273:Y273)</f>
        <v>340433.45589688589</v>
      </c>
      <c r="AA273" s="1302">
        <v>335079</v>
      </c>
      <c r="AB273" s="1181">
        <v>0</v>
      </c>
      <c r="AC273" s="1302">
        <v>800</v>
      </c>
      <c r="AD273" s="1181">
        <v>0</v>
      </c>
      <c r="AE273" s="1302">
        <v>0</v>
      </c>
      <c r="AF273" s="1311">
        <f t="shared" si="13"/>
        <v>800</v>
      </c>
      <c r="AG273" s="1322">
        <v>800</v>
      </c>
    </row>
    <row r="274" spans="1:33" s="2" customFormat="1">
      <c r="A274" s="134">
        <f t="shared" si="12"/>
        <v>2015.01</v>
      </c>
      <c r="B274" s="611">
        <v>1465302</v>
      </c>
      <c r="C274" s="1291">
        <v>117285</v>
      </c>
      <c r="D274" s="1291">
        <v>0</v>
      </c>
      <c r="E274" s="334">
        <v>0</v>
      </c>
      <c r="F274" s="1181">
        <v>274839</v>
      </c>
      <c r="G274" s="1291">
        <v>47875</v>
      </c>
      <c r="H274" s="1291">
        <v>0</v>
      </c>
      <c r="I274" s="180">
        <v>0</v>
      </c>
      <c r="J274" s="1181">
        <v>1115444</v>
      </c>
      <c r="K274" s="1291">
        <v>62184</v>
      </c>
      <c r="L274" s="1291">
        <v>0</v>
      </c>
      <c r="M274" s="180">
        <v>0</v>
      </c>
      <c r="N274" s="1181">
        <v>15220</v>
      </c>
      <c r="O274" s="1291">
        <v>0</v>
      </c>
      <c r="P274" s="1291">
        <v>0</v>
      </c>
      <c r="Q274" s="180">
        <v>0</v>
      </c>
      <c r="R274" s="334">
        <v>1789755</v>
      </c>
      <c r="S274" s="1291">
        <v>195625</v>
      </c>
      <c r="T274" s="1291">
        <v>50</v>
      </c>
      <c r="U274" s="180">
        <v>0</v>
      </c>
      <c r="V274" s="334">
        <v>57110.534094775241</v>
      </c>
      <c r="W274" s="1302">
        <v>235693.89923203585</v>
      </c>
      <c r="X274" s="1181">
        <v>0</v>
      </c>
      <c r="Y274" s="1302">
        <v>38196.103612370251</v>
      </c>
      <c r="Z274" s="1311">
        <f t="shared" si="14"/>
        <v>331000.53693918133</v>
      </c>
      <c r="AA274" s="1302">
        <v>298800</v>
      </c>
      <c r="AB274" s="1181">
        <v>0</v>
      </c>
      <c r="AC274" s="1302">
        <v>0</v>
      </c>
      <c r="AD274" s="1181">
        <v>0</v>
      </c>
      <c r="AE274" s="1302">
        <v>0</v>
      </c>
      <c r="AF274" s="1311">
        <f t="shared" si="13"/>
        <v>0</v>
      </c>
      <c r="AG274" s="1322">
        <v>2500</v>
      </c>
    </row>
    <row r="275" spans="1:33" s="2" customFormat="1">
      <c r="A275" s="134">
        <f t="shared" si="12"/>
        <v>2015.02</v>
      </c>
      <c r="B275" s="611">
        <v>1693807</v>
      </c>
      <c r="C275" s="1291">
        <v>107206</v>
      </c>
      <c r="D275" s="1291">
        <v>0</v>
      </c>
      <c r="E275" s="334">
        <v>0</v>
      </c>
      <c r="F275" s="1181">
        <v>323179</v>
      </c>
      <c r="G275" s="1291">
        <v>44047</v>
      </c>
      <c r="H275" s="1291">
        <v>0</v>
      </c>
      <c r="I275" s="180">
        <v>0</v>
      </c>
      <c r="J275" s="1181">
        <v>1289479</v>
      </c>
      <c r="K275" s="1291">
        <v>57581</v>
      </c>
      <c r="L275" s="1291">
        <v>0</v>
      </c>
      <c r="M275" s="180">
        <v>0</v>
      </c>
      <c r="N275" s="1181">
        <v>11647</v>
      </c>
      <c r="O275" s="1291">
        <v>0</v>
      </c>
      <c r="P275" s="1291">
        <v>0</v>
      </c>
      <c r="Q275" s="180">
        <v>0</v>
      </c>
      <c r="R275" s="334">
        <v>2109169</v>
      </c>
      <c r="S275" s="1291">
        <v>166264</v>
      </c>
      <c r="T275" s="1291">
        <v>370</v>
      </c>
      <c r="U275" s="180">
        <v>0</v>
      </c>
      <c r="V275" s="334">
        <v>51839.955125953071</v>
      </c>
      <c r="W275" s="1302">
        <v>240204.77603193239</v>
      </c>
      <c r="X275" s="1181">
        <v>7744.9586826347304</v>
      </c>
      <c r="Y275" s="1302">
        <v>38324.179655470391</v>
      </c>
      <c r="Z275" s="1311">
        <f t="shared" si="14"/>
        <v>338113.86949599057</v>
      </c>
      <c r="AA275" s="1302">
        <v>291333</v>
      </c>
      <c r="AB275" s="1181">
        <v>0</v>
      </c>
      <c r="AC275" s="1302">
        <v>0</v>
      </c>
      <c r="AD275" s="1181">
        <v>0</v>
      </c>
      <c r="AE275" s="1302">
        <v>0</v>
      </c>
      <c r="AF275" s="1311">
        <f t="shared" si="13"/>
        <v>0</v>
      </c>
      <c r="AG275" s="1322">
        <v>0</v>
      </c>
    </row>
    <row r="276" spans="1:33" s="2" customFormat="1">
      <c r="A276" s="134">
        <f t="shared" si="12"/>
        <v>2015.03</v>
      </c>
      <c r="B276" s="611">
        <v>1989102</v>
      </c>
      <c r="C276" s="1291">
        <v>118860</v>
      </c>
      <c r="D276" s="1291">
        <v>0</v>
      </c>
      <c r="E276" s="334">
        <v>0</v>
      </c>
      <c r="F276" s="1181">
        <v>385844</v>
      </c>
      <c r="G276" s="1291">
        <v>49523</v>
      </c>
      <c r="H276" s="1291">
        <v>0</v>
      </c>
      <c r="I276" s="180">
        <v>0</v>
      </c>
      <c r="J276" s="1181">
        <v>1485033</v>
      </c>
      <c r="K276" s="1291">
        <v>59858</v>
      </c>
      <c r="L276" s="1291">
        <v>0</v>
      </c>
      <c r="M276" s="180">
        <v>0</v>
      </c>
      <c r="N276" s="1181">
        <v>13725</v>
      </c>
      <c r="O276" s="1291">
        <v>0</v>
      </c>
      <c r="P276" s="1291">
        <v>0</v>
      </c>
      <c r="Q276" s="180">
        <v>0</v>
      </c>
      <c r="R276" s="334">
        <v>2273176</v>
      </c>
      <c r="S276" s="1291">
        <v>428639</v>
      </c>
      <c r="T276" s="1291">
        <v>400</v>
      </c>
      <c r="U276" s="180">
        <v>0</v>
      </c>
      <c r="V276" s="334">
        <v>28609.246758252248</v>
      </c>
      <c r="W276" s="1302">
        <v>293739.47719014296</v>
      </c>
      <c r="X276" s="1181">
        <v>0</v>
      </c>
      <c r="Y276" s="1302">
        <v>51806.02336479308</v>
      </c>
      <c r="Z276" s="1311">
        <f t="shared" si="14"/>
        <v>374154.74731318833</v>
      </c>
      <c r="AA276" s="1302">
        <v>323135</v>
      </c>
      <c r="AB276" s="1181">
        <v>0</v>
      </c>
      <c r="AC276" s="1302">
        <v>12876.934640758498</v>
      </c>
      <c r="AD276" s="1181">
        <v>0</v>
      </c>
      <c r="AE276" s="1302">
        <v>0</v>
      </c>
      <c r="AF276" s="1311">
        <f t="shared" si="13"/>
        <v>12876.934640758498</v>
      </c>
      <c r="AG276" s="1322">
        <v>11860</v>
      </c>
    </row>
    <row r="277" spans="1:33" s="2" customFormat="1">
      <c r="A277" s="134">
        <f t="shared" si="12"/>
        <v>2015.04</v>
      </c>
      <c r="B277" s="611">
        <v>3761219</v>
      </c>
      <c r="C277" s="1291">
        <v>54578</v>
      </c>
      <c r="D277" s="1291">
        <v>0</v>
      </c>
      <c r="E277" s="334">
        <v>0</v>
      </c>
      <c r="F277" s="1181">
        <v>740431</v>
      </c>
      <c r="G277" s="1291">
        <v>23271</v>
      </c>
      <c r="H277" s="1291">
        <v>0</v>
      </c>
      <c r="I277" s="180">
        <v>0</v>
      </c>
      <c r="J277" s="1181">
        <v>2875780</v>
      </c>
      <c r="K277" s="1291">
        <v>26615</v>
      </c>
      <c r="L277" s="1291">
        <v>0</v>
      </c>
      <c r="M277" s="180">
        <v>0</v>
      </c>
      <c r="N277" s="1181">
        <v>15476</v>
      </c>
      <c r="O277" s="1291">
        <v>0</v>
      </c>
      <c r="P277" s="1291">
        <v>0</v>
      </c>
      <c r="Q277" s="180">
        <v>0</v>
      </c>
      <c r="R277" s="334">
        <v>4245041</v>
      </c>
      <c r="S277" s="1291">
        <v>345134</v>
      </c>
      <c r="T277" s="1291">
        <v>200</v>
      </c>
      <c r="U277" s="180">
        <v>0</v>
      </c>
      <c r="V277" s="334">
        <v>128314.21627243131</v>
      </c>
      <c r="W277" s="1302">
        <v>531089.47575693019</v>
      </c>
      <c r="X277" s="1181">
        <v>4706.2729540918162</v>
      </c>
      <c r="Y277" s="1302">
        <v>86973.938233979599</v>
      </c>
      <c r="Z277" s="1311">
        <f t="shared" si="14"/>
        <v>751083.9032174329</v>
      </c>
      <c r="AA277" s="1302">
        <v>620191</v>
      </c>
      <c r="AB277" s="1181">
        <v>0</v>
      </c>
      <c r="AC277" s="1302">
        <v>457.09200043260392</v>
      </c>
      <c r="AD277" s="1181">
        <v>0</v>
      </c>
      <c r="AE277" s="1302">
        <v>0</v>
      </c>
      <c r="AF277" s="1311">
        <f t="shared" si="13"/>
        <v>457.09200043260392</v>
      </c>
      <c r="AG277" s="1322">
        <v>31350</v>
      </c>
    </row>
    <row r="278" spans="1:33" s="2" customFormat="1">
      <c r="A278" s="134">
        <f t="shared" ref="A278:A343" si="15">A266+1</f>
        <v>2015.05</v>
      </c>
      <c r="B278" s="611">
        <v>3119129</v>
      </c>
      <c r="C278" s="1291">
        <v>26940</v>
      </c>
      <c r="D278" s="1291">
        <v>0</v>
      </c>
      <c r="E278" s="180">
        <v>0</v>
      </c>
      <c r="F278" s="1181">
        <v>605401</v>
      </c>
      <c r="G278" s="1291">
        <v>11337</v>
      </c>
      <c r="H278" s="1291">
        <v>0</v>
      </c>
      <c r="I278" s="180">
        <v>0</v>
      </c>
      <c r="J278" s="1181">
        <v>2400239</v>
      </c>
      <c r="K278" s="1291">
        <v>14240</v>
      </c>
      <c r="L278" s="1291">
        <v>0</v>
      </c>
      <c r="M278" s="180">
        <v>0</v>
      </c>
      <c r="N278" s="1181">
        <v>16710</v>
      </c>
      <c r="O278" s="1291">
        <v>0</v>
      </c>
      <c r="P278" s="1291">
        <v>0</v>
      </c>
      <c r="Q278" s="180">
        <v>0</v>
      </c>
      <c r="R278" s="334">
        <v>3588586</v>
      </c>
      <c r="S278" s="1291">
        <v>95740</v>
      </c>
      <c r="T278" s="1291">
        <v>360</v>
      </c>
      <c r="U278" s="180">
        <v>330</v>
      </c>
      <c r="V278" s="334">
        <v>0</v>
      </c>
      <c r="W278" s="1302">
        <v>360295.18227134814</v>
      </c>
      <c r="X278" s="1181">
        <v>0</v>
      </c>
      <c r="Y278" s="1302">
        <v>9146.3960434616638</v>
      </c>
      <c r="Z278" s="1311">
        <f t="shared" si="14"/>
        <v>369441.57831480983</v>
      </c>
      <c r="AA278" s="1302">
        <v>307072</v>
      </c>
      <c r="AB278" s="1181">
        <v>0</v>
      </c>
      <c r="AC278" s="1302">
        <v>23078.481817760454</v>
      </c>
      <c r="AD278" s="1181">
        <v>0</v>
      </c>
      <c r="AE278" s="1302">
        <v>0</v>
      </c>
      <c r="AF278" s="1311">
        <f t="shared" si="13"/>
        <v>23078.481817760454</v>
      </c>
      <c r="AG278" s="1322">
        <v>12500</v>
      </c>
    </row>
    <row r="279" spans="1:33" s="2" customFormat="1">
      <c r="A279" s="134">
        <f t="shared" si="15"/>
        <v>2015.06</v>
      </c>
      <c r="B279" s="611">
        <v>3962340</v>
      </c>
      <c r="C279" s="1291">
        <v>28750</v>
      </c>
      <c r="D279" s="1291">
        <v>0</v>
      </c>
      <c r="E279" s="334">
        <v>22965</v>
      </c>
      <c r="F279" s="1181">
        <v>767330</v>
      </c>
      <c r="G279" s="1291">
        <v>11959</v>
      </c>
      <c r="H279" s="1291">
        <v>0</v>
      </c>
      <c r="I279" s="180">
        <v>3726</v>
      </c>
      <c r="J279" s="1181">
        <v>3031076</v>
      </c>
      <c r="K279" s="1291">
        <v>13733</v>
      </c>
      <c r="L279" s="1291">
        <v>0</v>
      </c>
      <c r="M279" s="180">
        <v>18780</v>
      </c>
      <c r="N279" s="1181">
        <v>17286</v>
      </c>
      <c r="O279" s="1291">
        <v>0</v>
      </c>
      <c r="P279" s="1291">
        <v>0</v>
      </c>
      <c r="Q279" s="180">
        <v>0</v>
      </c>
      <c r="R279" s="334">
        <v>4531328</v>
      </c>
      <c r="S279" s="1291">
        <v>245595</v>
      </c>
      <c r="T279" s="1291">
        <v>0</v>
      </c>
      <c r="U279" s="180">
        <v>23301</v>
      </c>
      <c r="V279" s="334">
        <v>100337.48655516845</v>
      </c>
      <c r="W279" s="1302">
        <v>620298.33935550821</v>
      </c>
      <c r="X279" s="1181">
        <v>0</v>
      </c>
      <c r="Y279" s="1302">
        <v>80437.643620593182</v>
      </c>
      <c r="Z279" s="1311">
        <f t="shared" si="14"/>
        <v>801073.46953126974</v>
      </c>
      <c r="AA279" s="1302">
        <v>676450</v>
      </c>
      <c r="AB279" s="1181">
        <v>0</v>
      </c>
      <c r="AC279" s="1302">
        <v>21676.60863765817</v>
      </c>
      <c r="AD279" s="1181">
        <v>0</v>
      </c>
      <c r="AE279" s="1302">
        <v>0</v>
      </c>
      <c r="AF279" s="1311">
        <f t="shared" si="13"/>
        <v>21676.60863765817</v>
      </c>
      <c r="AG279" s="1322">
        <v>21178</v>
      </c>
    </row>
    <row r="280" spans="1:33" s="2" customFormat="1">
      <c r="A280" s="134">
        <f t="shared" si="15"/>
        <v>2015.07</v>
      </c>
      <c r="B280" s="611">
        <v>4192574</v>
      </c>
      <c r="C280" s="1291">
        <v>39810</v>
      </c>
      <c r="D280" s="1291">
        <v>0</v>
      </c>
      <c r="E280" s="334">
        <v>20339</v>
      </c>
      <c r="F280" s="1181">
        <v>811611</v>
      </c>
      <c r="G280" s="1291">
        <v>17097</v>
      </c>
      <c r="H280" s="1291">
        <v>0</v>
      </c>
      <c r="I280" s="180">
        <v>3356</v>
      </c>
      <c r="J280" s="1181">
        <v>3235315</v>
      </c>
      <c r="K280" s="1291">
        <v>19172</v>
      </c>
      <c r="L280" s="1291">
        <v>0</v>
      </c>
      <c r="M280" s="180">
        <v>16576</v>
      </c>
      <c r="N280" s="1181">
        <v>17330</v>
      </c>
      <c r="O280" s="1291">
        <v>0</v>
      </c>
      <c r="P280" s="1291">
        <v>0</v>
      </c>
      <c r="Q280" s="180">
        <v>0</v>
      </c>
      <c r="R280" s="334">
        <v>4768200</v>
      </c>
      <c r="S280" s="1291">
        <v>283996</v>
      </c>
      <c r="T280" s="1291">
        <v>140</v>
      </c>
      <c r="U280" s="180">
        <v>20835</v>
      </c>
      <c r="V280" s="334">
        <v>155194.90751845416</v>
      </c>
      <c r="W280" s="1302">
        <v>455009.30300246837</v>
      </c>
      <c r="X280" s="1181">
        <v>0</v>
      </c>
      <c r="Y280" s="1302">
        <v>43212.642475199282</v>
      </c>
      <c r="Z280" s="1311">
        <f t="shared" si="14"/>
        <v>653416.85299612186</v>
      </c>
      <c r="AA280" s="1302">
        <v>571024</v>
      </c>
      <c r="AB280" s="1181">
        <v>0</v>
      </c>
      <c r="AC280" s="1302">
        <v>21522.503334655179</v>
      </c>
      <c r="AD280" s="1181">
        <v>0</v>
      </c>
      <c r="AE280" s="1302">
        <v>0</v>
      </c>
      <c r="AF280" s="1311">
        <f t="shared" si="13"/>
        <v>21522.503334655179</v>
      </c>
      <c r="AG280" s="1322">
        <v>23830</v>
      </c>
    </row>
    <row r="281" spans="1:33" s="2" customFormat="1">
      <c r="A281" s="134">
        <f t="shared" si="15"/>
        <v>2015.08</v>
      </c>
      <c r="B281" s="611">
        <v>3662972</v>
      </c>
      <c r="C281" s="1291">
        <v>57280</v>
      </c>
      <c r="D281" s="1291">
        <v>0</v>
      </c>
      <c r="E281" s="334">
        <v>17960</v>
      </c>
      <c r="F281" s="1181">
        <v>701191</v>
      </c>
      <c r="G281" s="1291">
        <v>24952</v>
      </c>
      <c r="H281" s="1291">
        <v>0</v>
      </c>
      <c r="I281" s="180">
        <v>3037</v>
      </c>
      <c r="J281" s="1181">
        <v>2800187</v>
      </c>
      <c r="K281" s="1291">
        <v>26329</v>
      </c>
      <c r="L281" s="1291">
        <v>0</v>
      </c>
      <c r="M281" s="180">
        <v>14565</v>
      </c>
      <c r="N281" s="1181">
        <v>17063</v>
      </c>
      <c r="O281" s="1291">
        <v>0</v>
      </c>
      <c r="P281" s="1291">
        <v>0</v>
      </c>
      <c r="Q281" s="180">
        <v>0</v>
      </c>
      <c r="R281" s="334">
        <v>4270805</v>
      </c>
      <c r="S281" s="1291">
        <v>265382</v>
      </c>
      <c r="T281" s="1291">
        <v>50</v>
      </c>
      <c r="U281" s="180">
        <v>18449</v>
      </c>
      <c r="V281" s="334">
        <v>64883.612459281518</v>
      </c>
      <c r="W281" s="1302">
        <v>384810.49068653648</v>
      </c>
      <c r="X281" s="1181">
        <v>0</v>
      </c>
      <c r="Y281" s="1302">
        <v>62005.054235700227</v>
      </c>
      <c r="Z281" s="1311">
        <f>SUM(V281:Y281)</f>
        <v>511699.15738151822</v>
      </c>
      <c r="AA281" s="1302">
        <v>451683</v>
      </c>
      <c r="AB281" s="1181">
        <v>0</v>
      </c>
      <c r="AC281" s="1302">
        <v>3134.3451458235695</v>
      </c>
      <c r="AD281" s="1181">
        <v>0</v>
      </c>
      <c r="AE281" s="1302">
        <v>0</v>
      </c>
      <c r="AF281" s="1311">
        <f t="shared" si="13"/>
        <v>3134.3451458235695</v>
      </c>
      <c r="AG281" s="1322">
        <v>19149</v>
      </c>
    </row>
    <row r="282" spans="1:33" s="2" customFormat="1">
      <c r="A282" s="134">
        <f t="shared" si="15"/>
        <v>2015.09</v>
      </c>
      <c r="B282" s="611">
        <v>3275494</v>
      </c>
      <c r="C282" s="1291">
        <v>43412</v>
      </c>
      <c r="D282" s="1291">
        <v>0</v>
      </c>
      <c r="E282" s="334">
        <v>11780</v>
      </c>
      <c r="F282" s="1181">
        <v>636013</v>
      </c>
      <c r="G282" s="1291">
        <v>18685</v>
      </c>
      <c r="H282" s="1291">
        <v>0</v>
      </c>
      <c r="I282" s="180">
        <v>1887</v>
      </c>
      <c r="J282" s="1181">
        <v>2478329</v>
      </c>
      <c r="K282" s="1291">
        <v>22043</v>
      </c>
      <c r="L282" s="1291">
        <v>0</v>
      </c>
      <c r="M282" s="180">
        <v>9657</v>
      </c>
      <c r="N282" s="1181">
        <v>15721</v>
      </c>
      <c r="O282" s="1291">
        <v>0</v>
      </c>
      <c r="P282" s="1291">
        <v>0</v>
      </c>
      <c r="Q282" s="180">
        <v>0</v>
      </c>
      <c r="R282" s="334">
        <v>3830531</v>
      </c>
      <c r="S282" s="1291">
        <v>191515</v>
      </c>
      <c r="T282" s="1291">
        <v>500</v>
      </c>
      <c r="U282" s="180">
        <v>12270</v>
      </c>
      <c r="V282" s="334">
        <v>42317.934129432891</v>
      </c>
      <c r="W282" s="1302">
        <v>495790.00976404769</v>
      </c>
      <c r="X282" s="1181">
        <v>521.76836327345313</v>
      </c>
      <c r="Y282" s="1302">
        <v>52934.548676018792</v>
      </c>
      <c r="Z282" s="1311">
        <f t="shared" si="14"/>
        <v>591564.26093277289</v>
      </c>
      <c r="AA282" s="1302">
        <v>545979</v>
      </c>
      <c r="AB282" s="1181">
        <v>0</v>
      </c>
      <c r="AC282" s="1302">
        <v>0</v>
      </c>
      <c r="AD282" s="1181">
        <v>0</v>
      </c>
      <c r="AE282" s="1302">
        <v>0</v>
      </c>
      <c r="AF282" s="1311">
        <f t="shared" si="13"/>
        <v>0</v>
      </c>
      <c r="AG282" s="1322">
        <v>0</v>
      </c>
    </row>
    <row r="283" spans="1:33" s="2" customFormat="1">
      <c r="A283" s="134">
        <f t="shared" si="15"/>
        <v>2015.1</v>
      </c>
      <c r="B283" s="611">
        <v>3305788</v>
      </c>
      <c r="C283" s="1291">
        <v>16229</v>
      </c>
      <c r="D283" s="1291">
        <v>0</v>
      </c>
      <c r="E283" s="334">
        <v>20064</v>
      </c>
      <c r="F283" s="1181">
        <v>643099</v>
      </c>
      <c r="G283" s="1291">
        <v>7061</v>
      </c>
      <c r="H283" s="1291">
        <v>0</v>
      </c>
      <c r="I283" s="180">
        <v>2881</v>
      </c>
      <c r="J283" s="1181">
        <v>2529356</v>
      </c>
      <c r="K283" s="1291">
        <v>8347</v>
      </c>
      <c r="L283" s="1291">
        <v>0</v>
      </c>
      <c r="M283" s="180">
        <v>16781</v>
      </c>
      <c r="N283" s="1181">
        <v>13856</v>
      </c>
      <c r="O283" s="1291">
        <v>0</v>
      </c>
      <c r="P283" s="1291">
        <v>0</v>
      </c>
      <c r="Q283" s="180">
        <v>0</v>
      </c>
      <c r="R283" s="334">
        <v>3892371</v>
      </c>
      <c r="S283" s="1291">
        <v>123299</v>
      </c>
      <c r="T283" s="1291">
        <v>550</v>
      </c>
      <c r="U283" s="180">
        <v>20476</v>
      </c>
      <c r="V283" s="334">
        <v>70602.223028280088</v>
      </c>
      <c r="W283" s="1302">
        <v>284105.8622426868</v>
      </c>
      <c r="X283" s="1181">
        <v>0</v>
      </c>
      <c r="Y283" s="1302">
        <v>26758.12350655895</v>
      </c>
      <c r="Z283" s="1311">
        <f t="shared" si="14"/>
        <v>381466.20877752581</v>
      </c>
      <c r="AA283" s="1302">
        <v>365450</v>
      </c>
      <c r="AB283" s="1181">
        <v>0</v>
      </c>
      <c r="AC283" s="1302">
        <v>0</v>
      </c>
      <c r="AD283" s="1181">
        <v>0</v>
      </c>
      <c r="AE283" s="1302">
        <v>0</v>
      </c>
      <c r="AF283" s="1311">
        <f t="shared" si="13"/>
        <v>0</v>
      </c>
      <c r="AG283" s="1322">
        <v>4000</v>
      </c>
    </row>
    <row r="284" spans="1:33" s="2" customFormat="1">
      <c r="A284" s="134">
        <f t="shared" si="15"/>
        <v>2015.11</v>
      </c>
      <c r="B284" s="611">
        <v>2650686</v>
      </c>
      <c r="C284" s="1291">
        <v>7589</v>
      </c>
      <c r="D284" s="1291">
        <v>0</v>
      </c>
      <c r="E284" s="334">
        <v>16723</v>
      </c>
      <c r="F284" s="1181">
        <v>522396</v>
      </c>
      <c r="G284" s="1291">
        <v>3288</v>
      </c>
      <c r="H284" s="1291">
        <v>0</v>
      </c>
      <c r="I284" s="180">
        <v>2341</v>
      </c>
      <c r="J284" s="1181">
        <v>2022174</v>
      </c>
      <c r="K284" s="1291">
        <v>3261</v>
      </c>
      <c r="L284" s="1291">
        <v>0</v>
      </c>
      <c r="M284" s="180">
        <v>14048</v>
      </c>
      <c r="N284" s="1181">
        <v>12780</v>
      </c>
      <c r="O284" s="1291">
        <v>0</v>
      </c>
      <c r="P284" s="1291">
        <v>0</v>
      </c>
      <c r="Q284" s="180">
        <v>0</v>
      </c>
      <c r="R284" s="334">
        <v>3006109</v>
      </c>
      <c r="S284" s="1291">
        <v>129689</v>
      </c>
      <c r="T284" s="1291">
        <v>341</v>
      </c>
      <c r="U284" s="180">
        <v>17113</v>
      </c>
      <c r="V284" s="334">
        <v>75703</v>
      </c>
      <c r="W284" s="1302">
        <v>330944.06459803163</v>
      </c>
      <c r="X284" s="1181">
        <v>0</v>
      </c>
      <c r="Y284" s="1302">
        <v>49467.626586908111</v>
      </c>
      <c r="Z284" s="1311">
        <f t="shared" si="14"/>
        <v>456114.69118493976</v>
      </c>
      <c r="AA284" s="1302">
        <v>425863</v>
      </c>
      <c r="AB284" s="1181">
        <v>0</v>
      </c>
      <c r="AC284" s="1302">
        <v>0</v>
      </c>
      <c r="AD284" s="1181">
        <v>0</v>
      </c>
      <c r="AE284" s="1302">
        <v>0</v>
      </c>
      <c r="AF284" s="1311">
        <f t="shared" si="13"/>
        <v>0</v>
      </c>
      <c r="AG284" s="1322">
        <v>0</v>
      </c>
    </row>
    <row r="285" spans="1:33" s="2" customFormat="1">
      <c r="A285" s="134">
        <f t="shared" si="15"/>
        <v>2015.12</v>
      </c>
      <c r="B285" s="611">
        <v>2323623</v>
      </c>
      <c r="C285" s="1291">
        <v>50807</v>
      </c>
      <c r="D285" s="1291">
        <v>0</v>
      </c>
      <c r="E285" s="334">
        <v>5130</v>
      </c>
      <c r="F285" s="1181">
        <v>458666</v>
      </c>
      <c r="G285" s="1291">
        <v>19749</v>
      </c>
      <c r="H285" s="1291">
        <v>0</v>
      </c>
      <c r="I285" s="180">
        <v>804</v>
      </c>
      <c r="J285" s="1181">
        <v>1784827</v>
      </c>
      <c r="K285" s="1291">
        <v>20777</v>
      </c>
      <c r="L285" s="1291">
        <v>0</v>
      </c>
      <c r="M285" s="180">
        <v>17417</v>
      </c>
      <c r="N285" s="1181">
        <v>13786</v>
      </c>
      <c r="O285" s="1291">
        <v>0</v>
      </c>
      <c r="P285" s="1291">
        <v>0</v>
      </c>
      <c r="Q285" s="180">
        <v>0</v>
      </c>
      <c r="R285" s="334">
        <v>2620964</v>
      </c>
      <c r="S285" s="1291">
        <v>159828</v>
      </c>
      <c r="T285" s="1291">
        <v>0</v>
      </c>
      <c r="U285" s="180">
        <v>5541</v>
      </c>
      <c r="V285" s="334">
        <v>27849</v>
      </c>
      <c r="W285" s="1302">
        <v>147674.90413541344</v>
      </c>
      <c r="X285" s="1181">
        <v>15151</v>
      </c>
      <c r="Y285" s="1302">
        <v>33305.719988946505</v>
      </c>
      <c r="Z285" s="1311">
        <f t="shared" si="14"/>
        <v>223980.62412435995</v>
      </c>
      <c r="AA285" s="1302">
        <v>210928</v>
      </c>
      <c r="AB285" s="1181">
        <v>0</v>
      </c>
      <c r="AC285" s="1302">
        <v>57.462994340098774</v>
      </c>
      <c r="AD285" s="1181">
        <v>0</v>
      </c>
      <c r="AE285" s="1302">
        <v>0</v>
      </c>
      <c r="AF285" s="1311">
        <f t="shared" si="13"/>
        <v>57.462994340098774</v>
      </c>
      <c r="AG285" s="1322">
        <v>44</v>
      </c>
    </row>
    <row r="286" spans="1:33" s="2" customFormat="1">
      <c r="A286" s="134">
        <f t="shared" si="15"/>
        <v>2016.01</v>
      </c>
      <c r="B286" s="611">
        <v>3386549</v>
      </c>
      <c r="C286" s="1291">
        <v>124752</v>
      </c>
      <c r="D286" s="1291">
        <v>0</v>
      </c>
      <c r="E286" s="334">
        <v>0</v>
      </c>
      <c r="F286" s="1181">
        <v>668352</v>
      </c>
      <c r="G286" s="1291">
        <v>49993</v>
      </c>
      <c r="H286" s="1291">
        <v>0</v>
      </c>
      <c r="I286" s="180">
        <v>0</v>
      </c>
      <c r="J286" s="1181">
        <v>2595341</v>
      </c>
      <c r="K286" s="1291">
        <v>53903</v>
      </c>
      <c r="L286" s="1291">
        <v>0</v>
      </c>
      <c r="M286" s="180">
        <v>0</v>
      </c>
      <c r="N286" s="1181">
        <v>14185</v>
      </c>
      <c r="O286" s="1291">
        <v>0</v>
      </c>
      <c r="P286" s="1291">
        <v>0</v>
      </c>
      <c r="Q286" s="180">
        <v>0</v>
      </c>
      <c r="R286" s="334">
        <v>3910467</v>
      </c>
      <c r="S286" s="1291">
        <v>200356</v>
      </c>
      <c r="T286" s="1291">
        <v>0</v>
      </c>
      <c r="U286" s="180">
        <v>308</v>
      </c>
      <c r="V286" s="334">
        <v>53500</v>
      </c>
      <c r="W286" s="1302">
        <v>381919.66795195086</v>
      </c>
      <c r="X286" s="1181">
        <v>11000</v>
      </c>
      <c r="Y286" s="1302">
        <v>107623.11533371042</v>
      </c>
      <c r="Z286" s="1311">
        <f t="shared" si="14"/>
        <v>554042.78328566125</v>
      </c>
      <c r="AA286" s="1302">
        <v>359794</v>
      </c>
      <c r="AB286" s="1181">
        <v>0</v>
      </c>
      <c r="AC286" s="1302">
        <v>0</v>
      </c>
      <c r="AD286" s="1181">
        <v>0</v>
      </c>
      <c r="AE286" s="1302">
        <v>0</v>
      </c>
      <c r="AF286" s="1311">
        <f t="shared" si="13"/>
        <v>0</v>
      </c>
      <c r="AG286" s="1322">
        <v>0</v>
      </c>
    </row>
    <row r="287" spans="1:33" s="2" customFormat="1">
      <c r="A287" s="134">
        <f t="shared" si="15"/>
        <v>2016.02</v>
      </c>
      <c r="B287" s="611">
        <v>2793951</v>
      </c>
      <c r="C287" s="1291">
        <v>116325</v>
      </c>
      <c r="D287" s="1291">
        <v>0</v>
      </c>
      <c r="E287" s="334">
        <v>0</v>
      </c>
      <c r="F287" s="1181">
        <v>548186</v>
      </c>
      <c r="G287" s="1291">
        <v>44707</v>
      </c>
      <c r="H287" s="1291">
        <v>0</v>
      </c>
      <c r="I287" s="180">
        <v>0</v>
      </c>
      <c r="J287" s="1181">
        <v>2147221</v>
      </c>
      <c r="K287" s="1291">
        <v>49745</v>
      </c>
      <c r="L287" s="1291">
        <v>0</v>
      </c>
      <c r="M287" s="180">
        <v>0</v>
      </c>
      <c r="N287" s="1181">
        <v>10365</v>
      </c>
      <c r="O287" s="1291">
        <v>0</v>
      </c>
      <c r="P287" s="1291">
        <v>0</v>
      </c>
      <c r="Q287" s="180">
        <v>0</v>
      </c>
      <c r="R287" s="334">
        <v>3205307</v>
      </c>
      <c r="S287" s="1291">
        <v>278630</v>
      </c>
      <c r="T287" s="1291">
        <v>0</v>
      </c>
      <c r="U287" s="180">
        <v>167</v>
      </c>
      <c r="V287" s="334">
        <v>42000</v>
      </c>
      <c r="W287" s="1302">
        <v>366779.74114861107</v>
      </c>
      <c r="X287" s="1181">
        <v>0</v>
      </c>
      <c r="Y287" s="1302">
        <v>26002.786137472351</v>
      </c>
      <c r="Z287" s="1311">
        <f t="shared" si="14"/>
        <v>434782.52728608344</v>
      </c>
      <c r="AA287" s="1302">
        <v>289021</v>
      </c>
      <c r="AB287" s="1181">
        <v>0</v>
      </c>
      <c r="AC287" s="1302">
        <v>2146.3496971746495</v>
      </c>
      <c r="AD287" s="1181">
        <v>0</v>
      </c>
      <c r="AE287" s="1302">
        <v>0</v>
      </c>
      <c r="AF287" s="1311">
        <f t="shared" si="13"/>
        <v>2146.3496971746495</v>
      </c>
      <c r="AG287" s="1322">
        <v>4500</v>
      </c>
    </row>
    <row r="288" spans="1:33" s="2" customFormat="1">
      <c r="A288" s="134">
        <f t="shared" si="15"/>
        <v>2016.03</v>
      </c>
      <c r="B288" s="611">
        <v>2884414</v>
      </c>
      <c r="C288" s="1291">
        <v>123771</v>
      </c>
      <c r="D288" s="1291">
        <v>0</v>
      </c>
      <c r="E288" s="334">
        <v>0</v>
      </c>
      <c r="F288" s="1181">
        <v>572999</v>
      </c>
      <c r="G288" s="1291">
        <v>49495</v>
      </c>
      <c r="H288" s="1291">
        <v>0</v>
      </c>
      <c r="I288" s="180">
        <v>0</v>
      </c>
      <c r="J288" s="1181">
        <v>2195375</v>
      </c>
      <c r="K288" s="1291">
        <v>55224</v>
      </c>
      <c r="L288" s="1291">
        <v>0</v>
      </c>
      <c r="M288" s="180">
        <v>0</v>
      </c>
      <c r="N288" s="1181">
        <v>13452</v>
      </c>
      <c r="O288" s="1291">
        <v>0</v>
      </c>
      <c r="P288" s="1291">
        <v>0</v>
      </c>
      <c r="Q288" s="180">
        <v>0</v>
      </c>
      <c r="R288" s="334">
        <v>3230589</v>
      </c>
      <c r="S288" s="1291">
        <v>411584</v>
      </c>
      <c r="T288" s="1291">
        <v>0</v>
      </c>
      <c r="U288" s="180">
        <v>210</v>
      </c>
      <c r="V288" s="334">
        <v>50106</v>
      </c>
      <c r="W288" s="1302">
        <v>450455.89301958471</v>
      </c>
      <c r="X288" s="1181">
        <v>0</v>
      </c>
      <c r="Y288" s="1302">
        <v>23399.104017686182</v>
      </c>
      <c r="Z288" s="1311">
        <f t="shared" si="14"/>
        <v>523960.99703727086</v>
      </c>
      <c r="AA288" s="1302">
        <v>340872</v>
      </c>
      <c r="AB288" s="1181">
        <v>0</v>
      </c>
      <c r="AC288" s="1302">
        <v>108811.34424796602</v>
      </c>
      <c r="AD288" s="1181">
        <v>0</v>
      </c>
      <c r="AE288" s="1302">
        <v>0</v>
      </c>
      <c r="AF288" s="1311">
        <f t="shared" si="13"/>
        <v>108811.34424796602</v>
      </c>
      <c r="AG288" s="1322">
        <v>59196</v>
      </c>
    </row>
    <row r="289" spans="1:33" s="2" customFormat="1">
      <c r="A289" s="134">
        <f t="shared" si="15"/>
        <v>2016.04</v>
      </c>
      <c r="B289" s="611">
        <v>3300647</v>
      </c>
      <c r="C289" s="1291">
        <v>121682</v>
      </c>
      <c r="D289" s="1291">
        <v>0</v>
      </c>
      <c r="E289" s="334">
        <v>0</v>
      </c>
      <c r="F289" s="1181">
        <v>653292</v>
      </c>
      <c r="G289" s="1291">
        <v>48914</v>
      </c>
      <c r="H289" s="1291">
        <v>0</v>
      </c>
      <c r="I289" s="180">
        <v>0</v>
      </c>
      <c r="J289" s="1181">
        <v>2513017</v>
      </c>
      <c r="K289" s="1291">
        <v>54404</v>
      </c>
      <c r="L289" s="1291">
        <v>0</v>
      </c>
      <c r="M289" s="180">
        <v>0</v>
      </c>
      <c r="N289" s="1181">
        <v>10564</v>
      </c>
      <c r="O289" s="1291">
        <v>0</v>
      </c>
      <c r="P289" s="1291">
        <v>0</v>
      </c>
      <c r="Q289" s="180">
        <v>0</v>
      </c>
      <c r="R289" s="334">
        <v>3728116</v>
      </c>
      <c r="S289" s="1291">
        <v>387656</v>
      </c>
      <c r="T289" s="1291">
        <v>147</v>
      </c>
      <c r="U289" s="180">
        <v>349</v>
      </c>
      <c r="V289" s="334">
        <v>72450</v>
      </c>
      <c r="W289" s="1302">
        <v>382015.84730625618</v>
      </c>
      <c r="X289" s="1181">
        <v>0</v>
      </c>
      <c r="Y289" s="1302">
        <v>51880.292810540566</v>
      </c>
      <c r="Z289" s="1311">
        <f>SUM(V289:Y289)</f>
        <v>506346.14011679677</v>
      </c>
      <c r="AA289" s="1302">
        <v>343643</v>
      </c>
      <c r="AB289" s="1181">
        <v>0</v>
      </c>
      <c r="AC289" s="1302">
        <v>44072.869767428216</v>
      </c>
      <c r="AD289" s="1181">
        <v>0</v>
      </c>
      <c r="AE289" s="1302">
        <v>0</v>
      </c>
      <c r="AF289" s="1311">
        <f t="shared" si="13"/>
        <v>44072.869767428216</v>
      </c>
      <c r="AG289" s="1322">
        <v>46950</v>
      </c>
    </row>
    <row r="290" spans="1:33" s="2" customFormat="1">
      <c r="A290" s="134">
        <f t="shared" si="15"/>
        <v>2016.05</v>
      </c>
      <c r="B290" s="611">
        <v>3754595</v>
      </c>
      <c r="C290" s="1291">
        <v>83447</v>
      </c>
      <c r="D290" s="1291">
        <v>0</v>
      </c>
      <c r="E290" s="334">
        <v>9724</v>
      </c>
      <c r="F290" s="1181">
        <v>732900</v>
      </c>
      <c r="G290" s="1291">
        <v>34279</v>
      </c>
      <c r="H290" s="1291">
        <v>0</v>
      </c>
      <c r="I290" s="180">
        <v>1466</v>
      </c>
      <c r="J290" s="1181">
        <v>2823234</v>
      </c>
      <c r="K290" s="1291">
        <v>37940</v>
      </c>
      <c r="L290" s="1291">
        <v>0</v>
      </c>
      <c r="M290" s="180">
        <v>6542</v>
      </c>
      <c r="N290" s="1181">
        <v>14103</v>
      </c>
      <c r="O290" s="1291">
        <v>0</v>
      </c>
      <c r="P290" s="1291">
        <v>0</v>
      </c>
      <c r="Q290" s="180">
        <v>0</v>
      </c>
      <c r="R290" s="334">
        <v>4351900</v>
      </c>
      <c r="S290" s="1291">
        <v>217533</v>
      </c>
      <c r="T290" s="1291">
        <v>211</v>
      </c>
      <c r="U290" s="180">
        <v>10319</v>
      </c>
      <c r="V290" s="334">
        <v>55700</v>
      </c>
      <c r="W290" s="1302">
        <v>495618.46423884941</v>
      </c>
      <c r="X290" s="1181">
        <v>0</v>
      </c>
      <c r="Y290" s="1302">
        <v>92076.75213076768</v>
      </c>
      <c r="Z290" s="1311">
        <f t="shared" si="14"/>
        <v>643395.21636961715</v>
      </c>
      <c r="AA290" s="1302">
        <v>420191</v>
      </c>
      <c r="AB290" s="1181">
        <v>0</v>
      </c>
      <c r="AC290" s="1302">
        <v>14298.89592947563</v>
      </c>
      <c r="AD290" s="1181">
        <v>0</v>
      </c>
      <c r="AE290" s="1302">
        <v>0</v>
      </c>
      <c r="AF290" s="1311">
        <f t="shared" ref="AF290:AF353" si="16">SUM(AB290:AE290)</f>
        <v>14298.89592947563</v>
      </c>
      <c r="AG290" s="1322">
        <v>43528</v>
      </c>
    </row>
    <row r="291" spans="1:33" s="2" customFormat="1">
      <c r="A291" s="134">
        <f t="shared" si="15"/>
        <v>2016.06</v>
      </c>
      <c r="B291" s="611">
        <v>3574352</v>
      </c>
      <c r="C291" s="1291">
        <v>95850</v>
      </c>
      <c r="D291" s="1291">
        <v>0</v>
      </c>
      <c r="E291" s="334">
        <v>8646</v>
      </c>
      <c r="F291" s="1181">
        <v>703710</v>
      </c>
      <c r="G291" s="1291">
        <v>39605</v>
      </c>
      <c r="H291" s="1291">
        <v>0</v>
      </c>
      <c r="I291" s="180">
        <v>1485</v>
      </c>
      <c r="J291" s="1181">
        <v>2740501</v>
      </c>
      <c r="K291" s="1291">
        <v>41330</v>
      </c>
      <c r="L291" s="1291">
        <v>0</v>
      </c>
      <c r="M291" s="180">
        <v>6195</v>
      </c>
      <c r="N291" s="1181">
        <v>14793</v>
      </c>
      <c r="O291" s="1291">
        <v>0</v>
      </c>
      <c r="P291" s="1291">
        <v>0</v>
      </c>
      <c r="Q291" s="180">
        <v>0</v>
      </c>
      <c r="R291" s="334">
        <v>4045934</v>
      </c>
      <c r="S291" s="1291">
        <v>309359</v>
      </c>
      <c r="T291" s="1291">
        <v>71</v>
      </c>
      <c r="U291" s="180">
        <v>9121</v>
      </c>
      <c r="V291" s="334">
        <v>96305</v>
      </c>
      <c r="W291" s="1302">
        <v>375030.10711110453</v>
      </c>
      <c r="X291" s="1181">
        <v>0</v>
      </c>
      <c r="Y291" s="1302">
        <v>86984.983579897264</v>
      </c>
      <c r="Z291" s="1311">
        <f t="shared" si="14"/>
        <v>558320.09069100185</v>
      </c>
      <c r="AA291" s="1302">
        <v>503409</v>
      </c>
      <c r="AB291" s="1181">
        <v>0</v>
      </c>
      <c r="AC291" s="1302">
        <v>0</v>
      </c>
      <c r="AD291" s="1181">
        <v>0</v>
      </c>
      <c r="AE291" s="1302">
        <v>0</v>
      </c>
      <c r="AF291" s="1311">
        <f t="shared" si="16"/>
        <v>0</v>
      </c>
      <c r="AG291" s="1322">
        <v>0</v>
      </c>
    </row>
    <row r="292" spans="1:33" s="2" customFormat="1">
      <c r="A292" s="134">
        <f t="shared" si="15"/>
        <v>2016.07</v>
      </c>
      <c r="B292" s="611">
        <v>3455037</v>
      </c>
      <c r="C292" s="1291">
        <v>53006</v>
      </c>
      <c r="D292" s="1291">
        <v>0</v>
      </c>
      <c r="E292" s="334">
        <v>10438</v>
      </c>
      <c r="F292" s="1181">
        <v>682106</v>
      </c>
      <c r="G292" s="1291">
        <v>21597</v>
      </c>
      <c r="H292" s="1291">
        <v>0</v>
      </c>
      <c r="I292" s="180">
        <v>1637</v>
      </c>
      <c r="J292" s="1181">
        <v>2635287</v>
      </c>
      <c r="K292" s="1291">
        <v>22714</v>
      </c>
      <c r="L292" s="1291">
        <v>0</v>
      </c>
      <c r="M292" s="180">
        <v>7513</v>
      </c>
      <c r="N292" s="1181">
        <v>13620</v>
      </c>
      <c r="O292" s="1291">
        <v>0</v>
      </c>
      <c r="P292" s="1291">
        <v>0</v>
      </c>
      <c r="Q292" s="180">
        <v>0</v>
      </c>
      <c r="R292" s="334">
        <v>3975717</v>
      </c>
      <c r="S292" s="1291">
        <v>222617</v>
      </c>
      <c r="T292" s="1291">
        <v>373</v>
      </c>
      <c r="U292" s="180">
        <v>11165</v>
      </c>
      <c r="V292" s="334">
        <v>53014</v>
      </c>
      <c r="W292" s="1302">
        <v>398624.25684505893</v>
      </c>
      <c r="X292" s="1181">
        <v>0</v>
      </c>
      <c r="Y292" s="1302">
        <v>38683.805016522107</v>
      </c>
      <c r="Z292" s="1311">
        <f t="shared" si="14"/>
        <v>490322.06186158105</v>
      </c>
      <c r="AA292" s="1302">
        <v>436711</v>
      </c>
      <c r="AB292" s="1181">
        <v>0</v>
      </c>
      <c r="AC292" s="1302">
        <v>1035.1856630151767</v>
      </c>
      <c r="AD292" s="1181">
        <v>0</v>
      </c>
      <c r="AE292" s="1302">
        <v>0</v>
      </c>
      <c r="AF292" s="1311">
        <f t="shared" si="16"/>
        <v>1035.1856630151767</v>
      </c>
      <c r="AG292" s="1322">
        <v>26065</v>
      </c>
    </row>
    <row r="293" spans="1:33" s="2" customFormat="1">
      <c r="A293" s="134">
        <f t="shared" si="15"/>
        <v>2016.08</v>
      </c>
      <c r="B293" s="611">
        <v>3195019</v>
      </c>
      <c r="C293" s="1291">
        <v>65915</v>
      </c>
      <c r="D293" s="1291">
        <v>0</v>
      </c>
      <c r="E293" s="334">
        <v>18083</v>
      </c>
      <c r="F293" s="1181">
        <v>618095</v>
      </c>
      <c r="G293" s="1291">
        <v>26712</v>
      </c>
      <c r="H293" s="1291">
        <v>0</v>
      </c>
      <c r="I293" s="180">
        <v>2796</v>
      </c>
      <c r="J293" s="1181">
        <v>2441783</v>
      </c>
      <c r="K293" s="1291">
        <v>29621</v>
      </c>
      <c r="L293" s="1291">
        <v>0</v>
      </c>
      <c r="M293" s="180">
        <v>9933</v>
      </c>
      <c r="N293" s="1181">
        <v>13858</v>
      </c>
      <c r="O293" s="1291">
        <v>0</v>
      </c>
      <c r="P293" s="1291">
        <v>0</v>
      </c>
      <c r="Q293" s="180">
        <v>0</v>
      </c>
      <c r="R293" s="334">
        <v>3756860</v>
      </c>
      <c r="S293" s="1291">
        <v>229743</v>
      </c>
      <c r="T293" s="1291">
        <v>480</v>
      </c>
      <c r="U293" s="180">
        <v>18735</v>
      </c>
      <c r="V293" s="334">
        <v>62645</v>
      </c>
      <c r="W293" s="1302">
        <v>354853.11121855141</v>
      </c>
      <c r="X293" s="1181">
        <v>2255</v>
      </c>
      <c r="Y293" s="1302">
        <v>46223.904317819804</v>
      </c>
      <c r="Z293" s="1311">
        <f t="shared" si="14"/>
        <v>465977.01553637121</v>
      </c>
      <c r="AA293" s="1302">
        <v>437358</v>
      </c>
      <c r="AB293" s="1181">
        <v>0</v>
      </c>
      <c r="AC293" s="1302">
        <v>2795.0012901409773</v>
      </c>
      <c r="AD293" s="1181">
        <v>0</v>
      </c>
      <c r="AE293" s="1302">
        <v>0</v>
      </c>
      <c r="AF293" s="1311">
        <f t="shared" si="16"/>
        <v>2795.0012901409773</v>
      </c>
      <c r="AG293" s="1322">
        <v>4700</v>
      </c>
    </row>
    <row r="294" spans="1:33" s="2" customFormat="1">
      <c r="A294" s="134">
        <f t="shared" si="15"/>
        <v>2016.09</v>
      </c>
      <c r="B294" s="611">
        <v>2955564</v>
      </c>
      <c r="C294" s="1291">
        <v>27576</v>
      </c>
      <c r="D294" s="1291">
        <v>0</v>
      </c>
      <c r="E294" s="334">
        <v>4365</v>
      </c>
      <c r="F294" s="1181">
        <v>592380</v>
      </c>
      <c r="G294" s="1291">
        <v>10799</v>
      </c>
      <c r="H294" s="1291">
        <v>0</v>
      </c>
      <c r="I294" s="180">
        <v>758</v>
      </c>
      <c r="J294" s="1181">
        <v>2262728</v>
      </c>
      <c r="K294" s="1291">
        <v>13864</v>
      </c>
      <c r="L294" s="1291">
        <v>0</v>
      </c>
      <c r="M294" s="180">
        <v>3481</v>
      </c>
      <c r="N294" s="1181">
        <v>11964</v>
      </c>
      <c r="O294" s="1291">
        <v>0</v>
      </c>
      <c r="P294" s="1291">
        <v>0</v>
      </c>
      <c r="Q294" s="180">
        <v>0</v>
      </c>
      <c r="R294" s="334">
        <v>3540968</v>
      </c>
      <c r="S294" s="1291">
        <v>122460</v>
      </c>
      <c r="T294" s="1291">
        <v>917</v>
      </c>
      <c r="U294" s="180">
        <v>5047</v>
      </c>
      <c r="V294" s="334">
        <v>61158</v>
      </c>
      <c r="W294" s="1302">
        <v>205058.34595989337</v>
      </c>
      <c r="X294" s="1181">
        <v>0</v>
      </c>
      <c r="Y294" s="1302">
        <v>30535.791337226416</v>
      </c>
      <c r="Z294" s="1311">
        <f t="shared" si="14"/>
        <v>296752.13729711977</v>
      </c>
      <c r="AA294" s="1302">
        <v>279120</v>
      </c>
      <c r="AB294" s="1181">
        <v>0</v>
      </c>
      <c r="AC294" s="1302">
        <v>2070.3713260303534</v>
      </c>
      <c r="AD294" s="1181">
        <v>0</v>
      </c>
      <c r="AE294" s="1302">
        <v>0</v>
      </c>
      <c r="AF294" s="1311">
        <f t="shared" si="16"/>
        <v>2070.3713260303534</v>
      </c>
      <c r="AG294" s="1322">
        <v>2000</v>
      </c>
    </row>
    <row r="295" spans="1:33" s="2" customFormat="1">
      <c r="A295" s="134">
        <f t="shared" si="15"/>
        <v>2016.1</v>
      </c>
      <c r="B295" s="611">
        <v>3118618</v>
      </c>
      <c r="C295" s="1291">
        <v>15182</v>
      </c>
      <c r="D295" s="1291">
        <v>0</v>
      </c>
      <c r="E295" s="334">
        <v>0</v>
      </c>
      <c r="F295" s="1181">
        <v>619305</v>
      </c>
      <c r="G295" s="1291">
        <v>6559</v>
      </c>
      <c r="H295" s="1291">
        <v>0</v>
      </c>
      <c r="I295" s="180">
        <v>0</v>
      </c>
      <c r="J295" s="1181">
        <v>2386741</v>
      </c>
      <c r="K295" s="1291">
        <v>8141</v>
      </c>
      <c r="L295" s="1291">
        <v>0</v>
      </c>
      <c r="M295" s="180">
        <v>0</v>
      </c>
      <c r="N295" s="1181">
        <v>13161</v>
      </c>
      <c r="O295" s="1291">
        <v>0</v>
      </c>
      <c r="P295" s="1291">
        <v>0</v>
      </c>
      <c r="Q295" s="180">
        <v>0</v>
      </c>
      <c r="R295" s="334">
        <v>3705761</v>
      </c>
      <c r="S295" s="1291">
        <v>129406</v>
      </c>
      <c r="T295" s="1291">
        <v>430</v>
      </c>
      <c r="U295" s="180">
        <v>489</v>
      </c>
      <c r="V295" s="334">
        <v>37000</v>
      </c>
      <c r="W295" s="1302">
        <v>268680.35618535208</v>
      </c>
      <c r="X295" s="1181">
        <v>0</v>
      </c>
      <c r="Y295" s="1302">
        <v>71303.473520595537</v>
      </c>
      <c r="Z295" s="1311">
        <f t="shared" si="14"/>
        <v>376983.8297059476</v>
      </c>
      <c r="AA295" s="1302">
        <v>356798</v>
      </c>
      <c r="AB295" s="1181">
        <v>0</v>
      </c>
      <c r="AC295" s="1302">
        <v>0</v>
      </c>
      <c r="AD295" s="1181">
        <v>0</v>
      </c>
      <c r="AE295" s="1302">
        <v>0</v>
      </c>
      <c r="AF295" s="1311">
        <f t="shared" si="16"/>
        <v>0</v>
      </c>
      <c r="AG295" s="1322">
        <v>2100</v>
      </c>
    </row>
    <row r="296" spans="1:33" s="2" customFormat="1">
      <c r="A296" s="134">
        <f t="shared" si="15"/>
        <v>2016.11</v>
      </c>
      <c r="B296" s="611">
        <v>3267947</v>
      </c>
      <c r="C296" s="1291">
        <v>2099</v>
      </c>
      <c r="D296" s="1291">
        <v>0</v>
      </c>
      <c r="E296" s="334">
        <v>0</v>
      </c>
      <c r="F296" s="1181">
        <v>641919</v>
      </c>
      <c r="G296" s="1291">
        <v>919</v>
      </c>
      <c r="H296" s="1291">
        <v>0</v>
      </c>
      <c r="I296" s="180">
        <v>0</v>
      </c>
      <c r="J296" s="1181">
        <v>2498235</v>
      </c>
      <c r="K296" s="1291">
        <v>1118</v>
      </c>
      <c r="L296" s="1291">
        <v>0</v>
      </c>
      <c r="M296" s="180">
        <v>0</v>
      </c>
      <c r="N296" s="1181">
        <v>12454</v>
      </c>
      <c r="O296" s="1291">
        <v>0</v>
      </c>
      <c r="P296" s="1291">
        <v>0</v>
      </c>
      <c r="Q296" s="180">
        <v>0</v>
      </c>
      <c r="R296" s="334">
        <v>3645433</v>
      </c>
      <c r="S296" s="1291">
        <v>93321</v>
      </c>
      <c r="T296" s="1291">
        <v>560</v>
      </c>
      <c r="U296" s="180">
        <v>330</v>
      </c>
      <c r="V296" s="334">
        <v>66983</v>
      </c>
      <c r="W296" s="1302">
        <v>368408.34457992995</v>
      </c>
      <c r="X296" s="1181">
        <v>0</v>
      </c>
      <c r="Y296" s="1302">
        <v>85901.991797761671</v>
      </c>
      <c r="Z296" s="1311">
        <f t="shared" si="14"/>
        <v>521293.33637769159</v>
      </c>
      <c r="AA296" s="1302">
        <v>481649</v>
      </c>
      <c r="AB296" s="1181">
        <v>0</v>
      </c>
      <c r="AC296" s="1302">
        <v>879.90781356290029</v>
      </c>
      <c r="AD296" s="1181">
        <v>0</v>
      </c>
      <c r="AE296" s="1302">
        <v>0</v>
      </c>
      <c r="AF296" s="1311">
        <f t="shared" si="16"/>
        <v>879.90781356290029</v>
      </c>
      <c r="AG296" s="1322">
        <v>850</v>
      </c>
    </row>
    <row r="297" spans="1:33" s="2" customFormat="1">
      <c r="A297" s="134">
        <f t="shared" si="15"/>
        <v>2016.12</v>
      </c>
      <c r="B297" s="611">
        <v>2852057</v>
      </c>
      <c r="C297" s="1291">
        <v>42979</v>
      </c>
      <c r="D297" s="1291">
        <v>0</v>
      </c>
      <c r="E297" s="334">
        <v>0</v>
      </c>
      <c r="F297" s="1181">
        <v>558803</v>
      </c>
      <c r="G297" s="1291">
        <v>16924</v>
      </c>
      <c r="H297" s="1291">
        <v>0</v>
      </c>
      <c r="I297" s="180">
        <v>0</v>
      </c>
      <c r="J297" s="1181">
        <v>2186113</v>
      </c>
      <c r="K297" s="1291">
        <v>19410</v>
      </c>
      <c r="L297" s="1291">
        <v>0</v>
      </c>
      <c r="M297" s="180">
        <v>0</v>
      </c>
      <c r="N297" s="1181">
        <v>12056</v>
      </c>
      <c r="O297" s="1291">
        <v>0</v>
      </c>
      <c r="P297" s="1291">
        <v>0</v>
      </c>
      <c r="Q297" s="180">
        <v>0</v>
      </c>
      <c r="R297" s="334">
        <v>3388459</v>
      </c>
      <c r="S297" s="1291">
        <v>139675</v>
      </c>
      <c r="T297" s="1291">
        <v>90</v>
      </c>
      <c r="U297" s="180">
        <v>0</v>
      </c>
      <c r="V297" s="334">
        <v>31500</v>
      </c>
      <c r="W297" s="1302">
        <v>364653.86443485756</v>
      </c>
      <c r="X297" s="1181">
        <v>0</v>
      </c>
      <c r="Y297" s="1302">
        <v>52345</v>
      </c>
      <c r="Z297" s="1311">
        <f t="shared" si="14"/>
        <v>448498.86443485756</v>
      </c>
      <c r="AA297" s="1302">
        <v>456350</v>
      </c>
      <c r="AB297" s="1181">
        <v>0</v>
      </c>
      <c r="AC297" s="1302">
        <v>414.07426520607072</v>
      </c>
      <c r="AD297" s="1181">
        <v>0</v>
      </c>
      <c r="AE297" s="1302">
        <v>400</v>
      </c>
      <c r="AF297" s="1311">
        <f t="shared" si="16"/>
        <v>814.07426520607078</v>
      </c>
      <c r="AG297" s="1322">
        <v>400</v>
      </c>
    </row>
    <row r="298" spans="1:33" s="2" customFormat="1">
      <c r="A298" s="134">
        <f t="shared" si="15"/>
        <v>2017.01</v>
      </c>
      <c r="B298" s="611">
        <v>2509684</v>
      </c>
      <c r="C298" s="1291">
        <v>174626</v>
      </c>
      <c r="D298" s="1291">
        <v>0</v>
      </c>
      <c r="E298" s="334">
        <v>0</v>
      </c>
      <c r="F298" s="1181">
        <v>495510</v>
      </c>
      <c r="G298" s="1291">
        <v>69803</v>
      </c>
      <c r="H298" s="1291">
        <v>0</v>
      </c>
      <c r="I298" s="180">
        <v>0</v>
      </c>
      <c r="J298" s="1181">
        <v>1929504</v>
      </c>
      <c r="K298" s="1291">
        <v>80627</v>
      </c>
      <c r="L298" s="1291">
        <v>0</v>
      </c>
      <c r="M298" s="180">
        <v>0</v>
      </c>
      <c r="N298" s="1181">
        <v>11297</v>
      </c>
      <c r="O298" s="1291">
        <v>0</v>
      </c>
      <c r="P298" s="1291">
        <v>0</v>
      </c>
      <c r="Q298" s="180">
        <v>0</v>
      </c>
      <c r="R298" s="334">
        <v>2966406</v>
      </c>
      <c r="S298" s="1291">
        <v>308973</v>
      </c>
      <c r="T298" s="1291">
        <v>671</v>
      </c>
      <c r="U298" s="180">
        <v>0</v>
      </c>
      <c r="V298" s="334">
        <v>66184</v>
      </c>
      <c r="W298" s="1302">
        <v>195281.84874978152</v>
      </c>
      <c r="X298" s="1181">
        <v>0</v>
      </c>
      <c r="Y298" s="1302">
        <v>25171.78714144996</v>
      </c>
      <c r="Z298" s="1311">
        <f t="shared" si="14"/>
        <v>286637.63589123148</v>
      </c>
      <c r="AA298" s="1302">
        <v>207811</v>
      </c>
      <c r="AB298" s="1181">
        <v>0</v>
      </c>
      <c r="AC298" s="1302">
        <v>20832.051941473739</v>
      </c>
      <c r="AD298" s="1181">
        <v>0</v>
      </c>
      <c r="AE298" s="1302">
        <v>0</v>
      </c>
      <c r="AF298" s="1311">
        <f t="shared" si="16"/>
        <v>20832.051941473739</v>
      </c>
      <c r="AG298" s="1322">
        <v>16860</v>
      </c>
    </row>
    <row r="299" spans="1:33" s="2" customFormat="1">
      <c r="A299" s="134">
        <f t="shared" si="15"/>
        <v>2017.02</v>
      </c>
      <c r="B299" s="611">
        <v>2270106</v>
      </c>
      <c r="C299" s="1291">
        <v>155736</v>
      </c>
      <c r="D299" s="1291">
        <v>0</v>
      </c>
      <c r="E299" s="334">
        <v>0</v>
      </c>
      <c r="F299" s="1181">
        <v>441980</v>
      </c>
      <c r="G299" s="1291">
        <v>62142</v>
      </c>
      <c r="H299" s="1291">
        <v>0</v>
      </c>
      <c r="I299" s="180">
        <v>0</v>
      </c>
      <c r="J299" s="1181">
        <v>1738711</v>
      </c>
      <c r="K299" s="1291">
        <v>71482</v>
      </c>
      <c r="L299" s="1291">
        <v>0</v>
      </c>
      <c r="M299" s="180">
        <v>0</v>
      </c>
      <c r="N299" s="1181">
        <v>10669</v>
      </c>
      <c r="O299" s="1291">
        <v>0</v>
      </c>
      <c r="P299" s="1291">
        <v>0</v>
      </c>
      <c r="Q299" s="180">
        <v>0</v>
      </c>
      <c r="R299" s="334">
        <v>2623432</v>
      </c>
      <c r="S299" s="1291">
        <v>203940</v>
      </c>
      <c r="T299" s="1291">
        <v>520</v>
      </c>
      <c r="U299" s="180">
        <v>0</v>
      </c>
      <c r="V299" s="334">
        <v>60000</v>
      </c>
      <c r="W299" s="1302">
        <v>203650.07498246676</v>
      </c>
      <c r="X299" s="1181">
        <v>0</v>
      </c>
      <c r="Y299" s="1302">
        <v>18550.019713248708</v>
      </c>
      <c r="Z299" s="1311">
        <f t="shared" si="14"/>
        <v>282200.09469571547</v>
      </c>
      <c r="AA299" s="1302">
        <v>211341</v>
      </c>
      <c r="AB299" s="1181">
        <v>0</v>
      </c>
      <c r="AC299" s="1302">
        <v>7042.8645353736847</v>
      </c>
      <c r="AD299" s="1181">
        <v>0</v>
      </c>
      <c r="AE299" s="1302">
        <v>0</v>
      </c>
      <c r="AF299" s="1311">
        <f t="shared" si="16"/>
        <v>7042.8645353736847</v>
      </c>
      <c r="AG299" s="1322">
        <v>11900</v>
      </c>
    </row>
    <row r="300" spans="1:33" s="2" customFormat="1">
      <c r="A300" s="134">
        <f t="shared" si="15"/>
        <v>2017.03</v>
      </c>
      <c r="B300" s="611">
        <v>2936368</v>
      </c>
      <c r="C300" s="1291">
        <v>170030</v>
      </c>
      <c r="D300" s="1291">
        <v>0</v>
      </c>
      <c r="E300" s="334">
        <v>0</v>
      </c>
      <c r="F300" s="1181">
        <v>576883</v>
      </c>
      <c r="G300" s="1291">
        <v>68337</v>
      </c>
      <c r="H300" s="1291">
        <v>0</v>
      </c>
      <c r="I300" s="180">
        <v>0</v>
      </c>
      <c r="J300" s="1181">
        <v>2279974</v>
      </c>
      <c r="K300" s="1291">
        <v>77063</v>
      </c>
      <c r="L300" s="1291">
        <v>0</v>
      </c>
      <c r="M300" s="180">
        <v>0</v>
      </c>
      <c r="N300" s="1181">
        <v>12036</v>
      </c>
      <c r="O300" s="1291">
        <v>0</v>
      </c>
      <c r="P300" s="1291">
        <v>0</v>
      </c>
      <c r="Q300" s="180">
        <v>0</v>
      </c>
      <c r="R300" s="334">
        <v>3358121</v>
      </c>
      <c r="S300" s="1291">
        <v>416095</v>
      </c>
      <c r="T300" s="1291">
        <v>433</v>
      </c>
      <c r="U300" s="180">
        <v>94</v>
      </c>
      <c r="V300" s="334">
        <v>62000</v>
      </c>
      <c r="W300" s="1302">
        <v>415337.52598425746</v>
      </c>
      <c r="X300" s="1181">
        <v>0</v>
      </c>
      <c r="Y300" s="1302">
        <v>43382.63353794744</v>
      </c>
      <c r="Z300" s="1311">
        <f t="shared" si="14"/>
        <v>520720.15952220489</v>
      </c>
      <c r="AA300" s="1302">
        <v>429777</v>
      </c>
      <c r="AB300" s="1181">
        <v>0</v>
      </c>
      <c r="AC300" s="1302">
        <v>85255.728586102472</v>
      </c>
      <c r="AD300" s="1181">
        <v>0</v>
      </c>
      <c r="AE300" s="1302">
        <v>0</v>
      </c>
      <c r="AF300" s="1311">
        <f t="shared" si="16"/>
        <v>85255.728586102472</v>
      </c>
      <c r="AG300" s="1322">
        <v>71300</v>
      </c>
    </row>
    <row r="301" spans="1:33" s="2" customFormat="1">
      <c r="A301" s="134">
        <f t="shared" si="15"/>
        <v>2017.04</v>
      </c>
      <c r="B301" s="611">
        <v>3560752</v>
      </c>
      <c r="C301" s="1291">
        <v>148585</v>
      </c>
      <c r="D301" s="1291">
        <v>0</v>
      </c>
      <c r="E301" s="334">
        <v>0</v>
      </c>
      <c r="F301" s="1181">
        <v>698094</v>
      </c>
      <c r="G301" s="1291">
        <v>59994</v>
      </c>
      <c r="H301" s="1291">
        <v>0</v>
      </c>
      <c r="I301" s="180">
        <v>0</v>
      </c>
      <c r="J301" s="1181">
        <v>2689740</v>
      </c>
      <c r="K301" s="1291">
        <v>65978</v>
      </c>
      <c r="L301" s="1291">
        <v>0</v>
      </c>
      <c r="M301" s="180">
        <v>0</v>
      </c>
      <c r="N301" s="1181">
        <v>13416</v>
      </c>
      <c r="O301" s="1291">
        <v>0</v>
      </c>
      <c r="P301" s="1291">
        <v>0</v>
      </c>
      <c r="Q301" s="180">
        <v>0</v>
      </c>
      <c r="R301" s="334">
        <v>3997905</v>
      </c>
      <c r="S301" s="1291">
        <v>433761</v>
      </c>
      <c r="T301" s="1291">
        <v>50</v>
      </c>
      <c r="U301" s="180">
        <v>121</v>
      </c>
      <c r="V301" s="334">
        <v>60550</v>
      </c>
      <c r="W301" s="1302">
        <v>415954.96407630597</v>
      </c>
      <c r="X301" s="1181">
        <v>0</v>
      </c>
      <c r="Y301" s="1302">
        <v>262772.55521512381</v>
      </c>
      <c r="Z301" s="1311">
        <f t="shared" si="14"/>
        <v>739277.51929142978</v>
      </c>
      <c r="AA301" s="1302">
        <v>565657</v>
      </c>
      <c r="AB301" s="1181">
        <v>0</v>
      </c>
      <c r="AC301" s="1302">
        <v>3475.5958544685072</v>
      </c>
      <c r="AD301" s="1181">
        <v>0</v>
      </c>
      <c r="AE301" s="1302">
        <v>0</v>
      </c>
      <c r="AF301" s="1311">
        <f t="shared" si="16"/>
        <v>3475.5958544685072</v>
      </c>
      <c r="AG301" s="1322">
        <v>26495</v>
      </c>
    </row>
    <row r="302" spans="1:33" s="2" customFormat="1">
      <c r="A302" s="134">
        <f t="shared" si="15"/>
        <v>2017.05</v>
      </c>
      <c r="B302" s="611">
        <v>3972738</v>
      </c>
      <c r="C302" s="1291">
        <v>91255</v>
      </c>
      <c r="D302" s="1291">
        <v>0</v>
      </c>
      <c r="E302" s="334">
        <v>10248</v>
      </c>
      <c r="F302" s="1181">
        <v>767842</v>
      </c>
      <c r="G302" s="1291">
        <v>36960</v>
      </c>
      <c r="H302" s="1291">
        <v>0</v>
      </c>
      <c r="I302" s="180">
        <v>1639</v>
      </c>
      <c r="J302" s="1181">
        <v>3012678</v>
      </c>
      <c r="K302" s="1291">
        <v>41505</v>
      </c>
      <c r="L302" s="1291">
        <v>0</v>
      </c>
      <c r="M302" s="180">
        <v>7601</v>
      </c>
      <c r="N302" s="1181">
        <v>14301</v>
      </c>
      <c r="O302" s="1291">
        <v>0</v>
      </c>
      <c r="P302" s="1291">
        <v>0</v>
      </c>
      <c r="Q302" s="180">
        <v>0</v>
      </c>
      <c r="R302" s="334">
        <v>4523524</v>
      </c>
      <c r="S302" s="1291">
        <v>315786</v>
      </c>
      <c r="T302" s="1291">
        <v>252</v>
      </c>
      <c r="U302" s="180">
        <v>10419</v>
      </c>
      <c r="V302" s="334">
        <v>54839</v>
      </c>
      <c r="W302" s="1302">
        <v>429556.46139418508</v>
      </c>
      <c r="X302" s="1181">
        <v>0</v>
      </c>
      <c r="Y302" s="1302">
        <v>70978.150863281422</v>
      </c>
      <c r="Z302" s="1311">
        <f t="shared" si="14"/>
        <v>555373.61225746654</v>
      </c>
      <c r="AA302" s="1302">
        <v>530173</v>
      </c>
      <c r="AB302" s="1181">
        <v>0</v>
      </c>
      <c r="AC302" s="1302">
        <v>5430.618522607042</v>
      </c>
      <c r="AD302" s="1181">
        <v>0</v>
      </c>
      <c r="AE302" s="1302">
        <v>0</v>
      </c>
      <c r="AF302" s="1311">
        <f t="shared" si="16"/>
        <v>5430.618522607042</v>
      </c>
      <c r="AG302" s="1322">
        <v>7000</v>
      </c>
    </row>
    <row r="303" spans="1:33" s="2" customFormat="1">
      <c r="A303" s="134">
        <f t="shared" si="15"/>
        <v>2017.06</v>
      </c>
      <c r="B303" s="611">
        <v>3259934</v>
      </c>
      <c r="C303" s="1291">
        <v>84267</v>
      </c>
      <c r="D303" s="1291">
        <v>0</v>
      </c>
      <c r="E303" s="334">
        <v>12295</v>
      </c>
      <c r="F303" s="1181">
        <v>629762</v>
      </c>
      <c r="G303" s="1291">
        <v>34590</v>
      </c>
      <c r="H303" s="1291">
        <v>0</v>
      </c>
      <c r="I303" s="180">
        <v>1968</v>
      </c>
      <c r="J303" s="1181">
        <v>2468416</v>
      </c>
      <c r="K303" s="1291">
        <v>35532</v>
      </c>
      <c r="L303" s="1291">
        <v>0</v>
      </c>
      <c r="M303" s="180">
        <v>9042</v>
      </c>
      <c r="N303" s="1181">
        <v>14906</v>
      </c>
      <c r="O303" s="1291">
        <v>0</v>
      </c>
      <c r="P303" s="1291">
        <v>0</v>
      </c>
      <c r="Q303" s="180">
        <v>0</v>
      </c>
      <c r="R303" s="334">
        <v>3864808</v>
      </c>
      <c r="S303" s="1291">
        <v>251376</v>
      </c>
      <c r="T303" s="1291">
        <v>701</v>
      </c>
      <c r="U303" s="180">
        <v>12717</v>
      </c>
      <c r="V303" s="334">
        <v>43442</v>
      </c>
      <c r="W303" s="1302">
        <v>346359.32656646299</v>
      </c>
      <c r="X303" s="1181">
        <v>3224</v>
      </c>
      <c r="Y303" s="1302">
        <v>68533.392420220916</v>
      </c>
      <c r="Z303" s="1311">
        <f t="shared" si="14"/>
        <v>461558.71898668387</v>
      </c>
      <c r="AA303" s="1302">
        <v>441217</v>
      </c>
      <c r="AB303" s="1181">
        <v>0</v>
      </c>
      <c r="AC303" s="1302">
        <v>1086.1237045214084</v>
      </c>
      <c r="AD303" s="1181">
        <v>0</v>
      </c>
      <c r="AE303" s="1302">
        <v>0</v>
      </c>
      <c r="AF303" s="1311">
        <f t="shared" si="16"/>
        <v>1086.1237045214084</v>
      </c>
      <c r="AG303" s="1322">
        <v>1000</v>
      </c>
    </row>
    <row r="304" spans="1:33" s="2" customFormat="1">
      <c r="A304" s="134">
        <f t="shared" si="15"/>
        <v>2017.07</v>
      </c>
      <c r="B304" s="611">
        <v>3744394</v>
      </c>
      <c r="C304" s="1291">
        <v>76696</v>
      </c>
      <c r="D304" s="1291">
        <v>0</v>
      </c>
      <c r="E304" s="334">
        <v>0</v>
      </c>
      <c r="F304" s="1181">
        <v>723317</v>
      </c>
      <c r="G304" s="1291">
        <v>31783</v>
      </c>
      <c r="H304" s="1291">
        <v>0</v>
      </c>
      <c r="I304" s="180">
        <v>0</v>
      </c>
      <c r="J304" s="1181">
        <v>2842121</v>
      </c>
      <c r="K304" s="1291">
        <v>31946</v>
      </c>
      <c r="L304" s="1291">
        <v>0</v>
      </c>
      <c r="M304" s="180">
        <v>0</v>
      </c>
      <c r="N304" s="1181">
        <v>14527</v>
      </c>
      <c r="O304" s="1291">
        <v>0</v>
      </c>
      <c r="P304" s="1291">
        <v>0</v>
      </c>
      <c r="Q304" s="180">
        <v>0</v>
      </c>
      <c r="R304" s="334">
        <v>4304897</v>
      </c>
      <c r="S304" s="1291">
        <v>317867</v>
      </c>
      <c r="T304" s="1291">
        <v>672</v>
      </c>
      <c r="U304" s="180">
        <v>494</v>
      </c>
      <c r="V304" s="334">
        <v>32500</v>
      </c>
      <c r="W304" s="1302">
        <v>406486.44164771849</v>
      </c>
      <c r="X304" s="1181">
        <v>0</v>
      </c>
      <c r="Y304" s="1302">
        <v>52722.618554854162</v>
      </c>
      <c r="Z304" s="1311">
        <f t="shared" si="14"/>
        <v>491709.06020257267</v>
      </c>
      <c r="AA304" s="1302">
        <v>467890</v>
      </c>
      <c r="AB304" s="1181">
        <v>0</v>
      </c>
      <c r="AC304" s="1302">
        <v>5973.6803748677467</v>
      </c>
      <c r="AD304" s="1181">
        <v>0</v>
      </c>
      <c r="AE304" s="1302">
        <v>0</v>
      </c>
      <c r="AF304" s="1311">
        <f t="shared" si="16"/>
        <v>5973.6803748677467</v>
      </c>
      <c r="AG304" s="1322">
        <v>39010</v>
      </c>
    </row>
    <row r="305" spans="1:33" s="2" customFormat="1">
      <c r="A305" s="134">
        <f t="shared" si="15"/>
        <v>2017.08</v>
      </c>
      <c r="B305" s="611">
        <v>3170909</v>
      </c>
      <c r="C305" s="1291">
        <v>82570</v>
      </c>
      <c r="D305" s="1291">
        <v>0</v>
      </c>
      <c r="E305" s="334">
        <v>21163</v>
      </c>
      <c r="F305" s="1181">
        <v>621226</v>
      </c>
      <c r="G305" s="1291">
        <v>34092</v>
      </c>
      <c r="H305" s="1291">
        <v>0</v>
      </c>
      <c r="I305" s="180">
        <v>3213</v>
      </c>
      <c r="J305" s="1181">
        <v>2409865</v>
      </c>
      <c r="K305" s="1291">
        <v>37676</v>
      </c>
      <c r="L305" s="1291">
        <v>0</v>
      </c>
      <c r="M305" s="180">
        <v>15560</v>
      </c>
      <c r="N305" s="1181">
        <v>18018</v>
      </c>
      <c r="O305" s="1291">
        <v>0</v>
      </c>
      <c r="P305" s="1291">
        <v>0</v>
      </c>
      <c r="Q305" s="180">
        <v>0</v>
      </c>
      <c r="R305" s="334">
        <v>3726921</v>
      </c>
      <c r="S305" s="1291">
        <v>300018</v>
      </c>
      <c r="T305" s="1291">
        <v>1152</v>
      </c>
      <c r="U305" s="180">
        <v>21838</v>
      </c>
      <c r="V305" s="334">
        <v>103680</v>
      </c>
      <c r="W305" s="1302">
        <v>410978.31979312614</v>
      </c>
      <c r="X305" s="1181">
        <v>5000</v>
      </c>
      <c r="Y305" s="1302">
        <v>54701.47016347896</v>
      </c>
      <c r="Z305" s="1311">
        <f t="shared" si="14"/>
        <v>574359.78995660506</v>
      </c>
      <c r="AA305" s="1302">
        <v>568162</v>
      </c>
      <c r="AB305" s="1181">
        <v>0</v>
      </c>
      <c r="AC305" s="1302">
        <v>4652.690900507494</v>
      </c>
      <c r="AD305" s="1181">
        <v>0</v>
      </c>
      <c r="AE305" s="1302">
        <v>0</v>
      </c>
      <c r="AF305" s="1311">
        <f t="shared" si="16"/>
        <v>4652.690900507494</v>
      </c>
      <c r="AG305" s="1322">
        <v>18455</v>
      </c>
    </row>
    <row r="306" spans="1:33" s="2" customFormat="1">
      <c r="A306" s="134">
        <f t="shared" si="15"/>
        <v>2017.09</v>
      </c>
      <c r="B306" s="611">
        <v>2898390</v>
      </c>
      <c r="C306" s="1291">
        <v>52889</v>
      </c>
      <c r="D306" s="1291">
        <v>0</v>
      </c>
      <c r="E306" s="334">
        <v>568</v>
      </c>
      <c r="F306" s="1181">
        <v>566690</v>
      </c>
      <c r="G306" s="1291">
        <v>22093</v>
      </c>
      <c r="H306" s="1291">
        <v>0</v>
      </c>
      <c r="I306" s="180">
        <v>99</v>
      </c>
      <c r="J306" s="1181">
        <v>2209112</v>
      </c>
      <c r="K306" s="1291">
        <v>23897</v>
      </c>
      <c r="L306" s="1291">
        <v>0</v>
      </c>
      <c r="M306" s="180">
        <v>442</v>
      </c>
      <c r="N306" s="1181">
        <v>14079</v>
      </c>
      <c r="O306" s="1291">
        <v>0</v>
      </c>
      <c r="P306" s="1291">
        <v>0</v>
      </c>
      <c r="Q306" s="180">
        <v>0</v>
      </c>
      <c r="R306" s="334">
        <v>3244205</v>
      </c>
      <c r="S306" s="1291">
        <v>208766</v>
      </c>
      <c r="T306" s="1291">
        <v>500</v>
      </c>
      <c r="U306" s="180">
        <v>1252</v>
      </c>
      <c r="V306" s="334">
        <v>32500</v>
      </c>
      <c r="W306" s="1302">
        <v>382518.43199666083</v>
      </c>
      <c r="X306" s="1181">
        <v>0</v>
      </c>
      <c r="Y306" s="1302">
        <v>40779.372390394608</v>
      </c>
      <c r="Z306" s="1311">
        <f t="shared" si="14"/>
        <v>455797.80438705545</v>
      </c>
      <c r="AA306" s="1302">
        <v>458048</v>
      </c>
      <c r="AB306" s="1181">
        <v>0</v>
      </c>
      <c r="AC306" s="1302">
        <v>29156.862976513632</v>
      </c>
      <c r="AD306" s="1181">
        <v>0</v>
      </c>
      <c r="AE306" s="1302">
        <v>0</v>
      </c>
      <c r="AF306" s="1311">
        <f t="shared" si="16"/>
        <v>29156.862976513632</v>
      </c>
      <c r="AG306" s="1322">
        <v>32500</v>
      </c>
    </row>
    <row r="307" spans="1:33" s="2" customFormat="1">
      <c r="A307" s="134">
        <f t="shared" si="15"/>
        <v>2017.1</v>
      </c>
      <c r="B307" s="611">
        <v>3051844</v>
      </c>
      <c r="C307" s="1291">
        <v>50955</v>
      </c>
      <c r="D307" s="1291">
        <v>0</v>
      </c>
      <c r="E307" s="334">
        <v>0</v>
      </c>
      <c r="F307" s="1181">
        <v>587732</v>
      </c>
      <c r="G307" s="1291">
        <v>19262</v>
      </c>
      <c r="H307" s="1291">
        <v>0</v>
      </c>
      <c r="I307" s="180">
        <v>0</v>
      </c>
      <c r="J307" s="1181">
        <v>2294366</v>
      </c>
      <c r="K307" s="1291">
        <v>24928</v>
      </c>
      <c r="L307" s="1291">
        <v>0</v>
      </c>
      <c r="M307" s="180">
        <v>0</v>
      </c>
      <c r="N307" s="1181">
        <v>14867</v>
      </c>
      <c r="O307" s="1291">
        <v>0</v>
      </c>
      <c r="P307" s="1291">
        <v>0</v>
      </c>
      <c r="Q307" s="180">
        <v>0</v>
      </c>
      <c r="R307" s="334">
        <v>3580292</v>
      </c>
      <c r="S307" s="1291">
        <v>182890</v>
      </c>
      <c r="T307" s="1291">
        <v>900</v>
      </c>
      <c r="U307" s="180">
        <v>475</v>
      </c>
      <c r="V307" s="334">
        <v>44685</v>
      </c>
      <c r="W307" s="1302">
        <v>348818.73388741055</v>
      </c>
      <c r="X307" s="1181">
        <v>0</v>
      </c>
      <c r="Y307" s="1302">
        <v>21382</v>
      </c>
      <c r="Z307" s="1311">
        <f t="shared" si="14"/>
        <v>414885.73388741055</v>
      </c>
      <c r="AA307" s="1302">
        <v>414117</v>
      </c>
      <c r="AB307" s="1181">
        <v>0</v>
      </c>
      <c r="AC307" s="1302">
        <v>12303.782603564263</v>
      </c>
      <c r="AD307" s="1181">
        <v>0</v>
      </c>
      <c r="AE307" s="1302">
        <v>0</v>
      </c>
      <c r="AF307" s="1311">
        <f t="shared" si="16"/>
        <v>12303.782603564263</v>
      </c>
      <c r="AG307" s="1322">
        <v>11900</v>
      </c>
    </row>
    <row r="308" spans="1:33" s="2" customFormat="1">
      <c r="A308" s="134">
        <f t="shared" si="15"/>
        <v>2017.11</v>
      </c>
      <c r="B308" s="611">
        <v>2672896</v>
      </c>
      <c r="C308" s="1291">
        <v>9591</v>
      </c>
      <c r="D308" s="1291">
        <v>0</v>
      </c>
      <c r="E308" s="334">
        <v>0</v>
      </c>
      <c r="F308" s="1181">
        <v>521114</v>
      </c>
      <c r="G308" s="1291">
        <v>4141</v>
      </c>
      <c r="H308" s="1291">
        <v>0</v>
      </c>
      <c r="I308" s="180">
        <v>0</v>
      </c>
      <c r="J308" s="1181">
        <v>2014546</v>
      </c>
      <c r="K308" s="1291">
        <v>5144</v>
      </c>
      <c r="L308" s="1291">
        <v>0</v>
      </c>
      <c r="M308" s="180">
        <v>0</v>
      </c>
      <c r="N308" s="1181">
        <v>16148</v>
      </c>
      <c r="O308" s="1291">
        <v>0</v>
      </c>
      <c r="P308" s="1291">
        <v>0</v>
      </c>
      <c r="Q308" s="180">
        <v>0</v>
      </c>
      <c r="R308" s="334">
        <v>3352362</v>
      </c>
      <c r="S308" s="1291">
        <v>107100</v>
      </c>
      <c r="T308" s="1291">
        <v>700</v>
      </c>
      <c r="U308" s="180">
        <v>403</v>
      </c>
      <c r="V308" s="334">
        <v>63518</v>
      </c>
      <c r="W308" s="1302">
        <v>233992.27090597435</v>
      </c>
      <c r="X308" s="1181">
        <v>0</v>
      </c>
      <c r="Y308" s="1302">
        <v>110888</v>
      </c>
      <c r="Z308" s="1311">
        <f t="shared" si="14"/>
        <v>408398.27090597432</v>
      </c>
      <c r="AA308" s="1302">
        <v>414038</v>
      </c>
      <c r="AB308" s="1181">
        <v>0</v>
      </c>
      <c r="AC308" s="1302">
        <v>0</v>
      </c>
      <c r="AD308" s="1181">
        <v>0</v>
      </c>
      <c r="AE308" s="1302">
        <v>0</v>
      </c>
      <c r="AF308" s="1311">
        <f t="shared" si="16"/>
        <v>0</v>
      </c>
      <c r="AG308" s="1322">
        <v>4999</v>
      </c>
    </row>
    <row r="309" spans="1:33" s="2" customFormat="1">
      <c r="A309" s="134">
        <f t="shared" si="15"/>
        <v>2017.12</v>
      </c>
      <c r="B309" s="611">
        <v>1728576</v>
      </c>
      <c r="C309" s="1291">
        <v>28858</v>
      </c>
      <c r="D309" s="1291">
        <v>0</v>
      </c>
      <c r="E309" s="334">
        <v>0</v>
      </c>
      <c r="F309" s="1181">
        <v>343371</v>
      </c>
      <c r="G309" s="1291">
        <v>11468</v>
      </c>
      <c r="H309" s="1291">
        <v>0</v>
      </c>
      <c r="I309" s="180">
        <v>0</v>
      </c>
      <c r="J309" s="1181">
        <v>1306754</v>
      </c>
      <c r="K309" s="1291">
        <v>13153</v>
      </c>
      <c r="L309" s="1291">
        <v>0</v>
      </c>
      <c r="M309" s="180">
        <v>0</v>
      </c>
      <c r="N309" s="1181">
        <v>14170</v>
      </c>
      <c r="O309" s="1291">
        <v>0</v>
      </c>
      <c r="P309" s="1291">
        <v>0</v>
      </c>
      <c r="Q309" s="180">
        <v>0</v>
      </c>
      <c r="R309" s="334">
        <v>2178912</v>
      </c>
      <c r="S309" s="1291">
        <v>108423</v>
      </c>
      <c r="T309" s="1291">
        <v>650</v>
      </c>
      <c r="U309" s="180">
        <v>298</v>
      </c>
      <c r="V309" s="334">
        <v>61800</v>
      </c>
      <c r="W309" s="1302">
        <v>287241</v>
      </c>
      <c r="X309" s="1181">
        <v>0</v>
      </c>
      <c r="Y309" s="1302">
        <v>15766</v>
      </c>
      <c r="Z309" s="1311">
        <f t="shared" si="14"/>
        <v>364807</v>
      </c>
      <c r="AA309" s="1302">
        <v>368639</v>
      </c>
      <c r="AB309" s="1181">
        <v>0</v>
      </c>
      <c r="AC309" s="1302">
        <v>0</v>
      </c>
      <c r="AD309" s="1181">
        <v>0</v>
      </c>
      <c r="AE309" s="1302">
        <v>0</v>
      </c>
      <c r="AF309" s="1311">
        <f t="shared" si="16"/>
        <v>0</v>
      </c>
      <c r="AG309" s="1322">
        <v>3500</v>
      </c>
    </row>
    <row r="310" spans="1:33">
      <c r="A310" s="134">
        <f t="shared" si="15"/>
        <v>2018.01</v>
      </c>
      <c r="B310" s="611">
        <v>2427064</v>
      </c>
      <c r="C310" s="1291">
        <v>151716</v>
      </c>
      <c r="D310" s="1291">
        <v>0</v>
      </c>
      <c r="E310" s="334">
        <v>0</v>
      </c>
      <c r="F310" s="1181">
        <v>474334</v>
      </c>
      <c r="G310" s="1291">
        <v>61865</v>
      </c>
      <c r="H310" s="1291">
        <v>0</v>
      </c>
      <c r="I310" s="180">
        <v>0</v>
      </c>
      <c r="J310" s="1181">
        <v>1847535</v>
      </c>
      <c r="K310" s="1291">
        <v>67974</v>
      </c>
      <c r="L310" s="1291">
        <v>0</v>
      </c>
      <c r="M310" s="180">
        <v>0</v>
      </c>
      <c r="N310" s="1181">
        <v>12152</v>
      </c>
      <c r="O310" s="1291">
        <v>0</v>
      </c>
      <c r="P310" s="1291">
        <v>0</v>
      </c>
      <c r="Q310" s="180">
        <v>0</v>
      </c>
      <c r="R310" s="334">
        <v>2730605</v>
      </c>
      <c r="S310" s="1291">
        <v>229902</v>
      </c>
      <c r="T310" s="1291">
        <v>342</v>
      </c>
      <c r="U310" s="180">
        <v>0</v>
      </c>
      <c r="V310" s="334">
        <v>17000.043076798331</v>
      </c>
      <c r="W310" s="1302">
        <v>66562</v>
      </c>
      <c r="X310" s="1181">
        <v>3084</v>
      </c>
      <c r="Y310" s="1302">
        <v>26038</v>
      </c>
      <c r="Z310" s="1311">
        <f t="shared" si="14"/>
        <v>112684.04307679833</v>
      </c>
      <c r="AA310" s="1302">
        <v>112684</v>
      </c>
      <c r="AB310" s="1181">
        <v>0</v>
      </c>
      <c r="AC310" s="1302">
        <v>5000</v>
      </c>
      <c r="AD310" s="1181">
        <v>0</v>
      </c>
      <c r="AE310" s="1302">
        <v>0</v>
      </c>
      <c r="AF310" s="1311">
        <f t="shared" si="16"/>
        <v>5000</v>
      </c>
      <c r="AG310" s="1322">
        <v>9500</v>
      </c>
    </row>
    <row r="311" spans="1:33">
      <c r="A311" s="134">
        <f t="shared" si="15"/>
        <v>2018.02</v>
      </c>
      <c r="B311" s="611">
        <v>2019689</v>
      </c>
      <c r="C311" s="1291">
        <v>157544</v>
      </c>
      <c r="D311" s="1291">
        <v>0</v>
      </c>
      <c r="E311" s="334">
        <v>0</v>
      </c>
      <c r="F311" s="1181">
        <v>400726</v>
      </c>
      <c r="G311" s="1291">
        <v>64295</v>
      </c>
      <c r="H311" s="1291">
        <v>0</v>
      </c>
      <c r="I311" s="180">
        <v>0</v>
      </c>
      <c r="J311" s="1181">
        <v>1543302</v>
      </c>
      <c r="K311" s="1291">
        <v>69444</v>
      </c>
      <c r="L311" s="1291">
        <v>0</v>
      </c>
      <c r="M311" s="180">
        <v>0</v>
      </c>
      <c r="N311" s="1181">
        <v>11104</v>
      </c>
      <c r="O311" s="1291">
        <v>0</v>
      </c>
      <c r="P311" s="1291">
        <v>0</v>
      </c>
      <c r="Q311" s="180">
        <v>0</v>
      </c>
      <c r="R311" s="334">
        <v>2376064</v>
      </c>
      <c r="S311" s="1291">
        <v>196424</v>
      </c>
      <c r="T311" s="1291">
        <v>261</v>
      </c>
      <c r="U311" s="180">
        <v>0</v>
      </c>
      <c r="V311" s="334">
        <v>3600.0091221455286</v>
      </c>
      <c r="W311" s="1302">
        <v>117987</v>
      </c>
      <c r="X311" s="1181">
        <v>0</v>
      </c>
      <c r="Y311" s="1302">
        <v>6250</v>
      </c>
      <c r="Z311" s="1311">
        <f>SUM(V311:Y311)</f>
        <v>127837.00912214552</v>
      </c>
      <c r="AA311" s="1302">
        <v>187837</v>
      </c>
      <c r="AB311" s="1181">
        <v>0</v>
      </c>
      <c r="AC311" s="1302">
        <v>14556.233974546605</v>
      </c>
      <c r="AD311" s="1181">
        <v>0</v>
      </c>
      <c r="AE311" s="1302">
        <v>0</v>
      </c>
      <c r="AF311" s="1311">
        <f t="shared" si="16"/>
        <v>14556.233974546605</v>
      </c>
      <c r="AG311" s="1322">
        <v>14556</v>
      </c>
    </row>
    <row r="312" spans="1:33">
      <c r="A312" s="134">
        <f t="shared" si="15"/>
        <v>2018.03</v>
      </c>
      <c r="B312" s="611">
        <v>2674920</v>
      </c>
      <c r="C312" s="1291">
        <v>166404</v>
      </c>
      <c r="D312" s="1291">
        <v>0</v>
      </c>
      <c r="E312" s="334">
        <v>0</v>
      </c>
      <c r="F312" s="1181">
        <v>537800</v>
      </c>
      <c r="G312" s="1291">
        <v>68363</v>
      </c>
      <c r="H312" s="1291">
        <v>0</v>
      </c>
      <c r="I312" s="180">
        <v>0</v>
      </c>
      <c r="J312" s="1181">
        <v>1993894</v>
      </c>
      <c r="K312" s="1291">
        <v>72084</v>
      </c>
      <c r="L312" s="1291">
        <v>0</v>
      </c>
      <c r="M312" s="180">
        <v>0</v>
      </c>
      <c r="N312" s="1181">
        <v>12356</v>
      </c>
      <c r="O312" s="1291">
        <v>0</v>
      </c>
      <c r="P312" s="1291">
        <v>0</v>
      </c>
      <c r="Q312" s="180">
        <v>0</v>
      </c>
      <c r="R312" s="334">
        <v>3043963</v>
      </c>
      <c r="S312" s="1291">
        <v>392512</v>
      </c>
      <c r="T312" s="1291">
        <v>1200</v>
      </c>
      <c r="U312" s="180">
        <v>346</v>
      </c>
      <c r="V312" s="334">
        <v>65618.166271373688</v>
      </c>
      <c r="W312" s="1302">
        <v>344870</v>
      </c>
      <c r="X312" s="1181">
        <v>7284.0000000000009</v>
      </c>
      <c r="Y312" s="1302">
        <f>72250+12405</f>
        <v>84655</v>
      </c>
      <c r="Z312" s="1311">
        <f t="shared" si="14"/>
        <v>502427.16627137369</v>
      </c>
      <c r="AA312" s="1302">
        <f>410488+79534+12405</f>
        <v>502427</v>
      </c>
      <c r="AB312" s="1181">
        <v>0</v>
      </c>
      <c r="AC312" s="1302">
        <v>0</v>
      </c>
      <c r="AD312" s="1181">
        <v>0</v>
      </c>
      <c r="AE312" s="1302">
        <v>0</v>
      </c>
      <c r="AF312" s="1311">
        <f t="shared" si="16"/>
        <v>0</v>
      </c>
      <c r="AG312" s="1322">
        <v>0</v>
      </c>
    </row>
    <row r="313" spans="1:33">
      <c r="A313" s="134">
        <f t="shared" si="15"/>
        <v>2018.04</v>
      </c>
      <c r="B313" s="611">
        <v>2965070</v>
      </c>
      <c r="C313" s="1291">
        <v>128975</v>
      </c>
      <c r="D313" s="1291">
        <v>0</v>
      </c>
      <c r="E313" s="334">
        <v>5572</v>
      </c>
      <c r="F313" s="1181">
        <v>577676.5</v>
      </c>
      <c r="G313" s="1291">
        <v>53257</v>
      </c>
      <c r="H313" s="1291">
        <v>0</v>
      </c>
      <c r="I313" s="180">
        <v>891</v>
      </c>
      <c r="J313" s="1181">
        <v>2116337</v>
      </c>
      <c r="K313" s="1291">
        <v>56806</v>
      </c>
      <c r="L313" s="1291">
        <v>0</v>
      </c>
      <c r="M313" s="180">
        <v>4060</v>
      </c>
      <c r="N313" s="1181">
        <v>13278.3</v>
      </c>
      <c r="O313" s="1291">
        <v>0</v>
      </c>
      <c r="P313" s="1291">
        <v>0</v>
      </c>
      <c r="Q313" s="180">
        <v>0</v>
      </c>
      <c r="R313" s="334">
        <v>3363231</v>
      </c>
      <c r="S313" s="1291">
        <v>384683</v>
      </c>
      <c r="T313" s="1291">
        <v>270</v>
      </c>
      <c r="U313" s="180">
        <v>5946</v>
      </c>
      <c r="V313" s="334">
        <v>2057.0052122925977</v>
      </c>
      <c r="W313" s="1302">
        <v>411633</v>
      </c>
      <c r="X313" s="1181">
        <v>7581.9999999999991</v>
      </c>
      <c r="Y313" s="1302">
        <f>29500+30300</f>
        <v>59800</v>
      </c>
      <c r="Z313" s="1311">
        <f t="shared" si="14"/>
        <v>481072.0052122926</v>
      </c>
      <c r="AA313" s="1302">
        <f>413690+37082+30300</f>
        <v>481072</v>
      </c>
      <c r="AB313" s="1181">
        <v>0</v>
      </c>
      <c r="AC313" s="1302">
        <v>40700</v>
      </c>
      <c r="AD313" s="1181">
        <v>0</v>
      </c>
      <c r="AE313" s="1302">
        <v>0</v>
      </c>
      <c r="AF313" s="1311">
        <f t="shared" si="16"/>
        <v>40700</v>
      </c>
      <c r="AG313" s="1322">
        <v>49700</v>
      </c>
    </row>
    <row r="314" spans="1:33">
      <c r="A314" s="134">
        <f t="shared" si="15"/>
        <v>2018.05</v>
      </c>
      <c r="B314" s="611">
        <v>3256708</v>
      </c>
      <c r="C314" s="1291">
        <v>98948</v>
      </c>
      <c r="D314" s="1291">
        <v>0</v>
      </c>
      <c r="E314" s="334">
        <v>14504</v>
      </c>
      <c r="F314" s="1181">
        <v>642596</v>
      </c>
      <c r="G314" s="1291">
        <v>40623</v>
      </c>
      <c r="H314" s="1291">
        <v>0</v>
      </c>
      <c r="I314" s="180">
        <v>2321</v>
      </c>
      <c r="J314" s="1181">
        <v>2402210</v>
      </c>
      <c r="K314" s="1291">
        <v>44495</v>
      </c>
      <c r="L314" s="1291">
        <v>0</v>
      </c>
      <c r="M314" s="180">
        <v>0</v>
      </c>
      <c r="N314" s="1181">
        <v>11229</v>
      </c>
      <c r="O314" s="1291">
        <v>0</v>
      </c>
      <c r="P314" s="1291">
        <v>0</v>
      </c>
      <c r="Q314" s="180">
        <v>0</v>
      </c>
      <c r="R314" s="334">
        <v>3665804</v>
      </c>
      <c r="S314" s="1291">
        <v>353091</v>
      </c>
      <c r="T314" s="1291">
        <v>600</v>
      </c>
      <c r="U314" s="180">
        <v>15049</v>
      </c>
      <c r="V314" s="334">
        <v>10530.026682275671</v>
      </c>
      <c r="W314" s="1302">
        <v>239961</v>
      </c>
      <c r="X314" s="1181">
        <v>9639</v>
      </c>
      <c r="Y314" s="1302">
        <f>42000+13904</f>
        <v>55904</v>
      </c>
      <c r="Z314" s="1311">
        <f t="shared" si="14"/>
        <v>316034.0266822757</v>
      </c>
      <c r="AA314" s="1302">
        <f>250491+51639+13904</f>
        <v>316034</v>
      </c>
      <c r="AB314" s="1181">
        <v>0</v>
      </c>
      <c r="AC314" s="1302">
        <v>11450</v>
      </c>
      <c r="AD314" s="1181">
        <v>0</v>
      </c>
      <c r="AE314" s="1302">
        <v>0</v>
      </c>
      <c r="AF314" s="1311">
        <f t="shared" si="16"/>
        <v>11450</v>
      </c>
      <c r="AG314" s="1322">
        <v>26942</v>
      </c>
    </row>
    <row r="315" spans="1:33">
      <c r="A315" s="134">
        <f t="shared" si="15"/>
        <v>2018.06</v>
      </c>
      <c r="B315" s="611">
        <v>2849025</v>
      </c>
      <c r="C315" s="1291">
        <v>81793</v>
      </c>
      <c r="D315" s="1291">
        <v>0</v>
      </c>
      <c r="E315" s="334">
        <v>18482</v>
      </c>
      <c r="F315" s="1181">
        <v>568811</v>
      </c>
      <c r="G315" s="1291">
        <v>33482</v>
      </c>
      <c r="H315" s="1291">
        <v>0</v>
      </c>
      <c r="I315" s="180">
        <v>3088</v>
      </c>
      <c r="J315" s="1181">
        <v>2148120</v>
      </c>
      <c r="K315" s="1291">
        <v>36700</v>
      </c>
      <c r="L315" s="1291">
        <v>0</v>
      </c>
      <c r="M315" s="180">
        <v>13335</v>
      </c>
      <c r="N315" s="1181">
        <v>11061</v>
      </c>
      <c r="O315" s="1291">
        <v>0</v>
      </c>
      <c r="P315" s="1291">
        <v>0</v>
      </c>
      <c r="Q315" s="180">
        <v>0</v>
      </c>
      <c r="R315" s="334">
        <v>3267533</v>
      </c>
      <c r="S315" s="1291">
        <v>262815</v>
      </c>
      <c r="T315" s="1291">
        <v>500</v>
      </c>
      <c r="U315" s="180">
        <v>18952</v>
      </c>
      <c r="V315" s="334">
        <v>49691.125913481512</v>
      </c>
      <c r="W315" s="1302">
        <v>248550</v>
      </c>
      <c r="X315" s="1181">
        <v>0</v>
      </c>
      <c r="Y315" s="1302">
        <v>56448</v>
      </c>
      <c r="Z315" s="1311">
        <f t="shared" si="14"/>
        <v>354689.12591348152</v>
      </c>
      <c r="AA315" s="1302">
        <f>298241+40000+16448</f>
        <v>354689</v>
      </c>
      <c r="AB315" s="1181">
        <v>0</v>
      </c>
      <c r="AC315" s="1302">
        <v>32510</v>
      </c>
      <c r="AD315" s="1181">
        <v>0</v>
      </c>
      <c r="AE315" s="1302">
        <v>0</v>
      </c>
      <c r="AF315" s="1311">
        <f t="shared" si="16"/>
        <v>32510</v>
      </c>
      <c r="AG315" s="1322">
        <v>66010</v>
      </c>
    </row>
    <row r="316" spans="1:33">
      <c r="A316" s="134">
        <f t="shared" si="15"/>
        <v>2018.07</v>
      </c>
      <c r="B316" s="611">
        <v>2990714</v>
      </c>
      <c r="C316" s="1291">
        <v>69989</v>
      </c>
      <c r="D316" s="1291">
        <v>0</v>
      </c>
      <c r="E316" s="334">
        <v>18960</v>
      </c>
      <c r="F316" s="1181">
        <v>595096</v>
      </c>
      <c r="G316" s="1291">
        <v>28373</v>
      </c>
      <c r="H316" s="1291">
        <v>0</v>
      </c>
      <c r="I316" s="180">
        <v>3345</v>
      </c>
      <c r="J316" s="1181">
        <v>2252311</v>
      </c>
      <c r="K316" s="1291">
        <v>28525</v>
      </c>
      <c r="L316" s="1291">
        <v>0</v>
      </c>
      <c r="M316" s="180">
        <v>13705</v>
      </c>
      <c r="N316" s="1181">
        <v>12592</v>
      </c>
      <c r="O316" s="1291">
        <v>0</v>
      </c>
      <c r="P316" s="1291">
        <v>0</v>
      </c>
      <c r="Q316" s="180">
        <v>0</v>
      </c>
      <c r="R316" s="334">
        <v>3438094</v>
      </c>
      <c r="S316" s="1291">
        <v>231670</v>
      </c>
      <c r="T316" s="1291">
        <v>770</v>
      </c>
      <c r="U316" s="180">
        <v>19548</v>
      </c>
      <c r="V316" s="334">
        <v>39891.101080974244</v>
      </c>
      <c r="W316" s="1302">
        <v>233930</v>
      </c>
      <c r="X316" s="1181">
        <v>6925.9999999999991</v>
      </c>
      <c r="Y316" s="1302">
        <v>46031</v>
      </c>
      <c r="Z316" s="1311">
        <f t="shared" si="14"/>
        <v>326778.10108097421</v>
      </c>
      <c r="AA316" s="1302">
        <f>273821+52957</f>
        <v>326778</v>
      </c>
      <c r="AB316" s="1181">
        <v>0</v>
      </c>
      <c r="AC316" s="1302">
        <v>9862</v>
      </c>
      <c r="AD316" s="1181">
        <v>0</v>
      </c>
      <c r="AE316" s="1302">
        <v>0</v>
      </c>
      <c r="AF316" s="1311">
        <f t="shared" si="16"/>
        <v>9862</v>
      </c>
      <c r="AG316" s="1322">
        <v>16862</v>
      </c>
    </row>
    <row r="317" spans="1:33">
      <c r="A317" s="134">
        <f t="shared" si="15"/>
        <v>2018.08</v>
      </c>
      <c r="B317" s="611">
        <v>2631763</v>
      </c>
      <c r="C317" s="1291">
        <v>78334</v>
      </c>
      <c r="D317" s="1291">
        <v>0</v>
      </c>
      <c r="E317" s="334">
        <v>15655</v>
      </c>
      <c r="F317" s="1181">
        <v>524037</v>
      </c>
      <c r="G317" s="1291">
        <v>32216</v>
      </c>
      <c r="H317" s="1291">
        <v>0</v>
      </c>
      <c r="I317" s="180">
        <v>2897</v>
      </c>
      <c r="J317" s="1181">
        <v>1926822</v>
      </c>
      <c r="K317" s="1291">
        <v>32973</v>
      </c>
      <c r="L317" s="1291">
        <v>0</v>
      </c>
      <c r="M317" s="180">
        <v>11372</v>
      </c>
      <c r="N317" s="1181">
        <v>12227</v>
      </c>
      <c r="O317" s="1291">
        <v>0</v>
      </c>
      <c r="P317" s="1291">
        <v>0</v>
      </c>
      <c r="Q317" s="180">
        <v>0</v>
      </c>
      <c r="R317" s="334">
        <v>3038351</v>
      </c>
      <c r="S317" s="1291">
        <v>246767</v>
      </c>
      <c r="T317" s="1291">
        <v>755</v>
      </c>
      <c r="U317" s="180">
        <v>23876</v>
      </c>
      <c r="V317" s="334">
        <v>71086.180126899184</v>
      </c>
      <c r="W317" s="1302">
        <v>306456</v>
      </c>
      <c r="X317" s="1181">
        <v>3761</v>
      </c>
      <c r="Y317" s="1302">
        <v>23500</v>
      </c>
      <c r="Z317" s="1311">
        <f t="shared" si="14"/>
        <v>404803.18012689915</v>
      </c>
      <c r="AA317" s="1302">
        <f>386542+27261</f>
        <v>413803</v>
      </c>
      <c r="AB317" s="1181">
        <v>0</v>
      </c>
      <c r="AC317" s="1302">
        <v>41050</v>
      </c>
      <c r="AD317" s="1181">
        <v>0</v>
      </c>
      <c r="AE317" s="1302">
        <v>0</v>
      </c>
      <c r="AF317" s="1311">
        <f t="shared" si="16"/>
        <v>41050</v>
      </c>
      <c r="AG317" s="1322">
        <v>101150</v>
      </c>
    </row>
    <row r="318" spans="1:33">
      <c r="A318" s="134">
        <f t="shared" si="15"/>
        <v>2018.09</v>
      </c>
      <c r="B318" s="611">
        <v>2523541</v>
      </c>
      <c r="C318" s="1291">
        <v>85188</v>
      </c>
      <c r="D318" s="1291">
        <v>0</v>
      </c>
      <c r="E318" s="334">
        <v>12821</v>
      </c>
      <c r="F318" s="1181">
        <v>508191</v>
      </c>
      <c r="G318" s="1291">
        <v>35528</v>
      </c>
      <c r="H318" s="1291">
        <v>0</v>
      </c>
      <c r="I318" s="180">
        <v>2308</v>
      </c>
      <c r="J318" s="1181">
        <v>1903549</v>
      </c>
      <c r="K318" s="1291">
        <v>39379</v>
      </c>
      <c r="L318" s="1291">
        <v>0</v>
      </c>
      <c r="M318" s="180">
        <v>9356</v>
      </c>
      <c r="N318" s="1181">
        <v>11792</v>
      </c>
      <c r="O318" s="1291">
        <v>0</v>
      </c>
      <c r="P318" s="1291">
        <v>0</v>
      </c>
      <c r="Q318" s="180">
        <v>0</v>
      </c>
      <c r="R318" s="334">
        <v>2909598</v>
      </c>
      <c r="S318" s="1291">
        <v>264204</v>
      </c>
      <c r="T318" s="1291">
        <v>810</v>
      </c>
      <c r="U318" s="180">
        <v>13477</v>
      </c>
      <c r="V318" s="334">
        <v>50462.127867141018</v>
      </c>
      <c r="W318" s="1302">
        <v>304698</v>
      </c>
      <c r="X318" s="1181">
        <v>10538</v>
      </c>
      <c r="Y318" s="1302">
        <v>49258</v>
      </c>
      <c r="Z318" s="1311">
        <f t="shared" si="14"/>
        <v>414956.12786714104</v>
      </c>
      <c r="AA318" s="1302">
        <f>363391+59796</f>
        <v>423187</v>
      </c>
      <c r="AB318" s="1181">
        <v>0</v>
      </c>
      <c r="AC318" s="1302">
        <v>2750</v>
      </c>
      <c r="AD318" s="1181">
        <v>0</v>
      </c>
      <c r="AE318" s="1302">
        <v>0</v>
      </c>
      <c r="AF318" s="1311">
        <f t="shared" si="16"/>
        <v>2750</v>
      </c>
      <c r="AG318" s="1322">
        <v>4750</v>
      </c>
    </row>
    <row r="319" spans="1:33">
      <c r="A319" s="134">
        <f t="shared" si="15"/>
        <v>2018.1</v>
      </c>
      <c r="B319" s="611">
        <v>2887707</v>
      </c>
      <c r="C319" s="1291">
        <v>60712</v>
      </c>
      <c r="D319" s="1291">
        <v>0</v>
      </c>
      <c r="E319" s="334">
        <v>15330</v>
      </c>
      <c r="F319" s="1181">
        <v>578684</v>
      </c>
      <c r="G319" s="1291">
        <v>25494</v>
      </c>
      <c r="H319" s="1291">
        <v>0</v>
      </c>
      <c r="I319" s="180">
        <v>2742</v>
      </c>
      <c r="J319" s="1181">
        <v>2167972</v>
      </c>
      <c r="K319" s="1291">
        <v>29389</v>
      </c>
      <c r="L319" s="1291">
        <v>0</v>
      </c>
      <c r="M319" s="180">
        <v>10946</v>
      </c>
      <c r="N319" s="1181">
        <v>11041</v>
      </c>
      <c r="O319" s="1291">
        <v>0</v>
      </c>
      <c r="P319" s="1291">
        <v>0</v>
      </c>
      <c r="Q319" s="180">
        <v>0</v>
      </c>
      <c r="R319" s="334">
        <v>3304948</v>
      </c>
      <c r="S319" s="1291">
        <v>207300</v>
      </c>
      <c r="T319" s="1291">
        <v>188</v>
      </c>
      <c r="U319" s="180">
        <v>15852</v>
      </c>
      <c r="V319" s="334">
        <v>33349.084504008679</v>
      </c>
      <c r="W319" s="1302">
        <v>266128</v>
      </c>
      <c r="X319" s="1181">
        <v>13710</v>
      </c>
      <c r="Y319" s="1302">
        <v>46829</v>
      </c>
      <c r="Z319" s="1311">
        <f t="shared" si="14"/>
        <v>360016.0845040087</v>
      </c>
      <c r="AA319" s="1302">
        <f>299477+60539</f>
        <v>360016</v>
      </c>
      <c r="AB319" s="1181">
        <v>0</v>
      </c>
      <c r="AC319" s="1302">
        <v>3500</v>
      </c>
      <c r="AD319" s="1181">
        <v>0</v>
      </c>
      <c r="AE319" s="1302">
        <v>0</v>
      </c>
      <c r="AF319" s="1311">
        <f t="shared" si="16"/>
        <v>3500</v>
      </c>
      <c r="AG319" s="1322">
        <v>28500</v>
      </c>
    </row>
    <row r="320" spans="1:33">
      <c r="A320" s="134">
        <f t="shared" si="15"/>
        <v>2018.11</v>
      </c>
      <c r="B320" s="611">
        <v>2882527</v>
      </c>
      <c r="C320" s="1291">
        <v>33605</v>
      </c>
      <c r="D320" s="1291">
        <v>0</v>
      </c>
      <c r="E320" s="334">
        <v>0</v>
      </c>
      <c r="F320" s="1181">
        <v>576813</v>
      </c>
      <c r="G320" s="1291">
        <v>14258</v>
      </c>
      <c r="H320" s="1291">
        <v>0</v>
      </c>
      <c r="I320" s="180">
        <v>2021</v>
      </c>
      <c r="J320" s="1181">
        <v>2153637</v>
      </c>
      <c r="K320" s="1291">
        <v>17422</v>
      </c>
      <c r="L320" s="1291">
        <v>0</v>
      </c>
      <c r="M320" s="180">
        <v>10042</v>
      </c>
      <c r="N320" s="1181">
        <v>10183</v>
      </c>
      <c r="O320" s="1291">
        <v>0</v>
      </c>
      <c r="P320" s="1291">
        <v>0</v>
      </c>
      <c r="Q320" s="180">
        <v>0</v>
      </c>
      <c r="R320" s="334">
        <v>3166194</v>
      </c>
      <c r="S320" s="1291">
        <v>188737</v>
      </c>
      <c r="T320" s="1291">
        <v>0</v>
      </c>
      <c r="U320" s="180">
        <v>14697</v>
      </c>
      <c r="V320" s="334">
        <v>18500.046877692301</v>
      </c>
      <c r="W320" s="1302">
        <v>166656</v>
      </c>
      <c r="X320" s="1181">
        <v>0</v>
      </c>
      <c r="Y320" s="1302">
        <v>45800</v>
      </c>
      <c r="Z320" s="1311">
        <f t="shared" si="14"/>
        <v>230956.04687769231</v>
      </c>
      <c r="AA320" s="1302">
        <f>185156+15000+30800</f>
        <v>230956</v>
      </c>
      <c r="AB320" s="1181">
        <v>0</v>
      </c>
      <c r="AC320" s="1302">
        <v>4000</v>
      </c>
      <c r="AD320" s="1181">
        <v>0</v>
      </c>
      <c r="AE320" s="1302">
        <v>0</v>
      </c>
      <c r="AF320" s="1311">
        <f t="shared" si="16"/>
        <v>4000</v>
      </c>
      <c r="AG320" s="1322">
        <v>6300</v>
      </c>
    </row>
    <row r="321" spans="1:47">
      <c r="A321" s="134">
        <f t="shared" si="15"/>
        <v>2018.12</v>
      </c>
      <c r="B321" s="611">
        <v>2372851</v>
      </c>
      <c r="C321" s="1291">
        <v>44125</v>
      </c>
      <c r="D321" s="1291">
        <v>0</v>
      </c>
      <c r="E321" s="334">
        <v>0</v>
      </c>
      <c r="F321" s="1181">
        <v>467317</v>
      </c>
      <c r="G321" s="1291">
        <v>17876</v>
      </c>
      <c r="H321" s="1291">
        <v>0</v>
      </c>
      <c r="I321" s="180">
        <v>0</v>
      </c>
      <c r="J321" s="1181">
        <v>1787634</v>
      </c>
      <c r="K321" s="1291">
        <v>19301</v>
      </c>
      <c r="L321" s="1291">
        <v>0</v>
      </c>
      <c r="M321" s="180">
        <v>0</v>
      </c>
      <c r="N321" s="1181">
        <v>9426</v>
      </c>
      <c r="O321" s="1291">
        <v>0</v>
      </c>
      <c r="P321" s="1291">
        <v>0</v>
      </c>
      <c r="Q321" s="180">
        <v>0</v>
      </c>
      <c r="R321" s="334">
        <v>2454742</v>
      </c>
      <c r="S321" s="1291">
        <v>113991</v>
      </c>
      <c r="T321" s="1291">
        <v>0</v>
      </c>
      <c r="U321" s="180">
        <v>321</v>
      </c>
      <c r="V321" s="334">
        <v>32860.083264917237</v>
      </c>
      <c r="W321" s="1302">
        <v>326704</v>
      </c>
      <c r="X321" s="1181">
        <v>18294</v>
      </c>
      <c r="Y321" s="1302">
        <f>58723+9000</f>
        <v>67723</v>
      </c>
      <c r="Z321" s="1311">
        <f t="shared" si="14"/>
        <v>445581.08326491725</v>
      </c>
      <c r="AA321" s="1302">
        <f>359564+77017+9000</f>
        <v>445581</v>
      </c>
      <c r="AB321" s="1181">
        <v>0</v>
      </c>
      <c r="AC321" s="1302">
        <v>0</v>
      </c>
      <c r="AD321" s="1181">
        <v>0</v>
      </c>
      <c r="AE321" s="1302">
        <v>0</v>
      </c>
      <c r="AF321" s="1311">
        <f t="shared" si="16"/>
        <v>0</v>
      </c>
      <c r="AG321" s="1322">
        <v>5500</v>
      </c>
      <c r="AI321" s="2510"/>
      <c r="AJ321" s="2510"/>
      <c r="AK321" s="2510"/>
      <c r="AL321" s="2510"/>
      <c r="AM321" s="2510"/>
      <c r="AN321" s="2510"/>
      <c r="AO321" s="2510"/>
      <c r="AP321" s="2510"/>
      <c r="AQ321" s="2510"/>
      <c r="AR321" s="2510"/>
      <c r="AS321" s="2510"/>
      <c r="AT321" s="2510"/>
      <c r="AU321" s="2510"/>
    </row>
    <row r="322" spans="1:47">
      <c r="A322" s="134">
        <f t="shared" si="15"/>
        <v>2019.01</v>
      </c>
      <c r="B322" s="611">
        <v>2183629</v>
      </c>
      <c r="C322" s="1291">
        <v>150076</v>
      </c>
      <c r="D322" s="1291">
        <v>0</v>
      </c>
      <c r="E322" s="334">
        <v>0</v>
      </c>
      <c r="F322" s="1181">
        <v>433735</v>
      </c>
      <c r="G322" s="1291">
        <v>63357</v>
      </c>
      <c r="H322" s="1291">
        <v>0</v>
      </c>
      <c r="I322" s="180">
        <v>0</v>
      </c>
      <c r="J322" s="1181">
        <v>1620325</v>
      </c>
      <c r="K322" s="1291">
        <v>63674</v>
      </c>
      <c r="L322" s="1291">
        <v>0</v>
      </c>
      <c r="M322" s="180">
        <v>0</v>
      </c>
      <c r="N322" s="1181">
        <v>9847</v>
      </c>
      <c r="O322" s="1291">
        <v>0</v>
      </c>
      <c r="P322" s="1291">
        <v>0</v>
      </c>
      <c r="Q322" s="180">
        <v>0</v>
      </c>
      <c r="R322" s="334">
        <v>2495737</v>
      </c>
      <c r="S322" s="1291">
        <v>282559</v>
      </c>
      <c r="T322" s="1291">
        <v>0</v>
      </c>
      <c r="U322" s="180">
        <v>316</v>
      </c>
      <c r="V322" s="334">
        <v>45100</v>
      </c>
      <c r="W322" s="1302">
        <v>248805</v>
      </c>
      <c r="X322" s="1181">
        <v>12000</v>
      </c>
      <c r="Y322" s="1302">
        <v>28950</v>
      </c>
      <c r="Z322" s="1311">
        <f>SUM(V322:Y322)</f>
        <v>334855</v>
      </c>
      <c r="AA322" s="1302">
        <f>293905+40950</f>
        <v>334855</v>
      </c>
      <c r="AB322" s="1181">
        <v>0</v>
      </c>
      <c r="AC322" s="1302">
        <v>45700</v>
      </c>
      <c r="AD322" s="1181">
        <v>0</v>
      </c>
      <c r="AE322" s="1302">
        <v>0</v>
      </c>
      <c r="AF322" s="1311">
        <f t="shared" si="16"/>
        <v>45700</v>
      </c>
      <c r="AG322" s="1322">
        <v>75576</v>
      </c>
      <c r="AI322" s="2510"/>
      <c r="AJ322" s="2510"/>
      <c r="AK322" s="2510"/>
      <c r="AL322" s="2510"/>
      <c r="AM322" s="2510"/>
      <c r="AN322" s="2510"/>
      <c r="AO322" s="2510"/>
      <c r="AP322" s="2510"/>
      <c r="AQ322" s="2510"/>
      <c r="AR322" s="2510"/>
      <c r="AS322" s="2510"/>
      <c r="AT322" s="2510"/>
    </row>
    <row r="323" spans="1:47">
      <c r="A323" s="134">
        <f t="shared" si="15"/>
        <v>2019.02</v>
      </c>
      <c r="B323" s="611">
        <v>1935022</v>
      </c>
      <c r="C323" s="1291">
        <v>144450</v>
      </c>
      <c r="D323" s="1291">
        <v>0</v>
      </c>
      <c r="E323" s="334">
        <v>0</v>
      </c>
      <c r="F323" s="1181">
        <v>386736</v>
      </c>
      <c r="G323" s="1291">
        <v>61464</v>
      </c>
      <c r="H323" s="1291">
        <v>0</v>
      </c>
      <c r="I323" s="180">
        <v>0</v>
      </c>
      <c r="J323" s="1181">
        <v>1451084</v>
      </c>
      <c r="K323" s="1291">
        <v>62003</v>
      </c>
      <c r="L323" s="1291">
        <v>0</v>
      </c>
      <c r="M323" s="180">
        <v>0</v>
      </c>
      <c r="N323" s="1181">
        <v>9866</v>
      </c>
      <c r="O323" s="1291">
        <v>0</v>
      </c>
      <c r="P323" s="1291">
        <v>0</v>
      </c>
      <c r="Q323" s="180">
        <v>0</v>
      </c>
      <c r="R323" s="334">
        <v>2346028</v>
      </c>
      <c r="S323" s="1291">
        <v>252497</v>
      </c>
      <c r="T323" s="1291">
        <v>0</v>
      </c>
      <c r="U323" s="180">
        <v>377</v>
      </c>
      <c r="V323" s="334">
        <v>53810</v>
      </c>
      <c r="W323" s="1302">
        <v>230792</v>
      </c>
      <c r="X323" s="1181">
        <v>3527</v>
      </c>
      <c r="Y323" s="1302">
        <v>13300</v>
      </c>
      <c r="Z323" s="1311">
        <f t="shared" si="14"/>
        <v>301429</v>
      </c>
      <c r="AA323" s="1302">
        <f>284602+16827</f>
        <v>301429</v>
      </c>
      <c r="AB323" s="1181">
        <v>0</v>
      </c>
      <c r="AC323" s="1302">
        <v>10000</v>
      </c>
      <c r="AD323" s="1181">
        <v>0</v>
      </c>
      <c r="AE323" s="1302">
        <v>0</v>
      </c>
      <c r="AF323" s="1311">
        <f t="shared" si="16"/>
        <v>10000</v>
      </c>
      <c r="AG323" s="1322">
        <v>12300</v>
      </c>
      <c r="AI323" s="2510"/>
      <c r="AJ323" s="2510"/>
      <c r="AK323" s="2510"/>
      <c r="AL323" s="2510"/>
      <c r="AM323" s="2510"/>
      <c r="AN323" s="2510"/>
      <c r="AO323" s="2510"/>
      <c r="AP323" s="2510"/>
      <c r="AQ323" s="2510"/>
      <c r="AR323" s="2510"/>
      <c r="AS323" s="2510"/>
      <c r="AT323" s="2510"/>
    </row>
    <row r="324" spans="1:47">
      <c r="A324" s="134">
        <f t="shared" si="15"/>
        <v>2019.03</v>
      </c>
      <c r="B324" s="611">
        <v>2606154</v>
      </c>
      <c r="C324" s="1291">
        <v>122303</v>
      </c>
      <c r="D324" s="1291">
        <v>0</v>
      </c>
      <c r="E324" s="334">
        <v>0</v>
      </c>
      <c r="F324" s="1181">
        <v>527546</v>
      </c>
      <c r="G324" s="1291">
        <v>53144</v>
      </c>
      <c r="H324" s="1291">
        <v>0</v>
      </c>
      <c r="I324" s="180">
        <v>0</v>
      </c>
      <c r="J324" s="1181">
        <v>1955799</v>
      </c>
      <c r="K324" s="1291">
        <v>54574</v>
      </c>
      <c r="L324" s="1291">
        <v>0</v>
      </c>
      <c r="M324" s="180">
        <v>0</v>
      </c>
      <c r="N324" s="1181">
        <v>9978</v>
      </c>
      <c r="O324" s="1291">
        <v>0</v>
      </c>
      <c r="P324" s="1291">
        <v>0</v>
      </c>
      <c r="Q324" s="180">
        <v>0</v>
      </c>
      <c r="R324" s="334">
        <v>2901255</v>
      </c>
      <c r="S324" s="1291">
        <v>342187</v>
      </c>
      <c r="T324" s="1291">
        <v>0</v>
      </c>
      <c r="U324" s="180">
        <v>236</v>
      </c>
      <c r="V324" s="334">
        <v>24180</v>
      </c>
      <c r="W324" s="1302">
        <v>265454</v>
      </c>
      <c r="X324" s="1181">
        <v>12420</v>
      </c>
      <c r="Y324" s="1302">
        <v>40070</v>
      </c>
      <c r="Z324" s="1311">
        <f t="shared" si="14"/>
        <v>342124</v>
      </c>
      <c r="AA324" s="1302">
        <f>295634+47620+4870</f>
        <v>348124</v>
      </c>
      <c r="AB324" s="1181">
        <v>0</v>
      </c>
      <c r="AC324" s="1302">
        <v>39800</v>
      </c>
      <c r="AD324" s="1181">
        <v>0</v>
      </c>
      <c r="AE324" s="1302">
        <v>0</v>
      </c>
      <c r="AF324" s="1311">
        <f t="shared" si="16"/>
        <v>39800</v>
      </c>
      <c r="AG324" s="1322">
        <v>66800</v>
      </c>
      <c r="AI324" s="854"/>
      <c r="AJ324" s="854"/>
      <c r="AK324" s="854"/>
      <c r="AL324" s="854"/>
      <c r="AM324" s="854"/>
      <c r="AN324" s="854"/>
      <c r="AO324" s="854"/>
      <c r="AP324" s="854"/>
      <c r="AQ324" s="854"/>
      <c r="AR324" s="854"/>
      <c r="AS324" s="854"/>
      <c r="AT324" s="854"/>
    </row>
    <row r="325" spans="1:47">
      <c r="A325" s="134">
        <f t="shared" si="15"/>
        <v>2019.04</v>
      </c>
      <c r="B325" s="611">
        <v>3423835</v>
      </c>
      <c r="C325" s="1291">
        <v>76101</v>
      </c>
      <c r="D325" s="1291">
        <v>0</v>
      </c>
      <c r="E325" s="334">
        <v>0</v>
      </c>
      <c r="F325" s="1181">
        <v>676338</v>
      </c>
      <c r="G325" s="1291">
        <v>32454</v>
      </c>
      <c r="H325" s="1291">
        <v>0</v>
      </c>
      <c r="I325" s="180">
        <v>3.6840000000000002</v>
      </c>
      <c r="J325" s="1181">
        <v>2568720</v>
      </c>
      <c r="K325" s="1291">
        <v>35382</v>
      </c>
      <c r="L325" s="1291">
        <v>0</v>
      </c>
      <c r="M325" s="180">
        <v>15754</v>
      </c>
      <c r="N325" s="1181">
        <v>11285</v>
      </c>
      <c r="O325" s="1291">
        <v>0</v>
      </c>
      <c r="P325" s="1291">
        <v>0</v>
      </c>
      <c r="Q325" s="180">
        <v>0</v>
      </c>
      <c r="R325" s="334">
        <v>3820747</v>
      </c>
      <c r="S325" s="1291">
        <v>386458</v>
      </c>
      <c r="T325" s="1291">
        <v>0</v>
      </c>
      <c r="U325" s="180">
        <v>22145</v>
      </c>
      <c r="V325" s="334">
        <v>15000</v>
      </c>
      <c r="W325" s="1302">
        <v>319090</v>
      </c>
      <c r="X325" s="1181">
        <v>0</v>
      </c>
      <c r="Y325" s="1302">
        <v>54588</v>
      </c>
      <c r="Z325" s="1311">
        <f t="shared" si="14"/>
        <v>388678</v>
      </c>
      <c r="AA325" s="1302">
        <f>334090+37500+17088</f>
        <v>388678</v>
      </c>
      <c r="AB325" s="1181">
        <v>0</v>
      </c>
      <c r="AC325" s="1302">
        <v>5000</v>
      </c>
      <c r="AD325" s="1181">
        <v>0</v>
      </c>
      <c r="AE325" s="1302">
        <v>0</v>
      </c>
      <c r="AF325" s="1311">
        <f t="shared" si="16"/>
        <v>5000</v>
      </c>
      <c r="AG325" s="1322">
        <v>25200</v>
      </c>
    </row>
    <row r="326" spans="1:47">
      <c r="A326" s="134">
        <f t="shared" si="15"/>
        <v>2019.05</v>
      </c>
      <c r="B326" s="611">
        <v>3543993</v>
      </c>
      <c r="C326" s="1291">
        <v>100335</v>
      </c>
      <c r="D326" s="1291">
        <v>0</v>
      </c>
      <c r="E326" s="334">
        <v>7898</v>
      </c>
      <c r="F326" s="1181">
        <v>686094</v>
      </c>
      <c r="G326" s="1291">
        <v>42855</v>
      </c>
      <c r="H326" s="1291">
        <v>0</v>
      </c>
      <c r="I326" s="180">
        <v>1342</v>
      </c>
      <c r="J326" s="1181">
        <v>2644676</v>
      </c>
      <c r="K326" s="1291">
        <v>45017</v>
      </c>
      <c r="L326" s="1291">
        <v>0</v>
      </c>
      <c r="M326" s="180">
        <v>5699</v>
      </c>
      <c r="N326" s="1181">
        <v>14277</v>
      </c>
      <c r="O326" s="1291">
        <v>0</v>
      </c>
      <c r="P326" s="1291">
        <v>0</v>
      </c>
      <c r="Q326" s="180">
        <v>0</v>
      </c>
      <c r="R326" s="334">
        <v>3970321</v>
      </c>
      <c r="S326" s="1291">
        <v>386269</v>
      </c>
      <c r="T326" s="1291">
        <v>0</v>
      </c>
      <c r="U326" s="180">
        <v>22356</v>
      </c>
      <c r="V326" s="334">
        <v>79874</v>
      </c>
      <c r="W326" s="1302">
        <v>376434</v>
      </c>
      <c r="X326" s="1181">
        <v>2432</v>
      </c>
      <c r="Y326" s="1302">
        <v>40000</v>
      </c>
      <c r="Z326" s="1311">
        <f t="shared" si="14"/>
        <v>498740</v>
      </c>
      <c r="AA326" s="1302">
        <f>456308+42432</f>
        <v>498740</v>
      </c>
      <c r="AB326" s="1181">
        <v>0</v>
      </c>
      <c r="AC326" s="1302">
        <v>18000</v>
      </c>
      <c r="AD326" s="1181">
        <v>0</v>
      </c>
      <c r="AE326" s="1302">
        <v>0</v>
      </c>
      <c r="AF326" s="1311">
        <f t="shared" si="16"/>
        <v>18000</v>
      </c>
      <c r="AG326" s="1322">
        <v>74772</v>
      </c>
    </row>
    <row r="327" spans="1:47">
      <c r="A327" s="134">
        <f t="shared" si="15"/>
        <v>2019.06</v>
      </c>
      <c r="B327" s="611">
        <v>3832187</v>
      </c>
      <c r="C327" s="1291">
        <v>80969</v>
      </c>
      <c r="D327" s="1291">
        <v>0</v>
      </c>
      <c r="E327" s="334">
        <v>15614</v>
      </c>
      <c r="F327" s="1181">
        <v>746699</v>
      </c>
      <c r="G327" s="1291">
        <v>34665</v>
      </c>
      <c r="H327" s="1291">
        <v>0</v>
      </c>
      <c r="I327" s="180">
        <v>2279</v>
      </c>
      <c r="J327" s="1181">
        <v>2864475</v>
      </c>
      <c r="K327" s="1291">
        <v>37343</v>
      </c>
      <c r="L327" s="1291">
        <v>0</v>
      </c>
      <c r="M327" s="180">
        <v>11307</v>
      </c>
      <c r="N327" s="1181">
        <v>13818</v>
      </c>
      <c r="O327" s="1291">
        <v>0</v>
      </c>
      <c r="P327" s="1291">
        <v>0</v>
      </c>
      <c r="Q327" s="180">
        <v>0</v>
      </c>
      <c r="R327" s="334">
        <v>4294195</v>
      </c>
      <c r="S327" s="1291">
        <v>288505</v>
      </c>
      <c r="T327" s="1291">
        <v>0</v>
      </c>
      <c r="U327" s="180">
        <v>7718</v>
      </c>
      <c r="V327" s="334">
        <v>71748</v>
      </c>
      <c r="W327" s="1302">
        <v>411820</v>
      </c>
      <c r="X327" s="1181">
        <v>11464</v>
      </c>
      <c r="Y327" s="1302">
        <v>41239</v>
      </c>
      <c r="Z327" s="1311">
        <f t="shared" si="14"/>
        <v>536271</v>
      </c>
      <c r="AA327" s="1302">
        <f>488568+52703</f>
        <v>541271</v>
      </c>
      <c r="AB327" s="1181">
        <v>0</v>
      </c>
      <c r="AC327" s="1302">
        <v>6000</v>
      </c>
      <c r="AD327" s="1181">
        <v>0</v>
      </c>
      <c r="AE327" s="1302">
        <v>0</v>
      </c>
      <c r="AF327" s="1311">
        <f t="shared" si="16"/>
        <v>6000</v>
      </c>
      <c r="AG327" s="1322">
        <v>78634</v>
      </c>
    </row>
    <row r="328" spans="1:47">
      <c r="A328" s="134">
        <f t="shared" si="15"/>
        <v>2019.07</v>
      </c>
      <c r="B328" s="611">
        <v>3982476</v>
      </c>
      <c r="C328" s="1291">
        <v>85493</v>
      </c>
      <c r="D328" s="1291">
        <v>0</v>
      </c>
      <c r="E328" s="334">
        <v>18875</v>
      </c>
      <c r="F328" s="1181">
        <v>780168</v>
      </c>
      <c r="G328" s="1291">
        <v>47889</v>
      </c>
      <c r="H328" s="1291">
        <v>0</v>
      </c>
      <c r="I328" s="180">
        <v>2769</v>
      </c>
      <c r="J328" s="1181">
        <v>2971732</v>
      </c>
      <c r="K328" s="1291">
        <v>39130</v>
      </c>
      <c r="L328" s="1291">
        <v>0</v>
      </c>
      <c r="M328" s="180">
        <v>13550</v>
      </c>
      <c r="N328" s="1181">
        <v>15294</v>
      </c>
      <c r="O328" s="1291">
        <v>0</v>
      </c>
      <c r="P328" s="1291">
        <v>0</v>
      </c>
      <c r="Q328" s="180">
        <v>0</v>
      </c>
      <c r="R328" s="334">
        <v>4443797</v>
      </c>
      <c r="S328" s="1291">
        <v>331435</v>
      </c>
      <c r="T328" s="1291">
        <v>0</v>
      </c>
      <c r="U328" s="180">
        <v>20347</v>
      </c>
      <c r="V328" s="334">
        <v>64000</v>
      </c>
      <c r="W328" s="1302">
        <v>404751</v>
      </c>
      <c r="X328" s="1181">
        <v>0</v>
      </c>
      <c r="Y328" s="1302">
        <v>45500</v>
      </c>
      <c r="Z328" s="1311">
        <f t="shared" si="14"/>
        <v>514251</v>
      </c>
      <c r="AA328" s="1302">
        <f>478751+45500</f>
        <v>524251</v>
      </c>
      <c r="AB328" s="1181">
        <v>0</v>
      </c>
      <c r="AC328" s="1302">
        <v>31000</v>
      </c>
      <c r="AD328" s="1181">
        <v>0</v>
      </c>
      <c r="AE328" s="1302">
        <v>0</v>
      </c>
      <c r="AF328" s="1311">
        <f t="shared" si="16"/>
        <v>31000</v>
      </c>
      <c r="AG328" s="1322">
        <v>71000</v>
      </c>
    </row>
    <row r="329" spans="1:47">
      <c r="A329" s="134">
        <f t="shared" si="15"/>
        <v>2019.08</v>
      </c>
      <c r="B329" s="611">
        <v>3782090</v>
      </c>
      <c r="C329" s="1291">
        <v>121418</v>
      </c>
      <c r="D329" s="1291">
        <v>0</v>
      </c>
      <c r="E329" s="334">
        <v>1187</v>
      </c>
      <c r="F329" s="1181">
        <v>741219</v>
      </c>
      <c r="G329" s="1291">
        <v>51653</v>
      </c>
      <c r="H329" s="1291">
        <v>0</v>
      </c>
      <c r="I329" s="180">
        <v>188</v>
      </c>
      <c r="J329" s="1181">
        <v>2834048</v>
      </c>
      <c r="K329" s="1291">
        <v>53394</v>
      </c>
      <c r="L329" s="1291">
        <v>0</v>
      </c>
      <c r="M329" s="180">
        <v>834</v>
      </c>
      <c r="N329" s="1181">
        <v>15733</v>
      </c>
      <c r="O329" s="1291">
        <v>0</v>
      </c>
      <c r="P329" s="1291">
        <v>0</v>
      </c>
      <c r="Q329" s="180">
        <v>0</v>
      </c>
      <c r="R329" s="334">
        <v>4152116</v>
      </c>
      <c r="S329" s="1291">
        <v>364712</v>
      </c>
      <c r="T329" s="1291">
        <v>78</v>
      </c>
      <c r="U329" s="180">
        <v>1948</v>
      </c>
      <c r="V329" s="334">
        <v>49500</v>
      </c>
      <c r="W329" s="1302">
        <v>476712</v>
      </c>
      <c r="X329" s="1181">
        <v>0</v>
      </c>
      <c r="Y329" s="1302">
        <v>32458</v>
      </c>
      <c r="Z329" s="1311">
        <f t="shared" si="14"/>
        <v>558670</v>
      </c>
      <c r="AA329" s="1302">
        <f>530712+32458</f>
        <v>563170</v>
      </c>
      <c r="AB329" s="1181">
        <v>0</v>
      </c>
      <c r="AC329" s="1302">
        <v>20970</v>
      </c>
      <c r="AD329" s="1181">
        <v>0</v>
      </c>
      <c r="AE329" s="1302">
        <v>0</v>
      </c>
      <c r="AF329" s="1311">
        <f t="shared" si="16"/>
        <v>20970</v>
      </c>
      <c r="AG329" s="1322">
        <v>90907</v>
      </c>
    </row>
    <row r="330" spans="1:47">
      <c r="A330" s="134">
        <f t="shared" si="15"/>
        <v>2019.09</v>
      </c>
      <c r="B330" s="611">
        <v>2762280</v>
      </c>
      <c r="C330" s="1291">
        <v>27254</v>
      </c>
      <c r="D330" s="1291">
        <v>0</v>
      </c>
      <c r="E330" s="334">
        <v>20127</v>
      </c>
      <c r="F330" s="1181">
        <v>540044</v>
      </c>
      <c r="G330" s="1291">
        <v>11703</v>
      </c>
      <c r="H330" s="1291">
        <v>0</v>
      </c>
      <c r="I330" s="180">
        <v>3052</v>
      </c>
      <c r="J330" s="1181">
        <v>2047755</v>
      </c>
      <c r="K330" s="1291">
        <v>14270</v>
      </c>
      <c r="L330" s="1291">
        <v>0</v>
      </c>
      <c r="M330" s="180">
        <v>14477</v>
      </c>
      <c r="N330" s="1181">
        <v>12878</v>
      </c>
      <c r="O330" s="1291">
        <v>0</v>
      </c>
      <c r="P330" s="1291">
        <v>0</v>
      </c>
      <c r="Q330" s="180">
        <v>0</v>
      </c>
      <c r="R330" s="334">
        <v>3148516</v>
      </c>
      <c r="S330" s="1291">
        <v>176629</v>
      </c>
      <c r="T330" s="1291">
        <v>112</v>
      </c>
      <c r="U330" s="180">
        <v>20658</v>
      </c>
      <c r="V330" s="334">
        <v>43524</v>
      </c>
      <c r="W330" s="1302">
        <v>311008</v>
      </c>
      <c r="X330" s="1181">
        <f>17000+2462</f>
        <v>19462</v>
      </c>
      <c r="Y330" s="1302">
        <v>19500</v>
      </c>
      <c r="Z330" s="1311">
        <f t="shared" si="14"/>
        <v>393494</v>
      </c>
      <c r="AA330" s="1302">
        <f>365232+36500+2462</f>
        <v>404194</v>
      </c>
      <c r="AB330" s="1181">
        <v>0</v>
      </c>
      <c r="AC330" s="1302">
        <v>4000</v>
      </c>
      <c r="AD330" s="1181">
        <v>0</v>
      </c>
      <c r="AE330" s="1302">
        <v>0</v>
      </c>
      <c r="AF330" s="1311">
        <f t="shared" si="16"/>
        <v>4000</v>
      </c>
      <c r="AG330" s="1322">
        <v>19200</v>
      </c>
    </row>
    <row r="331" spans="1:47">
      <c r="A331" s="134">
        <f t="shared" si="15"/>
        <v>2019.1</v>
      </c>
      <c r="B331" s="611">
        <v>3563090</v>
      </c>
      <c r="C331" s="1291">
        <v>1809</v>
      </c>
      <c r="D331" s="1291">
        <v>0</v>
      </c>
      <c r="E331" s="334">
        <v>9607</v>
      </c>
      <c r="F331" s="1181">
        <v>699895</v>
      </c>
      <c r="G331" s="1291">
        <v>738</v>
      </c>
      <c r="H331" s="1291">
        <v>0</v>
      </c>
      <c r="I331" s="180">
        <v>1480</v>
      </c>
      <c r="J331" s="1181">
        <v>2650340</v>
      </c>
      <c r="K331" s="1291">
        <v>979</v>
      </c>
      <c r="L331" s="1291">
        <v>0</v>
      </c>
      <c r="M331" s="180">
        <v>6811</v>
      </c>
      <c r="N331" s="1181">
        <v>15167</v>
      </c>
      <c r="O331" s="1291">
        <v>0</v>
      </c>
      <c r="P331" s="1291">
        <v>0</v>
      </c>
      <c r="Q331" s="180">
        <v>0</v>
      </c>
      <c r="R331" s="334">
        <v>3928342</v>
      </c>
      <c r="S331" s="1291">
        <v>189885</v>
      </c>
      <c r="T331" s="1291">
        <v>170</v>
      </c>
      <c r="U331" s="180">
        <v>10206</v>
      </c>
      <c r="V331" s="334">
        <v>26269</v>
      </c>
      <c r="W331" s="1302">
        <v>265291</v>
      </c>
      <c r="X331" s="1181">
        <v>1000</v>
      </c>
      <c r="Y331" s="1302">
        <v>64115</v>
      </c>
      <c r="Z331" s="1311">
        <f t="shared" ref="Z331:Z394" si="17">SUM(V331:Y331)</f>
        <v>356675</v>
      </c>
      <c r="AA331" s="1302">
        <f>294350+65115</f>
        <v>359465</v>
      </c>
      <c r="AB331" s="1181">
        <v>0</v>
      </c>
      <c r="AC331" s="1302">
        <v>0</v>
      </c>
      <c r="AD331" s="1181">
        <v>0</v>
      </c>
      <c r="AE331" s="1302">
        <v>0</v>
      </c>
      <c r="AF331" s="1311">
        <f t="shared" si="16"/>
        <v>0</v>
      </c>
      <c r="AG331" s="1322">
        <v>13500</v>
      </c>
    </row>
    <row r="332" spans="1:47">
      <c r="A332" s="134">
        <f t="shared" si="15"/>
        <v>2019.11</v>
      </c>
      <c r="B332" s="611">
        <v>2646407</v>
      </c>
      <c r="C332" s="1291">
        <v>29954</v>
      </c>
      <c r="D332" s="1291">
        <v>0</v>
      </c>
      <c r="E332" s="334">
        <v>0</v>
      </c>
      <c r="F332" s="1181">
        <v>525323</v>
      </c>
      <c r="G332" s="1291">
        <v>12999</v>
      </c>
      <c r="H332" s="1291">
        <v>0</v>
      </c>
      <c r="I332" s="180">
        <v>0</v>
      </c>
      <c r="J332" s="1181">
        <v>1946805</v>
      </c>
      <c r="K332" s="1291">
        <v>16076</v>
      </c>
      <c r="L332" s="1291">
        <v>0</v>
      </c>
      <c r="M332" s="180">
        <v>0</v>
      </c>
      <c r="N332" s="1181">
        <v>11859</v>
      </c>
      <c r="O332" s="1291">
        <v>0</v>
      </c>
      <c r="P332" s="1291">
        <v>0</v>
      </c>
      <c r="Q332" s="180">
        <v>0</v>
      </c>
      <c r="R332" s="334">
        <v>2928889</v>
      </c>
      <c r="S332" s="1291">
        <v>157571</v>
      </c>
      <c r="T332" s="1291">
        <v>170</v>
      </c>
      <c r="U332" s="180">
        <v>541</v>
      </c>
      <c r="V332" s="334">
        <v>33960</v>
      </c>
      <c r="W332" s="1302">
        <v>297115</v>
      </c>
      <c r="X332" s="1181">
        <v>11000</v>
      </c>
      <c r="Y332" s="1302">
        <v>34000</v>
      </c>
      <c r="Z332" s="1311">
        <f>SUM(V332:Y332)</f>
        <v>376075</v>
      </c>
      <c r="AA332" s="1302">
        <f>344074+45000</f>
        <v>389074</v>
      </c>
      <c r="AB332" s="1181">
        <v>23453</v>
      </c>
      <c r="AC332" s="1302">
        <v>7500</v>
      </c>
      <c r="AD332" s="1181">
        <v>0</v>
      </c>
      <c r="AE332" s="1302">
        <v>0</v>
      </c>
      <c r="AF332" s="1311">
        <f t="shared" si="16"/>
        <v>30953</v>
      </c>
      <c r="AG332" s="1322">
        <v>37953</v>
      </c>
    </row>
    <row r="333" spans="1:47">
      <c r="A333" s="134">
        <f t="shared" si="15"/>
        <v>2019.12</v>
      </c>
      <c r="B333" s="611">
        <v>2347419</v>
      </c>
      <c r="C333" s="1291">
        <v>44898</v>
      </c>
      <c r="D333" s="1291">
        <v>0</v>
      </c>
      <c r="E333" s="334">
        <v>0</v>
      </c>
      <c r="F333" s="1181">
        <v>468819</v>
      </c>
      <c r="G333" s="1291">
        <v>11272</v>
      </c>
      <c r="H333" s="1291">
        <v>0</v>
      </c>
      <c r="I333" s="180">
        <v>0</v>
      </c>
      <c r="J333" s="1181">
        <v>1733175</v>
      </c>
      <c r="K333" s="1291">
        <v>13849</v>
      </c>
      <c r="L333" s="1291">
        <v>0</v>
      </c>
      <c r="M333" s="180">
        <v>0</v>
      </c>
      <c r="N333" s="1181">
        <v>11486</v>
      </c>
      <c r="O333" s="1291">
        <v>0</v>
      </c>
      <c r="P333" s="1291">
        <v>0</v>
      </c>
      <c r="Q333" s="180">
        <v>0</v>
      </c>
      <c r="R333" s="334">
        <v>2745010</v>
      </c>
      <c r="S333" s="1291">
        <v>122470</v>
      </c>
      <c r="T333" s="1291">
        <v>261</v>
      </c>
      <c r="U333" s="180">
        <v>386</v>
      </c>
      <c r="V333" s="334">
        <v>88148</v>
      </c>
      <c r="W333" s="1302">
        <v>247357</v>
      </c>
      <c r="X333" s="1181">
        <v>4000</v>
      </c>
      <c r="Y333" s="1302">
        <v>47100</v>
      </c>
      <c r="Z333" s="1311">
        <f t="shared" si="17"/>
        <v>386605</v>
      </c>
      <c r="AA333" s="1302">
        <f>355505+51100</f>
        <v>406605</v>
      </c>
      <c r="AB333" s="1181">
        <v>0</v>
      </c>
      <c r="AC333" s="1302">
        <v>1000</v>
      </c>
      <c r="AD333" s="1181">
        <v>0</v>
      </c>
      <c r="AE333" s="1302">
        <v>0</v>
      </c>
      <c r="AF333" s="1311">
        <f t="shared" si="16"/>
        <v>1000</v>
      </c>
      <c r="AG333" s="1322">
        <v>28000</v>
      </c>
    </row>
    <row r="334" spans="1:47">
      <c r="A334" s="134">
        <f t="shared" si="15"/>
        <v>2020.01</v>
      </c>
      <c r="B334" s="611">
        <v>2002063</v>
      </c>
      <c r="C334" s="1291">
        <v>97888</v>
      </c>
      <c r="D334" s="1291">
        <v>0</v>
      </c>
      <c r="E334" s="334">
        <v>0</v>
      </c>
      <c r="F334" s="1181">
        <v>392730</v>
      </c>
      <c r="G334" s="1291">
        <v>42771</v>
      </c>
      <c r="H334" s="1291">
        <v>0</v>
      </c>
      <c r="I334" s="180">
        <v>2457</v>
      </c>
      <c r="J334" s="1181">
        <v>1467836</v>
      </c>
      <c r="K334" s="1291">
        <v>49434</v>
      </c>
      <c r="L334" s="1291">
        <v>0</v>
      </c>
      <c r="M334" s="180">
        <v>12</v>
      </c>
      <c r="N334" s="1181">
        <v>12103</v>
      </c>
      <c r="O334" s="1291">
        <v>0</v>
      </c>
      <c r="P334" s="1291">
        <v>0</v>
      </c>
      <c r="Q334" s="180">
        <v>3656</v>
      </c>
      <c r="R334" s="334">
        <v>2315940</v>
      </c>
      <c r="S334" s="1291">
        <v>174450</v>
      </c>
      <c r="T334" s="1291">
        <v>0</v>
      </c>
      <c r="U334" s="180">
        <v>0</v>
      </c>
      <c r="V334" s="334">
        <v>62264</v>
      </c>
      <c r="W334" s="1302">
        <v>359385</v>
      </c>
      <c r="X334" s="1181">
        <v>10000</v>
      </c>
      <c r="Y334" s="1302">
        <v>7150</v>
      </c>
      <c r="Z334" s="1311">
        <f t="shared" si="17"/>
        <v>438799</v>
      </c>
      <c r="AA334" s="1302">
        <f>421649+17150</f>
        <v>438799</v>
      </c>
      <c r="AB334" s="1181">
        <v>0</v>
      </c>
      <c r="AC334" s="1302">
        <v>5500</v>
      </c>
      <c r="AD334" s="1181">
        <v>0</v>
      </c>
      <c r="AE334" s="1302">
        <v>0</v>
      </c>
      <c r="AF334" s="1311">
        <f t="shared" si="16"/>
        <v>5500</v>
      </c>
      <c r="AG334" s="1322">
        <v>5500</v>
      </c>
    </row>
    <row r="335" spans="1:47">
      <c r="A335" s="134">
        <f t="shared" si="15"/>
        <v>2020.02</v>
      </c>
      <c r="B335" s="611">
        <v>2351546</v>
      </c>
      <c r="C335" s="1291">
        <v>103173</v>
      </c>
      <c r="D335" s="1291">
        <v>0</v>
      </c>
      <c r="E335" s="334">
        <v>0</v>
      </c>
      <c r="F335" s="1181">
        <v>463188</v>
      </c>
      <c r="G335" s="1291">
        <v>45645</v>
      </c>
      <c r="H335" s="1291">
        <v>0</v>
      </c>
      <c r="I335" s="180">
        <v>2265</v>
      </c>
      <c r="J335" s="1181">
        <v>1727736</v>
      </c>
      <c r="K335" s="1291">
        <v>50067</v>
      </c>
      <c r="L335" s="1291">
        <v>0</v>
      </c>
      <c r="M335" s="180">
        <v>12</v>
      </c>
      <c r="N335" s="1181">
        <v>12156</v>
      </c>
      <c r="O335" s="1291">
        <v>0</v>
      </c>
      <c r="P335" s="1291">
        <v>0</v>
      </c>
      <c r="Q335" s="180">
        <v>3677</v>
      </c>
      <c r="R335" s="334">
        <v>2630170</v>
      </c>
      <c r="S335" s="1291">
        <v>211339</v>
      </c>
      <c r="T335" s="1291">
        <v>0</v>
      </c>
      <c r="U335" s="180">
        <v>0</v>
      </c>
      <c r="V335" s="334">
        <v>24264</v>
      </c>
      <c r="W335" s="1302">
        <v>229245</v>
      </c>
      <c r="X335" s="1181">
        <v>0</v>
      </c>
      <c r="Y335" s="1302">
        <v>18460</v>
      </c>
      <c r="Z335" s="1311">
        <f t="shared" si="17"/>
        <v>271969</v>
      </c>
      <c r="AA335" s="1302">
        <f>253509+18460</f>
        <v>271969</v>
      </c>
      <c r="AB335" s="1181">
        <v>0</v>
      </c>
      <c r="AC335" s="1302">
        <v>35300</v>
      </c>
      <c r="AD335" s="1181">
        <v>0</v>
      </c>
      <c r="AE335" s="1302">
        <v>0</v>
      </c>
      <c r="AF335" s="1311">
        <f t="shared" si="16"/>
        <v>35300</v>
      </c>
      <c r="AG335" s="1322">
        <v>35300</v>
      </c>
    </row>
    <row r="336" spans="1:47">
      <c r="A336" s="134">
        <f t="shared" si="15"/>
        <v>2020.03</v>
      </c>
      <c r="B336" s="611">
        <v>2450467</v>
      </c>
      <c r="C336" s="1291">
        <v>79360</v>
      </c>
      <c r="D336" s="1291">
        <v>0</v>
      </c>
      <c r="E336" s="334">
        <v>0</v>
      </c>
      <c r="F336" s="1181">
        <v>499625</v>
      </c>
      <c r="G336" s="1291">
        <v>35210</v>
      </c>
      <c r="H336" s="1291">
        <v>0</v>
      </c>
      <c r="I336" s="180">
        <v>0</v>
      </c>
      <c r="J336" s="1181">
        <v>1804828</v>
      </c>
      <c r="K336" s="1291">
        <v>39011</v>
      </c>
      <c r="L336" s="1291">
        <v>0</v>
      </c>
      <c r="M336" s="180">
        <v>0</v>
      </c>
      <c r="N336" s="1181">
        <v>12604</v>
      </c>
      <c r="O336" s="1291">
        <v>0</v>
      </c>
      <c r="P336" s="1291">
        <v>0</v>
      </c>
      <c r="Q336" s="180">
        <v>0</v>
      </c>
      <c r="R336" s="334">
        <v>2740944</v>
      </c>
      <c r="S336" s="1291">
        <v>337835</v>
      </c>
      <c r="T336" s="1291">
        <v>149</v>
      </c>
      <c r="U336" s="180">
        <v>350</v>
      </c>
      <c r="V336" s="334">
        <v>0</v>
      </c>
      <c r="W336" s="1302">
        <v>167947</v>
      </c>
      <c r="X336" s="1181">
        <v>0</v>
      </c>
      <c r="Y336" s="1302">
        <v>14941</v>
      </c>
      <c r="Z336" s="1311">
        <f t="shared" si="17"/>
        <v>182888</v>
      </c>
      <c r="AA336" s="1302">
        <f>167947+14941</f>
        <v>182888</v>
      </c>
      <c r="AB336" s="1181">
        <v>0</v>
      </c>
      <c r="AC336" s="1302">
        <v>35900</v>
      </c>
      <c r="AD336" s="1181">
        <v>0</v>
      </c>
      <c r="AE336" s="1302">
        <v>0</v>
      </c>
      <c r="AF336" s="1311">
        <f t="shared" si="16"/>
        <v>35900</v>
      </c>
      <c r="AG336" s="1322">
        <v>45800</v>
      </c>
    </row>
    <row r="337" spans="1:33">
      <c r="A337" s="134">
        <f t="shared" si="15"/>
        <v>2020.04</v>
      </c>
      <c r="B337" s="611">
        <v>3300360</v>
      </c>
      <c r="C337" s="1291">
        <v>45832</v>
      </c>
      <c r="D337" s="1291">
        <v>0</v>
      </c>
      <c r="E337" s="334">
        <v>15455</v>
      </c>
      <c r="F337" s="1181">
        <v>668037</v>
      </c>
      <c r="G337" s="1291">
        <v>21168</v>
      </c>
      <c r="H337" s="1291">
        <v>0</v>
      </c>
      <c r="I337" s="180">
        <v>2473</v>
      </c>
      <c r="J337" s="1181">
        <v>2441173</v>
      </c>
      <c r="K337" s="1291">
        <v>23880</v>
      </c>
      <c r="L337" s="1291">
        <v>0</v>
      </c>
      <c r="M337" s="180">
        <v>10879</v>
      </c>
      <c r="N337" s="1181">
        <v>13960</v>
      </c>
      <c r="O337" s="1291">
        <v>0</v>
      </c>
      <c r="P337" s="1291">
        <v>0</v>
      </c>
      <c r="Q337" s="180">
        <v>0</v>
      </c>
      <c r="R337" s="334">
        <v>3661211</v>
      </c>
      <c r="S337" s="1291">
        <v>311796</v>
      </c>
      <c r="T337" s="1291">
        <v>0</v>
      </c>
      <c r="U337" s="180">
        <v>11248</v>
      </c>
      <c r="V337" s="334">
        <v>44417</v>
      </c>
      <c r="W337" s="1302">
        <v>446194</v>
      </c>
      <c r="X337" s="1181">
        <v>0</v>
      </c>
      <c r="Y337" s="1302">
        <v>15000</v>
      </c>
      <c r="Z337" s="1311">
        <f t="shared" si="17"/>
        <v>505611</v>
      </c>
      <c r="AA337" s="1302">
        <f>495667+15000</f>
        <v>510667</v>
      </c>
      <c r="AB337" s="1181">
        <v>0</v>
      </c>
      <c r="AC337" s="1302">
        <v>24480</v>
      </c>
      <c r="AD337" s="1181">
        <v>0</v>
      </c>
      <c r="AE337" s="1302">
        <v>0</v>
      </c>
      <c r="AF337" s="1311">
        <f t="shared" si="16"/>
        <v>24480</v>
      </c>
      <c r="AG337" s="1322">
        <v>49508</v>
      </c>
    </row>
    <row r="338" spans="1:33">
      <c r="A338" s="134">
        <f t="shared" si="15"/>
        <v>2020.05</v>
      </c>
      <c r="B338" s="611">
        <v>3591764</v>
      </c>
      <c r="C338" s="1291">
        <v>41142</v>
      </c>
      <c r="D338" s="1291">
        <v>0</v>
      </c>
      <c r="E338" s="334">
        <v>29200</v>
      </c>
      <c r="F338" s="1181">
        <v>714707</v>
      </c>
      <c r="G338" s="1291">
        <v>18232</v>
      </c>
      <c r="H338" s="1291">
        <v>0</v>
      </c>
      <c r="I338" s="180">
        <v>4906</v>
      </c>
      <c r="J338" s="1181">
        <v>2701191</v>
      </c>
      <c r="K338" s="1291">
        <v>21590</v>
      </c>
      <c r="L338" s="1291">
        <v>0</v>
      </c>
      <c r="M338" s="180">
        <v>20364</v>
      </c>
      <c r="N338" s="1181">
        <v>13371</v>
      </c>
      <c r="O338" s="1291">
        <v>0</v>
      </c>
      <c r="P338" s="1291">
        <v>0</v>
      </c>
      <c r="Q338" s="180">
        <v>0</v>
      </c>
      <c r="R338" s="334">
        <v>4026609</v>
      </c>
      <c r="S338" s="1291">
        <v>275739</v>
      </c>
      <c r="T338" s="1291">
        <v>0</v>
      </c>
      <c r="U338" s="180">
        <v>29791</v>
      </c>
      <c r="V338" s="334">
        <v>80650</v>
      </c>
      <c r="W338" s="1302">
        <v>457821</v>
      </c>
      <c r="X338" s="1181">
        <v>0</v>
      </c>
      <c r="Y338" s="1302">
        <v>44218</v>
      </c>
      <c r="Z338" s="1311">
        <f t="shared" si="17"/>
        <v>582689</v>
      </c>
      <c r="AA338" s="1302">
        <f>544216+44218</f>
        <v>588434</v>
      </c>
      <c r="AB338" s="1181">
        <v>0</v>
      </c>
      <c r="AC338" s="1302">
        <v>31300</v>
      </c>
      <c r="AD338" s="1181">
        <v>0</v>
      </c>
      <c r="AE338" s="1302">
        <v>0</v>
      </c>
      <c r="AF338" s="1311">
        <f t="shared" si="16"/>
        <v>31300</v>
      </c>
      <c r="AG338" s="1322">
        <v>92302</v>
      </c>
    </row>
    <row r="339" spans="1:33">
      <c r="A339" s="134">
        <f t="shared" si="15"/>
        <v>2020.06</v>
      </c>
      <c r="B339" s="611">
        <v>3164173</v>
      </c>
      <c r="C339" s="1291">
        <v>49931</v>
      </c>
      <c r="D339" s="1291">
        <v>0</v>
      </c>
      <c r="E339" s="334">
        <v>14611</v>
      </c>
      <c r="F339" s="1181">
        <v>632001</v>
      </c>
      <c r="G339" s="1291">
        <v>22501</v>
      </c>
      <c r="H339" s="1291">
        <v>0</v>
      </c>
      <c r="I339" s="180">
        <v>22528</v>
      </c>
      <c r="J339" s="1181">
        <v>2364571</v>
      </c>
      <c r="K339" s="1291">
        <v>24819</v>
      </c>
      <c r="L339" s="1291">
        <v>0</v>
      </c>
      <c r="M339" s="180">
        <v>10176</v>
      </c>
      <c r="N339" s="1181">
        <v>14009</v>
      </c>
      <c r="O339" s="1291">
        <v>0</v>
      </c>
      <c r="P339" s="1291">
        <v>0</v>
      </c>
      <c r="Q339" s="180">
        <v>0</v>
      </c>
      <c r="R339" s="334">
        <v>3642380</v>
      </c>
      <c r="S339" s="1291">
        <v>267976</v>
      </c>
      <c r="T339" s="1291">
        <v>0</v>
      </c>
      <c r="U339" s="180">
        <v>15341</v>
      </c>
      <c r="V339" s="334">
        <v>43500</v>
      </c>
      <c r="W339" s="1302">
        <v>513934</v>
      </c>
      <c r="X339" s="1181">
        <v>0</v>
      </c>
      <c r="Y339" s="1302">
        <v>82127</v>
      </c>
      <c r="Z339" s="1311">
        <f t="shared" si="17"/>
        <v>639561</v>
      </c>
      <c r="AA339" s="1302">
        <f>565434+82127</f>
        <v>647561</v>
      </c>
      <c r="AB339" s="1181">
        <v>0</v>
      </c>
      <c r="AC339" s="1302">
        <v>13000</v>
      </c>
      <c r="AD339" s="1181">
        <v>0</v>
      </c>
      <c r="AE339" s="1302">
        <v>0</v>
      </c>
      <c r="AF339" s="1311">
        <f t="shared" si="16"/>
        <v>13000</v>
      </c>
      <c r="AG339" s="1322">
        <v>27000</v>
      </c>
    </row>
    <row r="340" spans="1:33">
      <c r="A340" s="134">
        <f t="shared" si="15"/>
        <v>2020.07</v>
      </c>
      <c r="B340" s="611">
        <v>2993140</v>
      </c>
      <c r="C340" s="1291">
        <v>37648</v>
      </c>
      <c r="D340" s="1291">
        <v>0</v>
      </c>
      <c r="E340" s="334">
        <v>21913</v>
      </c>
      <c r="F340" s="1181">
        <v>600691</v>
      </c>
      <c r="G340" s="1291">
        <v>16647</v>
      </c>
      <c r="H340" s="1291">
        <v>0</v>
      </c>
      <c r="I340" s="180">
        <v>3835</v>
      </c>
      <c r="J340" s="1181">
        <v>2241486</v>
      </c>
      <c r="K340" s="1291">
        <v>19731</v>
      </c>
      <c r="L340" s="1291">
        <v>0</v>
      </c>
      <c r="M340" s="180">
        <v>15004</v>
      </c>
      <c r="N340" s="1181">
        <v>15549</v>
      </c>
      <c r="O340" s="1291">
        <v>786</v>
      </c>
      <c r="P340" s="1291">
        <v>0</v>
      </c>
      <c r="Q340" s="180">
        <v>0</v>
      </c>
      <c r="R340" s="334">
        <v>3507676</v>
      </c>
      <c r="S340" s="1291">
        <v>204083</v>
      </c>
      <c r="T340" s="1291">
        <v>70</v>
      </c>
      <c r="U340" s="180">
        <v>22522</v>
      </c>
      <c r="V340" s="334">
        <v>87864</v>
      </c>
      <c r="W340" s="1302">
        <v>405946</v>
      </c>
      <c r="X340" s="1181">
        <v>14030</v>
      </c>
      <c r="Y340" s="1302">
        <v>59195</v>
      </c>
      <c r="Z340" s="1311">
        <f t="shared" si="17"/>
        <v>567035</v>
      </c>
      <c r="AA340" s="1302">
        <f>506209+73225</f>
        <v>579434</v>
      </c>
      <c r="AB340" s="1181">
        <v>0</v>
      </c>
      <c r="AC340" s="1302">
        <v>34650</v>
      </c>
      <c r="AD340" s="1181">
        <v>0</v>
      </c>
      <c r="AE340" s="1302">
        <v>0</v>
      </c>
      <c r="AF340" s="1311">
        <f t="shared" si="16"/>
        <v>34650</v>
      </c>
      <c r="AG340" s="1322">
        <v>88150</v>
      </c>
    </row>
    <row r="341" spans="1:33">
      <c r="A341" s="134">
        <f t="shared" si="15"/>
        <v>2020.08</v>
      </c>
      <c r="B341" s="611">
        <v>2934657</v>
      </c>
      <c r="C341" s="1291">
        <v>32744</v>
      </c>
      <c r="D341" s="1291">
        <v>0</v>
      </c>
      <c r="E341" s="334">
        <v>26966</v>
      </c>
      <c r="F341" s="1181">
        <v>589577</v>
      </c>
      <c r="G341" s="1291">
        <v>14403</v>
      </c>
      <c r="H341" s="1291">
        <v>0</v>
      </c>
      <c r="I341" s="180">
        <v>4613</v>
      </c>
      <c r="J341" s="1181">
        <v>2212727</v>
      </c>
      <c r="K341" s="1291">
        <v>17255</v>
      </c>
      <c r="L341" s="1291">
        <v>0</v>
      </c>
      <c r="M341" s="180">
        <v>17968</v>
      </c>
      <c r="N341" s="1181">
        <v>15392</v>
      </c>
      <c r="O341" s="1291">
        <v>0</v>
      </c>
      <c r="P341" s="1291">
        <v>0</v>
      </c>
      <c r="Q341" s="180">
        <v>0</v>
      </c>
      <c r="R341" s="334">
        <v>3297111</v>
      </c>
      <c r="S341" s="1291">
        <v>271243</v>
      </c>
      <c r="T341" s="1291">
        <v>70</v>
      </c>
      <c r="U341" s="180">
        <v>27651</v>
      </c>
      <c r="V341" s="334">
        <v>62174</v>
      </c>
      <c r="W341" s="1302">
        <v>310477</v>
      </c>
      <c r="X341" s="1181">
        <v>4394</v>
      </c>
      <c r="Y341" s="1302">
        <v>31210</v>
      </c>
      <c r="Z341" s="1311">
        <f t="shared" si="17"/>
        <v>408255</v>
      </c>
      <c r="AA341" s="1302">
        <f>378378+35406</f>
        <v>413784</v>
      </c>
      <c r="AB341" s="1181">
        <v>0</v>
      </c>
      <c r="AC341" s="1302">
        <v>9980</v>
      </c>
      <c r="AD341" s="1181">
        <v>0</v>
      </c>
      <c r="AE341" s="1302">
        <v>0</v>
      </c>
      <c r="AF341" s="1311">
        <f t="shared" si="16"/>
        <v>9980</v>
      </c>
      <c r="AG341" s="1322">
        <v>30000</v>
      </c>
    </row>
    <row r="342" spans="1:33">
      <c r="A342" s="134">
        <f>A330+1</f>
        <v>2020.09</v>
      </c>
      <c r="B342" s="611">
        <v>2903759</v>
      </c>
      <c r="C342" s="1291">
        <v>15854</v>
      </c>
      <c r="D342" s="1291">
        <v>0</v>
      </c>
      <c r="E342" s="334">
        <v>5575</v>
      </c>
      <c r="F342" s="1181">
        <v>595006</v>
      </c>
      <c r="G342" s="1291">
        <v>6792</v>
      </c>
      <c r="H342" s="1291">
        <v>0</v>
      </c>
      <c r="I342" s="180">
        <v>1243</v>
      </c>
      <c r="J342" s="1181">
        <v>2183820</v>
      </c>
      <c r="K342" s="1291">
        <v>36618</v>
      </c>
      <c r="L342" s="1291">
        <v>0</v>
      </c>
      <c r="M342" s="180">
        <v>3707</v>
      </c>
      <c r="N342" s="1181">
        <v>15351</v>
      </c>
      <c r="O342" s="1291">
        <v>0</v>
      </c>
      <c r="P342" s="1291">
        <v>0</v>
      </c>
      <c r="Q342" s="180">
        <v>0</v>
      </c>
      <c r="R342" s="334">
        <v>3127112</v>
      </c>
      <c r="S342" s="1291">
        <v>145136</v>
      </c>
      <c r="T342" s="1291">
        <v>0</v>
      </c>
      <c r="U342" s="180">
        <v>6253</v>
      </c>
      <c r="V342" s="334">
        <v>49930</v>
      </c>
      <c r="W342" s="1302">
        <v>319532</v>
      </c>
      <c r="X342" s="1181">
        <v>0</v>
      </c>
      <c r="Y342" s="1302">
        <v>85539</v>
      </c>
      <c r="Z342" s="1311">
        <f t="shared" si="17"/>
        <v>455001</v>
      </c>
      <c r="AA342" s="1302">
        <f>378660+85539</f>
        <v>464199</v>
      </c>
      <c r="AB342" s="1181">
        <v>0</v>
      </c>
      <c r="AC342" s="1302">
        <v>8800</v>
      </c>
      <c r="AD342" s="1181">
        <v>0</v>
      </c>
      <c r="AE342" s="1302">
        <v>0</v>
      </c>
      <c r="AF342" s="1311">
        <f t="shared" si="16"/>
        <v>8800</v>
      </c>
      <c r="AG342" s="1322">
        <v>18800</v>
      </c>
    </row>
    <row r="343" spans="1:33">
      <c r="A343" s="134">
        <f t="shared" si="15"/>
        <v>2020.1</v>
      </c>
      <c r="B343" s="611">
        <v>2707576</v>
      </c>
      <c r="C343" s="1291">
        <v>20614</v>
      </c>
      <c r="D343" s="1291">
        <v>0</v>
      </c>
      <c r="E343" s="334">
        <v>0</v>
      </c>
      <c r="F343" s="1181">
        <v>546550</v>
      </c>
      <c r="G343" s="1291">
        <v>9083</v>
      </c>
      <c r="H343" s="1291">
        <v>0</v>
      </c>
      <c r="I343" s="180">
        <v>0</v>
      </c>
      <c r="J343" s="1181">
        <v>2020423</v>
      </c>
      <c r="K343" s="1291">
        <v>10866</v>
      </c>
      <c r="L343" s="1291">
        <v>0</v>
      </c>
      <c r="M343" s="180">
        <v>0</v>
      </c>
      <c r="N343" s="1181">
        <v>14448</v>
      </c>
      <c r="O343" s="1291">
        <v>0</v>
      </c>
      <c r="P343" s="1291">
        <v>0</v>
      </c>
      <c r="Q343" s="180">
        <v>0</v>
      </c>
      <c r="R343" s="334">
        <v>3107674</v>
      </c>
      <c r="S343" s="1291">
        <v>153621</v>
      </c>
      <c r="T343" s="1291">
        <v>417</v>
      </c>
      <c r="U343" s="180">
        <v>576</v>
      </c>
      <c r="V343" s="334">
        <v>63045</v>
      </c>
      <c r="W343" s="1302">
        <v>473817</v>
      </c>
      <c r="X343" s="1181">
        <v>10120</v>
      </c>
      <c r="Y343" s="1302">
        <v>41000</v>
      </c>
      <c r="Z343" s="1311">
        <f t="shared" si="17"/>
        <v>587982</v>
      </c>
      <c r="AA343" s="1302">
        <f>556005+51120</f>
        <v>607125</v>
      </c>
      <c r="AB343" s="1181">
        <v>0</v>
      </c>
      <c r="AC343" s="1302">
        <v>9457</v>
      </c>
      <c r="AD343" s="1181">
        <v>0</v>
      </c>
      <c r="AE343" s="1302">
        <v>0</v>
      </c>
      <c r="AF343" s="1311">
        <f t="shared" si="16"/>
        <v>9457</v>
      </c>
      <c r="AG343" s="1322">
        <v>11457</v>
      </c>
    </row>
    <row r="344" spans="1:33">
      <c r="A344" s="134">
        <f>A332+1</f>
        <v>2020.11</v>
      </c>
      <c r="B344" s="611">
        <v>2579902</v>
      </c>
      <c r="C344" s="1291">
        <v>24750</v>
      </c>
      <c r="D344" s="1291">
        <v>0</v>
      </c>
      <c r="E344" s="334">
        <v>0</v>
      </c>
      <c r="F344" s="1181">
        <v>517531</v>
      </c>
      <c r="G344" s="1291">
        <v>10857</v>
      </c>
      <c r="H344" s="1291">
        <v>0</v>
      </c>
      <c r="I344" s="180">
        <v>0</v>
      </c>
      <c r="J344" s="1181">
        <v>1919032</v>
      </c>
      <c r="K344" s="1291">
        <v>13212</v>
      </c>
      <c r="L344" s="1291">
        <v>0</v>
      </c>
      <c r="M344" s="180">
        <v>0</v>
      </c>
      <c r="N344" s="1181">
        <v>13291</v>
      </c>
      <c r="O344" s="1291">
        <v>0</v>
      </c>
      <c r="P344" s="1291">
        <v>0</v>
      </c>
      <c r="Q344" s="180">
        <v>0</v>
      </c>
      <c r="R344" s="334">
        <v>2971344</v>
      </c>
      <c r="S344" s="1291">
        <v>120731</v>
      </c>
      <c r="T344" s="1291">
        <v>0</v>
      </c>
      <c r="U344" s="180">
        <v>586</v>
      </c>
      <c r="V344" s="334">
        <v>91219</v>
      </c>
      <c r="W344" s="1302">
        <v>415782</v>
      </c>
      <c r="X344" s="1181">
        <v>0</v>
      </c>
      <c r="Y344" s="1302">
        <v>46181</v>
      </c>
      <c r="Z344" s="1311">
        <f t="shared" si="17"/>
        <v>553182</v>
      </c>
      <c r="AA344" s="1302">
        <f>527333+46181</f>
        <v>573514</v>
      </c>
      <c r="AB344" s="1181">
        <v>0</v>
      </c>
      <c r="AC344" s="1302">
        <v>1636</v>
      </c>
      <c r="AD344" s="1181">
        <v>0</v>
      </c>
      <c r="AE344" s="1302">
        <v>0</v>
      </c>
      <c r="AF344" s="1311">
        <f t="shared" si="16"/>
        <v>1636</v>
      </c>
      <c r="AG344" s="1322">
        <v>7636</v>
      </c>
    </row>
    <row r="345" spans="1:33">
      <c r="A345" s="134">
        <f>A333+1</f>
        <v>2020.12</v>
      </c>
      <c r="B345" s="611">
        <v>550228</v>
      </c>
      <c r="C345" s="1291">
        <v>0</v>
      </c>
      <c r="D345" s="1291">
        <v>0</v>
      </c>
      <c r="E345" s="334">
        <v>0</v>
      </c>
      <c r="F345" s="1181">
        <v>109024</v>
      </c>
      <c r="G345" s="1291">
        <v>0</v>
      </c>
      <c r="H345" s="1291">
        <v>0</v>
      </c>
      <c r="I345" s="180">
        <v>0</v>
      </c>
      <c r="J345" s="1181">
        <v>400538</v>
      </c>
      <c r="K345" s="1291">
        <v>0</v>
      </c>
      <c r="L345" s="1291">
        <v>0</v>
      </c>
      <c r="M345" s="180">
        <v>0</v>
      </c>
      <c r="N345" s="1181">
        <v>15423</v>
      </c>
      <c r="O345" s="1291">
        <v>0</v>
      </c>
      <c r="P345" s="1291">
        <v>0</v>
      </c>
      <c r="Q345" s="180">
        <v>0</v>
      </c>
      <c r="R345" s="334">
        <v>808184</v>
      </c>
      <c r="S345" s="1291">
        <v>14614</v>
      </c>
      <c r="T345" s="1291">
        <v>75</v>
      </c>
      <c r="U345" s="180">
        <v>180</v>
      </c>
      <c r="V345" s="334">
        <v>0</v>
      </c>
      <c r="W345" s="1302">
        <v>74814</v>
      </c>
      <c r="X345" s="1181">
        <v>0</v>
      </c>
      <c r="Y345" s="1302">
        <v>2500</v>
      </c>
      <c r="Z345" s="1311">
        <f t="shared" si="17"/>
        <v>77314</v>
      </c>
      <c r="AA345" s="1302">
        <v>99814</v>
      </c>
      <c r="AB345" s="1181">
        <v>0</v>
      </c>
      <c r="AC345" s="1302">
        <v>0</v>
      </c>
      <c r="AD345" s="1181">
        <v>0</v>
      </c>
      <c r="AE345" s="1302">
        <v>0</v>
      </c>
      <c r="AF345" s="1311">
        <f t="shared" si="16"/>
        <v>0</v>
      </c>
      <c r="AG345" s="1322">
        <v>0</v>
      </c>
    </row>
    <row r="346" spans="1:33">
      <c r="A346" s="134">
        <f t="shared" ref="A346:A409" si="18">A334+1</f>
        <v>2021.01</v>
      </c>
      <c r="B346" s="611">
        <v>2909725</v>
      </c>
      <c r="C346" s="1291">
        <v>74267</v>
      </c>
      <c r="D346" s="1291">
        <v>0</v>
      </c>
      <c r="E346" s="334">
        <v>0</v>
      </c>
      <c r="F346" s="1181">
        <v>584815</v>
      </c>
      <c r="G346" s="1291">
        <v>32368</v>
      </c>
      <c r="H346" s="1291">
        <v>0</v>
      </c>
      <c r="I346" s="180">
        <v>0</v>
      </c>
      <c r="J346" s="1181">
        <v>2196017</v>
      </c>
      <c r="K346" s="1291">
        <v>36142</v>
      </c>
      <c r="L346" s="1291">
        <v>0</v>
      </c>
      <c r="M346" s="180">
        <v>0</v>
      </c>
      <c r="N346" s="1181">
        <v>13938</v>
      </c>
      <c r="O346" s="1291">
        <v>0</v>
      </c>
      <c r="P346" s="1291">
        <v>0</v>
      </c>
      <c r="Q346" s="180">
        <v>0</v>
      </c>
      <c r="R346" s="334">
        <v>3215852</v>
      </c>
      <c r="S346" s="1291">
        <v>164823</v>
      </c>
      <c r="T346" s="1291">
        <v>30</v>
      </c>
      <c r="U346" s="180">
        <v>207</v>
      </c>
      <c r="V346" s="334">
        <v>52660</v>
      </c>
      <c r="W346" s="1302">
        <v>576148</v>
      </c>
      <c r="X346" s="1181">
        <v>11066</v>
      </c>
      <c r="Y346" s="1302">
        <v>28499</v>
      </c>
      <c r="Z346" s="1311">
        <f t="shared" si="17"/>
        <v>668373</v>
      </c>
      <c r="AA346" s="1302">
        <f>664272+39565</f>
        <v>703837</v>
      </c>
      <c r="AB346" s="1181">
        <v>0</v>
      </c>
      <c r="AC346" s="1302">
        <v>5000</v>
      </c>
      <c r="AD346" s="1181">
        <v>0</v>
      </c>
      <c r="AE346" s="1302">
        <v>3492</v>
      </c>
      <c r="AF346" s="1311">
        <f t="shared" si="16"/>
        <v>8492</v>
      </c>
      <c r="AG346" s="1322">
        <f>7500+3492</f>
        <v>10992</v>
      </c>
    </row>
    <row r="347" spans="1:33">
      <c r="A347" s="134">
        <f t="shared" si="18"/>
        <v>2021.02</v>
      </c>
      <c r="B347" s="611">
        <v>2540386</v>
      </c>
      <c r="C347" s="1291">
        <v>86901</v>
      </c>
      <c r="D347" s="1291">
        <v>0</v>
      </c>
      <c r="E347" s="334">
        <v>0</v>
      </c>
      <c r="F347" s="1181">
        <v>513891</v>
      </c>
      <c r="G347" s="1291">
        <v>38116</v>
      </c>
      <c r="H347" s="1291">
        <v>0</v>
      </c>
      <c r="I347" s="180">
        <v>0</v>
      </c>
      <c r="J347" s="1181">
        <v>1886251</v>
      </c>
      <c r="K347" s="1291">
        <v>41293</v>
      </c>
      <c r="L347" s="1291">
        <v>0</v>
      </c>
      <c r="M347" s="180">
        <v>0</v>
      </c>
      <c r="N347" s="1181">
        <v>11542</v>
      </c>
      <c r="O347" s="1291">
        <v>0</v>
      </c>
      <c r="P347" s="1291">
        <v>0</v>
      </c>
      <c r="Q347" s="180">
        <v>0</v>
      </c>
      <c r="R347" s="334">
        <v>2849225</v>
      </c>
      <c r="S347" s="1291">
        <v>202482</v>
      </c>
      <c r="T347" s="1291">
        <v>149</v>
      </c>
      <c r="U347" s="180">
        <v>203</v>
      </c>
      <c r="V347" s="334">
        <v>0</v>
      </c>
      <c r="W347" s="1302">
        <v>403860</v>
      </c>
      <c r="X347" s="1181">
        <v>7000</v>
      </c>
      <c r="Y347" s="1302">
        <v>71853</v>
      </c>
      <c r="Z347" s="1311">
        <f t="shared" si="17"/>
        <v>482713</v>
      </c>
      <c r="AA347" s="1302">
        <f>418906+78853</f>
        <v>497759</v>
      </c>
      <c r="AB347" s="1181">
        <v>0</v>
      </c>
      <c r="AC347" s="1302">
        <v>11000</v>
      </c>
      <c r="AD347" s="1181">
        <v>0</v>
      </c>
      <c r="AE347" s="1302">
        <v>0</v>
      </c>
      <c r="AF347" s="1311">
        <f t="shared" si="16"/>
        <v>11000</v>
      </c>
      <c r="AG347" s="1322">
        <v>11000</v>
      </c>
    </row>
    <row r="348" spans="1:33">
      <c r="A348" s="134">
        <f t="shared" si="18"/>
        <v>2021.03</v>
      </c>
      <c r="B348" s="611">
        <v>3066587</v>
      </c>
      <c r="C348" s="1291">
        <v>102693</v>
      </c>
      <c r="D348" s="1291">
        <v>0</v>
      </c>
      <c r="E348" s="334">
        <v>0</v>
      </c>
      <c r="F348" s="1181">
        <v>621396</v>
      </c>
      <c r="G348" s="1291">
        <v>44456</v>
      </c>
      <c r="H348" s="1291">
        <v>0</v>
      </c>
      <c r="I348" s="180">
        <v>0</v>
      </c>
      <c r="J348" s="1181">
        <v>2284076</v>
      </c>
      <c r="K348" s="1291">
        <v>45699</v>
      </c>
      <c r="L348" s="1291">
        <v>0</v>
      </c>
      <c r="M348" s="180">
        <v>0</v>
      </c>
      <c r="N348" s="1181">
        <v>14077</v>
      </c>
      <c r="O348" s="1291">
        <v>0</v>
      </c>
      <c r="P348" s="1291">
        <v>0</v>
      </c>
      <c r="Q348" s="180">
        <v>0</v>
      </c>
      <c r="R348" s="334">
        <v>3393667</v>
      </c>
      <c r="S348" s="1291">
        <v>388663</v>
      </c>
      <c r="T348" s="1291">
        <v>263</v>
      </c>
      <c r="U348" s="180">
        <v>177</v>
      </c>
      <c r="V348" s="334">
        <v>67953</v>
      </c>
      <c r="W348" s="1302">
        <v>420845</v>
      </c>
      <c r="X348" s="1181">
        <v>0</v>
      </c>
      <c r="Y348" s="1302">
        <v>6107</v>
      </c>
      <c r="Z348" s="1311">
        <f t="shared" si="17"/>
        <v>494905</v>
      </c>
      <c r="AA348" s="1302">
        <f>488798+6107</f>
        <v>494905</v>
      </c>
      <c r="AB348" s="1181">
        <v>5000</v>
      </c>
      <c r="AC348" s="1302">
        <v>23693</v>
      </c>
      <c r="AD348" s="1181">
        <v>0</v>
      </c>
      <c r="AE348" s="1302">
        <v>0</v>
      </c>
      <c r="AF348" s="1311">
        <f t="shared" si="16"/>
        <v>28693</v>
      </c>
      <c r="AG348" s="1322">
        <v>28693</v>
      </c>
    </row>
    <row r="349" spans="1:33">
      <c r="A349" s="134">
        <f t="shared" si="18"/>
        <v>2021.04</v>
      </c>
      <c r="B349" s="611">
        <v>3886918</v>
      </c>
      <c r="C349" s="1291">
        <v>58201</v>
      </c>
      <c r="D349" s="1291">
        <v>0</v>
      </c>
      <c r="E349" s="334">
        <v>3949</v>
      </c>
      <c r="F349" s="1181">
        <v>785419</v>
      </c>
      <c r="G349" s="1291">
        <v>25521</v>
      </c>
      <c r="H349" s="1291">
        <v>0</v>
      </c>
      <c r="I349" s="180">
        <v>652</v>
      </c>
      <c r="J349" s="1181">
        <v>2870820</v>
      </c>
      <c r="K349" s="1291">
        <v>27677</v>
      </c>
      <c r="L349" s="1291">
        <v>0</v>
      </c>
      <c r="M349" s="180">
        <v>2707</v>
      </c>
      <c r="N349" s="1181">
        <v>13343</v>
      </c>
      <c r="O349" s="1291">
        <v>0</v>
      </c>
      <c r="P349" s="1291">
        <v>0</v>
      </c>
      <c r="Q349" s="180">
        <v>0</v>
      </c>
      <c r="R349" s="334">
        <v>4206624</v>
      </c>
      <c r="S349" s="1291">
        <v>395543</v>
      </c>
      <c r="T349" s="1291">
        <v>150</v>
      </c>
      <c r="U349" s="180">
        <v>4416</v>
      </c>
      <c r="V349" s="334">
        <v>81892</v>
      </c>
      <c r="W349" s="1302">
        <v>524366</v>
      </c>
      <c r="X349" s="1181">
        <v>3200</v>
      </c>
      <c r="Y349" s="1302">
        <f>53480+8650</f>
        <v>62130</v>
      </c>
      <c r="Z349" s="1311">
        <f>SUM(V349:Y349)</f>
        <v>671588</v>
      </c>
      <c r="AA349" s="1302">
        <f>606258+56680+8650</f>
        <v>671588</v>
      </c>
      <c r="AB349" s="1181">
        <v>0</v>
      </c>
      <c r="AC349" s="1302">
        <v>38342</v>
      </c>
      <c r="AD349" s="1181">
        <v>0</v>
      </c>
      <c r="AE349" s="1302">
        <v>0</v>
      </c>
      <c r="AF349" s="1311">
        <f t="shared" si="16"/>
        <v>38342</v>
      </c>
      <c r="AG349" s="1322">
        <v>74342</v>
      </c>
    </row>
    <row r="350" spans="1:33">
      <c r="A350" s="134">
        <f t="shared" si="18"/>
        <v>2021.05</v>
      </c>
      <c r="B350" s="611">
        <v>3927520</v>
      </c>
      <c r="C350" s="1291">
        <v>38394</v>
      </c>
      <c r="D350" s="1291">
        <v>0</v>
      </c>
      <c r="E350" s="334">
        <v>24326</v>
      </c>
      <c r="F350" s="1181">
        <v>781805</v>
      </c>
      <c r="G350" s="1291">
        <v>17205</v>
      </c>
      <c r="H350" s="1291">
        <v>0</v>
      </c>
      <c r="I350" s="180">
        <v>4098</v>
      </c>
      <c r="J350" s="1181">
        <v>2913997</v>
      </c>
      <c r="K350" s="1291">
        <v>19246</v>
      </c>
      <c r="L350" s="1291">
        <v>0</v>
      </c>
      <c r="M350" s="180">
        <v>17295</v>
      </c>
      <c r="N350" s="1181">
        <v>12852</v>
      </c>
      <c r="O350" s="1291">
        <v>0</v>
      </c>
      <c r="P350" s="1291">
        <v>0</v>
      </c>
      <c r="Q350" s="180">
        <v>0</v>
      </c>
      <c r="R350" s="334">
        <v>4297568</v>
      </c>
      <c r="S350" s="1291">
        <v>334791</v>
      </c>
      <c r="T350" s="1291">
        <v>50</v>
      </c>
      <c r="U350" s="180">
        <v>24908</v>
      </c>
      <c r="V350" s="334">
        <v>64287</v>
      </c>
      <c r="W350" s="1302">
        <v>527943</v>
      </c>
      <c r="X350" s="1181">
        <v>6122</v>
      </c>
      <c r="Y350" s="1302">
        <f>43470+14364</f>
        <v>57834</v>
      </c>
      <c r="Z350" s="1311">
        <f t="shared" si="17"/>
        <v>656186</v>
      </c>
      <c r="AA350" s="1302">
        <f>592231+49592+14364</f>
        <v>656187</v>
      </c>
      <c r="AB350" s="1181">
        <v>22000</v>
      </c>
      <c r="AC350" s="1302">
        <v>28507</v>
      </c>
      <c r="AD350" s="1181">
        <v>0</v>
      </c>
      <c r="AE350" s="1302">
        <v>0</v>
      </c>
      <c r="AF350" s="1311">
        <f t="shared" si="16"/>
        <v>50507</v>
      </c>
      <c r="AG350" s="1322">
        <v>80507</v>
      </c>
    </row>
    <row r="351" spans="1:33">
      <c r="A351" s="134">
        <f t="shared" si="18"/>
        <v>2021.06</v>
      </c>
      <c r="B351" s="611">
        <v>3781098</v>
      </c>
      <c r="C351" s="1291">
        <v>64980</v>
      </c>
      <c r="D351" s="1291">
        <v>0</v>
      </c>
      <c r="E351" s="334">
        <v>28136</v>
      </c>
      <c r="F351" s="1181">
        <v>762456</v>
      </c>
      <c r="G351" s="1291">
        <v>28434</v>
      </c>
      <c r="H351" s="1291">
        <v>0</v>
      </c>
      <c r="I351" s="180">
        <v>4783</v>
      </c>
      <c r="J351" s="1181">
        <v>2860018</v>
      </c>
      <c r="K351" s="1291">
        <v>30360</v>
      </c>
      <c r="L351" s="1291">
        <v>0</v>
      </c>
      <c r="M351" s="180">
        <v>19315</v>
      </c>
      <c r="N351" s="1181">
        <v>14978</v>
      </c>
      <c r="O351" s="1291">
        <v>0</v>
      </c>
      <c r="P351" s="1291">
        <v>0</v>
      </c>
      <c r="Q351" s="180">
        <v>0</v>
      </c>
      <c r="R351" s="334">
        <v>4092647</v>
      </c>
      <c r="S351" s="1291">
        <v>365178</v>
      </c>
      <c r="T351" s="1291">
        <v>200</v>
      </c>
      <c r="U351" s="180">
        <v>28766</v>
      </c>
      <c r="V351" s="334">
        <v>46495</v>
      </c>
      <c r="W351" s="1302">
        <v>543339</v>
      </c>
      <c r="X351" s="1181">
        <v>0</v>
      </c>
      <c r="Y351" s="1302">
        <f>95198+11195</f>
        <v>106393</v>
      </c>
      <c r="Z351" s="1311">
        <f t="shared" si="17"/>
        <v>696227</v>
      </c>
      <c r="AA351" s="1302">
        <f>596430+95198+11195</f>
        <v>702823</v>
      </c>
      <c r="AB351" s="1181">
        <v>0</v>
      </c>
      <c r="AC351" s="1302">
        <v>31800</v>
      </c>
      <c r="AD351" s="1181">
        <v>0</v>
      </c>
      <c r="AE351" s="1302">
        <v>0</v>
      </c>
      <c r="AF351" s="1311">
        <f t="shared" si="16"/>
        <v>31800</v>
      </c>
      <c r="AG351" s="1322">
        <v>109224</v>
      </c>
    </row>
    <row r="352" spans="1:33">
      <c r="A352" s="134">
        <f t="shared" si="18"/>
        <v>2021.07</v>
      </c>
      <c r="B352" s="611">
        <v>3441848</v>
      </c>
      <c r="C352" s="1291">
        <v>71893</v>
      </c>
      <c r="D352" s="1291">
        <v>0</v>
      </c>
      <c r="E352" s="334">
        <v>26753</v>
      </c>
      <c r="F352" s="1181">
        <v>681160</v>
      </c>
      <c r="G352" s="1291">
        <v>31403</v>
      </c>
      <c r="H352" s="1291">
        <v>0</v>
      </c>
      <c r="I352" s="180">
        <v>4548</v>
      </c>
      <c r="J352" s="1181">
        <v>2524403</v>
      </c>
      <c r="K352" s="1291">
        <v>33688</v>
      </c>
      <c r="L352" s="1291">
        <v>0</v>
      </c>
      <c r="M352" s="180">
        <v>18327</v>
      </c>
      <c r="N352" s="1181">
        <v>15301</v>
      </c>
      <c r="O352" s="1291">
        <v>0</v>
      </c>
      <c r="P352" s="1291">
        <v>0</v>
      </c>
      <c r="Q352" s="180">
        <v>0</v>
      </c>
      <c r="R352" s="334">
        <v>3851350</v>
      </c>
      <c r="S352" s="1291">
        <v>325984</v>
      </c>
      <c r="T352" s="1291">
        <v>65</v>
      </c>
      <c r="U352" s="180">
        <v>27323</v>
      </c>
      <c r="V352" s="334">
        <v>85958</v>
      </c>
      <c r="W352" s="1302">
        <v>322719</v>
      </c>
      <c r="X352" s="1181">
        <v>0</v>
      </c>
      <c r="Y352" s="1302">
        <f>45607+4440</f>
        <v>50047</v>
      </c>
      <c r="Z352" s="1311">
        <f t="shared" si="17"/>
        <v>458724</v>
      </c>
      <c r="AA352" s="1302">
        <f>408704+45607+4440</f>
        <v>458751</v>
      </c>
      <c r="AB352" s="1181">
        <v>0</v>
      </c>
      <c r="AC352" s="1302">
        <v>75010</v>
      </c>
      <c r="AD352" s="1181">
        <v>0</v>
      </c>
      <c r="AE352" s="1302">
        <v>0</v>
      </c>
      <c r="AF352" s="1311">
        <f t="shared" si="16"/>
        <v>75010</v>
      </c>
      <c r="AG352" s="1322">
        <v>108010</v>
      </c>
    </row>
    <row r="353" spans="1:33">
      <c r="A353" s="134">
        <f t="shared" si="18"/>
        <v>2021.08</v>
      </c>
      <c r="B353" s="611">
        <v>3202173</v>
      </c>
      <c r="C353" s="1291">
        <v>45004</v>
      </c>
      <c r="D353" s="1291">
        <v>0</v>
      </c>
      <c r="E353" s="334">
        <v>13793</v>
      </c>
      <c r="F353" s="1181">
        <v>635425</v>
      </c>
      <c r="G353" s="1291">
        <v>19695</v>
      </c>
      <c r="H353" s="1291">
        <v>0</v>
      </c>
      <c r="I353" s="180">
        <v>2345</v>
      </c>
      <c r="J353" s="1181">
        <v>2348590</v>
      </c>
      <c r="K353" s="1291">
        <v>22573</v>
      </c>
      <c r="L353" s="1291">
        <v>0</v>
      </c>
      <c r="M353" s="180">
        <v>9744</v>
      </c>
      <c r="N353" s="1181">
        <v>16762</v>
      </c>
      <c r="O353" s="1291">
        <v>0</v>
      </c>
      <c r="P353" s="1291">
        <v>0</v>
      </c>
      <c r="Q353" s="180">
        <v>0</v>
      </c>
      <c r="R353" s="334">
        <v>3569891</v>
      </c>
      <c r="S353" s="1291">
        <v>299808</v>
      </c>
      <c r="T353" s="1291">
        <v>0</v>
      </c>
      <c r="U353" s="180">
        <v>14358</v>
      </c>
      <c r="V353" s="334">
        <v>53211</v>
      </c>
      <c r="W353" s="1302">
        <v>402332</v>
      </c>
      <c r="X353" s="1181">
        <v>0</v>
      </c>
      <c r="Y353" s="1302">
        <f>90249+15998</f>
        <v>106247</v>
      </c>
      <c r="Z353" s="1311">
        <f t="shared" si="17"/>
        <v>561790</v>
      </c>
      <c r="AA353" s="1302">
        <f>473770+90249+15998</f>
        <v>580017</v>
      </c>
      <c r="AB353" s="1181">
        <v>0</v>
      </c>
      <c r="AC353" s="1302">
        <v>23421</v>
      </c>
      <c r="AD353" s="1181">
        <v>0</v>
      </c>
      <c r="AE353" s="1302">
        <v>0</v>
      </c>
      <c r="AF353" s="1311">
        <f t="shared" si="16"/>
        <v>23421</v>
      </c>
      <c r="AG353" s="1322">
        <v>120421</v>
      </c>
    </row>
    <row r="354" spans="1:33">
      <c r="A354" s="134">
        <f t="shared" si="18"/>
        <v>2021.09</v>
      </c>
      <c r="B354" s="611">
        <v>3240968</v>
      </c>
      <c r="C354" s="1291">
        <v>37983</v>
      </c>
      <c r="D354" s="1291">
        <v>0</v>
      </c>
      <c r="E354" s="334">
        <v>16777</v>
      </c>
      <c r="F354" s="1181">
        <v>629861</v>
      </c>
      <c r="G354" s="1291">
        <v>16962</v>
      </c>
      <c r="H354" s="1291">
        <v>0</v>
      </c>
      <c r="I354" s="180">
        <v>2968</v>
      </c>
      <c r="J354" s="1181">
        <v>2407448</v>
      </c>
      <c r="K354" s="1291">
        <v>19538</v>
      </c>
      <c r="L354" s="1291">
        <v>0</v>
      </c>
      <c r="M354" s="180">
        <v>11517</v>
      </c>
      <c r="N354" s="1181">
        <v>17457</v>
      </c>
      <c r="O354" s="1291">
        <v>0</v>
      </c>
      <c r="P354" s="1291">
        <v>0</v>
      </c>
      <c r="Q354" s="180">
        <v>0</v>
      </c>
      <c r="R354" s="334">
        <v>3697468</v>
      </c>
      <c r="S354" s="1291">
        <v>202457</v>
      </c>
      <c r="T354" s="1291">
        <v>30</v>
      </c>
      <c r="U354" s="180">
        <v>17509</v>
      </c>
      <c r="V354" s="334">
        <v>67750</v>
      </c>
      <c r="W354" s="1302">
        <v>363184</v>
      </c>
      <c r="X354" s="1181">
        <v>15295</v>
      </c>
      <c r="Y354" s="1302">
        <f>97662+35622</f>
        <v>133284</v>
      </c>
      <c r="Z354" s="1311">
        <f t="shared" si="17"/>
        <v>579513</v>
      </c>
      <c r="AA354" s="1302">
        <f>448897+112957+35622</f>
        <v>597476</v>
      </c>
      <c r="AB354" s="1181">
        <v>0</v>
      </c>
      <c r="AC354" s="1302">
        <v>30258</v>
      </c>
      <c r="AD354" s="1181">
        <v>0</v>
      </c>
      <c r="AE354" s="1302">
        <v>0</v>
      </c>
      <c r="AF354" s="1311">
        <f t="shared" ref="AF354:AF405" si="19">SUM(AB354:AE354)</f>
        <v>30258</v>
      </c>
      <c r="AG354" s="1322">
        <v>50358</v>
      </c>
    </row>
    <row r="355" spans="1:33">
      <c r="A355" s="134">
        <f t="shared" si="18"/>
        <v>2021.1</v>
      </c>
      <c r="B355" s="611">
        <v>3067193</v>
      </c>
      <c r="C355" s="1291">
        <v>12177</v>
      </c>
      <c r="D355" s="1291">
        <v>0</v>
      </c>
      <c r="E355" s="334">
        <v>0</v>
      </c>
      <c r="F355" s="1181">
        <v>613355</v>
      </c>
      <c r="G355" s="1291">
        <v>5373</v>
      </c>
      <c r="H355" s="1291">
        <v>0</v>
      </c>
      <c r="I355" s="180">
        <v>0</v>
      </c>
      <c r="J355" s="1181">
        <v>2299797</v>
      </c>
      <c r="K355" s="1291">
        <v>6267</v>
      </c>
      <c r="L355" s="1291">
        <v>0</v>
      </c>
      <c r="M355" s="180">
        <v>0</v>
      </c>
      <c r="N355" s="1181">
        <v>14987</v>
      </c>
      <c r="O355" s="1291">
        <v>0</v>
      </c>
      <c r="P355" s="1291">
        <v>0</v>
      </c>
      <c r="Q355" s="180">
        <v>0</v>
      </c>
      <c r="R355" s="334">
        <v>3327002</v>
      </c>
      <c r="S355" s="1291">
        <v>153150</v>
      </c>
      <c r="T355" s="1291">
        <v>30</v>
      </c>
      <c r="U355" s="180">
        <v>664</v>
      </c>
      <c r="V355" s="334">
        <v>62688</v>
      </c>
      <c r="W355" s="1302">
        <v>334282</v>
      </c>
      <c r="X355" s="1181">
        <v>0</v>
      </c>
      <c r="Y355" s="1302">
        <f>66215+7813</f>
        <v>74028</v>
      </c>
      <c r="Z355" s="1311">
        <f t="shared" si="17"/>
        <v>470998</v>
      </c>
      <c r="AA355" s="1302">
        <f>433790+66215+7813</f>
        <v>507818</v>
      </c>
      <c r="AB355" s="1181">
        <v>0</v>
      </c>
      <c r="AC355" s="1302">
        <v>12500</v>
      </c>
      <c r="AD355" s="1181">
        <v>0</v>
      </c>
      <c r="AE355" s="1302">
        <v>996</v>
      </c>
      <c r="AF355" s="1311">
        <f t="shared" si="19"/>
        <v>13496</v>
      </c>
      <c r="AG355" s="1322">
        <f>12500+996</f>
        <v>13496</v>
      </c>
    </row>
    <row r="356" spans="1:33">
      <c r="A356" s="134">
        <f t="shared" si="18"/>
        <v>2021.11</v>
      </c>
      <c r="B356" s="611">
        <v>2515583</v>
      </c>
      <c r="C356" s="1291">
        <v>20615</v>
      </c>
      <c r="D356" s="1291">
        <v>0</v>
      </c>
      <c r="E356" s="334">
        <v>0</v>
      </c>
      <c r="F356" s="1181">
        <v>504598</v>
      </c>
      <c r="G356" s="1291">
        <v>9275</v>
      </c>
      <c r="H356" s="1291">
        <v>0</v>
      </c>
      <c r="I356" s="180">
        <v>0</v>
      </c>
      <c r="J356" s="1181">
        <v>1837077</v>
      </c>
      <c r="K356" s="1291">
        <v>10326</v>
      </c>
      <c r="L356" s="1291">
        <v>0</v>
      </c>
      <c r="M356" s="180">
        <v>0</v>
      </c>
      <c r="N356" s="1181">
        <v>14855</v>
      </c>
      <c r="O356" s="1291">
        <v>0</v>
      </c>
      <c r="P356" s="1291">
        <v>0</v>
      </c>
      <c r="Q356" s="180">
        <v>0</v>
      </c>
      <c r="R356" s="334">
        <v>2909133</v>
      </c>
      <c r="S356" s="1291">
        <v>147237</v>
      </c>
      <c r="T356" s="1291">
        <v>0</v>
      </c>
      <c r="U356" s="180">
        <v>714</v>
      </c>
      <c r="V356" s="334">
        <v>75489</v>
      </c>
      <c r="W356" s="1302">
        <v>374777</v>
      </c>
      <c r="X356" s="1181">
        <v>0</v>
      </c>
      <c r="Y356" s="1302">
        <v>52987</v>
      </c>
      <c r="Z356" s="1311">
        <f>SUM(V356:Y356)</f>
        <v>503253</v>
      </c>
      <c r="AA356" s="1302">
        <f>460266+52987</f>
        <v>513253</v>
      </c>
      <c r="AB356" s="1181">
        <v>0</v>
      </c>
      <c r="AC356" s="1302">
        <v>6014</v>
      </c>
      <c r="AD356" s="1181">
        <v>0</v>
      </c>
      <c r="AE356" s="1302">
        <v>0</v>
      </c>
      <c r="AF356" s="1311">
        <f t="shared" si="19"/>
        <v>6014</v>
      </c>
      <c r="AG356" s="1322">
        <v>6014</v>
      </c>
    </row>
    <row r="357" spans="1:33">
      <c r="A357" s="134">
        <f t="shared" si="18"/>
        <v>2021.12</v>
      </c>
      <c r="B357" s="611">
        <v>2516638</v>
      </c>
      <c r="C357" s="1291">
        <v>42405</v>
      </c>
      <c r="D357" s="1291">
        <v>0</v>
      </c>
      <c r="E357" s="334">
        <v>0</v>
      </c>
      <c r="F357" s="1181">
        <v>503685</v>
      </c>
      <c r="G357" s="1291">
        <v>19023</v>
      </c>
      <c r="H357" s="1291">
        <v>0</v>
      </c>
      <c r="I357" s="180">
        <v>0</v>
      </c>
      <c r="J357" s="1181">
        <v>1860880</v>
      </c>
      <c r="K357" s="1291">
        <v>19943</v>
      </c>
      <c r="L357" s="1291">
        <v>0</v>
      </c>
      <c r="M357" s="180">
        <v>0</v>
      </c>
      <c r="N357" s="1181">
        <v>14528</v>
      </c>
      <c r="O357" s="1291">
        <v>0</v>
      </c>
      <c r="P357" s="1291">
        <v>0</v>
      </c>
      <c r="Q357" s="180">
        <v>0</v>
      </c>
      <c r="R357" s="334">
        <v>2950093</v>
      </c>
      <c r="S357" s="1291">
        <v>119990</v>
      </c>
      <c r="T357" s="1291">
        <v>20</v>
      </c>
      <c r="U357" s="180">
        <v>0</v>
      </c>
      <c r="V357" s="334">
        <v>45507</v>
      </c>
      <c r="W357" s="1302">
        <v>302237</v>
      </c>
      <c r="X357" s="1181">
        <v>11050</v>
      </c>
      <c r="Y357" s="1302">
        <v>52824</v>
      </c>
      <c r="Z357" s="1311">
        <f>SUM(V357:Y357)</f>
        <v>411618</v>
      </c>
      <c r="AA357" s="1302">
        <f>347744+62450+1424</f>
        <v>411618</v>
      </c>
      <c r="AB357" s="1181">
        <v>0</v>
      </c>
      <c r="AC357" s="1302">
        <v>9076</v>
      </c>
      <c r="AD357" s="1181">
        <v>0</v>
      </c>
      <c r="AE357" s="1302">
        <v>0</v>
      </c>
      <c r="AF357" s="1311">
        <f t="shared" si="19"/>
        <v>9076</v>
      </c>
      <c r="AG357" s="1322">
        <v>15076</v>
      </c>
    </row>
    <row r="358" spans="1:33">
      <c r="A358" s="134">
        <f t="shared" si="18"/>
        <v>2022.01</v>
      </c>
      <c r="B358" s="611">
        <v>2161154</v>
      </c>
      <c r="C358" s="1291">
        <v>125809</v>
      </c>
      <c r="D358" s="1291">
        <v>0</v>
      </c>
      <c r="E358" s="334">
        <v>0</v>
      </c>
      <c r="F358" s="1181">
        <v>431346</v>
      </c>
      <c r="G358" s="1291">
        <v>54700</v>
      </c>
      <c r="H358" s="1291">
        <v>0</v>
      </c>
      <c r="I358" s="180">
        <v>0</v>
      </c>
      <c r="J358" s="1181">
        <v>1596426</v>
      </c>
      <c r="K358" s="1291">
        <v>57131</v>
      </c>
      <c r="L358" s="1291">
        <v>0</v>
      </c>
      <c r="M358" s="180">
        <v>0</v>
      </c>
      <c r="N358" s="1181">
        <v>14264</v>
      </c>
      <c r="O358" s="1291">
        <v>0</v>
      </c>
      <c r="P358" s="1291">
        <v>0</v>
      </c>
      <c r="Q358" s="180">
        <v>0</v>
      </c>
      <c r="R358" s="334">
        <v>2517871</v>
      </c>
      <c r="S358" s="1291">
        <v>165313</v>
      </c>
      <c r="T358" s="1291">
        <v>20</v>
      </c>
      <c r="U358" s="180">
        <v>209</v>
      </c>
      <c r="V358" s="334">
        <v>30880</v>
      </c>
      <c r="W358" s="1302">
        <v>188594</v>
      </c>
      <c r="X358" s="1181">
        <v>0</v>
      </c>
      <c r="Y358" s="1302">
        <v>69940</v>
      </c>
      <c r="Z358" s="1311">
        <f>SUM(V358:Y358)</f>
        <v>289414</v>
      </c>
      <c r="AA358" s="1302">
        <v>289414</v>
      </c>
      <c r="AB358" s="1181">
        <v>0</v>
      </c>
      <c r="AC358" s="1302">
        <v>26500</v>
      </c>
      <c r="AD358" s="1181">
        <v>0</v>
      </c>
      <c r="AE358" s="1302">
        <v>0</v>
      </c>
      <c r="AF358" s="1311">
        <f t="shared" si="19"/>
        <v>26500</v>
      </c>
      <c r="AG358" s="1322">
        <v>65034</v>
      </c>
    </row>
    <row r="359" spans="1:33">
      <c r="A359" s="134">
        <f t="shared" si="18"/>
        <v>2022.02</v>
      </c>
      <c r="B359" s="611">
        <v>2326122</v>
      </c>
      <c r="C359" s="1291">
        <v>135953</v>
      </c>
      <c r="D359" s="1291">
        <v>0</v>
      </c>
      <c r="E359" s="334">
        <v>0</v>
      </c>
      <c r="F359" s="1181">
        <v>462088</v>
      </c>
      <c r="G359" s="1291">
        <v>58713</v>
      </c>
      <c r="H359" s="1291">
        <v>0</v>
      </c>
      <c r="I359" s="180">
        <v>0</v>
      </c>
      <c r="J359" s="1181">
        <v>1725249</v>
      </c>
      <c r="K359" s="1291">
        <v>63997</v>
      </c>
      <c r="L359" s="1291">
        <v>0</v>
      </c>
      <c r="M359" s="180">
        <v>0</v>
      </c>
      <c r="N359" s="1181">
        <v>13204</v>
      </c>
      <c r="O359" s="1291">
        <v>0</v>
      </c>
      <c r="P359" s="1291">
        <v>0</v>
      </c>
      <c r="Q359" s="180">
        <v>0</v>
      </c>
      <c r="R359" s="334">
        <v>2643817</v>
      </c>
      <c r="S359" s="1291">
        <v>236135</v>
      </c>
      <c r="T359" s="1291">
        <v>100</v>
      </c>
      <c r="U359" s="180">
        <v>426</v>
      </c>
      <c r="V359" s="334">
        <v>2600</v>
      </c>
      <c r="W359" s="1302">
        <v>219215</v>
      </c>
      <c r="X359" s="1181">
        <v>0</v>
      </c>
      <c r="Y359" s="1302">
        <v>49398</v>
      </c>
      <c r="Z359" s="1311">
        <f t="shared" si="17"/>
        <v>271213</v>
      </c>
      <c r="AA359" s="1302">
        <v>271213</v>
      </c>
      <c r="AB359" s="1181">
        <v>0</v>
      </c>
      <c r="AC359" s="1302">
        <v>14700</v>
      </c>
      <c r="AD359" s="1181">
        <v>0</v>
      </c>
      <c r="AE359" s="1302">
        <v>0</v>
      </c>
      <c r="AF359" s="1311">
        <f t="shared" si="19"/>
        <v>14700</v>
      </c>
      <c r="AG359" s="1322">
        <v>14700</v>
      </c>
    </row>
    <row r="360" spans="1:33">
      <c r="A360" s="134">
        <f t="shared" si="18"/>
        <v>2022.03</v>
      </c>
      <c r="B360" s="611">
        <v>2692235</v>
      </c>
      <c r="C360" s="1291">
        <v>137589</v>
      </c>
      <c r="D360" s="1291">
        <v>0</v>
      </c>
      <c r="E360" s="334">
        <v>0</v>
      </c>
      <c r="F360" s="1181">
        <v>538260</v>
      </c>
      <c r="G360" s="1291">
        <v>61067</v>
      </c>
      <c r="H360" s="1291">
        <v>0</v>
      </c>
      <c r="I360" s="180">
        <v>0</v>
      </c>
      <c r="J360" s="1181">
        <v>1982395</v>
      </c>
      <c r="K360" s="1291">
        <v>53678</v>
      </c>
      <c r="L360" s="1291">
        <v>0</v>
      </c>
      <c r="M360" s="180">
        <v>83</v>
      </c>
      <c r="N360" s="1181">
        <v>14249</v>
      </c>
      <c r="O360" s="1291">
        <v>0</v>
      </c>
      <c r="P360" s="1291">
        <v>0</v>
      </c>
      <c r="Q360" s="180">
        <v>0</v>
      </c>
      <c r="R360" s="334">
        <v>2934752</v>
      </c>
      <c r="S360" s="1291">
        <v>400691</v>
      </c>
      <c r="T360" s="1291">
        <v>50</v>
      </c>
      <c r="U360" s="180">
        <v>474</v>
      </c>
      <c r="V360" s="334">
        <v>39178</v>
      </c>
      <c r="W360" s="1302">
        <v>323182</v>
      </c>
      <c r="X360" s="2509">
        <v>0</v>
      </c>
      <c r="Y360" s="334">
        <v>24122</v>
      </c>
      <c r="Z360" s="1311">
        <f>SUM(V360:Y360)</f>
        <v>386482</v>
      </c>
      <c r="AA360" s="1302">
        <v>389482</v>
      </c>
      <c r="AB360" s="1181">
        <v>0</v>
      </c>
      <c r="AC360" s="1302">
        <v>43000</v>
      </c>
      <c r="AD360" s="1181">
        <v>0</v>
      </c>
      <c r="AE360" s="1302">
        <v>0</v>
      </c>
      <c r="AF360" s="1311">
        <f t="shared" si="19"/>
        <v>43000</v>
      </c>
      <c r="AG360" s="1322">
        <v>59106</v>
      </c>
    </row>
    <row r="361" spans="1:33">
      <c r="A361" s="134">
        <f t="shared" si="18"/>
        <v>2022.04</v>
      </c>
      <c r="B361" s="611">
        <v>3586350</v>
      </c>
      <c r="C361" s="1291">
        <v>118864</v>
      </c>
      <c r="D361" s="1291">
        <v>0</v>
      </c>
      <c r="E361" s="334">
        <v>0</v>
      </c>
      <c r="F361" s="1181">
        <v>720141</v>
      </c>
      <c r="G361" s="1291">
        <v>53225</v>
      </c>
      <c r="H361" s="1291">
        <v>0</v>
      </c>
      <c r="I361" s="180">
        <v>0</v>
      </c>
      <c r="J361" s="1181">
        <v>2640310</v>
      </c>
      <c r="K361" s="1291">
        <v>53958</v>
      </c>
      <c r="L361" s="1291">
        <v>0</v>
      </c>
      <c r="M361" s="180">
        <v>0</v>
      </c>
      <c r="N361" s="1181">
        <v>14586</v>
      </c>
      <c r="O361" s="1291">
        <v>729</v>
      </c>
      <c r="P361" s="1291">
        <v>0</v>
      </c>
      <c r="Q361" s="180">
        <v>0</v>
      </c>
      <c r="R361" s="334">
        <v>3927838</v>
      </c>
      <c r="S361" s="1291">
        <v>429264</v>
      </c>
      <c r="T361" s="1291">
        <v>0</v>
      </c>
      <c r="U361" s="180">
        <v>565</v>
      </c>
      <c r="V361" s="334">
        <v>51344</v>
      </c>
      <c r="W361" s="1302">
        <v>352122</v>
      </c>
      <c r="X361" s="1181">
        <v>7415</v>
      </c>
      <c r="Y361" s="1302">
        <v>40200</v>
      </c>
      <c r="Z361" s="1311">
        <f t="shared" si="17"/>
        <v>451081</v>
      </c>
      <c r="AA361" s="1302">
        <f>403466+43415+4200</f>
        <v>451081</v>
      </c>
      <c r="AB361" s="1181">
        <v>0</v>
      </c>
      <c r="AC361" s="1302">
        <v>35000</v>
      </c>
      <c r="AD361" s="1181">
        <v>0</v>
      </c>
      <c r="AE361" s="1302">
        <v>0</v>
      </c>
      <c r="AF361" s="1311">
        <f t="shared" si="19"/>
        <v>35000</v>
      </c>
      <c r="AG361" s="1322">
        <v>66576</v>
      </c>
    </row>
    <row r="362" spans="1:33">
      <c r="A362" s="134">
        <f t="shared" si="18"/>
        <v>2022.05</v>
      </c>
      <c r="B362" s="611">
        <v>3788758</v>
      </c>
      <c r="C362" s="1291">
        <v>95686</v>
      </c>
      <c r="D362" s="1291">
        <v>0</v>
      </c>
      <c r="E362" s="334">
        <v>20267</v>
      </c>
      <c r="F362" s="1181">
        <v>731497</v>
      </c>
      <c r="G362" s="1291">
        <v>41630</v>
      </c>
      <c r="H362" s="1291">
        <v>0</v>
      </c>
      <c r="I362" s="180">
        <v>3313</v>
      </c>
      <c r="J362" s="1181">
        <v>2818386</v>
      </c>
      <c r="K362" s="1291">
        <v>44041</v>
      </c>
      <c r="L362" s="1291">
        <v>0</v>
      </c>
      <c r="M362" s="180">
        <v>14473</v>
      </c>
      <c r="N362" s="1181">
        <v>16519</v>
      </c>
      <c r="O362" s="1291">
        <v>712</v>
      </c>
      <c r="P362" s="1291">
        <v>0</v>
      </c>
      <c r="Q362" s="180">
        <v>0</v>
      </c>
      <c r="R362" s="334">
        <v>4142910</v>
      </c>
      <c r="S362" s="1291">
        <v>361566</v>
      </c>
      <c r="T362" s="1291">
        <v>70</v>
      </c>
      <c r="U362" s="180">
        <v>38900</v>
      </c>
      <c r="V362" s="334">
        <v>42900</v>
      </c>
      <c r="W362" s="1302">
        <v>428135</v>
      </c>
      <c r="X362" s="1181">
        <v>0</v>
      </c>
      <c r="Y362" s="1302">
        <v>39850</v>
      </c>
      <c r="Z362" s="1311">
        <f t="shared" si="17"/>
        <v>510885</v>
      </c>
      <c r="AA362" s="1302">
        <f>471035+39850+34507</f>
        <v>545392</v>
      </c>
      <c r="AB362" s="1181">
        <v>0</v>
      </c>
      <c r="AC362" s="1302">
        <v>77775</v>
      </c>
      <c r="AD362" s="1181">
        <v>0</v>
      </c>
      <c r="AE362" s="1302">
        <v>0</v>
      </c>
      <c r="AF362" s="1311">
        <f t="shared" si="19"/>
        <v>77775</v>
      </c>
      <c r="AG362" s="1322">
        <v>125905</v>
      </c>
    </row>
    <row r="363" spans="1:33">
      <c r="A363" s="134">
        <f t="shared" si="18"/>
        <v>2022.06</v>
      </c>
      <c r="B363" s="611">
        <v>3584654</v>
      </c>
      <c r="C363" s="1291">
        <v>102181</v>
      </c>
      <c r="D363" s="1291">
        <v>0</v>
      </c>
      <c r="E363" s="334">
        <v>19987</v>
      </c>
      <c r="F363" s="1181">
        <v>690370</v>
      </c>
      <c r="G363" s="1291">
        <v>47795</v>
      </c>
      <c r="H363" s="1291">
        <v>0</v>
      </c>
      <c r="I363" s="180">
        <v>3306</v>
      </c>
      <c r="J363" s="1181">
        <v>2654522</v>
      </c>
      <c r="K363" s="1291">
        <v>46442</v>
      </c>
      <c r="L363" s="1291">
        <v>0</v>
      </c>
      <c r="M363" s="180">
        <v>13660</v>
      </c>
      <c r="N363" s="1181">
        <v>17081</v>
      </c>
      <c r="O363" s="1291">
        <v>889</v>
      </c>
      <c r="P363" s="1291">
        <v>0</v>
      </c>
      <c r="Q363" s="180">
        <v>0</v>
      </c>
      <c r="R363" s="334">
        <v>3931703</v>
      </c>
      <c r="S363" s="1291">
        <v>408529</v>
      </c>
      <c r="T363" s="1291">
        <v>85</v>
      </c>
      <c r="U363" s="180">
        <v>20460</v>
      </c>
      <c r="V363" s="334">
        <v>57991</v>
      </c>
      <c r="W363" s="1302">
        <v>445303</v>
      </c>
      <c r="X363" s="1181">
        <v>3009</v>
      </c>
      <c r="Y363" s="1302">
        <v>45739</v>
      </c>
      <c r="Z363" s="1311">
        <f t="shared" si="17"/>
        <v>552042</v>
      </c>
      <c r="AA363" s="1302">
        <v>557424</v>
      </c>
      <c r="AB363" s="1181">
        <v>0</v>
      </c>
      <c r="AC363" s="1302">
        <v>51680</v>
      </c>
      <c r="AD363" s="1181">
        <v>0</v>
      </c>
      <c r="AE363" s="1302">
        <v>0</v>
      </c>
      <c r="AF363" s="1311">
        <f t="shared" si="19"/>
        <v>51680</v>
      </c>
      <c r="AG363" s="1322">
        <v>120883</v>
      </c>
    </row>
    <row r="364" spans="1:33">
      <c r="A364" s="134">
        <f t="shared" si="18"/>
        <v>2022.07</v>
      </c>
      <c r="B364" s="611">
        <v>3101789</v>
      </c>
      <c r="C364" s="1291">
        <v>91136</v>
      </c>
      <c r="D364" s="1291">
        <v>0</v>
      </c>
      <c r="E364" s="334">
        <v>27608</v>
      </c>
      <c r="F364" s="1181">
        <v>598844</v>
      </c>
      <c r="G364" s="1291">
        <v>39501</v>
      </c>
      <c r="H364" s="1291">
        <v>0</v>
      </c>
      <c r="I364" s="180">
        <v>4555</v>
      </c>
      <c r="J364" s="1181">
        <v>2287091</v>
      </c>
      <c r="K364" s="1291">
        <v>41691</v>
      </c>
      <c r="L364" s="1291">
        <v>0</v>
      </c>
      <c r="M364" s="180">
        <v>19349</v>
      </c>
      <c r="N364" s="1181">
        <v>16661</v>
      </c>
      <c r="O364" s="1291">
        <v>956</v>
      </c>
      <c r="P364" s="1291">
        <v>0</v>
      </c>
      <c r="Q364" s="180">
        <v>0</v>
      </c>
      <c r="R364" s="334">
        <v>3479766</v>
      </c>
      <c r="S364" s="1291">
        <v>377426</v>
      </c>
      <c r="T364" s="1291">
        <v>0</v>
      </c>
      <c r="U364" s="180">
        <v>27953</v>
      </c>
      <c r="V364" s="334">
        <v>8000</v>
      </c>
      <c r="W364" s="1302">
        <v>268718</v>
      </c>
      <c r="X364" s="1181">
        <v>0</v>
      </c>
      <c r="Y364" s="1302">
        <v>19309</v>
      </c>
      <c r="Z364" s="1311">
        <f t="shared" si="17"/>
        <v>296027</v>
      </c>
      <c r="AA364" s="1302">
        <v>298540</v>
      </c>
      <c r="AB364" s="1181">
        <v>0</v>
      </c>
      <c r="AC364" s="1302">
        <v>41300</v>
      </c>
      <c r="AD364" s="1181">
        <v>0</v>
      </c>
      <c r="AE364" s="1302">
        <v>0</v>
      </c>
      <c r="AF364" s="1311">
        <f t="shared" si="19"/>
        <v>41300</v>
      </c>
      <c r="AG364" s="1322">
        <v>91053</v>
      </c>
    </row>
    <row r="365" spans="1:33">
      <c r="A365" s="134">
        <f t="shared" si="18"/>
        <v>2022.08</v>
      </c>
      <c r="B365" s="611">
        <v>2731382</v>
      </c>
      <c r="C365" s="1291">
        <v>46028</v>
      </c>
      <c r="D365" s="1291">
        <v>0</v>
      </c>
      <c r="E365" s="334">
        <v>21962</v>
      </c>
      <c r="F365" s="1181">
        <v>527782</v>
      </c>
      <c r="G365" s="1291">
        <v>20246</v>
      </c>
      <c r="H365" s="1291">
        <v>0</v>
      </c>
      <c r="I365" s="180">
        <v>3721</v>
      </c>
      <c r="J365" s="1181">
        <v>2013223</v>
      </c>
      <c r="K365" s="1291">
        <v>23209</v>
      </c>
      <c r="L365" s="1291">
        <v>0</v>
      </c>
      <c r="M365" s="180">
        <v>15726</v>
      </c>
      <c r="N365" s="1181">
        <v>20169</v>
      </c>
      <c r="O365" s="1291">
        <v>861</v>
      </c>
      <c r="P365" s="1291">
        <v>0</v>
      </c>
      <c r="Q365" s="180">
        <v>0</v>
      </c>
      <c r="R365" s="334">
        <v>3146980</v>
      </c>
      <c r="S365" s="1291">
        <v>312395</v>
      </c>
      <c r="T365" s="1291">
        <v>63</v>
      </c>
      <c r="U365" s="180">
        <v>22708</v>
      </c>
      <c r="V365" s="334">
        <v>59536</v>
      </c>
      <c r="W365" s="1302">
        <v>387226</v>
      </c>
      <c r="X365" s="1181">
        <f>3918+1982</f>
        <v>5900</v>
      </c>
      <c r="Y365" s="1302">
        <f>12650+8000</f>
        <v>20650</v>
      </c>
      <c r="Z365" s="1311">
        <f t="shared" si="17"/>
        <v>473312</v>
      </c>
      <c r="AA365" s="1302">
        <f>450950+16568+9982</f>
        <v>477500</v>
      </c>
      <c r="AB365" s="1181">
        <v>0</v>
      </c>
      <c r="AC365" s="1302">
        <v>18000</v>
      </c>
      <c r="AD365" s="1181">
        <v>0</v>
      </c>
      <c r="AE365" s="1302">
        <v>0</v>
      </c>
      <c r="AF365" s="1311">
        <f t="shared" si="19"/>
        <v>18000</v>
      </c>
      <c r="AG365" s="1322">
        <v>65729</v>
      </c>
    </row>
    <row r="366" spans="1:33">
      <c r="A366" s="134">
        <f t="shared" si="18"/>
        <v>2022.09</v>
      </c>
      <c r="B366" s="611">
        <v>2658635</v>
      </c>
      <c r="C366" s="1291">
        <v>48437</v>
      </c>
      <c r="D366" s="1291">
        <v>0</v>
      </c>
      <c r="E366" s="334">
        <v>23237</v>
      </c>
      <c r="F366" s="1181">
        <v>516647</v>
      </c>
      <c r="G366" s="1291">
        <v>21822</v>
      </c>
      <c r="H366" s="1291">
        <v>0</v>
      </c>
      <c r="I366" s="180">
        <v>3732</v>
      </c>
      <c r="J366" s="1181">
        <v>1960253</v>
      </c>
      <c r="K366" s="1291">
        <v>24460</v>
      </c>
      <c r="L366" s="1291">
        <v>0</v>
      </c>
      <c r="M366" s="180">
        <v>16368</v>
      </c>
      <c r="N366" s="1181">
        <v>17781</v>
      </c>
      <c r="O366" s="1291">
        <v>556</v>
      </c>
      <c r="P366" s="1291">
        <v>0</v>
      </c>
      <c r="Q366" s="180">
        <v>0</v>
      </c>
      <c r="R366" s="334">
        <v>2873464</v>
      </c>
      <c r="S366" s="1291">
        <v>202234</v>
      </c>
      <c r="T366" s="1291">
        <v>0</v>
      </c>
      <c r="U366" s="180">
        <v>23919</v>
      </c>
      <c r="V366" s="334">
        <v>80879</v>
      </c>
      <c r="W366" s="1302">
        <v>210621</v>
      </c>
      <c r="X366" s="1181">
        <v>4000</v>
      </c>
      <c r="Y366" s="1302">
        <v>38610</v>
      </c>
      <c r="Z366" s="1311">
        <f t="shared" si="17"/>
        <v>334110</v>
      </c>
      <c r="AA366" s="1302">
        <v>334110</v>
      </c>
      <c r="AB366" s="1181">
        <v>0</v>
      </c>
      <c r="AC366" s="1302">
        <v>8540</v>
      </c>
      <c r="AD366" s="1181">
        <v>0</v>
      </c>
      <c r="AE366" s="1302">
        <v>0</v>
      </c>
      <c r="AF366" s="1311">
        <f t="shared" si="19"/>
        <v>8540</v>
      </c>
      <c r="AG366" s="1322">
        <v>42290</v>
      </c>
    </row>
    <row r="367" spans="1:33">
      <c r="A367" s="134">
        <f t="shared" si="18"/>
        <v>2022.1</v>
      </c>
      <c r="B367" s="611">
        <v>2493611</v>
      </c>
      <c r="C367" s="1291">
        <v>33897</v>
      </c>
      <c r="D367" s="1291">
        <v>0</v>
      </c>
      <c r="E367" s="334">
        <v>10537</v>
      </c>
      <c r="F367" s="1181">
        <v>488740</v>
      </c>
      <c r="G367" s="1291">
        <v>14780</v>
      </c>
      <c r="H367" s="1291">
        <v>0</v>
      </c>
      <c r="I367" s="180">
        <v>1686</v>
      </c>
      <c r="J367" s="1181">
        <v>1843616</v>
      </c>
      <c r="K367" s="1291">
        <v>17206</v>
      </c>
      <c r="L367" s="1291">
        <v>0</v>
      </c>
      <c r="M367" s="180">
        <v>7870</v>
      </c>
      <c r="N367" s="1181">
        <v>16334</v>
      </c>
      <c r="O367" s="1291">
        <v>400</v>
      </c>
      <c r="P367" s="1291">
        <v>0</v>
      </c>
      <c r="Q367" s="180">
        <v>0</v>
      </c>
      <c r="R367" s="334">
        <v>2916139</v>
      </c>
      <c r="S367" s="1291">
        <v>150518</v>
      </c>
      <c r="T367" s="1291">
        <v>78</v>
      </c>
      <c r="U367" s="180">
        <v>11327</v>
      </c>
      <c r="V367" s="334">
        <v>55990</v>
      </c>
      <c r="W367" s="1302">
        <v>168146</v>
      </c>
      <c r="X367" s="1181">
        <v>0</v>
      </c>
      <c r="Y367" s="1302">
        <v>6000</v>
      </c>
      <c r="Z367" s="1311">
        <f t="shared" si="17"/>
        <v>230136</v>
      </c>
      <c r="AA367" s="1302">
        <v>230136</v>
      </c>
      <c r="AB367" s="1181">
        <v>0</v>
      </c>
      <c r="AC367" s="1302">
        <v>0</v>
      </c>
      <c r="AD367" s="1181">
        <v>0</v>
      </c>
      <c r="AE367" s="1302">
        <v>0</v>
      </c>
      <c r="AF367" s="1311">
        <f t="shared" si="19"/>
        <v>0</v>
      </c>
      <c r="AG367" s="1322">
        <v>15000</v>
      </c>
    </row>
    <row r="368" spans="1:33">
      <c r="A368" s="134">
        <f t="shared" si="18"/>
        <v>2022.11</v>
      </c>
      <c r="B368" s="611">
        <v>2900448</v>
      </c>
      <c r="C368" s="1291">
        <v>15626</v>
      </c>
      <c r="D368" s="1291">
        <v>0</v>
      </c>
      <c r="E368" s="334">
        <v>2374</v>
      </c>
      <c r="F368" s="1181">
        <v>569045</v>
      </c>
      <c r="G368" s="1291">
        <v>7015</v>
      </c>
      <c r="H368" s="1291">
        <v>0</v>
      </c>
      <c r="I368" s="180">
        <v>311</v>
      </c>
      <c r="J368" s="1181">
        <v>2141567</v>
      </c>
      <c r="K368" s="1291">
        <v>8724</v>
      </c>
      <c r="L368" s="1291">
        <v>0</v>
      </c>
      <c r="M368" s="180">
        <v>1613</v>
      </c>
      <c r="N368" s="1181">
        <v>16738</v>
      </c>
      <c r="O368" s="1291">
        <v>324</v>
      </c>
      <c r="P368" s="1291">
        <v>0</v>
      </c>
      <c r="Q368" s="180">
        <v>0</v>
      </c>
      <c r="R368" s="334">
        <v>3323050</v>
      </c>
      <c r="S368" s="1291">
        <v>150460</v>
      </c>
      <c r="T368" s="1291">
        <v>0</v>
      </c>
      <c r="U368" s="180">
        <v>2897</v>
      </c>
      <c r="V368" s="334">
        <v>52478</v>
      </c>
      <c r="W368" s="1302">
        <v>197658</v>
      </c>
      <c r="X368" s="1181">
        <v>0</v>
      </c>
      <c r="Y368" s="1302">
        <f>24350+17633</f>
        <v>41983</v>
      </c>
      <c r="Z368" s="1311">
        <f t="shared" si="17"/>
        <v>292119</v>
      </c>
      <c r="AA368" s="1302">
        <f>265136+30045+17633</f>
        <v>312814</v>
      </c>
      <c r="AB368" s="1181">
        <v>0</v>
      </c>
      <c r="AC368" s="1302">
        <v>13940</v>
      </c>
      <c r="AD368" s="1181">
        <v>0</v>
      </c>
      <c r="AE368" s="1302">
        <v>0</v>
      </c>
      <c r="AF368" s="1311">
        <f t="shared" si="19"/>
        <v>13940</v>
      </c>
      <c r="AG368" s="1322">
        <v>43440</v>
      </c>
    </row>
    <row r="369" spans="1:33">
      <c r="A369" s="134">
        <f t="shared" si="18"/>
        <v>2022.12</v>
      </c>
      <c r="B369" s="611">
        <v>2276268</v>
      </c>
      <c r="C369" s="1291">
        <v>40448</v>
      </c>
      <c r="D369" s="1291">
        <v>0</v>
      </c>
      <c r="E369" s="334">
        <v>19</v>
      </c>
      <c r="F369" s="1181">
        <v>444965</v>
      </c>
      <c r="G369" s="1291">
        <v>17895</v>
      </c>
      <c r="H369" s="1291">
        <v>0</v>
      </c>
      <c r="I369" s="180">
        <v>0</v>
      </c>
      <c r="J369" s="1181">
        <v>1670781</v>
      </c>
      <c r="K369" s="1291">
        <v>20863</v>
      </c>
      <c r="L369" s="1291">
        <v>0</v>
      </c>
      <c r="M369" s="180">
        <v>0</v>
      </c>
      <c r="N369" s="1181">
        <v>15023</v>
      </c>
      <c r="O369" s="1291">
        <v>131</v>
      </c>
      <c r="P369" s="1291">
        <v>0</v>
      </c>
      <c r="Q369" s="180">
        <v>0</v>
      </c>
      <c r="R369" s="334">
        <v>2622045</v>
      </c>
      <c r="S369" s="1291">
        <v>189318</v>
      </c>
      <c r="T369" s="1291">
        <v>0</v>
      </c>
      <c r="U369" s="180">
        <v>623</v>
      </c>
      <c r="V369" s="334">
        <v>57970</v>
      </c>
      <c r="W369" s="1302">
        <v>268857</v>
      </c>
      <c r="X369" s="1181">
        <v>6418</v>
      </c>
      <c r="Y369" s="1302">
        <v>10305</v>
      </c>
      <c r="Z369" s="1311">
        <f t="shared" si="17"/>
        <v>343550</v>
      </c>
      <c r="AA369" s="1302">
        <v>343550</v>
      </c>
      <c r="AB369" s="1181">
        <v>0</v>
      </c>
      <c r="AC369" s="1302">
        <v>1765</v>
      </c>
      <c r="AD369" s="1181">
        <v>0</v>
      </c>
      <c r="AE369" s="1302">
        <v>1520</v>
      </c>
      <c r="AF369" s="1311">
        <f t="shared" si="19"/>
        <v>3285</v>
      </c>
      <c r="AG369" s="1322">
        <v>29400</v>
      </c>
    </row>
    <row r="370" spans="1:33">
      <c r="A370" s="134">
        <f t="shared" si="18"/>
        <v>2023.01</v>
      </c>
      <c r="B370" s="611">
        <v>1554443</v>
      </c>
      <c r="C370" s="1291">
        <v>136735</v>
      </c>
      <c r="D370" s="1291">
        <v>0</v>
      </c>
      <c r="E370" s="334">
        <v>0</v>
      </c>
      <c r="F370" s="1181">
        <v>306356</v>
      </c>
      <c r="G370" s="1291">
        <v>57799</v>
      </c>
      <c r="H370" s="1291">
        <v>0</v>
      </c>
      <c r="I370" s="180">
        <v>0</v>
      </c>
      <c r="J370" s="1181">
        <v>1162810</v>
      </c>
      <c r="K370" s="1291">
        <v>67364</v>
      </c>
      <c r="L370" s="1291">
        <v>0</v>
      </c>
      <c r="M370" s="180">
        <v>0</v>
      </c>
      <c r="N370" s="1181">
        <v>13159</v>
      </c>
      <c r="O370" s="1291">
        <v>439</v>
      </c>
      <c r="P370" s="1291">
        <v>0</v>
      </c>
      <c r="Q370" s="180">
        <v>0</v>
      </c>
      <c r="R370" s="334">
        <v>1885017</v>
      </c>
      <c r="S370" s="1291">
        <v>204410</v>
      </c>
      <c r="T370" s="1291">
        <v>50</v>
      </c>
      <c r="U370" s="180">
        <v>474</v>
      </c>
      <c r="V370" s="334">
        <v>13504</v>
      </c>
      <c r="W370" s="1302">
        <v>174915</v>
      </c>
      <c r="X370" s="1181">
        <v>0</v>
      </c>
      <c r="Y370" s="1302">
        <v>15575</v>
      </c>
      <c r="Z370" s="1311">
        <f>SUM(V370:Y370)</f>
        <v>203994</v>
      </c>
      <c r="AA370" s="1302">
        <v>239398</v>
      </c>
      <c r="AB370" s="1181">
        <v>0</v>
      </c>
      <c r="AC370" s="1302">
        <v>1250</v>
      </c>
      <c r="AD370" s="1181">
        <v>0</v>
      </c>
      <c r="AE370" s="1302">
        <v>0</v>
      </c>
      <c r="AF370" s="1311">
        <f t="shared" si="19"/>
        <v>1250</v>
      </c>
      <c r="AG370" s="1322">
        <v>1250</v>
      </c>
    </row>
    <row r="371" spans="1:33">
      <c r="A371" s="134">
        <f t="shared" si="18"/>
        <v>2023.02</v>
      </c>
      <c r="B371" s="611">
        <v>1307195</v>
      </c>
      <c r="C371" s="1291">
        <v>135054</v>
      </c>
      <c r="D371" s="1291">
        <v>0</v>
      </c>
      <c r="E371" s="334">
        <v>0</v>
      </c>
      <c r="F371" s="1181">
        <v>258162</v>
      </c>
      <c r="G371" s="1291">
        <v>56926</v>
      </c>
      <c r="H371" s="1291">
        <v>0</v>
      </c>
      <c r="I371" s="180">
        <v>0</v>
      </c>
      <c r="J371" s="1181">
        <v>969675</v>
      </c>
      <c r="K371" s="1291">
        <v>65796</v>
      </c>
      <c r="L371" s="1291">
        <v>0</v>
      </c>
      <c r="M371" s="180">
        <v>0</v>
      </c>
      <c r="N371" s="1181">
        <v>14011</v>
      </c>
      <c r="O371" s="1291">
        <v>353</v>
      </c>
      <c r="P371" s="1291">
        <v>0</v>
      </c>
      <c r="Q371" s="180">
        <v>0</v>
      </c>
      <c r="R371" s="334">
        <v>1554451</v>
      </c>
      <c r="S371" s="1291">
        <v>224359</v>
      </c>
      <c r="T371" s="1291">
        <v>275</v>
      </c>
      <c r="U371" s="180">
        <v>270</v>
      </c>
      <c r="V371" s="334">
        <v>84452</v>
      </c>
      <c r="W371" s="1302">
        <v>180618</v>
      </c>
      <c r="X371" s="1181">
        <v>190</v>
      </c>
      <c r="Y371" s="1302">
        <v>22708</v>
      </c>
      <c r="Z371" s="1311">
        <f t="shared" si="17"/>
        <v>287968</v>
      </c>
      <c r="AA371" s="1302">
        <v>293984</v>
      </c>
      <c r="AB371" s="1181">
        <v>0</v>
      </c>
      <c r="AC371" s="1302">
        <v>13000</v>
      </c>
      <c r="AD371" s="1181">
        <v>0</v>
      </c>
      <c r="AE371" s="1302">
        <v>1237</v>
      </c>
      <c r="AF371" s="1311">
        <f>SUM(AB371:AE371)</f>
        <v>14237</v>
      </c>
      <c r="AG371" s="1322">
        <v>20273</v>
      </c>
    </row>
    <row r="372" spans="1:33">
      <c r="A372" s="134">
        <f t="shared" si="18"/>
        <v>2023.03</v>
      </c>
      <c r="B372" s="611">
        <v>1996644</v>
      </c>
      <c r="C372" s="1291">
        <v>163486</v>
      </c>
      <c r="D372" s="1291">
        <v>0</v>
      </c>
      <c r="E372" s="334">
        <v>0</v>
      </c>
      <c r="F372" s="1181">
        <v>397586</v>
      </c>
      <c r="G372" s="1291">
        <v>68510</v>
      </c>
      <c r="H372" s="1291">
        <v>0</v>
      </c>
      <c r="I372" s="180">
        <v>0</v>
      </c>
      <c r="J372" s="1181">
        <v>1513491</v>
      </c>
      <c r="K372" s="1291">
        <v>79550</v>
      </c>
      <c r="L372" s="1291">
        <v>0</v>
      </c>
      <c r="M372" s="180">
        <v>0</v>
      </c>
      <c r="N372" s="1181">
        <v>19165</v>
      </c>
      <c r="O372" s="1291">
        <v>633</v>
      </c>
      <c r="P372" s="1291">
        <v>0</v>
      </c>
      <c r="Q372" s="180">
        <v>0</v>
      </c>
      <c r="R372" s="334">
        <v>2111736</v>
      </c>
      <c r="S372" s="1291">
        <v>443656</v>
      </c>
      <c r="T372" s="1291">
        <v>0</v>
      </c>
      <c r="U372" s="180">
        <v>412</v>
      </c>
      <c r="V372" s="334">
        <v>26000</v>
      </c>
      <c r="W372" s="1302">
        <v>148698</v>
      </c>
      <c r="X372" s="1181">
        <v>0</v>
      </c>
      <c r="Y372" s="1302">
        <v>22830</v>
      </c>
      <c r="Z372" s="1311">
        <f t="shared" si="17"/>
        <v>197528</v>
      </c>
      <c r="AA372" s="1302">
        <v>207528</v>
      </c>
      <c r="AB372" s="1181">
        <v>0</v>
      </c>
      <c r="AC372" s="1302">
        <v>36700</v>
      </c>
      <c r="AD372" s="1181">
        <v>0</v>
      </c>
      <c r="AE372" s="1302">
        <v>2485</v>
      </c>
      <c r="AF372" s="1311">
        <f t="shared" si="19"/>
        <v>39185</v>
      </c>
      <c r="AG372" s="1322">
        <v>39185</v>
      </c>
    </row>
    <row r="373" spans="1:33">
      <c r="A373" s="134">
        <f t="shared" si="18"/>
        <v>2023.04</v>
      </c>
      <c r="B373" s="611">
        <v>2685803</v>
      </c>
      <c r="C373" s="1291">
        <v>113461</v>
      </c>
      <c r="D373" s="1291">
        <v>0</v>
      </c>
      <c r="E373" s="334">
        <v>5938</v>
      </c>
      <c r="F373" s="1181">
        <v>517716</v>
      </c>
      <c r="G373" s="1291">
        <v>48170</v>
      </c>
      <c r="H373" s="1291">
        <v>0</v>
      </c>
      <c r="I373" s="180">
        <v>1009</v>
      </c>
      <c r="J373" s="1181">
        <v>2037643</v>
      </c>
      <c r="K373" s="1291">
        <v>54746</v>
      </c>
      <c r="L373" s="1291">
        <v>0</v>
      </c>
      <c r="M373" s="180">
        <v>4043</v>
      </c>
      <c r="N373" s="1181">
        <v>14557</v>
      </c>
      <c r="O373" s="1291">
        <v>412</v>
      </c>
      <c r="P373" s="1291">
        <v>0</v>
      </c>
      <c r="Q373" s="180">
        <v>0</v>
      </c>
      <c r="R373" s="334">
        <v>2878991</v>
      </c>
      <c r="S373" s="1291">
        <v>419324</v>
      </c>
      <c r="T373" s="1291">
        <v>250</v>
      </c>
      <c r="U373" s="180">
        <v>6339</v>
      </c>
      <c r="V373" s="334">
        <v>55708</v>
      </c>
      <c r="W373" s="1302">
        <v>279731</v>
      </c>
      <c r="X373" s="1181">
        <v>0</v>
      </c>
      <c r="Y373" s="1302">
        <v>62875</v>
      </c>
      <c r="Z373" s="1311">
        <f t="shared" si="17"/>
        <v>398314</v>
      </c>
      <c r="AA373" s="1302">
        <v>401314</v>
      </c>
      <c r="AB373" s="1181">
        <v>0</v>
      </c>
      <c r="AC373" s="1302">
        <v>33890</v>
      </c>
      <c r="AD373" s="1181">
        <v>0</v>
      </c>
      <c r="AE373" s="1302">
        <v>0</v>
      </c>
      <c r="AF373" s="1311">
        <f t="shared" si="19"/>
        <v>33890</v>
      </c>
      <c r="AG373" s="1322">
        <v>53890</v>
      </c>
    </row>
    <row r="374" spans="1:33">
      <c r="A374" s="134">
        <f t="shared" si="18"/>
        <v>2023.05</v>
      </c>
      <c r="B374" s="611">
        <v>3129930</v>
      </c>
      <c r="C374" s="1291">
        <v>111178</v>
      </c>
      <c r="D374" s="1291">
        <v>0</v>
      </c>
      <c r="E374" s="334">
        <v>9617</v>
      </c>
      <c r="F374" s="1181">
        <v>621853</v>
      </c>
      <c r="G374" s="1291">
        <v>47500</v>
      </c>
      <c r="H374" s="1291">
        <v>0</v>
      </c>
      <c r="I374" s="180">
        <v>1635</v>
      </c>
      <c r="J374" s="1181">
        <v>2392188</v>
      </c>
      <c r="K374" s="1291">
        <v>54058</v>
      </c>
      <c r="L374" s="1291">
        <v>0</v>
      </c>
      <c r="M374" s="180">
        <v>7010</v>
      </c>
      <c r="N374" s="1181">
        <v>15096</v>
      </c>
      <c r="O374" s="1291">
        <v>626</v>
      </c>
      <c r="P374" s="1291">
        <v>0</v>
      </c>
      <c r="Q374" s="180">
        <v>0</v>
      </c>
      <c r="R374" s="334">
        <v>3493949</v>
      </c>
      <c r="S374" s="1291">
        <v>419980</v>
      </c>
      <c r="T374" s="1291">
        <v>0</v>
      </c>
      <c r="U374" s="180">
        <v>9978</v>
      </c>
      <c r="V374" s="334">
        <v>121344</v>
      </c>
      <c r="W374" s="1302">
        <v>317288</v>
      </c>
      <c r="X374" s="1181">
        <v>1843</v>
      </c>
      <c r="Y374" s="1302">
        <v>50771</v>
      </c>
      <c r="Z374" s="1311">
        <f t="shared" si="17"/>
        <v>491246</v>
      </c>
      <c r="AA374" s="1302">
        <v>491246</v>
      </c>
      <c r="AB374" s="1181">
        <v>0</v>
      </c>
      <c r="AC374" s="1302">
        <v>13000</v>
      </c>
      <c r="AD374" s="1181">
        <v>0</v>
      </c>
      <c r="AE374" s="1302">
        <v>0</v>
      </c>
      <c r="AF374" s="1311">
        <f t="shared" si="19"/>
        <v>13000</v>
      </c>
      <c r="AG374" s="1322">
        <v>81520</v>
      </c>
    </row>
    <row r="375" spans="1:33">
      <c r="A375" s="134">
        <f t="shared" si="18"/>
        <v>2023.06</v>
      </c>
      <c r="B375" s="611">
        <v>2762246</v>
      </c>
      <c r="C375" s="1291">
        <v>68883</v>
      </c>
      <c r="D375" s="1291">
        <v>0</v>
      </c>
      <c r="E375" s="334">
        <v>23264</v>
      </c>
      <c r="F375" s="1181">
        <v>535715</v>
      </c>
      <c r="G375" s="1291">
        <v>29708</v>
      </c>
      <c r="H375" s="1291">
        <v>0</v>
      </c>
      <c r="I375" s="180">
        <v>3955</v>
      </c>
      <c r="J375" s="1181">
        <v>2036680</v>
      </c>
      <c r="K375" s="1291">
        <v>34532</v>
      </c>
      <c r="L375" s="1291">
        <v>0</v>
      </c>
      <c r="M375" s="180">
        <v>15956</v>
      </c>
      <c r="N375" s="1181">
        <v>76534</v>
      </c>
      <c r="O375" s="1291">
        <v>403</v>
      </c>
      <c r="P375" s="1291">
        <v>0</v>
      </c>
      <c r="Q375" s="180">
        <v>0</v>
      </c>
      <c r="R375" s="334">
        <v>3017678</v>
      </c>
      <c r="S375" s="1291">
        <v>348134</v>
      </c>
      <c r="T375" s="1291">
        <v>0</v>
      </c>
      <c r="U375" s="180">
        <v>23603</v>
      </c>
      <c r="V375" s="334">
        <v>73010</v>
      </c>
      <c r="W375" s="1302">
        <v>289358</v>
      </c>
      <c r="X375" s="1181">
        <v>0</v>
      </c>
      <c r="Y375" s="1302">
        <v>114128</v>
      </c>
      <c r="Z375" s="1311">
        <f t="shared" si="17"/>
        <v>476496</v>
      </c>
      <c r="AA375" s="1302">
        <v>476496</v>
      </c>
      <c r="AB375" s="1181">
        <v>0</v>
      </c>
      <c r="AC375" s="1302">
        <v>28651</v>
      </c>
      <c r="AD375" s="1181">
        <v>0</v>
      </c>
      <c r="AE375" s="1302">
        <v>0</v>
      </c>
      <c r="AF375" s="1311">
        <f t="shared" si="19"/>
        <v>28651</v>
      </c>
      <c r="AG375" s="1322">
        <v>86335</v>
      </c>
    </row>
    <row r="376" spans="1:33">
      <c r="A376" s="134">
        <f t="shared" si="18"/>
        <v>2023.07</v>
      </c>
      <c r="B376" s="611">
        <v>2430394</v>
      </c>
      <c r="C376" s="1291">
        <v>81927</v>
      </c>
      <c r="D376" s="1291">
        <v>0</v>
      </c>
      <c r="E376" s="334">
        <v>25393</v>
      </c>
      <c r="F376" s="1181">
        <v>476331</v>
      </c>
      <c r="G376" s="1291">
        <v>35670</v>
      </c>
      <c r="H376" s="1291">
        <v>0</v>
      </c>
      <c r="I376" s="180">
        <v>4209</v>
      </c>
      <c r="J376" s="1181">
        <v>1805587</v>
      </c>
      <c r="K376" s="1291">
        <v>41513</v>
      </c>
      <c r="L376" s="1291">
        <v>0</v>
      </c>
      <c r="M376" s="180">
        <v>17887</v>
      </c>
      <c r="N376" s="1181">
        <v>51925</v>
      </c>
      <c r="O376" s="1291">
        <v>443</v>
      </c>
      <c r="P376" s="1291">
        <v>0</v>
      </c>
      <c r="Q376" s="180">
        <v>0</v>
      </c>
      <c r="R376" s="334">
        <v>2551641</v>
      </c>
      <c r="S376" s="1291">
        <v>402141</v>
      </c>
      <c r="T376" s="1291">
        <v>0</v>
      </c>
      <c r="U376" s="180">
        <v>25995</v>
      </c>
      <c r="V376" s="334">
        <v>51040</v>
      </c>
      <c r="W376" s="1302">
        <v>189489</v>
      </c>
      <c r="X376" s="1181">
        <v>8267</v>
      </c>
      <c r="Y376" s="1302">
        <v>66370</v>
      </c>
      <c r="Z376" s="1311">
        <f t="shared" si="17"/>
        <v>315166</v>
      </c>
      <c r="AA376" s="1302">
        <v>315166</v>
      </c>
      <c r="AB376" s="1181">
        <v>0</v>
      </c>
      <c r="AC376" s="1302">
        <v>34450</v>
      </c>
      <c r="AD376" s="1181">
        <v>0</v>
      </c>
      <c r="AE376" s="1302">
        <v>0</v>
      </c>
      <c r="AF376" s="1311">
        <f t="shared" si="19"/>
        <v>34450</v>
      </c>
      <c r="AG376" s="1322">
        <v>80620</v>
      </c>
    </row>
    <row r="377" spans="1:33">
      <c r="A377" s="134">
        <f t="shared" si="18"/>
        <v>2023.08</v>
      </c>
      <c r="B377" s="611">
        <v>1735216</v>
      </c>
      <c r="C377" s="1291">
        <v>121084</v>
      </c>
      <c r="D377" s="1291">
        <v>0</v>
      </c>
      <c r="E377" s="334">
        <v>15856</v>
      </c>
      <c r="F377" s="1181">
        <v>344215</v>
      </c>
      <c r="G377" s="1291">
        <v>51946</v>
      </c>
      <c r="H377" s="1291">
        <v>0</v>
      </c>
      <c r="I377" s="180">
        <v>2569</v>
      </c>
      <c r="J377" s="1181">
        <v>1313553</v>
      </c>
      <c r="K377" s="1291">
        <v>59203</v>
      </c>
      <c r="L377" s="1291">
        <v>0</v>
      </c>
      <c r="M377" s="180">
        <v>11661</v>
      </c>
      <c r="N377" s="1181">
        <v>21872</v>
      </c>
      <c r="O377" s="1291">
        <v>934</v>
      </c>
      <c r="P377" s="1291">
        <v>0</v>
      </c>
      <c r="Q377" s="180">
        <v>0</v>
      </c>
      <c r="R377" s="334">
        <v>2078639</v>
      </c>
      <c r="S377" s="1291">
        <v>405950</v>
      </c>
      <c r="T377" s="1291">
        <v>100</v>
      </c>
      <c r="U377" s="180">
        <v>16894</v>
      </c>
      <c r="V377" s="334">
        <v>37900</v>
      </c>
      <c r="W377" s="1302">
        <v>149649</v>
      </c>
      <c r="X377" s="1181">
        <v>0</v>
      </c>
      <c r="Y377" s="1302">
        <v>47053</v>
      </c>
      <c r="Z377" s="1311">
        <f t="shared" si="17"/>
        <v>234602</v>
      </c>
      <c r="AA377" s="1302">
        <v>239602</v>
      </c>
      <c r="AB377" s="1181">
        <v>0</v>
      </c>
      <c r="AC377" s="1302">
        <v>22700</v>
      </c>
      <c r="AD377" s="1181">
        <v>0</v>
      </c>
      <c r="AE377" s="1302">
        <v>0</v>
      </c>
      <c r="AF377" s="1311">
        <f t="shared" si="19"/>
        <v>22700</v>
      </c>
      <c r="AG377" s="1322">
        <v>81050</v>
      </c>
    </row>
    <row r="378" spans="1:33">
      <c r="A378" s="134">
        <f t="shared" si="18"/>
        <v>2023.09</v>
      </c>
      <c r="B378" s="611">
        <v>1760242</v>
      </c>
      <c r="C378" s="1291">
        <v>68237</v>
      </c>
      <c r="D378" s="1291">
        <v>0</v>
      </c>
      <c r="E378" s="334">
        <v>19085</v>
      </c>
      <c r="F378" s="1181">
        <v>348401</v>
      </c>
      <c r="G378" s="1291">
        <v>29518</v>
      </c>
      <c r="H378" s="1291">
        <v>0</v>
      </c>
      <c r="I378" s="180">
        <v>3092</v>
      </c>
      <c r="J378" s="1181">
        <v>1333715</v>
      </c>
      <c r="K378" s="1291">
        <v>35487</v>
      </c>
      <c r="L378" s="1291">
        <v>0</v>
      </c>
      <c r="M378" s="180">
        <v>13639</v>
      </c>
      <c r="N378" s="1181">
        <v>19853</v>
      </c>
      <c r="O378" s="1291">
        <v>819</v>
      </c>
      <c r="P378" s="1291">
        <v>0</v>
      </c>
      <c r="Q378" s="180">
        <v>0</v>
      </c>
      <c r="R378" s="334">
        <v>1907363</v>
      </c>
      <c r="S378" s="1291">
        <v>353168</v>
      </c>
      <c r="T378" s="1291">
        <v>0</v>
      </c>
      <c r="U378" s="180">
        <v>20149</v>
      </c>
      <c r="V378" s="334">
        <v>34000</v>
      </c>
      <c r="W378" s="1302">
        <v>199987</v>
      </c>
      <c r="X378" s="1181">
        <v>0</v>
      </c>
      <c r="Y378" s="1302">
        <v>109343</v>
      </c>
      <c r="Z378" s="1311">
        <f t="shared" si="17"/>
        <v>343330</v>
      </c>
      <c r="AA378" s="1302">
        <v>343330</v>
      </c>
      <c r="AB378" s="1181">
        <v>0</v>
      </c>
      <c r="AC378" s="1302">
        <v>28961</v>
      </c>
      <c r="AD378" s="1181">
        <v>0</v>
      </c>
      <c r="AE378" s="1302">
        <v>0</v>
      </c>
      <c r="AF378" s="1311">
        <f t="shared" si="19"/>
        <v>28961</v>
      </c>
      <c r="AG378" s="1322">
        <v>70461</v>
      </c>
    </row>
    <row r="379" spans="1:33">
      <c r="A379" s="134">
        <f t="shared" si="18"/>
        <v>2023.1</v>
      </c>
      <c r="B379" s="611">
        <v>1669953</v>
      </c>
      <c r="C379" s="1291">
        <v>67365</v>
      </c>
      <c r="D379" s="1291">
        <v>0</v>
      </c>
      <c r="E379" s="334">
        <v>26428</v>
      </c>
      <c r="F379" s="1181">
        <v>331552</v>
      </c>
      <c r="G379" s="1291">
        <v>29562</v>
      </c>
      <c r="H379" s="1291">
        <v>0</v>
      </c>
      <c r="I379" s="180">
        <v>4281</v>
      </c>
      <c r="J379" s="1181">
        <v>1270218</v>
      </c>
      <c r="K379" s="1291">
        <v>33596</v>
      </c>
      <c r="L379" s="1291">
        <v>0</v>
      </c>
      <c r="M379" s="180">
        <v>18451</v>
      </c>
      <c r="N379" s="1181">
        <v>19340</v>
      </c>
      <c r="O379" s="1291">
        <v>869</v>
      </c>
      <c r="P379" s="1291">
        <v>0</v>
      </c>
      <c r="Q379" s="180">
        <v>0</v>
      </c>
      <c r="R379" s="334">
        <v>1860826</v>
      </c>
      <c r="S379" s="1291">
        <v>256492</v>
      </c>
      <c r="T379" s="1291">
        <v>150</v>
      </c>
      <c r="U379" s="180">
        <v>27285</v>
      </c>
      <c r="V379" s="334">
        <v>25803</v>
      </c>
      <c r="W379" s="1302">
        <v>151318</v>
      </c>
      <c r="X379" s="1181">
        <v>4697</v>
      </c>
      <c r="Y379" s="1302">
        <v>88908</v>
      </c>
      <c r="Z379" s="1311">
        <f t="shared" si="17"/>
        <v>270726</v>
      </c>
      <c r="AA379" s="1302">
        <v>266029</v>
      </c>
      <c r="AB379" s="1181">
        <v>0</v>
      </c>
      <c r="AC379" s="1302">
        <v>14950</v>
      </c>
      <c r="AD379" s="1181">
        <v>0</v>
      </c>
      <c r="AE379" s="1302">
        <v>0</v>
      </c>
      <c r="AF379" s="1311">
        <f t="shared" si="19"/>
        <v>14950</v>
      </c>
      <c r="AG379" s="1322">
        <v>55273</v>
      </c>
    </row>
    <row r="380" spans="1:33">
      <c r="A380" s="134">
        <f t="shared" si="18"/>
        <v>2023.11</v>
      </c>
      <c r="B380" s="611">
        <v>1705181</v>
      </c>
      <c r="C380" s="1291">
        <v>11303</v>
      </c>
      <c r="D380" s="1291">
        <v>0</v>
      </c>
      <c r="E380" s="334">
        <v>6837</v>
      </c>
      <c r="F380" s="1181">
        <v>338852</v>
      </c>
      <c r="G380" s="1291">
        <v>4887</v>
      </c>
      <c r="H380" s="1291">
        <v>0</v>
      </c>
      <c r="I380" s="180">
        <v>1380</v>
      </c>
      <c r="J380" s="1181">
        <v>1284095</v>
      </c>
      <c r="K380" s="1291">
        <v>5322</v>
      </c>
      <c r="L380" s="1291">
        <v>0</v>
      </c>
      <c r="M380" s="180">
        <v>6296</v>
      </c>
      <c r="N380" s="1181">
        <v>17794</v>
      </c>
      <c r="O380" s="1291">
        <v>743</v>
      </c>
      <c r="P380" s="1291">
        <v>0</v>
      </c>
      <c r="Q380" s="180">
        <v>0</v>
      </c>
      <c r="R380" s="334">
        <v>1898983</v>
      </c>
      <c r="S380" s="1291">
        <v>231580</v>
      </c>
      <c r="T380" s="1291">
        <v>0</v>
      </c>
      <c r="U380" s="180">
        <v>7531</v>
      </c>
      <c r="V380" s="334">
        <v>34113</v>
      </c>
      <c r="W380" s="1302">
        <v>164196</v>
      </c>
      <c r="X380" s="1181">
        <v>10687</v>
      </c>
      <c r="Y380" s="1302">
        <v>43176</v>
      </c>
      <c r="Z380" s="1311">
        <f t="shared" si="17"/>
        <v>252172</v>
      </c>
      <c r="AA380" s="1302">
        <v>255872</v>
      </c>
      <c r="AB380" s="1181">
        <v>0</v>
      </c>
      <c r="AC380" s="1302">
        <v>21498</v>
      </c>
      <c r="AD380" s="1181">
        <v>0</v>
      </c>
      <c r="AE380" s="1302">
        <v>0</v>
      </c>
      <c r="AF380" s="1311">
        <f t="shared" si="19"/>
        <v>21498</v>
      </c>
      <c r="AG380" s="1322">
        <v>44358</v>
      </c>
    </row>
    <row r="381" spans="1:33">
      <c r="A381" s="134">
        <f t="shared" si="18"/>
        <v>2023.12</v>
      </c>
      <c r="B381" s="611">
        <v>1605023</v>
      </c>
      <c r="C381" s="1291">
        <v>51926</v>
      </c>
      <c r="D381" s="1291">
        <v>0</v>
      </c>
      <c r="E381" s="334">
        <v>0</v>
      </c>
      <c r="F381" s="1181">
        <v>319926</v>
      </c>
      <c r="G381" s="1291">
        <v>22447</v>
      </c>
      <c r="H381" s="1291">
        <v>0</v>
      </c>
      <c r="I381" s="180">
        <v>0</v>
      </c>
      <c r="J381" s="1181">
        <v>1199398</v>
      </c>
      <c r="K381" s="1291">
        <v>26535</v>
      </c>
      <c r="L381" s="1291">
        <v>0</v>
      </c>
      <c r="M381" s="180">
        <v>0</v>
      </c>
      <c r="N381" s="1181">
        <v>17537</v>
      </c>
      <c r="O381" s="1291">
        <v>481</v>
      </c>
      <c r="P381" s="1291">
        <v>0</v>
      </c>
      <c r="Q381" s="180">
        <v>0</v>
      </c>
      <c r="R381" s="334">
        <v>1901089</v>
      </c>
      <c r="S381" s="1291">
        <v>217242</v>
      </c>
      <c r="T381" s="1291">
        <v>300</v>
      </c>
      <c r="U381" s="180">
        <v>349</v>
      </c>
      <c r="V381" s="334">
        <v>105948</v>
      </c>
      <c r="W381" s="1302">
        <v>160005</v>
      </c>
      <c r="X381" s="1181">
        <v>7677</v>
      </c>
      <c r="Y381" s="1302">
        <v>49211</v>
      </c>
      <c r="Z381" s="1311">
        <f t="shared" si="17"/>
        <v>322841</v>
      </c>
      <c r="AA381" s="1302">
        <v>322841</v>
      </c>
      <c r="AB381" s="1181">
        <v>0</v>
      </c>
      <c r="AC381" s="1302">
        <v>5962</v>
      </c>
      <c r="AD381" s="1181">
        <v>0</v>
      </c>
      <c r="AE381" s="1302">
        <v>0</v>
      </c>
      <c r="AF381" s="1311">
        <f t="shared" si="19"/>
        <v>5962</v>
      </c>
      <c r="AG381" s="1322">
        <v>26382</v>
      </c>
    </row>
    <row r="382" spans="1:33">
      <c r="A382" s="134">
        <f t="shared" si="18"/>
        <v>2024.01</v>
      </c>
      <c r="B382" s="611">
        <v>1854879</v>
      </c>
      <c r="C382" s="1291">
        <v>151680</v>
      </c>
      <c r="D382" s="1291">
        <v>0</v>
      </c>
      <c r="E382" s="334">
        <v>0</v>
      </c>
      <c r="F382" s="1181">
        <v>368546</v>
      </c>
      <c r="G382" s="1291">
        <v>66015</v>
      </c>
      <c r="H382" s="1291">
        <v>0</v>
      </c>
      <c r="I382" s="180">
        <v>0</v>
      </c>
      <c r="J382" s="1181">
        <v>1412424</v>
      </c>
      <c r="K382" s="1291">
        <v>71945</v>
      </c>
      <c r="L382" s="1291">
        <v>0</v>
      </c>
      <c r="M382" s="180">
        <v>0</v>
      </c>
      <c r="N382" s="1181">
        <v>17011</v>
      </c>
      <c r="O382" s="1291">
        <v>742</v>
      </c>
      <c r="P382" s="1291">
        <v>0</v>
      </c>
      <c r="Q382" s="180">
        <v>0</v>
      </c>
      <c r="R382" s="334">
        <v>2130427</v>
      </c>
      <c r="S382" s="1291">
        <v>218598</v>
      </c>
      <c r="T382" s="1291">
        <v>0</v>
      </c>
      <c r="U382" s="180">
        <v>530</v>
      </c>
      <c r="V382" s="334">
        <v>36010</v>
      </c>
      <c r="W382" s="1302">
        <v>110701</v>
      </c>
      <c r="X382" s="1181">
        <v>0</v>
      </c>
      <c r="Y382" s="1302">
        <v>19313</v>
      </c>
      <c r="Z382" s="1311">
        <f t="shared" si="17"/>
        <v>166024</v>
      </c>
      <c r="AA382" s="1302">
        <v>190245</v>
      </c>
      <c r="AB382" s="1181">
        <v>0</v>
      </c>
      <c r="AC382" s="1302">
        <v>15500</v>
      </c>
      <c r="AD382" s="1181">
        <v>0</v>
      </c>
      <c r="AE382" s="1302">
        <v>0</v>
      </c>
      <c r="AF382" s="1311">
        <f t="shared" si="19"/>
        <v>15500</v>
      </c>
      <c r="AG382" s="1322">
        <v>25233</v>
      </c>
    </row>
    <row r="383" spans="1:33">
      <c r="A383" s="134">
        <f t="shared" si="18"/>
        <v>2024.02</v>
      </c>
      <c r="B383" s="611">
        <v>2153136</v>
      </c>
      <c r="C383" s="1291">
        <v>165855</v>
      </c>
      <c r="D383" s="1291">
        <v>0</v>
      </c>
      <c r="E383" s="334">
        <v>0</v>
      </c>
      <c r="F383" s="1181">
        <v>431540</v>
      </c>
      <c r="G383" s="1291">
        <v>72492</v>
      </c>
      <c r="H383" s="1291">
        <v>0</v>
      </c>
      <c r="I383" s="180">
        <v>0</v>
      </c>
      <c r="J383" s="1181">
        <v>1622819</v>
      </c>
      <c r="K383" s="1291">
        <v>78036</v>
      </c>
      <c r="L383" s="1291">
        <v>0</v>
      </c>
      <c r="M383" s="180">
        <v>0</v>
      </c>
      <c r="N383" s="1181">
        <v>15437</v>
      </c>
      <c r="O383" s="1291">
        <v>372</v>
      </c>
      <c r="P383" s="1291">
        <v>0</v>
      </c>
      <c r="Q383" s="180">
        <v>0</v>
      </c>
      <c r="R383" s="334">
        <v>2362125</v>
      </c>
      <c r="S383" s="1291">
        <v>286602</v>
      </c>
      <c r="T383" s="1291">
        <v>0</v>
      </c>
      <c r="U383" s="180">
        <v>356</v>
      </c>
      <c r="V383" s="334">
        <v>90924</v>
      </c>
      <c r="W383" s="1302">
        <v>186798</v>
      </c>
      <c r="X383" s="1181">
        <v>5170</v>
      </c>
      <c r="Y383" s="1302">
        <v>80386</v>
      </c>
      <c r="Z383" s="1311">
        <f t="shared" si="17"/>
        <v>363278</v>
      </c>
      <c r="AA383" s="1302">
        <v>363278</v>
      </c>
      <c r="AB383" s="1181">
        <v>0</v>
      </c>
      <c r="AC383" s="1302">
        <v>21842</v>
      </c>
      <c r="AD383" s="1181">
        <v>0</v>
      </c>
      <c r="AE383" s="1302">
        <v>0</v>
      </c>
      <c r="AF383" s="1311">
        <f t="shared" si="19"/>
        <v>21842</v>
      </c>
      <c r="AG383" s="1322">
        <v>21842</v>
      </c>
    </row>
    <row r="384" spans="1:33">
      <c r="A384" s="134">
        <f t="shared" si="18"/>
        <v>2024.03</v>
      </c>
      <c r="B384" s="611">
        <v>2671223</v>
      </c>
      <c r="C384" s="1291">
        <v>112953</v>
      </c>
      <c r="D384" s="1291">
        <v>0</v>
      </c>
      <c r="E384" s="334">
        <v>0</v>
      </c>
      <c r="F384" s="1181">
        <v>535806</v>
      </c>
      <c r="G384" s="1291">
        <v>49306</v>
      </c>
      <c r="H384" s="1291">
        <v>0</v>
      </c>
      <c r="I384" s="180">
        <v>0</v>
      </c>
      <c r="J384" s="1181">
        <v>2016723</v>
      </c>
      <c r="K384" s="1291">
        <v>55336</v>
      </c>
      <c r="L384" s="1291">
        <v>0</v>
      </c>
      <c r="M384" s="180">
        <v>0</v>
      </c>
      <c r="N384" s="1181">
        <v>13989</v>
      </c>
      <c r="O384" s="1291">
        <v>497</v>
      </c>
      <c r="P384" s="1291">
        <v>0</v>
      </c>
      <c r="Q384" s="180">
        <v>0</v>
      </c>
      <c r="R384" s="334">
        <v>2987487</v>
      </c>
      <c r="S384" s="1291">
        <v>374493</v>
      </c>
      <c r="T384" s="1291">
        <v>0</v>
      </c>
      <c r="U384" s="180">
        <v>382</v>
      </c>
      <c r="V384" s="334">
        <v>95112</v>
      </c>
      <c r="W384" s="1302">
        <v>203055</v>
      </c>
      <c r="X384" s="1181">
        <v>884</v>
      </c>
      <c r="Y384" s="1302">
        <v>17204</v>
      </c>
      <c r="Z384" s="1311">
        <f t="shared" si="17"/>
        <v>316255</v>
      </c>
      <c r="AA384" s="1302">
        <v>316255</v>
      </c>
      <c r="AB384" s="1181">
        <v>0</v>
      </c>
      <c r="AC384" s="1302">
        <v>37000</v>
      </c>
      <c r="AD384" s="1181">
        <v>0</v>
      </c>
      <c r="AE384" s="1302">
        <v>0</v>
      </c>
      <c r="AF384" s="1311">
        <f t="shared" si="19"/>
        <v>37000</v>
      </c>
      <c r="AG384" s="1322">
        <v>72655</v>
      </c>
    </row>
    <row r="385" spans="1:33">
      <c r="A385" s="134">
        <f t="shared" si="18"/>
        <v>2024.04</v>
      </c>
      <c r="B385" s="611" t="e">
        <v>#N/A</v>
      </c>
      <c r="C385" s="1291" t="e">
        <v>#N/A</v>
      </c>
      <c r="D385" s="1291" t="e">
        <v>#N/A</v>
      </c>
      <c r="E385" s="334" t="e">
        <v>#N/A</v>
      </c>
      <c r="F385" s="1181" t="e">
        <v>#N/A</v>
      </c>
      <c r="G385" s="1291" t="e">
        <v>#N/A</v>
      </c>
      <c r="H385" s="1291" t="e">
        <v>#N/A</v>
      </c>
      <c r="I385" s="180" t="e">
        <v>#N/A</v>
      </c>
      <c r="J385" s="1181" t="e">
        <v>#N/A</v>
      </c>
      <c r="K385" s="1291" t="e">
        <v>#N/A</v>
      </c>
      <c r="L385" s="1291" t="e">
        <v>#N/A</v>
      </c>
      <c r="M385" s="180" t="e">
        <v>#N/A</v>
      </c>
      <c r="N385" s="1181" t="e">
        <v>#N/A</v>
      </c>
      <c r="O385" s="1291" t="e">
        <v>#N/A</v>
      </c>
      <c r="P385" s="1291" t="e">
        <v>#N/A</v>
      </c>
      <c r="Q385" s="180" t="e">
        <v>#N/A</v>
      </c>
      <c r="R385" s="334" t="e">
        <v>#N/A</v>
      </c>
      <c r="S385" s="1291" t="e">
        <v>#N/A</v>
      </c>
      <c r="T385" s="1291" t="e">
        <v>#N/A</v>
      </c>
      <c r="U385" s="180" t="e">
        <v>#N/A</v>
      </c>
      <c r="V385" s="334" t="e">
        <v>#N/A</v>
      </c>
      <c r="W385" s="1302" t="e">
        <v>#N/A</v>
      </c>
      <c r="X385" s="1181" t="e">
        <v>#N/A</v>
      </c>
      <c r="Y385" s="1302" t="e">
        <v>#N/A</v>
      </c>
      <c r="Z385" s="1311" t="e">
        <f t="shared" si="17"/>
        <v>#N/A</v>
      </c>
      <c r="AA385" s="1302" t="e">
        <v>#N/A</v>
      </c>
      <c r="AB385" s="1181" t="e">
        <v>#N/A</v>
      </c>
      <c r="AC385" s="1302" t="e">
        <v>#N/A</v>
      </c>
      <c r="AD385" s="1181" t="e">
        <v>#N/A</v>
      </c>
      <c r="AE385" s="1302" t="e">
        <v>#N/A</v>
      </c>
      <c r="AF385" s="1311" t="e">
        <f t="shared" si="19"/>
        <v>#N/A</v>
      </c>
      <c r="AG385" s="1322" t="e">
        <v>#N/A</v>
      </c>
    </row>
    <row r="386" spans="1:33">
      <c r="A386" s="134">
        <f t="shared" si="18"/>
        <v>2024.05</v>
      </c>
      <c r="B386" s="611" t="e">
        <v>#N/A</v>
      </c>
      <c r="C386" s="1291" t="e">
        <v>#N/A</v>
      </c>
      <c r="D386" s="1291" t="e">
        <v>#N/A</v>
      </c>
      <c r="E386" s="334" t="e">
        <v>#N/A</v>
      </c>
      <c r="F386" s="1181" t="e">
        <v>#N/A</v>
      </c>
      <c r="G386" s="1291" t="e">
        <v>#N/A</v>
      </c>
      <c r="H386" s="1291" t="e">
        <v>#N/A</v>
      </c>
      <c r="I386" s="180" t="e">
        <v>#N/A</v>
      </c>
      <c r="J386" s="1181" t="e">
        <v>#N/A</v>
      </c>
      <c r="K386" s="1291" t="e">
        <v>#N/A</v>
      </c>
      <c r="L386" s="1291" t="e">
        <v>#N/A</v>
      </c>
      <c r="M386" s="180" t="e">
        <v>#N/A</v>
      </c>
      <c r="N386" s="1181" t="e">
        <v>#N/A</v>
      </c>
      <c r="O386" s="1291" t="e">
        <v>#N/A</v>
      </c>
      <c r="P386" s="1291" t="e">
        <v>#N/A</v>
      </c>
      <c r="Q386" s="180" t="e">
        <v>#N/A</v>
      </c>
      <c r="R386" s="334" t="e">
        <v>#N/A</v>
      </c>
      <c r="S386" s="1291" t="e">
        <v>#N/A</v>
      </c>
      <c r="T386" s="1291" t="e">
        <v>#N/A</v>
      </c>
      <c r="U386" s="180" t="e">
        <v>#N/A</v>
      </c>
      <c r="V386" s="334" t="e">
        <v>#N/A</v>
      </c>
      <c r="W386" s="1302" t="e">
        <v>#N/A</v>
      </c>
      <c r="X386" s="1181" t="e">
        <v>#N/A</v>
      </c>
      <c r="Y386" s="1302" t="e">
        <v>#N/A</v>
      </c>
      <c r="Z386" s="1311" t="e">
        <f t="shared" si="17"/>
        <v>#N/A</v>
      </c>
      <c r="AA386" s="1302" t="e">
        <v>#N/A</v>
      </c>
      <c r="AB386" s="1181" t="e">
        <v>#N/A</v>
      </c>
      <c r="AC386" s="1302" t="e">
        <v>#N/A</v>
      </c>
      <c r="AD386" s="1181" t="e">
        <v>#N/A</v>
      </c>
      <c r="AE386" s="1302" t="e">
        <v>#N/A</v>
      </c>
      <c r="AF386" s="1311" t="e">
        <f t="shared" si="19"/>
        <v>#N/A</v>
      </c>
      <c r="AG386" s="1322" t="e">
        <v>#N/A</v>
      </c>
    </row>
    <row r="387" spans="1:33">
      <c r="A387" s="134">
        <f t="shared" si="18"/>
        <v>2024.06</v>
      </c>
      <c r="B387" s="611" t="e">
        <v>#N/A</v>
      </c>
      <c r="C387" s="1291" t="e">
        <v>#N/A</v>
      </c>
      <c r="D387" s="1291" t="e">
        <v>#N/A</v>
      </c>
      <c r="E387" s="334" t="e">
        <v>#N/A</v>
      </c>
      <c r="F387" s="1181" t="e">
        <v>#N/A</v>
      </c>
      <c r="G387" s="1291" t="e">
        <v>#N/A</v>
      </c>
      <c r="H387" s="1291" t="e">
        <v>#N/A</v>
      </c>
      <c r="I387" s="180" t="e">
        <v>#N/A</v>
      </c>
      <c r="J387" s="1181" t="e">
        <v>#N/A</v>
      </c>
      <c r="K387" s="1291" t="e">
        <v>#N/A</v>
      </c>
      <c r="L387" s="1291" t="e">
        <v>#N/A</v>
      </c>
      <c r="M387" s="180" t="e">
        <v>#N/A</v>
      </c>
      <c r="N387" s="1181" t="e">
        <v>#N/A</v>
      </c>
      <c r="O387" s="1291" t="e">
        <v>#N/A</v>
      </c>
      <c r="P387" s="1291" t="e">
        <v>#N/A</v>
      </c>
      <c r="Q387" s="180" t="e">
        <v>#N/A</v>
      </c>
      <c r="R387" s="334" t="e">
        <v>#N/A</v>
      </c>
      <c r="S387" s="1291" t="e">
        <v>#N/A</v>
      </c>
      <c r="T387" s="1291" t="e">
        <v>#N/A</v>
      </c>
      <c r="U387" s="180" t="e">
        <v>#N/A</v>
      </c>
      <c r="V387" s="334" t="e">
        <v>#N/A</v>
      </c>
      <c r="W387" s="1302" t="e">
        <v>#N/A</v>
      </c>
      <c r="X387" s="1181" t="e">
        <v>#N/A</v>
      </c>
      <c r="Y387" s="1302" t="e">
        <v>#N/A</v>
      </c>
      <c r="Z387" s="1311" t="e">
        <f t="shared" si="17"/>
        <v>#N/A</v>
      </c>
      <c r="AA387" s="1302" t="e">
        <v>#N/A</v>
      </c>
      <c r="AB387" s="1181" t="e">
        <v>#N/A</v>
      </c>
      <c r="AC387" s="1302" t="e">
        <v>#N/A</v>
      </c>
      <c r="AD387" s="1181" t="e">
        <v>#N/A</v>
      </c>
      <c r="AE387" s="1302" t="e">
        <v>#N/A</v>
      </c>
      <c r="AF387" s="1311" t="e">
        <f t="shared" si="19"/>
        <v>#N/A</v>
      </c>
      <c r="AG387" s="1322" t="e">
        <v>#N/A</v>
      </c>
    </row>
    <row r="388" spans="1:33">
      <c r="A388" s="134">
        <f t="shared" si="18"/>
        <v>2024.07</v>
      </c>
      <c r="B388" s="611" t="e">
        <v>#N/A</v>
      </c>
      <c r="C388" s="1291" t="e">
        <v>#N/A</v>
      </c>
      <c r="D388" s="1291" t="e">
        <v>#N/A</v>
      </c>
      <c r="E388" s="334" t="e">
        <v>#N/A</v>
      </c>
      <c r="F388" s="1181" t="e">
        <v>#N/A</v>
      </c>
      <c r="G388" s="1291" t="e">
        <v>#N/A</v>
      </c>
      <c r="H388" s="1291" t="e">
        <v>#N/A</v>
      </c>
      <c r="I388" s="180" t="e">
        <v>#N/A</v>
      </c>
      <c r="J388" s="1181" t="e">
        <v>#N/A</v>
      </c>
      <c r="K388" s="1291" t="e">
        <v>#N/A</v>
      </c>
      <c r="L388" s="1291" t="e">
        <v>#N/A</v>
      </c>
      <c r="M388" s="180" t="e">
        <v>#N/A</v>
      </c>
      <c r="N388" s="1181" t="e">
        <v>#N/A</v>
      </c>
      <c r="O388" s="1291" t="e">
        <v>#N/A</v>
      </c>
      <c r="P388" s="1291" t="e">
        <v>#N/A</v>
      </c>
      <c r="Q388" s="180" t="e">
        <v>#N/A</v>
      </c>
      <c r="R388" s="334" t="e">
        <v>#N/A</v>
      </c>
      <c r="S388" s="1291" t="e">
        <v>#N/A</v>
      </c>
      <c r="T388" s="1291" t="e">
        <v>#N/A</v>
      </c>
      <c r="U388" s="180" t="e">
        <v>#N/A</v>
      </c>
      <c r="V388" s="334" t="e">
        <v>#N/A</v>
      </c>
      <c r="W388" s="1302" t="e">
        <v>#N/A</v>
      </c>
      <c r="X388" s="1181" t="e">
        <v>#N/A</v>
      </c>
      <c r="Y388" s="1302" t="e">
        <v>#N/A</v>
      </c>
      <c r="Z388" s="1311" t="e">
        <f t="shared" si="17"/>
        <v>#N/A</v>
      </c>
      <c r="AA388" s="1302" t="e">
        <v>#N/A</v>
      </c>
      <c r="AB388" s="1181" t="e">
        <v>#N/A</v>
      </c>
      <c r="AC388" s="1302" t="e">
        <v>#N/A</v>
      </c>
      <c r="AD388" s="1181" t="e">
        <v>#N/A</v>
      </c>
      <c r="AE388" s="1302" t="e">
        <v>#N/A</v>
      </c>
      <c r="AF388" s="1311" t="e">
        <f t="shared" si="19"/>
        <v>#N/A</v>
      </c>
      <c r="AG388" s="1322" t="e">
        <v>#N/A</v>
      </c>
    </row>
    <row r="389" spans="1:33">
      <c r="A389" s="134">
        <f t="shared" si="18"/>
        <v>2024.08</v>
      </c>
      <c r="B389" s="611" t="e">
        <v>#N/A</v>
      </c>
      <c r="C389" s="1291" t="e">
        <v>#N/A</v>
      </c>
      <c r="D389" s="1291" t="e">
        <v>#N/A</v>
      </c>
      <c r="E389" s="334" t="e">
        <v>#N/A</v>
      </c>
      <c r="F389" s="1181" t="e">
        <v>#N/A</v>
      </c>
      <c r="G389" s="1291" t="e">
        <v>#N/A</v>
      </c>
      <c r="H389" s="1291" t="e">
        <v>#N/A</v>
      </c>
      <c r="I389" s="180" t="e">
        <v>#N/A</v>
      </c>
      <c r="J389" s="1181" t="e">
        <v>#N/A</v>
      </c>
      <c r="K389" s="1291" t="e">
        <v>#N/A</v>
      </c>
      <c r="L389" s="1291" t="e">
        <v>#N/A</v>
      </c>
      <c r="M389" s="180" t="e">
        <v>#N/A</v>
      </c>
      <c r="N389" s="1181" t="e">
        <v>#N/A</v>
      </c>
      <c r="O389" s="1291" t="e">
        <v>#N/A</v>
      </c>
      <c r="P389" s="1291" t="e">
        <v>#N/A</v>
      </c>
      <c r="Q389" s="180" t="e">
        <v>#N/A</v>
      </c>
      <c r="R389" s="334" t="e">
        <v>#N/A</v>
      </c>
      <c r="S389" s="1291" t="e">
        <v>#N/A</v>
      </c>
      <c r="T389" s="1291" t="e">
        <v>#N/A</v>
      </c>
      <c r="U389" s="180" t="e">
        <v>#N/A</v>
      </c>
      <c r="V389" s="334" t="e">
        <v>#N/A</v>
      </c>
      <c r="W389" s="1302" t="e">
        <v>#N/A</v>
      </c>
      <c r="X389" s="1181" t="e">
        <v>#N/A</v>
      </c>
      <c r="Y389" s="1302" t="e">
        <v>#N/A</v>
      </c>
      <c r="Z389" s="1311" t="e">
        <f t="shared" si="17"/>
        <v>#N/A</v>
      </c>
      <c r="AA389" s="1302" t="e">
        <v>#N/A</v>
      </c>
      <c r="AB389" s="1181" t="e">
        <v>#N/A</v>
      </c>
      <c r="AC389" s="1302" t="e">
        <v>#N/A</v>
      </c>
      <c r="AD389" s="1181" t="e">
        <v>#N/A</v>
      </c>
      <c r="AE389" s="1302" t="e">
        <v>#N/A</v>
      </c>
      <c r="AF389" s="1311" t="e">
        <f t="shared" si="19"/>
        <v>#N/A</v>
      </c>
      <c r="AG389" s="1322" t="e">
        <v>#N/A</v>
      </c>
    </row>
    <row r="390" spans="1:33">
      <c r="A390" s="134">
        <f t="shared" si="18"/>
        <v>2024.09</v>
      </c>
      <c r="B390" s="611" t="e">
        <v>#N/A</v>
      </c>
      <c r="C390" s="1291" t="e">
        <v>#N/A</v>
      </c>
      <c r="D390" s="1291" t="e">
        <v>#N/A</v>
      </c>
      <c r="E390" s="334" t="e">
        <v>#N/A</v>
      </c>
      <c r="F390" s="1181" t="e">
        <v>#N/A</v>
      </c>
      <c r="G390" s="1291" t="e">
        <v>#N/A</v>
      </c>
      <c r="H390" s="1291" t="e">
        <v>#N/A</v>
      </c>
      <c r="I390" s="180" t="e">
        <v>#N/A</v>
      </c>
      <c r="J390" s="1181" t="e">
        <v>#N/A</v>
      </c>
      <c r="K390" s="1291" t="e">
        <v>#N/A</v>
      </c>
      <c r="L390" s="1291" t="e">
        <v>#N/A</v>
      </c>
      <c r="M390" s="180" t="e">
        <v>#N/A</v>
      </c>
      <c r="N390" s="1181" t="e">
        <v>#N/A</v>
      </c>
      <c r="O390" s="1291" t="e">
        <v>#N/A</v>
      </c>
      <c r="P390" s="1291" t="e">
        <v>#N/A</v>
      </c>
      <c r="Q390" s="180" t="e">
        <v>#N/A</v>
      </c>
      <c r="R390" s="334" t="e">
        <v>#N/A</v>
      </c>
      <c r="S390" s="1291" t="e">
        <v>#N/A</v>
      </c>
      <c r="T390" s="1291" t="e">
        <v>#N/A</v>
      </c>
      <c r="U390" s="180" t="e">
        <v>#N/A</v>
      </c>
      <c r="V390" s="334" t="e">
        <v>#N/A</v>
      </c>
      <c r="W390" s="1302" t="e">
        <v>#N/A</v>
      </c>
      <c r="X390" s="1181" t="e">
        <v>#N/A</v>
      </c>
      <c r="Y390" s="1302" t="e">
        <v>#N/A</v>
      </c>
      <c r="Z390" s="1311" t="e">
        <f t="shared" si="17"/>
        <v>#N/A</v>
      </c>
      <c r="AA390" s="1302" t="e">
        <v>#N/A</v>
      </c>
      <c r="AB390" s="1181" t="e">
        <v>#N/A</v>
      </c>
      <c r="AC390" s="1302" t="e">
        <v>#N/A</v>
      </c>
      <c r="AD390" s="1181" t="e">
        <v>#N/A</v>
      </c>
      <c r="AE390" s="1302" t="e">
        <v>#N/A</v>
      </c>
      <c r="AF390" s="1311" t="e">
        <f t="shared" si="19"/>
        <v>#N/A</v>
      </c>
      <c r="AG390" s="1322" t="e">
        <v>#N/A</v>
      </c>
    </row>
    <row r="391" spans="1:33">
      <c r="A391" s="134">
        <f t="shared" si="18"/>
        <v>2024.1</v>
      </c>
      <c r="B391" s="611" t="e">
        <v>#N/A</v>
      </c>
      <c r="C391" s="1291" t="e">
        <v>#N/A</v>
      </c>
      <c r="D391" s="1291" t="e">
        <v>#N/A</v>
      </c>
      <c r="E391" s="334" t="e">
        <v>#N/A</v>
      </c>
      <c r="F391" s="1181" t="e">
        <v>#N/A</v>
      </c>
      <c r="G391" s="1291" t="e">
        <v>#N/A</v>
      </c>
      <c r="H391" s="1291" t="e">
        <v>#N/A</v>
      </c>
      <c r="I391" s="180" t="e">
        <v>#N/A</v>
      </c>
      <c r="J391" s="1181" t="e">
        <v>#N/A</v>
      </c>
      <c r="K391" s="1291" t="e">
        <v>#N/A</v>
      </c>
      <c r="L391" s="1291" t="e">
        <v>#N/A</v>
      </c>
      <c r="M391" s="180" t="e">
        <v>#N/A</v>
      </c>
      <c r="N391" s="1181" t="e">
        <v>#N/A</v>
      </c>
      <c r="O391" s="1291" t="e">
        <v>#N/A</v>
      </c>
      <c r="P391" s="1291" t="e">
        <v>#N/A</v>
      </c>
      <c r="Q391" s="180" t="e">
        <v>#N/A</v>
      </c>
      <c r="R391" s="334" t="e">
        <v>#N/A</v>
      </c>
      <c r="S391" s="1291" t="e">
        <v>#N/A</v>
      </c>
      <c r="T391" s="1291" t="e">
        <v>#N/A</v>
      </c>
      <c r="U391" s="180" t="e">
        <v>#N/A</v>
      </c>
      <c r="V391" s="334" t="e">
        <v>#N/A</v>
      </c>
      <c r="W391" s="1302" t="e">
        <v>#N/A</v>
      </c>
      <c r="X391" s="1181" t="e">
        <v>#N/A</v>
      </c>
      <c r="Y391" s="1302" t="e">
        <v>#N/A</v>
      </c>
      <c r="Z391" s="1311" t="e">
        <f t="shared" si="17"/>
        <v>#N/A</v>
      </c>
      <c r="AA391" s="1302" t="e">
        <v>#N/A</v>
      </c>
      <c r="AB391" s="1181" t="e">
        <v>#N/A</v>
      </c>
      <c r="AC391" s="1302" t="e">
        <v>#N/A</v>
      </c>
      <c r="AD391" s="1181" t="e">
        <v>#N/A</v>
      </c>
      <c r="AE391" s="1302" t="e">
        <v>#N/A</v>
      </c>
      <c r="AF391" s="1311" t="e">
        <f t="shared" si="19"/>
        <v>#N/A</v>
      </c>
      <c r="AG391" s="1322" t="e">
        <v>#N/A</v>
      </c>
    </row>
    <row r="392" spans="1:33">
      <c r="A392" s="134">
        <f t="shared" si="18"/>
        <v>2024.11</v>
      </c>
      <c r="B392" s="611" t="e">
        <v>#N/A</v>
      </c>
      <c r="C392" s="1291" t="e">
        <v>#N/A</v>
      </c>
      <c r="D392" s="1291" t="e">
        <v>#N/A</v>
      </c>
      <c r="E392" s="334" t="e">
        <v>#N/A</v>
      </c>
      <c r="F392" s="1181" t="e">
        <v>#N/A</v>
      </c>
      <c r="G392" s="1291" t="e">
        <v>#N/A</v>
      </c>
      <c r="H392" s="1291" t="e">
        <v>#N/A</v>
      </c>
      <c r="I392" s="180" t="e">
        <v>#N/A</v>
      </c>
      <c r="J392" s="1181" t="e">
        <v>#N/A</v>
      </c>
      <c r="K392" s="1291" t="e">
        <v>#N/A</v>
      </c>
      <c r="L392" s="1291" t="e">
        <v>#N/A</v>
      </c>
      <c r="M392" s="180" t="e">
        <v>#N/A</v>
      </c>
      <c r="N392" s="1181" t="e">
        <v>#N/A</v>
      </c>
      <c r="O392" s="1291" t="e">
        <v>#N/A</v>
      </c>
      <c r="P392" s="1291" t="e">
        <v>#N/A</v>
      </c>
      <c r="Q392" s="180" t="e">
        <v>#N/A</v>
      </c>
      <c r="R392" s="334" t="e">
        <v>#N/A</v>
      </c>
      <c r="S392" s="1291" t="e">
        <v>#N/A</v>
      </c>
      <c r="T392" s="1291" t="e">
        <v>#N/A</v>
      </c>
      <c r="U392" s="180" t="e">
        <v>#N/A</v>
      </c>
      <c r="V392" s="334" t="e">
        <v>#N/A</v>
      </c>
      <c r="W392" s="1302" t="e">
        <v>#N/A</v>
      </c>
      <c r="X392" s="1181" t="e">
        <v>#N/A</v>
      </c>
      <c r="Y392" s="1302" t="e">
        <v>#N/A</v>
      </c>
      <c r="Z392" s="1311" t="e">
        <f t="shared" si="17"/>
        <v>#N/A</v>
      </c>
      <c r="AA392" s="1302" t="e">
        <v>#N/A</v>
      </c>
      <c r="AB392" s="1181" t="e">
        <v>#N/A</v>
      </c>
      <c r="AC392" s="1302" t="e">
        <v>#N/A</v>
      </c>
      <c r="AD392" s="1181" t="e">
        <v>#N/A</v>
      </c>
      <c r="AE392" s="1302" t="e">
        <v>#N/A</v>
      </c>
      <c r="AF392" s="1311" t="e">
        <f t="shared" si="19"/>
        <v>#N/A</v>
      </c>
      <c r="AG392" s="1322" t="e">
        <v>#N/A</v>
      </c>
    </row>
    <row r="393" spans="1:33">
      <c r="A393" s="134">
        <f t="shared" si="18"/>
        <v>2024.12</v>
      </c>
      <c r="B393" s="611" t="e">
        <v>#N/A</v>
      </c>
      <c r="C393" s="1291" t="e">
        <v>#N/A</v>
      </c>
      <c r="D393" s="1291" t="e">
        <v>#N/A</v>
      </c>
      <c r="E393" s="334" t="e">
        <v>#N/A</v>
      </c>
      <c r="F393" s="1181" t="e">
        <v>#N/A</v>
      </c>
      <c r="G393" s="1291" t="e">
        <v>#N/A</v>
      </c>
      <c r="H393" s="1291" t="e">
        <v>#N/A</v>
      </c>
      <c r="I393" s="180" t="e">
        <v>#N/A</v>
      </c>
      <c r="J393" s="1181" t="e">
        <v>#N/A</v>
      </c>
      <c r="K393" s="1291" t="e">
        <v>#N/A</v>
      </c>
      <c r="L393" s="1291" t="e">
        <v>#N/A</v>
      </c>
      <c r="M393" s="180" t="e">
        <v>#N/A</v>
      </c>
      <c r="N393" s="1181" t="e">
        <v>#N/A</v>
      </c>
      <c r="O393" s="1291" t="e">
        <v>#N/A</v>
      </c>
      <c r="P393" s="1291" t="e">
        <v>#N/A</v>
      </c>
      <c r="Q393" s="180" t="e">
        <v>#N/A</v>
      </c>
      <c r="R393" s="334" t="e">
        <v>#N/A</v>
      </c>
      <c r="S393" s="1291" t="e">
        <v>#N/A</v>
      </c>
      <c r="T393" s="1291" t="e">
        <v>#N/A</v>
      </c>
      <c r="U393" s="180" t="e">
        <v>#N/A</v>
      </c>
      <c r="V393" s="334" t="e">
        <v>#N/A</v>
      </c>
      <c r="W393" s="1302" t="e">
        <v>#N/A</v>
      </c>
      <c r="X393" s="1181" t="e">
        <v>#N/A</v>
      </c>
      <c r="Y393" s="1302" t="e">
        <v>#N/A</v>
      </c>
      <c r="Z393" s="1311" t="e">
        <f t="shared" si="17"/>
        <v>#N/A</v>
      </c>
      <c r="AA393" s="1302" t="e">
        <v>#N/A</v>
      </c>
      <c r="AB393" s="1181" t="e">
        <v>#N/A</v>
      </c>
      <c r="AC393" s="1302" t="e">
        <v>#N/A</v>
      </c>
      <c r="AD393" s="1181" t="e">
        <v>#N/A</v>
      </c>
      <c r="AE393" s="1302" t="e">
        <v>#N/A</v>
      </c>
      <c r="AF393" s="1311" t="e">
        <f t="shared" si="19"/>
        <v>#N/A</v>
      </c>
      <c r="AG393" s="1322" t="e">
        <v>#N/A</v>
      </c>
    </row>
    <row r="394" spans="1:33">
      <c r="A394" s="134">
        <f t="shared" si="18"/>
        <v>2025.01</v>
      </c>
      <c r="B394" s="611" t="e">
        <v>#N/A</v>
      </c>
      <c r="C394" s="1291" t="e">
        <v>#N/A</v>
      </c>
      <c r="D394" s="1291" t="e">
        <v>#N/A</v>
      </c>
      <c r="E394" s="334" t="e">
        <v>#N/A</v>
      </c>
      <c r="F394" s="1181" t="e">
        <v>#N/A</v>
      </c>
      <c r="G394" s="1291" t="e">
        <v>#N/A</v>
      </c>
      <c r="H394" s="1291" t="e">
        <v>#N/A</v>
      </c>
      <c r="I394" s="180" t="e">
        <v>#N/A</v>
      </c>
      <c r="J394" s="1181" t="e">
        <v>#N/A</v>
      </c>
      <c r="K394" s="1291" t="e">
        <v>#N/A</v>
      </c>
      <c r="L394" s="1291" t="e">
        <v>#N/A</v>
      </c>
      <c r="M394" s="180" t="e">
        <v>#N/A</v>
      </c>
      <c r="N394" s="1181" t="e">
        <v>#N/A</v>
      </c>
      <c r="O394" s="1291" t="e">
        <v>#N/A</v>
      </c>
      <c r="P394" s="1291" t="e">
        <v>#N/A</v>
      </c>
      <c r="Q394" s="180" t="e">
        <v>#N/A</v>
      </c>
      <c r="R394" s="334" t="e">
        <v>#N/A</v>
      </c>
      <c r="S394" s="1291" t="e">
        <v>#N/A</v>
      </c>
      <c r="T394" s="1291" t="e">
        <v>#N/A</v>
      </c>
      <c r="U394" s="180" t="e">
        <v>#N/A</v>
      </c>
      <c r="V394" s="334" t="e">
        <v>#N/A</v>
      </c>
      <c r="W394" s="1302" t="e">
        <v>#N/A</v>
      </c>
      <c r="X394" s="1181" t="e">
        <v>#N/A</v>
      </c>
      <c r="Y394" s="1302" t="e">
        <v>#N/A</v>
      </c>
      <c r="Z394" s="1311" t="e">
        <f t="shared" si="17"/>
        <v>#N/A</v>
      </c>
      <c r="AA394" s="1302" t="e">
        <v>#N/A</v>
      </c>
      <c r="AB394" s="1181" t="e">
        <v>#N/A</v>
      </c>
      <c r="AC394" s="1302" t="e">
        <v>#N/A</v>
      </c>
      <c r="AD394" s="1181" t="e">
        <v>#N/A</v>
      </c>
      <c r="AE394" s="1302" t="e">
        <v>#N/A</v>
      </c>
      <c r="AF394" s="1311" t="e">
        <f t="shared" si="19"/>
        <v>#N/A</v>
      </c>
      <c r="AG394" s="1322" t="e">
        <v>#N/A</v>
      </c>
    </row>
    <row r="395" spans="1:33">
      <c r="A395" s="134">
        <f t="shared" si="18"/>
        <v>2025.02</v>
      </c>
      <c r="B395" s="611" t="e">
        <v>#N/A</v>
      </c>
      <c r="C395" s="1291" t="e">
        <v>#N/A</v>
      </c>
      <c r="D395" s="1291" t="e">
        <v>#N/A</v>
      </c>
      <c r="E395" s="334" t="e">
        <v>#N/A</v>
      </c>
      <c r="F395" s="1181" t="e">
        <v>#N/A</v>
      </c>
      <c r="G395" s="1291" t="e">
        <v>#N/A</v>
      </c>
      <c r="H395" s="1291" t="e">
        <v>#N/A</v>
      </c>
      <c r="I395" s="180" t="e">
        <v>#N/A</v>
      </c>
      <c r="J395" s="1181" t="e">
        <v>#N/A</v>
      </c>
      <c r="K395" s="1291" t="e">
        <v>#N/A</v>
      </c>
      <c r="L395" s="1291" t="e">
        <v>#N/A</v>
      </c>
      <c r="M395" s="180" t="e">
        <v>#N/A</v>
      </c>
      <c r="N395" s="1181" t="e">
        <v>#N/A</v>
      </c>
      <c r="O395" s="1291" t="e">
        <v>#N/A</v>
      </c>
      <c r="P395" s="1291" t="e">
        <v>#N/A</v>
      </c>
      <c r="Q395" s="180" t="e">
        <v>#N/A</v>
      </c>
      <c r="R395" s="334" t="e">
        <v>#N/A</v>
      </c>
      <c r="S395" s="1291" t="e">
        <v>#N/A</v>
      </c>
      <c r="T395" s="1291" t="e">
        <v>#N/A</v>
      </c>
      <c r="U395" s="180" t="e">
        <v>#N/A</v>
      </c>
      <c r="V395" s="334" t="e">
        <v>#N/A</v>
      </c>
      <c r="W395" s="1302" t="e">
        <v>#N/A</v>
      </c>
      <c r="X395" s="1181" t="e">
        <v>#N/A</v>
      </c>
      <c r="Y395" s="1302" t="e">
        <v>#N/A</v>
      </c>
      <c r="Z395" s="1311" t="e">
        <f t="shared" ref="Z395:Z405" si="20">SUM(V395:Y395)</f>
        <v>#N/A</v>
      </c>
      <c r="AA395" s="1302" t="e">
        <v>#N/A</v>
      </c>
      <c r="AB395" s="1181" t="e">
        <v>#N/A</v>
      </c>
      <c r="AC395" s="1302" t="e">
        <v>#N/A</v>
      </c>
      <c r="AD395" s="1181" t="e">
        <v>#N/A</v>
      </c>
      <c r="AE395" s="1302" t="e">
        <v>#N/A</v>
      </c>
      <c r="AF395" s="1311" t="e">
        <f t="shared" si="19"/>
        <v>#N/A</v>
      </c>
      <c r="AG395" s="1322" t="e">
        <v>#N/A</v>
      </c>
    </row>
    <row r="396" spans="1:33">
      <c r="A396" s="134">
        <f t="shared" si="18"/>
        <v>2025.03</v>
      </c>
      <c r="B396" s="611" t="e">
        <v>#N/A</v>
      </c>
      <c r="C396" s="1291" t="e">
        <v>#N/A</v>
      </c>
      <c r="D396" s="1291" t="e">
        <v>#N/A</v>
      </c>
      <c r="E396" s="334" t="e">
        <v>#N/A</v>
      </c>
      <c r="F396" s="1181" t="e">
        <v>#N/A</v>
      </c>
      <c r="G396" s="1291" t="e">
        <v>#N/A</v>
      </c>
      <c r="H396" s="1291" t="e">
        <v>#N/A</v>
      </c>
      <c r="I396" s="180" t="e">
        <v>#N/A</v>
      </c>
      <c r="J396" s="1181" t="e">
        <v>#N/A</v>
      </c>
      <c r="K396" s="1291" t="e">
        <v>#N/A</v>
      </c>
      <c r="L396" s="1291" t="e">
        <v>#N/A</v>
      </c>
      <c r="M396" s="180" t="e">
        <v>#N/A</v>
      </c>
      <c r="N396" s="1181" t="e">
        <v>#N/A</v>
      </c>
      <c r="O396" s="1291" t="e">
        <v>#N/A</v>
      </c>
      <c r="P396" s="1291" t="e">
        <v>#N/A</v>
      </c>
      <c r="Q396" s="180" t="e">
        <v>#N/A</v>
      </c>
      <c r="R396" s="334" t="e">
        <v>#N/A</v>
      </c>
      <c r="S396" s="1291" t="e">
        <v>#N/A</v>
      </c>
      <c r="T396" s="1291" t="e">
        <v>#N/A</v>
      </c>
      <c r="U396" s="180" t="e">
        <v>#N/A</v>
      </c>
      <c r="V396" s="334" t="e">
        <v>#N/A</v>
      </c>
      <c r="W396" s="1302" t="e">
        <v>#N/A</v>
      </c>
      <c r="X396" s="1181" t="e">
        <v>#N/A</v>
      </c>
      <c r="Y396" s="1302" t="e">
        <v>#N/A</v>
      </c>
      <c r="Z396" s="1311" t="e">
        <f t="shared" si="20"/>
        <v>#N/A</v>
      </c>
      <c r="AA396" s="1302" t="e">
        <v>#N/A</v>
      </c>
      <c r="AB396" s="1181" t="e">
        <v>#N/A</v>
      </c>
      <c r="AC396" s="1302" t="e">
        <v>#N/A</v>
      </c>
      <c r="AD396" s="1181" t="e">
        <v>#N/A</v>
      </c>
      <c r="AE396" s="1302" t="e">
        <v>#N/A</v>
      </c>
      <c r="AF396" s="1311" t="e">
        <f t="shared" si="19"/>
        <v>#N/A</v>
      </c>
      <c r="AG396" s="1322" t="e">
        <v>#N/A</v>
      </c>
    </row>
    <row r="397" spans="1:33">
      <c r="A397" s="134">
        <f t="shared" si="18"/>
        <v>2025.04</v>
      </c>
      <c r="B397" s="611" t="e">
        <v>#N/A</v>
      </c>
      <c r="C397" s="1291" t="e">
        <v>#N/A</v>
      </c>
      <c r="D397" s="1291" t="e">
        <v>#N/A</v>
      </c>
      <c r="E397" s="334" t="e">
        <v>#N/A</v>
      </c>
      <c r="F397" s="1181" t="e">
        <v>#N/A</v>
      </c>
      <c r="G397" s="1291" t="e">
        <v>#N/A</v>
      </c>
      <c r="H397" s="1291" t="e">
        <v>#N/A</v>
      </c>
      <c r="I397" s="180" t="e">
        <v>#N/A</v>
      </c>
      <c r="J397" s="1181" t="e">
        <v>#N/A</v>
      </c>
      <c r="K397" s="1291" t="e">
        <v>#N/A</v>
      </c>
      <c r="L397" s="1291" t="e">
        <v>#N/A</v>
      </c>
      <c r="M397" s="180" t="e">
        <v>#N/A</v>
      </c>
      <c r="N397" s="1181" t="e">
        <v>#N/A</v>
      </c>
      <c r="O397" s="1291" t="e">
        <v>#N/A</v>
      </c>
      <c r="P397" s="1291" t="e">
        <v>#N/A</v>
      </c>
      <c r="Q397" s="180" t="e">
        <v>#N/A</v>
      </c>
      <c r="R397" s="334" t="e">
        <v>#N/A</v>
      </c>
      <c r="S397" s="1291" t="e">
        <v>#N/A</v>
      </c>
      <c r="T397" s="1291" t="e">
        <v>#N/A</v>
      </c>
      <c r="U397" s="180" t="e">
        <v>#N/A</v>
      </c>
      <c r="V397" s="334" t="e">
        <v>#N/A</v>
      </c>
      <c r="W397" s="1302" t="e">
        <v>#N/A</v>
      </c>
      <c r="X397" s="1181" t="e">
        <v>#N/A</v>
      </c>
      <c r="Y397" s="1302" t="e">
        <v>#N/A</v>
      </c>
      <c r="Z397" s="1311" t="e">
        <f t="shared" si="20"/>
        <v>#N/A</v>
      </c>
      <c r="AA397" s="1302" t="e">
        <v>#N/A</v>
      </c>
      <c r="AB397" s="1181" t="e">
        <v>#N/A</v>
      </c>
      <c r="AC397" s="1302" t="e">
        <v>#N/A</v>
      </c>
      <c r="AD397" s="1181" t="e">
        <v>#N/A</v>
      </c>
      <c r="AE397" s="1302" t="e">
        <v>#N/A</v>
      </c>
      <c r="AF397" s="1311" t="e">
        <f t="shared" si="19"/>
        <v>#N/A</v>
      </c>
      <c r="AG397" s="1322" t="e">
        <v>#N/A</v>
      </c>
    </row>
    <row r="398" spans="1:33">
      <c r="A398" s="134">
        <f t="shared" si="18"/>
        <v>2025.05</v>
      </c>
      <c r="B398" s="611" t="e">
        <v>#N/A</v>
      </c>
      <c r="C398" s="1291" t="e">
        <v>#N/A</v>
      </c>
      <c r="D398" s="1291" t="e">
        <v>#N/A</v>
      </c>
      <c r="E398" s="334" t="e">
        <v>#N/A</v>
      </c>
      <c r="F398" s="1181" t="e">
        <v>#N/A</v>
      </c>
      <c r="G398" s="1291" t="e">
        <v>#N/A</v>
      </c>
      <c r="H398" s="1291" t="e">
        <v>#N/A</v>
      </c>
      <c r="I398" s="180" t="e">
        <v>#N/A</v>
      </c>
      <c r="J398" s="1181" t="e">
        <v>#N/A</v>
      </c>
      <c r="K398" s="1291" t="e">
        <v>#N/A</v>
      </c>
      <c r="L398" s="1291" t="e">
        <v>#N/A</v>
      </c>
      <c r="M398" s="180" t="e">
        <v>#N/A</v>
      </c>
      <c r="N398" s="1181" t="e">
        <v>#N/A</v>
      </c>
      <c r="O398" s="1291" t="e">
        <v>#N/A</v>
      </c>
      <c r="P398" s="1291" t="e">
        <v>#N/A</v>
      </c>
      <c r="Q398" s="180" t="e">
        <v>#N/A</v>
      </c>
      <c r="R398" s="334" t="e">
        <v>#N/A</v>
      </c>
      <c r="S398" s="1291" t="e">
        <v>#N/A</v>
      </c>
      <c r="T398" s="1291" t="e">
        <v>#N/A</v>
      </c>
      <c r="U398" s="180" t="e">
        <v>#N/A</v>
      </c>
      <c r="V398" s="334" t="e">
        <v>#N/A</v>
      </c>
      <c r="W398" s="1302" t="e">
        <v>#N/A</v>
      </c>
      <c r="X398" s="1181" t="e">
        <v>#N/A</v>
      </c>
      <c r="Y398" s="1302" t="e">
        <v>#N/A</v>
      </c>
      <c r="Z398" s="1311" t="e">
        <f t="shared" si="20"/>
        <v>#N/A</v>
      </c>
      <c r="AA398" s="1302" t="e">
        <v>#N/A</v>
      </c>
      <c r="AB398" s="1181" t="e">
        <v>#N/A</v>
      </c>
      <c r="AC398" s="1302" t="e">
        <v>#N/A</v>
      </c>
      <c r="AD398" s="1181" t="e">
        <v>#N/A</v>
      </c>
      <c r="AE398" s="1302" t="e">
        <v>#N/A</v>
      </c>
      <c r="AF398" s="1311" t="e">
        <f t="shared" si="19"/>
        <v>#N/A</v>
      </c>
      <c r="AG398" s="1322" t="e">
        <v>#N/A</v>
      </c>
    </row>
    <row r="399" spans="1:33">
      <c r="A399" s="134">
        <f t="shared" si="18"/>
        <v>2025.06</v>
      </c>
      <c r="B399" s="611" t="e">
        <v>#N/A</v>
      </c>
      <c r="C399" s="1291" t="e">
        <v>#N/A</v>
      </c>
      <c r="D399" s="1291" t="e">
        <v>#N/A</v>
      </c>
      <c r="E399" s="334" t="e">
        <v>#N/A</v>
      </c>
      <c r="F399" s="1181" t="e">
        <v>#N/A</v>
      </c>
      <c r="G399" s="1291" t="e">
        <v>#N/A</v>
      </c>
      <c r="H399" s="1291" t="e">
        <v>#N/A</v>
      </c>
      <c r="I399" s="180" t="e">
        <v>#N/A</v>
      </c>
      <c r="J399" s="1181" t="e">
        <v>#N/A</v>
      </c>
      <c r="K399" s="1291" t="e">
        <v>#N/A</v>
      </c>
      <c r="L399" s="1291" t="e">
        <v>#N/A</v>
      </c>
      <c r="M399" s="180" t="e">
        <v>#N/A</v>
      </c>
      <c r="N399" s="1181" t="e">
        <v>#N/A</v>
      </c>
      <c r="O399" s="1291" t="e">
        <v>#N/A</v>
      </c>
      <c r="P399" s="1291" t="e">
        <v>#N/A</v>
      </c>
      <c r="Q399" s="180" t="e">
        <v>#N/A</v>
      </c>
      <c r="R399" s="334" t="e">
        <v>#N/A</v>
      </c>
      <c r="S399" s="1291" t="e">
        <v>#N/A</v>
      </c>
      <c r="T399" s="1291" t="e">
        <v>#N/A</v>
      </c>
      <c r="U399" s="180" t="e">
        <v>#N/A</v>
      </c>
      <c r="V399" s="334" t="e">
        <v>#N/A</v>
      </c>
      <c r="W399" s="1302" t="e">
        <v>#N/A</v>
      </c>
      <c r="X399" s="1181" t="e">
        <v>#N/A</v>
      </c>
      <c r="Y399" s="1302" t="e">
        <v>#N/A</v>
      </c>
      <c r="Z399" s="1311" t="e">
        <f t="shared" si="20"/>
        <v>#N/A</v>
      </c>
      <c r="AA399" s="1302" t="e">
        <v>#N/A</v>
      </c>
      <c r="AB399" s="1181" t="e">
        <v>#N/A</v>
      </c>
      <c r="AC399" s="1302" t="e">
        <v>#N/A</v>
      </c>
      <c r="AD399" s="1181" t="e">
        <v>#N/A</v>
      </c>
      <c r="AE399" s="1302" t="e">
        <v>#N/A</v>
      </c>
      <c r="AF399" s="1311" t="e">
        <f t="shared" si="19"/>
        <v>#N/A</v>
      </c>
      <c r="AG399" s="1322" t="e">
        <v>#N/A</v>
      </c>
    </row>
    <row r="400" spans="1:33">
      <c r="A400" s="134">
        <f t="shared" si="18"/>
        <v>2025.07</v>
      </c>
      <c r="B400" s="611" t="e">
        <v>#N/A</v>
      </c>
      <c r="C400" s="1291" t="e">
        <v>#N/A</v>
      </c>
      <c r="D400" s="1291" t="e">
        <v>#N/A</v>
      </c>
      <c r="E400" s="334" t="e">
        <v>#N/A</v>
      </c>
      <c r="F400" s="1181" t="e">
        <v>#N/A</v>
      </c>
      <c r="G400" s="1291" t="e">
        <v>#N/A</v>
      </c>
      <c r="H400" s="1291" t="e">
        <v>#N/A</v>
      </c>
      <c r="I400" s="180" t="e">
        <v>#N/A</v>
      </c>
      <c r="J400" s="1181" t="e">
        <v>#N/A</v>
      </c>
      <c r="K400" s="1291" t="e">
        <v>#N/A</v>
      </c>
      <c r="L400" s="1291" t="e">
        <v>#N/A</v>
      </c>
      <c r="M400" s="180" t="e">
        <v>#N/A</v>
      </c>
      <c r="N400" s="1181" t="e">
        <v>#N/A</v>
      </c>
      <c r="O400" s="1291" t="e">
        <v>#N/A</v>
      </c>
      <c r="P400" s="1291" t="e">
        <v>#N/A</v>
      </c>
      <c r="Q400" s="180" t="e">
        <v>#N/A</v>
      </c>
      <c r="R400" s="334" t="e">
        <v>#N/A</v>
      </c>
      <c r="S400" s="1291" t="e">
        <v>#N/A</v>
      </c>
      <c r="T400" s="1291" t="e">
        <v>#N/A</v>
      </c>
      <c r="U400" s="180" t="e">
        <v>#N/A</v>
      </c>
      <c r="V400" s="334" t="e">
        <v>#N/A</v>
      </c>
      <c r="W400" s="1302" t="e">
        <v>#N/A</v>
      </c>
      <c r="X400" s="1181" t="e">
        <v>#N/A</v>
      </c>
      <c r="Y400" s="1302" t="e">
        <v>#N/A</v>
      </c>
      <c r="Z400" s="1311" t="e">
        <f t="shared" si="20"/>
        <v>#N/A</v>
      </c>
      <c r="AA400" s="1302" t="e">
        <v>#N/A</v>
      </c>
      <c r="AB400" s="1181" t="e">
        <v>#N/A</v>
      </c>
      <c r="AC400" s="1302" t="e">
        <v>#N/A</v>
      </c>
      <c r="AD400" s="1181" t="e">
        <v>#N/A</v>
      </c>
      <c r="AE400" s="1302" t="e">
        <v>#N/A</v>
      </c>
      <c r="AF400" s="1311" t="e">
        <f t="shared" si="19"/>
        <v>#N/A</v>
      </c>
      <c r="AG400" s="1322" t="e">
        <v>#N/A</v>
      </c>
    </row>
    <row r="401" spans="1:33">
      <c r="A401" s="134">
        <f t="shared" si="18"/>
        <v>2025.08</v>
      </c>
      <c r="B401" s="611" t="e">
        <v>#N/A</v>
      </c>
      <c r="C401" s="1291" t="e">
        <v>#N/A</v>
      </c>
      <c r="D401" s="1291" t="e">
        <v>#N/A</v>
      </c>
      <c r="E401" s="334" t="e">
        <v>#N/A</v>
      </c>
      <c r="F401" s="1181" t="e">
        <v>#N/A</v>
      </c>
      <c r="G401" s="1291" t="e">
        <v>#N/A</v>
      </c>
      <c r="H401" s="1291" t="e">
        <v>#N/A</v>
      </c>
      <c r="I401" s="180" t="e">
        <v>#N/A</v>
      </c>
      <c r="J401" s="1181" t="e">
        <v>#N/A</v>
      </c>
      <c r="K401" s="1291" t="e">
        <v>#N/A</v>
      </c>
      <c r="L401" s="1291" t="e">
        <v>#N/A</v>
      </c>
      <c r="M401" s="180" t="e">
        <v>#N/A</v>
      </c>
      <c r="N401" s="1181" t="e">
        <v>#N/A</v>
      </c>
      <c r="O401" s="1291" t="e">
        <v>#N/A</v>
      </c>
      <c r="P401" s="1291" t="e">
        <v>#N/A</v>
      </c>
      <c r="Q401" s="180" t="e">
        <v>#N/A</v>
      </c>
      <c r="R401" s="334" t="e">
        <v>#N/A</v>
      </c>
      <c r="S401" s="1291" t="e">
        <v>#N/A</v>
      </c>
      <c r="T401" s="1291" t="e">
        <v>#N/A</v>
      </c>
      <c r="U401" s="180" t="e">
        <v>#N/A</v>
      </c>
      <c r="V401" s="334" t="e">
        <v>#N/A</v>
      </c>
      <c r="W401" s="1302" t="e">
        <v>#N/A</v>
      </c>
      <c r="X401" s="1181" t="e">
        <v>#N/A</v>
      </c>
      <c r="Y401" s="1302" t="e">
        <v>#N/A</v>
      </c>
      <c r="Z401" s="1311" t="e">
        <f t="shared" si="20"/>
        <v>#N/A</v>
      </c>
      <c r="AA401" s="1302" t="e">
        <v>#N/A</v>
      </c>
      <c r="AB401" s="1181" t="e">
        <v>#N/A</v>
      </c>
      <c r="AC401" s="1302" t="e">
        <v>#N/A</v>
      </c>
      <c r="AD401" s="1181" t="e">
        <v>#N/A</v>
      </c>
      <c r="AE401" s="1302" t="e">
        <v>#N/A</v>
      </c>
      <c r="AF401" s="1311" t="e">
        <f t="shared" si="19"/>
        <v>#N/A</v>
      </c>
      <c r="AG401" s="1322" t="e">
        <v>#N/A</v>
      </c>
    </row>
    <row r="402" spans="1:33">
      <c r="A402" s="134">
        <f t="shared" si="18"/>
        <v>2025.09</v>
      </c>
      <c r="B402" s="611" t="e">
        <v>#N/A</v>
      </c>
      <c r="C402" s="1291" t="e">
        <v>#N/A</v>
      </c>
      <c r="D402" s="1291" t="e">
        <v>#N/A</v>
      </c>
      <c r="E402" s="334" t="e">
        <v>#N/A</v>
      </c>
      <c r="F402" s="1181" t="e">
        <v>#N/A</v>
      </c>
      <c r="G402" s="1291" t="e">
        <v>#N/A</v>
      </c>
      <c r="H402" s="1291" t="e">
        <v>#N/A</v>
      </c>
      <c r="I402" s="180" t="e">
        <v>#N/A</v>
      </c>
      <c r="J402" s="1181" t="e">
        <v>#N/A</v>
      </c>
      <c r="K402" s="1291" t="e">
        <v>#N/A</v>
      </c>
      <c r="L402" s="1291" t="e">
        <v>#N/A</v>
      </c>
      <c r="M402" s="180" t="e">
        <v>#N/A</v>
      </c>
      <c r="N402" s="1181" t="e">
        <v>#N/A</v>
      </c>
      <c r="O402" s="1291" t="e">
        <v>#N/A</v>
      </c>
      <c r="P402" s="1291" t="e">
        <v>#N/A</v>
      </c>
      <c r="Q402" s="180" t="e">
        <v>#N/A</v>
      </c>
      <c r="R402" s="334" t="e">
        <v>#N/A</v>
      </c>
      <c r="S402" s="1291" t="e">
        <v>#N/A</v>
      </c>
      <c r="T402" s="1291" t="e">
        <v>#N/A</v>
      </c>
      <c r="U402" s="180" t="e">
        <v>#N/A</v>
      </c>
      <c r="V402" s="334" t="e">
        <v>#N/A</v>
      </c>
      <c r="W402" s="1302" t="e">
        <v>#N/A</v>
      </c>
      <c r="X402" s="1181" t="e">
        <v>#N/A</v>
      </c>
      <c r="Y402" s="1302" t="e">
        <v>#N/A</v>
      </c>
      <c r="Z402" s="1311" t="e">
        <f t="shared" si="20"/>
        <v>#N/A</v>
      </c>
      <c r="AA402" s="1302" t="e">
        <v>#N/A</v>
      </c>
      <c r="AB402" s="1181" t="e">
        <v>#N/A</v>
      </c>
      <c r="AC402" s="1302" t="e">
        <v>#N/A</v>
      </c>
      <c r="AD402" s="1181" t="e">
        <v>#N/A</v>
      </c>
      <c r="AE402" s="1302" t="e">
        <v>#N/A</v>
      </c>
      <c r="AF402" s="1311" t="e">
        <f t="shared" si="19"/>
        <v>#N/A</v>
      </c>
      <c r="AG402" s="1322" t="e">
        <v>#N/A</v>
      </c>
    </row>
    <row r="403" spans="1:33">
      <c r="A403" s="134">
        <f t="shared" si="18"/>
        <v>2025.1</v>
      </c>
      <c r="B403" s="611" t="e">
        <v>#N/A</v>
      </c>
      <c r="C403" s="1291" t="e">
        <v>#N/A</v>
      </c>
      <c r="D403" s="1291" t="e">
        <v>#N/A</v>
      </c>
      <c r="E403" s="334" t="e">
        <v>#N/A</v>
      </c>
      <c r="F403" s="1181" t="e">
        <v>#N/A</v>
      </c>
      <c r="G403" s="1291" t="e">
        <v>#N/A</v>
      </c>
      <c r="H403" s="1291" t="e">
        <v>#N/A</v>
      </c>
      <c r="I403" s="180" t="e">
        <v>#N/A</v>
      </c>
      <c r="J403" s="1181" t="e">
        <v>#N/A</v>
      </c>
      <c r="K403" s="1291" t="e">
        <v>#N/A</v>
      </c>
      <c r="L403" s="1291" t="e">
        <v>#N/A</v>
      </c>
      <c r="M403" s="180" t="e">
        <v>#N/A</v>
      </c>
      <c r="N403" s="1181" t="e">
        <v>#N/A</v>
      </c>
      <c r="O403" s="1291" t="e">
        <v>#N/A</v>
      </c>
      <c r="P403" s="1291" t="e">
        <v>#N/A</v>
      </c>
      <c r="Q403" s="180" t="e">
        <v>#N/A</v>
      </c>
      <c r="R403" s="334" t="e">
        <v>#N/A</v>
      </c>
      <c r="S403" s="1291" t="e">
        <v>#N/A</v>
      </c>
      <c r="T403" s="1291" t="e">
        <v>#N/A</v>
      </c>
      <c r="U403" s="180" t="e">
        <v>#N/A</v>
      </c>
      <c r="V403" s="334" t="e">
        <v>#N/A</v>
      </c>
      <c r="W403" s="1302" t="e">
        <v>#N/A</v>
      </c>
      <c r="X403" s="1181" t="e">
        <v>#N/A</v>
      </c>
      <c r="Y403" s="1302" t="e">
        <v>#N/A</v>
      </c>
      <c r="Z403" s="1311" t="e">
        <f t="shared" si="20"/>
        <v>#N/A</v>
      </c>
      <c r="AA403" s="1302" t="e">
        <v>#N/A</v>
      </c>
      <c r="AB403" s="1181" t="e">
        <v>#N/A</v>
      </c>
      <c r="AC403" s="1302" t="e">
        <v>#N/A</v>
      </c>
      <c r="AD403" s="1181" t="e">
        <v>#N/A</v>
      </c>
      <c r="AE403" s="1302" t="e">
        <v>#N/A</v>
      </c>
      <c r="AF403" s="1311" t="e">
        <f t="shared" si="19"/>
        <v>#N/A</v>
      </c>
      <c r="AG403" s="1322" t="e">
        <v>#N/A</v>
      </c>
    </row>
    <row r="404" spans="1:33">
      <c r="A404" s="134">
        <f t="shared" si="18"/>
        <v>2025.11</v>
      </c>
      <c r="B404" s="611" t="e">
        <v>#N/A</v>
      </c>
      <c r="C404" s="1291" t="e">
        <v>#N/A</v>
      </c>
      <c r="D404" s="1291" t="e">
        <v>#N/A</v>
      </c>
      <c r="E404" s="334" t="e">
        <v>#N/A</v>
      </c>
      <c r="F404" s="1181" t="e">
        <v>#N/A</v>
      </c>
      <c r="G404" s="1291" t="e">
        <v>#N/A</v>
      </c>
      <c r="H404" s="1291" t="e">
        <v>#N/A</v>
      </c>
      <c r="I404" s="180" t="e">
        <v>#N/A</v>
      </c>
      <c r="J404" s="1181" t="e">
        <v>#N/A</v>
      </c>
      <c r="K404" s="1291" t="e">
        <v>#N/A</v>
      </c>
      <c r="L404" s="1291" t="e">
        <v>#N/A</v>
      </c>
      <c r="M404" s="180" t="e">
        <v>#N/A</v>
      </c>
      <c r="N404" s="1181" t="e">
        <v>#N/A</v>
      </c>
      <c r="O404" s="1291" t="e">
        <v>#N/A</v>
      </c>
      <c r="P404" s="1291" t="e">
        <v>#N/A</v>
      </c>
      <c r="Q404" s="180" t="e">
        <v>#N/A</v>
      </c>
      <c r="R404" s="334" t="e">
        <v>#N/A</v>
      </c>
      <c r="S404" s="1291" t="e">
        <v>#N/A</v>
      </c>
      <c r="T404" s="1291" t="e">
        <v>#N/A</v>
      </c>
      <c r="U404" s="180" t="e">
        <v>#N/A</v>
      </c>
      <c r="V404" s="334" t="e">
        <v>#N/A</v>
      </c>
      <c r="W404" s="1302" t="e">
        <v>#N/A</v>
      </c>
      <c r="X404" s="1181" t="e">
        <v>#N/A</v>
      </c>
      <c r="Y404" s="1302" t="e">
        <v>#N/A</v>
      </c>
      <c r="Z404" s="1311" t="e">
        <f t="shared" si="20"/>
        <v>#N/A</v>
      </c>
      <c r="AA404" s="1302" t="e">
        <v>#N/A</v>
      </c>
      <c r="AB404" s="1181" t="e">
        <v>#N/A</v>
      </c>
      <c r="AC404" s="1302" t="e">
        <v>#N/A</v>
      </c>
      <c r="AD404" s="1181" t="e">
        <v>#N/A</v>
      </c>
      <c r="AE404" s="1302" t="e">
        <v>#N/A</v>
      </c>
      <c r="AF404" s="1311" t="e">
        <f t="shared" si="19"/>
        <v>#N/A</v>
      </c>
      <c r="AG404" s="1322" t="e">
        <v>#N/A</v>
      </c>
    </row>
    <row r="405" spans="1:33">
      <c r="A405" s="134">
        <f t="shared" si="18"/>
        <v>2025.12</v>
      </c>
      <c r="B405" s="611" t="e">
        <v>#N/A</v>
      </c>
      <c r="C405" s="1291" t="e">
        <v>#N/A</v>
      </c>
      <c r="D405" s="1291" t="e">
        <v>#N/A</v>
      </c>
      <c r="E405" s="334" t="e">
        <v>#N/A</v>
      </c>
      <c r="F405" s="1181" t="e">
        <v>#N/A</v>
      </c>
      <c r="G405" s="1291" t="e">
        <v>#N/A</v>
      </c>
      <c r="H405" s="1291" t="e">
        <v>#N/A</v>
      </c>
      <c r="I405" s="180" t="e">
        <v>#N/A</v>
      </c>
      <c r="J405" s="1181" t="e">
        <v>#N/A</v>
      </c>
      <c r="K405" s="1291" t="e">
        <v>#N/A</v>
      </c>
      <c r="L405" s="1291" t="e">
        <v>#N/A</v>
      </c>
      <c r="M405" s="180" t="e">
        <v>#N/A</v>
      </c>
      <c r="N405" s="1181" t="e">
        <v>#N/A</v>
      </c>
      <c r="O405" s="1291" t="e">
        <v>#N/A</v>
      </c>
      <c r="P405" s="1291" t="e">
        <v>#N/A</v>
      </c>
      <c r="Q405" s="180" t="e">
        <v>#N/A</v>
      </c>
      <c r="R405" s="334" t="e">
        <v>#N/A</v>
      </c>
      <c r="S405" s="1291" t="e">
        <v>#N/A</v>
      </c>
      <c r="T405" s="1291" t="e">
        <v>#N/A</v>
      </c>
      <c r="U405" s="180" t="e">
        <v>#N/A</v>
      </c>
      <c r="V405" s="334" t="e">
        <v>#N/A</v>
      </c>
      <c r="W405" s="1302" t="e">
        <v>#N/A</v>
      </c>
      <c r="X405" s="1181" t="e">
        <v>#N/A</v>
      </c>
      <c r="Y405" s="1302" t="e">
        <v>#N/A</v>
      </c>
      <c r="Z405" s="1311" t="e">
        <f t="shared" si="20"/>
        <v>#N/A</v>
      </c>
      <c r="AA405" s="1302" t="e">
        <v>#N/A</v>
      </c>
      <c r="AB405" s="1181" t="e">
        <v>#N/A</v>
      </c>
      <c r="AC405" s="1302" t="e">
        <v>#N/A</v>
      </c>
      <c r="AD405" s="1181" t="e">
        <v>#N/A</v>
      </c>
      <c r="AE405" s="1302" t="e">
        <v>#N/A</v>
      </c>
      <c r="AF405" s="1311" t="e">
        <f t="shared" si="19"/>
        <v>#N/A</v>
      </c>
      <c r="AG405" s="1322" t="e">
        <v>#N/A</v>
      </c>
    </row>
    <row r="406" spans="1:33">
      <c r="A406" s="134">
        <f t="shared" si="18"/>
        <v>2026.01</v>
      </c>
      <c r="B406" s="611" t="e">
        <v>#N/A</v>
      </c>
      <c r="C406" s="1291" t="e">
        <v>#N/A</v>
      </c>
      <c r="D406" s="1291" t="e">
        <v>#N/A</v>
      </c>
      <c r="E406" s="334" t="e">
        <v>#N/A</v>
      </c>
      <c r="F406" s="1181" t="e">
        <v>#N/A</v>
      </c>
      <c r="G406" s="1291" t="e">
        <v>#N/A</v>
      </c>
      <c r="H406" s="1291" t="e">
        <v>#N/A</v>
      </c>
      <c r="I406" s="180" t="e">
        <v>#N/A</v>
      </c>
      <c r="J406" s="1181" t="e">
        <v>#N/A</v>
      </c>
      <c r="K406" s="1291" t="e">
        <v>#N/A</v>
      </c>
      <c r="L406" s="1291" t="e">
        <v>#N/A</v>
      </c>
      <c r="M406" s="180" t="e">
        <v>#N/A</v>
      </c>
      <c r="N406" s="1181" t="e">
        <v>#N/A</v>
      </c>
      <c r="O406" s="1291" t="e">
        <v>#N/A</v>
      </c>
      <c r="P406" s="1291" t="e">
        <v>#N/A</v>
      </c>
      <c r="Q406" s="180" t="e">
        <v>#N/A</v>
      </c>
      <c r="R406" s="334" t="e">
        <v>#N/A</v>
      </c>
      <c r="S406" s="1291" t="e">
        <v>#N/A</v>
      </c>
      <c r="T406" s="1291" t="e">
        <v>#N/A</v>
      </c>
      <c r="U406" s="180" t="e">
        <v>#N/A</v>
      </c>
      <c r="V406" s="334" t="e">
        <v>#N/A</v>
      </c>
      <c r="W406" s="1302" t="e">
        <v>#N/A</v>
      </c>
      <c r="X406" s="1181" t="e">
        <v>#N/A</v>
      </c>
      <c r="Y406" s="1302" t="e">
        <v>#N/A</v>
      </c>
      <c r="Z406" s="1311" t="e">
        <f t="shared" ref="Z406:Z419" si="21">SUM(V406:Y406)</f>
        <v>#N/A</v>
      </c>
      <c r="AA406" s="1302" t="e">
        <v>#N/A</v>
      </c>
      <c r="AB406" s="1181" t="e">
        <v>#N/A</v>
      </c>
      <c r="AC406" s="1302" t="e">
        <v>#N/A</v>
      </c>
      <c r="AD406" s="1181" t="e">
        <v>#N/A</v>
      </c>
      <c r="AE406" s="1302" t="e">
        <v>#N/A</v>
      </c>
      <c r="AF406" s="1311" t="e">
        <f t="shared" ref="AF406:AF419" si="22">SUM(AB406:AE406)</f>
        <v>#N/A</v>
      </c>
      <c r="AG406" s="1322" t="e">
        <v>#N/A</v>
      </c>
    </row>
    <row r="407" spans="1:33">
      <c r="A407" s="134">
        <f t="shared" si="18"/>
        <v>2026.02</v>
      </c>
      <c r="B407" s="611" t="e">
        <v>#N/A</v>
      </c>
      <c r="C407" s="1291" t="e">
        <v>#N/A</v>
      </c>
      <c r="D407" s="1291" t="e">
        <v>#N/A</v>
      </c>
      <c r="E407" s="334" t="e">
        <v>#N/A</v>
      </c>
      <c r="F407" s="1181" t="e">
        <v>#N/A</v>
      </c>
      <c r="G407" s="1291" t="e">
        <v>#N/A</v>
      </c>
      <c r="H407" s="1291" t="e">
        <v>#N/A</v>
      </c>
      <c r="I407" s="180" t="e">
        <v>#N/A</v>
      </c>
      <c r="J407" s="1181" t="e">
        <v>#N/A</v>
      </c>
      <c r="K407" s="1291" t="e">
        <v>#N/A</v>
      </c>
      <c r="L407" s="1291" t="e">
        <v>#N/A</v>
      </c>
      <c r="M407" s="180" t="e">
        <v>#N/A</v>
      </c>
      <c r="N407" s="1181" t="e">
        <v>#N/A</v>
      </c>
      <c r="O407" s="1291" t="e">
        <v>#N/A</v>
      </c>
      <c r="P407" s="1291" t="e">
        <v>#N/A</v>
      </c>
      <c r="Q407" s="180" t="e">
        <v>#N/A</v>
      </c>
      <c r="R407" s="334" t="e">
        <v>#N/A</v>
      </c>
      <c r="S407" s="1291" t="e">
        <v>#N/A</v>
      </c>
      <c r="T407" s="1291" t="e">
        <v>#N/A</v>
      </c>
      <c r="U407" s="180" t="e">
        <v>#N/A</v>
      </c>
      <c r="V407" s="334" t="e">
        <v>#N/A</v>
      </c>
      <c r="W407" s="1302" t="e">
        <v>#N/A</v>
      </c>
      <c r="X407" s="1181" t="e">
        <v>#N/A</v>
      </c>
      <c r="Y407" s="1302" t="e">
        <v>#N/A</v>
      </c>
      <c r="Z407" s="1311" t="e">
        <f t="shared" si="21"/>
        <v>#N/A</v>
      </c>
      <c r="AA407" s="1302" t="e">
        <v>#N/A</v>
      </c>
      <c r="AB407" s="1181" t="e">
        <v>#N/A</v>
      </c>
      <c r="AC407" s="1302" t="e">
        <v>#N/A</v>
      </c>
      <c r="AD407" s="1181" t="e">
        <v>#N/A</v>
      </c>
      <c r="AE407" s="1302" t="e">
        <v>#N/A</v>
      </c>
      <c r="AF407" s="1311" t="e">
        <f t="shared" si="22"/>
        <v>#N/A</v>
      </c>
      <c r="AG407" s="1322" t="e">
        <v>#N/A</v>
      </c>
    </row>
    <row r="408" spans="1:33">
      <c r="A408" s="134">
        <f t="shared" si="18"/>
        <v>2026.03</v>
      </c>
      <c r="B408" s="611" t="e">
        <v>#N/A</v>
      </c>
      <c r="C408" s="1291" t="e">
        <v>#N/A</v>
      </c>
      <c r="D408" s="1291" t="e">
        <v>#N/A</v>
      </c>
      <c r="E408" s="334" t="e">
        <v>#N/A</v>
      </c>
      <c r="F408" s="1181" t="e">
        <v>#N/A</v>
      </c>
      <c r="G408" s="1291" t="e">
        <v>#N/A</v>
      </c>
      <c r="H408" s="1291" t="e">
        <v>#N/A</v>
      </c>
      <c r="I408" s="180" t="e">
        <v>#N/A</v>
      </c>
      <c r="J408" s="1181" t="e">
        <v>#N/A</v>
      </c>
      <c r="K408" s="1291" t="e">
        <v>#N/A</v>
      </c>
      <c r="L408" s="1291" t="e">
        <v>#N/A</v>
      </c>
      <c r="M408" s="180" t="e">
        <v>#N/A</v>
      </c>
      <c r="N408" s="1181" t="e">
        <v>#N/A</v>
      </c>
      <c r="O408" s="1291" t="e">
        <v>#N/A</v>
      </c>
      <c r="P408" s="1291" t="e">
        <v>#N/A</v>
      </c>
      <c r="Q408" s="180" t="e">
        <v>#N/A</v>
      </c>
      <c r="R408" s="334" t="e">
        <v>#N/A</v>
      </c>
      <c r="S408" s="1291" t="e">
        <v>#N/A</v>
      </c>
      <c r="T408" s="1291" t="e">
        <v>#N/A</v>
      </c>
      <c r="U408" s="180" t="e">
        <v>#N/A</v>
      </c>
      <c r="V408" s="334" t="e">
        <v>#N/A</v>
      </c>
      <c r="W408" s="1302" t="e">
        <v>#N/A</v>
      </c>
      <c r="X408" s="1181" t="e">
        <v>#N/A</v>
      </c>
      <c r="Y408" s="1302" t="e">
        <v>#N/A</v>
      </c>
      <c r="Z408" s="1311" t="e">
        <f t="shared" si="21"/>
        <v>#N/A</v>
      </c>
      <c r="AA408" s="1302" t="e">
        <v>#N/A</v>
      </c>
      <c r="AB408" s="1181" t="e">
        <v>#N/A</v>
      </c>
      <c r="AC408" s="1302" t="e">
        <v>#N/A</v>
      </c>
      <c r="AD408" s="1181" t="e">
        <v>#N/A</v>
      </c>
      <c r="AE408" s="1302" t="e">
        <v>#N/A</v>
      </c>
      <c r="AF408" s="1311" t="e">
        <f t="shared" si="22"/>
        <v>#N/A</v>
      </c>
      <c r="AG408" s="1322" t="e">
        <v>#N/A</v>
      </c>
    </row>
    <row r="409" spans="1:33">
      <c r="A409" s="134">
        <f t="shared" si="18"/>
        <v>2026.04</v>
      </c>
      <c r="B409" s="611" t="e">
        <v>#N/A</v>
      </c>
      <c r="C409" s="1291" t="e">
        <v>#N/A</v>
      </c>
      <c r="D409" s="1291" t="e">
        <v>#N/A</v>
      </c>
      <c r="E409" s="334" t="e">
        <v>#N/A</v>
      </c>
      <c r="F409" s="1181" t="e">
        <v>#N/A</v>
      </c>
      <c r="G409" s="1291" t="e">
        <v>#N/A</v>
      </c>
      <c r="H409" s="1291" t="e">
        <v>#N/A</v>
      </c>
      <c r="I409" s="180" t="e">
        <v>#N/A</v>
      </c>
      <c r="J409" s="1181" t="e">
        <v>#N/A</v>
      </c>
      <c r="K409" s="1291" t="e">
        <v>#N/A</v>
      </c>
      <c r="L409" s="1291" t="e">
        <v>#N/A</v>
      </c>
      <c r="M409" s="180" t="e">
        <v>#N/A</v>
      </c>
      <c r="N409" s="1181" t="e">
        <v>#N/A</v>
      </c>
      <c r="O409" s="1291" t="e">
        <v>#N/A</v>
      </c>
      <c r="P409" s="1291" t="e">
        <v>#N/A</v>
      </c>
      <c r="Q409" s="180" t="e">
        <v>#N/A</v>
      </c>
      <c r="R409" s="334" t="e">
        <v>#N/A</v>
      </c>
      <c r="S409" s="1291" t="e">
        <v>#N/A</v>
      </c>
      <c r="T409" s="1291" t="e">
        <v>#N/A</v>
      </c>
      <c r="U409" s="180" t="e">
        <v>#N/A</v>
      </c>
      <c r="V409" s="334" t="e">
        <v>#N/A</v>
      </c>
      <c r="W409" s="1302" t="e">
        <v>#N/A</v>
      </c>
      <c r="X409" s="1181" t="e">
        <v>#N/A</v>
      </c>
      <c r="Y409" s="1302" t="e">
        <v>#N/A</v>
      </c>
      <c r="Z409" s="1311" t="e">
        <f t="shared" si="21"/>
        <v>#N/A</v>
      </c>
      <c r="AA409" s="1302" t="e">
        <v>#N/A</v>
      </c>
      <c r="AB409" s="1181" t="e">
        <v>#N/A</v>
      </c>
      <c r="AC409" s="1302" t="e">
        <v>#N/A</v>
      </c>
      <c r="AD409" s="1181" t="e">
        <v>#N/A</v>
      </c>
      <c r="AE409" s="1302" t="e">
        <v>#N/A</v>
      </c>
      <c r="AF409" s="1311" t="e">
        <f t="shared" si="22"/>
        <v>#N/A</v>
      </c>
      <c r="AG409" s="1322" t="e">
        <v>#N/A</v>
      </c>
    </row>
    <row r="410" spans="1:33">
      <c r="A410" s="134">
        <f t="shared" ref="A410:A465" si="23">A398+1</f>
        <v>2026.05</v>
      </c>
      <c r="B410" s="611" t="e">
        <v>#N/A</v>
      </c>
      <c r="C410" s="1291" t="e">
        <v>#N/A</v>
      </c>
      <c r="D410" s="1291" t="e">
        <v>#N/A</v>
      </c>
      <c r="E410" s="334" t="e">
        <v>#N/A</v>
      </c>
      <c r="F410" s="1181" t="e">
        <v>#N/A</v>
      </c>
      <c r="G410" s="1291" t="e">
        <v>#N/A</v>
      </c>
      <c r="H410" s="1291" t="e">
        <v>#N/A</v>
      </c>
      <c r="I410" s="180" t="e">
        <v>#N/A</v>
      </c>
      <c r="J410" s="1181" t="e">
        <v>#N/A</v>
      </c>
      <c r="K410" s="1291" t="e">
        <v>#N/A</v>
      </c>
      <c r="L410" s="1291" t="e">
        <v>#N/A</v>
      </c>
      <c r="M410" s="180" t="e">
        <v>#N/A</v>
      </c>
      <c r="N410" s="1181" t="e">
        <v>#N/A</v>
      </c>
      <c r="O410" s="1291" t="e">
        <v>#N/A</v>
      </c>
      <c r="P410" s="1291" t="e">
        <v>#N/A</v>
      </c>
      <c r="Q410" s="180" t="e">
        <v>#N/A</v>
      </c>
      <c r="R410" s="334" t="e">
        <v>#N/A</v>
      </c>
      <c r="S410" s="1291" t="e">
        <v>#N/A</v>
      </c>
      <c r="T410" s="1291" t="e">
        <v>#N/A</v>
      </c>
      <c r="U410" s="180" t="e">
        <v>#N/A</v>
      </c>
      <c r="V410" s="334" t="e">
        <v>#N/A</v>
      </c>
      <c r="W410" s="1302" t="e">
        <v>#N/A</v>
      </c>
      <c r="X410" s="1181" t="e">
        <v>#N/A</v>
      </c>
      <c r="Y410" s="1302" t="e">
        <v>#N/A</v>
      </c>
      <c r="Z410" s="1311" t="e">
        <f t="shared" si="21"/>
        <v>#N/A</v>
      </c>
      <c r="AA410" s="1302" t="e">
        <v>#N/A</v>
      </c>
      <c r="AB410" s="1181" t="e">
        <v>#N/A</v>
      </c>
      <c r="AC410" s="1302" t="e">
        <v>#N/A</v>
      </c>
      <c r="AD410" s="1181" t="e">
        <v>#N/A</v>
      </c>
      <c r="AE410" s="1302" t="e">
        <v>#N/A</v>
      </c>
      <c r="AF410" s="1311" t="e">
        <f t="shared" si="22"/>
        <v>#N/A</v>
      </c>
      <c r="AG410" s="1322" t="e">
        <v>#N/A</v>
      </c>
    </row>
    <row r="411" spans="1:33">
      <c r="A411" s="134">
        <f t="shared" si="23"/>
        <v>2026.06</v>
      </c>
      <c r="B411" s="611" t="e">
        <v>#N/A</v>
      </c>
      <c r="C411" s="1291" t="e">
        <v>#N/A</v>
      </c>
      <c r="D411" s="1291" t="e">
        <v>#N/A</v>
      </c>
      <c r="E411" s="334" t="e">
        <v>#N/A</v>
      </c>
      <c r="F411" s="1181" t="e">
        <v>#N/A</v>
      </c>
      <c r="G411" s="1291" t="e">
        <v>#N/A</v>
      </c>
      <c r="H411" s="1291" t="e">
        <v>#N/A</v>
      </c>
      <c r="I411" s="180" t="e">
        <v>#N/A</v>
      </c>
      <c r="J411" s="1181" t="e">
        <v>#N/A</v>
      </c>
      <c r="K411" s="1291" t="e">
        <v>#N/A</v>
      </c>
      <c r="L411" s="1291" t="e">
        <v>#N/A</v>
      </c>
      <c r="M411" s="180" t="e">
        <v>#N/A</v>
      </c>
      <c r="N411" s="1181" t="e">
        <v>#N/A</v>
      </c>
      <c r="O411" s="1291" t="e">
        <v>#N/A</v>
      </c>
      <c r="P411" s="1291" t="e">
        <v>#N/A</v>
      </c>
      <c r="Q411" s="180" t="e">
        <v>#N/A</v>
      </c>
      <c r="R411" s="334" t="e">
        <v>#N/A</v>
      </c>
      <c r="S411" s="1291" t="e">
        <v>#N/A</v>
      </c>
      <c r="T411" s="1291" t="e">
        <v>#N/A</v>
      </c>
      <c r="U411" s="180" t="e">
        <v>#N/A</v>
      </c>
      <c r="V411" s="334" t="e">
        <v>#N/A</v>
      </c>
      <c r="W411" s="1302" t="e">
        <v>#N/A</v>
      </c>
      <c r="X411" s="1181" t="e">
        <v>#N/A</v>
      </c>
      <c r="Y411" s="1302" t="e">
        <v>#N/A</v>
      </c>
      <c r="Z411" s="1311" t="e">
        <f t="shared" si="21"/>
        <v>#N/A</v>
      </c>
      <c r="AA411" s="1302" t="e">
        <v>#N/A</v>
      </c>
      <c r="AB411" s="1181" t="e">
        <v>#N/A</v>
      </c>
      <c r="AC411" s="1302" t="e">
        <v>#N/A</v>
      </c>
      <c r="AD411" s="1181" t="e">
        <v>#N/A</v>
      </c>
      <c r="AE411" s="1302" t="e">
        <v>#N/A</v>
      </c>
      <c r="AF411" s="1311" t="e">
        <f t="shared" si="22"/>
        <v>#N/A</v>
      </c>
      <c r="AG411" s="1322" t="e">
        <v>#N/A</v>
      </c>
    </row>
    <row r="412" spans="1:33">
      <c r="A412" s="134">
        <f t="shared" si="23"/>
        <v>2026.07</v>
      </c>
      <c r="B412" s="611" t="e">
        <v>#N/A</v>
      </c>
      <c r="C412" s="1291" t="e">
        <v>#N/A</v>
      </c>
      <c r="D412" s="1291" t="e">
        <v>#N/A</v>
      </c>
      <c r="E412" s="334" t="e">
        <v>#N/A</v>
      </c>
      <c r="F412" s="1181" t="e">
        <v>#N/A</v>
      </c>
      <c r="G412" s="1291" t="e">
        <v>#N/A</v>
      </c>
      <c r="H412" s="1291" t="e">
        <v>#N/A</v>
      </c>
      <c r="I412" s="180" t="e">
        <v>#N/A</v>
      </c>
      <c r="J412" s="1181" t="e">
        <v>#N/A</v>
      </c>
      <c r="K412" s="1291" t="e">
        <v>#N/A</v>
      </c>
      <c r="L412" s="1291" t="e">
        <v>#N/A</v>
      </c>
      <c r="M412" s="180" t="e">
        <v>#N/A</v>
      </c>
      <c r="N412" s="1181" t="e">
        <v>#N/A</v>
      </c>
      <c r="O412" s="1291" t="e">
        <v>#N/A</v>
      </c>
      <c r="P412" s="1291" t="e">
        <v>#N/A</v>
      </c>
      <c r="Q412" s="180" t="e">
        <v>#N/A</v>
      </c>
      <c r="R412" s="334" t="e">
        <v>#N/A</v>
      </c>
      <c r="S412" s="1291" t="e">
        <v>#N/A</v>
      </c>
      <c r="T412" s="1291" t="e">
        <v>#N/A</v>
      </c>
      <c r="U412" s="180" t="e">
        <v>#N/A</v>
      </c>
      <c r="V412" s="334" t="e">
        <v>#N/A</v>
      </c>
      <c r="W412" s="1302" t="e">
        <v>#N/A</v>
      </c>
      <c r="X412" s="1181" t="e">
        <v>#N/A</v>
      </c>
      <c r="Y412" s="1302" t="e">
        <v>#N/A</v>
      </c>
      <c r="Z412" s="1311" t="e">
        <f t="shared" si="21"/>
        <v>#N/A</v>
      </c>
      <c r="AA412" s="1302" t="e">
        <v>#N/A</v>
      </c>
      <c r="AB412" s="1181" t="e">
        <v>#N/A</v>
      </c>
      <c r="AC412" s="1302" t="e">
        <v>#N/A</v>
      </c>
      <c r="AD412" s="1181" t="e">
        <v>#N/A</v>
      </c>
      <c r="AE412" s="1302" t="e">
        <v>#N/A</v>
      </c>
      <c r="AF412" s="1311" t="e">
        <f t="shared" si="22"/>
        <v>#N/A</v>
      </c>
      <c r="AG412" s="1322" t="e">
        <v>#N/A</v>
      </c>
    </row>
    <row r="413" spans="1:33">
      <c r="A413" s="134">
        <f t="shared" si="23"/>
        <v>2026.08</v>
      </c>
      <c r="B413" s="611" t="e">
        <v>#N/A</v>
      </c>
      <c r="C413" s="1291" t="e">
        <v>#N/A</v>
      </c>
      <c r="D413" s="1291" t="e">
        <v>#N/A</v>
      </c>
      <c r="E413" s="334" t="e">
        <v>#N/A</v>
      </c>
      <c r="F413" s="1181" t="e">
        <v>#N/A</v>
      </c>
      <c r="G413" s="1291" t="e">
        <v>#N/A</v>
      </c>
      <c r="H413" s="1291" t="e">
        <v>#N/A</v>
      </c>
      <c r="I413" s="180" t="e">
        <v>#N/A</v>
      </c>
      <c r="J413" s="1181" t="e">
        <v>#N/A</v>
      </c>
      <c r="K413" s="1291" t="e">
        <v>#N/A</v>
      </c>
      <c r="L413" s="1291" t="e">
        <v>#N/A</v>
      </c>
      <c r="M413" s="180" t="e">
        <v>#N/A</v>
      </c>
      <c r="N413" s="1181" t="e">
        <v>#N/A</v>
      </c>
      <c r="O413" s="1291" t="e">
        <v>#N/A</v>
      </c>
      <c r="P413" s="1291" t="e">
        <v>#N/A</v>
      </c>
      <c r="Q413" s="180" t="e">
        <v>#N/A</v>
      </c>
      <c r="R413" s="334" t="e">
        <v>#N/A</v>
      </c>
      <c r="S413" s="1291" t="e">
        <v>#N/A</v>
      </c>
      <c r="T413" s="1291" t="e">
        <v>#N/A</v>
      </c>
      <c r="U413" s="180" t="e">
        <v>#N/A</v>
      </c>
      <c r="V413" s="334" t="e">
        <v>#N/A</v>
      </c>
      <c r="W413" s="1302" t="e">
        <v>#N/A</v>
      </c>
      <c r="X413" s="1181" t="e">
        <v>#N/A</v>
      </c>
      <c r="Y413" s="1302" t="e">
        <v>#N/A</v>
      </c>
      <c r="Z413" s="1311" t="e">
        <f t="shared" si="21"/>
        <v>#N/A</v>
      </c>
      <c r="AA413" s="1302" t="e">
        <v>#N/A</v>
      </c>
      <c r="AB413" s="1181" t="e">
        <v>#N/A</v>
      </c>
      <c r="AC413" s="1302" t="e">
        <v>#N/A</v>
      </c>
      <c r="AD413" s="1181" t="e">
        <v>#N/A</v>
      </c>
      <c r="AE413" s="1302" t="e">
        <v>#N/A</v>
      </c>
      <c r="AF413" s="1311" t="e">
        <f t="shared" si="22"/>
        <v>#N/A</v>
      </c>
      <c r="AG413" s="1322" t="e">
        <v>#N/A</v>
      </c>
    </row>
    <row r="414" spans="1:33">
      <c r="A414" s="134">
        <f t="shared" si="23"/>
        <v>2026.09</v>
      </c>
      <c r="B414" s="611" t="e">
        <v>#N/A</v>
      </c>
      <c r="C414" s="1291" t="e">
        <v>#N/A</v>
      </c>
      <c r="D414" s="1291" t="e">
        <v>#N/A</v>
      </c>
      <c r="E414" s="334" t="e">
        <v>#N/A</v>
      </c>
      <c r="F414" s="1181" t="e">
        <v>#N/A</v>
      </c>
      <c r="G414" s="1291" t="e">
        <v>#N/A</v>
      </c>
      <c r="H414" s="1291" t="e">
        <v>#N/A</v>
      </c>
      <c r="I414" s="180" t="e">
        <v>#N/A</v>
      </c>
      <c r="J414" s="1181" t="e">
        <v>#N/A</v>
      </c>
      <c r="K414" s="1291" t="e">
        <v>#N/A</v>
      </c>
      <c r="L414" s="1291" t="e">
        <v>#N/A</v>
      </c>
      <c r="M414" s="180" t="e">
        <v>#N/A</v>
      </c>
      <c r="N414" s="1181" t="e">
        <v>#N/A</v>
      </c>
      <c r="O414" s="1291" t="e">
        <v>#N/A</v>
      </c>
      <c r="P414" s="1291" t="e">
        <v>#N/A</v>
      </c>
      <c r="Q414" s="180" t="e">
        <v>#N/A</v>
      </c>
      <c r="R414" s="334" t="e">
        <v>#N/A</v>
      </c>
      <c r="S414" s="1291" t="e">
        <v>#N/A</v>
      </c>
      <c r="T414" s="1291" t="e">
        <v>#N/A</v>
      </c>
      <c r="U414" s="180" t="e">
        <v>#N/A</v>
      </c>
      <c r="V414" s="334" t="e">
        <v>#N/A</v>
      </c>
      <c r="W414" s="1302" t="e">
        <v>#N/A</v>
      </c>
      <c r="X414" s="1181" t="e">
        <v>#N/A</v>
      </c>
      <c r="Y414" s="1302" t="e">
        <v>#N/A</v>
      </c>
      <c r="Z414" s="1311" t="e">
        <f t="shared" si="21"/>
        <v>#N/A</v>
      </c>
      <c r="AA414" s="1302" t="e">
        <v>#N/A</v>
      </c>
      <c r="AB414" s="1181" t="e">
        <v>#N/A</v>
      </c>
      <c r="AC414" s="1302" t="e">
        <v>#N/A</v>
      </c>
      <c r="AD414" s="1181" t="e">
        <v>#N/A</v>
      </c>
      <c r="AE414" s="1302" t="e">
        <v>#N/A</v>
      </c>
      <c r="AF414" s="1311" t="e">
        <f t="shared" si="22"/>
        <v>#N/A</v>
      </c>
      <c r="AG414" s="1322" t="e">
        <v>#N/A</v>
      </c>
    </row>
    <row r="415" spans="1:33">
      <c r="A415" s="134">
        <f t="shared" si="23"/>
        <v>2026.1</v>
      </c>
      <c r="B415" s="611" t="e">
        <v>#N/A</v>
      </c>
      <c r="C415" s="1291" t="e">
        <v>#N/A</v>
      </c>
      <c r="D415" s="1291" t="e">
        <v>#N/A</v>
      </c>
      <c r="E415" s="334" t="e">
        <v>#N/A</v>
      </c>
      <c r="F415" s="1181" t="e">
        <v>#N/A</v>
      </c>
      <c r="G415" s="1291" t="e">
        <v>#N/A</v>
      </c>
      <c r="H415" s="1291" t="e">
        <v>#N/A</v>
      </c>
      <c r="I415" s="180" t="e">
        <v>#N/A</v>
      </c>
      <c r="J415" s="1181" t="e">
        <v>#N/A</v>
      </c>
      <c r="K415" s="1291" t="e">
        <v>#N/A</v>
      </c>
      <c r="L415" s="1291" t="e">
        <v>#N/A</v>
      </c>
      <c r="M415" s="180" t="e">
        <v>#N/A</v>
      </c>
      <c r="N415" s="1181" t="e">
        <v>#N/A</v>
      </c>
      <c r="O415" s="1291" t="e">
        <v>#N/A</v>
      </c>
      <c r="P415" s="1291" t="e">
        <v>#N/A</v>
      </c>
      <c r="Q415" s="180" t="e">
        <v>#N/A</v>
      </c>
      <c r="R415" s="334" t="e">
        <v>#N/A</v>
      </c>
      <c r="S415" s="1291" t="e">
        <v>#N/A</v>
      </c>
      <c r="T415" s="1291" t="e">
        <v>#N/A</v>
      </c>
      <c r="U415" s="180" t="e">
        <v>#N/A</v>
      </c>
      <c r="V415" s="334" t="e">
        <v>#N/A</v>
      </c>
      <c r="W415" s="1302" t="e">
        <v>#N/A</v>
      </c>
      <c r="X415" s="1181" t="e">
        <v>#N/A</v>
      </c>
      <c r="Y415" s="1302" t="e">
        <v>#N/A</v>
      </c>
      <c r="Z415" s="1311" t="e">
        <f t="shared" si="21"/>
        <v>#N/A</v>
      </c>
      <c r="AA415" s="1302" t="e">
        <v>#N/A</v>
      </c>
      <c r="AB415" s="1181" t="e">
        <v>#N/A</v>
      </c>
      <c r="AC415" s="1302" t="e">
        <v>#N/A</v>
      </c>
      <c r="AD415" s="1181" t="e">
        <v>#N/A</v>
      </c>
      <c r="AE415" s="1302" t="e">
        <v>#N/A</v>
      </c>
      <c r="AF415" s="1311" t="e">
        <f t="shared" si="22"/>
        <v>#N/A</v>
      </c>
      <c r="AG415" s="1322" t="e">
        <v>#N/A</v>
      </c>
    </row>
    <row r="416" spans="1:33">
      <c r="A416" s="134">
        <f t="shared" si="23"/>
        <v>2026.11</v>
      </c>
      <c r="B416" s="611" t="e">
        <v>#N/A</v>
      </c>
      <c r="C416" s="1291" t="e">
        <v>#N/A</v>
      </c>
      <c r="D416" s="1291" t="e">
        <v>#N/A</v>
      </c>
      <c r="E416" s="334" t="e">
        <v>#N/A</v>
      </c>
      <c r="F416" s="1181" t="e">
        <v>#N/A</v>
      </c>
      <c r="G416" s="1291" t="e">
        <v>#N/A</v>
      </c>
      <c r="H416" s="1291" t="e">
        <v>#N/A</v>
      </c>
      <c r="I416" s="180" t="e">
        <v>#N/A</v>
      </c>
      <c r="J416" s="1181" t="e">
        <v>#N/A</v>
      </c>
      <c r="K416" s="1291" t="e">
        <v>#N/A</v>
      </c>
      <c r="L416" s="1291" t="e">
        <v>#N/A</v>
      </c>
      <c r="M416" s="180" t="e">
        <v>#N/A</v>
      </c>
      <c r="N416" s="1181" t="e">
        <v>#N/A</v>
      </c>
      <c r="O416" s="1291" t="e">
        <v>#N/A</v>
      </c>
      <c r="P416" s="1291" t="e">
        <v>#N/A</v>
      </c>
      <c r="Q416" s="180" t="e">
        <v>#N/A</v>
      </c>
      <c r="R416" s="334" t="e">
        <v>#N/A</v>
      </c>
      <c r="S416" s="1291" t="e">
        <v>#N/A</v>
      </c>
      <c r="T416" s="1291" t="e">
        <v>#N/A</v>
      </c>
      <c r="U416" s="180" t="e">
        <v>#N/A</v>
      </c>
      <c r="V416" s="334" t="e">
        <v>#N/A</v>
      </c>
      <c r="W416" s="1302" t="e">
        <v>#N/A</v>
      </c>
      <c r="X416" s="1181" t="e">
        <v>#N/A</v>
      </c>
      <c r="Y416" s="1302" t="e">
        <v>#N/A</v>
      </c>
      <c r="Z416" s="1311" t="e">
        <f t="shared" si="21"/>
        <v>#N/A</v>
      </c>
      <c r="AA416" s="1302" t="e">
        <v>#N/A</v>
      </c>
      <c r="AB416" s="1181" t="e">
        <v>#N/A</v>
      </c>
      <c r="AC416" s="1302" t="e">
        <v>#N/A</v>
      </c>
      <c r="AD416" s="1181" t="e">
        <v>#N/A</v>
      </c>
      <c r="AE416" s="1302" t="e">
        <v>#N/A</v>
      </c>
      <c r="AF416" s="1311" t="e">
        <f t="shared" si="22"/>
        <v>#N/A</v>
      </c>
      <c r="AG416" s="1322" t="e">
        <v>#N/A</v>
      </c>
    </row>
    <row r="417" spans="1:33">
      <c r="A417" s="134">
        <f t="shared" si="23"/>
        <v>2026.12</v>
      </c>
      <c r="B417" s="611" t="e">
        <v>#N/A</v>
      </c>
      <c r="C417" s="1291" t="e">
        <v>#N/A</v>
      </c>
      <c r="D417" s="1291" t="e">
        <v>#N/A</v>
      </c>
      <c r="E417" s="334" t="e">
        <v>#N/A</v>
      </c>
      <c r="F417" s="1181" t="e">
        <v>#N/A</v>
      </c>
      <c r="G417" s="1291" t="e">
        <v>#N/A</v>
      </c>
      <c r="H417" s="1291" t="e">
        <v>#N/A</v>
      </c>
      <c r="I417" s="180" t="e">
        <v>#N/A</v>
      </c>
      <c r="J417" s="1181" t="e">
        <v>#N/A</v>
      </c>
      <c r="K417" s="1291" t="e">
        <v>#N/A</v>
      </c>
      <c r="L417" s="1291" t="e">
        <v>#N/A</v>
      </c>
      <c r="M417" s="180" t="e">
        <v>#N/A</v>
      </c>
      <c r="N417" s="1181" t="e">
        <v>#N/A</v>
      </c>
      <c r="O417" s="1291" t="e">
        <v>#N/A</v>
      </c>
      <c r="P417" s="1291" t="e">
        <v>#N/A</v>
      </c>
      <c r="Q417" s="180" t="e">
        <v>#N/A</v>
      </c>
      <c r="R417" s="334" t="e">
        <v>#N/A</v>
      </c>
      <c r="S417" s="1291" t="e">
        <v>#N/A</v>
      </c>
      <c r="T417" s="1291" t="e">
        <v>#N/A</v>
      </c>
      <c r="U417" s="180" t="e">
        <v>#N/A</v>
      </c>
      <c r="V417" s="334" t="e">
        <v>#N/A</v>
      </c>
      <c r="W417" s="1302" t="e">
        <v>#N/A</v>
      </c>
      <c r="X417" s="1181" t="e">
        <v>#N/A</v>
      </c>
      <c r="Y417" s="1302" t="e">
        <v>#N/A</v>
      </c>
      <c r="Z417" s="1311" t="e">
        <f t="shared" si="21"/>
        <v>#N/A</v>
      </c>
      <c r="AA417" s="1302" t="e">
        <v>#N/A</v>
      </c>
      <c r="AB417" s="1181" t="e">
        <v>#N/A</v>
      </c>
      <c r="AC417" s="1302" t="e">
        <v>#N/A</v>
      </c>
      <c r="AD417" s="1181" t="e">
        <v>#N/A</v>
      </c>
      <c r="AE417" s="1302" t="e">
        <v>#N/A</v>
      </c>
      <c r="AF417" s="1311" t="e">
        <f t="shared" si="22"/>
        <v>#N/A</v>
      </c>
      <c r="AG417" s="1322" t="e">
        <v>#N/A</v>
      </c>
    </row>
    <row r="418" spans="1:33">
      <c r="A418" s="134">
        <f t="shared" si="23"/>
        <v>2027.01</v>
      </c>
      <c r="B418" s="611" t="e">
        <v>#N/A</v>
      </c>
      <c r="C418" s="1291" t="e">
        <v>#N/A</v>
      </c>
      <c r="D418" s="1291" t="e">
        <v>#N/A</v>
      </c>
      <c r="E418" s="334" t="e">
        <v>#N/A</v>
      </c>
      <c r="F418" s="1181" t="e">
        <v>#N/A</v>
      </c>
      <c r="G418" s="1291" t="e">
        <v>#N/A</v>
      </c>
      <c r="H418" s="1291" t="e">
        <v>#N/A</v>
      </c>
      <c r="I418" s="180" t="e">
        <v>#N/A</v>
      </c>
      <c r="J418" s="1181" t="e">
        <v>#N/A</v>
      </c>
      <c r="K418" s="1291" t="e">
        <v>#N/A</v>
      </c>
      <c r="L418" s="1291" t="e">
        <v>#N/A</v>
      </c>
      <c r="M418" s="180" t="e">
        <v>#N/A</v>
      </c>
      <c r="N418" s="1181" t="e">
        <v>#N/A</v>
      </c>
      <c r="O418" s="1291" t="e">
        <v>#N/A</v>
      </c>
      <c r="P418" s="1291" t="e">
        <v>#N/A</v>
      </c>
      <c r="Q418" s="180" t="e">
        <v>#N/A</v>
      </c>
      <c r="R418" s="334" t="e">
        <v>#N/A</v>
      </c>
      <c r="S418" s="1291" t="e">
        <v>#N/A</v>
      </c>
      <c r="T418" s="1291" t="e">
        <v>#N/A</v>
      </c>
      <c r="U418" s="180" t="e">
        <v>#N/A</v>
      </c>
      <c r="V418" s="334" t="e">
        <v>#N/A</v>
      </c>
      <c r="W418" s="1302" t="e">
        <v>#N/A</v>
      </c>
      <c r="X418" s="1181" t="e">
        <v>#N/A</v>
      </c>
      <c r="Y418" s="1302" t="e">
        <v>#N/A</v>
      </c>
      <c r="Z418" s="1311" t="e">
        <f t="shared" si="21"/>
        <v>#N/A</v>
      </c>
      <c r="AA418" s="1302" t="e">
        <v>#N/A</v>
      </c>
      <c r="AB418" s="1181" t="e">
        <v>#N/A</v>
      </c>
      <c r="AC418" s="1302" t="e">
        <v>#N/A</v>
      </c>
      <c r="AD418" s="1181" t="e">
        <v>#N/A</v>
      </c>
      <c r="AE418" s="1302" t="e">
        <v>#N/A</v>
      </c>
      <c r="AF418" s="1311" t="e">
        <f t="shared" si="22"/>
        <v>#N/A</v>
      </c>
      <c r="AG418" s="1322" t="e">
        <v>#N/A</v>
      </c>
    </row>
    <row r="419" spans="1:33">
      <c r="A419" s="134">
        <f t="shared" si="23"/>
        <v>2027.02</v>
      </c>
      <c r="B419" s="611" t="e">
        <v>#N/A</v>
      </c>
      <c r="C419" s="1291" t="e">
        <v>#N/A</v>
      </c>
      <c r="D419" s="1291" t="e">
        <v>#N/A</v>
      </c>
      <c r="E419" s="334" t="e">
        <v>#N/A</v>
      </c>
      <c r="F419" s="1181" t="e">
        <v>#N/A</v>
      </c>
      <c r="G419" s="1291" t="e">
        <v>#N/A</v>
      </c>
      <c r="H419" s="1291" t="e">
        <v>#N/A</v>
      </c>
      <c r="I419" s="180" t="e">
        <v>#N/A</v>
      </c>
      <c r="J419" s="1181" t="e">
        <v>#N/A</v>
      </c>
      <c r="K419" s="1291" t="e">
        <v>#N/A</v>
      </c>
      <c r="L419" s="1291" t="e">
        <v>#N/A</v>
      </c>
      <c r="M419" s="180" t="e">
        <v>#N/A</v>
      </c>
      <c r="N419" s="1181" t="e">
        <v>#N/A</v>
      </c>
      <c r="O419" s="1291" t="e">
        <v>#N/A</v>
      </c>
      <c r="P419" s="1291" t="e">
        <v>#N/A</v>
      </c>
      <c r="Q419" s="180" t="e">
        <v>#N/A</v>
      </c>
      <c r="R419" s="334" t="e">
        <v>#N/A</v>
      </c>
      <c r="S419" s="1291" t="e">
        <v>#N/A</v>
      </c>
      <c r="T419" s="1291" t="e">
        <v>#N/A</v>
      </c>
      <c r="U419" s="180" t="e">
        <v>#N/A</v>
      </c>
      <c r="V419" s="334" t="e">
        <v>#N/A</v>
      </c>
      <c r="W419" s="1302" t="e">
        <v>#N/A</v>
      </c>
      <c r="X419" s="1181" t="e">
        <v>#N/A</v>
      </c>
      <c r="Y419" s="1302" t="e">
        <v>#N/A</v>
      </c>
      <c r="Z419" s="1311" t="e">
        <f t="shared" si="21"/>
        <v>#N/A</v>
      </c>
      <c r="AA419" s="1302" t="e">
        <v>#N/A</v>
      </c>
      <c r="AB419" s="1181" t="e">
        <v>#N/A</v>
      </c>
      <c r="AC419" s="1302" t="e">
        <v>#N/A</v>
      </c>
      <c r="AD419" s="1181" t="e">
        <v>#N/A</v>
      </c>
      <c r="AE419" s="1302" t="e">
        <v>#N/A</v>
      </c>
      <c r="AF419" s="1311" t="e">
        <f t="shared" si="22"/>
        <v>#N/A</v>
      </c>
      <c r="AG419" s="1322" t="e">
        <v>#N/A</v>
      </c>
    </row>
    <row r="420" spans="1:33">
      <c r="A420" s="134">
        <f t="shared" si="23"/>
        <v>2027.03</v>
      </c>
      <c r="B420" s="611" t="e">
        <v>#N/A</v>
      </c>
      <c r="C420" s="1291" t="e">
        <v>#N/A</v>
      </c>
      <c r="D420" s="1291" t="e">
        <v>#N/A</v>
      </c>
      <c r="E420" s="334" t="e">
        <v>#N/A</v>
      </c>
      <c r="F420" s="1181" t="e">
        <v>#N/A</v>
      </c>
      <c r="G420" s="1291" t="e">
        <v>#N/A</v>
      </c>
      <c r="H420" s="1291" t="e">
        <v>#N/A</v>
      </c>
      <c r="I420" s="180" t="e">
        <v>#N/A</v>
      </c>
      <c r="J420" s="1181" t="e">
        <v>#N/A</v>
      </c>
      <c r="K420" s="1291" t="e">
        <v>#N/A</v>
      </c>
      <c r="L420" s="1291" t="e">
        <v>#N/A</v>
      </c>
      <c r="M420" s="180" t="e">
        <v>#N/A</v>
      </c>
      <c r="N420" s="1181" t="e">
        <v>#N/A</v>
      </c>
      <c r="O420" s="1291" t="e">
        <v>#N/A</v>
      </c>
      <c r="P420" s="1291" t="e">
        <v>#N/A</v>
      </c>
      <c r="Q420" s="180" t="e">
        <v>#N/A</v>
      </c>
      <c r="R420" s="334" t="e">
        <v>#N/A</v>
      </c>
      <c r="S420" s="1291" t="e">
        <v>#N/A</v>
      </c>
      <c r="T420" s="1291" t="e">
        <v>#N/A</v>
      </c>
      <c r="U420" s="180" t="e">
        <v>#N/A</v>
      </c>
      <c r="V420" s="334" t="e">
        <v>#N/A</v>
      </c>
      <c r="W420" s="1302" t="e">
        <v>#N/A</v>
      </c>
      <c r="X420" s="1181" t="e">
        <v>#N/A</v>
      </c>
      <c r="Y420" s="1302" t="e">
        <v>#N/A</v>
      </c>
      <c r="Z420" s="1311" t="e">
        <f t="shared" ref="Z420:Z465" si="24">SUM(V420:Y420)</f>
        <v>#N/A</v>
      </c>
      <c r="AA420" s="1302" t="e">
        <v>#N/A</v>
      </c>
      <c r="AB420" s="1181" t="e">
        <v>#N/A</v>
      </c>
      <c r="AC420" s="1302" t="e">
        <v>#N/A</v>
      </c>
      <c r="AD420" s="1181" t="e">
        <v>#N/A</v>
      </c>
      <c r="AE420" s="1302" t="e">
        <v>#N/A</v>
      </c>
      <c r="AF420" s="1311" t="e">
        <f t="shared" ref="AF420:AF465" si="25">SUM(AB420:AE420)</f>
        <v>#N/A</v>
      </c>
      <c r="AG420" s="1322" t="e">
        <v>#N/A</v>
      </c>
    </row>
    <row r="421" spans="1:33">
      <c r="A421" s="134">
        <f t="shared" si="23"/>
        <v>2027.04</v>
      </c>
      <c r="B421" s="611" t="e">
        <v>#N/A</v>
      </c>
      <c r="C421" s="1291" t="e">
        <v>#N/A</v>
      </c>
      <c r="D421" s="1291" t="e">
        <v>#N/A</v>
      </c>
      <c r="E421" s="334" t="e">
        <v>#N/A</v>
      </c>
      <c r="F421" s="1181" t="e">
        <v>#N/A</v>
      </c>
      <c r="G421" s="1291" t="e">
        <v>#N/A</v>
      </c>
      <c r="H421" s="1291" t="e">
        <v>#N/A</v>
      </c>
      <c r="I421" s="180" t="e">
        <v>#N/A</v>
      </c>
      <c r="J421" s="1181" t="e">
        <v>#N/A</v>
      </c>
      <c r="K421" s="1291" t="e">
        <v>#N/A</v>
      </c>
      <c r="L421" s="1291" t="e">
        <v>#N/A</v>
      </c>
      <c r="M421" s="180" t="e">
        <v>#N/A</v>
      </c>
      <c r="N421" s="1181" t="e">
        <v>#N/A</v>
      </c>
      <c r="O421" s="1291" t="e">
        <v>#N/A</v>
      </c>
      <c r="P421" s="1291" t="e">
        <v>#N/A</v>
      </c>
      <c r="Q421" s="180" t="e">
        <v>#N/A</v>
      </c>
      <c r="R421" s="334" t="e">
        <v>#N/A</v>
      </c>
      <c r="S421" s="1291" t="e">
        <v>#N/A</v>
      </c>
      <c r="T421" s="1291" t="e">
        <v>#N/A</v>
      </c>
      <c r="U421" s="180" t="e">
        <v>#N/A</v>
      </c>
      <c r="V421" s="334" t="e">
        <v>#N/A</v>
      </c>
      <c r="W421" s="1302" t="e">
        <v>#N/A</v>
      </c>
      <c r="X421" s="1181" t="e">
        <v>#N/A</v>
      </c>
      <c r="Y421" s="1302" t="e">
        <v>#N/A</v>
      </c>
      <c r="Z421" s="1311" t="e">
        <f t="shared" si="24"/>
        <v>#N/A</v>
      </c>
      <c r="AA421" s="1302" t="e">
        <v>#N/A</v>
      </c>
      <c r="AB421" s="1181" t="e">
        <v>#N/A</v>
      </c>
      <c r="AC421" s="1302" t="e">
        <v>#N/A</v>
      </c>
      <c r="AD421" s="1181" t="e">
        <v>#N/A</v>
      </c>
      <c r="AE421" s="1302" t="e">
        <v>#N/A</v>
      </c>
      <c r="AF421" s="1311" t="e">
        <f t="shared" si="25"/>
        <v>#N/A</v>
      </c>
      <c r="AG421" s="1322" t="e">
        <v>#N/A</v>
      </c>
    </row>
    <row r="422" spans="1:33">
      <c r="A422" s="134">
        <f t="shared" si="23"/>
        <v>2027.05</v>
      </c>
      <c r="B422" s="611" t="e">
        <v>#N/A</v>
      </c>
      <c r="C422" s="1291" t="e">
        <v>#N/A</v>
      </c>
      <c r="D422" s="1291" t="e">
        <v>#N/A</v>
      </c>
      <c r="E422" s="334" t="e">
        <v>#N/A</v>
      </c>
      <c r="F422" s="1181" t="e">
        <v>#N/A</v>
      </c>
      <c r="G422" s="1291" t="e">
        <v>#N/A</v>
      </c>
      <c r="H422" s="1291" t="e">
        <v>#N/A</v>
      </c>
      <c r="I422" s="180" t="e">
        <v>#N/A</v>
      </c>
      <c r="J422" s="1181" t="e">
        <v>#N/A</v>
      </c>
      <c r="K422" s="1291" t="e">
        <v>#N/A</v>
      </c>
      <c r="L422" s="1291" t="e">
        <v>#N/A</v>
      </c>
      <c r="M422" s="180" t="e">
        <v>#N/A</v>
      </c>
      <c r="N422" s="1181" t="e">
        <v>#N/A</v>
      </c>
      <c r="O422" s="1291" t="e">
        <v>#N/A</v>
      </c>
      <c r="P422" s="1291" t="e">
        <v>#N/A</v>
      </c>
      <c r="Q422" s="180" t="e">
        <v>#N/A</v>
      </c>
      <c r="R422" s="334" t="e">
        <v>#N/A</v>
      </c>
      <c r="S422" s="1291" t="e">
        <v>#N/A</v>
      </c>
      <c r="T422" s="1291" t="e">
        <v>#N/A</v>
      </c>
      <c r="U422" s="180" t="e">
        <v>#N/A</v>
      </c>
      <c r="V422" s="334" t="e">
        <v>#N/A</v>
      </c>
      <c r="W422" s="1302" t="e">
        <v>#N/A</v>
      </c>
      <c r="X422" s="1181" t="e">
        <v>#N/A</v>
      </c>
      <c r="Y422" s="1302" t="e">
        <v>#N/A</v>
      </c>
      <c r="Z422" s="1311" t="e">
        <f t="shared" si="24"/>
        <v>#N/A</v>
      </c>
      <c r="AA422" s="1302" t="e">
        <v>#N/A</v>
      </c>
      <c r="AB422" s="1181" t="e">
        <v>#N/A</v>
      </c>
      <c r="AC422" s="1302" t="e">
        <v>#N/A</v>
      </c>
      <c r="AD422" s="1181" t="e">
        <v>#N/A</v>
      </c>
      <c r="AE422" s="1302" t="e">
        <v>#N/A</v>
      </c>
      <c r="AF422" s="1311" t="e">
        <f t="shared" si="25"/>
        <v>#N/A</v>
      </c>
      <c r="AG422" s="1322" t="e">
        <v>#N/A</v>
      </c>
    </row>
    <row r="423" spans="1:33">
      <c r="A423" s="134">
        <f t="shared" si="23"/>
        <v>2027.06</v>
      </c>
      <c r="B423" s="611" t="e">
        <v>#N/A</v>
      </c>
      <c r="C423" s="1291" t="e">
        <v>#N/A</v>
      </c>
      <c r="D423" s="1291" t="e">
        <v>#N/A</v>
      </c>
      <c r="E423" s="334" t="e">
        <v>#N/A</v>
      </c>
      <c r="F423" s="1181" t="e">
        <v>#N/A</v>
      </c>
      <c r="G423" s="1291" t="e">
        <v>#N/A</v>
      </c>
      <c r="H423" s="1291" t="e">
        <v>#N/A</v>
      </c>
      <c r="I423" s="180" t="e">
        <v>#N/A</v>
      </c>
      <c r="J423" s="1181" t="e">
        <v>#N/A</v>
      </c>
      <c r="K423" s="1291" t="e">
        <v>#N/A</v>
      </c>
      <c r="L423" s="1291" t="e">
        <v>#N/A</v>
      </c>
      <c r="M423" s="180" t="e">
        <v>#N/A</v>
      </c>
      <c r="N423" s="1181" t="e">
        <v>#N/A</v>
      </c>
      <c r="O423" s="1291" t="e">
        <v>#N/A</v>
      </c>
      <c r="P423" s="1291" t="e">
        <v>#N/A</v>
      </c>
      <c r="Q423" s="180" t="e">
        <v>#N/A</v>
      </c>
      <c r="R423" s="334" t="e">
        <v>#N/A</v>
      </c>
      <c r="S423" s="1291" t="e">
        <v>#N/A</v>
      </c>
      <c r="T423" s="1291" t="e">
        <v>#N/A</v>
      </c>
      <c r="U423" s="180" t="e">
        <v>#N/A</v>
      </c>
      <c r="V423" s="334" t="e">
        <v>#N/A</v>
      </c>
      <c r="W423" s="1302" t="e">
        <v>#N/A</v>
      </c>
      <c r="X423" s="1181" t="e">
        <v>#N/A</v>
      </c>
      <c r="Y423" s="1302" t="e">
        <v>#N/A</v>
      </c>
      <c r="Z423" s="1311" t="e">
        <f t="shared" si="24"/>
        <v>#N/A</v>
      </c>
      <c r="AA423" s="1302" t="e">
        <v>#N/A</v>
      </c>
      <c r="AB423" s="1181" t="e">
        <v>#N/A</v>
      </c>
      <c r="AC423" s="1302" t="e">
        <v>#N/A</v>
      </c>
      <c r="AD423" s="1181" t="e">
        <v>#N/A</v>
      </c>
      <c r="AE423" s="1302" t="e">
        <v>#N/A</v>
      </c>
      <c r="AF423" s="1311" t="e">
        <f t="shared" si="25"/>
        <v>#N/A</v>
      </c>
      <c r="AG423" s="1322" t="e">
        <v>#N/A</v>
      </c>
    </row>
    <row r="424" spans="1:33">
      <c r="A424" s="134">
        <f t="shared" si="23"/>
        <v>2027.07</v>
      </c>
      <c r="B424" s="611" t="e">
        <v>#N/A</v>
      </c>
      <c r="C424" s="1291" t="e">
        <v>#N/A</v>
      </c>
      <c r="D424" s="1291" t="e">
        <v>#N/A</v>
      </c>
      <c r="E424" s="334" t="e">
        <v>#N/A</v>
      </c>
      <c r="F424" s="1181" t="e">
        <v>#N/A</v>
      </c>
      <c r="G424" s="1291" t="e">
        <v>#N/A</v>
      </c>
      <c r="H424" s="1291" t="e">
        <v>#N/A</v>
      </c>
      <c r="I424" s="180" t="e">
        <v>#N/A</v>
      </c>
      <c r="J424" s="1181" t="e">
        <v>#N/A</v>
      </c>
      <c r="K424" s="1291" t="e">
        <v>#N/A</v>
      </c>
      <c r="L424" s="1291" t="e">
        <v>#N/A</v>
      </c>
      <c r="M424" s="180" t="e">
        <v>#N/A</v>
      </c>
      <c r="N424" s="1181" t="e">
        <v>#N/A</v>
      </c>
      <c r="O424" s="1291" t="e">
        <v>#N/A</v>
      </c>
      <c r="P424" s="1291" t="e">
        <v>#N/A</v>
      </c>
      <c r="Q424" s="180" t="e">
        <v>#N/A</v>
      </c>
      <c r="R424" s="334" t="e">
        <v>#N/A</v>
      </c>
      <c r="S424" s="1291" t="e">
        <v>#N/A</v>
      </c>
      <c r="T424" s="1291" t="e">
        <v>#N/A</v>
      </c>
      <c r="U424" s="180" t="e">
        <v>#N/A</v>
      </c>
      <c r="V424" s="334" t="e">
        <v>#N/A</v>
      </c>
      <c r="W424" s="1302" t="e">
        <v>#N/A</v>
      </c>
      <c r="X424" s="1181" t="e">
        <v>#N/A</v>
      </c>
      <c r="Y424" s="1302" t="e">
        <v>#N/A</v>
      </c>
      <c r="Z424" s="1311" t="e">
        <f t="shared" si="24"/>
        <v>#N/A</v>
      </c>
      <c r="AA424" s="1302" t="e">
        <v>#N/A</v>
      </c>
      <c r="AB424" s="1181" t="e">
        <v>#N/A</v>
      </c>
      <c r="AC424" s="1302" t="e">
        <v>#N/A</v>
      </c>
      <c r="AD424" s="1181" t="e">
        <v>#N/A</v>
      </c>
      <c r="AE424" s="1302" t="e">
        <v>#N/A</v>
      </c>
      <c r="AF424" s="1311" t="e">
        <f t="shared" si="25"/>
        <v>#N/A</v>
      </c>
      <c r="AG424" s="1322" t="e">
        <v>#N/A</v>
      </c>
    </row>
    <row r="425" spans="1:33">
      <c r="A425" s="134">
        <f t="shared" si="23"/>
        <v>2027.08</v>
      </c>
      <c r="B425" s="611" t="e">
        <v>#N/A</v>
      </c>
      <c r="C425" s="1291" t="e">
        <v>#N/A</v>
      </c>
      <c r="D425" s="1291" t="e">
        <v>#N/A</v>
      </c>
      <c r="E425" s="334" t="e">
        <v>#N/A</v>
      </c>
      <c r="F425" s="1181" t="e">
        <v>#N/A</v>
      </c>
      <c r="G425" s="1291" t="e">
        <v>#N/A</v>
      </c>
      <c r="H425" s="1291" t="e">
        <v>#N/A</v>
      </c>
      <c r="I425" s="180" t="e">
        <v>#N/A</v>
      </c>
      <c r="J425" s="1181" t="e">
        <v>#N/A</v>
      </c>
      <c r="K425" s="1291" t="e">
        <v>#N/A</v>
      </c>
      <c r="L425" s="1291" t="e">
        <v>#N/A</v>
      </c>
      <c r="M425" s="180" t="e">
        <v>#N/A</v>
      </c>
      <c r="N425" s="1181" t="e">
        <v>#N/A</v>
      </c>
      <c r="O425" s="1291" t="e">
        <v>#N/A</v>
      </c>
      <c r="P425" s="1291" t="e">
        <v>#N/A</v>
      </c>
      <c r="Q425" s="180" t="e">
        <v>#N/A</v>
      </c>
      <c r="R425" s="334" t="e">
        <v>#N/A</v>
      </c>
      <c r="S425" s="1291" t="e">
        <v>#N/A</v>
      </c>
      <c r="T425" s="1291" t="e">
        <v>#N/A</v>
      </c>
      <c r="U425" s="180" t="e">
        <v>#N/A</v>
      </c>
      <c r="V425" s="334" t="e">
        <v>#N/A</v>
      </c>
      <c r="W425" s="1302" t="e">
        <v>#N/A</v>
      </c>
      <c r="X425" s="1181" t="e">
        <v>#N/A</v>
      </c>
      <c r="Y425" s="1302" t="e">
        <v>#N/A</v>
      </c>
      <c r="Z425" s="1311" t="e">
        <f t="shared" si="24"/>
        <v>#N/A</v>
      </c>
      <c r="AA425" s="1302" t="e">
        <v>#N/A</v>
      </c>
      <c r="AB425" s="1181" t="e">
        <v>#N/A</v>
      </c>
      <c r="AC425" s="1302" t="e">
        <v>#N/A</v>
      </c>
      <c r="AD425" s="1181" t="e">
        <v>#N/A</v>
      </c>
      <c r="AE425" s="1302" t="e">
        <v>#N/A</v>
      </c>
      <c r="AF425" s="1311" t="e">
        <f t="shared" si="25"/>
        <v>#N/A</v>
      </c>
      <c r="AG425" s="1322" t="e">
        <v>#N/A</v>
      </c>
    </row>
    <row r="426" spans="1:33">
      <c r="A426" s="134">
        <f t="shared" si="23"/>
        <v>2027.09</v>
      </c>
      <c r="B426" s="611" t="e">
        <v>#N/A</v>
      </c>
      <c r="C426" s="1291" t="e">
        <v>#N/A</v>
      </c>
      <c r="D426" s="1291" t="e">
        <v>#N/A</v>
      </c>
      <c r="E426" s="334" t="e">
        <v>#N/A</v>
      </c>
      <c r="F426" s="1181" t="e">
        <v>#N/A</v>
      </c>
      <c r="G426" s="1291" t="e">
        <v>#N/A</v>
      </c>
      <c r="H426" s="1291" t="e">
        <v>#N/A</v>
      </c>
      <c r="I426" s="180" t="e">
        <v>#N/A</v>
      </c>
      <c r="J426" s="1181" t="e">
        <v>#N/A</v>
      </c>
      <c r="K426" s="1291" t="e">
        <v>#N/A</v>
      </c>
      <c r="L426" s="1291" t="e">
        <v>#N/A</v>
      </c>
      <c r="M426" s="180" t="e">
        <v>#N/A</v>
      </c>
      <c r="N426" s="1181" t="e">
        <v>#N/A</v>
      </c>
      <c r="O426" s="1291" t="e">
        <v>#N/A</v>
      </c>
      <c r="P426" s="1291" t="e">
        <v>#N/A</v>
      </c>
      <c r="Q426" s="180" t="e">
        <v>#N/A</v>
      </c>
      <c r="R426" s="334" t="e">
        <v>#N/A</v>
      </c>
      <c r="S426" s="1291" t="e">
        <v>#N/A</v>
      </c>
      <c r="T426" s="1291" t="e">
        <v>#N/A</v>
      </c>
      <c r="U426" s="180" t="e">
        <v>#N/A</v>
      </c>
      <c r="V426" s="334" t="e">
        <v>#N/A</v>
      </c>
      <c r="W426" s="1302" t="e">
        <v>#N/A</v>
      </c>
      <c r="X426" s="1181" t="e">
        <v>#N/A</v>
      </c>
      <c r="Y426" s="1302" t="e">
        <v>#N/A</v>
      </c>
      <c r="Z426" s="1311" t="e">
        <f t="shared" si="24"/>
        <v>#N/A</v>
      </c>
      <c r="AA426" s="1302" t="e">
        <v>#N/A</v>
      </c>
      <c r="AB426" s="1181" t="e">
        <v>#N/A</v>
      </c>
      <c r="AC426" s="1302" t="e">
        <v>#N/A</v>
      </c>
      <c r="AD426" s="1181" t="e">
        <v>#N/A</v>
      </c>
      <c r="AE426" s="1302" t="e">
        <v>#N/A</v>
      </c>
      <c r="AF426" s="1311" t="e">
        <f t="shared" si="25"/>
        <v>#N/A</v>
      </c>
      <c r="AG426" s="1322" t="e">
        <v>#N/A</v>
      </c>
    </row>
    <row r="427" spans="1:33">
      <c r="A427" s="134">
        <f t="shared" si="23"/>
        <v>2027.1</v>
      </c>
      <c r="B427" s="611" t="e">
        <v>#N/A</v>
      </c>
      <c r="C427" s="1291" t="e">
        <v>#N/A</v>
      </c>
      <c r="D427" s="1291" t="e">
        <v>#N/A</v>
      </c>
      <c r="E427" s="334" t="e">
        <v>#N/A</v>
      </c>
      <c r="F427" s="1181" t="e">
        <v>#N/A</v>
      </c>
      <c r="G427" s="1291" t="e">
        <v>#N/A</v>
      </c>
      <c r="H427" s="1291" t="e">
        <v>#N/A</v>
      </c>
      <c r="I427" s="180" t="e">
        <v>#N/A</v>
      </c>
      <c r="J427" s="1181" t="e">
        <v>#N/A</v>
      </c>
      <c r="K427" s="1291" t="e">
        <v>#N/A</v>
      </c>
      <c r="L427" s="1291" t="e">
        <v>#N/A</v>
      </c>
      <c r="M427" s="180" t="e">
        <v>#N/A</v>
      </c>
      <c r="N427" s="1181" t="e">
        <v>#N/A</v>
      </c>
      <c r="O427" s="1291" t="e">
        <v>#N/A</v>
      </c>
      <c r="P427" s="1291" t="e">
        <v>#N/A</v>
      </c>
      <c r="Q427" s="180" t="e">
        <v>#N/A</v>
      </c>
      <c r="R427" s="334" t="e">
        <v>#N/A</v>
      </c>
      <c r="S427" s="1291" t="e">
        <v>#N/A</v>
      </c>
      <c r="T427" s="1291" t="e">
        <v>#N/A</v>
      </c>
      <c r="U427" s="180" t="e">
        <v>#N/A</v>
      </c>
      <c r="V427" s="334" t="e">
        <v>#N/A</v>
      </c>
      <c r="W427" s="1302" t="e">
        <v>#N/A</v>
      </c>
      <c r="X427" s="1181" t="e">
        <v>#N/A</v>
      </c>
      <c r="Y427" s="1302" t="e">
        <v>#N/A</v>
      </c>
      <c r="Z427" s="1311" t="e">
        <f t="shared" si="24"/>
        <v>#N/A</v>
      </c>
      <c r="AA427" s="1302" t="e">
        <v>#N/A</v>
      </c>
      <c r="AB427" s="1181" t="e">
        <v>#N/A</v>
      </c>
      <c r="AC427" s="1302" t="e">
        <v>#N/A</v>
      </c>
      <c r="AD427" s="1181" t="e">
        <v>#N/A</v>
      </c>
      <c r="AE427" s="1302" t="e">
        <v>#N/A</v>
      </c>
      <c r="AF427" s="1311" t="e">
        <f t="shared" si="25"/>
        <v>#N/A</v>
      </c>
      <c r="AG427" s="1322" t="e">
        <v>#N/A</v>
      </c>
    </row>
    <row r="428" spans="1:33">
      <c r="A428" s="134">
        <f t="shared" si="23"/>
        <v>2027.11</v>
      </c>
      <c r="B428" s="611" t="e">
        <v>#N/A</v>
      </c>
      <c r="C428" s="1291" t="e">
        <v>#N/A</v>
      </c>
      <c r="D428" s="1291" t="e">
        <v>#N/A</v>
      </c>
      <c r="E428" s="334" t="e">
        <v>#N/A</v>
      </c>
      <c r="F428" s="1181" t="e">
        <v>#N/A</v>
      </c>
      <c r="G428" s="1291" t="e">
        <v>#N/A</v>
      </c>
      <c r="H428" s="1291" t="e">
        <v>#N/A</v>
      </c>
      <c r="I428" s="180" t="e">
        <v>#N/A</v>
      </c>
      <c r="J428" s="1181" t="e">
        <v>#N/A</v>
      </c>
      <c r="K428" s="1291" t="e">
        <v>#N/A</v>
      </c>
      <c r="L428" s="1291" t="e">
        <v>#N/A</v>
      </c>
      <c r="M428" s="180" t="e">
        <v>#N/A</v>
      </c>
      <c r="N428" s="1181" t="e">
        <v>#N/A</v>
      </c>
      <c r="O428" s="1291" t="e">
        <v>#N/A</v>
      </c>
      <c r="P428" s="1291" t="e">
        <v>#N/A</v>
      </c>
      <c r="Q428" s="180" t="e">
        <v>#N/A</v>
      </c>
      <c r="R428" s="334" t="e">
        <v>#N/A</v>
      </c>
      <c r="S428" s="1291" t="e">
        <v>#N/A</v>
      </c>
      <c r="T428" s="1291" t="e">
        <v>#N/A</v>
      </c>
      <c r="U428" s="180" t="e">
        <v>#N/A</v>
      </c>
      <c r="V428" s="334" t="e">
        <v>#N/A</v>
      </c>
      <c r="W428" s="1302" t="e">
        <v>#N/A</v>
      </c>
      <c r="X428" s="1181" t="e">
        <v>#N/A</v>
      </c>
      <c r="Y428" s="1302" t="e">
        <v>#N/A</v>
      </c>
      <c r="Z428" s="1311" t="e">
        <f t="shared" si="24"/>
        <v>#N/A</v>
      </c>
      <c r="AA428" s="1302" t="e">
        <v>#N/A</v>
      </c>
      <c r="AB428" s="1181" t="e">
        <v>#N/A</v>
      </c>
      <c r="AC428" s="1302" t="e">
        <v>#N/A</v>
      </c>
      <c r="AD428" s="1181" t="e">
        <v>#N/A</v>
      </c>
      <c r="AE428" s="1302" t="e">
        <v>#N/A</v>
      </c>
      <c r="AF428" s="1311" t="e">
        <f t="shared" si="25"/>
        <v>#N/A</v>
      </c>
      <c r="AG428" s="1322" t="e">
        <v>#N/A</v>
      </c>
    </row>
    <row r="429" spans="1:33">
      <c r="A429" s="134">
        <f t="shared" si="23"/>
        <v>2027.12</v>
      </c>
      <c r="B429" s="611" t="e">
        <v>#N/A</v>
      </c>
      <c r="C429" s="1291" t="e">
        <v>#N/A</v>
      </c>
      <c r="D429" s="1291" t="e">
        <v>#N/A</v>
      </c>
      <c r="E429" s="334" t="e">
        <v>#N/A</v>
      </c>
      <c r="F429" s="1181" t="e">
        <v>#N/A</v>
      </c>
      <c r="G429" s="1291" t="e">
        <v>#N/A</v>
      </c>
      <c r="H429" s="1291" t="e">
        <v>#N/A</v>
      </c>
      <c r="I429" s="180" t="e">
        <v>#N/A</v>
      </c>
      <c r="J429" s="1181" t="e">
        <v>#N/A</v>
      </c>
      <c r="K429" s="1291" t="e">
        <v>#N/A</v>
      </c>
      <c r="L429" s="1291" t="e">
        <v>#N/A</v>
      </c>
      <c r="M429" s="180" t="e">
        <v>#N/A</v>
      </c>
      <c r="N429" s="1181" t="e">
        <v>#N/A</v>
      </c>
      <c r="O429" s="1291" t="e">
        <v>#N/A</v>
      </c>
      <c r="P429" s="1291" t="e">
        <v>#N/A</v>
      </c>
      <c r="Q429" s="180" t="e">
        <v>#N/A</v>
      </c>
      <c r="R429" s="334" t="e">
        <v>#N/A</v>
      </c>
      <c r="S429" s="1291" t="e">
        <v>#N/A</v>
      </c>
      <c r="T429" s="1291" t="e">
        <v>#N/A</v>
      </c>
      <c r="U429" s="180" t="e">
        <v>#N/A</v>
      </c>
      <c r="V429" s="334" t="e">
        <v>#N/A</v>
      </c>
      <c r="W429" s="1302" t="e">
        <v>#N/A</v>
      </c>
      <c r="X429" s="1181" t="e">
        <v>#N/A</v>
      </c>
      <c r="Y429" s="1302" t="e">
        <v>#N/A</v>
      </c>
      <c r="Z429" s="1311" t="e">
        <f t="shared" si="24"/>
        <v>#N/A</v>
      </c>
      <c r="AA429" s="1302" t="e">
        <v>#N/A</v>
      </c>
      <c r="AB429" s="1181" t="e">
        <v>#N/A</v>
      </c>
      <c r="AC429" s="1302" t="e">
        <v>#N/A</v>
      </c>
      <c r="AD429" s="1181" t="e">
        <v>#N/A</v>
      </c>
      <c r="AE429" s="1302" t="e">
        <v>#N/A</v>
      </c>
      <c r="AF429" s="1311" t="e">
        <f t="shared" si="25"/>
        <v>#N/A</v>
      </c>
      <c r="AG429" s="1322" t="e">
        <v>#N/A</v>
      </c>
    </row>
    <row r="430" spans="1:33">
      <c r="A430" s="134">
        <f t="shared" si="23"/>
        <v>2028.01</v>
      </c>
      <c r="B430" s="611" t="e">
        <v>#N/A</v>
      </c>
      <c r="C430" s="1291" t="e">
        <v>#N/A</v>
      </c>
      <c r="D430" s="1291" t="e">
        <v>#N/A</v>
      </c>
      <c r="E430" s="334" t="e">
        <v>#N/A</v>
      </c>
      <c r="F430" s="1181" t="e">
        <v>#N/A</v>
      </c>
      <c r="G430" s="1291" t="e">
        <v>#N/A</v>
      </c>
      <c r="H430" s="1291" t="e">
        <v>#N/A</v>
      </c>
      <c r="I430" s="180" t="e">
        <v>#N/A</v>
      </c>
      <c r="J430" s="1181" t="e">
        <v>#N/A</v>
      </c>
      <c r="K430" s="1291" t="e">
        <v>#N/A</v>
      </c>
      <c r="L430" s="1291" t="e">
        <v>#N/A</v>
      </c>
      <c r="M430" s="180" t="e">
        <v>#N/A</v>
      </c>
      <c r="N430" s="1181" t="e">
        <v>#N/A</v>
      </c>
      <c r="O430" s="1291" t="e">
        <v>#N/A</v>
      </c>
      <c r="P430" s="1291" t="e">
        <v>#N/A</v>
      </c>
      <c r="Q430" s="180" t="e">
        <v>#N/A</v>
      </c>
      <c r="R430" s="334" t="e">
        <v>#N/A</v>
      </c>
      <c r="S430" s="1291" t="e">
        <v>#N/A</v>
      </c>
      <c r="T430" s="1291" t="e">
        <v>#N/A</v>
      </c>
      <c r="U430" s="180" t="e">
        <v>#N/A</v>
      </c>
      <c r="V430" s="334" t="e">
        <v>#N/A</v>
      </c>
      <c r="W430" s="1302" t="e">
        <v>#N/A</v>
      </c>
      <c r="X430" s="1181" t="e">
        <v>#N/A</v>
      </c>
      <c r="Y430" s="1302" t="e">
        <v>#N/A</v>
      </c>
      <c r="Z430" s="1311" t="e">
        <f t="shared" si="24"/>
        <v>#N/A</v>
      </c>
      <c r="AA430" s="1302" t="e">
        <v>#N/A</v>
      </c>
      <c r="AB430" s="1181" t="e">
        <v>#N/A</v>
      </c>
      <c r="AC430" s="1302" t="e">
        <v>#N/A</v>
      </c>
      <c r="AD430" s="1181" t="e">
        <v>#N/A</v>
      </c>
      <c r="AE430" s="1302" t="e">
        <v>#N/A</v>
      </c>
      <c r="AF430" s="1311" t="e">
        <f t="shared" si="25"/>
        <v>#N/A</v>
      </c>
      <c r="AG430" s="1322" t="e">
        <v>#N/A</v>
      </c>
    </row>
    <row r="431" spans="1:33">
      <c r="A431" s="134">
        <f t="shared" si="23"/>
        <v>2028.02</v>
      </c>
      <c r="B431" s="611" t="e">
        <v>#N/A</v>
      </c>
      <c r="C431" s="1291" t="e">
        <v>#N/A</v>
      </c>
      <c r="D431" s="1291" t="e">
        <v>#N/A</v>
      </c>
      <c r="E431" s="334" t="e">
        <v>#N/A</v>
      </c>
      <c r="F431" s="1181" t="e">
        <v>#N/A</v>
      </c>
      <c r="G431" s="1291" t="e">
        <v>#N/A</v>
      </c>
      <c r="H431" s="1291" t="e">
        <v>#N/A</v>
      </c>
      <c r="I431" s="180" t="e">
        <v>#N/A</v>
      </c>
      <c r="J431" s="1181" t="e">
        <v>#N/A</v>
      </c>
      <c r="K431" s="1291" t="e">
        <v>#N/A</v>
      </c>
      <c r="L431" s="1291" t="e">
        <v>#N/A</v>
      </c>
      <c r="M431" s="180" t="e">
        <v>#N/A</v>
      </c>
      <c r="N431" s="1181" t="e">
        <v>#N/A</v>
      </c>
      <c r="O431" s="1291" t="e">
        <v>#N/A</v>
      </c>
      <c r="P431" s="1291" t="e">
        <v>#N/A</v>
      </c>
      <c r="Q431" s="180" t="e">
        <v>#N/A</v>
      </c>
      <c r="R431" s="334" t="e">
        <v>#N/A</v>
      </c>
      <c r="S431" s="1291" t="e">
        <v>#N/A</v>
      </c>
      <c r="T431" s="1291" t="e">
        <v>#N/A</v>
      </c>
      <c r="U431" s="180" t="e">
        <v>#N/A</v>
      </c>
      <c r="V431" s="334" t="e">
        <v>#N/A</v>
      </c>
      <c r="W431" s="1302" t="e">
        <v>#N/A</v>
      </c>
      <c r="X431" s="1181" t="e">
        <v>#N/A</v>
      </c>
      <c r="Y431" s="1302" t="e">
        <v>#N/A</v>
      </c>
      <c r="Z431" s="1311" t="e">
        <f t="shared" si="24"/>
        <v>#N/A</v>
      </c>
      <c r="AA431" s="1302" t="e">
        <v>#N/A</v>
      </c>
      <c r="AB431" s="1181" t="e">
        <v>#N/A</v>
      </c>
      <c r="AC431" s="1302" t="e">
        <v>#N/A</v>
      </c>
      <c r="AD431" s="1181" t="e">
        <v>#N/A</v>
      </c>
      <c r="AE431" s="1302" t="e">
        <v>#N/A</v>
      </c>
      <c r="AF431" s="1311" t="e">
        <f t="shared" si="25"/>
        <v>#N/A</v>
      </c>
      <c r="AG431" s="1322" t="e">
        <v>#N/A</v>
      </c>
    </row>
    <row r="432" spans="1:33">
      <c r="A432" s="134">
        <f t="shared" si="23"/>
        <v>2028.03</v>
      </c>
      <c r="B432" s="611" t="e">
        <v>#N/A</v>
      </c>
      <c r="C432" s="1291" t="e">
        <v>#N/A</v>
      </c>
      <c r="D432" s="1291" t="e">
        <v>#N/A</v>
      </c>
      <c r="E432" s="334" t="e">
        <v>#N/A</v>
      </c>
      <c r="F432" s="1181" t="e">
        <v>#N/A</v>
      </c>
      <c r="G432" s="1291" t="e">
        <v>#N/A</v>
      </c>
      <c r="H432" s="1291" t="e">
        <v>#N/A</v>
      </c>
      <c r="I432" s="180" t="e">
        <v>#N/A</v>
      </c>
      <c r="J432" s="1181" t="e">
        <v>#N/A</v>
      </c>
      <c r="K432" s="1291" t="e">
        <v>#N/A</v>
      </c>
      <c r="L432" s="1291" t="e">
        <v>#N/A</v>
      </c>
      <c r="M432" s="180" t="e">
        <v>#N/A</v>
      </c>
      <c r="N432" s="1181" t="e">
        <v>#N/A</v>
      </c>
      <c r="O432" s="1291" t="e">
        <v>#N/A</v>
      </c>
      <c r="P432" s="1291" t="e">
        <v>#N/A</v>
      </c>
      <c r="Q432" s="180" t="e">
        <v>#N/A</v>
      </c>
      <c r="R432" s="334" t="e">
        <v>#N/A</v>
      </c>
      <c r="S432" s="1291" t="e">
        <v>#N/A</v>
      </c>
      <c r="T432" s="1291" t="e">
        <v>#N/A</v>
      </c>
      <c r="U432" s="180" t="e">
        <v>#N/A</v>
      </c>
      <c r="V432" s="334" t="e">
        <v>#N/A</v>
      </c>
      <c r="W432" s="1302" t="e">
        <v>#N/A</v>
      </c>
      <c r="X432" s="1181" t="e">
        <v>#N/A</v>
      </c>
      <c r="Y432" s="1302" t="e">
        <v>#N/A</v>
      </c>
      <c r="Z432" s="1311" t="e">
        <f t="shared" si="24"/>
        <v>#N/A</v>
      </c>
      <c r="AA432" s="1302" t="e">
        <v>#N/A</v>
      </c>
      <c r="AB432" s="1181" t="e">
        <v>#N/A</v>
      </c>
      <c r="AC432" s="1302" t="e">
        <v>#N/A</v>
      </c>
      <c r="AD432" s="1181" t="e">
        <v>#N/A</v>
      </c>
      <c r="AE432" s="1302" t="e">
        <v>#N/A</v>
      </c>
      <c r="AF432" s="1311" t="e">
        <f t="shared" si="25"/>
        <v>#N/A</v>
      </c>
      <c r="AG432" s="1322" t="e">
        <v>#N/A</v>
      </c>
    </row>
    <row r="433" spans="1:33">
      <c r="A433" s="134">
        <f t="shared" si="23"/>
        <v>2028.04</v>
      </c>
      <c r="B433" s="611" t="e">
        <v>#N/A</v>
      </c>
      <c r="C433" s="1291" t="e">
        <v>#N/A</v>
      </c>
      <c r="D433" s="1291" t="e">
        <v>#N/A</v>
      </c>
      <c r="E433" s="334" t="e">
        <v>#N/A</v>
      </c>
      <c r="F433" s="1181" t="e">
        <v>#N/A</v>
      </c>
      <c r="G433" s="1291" t="e">
        <v>#N/A</v>
      </c>
      <c r="H433" s="1291" t="e">
        <v>#N/A</v>
      </c>
      <c r="I433" s="180" t="e">
        <v>#N/A</v>
      </c>
      <c r="J433" s="1181" t="e">
        <v>#N/A</v>
      </c>
      <c r="K433" s="1291" t="e">
        <v>#N/A</v>
      </c>
      <c r="L433" s="1291" t="e">
        <v>#N/A</v>
      </c>
      <c r="M433" s="180" t="e">
        <v>#N/A</v>
      </c>
      <c r="N433" s="1181" t="e">
        <v>#N/A</v>
      </c>
      <c r="O433" s="1291" t="e">
        <v>#N/A</v>
      </c>
      <c r="P433" s="1291" t="e">
        <v>#N/A</v>
      </c>
      <c r="Q433" s="180" t="e">
        <v>#N/A</v>
      </c>
      <c r="R433" s="334" t="e">
        <v>#N/A</v>
      </c>
      <c r="S433" s="1291" t="e">
        <v>#N/A</v>
      </c>
      <c r="T433" s="1291" t="e">
        <v>#N/A</v>
      </c>
      <c r="U433" s="180" t="e">
        <v>#N/A</v>
      </c>
      <c r="V433" s="334" t="e">
        <v>#N/A</v>
      </c>
      <c r="W433" s="1302" t="e">
        <v>#N/A</v>
      </c>
      <c r="X433" s="1181" t="e">
        <v>#N/A</v>
      </c>
      <c r="Y433" s="1302" t="e">
        <v>#N/A</v>
      </c>
      <c r="Z433" s="1311" t="e">
        <f t="shared" si="24"/>
        <v>#N/A</v>
      </c>
      <c r="AA433" s="1302" t="e">
        <v>#N/A</v>
      </c>
      <c r="AB433" s="1181" t="e">
        <v>#N/A</v>
      </c>
      <c r="AC433" s="1302" t="e">
        <v>#N/A</v>
      </c>
      <c r="AD433" s="1181" t="e">
        <v>#N/A</v>
      </c>
      <c r="AE433" s="1302" t="e">
        <v>#N/A</v>
      </c>
      <c r="AF433" s="1311" t="e">
        <f t="shared" si="25"/>
        <v>#N/A</v>
      </c>
      <c r="AG433" s="1322" t="e">
        <v>#N/A</v>
      </c>
    </row>
    <row r="434" spans="1:33">
      <c r="A434" s="134">
        <f t="shared" si="23"/>
        <v>2028.05</v>
      </c>
      <c r="B434" s="611" t="e">
        <v>#N/A</v>
      </c>
      <c r="C434" s="1291" t="e">
        <v>#N/A</v>
      </c>
      <c r="D434" s="1291" t="e">
        <v>#N/A</v>
      </c>
      <c r="E434" s="334" t="e">
        <v>#N/A</v>
      </c>
      <c r="F434" s="1181" t="e">
        <v>#N/A</v>
      </c>
      <c r="G434" s="1291" t="e">
        <v>#N/A</v>
      </c>
      <c r="H434" s="1291" t="e">
        <v>#N/A</v>
      </c>
      <c r="I434" s="180" t="e">
        <v>#N/A</v>
      </c>
      <c r="J434" s="1181" t="e">
        <v>#N/A</v>
      </c>
      <c r="K434" s="1291" t="e">
        <v>#N/A</v>
      </c>
      <c r="L434" s="1291" t="e">
        <v>#N/A</v>
      </c>
      <c r="M434" s="180" t="e">
        <v>#N/A</v>
      </c>
      <c r="N434" s="1181" t="e">
        <v>#N/A</v>
      </c>
      <c r="O434" s="1291" t="e">
        <v>#N/A</v>
      </c>
      <c r="P434" s="1291" t="e">
        <v>#N/A</v>
      </c>
      <c r="Q434" s="180" t="e">
        <v>#N/A</v>
      </c>
      <c r="R434" s="334" t="e">
        <v>#N/A</v>
      </c>
      <c r="S434" s="1291" t="e">
        <v>#N/A</v>
      </c>
      <c r="T434" s="1291" t="e">
        <v>#N/A</v>
      </c>
      <c r="U434" s="180" t="e">
        <v>#N/A</v>
      </c>
      <c r="V434" s="334" t="e">
        <v>#N/A</v>
      </c>
      <c r="W434" s="1302" t="e">
        <v>#N/A</v>
      </c>
      <c r="X434" s="1181" t="e">
        <v>#N/A</v>
      </c>
      <c r="Y434" s="1302" t="e">
        <v>#N/A</v>
      </c>
      <c r="Z434" s="1311" t="e">
        <f t="shared" si="24"/>
        <v>#N/A</v>
      </c>
      <c r="AA434" s="1302" t="e">
        <v>#N/A</v>
      </c>
      <c r="AB434" s="1181" t="e">
        <v>#N/A</v>
      </c>
      <c r="AC434" s="1302" t="e">
        <v>#N/A</v>
      </c>
      <c r="AD434" s="1181" t="e">
        <v>#N/A</v>
      </c>
      <c r="AE434" s="1302" t="e">
        <v>#N/A</v>
      </c>
      <c r="AF434" s="1311" t="e">
        <f t="shared" si="25"/>
        <v>#N/A</v>
      </c>
      <c r="AG434" s="1322" t="e">
        <v>#N/A</v>
      </c>
    </row>
    <row r="435" spans="1:33">
      <c r="A435" s="134">
        <f t="shared" si="23"/>
        <v>2028.06</v>
      </c>
      <c r="B435" s="611" t="e">
        <v>#N/A</v>
      </c>
      <c r="C435" s="1291" t="e">
        <v>#N/A</v>
      </c>
      <c r="D435" s="1291" t="e">
        <v>#N/A</v>
      </c>
      <c r="E435" s="334" t="e">
        <v>#N/A</v>
      </c>
      <c r="F435" s="1181" t="e">
        <v>#N/A</v>
      </c>
      <c r="G435" s="1291" t="e">
        <v>#N/A</v>
      </c>
      <c r="H435" s="1291" t="e">
        <v>#N/A</v>
      </c>
      <c r="I435" s="180" t="e">
        <v>#N/A</v>
      </c>
      <c r="J435" s="1181" t="e">
        <v>#N/A</v>
      </c>
      <c r="K435" s="1291" t="e">
        <v>#N/A</v>
      </c>
      <c r="L435" s="1291" t="e">
        <v>#N/A</v>
      </c>
      <c r="M435" s="180" t="e">
        <v>#N/A</v>
      </c>
      <c r="N435" s="1181" t="e">
        <v>#N/A</v>
      </c>
      <c r="O435" s="1291" t="e">
        <v>#N/A</v>
      </c>
      <c r="P435" s="1291" t="e">
        <v>#N/A</v>
      </c>
      <c r="Q435" s="180" t="e">
        <v>#N/A</v>
      </c>
      <c r="R435" s="334" t="e">
        <v>#N/A</v>
      </c>
      <c r="S435" s="1291" t="e">
        <v>#N/A</v>
      </c>
      <c r="T435" s="1291" t="e">
        <v>#N/A</v>
      </c>
      <c r="U435" s="180" t="e">
        <v>#N/A</v>
      </c>
      <c r="V435" s="334" t="e">
        <v>#N/A</v>
      </c>
      <c r="W435" s="1302" t="e">
        <v>#N/A</v>
      </c>
      <c r="X435" s="1181" t="e">
        <v>#N/A</v>
      </c>
      <c r="Y435" s="1302" t="e">
        <v>#N/A</v>
      </c>
      <c r="Z435" s="1311" t="e">
        <f t="shared" si="24"/>
        <v>#N/A</v>
      </c>
      <c r="AA435" s="1302" t="e">
        <v>#N/A</v>
      </c>
      <c r="AB435" s="1181" t="e">
        <v>#N/A</v>
      </c>
      <c r="AC435" s="1302" t="e">
        <v>#N/A</v>
      </c>
      <c r="AD435" s="1181" t="e">
        <v>#N/A</v>
      </c>
      <c r="AE435" s="1302" t="e">
        <v>#N/A</v>
      </c>
      <c r="AF435" s="1311" t="e">
        <f t="shared" si="25"/>
        <v>#N/A</v>
      </c>
      <c r="AG435" s="1322" t="e">
        <v>#N/A</v>
      </c>
    </row>
    <row r="436" spans="1:33">
      <c r="A436" s="134">
        <f t="shared" si="23"/>
        <v>2028.07</v>
      </c>
      <c r="B436" s="611" t="e">
        <v>#N/A</v>
      </c>
      <c r="C436" s="1291" t="e">
        <v>#N/A</v>
      </c>
      <c r="D436" s="1291" t="e">
        <v>#N/A</v>
      </c>
      <c r="E436" s="334" t="e">
        <v>#N/A</v>
      </c>
      <c r="F436" s="1181" t="e">
        <v>#N/A</v>
      </c>
      <c r="G436" s="1291" t="e">
        <v>#N/A</v>
      </c>
      <c r="H436" s="1291" t="e">
        <v>#N/A</v>
      </c>
      <c r="I436" s="180" t="e">
        <v>#N/A</v>
      </c>
      <c r="J436" s="1181" t="e">
        <v>#N/A</v>
      </c>
      <c r="K436" s="1291" t="e">
        <v>#N/A</v>
      </c>
      <c r="L436" s="1291" t="e">
        <v>#N/A</v>
      </c>
      <c r="M436" s="180" t="e">
        <v>#N/A</v>
      </c>
      <c r="N436" s="1181" t="e">
        <v>#N/A</v>
      </c>
      <c r="O436" s="1291" t="e">
        <v>#N/A</v>
      </c>
      <c r="P436" s="1291" t="e">
        <v>#N/A</v>
      </c>
      <c r="Q436" s="180" t="e">
        <v>#N/A</v>
      </c>
      <c r="R436" s="334" t="e">
        <v>#N/A</v>
      </c>
      <c r="S436" s="1291" t="e">
        <v>#N/A</v>
      </c>
      <c r="T436" s="1291" t="e">
        <v>#N/A</v>
      </c>
      <c r="U436" s="180" t="e">
        <v>#N/A</v>
      </c>
      <c r="V436" s="334" t="e">
        <v>#N/A</v>
      </c>
      <c r="W436" s="1302" t="e">
        <v>#N/A</v>
      </c>
      <c r="X436" s="1181" t="e">
        <v>#N/A</v>
      </c>
      <c r="Y436" s="1302" t="e">
        <v>#N/A</v>
      </c>
      <c r="Z436" s="1311" t="e">
        <f t="shared" si="24"/>
        <v>#N/A</v>
      </c>
      <c r="AA436" s="1302" t="e">
        <v>#N/A</v>
      </c>
      <c r="AB436" s="1181" t="e">
        <v>#N/A</v>
      </c>
      <c r="AC436" s="1302" t="e">
        <v>#N/A</v>
      </c>
      <c r="AD436" s="1181" t="e">
        <v>#N/A</v>
      </c>
      <c r="AE436" s="1302" t="e">
        <v>#N/A</v>
      </c>
      <c r="AF436" s="1311" t="e">
        <f t="shared" si="25"/>
        <v>#N/A</v>
      </c>
      <c r="AG436" s="1322" t="e">
        <v>#N/A</v>
      </c>
    </row>
    <row r="437" spans="1:33">
      <c r="A437" s="134">
        <f t="shared" si="23"/>
        <v>2028.08</v>
      </c>
      <c r="B437" s="611" t="e">
        <v>#N/A</v>
      </c>
      <c r="C437" s="1291" t="e">
        <v>#N/A</v>
      </c>
      <c r="D437" s="1291" t="e">
        <v>#N/A</v>
      </c>
      <c r="E437" s="334" t="e">
        <v>#N/A</v>
      </c>
      <c r="F437" s="1181" t="e">
        <v>#N/A</v>
      </c>
      <c r="G437" s="1291" t="e">
        <v>#N/A</v>
      </c>
      <c r="H437" s="1291" t="e">
        <v>#N/A</v>
      </c>
      <c r="I437" s="180" t="e">
        <v>#N/A</v>
      </c>
      <c r="J437" s="1181" t="e">
        <v>#N/A</v>
      </c>
      <c r="K437" s="1291" t="e">
        <v>#N/A</v>
      </c>
      <c r="L437" s="1291" t="e">
        <v>#N/A</v>
      </c>
      <c r="M437" s="180" t="e">
        <v>#N/A</v>
      </c>
      <c r="N437" s="1181" t="e">
        <v>#N/A</v>
      </c>
      <c r="O437" s="1291" t="e">
        <v>#N/A</v>
      </c>
      <c r="P437" s="1291" t="e">
        <v>#N/A</v>
      </c>
      <c r="Q437" s="180" t="e">
        <v>#N/A</v>
      </c>
      <c r="R437" s="334" t="e">
        <v>#N/A</v>
      </c>
      <c r="S437" s="1291" t="e">
        <v>#N/A</v>
      </c>
      <c r="T437" s="1291" t="e">
        <v>#N/A</v>
      </c>
      <c r="U437" s="180" t="e">
        <v>#N/A</v>
      </c>
      <c r="V437" s="334" t="e">
        <v>#N/A</v>
      </c>
      <c r="W437" s="1302" t="e">
        <v>#N/A</v>
      </c>
      <c r="X437" s="1181" t="e">
        <v>#N/A</v>
      </c>
      <c r="Y437" s="1302" t="e">
        <v>#N/A</v>
      </c>
      <c r="Z437" s="1311" t="e">
        <f t="shared" si="24"/>
        <v>#N/A</v>
      </c>
      <c r="AA437" s="1302" t="e">
        <v>#N/A</v>
      </c>
      <c r="AB437" s="1181" t="e">
        <v>#N/A</v>
      </c>
      <c r="AC437" s="1302" t="e">
        <v>#N/A</v>
      </c>
      <c r="AD437" s="1181" t="e">
        <v>#N/A</v>
      </c>
      <c r="AE437" s="1302" t="e">
        <v>#N/A</v>
      </c>
      <c r="AF437" s="1311" t="e">
        <f t="shared" si="25"/>
        <v>#N/A</v>
      </c>
      <c r="AG437" s="1322" t="e">
        <v>#N/A</v>
      </c>
    </row>
    <row r="438" spans="1:33">
      <c r="A438" s="134">
        <f t="shared" si="23"/>
        <v>2028.09</v>
      </c>
      <c r="B438" s="611" t="e">
        <v>#N/A</v>
      </c>
      <c r="C438" s="1291" t="e">
        <v>#N/A</v>
      </c>
      <c r="D438" s="1291" t="e">
        <v>#N/A</v>
      </c>
      <c r="E438" s="334" t="e">
        <v>#N/A</v>
      </c>
      <c r="F438" s="1181" t="e">
        <v>#N/A</v>
      </c>
      <c r="G438" s="1291" t="e">
        <v>#N/A</v>
      </c>
      <c r="H438" s="1291" t="e">
        <v>#N/A</v>
      </c>
      <c r="I438" s="180" t="e">
        <v>#N/A</v>
      </c>
      <c r="J438" s="1181" t="e">
        <v>#N/A</v>
      </c>
      <c r="K438" s="1291" t="e">
        <v>#N/A</v>
      </c>
      <c r="L438" s="1291" t="e">
        <v>#N/A</v>
      </c>
      <c r="M438" s="180" t="e">
        <v>#N/A</v>
      </c>
      <c r="N438" s="1181" t="e">
        <v>#N/A</v>
      </c>
      <c r="O438" s="1291" t="e">
        <v>#N/A</v>
      </c>
      <c r="P438" s="1291" t="e">
        <v>#N/A</v>
      </c>
      <c r="Q438" s="180" t="e">
        <v>#N/A</v>
      </c>
      <c r="R438" s="334" t="e">
        <v>#N/A</v>
      </c>
      <c r="S438" s="1291" t="e">
        <v>#N/A</v>
      </c>
      <c r="T438" s="1291" t="e">
        <v>#N/A</v>
      </c>
      <c r="U438" s="180" t="e">
        <v>#N/A</v>
      </c>
      <c r="V438" s="334" t="e">
        <v>#N/A</v>
      </c>
      <c r="W438" s="1302" t="e">
        <v>#N/A</v>
      </c>
      <c r="X438" s="1181" t="e">
        <v>#N/A</v>
      </c>
      <c r="Y438" s="1302" t="e">
        <v>#N/A</v>
      </c>
      <c r="Z438" s="1311" t="e">
        <f t="shared" si="24"/>
        <v>#N/A</v>
      </c>
      <c r="AA438" s="1302" t="e">
        <v>#N/A</v>
      </c>
      <c r="AB438" s="1181" t="e">
        <v>#N/A</v>
      </c>
      <c r="AC438" s="1302" t="e">
        <v>#N/A</v>
      </c>
      <c r="AD438" s="1181" t="e">
        <v>#N/A</v>
      </c>
      <c r="AE438" s="1302" t="e">
        <v>#N/A</v>
      </c>
      <c r="AF438" s="1311" t="e">
        <f t="shared" si="25"/>
        <v>#N/A</v>
      </c>
      <c r="AG438" s="1322" t="e">
        <v>#N/A</v>
      </c>
    </row>
    <row r="439" spans="1:33">
      <c r="A439" s="134">
        <f t="shared" si="23"/>
        <v>2028.1</v>
      </c>
      <c r="B439" s="611" t="e">
        <v>#N/A</v>
      </c>
      <c r="C439" s="1291" t="e">
        <v>#N/A</v>
      </c>
      <c r="D439" s="1291" t="e">
        <v>#N/A</v>
      </c>
      <c r="E439" s="334" t="e">
        <v>#N/A</v>
      </c>
      <c r="F439" s="1181" t="e">
        <v>#N/A</v>
      </c>
      <c r="G439" s="1291" t="e">
        <v>#N/A</v>
      </c>
      <c r="H439" s="1291" t="e">
        <v>#N/A</v>
      </c>
      <c r="I439" s="180" t="e">
        <v>#N/A</v>
      </c>
      <c r="J439" s="1181" t="e">
        <v>#N/A</v>
      </c>
      <c r="K439" s="1291" t="e">
        <v>#N/A</v>
      </c>
      <c r="L439" s="1291" t="e">
        <v>#N/A</v>
      </c>
      <c r="M439" s="180" t="e">
        <v>#N/A</v>
      </c>
      <c r="N439" s="1181" t="e">
        <v>#N/A</v>
      </c>
      <c r="O439" s="1291" t="e">
        <v>#N/A</v>
      </c>
      <c r="P439" s="1291" t="e">
        <v>#N/A</v>
      </c>
      <c r="Q439" s="180" t="e">
        <v>#N/A</v>
      </c>
      <c r="R439" s="334" t="e">
        <v>#N/A</v>
      </c>
      <c r="S439" s="1291" t="e">
        <v>#N/A</v>
      </c>
      <c r="T439" s="1291" t="e">
        <v>#N/A</v>
      </c>
      <c r="U439" s="180" t="e">
        <v>#N/A</v>
      </c>
      <c r="V439" s="334" t="e">
        <v>#N/A</v>
      </c>
      <c r="W439" s="1302" t="e">
        <v>#N/A</v>
      </c>
      <c r="X439" s="1181" t="e">
        <v>#N/A</v>
      </c>
      <c r="Y439" s="1302" t="e">
        <v>#N/A</v>
      </c>
      <c r="Z439" s="1311" t="e">
        <f t="shared" si="24"/>
        <v>#N/A</v>
      </c>
      <c r="AA439" s="1302" t="e">
        <v>#N/A</v>
      </c>
      <c r="AB439" s="1181" t="e">
        <v>#N/A</v>
      </c>
      <c r="AC439" s="1302" t="e">
        <v>#N/A</v>
      </c>
      <c r="AD439" s="1181" t="e">
        <v>#N/A</v>
      </c>
      <c r="AE439" s="1302" t="e">
        <v>#N/A</v>
      </c>
      <c r="AF439" s="1311" t="e">
        <f t="shared" si="25"/>
        <v>#N/A</v>
      </c>
      <c r="AG439" s="1322" t="e">
        <v>#N/A</v>
      </c>
    </row>
    <row r="440" spans="1:33">
      <c r="A440" s="134">
        <f t="shared" si="23"/>
        <v>2028.11</v>
      </c>
      <c r="B440" s="611" t="e">
        <v>#N/A</v>
      </c>
      <c r="C440" s="1291" t="e">
        <v>#N/A</v>
      </c>
      <c r="D440" s="1291" t="e">
        <v>#N/A</v>
      </c>
      <c r="E440" s="334" t="e">
        <v>#N/A</v>
      </c>
      <c r="F440" s="1181" t="e">
        <v>#N/A</v>
      </c>
      <c r="G440" s="1291" t="e">
        <v>#N/A</v>
      </c>
      <c r="H440" s="1291" t="e">
        <v>#N/A</v>
      </c>
      <c r="I440" s="180" t="e">
        <v>#N/A</v>
      </c>
      <c r="J440" s="1181" t="e">
        <v>#N/A</v>
      </c>
      <c r="K440" s="1291" t="e">
        <v>#N/A</v>
      </c>
      <c r="L440" s="1291" t="e">
        <v>#N/A</v>
      </c>
      <c r="M440" s="180" t="e">
        <v>#N/A</v>
      </c>
      <c r="N440" s="1181" t="e">
        <v>#N/A</v>
      </c>
      <c r="O440" s="1291" t="e">
        <v>#N/A</v>
      </c>
      <c r="P440" s="1291" t="e">
        <v>#N/A</v>
      </c>
      <c r="Q440" s="180" t="e">
        <v>#N/A</v>
      </c>
      <c r="R440" s="334" t="e">
        <v>#N/A</v>
      </c>
      <c r="S440" s="1291" t="e">
        <v>#N/A</v>
      </c>
      <c r="T440" s="1291" t="e">
        <v>#N/A</v>
      </c>
      <c r="U440" s="180" t="e">
        <v>#N/A</v>
      </c>
      <c r="V440" s="334" t="e">
        <v>#N/A</v>
      </c>
      <c r="W440" s="1302" t="e">
        <v>#N/A</v>
      </c>
      <c r="X440" s="1181" t="e">
        <v>#N/A</v>
      </c>
      <c r="Y440" s="1302" t="e">
        <v>#N/A</v>
      </c>
      <c r="Z440" s="1311" t="e">
        <f t="shared" si="24"/>
        <v>#N/A</v>
      </c>
      <c r="AA440" s="1302" t="e">
        <v>#N/A</v>
      </c>
      <c r="AB440" s="1181" t="e">
        <v>#N/A</v>
      </c>
      <c r="AC440" s="1302" t="e">
        <v>#N/A</v>
      </c>
      <c r="AD440" s="1181" t="e">
        <v>#N/A</v>
      </c>
      <c r="AE440" s="1302" t="e">
        <v>#N/A</v>
      </c>
      <c r="AF440" s="1311" t="e">
        <f t="shared" si="25"/>
        <v>#N/A</v>
      </c>
      <c r="AG440" s="1322" t="e">
        <v>#N/A</v>
      </c>
    </row>
    <row r="441" spans="1:33">
      <c r="A441" s="134">
        <f t="shared" si="23"/>
        <v>2028.12</v>
      </c>
      <c r="B441" s="611" t="e">
        <v>#N/A</v>
      </c>
      <c r="C441" s="1291" t="e">
        <v>#N/A</v>
      </c>
      <c r="D441" s="1291" t="e">
        <v>#N/A</v>
      </c>
      <c r="E441" s="334" t="e">
        <v>#N/A</v>
      </c>
      <c r="F441" s="1181" t="e">
        <v>#N/A</v>
      </c>
      <c r="G441" s="1291" t="e">
        <v>#N/A</v>
      </c>
      <c r="H441" s="1291" t="e">
        <v>#N/A</v>
      </c>
      <c r="I441" s="180" t="e">
        <v>#N/A</v>
      </c>
      <c r="J441" s="1181" t="e">
        <v>#N/A</v>
      </c>
      <c r="K441" s="1291" t="e">
        <v>#N/A</v>
      </c>
      <c r="L441" s="1291" t="e">
        <v>#N/A</v>
      </c>
      <c r="M441" s="180" t="e">
        <v>#N/A</v>
      </c>
      <c r="N441" s="1181" t="e">
        <v>#N/A</v>
      </c>
      <c r="O441" s="1291" t="e">
        <v>#N/A</v>
      </c>
      <c r="P441" s="1291" t="e">
        <v>#N/A</v>
      </c>
      <c r="Q441" s="180" t="e">
        <v>#N/A</v>
      </c>
      <c r="R441" s="334" t="e">
        <v>#N/A</v>
      </c>
      <c r="S441" s="1291" t="e">
        <v>#N/A</v>
      </c>
      <c r="T441" s="1291" t="e">
        <v>#N/A</v>
      </c>
      <c r="U441" s="180" t="e">
        <v>#N/A</v>
      </c>
      <c r="V441" s="334" t="e">
        <v>#N/A</v>
      </c>
      <c r="W441" s="1302" t="e">
        <v>#N/A</v>
      </c>
      <c r="X441" s="1181" t="e">
        <v>#N/A</v>
      </c>
      <c r="Y441" s="1302" t="e">
        <v>#N/A</v>
      </c>
      <c r="Z441" s="1311" t="e">
        <f t="shared" si="24"/>
        <v>#N/A</v>
      </c>
      <c r="AA441" s="1302" t="e">
        <v>#N/A</v>
      </c>
      <c r="AB441" s="1181" t="e">
        <v>#N/A</v>
      </c>
      <c r="AC441" s="1302" t="e">
        <v>#N/A</v>
      </c>
      <c r="AD441" s="1181" t="e">
        <v>#N/A</v>
      </c>
      <c r="AE441" s="1302" t="e">
        <v>#N/A</v>
      </c>
      <c r="AF441" s="1311" t="e">
        <f t="shared" si="25"/>
        <v>#N/A</v>
      </c>
      <c r="AG441" s="1322" t="e">
        <v>#N/A</v>
      </c>
    </row>
    <row r="442" spans="1:33">
      <c r="A442" s="134">
        <f t="shared" si="23"/>
        <v>2029.01</v>
      </c>
      <c r="B442" s="611" t="e">
        <v>#N/A</v>
      </c>
      <c r="C442" s="1291" t="e">
        <v>#N/A</v>
      </c>
      <c r="D442" s="1291" t="e">
        <v>#N/A</v>
      </c>
      <c r="E442" s="334" t="e">
        <v>#N/A</v>
      </c>
      <c r="F442" s="1181" t="e">
        <v>#N/A</v>
      </c>
      <c r="G442" s="1291" t="e">
        <v>#N/A</v>
      </c>
      <c r="H442" s="1291" t="e">
        <v>#N/A</v>
      </c>
      <c r="I442" s="180" t="e">
        <v>#N/A</v>
      </c>
      <c r="J442" s="1181" t="e">
        <v>#N/A</v>
      </c>
      <c r="K442" s="1291" t="e">
        <v>#N/A</v>
      </c>
      <c r="L442" s="1291" t="e">
        <v>#N/A</v>
      </c>
      <c r="M442" s="180" t="e">
        <v>#N/A</v>
      </c>
      <c r="N442" s="1181" t="e">
        <v>#N/A</v>
      </c>
      <c r="O442" s="1291" t="e">
        <v>#N/A</v>
      </c>
      <c r="P442" s="1291" t="e">
        <v>#N/A</v>
      </c>
      <c r="Q442" s="180" t="e">
        <v>#N/A</v>
      </c>
      <c r="R442" s="334" t="e">
        <v>#N/A</v>
      </c>
      <c r="S442" s="1291" t="e">
        <v>#N/A</v>
      </c>
      <c r="T442" s="1291" t="e">
        <v>#N/A</v>
      </c>
      <c r="U442" s="180" t="e">
        <v>#N/A</v>
      </c>
      <c r="V442" s="334" t="e">
        <v>#N/A</v>
      </c>
      <c r="W442" s="1302" t="e">
        <v>#N/A</v>
      </c>
      <c r="X442" s="1181" t="e">
        <v>#N/A</v>
      </c>
      <c r="Y442" s="1302" t="e">
        <v>#N/A</v>
      </c>
      <c r="Z442" s="1311" t="e">
        <f t="shared" si="24"/>
        <v>#N/A</v>
      </c>
      <c r="AA442" s="1302" t="e">
        <v>#N/A</v>
      </c>
      <c r="AB442" s="1181" t="e">
        <v>#N/A</v>
      </c>
      <c r="AC442" s="1302" t="e">
        <v>#N/A</v>
      </c>
      <c r="AD442" s="1181" t="e">
        <v>#N/A</v>
      </c>
      <c r="AE442" s="1302" t="e">
        <v>#N/A</v>
      </c>
      <c r="AF442" s="1311" t="e">
        <f t="shared" si="25"/>
        <v>#N/A</v>
      </c>
      <c r="AG442" s="1322" t="e">
        <v>#N/A</v>
      </c>
    </row>
    <row r="443" spans="1:33">
      <c r="A443" s="134">
        <f t="shared" si="23"/>
        <v>2029.02</v>
      </c>
      <c r="B443" s="611" t="e">
        <v>#N/A</v>
      </c>
      <c r="C443" s="1291" t="e">
        <v>#N/A</v>
      </c>
      <c r="D443" s="1291" t="e">
        <v>#N/A</v>
      </c>
      <c r="E443" s="334" t="e">
        <v>#N/A</v>
      </c>
      <c r="F443" s="1181" t="e">
        <v>#N/A</v>
      </c>
      <c r="G443" s="1291" t="e">
        <v>#N/A</v>
      </c>
      <c r="H443" s="1291" t="e">
        <v>#N/A</v>
      </c>
      <c r="I443" s="180" t="e">
        <v>#N/A</v>
      </c>
      <c r="J443" s="1181" t="e">
        <v>#N/A</v>
      </c>
      <c r="K443" s="1291" t="e">
        <v>#N/A</v>
      </c>
      <c r="L443" s="1291" t="e">
        <v>#N/A</v>
      </c>
      <c r="M443" s="180" t="e">
        <v>#N/A</v>
      </c>
      <c r="N443" s="1181" t="e">
        <v>#N/A</v>
      </c>
      <c r="O443" s="1291" t="e">
        <v>#N/A</v>
      </c>
      <c r="P443" s="1291" t="e">
        <v>#N/A</v>
      </c>
      <c r="Q443" s="180" t="e">
        <v>#N/A</v>
      </c>
      <c r="R443" s="334" t="e">
        <v>#N/A</v>
      </c>
      <c r="S443" s="1291" t="e">
        <v>#N/A</v>
      </c>
      <c r="T443" s="1291" t="e">
        <v>#N/A</v>
      </c>
      <c r="U443" s="180" t="e">
        <v>#N/A</v>
      </c>
      <c r="V443" s="334" t="e">
        <v>#N/A</v>
      </c>
      <c r="W443" s="1302" t="e">
        <v>#N/A</v>
      </c>
      <c r="X443" s="1181" t="e">
        <v>#N/A</v>
      </c>
      <c r="Y443" s="1302" t="e">
        <v>#N/A</v>
      </c>
      <c r="Z443" s="1311" t="e">
        <f t="shared" si="24"/>
        <v>#N/A</v>
      </c>
      <c r="AA443" s="1302" t="e">
        <v>#N/A</v>
      </c>
      <c r="AB443" s="1181" t="e">
        <v>#N/A</v>
      </c>
      <c r="AC443" s="1302" t="e">
        <v>#N/A</v>
      </c>
      <c r="AD443" s="1181" t="e">
        <v>#N/A</v>
      </c>
      <c r="AE443" s="1302" t="e">
        <v>#N/A</v>
      </c>
      <c r="AF443" s="1311" t="e">
        <f t="shared" si="25"/>
        <v>#N/A</v>
      </c>
      <c r="AG443" s="1322" t="e">
        <v>#N/A</v>
      </c>
    </row>
    <row r="444" spans="1:33">
      <c r="A444" s="134">
        <f t="shared" si="23"/>
        <v>2029.03</v>
      </c>
      <c r="B444" s="611" t="e">
        <v>#N/A</v>
      </c>
      <c r="C444" s="1291" t="e">
        <v>#N/A</v>
      </c>
      <c r="D444" s="1291" t="e">
        <v>#N/A</v>
      </c>
      <c r="E444" s="334" t="e">
        <v>#N/A</v>
      </c>
      <c r="F444" s="1181" t="e">
        <v>#N/A</v>
      </c>
      <c r="G444" s="1291" t="e">
        <v>#N/A</v>
      </c>
      <c r="H444" s="1291" t="e">
        <v>#N/A</v>
      </c>
      <c r="I444" s="180" t="e">
        <v>#N/A</v>
      </c>
      <c r="J444" s="1181" t="e">
        <v>#N/A</v>
      </c>
      <c r="K444" s="1291" t="e">
        <v>#N/A</v>
      </c>
      <c r="L444" s="1291" t="e">
        <v>#N/A</v>
      </c>
      <c r="M444" s="180" t="e">
        <v>#N/A</v>
      </c>
      <c r="N444" s="1181" t="e">
        <v>#N/A</v>
      </c>
      <c r="O444" s="1291" t="e">
        <v>#N/A</v>
      </c>
      <c r="P444" s="1291" t="e">
        <v>#N/A</v>
      </c>
      <c r="Q444" s="180" t="e">
        <v>#N/A</v>
      </c>
      <c r="R444" s="334" t="e">
        <v>#N/A</v>
      </c>
      <c r="S444" s="1291" t="e">
        <v>#N/A</v>
      </c>
      <c r="T444" s="1291" t="e">
        <v>#N/A</v>
      </c>
      <c r="U444" s="180" t="e">
        <v>#N/A</v>
      </c>
      <c r="V444" s="334" t="e">
        <v>#N/A</v>
      </c>
      <c r="W444" s="1302" t="e">
        <v>#N/A</v>
      </c>
      <c r="X444" s="1181" t="e">
        <v>#N/A</v>
      </c>
      <c r="Y444" s="1302" t="e">
        <v>#N/A</v>
      </c>
      <c r="Z444" s="1311" t="e">
        <f t="shared" si="24"/>
        <v>#N/A</v>
      </c>
      <c r="AA444" s="1302" t="e">
        <v>#N/A</v>
      </c>
      <c r="AB444" s="1181" t="e">
        <v>#N/A</v>
      </c>
      <c r="AC444" s="1302" t="e">
        <v>#N/A</v>
      </c>
      <c r="AD444" s="1181" t="e">
        <v>#N/A</v>
      </c>
      <c r="AE444" s="1302" t="e">
        <v>#N/A</v>
      </c>
      <c r="AF444" s="1311" t="e">
        <f t="shared" si="25"/>
        <v>#N/A</v>
      </c>
      <c r="AG444" s="1322" t="e">
        <v>#N/A</v>
      </c>
    </row>
    <row r="445" spans="1:33">
      <c r="A445" s="134">
        <f t="shared" si="23"/>
        <v>2029.04</v>
      </c>
      <c r="B445" s="611" t="e">
        <v>#N/A</v>
      </c>
      <c r="C445" s="1291" t="e">
        <v>#N/A</v>
      </c>
      <c r="D445" s="1291" t="e">
        <v>#N/A</v>
      </c>
      <c r="E445" s="334" t="e">
        <v>#N/A</v>
      </c>
      <c r="F445" s="1181" t="e">
        <v>#N/A</v>
      </c>
      <c r="G445" s="1291" t="e">
        <v>#N/A</v>
      </c>
      <c r="H445" s="1291" t="e">
        <v>#N/A</v>
      </c>
      <c r="I445" s="180" t="e">
        <v>#N/A</v>
      </c>
      <c r="J445" s="1181" t="e">
        <v>#N/A</v>
      </c>
      <c r="K445" s="1291" t="e">
        <v>#N/A</v>
      </c>
      <c r="L445" s="1291" t="e">
        <v>#N/A</v>
      </c>
      <c r="M445" s="180" t="e">
        <v>#N/A</v>
      </c>
      <c r="N445" s="1181" t="e">
        <v>#N/A</v>
      </c>
      <c r="O445" s="1291" t="e">
        <v>#N/A</v>
      </c>
      <c r="P445" s="1291" t="e">
        <v>#N/A</v>
      </c>
      <c r="Q445" s="180" t="e">
        <v>#N/A</v>
      </c>
      <c r="R445" s="334" t="e">
        <v>#N/A</v>
      </c>
      <c r="S445" s="1291" t="e">
        <v>#N/A</v>
      </c>
      <c r="T445" s="1291" t="e">
        <v>#N/A</v>
      </c>
      <c r="U445" s="180" t="e">
        <v>#N/A</v>
      </c>
      <c r="V445" s="334" t="e">
        <v>#N/A</v>
      </c>
      <c r="W445" s="1302" t="e">
        <v>#N/A</v>
      </c>
      <c r="X445" s="1181" t="e">
        <v>#N/A</v>
      </c>
      <c r="Y445" s="1302" t="e">
        <v>#N/A</v>
      </c>
      <c r="Z445" s="1311" t="e">
        <f t="shared" si="24"/>
        <v>#N/A</v>
      </c>
      <c r="AA445" s="1302" t="e">
        <v>#N/A</v>
      </c>
      <c r="AB445" s="1181" t="e">
        <v>#N/A</v>
      </c>
      <c r="AC445" s="1302" t="e">
        <v>#N/A</v>
      </c>
      <c r="AD445" s="1181" t="e">
        <v>#N/A</v>
      </c>
      <c r="AE445" s="1302" t="e">
        <v>#N/A</v>
      </c>
      <c r="AF445" s="1311" t="e">
        <f t="shared" si="25"/>
        <v>#N/A</v>
      </c>
      <c r="AG445" s="1322" t="e">
        <v>#N/A</v>
      </c>
    </row>
    <row r="446" spans="1:33">
      <c r="A446" s="134">
        <f t="shared" si="23"/>
        <v>2029.05</v>
      </c>
      <c r="B446" s="611" t="e">
        <v>#N/A</v>
      </c>
      <c r="C446" s="1291" t="e">
        <v>#N/A</v>
      </c>
      <c r="D446" s="1291" t="e">
        <v>#N/A</v>
      </c>
      <c r="E446" s="334" t="e">
        <v>#N/A</v>
      </c>
      <c r="F446" s="1181" t="e">
        <v>#N/A</v>
      </c>
      <c r="G446" s="1291" t="e">
        <v>#N/A</v>
      </c>
      <c r="H446" s="1291" t="e">
        <v>#N/A</v>
      </c>
      <c r="I446" s="180" t="e">
        <v>#N/A</v>
      </c>
      <c r="J446" s="1181" t="e">
        <v>#N/A</v>
      </c>
      <c r="K446" s="1291" t="e">
        <v>#N/A</v>
      </c>
      <c r="L446" s="1291" t="e">
        <v>#N/A</v>
      </c>
      <c r="M446" s="180" t="e">
        <v>#N/A</v>
      </c>
      <c r="N446" s="1181" t="e">
        <v>#N/A</v>
      </c>
      <c r="O446" s="1291" t="e">
        <v>#N/A</v>
      </c>
      <c r="P446" s="1291" t="e">
        <v>#N/A</v>
      </c>
      <c r="Q446" s="180" t="e">
        <v>#N/A</v>
      </c>
      <c r="R446" s="334" t="e">
        <v>#N/A</v>
      </c>
      <c r="S446" s="1291" t="e">
        <v>#N/A</v>
      </c>
      <c r="T446" s="1291" t="e">
        <v>#N/A</v>
      </c>
      <c r="U446" s="180" t="e">
        <v>#N/A</v>
      </c>
      <c r="V446" s="334" t="e">
        <v>#N/A</v>
      </c>
      <c r="W446" s="1302" t="e">
        <v>#N/A</v>
      </c>
      <c r="X446" s="1181" t="e">
        <v>#N/A</v>
      </c>
      <c r="Y446" s="1302" t="e">
        <v>#N/A</v>
      </c>
      <c r="Z446" s="1311" t="e">
        <f t="shared" si="24"/>
        <v>#N/A</v>
      </c>
      <c r="AA446" s="1302" t="e">
        <v>#N/A</v>
      </c>
      <c r="AB446" s="1181" t="e">
        <v>#N/A</v>
      </c>
      <c r="AC446" s="1302" t="e">
        <v>#N/A</v>
      </c>
      <c r="AD446" s="1181" t="e">
        <v>#N/A</v>
      </c>
      <c r="AE446" s="1302" t="e">
        <v>#N/A</v>
      </c>
      <c r="AF446" s="1311" t="e">
        <f t="shared" si="25"/>
        <v>#N/A</v>
      </c>
      <c r="AG446" s="1322" t="e">
        <v>#N/A</v>
      </c>
    </row>
    <row r="447" spans="1:33">
      <c r="A447" s="134">
        <f t="shared" si="23"/>
        <v>2029.06</v>
      </c>
      <c r="B447" s="611" t="e">
        <v>#N/A</v>
      </c>
      <c r="C447" s="1291" t="e">
        <v>#N/A</v>
      </c>
      <c r="D447" s="1291" t="e">
        <v>#N/A</v>
      </c>
      <c r="E447" s="334" t="e">
        <v>#N/A</v>
      </c>
      <c r="F447" s="1181" t="e">
        <v>#N/A</v>
      </c>
      <c r="G447" s="1291" t="e">
        <v>#N/A</v>
      </c>
      <c r="H447" s="1291" t="e">
        <v>#N/A</v>
      </c>
      <c r="I447" s="180" t="e">
        <v>#N/A</v>
      </c>
      <c r="J447" s="1181" t="e">
        <v>#N/A</v>
      </c>
      <c r="K447" s="1291" t="e">
        <v>#N/A</v>
      </c>
      <c r="L447" s="1291" t="e">
        <v>#N/A</v>
      </c>
      <c r="M447" s="180" t="e">
        <v>#N/A</v>
      </c>
      <c r="N447" s="1181" t="e">
        <v>#N/A</v>
      </c>
      <c r="O447" s="1291" t="e">
        <v>#N/A</v>
      </c>
      <c r="P447" s="1291" t="e">
        <v>#N/A</v>
      </c>
      <c r="Q447" s="180" t="e">
        <v>#N/A</v>
      </c>
      <c r="R447" s="334" t="e">
        <v>#N/A</v>
      </c>
      <c r="S447" s="1291" t="e">
        <v>#N/A</v>
      </c>
      <c r="T447" s="1291" t="e">
        <v>#N/A</v>
      </c>
      <c r="U447" s="180" t="e">
        <v>#N/A</v>
      </c>
      <c r="V447" s="334" t="e">
        <v>#N/A</v>
      </c>
      <c r="W447" s="1302" t="e">
        <v>#N/A</v>
      </c>
      <c r="X447" s="1181" t="e">
        <v>#N/A</v>
      </c>
      <c r="Y447" s="1302" t="e">
        <v>#N/A</v>
      </c>
      <c r="Z447" s="1311" t="e">
        <f t="shared" si="24"/>
        <v>#N/A</v>
      </c>
      <c r="AA447" s="1302" t="e">
        <v>#N/A</v>
      </c>
      <c r="AB447" s="1181" t="e">
        <v>#N/A</v>
      </c>
      <c r="AC447" s="1302" t="e">
        <v>#N/A</v>
      </c>
      <c r="AD447" s="1181" t="e">
        <v>#N/A</v>
      </c>
      <c r="AE447" s="1302" t="e">
        <v>#N/A</v>
      </c>
      <c r="AF447" s="1311" t="e">
        <f t="shared" si="25"/>
        <v>#N/A</v>
      </c>
      <c r="AG447" s="1322" t="e">
        <v>#N/A</v>
      </c>
    </row>
    <row r="448" spans="1:33">
      <c r="A448" s="134">
        <f t="shared" si="23"/>
        <v>2029.07</v>
      </c>
      <c r="B448" s="611" t="e">
        <v>#N/A</v>
      </c>
      <c r="C448" s="1291" t="e">
        <v>#N/A</v>
      </c>
      <c r="D448" s="1291" t="e">
        <v>#N/A</v>
      </c>
      <c r="E448" s="334" t="e">
        <v>#N/A</v>
      </c>
      <c r="F448" s="1181" t="e">
        <v>#N/A</v>
      </c>
      <c r="G448" s="1291" t="e">
        <v>#N/A</v>
      </c>
      <c r="H448" s="1291" t="e">
        <v>#N/A</v>
      </c>
      <c r="I448" s="180" t="e">
        <v>#N/A</v>
      </c>
      <c r="J448" s="1181" t="e">
        <v>#N/A</v>
      </c>
      <c r="K448" s="1291" t="e">
        <v>#N/A</v>
      </c>
      <c r="L448" s="1291" t="e">
        <v>#N/A</v>
      </c>
      <c r="M448" s="180" t="e">
        <v>#N/A</v>
      </c>
      <c r="N448" s="1181" t="e">
        <v>#N/A</v>
      </c>
      <c r="O448" s="1291" t="e">
        <v>#N/A</v>
      </c>
      <c r="P448" s="1291" t="e">
        <v>#N/A</v>
      </c>
      <c r="Q448" s="180" t="e">
        <v>#N/A</v>
      </c>
      <c r="R448" s="334" t="e">
        <v>#N/A</v>
      </c>
      <c r="S448" s="1291" t="e">
        <v>#N/A</v>
      </c>
      <c r="T448" s="1291" t="e">
        <v>#N/A</v>
      </c>
      <c r="U448" s="180" t="e">
        <v>#N/A</v>
      </c>
      <c r="V448" s="334" t="e">
        <v>#N/A</v>
      </c>
      <c r="W448" s="1302" t="e">
        <v>#N/A</v>
      </c>
      <c r="X448" s="1181" t="e">
        <v>#N/A</v>
      </c>
      <c r="Y448" s="1302" t="e">
        <v>#N/A</v>
      </c>
      <c r="Z448" s="1311" t="e">
        <f t="shared" si="24"/>
        <v>#N/A</v>
      </c>
      <c r="AA448" s="1302" t="e">
        <v>#N/A</v>
      </c>
      <c r="AB448" s="1181" t="e">
        <v>#N/A</v>
      </c>
      <c r="AC448" s="1302" t="e">
        <v>#N/A</v>
      </c>
      <c r="AD448" s="1181" t="e">
        <v>#N/A</v>
      </c>
      <c r="AE448" s="1302" t="e">
        <v>#N/A</v>
      </c>
      <c r="AF448" s="1311" t="e">
        <f t="shared" si="25"/>
        <v>#N/A</v>
      </c>
      <c r="AG448" s="1322" t="e">
        <v>#N/A</v>
      </c>
    </row>
    <row r="449" spans="1:33">
      <c r="A449" s="134">
        <f t="shared" si="23"/>
        <v>2029.08</v>
      </c>
      <c r="B449" s="611" t="e">
        <v>#N/A</v>
      </c>
      <c r="C449" s="1291" t="e">
        <v>#N/A</v>
      </c>
      <c r="D449" s="1291" t="e">
        <v>#N/A</v>
      </c>
      <c r="E449" s="334" t="e">
        <v>#N/A</v>
      </c>
      <c r="F449" s="1181" t="e">
        <v>#N/A</v>
      </c>
      <c r="G449" s="1291" t="e">
        <v>#N/A</v>
      </c>
      <c r="H449" s="1291" t="e">
        <v>#N/A</v>
      </c>
      <c r="I449" s="180" t="e">
        <v>#N/A</v>
      </c>
      <c r="J449" s="1181" t="e">
        <v>#N/A</v>
      </c>
      <c r="K449" s="1291" t="e">
        <v>#N/A</v>
      </c>
      <c r="L449" s="1291" t="e">
        <v>#N/A</v>
      </c>
      <c r="M449" s="180" t="e">
        <v>#N/A</v>
      </c>
      <c r="N449" s="1181" t="e">
        <v>#N/A</v>
      </c>
      <c r="O449" s="1291" t="e">
        <v>#N/A</v>
      </c>
      <c r="P449" s="1291" t="e">
        <v>#N/A</v>
      </c>
      <c r="Q449" s="180" t="e">
        <v>#N/A</v>
      </c>
      <c r="R449" s="334" t="e">
        <v>#N/A</v>
      </c>
      <c r="S449" s="1291" t="e">
        <v>#N/A</v>
      </c>
      <c r="T449" s="1291" t="e">
        <v>#N/A</v>
      </c>
      <c r="U449" s="180" t="e">
        <v>#N/A</v>
      </c>
      <c r="V449" s="334" t="e">
        <v>#N/A</v>
      </c>
      <c r="W449" s="1302" t="e">
        <v>#N/A</v>
      </c>
      <c r="X449" s="1181" t="e">
        <v>#N/A</v>
      </c>
      <c r="Y449" s="1302" t="e">
        <v>#N/A</v>
      </c>
      <c r="Z449" s="1311" t="e">
        <f t="shared" si="24"/>
        <v>#N/A</v>
      </c>
      <c r="AA449" s="1302" t="e">
        <v>#N/A</v>
      </c>
      <c r="AB449" s="1181" t="e">
        <v>#N/A</v>
      </c>
      <c r="AC449" s="1302" t="e">
        <v>#N/A</v>
      </c>
      <c r="AD449" s="1181" t="e">
        <v>#N/A</v>
      </c>
      <c r="AE449" s="1302" t="e">
        <v>#N/A</v>
      </c>
      <c r="AF449" s="1311" t="e">
        <f t="shared" si="25"/>
        <v>#N/A</v>
      </c>
      <c r="AG449" s="1322" t="e">
        <v>#N/A</v>
      </c>
    </row>
    <row r="450" spans="1:33">
      <c r="A450" s="134">
        <f t="shared" si="23"/>
        <v>2029.09</v>
      </c>
      <c r="B450" s="611" t="e">
        <v>#N/A</v>
      </c>
      <c r="C450" s="1291" t="e">
        <v>#N/A</v>
      </c>
      <c r="D450" s="1291" t="e">
        <v>#N/A</v>
      </c>
      <c r="E450" s="334" t="e">
        <v>#N/A</v>
      </c>
      <c r="F450" s="1181" t="e">
        <v>#N/A</v>
      </c>
      <c r="G450" s="1291" t="e">
        <v>#N/A</v>
      </c>
      <c r="H450" s="1291" t="e">
        <v>#N/A</v>
      </c>
      <c r="I450" s="180" t="e">
        <v>#N/A</v>
      </c>
      <c r="J450" s="1181" t="e">
        <v>#N/A</v>
      </c>
      <c r="K450" s="1291" t="e">
        <v>#N/A</v>
      </c>
      <c r="L450" s="1291" t="e">
        <v>#N/A</v>
      </c>
      <c r="M450" s="180" t="e">
        <v>#N/A</v>
      </c>
      <c r="N450" s="1181" t="e">
        <v>#N/A</v>
      </c>
      <c r="O450" s="1291" t="e">
        <v>#N/A</v>
      </c>
      <c r="P450" s="1291" t="e">
        <v>#N/A</v>
      </c>
      <c r="Q450" s="180" t="e">
        <v>#N/A</v>
      </c>
      <c r="R450" s="334" t="e">
        <v>#N/A</v>
      </c>
      <c r="S450" s="1291" t="e">
        <v>#N/A</v>
      </c>
      <c r="T450" s="1291" t="e">
        <v>#N/A</v>
      </c>
      <c r="U450" s="180" t="e">
        <v>#N/A</v>
      </c>
      <c r="V450" s="334" t="e">
        <v>#N/A</v>
      </c>
      <c r="W450" s="1302" t="e">
        <v>#N/A</v>
      </c>
      <c r="X450" s="1181" t="e">
        <v>#N/A</v>
      </c>
      <c r="Y450" s="1302" t="e">
        <v>#N/A</v>
      </c>
      <c r="Z450" s="1311" t="e">
        <f t="shared" si="24"/>
        <v>#N/A</v>
      </c>
      <c r="AA450" s="1302" t="e">
        <v>#N/A</v>
      </c>
      <c r="AB450" s="1181" t="e">
        <v>#N/A</v>
      </c>
      <c r="AC450" s="1302" t="e">
        <v>#N/A</v>
      </c>
      <c r="AD450" s="1181" t="e">
        <v>#N/A</v>
      </c>
      <c r="AE450" s="1302" t="e">
        <v>#N/A</v>
      </c>
      <c r="AF450" s="1311" t="e">
        <f t="shared" si="25"/>
        <v>#N/A</v>
      </c>
      <c r="AG450" s="1322" t="e">
        <v>#N/A</v>
      </c>
    </row>
    <row r="451" spans="1:33">
      <c r="A451" s="134">
        <f t="shared" si="23"/>
        <v>2029.1</v>
      </c>
      <c r="B451" s="611" t="e">
        <v>#N/A</v>
      </c>
      <c r="C451" s="1291" t="e">
        <v>#N/A</v>
      </c>
      <c r="D451" s="1291" t="e">
        <v>#N/A</v>
      </c>
      <c r="E451" s="334" t="e">
        <v>#N/A</v>
      </c>
      <c r="F451" s="1181" t="e">
        <v>#N/A</v>
      </c>
      <c r="G451" s="1291" t="e">
        <v>#N/A</v>
      </c>
      <c r="H451" s="1291" t="e">
        <v>#N/A</v>
      </c>
      <c r="I451" s="180" t="e">
        <v>#N/A</v>
      </c>
      <c r="J451" s="1181" t="e">
        <v>#N/A</v>
      </c>
      <c r="K451" s="1291" t="e">
        <v>#N/A</v>
      </c>
      <c r="L451" s="1291" t="e">
        <v>#N/A</v>
      </c>
      <c r="M451" s="180" t="e">
        <v>#N/A</v>
      </c>
      <c r="N451" s="1181" t="e">
        <v>#N/A</v>
      </c>
      <c r="O451" s="1291" t="e">
        <v>#N/A</v>
      </c>
      <c r="P451" s="1291" t="e">
        <v>#N/A</v>
      </c>
      <c r="Q451" s="180" t="e">
        <v>#N/A</v>
      </c>
      <c r="R451" s="334" t="e">
        <v>#N/A</v>
      </c>
      <c r="S451" s="1291" t="e">
        <v>#N/A</v>
      </c>
      <c r="T451" s="1291" t="e">
        <v>#N/A</v>
      </c>
      <c r="U451" s="180" t="e">
        <v>#N/A</v>
      </c>
      <c r="V451" s="334" t="e">
        <v>#N/A</v>
      </c>
      <c r="W451" s="1302" t="e">
        <v>#N/A</v>
      </c>
      <c r="X451" s="1181" t="e">
        <v>#N/A</v>
      </c>
      <c r="Y451" s="1302" t="e">
        <v>#N/A</v>
      </c>
      <c r="Z451" s="1311" t="e">
        <f t="shared" si="24"/>
        <v>#N/A</v>
      </c>
      <c r="AA451" s="1302" t="e">
        <v>#N/A</v>
      </c>
      <c r="AB451" s="1181" t="e">
        <v>#N/A</v>
      </c>
      <c r="AC451" s="1302" t="e">
        <v>#N/A</v>
      </c>
      <c r="AD451" s="1181" t="e">
        <v>#N/A</v>
      </c>
      <c r="AE451" s="1302" t="e">
        <v>#N/A</v>
      </c>
      <c r="AF451" s="1311" t="e">
        <f t="shared" si="25"/>
        <v>#N/A</v>
      </c>
      <c r="AG451" s="1322" t="e">
        <v>#N/A</v>
      </c>
    </row>
    <row r="452" spans="1:33">
      <c r="A452" s="134">
        <f t="shared" si="23"/>
        <v>2029.11</v>
      </c>
      <c r="B452" s="611" t="e">
        <v>#N/A</v>
      </c>
      <c r="C452" s="1291" t="e">
        <v>#N/A</v>
      </c>
      <c r="D452" s="1291" t="e">
        <v>#N/A</v>
      </c>
      <c r="E452" s="334" t="e">
        <v>#N/A</v>
      </c>
      <c r="F452" s="1181" t="e">
        <v>#N/A</v>
      </c>
      <c r="G452" s="1291" t="e">
        <v>#N/A</v>
      </c>
      <c r="H452" s="1291" t="e">
        <v>#N/A</v>
      </c>
      <c r="I452" s="180" t="e">
        <v>#N/A</v>
      </c>
      <c r="J452" s="1181" t="e">
        <v>#N/A</v>
      </c>
      <c r="K452" s="1291" t="e">
        <v>#N/A</v>
      </c>
      <c r="L452" s="1291" t="e">
        <v>#N/A</v>
      </c>
      <c r="M452" s="180" t="e">
        <v>#N/A</v>
      </c>
      <c r="N452" s="1181" t="e">
        <v>#N/A</v>
      </c>
      <c r="O452" s="1291" t="e">
        <v>#N/A</v>
      </c>
      <c r="P452" s="1291" t="e">
        <v>#N/A</v>
      </c>
      <c r="Q452" s="180" t="e">
        <v>#N/A</v>
      </c>
      <c r="R452" s="334" t="e">
        <v>#N/A</v>
      </c>
      <c r="S452" s="1291" t="e">
        <v>#N/A</v>
      </c>
      <c r="T452" s="1291" t="e">
        <v>#N/A</v>
      </c>
      <c r="U452" s="180" t="e">
        <v>#N/A</v>
      </c>
      <c r="V452" s="334" t="e">
        <v>#N/A</v>
      </c>
      <c r="W452" s="1302" t="e">
        <v>#N/A</v>
      </c>
      <c r="X452" s="1181" t="e">
        <v>#N/A</v>
      </c>
      <c r="Y452" s="1302" t="e">
        <v>#N/A</v>
      </c>
      <c r="Z452" s="1311" t="e">
        <f t="shared" si="24"/>
        <v>#N/A</v>
      </c>
      <c r="AA452" s="1302" t="e">
        <v>#N/A</v>
      </c>
      <c r="AB452" s="1181" t="e">
        <v>#N/A</v>
      </c>
      <c r="AC452" s="1302" t="e">
        <v>#N/A</v>
      </c>
      <c r="AD452" s="1181" t="e">
        <v>#N/A</v>
      </c>
      <c r="AE452" s="1302" t="e">
        <v>#N/A</v>
      </c>
      <c r="AF452" s="1311" t="e">
        <f t="shared" si="25"/>
        <v>#N/A</v>
      </c>
      <c r="AG452" s="1322" t="e">
        <v>#N/A</v>
      </c>
    </row>
    <row r="453" spans="1:33">
      <c r="A453" s="134">
        <f t="shared" si="23"/>
        <v>2029.12</v>
      </c>
      <c r="B453" s="611" t="e">
        <v>#N/A</v>
      </c>
      <c r="C453" s="1291" t="e">
        <v>#N/A</v>
      </c>
      <c r="D453" s="1291" t="e">
        <v>#N/A</v>
      </c>
      <c r="E453" s="334" t="e">
        <v>#N/A</v>
      </c>
      <c r="F453" s="1181" t="e">
        <v>#N/A</v>
      </c>
      <c r="G453" s="1291" t="e">
        <v>#N/A</v>
      </c>
      <c r="H453" s="1291" t="e">
        <v>#N/A</v>
      </c>
      <c r="I453" s="180" t="e">
        <v>#N/A</v>
      </c>
      <c r="J453" s="1181" t="e">
        <v>#N/A</v>
      </c>
      <c r="K453" s="1291" t="e">
        <v>#N/A</v>
      </c>
      <c r="L453" s="1291" t="e">
        <v>#N/A</v>
      </c>
      <c r="M453" s="180" t="e">
        <v>#N/A</v>
      </c>
      <c r="N453" s="1181" t="e">
        <v>#N/A</v>
      </c>
      <c r="O453" s="1291" t="e">
        <v>#N/A</v>
      </c>
      <c r="P453" s="1291" t="e">
        <v>#N/A</v>
      </c>
      <c r="Q453" s="180" t="e">
        <v>#N/A</v>
      </c>
      <c r="R453" s="334" t="e">
        <v>#N/A</v>
      </c>
      <c r="S453" s="1291" t="e">
        <v>#N/A</v>
      </c>
      <c r="T453" s="1291" t="e">
        <v>#N/A</v>
      </c>
      <c r="U453" s="180" t="e">
        <v>#N/A</v>
      </c>
      <c r="V453" s="334" t="e">
        <v>#N/A</v>
      </c>
      <c r="W453" s="1302" t="e">
        <v>#N/A</v>
      </c>
      <c r="X453" s="1181" t="e">
        <v>#N/A</v>
      </c>
      <c r="Y453" s="1302" t="e">
        <v>#N/A</v>
      </c>
      <c r="Z453" s="1311" t="e">
        <f t="shared" si="24"/>
        <v>#N/A</v>
      </c>
      <c r="AA453" s="1302" t="e">
        <v>#N/A</v>
      </c>
      <c r="AB453" s="1181" t="e">
        <v>#N/A</v>
      </c>
      <c r="AC453" s="1302" t="e">
        <v>#N/A</v>
      </c>
      <c r="AD453" s="1181" t="e">
        <v>#N/A</v>
      </c>
      <c r="AE453" s="1302" t="e">
        <v>#N/A</v>
      </c>
      <c r="AF453" s="1311" t="e">
        <f t="shared" si="25"/>
        <v>#N/A</v>
      </c>
      <c r="AG453" s="1322" t="e">
        <v>#N/A</v>
      </c>
    </row>
    <row r="454" spans="1:33">
      <c r="A454" s="134">
        <f t="shared" si="23"/>
        <v>2030.01</v>
      </c>
      <c r="B454" s="611" t="e">
        <v>#N/A</v>
      </c>
      <c r="C454" s="1291" t="e">
        <v>#N/A</v>
      </c>
      <c r="D454" s="1291" t="e">
        <v>#N/A</v>
      </c>
      <c r="E454" s="334" t="e">
        <v>#N/A</v>
      </c>
      <c r="F454" s="1181" t="e">
        <v>#N/A</v>
      </c>
      <c r="G454" s="1291" t="e">
        <v>#N/A</v>
      </c>
      <c r="H454" s="1291" t="e">
        <v>#N/A</v>
      </c>
      <c r="I454" s="180" t="e">
        <v>#N/A</v>
      </c>
      <c r="J454" s="1181" t="e">
        <v>#N/A</v>
      </c>
      <c r="K454" s="1291" t="e">
        <v>#N/A</v>
      </c>
      <c r="L454" s="1291" t="e">
        <v>#N/A</v>
      </c>
      <c r="M454" s="180" t="e">
        <v>#N/A</v>
      </c>
      <c r="N454" s="1181" t="e">
        <v>#N/A</v>
      </c>
      <c r="O454" s="1291" t="e">
        <v>#N/A</v>
      </c>
      <c r="P454" s="1291" t="e">
        <v>#N/A</v>
      </c>
      <c r="Q454" s="180" t="e">
        <v>#N/A</v>
      </c>
      <c r="R454" s="334" t="e">
        <v>#N/A</v>
      </c>
      <c r="S454" s="1291" t="e">
        <v>#N/A</v>
      </c>
      <c r="T454" s="1291" t="e">
        <v>#N/A</v>
      </c>
      <c r="U454" s="180" t="e">
        <v>#N/A</v>
      </c>
      <c r="V454" s="334" t="e">
        <v>#N/A</v>
      </c>
      <c r="W454" s="1302" t="e">
        <v>#N/A</v>
      </c>
      <c r="X454" s="1181" t="e">
        <v>#N/A</v>
      </c>
      <c r="Y454" s="1302" t="e">
        <v>#N/A</v>
      </c>
      <c r="Z454" s="1311" t="e">
        <f t="shared" si="24"/>
        <v>#N/A</v>
      </c>
      <c r="AA454" s="1302" t="e">
        <v>#N/A</v>
      </c>
      <c r="AB454" s="1181" t="e">
        <v>#N/A</v>
      </c>
      <c r="AC454" s="1302" t="e">
        <v>#N/A</v>
      </c>
      <c r="AD454" s="1181" t="e">
        <v>#N/A</v>
      </c>
      <c r="AE454" s="1302" t="e">
        <v>#N/A</v>
      </c>
      <c r="AF454" s="1311" t="e">
        <f t="shared" si="25"/>
        <v>#N/A</v>
      </c>
      <c r="AG454" s="1322" t="e">
        <v>#N/A</v>
      </c>
    </row>
    <row r="455" spans="1:33">
      <c r="A455" s="134">
        <f t="shared" si="23"/>
        <v>2030.02</v>
      </c>
      <c r="B455" s="611" t="e">
        <v>#N/A</v>
      </c>
      <c r="C455" s="1291" t="e">
        <v>#N/A</v>
      </c>
      <c r="D455" s="1291" t="e">
        <v>#N/A</v>
      </c>
      <c r="E455" s="334" t="e">
        <v>#N/A</v>
      </c>
      <c r="F455" s="1181" t="e">
        <v>#N/A</v>
      </c>
      <c r="G455" s="1291" t="e">
        <v>#N/A</v>
      </c>
      <c r="H455" s="1291" t="e">
        <v>#N/A</v>
      </c>
      <c r="I455" s="180" t="e">
        <v>#N/A</v>
      </c>
      <c r="J455" s="1181" t="e">
        <v>#N/A</v>
      </c>
      <c r="K455" s="1291" t="e">
        <v>#N/A</v>
      </c>
      <c r="L455" s="1291" t="e">
        <v>#N/A</v>
      </c>
      <c r="M455" s="180" t="e">
        <v>#N/A</v>
      </c>
      <c r="N455" s="1181" t="e">
        <v>#N/A</v>
      </c>
      <c r="O455" s="1291" t="e">
        <v>#N/A</v>
      </c>
      <c r="P455" s="1291" t="e">
        <v>#N/A</v>
      </c>
      <c r="Q455" s="180" t="e">
        <v>#N/A</v>
      </c>
      <c r="R455" s="334" t="e">
        <v>#N/A</v>
      </c>
      <c r="S455" s="1291" t="e">
        <v>#N/A</v>
      </c>
      <c r="T455" s="1291" t="e">
        <v>#N/A</v>
      </c>
      <c r="U455" s="180" t="e">
        <v>#N/A</v>
      </c>
      <c r="V455" s="334" t="e">
        <v>#N/A</v>
      </c>
      <c r="W455" s="1302" t="e">
        <v>#N/A</v>
      </c>
      <c r="X455" s="1181" t="e">
        <v>#N/A</v>
      </c>
      <c r="Y455" s="1302" t="e">
        <v>#N/A</v>
      </c>
      <c r="Z455" s="1311" t="e">
        <f t="shared" si="24"/>
        <v>#N/A</v>
      </c>
      <c r="AA455" s="1302" t="e">
        <v>#N/A</v>
      </c>
      <c r="AB455" s="1181" t="e">
        <v>#N/A</v>
      </c>
      <c r="AC455" s="1302" t="e">
        <v>#N/A</v>
      </c>
      <c r="AD455" s="1181" t="e">
        <v>#N/A</v>
      </c>
      <c r="AE455" s="1302" t="e">
        <v>#N/A</v>
      </c>
      <c r="AF455" s="1311" t="e">
        <f t="shared" si="25"/>
        <v>#N/A</v>
      </c>
      <c r="AG455" s="1322" t="e">
        <v>#N/A</v>
      </c>
    </row>
    <row r="456" spans="1:33">
      <c r="A456" s="134">
        <f t="shared" si="23"/>
        <v>2030.03</v>
      </c>
      <c r="B456" s="611" t="e">
        <v>#N/A</v>
      </c>
      <c r="C456" s="1291" t="e">
        <v>#N/A</v>
      </c>
      <c r="D456" s="1291" t="e">
        <v>#N/A</v>
      </c>
      <c r="E456" s="334" t="e">
        <v>#N/A</v>
      </c>
      <c r="F456" s="1181" t="e">
        <v>#N/A</v>
      </c>
      <c r="G456" s="1291" t="e">
        <v>#N/A</v>
      </c>
      <c r="H456" s="1291" t="e">
        <v>#N/A</v>
      </c>
      <c r="I456" s="180" t="e">
        <v>#N/A</v>
      </c>
      <c r="J456" s="1181" t="e">
        <v>#N/A</v>
      </c>
      <c r="K456" s="1291" t="e">
        <v>#N/A</v>
      </c>
      <c r="L456" s="1291" t="e">
        <v>#N/A</v>
      </c>
      <c r="M456" s="180" t="e">
        <v>#N/A</v>
      </c>
      <c r="N456" s="1181" t="e">
        <v>#N/A</v>
      </c>
      <c r="O456" s="1291" t="e">
        <v>#N/A</v>
      </c>
      <c r="P456" s="1291" t="e">
        <v>#N/A</v>
      </c>
      <c r="Q456" s="180" t="e">
        <v>#N/A</v>
      </c>
      <c r="R456" s="334" t="e">
        <v>#N/A</v>
      </c>
      <c r="S456" s="1291" t="e">
        <v>#N/A</v>
      </c>
      <c r="T456" s="1291" t="e">
        <v>#N/A</v>
      </c>
      <c r="U456" s="180" t="e">
        <v>#N/A</v>
      </c>
      <c r="V456" s="334" t="e">
        <v>#N/A</v>
      </c>
      <c r="W456" s="1302" t="e">
        <v>#N/A</v>
      </c>
      <c r="X456" s="1181" t="e">
        <v>#N/A</v>
      </c>
      <c r="Y456" s="1302" t="e">
        <v>#N/A</v>
      </c>
      <c r="Z456" s="1311" t="e">
        <f t="shared" si="24"/>
        <v>#N/A</v>
      </c>
      <c r="AA456" s="1302" t="e">
        <v>#N/A</v>
      </c>
      <c r="AB456" s="1181" t="e">
        <v>#N/A</v>
      </c>
      <c r="AC456" s="1302" t="e">
        <v>#N/A</v>
      </c>
      <c r="AD456" s="1181" t="e">
        <v>#N/A</v>
      </c>
      <c r="AE456" s="1302" t="e">
        <v>#N/A</v>
      </c>
      <c r="AF456" s="1311" t="e">
        <f t="shared" si="25"/>
        <v>#N/A</v>
      </c>
      <c r="AG456" s="1322" t="e">
        <v>#N/A</v>
      </c>
    </row>
    <row r="457" spans="1:33">
      <c r="A457" s="134">
        <f t="shared" si="23"/>
        <v>2030.04</v>
      </c>
      <c r="B457" s="611" t="e">
        <v>#N/A</v>
      </c>
      <c r="C457" s="1291" t="e">
        <v>#N/A</v>
      </c>
      <c r="D457" s="1291" t="e">
        <v>#N/A</v>
      </c>
      <c r="E457" s="334" t="e">
        <v>#N/A</v>
      </c>
      <c r="F457" s="1181" t="e">
        <v>#N/A</v>
      </c>
      <c r="G457" s="1291" t="e">
        <v>#N/A</v>
      </c>
      <c r="H457" s="1291" t="e">
        <v>#N/A</v>
      </c>
      <c r="I457" s="180" t="e">
        <v>#N/A</v>
      </c>
      <c r="J457" s="1181" t="e">
        <v>#N/A</v>
      </c>
      <c r="K457" s="1291" t="e">
        <v>#N/A</v>
      </c>
      <c r="L457" s="1291" t="e">
        <v>#N/A</v>
      </c>
      <c r="M457" s="180" t="e">
        <v>#N/A</v>
      </c>
      <c r="N457" s="1181" t="e">
        <v>#N/A</v>
      </c>
      <c r="O457" s="1291" t="e">
        <v>#N/A</v>
      </c>
      <c r="P457" s="1291" t="e">
        <v>#N/A</v>
      </c>
      <c r="Q457" s="180" t="e">
        <v>#N/A</v>
      </c>
      <c r="R457" s="334" t="e">
        <v>#N/A</v>
      </c>
      <c r="S457" s="1291" t="e">
        <v>#N/A</v>
      </c>
      <c r="T457" s="1291" t="e">
        <v>#N/A</v>
      </c>
      <c r="U457" s="180" t="e">
        <v>#N/A</v>
      </c>
      <c r="V457" s="334" t="e">
        <v>#N/A</v>
      </c>
      <c r="W457" s="1302" t="e">
        <v>#N/A</v>
      </c>
      <c r="X457" s="1181" t="e">
        <v>#N/A</v>
      </c>
      <c r="Y457" s="1302" t="e">
        <v>#N/A</v>
      </c>
      <c r="Z457" s="1311" t="e">
        <f t="shared" si="24"/>
        <v>#N/A</v>
      </c>
      <c r="AA457" s="1302" t="e">
        <v>#N/A</v>
      </c>
      <c r="AB457" s="1181" t="e">
        <v>#N/A</v>
      </c>
      <c r="AC457" s="1302" t="e">
        <v>#N/A</v>
      </c>
      <c r="AD457" s="1181" t="e">
        <v>#N/A</v>
      </c>
      <c r="AE457" s="1302" t="e">
        <v>#N/A</v>
      </c>
      <c r="AF457" s="1311" t="e">
        <f t="shared" si="25"/>
        <v>#N/A</v>
      </c>
      <c r="AG457" s="1322" t="e">
        <v>#N/A</v>
      </c>
    </row>
    <row r="458" spans="1:33">
      <c r="A458" s="134">
        <f t="shared" si="23"/>
        <v>2030.05</v>
      </c>
      <c r="B458" s="611" t="e">
        <v>#N/A</v>
      </c>
      <c r="C458" s="1291" t="e">
        <v>#N/A</v>
      </c>
      <c r="D458" s="1291" t="e">
        <v>#N/A</v>
      </c>
      <c r="E458" s="334" t="e">
        <v>#N/A</v>
      </c>
      <c r="F458" s="1181" t="e">
        <v>#N/A</v>
      </c>
      <c r="G458" s="1291" t="e">
        <v>#N/A</v>
      </c>
      <c r="H458" s="1291" t="e">
        <v>#N/A</v>
      </c>
      <c r="I458" s="180" t="e">
        <v>#N/A</v>
      </c>
      <c r="J458" s="1181" t="e">
        <v>#N/A</v>
      </c>
      <c r="K458" s="1291" t="e">
        <v>#N/A</v>
      </c>
      <c r="L458" s="1291" t="e">
        <v>#N/A</v>
      </c>
      <c r="M458" s="180" t="e">
        <v>#N/A</v>
      </c>
      <c r="N458" s="1181" t="e">
        <v>#N/A</v>
      </c>
      <c r="O458" s="1291" t="e">
        <v>#N/A</v>
      </c>
      <c r="P458" s="1291" t="e">
        <v>#N/A</v>
      </c>
      <c r="Q458" s="180" t="e">
        <v>#N/A</v>
      </c>
      <c r="R458" s="334" t="e">
        <v>#N/A</v>
      </c>
      <c r="S458" s="1291" t="e">
        <v>#N/A</v>
      </c>
      <c r="T458" s="1291" t="e">
        <v>#N/A</v>
      </c>
      <c r="U458" s="180" t="e">
        <v>#N/A</v>
      </c>
      <c r="V458" s="334" t="e">
        <v>#N/A</v>
      </c>
      <c r="W458" s="1302" t="e">
        <v>#N/A</v>
      </c>
      <c r="X458" s="1181" t="e">
        <v>#N/A</v>
      </c>
      <c r="Y458" s="1302" t="e">
        <v>#N/A</v>
      </c>
      <c r="Z458" s="1311" t="e">
        <f t="shared" si="24"/>
        <v>#N/A</v>
      </c>
      <c r="AA458" s="1302" t="e">
        <v>#N/A</v>
      </c>
      <c r="AB458" s="1181" t="e">
        <v>#N/A</v>
      </c>
      <c r="AC458" s="1302" t="e">
        <v>#N/A</v>
      </c>
      <c r="AD458" s="1181" t="e">
        <v>#N/A</v>
      </c>
      <c r="AE458" s="1302" t="e">
        <v>#N/A</v>
      </c>
      <c r="AF458" s="1311" t="e">
        <f t="shared" si="25"/>
        <v>#N/A</v>
      </c>
      <c r="AG458" s="1322" t="e">
        <v>#N/A</v>
      </c>
    </row>
    <row r="459" spans="1:33">
      <c r="A459" s="134">
        <f t="shared" si="23"/>
        <v>2030.06</v>
      </c>
      <c r="B459" s="611" t="e">
        <v>#N/A</v>
      </c>
      <c r="C459" s="1291" t="e">
        <v>#N/A</v>
      </c>
      <c r="D459" s="1291" t="e">
        <v>#N/A</v>
      </c>
      <c r="E459" s="334" t="e">
        <v>#N/A</v>
      </c>
      <c r="F459" s="1181" t="e">
        <v>#N/A</v>
      </c>
      <c r="G459" s="1291" t="e">
        <v>#N/A</v>
      </c>
      <c r="H459" s="1291" t="e">
        <v>#N/A</v>
      </c>
      <c r="I459" s="180" t="e">
        <v>#N/A</v>
      </c>
      <c r="J459" s="1181" t="e">
        <v>#N/A</v>
      </c>
      <c r="K459" s="1291" t="e">
        <v>#N/A</v>
      </c>
      <c r="L459" s="1291" t="e">
        <v>#N/A</v>
      </c>
      <c r="M459" s="180" t="e">
        <v>#N/A</v>
      </c>
      <c r="N459" s="1181" t="e">
        <v>#N/A</v>
      </c>
      <c r="O459" s="1291" t="e">
        <v>#N/A</v>
      </c>
      <c r="P459" s="1291" t="e">
        <v>#N/A</v>
      </c>
      <c r="Q459" s="180" t="e">
        <v>#N/A</v>
      </c>
      <c r="R459" s="334" t="e">
        <v>#N/A</v>
      </c>
      <c r="S459" s="1291" t="e">
        <v>#N/A</v>
      </c>
      <c r="T459" s="1291" t="e">
        <v>#N/A</v>
      </c>
      <c r="U459" s="180" t="e">
        <v>#N/A</v>
      </c>
      <c r="V459" s="334" t="e">
        <v>#N/A</v>
      </c>
      <c r="W459" s="1302" t="e">
        <v>#N/A</v>
      </c>
      <c r="X459" s="1181" t="e">
        <v>#N/A</v>
      </c>
      <c r="Y459" s="1302" t="e">
        <v>#N/A</v>
      </c>
      <c r="Z459" s="1311" t="e">
        <f t="shared" si="24"/>
        <v>#N/A</v>
      </c>
      <c r="AA459" s="1302" t="e">
        <v>#N/A</v>
      </c>
      <c r="AB459" s="1181" t="e">
        <v>#N/A</v>
      </c>
      <c r="AC459" s="1302" t="e">
        <v>#N/A</v>
      </c>
      <c r="AD459" s="1181" t="e">
        <v>#N/A</v>
      </c>
      <c r="AE459" s="1302" t="e">
        <v>#N/A</v>
      </c>
      <c r="AF459" s="1311" t="e">
        <f t="shared" si="25"/>
        <v>#N/A</v>
      </c>
      <c r="AG459" s="1322" t="e">
        <v>#N/A</v>
      </c>
    </row>
    <row r="460" spans="1:33">
      <c r="A460" s="134">
        <f t="shared" si="23"/>
        <v>2030.07</v>
      </c>
      <c r="B460" s="611" t="e">
        <v>#N/A</v>
      </c>
      <c r="C460" s="1291" t="e">
        <v>#N/A</v>
      </c>
      <c r="D460" s="1291" t="e">
        <v>#N/A</v>
      </c>
      <c r="E460" s="334" t="e">
        <v>#N/A</v>
      </c>
      <c r="F460" s="1181" t="e">
        <v>#N/A</v>
      </c>
      <c r="G460" s="1291" t="e">
        <v>#N/A</v>
      </c>
      <c r="H460" s="1291" t="e">
        <v>#N/A</v>
      </c>
      <c r="I460" s="180" t="e">
        <v>#N/A</v>
      </c>
      <c r="J460" s="1181" t="e">
        <v>#N/A</v>
      </c>
      <c r="K460" s="1291" t="e">
        <v>#N/A</v>
      </c>
      <c r="L460" s="1291" t="e">
        <v>#N/A</v>
      </c>
      <c r="M460" s="180" t="e">
        <v>#N/A</v>
      </c>
      <c r="N460" s="1181" t="e">
        <v>#N/A</v>
      </c>
      <c r="O460" s="1291" t="e">
        <v>#N/A</v>
      </c>
      <c r="P460" s="1291" t="e">
        <v>#N/A</v>
      </c>
      <c r="Q460" s="180" t="e">
        <v>#N/A</v>
      </c>
      <c r="R460" s="334" t="e">
        <v>#N/A</v>
      </c>
      <c r="S460" s="1291" t="e">
        <v>#N/A</v>
      </c>
      <c r="T460" s="1291" t="e">
        <v>#N/A</v>
      </c>
      <c r="U460" s="180" t="e">
        <v>#N/A</v>
      </c>
      <c r="V460" s="334" t="e">
        <v>#N/A</v>
      </c>
      <c r="W460" s="1302" t="e">
        <v>#N/A</v>
      </c>
      <c r="X460" s="1181" t="e">
        <v>#N/A</v>
      </c>
      <c r="Y460" s="1302" t="e">
        <v>#N/A</v>
      </c>
      <c r="Z460" s="1311" t="e">
        <f t="shared" si="24"/>
        <v>#N/A</v>
      </c>
      <c r="AA460" s="1302" t="e">
        <v>#N/A</v>
      </c>
      <c r="AB460" s="1181" t="e">
        <v>#N/A</v>
      </c>
      <c r="AC460" s="1302" t="e">
        <v>#N/A</v>
      </c>
      <c r="AD460" s="1181" t="e">
        <v>#N/A</v>
      </c>
      <c r="AE460" s="1302" t="e">
        <v>#N/A</v>
      </c>
      <c r="AF460" s="1311" t="e">
        <f t="shared" si="25"/>
        <v>#N/A</v>
      </c>
      <c r="AG460" s="1322" t="e">
        <v>#N/A</v>
      </c>
    </row>
    <row r="461" spans="1:33">
      <c r="A461" s="134">
        <f t="shared" si="23"/>
        <v>2030.08</v>
      </c>
      <c r="B461" s="611" t="e">
        <v>#N/A</v>
      </c>
      <c r="C461" s="1291" t="e">
        <v>#N/A</v>
      </c>
      <c r="D461" s="1291" t="e">
        <v>#N/A</v>
      </c>
      <c r="E461" s="334" t="e">
        <v>#N/A</v>
      </c>
      <c r="F461" s="1181" t="e">
        <v>#N/A</v>
      </c>
      <c r="G461" s="1291" t="e">
        <v>#N/A</v>
      </c>
      <c r="H461" s="1291" t="e">
        <v>#N/A</v>
      </c>
      <c r="I461" s="180" t="e">
        <v>#N/A</v>
      </c>
      <c r="J461" s="1181" t="e">
        <v>#N/A</v>
      </c>
      <c r="K461" s="1291" t="e">
        <v>#N/A</v>
      </c>
      <c r="L461" s="1291" t="e">
        <v>#N/A</v>
      </c>
      <c r="M461" s="180" t="e">
        <v>#N/A</v>
      </c>
      <c r="N461" s="1181" t="e">
        <v>#N/A</v>
      </c>
      <c r="O461" s="1291" t="e">
        <v>#N/A</v>
      </c>
      <c r="P461" s="1291" t="e">
        <v>#N/A</v>
      </c>
      <c r="Q461" s="180" t="e">
        <v>#N/A</v>
      </c>
      <c r="R461" s="334" t="e">
        <v>#N/A</v>
      </c>
      <c r="S461" s="1291" t="e">
        <v>#N/A</v>
      </c>
      <c r="T461" s="1291" t="e">
        <v>#N/A</v>
      </c>
      <c r="U461" s="180" t="e">
        <v>#N/A</v>
      </c>
      <c r="V461" s="334" t="e">
        <v>#N/A</v>
      </c>
      <c r="W461" s="1302" t="e">
        <v>#N/A</v>
      </c>
      <c r="X461" s="1181" t="e">
        <v>#N/A</v>
      </c>
      <c r="Y461" s="1302" t="e">
        <v>#N/A</v>
      </c>
      <c r="Z461" s="1311" t="e">
        <f t="shared" si="24"/>
        <v>#N/A</v>
      </c>
      <c r="AA461" s="1302" t="e">
        <v>#N/A</v>
      </c>
      <c r="AB461" s="1181" t="e">
        <v>#N/A</v>
      </c>
      <c r="AC461" s="1302" t="e">
        <v>#N/A</v>
      </c>
      <c r="AD461" s="1181" t="e">
        <v>#N/A</v>
      </c>
      <c r="AE461" s="1302" t="e">
        <v>#N/A</v>
      </c>
      <c r="AF461" s="1311" t="e">
        <f t="shared" si="25"/>
        <v>#N/A</v>
      </c>
      <c r="AG461" s="1322" t="e">
        <v>#N/A</v>
      </c>
    </row>
    <row r="462" spans="1:33">
      <c r="A462" s="134">
        <f t="shared" si="23"/>
        <v>2030.09</v>
      </c>
      <c r="B462" s="611" t="e">
        <v>#N/A</v>
      </c>
      <c r="C462" s="1291" t="e">
        <v>#N/A</v>
      </c>
      <c r="D462" s="1291" t="e">
        <v>#N/A</v>
      </c>
      <c r="E462" s="334" t="e">
        <v>#N/A</v>
      </c>
      <c r="F462" s="1181" t="e">
        <v>#N/A</v>
      </c>
      <c r="G462" s="1291" t="e">
        <v>#N/A</v>
      </c>
      <c r="H462" s="1291" t="e">
        <v>#N/A</v>
      </c>
      <c r="I462" s="180" t="e">
        <v>#N/A</v>
      </c>
      <c r="J462" s="1181" t="e">
        <v>#N/A</v>
      </c>
      <c r="K462" s="1291" t="e">
        <v>#N/A</v>
      </c>
      <c r="L462" s="1291" t="e">
        <v>#N/A</v>
      </c>
      <c r="M462" s="180" t="e">
        <v>#N/A</v>
      </c>
      <c r="N462" s="1181" t="e">
        <v>#N/A</v>
      </c>
      <c r="O462" s="1291" t="e">
        <v>#N/A</v>
      </c>
      <c r="P462" s="1291" t="e">
        <v>#N/A</v>
      </c>
      <c r="Q462" s="180" t="e">
        <v>#N/A</v>
      </c>
      <c r="R462" s="334" t="e">
        <v>#N/A</v>
      </c>
      <c r="S462" s="1291" t="e">
        <v>#N/A</v>
      </c>
      <c r="T462" s="1291" t="e">
        <v>#N/A</v>
      </c>
      <c r="U462" s="180" t="e">
        <v>#N/A</v>
      </c>
      <c r="V462" s="334" t="e">
        <v>#N/A</v>
      </c>
      <c r="W462" s="1302" t="e">
        <v>#N/A</v>
      </c>
      <c r="X462" s="1181" t="e">
        <v>#N/A</v>
      </c>
      <c r="Y462" s="1302" t="e">
        <v>#N/A</v>
      </c>
      <c r="Z462" s="1311" t="e">
        <f t="shared" si="24"/>
        <v>#N/A</v>
      </c>
      <c r="AA462" s="1302" t="e">
        <v>#N/A</v>
      </c>
      <c r="AB462" s="1181" t="e">
        <v>#N/A</v>
      </c>
      <c r="AC462" s="1302" t="e">
        <v>#N/A</v>
      </c>
      <c r="AD462" s="1181" t="e">
        <v>#N/A</v>
      </c>
      <c r="AE462" s="1302" t="e">
        <v>#N/A</v>
      </c>
      <c r="AF462" s="1311" t="e">
        <f t="shared" si="25"/>
        <v>#N/A</v>
      </c>
      <c r="AG462" s="1322" t="e">
        <v>#N/A</v>
      </c>
    </row>
    <row r="463" spans="1:33">
      <c r="A463" s="134">
        <f t="shared" si="23"/>
        <v>2030.1</v>
      </c>
      <c r="B463" s="611" t="e">
        <v>#N/A</v>
      </c>
      <c r="C463" s="1291" t="e">
        <v>#N/A</v>
      </c>
      <c r="D463" s="1291" t="e">
        <v>#N/A</v>
      </c>
      <c r="E463" s="334" t="e">
        <v>#N/A</v>
      </c>
      <c r="F463" s="1181" t="e">
        <v>#N/A</v>
      </c>
      <c r="G463" s="1291" t="e">
        <v>#N/A</v>
      </c>
      <c r="H463" s="1291" t="e">
        <v>#N/A</v>
      </c>
      <c r="I463" s="180" t="e">
        <v>#N/A</v>
      </c>
      <c r="J463" s="1181" t="e">
        <v>#N/A</v>
      </c>
      <c r="K463" s="1291" t="e">
        <v>#N/A</v>
      </c>
      <c r="L463" s="1291" t="e">
        <v>#N/A</v>
      </c>
      <c r="M463" s="180" t="e">
        <v>#N/A</v>
      </c>
      <c r="N463" s="1181" t="e">
        <v>#N/A</v>
      </c>
      <c r="O463" s="1291" t="e">
        <v>#N/A</v>
      </c>
      <c r="P463" s="1291" t="e">
        <v>#N/A</v>
      </c>
      <c r="Q463" s="180" t="e">
        <v>#N/A</v>
      </c>
      <c r="R463" s="334" t="e">
        <v>#N/A</v>
      </c>
      <c r="S463" s="1291" t="e">
        <v>#N/A</v>
      </c>
      <c r="T463" s="1291" t="e">
        <v>#N/A</v>
      </c>
      <c r="U463" s="180" t="e">
        <v>#N/A</v>
      </c>
      <c r="V463" s="334" t="e">
        <v>#N/A</v>
      </c>
      <c r="W463" s="1302" t="e">
        <v>#N/A</v>
      </c>
      <c r="X463" s="1181" t="e">
        <v>#N/A</v>
      </c>
      <c r="Y463" s="1302" t="e">
        <v>#N/A</v>
      </c>
      <c r="Z463" s="1311" t="e">
        <f t="shared" si="24"/>
        <v>#N/A</v>
      </c>
      <c r="AA463" s="1302" t="e">
        <v>#N/A</v>
      </c>
      <c r="AB463" s="1181" t="e">
        <v>#N/A</v>
      </c>
      <c r="AC463" s="1302" t="e">
        <v>#N/A</v>
      </c>
      <c r="AD463" s="1181" t="e">
        <v>#N/A</v>
      </c>
      <c r="AE463" s="1302" t="e">
        <v>#N/A</v>
      </c>
      <c r="AF463" s="1311" t="e">
        <f t="shared" si="25"/>
        <v>#N/A</v>
      </c>
      <c r="AG463" s="1322" t="e">
        <v>#N/A</v>
      </c>
    </row>
    <row r="464" spans="1:33">
      <c r="A464" s="134">
        <f t="shared" si="23"/>
        <v>2030.11</v>
      </c>
      <c r="B464" s="611" t="e">
        <v>#N/A</v>
      </c>
      <c r="C464" s="1291" t="e">
        <v>#N/A</v>
      </c>
      <c r="D464" s="1291" t="e">
        <v>#N/A</v>
      </c>
      <c r="E464" s="334" t="e">
        <v>#N/A</v>
      </c>
      <c r="F464" s="1181" t="e">
        <v>#N/A</v>
      </c>
      <c r="G464" s="1291" t="e">
        <v>#N/A</v>
      </c>
      <c r="H464" s="1291" t="e">
        <v>#N/A</v>
      </c>
      <c r="I464" s="180" t="e">
        <v>#N/A</v>
      </c>
      <c r="J464" s="1181" t="e">
        <v>#N/A</v>
      </c>
      <c r="K464" s="1291" t="e">
        <v>#N/A</v>
      </c>
      <c r="L464" s="1291" t="e">
        <v>#N/A</v>
      </c>
      <c r="M464" s="180" t="e">
        <v>#N/A</v>
      </c>
      <c r="N464" s="1181" t="e">
        <v>#N/A</v>
      </c>
      <c r="O464" s="1291" t="e">
        <v>#N/A</v>
      </c>
      <c r="P464" s="1291" t="e">
        <v>#N/A</v>
      </c>
      <c r="Q464" s="180" t="e">
        <v>#N/A</v>
      </c>
      <c r="R464" s="334" t="e">
        <v>#N/A</v>
      </c>
      <c r="S464" s="1291" t="e">
        <v>#N/A</v>
      </c>
      <c r="T464" s="1291" t="e">
        <v>#N/A</v>
      </c>
      <c r="U464" s="180" t="e">
        <v>#N/A</v>
      </c>
      <c r="V464" s="334" t="e">
        <v>#N/A</v>
      </c>
      <c r="W464" s="1302" t="e">
        <v>#N/A</v>
      </c>
      <c r="X464" s="1181" t="e">
        <v>#N/A</v>
      </c>
      <c r="Y464" s="1302" t="e">
        <v>#N/A</v>
      </c>
      <c r="Z464" s="1311" t="e">
        <f t="shared" si="24"/>
        <v>#N/A</v>
      </c>
      <c r="AA464" s="1302" t="e">
        <v>#N/A</v>
      </c>
      <c r="AB464" s="1181" t="e">
        <v>#N/A</v>
      </c>
      <c r="AC464" s="1302" t="e">
        <v>#N/A</v>
      </c>
      <c r="AD464" s="1181" t="e">
        <v>#N/A</v>
      </c>
      <c r="AE464" s="1302" t="e">
        <v>#N/A</v>
      </c>
      <c r="AF464" s="1311" t="e">
        <f t="shared" si="25"/>
        <v>#N/A</v>
      </c>
      <c r="AG464" s="1322" t="e">
        <v>#N/A</v>
      </c>
    </row>
    <row r="465" spans="1:33">
      <c r="A465" s="134">
        <f t="shared" si="23"/>
        <v>2030.12</v>
      </c>
      <c r="B465" s="611" t="e">
        <v>#N/A</v>
      </c>
      <c r="C465" s="1291" t="e">
        <v>#N/A</v>
      </c>
      <c r="D465" s="1291" t="e">
        <v>#N/A</v>
      </c>
      <c r="E465" s="334" t="e">
        <v>#N/A</v>
      </c>
      <c r="F465" s="1181" t="e">
        <v>#N/A</v>
      </c>
      <c r="G465" s="1291" t="e">
        <v>#N/A</v>
      </c>
      <c r="H465" s="1291" t="e">
        <v>#N/A</v>
      </c>
      <c r="I465" s="180" t="e">
        <v>#N/A</v>
      </c>
      <c r="J465" s="1181" t="e">
        <v>#N/A</v>
      </c>
      <c r="K465" s="1291" t="e">
        <v>#N/A</v>
      </c>
      <c r="L465" s="1291" t="e">
        <v>#N/A</v>
      </c>
      <c r="M465" s="180" t="e">
        <v>#N/A</v>
      </c>
      <c r="N465" s="1181" t="e">
        <v>#N/A</v>
      </c>
      <c r="O465" s="1291" t="e">
        <v>#N/A</v>
      </c>
      <c r="P465" s="1291" t="e">
        <v>#N/A</v>
      </c>
      <c r="Q465" s="180" t="e">
        <v>#N/A</v>
      </c>
      <c r="R465" s="334" t="e">
        <v>#N/A</v>
      </c>
      <c r="S465" s="1291" t="e">
        <v>#N/A</v>
      </c>
      <c r="T465" s="1291" t="e">
        <v>#N/A</v>
      </c>
      <c r="U465" s="180" t="e">
        <v>#N/A</v>
      </c>
      <c r="V465" s="334" t="e">
        <v>#N/A</v>
      </c>
      <c r="W465" s="1302" t="e">
        <v>#N/A</v>
      </c>
      <c r="X465" s="1181" t="e">
        <v>#N/A</v>
      </c>
      <c r="Y465" s="1302" t="e">
        <v>#N/A</v>
      </c>
      <c r="Z465" s="1311" t="e">
        <f t="shared" si="24"/>
        <v>#N/A</v>
      </c>
      <c r="AA465" s="1302" t="e">
        <v>#N/A</v>
      </c>
      <c r="AB465" s="1181" t="e">
        <v>#N/A</v>
      </c>
      <c r="AC465" s="1302" t="e">
        <v>#N/A</v>
      </c>
      <c r="AD465" s="1181" t="e">
        <v>#N/A</v>
      </c>
      <c r="AE465" s="1302" t="e">
        <v>#N/A</v>
      </c>
      <c r="AF465" s="1311" t="e">
        <f t="shared" si="25"/>
        <v>#N/A</v>
      </c>
      <c r="AG465" s="1322" t="e">
        <v>#N/A</v>
      </c>
    </row>
  </sheetData>
  <phoneticPr fontId="58" type="noConversion"/>
  <hyperlinks>
    <hyperlink ref="A5" location="INDICE!A13" display="VOLVER AL INDICE" xr:uid="{00000000-0004-0000-1600-000000000000}"/>
  </hyperlinks>
  <pageMargins left="0.75" right="0.75" top="1" bottom="1" header="0" footer="0"/>
  <pageSetup paperSize="9" orientation="portrait" horizontalDpi="300" verticalDpi="30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83"/>
  <sheetViews>
    <sheetView zoomScaleNormal="100" workbookViewId="0">
      <pane xSplit="1" ySplit="9" topLeftCell="I366"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2" style="19" bestFit="1" customWidth="1"/>
    <col min="2" max="12" width="16.42578125" style="19" customWidth="1"/>
    <col min="13" max="13" width="16.42578125" style="784" customWidth="1"/>
    <col min="14" max="14" width="11.42578125" style="1" customWidth="1"/>
    <col min="15" max="16384" width="11.42578125" style="1"/>
  </cols>
  <sheetData>
    <row r="1" spans="1:13" ht="3" customHeight="1">
      <c r="A1" s="37"/>
      <c r="B1" s="1182"/>
      <c r="C1" s="1182"/>
      <c r="D1" s="1182"/>
      <c r="E1" s="1182"/>
      <c r="F1" s="1182"/>
      <c r="G1" s="1182"/>
      <c r="H1" s="1183"/>
      <c r="I1" s="1182"/>
      <c r="J1" s="1182"/>
      <c r="K1" s="1182"/>
      <c r="L1" s="1182"/>
      <c r="M1" s="1184"/>
    </row>
    <row r="2" spans="1:13" ht="34.5" customHeight="1">
      <c r="A2" s="121" t="s">
        <v>212</v>
      </c>
      <c r="B2" s="805" t="s">
        <v>1252</v>
      </c>
      <c r="C2" s="1171"/>
      <c r="D2" s="805"/>
      <c r="E2" s="805"/>
      <c r="F2" s="805"/>
      <c r="G2" s="805"/>
      <c r="H2" s="805" t="s">
        <v>1253</v>
      </c>
      <c r="I2" s="1171"/>
      <c r="J2" s="805"/>
      <c r="K2" s="805"/>
      <c r="L2" s="805"/>
      <c r="M2" s="1185"/>
    </row>
    <row r="3" spans="1:13" ht="22.5">
      <c r="A3" s="42" t="s">
        <v>211</v>
      </c>
      <c r="B3" s="805" t="s">
        <v>1254</v>
      </c>
      <c r="C3" s="1171"/>
      <c r="D3" s="805"/>
      <c r="E3" s="805"/>
      <c r="F3" s="805"/>
      <c r="G3" s="805"/>
      <c r="H3" s="805" t="s">
        <v>1254</v>
      </c>
      <c r="I3" s="1171"/>
      <c r="J3" s="805"/>
      <c r="K3" s="805"/>
      <c r="L3" s="805"/>
      <c r="M3" s="1185"/>
    </row>
    <row r="4" spans="1:13" ht="3.75" customHeight="1">
      <c r="A4" s="119"/>
      <c r="B4" s="1186"/>
      <c r="C4" s="1187"/>
      <c r="D4" s="1187"/>
      <c r="E4" s="1187"/>
      <c r="F4" s="1187"/>
      <c r="G4" s="1187"/>
      <c r="H4" s="1186"/>
      <c r="I4" s="1187"/>
      <c r="J4" s="1187"/>
      <c r="K4" s="1187"/>
      <c r="L4" s="1187"/>
      <c r="M4" s="1188"/>
    </row>
    <row r="5" spans="1:13" ht="33.75">
      <c r="A5" s="45" t="s">
        <v>213</v>
      </c>
      <c r="B5" s="420" t="s">
        <v>71</v>
      </c>
      <c r="C5" s="1607" t="s">
        <v>717</v>
      </c>
      <c r="D5" s="1603" t="s">
        <v>717</v>
      </c>
      <c r="E5" s="1695" t="s">
        <v>1255</v>
      </c>
      <c r="F5" s="2288" t="s">
        <v>1256</v>
      </c>
      <c r="G5" s="2289" t="s">
        <v>1257</v>
      </c>
      <c r="H5" s="420" t="s">
        <v>71</v>
      </c>
      <c r="I5" s="420" t="s">
        <v>717</v>
      </c>
      <c r="J5" s="1603" t="s">
        <v>717</v>
      </c>
      <c r="K5" s="796" t="s">
        <v>1258</v>
      </c>
      <c r="L5" s="2290" t="s">
        <v>1256</v>
      </c>
      <c r="M5" s="2291" t="s">
        <v>1257</v>
      </c>
    </row>
    <row r="6" spans="1:13">
      <c r="A6" s="36"/>
      <c r="B6" s="140"/>
      <c r="C6" s="1608"/>
      <c r="D6" s="1621"/>
      <c r="E6" s="1187"/>
      <c r="F6" s="1186"/>
      <c r="G6" s="1626"/>
      <c r="H6" s="140"/>
      <c r="I6" s="140"/>
      <c r="J6" s="1627"/>
      <c r="K6" s="1187"/>
      <c r="L6" s="1187"/>
      <c r="M6" s="150"/>
    </row>
    <row r="7" spans="1:13" ht="22.5">
      <c r="A7" s="47" t="s">
        <v>210</v>
      </c>
      <c r="B7" s="1602" t="s">
        <v>65</v>
      </c>
      <c r="C7" s="1609" t="s">
        <v>65</v>
      </c>
      <c r="D7" s="1604" t="s">
        <v>65</v>
      </c>
      <c r="E7" s="1624" t="s">
        <v>62</v>
      </c>
      <c r="F7" s="2288" t="s">
        <v>1334</v>
      </c>
      <c r="G7" s="1189" t="s">
        <v>229</v>
      </c>
      <c r="H7" s="1190" t="s">
        <v>65</v>
      </c>
      <c r="I7" s="1190" t="s">
        <v>65</v>
      </c>
      <c r="J7" s="1628" t="s">
        <v>65</v>
      </c>
      <c r="K7" s="1615" t="s">
        <v>62</v>
      </c>
      <c r="L7" s="1189" t="s">
        <v>1334</v>
      </c>
      <c r="M7" s="1191" t="s">
        <v>229</v>
      </c>
    </row>
    <row r="8" spans="1:13">
      <c r="A8" s="390" t="s">
        <v>412</v>
      </c>
      <c r="B8" s="398" t="s">
        <v>532</v>
      </c>
      <c r="C8" s="1588" t="s">
        <v>533</v>
      </c>
      <c r="D8" s="1156" t="s">
        <v>534</v>
      </c>
      <c r="E8" s="397" t="s">
        <v>535</v>
      </c>
      <c r="F8" s="398" t="s">
        <v>910</v>
      </c>
      <c r="G8" s="394" t="s">
        <v>911</v>
      </c>
      <c r="H8" s="398" t="s">
        <v>1259</v>
      </c>
      <c r="I8" s="398" t="s">
        <v>1260</v>
      </c>
      <c r="J8" s="1156" t="s">
        <v>1261</v>
      </c>
      <c r="K8" s="396" t="s">
        <v>1262</v>
      </c>
      <c r="L8" s="394" t="s">
        <v>1263</v>
      </c>
      <c r="M8" s="395" t="s">
        <v>1264</v>
      </c>
    </row>
    <row r="9" spans="1:13" ht="13.5" thickBot="1">
      <c r="A9" s="52"/>
      <c r="B9" s="1192"/>
      <c r="C9" s="1610"/>
      <c r="D9" s="1622"/>
      <c r="E9" s="1193"/>
      <c r="F9" s="1625"/>
      <c r="G9" s="846"/>
      <c r="H9" s="1192"/>
      <c r="I9" s="1192"/>
      <c r="J9" s="1622"/>
      <c r="K9" s="847"/>
      <c r="L9" s="847"/>
      <c r="M9" s="1194"/>
    </row>
    <row r="10" spans="1:13">
      <c r="A10" s="49">
        <v>1994.01</v>
      </c>
      <c r="B10" s="1195">
        <v>170491.82350689804</v>
      </c>
      <c r="C10" s="1611"/>
      <c r="D10" s="2280">
        <v>1032357</v>
      </c>
      <c r="E10" s="2281">
        <f>B10/D10</f>
        <v>0.16514812560664388</v>
      </c>
      <c r="F10" s="1214">
        <v>209</v>
      </c>
      <c r="G10" s="1215">
        <v>0.63900000000000001</v>
      </c>
      <c r="H10" s="1216">
        <v>52497.775111568029</v>
      </c>
      <c r="I10" s="1196"/>
      <c r="J10" s="1629"/>
      <c r="K10" s="1197"/>
      <c r="L10" s="1212">
        <v>86.45</v>
      </c>
      <c r="M10" s="1213">
        <v>0.98</v>
      </c>
    </row>
    <row r="11" spans="1:13">
      <c r="A11" s="49">
        <v>1994.02</v>
      </c>
      <c r="B11" s="1605">
        <v>161579.05095065094</v>
      </c>
      <c r="C11" s="1611"/>
      <c r="D11" s="1623">
        <v>996918</v>
      </c>
      <c r="E11" s="1616">
        <f t="shared" ref="E11:E74" si="0">B11/D11</f>
        <v>0.16207857712535129</v>
      </c>
      <c r="F11" s="1200">
        <v>209</v>
      </c>
      <c r="G11" s="1201">
        <v>0.63600000000000001</v>
      </c>
      <c r="H11" s="1202">
        <v>52564.030117526112</v>
      </c>
      <c r="I11" s="1196"/>
      <c r="J11" s="1629"/>
      <c r="K11" s="1197"/>
      <c r="L11" s="1200">
        <v>85.66</v>
      </c>
      <c r="M11" s="1203">
        <v>0.99</v>
      </c>
    </row>
    <row r="12" spans="1:13">
      <c r="A12" s="49">
        <v>1994.03</v>
      </c>
      <c r="B12" s="1605">
        <v>188786.52001106984</v>
      </c>
      <c r="C12" s="1611"/>
      <c r="D12" s="1623">
        <v>1162789</v>
      </c>
      <c r="E12" s="1616">
        <f t="shared" si="0"/>
        <v>0.16235664425022067</v>
      </c>
      <c r="F12" s="1200">
        <v>209</v>
      </c>
      <c r="G12" s="1201">
        <v>0.621</v>
      </c>
      <c r="H12" s="1202">
        <v>59051.844529077782</v>
      </c>
      <c r="I12" s="1196"/>
      <c r="J12" s="1629"/>
      <c r="K12" s="1197"/>
      <c r="L12" s="1200">
        <v>81.47</v>
      </c>
      <c r="M12" s="1203">
        <v>1.05</v>
      </c>
    </row>
    <row r="13" spans="1:13">
      <c r="A13" s="49">
        <v>1994.04</v>
      </c>
      <c r="B13" s="1605">
        <v>168378.98641590757</v>
      </c>
      <c r="C13" s="1611"/>
      <c r="D13" s="1623">
        <v>1060222</v>
      </c>
      <c r="E13" s="1616">
        <f t="shared" si="0"/>
        <v>0.15881483917133163</v>
      </c>
      <c r="F13" s="1200">
        <v>209</v>
      </c>
      <c r="G13" s="1201">
        <v>0.624</v>
      </c>
      <c r="H13" s="1202">
        <v>55966.845814154534</v>
      </c>
      <c r="I13" s="1196"/>
      <c r="J13" s="1629"/>
      <c r="K13" s="1197"/>
      <c r="L13" s="1200">
        <v>85.73</v>
      </c>
      <c r="M13" s="1203">
        <v>1.07</v>
      </c>
    </row>
    <row r="14" spans="1:13">
      <c r="A14" s="49">
        <v>1994.05</v>
      </c>
      <c r="B14" s="1605">
        <v>182598.13718343529</v>
      </c>
      <c r="C14" s="1611"/>
      <c r="D14" s="1623">
        <v>1137106</v>
      </c>
      <c r="E14" s="1616">
        <f t="shared" si="0"/>
        <v>0.16058145606780308</v>
      </c>
      <c r="F14" s="1200">
        <v>209</v>
      </c>
      <c r="G14" s="1201">
        <v>0.61199999999999999</v>
      </c>
      <c r="H14" s="1202">
        <v>56453.406014159213</v>
      </c>
      <c r="I14" s="1196"/>
      <c r="J14" s="1629"/>
      <c r="K14" s="1197"/>
      <c r="L14" s="1200">
        <v>87.35</v>
      </c>
      <c r="M14" s="1203">
        <v>0.94</v>
      </c>
    </row>
    <row r="15" spans="1:13">
      <c r="A15" s="49">
        <v>1994.06</v>
      </c>
      <c r="B15" s="1605">
        <v>180440.0407817183</v>
      </c>
      <c r="C15" s="1611"/>
      <c r="D15" s="1623">
        <v>1111680</v>
      </c>
      <c r="E15" s="1616">
        <f t="shared" si="0"/>
        <v>0.16231293248211562</v>
      </c>
      <c r="F15" s="1200">
        <v>209</v>
      </c>
      <c r="G15" s="1201">
        <v>0.72899999999999998</v>
      </c>
      <c r="H15" s="1202">
        <v>53010.216173275076</v>
      </c>
      <c r="I15" s="1196"/>
      <c r="J15" s="1629"/>
      <c r="K15" s="1197"/>
      <c r="L15" s="1200">
        <v>89.5</v>
      </c>
      <c r="M15" s="1203">
        <v>0.93</v>
      </c>
    </row>
    <row r="16" spans="1:13">
      <c r="A16" s="49">
        <v>1994.07</v>
      </c>
      <c r="B16" s="1605">
        <v>181453.40778774192</v>
      </c>
      <c r="C16" s="1611"/>
      <c r="D16" s="1623">
        <v>1111911</v>
      </c>
      <c r="E16" s="1616">
        <f t="shared" si="0"/>
        <v>0.16319058610602999</v>
      </c>
      <c r="F16" s="1200">
        <v>209</v>
      </c>
      <c r="G16" s="1201">
        <v>0.71499999999999997</v>
      </c>
      <c r="H16" s="1202">
        <v>50804.131521764524</v>
      </c>
      <c r="I16" s="1196"/>
      <c r="J16" s="1629"/>
      <c r="K16" s="1197"/>
      <c r="L16" s="1200">
        <v>89.12</v>
      </c>
      <c r="M16" s="1203">
        <v>0.95</v>
      </c>
    </row>
    <row r="17" spans="1:13">
      <c r="A17" s="49">
        <v>1994.08</v>
      </c>
      <c r="B17" s="1605">
        <v>190440.14068102997</v>
      </c>
      <c r="C17" s="1611"/>
      <c r="D17" s="1623">
        <v>1111422</v>
      </c>
      <c r="E17" s="1616">
        <f t="shared" si="0"/>
        <v>0.1713481833912141</v>
      </c>
      <c r="F17" s="1200">
        <v>209</v>
      </c>
      <c r="G17" s="1201">
        <v>0.75</v>
      </c>
      <c r="H17" s="1202">
        <v>57707.074955022312</v>
      </c>
      <c r="I17" s="1196"/>
      <c r="J17" s="1629"/>
      <c r="K17" s="1197"/>
      <c r="L17" s="1200">
        <v>88.27</v>
      </c>
      <c r="M17" s="1203">
        <v>0.94599999999999995</v>
      </c>
    </row>
    <row r="18" spans="1:13">
      <c r="A18" s="49">
        <v>1994.09</v>
      </c>
      <c r="B18" s="1605">
        <v>193989.13297336764</v>
      </c>
      <c r="C18" s="1611"/>
      <c r="D18" s="1623">
        <v>1082229</v>
      </c>
      <c r="E18" s="1616">
        <f t="shared" si="0"/>
        <v>0.17924961627656222</v>
      </c>
      <c r="F18" s="1200">
        <v>209</v>
      </c>
      <c r="G18" s="1201">
        <v>0.70299999999999996</v>
      </c>
      <c r="H18" s="1202">
        <v>60383.156055048014</v>
      </c>
      <c r="I18" s="1196"/>
      <c r="J18" s="1629"/>
      <c r="K18" s="1197"/>
      <c r="L18" s="1200">
        <v>88.74</v>
      </c>
      <c r="M18" s="1203">
        <v>0.87</v>
      </c>
    </row>
    <row r="19" spans="1:13">
      <c r="A19" s="49">
        <v>1994.1</v>
      </c>
      <c r="B19" s="1605">
        <v>190769.09859801803</v>
      </c>
      <c r="C19" s="1611"/>
      <c r="D19" s="1623">
        <v>1091885</v>
      </c>
      <c r="E19" s="1616">
        <f t="shared" si="0"/>
        <v>0.1747153762511785</v>
      </c>
      <c r="F19" s="1200">
        <v>209</v>
      </c>
      <c r="G19" s="1201">
        <v>0.70499999999999996</v>
      </c>
      <c r="H19" s="1202">
        <v>61808.673917614899</v>
      </c>
      <c r="I19" s="1196"/>
      <c r="J19" s="1629"/>
      <c r="K19" s="1197"/>
      <c r="L19" s="1200">
        <v>89.73</v>
      </c>
      <c r="M19" s="1203">
        <v>0.85</v>
      </c>
    </row>
    <row r="20" spans="1:13">
      <c r="A20" s="49">
        <v>1994.11</v>
      </c>
      <c r="B20" s="1605">
        <v>201920.55120678793</v>
      </c>
      <c r="C20" s="1611"/>
      <c r="D20" s="1623">
        <v>1181884</v>
      </c>
      <c r="E20" s="1616">
        <f t="shared" si="0"/>
        <v>0.17084633619440481</v>
      </c>
      <c r="F20" s="1200">
        <v>209</v>
      </c>
      <c r="G20" s="1201">
        <v>0.67800000000000005</v>
      </c>
      <c r="H20" s="1202">
        <v>72378.417836865352</v>
      </c>
      <c r="I20" s="1196"/>
      <c r="J20" s="1629"/>
      <c r="K20" s="1197"/>
      <c r="L20" s="1200">
        <v>89.28</v>
      </c>
      <c r="M20" s="1203">
        <v>0.83</v>
      </c>
    </row>
    <row r="21" spans="1:13">
      <c r="A21" s="49">
        <v>1994.12</v>
      </c>
      <c r="B21" s="1605">
        <v>195620.67593077823</v>
      </c>
      <c r="C21" s="1611"/>
      <c r="D21" s="1623">
        <v>1119949</v>
      </c>
      <c r="E21" s="1616">
        <f t="shared" si="0"/>
        <v>0.17466927148537856</v>
      </c>
      <c r="F21" s="1200">
        <v>209</v>
      </c>
      <c r="G21" s="1201">
        <v>0.69699999999999995</v>
      </c>
      <c r="H21" s="1202">
        <v>72569.936213462934</v>
      </c>
      <c r="I21" s="1196"/>
      <c r="J21" s="1629"/>
      <c r="K21" s="1197"/>
      <c r="L21" s="1200">
        <v>87.02</v>
      </c>
      <c r="M21" s="1203">
        <v>1.08</v>
      </c>
    </row>
    <row r="22" spans="1:13">
      <c r="A22" s="49">
        <v>1995.01</v>
      </c>
      <c r="B22" s="1605">
        <v>204533.44848702534</v>
      </c>
      <c r="C22" s="1611"/>
      <c r="D22" s="1623">
        <v>1097434</v>
      </c>
      <c r="E22" s="1616">
        <f t="shared" si="0"/>
        <v>0.18637425894133527</v>
      </c>
      <c r="F22" s="1200">
        <v>209</v>
      </c>
      <c r="G22" s="1201">
        <v>0.75600000000000001</v>
      </c>
      <c r="H22" s="1202">
        <v>63412.252108694127</v>
      </c>
      <c r="I22" s="1196"/>
      <c r="J22" s="1629"/>
      <c r="K22" s="1197"/>
      <c r="L22" s="1200">
        <v>86.45</v>
      </c>
      <c r="M22" s="1203">
        <v>1.01</v>
      </c>
    </row>
    <row r="23" spans="1:13">
      <c r="A23" s="49">
        <v>1995.02</v>
      </c>
      <c r="B23" s="1605">
        <v>195943.01053400146</v>
      </c>
      <c r="C23" s="1611"/>
      <c r="D23" s="1623">
        <v>987285</v>
      </c>
      <c r="E23" s="1616">
        <f t="shared" si="0"/>
        <v>0.19846651223709613</v>
      </c>
      <c r="F23" s="1200">
        <v>209</v>
      </c>
      <c r="G23" s="1201">
        <v>0.71399999999999997</v>
      </c>
      <c r="H23" s="1202">
        <v>58445.197130774082</v>
      </c>
      <c r="I23" s="1196"/>
      <c r="J23" s="1629"/>
      <c r="K23" s="1197"/>
      <c r="L23" s="1200">
        <v>85.66</v>
      </c>
      <c r="M23" s="1203">
        <v>1.08</v>
      </c>
    </row>
    <row r="24" spans="1:13">
      <c r="A24" s="49">
        <v>1995.03</v>
      </c>
      <c r="B24" s="1605">
        <v>227992.12195653326</v>
      </c>
      <c r="C24" s="1611"/>
      <c r="D24" s="1623">
        <v>1187208</v>
      </c>
      <c r="E24" s="1616">
        <f t="shared" si="0"/>
        <v>0.19204058762789103</v>
      </c>
      <c r="F24" s="1200">
        <v>209</v>
      </c>
      <c r="G24" s="1201">
        <v>0.66800000000000004</v>
      </c>
      <c r="H24" s="1202">
        <v>61614.049837613027</v>
      </c>
      <c r="I24" s="1196"/>
      <c r="J24" s="1629"/>
      <c r="K24" s="1197"/>
      <c r="L24" s="1200">
        <v>81.47</v>
      </c>
      <c r="M24" s="1203">
        <v>1.1100000000000001</v>
      </c>
    </row>
    <row r="25" spans="1:13">
      <c r="A25" s="49">
        <v>1995.04</v>
      </c>
      <c r="B25" s="1605">
        <v>195166.97893788532</v>
      </c>
      <c r="C25" s="1611"/>
      <c r="D25" s="1623">
        <v>1012913</v>
      </c>
      <c r="E25" s="1616">
        <f t="shared" si="0"/>
        <v>0.19267891609435886</v>
      </c>
      <c r="F25" s="1200">
        <v>209</v>
      </c>
      <c r="G25" s="1201">
        <v>0.65700000000000003</v>
      </c>
      <c r="H25" s="1202">
        <v>48110.451435781208</v>
      </c>
      <c r="I25" s="1196"/>
      <c r="J25" s="1629"/>
      <c r="K25" s="1197"/>
      <c r="L25" s="1200">
        <v>85.73</v>
      </c>
      <c r="M25" s="1203">
        <v>0.97</v>
      </c>
    </row>
    <row r="26" spans="1:13">
      <c r="A26" s="49">
        <v>1995.05</v>
      </c>
      <c r="B26" s="1605">
        <v>222857.949903139</v>
      </c>
      <c r="C26" s="1611"/>
      <c r="D26" s="1623">
        <v>1154423</v>
      </c>
      <c r="E26" s="1616">
        <f t="shared" si="0"/>
        <v>0.19304704592955874</v>
      </c>
      <c r="F26" s="1200">
        <v>209</v>
      </c>
      <c r="G26" s="1201">
        <v>0.65600000000000003</v>
      </c>
      <c r="H26" s="1202">
        <v>59370.696745251058</v>
      </c>
      <c r="I26" s="1196"/>
      <c r="J26" s="1629"/>
      <c r="K26" s="1197"/>
      <c r="L26" s="1200">
        <v>87.35</v>
      </c>
      <c r="M26" s="1203">
        <v>0.92</v>
      </c>
    </row>
    <row r="27" spans="1:13">
      <c r="A27" s="49">
        <v>1995.06</v>
      </c>
      <c r="B27" s="1605">
        <v>218563.83481225453</v>
      </c>
      <c r="C27" s="1611"/>
      <c r="D27" s="1623">
        <v>1097922</v>
      </c>
      <c r="E27" s="1616">
        <f t="shared" si="0"/>
        <v>0.19907045747535301</v>
      </c>
      <c r="F27" s="1200">
        <v>209</v>
      </c>
      <c r="G27" s="1201">
        <v>0.64500000000000002</v>
      </c>
      <c r="H27" s="1202">
        <v>57609.762915021376</v>
      </c>
      <c r="I27" s="1196"/>
      <c r="J27" s="1629"/>
      <c r="K27" s="1197"/>
      <c r="L27" s="1200">
        <v>89.5</v>
      </c>
      <c r="M27" s="1203">
        <v>0.89</v>
      </c>
    </row>
    <row r="28" spans="1:13">
      <c r="A28" s="49">
        <v>1995.07</v>
      </c>
      <c r="B28" s="1605">
        <v>212325.77713138354</v>
      </c>
      <c r="C28" s="1611"/>
      <c r="D28" s="1623">
        <v>1081237</v>
      </c>
      <c r="E28" s="1616">
        <f t="shared" si="0"/>
        <v>0.19637302194743941</v>
      </c>
      <c r="F28" s="1200">
        <v>209</v>
      </c>
      <c r="G28" s="1201">
        <v>0.628</v>
      </c>
      <c r="H28" s="1202">
        <v>52488.458001355175</v>
      </c>
      <c r="I28" s="1196"/>
      <c r="J28" s="1629"/>
      <c r="K28" s="1197"/>
      <c r="L28" s="1200">
        <v>89.12</v>
      </c>
      <c r="M28" s="1203">
        <v>0.89</v>
      </c>
    </row>
    <row r="29" spans="1:13">
      <c r="A29" s="49">
        <v>1995.08</v>
      </c>
      <c r="B29" s="1605">
        <v>228973.47627936007</v>
      </c>
      <c r="C29" s="1611"/>
      <c r="D29" s="1623">
        <v>1145915</v>
      </c>
      <c r="E29" s="1616">
        <f t="shared" si="0"/>
        <v>0.19981715596650718</v>
      </c>
      <c r="F29" s="1200">
        <v>209</v>
      </c>
      <c r="G29" s="1201">
        <v>0.64400000000000002</v>
      </c>
      <c r="H29" s="1202">
        <v>57627.361900978998</v>
      </c>
      <c r="I29" s="1196"/>
      <c r="J29" s="1629"/>
      <c r="K29" s="1197"/>
      <c r="L29" s="1200">
        <v>88.27</v>
      </c>
      <c r="M29" s="1203">
        <v>0.95</v>
      </c>
    </row>
    <row r="30" spans="1:13">
      <c r="A30" s="49">
        <v>1995.09</v>
      </c>
      <c r="B30" s="1605">
        <v>210937.08901201782</v>
      </c>
      <c r="C30" s="1611"/>
      <c r="D30" s="1623">
        <v>1030983</v>
      </c>
      <c r="E30" s="1616">
        <f t="shared" si="0"/>
        <v>0.20459802830116289</v>
      </c>
      <c r="F30" s="1200">
        <v>209</v>
      </c>
      <c r="G30" s="1201">
        <v>0.747</v>
      </c>
      <c r="H30" s="1202">
        <v>54552.715530736699</v>
      </c>
      <c r="I30" s="1196"/>
      <c r="J30" s="1629"/>
      <c r="K30" s="1197"/>
      <c r="L30" s="1200">
        <v>88.74</v>
      </c>
      <c r="M30" s="1203">
        <v>0.92</v>
      </c>
    </row>
    <row r="31" spans="1:13">
      <c r="A31" s="49">
        <v>1995.1</v>
      </c>
      <c r="B31" s="1605">
        <v>199071.42240227049</v>
      </c>
      <c r="C31" s="1611"/>
      <c r="D31" s="1623">
        <v>1023800</v>
      </c>
      <c r="E31" s="1616">
        <f t="shared" si="0"/>
        <v>0.19444366321768947</v>
      </c>
      <c r="F31" s="1200">
        <v>209</v>
      </c>
      <c r="G31" s="1201">
        <v>0.78400000000000003</v>
      </c>
      <c r="H31" s="1202">
        <v>57099.392322250518</v>
      </c>
      <c r="I31" s="1196"/>
      <c r="J31" s="1629"/>
      <c r="K31" s="1197"/>
      <c r="L31" s="1200">
        <v>89.73</v>
      </c>
      <c r="M31" s="1203">
        <v>0.91</v>
      </c>
    </row>
    <row r="32" spans="1:13">
      <c r="A32" s="49">
        <v>1995.11</v>
      </c>
      <c r="B32" s="1605">
        <v>208697.30507386755</v>
      </c>
      <c r="C32" s="1611"/>
      <c r="D32" s="1623">
        <v>1063022</v>
      </c>
      <c r="E32" s="1616">
        <f t="shared" si="0"/>
        <v>0.19632453991908685</v>
      </c>
      <c r="F32" s="1200">
        <v>209</v>
      </c>
      <c r="G32" s="1201">
        <v>0.77600000000000002</v>
      </c>
      <c r="H32" s="1202">
        <v>56535.189537138722</v>
      </c>
      <c r="I32" s="1196"/>
      <c r="J32" s="1629"/>
      <c r="K32" s="1197"/>
      <c r="L32" s="1200">
        <v>89.28</v>
      </c>
      <c r="M32" s="1203">
        <v>0.97</v>
      </c>
    </row>
    <row r="33" spans="1:13">
      <c r="A33" s="49">
        <v>1995.12</v>
      </c>
      <c r="B33" s="1605">
        <v>183588.32259128193</v>
      </c>
      <c r="C33" s="1611"/>
      <c r="D33" s="1623">
        <v>975261</v>
      </c>
      <c r="E33" s="1616">
        <f t="shared" si="0"/>
        <v>0.1882453236531369</v>
      </c>
      <c r="F33" s="1200">
        <v>209</v>
      </c>
      <c r="G33" s="1201">
        <v>0.77700000000000002</v>
      </c>
      <c r="H33" s="1202">
        <v>56416.137573307788</v>
      </c>
      <c r="I33" s="1196"/>
      <c r="J33" s="1629"/>
      <c r="K33" s="1197"/>
      <c r="L33" s="1200">
        <v>87.02</v>
      </c>
      <c r="M33" s="1203">
        <v>1.01</v>
      </c>
    </row>
    <row r="34" spans="1:13">
      <c r="A34" s="49">
        <v>1996.01</v>
      </c>
      <c r="B34" s="1605">
        <v>216092.23489233415</v>
      </c>
      <c r="C34" s="1611"/>
      <c r="D34" s="1623">
        <v>1048122</v>
      </c>
      <c r="E34" s="1616">
        <f t="shared" si="0"/>
        <v>0.20617087981392829</v>
      </c>
      <c r="F34" s="1200">
        <v>209</v>
      </c>
      <c r="G34" s="1201">
        <v>0.74199999999999999</v>
      </c>
      <c r="H34" s="1202">
        <v>56032.065585644523</v>
      </c>
      <c r="I34" s="1196"/>
      <c r="J34" s="1629"/>
      <c r="K34" s="1197"/>
      <c r="L34" s="1200">
        <v>86.45</v>
      </c>
      <c r="M34" s="1203">
        <v>1.07</v>
      </c>
    </row>
    <row r="35" spans="1:13">
      <c r="A35" s="49">
        <v>1996.02</v>
      </c>
      <c r="B35" s="1605">
        <v>211942.72881864914</v>
      </c>
      <c r="C35" s="1611"/>
      <c r="D35" s="1623">
        <v>1018604</v>
      </c>
      <c r="E35" s="1616">
        <f t="shared" si="0"/>
        <v>0.20807176176281375</v>
      </c>
      <c r="F35" s="1200">
        <v>209</v>
      </c>
      <c r="G35" s="1201">
        <v>0.73399999999999999</v>
      </c>
      <c r="H35" s="1202">
        <v>51076.398186873528</v>
      </c>
      <c r="I35" s="1196"/>
      <c r="J35" s="1629"/>
      <c r="K35" s="1197"/>
      <c r="L35" s="1200">
        <v>85.66</v>
      </c>
      <c r="M35" s="1203">
        <v>1.06</v>
      </c>
    </row>
    <row r="36" spans="1:13">
      <c r="A36" s="49">
        <v>1996.03</v>
      </c>
      <c r="B36" s="1605">
        <v>217962.21714527972</v>
      </c>
      <c r="C36" s="1611"/>
      <c r="D36" s="1623">
        <v>1080415</v>
      </c>
      <c r="E36" s="1616">
        <f t="shared" si="0"/>
        <v>0.20173934751487135</v>
      </c>
      <c r="F36" s="1200">
        <v>209</v>
      </c>
      <c r="G36" s="1201">
        <v>0.72499999999999998</v>
      </c>
      <c r="H36" s="1202">
        <v>51296.903128577767</v>
      </c>
      <c r="I36" s="1196"/>
      <c r="J36" s="1629"/>
      <c r="K36" s="1197"/>
      <c r="L36" s="1200">
        <v>81.47</v>
      </c>
      <c r="M36" s="1203">
        <v>1.03</v>
      </c>
    </row>
    <row r="37" spans="1:13">
      <c r="A37" s="49">
        <v>1996.04</v>
      </c>
      <c r="B37" s="1605">
        <v>210422.67830961366</v>
      </c>
      <c r="C37" s="1611"/>
      <c r="D37" s="1623">
        <v>1071631</v>
      </c>
      <c r="E37" s="1616">
        <f t="shared" si="0"/>
        <v>0.19635740129728765</v>
      </c>
      <c r="F37" s="1200">
        <v>209</v>
      </c>
      <c r="G37" s="1201">
        <v>0.7</v>
      </c>
      <c r="H37" s="1202">
        <v>47553.49529194607</v>
      </c>
      <c r="I37" s="1196"/>
      <c r="J37" s="1629"/>
      <c r="K37" s="1197"/>
      <c r="L37" s="1200">
        <v>85.73</v>
      </c>
      <c r="M37" s="1203">
        <v>1.06</v>
      </c>
    </row>
    <row r="38" spans="1:13">
      <c r="A38" s="49">
        <v>1996.05</v>
      </c>
      <c r="B38" s="1605">
        <v>213747.58181957356</v>
      </c>
      <c r="C38" s="1611"/>
      <c r="D38" s="1623">
        <v>1101575</v>
      </c>
      <c r="E38" s="1616">
        <f t="shared" si="0"/>
        <v>0.19403815611245132</v>
      </c>
      <c r="F38" s="1200">
        <v>209</v>
      </c>
      <c r="G38" s="1201">
        <v>0.68200000000000005</v>
      </c>
      <c r="H38" s="1202">
        <v>41992.21572933947</v>
      </c>
      <c r="I38" s="1196"/>
      <c r="J38" s="1629"/>
      <c r="K38" s="1197"/>
      <c r="L38" s="1200">
        <v>87.35</v>
      </c>
      <c r="M38" s="1203">
        <v>1.1100000000000001</v>
      </c>
    </row>
    <row r="39" spans="1:13">
      <c r="A39" s="49">
        <v>1996.06</v>
      </c>
      <c r="B39" s="1605">
        <v>193425.04741772704</v>
      </c>
      <c r="C39" s="1611"/>
      <c r="D39" s="1623">
        <v>1013796</v>
      </c>
      <c r="E39" s="1616">
        <f t="shared" si="0"/>
        <v>0.19079286899704381</v>
      </c>
      <c r="F39" s="1200">
        <v>209</v>
      </c>
      <c r="G39" s="1201">
        <v>0.65800000000000003</v>
      </c>
      <c r="H39" s="1202">
        <v>35042.68674501741</v>
      </c>
      <c r="I39" s="1196"/>
      <c r="J39" s="1629"/>
      <c r="K39" s="1197"/>
      <c r="L39" s="1200">
        <v>89.5</v>
      </c>
      <c r="M39" s="1203">
        <v>1.1200000000000001</v>
      </c>
    </row>
    <row r="40" spans="1:13">
      <c r="A40" s="49">
        <v>1996.07</v>
      </c>
      <c r="B40" s="1605">
        <v>218625.65240739324</v>
      </c>
      <c r="C40" s="1611"/>
      <c r="D40" s="1623">
        <v>1147922</v>
      </c>
      <c r="E40" s="1616">
        <f t="shared" si="0"/>
        <v>0.1904534039833658</v>
      </c>
      <c r="F40" s="1200">
        <v>209</v>
      </c>
      <c r="G40" s="1201">
        <v>0.65</v>
      </c>
      <c r="H40" s="1202">
        <v>41777.922194443796</v>
      </c>
      <c r="I40" s="1196"/>
      <c r="J40" s="1629"/>
      <c r="K40" s="1197"/>
      <c r="L40" s="1200">
        <v>89.12</v>
      </c>
      <c r="M40" s="1203">
        <v>1.1299999999999999</v>
      </c>
    </row>
    <row r="41" spans="1:13">
      <c r="A41" s="49">
        <v>1996.08</v>
      </c>
      <c r="B41" s="1605">
        <v>213321.48196736755</v>
      </c>
      <c r="C41" s="1611"/>
      <c r="D41" s="1623">
        <v>1087215</v>
      </c>
      <c r="E41" s="1616">
        <f t="shared" si="0"/>
        <v>0.19620910488483653</v>
      </c>
      <c r="F41" s="1200">
        <v>209</v>
      </c>
      <c r="G41" s="1201">
        <v>0.70899999999999996</v>
      </c>
      <c r="H41" s="1202">
        <v>42032.589873595178</v>
      </c>
      <c r="I41" s="1196"/>
      <c r="J41" s="1629"/>
      <c r="K41" s="1197"/>
      <c r="L41" s="1200">
        <v>88.27</v>
      </c>
      <c r="M41" s="1203">
        <v>1.17</v>
      </c>
    </row>
    <row r="42" spans="1:13">
      <c r="A42" s="49">
        <v>1996.09</v>
      </c>
      <c r="B42" s="1605">
        <v>202518.85721688031</v>
      </c>
      <c r="C42" s="1611"/>
      <c r="D42" s="1623">
        <v>1066607</v>
      </c>
      <c r="E42" s="1616">
        <f t="shared" si="0"/>
        <v>0.18987204960860027</v>
      </c>
      <c r="F42" s="1200">
        <v>209</v>
      </c>
      <c r="G42" s="1201">
        <v>0.72199999999999998</v>
      </c>
      <c r="H42" s="1202">
        <v>41676.469216570484</v>
      </c>
      <c r="I42" s="1196"/>
      <c r="J42" s="1629"/>
      <c r="K42" s="1197"/>
      <c r="L42" s="1200">
        <v>88.74</v>
      </c>
      <c r="M42" s="1203">
        <v>1.17</v>
      </c>
    </row>
    <row r="43" spans="1:13">
      <c r="A43" s="49">
        <v>1996.1</v>
      </c>
      <c r="B43" s="1605">
        <v>223127.29799624332</v>
      </c>
      <c r="C43" s="1611"/>
      <c r="D43" s="1623">
        <v>1157875</v>
      </c>
      <c r="E43" s="1616">
        <f t="shared" si="0"/>
        <v>0.19270413299902261</v>
      </c>
      <c r="F43" s="1200">
        <v>209</v>
      </c>
      <c r="G43" s="1201">
        <v>0.71699999999999997</v>
      </c>
      <c r="H43" s="1202">
        <v>45529.611906820253</v>
      </c>
      <c r="I43" s="1196"/>
      <c r="J43" s="1629"/>
      <c r="K43" s="1197"/>
      <c r="L43" s="1200">
        <v>89.73</v>
      </c>
      <c r="M43" s="1203">
        <v>1.1200000000000001</v>
      </c>
    </row>
    <row r="44" spans="1:13">
      <c r="A44" s="49">
        <v>1996.11</v>
      </c>
      <c r="B44" s="1605">
        <v>207781.08000306186</v>
      </c>
      <c r="C44" s="1611"/>
      <c r="D44" s="1623">
        <v>1062404</v>
      </c>
      <c r="E44" s="1616">
        <f t="shared" si="0"/>
        <v>0.19557633442933373</v>
      </c>
      <c r="F44" s="1200">
        <v>209</v>
      </c>
      <c r="G44" s="1201">
        <v>0.747</v>
      </c>
      <c r="H44" s="1202">
        <v>48224.327227271664</v>
      </c>
      <c r="I44" s="1196"/>
      <c r="J44" s="1629"/>
      <c r="K44" s="1197"/>
      <c r="L44" s="1200">
        <v>89.28</v>
      </c>
      <c r="M44" s="1203">
        <v>1.08</v>
      </c>
    </row>
    <row r="45" spans="1:13">
      <c r="A45" s="49">
        <v>1996.12</v>
      </c>
      <c r="B45" s="1605">
        <v>199706.1566380696</v>
      </c>
      <c r="C45" s="1611"/>
      <c r="D45" s="1623">
        <v>1060549</v>
      </c>
      <c r="E45" s="1616">
        <f t="shared" si="0"/>
        <v>0.18830450704123017</v>
      </c>
      <c r="F45" s="1200">
        <v>209</v>
      </c>
      <c r="G45" s="1201">
        <v>0.71099999999999997</v>
      </c>
      <c r="H45" s="1202">
        <v>53812.52288604874</v>
      </c>
      <c r="I45" s="1196"/>
      <c r="J45" s="1629"/>
      <c r="K45" s="1197"/>
      <c r="L45" s="1200">
        <v>87.02</v>
      </c>
      <c r="M45" s="1203">
        <v>1.07</v>
      </c>
    </row>
    <row r="46" spans="1:13">
      <c r="A46" s="49">
        <v>1997.01</v>
      </c>
      <c r="B46" s="1605">
        <v>215424.38408771073</v>
      </c>
      <c r="C46" s="1611"/>
      <c r="D46" s="1623">
        <v>1046797</v>
      </c>
      <c r="E46" s="1616">
        <f t="shared" si="0"/>
        <v>0.20579384932103428</v>
      </c>
      <c r="F46" s="1200">
        <v>212</v>
      </c>
      <c r="G46" s="1201">
        <v>0.752</v>
      </c>
      <c r="H46" s="1202">
        <v>44705.565270216597</v>
      </c>
      <c r="I46" s="1196"/>
      <c r="J46" s="1629"/>
      <c r="K46" s="1197"/>
      <c r="L46" s="1200">
        <v>86.45</v>
      </c>
      <c r="M46" s="1203">
        <v>1.07</v>
      </c>
    </row>
    <row r="47" spans="1:13">
      <c r="A47" s="49">
        <v>1997.02</v>
      </c>
      <c r="B47" s="1605">
        <v>205822.78689991817</v>
      </c>
      <c r="C47" s="1611"/>
      <c r="D47" s="1623">
        <v>996988</v>
      </c>
      <c r="E47" s="1616">
        <f t="shared" si="0"/>
        <v>0.20644459802918205</v>
      </c>
      <c r="F47" s="1200">
        <v>212</v>
      </c>
      <c r="G47" s="1201">
        <v>0.77200000000000002</v>
      </c>
      <c r="H47" s="1202">
        <v>39658.797238253232</v>
      </c>
      <c r="I47" s="1196"/>
      <c r="J47" s="1629"/>
      <c r="K47" s="1197"/>
      <c r="L47" s="1200">
        <v>85.66</v>
      </c>
      <c r="M47" s="1203">
        <v>1.0900000000000001</v>
      </c>
    </row>
    <row r="48" spans="1:13">
      <c r="A48" s="49">
        <v>1997.03</v>
      </c>
      <c r="B48" s="1605">
        <v>213971.67060195137</v>
      </c>
      <c r="C48" s="1611"/>
      <c r="D48" s="1623">
        <v>1076010</v>
      </c>
      <c r="E48" s="1616">
        <f t="shared" si="0"/>
        <v>0.19885658181796764</v>
      </c>
      <c r="F48" s="1200">
        <v>212</v>
      </c>
      <c r="G48" s="1201">
        <v>0.73799999999999999</v>
      </c>
      <c r="H48" s="1202">
        <v>37705.309796957874</v>
      </c>
      <c r="I48" s="1196"/>
      <c r="J48" s="1629"/>
      <c r="K48" s="1197"/>
      <c r="L48" s="1200">
        <v>81.47</v>
      </c>
      <c r="M48" s="1203">
        <v>1.18</v>
      </c>
    </row>
    <row r="49" spans="1:13">
      <c r="A49" s="49">
        <v>1997.04</v>
      </c>
      <c r="B49" s="1605">
        <v>246602.5297501634</v>
      </c>
      <c r="C49" s="1611"/>
      <c r="D49" s="1623">
        <v>1218636</v>
      </c>
      <c r="E49" s="1616">
        <f t="shared" si="0"/>
        <v>0.20235946562399551</v>
      </c>
      <c r="F49" s="1200">
        <v>212</v>
      </c>
      <c r="G49" s="1201">
        <v>0.73</v>
      </c>
      <c r="H49" s="1202">
        <v>40624.670996985908</v>
      </c>
      <c r="I49" s="1196"/>
      <c r="J49" s="1629"/>
      <c r="K49" s="1197"/>
      <c r="L49" s="1200">
        <v>85.73</v>
      </c>
      <c r="M49" s="1203">
        <v>1.24</v>
      </c>
    </row>
    <row r="50" spans="1:13">
      <c r="A50" s="49">
        <v>1997.05</v>
      </c>
      <c r="B50" s="1605">
        <v>242804.05930601599</v>
      </c>
      <c r="C50" s="1611"/>
      <c r="D50" s="1623">
        <v>1143246</v>
      </c>
      <c r="E50" s="1616">
        <f t="shared" si="0"/>
        <v>0.2123812891591276</v>
      </c>
      <c r="F50" s="1200">
        <v>212</v>
      </c>
      <c r="G50" s="1201">
        <v>0.752</v>
      </c>
      <c r="H50" s="1202">
        <v>37195.97443865511</v>
      </c>
      <c r="I50" s="1196"/>
      <c r="J50" s="1629"/>
      <c r="K50" s="1197"/>
      <c r="L50" s="1200">
        <v>87.35</v>
      </c>
      <c r="M50" s="1203">
        <v>1.3</v>
      </c>
    </row>
    <row r="51" spans="1:13">
      <c r="A51" s="49">
        <v>1997.06</v>
      </c>
      <c r="B51" s="1605">
        <v>222987.10452155379</v>
      </c>
      <c r="C51" s="1611"/>
      <c r="D51" s="1623">
        <v>1039182</v>
      </c>
      <c r="E51" s="1616">
        <f t="shared" si="0"/>
        <v>0.21457945241695275</v>
      </c>
      <c r="F51" s="1200">
        <v>212</v>
      </c>
      <c r="G51" s="1201">
        <v>0.81499999999999995</v>
      </c>
      <c r="H51" s="1202">
        <v>38144.249211430171</v>
      </c>
      <c r="I51" s="1196"/>
      <c r="J51" s="1629"/>
      <c r="K51" s="1197"/>
      <c r="L51" s="1200">
        <v>89.5</v>
      </c>
      <c r="M51" s="1203">
        <v>1.34</v>
      </c>
    </row>
    <row r="52" spans="1:13">
      <c r="A52" s="49">
        <v>1997.07</v>
      </c>
      <c r="B52" s="1605">
        <v>224982.92973603171</v>
      </c>
      <c r="C52" s="1611"/>
      <c r="D52" s="1623">
        <v>1090037</v>
      </c>
      <c r="E52" s="1616">
        <f t="shared" si="0"/>
        <v>0.20639935133947904</v>
      </c>
      <c r="F52" s="1200">
        <v>212</v>
      </c>
      <c r="G52" s="1201">
        <v>0.84399999999999997</v>
      </c>
      <c r="H52" s="1202">
        <v>37693.922217808824</v>
      </c>
      <c r="I52" s="1196"/>
      <c r="J52" s="1629"/>
      <c r="K52" s="1197"/>
      <c r="L52" s="1200">
        <v>89.12</v>
      </c>
      <c r="M52" s="1203">
        <v>1.34</v>
      </c>
    </row>
    <row r="53" spans="1:13">
      <c r="A53" s="49">
        <v>1997.08</v>
      </c>
      <c r="B53" s="1605">
        <v>200766.99072607476</v>
      </c>
      <c r="C53" s="1611"/>
      <c r="D53" s="1623">
        <v>1004227</v>
      </c>
      <c r="E53" s="1616">
        <f t="shared" si="0"/>
        <v>0.19992192076699267</v>
      </c>
      <c r="F53" s="1200">
        <v>212</v>
      </c>
      <c r="G53" s="1201">
        <v>0.95299999999999996</v>
      </c>
      <c r="H53" s="1202">
        <v>33288.999556064395</v>
      </c>
      <c r="I53" s="1196"/>
      <c r="J53" s="1629"/>
      <c r="K53" s="1197"/>
      <c r="L53" s="1200">
        <v>88.27</v>
      </c>
      <c r="M53" s="1203">
        <v>1.31</v>
      </c>
    </row>
    <row r="54" spans="1:13">
      <c r="A54" s="49">
        <v>1997.09</v>
      </c>
      <c r="B54" s="1605">
        <v>210501.05418916451</v>
      </c>
      <c r="C54" s="1611"/>
      <c r="D54" s="1623">
        <v>1064479</v>
      </c>
      <c r="E54" s="1616">
        <f t="shared" si="0"/>
        <v>0.19775031183251573</v>
      </c>
      <c r="F54" s="1200">
        <v>212</v>
      </c>
      <c r="G54" s="1201">
        <v>0.93</v>
      </c>
      <c r="H54" s="1202">
        <v>35844.993457791068</v>
      </c>
      <c r="I54" s="1196"/>
      <c r="J54" s="1629"/>
      <c r="K54" s="1197"/>
      <c r="L54" s="1200">
        <v>88.74</v>
      </c>
      <c r="M54" s="1203">
        <v>1.23</v>
      </c>
    </row>
    <row r="55" spans="1:13">
      <c r="A55" s="49">
        <v>1997.1</v>
      </c>
      <c r="B55" s="1605">
        <v>202014.38148512345</v>
      </c>
      <c r="C55" s="1611"/>
      <c r="D55" s="1623">
        <v>1070150</v>
      </c>
      <c r="E55" s="1616">
        <f t="shared" si="0"/>
        <v>0.18877202400142359</v>
      </c>
      <c r="F55" s="1200">
        <v>212</v>
      </c>
      <c r="G55" s="1201">
        <v>0.93400000000000005</v>
      </c>
      <c r="H55" s="1202">
        <v>35916.424636089629</v>
      </c>
      <c r="I55" s="1196"/>
      <c r="J55" s="1629"/>
      <c r="K55" s="1197"/>
      <c r="L55" s="1200">
        <v>89.73</v>
      </c>
      <c r="M55" s="1203">
        <v>1.1200000000000001</v>
      </c>
    </row>
    <row r="56" spans="1:13">
      <c r="A56" s="49">
        <v>1997.11</v>
      </c>
      <c r="B56" s="1605">
        <v>181041.65844869311</v>
      </c>
      <c r="C56" s="1611"/>
      <c r="D56" s="1623">
        <v>955432</v>
      </c>
      <c r="E56" s="1616">
        <f t="shared" si="0"/>
        <v>0.18948670177332674</v>
      </c>
      <c r="F56" s="1200">
        <v>212</v>
      </c>
      <c r="G56" s="1201">
        <v>0.94199999999999995</v>
      </c>
      <c r="H56" s="1202">
        <v>35571.691558213977</v>
      </c>
      <c r="I56" s="1196"/>
      <c r="J56" s="1629"/>
      <c r="K56" s="1197"/>
      <c r="L56" s="1200">
        <v>89.28</v>
      </c>
      <c r="M56" s="1203">
        <v>1.04</v>
      </c>
    </row>
    <row r="57" spans="1:13">
      <c r="A57" s="49">
        <v>1997.12</v>
      </c>
      <c r="B57" s="1605">
        <v>187496.07771254954</v>
      </c>
      <c r="C57" s="1611"/>
      <c r="D57" s="1623">
        <v>1089533</v>
      </c>
      <c r="E57" s="1616">
        <f t="shared" si="0"/>
        <v>0.17208847984645673</v>
      </c>
      <c r="F57" s="1200">
        <v>212</v>
      </c>
      <c r="G57" s="1201">
        <v>0.96899999999999997</v>
      </c>
      <c r="H57" s="1202">
        <v>42360.759199981308</v>
      </c>
      <c r="I57" s="1196"/>
      <c r="J57" s="1629"/>
      <c r="K57" s="1197"/>
      <c r="L57" s="1200">
        <v>87.02</v>
      </c>
      <c r="M57" s="1203">
        <v>1.03</v>
      </c>
    </row>
    <row r="58" spans="1:13">
      <c r="A58" s="49">
        <v>1998.01</v>
      </c>
      <c r="B58" s="1605">
        <v>187474</v>
      </c>
      <c r="C58" s="1611"/>
      <c r="D58" s="1623">
        <v>981503</v>
      </c>
      <c r="E58" s="1616">
        <f t="shared" si="0"/>
        <v>0.1910070575433799</v>
      </c>
      <c r="F58" s="1198">
        <v>218.94203852450562</v>
      </c>
      <c r="G58" s="1201">
        <v>0.96699999999999997</v>
      </c>
      <c r="H58" s="1202">
        <v>35093.413233954067</v>
      </c>
      <c r="I58" s="1196"/>
      <c r="J58" s="1629"/>
      <c r="K58" s="1197"/>
      <c r="L58" s="1200">
        <v>86.45</v>
      </c>
      <c r="M58" s="1203">
        <v>1.04</v>
      </c>
    </row>
    <row r="59" spans="1:13">
      <c r="A59" s="49">
        <v>1998.02</v>
      </c>
      <c r="B59" s="1605">
        <v>167361</v>
      </c>
      <c r="C59" s="1611"/>
      <c r="D59" s="1623">
        <v>889530</v>
      </c>
      <c r="E59" s="1616">
        <f t="shared" si="0"/>
        <v>0.18814542511213786</v>
      </c>
      <c r="F59" s="1202">
        <v>215.4932489888204</v>
      </c>
      <c r="G59" s="1201">
        <v>1.022</v>
      </c>
      <c r="H59" s="1202">
        <v>31389.344307109979</v>
      </c>
      <c r="I59" s="1196"/>
      <c r="J59" s="1629"/>
      <c r="K59" s="1197"/>
      <c r="L59" s="1200">
        <v>85.66</v>
      </c>
      <c r="M59" s="1203">
        <v>1.04</v>
      </c>
    </row>
    <row r="60" spans="1:13">
      <c r="A60" s="49">
        <v>1998.03</v>
      </c>
      <c r="B60" s="1605">
        <v>193905</v>
      </c>
      <c r="C60" s="1611"/>
      <c r="D60" s="1623">
        <v>992968</v>
      </c>
      <c r="E60" s="1616">
        <f t="shared" si="0"/>
        <v>0.19527819627621434</v>
      </c>
      <c r="F60" s="1202">
        <v>212.82380493618959</v>
      </c>
      <c r="G60" s="1201">
        <v>1.0209999999999999</v>
      </c>
      <c r="H60" s="1202">
        <v>37035.513096100374</v>
      </c>
      <c r="I60" s="1196"/>
      <c r="J60" s="1629"/>
      <c r="K60" s="1197"/>
      <c r="L60" s="1200">
        <v>81.47</v>
      </c>
      <c r="M60" s="1203">
        <v>1.05</v>
      </c>
    </row>
    <row r="61" spans="1:13">
      <c r="A61" s="49">
        <v>1998.04</v>
      </c>
      <c r="B61" s="1605">
        <v>186803</v>
      </c>
      <c r="C61" s="1611"/>
      <c r="D61" s="1623">
        <v>936164</v>
      </c>
      <c r="E61" s="1616">
        <f t="shared" si="0"/>
        <v>0.19954089240774053</v>
      </c>
      <c r="F61" s="1202">
        <v>213.56698968286844</v>
      </c>
      <c r="G61" s="1201">
        <v>1.044</v>
      </c>
      <c r="H61" s="1202">
        <v>39323.381270590435</v>
      </c>
      <c r="I61" s="1196"/>
      <c r="J61" s="1629"/>
      <c r="K61" s="1197"/>
      <c r="L61" s="1200">
        <v>85.73</v>
      </c>
      <c r="M61" s="1203">
        <v>1.06</v>
      </c>
    </row>
    <row r="62" spans="1:13">
      <c r="A62" s="49">
        <v>1998.05</v>
      </c>
      <c r="B62" s="1605">
        <v>182810</v>
      </c>
      <c r="C62" s="1611"/>
      <c r="D62" s="1623">
        <v>912879</v>
      </c>
      <c r="E62" s="1616">
        <f t="shared" si="0"/>
        <v>0.2002565509777309</v>
      </c>
      <c r="F62" s="1202">
        <v>211.80683713796799</v>
      </c>
      <c r="G62" s="1201">
        <v>1.0469999999999999</v>
      </c>
      <c r="H62" s="1202">
        <v>38193.940465898733</v>
      </c>
      <c r="I62" s="1196"/>
      <c r="J62" s="1629"/>
      <c r="K62" s="1197"/>
      <c r="L62" s="1200">
        <v>87.35</v>
      </c>
      <c r="M62" s="1203">
        <v>1.056</v>
      </c>
    </row>
    <row r="63" spans="1:13">
      <c r="A63" s="49">
        <v>1998.06</v>
      </c>
      <c r="B63" s="1605">
        <v>170352</v>
      </c>
      <c r="C63" s="1611"/>
      <c r="D63" s="1623">
        <v>909223</v>
      </c>
      <c r="E63" s="1616">
        <f t="shared" si="0"/>
        <v>0.18735997659540068</v>
      </c>
      <c r="F63" s="1202">
        <v>214.79276625603188</v>
      </c>
      <c r="G63" s="1201">
        <v>1.1319999999999999</v>
      </c>
      <c r="H63" s="1202">
        <v>42351.442089768454</v>
      </c>
      <c r="I63" s="1196"/>
      <c r="J63" s="1629"/>
      <c r="K63" s="1197"/>
      <c r="L63" s="1200">
        <v>89.5</v>
      </c>
      <c r="M63" s="1203">
        <v>1.05</v>
      </c>
    </row>
    <row r="64" spans="1:13">
      <c r="A64" s="49">
        <v>1998.07</v>
      </c>
      <c r="B64" s="1605">
        <v>162730</v>
      </c>
      <c r="C64" s="1611"/>
      <c r="D64" s="1623">
        <v>895015</v>
      </c>
      <c r="E64" s="1616">
        <f t="shared" si="0"/>
        <v>0.18181818181818182</v>
      </c>
      <c r="F64" s="1202">
        <v>218.32939744595376</v>
      </c>
      <c r="G64" s="1201">
        <v>1.194</v>
      </c>
      <c r="H64" s="1202">
        <v>38940.344517395264</v>
      </c>
      <c r="I64" s="1196"/>
      <c r="J64" s="1629"/>
      <c r="K64" s="1197"/>
      <c r="L64" s="1200">
        <v>89.12</v>
      </c>
      <c r="M64" s="1203">
        <v>1.08</v>
      </c>
    </row>
    <row r="65" spans="1:13">
      <c r="A65" s="49">
        <v>1998.08</v>
      </c>
      <c r="B65" s="1605">
        <v>162278</v>
      </c>
      <c r="C65" s="1611"/>
      <c r="D65" s="1623">
        <v>871195</v>
      </c>
      <c r="E65" s="1616">
        <f t="shared" si="0"/>
        <v>0.18627058236100988</v>
      </c>
      <c r="F65" s="1202">
        <v>223.02892686659251</v>
      </c>
      <c r="G65" s="1201">
        <v>1.17</v>
      </c>
      <c r="H65" s="1202">
        <v>38394.775952709177</v>
      </c>
      <c r="I65" s="1196"/>
      <c r="J65" s="1629"/>
      <c r="K65" s="1197"/>
      <c r="L65" s="1200">
        <v>88.27</v>
      </c>
      <c r="M65" s="1203">
        <v>1.054</v>
      </c>
    </row>
    <row r="66" spans="1:13">
      <c r="A66" s="49">
        <v>1998.09</v>
      </c>
      <c r="B66" s="1605">
        <v>184044</v>
      </c>
      <c r="C66" s="1611"/>
      <c r="D66" s="1623">
        <v>908890</v>
      </c>
      <c r="E66" s="1616">
        <f t="shared" si="0"/>
        <v>0.202493150986368</v>
      </c>
      <c r="F66" s="1202">
        <v>225.60768713045942</v>
      </c>
      <c r="G66" s="1201">
        <v>0.96499999999999997</v>
      </c>
      <c r="H66" s="1202">
        <v>37081.06341269656</v>
      </c>
      <c r="I66" s="1196"/>
      <c r="J66" s="1629"/>
      <c r="K66" s="1197"/>
      <c r="L66" s="1200">
        <v>88.74</v>
      </c>
      <c r="M66" s="1203">
        <v>1.0325</v>
      </c>
    </row>
    <row r="67" spans="1:13">
      <c r="A67" s="49">
        <v>1998.1</v>
      </c>
      <c r="B67" s="1605">
        <v>188619</v>
      </c>
      <c r="C67" s="1611"/>
      <c r="D67" s="1623">
        <v>953602</v>
      </c>
      <c r="E67" s="1616">
        <f t="shared" si="0"/>
        <v>0.19779635529287901</v>
      </c>
      <c r="F67" s="1202">
        <v>225.20267998834808</v>
      </c>
      <c r="G67" s="1201">
        <v>0.89200000000000002</v>
      </c>
      <c r="H67" s="1202">
        <v>39306.817519100914</v>
      </c>
      <c r="I67" s="1196"/>
      <c r="J67" s="1629"/>
      <c r="K67" s="1197"/>
      <c r="L67" s="1200">
        <v>89.73</v>
      </c>
      <c r="M67" s="1203">
        <v>0.97235000000000005</v>
      </c>
    </row>
    <row r="68" spans="1:13">
      <c r="A68" s="49">
        <v>1998.11</v>
      </c>
      <c r="B68" s="1605">
        <v>192104</v>
      </c>
      <c r="C68" s="1611"/>
      <c r="D68" s="1623">
        <v>965913</v>
      </c>
      <c r="E68" s="1616">
        <f t="shared" si="0"/>
        <v>0.19888333628390964</v>
      </c>
      <c r="F68" s="1202">
        <v>226.32357687067031</v>
      </c>
      <c r="G68" s="1201">
        <v>0.83299999999999996</v>
      </c>
      <c r="H68" s="1202">
        <v>39277.830953994249</v>
      </c>
      <c r="I68" s="1196"/>
      <c r="J68" s="1629"/>
      <c r="K68" s="1197"/>
      <c r="L68" s="1200">
        <v>89.28</v>
      </c>
      <c r="M68" s="1203">
        <v>0.91800000000000004</v>
      </c>
    </row>
    <row r="69" spans="1:13">
      <c r="A69" s="49">
        <v>1998.12</v>
      </c>
      <c r="B69" s="1605">
        <v>194014</v>
      </c>
      <c r="C69" s="1611"/>
      <c r="D69" s="1623">
        <v>1050844</v>
      </c>
      <c r="E69" s="1616">
        <f t="shared" si="0"/>
        <v>0.18462683328829019</v>
      </c>
      <c r="F69" s="1202">
        <v>223.11545652103209</v>
      </c>
      <c r="G69" s="1201">
        <v>0.79800000000000004</v>
      </c>
      <c r="H69" s="1202">
        <v>48941.744713661537</v>
      </c>
      <c r="I69" s="1196"/>
      <c r="J69" s="1629"/>
      <c r="K69" s="1197"/>
      <c r="L69" s="1200">
        <v>87.02</v>
      </c>
      <c r="M69" s="1203">
        <v>0.86750000000000005</v>
      </c>
    </row>
    <row r="70" spans="1:13">
      <c r="A70" s="49">
        <v>1999.01</v>
      </c>
      <c r="B70" s="611">
        <v>186743</v>
      </c>
      <c r="C70" s="1612"/>
      <c r="D70" s="1302">
        <v>948672</v>
      </c>
      <c r="E70" s="1361">
        <f t="shared" si="0"/>
        <v>0.19684674998313431</v>
      </c>
      <c r="F70" s="1202">
        <v>231.11636369419895</v>
      </c>
      <c r="G70" s="1201">
        <v>0.76300000000000001</v>
      </c>
      <c r="H70" s="612">
        <v>44307</v>
      </c>
      <c r="I70" s="1204"/>
      <c r="J70" s="1630">
        <v>163488</v>
      </c>
      <c r="K70" s="1217">
        <f>H70/J70</f>
        <v>0.27101071638285379</v>
      </c>
      <c r="L70" s="1200">
        <v>86.45</v>
      </c>
      <c r="M70" s="1203">
        <v>0.85</v>
      </c>
    </row>
    <row r="71" spans="1:13">
      <c r="A71" s="49">
        <v>1999.02</v>
      </c>
      <c r="B71" s="611">
        <v>171279</v>
      </c>
      <c r="C71" s="1611"/>
      <c r="D71" s="1302">
        <v>927260</v>
      </c>
      <c r="E71" s="1361">
        <f t="shared" si="0"/>
        <v>0.18471518236524814</v>
      </c>
      <c r="F71" s="1202">
        <v>223.99124305348286</v>
      </c>
      <c r="G71" s="1201">
        <v>0.76300000000000001</v>
      </c>
      <c r="H71" s="612">
        <v>44728</v>
      </c>
      <c r="I71" s="1196"/>
      <c r="J71" s="1302">
        <v>164539</v>
      </c>
      <c r="K71" s="1205">
        <f>H71/J71</f>
        <v>0.27183828757923656</v>
      </c>
      <c r="L71" s="1200">
        <v>85.66</v>
      </c>
      <c r="M71" s="1203">
        <v>0.8175</v>
      </c>
    </row>
    <row r="72" spans="1:13">
      <c r="A72" s="49">
        <v>1999.03</v>
      </c>
      <c r="B72" s="611">
        <v>193437</v>
      </c>
      <c r="C72" s="1611"/>
      <c r="D72" s="1302">
        <v>1074506</v>
      </c>
      <c r="E72" s="1361">
        <f t="shared" si="0"/>
        <v>0.18002412271313514</v>
      </c>
      <c r="F72" s="1202">
        <v>221.15428687947846</v>
      </c>
      <c r="G72" s="1201">
        <v>0.77400000000000002</v>
      </c>
      <c r="H72" s="612">
        <v>49318</v>
      </c>
      <c r="I72" s="1196"/>
      <c r="J72" s="1302">
        <v>194890</v>
      </c>
      <c r="K72" s="1205">
        <f t="shared" ref="K72:K135" si="1">H72/J72</f>
        <v>0.25305556980860999</v>
      </c>
      <c r="L72" s="1200">
        <v>81.47</v>
      </c>
      <c r="M72" s="1203">
        <v>0.81</v>
      </c>
    </row>
    <row r="73" spans="1:13">
      <c r="A73" s="49">
        <v>1999.04</v>
      </c>
      <c r="B73" s="611">
        <v>178197</v>
      </c>
      <c r="C73" s="1611"/>
      <c r="D73" s="1302">
        <v>963026</v>
      </c>
      <c r="E73" s="1361">
        <f t="shared" si="0"/>
        <v>0.18503861785663109</v>
      </c>
      <c r="F73" s="1202">
        <v>220.37354438705717</v>
      </c>
      <c r="G73" s="1201">
        <v>0.79300000000000004</v>
      </c>
      <c r="H73" s="612">
        <v>46168</v>
      </c>
      <c r="I73" s="1196"/>
      <c r="J73" s="1302">
        <v>174853</v>
      </c>
      <c r="K73" s="1205">
        <f t="shared" si="1"/>
        <v>0.26403893556301578</v>
      </c>
      <c r="L73" s="1200">
        <v>85.73</v>
      </c>
      <c r="M73" s="1203">
        <v>0.78500000000000003</v>
      </c>
    </row>
    <row r="74" spans="1:13">
      <c r="A74" s="49">
        <v>1999.05</v>
      </c>
      <c r="B74" s="611">
        <v>185773</v>
      </c>
      <c r="C74" s="1611"/>
      <c r="D74" s="1302">
        <v>1006152</v>
      </c>
      <c r="E74" s="1361">
        <f t="shared" si="0"/>
        <v>0.18463711248399844</v>
      </c>
      <c r="F74" s="1202">
        <v>222.63401271285525</v>
      </c>
      <c r="G74" s="1201">
        <v>0.753</v>
      </c>
      <c r="H74" s="612">
        <v>47855</v>
      </c>
      <c r="I74" s="1196"/>
      <c r="J74" s="1302">
        <v>195503</v>
      </c>
      <c r="K74" s="1205">
        <f t="shared" si="1"/>
        <v>0.24477885249842712</v>
      </c>
      <c r="L74" s="1200">
        <v>87.35</v>
      </c>
      <c r="M74" s="1203">
        <v>0.78800000000000003</v>
      </c>
    </row>
    <row r="75" spans="1:13">
      <c r="A75" s="49">
        <v>1999.06</v>
      </c>
      <c r="B75" s="611">
        <v>178069</v>
      </c>
      <c r="C75" s="1611"/>
      <c r="D75" s="1302">
        <v>977610</v>
      </c>
      <c r="E75" s="1361">
        <f t="shared" ref="E75:E138" si="2">B75/D75</f>
        <v>0.18214727754421497</v>
      </c>
      <c r="F75" s="1202">
        <v>222.17444371917222</v>
      </c>
      <c r="G75" s="1201">
        <v>0.75</v>
      </c>
      <c r="H75" s="612">
        <v>41246</v>
      </c>
      <c r="I75" s="1196"/>
      <c r="J75" s="1302">
        <v>190309</v>
      </c>
      <c r="K75" s="1205">
        <f t="shared" si="1"/>
        <v>0.21673173628152109</v>
      </c>
      <c r="L75" s="1200">
        <v>89.5</v>
      </c>
      <c r="M75" s="1203">
        <v>0.78500000000000003</v>
      </c>
    </row>
    <row r="76" spans="1:13">
      <c r="A76" s="49">
        <v>1999.07</v>
      </c>
      <c r="B76" s="611">
        <v>175495</v>
      </c>
      <c r="C76" s="1611"/>
      <c r="D76" s="1302">
        <v>981162</v>
      </c>
      <c r="E76" s="1361">
        <f t="shared" si="2"/>
        <v>0.1788644484804752</v>
      </c>
      <c r="F76" s="1202">
        <v>222.39949250932975</v>
      </c>
      <c r="G76" s="1201">
        <v>0.77</v>
      </c>
      <c r="H76" s="612">
        <v>39820</v>
      </c>
      <c r="I76" s="1196"/>
      <c r="J76" s="1302">
        <v>186240</v>
      </c>
      <c r="K76" s="1205">
        <f t="shared" si="1"/>
        <v>0.21381013745704466</v>
      </c>
      <c r="L76" s="1200">
        <v>89.12</v>
      </c>
      <c r="M76" s="1203">
        <v>0.78500000000000003</v>
      </c>
    </row>
    <row r="77" spans="1:13">
      <c r="A77" s="49">
        <v>1999.08</v>
      </c>
      <c r="B77" s="611">
        <v>179057</v>
      </c>
      <c r="C77" s="1611"/>
      <c r="D77" s="1302">
        <v>1021676</v>
      </c>
      <c r="E77" s="1361">
        <f t="shared" si="2"/>
        <v>0.17525810530931529</v>
      </c>
      <c r="F77" s="1202">
        <v>224.75619944552949</v>
      </c>
      <c r="G77" s="1201">
        <v>0.749</v>
      </c>
      <c r="H77" s="612">
        <v>46503</v>
      </c>
      <c r="I77" s="1196"/>
      <c r="J77" s="1302">
        <v>204648</v>
      </c>
      <c r="K77" s="1205">
        <f t="shared" si="1"/>
        <v>0.22723407998123607</v>
      </c>
      <c r="L77" s="1200">
        <v>88.27</v>
      </c>
      <c r="M77" s="1203">
        <v>0.73750000000000004</v>
      </c>
    </row>
    <row r="78" spans="1:13">
      <c r="A78" s="49">
        <v>1999.09</v>
      </c>
      <c r="B78" s="611">
        <v>186070</v>
      </c>
      <c r="C78" s="1611"/>
      <c r="D78" s="1302">
        <v>1025461</v>
      </c>
      <c r="E78" s="1361">
        <f t="shared" si="2"/>
        <v>0.18145009902863199</v>
      </c>
      <c r="F78" s="1202">
        <v>225.41867158954753</v>
      </c>
      <c r="G78" s="1201">
        <v>0.77100000000000002</v>
      </c>
      <c r="H78" s="612">
        <v>44353</v>
      </c>
      <c r="I78" s="1196"/>
      <c r="J78" s="1302">
        <v>206946</v>
      </c>
      <c r="K78" s="1205">
        <f t="shared" si="1"/>
        <v>0.21432161046843137</v>
      </c>
      <c r="L78" s="1200">
        <v>88.74</v>
      </c>
      <c r="M78" s="1203">
        <v>0.69750000000000001</v>
      </c>
    </row>
    <row r="79" spans="1:13">
      <c r="A79" s="49">
        <v>1999.1</v>
      </c>
      <c r="B79" s="611">
        <v>176384</v>
      </c>
      <c r="C79" s="1611"/>
      <c r="D79" s="1302">
        <v>1021556</v>
      </c>
      <c r="E79" s="1361">
        <f t="shared" si="2"/>
        <v>0.17266209586160719</v>
      </c>
      <c r="F79" s="1202">
        <v>232.98948237168682</v>
      </c>
      <c r="G79" s="1201">
        <v>0.73099999999999998</v>
      </c>
      <c r="H79" s="612">
        <v>46127</v>
      </c>
      <c r="I79" s="1196"/>
      <c r="J79" s="1302">
        <v>239120</v>
      </c>
      <c r="K79" s="1205">
        <f t="shared" si="1"/>
        <v>0.19290314486450319</v>
      </c>
      <c r="L79" s="1200">
        <v>89.73</v>
      </c>
      <c r="M79" s="1203">
        <v>0.68799999999999994</v>
      </c>
    </row>
    <row r="80" spans="1:13">
      <c r="A80" s="49">
        <v>1999.11</v>
      </c>
      <c r="B80" s="611">
        <v>195754</v>
      </c>
      <c r="C80" s="1611"/>
      <c r="D80" s="1302">
        <v>1098031</v>
      </c>
      <c r="E80" s="1361">
        <f t="shared" si="2"/>
        <v>0.17827729818192747</v>
      </c>
      <c r="F80" s="1202">
        <v>227.70476501264412</v>
      </c>
      <c r="G80" s="1201">
        <v>0.71099999999999997</v>
      </c>
      <c r="H80" s="612">
        <v>54712</v>
      </c>
      <c r="I80" s="1196"/>
      <c r="J80" s="1302">
        <v>273579</v>
      </c>
      <c r="K80" s="1205">
        <f t="shared" si="1"/>
        <v>0.19998611004499614</v>
      </c>
      <c r="L80" s="1200">
        <v>89.28</v>
      </c>
      <c r="M80" s="1203">
        <v>0.68300000000000005</v>
      </c>
    </row>
    <row r="81" spans="1:13">
      <c r="A81" s="49">
        <v>1999.12</v>
      </c>
      <c r="B81" s="611">
        <v>187560</v>
      </c>
      <c r="C81" s="1611"/>
      <c r="D81" s="1302">
        <v>1099917</v>
      </c>
      <c r="E81" s="1361">
        <f t="shared" si="2"/>
        <v>0.17052195756588906</v>
      </c>
      <c r="F81" s="1202">
        <v>223.37874322911932</v>
      </c>
      <c r="G81" s="1201">
        <v>0.71399999999999997</v>
      </c>
      <c r="H81" s="612">
        <v>59858</v>
      </c>
      <c r="I81" s="1196"/>
      <c r="J81" s="1302">
        <v>303768</v>
      </c>
      <c r="K81" s="1205">
        <f t="shared" si="1"/>
        <v>0.19705169734797609</v>
      </c>
      <c r="L81" s="1200">
        <v>87.02</v>
      </c>
      <c r="M81" s="1203">
        <v>0.68300000000000005</v>
      </c>
    </row>
    <row r="82" spans="1:13">
      <c r="A82" s="49">
        <v>2000.01</v>
      </c>
      <c r="B82" s="611">
        <v>191342</v>
      </c>
      <c r="C82" s="1611"/>
      <c r="D82" s="1302">
        <v>1041838</v>
      </c>
      <c r="E82" s="1361">
        <f t="shared" si="2"/>
        <v>0.18365811191375242</v>
      </c>
      <c r="F82" s="1202">
        <v>223.01315901357032</v>
      </c>
      <c r="G82" s="1201">
        <v>0.72799999999999998</v>
      </c>
      <c r="H82" s="612">
        <v>48235</v>
      </c>
      <c r="I82" s="1196"/>
      <c r="J82" s="1302">
        <v>189858</v>
      </c>
      <c r="K82" s="1205">
        <f t="shared" si="1"/>
        <v>0.25405829620031811</v>
      </c>
      <c r="L82" s="1200">
        <v>86.45</v>
      </c>
      <c r="M82" s="1203">
        <v>0.70799999999999996</v>
      </c>
    </row>
    <row r="83" spans="1:13">
      <c r="A83" s="49">
        <v>2000.02</v>
      </c>
      <c r="B83" s="611">
        <v>181833</v>
      </c>
      <c r="C83" s="1611"/>
      <c r="D83" s="1302">
        <v>1005183</v>
      </c>
      <c r="E83" s="1361">
        <f t="shared" si="2"/>
        <v>0.18089541904309961</v>
      </c>
      <c r="F83" s="1202">
        <v>218.75034125658055</v>
      </c>
      <c r="G83" s="1201">
        <v>0.77200000000000002</v>
      </c>
      <c r="H83" s="612">
        <v>48398</v>
      </c>
      <c r="I83" s="1196"/>
      <c r="J83" s="1302">
        <v>191164</v>
      </c>
      <c r="K83" s="1205">
        <f t="shared" si="1"/>
        <v>0.25317528404929801</v>
      </c>
      <c r="L83" s="1200">
        <v>85.66</v>
      </c>
      <c r="M83" s="1203">
        <v>0.71</v>
      </c>
    </row>
    <row r="84" spans="1:13">
      <c r="A84" s="49">
        <v>2000.03</v>
      </c>
      <c r="B84" s="611">
        <v>204452</v>
      </c>
      <c r="C84" s="1611"/>
      <c r="D84" s="1302">
        <v>1137095</v>
      </c>
      <c r="E84" s="1361">
        <f t="shared" si="2"/>
        <v>0.17980203940743739</v>
      </c>
      <c r="F84" s="1202">
        <v>217.13439943114082</v>
      </c>
      <c r="G84" s="1201">
        <v>0.80200000000000005</v>
      </c>
      <c r="H84" s="612">
        <v>53074</v>
      </c>
      <c r="I84" s="1196"/>
      <c r="J84" s="1302">
        <v>206681</v>
      </c>
      <c r="K84" s="1205">
        <f t="shared" si="1"/>
        <v>0.25679186766079126</v>
      </c>
      <c r="L84" s="1200">
        <v>81.47</v>
      </c>
      <c r="M84" s="1203">
        <v>0.70799999999999996</v>
      </c>
    </row>
    <row r="85" spans="1:13">
      <c r="A85" s="49">
        <v>2000.04</v>
      </c>
      <c r="B85" s="611">
        <v>164565</v>
      </c>
      <c r="C85" s="1611"/>
      <c r="D85" s="1302">
        <v>934731</v>
      </c>
      <c r="E85" s="1361">
        <f t="shared" si="2"/>
        <v>0.17605599899864238</v>
      </c>
      <c r="F85" s="1202">
        <v>215.17177214669385</v>
      </c>
      <c r="G85" s="1201">
        <v>0.79800000000000004</v>
      </c>
      <c r="H85" s="612">
        <v>45024</v>
      </c>
      <c r="I85" s="1196"/>
      <c r="J85" s="1302">
        <v>186245</v>
      </c>
      <c r="K85" s="1205">
        <f t="shared" si="1"/>
        <v>0.24174608714327903</v>
      </c>
      <c r="L85" s="1200">
        <v>85.73</v>
      </c>
      <c r="M85" s="1203">
        <v>0.72</v>
      </c>
    </row>
    <row r="86" spans="1:13">
      <c r="A86" s="49">
        <v>2000.05</v>
      </c>
      <c r="B86" s="611">
        <v>191204</v>
      </c>
      <c r="C86" s="1611"/>
      <c r="D86" s="1302">
        <v>1079383</v>
      </c>
      <c r="E86" s="1361">
        <f t="shared" si="2"/>
        <v>0.17714194127571029</v>
      </c>
      <c r="F86" s="1202">
        <v>213.93512900285785</v>
      </c>
      <c r="G86" s="1201">
        <v>0.82</v>
      </c>
      <c r="H86" s="612">
        <v>46864</v>
      </c>
      <c r="I86" s="1196"/>
      <c r="J86" s="1302">
        <v>214840</v>
      </c>
      <c r="K86" s="1205">
        <f t="shared" si="1"/>
        <v>0.21813442561906535</v>
      </c>
      <c r="L86" s="1200">
        <v>87.35</v>
      </c>
      <c r="M86" s="1203">
        <v>0.73</v>
      </c>
    </row>
    <row r="87" spans="1:13">
      <c r="A87" s="49">
        <v>2000.06</v>
      </c>
      <c r="B87" s="611">
        <v>188960</v>
      </c>
      <c r="C87" s="1611"/>
      <c r="D87" s="1302">
        <v>1042738</v>
      </c>
      <c r="E87" s="1361">
        <f t="shared" si="2"/>
        <v>0.18121522376666047</v>
      </c>
      <c r="F87" s="1202">
        <v>217.445013867928</v>
      </c>
      <c r="G87" s="1201">
        <v>0.83699999999999997</v>
      </c>
      <c r="H87" s="612">
        <v>41964</v>
      </c>
      <c r="I87" s="1196"/>
      <c r="J87" s="1302">
        <v>199775</v>
      </c>
      <c r="K87" s="1205">
        <f t="shared" si="1"/>
        <v>0.21005631335252159</v>
      </c>
      <c r="L87" s="1200">
        <v>89.5</v>
      </c>
      <c r="M87" s="1203">
        <v>0.755</v>
      </c>
    </row>
    <row r="88" spans="1:13">
      <c r="A88" s="49">
        <v>2000.07</v>
      </c>
      <c r="B88" s="611">
        <v>188842</v>
      </c>
      <c r="C88" s="1611"/>
      <c r="D88" s="1302">
        <v>1020005</v>
      </c>
      <c r="E88" s="1361">
        <f t="shared" si="2"/>
        <v>0.1851383081455483</v>
      </c>
      <c r="F88" s="1202">
        <v>220.2221190962959</v>
      </c>
      <c r="G88" s="1201">
        <v>0.83399999999999996</v>
      </c>
      <c r="H88" s="612">
        <v>38036</v>
      </c>
      <c r="I88" s="1196"/>
      <c r="J88" s="1302">
        <v>198323</v>
      </c>
      <c r="K88" s="1205">
        <f t="shared" si="1"/>
        <v>0.19178814358395144</v>
      </c>
      <c r="L88" s="1200">
        <v>89.12</v>
      </c>
      <c r="M88" s="1203">
        <v>0.77400000000000002</v>
      </c>
    </row>
    <row r="89" spans="1:13">
      <c r="A89" s="49">
        <v>2000.08</v>
      </c>
      <c r="B89" s="611">
        <v>173743</v>
      </c>
      <c r="C89" s="1611"/>
      <c r="D89" s="1302">
        <v>1040549.5</v>
      </c>
      <c r="E89" s="1361">
        <f t="shared" si="2"/>
        <v>0.1669723545107657</v>
      </c>
      <c r="F89" s="1202">
        <v>220.36363943497511</v>
      </c>
      <c r="G89" s="1201">
        <v>0.84499999999999997</v>
      </c>
      <c r="H89" s="612">
        <v>48530</v>
      </c>
      <c r="I89" s="1196"/>
      <c r="J89" s="1302">
        <v>207659</v>
      </c>
      <c r="K89" s="1205">
        <f t="shared" si="1"/>
        <v>0.23370044158933637</v>
      </c>
      <c r="L89" s="1200">
        <v>88.27</v>
      </c>
      <c r="M89" s="1203">
        <v>0.82750000000000001</v>
      </c>
    </row>
    <row r="90" spans="1:13">
      <c r="A90" s="49">
        <v>2000.09</v>
      </c>
      <c r="B90" s="611">
        <v>176755</v>
      </c>
      <c r="C90" s="1611"/>
      <c r="D90" s="1302">
        <v>1003889</v>
      </c>
      <c r="E90" s="1361">
        <f t="shared" si="2"/>
        <v>0.17607026274817236</v>
      </c>
      <c r="F90" s="1202">
        <v>223.58820663981345</v>
      </c>
      <c r="G90" s="1201">
        <v>0.88300000000000001</v>
      </c>
      <c r="H90" s="612">
        <v>45231</v>
      </c>
      <c r="I90" s="1196"/>
      <c r="J90" s="1302">
        <v>197983</v>
      </c>
      <c r="K90" s="1205">
        <f t="shared" si="1"/>
        <v>0.2284590091068425</v>
      </c>
      <c r="L90" s="1200">
        <v>88.74</v>
      </c>
      <c r="M90" s="1203">
        <v>0.89300000000000002</v>
      </c>
    </row>
    <row r="91" spans="1:13">
      <c r="A91" s="49">
        <v>2000.1</v>
      </c>
      <c r="B91" s="611">
        <v>170026</v>
      </c>
      <c r="C91" s="1611"/>
      <c r="D91" s="1302">
        <v>998872.5</v>
      </c>
      <c r="E91" s="1361">
        <f t="shared" si="2"/>
        <v>0.17021792070559555</v>
      </c>
      <c r="F91" s="1202">
        <v>222.20168140993906</v>
      </c>
      <c r="G91" s="1201">
        <v>0.86699999999999999</v>
      </c>
      <c r="H91" s="612">
        <v>43651</v>
      </c>
      <c r="I91" s="1196"/>
      <c r="J91" s="1302">
        <v>211381</v>
      </c>
      <c r="K91" s="1205">
        <f t="shared" si="1"/>
        <v>0.20650389580898945</v>
      </c>
      <c r="L91" s="1200">
        <v>89.73</v>
      </c>
      <c r="M91" s="1203">
        <v>0.88200000000000001</v>
      </c>
    </row>
    <row r="92" spans="1:13">
      <c r="A92" s="49">
        <v>2000.11</v>
      </c>
      <c r="B92" s="611">
        <v>174857</v>
      </c>
      <c r="C92" s="1611"/>
      <c r="D92" s="1302">
        <v>1053555.5</v>
      </c>
      <c r="E92" s="1361">
        <f t="shared" si="2"/>
        <v>0.16596847531999975</v>
      </c>
      <c r="F92" s="1202">
        <v>223.46029005017405</v>
      </c>
      <c r="G92" s="1201">
        <v>0.81100000000000005</v>
      </c>
      <c r="H92" s="612">
        <v>47449</v>
      </c>
      <c r="I92" s="1196"/>
      <c r="J92" s="1302">
        <v>233537</v>
      </c>
      <c r="K92" s="1205">
        <f t="shared" si="1"/>
        <v>0.20317551394425723</v>
      </c>
      <c r="L92" s="1200">
        <v>89.28</v>
      </c>
      <c r="M92" s="1203">
        <v>0.83799999999999997</v>
      </c>
    </row>
    <row r="93" spans="1:13">
      <c r="A93" s="49">
        <v>2000.12</v>
      </c>
      <c r="B93" s="611">
        <v>169068</v>
      </c>
      <c r="C93" s="1611"/>
      <c r="D93" s="1302">
        <v>1042395</v>
      </c>
      <c r="E93" s="1361">
        <f t="shared" si="2"/>
        <v>0.16219187544069186</v>
      </c>
      <c r="F93" s="1202">
        <v>218.97465317131659</v>
      </c>
      <c r="G93" s="1201">
        <v>0.78300000000000003</v>
      </c>
      <c r="H93" s="612">
        <v>54287</v>
      </c>
      <c r="I93" s="1196"/>
      <c r="J93" s="1302">
        <v>288072</v>
      </c>
      <c r="K93" s="1205">
        <f t="shared" si="1"/>
        <v>0.1884494154239218</v>
      </c>
      <c r="L93" s="1200">
        <v>87.02</v>
      </c>
      <c r="M93" s="1203">
        <v>0.81</v>
      </c>
    </row>
    <row r="94" spans="1:13">
      <c r="A94" s="49">
        <v>2001.01</v>
      </c>
      <c r="B94" s="611">
        <v>176138</v>
      </c>
      <c r="C94" s="1611"/>
      <c r="D94" s="1302">
        <v>1047059.5</v>
      </c>
      <c r="E94" s="1361">
        <f t="shared" si="2"/>
        <v>0.16822157671077909</v>
      </c>
      <c r="F94" s="1202">
        <v>219.4618986034767</v>
      </c>
      <c r="G94" s="1201">
        <v>0.78700000000000003</v>
      </c>
      <c r="H94" s="612">
        <v>49433</v>
      </c>
      <c r="I94" s="1196"/>
      <c r="J94" s="1302">
        <v>197287</v>
      </c>
      <c r="K94" s="1205">
        <f t="shared" si="1"/>
        <v>0.25056389929392203</v>
      </c>
      <c r="L94" s="1200">
        <v>86.45</v>
      </c>
      <c r="M94" s="1203">
        <v>0.79</v>
      </c>
    </row>
    <row r="95" spans="1:13">
      <c r="A95" s="49">
        <v>2001.02</v>
      </c>
      <c r="B95" s="611">
        <v>164820</v>
      </c>
      <c r="C95" s="1611"/>
      <c r="D95" s="1302">
        <v>980606</v>
      </c>
      <c r="E95" s="1361">
        <f t="shared" si="2"/>
        <v>0.16807973844744983</v>
      </c>
      <c r="F95" s="1202">
        <v>218.55332018622752</v>
      </c>
      <c r="G95" s="1201">
        <v>0.80700000000000005</v>
      </c>
      <c r="H95" s="612">
        <v>41708</v>
      </c>
      <c r="I95" s="1196"/>
      <c r="J95" s="1302">
        <v>180974</v>
      </c>
      <c r="K95" s="1205">
        <f t="shared" si="1"/>
        <v>0.23046404455888692</v>
      </c>
      <c r="L95" s="1200">
        <v>85.66</v>
      </c>
      <c r="M95" s="1203">
        <v>0.82299999999999995</v>
      </c>
    </row>
    <row r="96" spans="1:13">
      <c r="A96" s="49">
        <v>2001.03</v>
      </c>
      <c r="B96" s="611">
        <v>148120</v>
      </c>
      <c r="C96" s="1611"/>
      <c r="D96" s="1302">
        <v>1004051</v>
      </c>
      <c r="E96" s="1361">
        <f t="shared" si="2"/>
        <v>0.14752238681102853</v>
      </c>
      <c r="F96" s="1202">
        <v>210.59970655468879</v>
      </c>
      <c r="G96" s="1201">
        <v>0.81</v>
      </c>
      <c r="H96" s="612">
        <v>42620</v>
      </c>
      <c r="I96" s="1196"/>
      <c r="J96" s="1302">
        <v>195447</v>
      </c>
      <c r="K96" s="1205">
        <f t="shared" si="1"/>
        <v>0.21806423224710536</v>
      </c>
      <c r="L96" s="1200">
        <v>81.47</v>
      </c>
      <c r="M96" s="1203">
        <v>0.78300000000000003</v>
      </c>
    </row>
    <row r="97" spans="1:13">
      <c r="A97" s="49">
        <v>2001.04</v>
      </c>
      <c r="B97" s="611">
        <v>135437</v>
      </c>
      <c r="C97" s="1611"/>
      <c r="D97" s="1302">
        <v>937680.5</v>
      </c>
      <c r="E97" s="1361">
        <f t="shared" si="2"/>
        <v>0.14443832414132532</v>
      </c>
      <c r="F97" s="1202">
        <v>207.74018803969028</v>
      </c>
      <c r="G97" s="1201">
        <v>0.78100000000000003</v>
      </c>
      <c r="H97" s="612">
        <v>45622</v>
      </c>
      <c r="I97" s="1196"/>
      <c r="J97" s="1302">
        <v>199578</v>
      </c>
      <c r="K97" s="1205">
        <f t="shared" si="1"/>
        <v>0.22859232981591157</v>
      </c>
      <c r="L97" s="1200">
        <v>85.73</v>
      </c>
      <c r="M97" s="1203">
        <v>0.79400000000000004</v>
      </c>
    </row>
    <row r="98" spans="1:13">
      <c r="A98" s="49">
        <v>2001.05</v>
      </c>
      <c r="B98" s="611">
        <v>144797</v>
      </c>
      <c r="C98" s="1611"/>
      <c r="D98" s="1302">
        <v>981754</v>
      </c>
      <c r="E98" s="1361">
        <f t="shared" si="2"/>
        <v>0.14748806727550895</v>
      </c>
      <c r="F98" s="1202">
        <v>210.33723932149212</v>
      </c>
      <c r="G98" s="1201">
        <v>0.77200000000000002</v>
      </c>
      <c r="H98" s="612">
        <v>47257</v>
      </c>
      <c r="I98" s="1196"/>
      <c r="J98" s="1302">
        <v>202978</v>
      </c>
      <c r="K98" s="1205">
        <f t="shared" si="1"/>
        <v>0.23281833499196958</v>
      </c>
      <c r="L98" s="1200">
        <v>87.35</v>
      </c>
      <c r="M98" s="1203">
        <v>0.83299999999999996</v>
      </c>
    </row>
    <row r="99" spans="1:13">
      <c r="A99" s="49">
        <v>2001.06</v>
      </c>
      <c r="B99" s="611">
        <v>139493</v>
      </c>
      <c r="C99" s="1611"/>
      <c r="D99" s="1302">
        <v>938215</v>
      </c>
      <c r="E99" s="1361">
        <f t="shared" si="2"/>
        <v>0.14867914070868618</v>
      </c>
      <c r="F99" s="1202">
        <v>214.54819630027106</v>
      </c>
      <c r="G99" s="1201">
        <v>0.78300000000000003</v>
      </c>
      <c r="H99" s="612">
        <v>42194</v>
      </c>
      <c r="I99" s="1196"/>
      <c r="J99" s="1302">
        <v>180652</v>
      </c>
      <c r="K99" s="1205">
        <f t="shared" si="1"/>
        <v>0.23356508646458385</v>
      </c>
      <c r="L99" s="1200">
        <v>89.5</v>
      </c>
      <c r="M99" s="1203">
        <v>0.85799999999999998</v>
      </c>
    </row>
    <row r="100" spans="1:13">
      <c r="A100" s="49">
        <v>2001.07</v>
      </c>
      <c r="B100" s="611">
        <v>147255</v>
      </c>
      <c r="C100" s="1611"/>
      <c r="D100" s="1302">
        <v>963735</v>
      </c>
      <c r="E100" s="1361">
        <f t="shared" si="2"/>
        <v>0.15279615246929915</v>
      </c>
      <c r="F100" s="1202">
        <v>216.09903138139629</v>
      </c>
      <c r="G100" s="1201">
        <v>0.754</v>
      </c>
      <c r="H100" s="612">
        <v>46890</v>
      </c>
      <c r="I100" s="1196"/>
      <c r="J100" s="1302">
        <v>199388</v>
      </c>
      <c r="K100" s="1205">
        <f t="shared" si="1"/>
        <v>0.2351696190342448</v>
      </c>
      <c r="L100" s="1200">
        <v>89.12</v>
      </c>
      <c r="M100" s="1203">
        <v>0.86199999999999999</v>
      </c>
    </row>
    <row r="101" spans="1:13">
      <c r="A101" s="49">
        <v>2001.08</v>
      </c>
      <c r="B101" s="611">
        <v>151503</v>
      </c>
      <c r="C101" s="1611"/>
      <c r="D101" s="1302">
        <v>976874</v>
      </c>
      <c r="E101" s="1361">
        <f t="shared" si="2"/>
        <v>0.15508960213906808</v>
      </c>
      <c r="F101" s="1202">
        <v>216.956445720571</v>
      </c>
      <c r="G101" s="1201">
        <v>0.72299999999999998</v>
      </c>
      <c r="H101" s="612">
        <v>40596</v>
      </c>
      <c r="I101" s="1196"/>
      <c r="J101" s="1302">
        <v>181935</v>
      </c>
      <c r="K101" s="1205">
        <f t="shared" si="1"/>
        <v>0.22313463599637234</v>
      </c>
      <c r="L101" s="1200">
        <v>88.27</v>
      </c>
      <c r="M101" s="1203">
        <v>0.85799999999999998</v>
      </c>
    </row>
    <row r="102" spans="1:13">
      <c r="A102" s="49">
        <v>2001.09</v>
      </c>
      <c r="B102" s="611">
        <v>135508</v>
      </c>
      <c r="C102" s="1611"/>
      <c r="D102" s="1302">
        <v>866959</v>
      </c>
      <c r="E102" s="1361">
        <f t="shared" si="2"/>
        <v>0.15630266252498676</v>
      </c>
      <c r="F102" s="1202">
        <v>217.78167688693225</v>
      </c>
      <c r="G102" s="1201">
        <v>0.66900000000000004</v>
      </c>
      <c r="H102" s="612">
        <v>35207</v>
      </c>
      <c r="I102" s="1196"/>
      <c r="J102" s="1302">
        <v>182179</v>
      </c>
      <c r="K102" s="1205">
        <f t="shared" si="1"/>
        <v>0.19325498548131234</v>
      </c>
      <c r="L102" s="1200">
        <v>88.74</v>
      </c>
      <c r="M102" s="1203">
        <v>0.82399999999999995</v>
      </c>
    </row>
    <row r="103" spans="1:13">
      <c r="A103" s="49">
        <v>2001.1</v>
      </c>
      <c r="B103" s="611">
        <v>155305</v>
      </c>
      <c r="C103" s="1611"/>
      <c r="D103" s="1302">
        <v>995446</v>
      </c>
      <c r="E103" s="1361">
        <f t="shared" si="2"/>
        <v>0.15601549456223643</v>
      </c>
      <c r="F103" s="1202">
        <v>216.75621453101354</v>
      </c>
      <c r="G103" s="1201">
        <v>0.67100000000000004</v>
      </c>
      <c r="H103" s="612">
        <v>42586</v>
      </c>
      <c r="I103" s="1196"/>
      <c r="J103" s="1302">
        <v>237883</v>
      </c>
      <c r="K103" s="1205">
        <f t="shared" si="1"/>
        <v>0.1790207791225098</v>
      </c>
      <c r="L103" s="1200">
        <v>89.73</v>
      </c>
      <c r="M103" s="1203">
        <v>0.76800000000000002</v>
      </c>
    </row>
    <row r="104" spans="1:13">
      <c r="A104" s="49">
        <v>2001.11</v>
      </c>
      <c r="B104" s="611">
        <v>150153</v>
      </c>
      <c r="C104" s="1611"/>
      <c r="D104" s="1302">
        <v>974489</v>
      </c>
      <c r="E104" s="1361">
        <f t="shared" si="2"/>
        <v>0.15408383265485809</v>
      </c>
      <c r="F104" s="1202">
        <v>216.5315621308832</v>
      </c>
      <c r="G104" s="1201">
        <v>0.624</v>
      </c>
      <c r="H104" s="612">
        <v>40446</v>
      </c>
      <c r="I104" s="1196"/>
      <c r="J104" s="1302">
        <v>244455</v>
      </c>
      <c r="K104" s="1205">
        <f t="shared" si="1"/>
        <v>0.1654537644965331</v>
      </c>
      <c r="L104" s="1200">
        <v>89.28</v>
      </c>
      <c r="M104" s="1203">
        <v>0.74</v>
      </c>
    </row>
    <row r="105" spans="1:13">
      <c r="A105" s="49">
        <v>2001.12</v>
      </c>
      <c r="B105" s="611">
        <v>139277</v>
      </c>
      <c r="C105" s="1611"/>
      <c r="D105" s="1302">
        <v>919863</v>
      </c>
      <c r="E105" s="1361">
        <f t="shared" si="2"/>
        <v>0.15141059049010558</v>
      </c>
      <c r="F105" s="1202">
        <v>213.96199441315903</v>
      </c>
      <c r="G105" s="1201">
        <v>0.63500000000000001</v>
      </c>
      <c r="H105" s="612">
        <v>45236</v>
      </c>
      <c r="I105" s="1196"/>
      <c r="J105" s="1302">
        <v>252904</v>
      </c>
      <c r="K105" s="1205">
        <f t="shared" si="1"/>
        <v>0.17886628918482902</v>
      </c>
      <c r="L105" s="1200">
        <v>87.02</v>
      </c>
      <c r="M105" s="1203">
        <v>0.70799999999999996</v>
      </c>
    </row>
    <row r="106" spans="1:13">
      <c r="A106" s="49">
        <v>2002.01</v>
      </c>
      <c r="B106" s="611">
        <v>139967</v>
      </c>
      <c r="C106" s="1611"/>
      <c r="D106" s="1302">
        <v>912176.5</v>
      </c>
      <c r="E106" s="1361">
        <f t="shared" si="2"/>
        <v>0.15344289180876727</v>
      </c>
      <c r="F106" s="1202">
        <v>213.50055887387521</v>
      </c>
      <c r="G106" s="1201">
        <v>0.71</v>
      </c>
      <c r="H106" s="612">
        <v>33943</v>
      </c>
      <c r="I106" s="1196"/>
      <c r="J106" s="1302">
        <v>158416</v>
      </c>
      <c r="K106" s="1205">
        <f t="shared" si="1"/>
        <v>0.21426497323502677</v>
      </c>
      <c r="L106" s="1200">
        <v>86.45</v>
      </c>
      <c r="M106" s="1203">
        <v>0.86</v>
      </c>
    </row>
    <row r="107" spans="1:13">
      <c r="A107" s="49">
        <v>2002.02</v>
      </c>
      <c r="B107" s="611">
        <v>149371</v>
      </c>
      <c r="C107" s="1611"/>
      <c r="D107" s="1302">
        <v>905497.5</v>
      </c>
      <c r="E107" s="1361">
        <f t="shared" si="2"/>
        <v>0.16496014621796307</v>
      </c>
      <c r="F107" s="1202">
        <v>218.70442261530789</v>
      </c>
      <c r="G107" s="1201">
        <v>0.81100000000000005</v>
      </c>
      <c r="H107" s="612">
        <v>37413</v>
      </c>
      <c r="I107" s="1196"/>
      <c r="J107" s="1302">
        <v>148074</v>
      </c>
      <c r="K107" s="1205">
        <f t="shared" si="1"/>
        <v>0.25266420843632237</v>
      </c>
      <c r="L107" s="1200">
        <v>85.66</v>
      </c>
      <c r="M107" s="1203">
        <v>1.008</v>
      </c>
    </row>
    <row r="108" spans="1:13">
      <c r="A108" s="49">
        <v>2002.03</v>
      </c>
      <c r="B108" s="611">
        <v>163789</v>
      </c>
      <c r="C108" s="1611"/>
      <c r="D108" s="1302">
        <v>934541.5</v>
      </c>
      <c r="E108" s="1361">
        <f t="shared" si="2"/>
        <v>0.17526134473428948</v>
      </c>
      <c r="F108" s="1202">
        <v>219.9514980803919</v>
      </c>
      <c r="G108" s="1201">
        <v>0.86099999999999999</v>
      </c>
      <c r="H108" s="612">
        <v>38722</v>
      </c>
      <c r="I108" s="1196"/>
      <c r="J108" s="1302">
        <v>143522</v>
      </c>
      <c r="K108" s="1205">
        <f t="shared" si="1"/>
        <v>0.26979835843982108</v>
      </c>
      <c r="L108" s="1200">
        <v>81.47</v>
      </c>
      <c r="M108" s="1203">
        <v>1.232</v>
      </c>
    </row>
    <row r="109" spans="1:13">
      <c r="A109" s="49">
        <v>2002.04</v>
      </c>
      <c r="B109" s="611">
        <v>171277</v>
      </c>
      <c r="C109" s="1611"/>
      <c r="D109" s="1302">
        <v>1000300.5</v>
      </c>
      <c r="E109" s="1361">
        <f t="shared" si="2"/>
        <v>0.17122554672320967</v>
      </c>
      <c r="F109" s="1202">
        <v>216.55768495859681</v>
      </c>
      <c r="G109" s="1201">
        <v>1.1519999999999999</v>
      </c>
      <c r="H109" s="612">
        <v>39771</v>
      </c>
      <c r="I109" s="1196"/>
      <c r="J109" s="1302">
        <v>155054</v>
      </c>
      <c r="K109" s="1205">
        <f t="shared" si="1"/>
        <v>0.25649773627252442</v>
      </c>
      <c r="L109" s="1200">
        <v>85.73</v>
      </c>
      <c r="M109" s="1203">
        <v>1.5249999999999999</v>
      </c>
    </row>
    <row r="110" spans="1:13">
      <c r="A110" s="49">
        <v>2002.05</v>
      </c>
      <c r="B110" s="611">
        <v>181571</v>
      </c>
      <c r="C110" s="1611"/>
      <c r="D110" s="1302">
        <v>1009796</v>
      </c>
      <c r="E110" s="1361">
        <f t="shared" si="2"/>
        <v>0.17980958530237789</v>
      </c>
      <c r="F110" s="1202">
        <v>219.25290358960592</v>
      </c>
      <c r="G110" s="1201">
        <v>1.1160000000000001</v>
      </c>
      <c r="H110" s="612">
        <v>37192</v>
      </c>
      <c r="I110" s="1196"/>
      <c r="J110" s="1302">
        <v>148675</v>
      </c>
      <c r="K110" s="1205">
        <f t="shared" si="1"/>
        <v>0.25015638136875734</v>
      </c>
      <c r="L110" s="1200">
        <v>87.35</v>
      </c>
      <c r="M110" s="1203">
        <v>1.4830000000000001</v>
      </c>
    </row>
    <row r="111" spans="1:13">
      <c r="A111" s="49">
        <v>2002.06</v>
      </c>
      <c r="B111" s="611">
        <v>183775</v>
      </c>
      <c r="C111" s="1611"/>
      <c r="D111" s="1302">
        <v>1042875.5</v>
      </c>
      <c r="E111" s="1361">
        <f t="shared" si="2"/>
        <v>0.1762195007937189</v>
      </c>
      <c r="F111" s="1202">
        <v>222.83750244354641</v>
      </c>
      <c r="G111" s="1201">
        <v>1.1879999999999999</v>
      </c>
      <c r="H111" s="612">
        <v>34586</v>
      </c>
      <c r="I111" s="1196"/>
      <c r="J111" s="1302">
        <v>150754</v>
      </c>
      <c r="K111" s="1205">
        <f t="shared" si="1"/>
        <v>0.22942011488915717</v>
      </c>
      <c r="L111" s="1200">
        <v>86.08</v>
      </c>
      <c r="M111" s="1203">
        <v>1.456</v>
      </c>
    </row>
    <row r="112" spans="1:13">
      <c r="A112" s="49">
        <v>2002.07</v>
      </c>
      <c r="B112" s="611">
        <v>189822</v>
      </c>
      <c r="C112" s="1611"/>
      <c r="D112" s="1302">
        <v>1063835</v>
      </c>
      <c r="E112" s="1361">
        <f t="shared" si="2"/>
        <v>0.17843180568415215</v>
      </c>
      <c r="F112" s="1202">
        <v>219.72719291274885</v>
      </c>
      <c r="G112" s="1201">
        <v>1.383</v>
      </c>
      <c r="H112" s="612">
        <v>41421</v>
      </c>
      <c r="I112" s="1196"/>
      <c r="J112" s="1302">
        <v>178158</v>
      </c>
      <c r="K112" s="1205">
        <f t="shared" si="1"/>
        <v>0.23249587444852321</v>
      </c>
      <c r="L112" s="1200">
        <v>85.19</v>
      </c>
      <c r="M112" s="1203">
        <v>1.58</v>
      </c>
    </row>
    <row r="113" spans="1:13">
      <c r="A113" s="49">
        <v>2002.08</v>
      </c>
      <c r="B113" s="611">
        <v>176041</v>
      </c>
      <c r="C113" s="1611"/>
      <c r="D113" s="1302">
        <v>916480.5</v>
      </c>
      <c r="E113" s="1361">
        <f t="shared" si="2"/>
        <v>0.19208373773364518</v>
      </c>
      <c r="F113" s="1202">
        <v>223.77151437327817</v>
      </c>
      <c r="G113" s="1201">
        <v>1.764</v>
      </c>
      <c r="H113" s="612">
        <v>35213</v>
      </c>
      <c r="I113" s="1196"/>
      <c r="J113" s="1302">
        <v>150404</v>
      </c>
      <c r="K113" s="1205">
        <f t="shared" si="1"/>
        <v>0.23412276269248158</v>
      </c>
      <c r="L113" s="1200">
        <v>85.63</v>
      </c>
      <c r="M113" s="1203">
        <v>1.8049999999999999</v>
      </c>
    </row>
    <row r="114" spans="1:13">
      <c r="A114" s="49">
        <v>2002.09</v>
      </c>
      <c r="B114" s="611">
        <v>160293</v>
      </c>
      <c r="C114" s="1611"/>
      <c r="D114" s="1302">
        <v>891494.5</v>
      </c>
      <c r="E114" s="1361">
        <f t="shared" si="2"/>
        <v>0.17980256748639503</v>
      </c>
      <c r="F114" s="1202">
        <v>229.09313870407507</v>
      </c>
      <c r="G114" s="1201">
        <v>1.92</v>
      </c>
      <c r="H114" s="612">
        <v>37954</v>
      </c>
      <c r="I114" s="1196"/>
      <c r="J114" s="1302">
        <v>163208</v>
      </c>
      <c r="K114" s="1205">
        <f t="shared" si="1"/>
        <v>0.23254987500612714</v>
      </c>
      <c r="L114" s="1200">
        <v>86.2</v>
      </c>
      <c r="M114" s="1203">
        <v>1.93</v>
      </c>
    </row>
    <row r="115" spans="1:13">
      <c r="A115" s="49">
        <v>2002.1</v>
      </c>
      <c r="B115" s="611">
        <v>168604</v>
      </c>
      <c r="C115" s="1611"/>
      <c r="D115" s="1302">
        <v>954068</v>
      </c>
      <c r="E115" s="1361">
        <f t="shared" si="2"/>
        <v>0.17672115614400652</v>
      </c>
      <c r="F115" s="1202">
        <v>223.42763578372592</v>
      </c>
      <c r="G115" s="1201">
        <v>1.9159999999999999</v>
      </c>
      <c r="H115" s="612">
        <v>41872</v>
      </c>
      <c r="I115" s="1196"/>
      <c r="J115" s="1302">
        <v>188725</v>
      </c>
      <c r="K115" s="1205">
        <f t="shared" si="1"/>
        <v>0.22186779705921314</v>
      </c>
      <c r="L115" s="1200">
        <v>85.33</v>
      </c>
      <c r="M115" s="1203">
        <v>1.9279999999999999</v>
      </c>
    </row>
    <row r="116" spans="1:13">
      <c r="A116" s="49">
        <v>2002.11</v>
      </c>
      <c r="B116" s="611">
        <v>169030</v>
      </c>
      <c r="C116" s="1611"/>
      <c r="D116" s="1302">
        <v>912140.5</v>
      </c>
      <c r="E116" s="1361">
        <f t="shared" si="2"/>
        <v>0.18531136376468318</v>
      </c>
      <c r="F116" s="1202">
        <v>222.71842557931285</v>
      </c>
      <c r="G116" s="1201">
        <v>1.923</v>
      </c>
      <c r="H116" s="612">
        <v>41794</v>
      </c>
      <c r="I116" s="1196"/>
      <c r="J116" s="1302">
        <v>190895</v>
      </c>
      <c r="K116" s="1205">
        <f t="shared" si="1"/>
        <v>0.21893711202493518</v>
      </c>
      <c r="L116" s="1200">
        <v>85.63</v>
      </c>
      <c r="M116" s="1203">
        <v>1.9279999999999999</v>
      </c>
    </row>
    <row r="117" spans="1:13">
      <c r="A117" s="49">
        <v>2002.12</v>
      </c>
      <c r="B117" s="611">
        <v>159664</v>
      </c>
      <c r="C117" s="1611"/>
      <c r="D117" s="1302">
        <v>956632</v>
      </c>
      <c r="E117" s="1361">
        <f t="shared" si="2"/>
        <v>0.16690221527191229</v>
      </c>
      <c r="F117" s="1202">
        <v>215.53921192091849</v>
      </c>
      <c r="G117" s="1201">
        <v>1.9350000000000001</v>
      </c>
      <c r="H117" s="612">
        <v>46085</v>
      </c>
      <c r="I117" s="1196"/>
      <c r="J117" s="1302">
        <v>223503</v>
      </c>
      <c r="K117" s="1205">
        <f t="shared" si="1"/>
        <v>0.20619410030290422</v>
      </c>
      <c r="L117" s="1200">
        <v>83.89</v>
      </c>
      <c r="M117" s="1203">
        <v>1.978</v>
      </c>
    </row>
    <row r="118" spans="1:13">
      <c r="A118" s="49">
        <v>2003.01</v>
      </c>
      <c r="B118" s="611">
        <v>171976.75</v>
      </c>
      <c r="C118" s="1611"/>
      <c r="D118" s="1302">
        <v>948290.83333333337</v>
      </c>
      <c r="E118" s="1361">
        <f t="shared" si="2"/>
        <v>0.18135443679813418</v>
      </c>
      <c r="F118" s="1202">
        <v>226.63505389150478</v>
      </c>
      <c r="G118" s="1201">
        <v>1.881</v>
      </c>
      <c r="H118" s="612">
        <v>37111</v>
      </c>
      <c r="I118" s="1196"/>
      <c r="J118" s="1302">
        <v>138963</v>
      </c>
      <c r="K118" s="1205">
        <f t="shared" si="1"/>
        <v>0.26705669854565606</v>
      </c>
      <c r="L118" s="1200">
        <v>83.77</v>
      </c>
      <c r="M118" s="1203">
        <v>2.0880000000000001</v>
      </c>
    </row>
    <row r="119" spans="1:13">
      <c r="A119" s="49">
        <v>2003.02</v>
      </c>
      <c r="B119" s="611">
        <v>151037</v>
      </c>
      <c r="C119" s="1611"/>
      <c r="D119" s="1302">
        <v>865925.33333333337</v>
      </c>
      <c r="E119" s="1361">
        <f t="shared" si="2"/>
        <v>0.17442265999839862</v>
      </c>
      <c r="F119" s="1202">
        <v>217.68955626102263</v>
      </c>
      <c r="G119" s="1201">
        <v>1.849</v>
      </c>
      <c r="H119" s="612">
        <v>35341</v>
      </c>
      <c r="I119" s="1196"/>
      <c r="J119" s="1302">
        <v>126956</v>
      </c>
      <c r="K119" s="1205">
        <f t="shared" si="1"/>
        <v>0.27837203440562086</v>
      </c>
      <c r="L119" s="1200">
        <v>84.7</v>
      </c>
      <c r="M119" s="1203">
        <v>2.2130000000000001</v>
      </c>
    </row>
    <row r="120" spans="1:13">
      <c r="A120" s="49">
        <v>2003.03</v>
      </c>
      <c r="B120" s="611">
        <v>164540</v>
      </c>
      <c r="C120" s="1611"/>
      <c r="D120" s="1302">
        <v>940911.83333333337</v>
      </c>
      <c r="E120" s="1361">
        <f t="shared" si="2"/>
        <v>0.17487292025767204</v>
      </c>
      <c r="F120" s="1202">
        <v>214.57678270319673</v>
      </c>
      <c r="G120" s="1201">
        <v>1.7789999999999999</v>
      </c>
      <c r="H120" s="612">
        <v>35257</v>
      </c>
      <c r="I120" s="1196"/>
      <c r="J120" s="1302">
        <v>132619</v>
      </c>
      <c r="K120" s="1205">
        <f t="shared" si="1"/>
        <v>0.26585180102398598</v>
      </c>
      <c r="L120" s="1200">
        <v>85.53</v>
      </c>
      <c r="M120" s="1203">
        <v>2.234</v>
      </c>
    </row>
    <row r="121" spans="1:13">
      <c r="A121" s="49">
        <v>2003.04</v>
      </c>
      <c r="B121" s="611">
        <v>163147</v>
      </c>
      <c r="C121" s="1611"/>
      <c r="D121" s="1302">
        <v>994561.33333333337</v>
      </c>
      <c r="E121" s="1361">
        <f t="shared" si="2"/>
        <v>0.16403915428041307</v>
      </c>
      <c r="F121" s="1202">
        <v>210.82972757862112</v>
      </c>
      <c r="G121" s="1201">
        <v>1.6559999999999999</v>
      </c>
      <c r="H121" s="612">
        <v>35513</v>
      </c>
      <c r="I121" s="1196"/>
      <c r="J121" s="1302">
        <v>140512</v>
      </c>
      <c r="K121" s="1205">
        <f t="shared" si="1"/>
        <v>0.25273997950352994</v>
      </c>
      <c r="L121" s="1200">
        <v>87.51</v>
      </c>
      <c r="M121" s="1203">
        <v>2.1949999999999998</v>
      </c>
    </row>
    <row r="122" spans="1:13">
      <c r="A122" s="49">
        <v>2003.05</v>
      </c>
      <c r="B122" s="611">
        <v>171105</v>
      </c>
      <c r="C122" s="1611"/>
      <c r="D122" s="1302">
        <v>1011823.8333333334</v>
      </c>
      <c r="E122" s="1361">
        <f t="shared" si="2"/>
        <v>0.1691055244630035</v>
      </c>
      <c r="F122" s="1202">
        <v>209.16498445480886</v>
      </c>
      <c r="G122" s="1201">
        <v>1.5720000000000001</v>
      </c>
      <c r="H122" s="612">
        <v>30748</v>
      </c>
      <c r="I122" s="1196"/>
      <c r="J122" s="1302">
        <v>136305</v>
      </c>
      <c r="K122" s="1205">
        <f t="shared" si="1"/>
        <v>0.22558233373684017</v>
      </c>
      <c r="L122" s="1200">
        <v>89.73</v>
      </c>
      <c r="M122" s="1203">
        <v>2.1379999999999999</v>
      </c>
    </row>
    <row r="123" spans="1:13">
      <c r="A123" s="49">
        <v>2003.06</v>
      </c>
      <c r="B123" s="611">
        <v>185419</v>
      </c>
      <c r="C123" s="1611"/>
      <c r="D123" s="1302">
        <v>1022114.0833333334</v>
      </c>
      <c r="E123" s="1361">
        <f t="shared" si="2"/>
        <v>0.1814073429017912</v>
      </c>
      <c r="F123" s="1202">
        <v>209.66957196708202</v>
      </c>
      <c r="G123" s="1201">
        <v>1.56</v>
      </c>
      <c r="H123" s="612">
        <v>33192</v>
      </c>
      <c r="I123" s="1196"/>
      <c r="J123" s="1302">
        <v>139850</v>
      </c>
      <c r="K123" s="1205">
        <f t="shared" si="1"/>
        <v>0.23734000715051842</v>
      </c>
      <c r="L123" s="1200">
        <v>89.56</v>
      </c>
      <c r="M123" s="1203">
        <v>2.0840000000000001</v>
      </c>
    </row>
    <row r="124" spans="1:13">
      <c r="A124" s="49">
        <v>2003.07</v>
      </c>
      <c r="B124" s="611">
        <v>206543</v>
      </c>
      <c r="C124" s="1611"/>
      <c r="D124" s="1302">
        <v>1111491.25</v>
      </c>
      <c r="E124" s="1361">
        <f t="shared" si="2"/>
        <v>0.18582512457925332</v>
      </c>
      <c r="F124" s="1202">
        <v>213.63676473664177</v>
      </c>
      <c r="G124" s="1201">
        <v>1.6759999999999999</v>
      </c>
      <c r="H124" s="612">
        <v>34099</v>
      </c>
      <c r="I124" s="1196"/>
      <c r="J124" s="1302">
        <v>149986</v>
      </c>
      <c r="K124" s="1205">
        <f t="shared" si="1"/>
        <v>0.22734788580267493</v>
      </c>
      <c r="L124" s="1200">
        <v>89.39</v>
      </c>
      <c r="M124" s="1203">
        <v>2.0649999999999999</v>
      </c>
    </row>
    <row r="125" spans="1:13">
      <c r="A125" s="49">
        <v>2003.08</v>
      </c>
      <c r="B125" s="611">
        <v>187982</v>
      </c>
      <c r="C125" s="1611"/>
      <c r="D125" s="1302">
        <v>1042236</v>
      </c>
      <c r="E125" s="1361">
        <f t="shared" si="2"/>
        <v>0.18036414017554567</v>
      </c>
      <c r="F125" s="1202">
        <v>212.40184904169851</v>
      </c>
      <c r="G125" s="1201">
        <v>1.7729999999999999</v>
      </c>
      <c r="H125" s="612">
        <v>34371</v>
      </c>
      <c r="I125" s="1196"/>
      <c r="J125" s="1302">
        <v>135286</v>
      </c>
      <c r="K125" s="1205">
        <f t="shared" si="1"/>
        <v>0.25406176544505715</v>
      </c>
      <c r="L125" s="1200">
        <v>87.63</v>
      </c>
      <c r="M125" s="1203">
        <v>2.1080000000000001</v>
      </c>
    </row>
    <row r="126" spans="1:13">
      <c r="A126" s="49">
        <v>2003.09</v>
      </c>
      <c r="B126" s="611">
        <v>202361</v>
      </c>
      <c r="C126" s="1611"/>
      <c r="D126" s="1302">
        <v>1113897.5</v>
      </c>
      <c r="E126" s="1361">
        <f t="shared" si="2"/>
        <v>0.1816693187658649</v>
      </c>
      <c r="F126" s="1202">
        <v>212.89477898886554</v>
      </c>
      <c r="G126" s="1201">
        <v>1.76</v>
      </c>
      <c r="H126" s="612">
        <v>37737</v>
      </c>
      <c r="I126" s="1196"/>
      <c r="J126" s="1302">
        <v>164080</v>
      </c>
      <c r="K126" s="1205">
        <f t="shared" si="1"/>
        <v>0.22999146757679181</v>
      </c>
      <c r="L126" s="1200">
        <v>87.68</v>
      </c>
      <c r="M126" s="1203">
        <v>2.238</v>
      </c>
    </row>
    <row r="127" spans="1:13">
      <c r="A127" s="49">
        <v>2003.1</v>
      </c>
      <c r="B127" s="611">
        <v>212077</v>
      </c>
      <c r="C127" s="1611"/>
      <c r="D127" s="1302">
        <v>1174286</v>
      </c>
      <c r="E127" s="1361">
        <f t="shared" si="2"/>
        <v>0.18060080763970618</v>
      </c>
      <c r="F127" s="1202">
        <v>211.86459217792682</v>
      </c>
      <c r="G127" s="1201">
        <v>1.776</v>
      </c>
      <c r="H127" s="612">
        <v>39771</v>
      </c>
      <c r="I127" s="1196"/>
      <c r="J127" s="1302">
        <v>167816</v>
      </c>
      <c r="K127" s="1205">
        <f t="shared" si="1"/>
        <v>0.23699170520093435</v>
      </c>
      <c r="L127" s="1200">
        <v>87.19</v>
      </c>
      <c r="M127" s="1203">
        <v>2.3279999999999998</v>
      </c>
    </row>
    <row r="128" spans="1:13">
      <c r="A128" s="49">
        <v>2003.11</v>
      </c>
      <c r="B128" s="611">
        <v>209558</v>
      </c>
      <c r="C128" s="1611"/>
      <c r="D128" s="1302">
        <v>1088776</v>
      </c>
      <c r="E128" s="1361">
        <f t="shared" si="2"/>
        <v>0.19247117864464316</v>
      </c>
      <c r="F128" s="1202">
        <v>212.25996012109994</v>
      </c>
      <c r="G128" s="1201">
        <v>1.7549999999999999</v>
      </c>
      <c r="H128" s="612">
        <v>38100</v>
      </c>
      <c r="I128" s="1196"/>
      <c r="J128" s="1302">
        <v>171390</v>
      </c>
      <c r="K128" s="1205">
        <f t="shared" si="1"/>
        <v>0.22230001750393838</v>
      </c>
      <c r="L128" s="1200">
        <v>87.06</v>
      </c>
      <c r="M128" s="1203">
        <v>2.3620000000000001</v>
      </c>
    </row>
    <row r="129" spans="1:13">
      <c r="A129" s="49">
        <v>2003.12</v>
      </c>
      <c r="B129" s="611">
        <v>216381</v>
      </c>
      <c r="C129" s="1611"/>
      <c r="D129" s="1302">
        <v>1217320</v>
      </c>
      <c r="E129" s="1361">
        <f t="shared" si="2"/>
        <v>0.17775194689974699</v>
      </c>
      <c r="F129" s="1202">
        <v>207.63066795929907</v>
      </c>
      <c r="G129" s="1201">
        <v>1.8129999999999999</v>
      </c>
      <c r="H129" s="612">
        <v>47109</v>
      </c>
      <c r="I129" s="1196"/>
      <c r="J129" s="1302">
        <v>209164</v>
      </c>
      <c r="K129" s="1205">
        <f t="shared" si="1"/>
        <v>0.2252251821537167</v>
      </c>
      <c r="L129" s="1200">
        <v>85.76</v>
      </c>
      <c r="M129" s="1203">
        <v>2.3479999999999999</v>
      </c>
    </row>
    <row r="130" spans="1:13">
      <c r="A130" s="49">
        <v>2004.01</v>
      </c>
      <c r="B130" s="611">
        <v>208464</v>
      </c>
      <c r="C130" s="1611"/>
      <c r="D130" s="1302">
        <v>1113413.75</v>
      </c>
      <c r="E130" s="1361">
        <f t="shared" si="2"/>
        <v>0.18722959007826157</v>
      </c>
      <c r="F130" s="1202">
        <v>212.96336389710794</v>
      </c>
      <c r="G130" s="1201">
        <v>1.748</v>
      </c>
      <c r="H130" s="612">
        <v>34306</v>
      </c>
      <c r="I130" s="1196"/>
      <c r="J130" s="1302">
        <v>133563</v>
      </c>
      <c r="K130" s="1205">
        <f t="shared" si="1"/>
        <v>0.2568525714456848</v>
      </c>
      <c r="L130" s="1200">
        <v>84.96</v>
      </c>
      <c r="M130" s="1203">
        <v>2.343</v>
      </c>
    </row>
    <row r="131" spans="1:13">
      <c r="A131" s="49">
        <v>2004.02</v>
      </c>
      <c r="B131" s="611">
        <v>201470</v>
      </c>
      <c r="C131" s="1611"/>
      <c r="D131" s="1302">
        <v>1084766.75</v>
      </c>
      <c r="E131" s="1361">
        <f t="shared" si="2"/>
        <v>0.18572656287630498</v>
      </c>
      <c r="F131" s="1202">
        <v>210.533604029125</v>
      </c>
      <c r="G131" s="1201">
        <v>1.7829999999999999</v>
      </c>
      <c r="H131" s="612">
        <v>33492</v>
      </c>
      <c r="I131" s="1196"/>
      <c r="J131" s="1302">
        <v>133888</v>
      </c>
      <c r="K131" s="1205">
        <f t="shared" si="1"/>
        <v>0.25014937858508607</v>
      </c>
      <c r="L131" s="1200">
        <v>85.95</v>
      </c>
      <c r="M131" s="1203">
        <v>2.302</v>
      </c>
    </row>
    <row r="132" spans="1:13">
      <c r="A132" s="49">
        <v>2004.03</v>
      </c>
      <c r="B132" s="611">
        <v>231241</v>
      </c>
      <c r="C132" s="1611"/>
      <c r="D132" s="1302">
        <v>1239671</v>
      </c>
      <c r="E132" s="1361">
        <f t="shared" si="2"/>
        <v>0.18653416914649129</v>
      </c>
      <c r="F132" s="1202">
        <v>209.79761165681228</v>
      </c>
      <c r="G132" s="1201">
        <v>1.7250000000000001</v>
      </c>
      <c r="H132" s="612">
        <v>42682</v>
      </c>
      <c r="I132" s="1196"/>
      <c r="J132" s="1302">
        <v>166769</v>
      </c>
      <c r="K132" s="1205">
        <f t="shared" si="1"/>
        <v>0.25593485599841698</v>
      </c>
      <c r="L132" s="1200">
        <v>87.26</v>
      </c>
      <c r="M132" s="1203">
        <v>2.2549999999999999</v>
      </c>
    </row>
    <row r="133" spans="1:13">
      <c r="A133" s="49">
        <v>2004.04</v>
      </c>
      <c r="B133" s="611">
        <v>200462</v>
      </c>
      <c r="C133" s="1611"/>
      <c r="D133" s="1302">
        <v>1110502</v>
      </c>
      <c r="E133" s="1361">
        <f t="shared" si="2"/>
        <v>0.18051475819043999</v>
      </c>
      <c r="F133" s="1202">
        <v>205.38439823259918</v>
      </c>
      <c r="G133" s="1201">
        <v>1.734</v>
      </c>
      <c r="H133" s="612">
        <v>34673</v>
      </c>
      <c r="I133" s="1196"/>
      <c r="J133" s="1302">
        <v>147170</v>
      </c>
      <c r="K133" s="1205">
        <f t="shared" si="1"/>
        <v>0.23559828769450294</v>
      </c>
      <c r="L133" s="1200">
        <v>88.49</v>
      </c>
      <c r="M133" s="1203">
        <v>2.2080000000000002</v>
      </c>
    </row>
    <row r="134" spans="1:13">
      <c r="A134" s="49">
        <v>2004.05</v>
      </c>
      <c r="B134" s="611">
        <v>215004</v>
      </c>
      <c r="C134" s="1611"/>
      <c r="D134" s="1302">
        <v>1192916</v>
      </c>
      <c r="E134" s="1361">
        <f t="shared" si="2"/>
        <v>0.18023398126942719</v>
      </c>
      <c r="F134" s="1202">
        <v>206.02837714316476</v>
      </c>
      <c r="G134" s="1201">
        <v>1.6439999999999999</v>
      </c>
      <c r="H134" s="612">
        <v>39473</v>
      </c>
      <c r="I134" s="1196"/>
      <c r="J134" s="1302">
        <v>166020</v>
      </c>
      <c r="K134" s="1205">
        <f t="shared" si="1"/>
        <v>0.23776051078183352</v>
      </c>
      <c r="L134" s="1200">
        <v>88.7</v>
      </c>
      <c r="M134" s="1203">
        <v>2.2080000000000002</v>
      </c>
    </row>
    <row r="135" spans="1:13">
      <c r="A135" s="49">
        <v>2004.06</v>
      </c>
      <c r="B135" s="611">
        <v>233151</v>
      </c>
      <c r="C135" s="1611"/>
      <c r="D135" s="1302">
        <v>1256293</v>
      </c>
      <c r="E135" s="1361">
        <f t="shared" si="2"/>
        <v>0.1855864834079311</v>
      </c>
      <c r="F135" s="1202">
        <v>208.5121871361803</v>
      </c>
      <c r="G135" s="1201">
        <v>1.6040000000000001</v>
      </c>
      <c r="H135" s="612">
        <v>40932</v>
      </c>
      <c r="I135" s="1196"/>
      <c r="J135" s="1302">
        <v>173274</v>
      </c>
      <c r="K135" s="1205">
        <f t="shared" si="1"/>
        <v>0.23622701617092004</v>
      </c>
      <c r="L135" s="1200">
        <v>88.85</v>
      </c>
      <c r="M135" s="1203">
        <v>2.1930000000000001</v>
      </c>
    </row>
    <row r="136" spans="1:13">
      <c r="A136" s="49">
        <v>2004.07</v>
      </c>
      <c r="B136" s="611">
        <v>231741</v>
      </c>
      <c r="C136" s="1611"/>
      <c r="D136" s="1302">
        <v>1230684</v>
      </c>
      <c r="E136" s="1361">
        <f t="shared" si="2"/>
        <v>0.18830260245522001</v>
      </c>
      <c r="F136" s="1202">
        <v>211.50079332129789</v>
      </c>
      <c r="G136" s="1201">
        <v>1.7549999999999999</v>
      </c>
      <c r="H136" s="612">
        <v>39941</v>
      </c>
      <c r="I136" s="1196"/>
      <c r="J136" s="1302">
        <v>168435</v>
      </c>
      <c r="K136" s="1205">
        <f t="shared" ref="K136:K199" si="3">H136/J136</f>
        <v>0.23713005016772049</v>
      </c>
      <c r="L136" s="1200">
        <v>86.74</v>
      </c>
      <c r="M136" s="1203">
        <v>2.198</v>
      </c>
    </row>
    <row r="137" spans="1:13">
      <c r="A137" s="49">
        <v>2004.08</v>
      </c>
      <c r="B137" s="611">
        <v>226734</v>
      </c>
      <c r="C137" s="1611"/>
      <c r="D137" s="1302">
        <v>1231635</v>
      </c>
      <c r="E137" s="1361">
        <f t="shared" si="2"/>
        <v>0.18409187786966105</v>
      </c>
      <c r="F137" s="1202">
        <v>210.7884019812914</v>
      </c>
      <c r="G137" s="1201">
        <v>1.909</v>
      </c>
      <c r="H137" s="612">
        <v>42007</v>
      </c>
      <c r="I137" s="1196"/>
      <c r="J137" s="1302">
        <v>177240</v>
      </c>
      <c r="K137" s="1205">
        <f t="shared" si="3"/>
        <v>0.23700631911532385</v>
      </c>
      <c r="L137" s="1200">
        <v>85.91</v>
      </c>
      <c r="M137" s="1203">
        <v>2.2719999999999998</v>
      </c>
    </row>
    <row r="138" spans="1:13">
      <c r="A138" s="49">
        <v>2004.09</v>
      </c>
      <c r="B138" s="611">
        <v>232502</v>
      </c>
      <c r="C138" s="1611"/>
      <c r="D138" s="1302">
        <v>1215847</v>
      </c>
      <c r="E138" s="1361">
        <f t="shared" si="2"/>
        <v>0.19122636318549949</v>
      </c>
      <c r="F138" s="1202">
        <v>215.26812586066617</v>
      </c>
      <c r="G138" s="1201">
        <v>1.94</v>
      </c>
      <c r="H138" s="612">
        <v>54354</v>
      </c>
      <c r="I138" s="1196"/>
      <c r="J138" s="1302">
        <v>191854</v>
      </c>
      <c r="K138" s="1205">
        <f t="shared" si="3"/>
        <v>0.28330918302459163</v>
      </c>
      <c r="L138" s="1200">
        <v>86.45</v>
      </c>
      <c r="M138" s="1203">
        <v>2.48</v>
      </c>
    </row>
    <row r="139" spans="1:13">
      <c r="A139" s="49">
        <v>2004.1</v>
      </c>
      <c r="B139" s="611">
        <v>220260</v>
      </c>
      <c r="C139" s="1611"/>
      <c r="D139" s="1302">
        <v>1181224</v>
      </c>
      <c r="E139" s="1361">
        <f t="shared" ref="E139:E202" si="4">B139/D139</f>
        <v>0.18646759632381327</v>
      </c>
      <c r="F139" s="1202">
        <v>217.85561043485546</v>
      </c>
      <c r="G139" s="1201">
        <v>1.921</v>
      </c>
      <c r="H139" s="612">
        <v>58858</v>
      </c>
      <c r="I139" s="1196"/>
      <c r="J139" s="1302">
        <v>200458</v>
      </c>
      <c r="K139" s="1205">
        <f t="shared" si="3"/>
        <v>0.29361761566013828</v>
      </c>
      <c r="L139" s="1200">
        <v>87.41</v>
      </c>
      <c r="M139" s="1203">
        <v>2.548</v>
      </c>
    </row>
    <row r="140" spans="1:13">
      <c r="A140" s="49">
        <v>2004.11</v>
      </c>
      <c r="B140" s="611">
        <v>227234</v>
      </c>
      <c r="C140" s="1611"/>
      <c r="D140" s="1302">
        <v>1226590</v>
      </c>
      <c r="E140" s="1361">
        <f t="shared" si="4"/>
        <v>0.18525668723860458</v>
      </c>
      <c r="F140" s="1202">
        <v>218.4896647976486</v>
      </c>
      <c r="G140" s="1201">
        <v>1.8879999999999999</v>
      </c>
      <c r="H140" s="612">
        <v>63198</v>
      </c>
      <c r="I140" s="1196"/>
      <c r="J140" s="1302">
        <v>230684</v>
      </c>
      <c r="K140" s="1205">
        <f t="shared" si="3"/>
        <v>0.2739591822579806</v>
      </c>
      <c r="L140" s="1200">
        <v>87.95</v>
      </c>
      <c r="M140" s="1203">
        <v>2.4750000000000001</v>
      </c>
    </row>
    <row r="141" spans="1:13">
      <c r="A141" s="49">
        <v>2004.12</v>
      </c>
      <c r="B141" s="611">
        <v>219560</v>
      </c>
      <c r="C141" s="1611"/>
      <c r="D141" s="1302">
        <v>1248437</v>
      </c>
      <c r="E141" s="1361">
        <f t="shared" si="4"/>
        <v>0.17586790522869797</v>
      </c>
      <c r="F141" s="1202">
        <v>213.0747164558978</v>
      </c>
      <c r="G141" s="1201">
        <v>1.9</v>
      </c>
      <c r="H141" s="612">
        <v>66782</v>
      </c>
      <c r="I141" s="1196"/>
      <c r="J141" s="1302">
        <v>259154</v>
      </c>
      <c r="K141" s="1205">
        <f t="shared" si="3"/>
        <v>0.25769233737468838</v>
      </c>
      <c r="L141" s="1200">
        <v>86.4</v>
      </c>
      <c r="M141" s="1203">
        <v>2.4430000000000001</v>
      </c>
    </row>
    <row r="142" spans="1:13">
      <c r="A142" s="49">
        <v>2005.01</v>
      </c>
      <c r="B142" s="611">
        <v>218661</v>
      </c>
      <c r="C142" s="1611"/>
      <c r="D142" s="1302">
        <v>1128533</v>
      </c>
      <c r="E142" s="1361">
        <f t="shared" si="4"/>
        <v>0.19375685070795448</v>
      </c>
      <c r="F142" s="1202">
        <v>218.27140030271053</v>
      </c>
      <c r="G142" s="1201">
        <v>1.8720000000000001</v>
      </c>
      <c r="H142" s="612">
        <v>43463</v>
      </c>
      <c r="I142" s="1196"/>
      <c r="J142" s="1302">
        <v>164643</v>
      </c>
      <c r="K142" s="1205">
        <f t="shared" si="3"/>
        <v>0.26398328504704116</v>
      </c>
      <c r="L142" s="1200">
        <v>85.32</v>
      </c>
      <c r="M142" s="1203">
        <v>2.4620000000000002</v>
      </c>
    </row>
    <row r="143" spans="1:13">
      <c r="A143" s="49">
        <v>2005.02</v>
      </c>
      <c r="B143" s="611">
        <v>207493</v>
      </c>
      <c r="C143" s="1611"/>
      <c r="D143" s="1302">
        <v>1092710</v>
      </c>
      <c r="E143" s="1361">
        <f t="shared" si="4"/>
        <v>0.18988844249617923</v>
      </c>
      <c r="F143" s="1202">
        <v>217.65972391866015</v>
      </c>
      <c r="G143" s="1201">
        <v>1.99</v>
      </c>
      <c r="H143" s="612">
        <v>44527</v>
      </c>
      <c r="I143" s="1196"/>
      <c r="J143" s="1302">
        <v>185297</v>
      </c>
      <c r="K143" s="1205">
        <f t="shared" si="3"/>
        <v>0.24030070643345547</v>
      </c>
      <c r="L143" s="1200">
        <v>85.35</v>
      </c>
      <c r="M143" s="1203">
        <v>2.5179999999999998</v>
      </c>
    </row>
    <row r="144" spans="1:13">
      <c r="A144" s="49">
        <v>2005.03</v>
      </c>
      <c r="B144" s="611">
        <v>200404</v>
      </c>
      <c r="C144" s="1611"/>
      <c r="D144" s="1302">
        <v>1136206</v>
      </c>
      <c r="E144" s="1361">
        <f t="shared" si="4"/>
        <v>0.17637998743185654</v>
      </c>
      <c r="F144" s="1202">
        <v>216.26337535765444</v>
      </c>
      <c r="G144" s="1201">
        <v>2.085</v>
      </c>
      <c r="H144" s="612">
        <v>49647</v>
      </c>
      <c r="I144" s="1196"/>
      <c r="J144" s="1302">
        <v>182334</v>
      </c>
      <c r="K144" s="1205">
        <f t="shared" si="3"/>
        <v>0.27228602454835632</v>
      </c>
      <c r="L144" s="1200">
        <v>86.76</v>
      </c>
      <c r="M144" s="1203">
        <v>2.52</v>
      </c>
    </row>
    <row r="145" spans="1:13">
      <c r="A145" s="49">
        <v>2005.04</v>
      </c>
      <c r="B145" s="611">
        <v>216518</v>
      </c>
      <c r="C145" s="1611"/>
      <c r="D145" s="1302">
        <v>1211311</v>
      </c>
      <c r="E145" s="1361">
        <f t="shared" si="4"/>
        <v>0.17874682884907345</v>
      </c>
      <c r="F145" s="1202">
        <v>217.01180139189444</v>
      </c>
      <c r="G145" s="1201">
        <v>1.9730000000000001</v>
      </c>
      <c r="H145" s="612">
        <v>48060</v>
      </c>
      <c r="I145" s="1196"/>
      <c r="J145" s="1302">
        <v>194399</v>
      </c>
      <c r="K145" s="1205">
        <f t="shared" si="3"/>
        <v>0.24722349394801413</v>
      </c>
      <c r="L145" s="1200">
        <v>88.82</v>
      </c>
      <c r="M145" s="1203">
        <v>2.5329999999999999</v>
      </c>
    </row>
    <row r="146" spans="1:13">
      <c r="A146" s="49">
        <v>2005.05</v>
      </c>
      <c r="B146" s="611">
        <v>210402</v>
      </c>
      <c r="C146" s="1611"/>
      <c r="D146" s="1302">
        <v>1270277</v>
      </c>
      <c r="E146" s="1361">
        <f t="shared" si="4"/>
        <v>0.16563473950957153</v>
      </c>
      <c r="F146" s="1202">
        <v>216.87928601557624</v>
      </c>
      <c r="G146" s="1201">
        <v>1.9019999999999999</v>
      </c>
      <c r="H146" s="612">
        <v>49230</v>
      </c>
      <c r="I146" s="1196"/>
      <c r="J146" s="1302">
        <v>190762</v>
      </c>
      <c r="K146" s="1205">
        <f t="shared" si="3"/>
        <v>0.25807026556651746</v>
      </c>
      <c r="L146" s="1200">
        <v>90.32</v>
      </c>
      <c r="M146" s="1203">
        <v>2.5139999999999998</v>
      </c>
    </row>
    <row r="147" spans="1:13">
      <c r="A147" s="49">
        <v>2005.06</v>
      </c>
      <c r="B147" s="611">
        <v>215841</v>
      </c>
      <c r="C147" s="1611"/>
      <c r="D147" s="1302">
        <v>1218348</v>
      </c>
      <c r="E147" s="1361">
        <f t="shared" si="4"/>
        <v>0.17715874282224783</v>
      </c>
      <c r="F147" s="1202">
        <v>217.17447023461068</v>
      </c>
      <c r="G147" s="1201">
        <v>1.994</v>
      </c>
      <c r="H147" s="612">
        <v>47223</v>
      </c>
      <c r="I147" s="1196"/>
      <c r="J147" s="1302">
        <v>190325</v>
      </c>
      <c r="K147" s="1205">
        <f t="shared" si="3"/>
        <v>0.24811769341915146</v>
      </c>
      <c r="L147" s="1200">
        <v>92.35</v>
      </c>
      <c r="M147" s="1203">
        <v>2.508</v>
      </c>
    </row>
    <row r="148" spans="1:13">
      <c r="A148" s="49">
        <v>2005.07</v>
      </c>
      <c r="B148" s="611">
        <v>215377</v>
      </c>
      <c r="C148" s="1611"/>
      <c r="D148" s="1302">
        <v>1201097</v>
      </c>
      <c r="E148" s="1361">
        <f t="shared" si="4"/>
        <v>0.17931690779345882</v>
      </c>
      <c r="F148" s="1202">
        <v>217.09785121394302</v>
      </c>
      <c r="G148" s="1201">
        <v>2.1059999999999999</v>
      </c>
      <c r="H148" s="612">
        <v>46911</v>
      </c>
      <c r="I148" s="1196"/>
      <c r="J148" s="1302">
        <v>215420</v>
      </c>
      <c r="K148" s="1205">
        <f t="shared" si="3"/>
        <v>0.21776529570142047</v>
      </c>
      <c r="L148" s="1200">
        <v>89</v>
      </c>
      <c r="M148" s="1203">
        <v>2.4300000000000002</v>
      </c>
    </row>
    <row r="149" spans="1:13">
      <c r="A149" s="49">
        <v>2005.08</v>
      </c>
      <c r="B149" s="611">
        <v>227619</v>
      </c>
      <c r="C149" s="1611"/>
      <c r="D149" s="1302">
        <v>1279725</v>
      </c>
      <c r="E149" s="1361">
        <f t="shared" si="4"/>
        <v>0.17786555705327317</v>
      </c>
      <c r="F149" s="1202">
        <v>223.23835516037016</v>
      </c>
      <c r="G149" s="1201">
        <v>2.1890000000000001</v>
      </c>
      <c r="H149" s="612">
        <v>56146</v>
      </c>
      <c r="I149" s="1196"/>
      <c r="J149" s="1302">
        <v>209832</v>
      </c>
      <c r="K149" s="1205">
        <f t="shared" si="3"/>
        <v>0.26757596553433222</v>
      </c>
      <c r="L149" s="1200">
        <v>88</v>
      </c>
      <c r="M149" s="1203">
        <v>2.38</v>
      </c>
    </row>
    <row r="150" spans="1:13">
      <c r="A150" s="49">
        <v>2005.09</v>
      </c>
      <c r="B150" s="611">
        <v>221884</v>
      </c>
      <c r="C150" s="1611"/>
      <c r="D150" s="1302">
        <v>1246835</v>
      </c>
      <c r="E150" s="1361">
        <f t="shared" si="4"/>
        <v>0.17795778912205704</v>
      </c>
      <c r="F150" s="1202">
        <v>220.68362328239868</v>
      </c>
      <c r="G150" s="1201">
        <v>2.1240000000000001</v>
      </c>
      <c r="H150" s="612">
        <v>52568</v>
      </c>
      <c r="I150" s="1196"/>
      <c r="J150" s="1302">
        <v>233719</v>
      </c>
      <c r="K150" s="1205">
        <f t="shared" si="3"/>
        <v>0.22491966849079451</v>
      </c>
      <c r="L150" s="1200">
        <v>87</v>
      </c>
      <c r="M150" s="1203">
        <v>2.34</v>
      </c>
    </row>
    <row r="151" spans="1:13">
      <c r="A151" s="49">
        <v>2005.1</v>
      </c>
      <c r="B151" s="611">
        <v>217962</v>
      </c>
      <c r="C151" s="1611"/>
      <c r="D151" s="1302">
        <v>1234561</v>
      </c>
      <c r="E151" s="1361">
        <f t="shared" si="4"/>
        <v>0.17655020691565665</v>
      </c>
      <c r="F151" s="1202">
        <v>217.82809540753993</v>
      </c>
      <c r="G151" s="1201">
        <v>2.2210000000000001</v>
      </c>
      <c r="H151" s="612">
        <v>59839</v>
      </c>
      <c r="I151" s="1196"/>
      <c r="J151" s="1302">
        <v>260714</v>
      </c>
      <c r="K151" s="1205">
        <f t="shared" si="3"/>
        <v>0.22951970358323681</v>
      </c>
      <c r="L151" s="1200">
        <v>87</v>
      </c>
      <c r="M151" s="1203">
        <v>2.36</v>
      </c>
    </row>
    <row r="152" spans="1:13">
      <c r="A152" s="49">
        <v>2005.11</v>
      </c>
      <c r="B152" s="611">
        <v>210262</v>
      </c>
      <c r="C152" s="1611"/>
      <c r="D152" s="1302">
        <v>1186146</v>
      </c>
      <c r="E152" s="1361">
        <f t="shared" si="4"/>
        <v>0.17726485609697287</v>
      </c>
      <c r="F152" s="1202">
        <v>230.3610116549286</v>
      </c>
      <c r="G152" s="1201">
        <v>2.3380000000000001</v>
      </c>
      <c r="H152" s="612">
        <v>65799</v>
      </c>
      <c r="I152" s="1196"/>
      <c r="J152" s="1302">
        <v>277129</v>
      </c>
      <c r="K152" s="1205">
        <f t="shared" si="3"/>
        <v>0.23743094371213405</v>
      </c>
      <c r="L152" s="1200">
        <v>87</v>
      </c>
      <c r="M152" s="1203">
        <v>2.5099999999999998</v>
      </c>
    </row>
    <row r="153" spans="1:13">
      <c r="A153" s="49">
        <v>2005.12</v>
      </c>
      <c r="B153" s="611">
        <v>205231</v>
      </c>
      <c r="C153" s="1611"/>
      <c r="D153" s="1302">
        <v>1144571</v>
      </c>
      <c r="E153" s="1361">
        <f t="shared" si="4"/>
        <v>0.1793082298957426</v>
      </c>
      <c r="F153" s="1202">
        <v>222.44846225928273</v>
      </c>
      <c r="G153" s="1201">
        <v>2.2909999999999999</v>
      </c>
      <c r="H153" s="612">
        <v>66351</v>
      </c>
      <c r="I153" s="1196"/>
      <c r="J153" s="1302">
        <v>206951</v>
      </c>
      <c r="K153" s="1205">
        <f t="shared" si="3"/>
        <v>0.32061212557561936</v>
      </c>
      <c r="L153" s="1200">
        <v>87</v>
      </c>
      <c r="M153" s="1203">
        <v>2.71</v>
      </c>
    </row>
    <row r="154" spans="1:13">
      <c r="A154" s="49">
        <v>2006.01</v>
      </c>
      <c r="B154" s="611">
        <v>201639</v>
      </c>
      <c r="C154" s="1611"/>
      <c r="D154" s="1302">
        <v>1138254</v>
      </c>
      <c r="E154" s="1361">
        <f t="shared" si="4"/>
        <v>0.17714763137225961</v>
      </c>
      <c r="F154" s="1202">
        <v>226.56414883275363</v>
      </c>
      <c r="G154" s="1201">
        <v>2.2629999999999999</v>
      </c>
      <c r="H154" s="612">
        <v>61061</v>
      </c>
      <c r="I154" s="1196"/>
      <c r="J154" s="1302">
        <v>206951</v>
      </c>
      <c r="K154" s="1205">
        <f t="shared" si="3"/>
        <v>0.29505051920502923</v>
      </c>
      <c r="L154" s="1200">
        <v>86.867476975227049</v>
      </c>
      <c r="M154" s="1203">
        <v>2.64</v>
      </c>
    </row>
    <row r="155" spans="1:13">
      <c r="A155" s="49">
        <v>2006.02</v>
      </c>
      <c r="B155" s="611">
        <v>176567</v>
      </c>
      <c r="C155" s="1611"/>
      <c r="D155" s="1302">
        <v>1007948</v>
      </c>
      <c r="E155" s="1361">
        <f t="shared" si="4"/>
        <v>0.17517471139384175</v>
      </c>
      <c r="F155" s="1202">
        <v>224.72290961794832</v>
      </c>
      <c r="G155" s="1201">
        <v>2.391</v>
      </c>
      <c r="H155" s="612">
        <v>56670</v>
      </c>
      <c r="I155" s="1196"/>
      <c r="J155" s="1302">
        <v>200540</v>
      </c>
      <c r="K155" s="1205">
        <f t="shared" si="3"/>
        <v>0.28258701505933981</v>
      </c>
      <c r="L155" s="1200">
        <v>87.657140078793958</v>
      </c>
      <c r="M155" s="1203">
        <v>2.56</v>
      </c>
    </row>
    <row r="156" spans="1:13">
      <c r="A156" s="49">
        <v>2006.03</v>
      </c>
      <c r="B156" s="611">
        <v>190178</v>
      </c>
      <c r="C156" s="1611"/>
      <c r="D156" s="1302">
        <v>1114299</v>
      </c>
      <c r="E156" s="1361">
        <f t="shared" si="4"/>
        <v>0.17067052918471612</v>
      </c>
      <c r="F156" s="1202">
        <v>231.35683076845356</v>
      </c>
      <c r="G156" s="1201">
        <v>2.3980000000000001</v>
      </c>
      <c r="H156" s="612">
        <v>59969</v>
      </c>
      <c r="I156" s="1196"/>
      <c r="J156" s="1302">
        <v>225934</v>
      </c>
      <c r="K156" s="1205">
        <f t="shared" si="3"/>
        <v>0.26542707162268625</v>
      </c>
      <c r="L156" s="1200">
        <v>88.160595977594241</v>
      </c>
      <c r="M156" s="1203">
        <v>2.5099999999999998</v>
      </c>
    </row>
    <row r="157" spans="1:13">
      <c r="A157" s="49">
        <v>2006.04</v>
      </c>
      <c r="B157" s="611">
        <v>139522</v>
      </c>
      <c r="C157" s="1611"/>
      <c r="D157" s="1302">
        <v>878694</v>
      </c>
      <c r="E157" s="1361">
        <f t="shared" si="4"/>
        <v>0.15878337623791672</v>
      </c>
      <c r="F157" s="1202">
        <v>226.58635613423803</v>
      </c>
      <c r="G157" s="1201">
        <v>2.1720000000000002</v>
      </c>
      <c r="H157" s="612">
        <v>53934</v>
      </c>
      <c r="I157" s="1196"/>
      <c r="J157" s="1302">
        <v>216154</v>
      </c>
      <c r="K157" s="1205">
        <f t="shared" si="3"/>
        <v>0.24951654838679829</v>
      </c>
      <c r="L157" s="1200">
        <v>90.187068857850605</v>
      </c>
      <c r="M157" s="1203">
        <v>2.4300000000000002</v>
      </c>
    </row>
    <row r="158" spans="1:13">
      <c r="A158" s="49">
        <v>2006.05</v>
      </c>
      <c r="B158" s="611">
        <v>156168</v>
      </c>
      <c r="C158" s="1611"/>
      <c r="D158" s="1302">
        <v>1009348</v>
      </c>
      <c r="E158" s="1361">
        <f t="shared" si="4"/>
        <v>0.15472166190451658</v>
      </c>
      <c r="F158" s="1202">
        <v>226.29668090388571</v>
      </c>
      <c r="G158" s="1201">
        <v>2.024</v>
      </c>
      <c r="H158" s="612">
        <v>60878</v>
      </c>
      <c r="I158" s="1196"/>
      <c r="J158" s="1302">
        <v>258524</v>
      </c>
      <c r="K158" s="1205">
        <f t="shared" si="3"/>
        <v>0.23548297256734385</v>
      </c>
      <c r="L158" s="1200">
        <v>89.962233501196181</v>
      </c>
      <c r="M158" s="1203">
        <v>2.3199999999999998</v>
      </c>
    </row>
    <row r="159" spans="1:13">
      <c r="A159" s="49">
        <v>2006.06</v>
      </c>
      <c r="B159" s="611">
        <v>183791</v>
      </c>
      <c r="C159" s="1611"/>
      <c r="D159" s="1302">
        <v>1041743</v>
      </c>
      <c r="E159" s="1361">
        <f t="shared" si="4"/>
        <v>0.17642643147110179</v>
      </c>
      <c r="F159" s="1202">
        <v>229.79772811960243</v>
      </c>
      <c r="G159" s="1201">
        <v>1.91</v>
      </c>
      <c r="H159" s="612">
        <v>57880</v>
      </c>
      <c r="I159" s="1196"/>
      <c r="J159" s="1302">
        <v>240424</v>
      </c>
      <c r="K159" s="1205">
        <f t="shared" si="3"/>
        <v>0.24074135693607959</v>
      </c>
      <c r="L159" s="1200">
        <v>88.885753617772139</v>
      </c>
      <c r="M159" s="1203">
        <v>2.2200000000000002</v>
      </c>
    </row>
    <row r="160" spans="1:13">
      <c r="A160" s="49">
        <v>2006.07</v>
      </c>
      <c r="B160" s="611">
        <v>191489</v>
      </c>
      <c r="C160" s="1611"/>
      <c r="D160" s="1302">
        <v>1081878</v>
      </c>
      <c r="E160" s="1361">
        <f t="shared" si="4"/>
        <v>0.17699685177071722</v>
      </c>
      <c r="F160" s="1202">
        <v>231.29963296428272</v>
      </c>
      <c r="G160" s="1201">
        <v>2.052</v>
      </c>
      <c r="H160" s="612">
        <v>60394</v>
      </c>
      <c r="I160" s="1196"/>
      <c r="J160" s="1302">
        <v>256085</v>
      </c>
      <c r="K160" s="1205">
        <f t="shared" si="3"/>
        <v>0.23583575765858991</v>
      </c>
      <c r="L160" s="1200">
        <v>87.482061608366195</v>
      </c>
      <c r="M160" s="1203">
        <v>2.16</v>
      </c>
    </row>
    <row r="161" spans="1:13">
      <c r="A161" s="49">
        <v>2006.08</v>
      </c>
      <c r="B161" s="611">
        <v>213417</v>
      </c>
      <c r="C161" s="1611"/>
      <c r="D161" s="1302">
        <v>1277126</v>
      </c>
      <c r="E161" s="1361">
        <f t="shared" si="4"/>
        <v>0.16710723922306805</v>
      </c>
      <c r="F161" s="1202">
        <v>232.00532327789693</v>
      </c>
      <c r="G161" s="1201">
        <v>2.0609999999999999</v>
      </c>
      <c r="H161" s="612">
        <v>63732</v>
      </c>
      <c r="I161" s="1196"/>
      <c r="J161" s="1302">
        <v>273595</v>
      </c>
      <c r="K161" s="1205">
        <f t="shared" si="3"/>
        <v>0.2329428534878196</v>
      </c>
      <c r="L161" s="1200">
        <v>86.759798963678918</v>
      </c>
      <c r="M161" s="1203">
        <v>2.15</v>
      </c>
    </row>
    <row r="162" spans="1:13">
      <c r="A162" s="49">
        <v>2006.09</v>
      </c>
      <c r="B162" s="611">
        <v>214946</v>
      </c>
      <c r="C162" s="1611"/>
      <c r="D162" s="1302">
        <v>1217509</v>
      </c>
      <c r="E162" s="1361">
        <f t="shared" si="4"/>
        <v>0.17654571752652343</v>
      </c>
      <c r="F162" s="1202">
        <v>230.10254774343849</v>
      </c>
      <c r="G162" s="1201">
        <v>2.0659999999999998</v>
      </c>
      <c r="H162" s="612">
        <v>60128</v>
      </c>
      <c r="I162" s="1196"/>
      <c r="J162" s="1302">
        <v>265597</v>
      </c>
      <c r="K162" s="1205">
        <f t="shared" si="3"/>
        <v>0.22638809926316938</v>
      </c>
      <c r="L162" s="1200">
        <v>86.451515202688412</v>
      </c>
      <c r="M162" s="1203">
        <v>2.11</v>
      </c>
    </row>
    <row r="163" spans="1:13">
      <c r="A163" s="49">
        <v>2006.1</v>
      </c>
      <c r="B163" s="611">
        <v>213067</v>
      </c>
      <c r="C163" s="1611"/>
      <c r="D163" s="1302">
        <v>1253146</v>
      </c>
      <c r="E163" s="1361">
        <f t="shared" si="4"/>
        <v>0.17002567937016116</v>
      </c>
      <c r="F163" s="1202">
        <v>224.17792111113803</v>
      </c>
      <c r="G163" s="1201">
        <v>2.15</v>
      </c>
      <c r="H163" s="612">
        <v>65408</v>
      </c>
      <c r="I163" s="1196"/>
      <c r="J163" s="1302">
        <v>297133</v>
      </c>
      <c r="K163" s="1205">
        <f t="shared" si="3"/>
        <v>0.22013037932508339</v>
      </c>
      <c r="L163" s="1200">
        <v>84.824640129259691</v>
      </c>
      <c r="M163" s="1203">
        <v>2.13</v>
      </c>
    </row>
    <row r="164" spans="1:13">
      <c r="A164" s="49">
        <v>2006.11</v>
      </c>
      <c r="B164" s="611">
        <v>220481</v>
      </c>
      <c r="C164" s="1611"/>
      <c r="D164" s="1302">
        <v>1270595</v>
      </c>
      <c r="E164" s="1361">
        <f t="shared" si="4"/>
        <v>0.17352578909880803</v>
      </c>
      <c r="F164" s="1202">
        <v>221.79238286761756</v>
      </c>
      <c r="G164" s="1201">
        <v>2.238</v>
      </c>
      <c r="H164" s="612">
        <v>63357</v>
      </c>
      <c r="I164" s="1196"/>
      <c r="J164" s="1302">
        <v>292004</v>
      </c>
      <c r="K164" s="1205">
        <f t="shared" si="3"/>
        <v>0.21697305516362789</v>
      </c>
      <c r="L164" s="1200">
        <v>83.425106790937178</v>
      </c>
      <c r="M164" s="1203">
        <v>2.15</v>
      </c>
    </row>
    <row r="165" spans="1:13">
      <c r="A165" s="49">
        <v>2006.12</v>
      </c>
      <c r="B165" s="611">
        <v>174588</v>
      </c>
      <c r="C165" s="1611"/>
      <c r="D165" s="1302">
        <v>1124620</v>
      </c>
      <c r="E165" s="1361">
        <f t="shared" si="4"/>
        <v>0.15524177055360922</v>
      </c>
      <c r="F165" s="1202">
        <v>213.09842136239277</v>
      </c>
      <c r="G165" s="1201">
        <v>2.0819999999999999</v>
      </c>
      <c r="H165" s="612">
        <v>59109</v>
      </c>
      <c r="I165" s="1196"/>
      <c r="J165" s="1302">
        <v>266028</v>
      </c>
      <c r="K165" s="1205">
        <f t="shared" si="3"/>
        <v>0.22219089719879109</v>
      </c>
      <c r="L165" s="1200">
        <v>82.29218538712334</v>
      </c>
      <c r="M165" s="1203">
        <v>2.23</v>
      </c>
    </row>
    <row r="166" spans="1:13">
      <c r="A166" s="49">
        <v>2007.01</v>
      </c>
      <c r="B166" s="611">
        <v>216586</v>
      </c>
      <c r="C166" s="1611"/>
      <c r="D166" s="1302">
        <v>1222573</v>
      </c>
      <c r="E166" s="1361">
        <f t="shared" si="4"/>
        <v>0.17715588353415296</v>
      </c>
      <c r="F166" s="1202">
        <v>219.7</v>
      </c>
      <c r="G166" s="1201">
        <v>2.028</v>
      </c>
      <c r="H166" s="612">
        <v>64703</v>
      </c>
      <c r="I166" s="1196"/>
      <c r="J166" s="1302">
        <v>261785</v>
      </c>
      <c r="K166" s="1205">
        <f t="shared" si="3"/>
        <v>0.24716083809232767</v>
      </c>
      <c r="L166" s="1200">
        <v>86.020383883612354</v>
      </c>
      <c r="M166" s="1203">
        <v>2.3199999999999998</v>
      </c>
    </row>
    <row r="167" spans="1:13">
      <c r="A167" s="49">
        <v>2007.02</v>
      </c>
      <c r="B167" s="611">
        <v>186762</v>
      </c>
      <c r="C167" s="1611"/>
      <c r="D167" s="1302">
        <v>1085812</v>
      </c>
      <c r="E167" s="1361">
        <f t="shared" si="4"/>
        <v>0.17200215138532268</v>
      </c>
      <c r="F167" s="1202">
        <v>218.7</v>
      </c>
      <c r="G167" s="1201">
        <v>2.0259999999999998</v>
      </c>
      <c r="H167" s="612">
        <v>56649</v>
      </c>
      <c r="I167" s="1196"/>
      <c r="J167" s="1302">
        <v>239293</v>
      </c>
      <c r="K167" s="1205">
        <f t="shared" si="3"/>
        <v>0.23673488150510044</v>
      </c>
      <c r="L167" s="1200">
        <v>85.561239312310391</v>
      </c>
      <c r="M167" s="1203">
        <v>2.35</v>
      </c>
    </row>
    <row r="168" spans="1:13">
      <c r="A168" s="49">
        <v>2007.03</v>
      </c>
      <c r="B168" s="611">
        <v>197537</v>
      </c>
      <c r="C168" s="1611"/>
      <c r="D168" s="1302">
        <v>1176370</v>
      </c>
      <c r="E168" s="1361">
        <f t="shared" si="4"/>
        <v>0.16792080722901809</v>
      </c>
      <c r="F168" s="1202">
        <v>218.2</v>
      </c>
      <c r="G168" s="1201">
        <v>2.0470000000000002</v>
      </c>
      <c r="H168" s="612">
        <v>60251</v>
      </c>
      <c r="I168" s="1196"/>
      <c r="J168" s="1302">
        <v>263932</v>
      </c>
      <c r="K168" s="1205">
        <f t="shared" si="3"/>
        <v>0.22828228483094129</v>
      </c>
      <c r="L168" s="1200">
        <v>86.617754194262147</v>
      </c>
      <c r="M168" s="1203">
        <v>2.38</v>
      </c>
    </row>
    <row r="169" spans="1:13">
      <c r="A169" s="49">
        <v>2007.04</v>
      </c>
      <c r="B169" s="611">
        <v>188915</v>
      </c>
      <c r="C169" s="1611"/>
      <c r="D169" s="1302">
        <v>1103249</v>
      </c>
      <c r="E169" s="1361">
        <f t="shared" si="4"/>
        <v>0.17123514274656038</v>
      </c>
      <c r="F169" s="1202">
        <v>214.9</v>
      </c>
      <c r="G169" s="1201">
        <v>2.0880000000000001</v>
      </c>
      <c r="H169" s="612">
        <v>58077</v>
      </c>
      <c r="I169" s="1196"/>
      <c r="J169" s="1302">
        <v>263342</v>
      </c>
      <c r="K169" s="1205">
        <f t="shared" si="3"/>
        <v>0.22053831139734642</v>
      </c>
      <c r="L169" s="1200">
        <v>87.641604675271424</v>
      </c>
      <c r="M169" s="1203">
        <v>2.41</v>
      </c>
    </row>
    <row r="170" spans="1:13">
      <c r="A170" s="49">
        <v>2007.05</v>
      </c>
      <c r="B170" s="611">
        <v>218817</v>
      </c>
      <c r="C170" s="1611"/>
      <c r="D170" s="1302">
        <v>1209901</v>
      </c>
      <c r="E170" s="1361">
        <f t="shared" si="4"/>
        <v>0.18085529311902379</v>
      </c>
      <c r="F170" s="1202">
        <v>216.1</v>
      </c>
      <c r="G170" s="1201">
        <v>2.0760000000000001</v>
      </c>
      <c r="H170" s="612">
        <v>62687</v>
      </c>
      <c r="I170" s="1196"/>
      <c r="J170" s="1302">
        <v>275680</v>
      </c>
      <c r="K170" s="1205">
        <f t="shared" si="3"/>
        <v>0.22739045269878119</v>
      </c>
      <c r="L170" s="1200">
        <v>87.457120781778798</v>
      </c>
      <c r="M170" s="1203">
        <v>2.4</v>
      </c>
    </row>
    <row r="171" spans="1:13">
      <c r="A171" s="49">
        <v>2007.06</v>
      </c>
      <c r="B171" s="611">
        <v>212229</v>
      </c>
      <c r="C171" s="1611"/>
      <c r="D171" s="1302">
        <v>1202138</v>
      </c>
      <c r="E171" s="1361">
        <f t="shared" si="4"/>
        <v>0.17654295929419084</v>
      </c>
      <c r="F171" s="1202">
        <v>218.9</v>
      </c>
      <c r="G171" s="1201">
        <v>2.0339999999999998</v>
      </c>
      <c r="H171" s="612">
        <v>59161</v>
      </c>
      <c r="I171" s="1196"/>
      <c r="J171" s="1302">
        <v>262640</v>
      </c>
      <c r="K171" s="1205">
        <f t="shared" si="3"/>
        <v>0.22525510204081634</v>
      </c>
      <c r="L171" s="1200">
        <v>87.6724013859275</v>
      </c>
      <c r="M171" s="1203">
        <v>2.44</v>
      </c>
    </row>
    <row r="172" spans="1:13">
      <c r="A172" s="49">
        <v>2007.07</v>
      </c>
      <c r="B172" s="611">
        <v>232113</v>
      </c>
      <c r="C172" s="1611"/>
      <c r="D172" s="1302">
        <v>1300901</v>
      </c>
      <c r="E172" s="1361">
        <f t="shared" si="4"/>
        <v>0.17842479942747372</v>
      </c>
      <c r="F172" s="1202">
        <v>218.5</v>
      </c>
      <c r="G172" s="1201">
        <v>2.0830000000000002</v>
      </c>
      <c r="H172" s="612">
        <v>59462</v>
      </c>
      <c r="I172" s="1196"/>
      <c r="J172" s="1302">
        <v>268199</v>
      </c>
      <c r="K172" s="1205">
        <f t="shared" si="3"/>
        <v>0.22170850748884224</v>
      </c>
      <c r="L172" s="1200">
        <v>86.899265473527208</v>
      </c>
      <c r="M172" s="1203">
        <v>2.57</v>
      </c>
    </row>
    <row r="173" spans="1:13">
      <c r="A173" s="49">
        <v>2007.08</v>
      </c>
      <c r="B173" s="611">
        <v>245527</v>
      </c>
      <c r="C173" s="1611"/>
      <c r="D173" s="1302">
        <v>1381501</v>
      </c>
      <c r="E173" s="1361">
        <f t="shared" si="4"/>
        <v>0.17772480801678753</v>
      </c>
      <c r="F173" s="1202">
        <v>217</v>
      </c>
      <c r="G173" s="1201">
        <v>2.2170000000000001</v>
      </c>
      <c r="H173" s="612">
        <v>57867</v>
      </c>
      <c r="I173" s="1196"/>
      <c r="J173" s="1302">
        <v>251921</v>
      </c>
      <c r="K173" s="1205">
        <f t="shared" si="3"/>
        <v>0.22970296243663688</v>
      </c>
      <c r="L173" s="1200">
        <v>87.210766824652069</v>
      </c>
      <c r="M173" s="1203">
        <v>2.78</v>
      </c>
    </row>
    <row r="174" spans="1:13">
      <c r="A174" s="49">
        <v>2007.09</v>
      </c>
      <c r="B174" s="611">
        <v>194798</v>
      </c>
      <c r="C174" s="1611"/>
      <c r="D174" s="1302">
        <v>1171053</v>
      </c>
      <c r="E174" s="1361">
        <f t="shared" si="4"/>
        <v>0.16634430721752133</v>
      </c>
      <c r="F174" s="1202">
        <v>212.7</v>
      </c>
      <c r="G174" s="1201">
        <v>2.4900000000000002</v>
      </c>
      <c r="H174" s="612">
        <v>56577</v>
      </c>
      <c r="I174" s="1196"/>
      <c r="J174" s="1302">
        <v>237926</v>
      </c>
      <c r="K174" s="1205">
        <f t="shared" si="3"/>
        <v>0.23779242285416474</v>
      </c>
      <c r="L174" s="1200">
        <v>86.862239678556861</v>
      </c>
      <c r="M174" s="1203">
        <v>2.87</v>
      </c>
    </row>
    <row r="175" spans="1:13">
      <c r="A175" s="49">
        <v>2007.1</v>
      </c>
      <c r="B175" s="611">
        <v>236805</v>
      </c>
      <c r="C175" s="1611"/>
      <c r="D175" s="1302">
        <v>1387410</v>
      </c>
      <c r="E175" s="1361">
        <f t="shared" si="4"/>
        <v>0.17068134149242112</v>
      </c>
      <c r="F175" s="1202">
        <v>209.7</v>
      </c>
      <c r="G175" s="1201">
        <v>2.617</v>
      </c>
      <c r="H175" s="612">
        <v>68200</v>
      </c>
      <c r="I175" s="1196"/>
      <c r="J175" s="1302">
        <v>295248</v>
      </c>
      <c r="K175" s="1205">
        <f t="shared" si="3"/>
        <v>0.23099225058256109</v>
      </c>
      <c r="L175" s="1200">
        <v>85.600627607977032</v>
      </c>
      <c r="M175" s="1203">
        <v>2.94</v>
      </c>
    </row>
    <row r="176" spans="1:13">
      <c r="A176" s="49">
        <v>2007.11</v>
      </c>
      <c r="B176" s="611">
        <v>258749</v>
      </c>
      <c r="C176" s="1611"/>
      <c r="D176" s="1302">
        <v>1423321</v>
      </c>
      <c r="E176" s="1361">
        <f t="shared" si="4"/>
        <v>0.18179244176120496</v>
      </c>
      <c r="F176" s="1202">
        <v>213.7</v>
      </c>
      <c r="G176" s="1201">
        <v>2.6240000000000001</v>
      </c>
      <c r="H176" s="612">
        <v>67119</v>
      </c>
      <c r="I176" s="1196"/>
      <c r="J176" s="1302">
        <v>287108</v>
      </c>
      <c r="K176" s="1205">
        <f t="shared" si="3"/>
        <v>0.23377613998913302</v>
      </c>
      <c r="L176" s="1200">
        <v>81.381657761356479</v>
      </c>
      <c r="M176" s="1203">
        <v>2.95</v>
      </c>
    </row>
    <row r="177" spans="1:13">
      <c r="A177" s="49">
        <v>2007.12</v>
      </c>
      <c r="B177" s="611">
        <v>216285</v>
      </c>
      <c r="C177" s="1611"/>
      <c r="D177" s="1302">
        <v>1291430</v>
      </c>
      <c r="E177" s="1361">
        <f t="shared" si="4"/>
        <v>0.16747713774652903</v>
      </c>
      <c r="F177" s="1202">
        <v>210.4</v>
      </c>
      <c r="G177" s="1201">
        <v>2.589</v>
      </c>
      <c r="H177" s="612">
        <v>61635</v>
      </c>
      <c r="I177" s="1196"/>
      <c r="J177" s="1302">
        <v>293081</v>
      </c>
      <c r="K177" s="1205">
        <f t="shared" si="3"/>
        <v>0.21030022417010996</v>
      </c>
      <c r="L177" s="1200">
        <v>81.553382884544462</v>
      </c>
      <c r="M177" s="1203">
        <v>3.06</v>
      </c>
    </row>
    <row r="178" spans="1:13">
      <c r="A178" s="49">
        <v>2008.01</v>
      </c>
      <c r="B178" s="611">
        <v>234866</v>
      </c>
      <c r="C178" s="1611"/>
      <c r="D178" s="1302">
        <v>1336470</v>
      </c>
      <c r="E178" s="1361">
        <f t="shared" si="4"/>
        <v>0.1757360808697539</v>
      </c>
      <c r="F178" s="1202">
        <v>213.91549389370368</v>
      </c>
      <c r="G178" s="1201">
        <v>2.5350000000000001</v>
      </c>
      <c r="H178" s="612">
        <v>57926</v>
      </c>
      <c r="I178" s="1196"/>
      <c r="J178" s="1302">
        <v>226644</v>
      </c>
      <c r="K178" s="1205">
        <f t="shared" si="3"/>
        <v>0.25558144049699089</v>
      </c>
      <c r="L178" s="1200">
        <v>85.210715483313038</v>
      </c>
      <c r="M178" s="1203">
        <v>3.22</v>
      </c>
    </row>
    <row r="179" spans="1:13">
      <c r="A179" s="49">
        <v>2008.02</v>
      </c>
      <c r="B179" s="611">
        <v>219463</v>
      </c>
      <c r="C179" s="1611"/>
      <c r="D179" s="1302">
        <v>1241836</v>
      </c>
      <c r="E179" s="1361">
        <f t="shared" si="4"/>
        <v>0.17672462386337648</v>
      </c>
      <c r="F179" s="1202">
        <v>211.03904186358017</v>
      </c>
      <c r="G179" s="1201">
        <v>2.5859999999999999</v>
      </c>
      <c r="H179" s="612">
        <v>55560</v>
      </c>
      <c r="I179" s="1196"/>
      <c r="J179" s="1302">
        <v>228125</v>
      </c>
      <c r="K179" s="1205">
        <f t="shared" si="3"/>
        <v>0.24355068493150686</v>
      </c>
      <c r="L179" s="1200">
        <v>84.581056876712339</v>
      </c>
      <c r="M179" s="1203">
        <v>3.26</v>
      </c>
    </row>
    <row r="180" spans="1:13">
      <c r="A180" s="49">
        <v>2008.03</v>
      </c>
      <c r="B180" s="611">
        <v>125657</v>
      </c>
      <c r="C180" s="1611"/>
      <c r="D180" s="1302">
        <v>722024</v>
      </c>
      <c r="E180" s="1361">
        <f t="shared" si="4"/>
        <v>0.17403438112860514</v>
      </c>
      <c r="F180" s="1202">
        <v>211.23325417611349</v>
      </c>
      <c r="G180" s="1201">
        <v>2.7410000000000001</v>
      </c>
      <c r="H180" s="612">
        <v>41941</v>
      </c>
      <c r="I180" s="1196"/>
      <c r="J180" s="1302">
        <v>166684</v>
      </c>
      <c r="K180" s="1205">
        <f t="shared" si="3"/>
        <v>0.2516198315375201</v>
      </c>
      <c r="L180" s="1200">
        <v>86.077071584555199</v>
      </c>
      <c r="M180" s="1203">
        <v>3.29</v>
      </c>
    </row>
    <row r="181" spans="1:13">
      <c r="A181" s="49">
        <v>2008.04</v>
      </c>
      <c r="B181" s="611">
        <v>215012</v>
      </c>
      <c r="C181" s="1611"/>
      <c r="D181" s="1302">
        <v>1379156</v>
      </c>
      <c r="E181" s="1361">
        <f t="shared" si="4"/>
        <v>0.15590114533816335</v>
      </c>
      <c r="F181" s="1202">
        <v>213.87965497039136</v>
      </c>
      <c r="G181" s="1201">
        <v>2.5579999999999998</v>
      </c>
      <c r="H181" s="612">
        <v>70722</v>
      </c>
      <c r="I181" s="1196"/>
      <c r="J181" s="1302">
        <v>304544</v>
      </c>
      <c r="K181" s="1205">
        <f t="shared" si="3"/>
        <v>0.23222260166018704</v>
      </c>
      <c r="L181" s="1200">
        <v>90.571657532762202</v>
      </c>
      <c r="M181" s="1203">
        <v>3.21</v>
      </c>
    </row>
    <row r="182" spans="1:13">
      <c r="A182" s="49">
        <v>2008.05</v>
      </c>
      <c r="B182" s="1181">
        <v>168264</v>
      </c>
      <c r="C182" s="1611"/>
      <c r="D182" s="1302">
        <v>1103694</v>
      </c>
      <c r="E182" s="1617">
        <f t="shared" si="4"/>
        <v>0.15245530011035668</v>
      </c>
      <c r="F182" s="1202">
        <v>210.29667211503175</v>
      </c>
      <c r="G182" s="1201">
        <v>2.4670000000000001</v>
      </c>
      <c r="H182" s="612">
        <v>66329</v>
      </c>
      <c r="I182" s="1196"/>
      <c r="J182" s="1302">
        <v>254133</v>
      </c>
      <c r="K182" s="1207">
        <f t="shared" si="3"/>
        <v>0.26100112932991781</v>
      </c>
      <c r="L182" s="1200">
        <v>89.117199722978611</v>
      </c>
      <c r="M182" s="1203">
        <v>3.19</v>
      </c>
    </row>
    <row r="183" spans="1:13">
      <c r="A183" s="49">
        <v>2008.06</v>
      </c>
      <c r="B183" s="1181">
        <v>156945</v>
      </c>
      <c r="C183" s="1611"/>
      <c r="D183" s="1302">
        <v>1023830</v>
      </c>
      <c r="E183" s="1617">
        <f t="shared" si="4"/>
        <v>0.15329205043806102</v>
      </c>
      <c r="F183" s="1202">
        <v>213.18115627481487</v>
      </c>
      <c r="G183" s="1201">
        <v>2.5329999999999999</v>
      </c>
      <c r="H183" s="612">
        <v>48170</v>
      </c>
      <c r="I183" s="1196"/>
      <c r="J183" s="1302">
        <v>201336</v>
      </c>
      <c r="K183" s="1207">
        <f t="shared" si="3"/>
        <v>0.23925179798943061</v>
      </c>
      <c r="L183" s="1200">
        <v>89.93704980405208</v>
      </c>
      <c r="M183" s="1203">
        <v>3.19</v>
      </c>
    </row>
    <row r="184" spans="1:13">
      <c r="A184" s="49">
        <v>2008.07</v>
      </c>
      <c r="B184" s="1181">
        <v>247820</v>
      </c>
      <c r="C184" s="1611"/>
      <c r="D184" s="1302">
        <v>1370185</v>
      </c>
      <c r="E184" s="1617">
        <f t="shared" si="4"/>
        <v>0.18086608742615048</v>
      </c>
      <c r="F184" s="1202">
        <v>219.7193383763331</v>
      </c>
      <c r="G184" s="1201">
        <v>2.4780000000000002</v>
      </c>
      <c r="H184" s="612">
        <v>72065</v>
      </c>
      <c r="I184" s="1196"/>
      <c r="J184" s="1302">
        <v>301969</v>
      </c>
      <c r="K184" s="1207">
        <f t="shared" si="3"/>
        <v>0.23865032503336436</v>
      </c>
      <c r="L184" s="1200">
        <v>89.534242587815299</v>
      </c>
      <c r="M184" s="1203">
        <v>3.17</v>
      </c>
    </row>
    <row r="185" spans="1:13">
      <c r="A185" s="49">
        <v>2008.08</v>
      </c>
      <c r="B185" s="1181">
        <v>236450</v>
      </c>
      <c r="C185" s="1611"/>
      <c r="D185" s="1302">
        <v>1300403</v>
      </c>
      <c r="E185" s="1617">
        <f t="shared" si="4"/>
        <v>0.18182824862754085</v>
      </c>
      <c r="F185" s="1202">
        <v>218.91733423305996</v>
      </c>
      <c r="G185" s="1201">
        <v>2.6930000000000001</v>
      </c>
      <c r="H185" s="612">
        <v>61574</v>
      </c>
      <c r="I185" s="1196"/>
      <c r="J185" s="1302">
        <v>272550</v>
      </c>
      <c r="K185" s="1207">
        <f t="shared" si="3"/>
        <v>0.22591818015043111</v>
      </c>
      <c r="L185" s="1200">
        <v>88.405872317006043</v>
      </c>
      <c r="M185" s="1203">
        <v>3.14</v>
      </c>
    </row>
    <row r="186" spans="1:13">
      <c r="A186" s="49">
        <v>2008.09</v>
      </c>
      <c r="B186" s="1181">
        <v>242093</v>
      </c>
      <c r="C186" s="1611"/>
      <c r="D186" s="1302">
        <v>1364431</v>
      </c>
      <c r="E186" s="1617">
        <f t="shared" si="4"/>
        <v>0.17743147143387977</v>
      </c>
      <c r="F186" s="1202">
        <v>219.73047052708975</v>
      </c>
      <c r="G186" s="1201">
        <v>2.746</v>
      </c>
      <c r="H186" s="612">
        <v>68660</v>
      </c>
      <c r="I186" s="1196"/>
      <c r="J186" s="1302">
        <v>296734</v>
      </c>
      <c r="K186" s="1207">
        <f t="shared" si="3"/>
        <v>0.23138568549610089</v>
      </c>
      <c r="L186" s="1200">
        <v>87.729657875403561</v>
      </c>
      <c r="M186" s="1203">
        <v>3.16</v>
      </c>
    </row>
    <row r="187" spans="1:13">
      <c r="A187" s="49">
        <v>2008.1</v>
      </c>
      <c r="B187" s="1181">
        <v>219432</v>
      </c>
      <c r="C187" s="1611"/>
      <c r="D187" s="1302">
        <v>1332022</v>
      </c>
      <c r="E187" s="1617">
        <f t="shared" si="4"/>
        <v>0.16473601787357867</v>
      </c>
      <c r="F187" s="1202">
        <v>211.91944754163899</v>
      </c>
      <c r="G187" s="1201">
        <v>2.8090000000000002</v>
      </c>
      <c r="H187" s="612">
        <v>66705</v>
      </c>
      <c r="I187" s="1196"/>
      <c r="J187" s="1302">
        <v>299071</v>
      </c>
      <c r="K187" s="1207">
        <f t="shared" si="3"/>
        <v>0.22304068264726437</v>
      </c>
      <c r="L187" s="1200">
        <v>84.589420693558452</v>
      </c>
      <c r="M187" s="1203">
        <v>3.16</v>
      </c>
    </row>
    <row r="188" spans="1:13">
      <c r="A188" s="49">
        <v>2008.11</v>
      </c>
      <c r="B188" s="1181">
        <v>202211</v>
      </c>
      <c r="C188" s="1611"/>
      <c r="D188" s="1302">
        <v>1181323</v>
      </c>
      <c r="E188" s="1617">
        <f t="shared" si="4"/>
        <v>0.17117333701282375</v>
      </c>
      <c r="F188" s="1202">
        <v>213.41145801587797</v>
      </c>
      <c r="G188" s="1201">
        <v>2.431</v>
      </c>
      <c r="H188" s="612">
        <v>61122</v>
      </c>
      <c r="I188" s="1196"/>
      <c r="J188" s="1302">
        <v>279593</v>
      </c>
      <c r="K188" s="1207">
        <f t="shared" si="3"/>
        <v>0.21861062329886657</v>
      </c>
      <c r="L188" s="1200">
        <v>84.691205818638949</v>
      </c>
      <c r="M188" s="1203">
        <v>3.13</v>
      </c>
    </row>
    <row r="189" spans="1:13">
      <c r="A189" s="49">
        <v>2008.12</v>
      </c>
      <c r="B189" s="1181">
        <v>195542</v>
      </c>
      <c r="C189" s="1611"/>
      <c r="D189" s="1302">
        <v>1304910</v>
      </c>
      <c r="E189" s="1617">
        <f t="shared" si="4"/>
        <v>0.14985094757492853</v>
      </c>
      <c r="F189" s="1202">
        <v>215.27850000000001</v>
      </c>
      <c r="G189" s="1201">
        <v>2.3769999999999998</v>
      </c>
      <c r="H189" s="612">
        <v>65951</v>
      </c>
      <c r="I189" s="1196"/>
      <c r="J189" s="1302">
        <v>325458</v>
      </c>
      <c r="K189" s="1207">
        <f t="shared" si="3"/>
        <v>0.20264058649656791</v>
      </c>
      <c r="L189" s="1200">
        <v>83.242202537263736</v>
      </c>
      <c r="M189" s="1203">
        <v>3.13</v>
      </c>
    </row>
    <row r="190" spans="1:13">
      <c r="A190" s="49">
        <f t="shared" ref="A190:A253" si="5">A178+1</f>
        <v>2009.01</v>
      </c>
      <c r="B190" s="1181">
        <v>217644</v>
      </c>
      <c r="C190" s="1611"/>
      <c r="D190" s="1302">
        <v>1311459</v>
      </c>
      <c r="E190" s="1617">
        <f t="shared" si="4"/>
        <v>0.16595562651977683</v>
      </c>
      <c r="F190" s="1202">
        <v>215.075151207646</v>
      </c>
      <c r="G190" s="1201">
        <v>2.25</v>
      </c>
      <c r="H190" s="612">
        <v>60147</v>
      </c>
      <c r="I190" s="1196"/>
      <c r="J190" s="1302">
        <v>252621</v>
      </c>
      <c r="K190" s="1207">
        <f t="shared" si="3"/>
        <v>0.23809184509601339</v>
      </c>
      <c r="L190" s="1200">
        <v>86.159075057101347</v>
      </c>
      <c r="M190" s="1203">
        <v>3.122985047997842</v>
      </c>
    </row>
    <row r="191" spans="1:13">
      <c r="A191" s="49">
        <f t="shared" si="5"/>
        <v>2009.02</v>
      </c>
      <c r="B191" s="1181">
        <v>205418</v>
      </c>
      <c r="C191" s="1611"/>
      <c r="D191" s="1302">
        <v>1213668</v>
      </c>
      <c r="E191" s="1617">
        <f t="shared" si="4"/>
        <v>0.16925386514269142</v>
      </c>
      <c r="F191" s="1202">
        <v>209.72275848634595</v>
      </c>
      <c r="G191" s="1201">
        <v>2.4660000000000002</v>
      </c>
      <c r="H191" s="612">
        <v>55832</v>
      </c>
      <c r="I191" s="1196"/>
      <c r="J191" s="1302">
        <v>245190</v>
      </c>
      <c r="K191" s="1207">
        <f t="shared" si="3"/>
        <v>0.22770912353684897</v>
      </c>
      <c r="L191" s="1200">
        <v>85.957244785501445</v>
      </c>
      <c r="M191" s="1203">
        <v>3.11591280190214</v>
      </c>
    </row>
    <row r="192" spans="1:13">
      <c r="A192" s="49">
        <f t="shared" si="5"/>
        <v>2009.03</v>
      </c>
      <c r="B192" s="1181">
        <v>210333</v>
      </c>
      <c r="C192" s="1611"/>
      <c r="D192" s="1302">
        <v>1259783</v>
      </c>
      <c r="E192" s="1617">
        <f t="shared" si="4"/>
        <v>0.16695970655263645</v>
      </c>
      <c r="F192" s="1202">
        <v>210.24018301086718</v>
      </c>
      <c r="G192" s="1201">
        <v>2.8290000000000002</v>
      </c>
      <c r="H192" s="612">
        <v>58988</v>
      </c>
      <c r="I192" s="1196"/>
      <c r="J192" s="1302">
        <v>269725</v>
      </c>
      <c r="K192" s="1207">
        <f t="shared" si="3"/>
        <v>0.2186968208360367</v>
      </c>
      <c r="L192" s="1200">
        <v>87.253020116816884</v>
      </c>
      <c r="M192" s="1203">
        <v>3.1123974082073431</v>
      </c>
    </row>
    <row r="193" spans="1:13">
      <c r="A193" s="49">
        <f t="shared" si="5"/>
        <v>2009.04</v>
      </c>
      <c r="B193" s="1181">
        <v>228678</v>
      </c>
      <c r="C193" s="1611"/>
      <c r="D193" s="1302">
        <v>1342224.25</v>
      </c>
      <c r="E193" s="1617">
        <f t="shared" si="4"/>
        <v>0.17037242472709013</v>
      </c>
      <c r="F193" s="1202">
        <v>214.03046982913267</v>
      </c>
      <c r="G193" s="1201">
        <v>2.58</v>
      </c>
      <c r="H193" s="612">
        <v>59229</v>
      </c>
      <c r="I193" s="1196"/>
      <c r="J193" s="1302">
        <v>272071</v>
      </c>
      <c r="K193" s="1207">
        <f t="shared" si="3"/>
        <v>0.21769685118957918</v>
      </c>
      <c r="L193" s="1200">
        <v>89.159040838604625</v>
      </c>
      <c r="M193" s="1203">
        <v>3.1203723459820849</v>
      </c>
    </row>
    <row r="194" spans="1:13">
      <c r="A194" s="49">
        <f t="shared" si="5"/>
        <v>2009.05</v>
      </c>
      <c r="B194" s="1181">
        <v>216880</v>
      </c>
      <c r="C194" s="1611"/>
      <c r="D194" s="1302">
        <v>1241788</v>
      </c>
      <c r="E194" s="1617">
        <f t="shared" si="4"/>
        <v>0.17465138977023453</v>
      </c>
      <c r="F194" s="1202">
        <v>212.32942299889766</v>
      </c>
      <c r="G194" s="1201">
        <v>2.2909999999999999</v>
      </c>
      <c r="H194" s="612">
        <v>55455</v>
      </c>
      <c r="I194" s="1196"/>
      <c r="J194" s="1302">
        <v>251982</v>
      </c>
      <c r="K194" s="1207">
        <f t="shared" si="3"/>
        <v>0.22007524346977164</v>
      </c>
      <c r="L194" s="1200">
        <v>89.686750244065053</v>
      </c>
      <c r="M194" s="1203">
        <v>3.0979193311670885</v>
      </c>
    </row>
    <row r="195" spans="1:13">
      <c r="A195" s="49">
        <f t="shared" si="5"/>
        <v>2009.06</v>
      </c>
      <c r="B195" s="1181">
        <v>248402</v>
      </c>
      <c r="C195" s="1611"/>
      <c r="D195" s="1302">
        <v>1427990</v>
      </c>
      <c r="E195" s="1617">
        <f t="shared" si="4"/>
        <v>0.17395219854480773</v>
      </c>
      <c r="F195" s="1202">
        <v>212.81442597283669</v>
      </c>
      <c r="G195" s="1201">
        <v>2.3730000000000002</v>
      </c>
      <c r="H195" s="612">
        <v>62801</v>
      </c>
      <c r="I195" s="1196"/>
      <c r="J195" s="1302">
        <v>285377</v>
      </c>
      <c r="K195" s="1207">
        <f t="shared" si="3"/>
        <v>0.22006328470759731</v>
      </c>
      <c r="L195" s="1200">
        <v>89.590020569282046</v>
      </c>
      <c r="M195" s="1203">
        <v>3.0238953296306237</v>
      </c>
    </row>
    <row r="196" spans="1:13">
      <c r="A196" s="49">
        <f t="shared" si="5"/>
        <v>2009.07</v>
      </c>
      <c r="B196" s="1181">
        <v>245685</v>
      </c>
      <c r="C196" s="1611"/>
      <c r="D196" s="1302">
        <v>1458327.25</v>
      </c>
      <c r="E196" s="1617">
        <f t="shared" si="4"/>
        <v>0.1684704170480254</v>
      </c>
      <c r="F196" s="1202">
        <v>218.37590443279558</v>
      </c>
      <c r="G196" s="1201">
        <v>2.64</v>
      </c>
      <c r="H196" s="612">
        <v>64873</v>
      </c>
      <c r="I196" s="1196"/>
      <c r="J196" s="1302">
        <v>283084</v>
      </c>
      <c r="K196" s="1207">
        <f t="shared" si="3"/>
        <v>0.2291651947831739</v>
      </c>
      <c r="L196" s="1200">
        <v>88.023554139407366</v>
      </c>
      <c r="M196" s="1203">
        <v>3.0250230126263524</v>
      </c>
    </row>
    <row r="197" spans="1:13">
      <c r="A197" s="49">
        <f t="shared" si="5"/>
        <v>2009.08</v>
      </c>
      <c r="B197" s="1181">
        <v>235227</v>
      </c>
      <c r="C197" s="1611"/>
      <c r="D197" s="1302">
        <v>1390996</v>
      </c>
      <c r="E197" s="1617">
        <f t="shared" si="4"/>
        <v>0.16910688456329134</v>
      </c>
      <c r="F197" s="1202">
        <v>214.31858097301131</v>
      </c>
      <c r="G197" s="1201">
        <v>2.8039999999999998</v>
      </c>
      <c r="H197" s="612">
        <v>63180</v>
      </c>
      <c r="I197" s="1196"/>
      <c r="J197" s="1302">
        <v>285751</v>
      </c>
      <c r="K197" s="1207">
        <f t="shared" si="3"/>
        <v>0.22110158844588471</v>
      </c>
      <c r="L197" s="1200">
        <v>86.609500929130604</v>
      </c>
      <c r="M197" s="1203">
        <v>3.0452331863702646</v>
      </c>
    </row>
    <row r="198" spans="1:13">
      <c r="A198" s="49">
        <f t="shared" si="5"/>
        <v>2009.09</v>
      </c>
      <c r="B198" s="1181">
        <v>215509</v>
      </c>
      <c r="C198" s="1611"/>
      <c r="D198" s="1302">
        <v>1333419</v>
      </c>
      <c r="E198" s="1617">
        <f t="shared" si="4"/>
        <v>0.16162136582724559</v>
      </c>
      <c r="F198" s="1202">
        <v>214.31122350101992</v>
      </c>
      <c r="G198" s="1201">
        <v>2.9860000000000002</v>
      </c>
      <c r="H198" s="612">
        <v>62729</v>
      </c>
      <c r="I198" s="1196"/>
      <c r="J198" s="1302">
        <v>280912</v>
      </c>
      <c r="K198" s="1207">
        <f t="shared" si="3"/>
        <v>0.22330480719940765</v>
      </c>
      <c r="L198" s="1200">
        <v>85.978081392037367</v>
      </c>
      <c r="M198" s="1203">
        <v>3.0984387583949582</v>
      </c>
    </row>
    <row r="199" spans="1:13">
      <c r="A199" s="49">
        <f t="shared" si="5"/>
        <v>2009.1</v>
      </c>
      <c r="B199" s="1181">
        <v>249127</v>
      </c>
      <c r="C199" s="1611"/>
      <c r="D199" s="1302">
        <v>1439888</v>
      </c>
      <c r="E199" s="1617">
        <f t="shared" si="4"/>
        <v>0.17301831809140711</v>
      </c>
      <c r="F199" s="1202">
        <v>214.20613139668163</v>
      </c>
      <c r="G199" s="1201">
        <v>3.06</v>
      </c>
      <c r="H199" s="612">
        <v>63785</v>
      </c>
      <c r="I199" s="1196"/>
      <c r="J199" s="1302">
        <v>301385</v>
      </c>
      <c r="K199" s="1207">
        <f t="shared" si="3"/>
        <v>0.21163959719295916</v>
      </c>
      <c r="L199" s="1200">
        <v>84.896450387378295</v>
      </c>
      <c r="M199" s="1203">
        <v>3.1780384861290871</v>
      </c>
    </row>
    <row r="200" spans="1:13">
      <c r="A200" s="49">
        <f t="shared" si="5"/>
        <v>2009.11</v>
      </c>
      <c r="B200" s="1181">
        <v>212024</v>
      </c>
      <c r="C200" s="1611"/>
      <c r="D200" s="1302">
        <v>1324910</v>
      </c>
      <c r="E200" s="1617">
        <f t="shared" si="4"/>
        <v>0.16002898310073893</v>
      </c>
      <c r="F200" s="1202">
        <v>210.92475051502208</v>
      </c>
      <c r="G200" s="1201">
        <v>3.2120000000000002</v>
      </c>
      <c r="H200" s="612">
        <v>61635</v>
      </c>
      <c r="I200" s="1196"/>
      <c r="J200" s="1302">
        <v>287510</v>
      </c>
      <c r="K200" s="1207">
        <f t="shared" ref="K200:K237" si="6">H200/J200</f>
        <v>0.21437515216862021</v>
      </c>
      <c r="L200" s="1200">
        <v>83.938496266229819</v>
      </c>
      <c r="M200" s="1203">
        <v>3.2903821008202252</v>
      </c>
    </row>
    <row r="201" spans="1:13">
      <c r="A201" s="49">
        <f t="shared" si="5"/>
        <v>2009.12</v>
      </c>
      <c r="B201" s="1181">
        <v>198725</v>
      </c>
      <c r="C201" s="1611"/>
      <c r="D201" s="1302">
        <v>1308602</v>
      </c>
      <c r="E201" s="1617">
        <f t="shared" si="4"/>
        <v>0.15186053513596953</v>
      </c>
      <c r="F201" s="1202">
        <v>208.81326525137712</v>
      </c>
      <c r="G201" s="1201">
        <v>3.605</v>
      </c>
      <c r="H201" s="612">
        <v>62884</v>
      </c>
      <c r="I201" s="1196"/>
      <c r="J201" s="1302">
        <v>323902</v>
      </c>
      <c r="K201" s="1207">
        <f t="shared" si="6"/>
        <v>0.19414514266660904</v>
      </c>
      <c r="L201" s="1200">
        <v>81.819109337727696</v>
      </c>
      <c r="M201" s="1203">
        <v>3.41</v>
      </c>
    </row>
    <row r="202" spans="1:13">
      <c r="A202" s="49">
        <f t="shared" si="5"/>
        <v>2010.01</v>
      </c>
      <c r="B202" s="1181">
        <v>193265</v>
      </c>
      <c r="C202" s="1611"/>
      <c r="D202" s="1302">
        <v>1133571</v>
      </c>
      <c r="E202" s="1617">
        <f t="shared" si="4"/>
        <v>0.17049218796175977</v>
      </c>
      <c r="F202" s="1202">
        <v>212.21947725215182</v>
      </c>
      <c r="G202" s="1201">
        <v>3.8410000000000002</v>
      </c>
      <c r="H202" s="612">
        <v>55401</v>
      </c>
      <c r="I202" s="1196"/>
      <c r="J202" s="1302">
        <v>249611</v>
      </c>
      <c r="K202" s="1207">
        <f t="shared" si="6"/>
        <v>0.2219493531935692</v>
      </c>
      <c r="L202" s="1200">
        <v>85.577627098273311</v>
      </c>
      <c r="M202" s="1203">
        <v>3.6077823466129337</v>
      </c>
    </row>
    <row r="203" spans="1:13">
      <c r="A203" s="49">
        <f t="shared" si="5"/>
        <v>2010.02</v>
      </c>
      <c r="B203" s="1181">
        <v>175759</v>
      </c>
      <c r="C203" s="1611"/>
      <c r="D203" s="1302">
        <v>965748</v>
      </c>
      <c r="E203" s="1617">
        <f t="shared" ref="E203:E266" si="7">B203/D203</f>
        <v>0.18199261090884994</v>
      </c>
      <c r="F203" s="1202">
        <v>211.20945410247364</v>
      </c>
      <c r="G203" s="1201">
        <v>4.7939999999999996</v>
      </c>
      <c r="H203" s="612">
        <v>53398</v>
      </c>
      <c r="I203" s="1196"/>
      <c r="J203" s="1302">
        <v>247473</v>
      </c>
      <c r="K203" s="1207">
        <f t="shared" si="6"/>
        <v>0.21577303382591231</v>
      </c>
      <c r="L203" s="1200">
        <v>85.178063869593856</v>
      </c>
      <c r="M203" s="1203">
        <v>3.8503681517158341</v>
      </c>
    </row>
    <row r="204" spans="1:13">
      <c r="A204" s="49">
        <f t="shared" si="5"/>
        <v>2010.03</v>
      </c>
      <c r="B204" s="1181">
        <v>189084</v>
      </c>
      <c r="C204" s="1611"/>
      <c r="D204" s="1302">
        <v>1103728</v>
      </c>
      <c r="E204" s="1617">
        <f t="shared" si="7"/>
        <v>0.17131394691445717</v>
      </c>
      <c r="F204" s="1202">
        <v>211.34024997910768</v>
      </c>
      <c r="G204" s="1201">
        <v>4.9470000000000001</v>
      </c>
      <c r="H204" s="612">
        <v>65302</v>
      </c>
      <c r="I204" s="1196"/>
      <c r="J204" s="1302">
        <v>300411</v>
      </c>
      <c r="K204" s="1207">
        <f t="shared" si="6"/>
        <v>0.21737552885879677</v>
      </c>
      <c r="L204" s="1200">
        <v>85.928770584299514</v>
      </c>
      <c r="M204" s="1203">
        <v>4.0853237939049034</v>
      </c>
    </row>
    <row r="205" spans="1:13">
      <c r="A205" s="49">
        <f t="shared" si="5"/>
        <v>2010.04</v>
      </c>
      <c r="B205" s="1181">
        <v>165784</v>
      </c>
      <c r="C205" s="1611"/>
      <c r="D205" s="1302">
        <v>973424</v>
      </c>
      <c r="E205" s="1617">
        <f t="shared" si="7"/>
        <v>0.17031016288893638</v>
      </c>
      <c r="F205" s="1202">
        <v>215.8</v>
      </c>
      <c r="G205" s="1201">
        <v>5.282</v>
      </c>
      <c r="H205" s="612">
        <v>61602</v>
      </c>
      <c r="I205" s="1196"/>
      <c r="J205" s="1302">
        <v>267682</v>
      </c>
      <c r="K205" s="1207">
        <f t="shared" si="6"/>
        <v>0.23013127516979101</v>
      </c>
      <c r="L205" s="1200">
        <v>87.407490604523275</v>
      </c>
      <c r="M205" s="1203">
        <v>4.4559482533747801</v>
      </c>
    </row>
    <row r="206" spans="1:13">
      <c r="A206" s="49">
        <f t="shared" si="5"/>
        <v>2010.05</v>
      </c>
      <c r="B206" s="1181">
        <v>164873</v>
      </c>
      <c r="C206" s="1611"/>
      <c r="D206" s="1302">
        <v>933170</v>
      </c>
      <c r="E206" s="1617">
        <f t="shared" si="7"/>
        <v>0.17668056195548507</v>
      </c>
      <c r="F206" s="1202">
        <v>228.32699824340423</v>
      </c>
      <c r="G206" s="1201">
        <v>5.3230000000000004</v>
      </c>
      <c r="H206" s="612">
        <v>56701</v>
      </c>
      <c r="I206" s="1196"/>
      <c r="J206" s="1302">
        <v>260619</v>
      </c>
      <c r="K206" s="1207">
        <f t="shared" si="6"/>
        <v>0.21756280240504339</v>
      </c>
      <c r="L206" s="1200">
        <v>88.852253289284349</v>
      </c>
      <c r="M206" s="1203">
        <v>4.5935728889577581</v>
      </c>
    </row>
    <row r="207" spans="1:13">
      <c r="A207" s="49">
        <f t="shared" si="5"/>
        <v>2010.06</v>
      </c>
      <c r="B207" s="1181">
        <v>163712</v>
      </c>
      <c r="C207" s="1611"/>
      <c r="D207" s="1302">
        <v>947566</v>
      </c>
      <c r="E207" s="1617">
        <f t="shared" si="7"/>
        <v>0.17277107874279998</v>
      </c>
      <c r="F207" s="1202">
        <v>222.9</v>
      </c>
      <c r="G207" s="1201">
        <v>5.4939999999999998</v>
      </c>
      <c r="H207" s="612">
        <v>57697</v>
      </c>
      <c r="I207" s="1196"/>
      <c r="J207" s="1302">
        <v>273321</v>
      </c>
      <c r="K207" s="1207">
        <f t="shared" si="6"/>
        <v>0.21109611043425131</v>
      </c>
      <c r="L207" s="1200">
        <v>89.563122848226087</v>
      </c>
      <c r="M207" s="1203">
        <v>4.7132491488926576</v>
      </c>
    </row>
    <row r="208" spans="1:13">
      <c r="A208" s="49">
        <f t="shared" si="5"/>
        <v>2010.07</v>
      </c>
      <c r="B208" s="1181">
        <v>171568</v>
      </c>
      <c r="C208" s="1611"/>
      <c r="D208" s="1302">
        <v>1008760</v>
      </c>
      <c r="E208" s="1617">
        <f t="shared" si="7"/>
        <v>0.17007811570641182</v>
      </c>
      <c r="F208" s="1202">
        <v>225.9</v>
      </c>
      <c r="G208" s="1201">
        <v>5.5039999999999996</v>
      </c>
      <c r="H208" s="612">
        <v>55612</v>
      </c>
      <c r="I208" s="1196"/>
      <c r="J208" s="1302">
        <v>268407</v>
      </c>
      <c r="K208" s="1207">
        <f t="shared" si="6"/>
        <v>0.20719280793719985</v>
      </c>
      <c r="L208" s="1200">
        <v>88.970153535489004</v>
      </c>
      <c r="M208" s="1203">
        <v>4.8728246018538677</v>
      </c>
    </row>
    <row r="209" spans="1:13">
      <c r="A209" s="49">
        <f t="shared" si="5"/>
        <v>2010.08</v>
      </c>
      <c r="B209" s="1181">
        <v>185032</v>
      </c>
      <c r="C209" s="1611"/>
      <c r="D209" s="1302">
        <v>1049388</v>
      </c>
      <c r="E209" s="1617">
        <f t="shared" si="7"/>
        <v>0.17632372392289603</v>
      </c>
      <c r="F209" s="1202">
        <v>228</v>
      </c>
      <c r="G209" s="1201">
        <v>5.5789999999999997</v>
      </c>
      <c r="H209" s="612">
        <v>50671</v>
      </c>
      <c r="I209" s="1196"/>
      <c r="J209" s="1302">
        <v>268464</v>
      </c>
      <c r="K209" s="1207">
        <f t="shared" si="6"/>
        <v>0.18874411466714344</v>
      </c>
      <c r="L209" s="1200">
        <v>88.258663778802543</v>
      </c>
      <c r="M209" s="1203">
        <v>5.0031799914382935</v>
      </c>
    </row>
    <row r="210" spans="1:13">
      <c r="A210" s="49">
        <f t="shared" si="5"/>
        <v>2010.09</v>
      </c>
      <c r="B210" s="1181">
        <v>169704</v>
      </c>
      <c r="C210" s="1611"/>
      <c r="D210" s="1302">
        <v>995293</v>
      </c>
      <c r="E210" s="1617">
        <f t="shared" si="7"/>
        <v>0.17050657444591694</v>
      </c>
      <c r="F210" s="1202">
        <v>226.7</v>
      </c>
      <c r="G210" s="1201">
        <v>6.2619999999999996</v>
      </c>
      <c r="H210" s="612">
        <v>47746</v>
      </c>
      <c r="I210" s="1196"/>
      <c r="J210" s="1302">
        <v>255902</v>
      </c>
      <c r="K210" s="1207">
        <f t="shared" si="6"/>
        <v>0.18657923736430351</v>
      </c>
      <c r="L210" s="1200">
        <v>88.588515408353629</v>
      </c>
      <c r="M210" s="1203">
        <v>5.2573578895252675</v>
      </c>
    </row>
    <row r="211" spans="1:13">
      <c r="A211" s="49">
        <f t="shared" si="5"/>
        <v>2010.1</v>
      </c>
      <c r="B211" s="1181">
        <v>150680</v>
      </c>
      <c r="C211" s="1611"/>
      <c r="D211" s="1302">
        <v>894209.5</v>
      </c>
      <c r="E211" s="1617">
        <f t="shared" si="7"/>
        <v>0.16850637350643222</v>
      </c>
      <c r="F211" s="1202">
        <v>229.22403695667811</v>
      </c>
      <c r="G211" s="1201">
        <v>7.2460000000000004</v>
      </c>
      <c r="H211" s="612">
        <v>46712</v>
      </c>
      <c r="I211" s="1196"/>
      <c r="J211" s="1302">
        <v>259664</v>
      </c>
      <c r="K211" s="1207">
        <f t="shared" si="6"/>
        <v>0.17989401688335696</v>
      </c>
      <c r="L211" s="1200">
        <v>88.689757148528273</v>
      </c>
      <c r="M211" s="1203">
        <v>5.5600897286256208</v>
      </c>
    </row>
    <row r="212" spans="1:13">
      <c r="A212" s="49">
        <f t="shared" si="5"/>
        <v>2010.11</v>
      </c>
      <c r="B212" s="1181">
        <v>161914</v>
      </c>
      <c r="C212" s="1611"/>
      <c r="D212" s="1302">
        <v>925877.5</v>
      </c>
      <c r="E212" s="1617">
        <f t="shared" si="7"/>
        <v>0.17487626602871331</v>
      </c>
      <c r="F212" s="1202">
        <v>230.62286240730248</v>
      </c>
      <c r="G212" s="1201">
        <v>7.681</v>
      </c>
      <c r="H212" s="612">
        <v>51696</v>
      </c>
      <c r="I212" s="1196"/>
      <c r="J212" s="1302">
        <v>277729</v>
      </c>
      <c r="K212" s="1207">
        <f t="shared" si="6"/>
        <v>0.18613828588300105</v>
      </c>
      <c r="L212" s="1200">
        <v>86.895890489955107</v>
      </c>
      <c r="M212" s="1203">
        <v>5.8381597146472357</v>
      </c>
    </row>
    <row r="213" spans="1:13">
      <c r="A213" s="49">
        <f>A201+1</f>
        <v>2010.12</v>
      </c>
      <c r="B213" s="1181">
        <v>152591</v>
      </c>
      <c r="C213" s="1611"/>
      <c r="D213" s="1302">
        <v>941484</v>
      </c>
      <c r="E213" s="1617">
        <f t="shared" si="7"/>
        <v>0.16207497950044822</v>
      </c>
      <c r="F213" s="1202">
        <v>226.1</v>
      </c>
      <c r="G213" s="1201">
        <v>7.2889999999999997</v>
      </c>
      <c r="H213" s="612">
        <v>48710</v>
      </c>
      <c r="I213" s="1196"/>
      <c r="J213" s="1302">
        <v>304850</v>
      </c>
      <c r="K213" s="1207">
        <f t="shared" si="6"/>
        <v>0.15978350008200753</v>
      </c>
      <c r="L213" s="1200">
        <v>82.344769506816689</v>
      </c>
      <c r="M213" s="1203">
        <v>5.9684373064258462</v>
      </c>
    </row>
    <row r="214" spans="1:13">
      <c r="A214" s="49">
        <f t="shared" si="5"/>
        <v>2011.01</v>
      </c>
      <c r="B214" s="1181">
        <v>148543</v>
      </c>
      <c r="C214" s="1611"/>
      <c r="D214" s="1302">
        <v>889059</v>
      </c>
      <c r="E214" s="1617">
        <f t="shared" si="7"/>
        <v>0.1670789002754598</v>
      </c>
      <c r="F214" s="1202">
        <v>224.79785193455822</v>
      </c>
      <c r="G214" s="1201">
        <v>7.0519999999999996</v>
      </c>
      <c r="H214" s="612">
        <v>46858</v>
      </c>
      <c r="I214" s="1196"/>
      <c r="J214" s="1302">
        <v>240591</v>
      </c>
      <c r="K214" s="1207">
        <f t="shared" si="6"/>
        <v>0.1947620650814037</v>
      </c>
      <c r="L214" s="1200">
        <v>87.338613765680265</v>
      </c>
      <c r="M214" s="1203">
        <v>6.1311034910142546</v>
      </c>
    </row>
    <row r="215" spans="1:13">
      <c r="A215" s="49">
        <f t="shared" si="5"/>
        <v>2011.02</v>
      </c>
      <c r="B215" s="1181">
        <v>147221</v>
      </c>
      <c r="C215" s="1611"/>
      <c r="D215" s="1302">
        <v>851055</v>
      </c>
      <c r="E215" s="1617">
        <f t="shared" si="7"/>
        <v>0.1729864697346235</v>
      </c>
      <c r="F215" s="1202">
        <v>226.6438736290568</v>
      </c>
      <c r="G215" s="1201">
        <v>7.4240000000000004</v>
      </c>
      <c r="H215" s="612">
        <v>48081</v>
      </c>
      <c r="I215" s="1196"/>
      <c r="J215" s="1302">
        <v>233186</v>
      </c>
      <c r="K215" s="1207">
        <f t="shared" si="6"/>
        <v>0.20619162385391918</v>
      </c>
      <c r="L215" s="1200">
        <v>86.769770179473724</v>
      </c>
      <c r="M215" s="1203">
        <v>5.9272681526962092</v>
      </c>
    </row>
    <row r="216" spans="1:13">
      <c r="A216" s="49">
        <f t="shared" si="5"/>
        <v>2011.03</v>
      </c>
      <c r="B216" s="1181">
        <v>160559</v>
      </c>
      <c r="C216" s="1611"/>
      <c r="D216" s="1302">
        <v>943434</v>
      </c>
      <c r="E216" s="1617">
        <f t="shared" si="7"/>
        <v>0.17018572576354044</v>
      </c>
      <c r="F216" s="1202">
        <v>229.2727135079208</v>
      </c>
      <c r="G216" s="1201">
        <v>7.8520000000000003</v>
      </c>
      <c r="H216" s="612">
        <v>51599</v>
      </c>
      <c r="I216" s="1196"/>
      <c r="J216" s="1302">
        <v>272087</v>
      </c>
      <c r="K216" s="1207">
        <f t="shared" si="6"/>
        <v>0.18964154847530384</v>
      </c>
      <c r="L216" s="1200">
        <v>87.660506300463226</v>
      </c>
      <c r="M216" s="1203">
        <v>5.7082475471354304</v>
      </c>
    </row>
    <row r="217" spans="1:13">
      <c r="A217" s="49">
        <f t="shared" si="5"/>
        <v>2011.04</v>
      </c>
      <c r="B217" s="1181">
        <v>150523</v>
      </c>
      <c r="C217" s="1611"/>
      <c r="D217" s="1302">
        <v>821028</v>
      </c>
      <c r="E217" s="1617">
        <f t="shared" si="7"/>
        <v>0.18333479491564234</v>
      </c>
      <c r="F217" s="1202">
        <v>230.71402879839928</v>
      </c>
      <c r="G217" s="1201">
        <v>7.3739999999999997</v>
      </c>
      <c r="H217" s="612">
        <v>51587</v>
      </c>
      <c r="I217" s="1196"/>
      <c r="J217" s="1302">
        <v>284850</v>
      </c>
      <c r="K217" s="1207">
        <f t="shared" si="6"/>
        <v>0.18110233456205022</v>
      </c>
      <c r="L217" s="1200">
        <v>90.469254647981685</v>
      </c>
      <c r="M217" s="1203">
        <v>5.5005452287827179</v>
      </c>
    </row>
    <row r="218" spans="1:13">
      <c r="A218" s="49">
        <f t="shared" si="5"/>
        <v>2011.05</v>
      </c>
      <c r="B218" s="1181">
        <v>160502</v>
      </c>
      <c r="C218" s="1611"/>
      <c r="D218" s="1302">
        <v>896681</v>
      </c>
      <c r="E218" s="1617">
        <f t="shared" si="7"/>
        <v>0.17899565174236992</v>
      </c>
      <c r="F218" s="1202">
        <v>232.92775675896539</v>
      </c>
      <c r="G218" s="1201">
        <v>7.0830000000000002</v>
      </c>
      <c r="H218" s="612">
        <v>56416</v>
      </c>
      <c r="I218" s="1196"/>
      <c r="J218" s="1302">
        <v>300655</v>
      </c>
      <c r="K218" s="1207">
        <f t="shared" si="6"/>
        <v>0.1876436447090519</v>
      </c>
      <c r="L218" s="1200">
        <v>90.766060423922085</v>
      </c>
      <c r="M218" s="1203">
        <v>5.3720413588765323</v>
      </c>
    </row>
    <row r="219" spans="1:13">
      <c r="A219" s="49">
        <f t="shared" si="5"/>
        <v>2011.06</v>
      </c>
      <c r="B219" s="611">
        <v>153527</v>
      </c>
      <c r="C219" s="1611"/>
      <c r="D219" s="1302">
        <v>880244</v>
      </c>
      <c r="E219" s="1361">
        <f t="shared" si="7"/>
        <v>0.17441413971580608</v>
      </c>
      <c r="F219" s="1202">
        <v>231.11528570932779</v>
      </c>
      <c r="G219" s="1201">
        <v>7.4749999999999996</v>
      </c>
      <c r="H219" s="612">
        <v>52427</v>
      </c>
      <c r="I219" s="1196"/>
      <c r="J219" s="1302">
        <v>302116</v>
      </c>
      <c r="K219" s="1205">
        <f t="shared" si="6"/>
        <v>0.17353268281057607</v>
      </c>
      <c r="L219" s="1200">
        <v>90.141748876408428</v>
      </c>
      <c r="M219" s="1203">
        <v>5.2325914803329532</v>
      </c>
    </row>
    <row r="220" spans="1:13">
      <c r="A220" s="49">
        <f t="shared" si="5"/>
        <v>2011.07</v>
      </c>
      <c r="B220" s="611">
        <v>144839</v>
      </c>
      <c r="C220" s="1611"/>
      <c r="D220" s="1302">
        <v>883661</v>
      </c>
      <c r="E220" s="1361">
        <f t="shared" si="7"/>
        <v>0.16390787870008974</v>
      </c>
      <c r="F220" s="1202">
        <v>231.2152612557183</v>
      </c>
      <c r="G220" s="1201">
        <v>7.6829999999999998</v>
      </c>
      <c r="H220" s="612">
        <v>59513</v>
      </c>
      <c r="I220" s="1196"/>
      <c r="J220" s="1302">
        <v>300557</v>
      </c>
      <c r="K220" s="1205">
        <f t="shared" si="6"/>
        <v>0.19800902990115019</v>
      </c>
      <c r="L220" s="1200">
        <v>89.194181405370998</v>
      </c>
      <c r="M220" s="1203">
        <v>5.2481526186188852</v>
      </c>
    </row>
    <row r="221" spans="1:13">
      <c r="A221" s="49">
        <f t="shared" si="5"/>
        <v>2011.08</v>
      </c>
      <c r="B221" s="611">
        <v>162990</v>
      </c>
      <c r="C221" s="1611"/>
      <c r="D221" s="1302">
        <v>954705</v>
      </c>
      <c r="E221" s="1361">
        <f t="shared" si="7"/>
        <v>0.17072289345923611</v>
      </c>
      <c r="F221" s="1202">
        <v>230.95518841351617</v>
      </c>
      <c r="G221" s="1201">
        <v>8.0519999999999996</v>
      </c>
      <c r="H221" s="612">
        <v>51759</v>
      </c>
      <c r="I221" s="1196"/>
      <c r="J221" s="1302">
        <v>310593</v>
      </c>
      <c r="K221" s="1205">
        <f t="shared" si="6"/>
        <v>0.16664573895741372</v>
      </c>
      <c r="L221" s="1200">
        <v>87.887411888695752</v>
      </c>
      <c r="M221" s="1203">
        <v>5.1696314778932528</v>
      </c>
    </row>
    <row r="222" spans="1:13">
      <c r="A222" s="49">
        <f t="shared" si="5"/>
        <v>2011.09</v>
      </c>
      <c r="B222" s="611">
        <v>172415.26</v>
      </c>
      <c r="C222" s="1611"/>
      <c r="D222" s="1302">
        <v>947364</v>
      </c>
      <c r="E222" s="1361">
        <f t="shared" si="7"/>
        <v>0.18199473486431827</v>
      </c>
      <c r="F222" s="1202">
        <v>229.94382175808556</v>
      </c>
      <c r="G222" s="1201">
        <v>8.1660000000000004</v>
      </c>
      <c r="H222" s="612">
        <v>47743</v>
      </c>
      <c r="I222" s="1196"/>
      <c r="J222" s="1302">
        <v>285618</v>
      </c>
      <c r="K222" s="1205">
        <f t="shared" si="6"/>
        <v>0.16715683185233424</v>
      </c>
      <c r="L222" s="1200">
        <v>87.709763261971517</v>
      </c>
      <c r="M222" s="1203">
        <v>5.6274369372387518</v>
      </c>
    </row>
    <row r="223" spans="1:13">
      <c r="A223" s="49">
        <f t="shared" si="5"/>
        <v>2011.1</v>
      </c>
      <c r="B223" s="611">
        <v>159094.24</v>
      </c>
      <c r="C223" s="1611"/>
      <c r="D223" s="1302">
        <v>919001</v>
      </c>
      <c r="E223" s="1361">
        <f t="shared" si="7"/>
        <v>0.17311650368171524</v>
      </c>
      <c r="F223" s="1202">
        <v>225.65429244710677</v>
      </c>
      <c r="G223" s="1201">
        <v>8.3650000000000002</v>
      </c>
      <c r="H223" s="612">
        <v>50515</v>
      </c>
      <c r="I223" s="1196"/>
      <c r="J223" s="1302">
        <v>288392</v>
      </c>
      <c r="K223" s="1205">
        <f t="shared" si="6"/>
        <v>0.17516089211906016</v>
      </c>
      <c r="L223" s="1200">
        <v>86.930686240756799</v>
      </c>
      <c r="M223" s="1203">
        <v>6.0933228863487381</v>
      </c>
    </row>
    <row r="224" spans="1:13">
      <c r="A224" s="49">
        <f t="shared" si="5"/>
        <v>2011.11</v>
      </c>
      <c r="B224" s="611">
        <v>155029</v>
      </c>
      <c r="C224" s="1611"/>
      <c r="D224" s="1302">
        <v>912403</v>
      </c>
      <c r="E224" s="1361">
        <f t="shared" si="7"/>
        <v>0.16991285648995016</v>
      </c>
      <c r="F224" s="1202">
        <v>224.44923879360337</v>
      </c>
      <c r="G224" s="1201">
        <v>8.2129999999999992</v>
      </c>
      <c r="H224" s="612">
        <v>57643</v>
      </c>
      <c r="I224" s="1196"/>
      <c r="J224" s="1302">
        <v>288055</v>
      </c>
      <c r="K224" s="1205">
        <f t="shared" si="6"/>
        <v>0.2001110898960268</v>
      </c>
      <c r="L224" s="1200">
        <v>85.565362206363929</v>
      </c>
      <c r="M224" s="1203">
        <v>6.1299450836640235</v>
      </c>
    </row>
    <row r="225" spans="1:14">
      <c r="A225" s="49">
        <f t="shared" si="5"/>
        <v>2011.12</v>
      </c>
      <c r="B225" s="611">
        <v>150392.82</v>
      </c>
      <c r="C225" s="1611"/>
      <c r="D225" s="1302">
        <v>963261</v>
      </c>
      <c r="E225" s="1361">
        <f t="shared" si="7"/>
        <v>0.15612883735560767</v>
      </c>
      <c r="F225" s="1202">
        <v>222.90056134886171</v>
      </c>
      <c r="G225" s="1201">
        <v>7.9850000000000003</v>
      </c>
      <c r="H225" s="612">
        <v>61078</v>
      </c>
      <c r="I225" s="1196"/>
      <c r="J225" s="1302">
        <v>336060</v>
      </c>
      <c r="K225" s="1205">
        <f t="shared" si="6"/>
        <v>0.1817473070285068</v>
      </c>
      <c r="L225" s="1200">
        <v>80.954607140026951</v>
      </c>
      <c r="M225" s="1203">
        <v>6.1003595614028789</v>
      </c>
    </row>
    <row r="226" spans="1:14">
      <c r="A226" s="49">
        <f t="shared" si="5"/>
        <v>2012.01</v>
      </c>
      <c r="B226" s="611">
        <v>135783.72</v>
      </c>
      <c r="C226" s="1611"/>
      <c r="D226" s="1302">
        <v>955814</v>
      </c>
      <c r="E226" s="1361">
        <f t="shared" si="7"/>
        <v>0.14206081936443701</v>
      </c>
      <c r="F226" s="1202">
        <v>224.48844686078729</v>
      </c>
      <c r="G226" s="1201">
        <v>7.5140000000000002</v>
      </c>
      <c r="H226" s="612">
        <v>43402</v>
      </c>
      <c r="I226" s="1196"/>
      <c r="J226" s="1302">
        <v>275185</v>
      </c>
      <c r="K226" s="1205">
        <f t="shared" si="6"/>
        <v>0.1577193524356342</v>
      </c>
      <c r="L226" s="1200">
        <v>85.192384076780115</v>
      </c>
      <c r="M226" s="1203">
        <v>6.234271221165022</v>
      </c>
    </row>
    <row r="227" spans="1:14">
      <c r="A227" s="49">
        <f t="shared" si="5"/>
        <v>2012.02</v>
      </c>
      <c r="B227" s="611">
        <v>117550</v>
      </c>
      <c r="C227" s="1611"/>
      <c r="D227" s="1302">
        <v>894784</v>
      </c>
      <c r="E227" s="1361">
        <f t="shared" si="7"/>
        <v>0.13137248766182677</v>
      </c>
      <c r="F227" s="1202">
        <v>224.33071305185661</v>
      </c>
      <c r="G227" s="1201">
        <v>8.3350000000000009</v>
      </c>
      <c r="H227" s="612">
        <v>47509</v>
      </c>
      <c r="I227" s="1196"/>
      <c r="J227" s="1302">
        <v>265643</v>
      </c>
      <c r="K227" s="1205">
        <f t="shared" si="6"/>
        <v>0.17884529236607025</v>
      </c>
      <c r="L227" s="1200">
        <v>85.911187276111761</v>
      </c>
      <c r="M227" s="1203">
        <v>6.4603092130925415</v>
      </c>
    </row>
    <row r="228" spans="1:14">
      <c r="A228" s="49">
        <f t="shared" si="5"/>
        <v>2012.03</v>
      </c>
      <c r="B228" s="785">
        <v>169936.00901412926</v>
      </c>
      <c r="C228" s="1611"/>
      <c r="D228" s="1302">
        <v>959587</v>
      </c>
      <c r="E228" s="1361">
        <f t="shared" si="7"/>
        <v>0.17709286288177023</v>
      </c>
      <c r="F228" s="1202">
        <v>228.17730343397201</v>
      </c>
      <c r="G228" s="1201">
        <v>8.9760000000000009</v>
      </c>
      <c r="H228" s="612">
        <v>64535</v>
      </c>
      <c r="I228" s="1196"/>
      <c r="J228" s="1302">
        <v>332042</v>
      </c>
      <c r="K228" s="1205">
        <f t="shared" si="6"/>
        <v>0.19435794266990319</v>
      </c>
      <c r="L228" s="1200">
        <v>87.189667821620048</v>
      </c>
      <c r="M228" s="1203">
        <v>6.5216506679175676</v>
      </c>
    </row>
    <row r="229" spans="1:14">
      <c r="A229" s="49">
        <f t="shared" si="5"/>
        <v>2012.04</v>
      </c>
      <c r="B229" s="1605">
        <v>156496.02637919292</v>
      </c>
      <c r="C229" s="1611"/>
      <c r="D229" s="1302">
        <v>854388</v>
      </c>
      <c r="E229" s="1361">
        <f t="shared" si="7"/>
        <v>0.18316739745782118</v>
      </c>
      <c r="F229" s="1202">
        <v>227.34252314219816</v>
      </c>
      <c r="G229" s="1201">
        <v>8.4410000000000007</v>
      </c>
      <c r="H229" s="612">
        <v>55782</v>
      </c>
      <c r="I229" s="1196"/>
      <c r="J229" s="1302">
        <v>303752</v>
      </c>
      <c r="K229" s="1205">
        <f t="shared" si="6"/>
        <v>0.18364323527087886</v>
      </c>
      <c r="L229" s="1200">
        <v>88.809423999075619</v>
      </c>
      <c r="M229" s="1203">
        <v>6.5638271843161471</v>
      </c>
    </row>
    <row r="230" spans="1:14">
      <c r="A230" s="49">
        <f t="shared" si="5"/>
        <v>2012.05</v>
      </c>
      <c r="B230" s="1605">
        <v>177094.80444221525</v>
      </c>
      <c r="C230" s="1611"/>
      <c r="D230" s="1302">
        <v>973060</v>
      </c>
      <c r="E230" s="1361">
        <f t="shared" si="7"/>
        <v>0.18199782587118496</v>
      </c>
      <c r="F230" s="1202">
        <v>227.95241548304568</v>
      </c>
      <c r="G230" s="1201">
        <v>8.5069999999999997</v>
      </c>
      <c r="H230" s="612">
        <v>65648</v>
      </c>
      <c r="I230" s="1196"/>
      <c r="J230" s="1302">
        <v>339669</v>
      </c>
      <c r="K230" s="1205">
        <f t="shared" si="6"/>
        <v>0.19327050746461996</v>
      </c>
      <c r="L230" s="1200">
        <v>88.972774329723336</v>
      </c>
      <c r="M230" s="1203">
        <v>6.4718445130100726</v>
      </c>
    </row>
    <row r="231" spans="1:14">
      <c r="A231" s="49">
        <f t="shared" si="5"/>
        <v>2012.06</v>
      </c>
      <c r="B231" s="1605">
        <v>162390.57697060134</v>
      </c>
      <c r="C231" s="1611"/>
      <c r="D231" s="1302">
        <v>879179</v>
      </c>
      <c r="E231" s="1361">
        <f t="shared" si="7"/>
        <v>0.18470706985790303</v>
      </c>
      <c r="F231" s="1202">
        <v>226.2262686324847</v>
      </c>
      <c r="G231" s="1201">
        <v>8.173</v>
      </c>
      <c r="H231" s="612">
        <v>59213</v>
      </c>
      <c r="I231" s="1196"/>
      <c r="J231" s="1302">
        <v>318305</v>
      </c>
      <c r="K231" s="1205">
        <f t="shared" si="6"/>
        <v>0.18602598137006959</v>
      </c>
      <c r="L231" s="1200">
        <v>88.813292753810373</v>
      </c>
      <c r="M231" s="1203">
        <v>6.7603041161456598</v>
      </c>
    </row>
    <row r="232" spans="1:14">
      <c r="A232" s="49">
        <f t="shared" si="5"/>
        <v>2012.07</v>
      </c>
      <c r="B232" s="1605">
        <v>169704.26596152823</v>
      </c>
      <c r="C232" s="1611"/>
      <c r="D232" s="1302">
        <v>986917</v>
      </c>
      <c r="E232" s="1361">
        <f t="shared" si="7"/>
        <v>0.17195393935004488</v>
      </c>
      <c r="F232" s="1202">
        <v>227.34283731735829</v>
      </c>
      <c r="G232" s="1201">
        <v>7.5149999999999997</v>
      </c>
      <c r="H232" s="612">
        <v>53040</v>
      </c>
      <c r="I232" s="1196"/>
      <c r="J232" s="1302">
        <v>335156</v>
      </c>
      <c r="K232" s="1205">
        <f t="shared" si="6"/>
        <v>0.1582546634999821</v>
      </c>
      <c r="L232" s="1200">
        <v>88.533740133710296</v>
      </c>
      <c r="M232" s="1203">
        <v>6.8912749451467974</v>
      </c>
    </row>
    <row r="233" spans="1:14">
      <c r="A233" s="49">
        <f t="shared" si="5"/>
        <v>2012.08</v>
      </c>
      <c r="B233" s="1605">
        <v>168194.24904033184</v>
      </c>
      <c r="C233" s="1611"/>
      <c r="D233" s="1302">
        <v>959129</v>
      </c>
      <c r="E233" s="1361">
        <f t="shared" si="7"/>
        <v>0.17536144672961806</v>
      </c>
      <c r="F233" s="1202">
        <v>225.34597537705415</v>
      </c>
      <c r="G233" s="1201">
        <v>7.8520000000000003</v>
      </c>
      <c r="H233" s="612">
        <v>52676</v>
      </c>
      <c r="I233" s="1196"/>
      <c r="J233" s="1302">
        <v>308693</v>
      </c>
      <c r="K233" s="1205">
        <f t="shared" si="6"/>
        <v>0.17064202945968973</v>
      </c>
      <c r="L233" s="1200">
        <v>86.905940847376669</v>
      </c>
      <c r="M233" s="1203">
        <v>7.1535408389220949</v>
      </c>
    </row>
    <row r="234" spans="1:14">
      <c r="A234" s="49">
        <f t="shared" si="5"/>
        <v>2012.09</v>
      </c>
      <c r="B234" s="1605">
        <v>165567.90188021504</v>
      </c>
      <c r="C234" s="1611"/>
      <c r="D234" s="1302">
        <v>943421</v>
      </c>
      <c r="E234" s="1361">
        <f t="shared" si="7"/>
        <v>0.17549736743215918</v>
      </c>
      <c r="F234" s="1202">
        <v>224.05981113682688</v>
      </c>
      <c r="G234" s="1201">
        <v>7.8330000000000002</v>
      </c>
      <c r="H234" s="612">
        <v>55167</v>
      </c>
      <c r="I234" s="1196"/>
      <c r="J234" s="1302">
        <v>304750</v>
      </c>
      <c r="K234" s="1205">
        <f t="shared" si="6"/>
        <v>0.18102378999179655</v>
      </c>
      <c r="L234" s="1200">
        <v>87.513978036686638</v>
      </c>
      <c r="M234" s="1203">
        <v>7.2366976488661106</v>
      </c>
    </row>
    <row r="235" spans="1:14">
      <c r="A235" s="49">
        <f t="shared" si="5"/>
        <v>2012.1</v>
      </c>
      <c r="B235" s="1605">
        <v>179122.86361705165</v>
      </c>
      <c r="C235" s="1611"/>
      <c r="D235" s="1302">
        <v>1038946</v>
      </c>
      <c r="E235" s="1361">
        <f t="shared" si="7"/>
        <v>0.17240825184085762</v>
      </c>
      <c r="F235" s="1202">
        <v>222.73645396007367</v>
      </c>
      <c r="G235" s="1201">
        <v>7.9480000000000004</v>
      </c>
      <c r="H235" s="612">
        <v>50835</v>
      </c>
      <c r="I235" s="1196"/>
      <c r="J235" s="1302">
        <v>352152</v>
      </c>
      <c r="K235" s="1205">
        <f t="shared" si="6"/>
        <v>0.144355278402508</v>
      </c>
      <c r="L235" s="1200">
        <v>87.245910563609058</v>
      </c>
      <c r="M235" s="1203">
        <v>7.3252240028392803</v>
      </c>
    </row>
    <row r="236" spans="1:14">
      <c r="A236" s="49">
        <f t="shared" si="5"/>
        <v>2012.11</v>
      </c>
      <c r="B236" s="1605">
        <v>163194.1205620089</v>
      </c>
      <c r="C236" s="1611"/>
      <c r="D236" s="1302">
        <v>995958</v>
      </c>
      <c r="E236" s="1361">
        <f t="shared" si="7"/>
        <v>0.16385642824497509</v>
      </c>
      <c r="F236" s="1202">
        <v>223.64966568292002</v>
      </c>
      <c r="G236" s="1201">
        <v>7.6040000000000001</v>
      </c>
      <c r="H236" s="1208">
        <f>AVERAGE(K224,K248)*J236</f>
        <v>73860.694241470235</v>
      </c>
      <c r="I236" s="1196"/>
      <c r="J236" s="1302">
        <v>342330</v>
      </c>
      <c r="K236" s="1199">
        <f t="shared" si="6"/>
        <v>0.21575875395516092</v>
      </c>
      <c r="L236" s="1200">
        <v>85.736401136448322</v>
      </c>
      <c r="M236" s="1203">
        <v>7.4914102667803633</v>
      </c>
    </row>
    <row r="237" spans="1:14">
      <c r="A237" s="49">
        <f t="shared" si="5"/>
        <v>2012.12</v>
      </c>
      <c r="B237" s="1605">
        <v>153686.20041596718</v>
      </c>
      <c r="C237" s="1611"/>
      <c r="D237" s="1302">
        <v>987609</v>
      </c>
      <c r="E237" s="1361">
        <f t="shared" si="7"/>
        <v>0.15561441867780385</v>
      </c>
      <c r="F237" s="1202">
        <v>222.21992691313437</v>
      </c>
      <c r="G237" s="1201">
        <v>7.8620000000000001</v>
      </c>
      <c r="H237" s="1208">
        <f>AVERAGE(K225,K249)*J237</f>
        <v>68165.787420910303</v>
      </c>
      <c r="I237" s="1196"/>
      <c r="J237" s="1302">
        <v>341081</v>
      </c>
      <c r="K237" s="1199">
        <f t="shared" si="6"/>
        <v>0.19985219763314374</v>
      </c>
      <c r="L237" s="1200">
        <v>81.863965800958709</v>
      </c>
      <c r="M237" s="1203">
        <v>7.3129994545950376</v>
      </c>
    </row>
    <row r="238" spans="1:14">
      <c r="A238" s="49">
        <f t="shared" si="5"/>
        <v>2013.01</v>
      </c>
      <c r="B238" s="1605">
        <v>169179.650065833</v>
      </c>
      <c r="C238" s="1611"/>
      <c r="D238" s="1302">
        <v>1060153</v>
      </c>
      <c r="E238" s="1361">
        <f t="shared" si="7"/>
        <v>0.15958040968221851</v>
      </c>
      <c r="F238" s="1202">
        <v>226.58999541576034</v>
      </c>
      <c r="G238" s="1201">
        <v>8.2650000000000006</v>
      </c>
      <c r="H238" s="1180">
        <v>76013</v>
      </c>
      <c r="I238" s="786">
        <v>326753</v>
      </c>
      <c r="J238" s="1302">
        <v>365158</v>
      </c>
      <c r="K238" s="1206">
        <f>H238/I238</f>
        <v>0.23263137599348743</v>
      </c>
      <c r="L238" s="1200">
        <v>85.878922110251722</v>
      </c>
      <c r="M238" s="1203">
        <v>7.592913737939309</v>
      </c>
      <c r="N238" s="431"/>
    </row>
    <row r="239" spans="1:14">
      <c r="A239" s="49">
        <f t="shared" si="5"/>
        <v>2013.02</v>
      </c>
      <c r="B239" s="1605">
        <v>148185.14471935661</v>
      </c>
      <c r="C239" s="1611"/>
      <c r="D239" s="1302">
        <v>969251</v>
      </c>
      <c r="E239" s="1361">
        <f t="shared" si="7"/>
        <v>0.15288624383091337</v>
      </c>
      <c r="F239" s="1202">
        <v>225.34486938883737</v>
      </c>
      <c r="G239" s="1201">
        <v>9.0739999999999998</v>
      </c>
      <c r="H239" s="1181">
        <v>68589</v>
      </c>
      <c r="I239" s="1181">
        <v>305300</v>
      </c>
      <c r="J239" s="1302">
        <v>336332</v>
      </c>
      <c r="K239" s="1207">
        <f t="shared" ref="K239:K302" si="8">H239/I239</f>
        <v>0.22466098919095973</v>
      </c>
      <c r="L239" s="1200">
        <v>86.592568789350992</v>
      </c>
      <c r="M239" s="1203">
        <v>7.5379687028783966</v>
      </c>
      <c r="N239" s="431"/>
    </row>
    <row r="240" spans="1:14">
      <c r="A240" s="49">
        <f t="shared" si="5"/>
        <v>2013.03</v>
      </c>
      <c r="B240" s="1605">
        <v>170749.32574898427</v>
      </c>
      <c r="C240" s="1611"/>
      <c r="D240" s="1302">
        <v>970462</v>
      </c>
      <c r="E240" s="1361">
        <f t="shared" si="7"/>
        <v>0.17594643144088512</v>
      </c>
      <c r="F240" s="1202">
        <v>228.16362326770474</v>
      </c>
      <c r="G240" s="1201">
        <v>8.6649999999999991</v>
      </c>
      <c r="H240" s="1181">
        <v>75465</v>
      </c>
      <c r="I240" s="1181">
        <v>338844</v>
      </c>
      <c r="J240" s="1302">
        <v>374171</v>
      </c>
      <c r="K240" s="1207">
        <f t="shared" si="8"/>
        <v>0.22271310691645713</v>
      </c>
      <c r="L240" s="1200">
        <v>88.316910549522618</v>
      </c>
      <c r="M240" s="1203">
        <v>7.3998636310923223</v>
      </c>
      <c r="N240" s="431"/>
    </row>
    <row r="241" spans="1:14">
      <c r="A241" s="49">
        <f t="shared" si="5"/>
        <v>2013.04</v>
      </c>
      <c r="B241" s="1605">
        <v>181697.58759200905</v>
      </c>
      <c r="C241" s="1611"/>
      <c r="D241" s="1302">
        <v>1045238</v>
      </c>
      <c r="E241" s="1361">
        <f t="shared" si="7"/>
        <v>0.17383369872891058</v>
      </c>
      <c r="F241" s="1202">
        <v>225.33542057925621</v>
      </c>
      <c r="G241" s="1201">
        <v>8.4350000000000005</v>
      </c>
      <c r="H241" s="1181">
        <v>77954</v>
      </c>
      <c r="I241" s="1181">
        <v>362675</v>
      </c>
      <c r="J241" s="1302">
        <v>395605</v>
      </c>
      <c r="K241" s="1207">
        <f t="shared" si="8"/>
        <v>0.21494175225753084</v>
      </c>
      <c r="L241" s="1200">
        <v>91.031395396007639</v>
      </c>
      <c r="M241" s="1203">
        <v>7.4722302798026101</v>
      </c>
      <c r="N241" s="431"/>
    </row>
    <row r="242" spans="1:14">
      <c r="A242" s="49">
        <f t="shared" si="5"/>
        <v>2013.05</v>
      </c>
      <c r="B242" s="1605">
        <v>188820.72065323498</v>
      </c>
      <c r="C242" s="1611"/>
      <c r="D242" s="1302">
        <v>1058122</v>
      </c>
      <c r="E242" s="1361">
        <f t="shared" si="7"/>
        <v>0.17844891293559248</v>
      </c>
      <c r="F242" s="1202">
        <v>226.61728762589533</v>
      </c>
      <c r="G242" s="1201">
        <v>8.2420000000000009</v>
      </c>
      <c r="H242" s="1181">
        <v>82088</v>
      </c>
      <c r="I242" s="1181">
        <v>372993</v>
      </c>
      <c r="J242" s="1302">
        <v>411975</v>
      </c>
      <c r="K242" s="1207">
        <f t="shared" si="8"/>
        <v>0.22007919719673025</v>
      </c>
      <c r="L242" s="1200">
        <v>91.682793716575489</v>
      </c>
      <c r="M242" s="1203">
        <v>7.4211209139187897</v>
      </c>
      <c r="N242" s="431"/>
    </row>
    <row r="243" spans="1:14">
      <c r="A243" s="49">
        <f t="shared" si="5"/>
        <v>2013.06</v>
      </c>
      <c r="B243" s="1605">
        <v>173709.71329844272</v>
      </c>
      <c r="C243" s="1611"/>
      <c r="D243" s="1302">
        <v>989779</v>
      </c>
      <c r="E243" s="1361">
        <f t="shared" si="7"/>
        <v>0.17550353492895152</v>
      </c>
      <c r="F243" s="1202">
        <v>225.51076706089646</v>
      </c>
      <c r="G243" s="1201">
        <v>8.234</v>
      </c>
      <c r="H243" s="1181">
        <v>69090</v>
      </c>
      <c r="I243" s="1181">
        <v>331901</v>
      </c>
      <c r="J243" s="1302">
        <v>371801</v>
      </c>
      <c r="K243" s="1207">
        <f t="shared" si="8"/>
        <v>0.20816448278251648</v>
      </c>
      <c r="L243" s="1200">
        <v>91.055263684061742</v>
      </c>
      <c r="M243" s="1203">
        <v>7.3327906190814813</v>
      </c>
      <c r="N243" s="431"/>
    </row>
    <row r="244" spans="1:14">
      <c r="A244" s="49">
        <f t="shared" si="5"/>
        <v>2013.07</v>
      </c>
      <c r="B244" s="1605">
        <v>195150.15675784441</v>
      </c>
      <c r="C244" s="1611"/>
      <c r="D244" s="1302">
        <v>1133757</v>
      </c>
      <c r="E244" s="1361">
        <f t="shared" si="7"/>
        <v>0.17212696967502245</v>
      </c>
      <c r="F244" s="1202">
        <v>226.97650819355468</v>
      </c>
      <c r="G244" s="1201">
        <v>8.1720000000000006</v>
      </c>
      <c r="H244" s="1181">
        <v>91753</v>
      </c>
      <c r="I244" s="1181">
        <v>403533</v>
      </c>
      <c r="J244" s="1302">
        <v>421748</v>
      </c>
      <c r="K244" s="1207">
        <f t="shared" si="8"/>
        <v>0.22737421722634829</v>
      </c>
      <c r="L244" s="1200">
        <v>90.268699303558293</v>
      </c>
      <c r="M244" s="1203">
        <v>7.1868866799478859</v>
      </c>
      <c r="N244" s="431"/>
    </row>
    <row r="245" spans="1:14">
      <c r="A245" s="49">
        <f t="shared" si="5"/>
        <v>2013.08</v>
      </c>
      <c r="B245" s="1605">
        <v>184404.85240638207</v>
      </c>
      <c r="C245" s="1611"/>
      <c r="D245" s="1302">
        <v>1049659</v>
      </c>
      <c r="E245" s="1361">
        <f t="shared" si="7"/>
        <v>0.17568072336480903</v>
      </c>
      <c r="F245" s="1202">
        <v>227.22483396988926</v>
      </c>
      <c r="G245" s="1201">
        <v>8.6010000000000009</v>
      </c>
      <c r="H245" s="1181">
        <v>85725</v>
      </c>
      <c r="I245" s="1181">
        <v>372746</v>
      </c>
      <c r="J245" s="1302">
        <v>410133</v>
      </c>
      <c r="K245" s="1207">
        <f t="shared" si="8"/>
        <v>0.22998234722840755</v>
      </c>
      <c r="L245" s="1200">
        <v>89.675148965575744</v>
      </c>
      <c r="M245" s="1203">
        <v>7.2976694144359815</v>
      </c>
      <c r="N245" s="431"/>
    </row>
    <row r="246" spans="1:14">
      <c r="A246" s="49">
        <f t="shared" si="5"/>
        <v>2013.09</v>
      </c>
      <c r="B246" s="1605">
        <v>185407.55801644627</v>
      </c>
      <c r="C246" s="1611"/>
      <c r="D246" s="1302">
        <v>1071109</v>
      </c>
      <c r="E246" s="1361">
        <f t="shared" si="7"/>
        <v>0.17309868371607956</v>
      </c>
      <c r="F246" s="1202">
        <v>224.21299026243804</v>
      </c>
      <c r="G246" s="1201">
        <v>8.718</v>
      </c>
      <c r="H246" s="1181">
        <v>86313</v>
      </c>
      <c r="I246" s="1181">
        <v>367609</v>
      </c>
      <c r="J246" s="1302">
        <v>411540</v>
      </c>
      <c r="K246" s="1207">
        <f t="shared" si="8"/>
        <v>0.23479566604734922</v>
      </c>
      <c r="L246" s="1200">
        <v>87.803142511878789</v>
      </c>
      <c r="M246" s="1203">
        <v>7.4244111851147068</v>
      </c>
      <c r="N246" s="431"/>
    </row>
    <row r="247" spans="1:14">
      <c r="A247" s="49">
        <f t="shared" si="5"/>
        <v>2013.1</v>
      </c>
      <c r="B247" s="1605">
        <v>185602.34349435419</v>
      </c>
      <c r="C247" s="1611"/>
      <c r="D247" s="1302">
        <v>1161800</v>
      </c>
      <c r="E247" s="1361">
        <f t="shared" si="7"/>
        <v>0.15975412592042881</v>
      </c>
      <c r="F247" s="1202">
        <v>220.18350662764675</v>
      </c>
      <c r="G247" s="1201">
        <v>9.26</v>
      </c>
      <c r="H247" s="1181">
        <v>89202</v>
      </c>
      <c r="I247" s="1181">
        <v>378922</v>
      </c>
      <c r="J247" s="1302">
        <v>429360</v>
      </c>
      <c r="K247" s="1207">
        <f t="shared" si="8"/>
        <v>0.23540992605338301</v>
      </c>
      <c r="L247" s="1200">
        <v>86.32018504249946</v>
      </c>
      <c r="M247" s="1203">
        <v>7.6010164937623914</v>
      </c>
      <c r="N247" s="431"/>
    </row>
    <row r="248" spans="1:14">
      <c r="A248" s="49">
        <f t="shared" si="5"/>
        <v>2013.11</v>
      </c>
      <c r="B248" s="1605">
        <v>166919.32746638497</v>
      </c>
      <c r="C248" s="1611"/>
      <c r="D248" s="1302">
        <v>1030823</v>
      </c>
      <c r="E248" s="1361">
        <f t="shared" si="7"/>
        <v>0.16192821412248753</v>
      </c>
      <c r="F248" s="1202">
        <v>218.26333618865701</v>
      </c>
      <c r="G248" s="1201">
        <v>10.584</v>
      </c>
      <c r="H248" s="1181">
        <v>87803</v>
      </c>
      <c r="I248" s="1181">
        <v>379432</v>
      </c>
      <c r="J248" s="1302">
        <v>414581</v>
      </c>
      <c r="K248" s="1207">
        <f t="shared" si="8"/>
        <v>0.23140641801429504</v>
      </c>
      <c r="L248" s="1200">
        <v>85.713559225358665</v>
      </c>
      <c r="M248" s="1203">
        <v>7.8712201607542145</v>
      </c>
      <c r="N248" s="431"/>
    </row>
    <row r="249" spans="1:14">
      <c r="A249" s="49">
        <f t="shared" si="5"/>
        <v>2013.12</v>
      </c>
      <c r="B249" s="1605">
        <v>168835.26161365194</v>
      </c>
      <c r="C249" s="1611"/>
      <c r="D249" s="1302">
        <v>1085358</v>
      </c>
      <c r="E249" s="1361">
        <f t="shared" si="7"/>
        <v>0.15555720933890194</v>
      </c>
      <c r="F249" s="1202">
        <v>216.98692597281268</v>
      </c>
      <c r="G249" s="1201">
        <v>10.669</v>
      </c>
      <c r="H249" s="1181">
        <v>92807</v>
      </c>
      <c r="I249" s="1181">
        <v>425804</v>
      </c>
      <c r="J249" s="1302">
        <v>463095</v>
      </c>
      <c r="K249" s="1207">
        <f t="shared" si="8"/>
        <v>0.21795708823778076</v>
      </c>
      <c r="L249" s="1200">
        <v>82.694848386044995</v>
      </c>
      <c r="M249" s="1203">
        <v>8.5259896750015169</v>
      </c>
      <c r="N249" s="431"/>
    </row>
    <row r="250" spans="1:14">
      <c r="A250" s="49">
        <f t="shared" si="5"/>
        <v>2014.01</v>
      </c>
      <c r="B250" s="1605">
        <v>170457.56841823278</v>
      </c>
      <c r="C250" s="1611"/>
      <c r="D250" s="1302">
        <v>1052691</v>
      </c>
      <c r="E250" s="1361">
        <f t="shared" si="7"/>
        <v>0.16192554930006314</v>
      </c>
      <c r="F250" s="1202">
        <v>219.39900683636751</v>
      </c>
      <c r="G250" s="1201">
        <v>11.348000000000001</v>
      </c>
      <c r="H250" s="1181">
        <v>88223</v>
      </c>
      <c r="I250" s="1181">
        <v>373933</v>
      </c>
      <c r="J250" s="1302">
        <v>398238</v>
      </c>
      <c r="K250" s="1207">
        <f t="shared" si="8"/>
        <v>0.23593264033931213</v>
      </c>
      <c r="L250" s="1200">
        <v>84.607945698426533</v>
      </c>
      <c r="M250" s="1203">
        <v>9.0373274888222994</v>
      </c>
      <c r="N250" s="431"/>
    </row>
    <row r="251" spans="1:14">
      <c r="A251" s="49">
        <f t="shared" si="5"/>
        <v>2014.02</v>
      </c>
      <c r="B251" s="1605">
        <v>148885.98845479172</v>
      </c>
      <c r="C251" s="1611"/>
      <c r="D251" s="1302">
        <v>935531</v>
      </c>
      <c r="E251" s="1361">
        <f t="shared" si="7"/>
        <v>0.15914596999435798</v>
      </c>
      <c r="F251" s="1202">
        <v>218.26774389206309</v>
      </c>
      <c r="G251" s="1201">
        <v>13.018000000000001</v>
      </c>
      <c r="H251" s="1181">
        <v>82417</v>
      </c>
      <c r="I251" s="1181">
        <v>358488</v>
      </c>
      <c r="J251" s="1302">
        <v>367229</v>
      </c>
      <c r="K251" s="1207">
        <f t="shared" si="8"/>
        <v>0.2299016982437348</v>
      </c>
      <c r="L251" s="1200">
        <v>85.159886514351484</v>
      </c>
      <c r="M251" s="1203">
        <v>10.319241916747337</v>
      </c>
      <c r="N251" s="431"/>
    </row>
    <row r="252" spans="1:14">
      <c r="A252" s="49">
        <f t="shared" si="5"/>
        <v>2014.03</v>
      </c>
      <c r="B252" s="1605">
        <v>168851.34010431598</v>
      </c>
      <c r="C252" s="1611"/>
      <c r="D252" s="1302">
        <v>996409</v>
      </c>
      <c r="E252" s="1361">
        <f t="shared" si="7"/>
        <v>0.16945987049927888</v>
      </c>
      <c r="F252" s="1202">
        <v>219.99335019706581</v>
      </c>
      <c r="G252" s="1201">
        <v>12.7</v>
      </c>
      <c r="H252" s="1181">
        <v>90485</v>
      </c>
      <c r="I252" s="1181">
        <v>389436</v>
      </c>
      <c r="J252" s="1302">
        <v>430707</v>
      </c>
      <c r="K252" s="1207">
        <f t="shared" si="8"/>
        <v>0.23234883267083681</v>
      </c>
      <c r="L252" s="1200">
        <v>87.842090000344086</v>
      </c>
      <c r="M252" s="1203">
        <v>10.36320771026929</v>
      </c>
      <c r="N252" s="431"/>
    </row>
    <row r="253" spans="1:14">
      <c r="A253" s="49">
        <f t="shared" si="5"/>
        <v>2014.04</v>
      </c>
      <c r="B253" s="1605">
        <v>164569.00260276909</v>
      </c>
      <c r="C253" s="1611"/>
      <c r="D253" s="1302">
        <v>991565</v>
      </c>
      <c r="E253" s="1361">
        <f t="shared" si="7"/>
        <v>0.16596895070193995</v>
      </c>
      <c r="F253" s="1202">
        <v>220.46161050707246</v>
      </c>
      <c r="G253" s="1201">
        <v>12.76</v>
      </c>
      <c r="H253" s="1181">
        <v>93947</v>
      </c>
      <c r="I253" s="1181">
        <v>401547</v>
      </c>
      <c r="J253" s="1302">
        <v>400829</v>
      </c>
      <c r="K253" s="1207">
        <f t="shared" si="8"/>
        <v>0.23396264945323961</v>
      </c>
      <c r="L253" s="1200">
        <v>89.319778094785235</v>
      </c>
      <c r="M253" s="1203">
        <v>10.421899190485178</v>
      </c>
      <c r="N253" s="431"/>
    </row>
    <row r="254" spans="1:14">
      <c r="A254" s="49">
        <f t="shared" ref="A254:A317" si="9">A242+1</f>
        <v>2014.05</v>
      </c>
      <c r="B254" s="1605">
        <v>172299.07094484256</v>
      </c>
      <c r="C254" s="1611"/>
      <c r="D254" s="1302">
        <v>1000823</v>
      </c>
      <c r="E254" s="1361">
        <f t="shared" si="7"/>
        <v>0.17215738541664466</v>
      </c>
      <c r="F254" s="1202">
        <v>224.94269541720126</v>
      </c>
      <c r="G254" s="1201">
        <v>12.833</v>
      </c>
      <c r="H254" s="1181">
        <v>94442</v>
      </c>
      <c r="I254" s="1181">
        <v>422122</v>
      </c>
      <c r="J254" s="1302">
        <v>446633</v>
      </c>
      <c r="K254" s="1207">
        <f t="shared" si="8"/>
        <v>0.22373152785213754</v>
      </c>
      <c r="L254" s="1200">
        <v>90.514754052596871</v>
      </c>
      <c r="M254" s="1203">
        <v>10.685502860370026</v>
      </c>
      <c r="N254" s="431"/>
    </row>
    <row r="255" spans="1:14">
      <c r="A255" s="49">
        <f t="shared" si="9"/>
        <v>2014.06</v>
      </c>
      <c r="B255" s="1605">
        <v>177613.7855081906</v>
      </c>
      <c r="C255" s="1611"/>
      <c r="D255" s="1302">
        <v>1019093</v>
      </c>
      <c r="E255" s="1361">
        <f t="shared" si="7"/>
        <v>0.17428614023272715</v>
      </c>
      <c r="F255" s="1202">
        <v>223.06578270521319</v>
      </c>
      <c r="G255" s="1201">
        <v>12.484999999999999</v>
      </c>
      <c r="H255" s="1181">
        <v>87949</v>
      </c>
      <c r="I255" s="1181">
        <v>401237</v>
      </c>
      <c r="J255" s="1302">
        <v>432264</v>
      </c>
      <c r="K255" s="1207">
        <f t="shared" si="8"/>
        <v>0.21919464057402482</v>
      </c>
      <c r="L255" s="1200">
        <v>89.698752719427048</v>
      </c>
      <c r="M255" s="1203">
        <v>10.36320771026929</v>
      </c>
      <c r="N255" s="431"/>
    </row>
    <row r="256" spans="1:14">
      <c r="A256" s="49">
        <f t="shared" si="9"/>
        <v>2014.07</v>
      </c>
      <c r="B256" s="1605">
        <v>173205.95650119431</v>
      </c>
      <c r="C256" s="1611"/>
      <c r="D256" s="1302">
        <v>1062187</v>
      </c>
      <c r="E256" s="1361">
        <f t="shared" si="7"/>
        <v>0.16306540797542646</v>
      </c>
      <c r="F256" s="1202">
        <v>221.13920019432385</v>
      </c>
      <c r="G256" s="1201">
        <v>13.581</v>
      </c>
      <c r="H256" s="1181">
        <v>96628</v>
      </c>
      <c r="I256" s="1181">
        <v>425306</v>
      </c>
      <c r="J256" s="1302">
        <v>430783</v>
      </c>
      <c r="K256" s="1207">
        <f t="shared" si="8"/>
        <v>0.22719641857862338</v>
      </c>
      <c r="L256" s="1200">
        <v>89.445688010525004</v>
      </c>
      <c r="M256" s="1203">
        <v>10.269257227461162</v>
      </c>
      <c r="N256" s="431"/>
    </row>
    <row r="257" spans="1:14">
      <c r="A257" s="49">
        <f t="shared" si="9"/>
        <v>2014.08</v>
      </c>
      <c r="B257" s="1605">
        <v>162479.14680557328</v>
      </c>
      <c r="C257" s="1611"/>
      <c r="D257" s="1302">
        <v>958315</v>
      </c>
      <c r="E257" s="1361">
        <f t="shared" si="7"/>
        <v>0.1695467010383572</v>
      </c>
      <c r="F257" s="1202">
        <v>222.97923400600237</v>
      </c>
      <c r="G257" s="1201">
        <v>15.180999999999999</v>
      </c>
      <c r="H257" s="1181">
        <v>90853</v>
      </c>
      <c r="I257" s="1181">
        <v>400986</v>
      </c>
      <c r="J257" s="1302">
        <v>427505</v>
      </c>
      <c r="K257" s="1207">
        <f t="shared" si="8"/>
        <v>0.22657399510207338</v>
      </c>
      <c r="L257" s="1200">
        <v>89.072188636663071</v>
      </c>
      <c r="M257" s="1203">
        <v>10.774730844075558</v>
      </c>
      <c r="N257" s="431"/>
    </row>
    <row r="258" spans="1:14">
      <c r="A258" s="49">
        <f t="shared" si="9"/>
        <v>2014.09</v>
      </c>
      <c r="B258" s="1605">
        <v>173178.47284806092</v>
      </c>
      <c r="C258" s="1611"/>
      <c r="D258" s="1302">
        <v>1028455</v>
      </c>
      <c r="E258" s="1361">
        <f t="shared" si="7"/>
        <v>0.16838702018859447</v>
      </c>
      <c r="F258" s="1202">
        <v>224.88512530132471</v>
      </c>
      <c r="G258" s="1201">
        <v>15.233000000000001</v>
      </c>
      <c r="H258" s="1181">
        <v>98833</v>
      </c>
      <c r="I258" s="1181">
        <v>436650</v>
      </c>
      <c r="J258" s="1302">
        <v>443929</v>
      </c>
      <c r="K258" s="1207">
        <f t="shared" si="8"/>
        <v>0.22634375357838085</v>
      </c>
      <c r="L258" s="1200">
        <v>88.572918144712446</v>
      </c>
      <c r="M258" s="1203">
        <v>11.637967595158493</v>
      </c>
      <c r="N258" s="431"/>
    </row>
    <row r="259" spans="1:14">
      <c r="A259" s="49">
        <f t="shared" si="9"/>
        <v>2014.1</v>
      </c>
      <c r="B259" s="1605">
        <v>171429.52800000002</v>
      </c>
      <c r="C259" s="1611"/>
      <c r="D259" s="1302">
        <v>1032708</v>
      </c>
      <c r="E259" s="1618">
        <f t="shared" si="7"/>
        <v>0.16600000000000001</v>
      </c>
      <c r="F259" s="1202">
        <v>224.60321972772047</v>
      </c>
      <c r="G259" s="1201">
        <v>14.526999999999999</v>
      </c>
      <c r="H259" s="1181">
        <v>98837</v>
      </c>
      <c r="I259" s="1181">
        <v>435430</v>
      </c>
      <c r="J259" s="1302">
        <v>446474</v>
      </c>
      <c r="K259" s="1207">
        <f t="shared" si="8"/>
        <v>0.22698711618400202</v>
      </c>
      <c r="L259" s="1200">
        <v>86.972893429113554</v>
      </c>
      <c r="M259" s="1203">
        <v>12.172931145637017</v>
      </c>
      <c r="N259" s="431"/>
    </row>
    <row r="260" spans="1:14">
      <c r="A260" s="49">
        <f t="shared" si="9"/>
        <v>2014.11</v>
      </c>
      <c r="B260" s="1605">
        <v>149623.19999999998</v>
      </c>
      <c r="C260" s="1611"/>
      <c r="D260" s="1302">
        <v>997488</v>
      </c>
      <c r="E260" s="1619">
        <f t="shared" si="7"/>
        <v>0.15</v>
      </c>
      <c r="F260" s="1202">
        <v>223.51518303194914</v>
      </c>
      <c r="G260" s="1201">
        <v>14.478</v>
      </c>
      <c r="H260" s="1181">
        <v>85515</v>
      </c>
      <c r="I260" s="1181">
        <v>389925</v>
      </c>
      <c r="J260" s="1302">
        <v>421620</v>
      </c>
      <c r="K260" s="1207">
        <f t="shared" si="8"/>
        <v>0.21931140603962301</v>
      </c>
      <c r="L260" s="1200">
        <v>84.867332764208086</v>
      </c>
      <c r="M260" s="1203">
        <v>12.713914421020649</v>
      </c>
      <c r="N260" s="431"/>
    </row>
    <row r="261" spans="1:14">
      <c r="A261" s="49">
        <f t="shared" si="9"/>
        <v>2014.12</v>
      </c>
      <c r="B261" s="1605">
        <v>157959.802</v>
      </c>
      <c r="C261" s="1611"/>
      <c r="D261" s="1302">
        <v>1025713</v>
      </c>
      <c r="E261" s="1619">
        <f t="shared" si="7"/>
        <v>0.154</v>
      </c>
      <c r="F261" s="1202">
        <v>220.3140144576565</v>
      </c>
      <c r="G261" s="1201">
        <v>14.545999999999999</v>
      </c>
      <c r="H261" s="1181">
        <v>99346</v>
      </c>
      <c r="I261" s="1181">
        <v>449734</v>
      </c>
      <c r="J261" s="1302">
        <v>463939</v>
      </c>
      <c r="K261" s="1207">
        <f t="shared" si="8"/>
        <v>0.22089946501709901</v>
      </c>
      <c r="L261" s="1200">
        <v>82.04682816488733</v>
      </c>
      <c r="M261" s="1203">
        <v>12.905963465919569</v>
      </c>
      <c r="N261" s="431"/>
    </row>
    <row r="262" spans="1:14">
      <c r="A262" s="49">
        <f t="shared" si="9"/>
        <v>2015.01</v>
      </c>
      <c r="B262" s="1605">
        <v>199334.46000000002</v>
      </c>
      <c r="C262" s="1611"/>
      <c r="D262" s="1302">
        <v>1022228</v>
      </c>
      <c r="E262" s="1619">
        <f t="shared" si="7"/>
        <v>0.19500000000000001</v>
      </c>
      <c r="F262" s="1202">
        <v>224.70108851430075</v>
      </c>
      <c r="G262" s="1201">
        <v>14.504</v>
      </c>
      <c r="H262" s="1181">
        <v>95841</v>
      </c>
      <c r="I262" s="1181">
        <v>399499</v>
      </c>
      <c r="J262" s="1302">
        <v>417548</v>
      </c>
      <c r="K262" s="1207">
        <f t="shared" si="8"/>
        <v>0.2399029784805469</v>
      </c>
      <c r="L262" s="1200">
        <v>85.568540851516659</v>
      </c>
      <c r="M262" s="1203">
        <v>13.41</v>
      </c>
      <c r="N262" s="431"/>
    </row>
    <row r="263" spans="1:14">
      <c r="A263" s="49">
        <f t="shared" si="9"/>
        <v>2015.02</v>
      </c>
      <c r="B263" s="1605">
        <v>177812.28</v>
      </c>
      <c r="C263" s="1611"/>
      <c r="D263" s="1302">
        <v>945810</v>
      </c>
      <c r="E263" s="1619">
        <f t="shared" si="7"/>
        <v>0.188</v>
      </c>
      <c r="F263" s="1202">
        <v>224.21387170784828</v>
      </c>
      <c r="G263" s="1201">
        <v>15.364000000000001</v>
      </c>
      <c r="H263" s="1181">
        <v>87456</v>
      </c>
      <c r="I263" s="1181">
        <v>377165</v>
      </c>
      <c r="J263" s="1302">
        <v>394202</v>
      </c>
      <c r="K263" s="1207">
        <f t="shared" si="8"/>
        <v>0.23187729508305382</v>
      </c>
      <c r="L263" s="1200">
        <v>85.324249098077516</v>
      </c>
      <c r="M263" s="1203">
        <v>13.61</v>
      </c>
      <c r="N263" s="431"/>
    </row>
    <row r="264" spans="1:14">
      <c r="A264" s="49">
        <f t="shared" si="9"/>
        <v>2015.03</v>
      </c>
      <c r="B264" s="1605">
        <v>196860.864</v>
      </c>
      <c r="C264" s="1611"/>
      <c r="D264" s="1302">
        <v>1069896</v>
      </c>
      <c r="E264" s="1619">
        <f t="shared" si="7"/>
        <v>0.184</v>
      </c>
      <c r="F264" s="1202">
        <v>224.51040707656904</v>
      </c>
      <c r="G264" s="1201">
        <v>15.351000000000001</v>
      </c>
      <c r="H264" s="1181">
        <v>100734</v>
      </c>
      <c r="I264" s="1181">
        <v>435329</v>
      </c>
      <c r="J264" s="1302">
        <v>452131</v>
      </c>
      <c r="K264" s="1207">
        <f t="shared" si="8"/>
        <v>0.23139740288379593</v>
      </c>
      <c r="L264" s="1200">
        <v>86.931722936260172</v>
      </c>
      <c r="M264" s="1203">
        <v>13.14</v>
      </c>
      <c r="N264" s="431"/>
    </row>
    <row r="265" spans="1:14">
      <c r="A265" s="49">
        <f t="shared" si="9"/>
        <v>2015.04</v>
      </c>
      <c r="B265" s="1605">
        <v>184904.66399999999</v>
      </c>
      <c r="C265" s="1611"/>
      <c r="D265" s="1302">
        <v>1010408</v>
      </c>
      <c r="E265" s="1619">
        <f t="shared" si="7"/>
        <v>0.183</v>
      </c>
      <c r="F265" s="1202">
        <v>225.29526418562025</v>
      </c>
      <c r="G265" s="1201">
        <v>14.785</v>
      </c>
      <c r="H265" s="1181">
        <v>95588</v>
      </c>
      <c r="I265" s="1181">
        <v>434524</v>
      </c>
      <c r="J265" s="1302">
        <v>453275</v>
      </c>
      <c r="K265" s="1207">
        <f t="shared" si="8"/>
        <v>0.21998324603474145</v>
      </c>
      <c r="L265" s="1200">
        <v>89.500291483419474</v>
      </c>
      <c r="M265" s="1203">
        <v>13.16</v>
      </c>
      <c r="N265" s="431"/>
    </row>
    <row r="266" spans="1:14">
      <c r="A266" s="49">
        <f t="shared" si="9"/>
        <v>2015.05</v>
      </c>
      <c r="B266" s="1605">
        <v>186169.01499999998</v>
      </c>
      <c r="C266" s="1611"/>
      <c r="D266" s="1302">
        <v>1006319</v>
      </c>
      <c r="E266" s="1619">
        <f t="shared" si="7"/>
        <v>0.185</v>
      </c>
      <c r="F266" s="1202">
        <v>225.52166283095443</v>
      </c>
      <c r="G266" s="1201">
        <v>14.981</v>
      </c>
      <c r="H266" s="1181">
        <v>90866</v>
      </c>
      <c r="I266" s="1181">
        <v>411726</v>
      </c>
      <c r="J266" s="1302">
        <v>450733</v>
      </c>
      <c r="K266" s="1207">
        <f t="shared" si="8"/>
        <v>0.22069531678834953</v>
      </c>
      <c r="L266" s="1200">
        <v>90.449312388763033</v>
      </c>
      <c r="M266" s="1203">
        <v>12.75</v>
      </c>
      <c r="N266" s="431"/>
    </row>
    <row r="267" spans="1:14">
      <c r="A267" s="49">
        <f t="shared" si="9"/>
        <v>2015.06</v>
      </c>
      <c r="B267" s="1605">
        <v>208870.74000000002</v>
      </c>
      <c r="C267" s="1611"/>
      <c r="D267" s="1302">
        <v>1071132</v>
      </c>
      <c r="E267" s="1619">
        <f t="shared" ref="E267:E285" si="10">B267/D267</f>
        <v>0.19500000000000001</v>
      </c>
      <c r="F267" s="1202">
        <v>225.16265020310271</v>
      </c>
      <c r="G267" s="1201">
        <v>15.202999999999999</v>
      </c>
      <c r="H267" s="1181">
        <v>95432</v>
      </c>
      <c r="I267" s="1181">
        <v>442348</v>
      </c>
      <c r="J267" s="1302">
        <v>466867</v>
      </c>
      <c r="K267" s="1207">
        <f t="shared" si="8"/>
        <v>0.21573964390027761</v>
      </c>
      <c r="L267" s="1200">
        <v>90.397426578887547</v>
      </c>
      <c r="M267" s="1203">
        <v>12.28</v>
      </c>
      <c r="N267" s="431"/>
    </row>
    <row r="268" spans="1:14">
      <c r="A268" s="49">
        <f t="shared" si="9"/>
        <v>2015.07</v>
      </c>
      <c r="B268" s="1605">
        <v>185067.53999999998</v>
      </c>
      <c r="C268" s="1611"/>
      <c r="D268" s="1302">
        <v>1028153</v>
      </c>
      <c r="E268" s="1619">
        <f t="shared" si="10"/>
        <v>0.18</v>
      </c>
      <c r="F268" s="1202">
        <v>225.95133506394475</v>
      </c>
      <c r="G268" s="1201">
        <v>16.103999999999999</v>
      </c>
      <c r="H268" s="1181">
        <v>98379</v>
      </c>
      <c r="I268" s="1181">
        <v>440807</v>
      </c>
      <c r="J268" s="1302">
        <v>455433</v>
      </c>
      <c r="K268" s="1207">
        <f t="shared" si="8"/>
        <v>0.22317930522881896</v>
      </c>
      <c r="L268" s="1200">
        <v>90.663985840489275</v>
      </c>
      <c r="M268" s="1203">
        <v>11.87</v>
      </c>
      <c r="N268" s="431"/>
    </row>
    <row r="269" spans="1:14">
      <c r="A269" s="49">
        <f t="shared" si="9"/>
        <v>2015.08</v>
      </c>
      <c r="B269" s="1605">
        <v>180441.36</v>
      </c>
      <c r="C269" s="1611"/>
      <c r="D269" s="1302">
        <v>1002452</v>
      </c>
      <c r="E269" s="1619">
        <f t="shared" si="10"/>
        <v>0.18</v>
      </c>
      <c r="F269" s="1202">
        <v>223.97110886994204</v>
      </c>
      <c r="G269" s="1201">
        <v>16.989999999999998</v>
      </c>
      <c r="H269" s="1181">
        <v>86869</v>
      </c>
      <c r="I269" s="1181">
        <v>428422</v>
      </c>
      <c r="J269" s="1302">
        <v>469502</v>
      </c>
      <c r="K269" s="1207">
        <f t="shared" si="8"/>
        <v>0.20276503074071828</v>
      </c>
      <c r="L269" s="1200">
        <v>90.016178432179913</v>
      </c>
      <c r="M269" s="1203">
        <v>11.78</v>
      </c>
      <c r="N269" s="431"/>
    </row>
    <row r="270" spans="1:14">
      <c r="A270" s="49">
        <f t="shared" si="9"/>
        <v>2015.09</v>
      </c>
      <c r="B270" s="1605">
        <v>180293.25600000002</v>
      </c>
      <c r="C270" s="1611"/>
      <c r="D270" s="1302">
        <v>1066824</v>
      </c>
      <c r="E270" s="1619">
        <f t="shared" si="10"/>
        <v>0.16900000000000001</v>
      </c>
      <c r="F270" s="1202">
        <v>226.39406650575307</v>
      </c>
      <c r="G270" s="1201">
        <v>17.039000000000001</v>
      </c>
      <c r="H270" s="1181">
        <v>97339</v>
      </c>
      <c r="I270" s="1181">
        <v>452837</v>
      </c>
      <c r="J270" s="1302">
        <v>479698</v>
      </c>
      <c r="K270" s="1207">
        <f t="shared" si="8"/>
        <v>0.21495372507105207</v>
      </c>
      <c r="L270" s="1200">
        <v>89.521112319813028</v>
      </c>
      <c r="M270" s="1203">
        <v>11.89</v>
      </c>
      <c r="N270" s="431"/>
    </row>
    <row r="271" spans="1:14">
      <c r="A271" s="49">
        <f t="shared" si="9"/>
        <v>2015.1</v>
      </c>
      <c r="B271" s="1605">
        <v>173256.63219999999</v>
      </c>
      <c r="C271" s="1611"/>
      <c r="D271" s="1302">
        <v>1009066</v>
      </c>
      <c r="E271" s="1619">
        <f t="shared" si="10"/>
        <v>0.17169999999999999</v>
      </c>
      <c r="F271" s="1202">
        <v>225.65484814670199</v>
      </c>
      <c r="G271" s="1201">
        <v>17.927</v>
      </c>
      <c r="H271" s="1181">
        <v>89095</v>
      </c>
      <c r="I271" s="1181">
        <v>432710</v>
      </c>
      <c r="J271" s="1302">
        <v>488840</v>
      </c>
      <c r="K271" s="1207">
        <f t="shared" si="8"/>
        <v>0.20590002542118277</v>
      </c>
      <c r="L271" s="1200">
        <v>88.135793991099561</v>
      </c>
      <c r="M271" s="1203">
        <v>12.11</v>
      </c>
      <c r="N271" s="431"/>
    </row>
    <row r="272" spans="1:14">
      <c r="A272" s="49">
        <f t="shared" si="9"/>
        <v>2015.11</v>
      </c>
      <c r="B272" s="1605">
        <v>151526.1876</v>
      </c>
      <c r="C272" s="1611"/>
      <c r="D272" s="1302">
        <v>960242</v>
      </c>
      <c r="E272" s="1619">
        <f t="shared" si="10"/>
        <v>0.1578</v>
      </c>
      <c r="F272" s="1202">
        <v>226.49117046414293</v>
      </c>
      <c r="G272" s="1201">
        <v>19.713999999999999</v>
      </c>
      <c r="H272" s="1181">
        <v>92771</v>
      </c>
      <c r="I272" s="1181">
        <v>448955</v>
      </c>
      <c r="J272" s="1302">
        <v>490229</v>
      </c>
      <c r="K272" s="1207">
        <f t="shared" si="8"/>
        <v>0.2066376362887149</v>
      </c>
      <c r="L272" s="1200">
        <v>85.091486458414778</v>
      </c>
      <c r="M272" s="1203">
        <v>12.78</v>
      </c>
      <c r="N272" s="431"/>
    </row>
    <row r="273" spans="1:17">
      <c r="A273" s="49">
        <f t="shared" si="9"/>
        <v>2015.12</v>
      </c>
      <c r="B273" s="1605">
        <v>149527.25699999998</v>
      </c>
      <c r="C273" s="1611"/>
      <c r="D273" s="1302">
        <v>964070</v>
      </c>
      <c r="E273" s="1619">
        <f t="shared" si="10"/>
        <v>0.15509999999999999</v>
      </c>
      <c r="F273" s="1202">
        <v>223.92024326059649</v>
      </c>
      <c r="G273" s="1201">
        <v>22.555</v>
      </c>
      <c r="H273" s="1181">
        <v>96378</v>
      </c>
      <c r="I273" s="1181">
        <v>473034</v>
      </c>
      <c r="J273" s="1302">
        <v>505257</v>
      </c>
      <c r="K273" s="1207">
        <f t="shared" si="8"/>
        <v>0.20374433973033651</v>
      </c>
      <c r="L273" s="1200">
        <v>82.258730027492931</v>
      </c>
      <c r="M273" s="1203">
        <v>13.64</v>
      </c>
      <c r="N273" s="431"/>
    </row>
    <row r="274" spans="1:17">
      <c r="A274" s="49">
        <f t="shared" si="9"/>
        <v>2016.01</v>
      </c>
      <c r="B274" s="1605">
        <v>166671.11230000001</v>
      </c>
      <c r="C274" s="1611"/>
      <c r="D274" s="1302">
        <v>941113</v>
      </c>
      <c r="E274" s="1619">
        <f t="shared" si="10"/>
        <v>0.17710000000000001</v>
      </c>
      <c r="F274" s="1202">
        <v>225.66078329829332</v>
      </c>
      <c r="G274" s="1201">
        <v>21.279</v>
      </c>
      <c r="H274" s="1181">
        <v>84697</v>
      </c>
      <c r="I274" s="1181">
        <v>411809</v>
      </c>
      <c r="J274" s="1302">
        <v>455627</v>
      </c>
      <c r="K274" s="1207">
        <f t="shared" si="8"/>
        <v>0.20567059000653215</v>
      </c>
      <c r="L274" s="1200">
        <v>73.401811696849492</v>
      </c>
      <c r="M274" s="1203">
        <v>14.67</v>
      </c>
      <c r="N274" s="431"/>
    </row>
    <row r="275" spans="1:17">
      <c r="A275" s="49">
        <f t="shared" si="9"/>
        <v>2016.02</v>
      </c>
      <c r="B275" s="1605">
        <v>159328.5264</v>
      </c>
      <c r="C275" s="1611"/>
      <c r="D275" s="1302">
        <v>913581</v>
      </c>
      <c r="E275" s="1619">
        <f t="shared" si="10"/>
        <v>0.1744</v>
      </c>
      <c r="F275" s="1202">
        <v>226.48486391317772</v>
      </c>
      <c r="G275" s="1201">
        <v>22.103999999999999</v>
      </c>
      <c r="H275" s="1181">
        <v>87845</v>
      </c>
      <c r="I275" s="1181">
        <v>439781</v>
      </c>
      <c r="J275" s="1302">
        <v>443309</v>
      </c>
      <c r="K275" s="1207">
        <f t="shared" si="8"/>
        <v>0.19974714687537662</v>
      </c>
      <c r="L275" s="1200">
        <v>77.357688485859995</v>
      </c>
      <c r="M275" s="1203">
        <v>14.88</v>
      </c>
      <c r="N275" s="431"/>
    </row>
    <row r="276" spans="1:17">
      <c r="A276" s="49">
        <f t="shared" si="9"/>
        <v>2016.03</v>
      </c>
      <c r="B276" s="1605">
        <v>176606.55800000002</v>
      </c>
      <c r="C276" s="1611"/>
      <c r="D276" s="1302">
        <v>1010335</v>
      </c>
      <c r="E276" s="1619">
        <f t="shared" si="10"/>
        <v>0.17480000000000001</v>
      </c>
      <c r="F276" s="1202">
        <v>230.09032841153095</v>
      </c>
      <c r="G276" s="1201">
        <v>21.942</v>
      </c>
      <c r="H276" s="1181">
        <v>97013</v>
      </c>
      <c r="I276" s="1181">
        <v>486626</v>
      </c>
      <c r="J276" s="1302">
        <v>518794</v>
      </c>
      <c r="K276" s="1207">
        <f t="shared" si="8"/>
        <v>0.19935843954083834</v>
      </c>
      <c r="L276" s="1200">
        <v>86.949309352562352</v>
      </c>
      <c r="M276" s="1203">
        <v>14.74</v>
      </c>
      <c r="N276" s="431"/>
    </row>
    <row r="277" spans="1:17">
      <c r="A277" s="49">
        <f t="shared" si="9"/>
        <v>2016.04</v>
      </c>
      <c r="B277" s="1605">
        <v>148460.921</v>
      </c>
      <c r="C277" s="1611"/>
      <c r="D277" s="1302">
        <v>902498</v>
      </c>
      <c r="E277" s="1619">
        <f t="shared" si="10"/>
        <v>0.16450000000000001</v>
      </c>
      <c r="F277" s="1202">
        <v>225.50509617238558</v>
      </c>
      <c r="G277" s="1201">
        <v>23.507000000000001</v>
      </c>
      <c r="H277" s="1181">
        <v>89711</v>
      </c>
      <c r="I277" s="1181">
        <v>468882</v>
      </c>
      <c r="J277" s="1302">
        <v>477071</v>
      </c>
      <c r="K277" s="1207">
        <f t="shared" si="8"/>
        <v>0.19132958825461416</v>
      </c>
      <c r="L277" s="1200">
        <v>85.235397946604905</v>
      </c>
      <c r="M277" s="1203">
        <v>14.61</v>
      </c>
      <c r="N277" s="431"/>
    </row>
    <row r="278" spans="1:17">
      <c r="A278" s="49">
        <f t="shared" si="9"/>
        <v>2016.05</v>
      </c>
      <c r="B278" s="1605">
        <v>172441.4307</v>
      </c>
      <c r="C278" s="1611"/>
      <c r="D278" s="1302">
        <v>985943</v>
      </c>
      <c r="E278" s="1619">
        <f t="shared" si="10"/>
        <v>0.1749</v>
      </c>
      <c r="F278" s="1202">
        <v>225.72521697320855</v>
      </c>
      <c r="G278" s="1201">
        <v>22.344999999999999</v>
      </c>
      <c r="H278" s="1181">
        <v>98132</v>
      </c>
      <c r="I278" s="1181">
        <v>501450</v>
      </c>
      <c r="J278" s="1302">
        <v>523687</v>
      </c>
      <c r="K278" s="1207">
        <f t="shared" si="8"/>
        <v>0.19569648020739855</v>
      </c>
      <c r="L278" s="1200">
        <v>93.172610395075068</v>
      </c>
      <c r="M278" s="1203">
        <v>14.17</v>
      </c>
      <c r="N278" s="431"/>
    </row>
    <row r="279" spans="1:17">
      <c r="A279" s="49">
        <f t="shared" si="9"/>
        <v>2016.06</v>
      </c>
      <c r="B279" s="1605">
        <v>157357.7164</v>
      </c>
      <c r="C279" s="1611"/>
      <c r="D279" s="1302">
        <v>946228</v>
      </c>
      <c r="E279" s="1619">
        <f t="shared" si="10"/>
        <v>0.1663</v>
      </c>
      <c r="F279" s="1202">
        <v>225.15146429009303</v>
      </c>
      <c r="G279" s="1201">
        <v>23.63</v>
      </c>
      <c r="H279" s="1181">
        <v>86294</v>
      </c>
      <c r="I279" s="1181">
        <v>476158</v>
      </c>
      <c r="J279" s="1302">
        <v>488628</v>
      </c>
      <c r="K279" s="1207">
        <f t="shared" si="8"/>
        <v>0.18122975986962311</v>
      </c>
      <c r="L279" s="1200">
        <v>88.180072244775374</v>
      </c>
      <c r="M279" s="1203">
        <v>13.94</v>
      </c>
      <c r="N279" s="431"/>
    </row>
    <row r="280" spans="1:17">
      <c r="A280" s="49">
        <f t="shared" si="9"/>
        <v>2016.07</v>
      </c>
      <c r="B280" s="1605">
        <v>160062.39250000002</v>
      </c>
      <c r="C280" s="1611"/>
      <c r="D280" s="1302">
        <v>928975</v>
      </c>
      <c r="E280" s="1619">
        <f t="shared" si="10"/>
        <v>0.17230000000000001</v>
      </c>
      <c r="F280" s="1202">
        <v>225.66063456045336</v>
      </c>
      <c r="G280" s="1201">
        <v>24.939</v>
      </c>
      <c r="H280" s="1181">
        <v>89880</v>
      </c>
      <c r="I280" s="1181">
        <v>480262</v>
      </c>
      <c r="J280" s="1302">
        <v>503998</v>
      </c>
      <c r="K280" s="1207">
        <f t="shared" si="8"/>
        <v>0.18714784846604562</v>
      </c>
      <c r="L280" s="1200">
        <v>90.479036673655884</v>
      </c>
      <c r="M280" s="1203">
        <v>13.81</v>
      </c>
      <c r="N280" s="431"/>
    </row>
    <row r="281" spans="1:17">
      <c r="A281" s="49">
        <f t="shared" si="9"/>
        <v>2016.08</v>
      </c>
      <c r="B281" s="1605">
        <v>182785.856</v>
      </c>
      <c r="C281" s="1611"/>
      <c r="D281" s="1302">
        <v>1038556</v>
      </c>
      <c r="E281" s="1619">
        <f t="shared" si="10"/>
        <v>0.17599999999999999</v>
      </c>
      <c r="F281" s="1202">
        <v>225.66765920688587</v>
      </c>
      <c r="G281" s="1201">
        <v>25.132000000000001</v>
      </c>
      <c r="H281" s="1181">
        <v>98768</v>
      </c>
      <c r="I281" s="1181">
        <v>533794</v>
      </c>
      <c r="J281" s="1302">
        <v>531490</v>
      </c>
      <c r="K281" s="1207">
        <f t="shared" si="8"/>
        <v>0.1850301801818679</v>
      </c>
      <c r="L281" s="1200">
        <v>87.094776870434799</v>
      </c>
      <c r="M281" s="1203">
        <v>14.67</v>
      </c>
      <c r="N281" s="431"/>
    </row>
    <row r="282" spans="1:17">
      <c r="A282" s="49">
        <f t="shared" si="9"/>
        <v>2016.09</v>
      </c>
      <c r="B282" s="1605">
        <v>166975.66739999998</v>
      </c>
      <c r="C282" s="1611"/>
      <c r="D282" s="1302">
        <v>978182</v>
      </c>
      <c r="E282" s="1619">
        <f t="shared" si="10"/>
        <v>0.17069999999999996</v>
      </c>
      <c r="F282" s="1202">
        <v>227.49869553700819</v>
      </c>
      <c r="G282" s="1201">
        <v>26.024999999999999</v>
      </c>
      <c r="H282" s="1181">
        <v>89888</v>
      </c>
      <c r="I282" s="1181">
        <v>476006</v>
      </c>
      <c r="J282" s="1302">
        <v>486206</v>
      </c>
      <c r="K282" s="1207">
        <f t="shared" si="8"/>
        <v>0.18883795582408625</v>
      </c>
      <c r="L282" s="1200">
        <v>87.134562169384424</v>
      </c>
      <c r="M282" s="1203">
        <v>15.97</v>
      </c>
      <c r="N282" s="431"/>
    </row>
    <row r="283" spans="1:17">
      <c r="A283" s="49">
        <f t="shared" si="9"/>
        <v>2016.1</v>
      </c>
      <c r="B283" s="1605">
        <v>143725.23180000001</v>
      </c>
      <c r="C283" s="1611"/>
      <c r="D283" s="1302">
        <v>977058</v>
      </c>
      <c r="E283" s="1619">
        <f t="shared" si="10"/>
        <v>0.14710000000000001</v>
      </c>
      <c r="F283" s="1202">
        <v>225.62905010744043</v>
      </c>
      <c r="G283" s="1201">
        <v>24.978999999999999</v>
      </c>
      <c r="H283" s="1181">
        <v>92216</v>
      </c>
      <c r="I283" s="1181">
        <v>487568</v>
      </c>
      <c r="J283" s="1302">
        <v>519855</v>
      </c>
      <c r="K283" s="1207">
        <f t="shared" si="8"/>
        <v>0.18913464378302103</v>
      </c>
      <c r="L283" s="1200">
        <v>86.506742170819606</v>
      </c>
      <c r="M283" s="1203">
        <v>17.149999999999999</v>
      </c>
      <c r="N283" s="431"/>
    </row>
    <row r="284" spans="1:17">
      <c r="A284" s="49">
        <f t="shared" si="9"/>
        <v>2016.11</v>
      </c>
      <c r="B284" s="1605">
        <v>164683.51999999999</v>
      </c>
      <c r="C284" s="1611"/>
      <c r="D284" s="1302">
        <v>1029272</v>
      </c>
      <c r="E284" s="1619">
        <f t="shared" si="10"/>
        <v>0.16</v>
      </c>
      <c r="F284" s="1202">
        <v>227.0260529985508</v>
      </c>
      <c r="G284" s="1201">
        <v>24.283000000000001</v>
      </c>
      <c r="H284" s="1181">
        <v>95060</v>
      </c>
      <c r="I284" s="1181">
        <v>489385</v>
      </c>
      <c r="J284" s="1302">
        <v>493708</v>
      </c>
      <c r="K284" s="1207">
        <f t="shared" si="8"/>
        <v>0.19424379578450504</v>
      </c>
      <c r="L284" s="1200">
        <v>86.706273240904409</v>
      </c>
      <c r="M284" s="1203">
        <v>18.07</v>
      </c>
      <c r="N284" s="431"/>
    </row>
    <row r="285" spans="1:17">
      <c r="A285" s="49">
        <f t="shared" si="9"/>
        <v>2016.12</v>
      </c>
      <c r="B285" s="1605">
        <v>166168.69949999999</v>
      </c>
      <c r="C285" s="1611"/>
      <c r="D285" s="1302">
        <v>1068609</v>
      </c>
      <c r="E285" s="1619">
        <f t="shared" si="10"/>
        <v>0.1555</v>
      </c>
      <c r="F285" s="1202">
        <v>224.46748777132791</v>
      </c>
      <c r="G285" s="1201">
        <v>23.905999999999999</v>
      </c>
      <c r="H285" s="1181">
        <v>98815</v>
      </c>
      <c r="I285" s="1181">
        <v>537566</v>
      </c>
      <c r="J285" s="1302">
        <v>544188</v>
      </c>
      <c r="K285" s="1207">
        <f t="shared" si="8"/>
        <v>0.18381928916635354</v>
      </c>
      <c r="L285" s="1200">
        <v>83.655563651719035</v>
      </c>
      <c r="M285" s="1203">
        <v>18.52</v>
      </c>
      <c r="N285" s="431"/>
    </row>
    <row r="286" spans="1:17">
      <c r="A286" s="49">
        <f t="shared" si="9"/>
        <v>2017.01</v>
      </c>
      <c r="B286" s="1606">
        <v>171334</v>
      </c>
      <c r="C286" s="1613">
        <v>1026334</v>
      </c>
      <c r="D286" s="1302">
        <v>1042998</v>
      </c>
      <c r="E286" s="1620">
        <f>B286/C286</f>
        <v>0.16693785843594774</v>
      </c>
      <c r="F286" s="1211">
        <v>225</v>
      </c>
      <c r="G286" s="1201">
        <v>23.449000000000002</v>
      </c>
      <c r="H286" s="1181">
        <v>96586</v>
      </c>
      <c r="I286" s="1181">
        <v>475232</v>
      </c>
      <c r="J286" s="1302">
        <v>498345</v>
      </c>
      <c r="K286" s="1207">
        <f t="shared" si="8"/>
        <v>0.20323968082957378</v>
      </c>
      <c r="L286" s="1200">
        <v>85.276567460016594</v>
      </c>
      <c r="M286" s="1203">
        <v>19.12</v>
      </c>
      <c r="N286" s="431"/>
      <c r="O286" s="512"/>
      <c r="P286" s="778"/>
      <c r="Q286" s="35"/>
    </row>
    <row r="287" spans="1:17">
      <c r="A287" s="49">
        <f t="shared" si="9"/>
        <v>2017.02</v>
      </c>
      <c r="B287" s="1181">
        <v>147449.75</v>
      </c>
      <c r="C287" s="1614">
        <v>891539</v>
      </c>
      <c r="D287" s="1302">
        <v>891443</v>
      </c>
      <c r="E287" s="1617">
        <f t="shared" ref="E287:E317" si="11">B287/C287</f>
        <v>0.16538788544303726</v>
      </c>
      <c r="F287" s="1209">
        <v>224</v>
      </c>
      <c r="G287" s="1201">
        <v>25.24</v>
      </c>
      <c r="H287" s="1181">
        <v>83047</v>
      </c>
      <c r="I287" s="1181">
        <v>420655</v>
      </c>
      <c r="J287" s="1302">
        <v>441017</v>
      </c>
      <c r="K287" s="1207">
        <f t="shared" si="8"/>
        <v>0.19742306640833937</v>
      </c>
      <c r="L287" s="1200">
        <v>85.536831600317583</v>
      </c>
      <c r="M287" s="1203">
        <v>19.100000000000001</v>
      </c>
      <c r="N287" s="431"/>
      <c r="O287" s="512"/>
      <c r="P287" s="778"/>
      <c r="Q287" s="35"/>
    </row>
    <row r="288" spans="1:17">
      <c r="A288" s="49">
        <f t="shared" si="9"/>
        <v>2017.03</v>
      </c>
      <c r="B288" s="1181">
        <v>182424.5</v>
      </c>
      <c r="C288" s="1614">
        <v>1119382.75</v>
      </c>
      <c r="D288" s="1302">
        <v>1119352</v>
      </c>
      <c r="E288" s="1617">
        <f t="shared" si="11"/>
        <v>0.16296883259993064</v>
      </c>
      <c r="F288" s="1209">
        <v>225</v>
      </c>
      <c r="G288" s="1201">
        <v>26.934999999999999</v>
      </c>
      <c r="H288" s="1181">
        <v>106990</v>
      </c>
      <c r="I288" s="1181">
        <v>533804</v>
      </c>
      <c r="J288" s="1302">
        <v>533969</v>
      </c>
      <c r="K288" s="1207">
        <f t="shared" si="8"/>
        <v>0.20042937108002187</v>
      </c>
      <c r="L288" s="1200">
        <v>86.714604685184781</v>
      </c>
      <c r="M288" s="1203">
        <v>19.079999999999998</v>
      </c>
      <c r="N288" s="431"/>
      <c r="O288" s="512"/>
      <c r="P288" s="778"/>
      <c r="Q288" s="35"/>
    </row>
    <row r="289" spans="1:19">
      <c r="A289" s="49">
        <f t="shared" si="9"/>
        <v>2017.04</v>
      </c>
      <c r="B289" s="1181">
        <v>146450.5</v>
      </c>
      <c r="C289" s="1614">
        <v>914039</v>
      </c>
      <c r="D289" s="1302">
        <v>926291</v>
      </c>
      <c r="E289" s="1617">
        <f t="shared" si="11"/>
        <v>0.16022346967689563</v>
      </c>
      <c r="F289" s="1209">
        <v>225</v>
      </c>
      <c r="G289" s="1201">
        <v>26.741</v>
      </c>
      <c r="H289" s="1181">
        <v>91786</v>
      </c>
      <c r="I289" s="1181">
        <v>481817</v>
      </c>
      <c r="J289" s="1302">
        <v>498344</v>
      </c>
      <c r="K289" s="1207">
        <f t="shared" si="8"/>
        <v>0.19049971254646475</v>
      </c>
      <c r="L289" s="1200">
        <v>89.231265939694822</v>
      </c>
      <c r="M289" s="1203">
        <v>19.13</v>
      </c>
      <c r="N289" s="431"/>
      <c r="O289" s="512"/>
      <c r="P289" s="778"/>
      <c r="Q289" s="35"/>
    </row>
    <row r="290" spans="1:19">
      <c r="A290" s="49">
        <f t="shared" si="9"/>
        <v>2017.05</v>
      </c>
      <c r="B290" s="1181">
        <v>176071.75</v>
      </c>
      <c r="C290" s="1614">
        <v>1058656.25</v>
      </c>
      <c r="D290" s="1302">
        <v>1061531</v>
      </c>
      <c r="E290" s="1617">
        <f t="shared" si="11"/>
        <v>0.16631626177052278</v>
      </c>
      <c r="F290" s="1209">
        <v>226</v>
      </c>
      <c r="G290" s="1201">
        <v>25.698</v>
      </c>
      <c r="H290" s="1181">
        <v>104404</v>
      </c>
      <c r="I290" s="1181">
        <v>558663</v>
      </c>
      <c r="J290" s="1302">
        <v>577010</v>
      </c>
      <c r="K290" s="1207">
        <f t="shared" si="8"/>
        <v>0.18688189480957215</v>
      </c>
      <c r="L290" s="1200">
        <v>90.743400278880117</v>
      </c>
      <c r="M290" s="1203">
        <v>19.07</v>
      </c>
      <c r="N290" s="431"/>
      <c r="O290" s="512"/>
      <c r="P290" s="778"/>
      <c r="Q290" s="35"/>
    </row>
    <row r="291" spans="1:19">
      <c r="A291" s="49">
        <f t="shared" si="9"/>
        <v>2017.06</v>
      </c>
      <c r="B291" s="1181">
        <v>180300.25</v>
      </c>
      <c r="C291" s="1614">
        <v>1041857.5</v>
      </c>
      <c r="D291" s="1302">
        <v>1041784</v>
      </c>
      <c r="E291" s="1617">
        <f t="shared" si="11"/>
        <v>0.17305653604259699</v>
      </c>
      <c r="F291" s="1209">
        <v>227</v>
      </c>
      <c r="G291" s="1201">
        <v>25.309000000000001</v>
      </c>
      <c r="H291" s="1181">
        <v>92962</v>
      </c>
      <c r="I291" s="1181">
        <v>516125</v>
      </c>
      <c r="J291" s="1302">
        <v>531014</v>
      </c>
      <c r="K291" s="1207">
        <f t="shared" si="8"/>
        <v>0.18011528215064179</v>
      </c>
      <c r="L291" s="1200">
        <v>91.83138185198581</v>
      </c>
      <c r="M291" s="1203">
        <v>18.89</v>
      </c>
      <c r="N291" s="431"/>
      <c r="O291" s="512"/>
      <c r="P291" s="778"/>
      <c r="Q291" s="35"/>
    </row>
    <row r="292" spans="1:19">
      <c r="A292" s="49">
        <f t="shared" si="9"/>
        <v>2017.07</v>
      </c>
      <c r="B292" s="1181">
        <v>160239</v>
      </c>
      <c r="C292" s="1614">
        <v>1018381.75</v>
      </c>
      <c r="D292" s="1302">
        <v>1040487</v>
      </c>
      <c r="E292" s="1617">
        <f t="shared" si="11"/>
        <v>0.15734669243630889</v>
      </c>
      <c r="F292" s="1209">
        <v>226</v>
      </c>
      <c r="G292" s="1201">
        <v>27.253</v>
      </c>
      <c r="H292" s="1181">
        <v>98271</v>
      </c>
      <c r="I292" s="1181">
        <v>529015</v>
      </c>
      <c r="J292" s="1302">
        <v>563559</v>
      </c>
      <c r="K292" s="1207">
        <f t="shared" si="8"/>
        <v>0.18576221846261448</v>
      </c>
      <c r="L292" s="1200">
        <v>91.742569643582897</v>
      </c>
      <c r="M292" s="1203">
        <v>18.600000000000001</v>
      </c>
      <c r="N292" s="431"/>
      <c r="O292" s="512"/>
      <c r="P292" s="778"/>
      <c r="Q292" s="35"/>
    </row>
    <row r="293" spans="1:19">
      <c r="A293" s="49">
        <f t="shared" si="9"/>
        <v>2017.08</v>
      </c>
      <c r="B293" s="1181">
        <v>179060.75</v>
      </c>
      <c r="C293" s="1614">
        <v>1096585</v>
      </c>
      <c r="D293" s="1302">
        <v>1095758</v>
      </c>
      <c r="E293" s="1617">
        <f t="shared" si="11"/>
        <v>0.16328943948713506</v>
      </c>
      <c r="F293" s="1209">
        <v>226</v>
      </c>
      <c r="G293" s="1201">
        <v>28.494</v>
      </c>
      <c r="H293" s="1181">
        <v>100800</v>
      </c>
      <c r="I293" s="1181">
        <v>536804</v>
      </c>
      <c r="J293" s="1302">
        <v>557968</v>
      </c>
      <c r="K293" s="1207">
        <f t="shared" si="8"/>
        <v>0.18777803444087601</v>
      </c>
      <c r="L293" s="1200">
        <v>90.7363488589544</v>
      </c>
      <c r="M293" s="1203">
        <v>18.989999999999998</v>
      </c>
      <c r="N293" s="431"/>
      <c r="O293" s="512"/>
      <c r="P293" s="778"/>
      <c r="Q293" s="35"/>
    </row>
    <row r="294" spans="1:19">
      <c r="A294" s="49">
        <f t="shared" si="9"/>
        <v>2017.09</v>
      </c>
      <c r="B294" s="1181">
        <v>170726</v>
      </c>
      <c r="C294" s="1614">
        <v>1043453.75</v>
      </c>
      <c r="D294" s="1302">
        <v>1043077</v>
      </c>
      <c r="E294" s="1617">
        <f t="shared" si="11"/>
        <v>0.16361625994443932</v>
      </c>
      <c r="F294" s="1209">
        <v>227</v>
      </c>
      <c r="G294" s="1201">
        <v>28.998000000000001</v>
      </c>
      <c r="H294" s="1181">
        <v>97096</v>
      </c>
      <c r="I294" s="1181">
        <v>522275</v>
      </c>
      <c r="J294" s="1302">
        <v>527123</v>
      </c>
      <c r="K294" s="1207">
        <f t="shared" si="8"/>
        <v>0.185909721889809</v>
      </c>
      <c r="L294" s="1200">
        <v>91.385771748815472</v>
      </c>
      <c r="M294" s="1203">
        <v>19.37</v>
      </c>
      <c r="N294" s="431"/>
      <c r="O294" s="512"/>
      <c r="P294" s="778"/>
      <c r="Q294" s="35"/>
    </row>
    <row r="295" spans="1:19">
      <c r="A295" s="49">
        <f t="shared" si="9"/>
        <v>2017.1</v>
      </c>
      <c r="B295" s="1181">
        <v>185207.5</v>
      </c>
      <c r="C295" s="1614">
        <v>1127657.25</v>
      </c>
      <c r="D295" s="1302">
        <v>1136773</v>
      </c>
      <c r="E295" s="1617">
        <f t="shared" si="11"/>
        <v>0.16424095176082981</v>
      </c>
      <c r="F295" s="1209">
        <v>226</v>
      </c>
      <c r="G295" s="1201">
        <v>28.536000000000001</v>
      </c>
      <c r="H295" s="1181">
        <v>106365</v>
      </c>
      <c r="I295" s="1181">
        <v>566031</v>
      </c>
      <c r="J295" s="1302">
        <v>585531</v>
      </c>
      <c r="K295" s="1207">
        <f t="shared" si="8"/>
        <v>0.18791373617346047</v>
      </c>
      <c r="L295" s="1200">
        <v>88.928354651522241</v>
      </c>
      <c r="M295" s="1203">
        <v>19.82</v>
      </c>
      <c r="N295" s="431"/>
      <c r="O295" s="512"/>
      <c r="P295" s="778"/>
      <c r="Q295" s="35"/>
    </row>
    <row r="296" spans="1:19">
      <c r="A296" s="49">
        <f t="shared" si="9"/>
        <v>2017.11</v>
      </c>
      <c r="B296" s="1181">
        <v>182543.5</v>
      </c>
      <c r="C296" s="1614">
        <v>1121384</v>
      </c>
      <c r="D296" s="1302">
        <v>1119436</v>
      </c>
      <c r="E296" s="1617">
        <f t="shared" si="11"/>
        <v>0.16278411320297062</v>
      </c>
      <c r="F296" s="1209">
        <v>227</v>
      </c>
      <c r="G296" s="1201">
        <v>28.478000000000002</v>
      </c>
      <c r="H296" s="1181">
        <v>98711</v>
      </c>
      <c r="I296" s="1181">
        <v>528463</v>
      </c>
      <c r="J296" s="1302">
        <v>545439</v>
      </c>
      <c r="K296" s="1207">
        <f t="shared" si="8"/>
        <v>0.18678885749806515</v>
      </c>
      <c r="L296" s="1200">
        <v>87.568997001037445</v>
      </c>
      <c r="M296" s="1203">
        <v>20.82</v>
      </c>
      <c r="N296" s="431"/>
      <c r="O296" s="512"/>
      <c r="P296" s="778"/>
      <c r="Q296" s="35"/>
    </row>
    <row r="297" spans="1:19">
      <c r="A297" s="49">
        <f t="shared" si="9"/>
        <v>2017.12</v>
      </c>
      <c r="B297" s="1181">
        <v>174731.75</v>
      </c>
      <c r="C297" s="1614">
        <v>1093798.25</v>
      </c>
      <c r="D297" s="1302">
        <v>1078951</v>
      </c>
      <c r="E297" s="1617">
        <f t="shared" si="11"/>
        <v>0.15974769570165248</v>
      </c>
      <c r="F297" s="1209">
        <v>224</v>
      </c>
      <c r="G297" s="1201">
        <v>27.66</v>
      </c>
      <c r="H297" s="1181">
        <v>98353</v>
      </c>
      <c r="I297" s="1181">
        <v>552703</v>
      </c>
      <c r="J297" s="1302">
        <v>565897</v>
      </c>
      <c r="K297" s="1207">
        <f t="shared" si="8"/>
        <v>0.17794909743569332</v>
      </c>
      <c r="L297" s="1200">
        <v>84.858069254908202</v>
      </c>
      <c r="M297" s="1203">
        <v>21.4</v>
      </c>
      <c r="N297" s="431"/>
      <c r="O297" s="512"/>
      <c r="P297" s="778"/>
      <c r="Q297" s="35"/>
      <c r="R297" s="778"/>
      <c r="S297" s="778"/>
    </row>
    <row r="298" spans="1:19" s="693" customFormat="1">
      <c r="A298" s="49">
        <f t="shared" si="9"/>
        <v>2018.01</v>
      </c>
      <c r="B298" s="1181">
        <v>193907.5</v>
      </c>
      <c r="C298" s="1614">
        <v>1114193</v>
      </c>
      <c r="D298" s="1302">
        <v>1128162</v>
      </c>
      <c r="E298" s="1617">
        <f t="shared" si="11"/>
        <v>0.17403403180597976</v>
      </c>
      <c r="F298" s="1209">
        <v>227</v>
      </c>
      <c r="G298" s="1201">
        <v>27.821999999999999</v>
      </c>
      <c r="H298" s="1181">
        <v>104310.5</v>
      </c>
      <c r="I298" s="1181">
        <v>530116.25</v>
      </c>
      <c r="J298" s="1302">
        <v>544781</v>
      </c>
      <c r="K298" s="1207">
        <f t="shared" si="8"/>
        <v>0.19676910488972937</v>
      </c>
      <c r="L298" s="1200">
        <v>86.348761574964229</v>
      </c>
      <c r="M298" s="1203">
        <v>22.26</v>
      </c>
      <c r="N298" s="2682"/>
    </row>
    <row r="299" spans="1:19">
      <c r="A299" s="49">
        <f t="shared" si="9"/>
        <v>2018.02</v>
      </c>
      <c r="B299" s="611">
        <v>170728.25</v>
      </c>
      <c r="C299" s="1614">
        <v>1016000</v>
      </c>
      <c r="D299" s="1302">
        <v>1014535</v>
      </c>
      <c r="E299" s="1617">
        <f t="shared" si="11"/>
        <v>0.1680396161417323</v>
      </c>
      <c r="F299" s="1209">
        <v>226</v>
      </c>
      <c r="G299" s="1201">
        <v>30.102</v>
      </c>
      <c r="H299" s="1181">
        <v>92368.25</v>
      </c>
      <c r="I299" s="1181">
        <v>477361.5</v>
      </c>
      <c r="J299" s="1302">
        <v>489980</v>
      </c>
      <c r="K299" s="1207">
        <f t="shared" si="8"/>
        <v>0.19349748565814379</v>
      </c>
      <c r="L299" s="1200">
        <v>87.314287252520458</v>
      </c>
      <c r="M299" s="1203">
        <v>23.15</v>
      </c>
    </row>
    <row r="300" spans="1:19">
      <c r="A300" s="49">
        <f t="shared" si="9"/>
        <v>2018.03</v>
      </c>
      <c r="B300" s="611">
        <v>198863.25</v>
      </c>
      <c r="C300" s="1614">
        <v>1144525</v>
      </c>
      <c r="D300" s="1302">
        <v>1141290</v>
      </c>
      <c r="E300" s="1617">
        <f t="shared" si="11"/>
        <v>0.17375177475371878</v>
      </c>
      <c r="F300" s="1209">
        <v>228</v>
      </c>
      <c r="G300" s="1201">
        <v>27.757999999999999</v>
      </c>
      <c r="H300" s="1181">
        <v>105129.5</v>
      </c>
      <c r="I300" s="1181">
        <v>553671.5</v>
      </c>
      <c r="J300" s="1302">
        <v>557204</v>
      </c>
      <c r="K300" s="1207">
        <f t="shared" si="8"/>
        <v>0.18987702997174316</v>
      </c>
      <c r="L300" s="1200">
        <v>87.961870825356598</v>
      </c>
      <c r="M300" s="1203">
        <v>23.56</v>
      </c>
    </row>
    <row r="301" spans="1:19">
      <c r="A301" s="49">
        <f t="shared" si="9"/>
        <v>2018.04</v>
      </c>
      <c r="B301" s="611">
        <v>187141.5</v>
      </c>
      <c r="C301" s="1614">
        <v>1097291</v>
      </c>
      <c r="D301" s="1302">
        <v>1097604</v>
      </c>
      <c r="E301" s="1617">
        <f t="shared" si="11"/>
        <v>0.17054865117821982</v>
      </c>
      <c r="F301" s="1209">
        <v>226</v>
      </c>
      <c r="G301" s="1201">
        <v>27.7</v>
      </c>
      <c r="H301" s="1181">
        <v>100589.5</v>
      </c>
      <c r="I301" s="1181">
        <v>540160.75</v>
      </c>
      <c r="J301" s="1302">
        <v>557225</v>
      </c>
      <c r="K301" s="1207">
        <f t="shared" si="8"/>
        <v>0.1862214164949971</v>
      </c>
      <c r="L301" s="1200">
        <v>89.726636575257999</v>
      </c>
      <c r="M301" s="1203">
        <v>23.9</v>
      </c>
    </row>
    <row r="302" spans="1:19">
      <c r="A302" s="49">
        <f t="shared" si="9"/>
        <v>2018.05</v>
      </c>
      <c r="B302" s="611">
        <v>190119.25</v>
      </c>
      <c r="C302" s="1614">
        <v>1142080</v>
      </c>
      <c r="D302" s="1302">
        <v>1136316</v>
      </c>
      <c r="E302" s="1617">
        <f t="shared" si="11"/>
        <v>0.16646754167834127</v>
      </c>
      <c r="F302" s="1209">
        <v>226</v>
      </c>
      <c r="G302" s="1201">
        <v>30.074999999999999</v>
      </c>
      <c r="H302" s="1181">
        <v>105536.75</v>
      </c>
      <c r="I302" s="1181">
        <v>566722</v>
      </c>
      <c r="J302" s="1302">
        <v>576048</v>
      </c>
      <c r="K302" s="1207">
        <f t="shared" si="8"/>
        <v>0.18622313938756568</v>
      </c>
      <c r="L302" s="1200">
        <v>91.073849127447602</v>
      </c>
      <c r="M302" s="1203">
        <v>23.85</v>
      </c>
    </row>
    <row r="303" spans="1:19">
      <c r="A303" s="49">
        <f t="shared" si="9"/>
        <v>2018.06</v>
      </c>
      <c r="B303" s="611">
        <v>185534.25</v>
      </c>
      <c r="C303" s="1614">
        <v>1108730.75</v>
      </c>
      <c r="D303" s="1302">
        <v>1091509</v>
      </c>
      <c r="E303" s="1617">
        <f t="shared" si="11"/>
        <v>0.16733932020916711</v>
      </c>
      <c r="F303" s="1209">
        <v>227</v>
      </c>
      <c r="G303" s="1201">
        <v>31.128</v>
      </c>
      <c r="H303" s="1181">
        <v>102258.75</v>
      </c>
      <c r="I303" s="1181">
        <v>557286.75</v>
      </c>
      <c r="J303" s="1302">
        <v>562547</v>
      </c>
      <c r="K303" s="1207">
        <f t="shared" ref="K303:K317" si="12">H303/I303</f>
        <v>0.18349395531115714</v>
      </c>
      <c r="L303" s="1200">
        <v>90.702384576857838</v>
      </c>
      <c r="M303" s="1203">
        <v>23.97</v>
      </c>
    </row>
    <row r="304" spans="1:19">
      <c r="A304" s="49">
        <f t="shared" si="9"/>
        <v>2018.07</v>
      </c>
      <c r="B304" s="611">
        <v>195502.75</v>
      </c>
      <c r="C304" s="1614">
        <v>1128968.25</v>
      </c>
      <c r="D304" s="1302">
        <v>1111976</v>
      </c>
      <c r="E304" s="1617">
        <f t="shared" si="11"/>
        <v>0.17316939603925974</v>
      </c>
      <c r="F304" s="1209">
        <v>232</v>
      </c>
      <c r="G304" s="1201">
        <v>33.816000000000003</v>
      </c>
      <c r="H304" s="1181">
        <v>108248.5</v>
      </c>
      <c r="I304" s="1181">
        <v>583913</v>
      </c>
      <c r="J304" s="1302">
        <v>601554</v>
      </c>
      <c r="K304" s="1207">
        <f t="shared" si="12"/>
        <v>0.18538463777994324</v>
      </c>
      <c r="L304" s="1200">
        <v>90.111958263135591</v>
      </c>
      <c r="M304" s="1203">
        <v>24.75</v>
      </c>
    </row>
    <row r="305" spans="1:13">
      <c r="A305" s="49">
        <f t="shared" si="9"/>
        <v>2018.08</v>
      </c>
      <c r="B305" s="611">
        <v>204335.75</v>
      </c>
      <c r="C305" s="1614">
        <v>1187725.5</v>
      </c>
      <c r="D305" s="1302">
        <v>1172217</v>
      </c>
      <c r="E305" s="1617">
        <f t="shared" si="11"/>
        <v>0.17203954112292782</v>
      </c>
      <c r="F305" s="1209">
        <v>231</v>
      </c>
      <c r="G305" s="1201">
        <v>35.975000000000001</v>
      </c>
      <c r="H305" s="1181">
        <v>109462.25</v>
      </c>
      <c r="I305" s="1181">
        <v>582773</v>
      </c>
      <c r="J305" s="1302">
        <v>579135</v>
      </c>
      <c r="K305" s="1207">
        <f t="shared" si="12"/>
        <v>0.18782999555573096</v>
      </c>
      <c r="L305" s="1200">
        <v>89.878525822006353</v>
      </c>
      <c r="M305" s="1203">
        <v>25.59</v>
      </c>
    </row>
    <row r="306" spans="1:13">
      <c r="A306" s="49">
        <f t="shared" si="9"/>
        <v>2018.09</v>
      </c>
      <c r="B306" s="611">
        <v>174506.25</v>
      </c>
      <c r="C306" s="1614">
        <v>999918.75</v>
      </c>
      <c r="D306" s="1302">
        <v>1031908</v>
      </c>
      <c r="E306" s="1617">
        <f t="shared" si="11"/>
        <v>0.17452042978492002</v>
      </c>
      <c r="F306" s="1209">
        <v>230</v>
      </c>
      <c r="G306" s="1201">
        <v>41.823999999999998</v>
      </c>
      <c r="H306" s="1181">
        <v>95267</v>
      </c>
      <c r="I306" s="1181">
        <v>515697.75</v>
      </c>
      <c r="J306" s="1302">
        <v>546013</v>
      </c>
      <c r="K306" s="1207">
        <f t="shared" si="12"/>
        <v>0.18473417811111256</v>
      </c>
      <c r="L306" s="1200">
        <v>89.260656232302722</v>
      </c>
      <c r="M306" s="1203">
        <v>29.54</v>
      </c>
    </row>
    <row r="307" spans="1:13">
      <c r="A307" s="49">
        <f t="shared" si="9"/>
        <v>2018.1</v>
      </c>
      <c r="B307" s="611">
        <v>210640.5</v>
      </c>
      <c r="C307" s="1614">
        <v>1210714</v>
      </c>
      <c r="D307" s="1302">
        <v>1194813</v>
      </c>
      <c r="E307" s="1617">
        <f t="shared" si="11"/>
        <v>0.17398039503962126</v>
      </c>
      <c r="F307" s="1209">
        <v>230</v>
      </c>
      <c r="G307" s="1201">
        <v>40.213000000000001</v>
      </c>
      <c r="H307" s="1181">
        <v>111351.75</v>
      </c>
      <c r="I307" s="1181">
        <v>604742.75</v>
      </c>
      <c r="J307" s="1302">
        <v>601743</v>
      </c>
      <c r="K307" s="1207">
        <f t="shared" si="12"/>
        <v>0.1841307729608995</v>
      </c>
      <c r="L307" s="1200">
        <v>88.070507510287385</v>
      </c>
      <c r="M307" s="1203">
        <v>33.090000000000003</v>
      </c>
    </row>
    <row r="308" spans="1:13">
      <c r="A308" s="49">
        <f t="shared" si="9"/>
        <v>2018.11</v>
      </c>
      <c r="B308" s="611">
        <v>195486.5</v>
      </c>
      <c r="C308" s="1614">
        <v>1129769.75</v>
      </c>
      <c r="D308" s="1302">
        <v>1120645</v>
      </c>
      <c r="E308" s="1617">
        <f t="shared" si="11"/>
        <v>0.17303215987151363</v>
      </c>
      <c r="F308" s="1209">
        <v>228</v>
      </c>
      <c r="G308" s="1201">
        <v>39.835999999999999</v>
      </c>
      <c r="H308" s="1181">
        <v>100629.75</v>
      </c>
      <c r="I308" s="1181">
        <v>549528.75</v>
      </c>
      <c r="J308" s="1302">
        <v>554911</v>
      </c>
      <c r="K308" s="1207">
        <f t="shared" si="12"/>
        <v>0.18312008243426756</v>
      </c>
      <c r="L308" s="1200">
        <v>87.031167926633699</v>
      </c>
      <c r="M308" s="1203">
        <v>34.450000000000003</v>
      </c>
    </row>
    <row r="309" spans="1:13">
      <c r="A309" s="49">
        <f t="shared" si="9"/>
        <v>2018.12</v>
      </c>
      <c r="B309" s="611">
        <v>184931.25</v>
      </c>
      <c r="C309" s="1614">
        <v>1126758.75</v>
      </c>
      <c r="D309" s="1302">
        <v>1103554</v>
      </c>
      <c r="E309" s="1617">
        <f t="shared" si="11"/>
        <v>0.1641267485164859</v>
      </c>
      <c r="F309" s="1209">
        <v>224</v>
      </c>
      <c r="G309" s="1201">
        <v>40.97</v>
      </c>
      <c r="H309" s="1181">
        <v>105535.25</v>
      </c>
      <c r="I309" s="1181">
        <v>593700.5</v>
      </c>
      <c r="J309" s="1302">
        <v>607835</v>
      </c>
      <c r="K309" s="1207">
        <f t="shared" si="12"/>
        <v>0.17775839838437058</v>
      </c>
      <c r="L309" s="1200">
        <v>84.025402801591113</v>
      </c>
      <c r="M309" s="1203">
        <v>35.020000000000003</v>
      </c>
    </row>
    <row r="310" spans="1:13">
      <c r="A310" s="49">
        <f t="shared" si="9"/>
        <v>2019.01</v>
      </c>
      <c r="B310" s="611">
        <v>201452.25</v>
      </c>
      <c r="C310" s="1614">
        <v>1130796</v>
      </c>
      <c r="D310" s="1302">
        <v>1121529</v>
      </c>
      <c r="E310" s="1617">
        <f t="shared" si="11"/>
        <v>0.17815083357210318</v>
      </c>
      <c r="F310" s="1209">
        <v>226</v>
      </c>
      <c r="G310" s="1201">
        <v>46.749000000000002</v>
      </c>
      <c r="H310" s="1181">
        <v>104644.75</v>
      </c>
      <c r="I310" s="1181">
        <v>542671.25</v>
      </c>
      <c r="J310" s="1302">
        <v>564169</v>
      </c>
      <c r="K310" s="1207">
        <f t="shared" si="12"/>
        <v>0.1928326772424373</v>
      </c>
      <c r="L310" s="1200">
        <v>87.059049745354443</v>
      </c>
      <c r="M310" s="1203">
        <v>36.43</v>
      </c>
    </row>
    <row r="311" spans="1:13">
      <c r="A311" s="49">
        <f t="shared" si="9"/>
        <v>2019.02</v>
      </c>
      <c r="B311" s="611">
        <v>176901.25</v>
      </c>
      <c r="C311" s="1614">
        <v>983831</v>
      </c>
      <c r="D311" s="1302">
        <v>989556</v>
      </c>
      <c r="E311" s="1617">
        <f t="shared" si="11"/>
        <v>0.17980857484669624</v>
      </c>
      <c r="F311" s="1209">
        <v>227</v>
      </c>
      <c r="G311" s="1201">
        <v>52.845999999999997</v>
      </c>
      <c r="H311" s="1181">
        <v>97318.75</v>
      </c>
      <c r="I311" s="1181">
        <v>508235</v>
      </c>
      <c r="J311" s="1302">
        <v>515591</v>
      </c>
      <c r="K311" s="1207">
        <f t="shared" si="12"/>
        <v>0.19148376243273288</v>
      </c>
      <c r="L311" s="1200">
        <v>86.269225043310399</v>
      </c>
      <c r="M311" s="1203">
        <v>37.67</v>
      </c>
    </row>
    <row r="312" spans="1:13">
      <c r="A312" s="49">
        <f t="shared" si="9"/>
        <v>2019.03</v>
      </c>
      <c r="B312" s="611">
        <v>183975</v>
      </c>
      <c r="C312" s="1614">
        <v>1020540.25</v>
      </c>
      <c r="D312" s="1302">
        <v>1011300</v>
      </c>
      <c r="E312" s="1617">
        <f t="shared" si="11"/>
        <v>0.18027216466964432</v>
      </c>
      <c r="F312" s="1209">
        <v>226</v>
      </c>
      <c r="G312" s="1201">
        <v>51.258000000000003</v>
      </c>
      <c r="H312" s="1181">
        <v>96984.75</v>
      </c>
      <c r="I312" s="1181">
        <v>539986</v>
      </c>
      <c r="J312" s="1302">
        <v>560639</v>
      </c>
      <c r="K312" s="1207">
        <f t="shared" si="12"/>
        <v>0.17960604534191627</v>
      </c>
      <c r="L312" s="1200">
        <v>88.348515077726447</v>
      </c>
      <c r="M312" s="1203">
        <v>38.9</v>
      </c>
    </row>
    <row r="313" spans="1:13">
      <c r="A313" s="49">
        <f t="shared" si="9"/>
        <v>2019.04</v>
      </c>
      <c r="B313" s="611">
        <v>193466</v>
      </c>
      <c r="C313" s="1614">
        <v>1073913.5</v>
      </c>
      <c r="D313" s="1302">
        <v>1068208</v>
      </c>
      <c r="E313" s="1617">
        <f t="shared" si="11"/>
        <v>0.18015044973361449</v>
      </c>
      <c r="F313" s="1209">
        <v>223</v>
      </c>
      <c r="G313" s="1201">
        <v>49.613999999999997</v>
      </c>
      <c r="H313" s="1181">
        <v>106579</v>
      </c>
      <c r="I313" s="1181">
        <v>590697.5</v>
      </c>
      <c r="J313" s="1302">
        <v>573013</v>
      </c>
      <c r="K313" s="1207">
        <f t="shared" si="12"/>
        <v>0.1804290690243314</v>
      </c>
      <c r="L313" s="1200">
        <v>89.206627755831988</v>
      </c>
      <c r="M313" s="1203">
        <v>40.15</v>
      </c>
    </row>
    <row r="314" spans="1:13">
      <c r="A314" s="49">
        <f t="shared" si="9"/>
        <v>2019.05</v>
      </c>
      <c r="B314" s="611">
        <v>213467.75</v>
      </c>
      <c r="C314" s="1614">
        <v>1175076.5</v>
      </c>
      <c r="D314" s="1302">
        <v>1164803</v>
      </c>
      <c r="E314" s="1617">
        <f t="shared" si="11"/>
        <v>0.18166285343975477</v>
      </c>
      <c r="F314" s="1209">
        <v>223</v>
      </c>
      <c r="G314" s="1201">
        <v>49.381999999999998</v>
      </c>
      <c r="H314" s="1181">
        <v>107208.25</v>
      </c>
      <c r="I314" s="1181">
        <v>593846.5</v>
      </c>
      <c r="J314" s="1302">
        <v>607005</v>
      </c>
      <c r="K314" s="1207">
        <f t="shared" si="12"/>
        <v>0.18053192196973461</v>
      </c>
      <c r="L314" s="1200">
        <v>91.310070399897654</v>
      </c>
      <c r="M314" s="1203">
        <v>41.5</v>
      </c>
    </row>
    <row r="315" spans="1:13">
      <c r="A315" s="49">
        <f t="shared" si="9"/>
        <v>2019.06</v>
      </c>
      <c r="B315" s="611">
        <v>190704</v>
      </c>
      <c r="C315" s="1614">
        <v>1052837.25</v>
      </c>
      <c r="D315" s="1302">
        <v>1082124</v>
      </c>
      <c r="E315" s="1617">
        <f t="shared" si="11"/>
        <v>0.18113340879608886</v>
      </c>
      <c r="F315" s="1209">
        <v>223</v>
      </c>
      <c r="G315" s="1201">
        <v>52.021999999999998</v>
      </c>
      <c r="H315" s="1181">
        <v>93335.25</v>
      </c>
      <c r="I315" s="1181">
        <v>529273</v>
      </c>
      <c r="J315" s="1302">
        <v>558179</v>
      </c>
      <c r="K315" s="1207">
        <f t="shared" si="12"/>
        <v>0.17634613894908677</v>
      </c>
      <c r="L315" s="1200">
        <v>92.518526817932766</v>
      </c>
      <c r="M315" s="1203">
        <v>42.9</v>
      </c>
    </row>
    <row r="316" spans="1:13">
      <c r="A316" s="49">
        <f t="shared" si="9"/>
        <v>2019.07</v>
      </c>
      <c r="B316" s="611">
        <v>223058</v>
      </c>
      <c r="C316" s="1614">
        <v>1267941.25</v>
      </c>
      <c r="D316" s="1302">
        <v>1247747</v>
      </c>
      <c r="E316" s="1617">
        <f t="shared" si="11"/>
        <v>0.17592140014373694</v>
      </c>
      <c r="F316" s="1209">
        <v>226</v>
      </c>
      <c r="G316" s="1201">
        <v>53.503</v>
      </c>
      <c r="H316" s="1181">
        <v>113981</v>
      </c>
      <c r="I316" s="1181">
        <v>612095.75</v>
      </c>
      <c r="J316" s="1302">
        <v>601360</v>
      </c>
      <c r="K316" s="1207">
        <f t="shared" si="12"/>
        <v>0.18621433002924787</v>
      </c>
      <c r="L316" s="1200">
        <v>91.128908613282036</v>
      </c>
      <c r="M316" s="1203">
        <v>44.09</v>
      </c>
    </row>
    <row r="317" spans="1:13">
      <c r="A317" s="49">
        <f t="shared" si="9"/>
        <v>2019.08</v>
      </c>
      <c r="B317" s="611">
        <v>212836.5</v>
      </c>
      <c r="C317" s="1614">
        <v>1198766.75</v>
      </c>
      <c r="D317" s="1302">
        <v>1179602</v>
      </c>
      <c r="E317" s="1617">
        <f t="shared" si="11"/>
        <v>0.17754621572545284</v>
      </c>
      <c r="F317" s="1209">
        <v>227</v>
      </c>
      <c r="G317" s="1201">
        <v>60.783000000000001</v>
      </c>
      <c r="H317" s="1181">
        <v>101367.25</v>
      </c>
      <c r="I317" s="1181">
        <v>547733.25</v>
      </c>
      <c r="J317" s="1302">
        <v>546057</v>
      </c>
      <c r="K317" s="1207">
        <f t="shared" si="12"/>
        <v>0.18506681856542395</v>
      </c>
      <c r="L317" s="1200">
        <v>91.856504773787776</v>
      </c>
      <c r="M317" s="1203">
        <v>49.2</v>
      </c>
    </row>
    <row r="318" spans="1:13">
      <c r="A318" s="49">
        <f t="shared" ref="A318:A381" si="13">A306+1</f>
        <v>2019.09</v>
      </c>
      <c r="B318" s="611">
        <v>220959.5</v>
      </c>
      <c r="C318" s="1614">
        <v>1193545.5</v>
      </c>
      <c r="D318" s="1302">
        <v>1207588</v>
      </c>
      <c r="E318" s="1617">
        <f>B318/C318</f>
        <v>0.18512867754099027</v>
      </c>
      <c r="F318" s="1209">
        <v>228</v>
      </c>
      <c r="G318" s="1201">
        <v>61.283999999999999</v>
      </c>
      <c r="H318" s="1181">
        <v>99518.25</v>
      </c>
      <c r="I318" s="1181">
        <v>539870.25</v>
      </c>
      <c r="J318" s="1302">
        <v>568105</v>
      </c>
      <c r="K318" s="1207">
        <f>H318/I318</f>
        <v>0.18433734772382809</v>
      </c>
      <c r="L318" s="1302">
        <v>92</v>
      </c>
      <c r="M318" s="1203">
        <v>55.73</v>
      </c>
    </row>
    <row r="319" spans="1:13">
      <c r="A319" s="49">
        <f t="shared" si="13"/>
        <v>2019.1</v>
      </c>
      <c r="B319" s="611">
        <v>249264.5</v>
      </c>
      <c r="C319" s="1614">
        <v>1310355</v>
      </c>
      <c r="D319" s="1302">
        <v>1291890</v>
      </c>
      <c r="E319" s="1617">
        <f t="shared" ref="E319:E382" si="14">B319/C319</f>
        <v>0.19022669429276798</v>
      </c>
      <c r="F319" s="612">
        <v>226</v>
      </c>
      <c r="G319" s="1210">
        <v>65.927999999999997</v>
      </c>
      <c r="H319" s="1181">
        <v>107747</v>
      </c>
      <c r="I319" s="1181">
        <v>581612.75</v>
      </c>
      <c r="J319" s="2292">
        <v>577221</v>
      </c>
      <c r="K319" s="1207">
        <f t="shared" ref="K319:K382" si="15">H319/I319</f>
        <v>0.18525556738568746</v>
      </c>
      <c r="L319" s="612">
        <v>92</v>
      </c>
      <c r="M319" s="1203">
        <v>59.43</v>
      </c>
    </row>
    <row r="320" spans="1:13">
      <c r="A320" s="49">
        <f t="shared" si="13"/>
        <v>2019.11</v>
      </c>
      <c r="B320" s="611">
        <v>220371</v>
      </c>
      <c r="C320" s="1614">
        <v>1207186.75</v>
      </c>
      <c r="D320" s="1302">
        <v>1187590</v>
      </c>
      <c r="E320" s="1617">
        <f t="shared" si="14"/>
        <v>0.18254922032568696</v>
      </c>
      <c r="F320" s="612">
        <v>226</v>
      </c>
      <c r="G320" s="1210">
        <v>71.936000000000007</v>
      </c>
      <c r="H320" s="1181">
        <v>98741</v>
      </c>
      <c r="I320" s="1181">
        <v>536445.5</v>
      </c>
      <c r="J320" s="1302">
        <v>535114</v>
      </c>
      <c r="K320" s="1207">
        <f t="shared" si="15"/>
        <v>0.18406529647466519</v>
      </c>
      <c r="L320" s="1302">
        <v>90</v>
      </c>
      <c r="M320" s="1203">
        <v>62.21</v>
      </c>
    </row>
    <row r="321" spans="1:13">
      <c r="A321" s="49">
        <f t="shared" si="13"/>
        <v>2019.12</v>
      </c>
      <c r="B321" s="611">
        <v>221973.5</v>
      </c>
      <c r="C321" s="1614">
        <v>1271532.25</v>
      </c>
      <c r="D321" s="1302">
        <v>1249481</v>
      </c>
      <c r="E321" s="1617">
        <f t="shared" si="14"/>
        <v>0.17457166343991667</v>
      </c>
      <c r="F321" s="612">
        <v>222</v>
      </c>
      <c r="G321" s="1210">
        <v>77.463999999999999</v>
      </c>
      <c r="H321" s="1181">
        <v>109314.75</v>
      </c>
      <c r="I321" s="1181">
        <v>616844.5</v>
      </c>
      <c r="J321" s="1302">
        <v>624586</v>
      </c>
      <c r="K321" s="1207">
        <f t="shared" si="15"/>
        <v>0.17721605688305561</v>
      </c>
      <c r="L321" s="1302">
        <v>86</v>
      </c>
      <c r="M321" s="1203">
        <v>64.430000000000007</v>
      </c>
    </row>
    <row r="322" spans="1:13">
      <c r="A322" s="49">
        <f t="shared" si="13"/>
        <v>2020.01</v>
      </c>
      <c r="B322" s="611">
        <v>199820.5</v>
      </c>
      <c r="C322" s="1614">
        <v>1143845.5</v>
      </c>
      <c r="D322" s="1302">
        <v>1143239</v>
      </c>
      <c r="E322" s="1617">
        <f t="shared" si="14"/>
        <v>0.17469186179427204</v>
      </c>
      <c r="F322" s="612">
        <v>225</v>
      </c>
      <c r="G322" s="1210">
        <v>77.290000000000006</v>
      </c>
      <c r="H322" s="1181">
        <v>111216.75</v>
      </c>
      <c r="I322" s="1181">
        <v>558369</v>
      </c>
      <c r="J322" s="1302">
        <v>570159</v>
      </c>
      <c r="K322" s="1207">
        <f t="shared" si="15"/>
        <v>0.19918145527420039</v>
      </c>
      <c r="L322" s="1302">
        <v>90</v>
      </c>
      <c r="M322" s="1203">
        <v>66.72</v>
      </c>
    </row>
    <row r="323" spans="1:13">
      <c r="A323" s="49">
        <f t="shared" si="13"/>
        <v>2020.02</v>
      </c>
      <c r="B323" s="611">
        <v>167863.25</v>
      </c>
      <c r="C323" s="1614">
        <v>1013204.5</v>
      </c>
      <c r="D323" s="1302">
        <v>1012402</v>
      </c>
      <c r="E323" s="1617">
        <f t="shared" si="14"/>
        <v>0.1656755867152189</v>
      </c>
      <c r="F323" s="612">
        <v>223</v>
      </c>
      <c r="G323" s="1210">
        <v>80.188999999999993</v>
      </c>
      <c r="H323" s="1181">
        <v>96246.75</v>
      </c>
      <c r="I323" s="1181">
        <v>511122.75</v>
      </c>
      <c r="J323" s="1302">
        <v>521458</v>
      </c>
      <c r="K323" s="1207">
        <f t="shared" si="15"/>
        <v>0.18830457067309173</v>
      </c>
      <c r="L323" s="1302">
        <v>92</v>
      </c>
      <c r="M323" s="1203">
        <v>67.7</v>
      </c>
    </row>
    <row r="324" spans="1:13">
      <c r="A324" s="49">
        <f t="shared" si="13"/>
        <v>2020.03</v>
      </c>
      <c r="B324" s="611">
        <v>186691.5</v>
      </c>
      <c r="C324" s="1614">
        <v>1095439.25</v>
      </c>
      <c r="D324" s="1302">
        <v>1092247</v>
      </c>
      <c r="E324" s="1617">
        <f t="shared" si="14"/>
        <v>0.17042615553532522</v>
      </c>
      <c r="F324" s="612">
        <v>223</v>
      </c>
      <c r="G324" s="1210">
        <v>81.290000000000006</v>
      </c>
      <c r="H324" s="1181">
        <v>101598.25</v>
      </c>
      <c r="I324" s="1181">
        <v>521602.75</v>
      </c>
      <c r="J324" s="1302">
        <v>549513</v>
      </c>
      <c r="K324" s="1207">
        <f t="shared" si="15"/>
        <v>0.19478089408079233</v>
      </c>
      <c r="L324" s="1302">
        <v>97</v>
      </c>
      <c r="M324" s="1203">
        <v>68.34</v>
      </c>
    </row>
    <row r="325" spans="1:13">
      <c r="A325" s="49">
        <f t="shared" si="13"/>
        <v>2020.04</v>
      </c>
      <c r="B325" s="611">
        <v>208463.75</v>
      </c>
      <c r="C325" s="1614">
        <v>1170396.75</v>
      </c>
      <c r="D325" s="1302">
        <v>1165251</v>
      </c>
      <c r="E325" s="1617">
        <f t="shared" si="14"/>
        <v>0.17811374647101508</v>
      </c>
      <c r="F325" s="612">
        <v>224</v>
      </c>
      <c r="G325" s="1210">
        <v>75.403999999999996</v>
      </c>
      <c r="H325" s="1181">
        <v>109035.5</v>
      </c>
      <c r="I325" s="1181">
        <v>558938.75</v>
      </c>
      <c r="J325" s="1302">
        <v>544579</v>
      </c>
      <c r="K325" s="1207">
        <f t="shared" si="15"/>
        <v>0.19507593631681469</v>
      </c>
      <c r="L325" s="1302">
        <v>98</v>
      </c>
      <c r="M325" s="1203">
        <v>64.239999999999995</v>
      </c>
    </row>
    <row r="326" spans="1:13">
      <c r="A326" s="49">
        <f t="shared" si="13"/>
        <v>2020.05</v>
      </c>
      <c r="B326" s="611">
        <v>200229.75</v>
      </c>
      <c r="C326" s="1614">
        <v>1145786.75</v>
      </c>
      <c r="D326" s="1302">
        <v>1136153</v>
      </c>
      <c r="E326" s="1617">
        <f t="shared" si="14"/>
        <v>0.17475306814291577</v>
      </c>
      <c r="F326" s="612">
        <v>224</v>
      </c>
      <c r="G326" s="1210">
        <v>72.245000000000005</v>
      </c>
      <c r="H326" s="1181">
        <v>101671</v>
      </c>
      <c r="I326" s="1181">
        <v>569805.75</v>
      </c>
      <c r="J326" s="1302">
        <v>613608</v>
      </c>
      <c r="K326" s="1207">
        <f t="shared" si="15"/>
        <v>0.17843098283932726</v>
      </c>
      <c r="L326" s="1302">
        <v>98</v>
      </c>
      <c r="M326" s="1203">
        <v>57.37</v>
      </c>
    </row>
    <row r="327" spans="1:13">
      <c r="A327" s="49">
        <f t="shared" si="13"/>
        <v>2020.06</v>
      </c>
      <c r="B327" s="611">
        <v>210667.5</v>
      </c>
      <c r="C327" s="1614">
        <v>1201604.75</v>
      </c>
      <c r="D327" s="1302">
        <v>1189873</v>
      </c>
      <c r="E327" s="1617">
        <f t="shared" si="14"/>
        <v>0.17532179362639835</v>
      </c>
      <c r="F327" s="612">
        <v>226</v>
      </c>
      <c r="G327" s="1210">
        <v>74.626000000000005</v>
      </c>
      <c r="H327" s="1181">
        <v>119460.25</v>
      </c>
      <c r="I327" s="1181">
        <v>652478.75</v>
      </c>
      <c r="J327" s="1302">
        <v>645003</v>
      </c>
      <c r="K327" s="1207">
        <f t="shared" si="15"/>
        <v>0.18308680550899167</v>
      </c>
      <c r="L327" s="1302">
        <v>97</v>
      </c>
      <c r="M327" s="1203">
        <v>54.4</v>
      </c>
    </row>
    <row r="328" spans="1:13">
      <c r="A328" s="49">
        <f t="shared" si="13"/>
        <v>2020.07</v>
      </c>
      <c r="B328" s="611">
        <v>222968.5</v>
      </c>
      <c r="C328" s="1614">
        <v>1211129.75</v>
      </c>
      <c r="D328" s="1302">
        <v>1206244</v>
      </c>
      <c r="E328" s="1617">
        <f t="shared" si="14"/>
        <v>0.18409959791673849</v>
      </c>
      <c r="F328" s="612">
        <v>229</v>
      </c>
      <c r="G328" s="1210">
        <v>81.257000000000005</v>
      </c>
      <c r="H328" s="1181">
        <v>119803.75</v>
      </c>
      <c r="I328" s="1181">
        <v>619699.5</v>
      </c>
      <c r="J328" s="1302">
        <v>613509</v>
      </c>
      <c r="K328" s="1207">
        <f t="shared" si="15"/>
        <v>0.19332555536998175</v>
      </c>
      <c r="L328" s="1302">
        <v>96</v>
      </c>
      <c r="M328" s="1203">
        <v>57</v>
      </c>
    </row>
    <row r="329" spans="1:13">
      <c r="A329" s="49">
        <f t="shared" si="13"/>
        <v>2020.08</v>
      </c>
      <c r="B329" s="611">
        <v>207097</v>
      </c>
      <c r="C329" s="1614">
        <v>1156906.75</v>
      </c>
      <c r="D329" s="1302">
        <v>1148535</v>
      </c>
      <c r="E329" s="1617">
        <f t="shared" si="14"/>
        <v>0.17900924166965057</v>
      </c>
      <c r="F329" s="612">
        <v>230</v>
      </c>
      <c r="G329" s="1210">
        <v>89.846999999999994</v>
      </c>
      <c r="H329" s="1181">
        <v>115387</v>
      </c>
      <c r="I329" s="1181">
        <v>601283.5</v>
      </c>
      <c r="J329" s="1302">
        <v>595460</v>
      </c>
      <c r="K329" s="1207">
        <f t="shared" si="15"/>
        <v>0.19190115810595168</v>
      </c>
      <c r="L329" s="1302">
        <v>94</v>
      </c>
      <c r="M329" s="1203">
        <v>67.94</v>
      </c>
    </row>
    <row r="330" spans="1:13">
      <c r="A330" s="49">
        <f t="shared" si="13"/>
        <v>2020.09</v>
      </c>
      <c r="B330" s="611">
        <v>195955</v>
      </c>
      <c r="C330" s="1614">
        <v>1210719</v>
      </c>
      <c r="D330" s="1302">
        <v>1200202</v>
      </c>
      <c r="E330" s="1617">
        <f t="shared" si="14"/>
        <v>0.16185010725031984</v>
      </c>
      <c r="F330" s="612">
        <v>230</v>
      </c>
      <c r="G330" s="1210">
        <v>92.77</v>
      </c>
      <c r="H330" s="1181">
        <v>107475.25</v>
      </c>
      <c r="I330" s="1181">
        <v>589253.75</v>
      </c>
      <c r="J330" s="1302">
        <v>587841</v>
      </c>
      <c r="K330" s="1207">
        <f t="shared" si="15"/>
        <v>0.18239213581585184</v>
      </c>
      <c r="L330" s="1302">
        <v>93</v>
      </c>
      <c r="M330" s="1203">
        <v>82.75</v>
      </c>
    </row>
    <row r="331" spans="1:13">
      <c r="A331" s="49">
        <f t="shared" si="13"/>
        <v>2020.1</v>
      </c>
      <c r="B331" s="611">
        <v>213726.75</v>
      </c>
      <c r="C331" s="1614">
        <v>1234249.5</v>
      </c>
      <c r="D331" s="1302">
        <v>1205921</v>
      </c>
      <c r="E331" s="1617">
        <f t="shared" si="14"/>
        <v>0.1731633271878984</v>
      </c>
      <c r="F331" s="612">
        <v>228</v>
      </c>
      <c r="G331" s="1210">
        <v>100.517</v>
      </c>
      <c r="H331" s="1181">
        <v>108959.5</v>
      </c>
      <c r="I331" s="1181">
        <v>583660</v>
      </c>
      <c r="J331" s="1302">
        <v>582731</v>
      </c>
      <c r="K331" s="1207">
        <f t="shared" si="15"/>
        <v>0.18668317170955692</v>
      </c>
      <c r="L331" s="1302">
        <v>93</v>
      </c>
      <c r="M331" s="1203">
        <v>94.44</v>
      </c>
    </row>
    <row r="332" spans="1:13">
      <c r="A332" s="49">
        <f t="shared" si="13"/>
        <v>2020.11</v>
      </c>
      <c r="B332" s="611">
        <v>205405</v>
      </c>
      <c r="C332" s="1614">
        <v>1224106</v>
      </c>
      <c r="D332" s="1302">
        <v>1212262</v>
      </c>
      <c r="E332" s="1617">
        <f t="shared" si="14"/>
        <v>0.16780001078337986</v>
      </c>
      <c r="F332" s="612">
        <v>228</v>
      </c>
      <c r="G332" s="1210">
        <v>111.364</v>
      </c>
      <c r="H332" s="1181">
        <v>110685</v>
      </c>
      <c r="I332" s="1181">
        <v>580316.75</v>
      </c>
      <c r="J332" s="1302">
        <v>573837</v>
      </c>
      <c r="K332" s="1207">
        <f t="shared" si="15"/>
        <v>0.19073204418104422</v>
      </c>
      <c r="L332" s="1302">
        <v>93</v>
      </c>
      <c r="M332" s="1203">
        <v>98.1</v>
      </c>
    </row>
    <row r="333" spans="1:13">
      <c r="A333" s="49">
        <f t="shared" si="13"/>
        <v>2020.12</v>
      </c>
      <c r="B333" s="611">
        <v>186881.75</v>
      </c>
      <c r="C333" s="1614">
        <v>1200821</v>
      </c>
      <c r="D333" s="1302">
        <v>1172523</v>
      </c>
      <c r="E333" s="1617">
        <f t="shared" si="14"/>
        <v>0.15562831596049703</v>
      </c>
      <c r="F333" s="612">
        <v>225</v>
      </c>
      <c r="G333" s="1210">
        <v>133.54499999999999</v>
      </c>
      <c r="H333" s="1181">
        <v>119217</v>
      </c>
      <c r="I333" s="1181">
        <v>658577.75</v>
      </c>
      <c r="J333" s="1302">
        <v>649216</v>
      </c>
      <c r="K333" s="1207">
        <f t="shared" si="15"/>
        <v>0.18102190667692614</v>
      </c>
      <c r="L333" s="1302">
        <v>90</v>
      </c>
      <c r="M333" s="1203">
        <v>98.74</v>
      </c>
    </row>
    <row r="334" spans="1:13">
      <c r="A334" s="49">
        <f t="shared" si="13"/>
        <v>2021.01</v>
      </c>
      <c r="B334" s="611">
        <v>169608.25</v>
      </c>
      <c r="C334" s="1614">
        <v>998004.25</v>
      </c>
      <c r="D334" s="1302">
        <v>970970</v>
      </c>
      <c r="E334" s="1617">
        <f t="shared" si="14"/>
        <v>0.16994742256859127</v>
      </c>
      <c r="F334" s="612">
        <v>228</v>
      </c>
      <c r="G334" s="1210">
        <v>137.53100000000001</v>
      </c>
      <c r="H334" s="1181">
        <v>110987.25</v>
      </c>
      <c r="I334" s="1181">
        <v>554845.75</v>
      </c>
      <c r="J334" s="1302">
        <v>545722</v>
      </c>
      <c r="K334" s="1207">
        <f t="shared" si="15"/>
        <v>0.20003262167908828</v>
      </c>
      <c r="L334" s="1302">
        <v>93</v>
      </c>
      <c r="M334" s="1203">
        <v>100.44</v>
      </c>
    </row>
    <row r="335" spans="1:13">
      <c r="A335" s="49">
        <f t="shared" si="13"/>
        <v>2021.02</v>
      </c>
      <c r="B335" s="611">
        <v>165032.75</v>
      </c>
      <c r="C335" s="1614">
        <v>1003938.5</v>
      </c>
      <c r="D335" s="1302">
        <v>988537</v>
      </c>
      <c r="E335" s="1617">
        <f t="shared" si="14"/>
        <v>0.16438531842338949</v>
      </c>
      <c r="F335" s="612">
        <v>226</v>
      </c>
      <c r="G335" s="1210">
        <v>146.215</v>
      </c>
      <c r="H335" s="1181">
        <v>107169.75</v>
      </c>
      <c r="I335" s="1181">
        <v>553792.25</v>
      </c>
      <c r="J335" s="1302">
        <v>543364</v>
      </c>
      <c r="K335" s="1207">
        <f t="shared" si="15"/>
        <v>0.1935197720805952</v>
      </c>
      <c r="L335" s="1302">
        <v>92</v>
      </c>
      <c r="M335" s="1203">
        <v>102.13</v>
      </c>
    </row>
    <row r="336" spans="1:13">
      <c r="A336" s="49">
        <f t="shared" si="13"/>
        <v>2021.03</v>
      </c>
      <c r="B336" s="611">
        <v>204759.5</v>
      </c>
      <c r="C336" s="1614">
        <v>1178434</v>
      </c>
      <c r="D336" s="1302">
        <v>1153468</v>
      </c>
      <c r="E336" s="1617">
        <f t="shared" si="14"/>
        <v>0.17375559428869161</v>
      </c>
      <c r="F336" s="612">
        <v>226</v>
      </c>
      <c r="G336" s="1210">
        <v>146.44399999999999</v>
      </c>
      <c r="H336" s="1181">
        <v>134914.25</v>
      </c>
      <c r="I336" s="1181">
        <v>677942.75</v>
      </c>
      <c r="J336" s="1302">
        <v>673308</v>
      </c>
      <c r="K336" s="1207">
        <f t="shared" si="15"/>
        <v>0.19900537324132458</v>
      </c>
      <c r="L336" s="1302">
        <v>93</v>
      </c>
      <c r="M336" s="1203">
        <v>103.7</v>
      </c>
    </row>
    <row r="337" spans="1:13">
      <c r="A337" s="49">
        <f t="shared" si="13"/>
        <v>2021.04</v>
      </c>
      <c r="B337" s="611">
        <v>190256.5</v>
      </c>
      <c r="C337" s="1614">
        <v>1096350.25</v>
      </c>
      <c r="D337" s="1302">
        <v>1089830</v>
      </c>
      <c r="E337" s="1617">
        <f t="shared" si="14"/>
        <v>0.1735362399014366</v>
      </c>
      <c r="F337" s="612">
        <v>226</v>
      </c>
      <c r="G337" s="1210">
        <v>146.87200000000001</v>
      </c>
      <c r="H337" s="1181">
        <v>123294.5</v>
      </c>
      <c r="I337" s="1181">
        <v>610737.25</v>
      </c>
      <c r="J337" s="1302">
        <v>605056</v>
      </c>
      <c r="K337" s="1207">
        <f t="shared" si="15"/>
        <v>0.20187813990386211</v>
      </c>
      <c r="L337" s="1302">
        <v>95</v>
      </c>
      <c r="M337" s="1203">
        <v>107.92</v>
      </c>
    </row>
    <row r="338" spans="1:13">
      <c r="A338" s="49">
        <f t="shared" si="13"/>
        <v>2021.05</v>
      </c>
      <c r="B338" s="611">
        <v>162604.25</v>
      </c>
      <c r="C338" s="1614">
        <v>981869.75</v>
      </c>
      <c r="D338" s="1302">
        <v>969457</v>
      </c>
      <c r="E338" s="1617">
        <f t="shared" si="14"/>
        <v>0.16560674162738998</v>
      </c>
      <c r="F338" s="612">
        <v>225</v>
      </c>
      <c r="G338" s="1210">
        <v>145.90899999999999</v>
      </c>
      <c r="H338" s="1181">
        <v>116571.5</v>
      </c>
      <c r="I338" s="1181">
        <v>617742.75</v>
      </c>
      <c r="J338" s="1302">
        <v>613099</v>
      </c>
      <c r="K338" s="1207">
        <f t="shared" si="15"/>
        <v>0.18870557363886503</v>
      </c>
      <c r="L338" s="1302">
        <v>95</v>
      </c>
      <c r="M338" s="1203">
        <v>107.95</v>
      </c>
    </row>
    <row r="339" spans="1:13">
      <c r="A339" s="49">
        <f t="shared" si="13"/>
        <v>2021.06</v>
      </c>
      <c r="B339" s="611">
        <v>180017.5</v>
      </c>
      <c r="C339" s="1614">
        <v>1088398</v>
      </c>
      <c r="D339" s="1302">
        <v>1069571</v>
      </c>
      <c r="E339" s="1617">
        <f t="shared" si="14"/>
        <v>0.16539675743615848</v>
      </c>
      <c r="F339" s="612">
        <v>232</v>
      </c>
      <c r="G339" s="1210">
        <v>146.14699999999999</v>
      </c>
      <c r="H339" s="1181">
        <v>122882</v>
      </c>
      <c r="I339" s="1181">
        <v>664341.25</v>
      </c>
      <c r="J339" s="1302">
        <v>658052</v>
      </c>
      <c r="K339" s="1207">
        <f t="shared" si="15"/>
        <v>0.18496819217533159</v>
      </c>
      <c r="L339" s="1302">
        <v>95</v>
      </c>
      <c r="M339" s="1203">
        <v>107.33</v>
      </c>
    </row>
    <row r="340" spans="1:13">
      <c r="A340" s="49">
        <f t="shared" si="13"/>
        <v>2021.07</v>
      </c>
      <c r="B340" s="611">
        <v>191164.75</v>
      </c>
      <c r="C340" s="1614">
        <v>1073294.75</v>
      </c>
      <c r="D340" s="1302">
        <v>1061584</v>
      </c>
      <c r="E340" s="1617">
        <f t="shared" si="14"/>
        <v>0.17811020691194102</v>
      </c>
      <c r="F340" s="612">
        <v>234</v>
      </c>
      <c r="G340" s="1210">
        <v>140.96899999999999</v>
      </c>
      <c r="H340" s="1181">
        <v>124792</v>
      </c>
      <c r="I340" s="1181">
        <v>642343.75</v>
      </c>
      <c r="J340" s="1302">
        <v>636124</v>
      </c>
      <c r="K340" s="1207">
        <f t="shared" si="15"/>
        <v>0.19427603989297007</v>
      </c>
      <c r="L340" s="1302">
        <v>95</v>
      </c>
      <c r="M340" s="1203">
        <v>107.33</v>
      </c>
    </row>
    <row r="341" spans="1:13">
      <c r="A341" s="49">
        <f t="shared" si="13"/>
        <v>2021.08</v>
      </c>
      <c r="B341" s="611">
        <v>194907.75</v>
      </c>
      <c r="C341" s="1614">
        <v>1138115.5</v>
      </c>
      <c r="D341" s="1302">
        <v>1137569.5</v>
      </c>
      <c r="E341" s="1617">
        <f t="shared" si="14"/>
        <v>0.17125480673973775</v>
      </c>
      <c r="F341" s="612">
        <v>234</v>
      </c>
      <c r="G341" s="1210">
        <v>146.78700000000001</v>
      </c>
      <c r="H341" s="1181">
        <v>123750.25</v>
      </c>
      <c r="I341" s="1181">
        <v>639825</v>
      </c>
      <c r="J341" s="1302">
        <v>636940</v>
      </c>
      <c r="K341" s="1207">
        <f t="shared" si="15"/>
        <v>0.19341265189700307</v>
      </c>
      <c r="L341" s="1302">
        <v>98</v>
      </c>
      <c r="M341" s="1203">
        <v>115.22</v>
      </c>
    </row>
    <row r="342" spans="1:13">
      <c r="A342" s="49">
        <f t="shared" si="13"/>
        <v>2021.09</v>
      </c>
      <c r="B342" s="611">
        <v>191466.25</v>
      </c>
      <c r="C342" s="1614">
        <v>1099155.75</v>
      </c>
      <c r="D342" s="1302">
        <v>1089299</v>
      </c>
      <c r="E342" s="1617">
        <f t="shared" si="14"/>
        <v>0.17419392110717702</v>
      </c>
      <c r="F342" s="612">
        <v>233</v>
      </c>
      <c r="G342" s="1210">
        <v>159.07599999999999</v>
      </c>
      <c r="H342" s="1181">
        <v>115979</v>
      </c>
      <c r="I342" s="1181">
        <v>607768.75</v>
      </c>
      <c r="J342" s="1302">
        <v>600563</v>
      </c>
      <c r="K342" s="1207">
        <f t="shared" si="15"/>
        <v>0.19082751457688471</v>
      </c>
      <c r="L342" s="1302">
        <v>92</v>
      </c>
      <c r="M342" s="1203">
        <v>127.51</v>
      </c>
    </row>
    <row r="343" spans="1:13">
      <c r="A343" s="49">
        <f t="shared" si="13"/>
        <v>2021.1</v>
      </c>
      <c r="B343" s="611">
        <v>185652.75</v>
      </c>
      <c r="C343" s="1614">
        <v>1074868.75</v>
      </c>
      <c r="D343" s="1302">
        <v>1062932</v>
      </c>
      <c r="E343" s="1617">
        <f t="shared" si="14"/>
        <v>0.17272132062635553</v>
      </c>
      <c r="F343" s="612">
        <v>231</v>
      </c>
      <c r="G343" s="1210">
        <v>162.11600000000001</v>
      </c>
      <c r="H343" s="1181">
        <v>109271.5</v>
      </c>
      <c r="I343" s="1181">
        <v>596364</v>
      </c>
      <c r="J343" s="1302">
        <v>590651</v>
      </c>
      <c r="K343" s="1207">
        <f t="shared" si="15"/>
        <v>0.18322953766491606</v>
      </c>
      <c r="L343" s="1302">
        <v>92</v>
      </c>
      <c r="M343" s="1203">
        <v>134.58000000000001</v>
      </c>
    </row>
    <row r="344" spans="1:13">
      <c r="A344" s="49">
        <f t="shared" si="13"/>
        <v>2021.11</v>
      </c>
      <c r="B344" s="611">
        <v>186826.5</v>
      </c>
      <c r="C344" s="1614">
        <v>1100237.5</v>
      </c>
      <c r="D344" s="1302">
        <v>1097707</v>
      </c>
      <c r="E344" s="1617">
        <f>B344/C344</f>
        <v>0.16980561015235346</v>
      </c>
      <c r="F344" s="612">
        <v>230</v>
      </c>
      <c r="G344" s="1210">
        <v>188.70599999999999</v>
      </c>
      <c r="H344" s="1181">
        <v>120324.5</v>
      </c>
      <c r="I344" s="1181">
        <v>633663.5</v>
      </c>
      <c r="J344" s="1302">
        <v>627392</v>
      </c>
      <c r="K344" s="1207">
        <f t="shared" si="15"/>
        <v>0.18988706150819795</v>
      </c>
      <c r="L344" s="1302">
        <v>92</v>
      </c>
      <c r="M344" s="1203">
        <v>142.62</v>
      </c>
    </row>
    <row r="345" spans="1:13">
      <c r="A345" s="49">
        <f t="shared" si="13"/>
        <v>2021.12</v>
      </c>
      <c r="B345" s="611">
        <v>197332.5</v>
      </c>
      <c r="C345" s="1614">
        <v>1133884</v>
      </c>
      <c r="D345" s="1302">
        <v>1133884</v>
      </c>
      <c r="E345" s="1617">
        <f t="shared" si="14"/>
        <v>0.17403235251577762</v>
      </c>
      <c r="F345" s="612">
        <v>229</v>
      </c>
      <c r="G345" s="1210">
        <v>201.98</v>
      </c>
      <c r="H345" s="1181">
        <v>124938.5</v>
      </c>
      <c r="I345" s="1181">
        <v>670397.75</v>
      </c>
      <c r="J345" s="1302">
        <v>670398</v>
      </c>
      <c r="K345" s="1207">
        <f t="shared" si="15"/>
        <v>0.1863647364568273</v>
      </c>
      <c r="L345" s="1302">
        <v>90</v>
      </c>
      <c r="M345" s="1203">
        <v>148.83000000000001</v>
      </c>
    </row>
    <row r="346" spans="1:13">
      <c r="A346" s="49">
        <f t="shared" si="13"/>
        <v>2022.01</v>
      </c>
      <c r="B346" s="611">
        <v>162126.75</v>
      </c>
      <c r="C346" s="1614">
        <v>974681.75</v>
      </c>
      <c r="D346" s="1302">
        <v>971796</v>
      </c>
      <c r="E346" s="1617">
        <f t="shared" si="14"/>
        <v>0.16633814062897967</v>
      </c>
      <c r="F346" s="612">
        <v>229</v>
      </c>
      <c r="G346" s="1210">
        <v>205.89599999999999</v>
      </c>
      <c r="H346" s="1181">
        <v>101698</v>
      </c>
      <c r="I346" s="1181">
        <v>534899.25</v>
      </c>
      <c r="J346" s="1302">
        <v>533951.25</v>
      </c>
      <c r="K346" s="1207">
        <f t="shared" si="15"/>
        <v>0.19012552363833002</v>
      </c>
      <c r="L346" s="1302">
        <v>91</v>
      </c>
      <c r="M346" s="1203">
        <v>153.66999999999999</v>
      </c>
    </row>
    <row r="347" spans="1:13">
      <c r="A347" s="49">
        <f t="shared" si="13"/>
        <v>2022.02</v>
      </c>
      <c r="B347" s="611">
        <v>177597.25</v>
      </c>
      <c r="C347" s="1614">
        <v>1022410.5</v>
      </c>
      <c r="D347" s="1302">
        <v>1009112</v>
      </c>
      <c r="E347" s="1617">
        <f>B347/C347</f>
        <v>0.17370444650167424</v>
      </c>
      <c r="F347" s="612">
        <v>230</v>
      </c>
      <c r="G347" s="1210">
        <v>225.01900000000001</v>
      </c>
      <c r="H347" s="1181">
        <v>107161.75</v>
      </c>
      <c r="I347" s="1181">
        <v>551527.75</v>
      </c>
      <c r="J347" s="1302">
        <v>550318.75</v>
      </c>
      <c r="K347" s="1207">
        <f t="shared" si="15"/>
        <v>0.19429983350792412</v>
      </c>
      <c r="L347" s="1302">
        <v>92</v>
      </c>
      <c r="M347" s="1203">
        <v>152.4</v>
      </c>
    </row>
    <row r="348" spans="1:13">
      <c r="A348" s="49">
        <f t="shared" si="13"/>
        <v>2022.03</v>
      </c>
      <c r="B348" s="611">
        <v>197598.5</v>
      </c>
      <c r="C348" s="1614">
        <v>1146743.75</v>
      </c>
      <c r="D348" s="1302">
        <v>1134657</v>
      </c>
      <c r="E348" s="1617">
        <f t="shared" si="14"/>
        <v>0.17231268973561006</v>
      </c>
      <c r="F348" s="612">
        <v>229</v>
      </c>
      <c r="G348" s="1210">
        <v>235.24700000000001</v>
      </c>
      <c r="H348" s="1181">
        <v>125836</v>
      </c>
      <c r="I348" s="1181">
        <v>669293.5</v>
      </c>
      <c r="J348" s="1302">
        <v>667427</v>
      </c>
      <c r="K348" s="1207">
        <f t="shared" si="15"/>
        <v>0.18801318106331527</v>
      </c>
      <c r="L348" s="1302">
        <v>94</v>
      </c>
      <c r="M348" s="1203">
        <v>153.24</v>
      </c>
    </row>
    <row r="349" spans="1:13">
      <c r="A349" s="49">
        <f t="shared" si="13"/>
        <v>2022.04</v>
      </c>
      <c r="B349" s="611">
        <v>179202.75</v>
      </c>
      <c r="C349" s="1614">
        <v>1052178.25</v>
      </c>
      <c r="D349" s="1302">
        <v>1040995</v>
      </c>
      <c r="E349" s="1617">
        <f t="shared" si="14"/>
        <v>0.17031596119763928</v>
      </c>
      <c r="F349" s="612">
        <v>231</v>
      </c>
      <c r="G349" s="1210">
        <v>239.87899999999999</v>
      </c>
      <c r="H349" s="1181">
        <v>117303</v>
      </c>
      <c r="I349" s="1181">
        <v>627197</v>
      </c>
      <c r="J349" s="1302">
        <v>625222</v>
      </c>
      <c r="K349" s="1207">
        <f t="shared" si="15"/>
        <v>0.18702736141913945</v>
      </c>
      <c r="L349" s="1302">
        <v>96</v>
      </c>
      <c r="M349" s="1203">
        <v>159.26</v>
      </c>
    </row>
    <row r="350" spans="1:13">
      <c r="A350" s="49">
        <f t="shared" si="13"/>
        <v>2022.05</v>
      </c>
      <c r="B350" s="611">
        <v>203227.75</v>
      </c>
      <c r="C350" s="1614">
        <v>1160459.75</v>
      </c>
      <c r="D350" s="1302">
        <v>1154426</v>
      </c>
      <c r="E350" s="1617">
        <f t="shared" si="14"/>
        <v>0.17512692706489821</v>
      </c>
      <c r="F350" s="612">
        <v>232</v>
      </c>
      <c r="G350" s="1210">
        <v>233.65199999999999</v>
      </c>
      <c r="H350" s="1181">
        <v>125630.25</v>
      </c>
      <c r="I350" s="1181">
        <v>679723.25</v>
      </c>
      <c r="J350" s="1302">
        <v>679121</v>
      </c>
      <c r="K350" s="1207">
        <f t="shared" si="15"/>
        <v>0.18482558894373555</v>
      </c>
      <c r="L350" s="1302">
        <v>96</v>
      </c>
      <c r="M350" s="1203">
        <v>160.75</v>
      </c>
    </row>
    <row r="351" spans="1:13">
      <c r="A351" s="49">
        <f t="shared" si="13"/>
        <v>2022.06</v>
      </c>
      <c r="B351" s="611">
        <v>198543.25</v>
      </c>
      <c r="C351" s="1614">
        <v>1139703.75</v>
      </c>
      <c r="D351" s="1302">
        <v>1132861</v>
      </c>
      <c r="E351" s="1617">
        <f t="shared" si="14"/>
        <v>0.17420601625641752</v>
      </c>
      <c r="F351" s="612">
        <v>234</v>
      </c>
      <c r="G351" s="1210">
        <v>231.203</v>
      </c>
      <c r="H351" s="1181">
        <v>122536.25</v>
      </c>
      <c r="I351" s="1181">
        <v>665739.5</v>
      </c>
      <c r="J351" s="1302">
        <v>664969</v>
      </c>
      <c r="K351" s="1207">
        <f t="shared" si="15"/>
        <v>0.18406035694141629</v>
      </c>
      <c r="L351" s="1302">
        <v>97</v>
      </c>
      <c r="M351" s="1203">
        <v>163.51</v>
      </c>
    </row>
    <row r="352" spans="1:13">
      <c r="A352" s="49">
        <f t="shared" si="13"/>
        <v>2022.07</v>
      </c>
      <c r="B352" s="611">
        <v>204323</v>
      </c>
      <c r="C352" s="1614">
        <v>1106239.75</v>
      </c>
      <c r="D352" s="1302">
        <v>1103676</v>
      </c>
      <c r="E352" s="1617">
        <f t="shared" si="14"/>
        <v>0.18470046841111973</v>
      </c>
      <c r="F352" s="612">
        <v>236</v>
      </c>
      <c r="G352" s="1210">
        <v>237.46799999999999</v>
      </c>
      <c r="H352" s="1181">
        <v>123121.25</v>
      </c>
      <c r="I352" s="1181">
        <v>652551</v>
      </c>
      <c r="J352" s="1302">
        <v>651739</v>
      </c>
      <c r="K352" s="1207">
        <f t="shared" si="15"/>
        <v>0.18867682372718761</v>
      </c>
      <c r="L352" s="1302">
        <v>96</v>
      </c>
      <c r="M352" s="1203">
        <v>181.89</v>
      </c>
    </row>
    <row r="353" spans="1:13">
      <c r="A353" s="49">
        <f t="shared" si="13"/>
        <v>2022.08</v>
      </c>
      <c r="B353" s="611">
        <v>212258.5</v>
      </c>
      <c r="C353" s="1614">
        <v>1228282.5</v>
      </c>
      <c r="D353" s="1302">
        <v>1227017</v>
      </c>
      <c r="E353" s="1617">
        <f t="shared" si="14"/>
        <v>0.17280918681166588</v>
      </c>
      <c r="F353" s="612">
        <v>236</v>
      </c>
      <c r="G353" s="1210">
        <v>272.447</v>
      </c>
      <c r="H353" s="1181">
        <v>129094.75</v>
      </c>
      <c r="I353" s="1181">
        <v>692581.75</v>
      </c>
      <c r="J353" s="1302">
        <v>691735</v>
      </c>
      <c r="K353" s="1207">
        <f t="shared" si="15"/>
        <v>0.18639640735552157</v>
      </c>
      <c r="L353" s="1302">
        <v>95</v>
      </c>
      <c r="M353" s="1203">
        <v>210.1</v>
      </c>
    </row>
    <row r="354" spans="1:13">
      <c r="A354" s="49">
        <f t="shared" si="13"/>
        <v>2022.09</v>
      </c>
      <c r="B354" s="611">
        <v>202740.25</v>
      </c>
      <c r="C354" s="1614">
        <v>1178209.5</v>
      </c>
      <c r="D354" s="1302">
        <v>1168810</v>
      </c>
      <c r="E354" s="1617">
        <f t="shared" si="14"/>
        <v>0.17207487293219076</v>
      </c>
      <c r="F354" s="612">
        <v>236</v>
      </c>
      <c r="G354" s="1210">
        <v>270.33499999999998</v>
      </c>
      <c r="H354" s="1181">
        <v>119443</v>
      </c>
      <c r="I354" s="1181">
        <v>636145.5</v>
      </c>
      <c r="J354" s="1302">
        <v>635087</v>
      </c>
      <c r="K354" s="1207">
        <f t="shared" si="15"/>
        <v>0.18776050447578424</v>
      </c>
      <c r="L354" s="1302">
        <v>95</v>
      </c>
      <c r="M354" s="1203">
        <v>230.94</v>
      </c>
    </row>
    <row r="355" spans="1:13">
      <c r="A355" s="49">
        <f t="shared" si="13"/>
        <v>2022.1</v>
      </c>
      <c r="B355" s="1302">
        <v>172015.25</v>
      </c>
      <c r="C355" s="2292">
        <v>1100755.75</v>
      </c>
      <c r="D355" s="1302">
        <v>1094677.25</v>
      </c>
      <c r="E355" s="1617">
        <f t="shared" si="14"/>
        <v>0.15627013531385142</v>
      </c>
      <c r="F355" s="612">
        <v>232</v>
      </c>
      <c r="G355" s="1210">
        <v>251.56100000000001</v>
      </c>
      <c r="H355" s="1181">
        <v>116257.25</v>
      </c>
      <c r="I355" s="1181">
        <v>631920.25</v>
      </c>
      <c r="J355" s="1302">
        <v>630693</v>
      </c>
      <c r="K355" s="1207">
        <f t="shared" si="15"/>
        <v>0.18397456008095958</v>
      </c>
      <c r="L355" s="1302">
        <v>95</v>
      </c>
      <c r="M355" s="1203">
        <v>243.49</v>
      </c>
    </row>
    <row r="356" spans="1:13">
      <c r="A356" s="49">
        <f t="shared" si="13"/>
        <v>2022.11</v>
      </c>
      <c r="B356" s="611">
        <v>191535.5</v>
      </c>
      <c r="C356" s="1614">
        <v>1171284</v>
      </c>
      <c r="D356" s="1302">
        <v>1154947</v>
      </c>
      <c r="E356" s="1617">
        <f t="shared" si="14"/>
        <v>0.16352609614747576</v>
      </c>
      <c r="F356" s="612">
        <v>233</v>
      </c>
      <c r="G356" s="1210">
        <v>255.453</v>
      </c>
      <c r="H356" s="1181">
        <v>122844.75</v>
      </c>
      <c r="I356" s="1181">
        <v>649855.25</v>
      </c>
      <c r="J356" s="1302">
        <v>647882</v>
      </c>
      <c r="K356" s="1207">
        <f t="shared" si="15"/>
        <v>0.18903401949895765</v>
      </c>
      <c r="L356" s="1302">
        <v>94</v>
      </c>
      <c r="M356" s="1203">
        <v>250.24</v>
      </c>
    </row>
    <row r="357" spans="1:13">
      <c r="A357" s="49">
        <f t="shared" si="13"/>
        <v>2022.12</v>
      </c>
      <c r="B357" s="611">
        <v>200681.25</v>
      </c>
      <c r="C357" s="1614">
        <v>1217784</v>
      </c>
      <c r="D357" s="1302">
        <v>1217784</v>
      </c>
      <c r="E357" s="1617">
        <f t="shared" si="14"/>
        <v>0.16479215525906071</v>
      </c>
      <c r="F357" s="612">
        <v>228</v>
      </c>
      <c r="G357" s="1210">
        <v>265.82799999999997</v>
      </c>
      <c r="H357" s="1181">
        <v>120586.25</v>
      </c>
      <c r="I357" s="1181">
        <v>674578</v>
      </c>
      <c r="J357" s="1302">
        <v>674578</v>
      </c>
      <c r="K357" s="1207">
        <f t="shared" si="15"/>
        <v>0.17875805318287877</v>
      </c>
      <c r="L357" s="1302">
        <v>91</v>
      </c>
      <c r="M357" s="1203">
        <v>260.67</v>
      </c>
    </row>
    <row r="358" spans="1:13">
      <c r="A358" s="49">
        <f t="shared" si="13"/>
        <v>2023.01</v>
      </c>
      <c r="B358" s="611">
        <v>202835.25</v>
      </c>
      <c r="C358" s="1614">
        <v>1196056.25</v>
      </c>
      <c r="D358" s="1302">
        <v>1185257</v>
      </c>
      <c r="E358" s="1617">
        <f t="shared" si="14"/>
        <v>0.16958671467165529</v>
      </c>
      <c r="F358" s="612">
        <v>228</v>
      </c>
      <c r="G358" s="1210">
        <v>298.56099999999998</v>
      </c>
      <c r="H358" s="1181">
        <v>122284.25</v>
      </c>
      <c r="I358" s="1181">
        <v>641352.5</v>
      </c>
      <c r="J358" s="1302">
        <v>634125</v>
      </c>
      <c r="K358" s="1207">
        <f t="shared" si="15"/>
        <v>0.19066620929987799</v>
      </c>
      <c r="L358" s="1302">
        <v>92</v>
      </c>
      <c r="M358" s="1203">
        <v>266.77999999999997</v>
      </c>
    </row>
    <row r="359" spans="1:13">
      <c r="A359" s="49">
        <f t="shared" si="13"/>
        <v>2023.02</v>
      </c>
      <c r="B359" s="611">
        <v>175394.75</v>
      </c>
      <c r="C359" s="1614">
        <v>1052638</v>
      </c>
      <c r="D359" s="2771">
        <v>1048049</v>
      </c>
      <c r="E359" s="1617">
        <f t="shared" si="14"/>
        <v>0.16662399609362383</v>
      </c>
      <c r="F359" s="612">
        <v>227</v>
      </c>
      <c r="G359" s="1210">
        <v>380.452</v>
      </c>
      <c r="H359" s="1181">
        <v>109108.25</v>
      </c>
      <c r="I359" s="1181">
        <v>583279.75</v>
      </c>
      <c r="J359" s="1302">
        <v>577190</v>
      </c>
      <c r="K359" s="1207">
        <f t="shared" si="15"/>
        <v>0.18705989707340259</v>
      </c>
      <c r="L359" s="1302">
        <v>92</v>
      </c>
      <c r="M359" s="1203">
        <v>280.04000000000002</v>
      </c>
    </row>
    <row r="360" spans="1:13">
      <c r="A360" s="49">
        <f t="shared" si="13"/>
        <v>2023.03</v>
      </c>
      <c r="B360" s="1302">
        <v>216860.25</v>
      </c>
      <c r="C360" s="1614">
        <v>1296154.5</v>
      </c>
      <c r="D360" s="1302">
        <v>1290080</v>
      </c>
      <c r="E360" s="1617">
        <f t="shared" si="14"/>
        <v>0.16731049423506225</v>
      </c>
      <c r="F360" s="612">
        <v>227</v>
      </c>
      <c r="G360" s="1210">
        <v>352.733</v>
      </c>
      <c r="H360" s="1181">
        <v>134573</v>
      </c>
      <c r="I360" s="1181">
        <v>700782.5</v>
      </c>
      <c r="J360" s="1302">
        <v>699104</v>
      </c>
      <c r="K360" s="1207">
        <f t="shared" si="15"/>
        <v>0.19203247797997239</v>
      </c>
      <c r="L360" s="1302">
        <v>93</v>
      </c>
      <c r="M360" s="1203">
        <v>298.44</v>
      </c>
    </row>
    <row r="361" spans="1:13">
      <c r="A361" s="49">
        <f t="shared" si="13"/>
        <v>2023.04</v>
      </c>
      <c r="B361" s="611">
        <v>193780.5</v>
      </c>
      <c r="C361" s="1614">
        <v>1178713.25</v>
      </c>
      <c r="D361" s="1302">
        <v>1172181</v>
      </c>
      <c r="E361" s="1617">
        <f t="shared" si="14"/>
        <v>0.16440003537756109</v>
      </c>
      <c r="F361" s="612">
        <v>224</v>
      </c>
      <c r="G361" s="1210">
        <v>335.005</v>
      </c>
      <c r="H361" s="1181">
        <v>118314.5</v>
      </c>
      <c r="I361" s="1181">
        <v>640781.75</v>
      </c>
      <c r="J361" s="1302">
        <v>638568</v>
      </c>
      <c r="K361" s="1207">
        <f t="shared" si="15"/>
        <v>0.18464087031192758</v>
      </c>
      <c r="L361" s="1302">
        <v>94</v>
      </c>
      <c r="M361" s="1203">
        <v>311.89</v>
      </c>
    </row>
    <row r="362" spans="1:13">
      <c r="A362" s="49">
        <f t="shared" si="13"/>
        <v>2023.05</v>
      </c>
      <c r="B362" s="611">
        <v>211971</v>
      </c>
      <c r="C362" s="1614">
        <v>1287445.75</v>
      </c>
      <c r="D362" s="1302">
        <v>1280624</v>
      </c>
      <c r="E362" s="1617">
        <f t="shared" si="14"/>
        <v>0.1646446073553002</v>
      </c>
      <c r="F362" s="612">
        <v>225</v>
      </c>
      <c r="G362" s="1210">
        <v>335.50900000000001</v>
      </c>
      <c r="H362" s="1181">
        <v>127671</v>
      </c>
      <c r="I362" s="1181">
        <v>702204.75</v>
      </c>
      <c r="J362" s="1302">
        <v>700080</v>
      </c>
      <c r="K362" s="1207">
        <f t="shared" si="15"/>
        <v>0.18181449214064702</v>
      </c>
      <c r="L362" s="1302">
        <v>96</v>
      </c>
      <c r="M362" s="1203">
        <v>328.81</v>
      </c>
    </row>
    <row r="363" spans="1:13">
      <c r="A363" s="49">
        <f t="shared" si="13"/>
        <v>2023.06</v>
      </c>
      <c r="B363" s="611">
        <v>219316.25</v>
      </c>
      <c r="C363" s="1614">
        <v>1318743.5</v>
      </c>
      <c r="D363" s="1302">
        <v>1313858</v>
      </c>
      <c r="E363" s="1617">
        <f t="shared" si="14"/>
        <v>0.16630698084957385</v>
      </c>
      <c r="F363" s="612">
        <v>226</v>
      </c>
      <c r="G363" s="1210">
        <v>342.09800000000001</v>
      </c>
      <c r="H363" s="1181">
        <v>123072</v>
      </c>
      <c r="I363" s="1181">
        <v>672987.25</v>
      </c>
      <c r="J363" s="1302">
        <v>670880</v>
      </c>
      <c r="K363" s="1207">
        <f t="shared" si="15"/>
        <v>0.18287419263886501</v>
      </c>
      <c r="L363" s="1302">
        <v>96</v>
      </c>
      <c r="M363" s="1203">
        <v>333.73</v>
      </c>
    </row>
    <row r="364" spans="1:13">
      <c r="A364" s="49">
        <f t="shared" si="13"/>
        <v>2023.07</v>
      </c>
      <c r="B364" s="611">
        <v>220745.25</v>
      </c>
      <c r="C364" s="1614">
        <v>1291853.25</v>
      </c>
      <c r="D364" s="1302">
        <v>1286950</v>
      </c>
      <c r="E364" s="1617">
        <f t="shared" si="14"/>
        <v>0.17087486523720863</v>
      </c>
      <c r="F364" s="612">
        <v>225</v>
      </c>
      <c r="G364" s="1210">
        <v>399.62799999999999</v>
      </c>
      <c r="H364" s="1181">
        <v>126290.5</v>
      </c>
      <c r="I364" s="1181">
        <v>670547</v>
      </c>
      <c r="J364" s="1302">
        <v>668696</v>
      </c>
      <c r="K364" s="1207">
        <f t="shared" si="15"/>
        <v>0.18833951982485941</v>
      </c>
      <c r="L364" s="1302">
        <v>97</v>
      </c>
      <c r="M364" s="1203">
        <v>354.51</v>
      </c>
    </row>
    <row r="365" spans="1:13">
      <c r="A365" s="49">
        <f t="shared" si="13"/>
        <v>2023.08</v>
      </c>
      <c r="B365" s="611">
        <v>193476.75</v>
      </c>
      <c r="C365" s="1614">
        <v>1239642.25</v>
      </c>
      <c r="D365" s="1302">
        <v>1233095</v>
      </c>
      <c r="E365" s="1617">
        <f t="shared" si="14"/>
        <v>0.156074665896552</v>
      </c>
      <c r="F365" s="612">
        <v>226</v>
      </c>
      <c r="G365" s="1210">
        <v>613.13900000000001</v>
      </c>
      <c r="H365" s="1181">
        <v>132604.5</v>
      </c>
      <c r="I365" s="1181">
        <v>713227.25</v>
      </c>
      <c r="J365" s="1302">
        <v>711765</v>
      </c>
      <c r="K365" s="1207">
        <f t="shared" si="15"/>
        <v>0.1859218082315279</v>
      </c>
      <c r="L365" s="1302">
        <v>96</v>
      </c>
      <c r="M365" s="1203">
        <v>420.7</v>
      </c>
    </row>
    <row r="366" spans="1:13">
      <c r="A366" s="49">
        <f t="shared" si="13"/>
        <v>2023.09</v>
      </c>
      <c r="B366" s="611">
        <v>188336.75</v>
      </c>
      <c r="C366" s="1614">
        <v>1162459</v>
      </c>
      <c r="D366" s="1302">
        <v>1157893</v>
      </c>
      <c r="E366" s="1617">
        <f t="shared" si="14"/>
        <v>0.1620158216332791</v>
      </c>
      <c r="F366" s="612">
        <v>229</v>
      </c>
      <c r="G366" s="1210">
        <v>637.07100000000003</v>
      </c>
      <c r="H366" s="1181">
        <v>122808.75</v>
      </c>
      <c r="I366" s="1181">
        <v>677524.75</v>
      </c>
      <c r="J366" s="1302">
        <v>675728</v>
      </c>
      <c r="K366" s="1207">
        <f t="shared" si="15"/>
        <v>0.18126090596690378</v>
      </c>
      <c r="L366" s="1302">
        <v>95</v>
      </c>
      <c r="M366" s="1203">
        <v>499.43</v>
      </c>
    </row>
    <row r="367" spans="1:13">
      <c r="A367" s="49">
        <f t="shared" si="13"/>
        <v>2023.1</v>
      </c>
      <c r="B367" s="611">
        <v>173147.25</v>
      </c>
      <c r="C367" s="1614">
        <v>1166184.25</v>
      </c>
      <c r="D367" s="1302">
        <v>1160771</v>
      </c>
      <c r="E367" s="1617">
        <f t="shared" si="14"/>
        <v>0.14847332229019558</v>
      </c>
      <c r="F367" s="612">
        <v>223</v>
      </c>
      <c r="G367" s="1210">
        <v>779.70899999999995</v>
      </c>
      <c r="H367" s="1181">
        <v>124827.5</v>
      </c>
      <c r="I367" s="1181">
        <v>699055.75</v>
      </c>
      <c r="J367" s="1302">
        <v>697669</v>
      </c>
      <c r="K367" s="1207">
        <f t="shared" si="15"/>
        <v>0.17856587260744225</v>
      </c>
      <c r="L367" s="1302">
        <v>95</v>
      </c>
      <c r="M367" s="1203">
        <v>562.88</v>
      </c>
    </row>
    <row r="368" spans="1:13">
      <c r="A368" s="49">
        <f t="shared" si="13"/>
        <v>2023.11</v>
      </c>
      <c r="B368" s="611">
        <v>199057.25</v>
      </c>
      <c r="C368" s="1614">
        <v>1241055</v>
      </c>
      <c r="D368" s="1302">
        <v>1234134</v>
      </c>
      <c r="E368" s="1617">
        <f t="shared" si="14"/>
        <v>0.16039357643295421</v>
      </c>
      <c r="F368" s="612">
        <v>229</v>
      </c>
      <c r="G368" s="1210">
        <v>870.73299999999995</v>
      </c>
      <c r="H368" s="1181">
        <v>127896.75</v>
      </c>
      <c r="I368" s="1181">
        <v>690526</v>
      </c>
      <c r="J368" s="1302">
        <v>690148</v>
      </c>
      <c r="K368" s="1207">
        <f t="shared" si="15"/>
        <v>0.18521641473311648</v>
      </c>
      <c r="L368" s="1302">
        <v>93</v>
      </c>
      <c r="M368" s="1203">
        <v>676.61</v>
      </c>
    </row>
    <row r="369" spans="1:13">
      <c r="A369" s="49">
        <f t="shared" si="13"/>
        <v>2023.12</v>
      </c>
      <c r="B369" s="611">
        <v>176734.25</v>
      </c>
      <c r="C369" s="1614">
        <v>1081791.5</v>
      </c>
      <c r="D369" s="1302">
        <v>1081792</v>
      </c>
      <c r="E369" s="1617">
        <f>B369/C369</f>
        <v>0.16337182349833587</v>
      </c>
      <c r="F369" s="612">
        <v>227</v>
      </c>
      <c r="G369" s="1210">
        <v>1243.837</v>
      </c>
      <c r="H369" s="1181">
        <v>121781.25</v>
      </c>
      <c r="I369" s="1181">
        <v>691141.25</v>
      </c>
      <c r="J369" s="1302">
        <v>691141</v>
      </c>
      <c r="K369" s="1207">
        <f t="shared" si="15"/>
        <v>0.17620312779768246</v>
      </c>
      <c r="L369" s="1302">
        <v>90</v>
      </c>
      <c r="M369" s="1203">
        <v>932.95</v>
      </c>
    </row>
    <row r="370" spans="1:13">
      <c r="A370" s="49">
        <f t="shared" si="13"/>
        <v>2024.01</v>
      </c>
      <c r="B370" s="611">
        <v>206276.75</v>
      </c>
      <c r="C370" s="1614">
        <v>1161996.75</v>
      </c>
      <c r="D370" s="1302">
        <v>1158079</v>
      </c>
      <c r="E370" s="1617">
        <f t="shared" si="14"/>
        <v>0.17751921423188147</v>
      </c>
      <c r="F370" s="612">
        <v>230</v>
      </c>
      <c r="G370" s="1210">
        <v>1307.19</v>
      </c>
      <c r="H370" s="1181">
        <v>130438.25</v>
      </c>
      <c r="I370" s="1181">
        <v>635881.75</v>
      </c>
      <c r="J370" s="1302">
        <v>634779</v>
      </c>
      <c r="K370" s="1207">
        <f t="shared" si="15"/>
        <v>0.20512972734317347</v>
      </c>
      <c r="L370" s="1302">
        <v>93</v>
      </c>
      <c r="M370" s="1203">
        <v>1121.45</v>
      </c>
    </row>
    <row r="371" spans="1:13">
      <c r="A371" s="49">
        <f t="shared" si="13"/>
        <v>2024.02</v>
      </c>
      <c r="B371" s="611">
        <v>179557.25</v>
      </c>
      <c r="C371" s="1614">
        <v>1051236.75</v>
      </c>
      <c r="D371" s="1302">
        <v>1044005</v>
      </c>
      <c r="E371" s="1617">
        <f t="shared" si="14"/>
        <v>0.17080572002453301</v>
      </c>
      <c r="F371" s="612">
        <v>228</v>
      </c>
      <c r="G371" s="1210">
        <v>1440.579</v>
      </c>
      <c r="H371" s="1181">
        <v>115227.25</v>
      </c>
      <c r="I371" s="1181">
        <v>585470</v>
      </c>
      <c r="J371" s="1302">
        <v>584097</v>
      </c>
      <c r="K371" s="1207">
        <f t="shared" si="15"/>
        <v>0.19681153603088117</v>
      </c>
      <c r="L371" s="1302">
        <v>93</v>
      </c>
      <c r="M371" s="1203">
        <v>1029.26</v>
      </c>
    </row>
    <row r="372" spans="1:13">
      <c r="A372" s="49">
        <f t="shared" si="13"/>
        <v>2024.03</v>
      </c>
      <c r="B372" s="611">
        <v>182548.5</v>
      </c>
      <c r="C372" s="1614">
        <v>1056373.75</v>
      </c>
      <c r="D372" s="1302">
        <v>1053811</v>
      </c>
      <c r="E372" s="1617">
        <f t="shared" si="14"/>
        <v>0.17280673625220241</v>
      </c>
      <c r="F372" s="612">
        <v>227</v>
      </c>
      <c r="G372" s="1210">
        <v>1433.337</v>
      </c>
      <c r="H372" s="1181">
        <v>123754.25</v>
      </c>
      <c r="I372" s="1181">
        <v>645052.75</v>
      </c>
      <c r="J372" s="1302">
        <v>641861</v>
      </c>
      <c r="K372" s="1207">
        <f t="shared" si="15"/>
        <v>0.19185136409386674</v>
      </c>
      <c r="L372" s="1302">
        <v>94</v>
      </c>
      <c r="M372" s="1203" t="e">
        <v>#N/A</v>
      </c>
    </row>
    <row r="373" spans="1:13">
      <c r="A373" s="49">
        <f t="shared" si="13"/>
        <v>2024.04</v>
      </c>
      <c r="B373" s="611">
        <v>169608.75</v>
      </c>
      <c r="C373" s="1614">
        <v>1071671</v>
      </c>
      <c r="D373" s="1302" t="e">
        <v>#N/A</v>
      </c>
      <c r="E373" s="1617">
        <f t="shared" si="14"/>
        <v>0.15826568974993258</v>
      </c>
      <c r="F373" s="612">
        <v>226</v>
      </c>
      <c r="G373" s="1210">
        <v>1413.1690000000001</v>
      </c>
      <c r="H373" s="1181">
        <v>132615.75</v>
      </c>
      <c r="I373" s="1181">
        <v>704354.5</v>
      </c>
      <c r="J373" s="1302" t="e">
        <v>#N/A</v>
      </c>
      <c r="K373" s="1207">
        <f t="shared" si="15"/>
        <v>0.1882798363608098</v>
      </c>
      <c r="L373" s="1302">
        <v>97</v>
      </c>
      <c r="M373" s="1203" t="e">
        <v>#N/A</v>
      </c>
    </row>
    <row r="374" spans="1:13">
      <c r="A374" s="49">
        <f t="shared" si="13"/>
        <v>2024.05</v>
      </c>
      <c r="B374" s="611" t="e">
        <v>#N/A</v>
      </c>
      <c r="C374" s="1614" t="e">
        <v>#N/A</v>
      </c>
      <c r="D374" s="1302" t="e">
        <v>#N/A</v>
      </c>
      <c r="E374" s="1617" t="e">
        <f t="shared" si="14"/>
        <v>#N/A</v>
      </c>
      <c r="F374" s="612" t="e">
        <v>#N/A</v>
      </c>
      <c r="G374" s="1210" t="e">
        <v>#N/A</v>
      </c>
      <c r="H374" s="1181" t="e">
        <v>#N/A</v>
      </c>
      <c r="I374" s="1181" t="e">
        <v>#N/A</v>
      </c>
      <c r="J374" s="1302" t="e">
        <v>#N/A</v>
      </c>
      <c r="K374" s="1207" t="e">
        <f t="shared" si="15"/>
        <v>#N/A</v>
      </c>
      <c r="L374" s="1302" t="e">
        <v>#N/A</v>
      </c>
      <c r="M374" s="1203" t="e">
        <v>#N/A</v>
      </c>
    </row>
    <row r="375" spans="1:13">
      <c r="A375" s="49">
        <f t="shared" si="13"/>
        <v>2024.06</v>
      </c>
      <c r="B375" s="611" t="e">
        <v>#N/A</v>
      </c>
      <c r="C375" s="1614" t="e">
        <v>#N/A</v>
      </c>
      <c r="D375" s="1302" t="e">
        <v>#N/A</v>
      </c>
      <c r="E375" s="1617" t="e">
        <f t="shared" si="14"/>
        <v>#N/A</v>
      </c>
      <c r="F375" s="612" t="e">
        <v>#N/A</v>
      </c>
      <c r="G375" s="1210" t="e">
        <v>#N/A</v>
      </c>
      <c r="H375" s="1181" t="e">
        <v>#N/A</v>
      </c>
      <c r="I375" s="1181" t="e">
        <v>#N/A</v>
      </c>
      <c r="J375" s="1302" t="e">
        <v>#N/A</v>
      </c>
      <c r="K375" s="1207" t="e">
        <f t="shared" si="15"/>
        <v>#N/A</v>
      </c>
      <c r="L375" s="1302" t="e">
        <v>#N/A</v>
      </c>
      <c r="M375" s="1203" t="e">
        <v>#N/A</v>
      </c>
    </row>
    <row r="376" spans="1:13">
      <c r="A376" s="49">
        <f t="shared" si="13"/>
        <v>2024.07</v>
      </c>
      <c r="B376" s="611" t="e">
        <v>#N/A</v>
      </c>
      <c r="C376" s="1614" t="e">
        <v>#N/A</v>
      </c>
      <c r="D376" s="1302" t="e">
        <v>#N/A</v>
      </c>
      <c r="E376" s="1617" t="e">
        <f t="shared" si="14"/>
        <v>#N/A</v>
      </c>
      <c r="F376" s="612" t="e">
        <v>#N/A</v>
      </c>
      <c r="G376" s="1210" t="e">
        <v>#N/A</v>
      </c>
      <c r="H376" s="1181" t="e">
        <v>#N/A</v>
      </c>
      <c r="I376" s="1181" t="e">
        <v>#N/A</v>
      </c>
      <c r="J376" s="1302" t="e">
        <v>#N/A</v>
      </c>
      <c r="K376" s="1207" t="e">
        <f t="shared" si="15"/>
        <v>#N/A</v>
      </c>
      <c r="L376" s="1302" t="e">
        <v>#N/A</v>
      </c>
      <c r="M376" s="1203" t="e">
        <v>#N/A</v>
      </c>
    </row>
    <row r="377" spans="1:13">
      <c r="A377" s="49">
        <f t="shared" si="13"/>
        <v>2024.08</v>
      </c>
      <c r="B377" s="611" t="e">
        <v>#N/A</v>
      </c>
      <c r="C377" s="1614" t="e">
        <v>#N/A</v>
      </c>
      <c r="D377" s="1302" t="e">
        <v>#N/A</v>
      </c>
      <c r="E377" s="1617" t="e">
        <f t="shared" si="14"/>
        <v>#N/A</v>
      </c>
      <c r="F377" s="612" t="e">
        <v>#N/A</v>
      </c>
      <c r="G377" s="1210" t="e">
        <v>#N/A</v>
      </c>
      <c r="H377" s="1181" t="e">
        <v>#N/A</v>
      </c>
      <c r="I377" s="1181" t="e">
        <v>#N/A</v>
      </c>
      <c r="J377" s="1302" t="e">
        <v>#N/A</v>
      </c>
      <c r="K377" s="1207" t="e">
        <f t="shared" si="15"/>
        <v>#N/A</v>
      </c>
      <c r="L377" s="1302" t="e">
        <v>#N/A</v>
      </c>
      <c r="M377" s="1203" t="e">
        <v>#N/A</v>
      </c>
    </row>
    <row r="378" spans="1:13">
      <c r="A378" s="49">
        <f t="shared" si="13"/>
        <v>2024.09</v>
      </c>
      <c r="B378" s="611" t="e">
        <v>#N/A</v>
      </c>
      <c r="C378" s="1614" t="e">
        <v>#N/A</v>
      </c>
      <c r="D378" s="1302" t="e">
        <v>#N/A</v>
      </c>
      <c r="E378" s="1617" t="e">
        <f t="shared" si="14"/>
        <v>#N/A</v>
      </c>
      <c r="F378" s="612" t="e">
        <v>#N/A</v>
      </c>
      <c r="G378" s="1210" t="e">
        <v>#N/A</v>
      </c>
      <c r="H378" s="1181" t="e">
        <v>#N/A</v>
      </c>
      <c r="I378" s="1181" t="e">
        <v>#N/A</v>
      </c>
      <c r="J378" s="1302" t="e">
        <v>#N/A</v>
      </c>
      <c r="K378" s="1207" t="e">
        <f t="shared" si="15"/>
        <v>#N/A</v>
      </c>
      <c r="L378" s="1302" t="e">
        <v>#N/A</v>
      </c>
      <c r="M378" s="1203" t="e">
        <v>#N/A</v>
      </c>
    </row>
    <row r="379" spans="1:13">
      <c r="A379" s="49">
        <f t="shared" si="13"/>
        <v>2024.1</v>
      </c>
      <c r="B379" s="611" t="e">
        <v>#N/A</v>
      </c>
      <c r="C379" s="1614" t="e">
        <v>#N/A</v>
      </c>
      <c r="D379" s="1302" t="e">
        <v>#N/A</v>
      </c>
      <c r="E379" s="1617" t="e">
        <f t="shared" si="14"/>
        <v>#N/A</v>
      </c>
      <c r="F379" s="612" t="e">
        <v>#N/A</v>
      </c>
      <c r="G379" s="1210" t="e">
        <v>#N/A</v>
      </c>
      <c r="H379" s="1181" t="e">
        <v>#N/A</v>
      </c>
      <c r="I379" s="1181" t="e">
        <v>#N/A</v>
      </c>
      <c r="J379" s="1302" t="e">
        <v>#N/A</v>
      </c>
      <c r="K379" s="1207" t="e">
        <f t="shared" si="15"/>
        <v>#N/A</v>
      </c>
      <c r="L379" s="1302" t="e">
        <v>#N/A</v>
      </c>
      <c r="M379" s="1203" t="e">
        <v>#N/A</v>
      </c>
    </row>
    <row r="380" spans="1:13">
      <c r="A380" s="49">
        <f t="shared" si="13"/>
        <v>2024.11</v>
      </c>
      <c r="B380" s="611" t="e">
        <v>#N/A</v>
      </c>
      <c r="C380" s="1614" t="e">
        <v>#N/A</v>
      </c>
      <c r="D380" s="1302" t="e">
        <v>#N/A</v>
      </c>
      <c r="E380" s="1617" t="e">
        <f t="shared" si="14"/>
        <v>#N/A</v>
      </c>
      <c r="F380" s="612" t="e">
        <v>#N/A</v>
      </c>
      <c r="G380" s="1210" t="e">
        <v>#N/A</v>
      </c>
      <c r="H380" s="1181" t="e">
        <v>#N/A</v>
      </c>
      <c r="I380" s="1181" t="e">
        <v>#N/A</v>
      </c>
      <c r="J380" s="1302" t="e">
        <v>#N/A</v>
      </c>
      <c r="K380" s="1207" t="e">
        <f t="shared" si="15"/>
        <v>#N/A</v>
      </c>
      <c r="L380" s="1302" t="e">
        <v>#N/A</v>
      </c>
      <c r="M380" s="1203" t="e">
        <v>#N/A</v>
      </c>
    </row>
    <row r="381" spans="1:13">
      <c r="A381" s="49">
        <f t="shared" si="13"/>
        <v>2024.12</v>
      </c>
      <c r="B381" s="611" t="e">
        <v>#N/A</v>
      </c>
      <c r="C381" s="1614" t="e">
        <v>#N/A</v>
      </c>
      <c r="D381" s="1302" t="e">
        <v>#N/A</v>
      </c>
      <c r="E381" s="1617" t="e">
        <f t="shared" si="14"/>
        <v>#N/A</v>
      </c>
      <c r="F381" s="612" t="e">
        <v>#N/A</v>
      </c>
      <c r="G381" s="1210" t="e">
        <v>#N/A</v>
      </c>
      <c r="H381" s="1181" t="e">
        <v>#N/A</v>
      </c>
      <c r="I381" s="1181" t="e">
        <v>#N/A</v>
      </c>
      <c r="J381" s="1302" t="e">
        <v>#N/A</v>
      </c>
      <c r="K381" s="1207" t="e">
        <f t="shared" si="15"/>
        <v>#N/A</v>
      </c>
      <c r="L381" s="1302" t="e">
        <v>#N/A</v>
      </c>
      <c r="M381" s="1203" t="e">
        <v>#N/A</v>
      </c>
    </row>
    <row r="382" spans="1:13">
      <c r="A382" s="49">
        <f t="shared" ref="A382:A445" si="16">A370+1</f>
        <v>2025.01</v>
      </c>
      <c r="B382" s="611" t="e">
        <v>#N/A</v>
      </c>
      <c r="C382" s="1614" t="e">
        <v>#N/A</v>
      </c>
      <c r="D382" s="1302" t="e">
        <v>#N/A</v>
      </c>
      <c r="E382" s="1617" t="e">
        <f t="shared" si="14"/>
        <v>#N/A</v>
      </c>
      <c r="F382" s="612" t="e">
        <v>#N/A</v>
      </c>
      <c r="G382" s="1210" t="e">
        <v>#N/A</v>
      </c>
      <c r="H382" s="1181" t="e">
        <v>#N/A</v>
      </c>
      <c r="I382" s="1181" t="e">
        <v>#N/A</v>
      </c>
      <c r="J382" s="1302" t="e">
        <v>#N/A</v>
      </c>
      <c r="K382" s="1207" t="e">
        <f t="shared" si="15"/>
        <v>#N/A</v>
      </c>
      <c r="L382" s="1302" t="e">
        <v>#N/A</v>
      </c>
      <c r="M382" s="1203" t="e">
        <v>#N/A</v>
      </c>
    </row>
    <row r="383" spans="1:13">
      <c r="A383" s="49">
        <f t="shared" si="16"/>
        <v>2025.02</v>
      </c>
      <c r="B383" s="611" t="e">
        <v>#N/A</v>
      </c>
      <c r="C383" s="1614" t="e">
        <v>#N/A</v>
      </c>
      <c r="D383" s="1302" t="e">
        <v>#N/A</v>
      </c>
      <c r="E383" s="1617" t="e">
        <f t="shared" ref="E383:E393" si="17">B383/C383</f>
        <v>#N/A</v>
      </c>
      <c r="F383" s="612" t="e">
        <v>#N/A</v>
      </c>
      <c r="G383" s="1210" t="e">
        <v>#N/A</v>
      </c>
      <c r="H383" s="1181" t="e">
        <v>#N/A</v>
      </c>
      <c r="I383" s="1181" t="e">
        <v>#N/A</v>
      </c>
      <c r="J383" s="1302" t="e">
        <v>#N/A</v>
      </c>
      <c r="K383" s="1207" t="e">
        <f t="shared" ref="K383:K392" si="18">H383/I383</f>
        <v>#N/A</v>
      </c>
      <c r="L383" s="1302" t="e">
        <v>#N/A</v>
      </c>
      <c r="M383" s="1203" t="e">
        <v>#N/A</v>
      </c>
    </row>
    <row r="384" spans="1:13">
      <c r="A384" s="49">
        <f t="shared" si="16"/>
        <v>2025.03</v>
      </c>
      <c r="B384" s="611" t="e">
        <v>#N/A</v>
      </c>
      <c r="C384" s="1614" t="e">
        <v>#N/A</v>
      </c>
      <c r="D384" s="1302" t="e">
        <v>#N/A</v>
      </c>
      <c r="E384" s="1617" t="e">
        <f t="shared" si="17"/>
        <v>#N/A</v>
      </c>
      <c r="F384" s="612" t="e">
        <v>#N/A</v>
      </c>
      <c r="G384" s="1210" t="e">
        <v>#N/A</v>
      </c>
      <c r="H384" s="1181" t="e">
        <v>#N/A</v>
      </c>
      <c r="I384" s="1181" t="e">
        <v>#N/A</v>
      </c>
      <c r="J384" s="1302" t="e">
        <v>#N/A</v>
      </c>
      <c r="K384" s="1207" t="e">
        <f t="shared" si="18"/>
        <v>#N/A</v>
      </c>
      <c r="L384" s="1302" t="e">
        <v>#N/A</v>
      </c>
      <c r="M384" s="1203" t="e">
        <v>#N/A</v>
      </c>
    </row>
    <row r="385" spans="1:13">
      <c r="A385" s="49">
        <f t="shared" si="16"/>
        <v>2025.04</v>
      </c>
      <c r="B385" s="611" t="e">
        <v>#N/A</v>
      </c>
      <c r="C385" s="1614" t="e">
        <v>#N/A</v>
      </c>
      <c r="D385" s="1302" t="e">
        <v>#N/A</v>
      </c>
      <c r="E385" s="1617" t="e">
        <f t="shared" si="17"/>
        <v>#N/A</v>
      </c>
      <c r="F385" s="612" t="e">
        <v>#N/A</v>
      </c>
      <c r="G385" s="1210" t="e">
        <v>#N/A</v>
      </c>
      <c r="H385" s="1181" t="e">
        <v>#N/A</v>
      </c>
      <c r="I385" s="1181" t="e">
        <v>#N/A</v>
      </c>
      <c r="J385" s="1302" t="e">
        <v>#N/A</v>
      </c>
      <c r="K385" s="1207" t="e">
        <f t="shared" si="18"/>
        <v>#N/A</v>
      </c>
      <c r="L385" s="1302" t="e">
        <v>#N/A</v>
      </c>
      <c r="M385" s="1203" t="e">
        <v>#N/A</v>
      </c>
    </row>
    <row r="386" spans="1:13">
      <c r="A386" s="49">
        <f t="shared" si="16"/>
        <v>2025.05</v>
      </c>
      <c r="B386" s="611" t="e">
        <v>#N/A</v>
      </c>
      <c r="C386" s="1614" t="e">
        <v>#N/A</v>
      </c>
      <c r="D386" s="1302" t="e">
        <v>#N/A</v>
      </c>
      <c r="E386" s="1617" t="e">
        <f t="shared" si="17"/>
        <v>#N/A</v>
      </c>
      <c r="F386" s="612" t="e">
        <v>#N/A</v>
      </c>
      <c r="G386" s="1210" t="e">
        <v>#N/A</v>
      </c>
      <c r="H386" s="1181" t="e">
        <v>#N/A</v>
      </c>
      <c r="I386" s="1181" t="e">
        <v>#N/A</v>
      </c>
      <c r="J386" s="1302" t="e">
        <v>#N/A</v>
      </c>
      <c r="K386" s="1207" t="e">
        <f t="shared" si="18"/>
        <v>#N/A</v>
      </c>
      <c r="L386" s="1302" t="e">
        <v>#N/A</v>
      </c>
      <c r="M386" s="1203" t="e">
        <v>#N/A</v>
      </c>
    </row>
    <row r="387" spans="1:13">
      <c r="A387" s="49">
        <f t="shared" si="16"/>
        <v>2025.06</v>
      </c>
      <c r="B387" s="611" t="e">
        <v>#N/A</v>
      </c>
      <c r="C387" s="1614" t="e">
        <v>#N/A</v>
      </c>
      <c r="D387" s="1302" t="e">
        <v>#N/A</v>
      </c>
      <c r="E387" s="1617" t="e">
        <f t="shared" si="17"/>
        <v>#N/A</v>
      </c>
      <c r="F387" s="612" t="e">
        <v>#N/A</v>
      </c>
      <c r="G387" s="1210" t="e">
        <v>#N/A</v>
      </c>
      <c r="H387" s="1181" t="e">
        <v>#N/A</v>
      </c>
      <c r="I387" s="1181" t="e">
        <v>#N/A</v>
      </c>
      <c r="J387" s="1302" t="e">
        <v>#N/A</v>
      </c>
      <c r="K387" s="1207" t="e">
        <f t="shared" si="18"/>
        <v>#N/A</v>
      </c>
      <c r="L387" s="1302" t="e">
        <v>#N/A</v>
      </c>
      <c r="M387" s="1203" t="e">
        <v>#N/A</v>
      </c>
    </row>
    <row r="388" spans="1:13">
      <c r="A388" s="49">
        <f t="shared" si="16"/>
        <v>2025.07</v>
      </c>
      <c r="B388" s="611" t="e">
        <v>#N/A</v>
      </c>
      <c r="C388" s="1614" t="e">
        <v>#N/A</v>
      </c>
      <c r="D388" s="1302" t="e">
        <v>#N/A</v>
      </c>
      <c r="E388" s="1617" t="e">
        <f t="shared" si="17"/>
        <v>#N/A</v>
      </c>
      <c r="F388" s="612" t="e">
        <v>#N/A</v>
      </c>
      <c r="G388" s="1210" t="e">
        <v>#N/A</v>
      </c>
      <c r="H388" s="1181" t="e">
        <v>#N/A</v>
      </c>
      <c r="I388" s="1181" t="e">
        <v>#N/A</v>
      </c>
      <c r="J388" s="1302" t="e">
        <v>#N/A</v>
      </c>
      <c r="K388" s="1207" t="e">
        <f t="shared" si="18"/>
        <v>#N/A</v>
      </c>
      <c r="L388" s="1302" t="e">
        <v>#N/A</v>
      </c>
      <c r="M388" s="1203" t="e">
        <v>#N/A</v>
      </c>
    </row>
    <row r="389" spans="1:13">
      <c r="A389" s="49">
        <f t="shared" si="16"/>
        <v>2025.08</v>
      </c>
      <c r="B389" s="611" t="e">
        <v>#N/A</v>
      </c>
      <c r="C389" s="1614" t="e">
        <v>#N/A</v>
      </c>
      <c r="D389" s="1302" t="e">
        <v>#N/A</v>
      </c>
      <c r="E389" s="1617" t="e">
        <f t="shared" si="17"/>
        <v>#N/A</v>
      </c>
      <c r="F389" s="612" t="e">
        <v>#N/A</v>
      </c>
      <c r="G389" s="1210" t="e">
        <v>#N/A</v>
      </c>
      <c r="H389" s="1181" t="e">
        <v>#N/A</v>
      </c>
      <c r="I389" s="1181" t="e">
        <v>#N/A</v>
      </c>
      <c r="J389" s="1302" t="e">
        <v>#N/A</v>
      </c>
      <c r="K389" s="1207" t="e">
        <f t="shared" si="18"/>
        <v>#N/A</v>
      </c>
      <c r="L389" s="1302" t="e">
        <v>#N/A</v>
      </c>
      <c r="M389" s="1203" t="e">
        <v>#N/A</v>
      </c>
    </row>
    <row r="390" spans="1:13">
      <c r="A390" s="49">
        <f t="shared" si="16"/>
        <v>2025.09</v>
      </c>
      <c r="B390" s="611" t="e">
        <v>#N/A</v>
      </c>
      <c r="C390" s="1614" t="e">
        <v>#N/A</v>
      </c>
      <c r="D390" s="1302" t="e">
        <v>#N/A</v>
      </c>
      <c r="E390" s="1617" t="e">
        <f t="shared" si="17"/>
        <v>#N/A</v>
      </c>
      <c r="F390" s="612" t="e">
        <v>#N/A</v>
      </c>
      <c r="G390" s="1210" t="e">
        <v>#N/A</v>
      </c>
      <c r="H390" s="1181" t="e">
        <v>#N/A</v>
      </c>
      <c r="I390" s="1181" t="e">
        <v>#N/A</v>
      </c>
      <c r="J390" s="1302" t="e">
        <v>#N/A</v>
      </c>
      <c r="K390" s="1207" t="e">
        <f t="shared" si="18"/>
        <v>#N/A</v>
      </c>
      <c r="L390" s="1302" t="e">
        <v>#N/A</v>
      </c>
      <c r="M390" s="1203" t="e">
        <v>#N/A</v>
      </c>
    </row>
    <row r="391" spans="1:13">
      <c r="A391" s="49">
        <f t="shared" si="16"/>
        <v>2025.1</v>
      </c>
      <c r="B391" s="611" t="e">
        <v>#N/A</v>
      </c>
      <c r="C391" s="1614" t="e">
        <v>#N/A</v>
      </c>
      <c r="D391" s="1302" t="e">
        <v>#N/A</v>
      </c>
      <c r="E391" s="1617" t="e">
        <f t="shared" si="17"/>
        <v>#N/A</v>
      </c>
      <c r="F391" s="612" t="e">
        <v>#N/A</v>
      </c>
      <c r="G391" s="1210" t="e">
        <v>#N/A</v>
      </c>
      <c r="H391" s="1181" t="e">
        <v>#N/A</v>
      </c>
      <c r="I391" s="1181" t="e">
        <v>#N/A</v>
      </c>
      <c r="J391" s="1302" t="e">
        <v>#N/A</v>
      </c>
      <c r="K391" s="1207" t="e">
        <f t="shared" si="18"/>
        <v>#N/A</v>
      </c>
      <c r="L391" s="1302" t="e">
        <v>#N/A</v>
      </c>
      <c r="M391" s="1203" t="e">
        <v>#N/A</v>
      </c>
    </row>
    <row r="392" spans="1:13">
      <c r="A392" s="49">
        <f t="shared" si="16"/>
        <v>2025.11</v>
      </c>
      <c r="B392" s="611" t="e">
        <v>#N/A</v>
      </c>
      <c r="C392" s="1614" t="e">
        <v>#N/A</v>
      </c>
      <c r="D392" s="1302" t="e">
        <v>#N/A</v>
      </c>
      <c r="E392" s="1617" t="e">
        <f t="shared" si="17"/>
        <v>#N/A</v>
      </c>
      <c r="F392" s="612" t="e">
        <v>#N/A</v>
      </c>
      <c r="G392" s="1210" t="e">
        <v>#N/A</v>
      </c>
      <c r="H392" s="1181" t="e">
        <v>#N/A</v>
      </c>
      <c r="I392" s="1181" t="e">
        <v>#N/A</v>
      </c>
      <c r="J392" s="1302" t="e">
        <v>#N/A</v>
      </c>
      <c r="K392" s="1207" t="e">
        <f t="shared" si="18"/>
        <v>#N/A</v>
      </c>
      <c r="L392" s="1302" t="e">
        <v>#N/A</v>
      </c>
      <c r="M392" s="1203" t="e">
        <v>#N/A</v>
      </c>
    </row>
    <row r="393" spans="1:13">
      <c r="A393" s="49">
        <f t="shared" si="16"/>
        <v>2025.12</v>
      </c>
      <c r="B393" s="611" t="e">
        <v>#N/A</v>
      </c>
      <c r="C393" s="1614" t="e">
        <v>#N/A</v>
      </c>
      <c r="D393" s="1302" t="e">
        <v>#N/A</v>
      </c>
      <c r="E393" s="1617" t="e">
        <f t="shared" si="17"/>
        <v>#N/A</v>
      </c>
      <c r="F393" s="612" t="e">
        <v>#N/A</v>
      </c>
      <c r="G393" s="1210" t="e">
        <v>#N/A</v>
      </c>
      <c r="H393" s="1181" t="e">
        <v>#N/A</v>
      </c>
      <c r="I393" s="1181" t="e">
        <v>#N/A</v>
      </c>
      <c r="J393" s="1302" t="e">
        <v>#N/A</v>
      </c>
      <c r="K393" s="1207" t="e">
        <f>H393/I393</f>
        <v>#N/A</v>
      </c>
      <c r="L393" s="1302" t="e">
        <v>#N/A</v>
      </c>
      <c r="M393" s="1203" t="e">
        <v>#N/A</v>
      </c>
    </row>
    <row r="394" spans="1:13">
      <c r="A394" s="49">
        <f t="shared" si="16"/>
        <v>2026.01</v>
      </c>
      <c r="B394" s="611" t="e">
        <v>#N/A</v>
      </c>
      <c r="C394" s="1614" t="e">
        <v>#N/A</v>
      </c>
      <c r="D394" s="1302" t="e">
        <v>#N/A</v>
      </c>
      <c r="E394" s="1617" t="e">
        <f t="shared" ref="E394:E453" si="19">B394/C394</f>
        <v>#N/A</v>
      </c>
      <c r="F394" s="612" t="e">
        <v>#N/A</v>
      </c>
      <c r="G394" s="1210" t="e">
        <v>#N/A</v>
      </c>
      <c r="H394" s="1181" t="e">
        <v>#N/A</v>
      </c>
      <c r="I394" s="1181" t="e">
        <v>#N/A</v>
      </c>
      <c r="J394" s="1302" t="e">
        <v>#N/A</v>
      </c>
      <c r="K394" s="1207" t="e">
        <f t="shared" ref="K394:K453" si="20">H394/I394</f>
        <v>#N/A</v>
      </c>
      <c r="L394" s="1302" t="e">
        <v>#N/A</v>
      </c>
      <c r="M394" s="1203" t="e">
        <v>#N/A</v>
      </c>
    </row>
    <row r="395" spans="1:13">
      <c r="A395" s="49">
        <f t="shared" si="16"/>
        <v>2026.02</v>
      </c>
      <c r="B395" s="611" t="e">
        <v>#N/A</v>
      </c>
      <c r="C395" s="1614" t="e">
        <v>#N/A</v>
      </c>
      <c r="D395" s="1302" t="e">
        <v>#N/A</v>
      </c>
      <c r="E395" s="1617" t="e">
        <f t="shared" si="19"/>
        <v>#N/A</v>
      </c>
      <c r="F395" s="612" t="e">
        <v>#N/A</v>
      </c>
      <c r="G395" s="1210" t="e">
        <v>#N/A</v>
      </c>
      <c r="H395" s="1181" t="e">
        <v>#N/A</v>
      </c>
      <c r="I395" s="1181" t="e">
        <v>#N/A</v>
      </c>
      <c r="J395" s="1302" t="e">
        <v>#N/A</v>
      </c>
      <c r="K395" s="1207" t="e">
        <f t="shared" si="20"/>
        <v>#N/A</v>
      </c>
      <c r="L395" s="1302" t="e">
        <v>#N/A</v>
      </c>
      <c r="M395" s="1203" t="e">
        <v>#N/A</v>
      </c>
    </row>
    <row r="396" spans="1:13">
      <c r="A396" s="49">
        <f t="shared" si="16"/>
        <v>2026.03</v>
      </c>
      <c r="B396" s="611" t="e">
        <v>#N/A</v>
      </c>
      <c r="C396" s="1614" t="e">
        <v>#N/A</v>
      </c>
      <c r="D396" s="1302" t="e">
        <v>#N/A</v>
      </c>
      <c r="E396" s="1617" t="e">
        <f t="shared" si="19"/>
        <v>#N/A</v>
      </c>
      <c r="F396" s="612" t="e">
        <v>#N/A</v>
      </c>
      <c r="G396" s="1210" t="e">
        <v>#N/A</v>
      </c>
      <c r="H396" s="1181" t="e">
        <v>#N/A</v>
      </c>
      <c r="I396" s="1181" t="e">
        <v>#N/A</v>
      </c>
      <c r="J396" s="1302" t="e">
        <v>#N/A</v>
      </c>
      <c r="K396" s="1207" t="e">
        <f t="shared" si="20"/>
        <v>#N/A</v>
      </c>
      <c r="L396" s="1302" t="e">
        <v>#N/A</v>
      </c>
      <c r="M396" s="1203" t="e">
        <v>#N/A</v>
      </c>
    </row>
    <row r="397" spans="1:13">
      <c r="A397" s="49">
        <f t="shared" si="16"/>
        <v>2026.04</v>
      </c>
      <c r="B397" s="611" t="e">
        <v>#N/A</v>
      </c>
      <c r="C397" s="1614" t="e">
        <v>#N/A</v>
      </c>
      <c r="D397" s="1302" t="e">
        <v>#N/A</v>
      </c>
      <c r="E397" s="1617" t="e">
        <f t="shared" si="19"/>
        <v>#N/A</v>
      </c>
      <c r="F397" s="612" t="e">
        <v>#N/A</v>
      </c>
      <c r="G397" s="1210" t="e">
        <v>#N/A</v>
      </c>
      <c r="H397" s="1181" t="e">
        <v>#N/A</v>
      </c>
      <c r="I397" s="1181" t="e">
        <v>#N/A</v>
      </c>
      <c r="J397" s="1302" t="e">
        <v>#N/A</v>
      </c>
      <c r="K397" s="1207" t="e">
        <f t="shared" si="20"/>
        <v>#N/A</v>
      </c>
      <c r="L397" s="1302" t="e">
        <v>#N/A</v>
      </c>
      <c r="M397" s="1203" t="e">
        <v>#N/A</v>
      </c>
    </row>
    <row r="398" spans="1:13">
      <c r="A398" s="49">
        <f t="shared" si="16"/>
        <v>2026.05</v>
      </c>
      <c r="B398" s="611" t="e">
        <v>#N/A</v>
      </c>
      <c r="C398" s="1614" t="e">
        <v>#N/A</v>
      </c>
      <c r="D398" s="1302" t="e">
        <v>#N/A</v>
      </c>
      <c r="E398" s="1617" t="e">
        <f t="shared" si="19"/>
        <v>#N/A</v>
      </c>
      <c r="F398" s="612" t="e">
        <v>#N/A</v>
      </c>
      <c r="G398" s="1210" t="e">
        <v>#N/A</v>
      </c>
      <c r="H398" s="1181" t="e">
        <v>#N/A</v>
      </c>
      <c r="I398" s="1181" t="e">
        <v>#N/A</v>
      </c>
      <c r="J398" s="1302" t="e">
        <v>#N/A</v>
      </c>
      <c r="K398" s="1207" t="e">
        <f t="shared" si="20"/>
        <v>#N/A</v>
      </c>
      <c r="L398" s="1302" t="e">
        <v>#N/A</v>
      </c>
      <c r="M398" s="1203" t="e">
        <v>#N/A</v>
      </c>
    </row>
    <row r="399" spans="1:13">
      <c r="A399" s="49">
        <f t="shared" si="16"/>
        <v>2026.06</v>
      </c>
      <c r="B399" s="611" t="e">
        <v>#N/A</v>
      </c>
      <c r="C399" s="1614" t="e">
        <v>#N/A</v>
      </c>
      <c r="D399" s="1302" t="e">
        <v>#N/A</v>
      </c>
      <c r="E399" s="1617" t="e">
        <f t="shared" si="19"/>
        <v>#N/A</v>
      </c>
      <c r="F399" s="612" t="e">
        <v>#N/A</v>
      </c>
      <c r="G399" s="1210" t="e">
        <v>#N/A</v>
      </c>
      <c r="H399" s="1181" t="e">
        <v>#N/A</v>
      </c>
      <c r="I399" s="1181" t="e">
        <v>#N/A</v>
      </c>
      <c r="J399" s="1302" t="e">
        <v>#N/A</v>
      </c>
      <c r="K399" s="1207" t="e">
        <f t="shared" si="20"/>
        <v>#N/A</v>
      </c>
      <c r="L399" s="1302" t="e">
        <v>#N/A</v>
      </c>
      <c r="M399" s="1203" t="e">
        <v>#N/A</v>
      </c>
    </row>
    <row r="400" spans="1:13">
      <c r="A400" s="49">
        <f t="shared" si="16"/>
        <v>2026.07</v>
      </c>
      <c r="B400" s="611" t="e">
        <v>#N/A</v>
      </c>
      <c r="C400" s="1614" t="e">
        <v>#N/A</v>
      </c>
      <c r="D400" s="1302" t="e">
        <v>#N/A</v>
      </c>
      <c r="E400" s="1617" t="e">
        <f t="shared" si="19"/>
        <v>#N/A</v>
      </c>
      <c r="F400" s="612" t="e">
        <v>#N/A</v>
      </c>
      <c r="G400" s="1210" t="e">
        <v>#N/A</v>
      </c>
      <c r="H400" s="1181" t="e">
        <v>#N/A</v>
      </c>
      <c r="I400" s="1181" t="e">
        <v>#N/A</v>
      </c>
      <c r="J400" s="1302" t="e">
        <v>#N/A</v>
      </c>
      <c r="K400" s="1207" t="e">
        <f t="shared" si="20"/>
        <v>#N/A</v>
      </c>
      <c r="L400" s="1302" t="e">
        <v>#N/A</v>
      </c>
      <c r="M400" s="1203" t="e">
        <v>#N/A</v>
      </c>
    </row>
    <row r="401" spans="1:13">
      <c r="A401" s="49">
        <f t="shared" si="16"/>
        <v>2026.08</v>
      </c>
      <c r="B401" s="611" t="e">
        <v>#N/A</v>
      </c>
      <c r="C401" s="1614" t="e">
        <v>#N/A</v>
      </c>
      <c r="D401" s="1302" t="e">
        <v>#N/A</v>
      </c>
      <c r="E401" s="1617" t="e">
        <f t="shared" si="19"/>
        <v>#N/A</v>
      </c>
      <c r="F401" s="612" t="e">
        <v>#N/A</v>
      </c>
      <c r="G401" s="1210" t="e">
        <v>#N/A</v>
      </c>
      <c r="H401" s="1181" t="e">
        <v>#N/A</v>
      </c>
      <c r="I401" s="1181" t="e">
        <v>#N/A</v>
      </c>
      <c r="J401" s="1302" t="e">
        <v>#N/A</v>
      </c>
      <c r="K401" s="1207" t="e">
        <f t="shared" si="20"/>
        <v>#N/A</v>
      </c>
      <c r="L401" s="1302" t="e">
        <v>#N/A</v>
      </c>
      <c r="M401" s="1203" t="e">
        <v>#N/A</v>
      </c>
    </row>
    <row r="402" spans="1:13">
      <c r="A402" s="49">
        <f t="shared" si="16"/>
        <v>2026.09</v>
      </c>
      <c r="B402" s="611" t="e">
        <v>#N/A</v>
      </c>
      <c r="C402" s="1614" t="e">
        <v>#N/A</v>
      </c>
      <c r="D402" s="1302" t="e">
        <v>#N/A</v>
      </c>
      <c r="E402" s="1617" t="e">
        <f t="shared" si="19"/>
        <v>#N/A</v>
      </c>
      <c r="F402" s="612" t="e">
        <v>#N/A</v>
      </c>
      <c r="G402" s="1210" t="e">
        <v>#N/A</v>
      </c>
      <c r="H402" s="1181" t="e">
        <v>#N/A</v>
      </c>
      <c r="I402" s="1181" t="e">
        <v>#N/A</v>
      </c>
      <c r="J402" s="1302" t="e">
        <v>#N/A</v>
      </c>
      <c r="K402" s="1207" t="e">
        <f t="shared" si="20"/>
        <v>#N/A</v>
      </c>
      <c r="L402" s="1302" t="e">
        <v>#N/A</v>
      </c>
      <c r="M402" s="1203" t="e">
        <v>#N/A</v>
      </c>
    </row>
    <row r="403" spans="1:13">
      <c r="A403" s="49">
        <f t="shared" si="16"/>
        <v>2026.1</v>
      </c>
      <c r="B403" s="611" t="e">
        <v>#N/A</v>
      </c>
      <c r="C403" s="1614" t="e">
        <v>#N/A</v>
      </c>
      <c r="D403" s="1302" t="e">
        <v>#N/A</v>
      </c>
      <c r="E403" s="1617" t="e">
        <f t="shared" si="19"/>
        <v>#N/A</v>
      </c>
      <c r="F403" s="612" t="e">
        <v>#N/A</v>
      </c>
      <c r="G403" s="1210" t="e">
        <v>#N/A</v>
      </c>
      <c r="H403" s="1181" t="e">
        <v>#N/A</v>
      </c>
      <c r="I403" s="1181" t="e">
        <v>#N/A</v>
      </c>
      <c r="J403" s="1302" t="e">
        <v>#N/A</v>
      </c>
      <c r="K403" s="1207" t="e">
        <f t="shared" si="20"/>
        <v>#N/A</v>
      </c>
      <c r="L403" s="1302" t="e">
        <v>#N/A</v>
      </c>
      <c r="M403" s="1203" t="e">
        <v>#N/A</v>
      </c>
    </row>
    <row r="404" spans="1:13">
      <c r="A404" s="49">
        <f t="shared" si="16"/>
        <v>2026.11</v>
      </c>
      <c r="B404" s="611" t="e">
        <v>#N/A</v>
      </c>
      <c r="C404" s="1614" t="e">
        <v>#N/A</v>
      </c>
      <c r="D404" s="1302" t="e">
        <v>#N/A</v>
      </c>
      <c r="E404" s="1617" t="e">
        <f t="shared" si="19"/>
        <v>#N/A</v>
      </c>
      <c r="F404" s="612" t="e">
        <v>#N/A</v>
      </c>
      <c r="G404" s="1210" t="e">
        <v>#N/A</v>
      </c>
      <c r="H404" s="1181" t="e">
        <v>#N/A</v>
      </c>
      <c r="I404" s="1181" t="e">
        <v>#N/A</v>
      </c>
      <c r="J404" s="1302" t="e">
        <v>#N/A</v>
      </c>
      <c r="K404" s="1207" t="e">
        <f t="shared" si="20"/>
        <v>#N/A</v>
      </c>
      <c r="L404" s="1302" t="e">
        <v>#N/A</v>
      </c>
      <c r="M404" s="1203" t="e">
        <v>#N/A</v>
      </c>
    </row>
    <row r="405" spans="1:13">
      <c r="A405" s="49">
        <f t="shared" si="16"/>
        <v>2026.12</v>
      </c>
      <c r="B405" s="611" t="e">
        <v>#N/A</v>
      </c>
      <c r="C405" s="1614" t="e">
        <v>#N/A</v>
      </c>
      <c r="D405" s="1302" t="e">
        <v>#N/A</v>
      </c>
      <c r="E405" s="1617" t="e">
        <f t="shared" si="19"/>
        <v>#N/A</v>
      </c>
      <c r="F405" s="612" t="e">
        <v>#N/A</v>
      </c>
      <c r="G405" s="1210" t="e">
        <v>#N/A</v>
      </c>
      <c r="H405" s="1181" t="e">
        <v>#N/A</v>
      </c>
      <c r="I405" s="1181" t="e">
        <v>#N/A</v>
      </c>
      <c r="J405" s="1302" t="e">
        <v>#N/A</v>
      </c>
      <c r="K405" s="1207" t="e">
        <f t="shared" si="20"/>
        <v>#N/A</v>
      </c>
      <c r="L405" s="1302" t="e">
        <v>#N/A</v>
      </c>
      <c r="M405" s="1203" t="e">
        <v>#N/A</v>
      </c>
    </row>
    <row r="406" spans="1:13">
      <c r="A406" s="49">
        <f t="shared" si="16"/>
        <v>2027.01</v>
      </c>
      <c r="B406" s="611" t="e">
        <v>#N/A</v>
      </c>
      <c r="C406" s="1614" t="e">
        <v>#N/A</v>
      </c>
      <c r="D406" s="1302" t="e">
        <v>#N/A</v>
      </c>
      <c r="E406" s="1617" t="e">
        <f t="shared" si="19"/>
        <v>#N/A</v>
      </c>
      <c r="F406" s="612" t="e">
        <v>#N/A</v>
      </c>
      <c r="G406" s="1210" t="e">
        <v>#N/A</v>
      </c>
      <c r="H406" s="1181" t="e">
        <v>#N/A</v>
      </c>
      <c r="I406" s="1181" t="e">
        <v>#N/A</v>
      </c>
      <c r="J406" s="1302" t="e">
        <v>#N/A</v>
      </c>
      <c r="K406" s="1207" t="e">
        <f t="shared" si="20"/>
        <v>#N/A</v>
      </c>
      <c r="L406" s="1302" t="e">
        <v>#N/A</v>
      </c>
      <c r="M406" s="1203" t="e">
        <v>#N/A</v>
      </c>
    </row>
    <row r="407" spans="1:13">
      <c r="A407" s="49">
        <f t="shared" si="16"/>
        <v>2027.02</v>
      </c>
      <c r="B407" s="611" t="e">
        <v>#N/A</v>
      </c>
      <c r="C407" s="1614" t="e">
        <v>#N/A</v>
      </c>
      <c r="D407" s="1302" t="e">
        <v>#N/A</v>
      </c>
      <c r="E407" s="1617" t="e">
        <f t="shared" si="19"/>
        <v>#N/A</v>
      </c>
      <c r="F407" s="612" t="e">
        <v>#N/A</v>
      </c>
      <c r="G407" s="1210" t="e">
        <v>#N/A</v>
      </c>
      <c r="H407" s="1181" t="e">
        <v>#N/A</v>
      </c>
      <c r="I407" s="1181" t="e">
        <v>#N/A</v>
      </c>
      <c r="J407" s="1302" t="e">
        <v>#N/A</v>
      </c>
      <c r="K407" s="1207" t="e">
        <f t="shared" si="20"/>
        <v>#N/A</v>
      </c>
      <c r="L407" s="1302" t="e">
        <v>#N/A</v>
      </c>
      <c r="M407" s="1203" t="e">
        <v>#N/A</v>
      </c>
    </row>
    <row r="408" spans="1:13">
      <c r="A408" s="49">
        <f t="shared" si="16"/>
        <v>2027.03</v>
      </c>
      <c r="B408" s="611" t="e">
        <v>#N/A</v>
      </c>
      <c r="C408" s="1614" t="e">
        <v>#N/A</v>
      </c>
      <c r="D408" s="1302" t="e">
        <v>#N/A</v>
      </c>
      <c r="E408" s="1617" t="e">
        <f t="shared" si="19"/>
        <v>#N/A</v>
      </c>
      <c r="F408" s="612" t="e">
        <v>#N/A</v>
      </c>
      <c r="G408" s="1210" t="e">
        <v>#N/A</v>
      </c>
      <c r="H408" s="1181" t="e">
        <v>#N/A</v>
      </c>
      <c r="I408" s="1181" t="e">
        <v>#N/A</v>
      </c>
      <c r="J408" s="1302" t="e">
        <v>#N/A</v>
      </c>
      <c r="K408" s="1207" t="e">
        <f t="shared" si="20"/>
        <v>#N/A</v>
      </c>
      <c r="L408" s="1302" t="e">
        <v>#N/A</v>
      </c>
      <c r="M408" s="1203" t="e">
        <v>#N/A</v>
      </c>
    </row>
    <row r="409" spans="1:13">
      <c r="A409" s="49">
        <f t="shared" si="16"/>
        <v>2027.04</v>
      </c>
      <c r="B409" s="611" t="e">
        <v>#N/A</v>
      </c>
      <c r="C409" s="1614" t="e">
        <v>#N/A</v>
      </c>
      <c r="D409" s="1302" t="e">
        <v>#N/A</v>
      </c>
      <c r="E409" s="1617" t="e">
        <f t="shared" si="19"/>
        <v>#N/A</v>
      </c>
      <c r="F409" s="612" t="e">
        <v>#N/A</v>
      </c>
      <c r="G409" s="1210" t="e">
        <v>#N/A</v>
      </c>
      <c r="H409" s="1181" t="e">
        <v>#N/A</v>
      </c>
      <c r="I409" s="1181" t="e">
        <v>#N/A</v>
      </c>
      <c r="J409" s="1302" t="e">
        <v>#N/A</v>
      </c>
      <c r="K409" s="1207" t="e">
        <f t="shared" si="20"/>
        <v>#N/A</v>
      </c>
      <c r="L409" s="1302" t="e">
        <v>#N/A</v>
      </c>
      <c r="M409" s="1203" t="e">
        <v>#N/A</v>
      </c>
    </row>
    <row r="410" spans="1:13">
      <c r="A410" s="49">
        <f t="shared" si="16"/>
        <v>2027.05</v>
      </c>
      <c r="B410" s="611" t="e">
        <v>#N/A</v>
      </c>
      <c r="C410" s="1614" t="e">
        <v>#N/A</v>
      </c>
      <c r="D410" s="1302" t="e">
        <v>#N/A</v>
      </c>
      <c r="E410" s="1617" t="e">
        <f t="shared" si="19"/>
        <v>#N/A</v>
      </c>
      <c r="F410" s="612" t="e">
        <v>#N/A</v>
      </c>
      <c r="G410" s="1210" t="e">
        <v>#N/A</v>
      </c>
      <c r="H410" s="1181" t="e">
        <v>#N/A</v>
      </c>
      <c r="I410" s="1181" t="e">
        <v>#N/A</v>
      </c>
      <c r="J410" s="1302" t="e">
        <v>#N/A</v>
      </c>
      <c r="K410" s="1207" t="e">
        <f t="shared" si="20"/>
        <v>#N/A</v>
      </c>
      <c r="L410" s="1302" t="e">
        <v>#N/A</v>
      </c>
      <c r="M410" s="1203" t="e">
        <v>#N/A</v>
      </c>
    </row>
    <row r="411" spans="1:13">
      <c r="A411" s="49">
        <f t="shared" si="16"/>
        <v>2027.06</v>
      </c>
      <c r="B411" s="611" t="e">
        <v>#N/A</v>
      </c>
      <c r="C411" s="1614" t="e">
        <v>#N/A</v>
      </c>
      <c r="D411" s="1302" t="e">
        <v>#N/A</v>
      </c>
      <c r="E411" s="1617" t="e">
        <f t="shared" si="19"/>
        <v>#N/A</v>
      </c>
      <c r="F411" s="612" t="e">
        <v>#N/A</v>
      </c>
      <c r="G411" s="1210" t="e">
        <v>#N/A</v>
      </c>
      <c r="H411" s="1181" t="e">
        <v>#N/A</v>
      </c>
      <c r="I411" s="1181" t="e">
        <v>#N/A</v>
      </c>
      <c r="J411" s="1302" t="e">
        <v>#N/A</v>
      </c>
      <c r="K411" s="1207" t="e">
        <f t="shared" si="20"/>
        <v>#N/A</v>
      </c>
      <c r="L411" s="1302" t="e">
        <v>#N/A</v>
      </c>
      <c r="M411" s="1203" t="e">
        <v>#N/A</v>
      </c>
    </row>
    <row r="412" spans="1:13">
      <c r="A412" s="49">
        <f t="shared" si="16"/>
        <v>2027.07</v>
      </c>
      <c r="B412" s="611" t="e">
        <v>#N/A</v>
      </c>
      <c r="C412" s="1614" t="e">
        <v>#N/A</v>
      </c>
      <c r="D412" s="1302" t="e">
        <v>#N/A</v>
      </c>
      <c r="E412" s="1617" t="e">
        <f t="shared" si="19"/>
        <v>#N/A</v>
      </c>
      <c r="F412" s="612" t="e">
        <v>#N/A</v>
      </c>
      <c r="G412" s="1210" t="e">
        <v>#N/A</v>
      </c>
      <c r="H412" s="1181" t="e">
        <v>#N/A</v>
      </c>
      <c r="I412" s="1181" t="e">
        <v>#N/A</v>
      </c>
      <c r="J412" s="1302" t="e">
        <v>#N/A</v>
      </c>
      <c r="K412" s="1207" t="e">
        <f t="shared" si="20"/>
        <v>#N/A</v>
      </c>
      <c r="L412" s="1302" t="e">
        <v>#N/A</v>
      </c>
      <c r="M412" s="1203" t="e">
        <v>#N/A</v>
      </c>
    </row>
    <row r="413" spans="1:13">
      <c r="A413" s="49">
        <f t="shared" si="16"/>
        <v>2027.08</v>
      </c>
      <c r="B413" s="611" t="e">
        <v>#N/A</v>
      </c>
      <c r="C413" s="1614" t="e">
        <v>#N/A</v>
      </c>
      <c r="D413" s="1302" t="e">
        <v>#N/A</v>
      </c>
      <c r="E413" s="1617" t="e">
        <f t="shared" si="19"/>
        <v>#N/A</v>
      </c>
      <c r="F413" s="612" t="e">
        <v>#N/A</v>
      </c>
      <c r="G413" s="1210" t="e">
        <v>#N/A</v>
      </c>
      <c r="H413" s="1181" t="e">
        <v>#N/A</v>
      </c>
      <c r="I413" s="1181" t="e">
        <v>#N/A</v>
      </c>
      <c r="J413" s="1302" t="e">
        <v>#N/A</v>
      </c>
      <c r="K413" s="1207" t="e">
        <f t="shared" si="20"/>
        <v>#N/A</v>
      </c>
      <c r="L413" s="1302" t="e">
        <v>#N/A</v>
      </c>
      <c r="M413" s="1203" t="e">
        <v>#N/A</v>
      </c>
    </row>
    <row r="414" spans="1:13">
      <c r="A414" s="49">
        <f t="shared" si="16"/>
        <v>2027.09</v>
      </c>
      <c r="B414" s="611" t="e">
        <v>#N/A</v>
      </c>
      <c r="C414" s="1614" t="e">
        <v>#N/A</v>
      </c>
      <c r="D414" s="1302" t="e">
        <v>#N/A</v>
      </c>
      <c r="E414" s="1617" t="e">
        <f t="shared" si="19"/>
        <v>#N/A</v>
      </c>
      <c r="F414" s="612" t="e">
        <v>#N/A</v>
      </c>
      <c r="G414" s="1210" t="e">
        <v>#N/A</v>
      </c>
      <c r="H414" s="1181" t="e">
        <v>#N/A</v>
      </c>
      <c r="I414" s="1181" t="e">
        <v>#N/A</v>
      </c>
      <c r="J414" s="1302" t="e">
        <v>#N/A</v>
      </c>
      <c r="K414" s="1207" t="e">
        <f t="shared" si="20"/>
        <v>#N/A</v>
      </c>
      <c r="L414" s="1302" t="e">
        <v>#N/A</v>
      </c>
      <c r="M414" s="1203" t="e">
        <v>#N/A</v>
      </c>
    </row>
    <row r="415" spans="1:13">
      <c r="A415" s="49">
        <f t="shared" si="16"/>
        <v>2027.1</v>
      </c>
      <c r="B415" s="611" t="e">
        <v>#N/A</v>
      </c>
      <c r="C415" s="1614" t="e">
        <v>#N/A</v>
      </c>
      <c r="D415" s="1302" t="e">
        <v>#N/A</v>
      </c>
      <c r="E415" s="1617" t="e">
        <f t="shared" si="19"/>
        <v>#N/A</v>
      </c>
      <c r="F415" s="612" t="e">
        <v>#N/A</v>
      </c>
      <c r="G415" s="1210" t="e">
        <v>#N/A</v>
      </c>
      <c r="H415" s="1181" t="e">
        <v>#N/A</v>
      </c>
      <c r="I415" s="1181" t="e">
        <v>#N/A</v>
      </c>
      <c r="J415" s="1302" t="e">
        <v>#N/A</v>
      </c>
      <c r="K415" s="1207" t="e">
        <f t="shared" si="20"/>
        <v>#N/A</v>
      </c>
      <c r="L415" s="1302" t="e">
        <v>#N/A</v>
      </c>
      <c r="M415" s="1203" t="e">
        <v>#N/A</v>
      </c>
    </row>
    <row r="416" spans="1:13">
      <c r="A416" s="49">
        <f t="shared" si="16"/>
        <v>2027.11</v>
      </c>
      <c r="B416" s="611" t="e">
        <v>#N/A</v>
      </c>
      <c r="C416" s="1614" t="e">
        <v>#N/A</v>
      </c>
      <c r="D416" s="1302" t="e">
        <v>#N/A</v>
      </c>
      <c r="E416" s="1617" t="e">
        <f t="shared" si="19"/>
        <v>#N/A</v>
      </c>
      <c r="F416" s="612" t="e">
        <v>#N/A</v>
      </c>
      <c r="G416" s="1210" t="e">
        <v>#N/A</v>
      </c>
      <c r="H416" s="1181" t="e">
        <v>#N/A</v>
      </c>
      <c r="I416" s="1181" t="e">
        <v>#N/A</v>
      </c>
      <c r="J416" s="1302" t="e">
        <v>#N/A</v>
      </c>
      <c r="K416" s="1207" t="e">
        <f t="shared" si="20"/>
        <v>#N/A</v>
      </c>
      <c r="L416" s="1302" t="e">
        <v>#N/A</v>
      </c>
      <c r="M416" s="1203" t="e">
        <v>#N/A</v>
      </c>
    </row>
    <row r="417" spans="1:13">
      <c r="A417" s="49">
        <f t="shared" si="16"/>
        <v>2027.12</v>
      </c>
      <c r="B417" s="611" t="e">
        <v>#N/A</v>
      </c>
      <c r="C417" s="1614" t="e">
        <v>#N/A</v>
      </c>
      <c r="D417" s="1302" t="e">
        <v>#N/A</v>
      </c>
      <c r="E417" s="1617" t="e">
        <f t="shared" si="19"/>
        <v>#N/A</v>
      </c>
      <c r="F417" s="612" t="e">
        <v>#N/A</v>
      </c>
      <c r="G417" s="1210" t="e">
        <v>#N/A</v>
      </c>
      <c r="H417" s="1181" t="e">
        <v>#N/A</v>
      </c>
      <c r="I417" s="1181" t="e">
        <v>#N/A</v>
      </c>
      <c r="J417" s="1302" t="e">
        <v>#N/A</v>
      </c>
      <c r="K417" s="1207" t="e">
        <f t="shared" si="20"/>
        <v>#N/A</v>
      </c>
      <c r="L417" s="1302" t="e">
        <v>#N/A</v>
      </c>
      <c r="M417" s="1203" t="e">
        <v>#N/A</v>
      </c>
    </row>
    <row r="418" spans="1:13">
      <c r="A418" s="49">
        <f t="shared" si="16"/>
        <v>2028.01</v>
      </c>
      <c r="B418" s="611" t="e">
        <v>#N/A</v>
      </c>
      <c r="C418" s="1614" t="e">
        <v>#N/A</v>
      </c>
      <c r="D418" s="1302" t="e">
        <v>#N/A</v>
      </c>
      <c r="E418" s="1617" t="e">
        <f t="shared" si="19"/>
        <v>#N/A</v>
      </c>
      <c r="F418" s="612" t="e">
        <v>#N/A</v>
      </c>
      <c r="G418" s="1210" t="e">
        <v>#N/A</v>
      </c>
      <c r="H418" s="1181" t="e">
        <v>#N/A</v>
      </c>
      <c r="I418" s="1181" t="e">
        <v>#N/A</v>
      </c>
      <c r="J418" s="1302" t="e">
        <v>#N/A</v>
      </c>
      <c r="K418" s="1207" t="e">
        <f t="shared" si="20"/>
        <v>#N/A</v>
      </c>
      <c r="L418" s="1302" t="e">
        <v>#N/A</v>
      </c>
      <c r="M418" s="1203" t="e">
        <v>#N/A</v>
      </c>
    </row>
    <row r="419" spans="1:13">
      <c r="A419" s="49">
        <f t="shared" si="16"/>
        <v>2028.02</v>
      </c>
      <c r="B419" s="611" t="e">
        <v>#N/A</v>
      </c>
      <c r="C419" s="1614" t="e">
        <v>#N/A</v>
      </c>
      <c r="D419" s="1302" t="e">
        <v>#N/A</v>
      </c>
      <c r="E419" s="1617" t="e">
        <f t="shared" si="19"/>
        <v>#N/A</v>
      </c>
      <c r="F419" s="612" t="e">
        <v>#N/A</v>
      </c>
      <c r="G419" s="1210" t="e">
        <v>#N/A</v>
      </c>
      <c r="H419" s="1181" t="e">
        <v>#N/A</v>
      </c>
      <c r="I419" s="1181" t="e">
        <v>#N/A</v>
      </c>
      <c r="J419" s="1302" t="e">
        <v>#N/A</v>
      </c>
      <c r="K419" s="1207" t="e">
        <f t="shared" si="20"/>
        <v>#N/A</v>
      </c>
      <c r="L419" s="1302" t="e">
        <v>#N/A</v>
      </c>
      <c r="M419" s="1203" t="e">
        <v>#N/A</v>
      </c>
    </row>
    <row r="420" spans="1:13">
      <c r="A420" s="49">
        <f t="shared" si="16"/>
        <v>2028.03</v>
      </c>
      <c r="B420" s="611" t="e">
        <v>#N/A</v>
      </c>
      <c r="C420" s="1614" t="e">
        <v>#N/A</v>
      </c>
      <c r="D420" s="1302" t="e">
        <v>#N/A</v>
      </c>
      <c r="E420" s="1617" t="e">
        <f t="shared" si="19"/>
        <v>#N/A</v>
      </c>
      <c r="F420" s="612" t="e">
        <v>#N/A</v>
      </c>
      <c r="G420" s="1210" t="e">
        <v>#N/A</v>
      </c>
      <c r="H420" s="1181" t="e">
        <v>#N/A</v>
      </c>
      <c r="I420" s="1181" t="e">
        <v>#N/A</v>
      </c>
      <c r="J420" s="1302" t="e">
        <v>#N/A</v>
      </c>
      <c r="K420" s="1207" t="e">
        <f t="shared" si="20"/>
        <v>#N/A</v>
      </c>
      <c r="L420" s="1302" t="e">
        <v>#N/A</v>
      </c>
      <c r="M420" s="1203" t="e">
        <v>#N/A</v>
      </c>
    </row>
    <row r="421" spans="1:13">
      <c r="A421" s="49">
        <f t="shared" si="16"/>
        <v>2028.04</v>
      </c>
      <c r="B421" s="611" t="e">
        <v>#N/A</v>
      </c>
      <c r="C421" s="1614" t="e">
        <v>#N/A</v>
      </c>
      <c r="D421" s="1302" t="e">
        <v>#N/A</v>
      </c>
      <c r="E421" s="1617" t="e">
        <f t="shared" si="19"/>
        <v>#N/A</v>
      </c>
      <c r="F421" s="612" t="e">
        <v>#N/A</v>
      </c>
      <c r="G421" s="1210" t="e">
        <v>#N/A</v>
      </c>
      <c r="H421" s="1181" t="e">
        <v>#N/A</v>
      </c>
      <c r="I421" s="1181" t="e">
        <v>#N/A</v>
      </c>
      <c r="J421" s="1302" t="e">
        <v>#N/A</v>
      </c>
      <c r="K421" s="1207" t="e">
        <f t="shared" si="20"/>
        <v>#N/A</v>
      </c>
      <c r="L421" s="1302" t="e">
        <v>#N/A</v>
      </c>
      <c r="M421" s="1203" t="e">
        <v>#N/A</v>
      </c>
    </row>
    <row r="422" spans="1:13">
      <c r="A422" s="49">
        <f t="shared" si="16"/>
        <v>2028.05</v>
      </c>
      <c r="B422" s="611" t="e">
        <v>#N/A</v>
      </c>
      <c r="C422" s="1614" t="e">
        <v>#N/A</v>
      </c>
      <c r="D422" s="1302" t="e">
        <v>#N/A</v>
      </c>
      <c r="E422" s="1617" t="e">
        <f t="shared" si="19"/>
        <v>#N/A</v>
      </c>
      <c r="F422" s="612" t="e">
        <v>#N/A</v>
      </c>
      <c r="G422" s="1210" t="e">
        <v>#N/A</v>
      </c>
      <c r="H422" s="1181" t="e">
        <v>#N/A</v>
      </c>
      <c r="I422" s="1181" t="e">
        <v>#N/A</v>
      </c>
      <c r="J422" s="1302" t="e">
        <v>#N/A</v>
      </c>
      <c r="K422" s="1207" t="e">
        <f t="shared" si="20"/>
        <v>#N/A</v>
      </c>
      <c r="L422" s="1302" t="e">
        <v>#N/A</v>
      </c>
      <c r="M422" s="1203" t="e">
        <v>#N/A</v>
      </c>
    </row>
    <row r="423" spans="1:13">
      <c r="A423" s="49">
        <f t="shared" si="16"/>
        <v>2028.06</v>
      </c>
      <c r="B423" s="611" t="e">
        <v>#N/A</v>
      </c>
      <c r="C423" s="1614" t="e">
        <v>#N/A</v>
      </c>
      <c r="D423" s="1302" t="e">
        <v>#N/A</v>
      </c>
      <c r="E423" s="1617" t="e">
        <f t="shared" si="19"/>
        <v>#N/A</v>
      </c>
      <c r="F423" s="612" t="e">
        <v>#N/A</v>
      </c>
      <c r="G423" s="1210" t="e">
        <v>#N/A</v>
      </c>
      <c r="H423" s="1181" t="e">
        <v>#N/A</v>
      </c>
      <c r="I423" s="1181" t="e">
        <v>#N/A</v>
      </c>
      <c r="J423" s="1302" t="e">
        <v>#N/A</v>
      </c>
      <c r="K423" s="1207" t="e">
        <f t="shared" si="20"/>
        <v>#N/A</v>
      </c>
      <c r="L423" s="1302" t="e">
        <v>#N/A</v>
      </c>
      <c r="M423" s="1203" t="e">
        <v>#N/A</v>
      </c>
    </row>
    <row r="424" spans="1:13">
      <c r="A424" s="49">
        <f t="shared" si="16"/>
        <v>2028.07</v>
      </c>
      <c r="B424" s="611" t="e">
        <v>#N/A</v>
      </c>
      <c r="C424" s="1614" t="e">
        <v>#N/A</v>
      </c>
      <c r="D424" s="1302" t="e">
        <v>#N/A</v>
      </c>
      <c r="E424" s="1617" t="e">
        <f t="shared" si="19"/>
        <v>#N/A</v>
      </c>
      <c r="F424" s="612" t="e">
        <v>#N/A</v>
      </c>
      <c r="G424" s="1210" t="e">
        <v>#N/A</v>
      </c>
      <c r="H424" s="1181" t="e">
        <v>#N/A</v>
      </c>
      <c r="I424" s="1181" t="e">
        <v>#N/A</v>
      </c>
      <c r="J424" s="1302" t="e">
        <v>#N/A</v>
      </c>
      <c r="K424" s="1207" t="e">
        <f t="shared" si="20"/>
        <v>#N/A</v>
      </c>
      <c r="L424" s="1302" t="e">
        <v>#N/A</v>
      </c>
      <c r="M424" s="1203" t="e">
        <v>#N/A</v>
      </c>
    </row>
    <row r="425" spans="1:13">
      <c r="A425" s="49">
        <f t="shared" si="16"/>
        <v>2028.08</v>
      </c>
      <c r="B425" s="611" t="e">
        <v>#N/A</v>
      </c>
      <c r="C425" s="1614" t="e">
        <v>#N/A</v>
      </c>
      <c r="D425" s="1302" t="e">
        <v>#N/A</v>
      </c>
      <c r="E425" s="1617" t="e">
        <f t="shared" si="19"/>
        <v>#N/A</v>
      </c>
      <c r="F425" s="612" t="e">
        <v>#N/A</v>
      </c>
      <c r="G425" s="1210" t="e">
        <v>#N/A</v>
      </c>
      <c r="H425" s="1181" t="e">
        <v>#N/A</v>
      </c>
      <c r="I425" s="1181" t="e">
        <v>#N/A</v>
      </c>
      <c r="J425" s="1302" t="e">
        <v>#N/A</v>
      </c>
      <c r="K425" s="1207" t="e">
        <f t="shared" si="20"/>
        <v>#N/A</v>
      </c>
      <c r="L425" s="1302" t="e">
        <v>#N/A</v>
      </c>
      <c r="M425" s="1203" t="e">
        <v>#N/A</v>
      </c>
    </row>
    <row r="426" spans="1:13">
      <c r="A426" s="49">
        <f t="shared" si="16"/>
        <v>2028.09</v>
      </c>
      <c r="B426" s="611" t="e">
        <v>#N/A</v>
      </c>
      <c r="C426" s="1614" t="e">
        <v>#N/A</v>
      </c>
      <c r="D426" s="1302" t="e">
        <v>#N/A</v>
      </c>
      <c r="E426" s="1617" t="e">
        <f t="shared" si="19"/>
        <v>#N/A</v>
      </c>
      <c r="F426" s="612" t="e">
        <v>#N/A</v>
      </c>
      <c r="G426" s="1210" t="e">
        <v>#N/A</v>
      </c>
      <c r="H426" s="1181" t="e">
        <v>#N/A</v>
      </c>
      <c r="I426" s="1181" t="e">
        <v>#N/A</v>
      </c>
      <c r="J426" s="1302" t="e">
        <v>#N/A</v>
      </c>
      <c r="K426" s="1207" t="e">
        <f t="shared" si="20"/>
        <v>#N/A</v>
      </c>
      <c r="L426" s="1302" t="e">
        <v>#N/A</v>
      </c>
      <c r="M426" s="1203" t="e">
        <v>#N/A</v>
      </c>
    </row>
    <row r="427" spans="1:13">
      <c r="A427" s="49">
        <f t="shared" si="16"/>
        <v>2028.1</v>
      </c>
      <c r="B427" s="611" t="e">
        <v>#N/A</v>
      </c>
      <c r="C427" s="1614" t="e">
        <v>#N/A</v>
      </c>
      <c r="D427" s="1302" t="e">
        <v>#N/A</v>
      </c>
      <c r="E427" s="1617" t="e">
        <f t="shared" si="19"/>
        <v>#N/A</v>
      </c>
      <c r="F427" s="612" t="e">
        <v>#N/A</v>
      </c>
      <c r="G427" s="1210" t="e">
        <v>#N/A</v>
      </c>
      <c r="H427" s="1181" t="e">
        <v>#N/A</v>
      </c>
      <c r="I427" s="1181" t="e">
        <v>#N/A</v>
      </c>
      <c r="J427" s="1302" t="e">
        <v>#N/A</v>
      </c>
      <c r="K427" s="1207" t="e">
        <f t="shared" si="20"/>
        <v>#N/A</v>
      </c>
      <c r="L427" s="1302" t="e">
        <v>#N/A</v>
      </c>
      <c r="M427" s="1203" t="e">
        <v>#N/A</v>
      </c>
    </row>
    <row r="428" spans="1:13">
      <c r="A428" s="49">
        <f t="shared" si="16"/>
        <v>2028.11</v>
      </c>
      <c r="B428" s="611" t="e">
        <v>#N/A</v>
      </c>
      <c r="C428" s="1614" t="e">
        <v>#N/A</v>
      </c>
      <c r="D428" s="1302" t="e">
        <v>#N/A</v>
      </c>
      <c r="E428" s="1617" t="e">
        <f t="shared" si="19"/>
        <v>#N/A</v>
      </c>
      <c r="F428" s="612" t="e">
        <v>#N/A</v>
      </c>
      <c r="G428" s="1210" t="e">
        <v>#N/A</v>
      </c>
      <c r="H428" s="1181" t="e">
        <v>#N/A</v>
      </c>
      <c r="I428" s="1181" t="e">
        <v>#N/A</v>
      </c>
      <c r="J428" s="1302" t="e">
        <v>#N/A</v>
      </c>
      <c r="K428" s="1207" t="e">
        <f t="shared" si="20"/>
        <v>#N/A</v>
      </c>
      <c r="L428" s="1302" t="e">
        <v>#N/A</v>
      </c>
      <c r="M428" s="1203" t="e">
        <v>#N/A</v>
      </c>
    </row>
    <row r="429" spans="1:13">
      <c r="A429" s="49">
        <f t="shared" si="16"/>
        <v>2028.12</v>
      </c>
      <c r="B429" s="611" t="e">
        <v>#N/A</v>
      </c>
      <c r="C429" s="1614" t="e">
        <v>#N/A</v>
      </c>
      <c r="D429" s="1302" t="e">
        <v>#N/A</v>
      </c>
      <c r="E429" s="1617" t="e">
        <f t="shared" si="19"/>
        <v>#N/A</v>
      </c>
      <c r="F429" s="612" t="e">
        <v>#N/A</v>
      </c>
      <c r="G429" s="1210" t="e">
        <v>#N/A</v>
      </c>
      <c r="H429" s="1181" t="e">
        <v>#N/A</v>
      </c>
      <c r="I429" s="1181" t="e">
        <v>#N/A</v>
      </c>
      <c r="J429" s="1302" t="e">
        <v>#N/A</v>
      </c>
      <c r="K429" s="1207" t="e">
        <f t="shared" si="20"/>
        <v>#N/A</v>
      </c>
      <c r="L429" s="1302" t="e">
        <v>#N/A</v>
      </c>
      <c r="M429" s="1203" t="e">
        <v>#N/A</v>
      </c>
    </row>
    <row r="430" spans="1:13">
      <c r="A430" s="49">
        <f t="shared" si="16"/>
        <v>2029.01</v>
      </c>
      <c r="B430" s="611" t="e">
        <v>#N/A</v>
      </c>
      <c r="C430" s="1614" t="e">
        <v>#N/A</v>
      </c>
      <c r="D430" s="1302" t="e">
        <v>#N/A</v>
      </c>
      <c r="E430" s="1617" t="e">
        <f t="shared" si="19"/>
        <v>#N/A</v>
      </c>
      <c r="F430" s="612" t="e">
        <v>#N/A</v>
      </c>
      <c r="G430" s="1210" t="e">
        <v>#N/A</v>
      </c>
      <c r="H430" s="1181" t="e">
        <v>#N/A</v>
      </c>
      <c r="I430" s="1181" t="e">
        <v>#N/A</v>
      </c>
      <c r="J430" s="1302" t="e">
        <v>#N/A</v>
      </c>
      <c r="K430" s="1207" t="e">
        <f t="shared" si="20"/>
        <v>#N/A</v>
      </c>
      <c r="L430" s="1302" t="e">
        <v>#N/A</v>
      </c>
      <c r="M430" s="1203" t="e">
        <v>#N/A</v>
      </c>
    </row>
    <row r="431" spans="1:13">
      <c r="A431" s="49">
        <f t="shared" si="16"/>
        <v>2029.02</v>
      </c>
      <c r="B431" s="611" t="e">
        <v>#N/A</v>
      </c>
      <c r="C431" s="1614" t="e">
        <v>#N/A</v>
      </c>
      <c r="D431" s="1302" t="e">
        <v>#N/A</v>
      </c>
      <c r="E431" s="1617" t="e">
        <f t="shared" si="19"/>
        <v>#N/A</v>
      </c>
      <c r="F431" s="612" t="e">
        <v>#N/A</v>
      </c>
      <c r="G431" s="1210" t="e">
        <v>#N/A</v>
      </c>
      <c r="H431" s="1181" t="e">
        <v>#N/A</v>
      </c>
      <c r="I431" s="1181" t="e">
        <v>#N/A</v>
      </c>
      <c r="J431" s="1302" t="e">
        <v>#N/A</v>
      </c>
      <c r="K431" s="1207" t="e">
        <f t="shared" si="20"/>
        <v>#N/A</v>
      </c>
      <c r="L431" s="1302" t="e">
        <v>#N/A</v>
      </c>
      <c r="M431" s="1203" t="e">
        <v>#N/A</v>
      </c>
    </row>
    <row r="432" spans="1:13">
      <c r="A432" s="49">
        <f t="shared" si="16"/>
        <v>2029.03</v>
      </c>
      <c r="B432" s="611" t="e">
        <v>#N/A</v>
      </c>
      <c r="C432" s="1614" t="e">
        <v>#N/A</v>
      </c>
      <c r="D432" s="1302" t="e">
        <v>#N/A</v>
      </c>
      <c r="E432" s="1617" t="e">
        <f t="shared" si="19"/>
        <v>#N/A</v>
      </c>
      <c r="F432" s="612" t="e">
        <v>#N/A</v>
      </c>
      <c r="G432" s="1210" t="e">
        <v>#N/A</v>
      </c>
      <c r="H432" s="1181" t="e">
        <v>#N/A</v>
      </c>
      <c r="I432" s="1181" t="e">
        <v>#N/A</v>
      </c>
      <c r="J432" s="1302" t="e">
        <v>#N/A</v>
      </c>
      <c r="K432" s="1207" t="e">
        <f t="shared" si="20"/>
        <v>#N/A</v>
      </c>
      <c r="L432" s="1302" t="e">
        <v>#N/A</v>
      </c>
      <c r="M432" s="1203" t="e">
        <v>#N/A</v>
      </c>
    </row>
    <row r="433" spans="1:13">
      <c r="A433" s="49">
        <f t="shared" si="16"/>
        <v>2029.04</v>
      </c>
      <c r="B433" s="611" t="e">
        <v>#N/A</v>
      </c>
      <c r="C433" s="1614" t="e">
        <v>#N/A</v>
      </c>
      <c r="D433" s="1302" t="e">
        <v>#N/A</v>
      </c>
      <c r="E433" s="1617" t="e">
        <f t="shared" si="19"/>
        <v>#N/A</v>
      </c>
      <c r="F433" s="612" t="e">
        <v>#N/A</v>
      </c>
      <c r="G433" s="1210" t="e">
        <v>#N/A</v>
      </c>
      <c r="H433" s="1181" t="e">
        <v>#N/A</v>
      </c>
      <c r="I433" s="1181" t="e">
        <v>#N/A</v>
      </c>
      <c r="J433" s="1302" t="e">
        <v>#N/A</v>
      </c>
      <c r="K433" s="1207" t="e">
        <f t="shared" si="20"/>
        <v>#N/A</v>
      </c>
      <c r="L433" s="1302" t="e">
        <v>#N/A</v>
      </c>
      <c r="M433" s="1203" t="e">
        <v>#N/A</v>
      </c>
    </row>
    <row r="434" spans="1:13">
      <c r="A434" s="49">
        <f t="shared" si="16"/>
        <v>2029.05</v>
      </c>
      <c r="B434" s="611" t="e">
        <v>#N/A</v>
      </c>
      <c r="C434" s="1614" t="e">
        <v>#N/A</v>
      </c>
      <c r="D434" s="1302" t="e">
        <v>#N/A</v>
      </c>
      <c r="E434" s="1617" t="e">
        <f t="shared" si="19"/>
        <v>#N/A</v>
      </c>
      <c r="F434" s="612" t="e">
        <v>#N/A</v>
      </c>
      <c r="G434" s="1210" t="e">
        <v>#N/A</v>
      </c>
      <c r="H434" s="1181" t="e">
        <v>#N/A</v>
      </c>
      <c r="I434" s="1181" t="e">
        <v>#N/A</v>
      </c>
      <c r="J434" s="1302" t="e">
        <v>#N/A</v>
      </c>
      <c r="K434" s="1207" t="e">
        <f t="shared" si="20"/>
        <v>#N/A</v>
      </c>
      <c r="L434" s="1302" t="e">
        <v>#N/A</v>
      </c>
      <c r="M434" s="1203" t="e">
        <v>#N/A</v>
      </c>
    </row>
    <row r="435" spans="1:13">
      <c r="A435" s="49">
        <f t="shared" si="16"/>
        <v>2029.06</v>
      </c>
      <c r="B435" s="611" t="e">
        <v>#N/A</v>
      </c>
      <c r="C435" s="1614" t="e">
        <v>#N/A</v>
      </c>
      <c r="D435" s="1302" t="e">
        <v>#N/A</v>
      </c>
      <c r="E435" s="1617" t="e">
        <f t="shared" si="19"/>
        <v>#N/A</v>
      </c>
      <c r="F435" s="612" t="e">
        <v>#N/A</v>
      </c>
      <c r="G435" s="1210" t="e">
        <v>#N/A</v>
      </c>
      <c r="H435" s="1181" t="e">
        <v>#N/A</v>
      </c>
      <c r="I435" s="1181" t="e">
        <v>#N/A</v>
      </c>
      <c r="J435" s="1302" t="e">
        <v>#N/A</v>
      </c>
      <c r="K435" s="1207" t="e">
        <f t="shared" si="20"/>
        <v>#N/A</v>
      </c>
      <c r="L435" s="1302" t="e">
        <v>#N/A</v>
      </c>
      <c r="M435" s="1203" t="e">
        <v>#N/A</v>
      </c>
    </row>
    <row r="436" spans="1:13">
      <c r="A436" s="49">
        <f t="shared" si="16"/>
        <v>2029.07</v>
      </c>
      <c r="B436" s="611" t="e">
        <v>#N/A</v>
      </c>
      <c r="C436" s="1614" t="e">
        <v>#N/A</v>
      </c>
      <c r="D436" s="1302" t="e">
        <v>#N/A</v>
      </c>
      <c r="E436" s="1617" t="e">
        <f t="shared" si="19"/>
        <v>#N/A</v>
      </c>
      <c r="F436" s="612" t="e">
        <v>#N/A</v>
      </c>
      <c r="G436" s="1210" t="e">
        <v>#N/A</v>
      </c>
      <c r="H436" s="1181" t="e">
        <v>#N/A</v>
      </c>
      <c r="I436" s="1181" t="e">
        <v>#N/A</v>
      </c>
      <c r="J436" s="1302" t="e">
        <v>#N/A</v>
      </c>
      <c r="K436" s="1207" t="e">
        <f t="shared" si="20"/>
        <v>#N/A</v>
      </c>
      <c r="L436" s="1302" t="e">
        <v>#N/A</v>
      </c>
      <c r="M436" s="1203" t="e">
        <v>#N/A</v>
      </c>
    </row>
    <row r="437" spans="1:13">
      <c r="A437" s="49">
        <f t="shared" si="16"/>
        <v>2029.08</v>
      </c>
      <c r="B437" s="611" t="e">
        <v>#N/A</v>
      </c>
      <c r="C437" s="1614" t="e">
        <v>#N/A</v>
      </c>
      <c r="D437" s="1302" t="e">
        <v>#N/A</v>
      </c>
      <c r="E437" s="1617" t="e">
        <f t="shared" si="19"/>
        <v>#N/A</v>
      </c>
      <c r="F437" s="612" t="e">
        <v>#N/A</v>
      </c>
      <c r="G437" s="1210" t="e">
        <v>#N/A</v>
      </c>
      <c r="H437" s="1181" t="e">
        <v>#N/A</v>
      </c>
      <c r="I437" s="1181" t="e">
        <v>#N/A</v>
      </c>
      <c r="J437" s="1302" t="e">
        <v>#N/A</v>
      </c>
      <c r="K437" s="1207" t="e">
        <f t="shared" si="20"/>
        <v>#N/A</v>
      </c>
      <c r="L437" s="1302" t="e">
        <v>#N/A</v>
      </c>
      <c r="M437" s="1203" t="e">
        <v>#N/A</v>
      </c>
    </row>
    <row r="438" spans="1:13">
      <c r="A438" s="49">
        <f t="shared" si="16"/>
        <v>2029.09</v>
      </c>
      <c r="B438" s="611" t="e">
        <v>#N/A</v>
      </c>
      <c r="C438" s="1614" t="e">
        <v>#N/A</v>
      </c>
      <c r="D438" s="1302" t="e">
        <v>#N/A</v>
      </c>
      <c r="E438" s="1617" t="e">
        <f t="shared" si="19"/>
        <v>#N/A</v>
      </c>
      <c r="F438" s="612" t="e">
        <v>#N/A</v>
      </c>
      <c r="G438" s="1210" t="e">
        <v>#N/A</v>
      </c>
      <c r="H438" s="1181" t="e">
        <v>#N/A</v>
      </c>
      <c r="I438" s="1181" t="e">
        <v>#N/A</v>
      </c>
      <c r="J438" s="1302" t="e">
        <v>#N/A</v>
      </c>
      <c r="K438" s="1207" t="e">
        <f t="shared" si="20"/>
        <v>#N/A</v>
      </c>
      <c r="L438" s="1302" t="e">
        <v>#N/A</v>
      </c>
      <c r="M438" s="1203" t="e">
        <v>#N/A</v>
      </c>
    </row>
    <row r="439" spans="1:13">
      <c r="A439" s="49">
        <f t="shared" si="16"/>
        <v>2029.1</v>
      </c>
      <c r="B439" s="611" t="e">
        <v>#N/A</v>
      </c>
      <c r="C439" s="1614" t="e">
        <v>#N/A</v>
      </c>
      <c r="D439" s="1302" t="e">
        <v>#N/A</v>
      </c>
      <c r="E439" s="1617" t="e">
        <f t="shared" si="19"/>
        <v>#N/A</v>
      </c>
      <c r="F439" s="612" t="e">
        <v>#N/A</v>
      </c>
      <c r="G439" s="1210" t="e">
        <v>#N/A</v>
      </c>
      <c r="H439" s="1181" t="e">
        <v>#N/A</v>
      </c>
      <c r="I439" s="1181" t="e">
        <v>#N/A</v>
      </c>
      <c r="J439" s="1302" t="e">
        <v>#N/A</v>
      </c>
      <c r="K439" s="1207" t="e">
        <f t="shared" si="20"/>
        <v>#N/A</v>
      </c>
      <c r="L439" s="1302" t="e">
        <v>#N/A</v>
      </c>
      <c r="M439" s="1203" t="e">
        <v>#N/A</v>
      </c>
    </row>
    <row r="440" spans="1:13">
      <c r="A440" s="49">
        <f t="shared" si="16"/>
        <v>2029.11</v>
      </c>
      <c r="B440" s="611" t="e">
        <v>#N/A</v>
      </c>
      <c r="C440" s="1614" t="e">
        <v>#N/A</v>
      </c>
      <c r="D440" s="1302" t="e">
        <v>#N/A</v>
      </c>
      <c r="E440" s="1617" t="e">
        <f t="shared" si="19"/>
        <v>#N/A</v>
      </c>
      <c r="F440" s="612" t="e">
        <v>#N/A</v>
      </c>
      <c r="G440" s="1210" t="e">
        <v>#N/A</v>
      </c>
      <c r="H440" s="1181" t="e">
        <v>#N/A</v>
      </c>
      <c r="I440" s="1181" t="e">
        <v>#N/A</v>
      </c>
      <c r="J440" s="1302" t="e">
        <v>#N/A</v>
      </c>
      <c r="K440" s="1207" t="e">
        <f t="shared" si="20"/>
        <v>#N/A</v>
      </c>
      <c r="L440" s="1302" t="e">
        <v>#N/A</v>
      </c>
      <c r="M440" s="1203" t="e">
        <v>#N/A</v>
      </c>
    </row>
    <row r="441" spans="1:13">
      <c r="A441" s="49">
        <f t="shared" si="16"/>
        <v>2029.12</v>
      </c>
      <c r="B441" s="611" t="e">
        <v>#N/A</v>
      </c>
      <c r="C441" s="1614" t="e">
        <v>#N/A</v>
      </c>
      <c r="D441" s="1302" t="e">
        <v>#N/A</v>
      </c>
      <c r="E441" s="1617" t="e">
        <f t="shared" si="19"/>
        <v>#N/A</v>
      </c>
      <c r="F441" s="612" t="e">
        <v>#N/A</v>
      </c>
      <c r="G441" s="1210" t="e">
        <v>#N/A</v>
      </c>
      <c r="H441" s="1181" t="e">
        <v>#N/A</v>
      </c>
      <c r="I441" s="1181" t="e">
        <v>#N/A</v>
      </c>
      <c r="J441" s="1302" t="e">
        <v>#N/A</v>
      </c>
      <c r="K441" s="1207" t="e">
        <f t="shared" si="20"/>
        <v>#N/A</v>
      </c>
      <c r="L441" s="1302" t="e">
        <v>#N/A</v>
      </c>
      <c r="M441" s="1203" t="e">
        <v>#N/A</v>
      </c>
    </row>
    <row r="442" spans="1:13">
      <c r="A442" s="49">
        <f t="shared" si="16"/>
        <v>2030.01</v>
      </c>
      <c r="B442" s="611" t="e">
        <v>#N/A</v>
      </c>
      <c r="C442" s="1614" t="e">
        <v>#N/A</v>
      </c>
      <c r="D442" s="1302" t="e">
        <v>#N/A</v>
      </c>
      <c r="E442" s="1617" t="e">
        <f t="shared" si="19"/>
        <v>#N/A</v>
      </c>
      <c r="F442" s="612" t="e">
        <v>#N/A</v>
      </c>
      <c r="G442" s="1210" t="e">
        <v>#N/A</v>
      </c>
      <c r="H442" s="1181" t="e">
        <v>#N/A</v>
      </c>
      <c r="I442" s="1181" t="e">
        <v>#N/A</v>
      </c>
      <c r="J442" s="1302" t="e">
        <v>#N/A</v>
      </c>
      <c r="K442" s="1207" t="e">
        <f t="shared" si="20"/>
        <v>#N/A</v>
      </c>
      <c r="L442" s="1302" t="e">
        <v>#N/A</v>
      </c>
      <c r="M442" s="1203" t="e">
        <v>#N/A</v>
      </c>
    </row>
    <row r="443" spans="1:13">
      <c r="A443" s="49">
        <f t="shared" si="16"/>
        <v>2030.02</v>
      </c>
      <c r="B443" s="611" t="e">
        <v>#N/A</v>
      </c>
      <c r="C443" s="1614" t="e">
        <v>#N/A</v>
      </c>
      <c r="D443" s="1302" t="e">
        <v>#N/A</v>
      </c>
      <c r="E443" s="1617" t="e">
        <f t="shared" si="19"/>
        <v>#N/A</v>
      </c>
      <c r="F443" s="612" t="e">
        <v>#N/A</v>
      </c>
      <c r="G443" s="1210" t="e">
        <v>#N/A</v>
      </c>
      <c r="H443" s="1181" t="e">
        <v>#N/A</v>
      </c>
      <c r="I443" s="1181" t="e">
        <v>#N/A</v>
      </c>
      <c r="J443" s="1302" t="e">
        <v>#N/A</v>
      </c>
      <c r="K443" s="1207" t="e">
        <f t="shared" si="20"/>
        <v>#N/A</v>
      </c>
      <c r="L443" s="1302" t="e">
        <v>#N/A</v>
      </c>
      <c r="M443" s="1203" t="e">
        <v>#N/A</v>
      </c>
    </row>
    <row r="444" spans="1:13">
      <c r="A444" s="49">
        <f t="shared" si="16"/>
        <v>2030.03</v>
      </c>
      <c r="B444" s="611" t="e">
        <v>#N/A</v>
      </c>
      <c r="C444" s="1614" t="e">
        <v>#N/A</v>
      </c>
      <c r="D444" s="1302" t="e">
        <v>#N/A</v>
      </c>
      <c r="E444" s="1617" t="e">
        <f t="shared" si="19"/>
        <v>#N/A</v>
      </c>
      <c r="F444" s="612" t="e">
        <v>#N/A</v>
      </c>
      <c r="G444" s="1210" t="e">
        <v>#N/A</v>
      </c>
      <c r="H444" s="1181" t="e">
        <v>#N/A</v>
      </c>
      <c r="I444" s="1181" t="e">
        <v>#N/A</v>
      </c>
      <c r="J444" s="1302" t="e">
        <v>#N/A</v>
      </c>
      <c r="K444" s="1207" t="e">
        <f t="shared" si="20"/>
        <v>#N/A</v>
      </c>
      <c r="L444" s="1302" t="e">
        <v>#N/A</v>
      </c>
      <c r="M444" s="1203" t="e">
        <v>#N/A</v>
      </c>
    </row>
    <row r="445" spans="1:13">
      <c r="A445" s="49">
        <f t="shared" si="16"/>
        <v>2030.04</v>
      </c>
      <c r="B445" s="611" t="e">
        <v>#N/A</v>
      </c>
      <c r="C445" s="1614" t="e">
        <v>#N/A</v>
      </c>
      <c r="D445" s="1302" t="e">
        <v>#N/A</v>
      </c>
      <c r="E445" s="1617" t="e">
        <f t="shared" si="19"/>
        <v>#N/A</v>
      </c>
      <c r="F445" s="612" t="e">
        <v>#N/A</v>
      </c>
      <c r="G445" s="1210" t="e">
        <v>#N/A</v>
      </c>
      <c r="H445" s="1181" t="e">
        <v>#N/A</v>
      </c>
      <c r="I445" s="1181" t="e">
        <v>#N/A</v>
      </c>
      <c r="J445" s="1302" t="e">
        <v>#N/A</v>
      </c>
      <c r="K445" s="1207" t="e">
        <f t="shared" si="20"/>
        <v>#N/A</v>
      </c>
      <c r="L445" s="1302" t="e">
        <v>#N/A</v>
      </c>
      <c r="M445" s="1203" t="e">
        <v>#N/A</v>
      </c>
    </row>
    <row r="446" spans="1:13">
      <c r="A446" s="49">
        <f t="shared" ref="A446:A453" si="21">A434+1</f>
        <v>2030.05</v>
      </c>
      <c r="B446" s="611" t="e">
        <v>#N/A</v>
      </c>
      <c r="C446" s="1614" t="e">
        <v>#N/A</v>
      </c>
      <c r="D446" s="1302" t="e">
        <v>#N/A</v>
      </c>
      <c r="E446" s="1617" t="e">
        <f t="shared" si="19"/>
        <v>#N/A</v>
      </c>
      <c r="F446" s="612" t="e">
        <v>#N/A</v>
      </c>
      <c r="G446" s="1210" t="e">
        <v>#N/A</v>
      </c>
      <c r="H446" s="1181" t="e">
        <v>#N/A</v>
      </c>
      <c r="I446" s="1181" t="e">
        <v>#N/A</v>
      </c>
      <c r="J446" s="1302" t="e">
        <v>#N/A</v>
      </c>
      <c r="K446" s="1207" t="e">
        <f t="shared" si="20"/>
        <v>#N/A</v>
      </c>
      <c r="L446" s="1302" t="e">
        <v>#N/A</v>
      </c>
      <c r="M446" s="1203" t="e">
        <v>#N/A</v>
      </c>
    </row>
    <row r="447" spans="1:13">
      <c r="A447" s="49">
        <f t="shared" si="21"/>
        <v>2030.06</v>
      </c>
      <c r="B447" s="611" t="e">
        <v>#N/A</v>
      </c>
      <c r="C447" s="1614" t="e">
        <v>#N/A</v>
      </c>
      <c r="D447" s="1302" t="e">
        <v>#N/A</v>
      </c>
      <c r="E447" s="1617" t="e">
        <f t="shared" si="19"/>
        <v>#N/A</v>
      </c>
      <c r="F447" s="612" t="e">
        <v>#N/A</v>
      </c>
      <c r="G447" s="1210" t="e">
        <v>#N/A</v>
      </c>
      <c r="H447" s="1181" t="e">
        <v>#N/A</v>
      </c>
      <c r="I447" s="1181" t="e">
        <v>#N/A</v>
      </c>
      <c r="J447" s="1302" t="e">
        <v>#N/A</v>
      </c>
      <c r="K447" s="1207" t="e">
        <f t="shared" si="20"/>
        <v>#N/A</v>
      </c>
      <c r="L447" s="1302" t="e">
        <v>#N/A</v>
      </c>
      <c r="M447" s="1203" t="e">
        <v>#N/A</v>
      </c>
    </row>
    <row r="448" spans="1:13">
      <c r="A448" s="49">
        <f t="shared" si="21"/>
        <v>2030.07</v>
      </c>
      <c r="B448" s="611" t="e">
        <v>#N/A</v>
      </c>
      <c r="C448" s="1614" t="e">
        <v>#N/A</v>
      </c>
      <c r="D448" s="1302" t="e">
        <v>#N/A</v>
      </c>
      <c r="E448" s="1617" t="e">
        <f t="shared" si="19"/>
        <v>#N/A</v>
      </c>
      <c r="F448" s="612" t="e">
        <v>#N/A</v>
      </c>
      <c r="G448" s="1210" t="e">
        <v>#N/A</v>
      </c>
      <c r="H448" s="1181" t="e">
        <v>#N/A</v>
      </c>
      <c r="I448" s="1181" t="e">
        <v>#N/A</v>
      </c>
      <c r="J448" s="1302" t="e">
        <v>#N/A</v>
      </c>
      <c r="K448" s="1207" t="e">
        <f t="shared" si="20"/>
        <v>#N/A</v>
      </c>
      <c r="L448" s="1302" t="e">
        <v>#N/A</v>
      </c>
      <c r="M448" s="1203" t="e">
        <v>#N/A</v>
      </c>
    </row>
    <row r="449" spans="1:13">
      <c r="A449" s="49">
        <f t="shared" si="21"/>
        <v>2030.08</v>
      </c>
      <c r="B449" s="611" t="e">
        <v>#N/A</v>
      </c>
      <c r="C449" s="1614" t="e">
        <v>#N/A</v>
      </c>
      <c r="D449" s="1302" t="e">
        <v>#N/A</v>
      </c>
      <c r="E449" s="1617" t="e">
        <f t="shared" si="19"/>
        <v>#N/A</v>
      </c>
      <c r="F449" s="612" t="e">
        <v>#N/A</v>
      </c>
      <c r="G449" s="1210" t="e">
        <v>#N/A</v>
      </c>
      <c r="H449" s="1181" t="e">
        <v>#N/A</v>
      </c>
      <c r="I449" s="1181" t="e">
        <v>#N/A</v>
      </c>
      <c r="J449" s="1302" t="e">
        <v>#N/A</v>
      </c>
      <c r="K449" s="1207" t="e">
        <f t="shared" si="20"/>
        <v>#N/A</v>
      </c>
      <c r="L449" s="1302" t="e">
        <v>#N/A</v>
      </c>
      <c r="M449" s="1203" t="e">
        <v>#N/A</v>
      </c>
    </row>
    <row r="450" spans="1:13">
      <c r="A450" s="49">
        <f t="shared" si="21"/>
        <v>2030.09</v>
      </c>
      <c r="B450" s="611" t="e">
        <v>#N/A</v>
      </c>
      <c r="C450" s="1614" t="e">
        <v>#N/A</v>
      </c>
      <c r="D450" s="1302" t="e">
        <v>#N/A</v>
      </c>
      <c r="E450" s="1617" t="e">
        <f t="shared" si="19"/>
        <v>#N/A</v>
      </c>
      <c r="F450" s="612" t="e">
        <v>#N/A</v>
      </c>
      <c r="G450" s="1210" t="e">
        <v>#N/A</v>
      </c>
      <c r="H450" s="1181" t="e">
        <v>#N/A</v>
      </c>
      <c r="I450" s="1181" t="e">
        <v>#N/A</v>
      </c>
      <c r="J450" s="1302" t="e">
        <v>#N/A</v>
      </c>
      <c r="K450" s="1207" t="e">
        <f t="shared" si="20"/>
        <v>#N/A</v>
      </c>
      <c r="L450" s="1302" t="e">
        <v>#N/A</v>
      </c>
      <c r="M450" s="1203" t="e">
        <v>#N/A</v>
      </c>
    </row>
    <row r="451" spans="1:13">
      <c r="A451" s="49">
        <f t="shared" si="21"/>
        <v>2030.1</v>
      </c>
      <c r="B451" s="611" t="e">
        <v>#N/A</v>
      </c>
      <c r="C451" s="1614" t="e">
        <v>#N/A</v>
      </c>
      <c r="D451" s="1302" t="e">
        <v>#N/A</v>
      </c>
      <c r="E451" s="1617" t="e">
        <f t="shared" si="19"/>
        <v>#N/A</v>
      </c>
      <c r="F451" s="612" t="e">
        <v>#N/A</v>
      </c>
      <c r="G451" s="1210" t="e">
        <v>#N/A</v>
      </c>
      <c r="H451" s="1181" t="e">
        <v>#N/A</v>
      </c>
      <c r="I451" s="1181" t="e">
        <v>#N/A</v>
      </c>
      <c r="J451" s="1302" t="e">
        <v>#N/A</v>
      </c>
      <c r="K451" s="1207" t="e">
        <f t="shared" si="20"/>
        <v>#N/A</v>
      </c>
      <c r="L451" s="1302" t="e">
        <v>#N/A</v>
      </c>
      <c r="M451" s="1203" t="e">
        <v>#N/A</v>
      </c>
    </row>
    <row r="452" spans="1:13">
      <c r="A452" s="49">
        <f t="shared" si="21"/>
        <v>2030.11</v>
      </c>
      <c r="B452" s="611" t="e">
        <v>#N/A</v>
      </c>
      <c r="C452" s="1614" t="e">
        <v>#N/A</v>
      </c>
      <c r="D452" s="1302" t="e">
        <v>#N/A</v>
      </c>
      <c r="E452" s="1617" t="e">
        <f t="shared" si="19"/>
        <v>#N/A</v>
      </c>
      <c r="F452" s="612" t="e">
        <v>#N/A</v>
      </c>
      <c r="G452" s="1210" t="e">
        <v>#N/A</v>
      </c>
      <c r="H452" s="1181" t="e">
        <v>#N/A</v>
      </c>
      <c r="I452" s="1181" t="e">
        <v>#N/A</v>
      </c>
      <c r="J452" s="1302" t="e">
        <v>#N/A</v>
      </c>
      <c r="K452" s="1207" t="e">
        <f t="shared" si="20"/>
        <v>#N/A</v>
      </c>
      <c r="L452" s="1302" t="e">
        <v>#N/A</v>
      </c>
      <c r="M452" s="1203" t="e">
        <v>#N/A</v>
      </c>
    </row>
    <row r="453" spans="1:13">
      <c r="A453" s="49">
        <f t="shared" si="21"/>
        <v>2030.12</v>
      </c>
      <c r="B453" s="611" t="e">
        <v>#N/A</v>
      </c>
      <c r="C453" s="1614" t="e">
        <v>#N/A</v>
      </c>
      <c r="D453" s="1302" t="e">
        <v>#N/A</v>
      </c>
      <c r="E453" s="1617" t="e">
        <f t="shared" si="19"/>
        <v>#N/A</v>
      </c>
      <c r="F453" s="612" t="e">
        <v>#N/A</v>
      </c>
      <c r="G453" s="1210" t="e">
        <v>#N/A</v>
      </c>
      <c r="H453" s="1181" t="e">
        <v>#N/A</v>
      </c>
      <c r="I453" s="1181" t="e">
        <v>#N/A</v>
      </c>
      <c r="J453" s="1302" t="e">
        <v>#N/A</v>
      </c>
      <c r="K453" s="1207" t="e">
        <f t="shared" si="20"/>
        <v>#N/A</v>
      </c>
      <c r="L453" s="1302" t="e">
        <v>#N/A</v>
      </c>
      <c r="M453" s="1203" t="e">
        <v>#N/A</v>
      </c>
    </row>
    <row r="454" spans="1:13">
      <c r="M454" s="19"/>
    </row>
    <row r="455" spans="1:13">
      <c r="M455" s="19"/>
    </row>
    <row r="456" spans="1:13">
      <c r="M456" s="19"/>
    </row>
    <row r="457" spans="1:13">
      <c r="M457" s="19"/>
    </row>
    <row r="459" spans="1:13">
      <c r="M459" s="19"/>
    </row>
    <row r="460" spans="1:13">
      <c r="M460" s="19"/>
    </row>
    <row r="461" spans="1:13">
      <c r="M461" s="19"/>
    </row>
    <row r="462" spans="1:13">
      <c r="M462" s="19"/>
    </row>
    <row r="464" spans="1:13">
      <c r="M464" s="19"/>
    </row>
    <row r="465" spans="13:25">
      <c r="M465" s="19"/>
    </row>
    <row r="466" spans="13:25">
      <c r="M466" s="19"/>
    </row>
    <row r="467" spans="13:25">
      <c r="M467" s="19"/>
    </row>
    <row r="469" spans="13:25">
      <c r="M469" s="19"/>
    </row>
    <row r="470" spans="13:25">
      <c r="M470" s="19"/>
    </row>
    <row r="471" spans="13:25">
      <c r="M471" s="19"/>
    </row>
    <row r="472" spans="13:25">
      <c r="M472" s="19"/>
    </row>
    <row r="473" spans="13:25">
      <c r="M473" s="19"/>
    </row>
    <row r="474" spans="13:25">
      <c r="M474" s="19"/>
      <c r="N474" s="19"/>
      <c r="O474" s="19"/>
      <c r="P474" s="19"/>
      <c r="Q474" s="19"/>
      <c r="R474" s="19"/>
      <c r="S474" s="19"/>
      <c r="T474" s="19"/>
      <c r="U474" s="19"/>
      <c r="V474" s="19"/>
      <c r="W474" s="19"/>
      <c r="X474" s="19"/>
      <c r="Y474" s="784"/>
    </row>
    <row r="475" spans="13:25">
      <c r="M475" s="19"/>
      <c r="N475" s="19"/>
      <c r="O475" s="19"/>
      <c r="P475" s="19"/>
      <c r="Q475" s="19"/>
      <c r="R475" s="19"/>
      <c r="S475" s="19"/>
      <c r="T475" s="19"/>
      <c r="U475" s="19"/>
      <c r="V475" s="19"/>
      <c r="W475" s="19"/>
      <c r="X475" s="784"/>
    </row>
    <row r="476" spans="13:25">
      <c r="M476" s="19"/>
      <c r="N476" s="19"/>
      <c r="O476" s="19"/>
      <c r="P476" s="19"/>
      <c r="Q476" s="19"/>
      <c r="R476" s="19"/>
      <c r="S476" s="19"/>
      <c r="T476" s="19"/>
      <c r="U476" s="19"/>
      <c r="V476" s="19"/>
      <c r="W476" s="19"/>
      <c r="X476" s="784"/>
    </row>
    <row r="478" spans="13:25">
      <c r="M478" s="19"/>
      <c r="N478" s="19"/>
      <c r="O478" s="19"/>
      <c r="P478" s="19"/>
      <c r="Q478" s="19"/>
      <c r="R478" s="19"/>
      <c r="S478" s="19"/>
      <c r="T478" s="19"/>
      <c r="U478" s="19"/>
      <c r="V478" s="19"/>
      <c r="W478" s="19"/>
      <c r="X478" s="19"/>
      <c r="Y478" s="784"/>
    </row>
    <row r="479" spans="13:25">
      <c r="M479" s="19"/>
      <c r="N479" s="19"/>
      <c r="O479" s="19"/>
      <c r="P479" s="19"/>
      <c r="Q479" s="19"/>
      <c r="R479" s="19"/>
      <c r="S479" s="19"/>
      <c r="T479" s="19"/>
      <c r="U479" s="19"/>
      <c r="V479" s="19"/>
      <c r="W479" s="19"/>
      <c r="X479" s="19"/>
      <c r="Y479" s="784"/>
    </row>
    <row r="480" spans="13:25">
      <c r="M480" s="19"/>
      <c r="N480" s="19"/>
      <c r="O480" s="19"/>
      <c r="P480" s="19"/>
      <c r="Q480" s="19"/>
      <c r="R480" s="19"/>
      <c r="S480" s="19"/>
      <c r="T480" s="19"/>
      <c r="U480" s="19"/>
      <c r="V480" s="19"/>
      <c r="W480" s="19"/>
      <c r="X480" s="19"/>
      <c r="Y480" s="784"/>
    </row>
    <row r="481" spans="13:25">
      <c r="M481" s="19"/>
      <c r="N481" s="19"/>
      <c r="O481" s="19"/>
      <c r="P481" s="19"/>
      <c r="Q481" s="19"/>
      <c r="R481" s="19"/>
      <c r="S481" s="19"/>
      <c r="T481" s="19"/>
      <c r="U481" s="19"/>
      <c r="V481" s="19"/>
      <c r="W481" s="19"/>
      <c r="X481" s="19"/>
      <c r="Y481" s="784"/>
    </row>
    <row r="482" spans="13:25">
      <c r="M482" s="19"/>
      <c r="N482" s="19"/>
      <c r="O482" s="19"/>
      <c r="P482" s="19"/>
      <c r="Q482" s="19"/>
      <c r="R482" s="19"/>
      <c r="S482" s="19"/>
      <c r="T482" s="19"/>
      <c r="U482" s="19"/>
      <c r="V482" s="19"/>
      <c r="W482" s="19"/>
      <c r="X482" s="19"/>
      <c r="Y482" s="784"/>
    </row>
    <row r="483" spans="13:25">
      <c r="M483" s="19"/>
      <c r="N483" s="19"/>
      <c r="O483" s="19"/>
      <c r="P483" s="19"/>
      <c r="Q483" s="19"/>
      <c r="R483" s="19"/>
      <c r="S483" s="19"/>
      <c r="T483" s="19"/>
      <c r="U483" s="19"/>
      <c r="V483" s="19"/>
      <c r="W483" s="19"/>
      <c r="X483" s="19"/>
      <c r="Y483" s="784"/>
    </row>
  </sheetData>
  <hyperlinks>
    <hyperlink ref="A5" location="INDICE!A13" display="VOLVER AL INDICE" xr:uid="{00000000-0004-0000-1700-000000000000}"/>
  </hyperlinks>
  <pageMargins left="0.75" right="0.75" top="1" bottom="1" header="0" footer="0"/>
  <pageSetup paperSize="9" orientation="portrait" horizontalDpi="300"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7"/>
  <dimension ref="A1:T453"/>
  <sheetViews>
    <sheetView zoomScale="110" zoomScaleNormal="110" workbookViewId="0">
      <pane xSplit="1" ySplit="9" topLeftCell="B370"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9.28515625" style="19" bestFit="1" customWidth="1"/>
    <col min="2" max="2" width="17.42578125" style="19" customWidth="1"/>
    <col min="3" max="3" width="16.5703125" style="19" bestFit="1" customWidth="1"/>
    <col min="4" max="4" width="17.42578125" style="19" customWidth="1"/>
    <col min="5" max="5" width="28.28515625" style="19" customWidth="1"/>
    <col min="6" max="6" width="16" style="19" customWidth="1"/>
    <col min="7" max="7" width="17.7109375" style="19" customWidth="1"/>
    <col min="8" max="15" width="18" style="19" customWidth="1"/>
    <col min="16" max="16384" width="11.42578125" style="1"/>
  </cols>
  <sheetData>
    <row r="1" spans="1:16" ht="3" customHeight="1">
      <c r="A1" s="37"/>
      <c r="B1" s="43"/>
      <c r="C1" s="95"/>
      <c r="D1" s="95"/>
      <c r="E1" s="96"/>
      <c r="F1" s="92"/>
      <c r="G1" s="374"/>
      <c r="H1" s="92"/>
      <c r="I1" s="374"/>
      <c r="L1" s="92"/>
      <c r="M1" s="374"/>
      <c r="N1" s="92"/>
      <c r="O1" s="20"/>
    </row>
    <row r="2" spans="1:16" ht="33.75">
      <c r="A2" s="39" t="s">
        <v>212</v>
      </c>
      <c r="B2" s="849" t="s">
        <v>216</v>
      </c>
      <c r="C2" s="77"/>
      <c r="D2" s="77"/>
      <c r="E2" s="803" t="s">
        <v>1465</v>
      </c>
      <c r="F2" s="115" t="s">
        <v>401</v>
      </c>
      <c r="G2" s="303"/>
      <c r="H2" s="115" t="s">
        <v>404</v>
      </c>
      <c r="I2" s="303"/>
      <c r="J2" s="115" t="s">
        <v>143</v>
      </c>
      <c r="K2" s="77"/>
      <c r="L2" s="115" t="s">
        <v>406</v>
      </c>
      <c r="M2" s="303"/>
      <c r="N2" s="115" t="s">
        <v>146</v>
      </c>
      <c r="O2" s="109"/>
    </row>
    <row r="3" spans="1:16" ht="28.5" customHeight="1">
      <c r="A3" s="42" t="s">
        <v>211</v>
      </c>
      <c r="B3" s="1168" t="s">
        <v>221</v>
      </c>
      <c r="C3" s="1148"/>
      <c r="D3" s="1148"/>
      <c r="E3" s="565" t="s">
        <v>221</v>
      </c>
      <c r="F3" s="115" t="s">
        <v>402</v>
      </c>
      <c r="G3" s="94"/>
      <c r="H3" s="115" t="s">
        <v>403</v>
      </c>
      <c r="I3" s="94"/>
      <c r="J3" s="115" t="s">
        <v>142</v>
      </c>
      <c r="K3" s="115"/>
      <c r="L3" s="115" t="s">
        <v>403</v>
      </c>
      <c r="M3" s="94"/>
      <c r="N3" s="115" t="s">
        <v>142</v>
      </c>
      <c r="O3" s="41"/>
    </row>
    <row r="4" spans="1:16" ht="3" customHeight="1">
      <c r="A4" s="38"/>
      <c r="B4" s="43"/>
      <c r="C4" s="95"/>
      <c r="D4" s="95"/>
      <c r="E4" s="96"/>
      <c r="F4" s="92"/>
      <c r="G4" s="374"/>
      <c r="H4" s="92"/>
      <c r="I4" s="374"/>
      <c r="L4" s="92"/>
      <c r="M4" s="374"/>
      <c r="N4" s="92"/>
      <c r="O4" s="20"/>
    </row>
    <row r="5" spans="1:16" ht="28.5" customHeight="1">
      <c r="A5" s="45" t="s">
        <v>213</v>
      </c>
      <c r="B5" s="80" t="s">
        <v>125</v>
      </c>
      <c r="C5" s="1339" t="s">
        <v>127</v>
      </c>
      <c r="D5" s="106" t="s">
        <v>126</v>
      </c>
      <c r="E5" s="1463" t="s">
        <v>1464</v>
      </c>
      <c r="F5" s="1644" t="s">
        <v>71</v>
      </c>
      <c r="G5" s="284" t="s">
        <v>717</v>
      </c>
      <c r="H5" s="1644" t="s">
        <v>71</v>
      </c>
      <c r="I5" s="284" t="s">
        <v>717</v>
      </c>
      <c r="J5" s="1644" t="s">
        <v>71</v>
      </c>
      <c r="K5" s="284" t="s">
        <v>717</v>
      </c>
      <c r="L5" s="104" t="s">
        <v>71</v>
      </c>
      <c r="M5" s="1586" t="s">
        <v>717</v>
      </c>
      <c r="N5" s="104" t="s">
        <v>71</v>
      </c>
      <c r="O5" s="1494" t="s">
        <v>717</v>
      </c>
      <c r="P5" s="272"/>
    </row>
    <row r="6" spans="1:16" ht="3" customHeight="1">
      <c r="A6" s="37"/>
      <c r="B6" s="43"/>
      <c r="C6" s="1635"/>
      <c r="D6" s="95"/>
      <c r="E6" s="96"/>
      <c r="F6" s="1645"/>
      <c r="G6" s="900"/>
      <c r="H6" s="1645"/>
      <c r="I6" s="900"/>
      <c r="J6" s="1645"/>
      <c r="K6" s="900"/>
      <c r="L6" s="96"/>
      <c r="M6" s="1661"/>
      <c r="N6" s="96"/>
      <c r="O6" s="1666"/>
      <c r="P6" s="272"/>
    </row>
    <row r="7" spans="1:16" ht="22.5">
      <c r="A7" s="47" t="s">
        <v>210</v>
      </c>
      <c r="B7" s="80" t="s">
        <v>72</v>
      </c>
      <c r="C7" s="1339" t="s">
        <v>72</v>
      </c>
      <c r="D7" s="106" t="s">
        <v>72</v>
      </c>
      <c r="E7" s="104" t="s">
        <v>72</v>
      </c>
      <c r="F7" s="1644" t="s">
        <v>390</v>
      </c>
      <c r="G7" s="284" t="s">
        <v>390</v>
      </c>
      <c r="H7" s="1644" t="s">
        <v>405</v>
      </c>
      <c r="I7" s="284" t="s">
        <v>405</v>
      </c>
      <c r="J7" s="1644" t="s">
        <v>405</v>
      </c>
      <c r="K7" s="284" t="s">
        <v>405</v>
      </c>
      <c r="L7" s="104" t="s">
        <v>229</v>
      </c>
      <c r="M7" s="1586" t="s">
        <v>229</v>
      </c>
      <c r="N7" s="104" t="s">
        <v>229</v>
      </c>
      <c r="O7" s="1494" t="s">
        <v>229</v>
      </c>
      <c r="P7" s="272"/>
    </row>
    <row r="8" spans="1:16">
      <c r="A8" s="390" t="s">
        <v>412</v>
      </c>
      <c r="B8" s="398" t="s">
        <v>536</v>
      </c>
      <c r="C8" s="1290" t="s">
        <v>537</v>
      </c>
      <c r="D8" s="396" t="s">
        <v>538</v>
      </c>
      <c r="E8" s="394" t="s">
        <v>539</v>
      </c>
      <c r="F8" s="1588" t="s">
        <v>540</v>
      </c>
      <c r="G8" s="396" t="s">
        <v>541</v>
      </c>
      <c r="H8" s="1588" t="s">
        <v>542</v>
      </c>
      <c r="I8" s="396" t="s">
        <v>128</v>
      </c>
      <c r="J8" s="1588" t="s">
        <v>144</v>
      </c>
      <c r="K8" s="396" t="s">
        <v>145</v>
      </c>
      <c r="L8" s="398" t="s">
        <v>147</v>
      </c>
      <c r="M8" s="1156" t="s">
        <v>148</v>
      </c>
      <c r="N8" s="398" t="s">
        <v>129</v>
      </c>
      <c r="O8" s="1319" t="s">
        <v>130</v>
      </c>
      <c r="P8" s="272"/>
    </row>
    <row r="9" spans="1:16" ht="13.5" thickBot="1">
      <c r="A9" s="52"/>
      <c r="B9" s="48"/>
      <c r="C9" s="1636"/>
      <c r="D9" s="440"/>
      <c r="E9" s="388"/>
      <c r="F9" s="1646"/>
      <c r="G9" s="389"/>
      <c r="H9" s="1646"/>
      <c r="I9" s="389"/>
      <c r="J9" s="1646"/>
      <c r="K9" s="425"/>
      <c r="L9" s="388"/>
      <c r="M9" s="1662"/>
      <c r="N9" s="388"/>
      <c r="O9" s="1667"/>
      <c r="P9" s="272"/>
    </row>
    <row r="10" spans="1:16">
      <c r="A10" s="53">
        <v>1994.01</v>
      </c>
      <c r="B10" s="1631"/>
      <c r="C10" s="1637"/>
      <c r="D10" s="1633"/>
      <c r="E10" s="386">
        <v>488908</v>
      </c>
      <c r="F10" s="1647"/>
      <c r="G10" s="1641"/>
      <c r="H10" s="1647"/>
      <c r="I10" s="1641"/>
      <c r="J10" s="1647"/>
      <c r="K10" s="1641"/>
      <c r="L10" s="1659"/>
      <c r="M10" s="1663"/>
      <c r="N10" s="1659"/>
      <c r="O10" s="1668"/>
    </row>
    <row r="11" spans="1:16">
      <c r="A11" s="49">
        <v>1994.02</v>
      </c>
      <c r="B11" s="1632"/>
      <c r="C11" s="1638"/>
      <c r="D11" s="1634"/>
      <c r="E11" s="387">
        <v>484649</v>
      </c>
      <c r="F11" s="1648"/>
      <c r="G11" s="1642"/>
      <c r="H11" s="1648"/>
      <c r="I11" s="1642"/>
      <c r="J11" s="1648"/>
      <c r="K11" s="1642"/>
      <c r="L11" s="1654"/>
      <c r="M11" s="1658"/>
      <c r="N11" s="1654"/>
      <c r="O11" s="1669"/>
    </row>
    <row r="12" spans="1:16">
      <c r="A12" s="49">
        <v>1994.03</v>
      </c>
      <c r="B12" s="1632"/>
      <c r="C12" s="1638"/>
      <c r="D12" s="1634"/>
      <c r="E12" s="387">
        <v>521257</v>
      </c>
      <c r="F12" s="1648"/>
      <c r="G12" s="1642"/>
      <c r="H12" s="1648"/>
      <c r="I12" s="1642"/>
      <c r="J12" s="1648"/>
      <c r="K12" s="1642"/>
      <c r="L12" s="1654"/>
      <c r="M12" s="1658"/>
      <c r="N12" s="1654"/>
      <c r="O12" s="1669"/>
    </row>
    <row r="13" spans="1:16">
      <c r="A13" s="49">
        <v>1994.04</v>
      </c>
      <c r="B13" s="1632"/>
      <c r="C13" s="1638"/>
      <c r="D13" s="1634"/>
      <c r="E13" s="387">
        <v>473136</v>
      </c>
      <c r="F13" s="1648"/>
      <c r="G13" s="1642"/>
      <c r="H13" s="1648"/>
      <c r="I13" s="1642"/>
      <c r="J13" s="1648"/>
      <c r="K13" s="1642"/>
      <c r="L13" s="1654"/>
      <c r="M13" s="1658"/>
      <c r="N13" s="1654"/>
      <c r="O13" s="1669"/>
    </row>
    <row r="14" spans="1:16">
      <c r="A14" s="49">
        <v>1994.05</v>
      </c>
      <c r="B14" s="1632"/>
      <c r="C14" s="1638"/>
      <c r="D14" s="1634"/>
      <c r="E14" s="387">
        <v>495920</v>
      </c>
      <c r="F14" s="1648"/>
      <c r="G14" s="1642"/>
      <c r="H14" s="1648"/>
      <c r="I14" s="1642"/>
      <c r="J14" s="1648"/>
      <c r="K14" s="1642"/>
      <c r="L14" s="1654"/>
      <c r="M14" s="1658"/>
      <c r="N14" s="1654"/>
      <c r="O14" s="1669"/>
    </row>
    <row r="15" spans="1:16">
      <c r="A15" s="49">
        <v>1994.06</v>
      </c>
      <c r="B15" s="1632"/>
      <c r="C15" s="1638"/>
      <c r="D15" s="1634"/>
      <c r="E15" s="387">
        <v>472288</v>
      </c>
      <c r="F15" s="1648"/>
      <c r="G15" s="1642"/>
      <c r="H15" s="1648"/>
      <c r="I15" s="1642"/>
      <c r="J15" s="1648"/>
      <c r="K15" s="1642"/>
      <c r="L15" s="1654"/>
      <c r="M15" s="1658"/>
      <c r="N15" s="1654"/>
      <c r="O15" s="1669"/>
    </row>
    <row r="16" spans="1:16">
      <c r="A16" s="49">
        <v>1994.07</v>
      </c>
      <c r="B16" s="1632"/>
      <c r="C16" s="1638"/>
      <c r="D16" s="1634"/>
      <c r="E16" s="387">
        <v>490382</v>
      </c>
      <c r="F16" s="1648"/>
      <c r="G16" s="1642"/>
      <c r="H16" s="1648"/>
      <c r="I16" s="1642"/>
      <c r="J16" s="1648"/>
      <c r="K16" s="1642"/>
      <c r="L16" s="1654"/>
      <c r="M16" s="1658"/>
      <c r="N16" s="1654"/>
      <c r="O16" s="1669"/>
    </row>
    <row r="17" spans="1:15">
      <c r="A17" s="49">
        <v>1994.08</v>
      </c>
      <c r="B17" s="1632"/>
      <c r="C17" s="1638"/>
      <c r="D17" s="1634"/>
      <c r="E17" s="387">
        <v>544726</v>
      </c>
      <c r="F17" s="1648"/>
      <c r="G17" s="1642"/>
      <c r="H17" s="1648"/>
      <c r="I17" s="1642"/>
      <c r="J17" s="1648"/>
      <c r="K17" s="1642"/>
      <c r="L17" s="1654"/>
      <c r="M17" s="1658"/>
      <c r="N17" s="1654"/>
      <c r="O17" s="1669"/>
    </row>
    <row r="18" spans="1:15">
      <c r="A18" s="49">
        <v>1994.09</v>
      </c>
      <c r="B18" s="1632"/>
      <c r="C18" s="1638"/>
      <c r="D18" s="1634"/>
      <c r="E18" s="387">
        <v>560564</v>
      </c>
      <c r="F18" s="1648"/>
      <c r="G18" s="1642"/>
      <c r="H18" s="1648"/>
      <c r="I18" s="1642"/>
      <c r="J18" s="1648"/>
      <c r="K18" s="1642"/>
      <c r="L18" s="1654"/>
      <c r="M18" s="1658"/>
      <c r="N18" s="1654"/>
      <c r="O18" s="1669"/>
    </row>
    <row r="19" spans="1:15">
      <c r="A19" s="49">
        <v>1994.1</v>
      </c>
      <c r="B19" s="1632"/>
      <c r="C19" s="1638"/>
      <c r="D19" s="1634"/>
      <c r="E19" s="387">
        <v>533405</v>
      </c>
      <c r="F19" s="1648"/>
      <c r="G19" s="1642"/>
      <c r="H19" s="1648"/>
      <c r="I19" s="1642"/>
      <c r="J19" s="1648"/>
      <c r="K19" s="1642"/>
      <c r="L19" s="1654"/>
      <c r="M19" s="1658"/>
      <c r="N19" s="1654"/>
      <c r="O19" s="1669"/>
    </row>
    <row r="20" spans="1:15">
      <c r="A20" s="49">
        <v>1994.11</v>
      </c>
      <c r="B20" s="1632"/>
      <c r="C20" s="1638"/>
      <c r="D20" s="1634"/>
      <c r="E20" s="387">
        <v>602694</v>
      </c>
      <c r="F20" s="1648"/>
      <c r="G20" s="1642"/>
      <c r="H20" s="1648"/>
      <c r="I20" s="1642"/>
      <c r="J20" s="1648"/>
      <c r="K20" s="1642"/>
      <c r="L20" s="1654"/>
      <c r="M20" s="1658"/>
      <c r="N20" s="1654"/>
      <c r="O20" s="1669"/>
    </row>
    <row r="21" spans="1:15">
      <c r="A21" s="49">
        <v>1994.12</v>
      </c>
      <c r="B21" s="1632"/>
      <c r="C21" s="1638"/>
      <c r="D21" s="1634"/>
      <c r="E21" s="387">
        <v>549198</v>
      </c>
      <c r="F21" s="1648"/>
      <c r="G21" s="1642"/>
      <c r="H21" s="1648"/>
      <c r="I21" s="1642"/>
      <c r="J21" s="1648"/>
      <c r="K21" s="1642"/>
      <c r="L21" s="1654"/>
      <c r="M21" s="1658"/>
      <c r="N21" s="1654"/>
      <c r="O21" s="1669"/>
    </row>
    <row r="22" spans="1:15">
      <c r="A22" s="49">
        <v>1995.01</v>
      </c>
      <c r="B22" s="1632"/>
      <c r="C22" s="1638"/>
      <c r="D22" s="1634"/>
      <c r="E22" s="387">
        <v>536191</v>
      </c>
      <c r="F22" s="1648"/>
      <c r="G22" s="1642"/>
      <c r="H22" s="1648"/>
      <c r="I22" s="1642"/>
      <c r="J22" s="1648"/>
      <c r="K22" s="1642"/>
      <c r="L22" s="1654"/>
      <c r="M22" s="1658"/>
      <c r="N22" s="1654"/>
      <c r="O22" s="1669"/>
    </row>
    <row r="23" spans="1:15">
      <c r="A23" s="49">
        <v>1995.02</v>
      </c>
      <c r="B23" s="1632"/>
      <c r="C23" s="1638"/>
      <c r="D23" s="1634"/>
      <c r="E23" s="387">
        <v>518705</v>
      </c>
      <c r="F23" s="1648"/>
      <c r="G23" s="1642"/>
      <c r="H23" s="1648"/>
      <c r="I23" s="1642"/>
      <c r="J23" s="1648"/>
      <c r="K23" s="1642"/>
      <c r="L23" s="1654"/>
      <c r="M23" s="1658"/>
      <c r="N23" s="1654"/>
      <c r="O23" s="1669"/>
    </row>
    <row r="24" spans="1:15">
      <c r="A24" s="49">
        <v>1995.03</v>
      </c>
      <c r="B24" s="1632"/>
      <c r="C24" s="1638"/>
      <c r="D24" s="1634"/>
      <c r="E24" s="387">
        <v>522843</v>
      </c>
      <c r="F24" s="1648"/>
      <c r="G24" s="1642"/>
      <c r="H24" s="1648"/>
      <c r="I24" s="1642"/>
      <c r="J24" s="1648"/>
      <c r="K24" s="1642"/>
      <c r="L24" s="1654"/>
      <c r="M24" s="1658"/>
      <c r="N24" s="1654"/>
      <c r="O24" s="1669"/>
    </row>
    <row r="25" spans="1:15">
      <c r="A25" s="49">
        <v>1995.04</v>
      </c>
      <c r="B25" s="1632"/>
      <c r="C25" s="1638"/>
      <c r="D25" s="1634"/>
      <c r="E25" s="387">
        <v>416227</v>
      </c>
      <c r="F25" s="1648"/>
      <c r="G25" s="1642"/>
      <c r="H25" s="1648"/>
      <c r="I25" s="1642"/>
      <c r="J25" s="1648"/>
      <c r="K25" s="1642"/>
      <c r="L25" s="1654"/>
      <c r="M25" s="1658"/>
      <c r="N25" s="1654"/>
      <c r="O25" s="1669"/>
    </row>
    <row r="26" spans="1:15">
      <c r="A26" s="49">
        <v>1995.05</v>
      </c>
      <c r="B26" s="1632"/>
      <c r="C26" s="1638"/>
      <c r="D26" s="1634"/>
      <c r="E26" s="387">
        <v>473408</v>
      </c>
      <c r="F26" s="1648"/>
      <c r="G26" s="1642"/>
      <c r="H26" s="1648"/>
      <c r="I26" s="1642"/>
      <c r="J26" s="1648"/>
      <c r="K26" s="1642"/>
      <c r="L26" s="1654"/>
      <c r="M26" s="1658"/>
      <c r="N26" s="1654"/>
      <c r="O26" s="1669"/>
    </row>
    <row r="27" spans="1:15">
      <c r="A27" s="49">
        <v>1995.06</v>
      </c>
      <c r="B27" s="1632"/>
      <c r="C27" s="1638"/>
      <c r="D27" s="1634"/>
      <c r="E27" s="387">
        <v>417235</v>
      </c>
      <c r="F27" s="1648"/>
      <c r="G27" s="1642"/>
      <c r="H27" s="1648"/>
      <c r="I27" s="1642"/>
      <c r="J27" s="1648"/>
      <c r="K27" s="1642"/>
      <c r="L27" s="1654"/>
      <c r="M27" s="1658"/>
      <c r="N27" s="1654"/>
      <c r="O27" s="1669"/>
    </row>
    <row r="28" spans="1:15">
      <c r="A28" s="49">
        <v>1995.07</v>
      </c>
      <c r="B28" s="1632"/>
      <c r="C28" s="1638"/>
      <c r="D28" s="1634"/>
      <c r="E28" s="387">
        <v>400128</v>
      </c>
      <c r="F28" s="1648"/>
      <c r="G28" s="1642"/>
      <c r="H28" s="1648"/>
      <c r="I28" s="1642"/>
      <c r="J28" s="1648"/>
      <c r="K28" s="1642"/>
      <c r="L28" s="1654"/>
      <c r="M28" s="1658"/>
      <c r="N28" s="1654"/>
      <c r="O28" s="1669"/>
    </row>
    <row r="29" spans="1:15">
      <c r="A29" s="49">
        <v>1995.08</v>
      </c>
      <c r="B29" s="1632"/>
      <c r="C29" s="1638"/>
      <c r="D29" s="1634"/>
      <c r="E29" s="387">
        <v>405599</v>
      </c>
      <c r="F29" s="1648"/>
      <c r="G29" s="1642"/>
      <c r="H29" s="1648"/>
      <c r="I29" s="1642"/>
      <c r="J29" s="1648"/>
      <c r="K29" s="1642"/>
      <c r="L29" s="1654"/>
      <c r="M29" s="1658"/>
      <c r="N29" s="1654"/>
      <c r="O29" s="1669"/>
    </row>
    <row r="30" spans="1:15">
      <c r="A30" s="49">
        <v>1995.09</v>
      </c>
      <c r="B30" s="1632"/>
      <c r="C30" s="1638"/>
      <c r="D30" s="1634"/>
      <c r="E30" s="387">
        <v>439485</v>
      </c>
      <c r="F30" s="1648"/>
      <c r="G30" s="1642"/>
      <c r="H30" s="1648"/>
      <c r="I30" s="1642"/>
      <c r="J30" s="1648"/>
      <c r="K30" s="1642"/>
      <c r="L30" s="1654"/>
      <c r="M30" s="1658"/>
      <c r="N30" s="1654"/>
      <c r="O30" s="1669"/>
    </row>
    <row r="31" spans="1:15">
      <c r="A31" s="49">
        <v>1995.1</v>
      </c>
      <c r="B31" s="1632"/>
      <c r="C31" s="1638"/>
      <c r="D31" s="1634"/>
      <c r="E31" s="387">
        <v>403947</v>
      </c>
      <c r="F31" s="1648"/>
      <c r="G31" s="1642"/>
      <c r="H31" s="1648"/>
      <c r="I31" s="1642"/>
      <c r="J31" s="1648"/>
      <c r="K31" s="1642"/>
      <c r="L31" s="1654"/>
      <c r="M31" s="1658"/>
      <c r="N31" s="1654"/>
      <c r="O31" s="1669"/>
    </row>
    <row r="32" spans="1:15">
      <c r="A32" s="49">
        <v>1995.11</v>
      </c>
      <c r="B32" s="1632"/>
      <c r="C32" s="1638"/>
      <c r="D32" s="1634"/>
      <c r="E32" s="387">
        <v>424321</v>
      </c>
      <c r="F32" s="1648"/>
      <c r="G32" s="1642"/>
      <c r="H32" s="1648"/>
      <c r="I32" s="1642"/>
      <c r="J32" s="1648"/>
      <c r="K32" s="1642"/>
      <c r="L32" s="1654"/>
      <c r="M32" s="1658"/>
      <c r="N32" s="1654"/>
      <c r="O32" s="1669"/>
    </row>
    <row r="33" spans="1:15">
      <c r="A33" s="49">
        <v>1995.12</v>
      </c>
      <c r="B33" s="1632"/>
      <c r="C33" s="1638"/>
      <c r="D33" s="1634"/>
      <c r="E33" s="387">
        <v>370817</v>
      </c>
      <c r="F33" s="1648"/>
      <c r="G33" s="1642"/>
      <c r="H33" s="1648"/>
      <c r="I33" s="1642"/>
      <c r="J33" s="1648"/>
      <c r="K33" s="1642"/>
      <c r="L33" s="1654"/>
      <c r="M33" s="1658"/>
      <c r="N33" s="1654"/>
      <c r="O33" s="1669"/>
    </row>
    <row r="34" spans="1:15">
      <c r="A34" s="49">
        <v>1996.01</v>
      </c>
      <c r="B34" s="1632"/>
      <c r="C34" s="1638"/>
      <c r="D34" s="1634"/>
      <c r="E34" s="387">
        <v>391239</v>
      </c>
      <c r="F34" s="1648"/>
      <c r="G34" s="1642"/>
      <c r="H34" s="1648"/>
      <c r="I34" s="1642"/>
      <c r="J34" s="1648"/>
      <c r="K34" s="1642"/>
      <c r="L34" s="1654"/>
      <c r="M34" s="1658"/>
      <c r="N34" s="1654"/>
      <c r="O34" s="1669"/>
    </row>
    <row r="35" spans="1:15">
      <c r="A35" s="49">
        <v>1996.02</v>
      </c>
      <c r="B35" s="1632"/>
      <c r="C35" s="1638"/>
      <c r="D35" s="1634"/>
      <c r="E35" s="387">
        <v>371500</v>
      </c>
      <c r="F35" s="1648"/>
      <c r="G35" s="1642"/>
      <c r="H35" s="1648"/>
      <c r="I35" s="1642"/>
      <c r="J35" s="1648"/>
      <c r="K35" s="1642"/>
      <c r="L35" s="1654"/>
      <c r="M35" s="1658"/>
      <c r="N35" s="1654"/>
      <c r="O35" s="1669"/>
    </row>
    <row r="36" spans="1:15">
      <c r="A36" s="49">
        <v>1996.03</v>
      </c>
      <c r="B36" s="1632"/>
      <c r="C36" s="1638"/>
      <c r="D36" s="1634"/>
      <c r="E36" s="387">
        <v>395300</v>
      </c>
      <c r="F36" s="1648"/>
      <c r="G36" s="1642"/>
      <c r="H36" s="1648"/>
      <c r="I36" s="1642"/>
      <c r="J36" s="1648"/>
      <c r="K36" s="1642"/>
      <c r="L36" s="1654"/>
      <c r="M36" s="1658"/>
      <c r="N36" s="1654"/>
      <c r="O36" s="1669"/>
    </row>
    <row r="37" spans="1:15">
      <c r="A37" s="49">
        <v>1996.04</v>
      </c>
      <c r="B37" s="1632"/>
      <c r="C37" s="1638"/>
      <c r="D37" s="1634"/>
      <c r="E37" s="387">
        <v>366700</v>
      </c>
      <c r="F37" s="1648"/>
      <c r="G37" s="1642"/>
      <c r="H37" s="1648"/>
      <c r="I37" s="1642"/>
      <c r="J37" s="1648"/>
      <c r="K37" s="1642"/>
      <c r="L37" s="1654"/>
      <c r="M37" s="1658"/>
      <c r="N37" s="1654"/>
      <c r="O37" s="1669"/>
    </row>
    <row r="38" spans="1:15">
      <c r="A38" s="49">
        <v>1996.05</v>
      </c>
      <c r="B38" s="1632"/>
      <c r="C38" s="1638"/>
      <c r="D38" s="1634"/>
      <c r="E38" s="387">
        <v>398700</v>
      </c>
      <c r="F38" s="1648"/>
      <c r="G38" s="1642"/>
      <c r="H38" s="1648"/>
      <c r="I38" s="1642"/>
      <c r="J38" s="1648"/>
      <c r="K38" s="1642"/>
      <c r="L38" s="1654"/>
      <c r="M38" s="1658"/>
      <c r="N38" s="1654"/>
      <c r="O38" s="1669"/>
    </row>
    <row r="39" spans="1:15">
      <c r="A39" s="49">
        <v>1996.06</v>
      </c>
      <c r="B39" s="1632"/>
      <c r="C39" s="1638"/>
      <c r="D39" s="1634"/>
      <c r="E39" s="387">
        <v>335300</v>
      </c>
      <c r="F39" s="1648"/>
      <c r="G39" s="1642"/>
      <c r="H39" s="1648"/>
      <c r="I39" s="1642"/>
      <c r="J39" s="1648"/>
      <c r="K39" s="1642"/>
      <c r="L39" s="1654"/>
      <c r="M39" s="1658"/>
      <c r="N39" s="1654"/>
      <c r="O39" s="1669"/>
    </row>
    <row r="40" spans="1:15">
      <c r="A40" s="49">
        <v>1996.07</v>
      </c>
      <c r="B40" s="1632"/>
      <c r="C40" s="1638"/>
      <c r="D40" s="1634"/>
      <c r="E40" s="387">
        <v>391700</v>
      </c>
      <c r="F40" s="1648"/>
      <c r="G40" s="1642"/>
      <c r="H40" s="1648"/>
      <c r="I40" s="1642"/>
      <c r="J40" s="1648"/>
      <c r="K40" s="1642"/>
      <c r="L40" s="1654"/>
      <c r="M40" s="1658"/>
      <c r="N40" s="1654"/>
      <c r="O40" s="1669"/>
    </row>
    <row r="41" spans="1:15">
      <c r="A41" s="49">
        <v>1996.08</v>
      </c>
      <c r="B41" s="1632"/>
      <c r="C41" s="1638"/>
      <c r="D41" s="1634"/>
      <c r="E41" s="387">
        <v>437100</v>
      </c>
      <c r="F41" s="1648"/>
      <c r="G41" s="1642"/>
      <c r="H41" s="1648"/>
      <c r="I41" s="1642"/>
      <c r="J41" s="1648"/>
      <c r="K41" s="1642"/>
      <c r="L41" s="1654"/>
      <c r="M41" s="1658"/>
      <c r="N41" s="1654"/>
      <c r="O41" s="1669"/>
    </row>
    <row r="42" spans="1:15">
      <c r="A42" s="49">
        <v>1996.09</v>
      </c>
      <c r="B42" s="1632"/>
      <c r="C42" s="1638"/>
      <c r="D42" s="1634"/>
      <c r="E42" s="387">
        <v>442300</v>
      </c>
      <c r="F42" s="1648"/>
      <c r="G42" s="1642"/>
      <c r="H42" s="1648"/>
      <c r="I42" s="1642"/>
      <c r="J42" s="1648"/>
      <c r="K42" s="1642"/>
      <c r="L42" s="1654"/>
      <c r="M42" s="1658"/>
      <c r="N42" s="1654"/>
      <c r="O42" s="1669"/>
    </row>
    <row r="43" spans="1:15">
      <c r="A43" s="49">
        <v>1996.1</v>
      </c>
      <c r="B43" s="1632"/>
      <c r="C43" s="1638"/>
      <c r="D43" s="1634"/>
      <c r="E43" s="387">
        <v>509600</v>
      </c>
      <c r="F43" s="1648"/>
      <c r="G43" s="1642"/>
      <c r="H43" s="1648"/>
      <c r="I43" s="1642"/>
      <c r="J43" s="1648"/>
      <c r="K43" s="1642"/>
      <c r="L43" s="1654"/>
      <c r="M43" s="1658"/>
      <c r="N43" s="1654"/>
      <c r="O43" s="1669"/>
    </row>
    <row r="44" spans="1:15">
      <c r="A44" s="49">
        <v>1996.11</v>
      </c>
      <c r="B44" s="1632"/>
      <c r="C44" s="1638"/>
      <c r="D44" s="1634"/>
      <c r="E44" s="387">
        <v>505800</v>
      </c>
      <c r="F44" s="1648"/>
      <c r="G44" s="1642"/>
      <c r="H44" s="1648"/>
      <c r="I44" s="1642"/>
      <c r="J44" s="1648"/>
      <c r="K44" s="1642"/>
      <c r="L44" s="1654"/>
      <c r="M44" s="1658"/>
      <c r="N44" s="1654"/>
      <c r="O44" s="1669"/>
    </row>
    <row r="45" spans="1:15">
      <c r="A45" s="49">
        <v>1996.12</v>
      </c>
      <c r="B45" s="1632"/>
      <c r="C45" s="1638"/>
      <c r="D45" s="1634"/>
      <c r="E45" s="387">
        <v>459100</v>
      </c>
      <c r="F45" s="1648"/>
      <c r="G45" s="1642"/>
      <c r="H45" s="1648"/>
      <c r="I45" s="1642"/>
      <c r="J45" s="1648"/>
      <c r="K45" s="1642"/>
      <c r="L45" s="1654"/>
      <c r="M45" s="1658"/>
      <c r="N45" s="1654"/>
      <c r="O45" s="1669"/>
    </row>
    <row r="46" spans="1:15">
      <c r="A46" s="49">
        <v>1997.01</v>
      </c>
      <c r="B46" s="1632"/>
      <c r="C46" s="1638"/>
      <c r="D46" s="1634"/>
      <c r="E46" s="387">
        <v>494699</v>
      </c>
      <c r="F46" s="1648"/>
      <c r="G46" s="1642"/>
      <c r="H46" s="1648"/>
      <c r="I46" s="1642"/>
      <c r="J46" s="1648"/>
      <c r="K46" s="1642"/>
      <c r="L46" s="1654"/>
      <c r="M46" s="1658"/>
      <c r="N46" s="1654"/>
      <c r="O46" s="1669"/>
    </row>
    <row r="47" spans="1:15">
      <c r="A47" s="49">
        <v>1997.02</v>
      </c>
      <c r="B47" s="1632"/>
      <c r="C47" s="1638"/>
      <c r="D47" s="1634"/>
      <c r="E47" s="387">
        <v>482843</v>
      </c>
      <c r="F47" s="1648"/>
      <c r="G47" s="1642"/>
      <c r="H47" s="1648"/>
      <c r="I47" s="1642"/>
      <c r="J47" s="1648"/>
      <c r="K47" s="1642"/>
      <c r="L47" s="1654"/>
      <c r="M47" s="1658"/>
      <c r="N47" s="1654"/>
      <c r="O47" s="1669"/>
    </row>
    <row r="48" spans="1:15">
      <c r="A48" s="49">
        <v>1997.03</v>
      </c>
      <c r="B48" s="1632"/>
      <c r="C48" s="1638"/>
      <c r="D48" s="1634"/>
      <c r="E48" s="387">
        <v>518135</v>
      </c>
      <c r="F48" s="1648"/>
      <c r="G48" s="1642"/>
      <c r="H48" s="1648"/>
      <c r="I48" s="1642"/>
      <c r="J48" s="1648"/>
      <c r="K48" s="1642"/>
      <c r="L48" s="1654"/>
      <c r="M48" s="1658"/>
      <c r="N48" s="1654"/>
      <c r="O48" s="1669"/>
    </row>
    <row r="49" spans="1:15">
      <c r="A49" s="49">
        <v>1997.04</v>
      </c>
      <c r="B49" s="1632"/>
      <c r="C49" s="1638"/>
      <c r="D49" s="1634"/>
      <c r="E49" s="387">
        <v>531630</v>
      </c>
      <c r="F49" s="1648"/>
      <c r="G49" s="1642"/>
      <c r="H49" s="1648"/>
      <c r="I49" s="1642"/>
      <c r="J49" s="1648"/>
      <c r="K49" s="1642"/>
      <c r="L49" s="1654"/>
      <c r="M49" s="1658"/>
      <c r="N49" s="1654"/>
      <c r="O49" s="1669"/>
    </row>
    <row r="50" spans="1:15">
      <c r="A50" s="49">
        <v>1997.05</v>
      </c>
      <c r="B50" s="1632"/>
      <c r="C50" s="1638"/>
      <c r="D50" s="1634"/>
      <c r="E50" s="387">
        <v>527488</v>
      </c>
      <c r="F50" s="1648"/>
      <c r="G50" s="1642"/>
      <c r="H50" s="1648"/>
      <c r="I50" s="1642"/>
      <c r="J50" s="1648"/>
      <c r="K50" s="1642"/>
      <c r="L50" s="1654"/>
      <c r="M50" s="1658"/>
      <c r="N50" s="1654"/>
      <c r="O50" s="1669"/>
    </row>
    <row r="51" spans="1:15">
      <c r="A51" s="49">
        <v>1997.06</v>
      </c>
      <c r="B51" s="1632"/>
      <c r="C51" s="1638"/>
      <c r="D51" s="1634"/>
      <c r="E51" s="387">
        <v>443844</v>
      </c>
      <c r="F51" s="1648"/>
      <c r="G51" s="1642"/>
      <c r="H51" s="1648"/>
      <c r="I51" s="1642"/>
      <c r="J51" s="1648"/>
      <c r="K51" s="1642"/>
      <c r="L51" s="1654"/>
      <c r="M51" s="1658"/>
      <c r="N51" s="1654"/>
      <c r="O51" s="1669"/>
    </row>
    <row r="52" spans="1:15">
      <c r="A52" s="49">
        <v>1997.07</v>
      </c>
      <c r="B52" s="1632"/>
      <c r="C52" s="1638"/>
      <c r="D52" s="1634"/>
      <c r="E52" s="387">
        <v>562729</v>
      </c>
      <c r="F52" s="1648"/>
      <c r="G52" s="1642"/>
      <c r="H52" s="1648"/>
      <c r="I52" s="1642"/>
      <c r="J52" s="1648"/>
      <c r="K52" s="1642"/>
      <c r="L52" s="1654"/>
      <c r="M52" s="1658"/>
      <c r="N52" s="1654"/>
      <c r="O52" s="1669"/>
    </row>
    <row r="53" spans="1:15">
      <c r="A53" s="49">
        <v>1997.08</v>
      </c>
      <c r="B53" s="1632"/>
      <c r="C53" s="1638"/>
      <c r="D53" s="1634"/>
      <c r="E53" s="387">
        <v>585368</v>
      </c>
      <c r="F53" s="1648"/>
      <c r="G53" s="1642"/>
      <c r="H53" s="1648"/>
      <c r="I53" s="1642"/>
      <c r="J53" s="1648"/>
      <c r="K53" s="1642"/>
      <c r="L53" s="1654"/>
      <c r="M53" s="1658"/>
      <c r="N53" s="1654"/>
      <c r="O53" s="1669"/>
    </row>
    <row r="54" spans="1:15">
      <c r="A54" s="49">
        <v>1997.09</v>
      </c>
      <c r="B54" s="1632"/>
      <c r="C54" s="1638"/>
      <c r="D54" s="1634"/>
      <c r="E54" s="387">
        <v>635617</v>
      </c>
      <c r="F54" s="1648"/>
      <c r="G54" s="1642"/>
      <c r="H54" s="1648"/>
      <c r="I54" s="1642"/>
      <c r="J54" s="1648"/>
      <c r="K54" s="1642"/>
      <c r="L54" s="1654"/>
      <c r="M54" s="1658"/>
      <c r="N54" s="1654"/>
      <c r="O54" s="1669"/>
    </row>
    <row r="55" spans="1:15">
      <c r="A55" s="49">
        <v>1997.1</v>
      </c>
      <c r="B55" s="1632"/>
      <c r="C55" s="1638"/>
      <c r="D55" s="1634"/>
      <c r="E55" s="387">
        <v>699826</v>
      </c>
      <c r="F55" s="1648"/>
      <c r="G55" s="1642"/>
      <c r="H55" s="1648"/>
      <c r="I55" s="1642"/>
      <c r="J55" s="1648"/>
      <c r="K55" s="1642"/>
      <c r="L55" s="1654"/>
      <c r="M55" s="1658"/>
      <c r="N55" s="1654"/>
      <c r="O55" s="1669"/>
    </row>
    <row r="56" spans="1:15">
      <c r="A56" s="49">
        <v>1997.11</v>
      </c>
      <c r="B56" s="1632"/>
      <c r="C56" s="1638"/>
      <c r="D56" s="1634"/>
      <c r="E56" s="387">
        <v>618393</v>
      </c>
      <c r="F56" s="1648"/>
      <c r="G56" s="1642"/>
      <c r="H56" s="1648"/>
      <c r="I56" s="1642"/>
      <c r="J56" s="1648"/>
      <c r="K56" s="1642"/>
      <c r="L56" s="1654"/>
      <c r="M56" s="1658"/>
      <c r="N56" s="1654"/>
      <c r="O56" s="1669"/>
    </row>
    <row r="57" spans="1:15">
      <c r="A57" s="49">
        <v>1997.12</v>
      </c>
      <c r="B57" s="1632"/>
      <c r="C57" s="1638"/>
      <c r="D57" s="1634"/>
      <c r="E57" s="387">
        <v>576831</v>
      </c>
      <c r="F57" s="1648"/>
      <c r="G57" s="1642"/>
      <c r="H57" s="1648"/>
      <c r="I57" s="1642"/>
      <c r="J57" s="1648"/>
      <c r="K57" s="1642"/>
      <c r="L57" s="1654"/>
      <c r="M57" s="1658"/>
      <c r="N57" s="1654"/>
      <c r="O57" s="1669"/>
    </row>
    <row r="58" spans="1:15">
      <c r="A58" s="49">
        <v>1998.01</v>
      </c>
      <c r="B58" s="1632"/>
      <c r="C58" s="1638"/>
      <c r="D58" s="1634"/>
      <c r="E58" s="387">
        <v>605409</v>
      </c>
      <c r="F58" s="1648"/>
      <c r="G58" s="1642"/>
      <c r="H58" s="1648"/>
      <c r="I58" s="1642"/>
      <c r="J58" s="1648"/>
      <c r="K58" s="1642"/>
      <c r="L58" s="1654"/>
      <c r="M58" s="1658"/>
      <c r="N58" s="1654"/>
      <c r="O58" s="1669"/>
    </row>
    <row r="59" spans="1:15">
      <c r="A59" s="49">
        <v>1998.02</v>
      </c>
      <c r="B59" s="1632"/>
      <c r="C59" s="1638"/>
      <c r="D59" s="1634"/>
      <c r="E59" s="387">
        <v>557978</v>
      </c>
      <c r="F59" s="1648"/>
      <c r="G59" s="1642"/>
      <c r="H59" s="1648"/>
      <c r="I59" s="1642"/>
      <c r="J59" s="1648"/>
      <c r="K59" s="1642"/>
      <c r="L59" s="1654"/>
      <c r="M59" s="1658"/>
      <c r="N59" s="1654"/>
      <c r="O59" s="1669"/>
    </row>
    <row r="60" spans="1:15">
      <c r="A60" s="49">
        <v>1998.03</v>
      </c>
      <c r="B60" s="1632"/>
      <c r="C60" s="1638"/>
      <c r="D60" s="1634"/>
      <c r="E60" s="387">
        <v>619433</v>
      </c>
      <c r="F60" s="1648"/>
      <c r="G60" s="1642"/>
      <c r="H60" s="1648"/>
      <c r="I60" s="1642"/>
      <c r="J60" s="1648"/>
      <c r="K60" s="1642"/>
      <c r="L60" s="1654"/>
      <c r="M60" s="1658"/>
      <c r="N60" s="1654"/>
      <c r="O60" s="1669"/>
    </row>
    <row r="61" spans="1:15">
      <c r="A61" s="49">
        <v>1998.04</v>
      </c>
      <c r="B61" s="1632"/>
      <c r="C61" s="1638"/>
      <c r="D61" s="1634"/>
      <c r="E61" s="387">
        <v>538616</v>
      </c>
      <c r="F61" s="1648"/>
      <c r="G61" s="1642"/>
      <c r="H61" s="1648"/>
      <c r="I61" s="1642"/>
      <c r="J61" s="1648"/>
      <c r="K61" s="1642"/>
      <c r="L61" s="1654"/>
      <c r="M61" s="1658"/>
      <c r="N61" s="1654"/>
      <c r="O61" s="1669"/>
    </row>
    <row r="62" spans="1:15">
      <c r="A62" s="49">
        <v>1998.05</v>
      </c>
      <c r="B62" s="1632"/>
      <c r="C62" s="1638"/>
      <c r="D62" s="1634"/>
      <c r="E62" s="387">
        <v>528422</v>
      </c>
      <c r="F62" s="1648"/>
      <c r="G62" s="1642"/>
      <c r="H62" s="1648"/>
      <c r="I62" s="1642"/>
      <c r="J62" s="1648"/>
      <c r="K62" s="1642"/>
      <c r="L62" s="1654"/>
      <c r="M62" s="1658"/>
      <c r="N62" s="1654"/>
      <c r="O62" s="1669"/>
    </row>
    <row r="63" spans="1:15">
      <c r="A63" s="49">
        <v>1998.06</v>
      </c>
      <c r="B63" s="1632"/>
      <c r="C63" s="1638"/>
      <c r="D63" s="1634"/>
      <c r="E63" s="387">
        <v>560126</v>
      </c>
      <c r="F63" s="1648"/>
      <c r="G63" s="1642"/>
      <c r="H63" s="1648"/>
      <c r="I63" s="1642"/>
      <c r="J63" s="1648"/>
      <c r="K63" s="1642"/>
      <c r="L63" s="1654"/>
      <c r="M63" s="1658"/>
      <c r="N63" s="1654"/>
      <c r="O63" s="1669"/>
    </row>
    <row r="64" spans="1:15">
      <c r="A64" s="49">
        <v>1998.07</v>
      </c>
      <c r="B64" s="1632"/>
      <c r="C64" s="1638"/>
      <c r="D64" s="1634"/>
      <c r="E64" s="387">
        <v>572612</v>
      </c>
      <c r="F64" s="1648"/>
      <c r="G64" s="1642"/>
      <c r="H64" s="1648"/>
      <c r="I64" s="1642"/>
      <c r="J64" s="1648"/>
      <c r="K64" s="1642"/>
      <c r="L64" s="1654"/>
      <c r="M64" s="1658"/>
      <c r="N64" s="1654"/>
      <c r="O64" s="1669"/>
    </row>
    <row r="65" spans="1:15">
      <c r="A65" s="49">
        <v>1998.08</v>
      </c>
      <c r="B65" s="1632"/>
      <c r="C65" s="1638"/>
      <c r="D65" s="1634"/>
      <c r="E65" s="387">
        <v>612186</v>
      </c>
      <c r="F65" s="1648"/>
      <c r="G65" s="1642"/>
      <c r="H65" s="1648"/>
      <c r="I65" s="1642"/>
      <c r="J65" s="1648"/>
      <c r="K65" s="1642"/>
      <c r="L65" s="1654"/>
      <c r="M65" s="1658"/>
      <c r="N65" s="1654"/>
      <c r="O65" s="1669"/>
    </row>
    <row r="66" spans="1:15">
      <c r="A66" s="49">
        <v>1998.09</v>
      </c>
      <c r="B66" s="1632"/>
      <c r="C66" s="1638"/>
      <c r="D66" s="1634"/>
      <c r="E66" s="387">
        <v>632256</v>
      </c>
      <c r="F66" s="1648"/>
      <c r="G66" s="1642"/>
      <c r="H66" s="1648"/>
      <c r="I66" s="1642"/>
      <c r="J66" s="1648"/>
      <c r="K66" s="1642"/>
      <c r="L66" s="1654"/>
      <c r="M66" s="1658"/>
      <c r="N66" s="1654"/>
      <c r="O66" s="1669"/>
    </row>
    <row r="67" spans="1:15">
      <c r="A67" s="49">
        <v>1998.1</v>
      </c>
      <c r="B67" s="1632"/>
      <c r="C67" s="1638"/>
      <c r="D67" s="1634"/>
      <c r="E67" s="387">
        <v>655554</v>
      </c>
      <c r="F67" s="1648"/>
      <c r="G67" s="1642"/>
      <c r="H67" s="1648"/>
      <c r="I67" s="1642"/>
      <c r="J67" s="1648"/>
      <c r="K67" s="1642"/>
      <c r="L67" s="1654"/>
      <c r="M67" s="1658"/>
      <c r="N67" s="1654"/>
      <c r="O67" s="1669"/>
    </row>
    <row r="68" spans="1:15">
      <c r="A68" s="49">
        <v>1998.11</v>
      </c>
      <c r="B68" s="1632"/>
      <c r="C68" s="1638"/>
      <c r="D68" s="1634"/>
      <c r="E68" s="387">
        <v>628573</v>
      </c>
      <c r="F68" s="1648"/>
      <c r="G68" s="1642"/>
      <c r="H68" s="1648"/>
      <c r="I68" s="1642"/>
      <c r="J68" s="1648"/>
      <c r="K68" s="1642"/>
      <c r="L68" s="1654"/>
      <c r="M68" s="1658"/>
      <c r="N68" s="1654"/>
      <c r="O68" s="1669"/>
    </row>
    <row r="69" spans="1:15">
      <c r="A69" s="49">
        <v>1998.12</v>
      </c>
      <c r="B69" s="1632"/>
      <c r="C69" s="1638"/>
      <c r="D69" s="1634"/>
      <c r="E69" s="387">
        <v>586165</v>
      </c>
      <c r="F69" s="1648"/>
      <c r="G69" s="1642"/>
      <c r="H69" s="1648"/>
      <c r="I69" s="1642"/>
      <c r="J69" s="1648"/>
      <c r="K69" s="1642"/>
      <c r="L69" s="1654"/>
      <c r="M69" s="1658"/>
      <c r="N69" s="1654"/>
      <c r="O69" s="1669"/>
    </row>
    <row r="70" spans="1:15">
      <c r="A70" s="49">
        <v>1999.01</v>
      </c>
      <c r="B70" s="1632"/>
      <c r="C70" s="1638"/>
      <c r="D70" s="1634"/>
      <c r="E70" s="387">
        <v>591021</v>
      </c>
      <c r="F70" s="1648"/>
      <c r="G70" s="1642"/>
      <c r="H70" s="1648"/>
      <c r="I70" s="1642"/>
      <c r="J70" s="1648"/>
      <c r="K70" s="1642"/>
      <c r="L70" s="1654"/>
      <c r="M70" s="1658"/>
      <c r="N70" s="1654"/>
      <c r="O70" s="1669"/>
    </row>
    <row r="71" spans="1:15">
      <c r="A71" s="49">
        <v>1999.02</v>
      </c>
      <c r="B71" s="1632"/>
      <c r="C71" s="1638"/>
      <c r="D71" s="1634"/>
      <c r="E71" s="387">
        <v>580419</v>
      </c>
      <c r="F71" s="1648"/>
      <c r="G71" s="1642"/>
      <c r="H71" s="1648"/>
      <c r="I71" s="1642"/>
      <c r="J71" s="1648"/>
      <c r="K71" s="1642"/>
      <c r="L71" s="1654"/>
      <c r="M71" s="1658"/>
      <c r="N71" s="1654"/>
      <c r="O71" s="1669"/>
    </row>
    <row r="72" spans="1:15">
      <c r="A72" s="49">
        <v>1999.03</v>
      </c>
      <c r="B72" s="1632"/>
      <c r="C72" s="1638"/>
      <c r="D72" s="1634"/>
      <c r="E72" s="387">
        <v>629980</v>
      </c>
      <c r="F72" s="1648"/>
      <c r="G72" s="1642"/>
      <c r="H72" s="1648"/>
      <c r="I72" s="1642"/>
      <c r="J72" s="1648"/>
      <c r="K72" s="1642"/>
      <c r="L72" s="1654"/>
      <c r="M72" s="1658"/>
      <c r="N72" s="1654"/>
      <c r="O72" s="1669"/>
    </row>
    <row r="73" spans="1:15">
      <c r="A73" s="49">
        <v>1999.04</v>
      </c>
      <c r="B73" s="1632"/>
      <c r="C73" s="1638"/>
      <c r="D73" s="1634"/>
      <c r="E73" s="387">
        <v>579303</v>
      </c>
      <c r="F73" s="1648"/>
      <c r="G73" s="1642"/>
      <c r="H73" s="1648"/>
      <c r="I73" s="1642"/>
      <c r="J73" s="1648"/>
      <c r="K73" s="1642"/>
      <c r="L73" s="1654"/>
      <c r="M73" s="1658"/>
      <c r="N73" s="1654"/>
      <c r="O73" s="1669"/>
    </row>
    <row r="74" spans="1:15">
      <c r="A74" s="49">
        <v>1999.05</v>
      </c>
      <c r="B74" s="1632"/>
      <c r="C74" s="1638"/>
      <c r="D74" s="1634"/>
      <c r="E74" s="387">
        <v>588252</v>
      </c>
      <c r="F74" s="1648"/>
      <c r="G74" s="1642"/>
      <c r="H74" s="1648"/>
      <c r="I74" s="1642"/>
      <c r="J74" s="1648"/>
      <c r="K74" s="1642"/>
      <c r="L74" s="1654"/>
      <c r="M74" s="1658"/>
      <c r="N74" s="1654"/>
      <c r="O74" s="1669"/>
    </row>
    <row r="75" spans="1:15">
      <c r="A75" s="49">
        <v>1999.06</v>
      </c>
      <c r="B75" s="1632"/>
      <c r="C75" s="1638"/>
      <c r="D75" s="1634"/>
      <c r="E75" s="387">
        <v>591866</v>
      </c>
      <c r="F75" s="1648"/>
      <c r="G75" s="1642"/>
      <c r="H75" s="1648"/>
      <c r="I75" s="1642"/>
      <c r="J75" s="1648"/>
      <c r="K75" s="1642"/>
      <c r="L75" s="1654"/>
      <c r="M75" s="1658"/>
      <c r="N75" s="1654"/>
      <c r="O75" s="1669"/>
    </row>
    <row r="76" spans="1:15">
      <c r="A76" s="49">
        <v>1999.07</v>
      </c>
      <c r="B76" s="1632"/>
      <c r="C76" s="1638"/>
      <c r="D76" s="1634"/>
      <c r="E76" s="387">
        <v>526490</v>
      </c>
      <c r="F76" s="1648"/>
      <c r="G76" s="1642"/>
      <c r="H76" s="1648"/>
      <c r="I76" s="1642"/>
      <c r="J76" s="1648"/>
      <c r="K76" s="1642"/>
      <c r="L76" s="1654"/>
      <c r="M76" s="1658"/>
      <c r="N76" s="1654"/>
      <c r="O76" s="1669"/>
    </row>
    <row r="77" spans="1:15">
      <c r="A77" s="49">
        <v>1999.08</v>
      </c>
      <c r="B77" s="1632"/>
      <c r="C77" s="1638"/>
      <c r="D77" s="1634"/>
      <c r="E77" s="387">
        <v>592912</v>
      </c>
      <c r="F77" s="1648"/>
      <c r="G77" s="1642"/>
      <c r="H77" s="1648"/>
      <c r="I77" s="1642"/>
      <c r="J77" s="1648"/>
      <c r="K77" s="1642"/>
      <c r="L77" s="1654"/>
      <c r="M77" s="1658"/>
      <c r="N77" s="1654"/>
      <c r="O77" s="1669"/>
    </row>
    <row r="78" spans="1:15">
      <c r="A78" s="49">
        <v>1999.09</v>
      </c>
      <c r="B78" s="1632"/>
      <c r="C78" s="1638"/>
      <c r="D78" s="1634"/>
      <c r="E78" s="387">
        <v>602634</v>
      </c>
      <c r="F78" s="1648"/>
      <c r="G78" s="1642"/>
      <c r="H78" s="1648"/>
      <c r="I78" s="1642"/>
      <c r="J78" s="1648"/>
      <c r="K78" s="1642"/>
      <c r="L78" s="1654"/>
      <c r="M78" s="1658"/>
      <c r="N78" s="1654"/>
      <c r="O78" s="1669"/>
    </row>
    <row r="79" spans="1:15">
      <c r="A79" s="49">
        <v>1999.1</v>
      </c>
      <c r="B79" s="1632"/>
      <c r="C79" s="1638"/>
      <c r="D79" s="1634"/>
      <c r="E79" s="387">
        <v>621070</v>
      </c>
      <c r="F79" s="1648"/>
      <c r="G79" s="1642"/>
      <c r="H79" s="1648"/>
      <c r="I79" s="1642"/>
      <c r="J79" s="1648"/>
      <c r="K79" s="1642"/>
      <c r="L79" s="1654"/>
      <c r="M79" s="1658"/>
      <c r="N79" s="1654"/>
      <c r="O79" s="1669"/>
    </row>
    <row r="80" spans="1:15">
      <c r="A80" s="49">
        <v>1999.11</v>
      </c>
      <c r="B80" s="1632"/>
      <c r="C80" s="1638"/>
      <c r="D80" s="1634"/>
      <c r="E80" s="387">
        <v>632184</v>
      </c>
      <c r="F80" s="1648"/>
      <c r="G80" s="1642"/>
      <c r="H80" s="1648"/>
      <c r="I80" s="1642"/>
      <c r="J80" s="1648"/>
      <c r="K80" s="1642"/>
      <c r="L80" s="1654"/>
      <c r="M80" s="1658"/>
      <c r="N80" s="1654"/>
      <c r="O80" s="1669"/>
    </row>
    <row r="81" spans="1:15">
      <c r="A81" s="49">
        <v>1999.12</v>
      </c>
      <c r="B81" s="1632"/>
      <c r="C81" s="1638"/>
      <c r="D81" s="1634"/>
      <c r="E81" s="387">
        <v>531122</v>
      </c>
      <c r="F81" s="1648"/>
      <c r="G81" s="1642"/>
      <c r="H81" s="1648"/>
      <c r="I81" s="1642"/>
      <c r="J81" s="1648"/>
      <c r="K81" s="1642"/>
      <c r="L81" s="1654"/>
      <c r="M81" s="1658"/>
      <c r="N81" s="1654"/>
      <c r="O81" s="1669"/>
    </row>
    <row r="82" spans="1:15">
      <c r="A82" s="49">
        <v>2000.01</v>
      </c>
      <c r="B82" s="54">
        <v>40585</v>
      </c>
      <c r="C82" s="1461"/>
      <c r="D82" s="355"/>
      <c r="E82" s="387">
        <v>515923</v>
      </c>
      <c r="F82" s="1648"/>
      <c r="G82" s="1642"/>
      <c r="H82" s="1648"/>
      <c r="I82" s="1642"/>
      <c r="J82" s="1648"/>
      <c r="K82" s="1642"/>
      <c r="L82" s="1654"/>
      <c r="M82" s="1658"/>
      <c r="N82" s="1654"/>
      <c r="O82" s="1669"/>
    </row>
    <row r="83" spans="1:15">
      <c r="A83" s="49">
        <v>2000.02</v>
      </c>
      <c r="B83" s="50">
        <v>34964</v>
      </c>
      <c r="C83" s="1460"/>
      <c r="D83" s="350"/>
      <c r="E83" s="387">
        <v>508851</v>
      </c>
      <c r="F83" s="1648"/>
      <c r="G83" s="1642"/>
      <c r="H83" s="1648"/>
      <c r="I83" s="1642"/>
      <c r="J83" s="1648"/>
      <c r="K83" s="1642"/>
      <c r="L83" s="1654"/>
      <c r="M83" s="1658"/>
      <c r="N83" s="1654"/>
      <c r="O83" s="1669"/>
    </row>
    <row r="84" spans="1:15">
      <c r="A84" s="49">
        <v>2000.03</v>
      </c>
      <c r="B84" s="50">
        <v>43151</v>
      </c>
      <c r="C84" s="1460"/>
      <c r="D84" s="350"/>
      <c r="E84" s="387">
        <v>542207</v>
      </c>
      <c r="F84" s="1648"/>
      <c r="G84" s="1642"/>
      <c r="H84" s="1648"/>
      <c r="I84" s="1642"/>
      <c r="J84" s="1648"/>
      <c r="K84" s="1642"/>
      <c r="L84" s="1654"/>
      <c r="M84" s="1658"/>
      <c r="N84" s="1654"/>
      <c r="O84" s="1669"/>
    </row>
    <row r="85" spans="1:15">
      <c r="A85" s="49">
        <v>2000.04</v>
      </c>
      <c r="B85" s="50">
        <v>34179</v>
      </c>
      <c r="C85" s="1460"/>
      <c r="D85" s="350"/>
      <c r="E85" s="387">
        <v>455159</v>
      </c>
      <c r="F85" s="1648"/>
      <c r="G85" s="1642"/>
      <c r="H85" s="1648"/>
      <c r="I85" s="1642"/>
      <c r="J85" s="1648"/>
      <c r="K85" s="1642"/>
      <c r="L85" s="1654"/>
      <c r="M85" s="1658"/>
      <c r="N85" s="1654"/>
      <c r="O85" s="1669"/>
    </row>
    <row r="86" spans="1:15">
      <c r="A86" s="49">
        <v>2000.05</v>
      </c>
      <c r="B86" s="50">
        <v>31178</v>
      </c>
      <c r="C86" s="1460"/>
      <c r="D86" s="350"/>
      <c r="E86" s="387">
        <v>458899</v>
      </c>
      <c r="F86" s="1648"/>
      <c r="G86" s="1642"/>
      <c r="H86" s="1648"/>
      <c r="I86" s="1642"/>
      <c r="J86" s="1648"/>
      <c r="K86" s="1642"/>
      <c r="L86" s="1654"/>
      <c r="M86" s="1658"/>
      <c r="N86" s="1654"/>
      <c r="O86" s="1669"/>
    </row>
    <row r="87" spans="1:15">
      <c r="A87" s="49">
        <v>2000.06</v>
      </c>
      <c r="B87" s="50">
        <v>32952</v>
      </c>
      <c r="C87" s="1460"/>
      <c r="D87" s="350"/>
      <c r="E87" s="387">
        <v>441621</v>
      </c>
      <c r="F87" s="1648"/>
      <c r="G87" s="1642"/>
      <c r="H87" s="1648"/>
      <c r="I87" s="1642"/>
      <c r="J87" s="1648"/>
      <c r="K87" s="1642"/>
      <c r="L87" s="1654"/>
      <c r="M87" s="1658"/>
      <c r="N87" s="1654"/>
      <c r="O87" s="1669"/>
    </row>
    <row r="88" spans="1:15">
      <c r="A88" s="49">
        <v>2000.07</v>
      </c>
      <c r="B88" s="50">
        <v>34814</v>
      </c>
      <c r="C88" s="1460"/>
      <c r="D88" s="350"/>
      <c r="E88" s="387">
        <v>460590</v>
      </c>
      <c r="F88" s="1648"/>
      <c r="G88" s="1642"/>
      <c r="H88" s="1648"/>
      <c r="I88" s="1642"/>
      <c r="J88" s="1648"/>
      <c r="K88" s="1642"/>
      <c r="L88" s="1654"/>
      <c r="M88" s="1658"/>
      <c r="N88" s="1654"/>
      <c r="O88" s="1669"/>
    </row>
    <row r="89" spans="1:15">
      <c r="A89" s="49">
        <v>2000.08</v>
      </c>
      <c r="B89" s="50">
        <v>41098</v>
      </c>
      <c r="C89" s="1460"/>
      <c r="D89" s="350"/>
      <c r="E89" s="387">
        <v>538570</v>
      </c>
      <c r="F89" s="1648"/>
      <c r="G89" s="1642"/>
      <c r="H89" s="1648"/>
      <c r="I89" s="1642"/>
      <c r="J89" s="1648"/>
      <c r="K89" s="1642"/>
      <c r="L89" s="1654"/>
      <c r="M89" s="1658"/>
      <c r="N89" s="1654"/>
      <c r="O89" s="1669"/>
    </row>
    <row r="90" spans="1:15">
      <c r="A90" s="49">
        <v>2000.09</v>
      </c>
      <c r="B90" s="50">
        <v>44592</v>
      </c>
      <c r="C90" s="1460"/>
      <c r="D90" s="350"/>
      <c r="E90" s="387">
        <v>552670</v>
      </c>
      <c r="F90" s="1648"/>
      <c r="G90" s="1642"/>
      <c r="H90" s="1648"/>
      <c r="I90" s="1642"/>
      <c r="J90" s="1648"/>
      <c r="K90" s="1642"/>
      <c r="L90" s="1654"/>
      <c r="M90" s="1658"/>
      <c r="N90" s="1654"/>
      <c r="O90" s="1669"/>
    </row>
    <row r="91" spans="1:15">
      <c r="A91" s="49">
        <v>2000.1</v>
      </c>
      <c r="B91" s="50">
        <v>32797</v>
      </c>
      <c r="C91" s="1460"/>
      <c r="D91" s="350"/>
      <c r="E91" s="387">
        <v>507250</v>
      </c>
      <c r="F91" s="1648"/>
      <c r="G91" s="1642"/>
      <c r="H91" s="1648"/>
      <c r="I91" s="1642"/>
      <c r="J91" s="1648"/>
      <c r="K91" s="1642"/>
      <c r="L91" s="1654"/>
      <c r="M91" s="1658"/>
      <c r="N91" s="1654"/>
      <c r="O91" s="1669"/>
    </row>
    <row r="92" spans="1:15">
      <c r="A92" s="49">
        <v>2000.11</v>
      </c>
      <c r="B92" s="50">
        <v>35820</v>
      </c>
      <c r="C92" s="1460"/>
      <c r="D92" s="350"/>
      <c r="E92" s="387">
        <v>532593</v>
      </c>
      <c r="F92" s="1648"/>
      <c r="G92" s="1642"/>
      <c r="H92" s="1648"/>
      <c r="I92" s="1642"/>
      <c r="J92" s="1648"/>
      <c r="K92" s="1642"/>
      <c r="L92" s="1654"/>
      <c r="M92" s="1658"/>
      <c r="N92" s="1654"/>
      <c r="O92" s="1669"/>
    </row>
    <row r="93" spans="1:15">
      <c r="A93" s="49">
        <v>2000.12</v>
      </c>
      <c r="B93" s="50">
        <v>33641</v>
      </c>
      <c r="C93" s="1460"/>
      <c r="D93" s="350"/>
      <c r="E93" s="387">
        <v>491025</v>
      </c>
      <c r="F93" s="1648"/>
      <c r="G93" s="1642"/>
      <c r="H93" s="1648"/>
      <c r="I93" s="1642"/>
      <c r="J93" s="1648"/>
      <c r="K93" s="1642"/>
      <c r="L93" s="1654"/>
      <c r="M93" s="1658"/>
      <c r="N93" s="1654"/>
      <c r="O93" s="1669"/>
    </row>
    <row r="94" spans="1:15">
      <c r="A94" s="49">
        <v>2001.01</v>
      </c>
      <c r="B94" s="50">
        <v>40056</v>
      </c>
      <c r="C94" s="1460"/>
      <c r="D94" s="350"/>
      <c r="E94" s="387">
        <v>499804</v>
      </c>
      <c r="F94" s="1648"/>
      <c r="G94" s="1642"/>
      <c r="H94" s="1648"/>
      <c r="I94" s="1642"/>
      <c r="J94" s="1648"/>
      <c r="K94" s="1642"/>
      <c r="L94" s="1654"/>
      <c r="M94" s="1658"/>
      <c r="N94" s="1654"/>
      <c r="O94" s="1669"/>
    </row>
    <row r="95" spans="1:15">
      <c r="A95" s="49">
        <v>2001.02</v>
      </c>
      <c r="B95" s="50">
        <v>39308</v>
      </c>
      <c r="C95" s="1460"/>
      <c r="D95" s="350"/>
      <c r="E95" s="387">
        <v>478457</v>
      </c>
      <c r="F95" s="1648"/>
      <c r="G95" s="1642"/>
      <c r="H95" s="1648"/>
      <c r="I95" s="1642"/>
      <c r="J95" s="1648"/>
      <c r="K95" s="1642"/>
      <c r="L95" s="1654"/>
      <c r="M95" s="1658"/>
      <c r="N95" s="1654"/>
      <c r="O95" s="1669"/>
    </row>
    <row r="96" spans="1:15">
      <c r="A96" s="49">
        <v>2001.03</v>
      </c>
      <c r="B96" s="50">
        <v>35442</v>
      </c>
      <c r="C96" s="1460"/>
      <c r="D96" s="350"/>
      <c r="E96" s="387">
        <v>470047</v>
      </c>
      <c r="F96" s="1648"/>
      <c r="G96" s="1642"/>
      <c r="H96" s="1648"/>
      <c r="I96" s="1642"/>
      <c r="J96" s="1648"/>
      <c r="K96" s="1642"/>
      <c r="L96" s="1654"/>
      <c r="M96" s="1658"/>
      <c r="N96" s="1654"/>
      <c r="O96" s="1669"/>
    </row>
    <row r="97" spans="1:20">
      <c r="A97" s="49">
        <v>2001.04</v>
      </c>
      <c r="B97" s="50">
        <v>32879</v>
      </c>
      <c r="C97" s="1460"/>
      <c r="D97" s="350"/>
      <c r="E97" s="387">
        <v>461199</v>
      </c>
      <c r="F97" s="1648"/>
      <c r="G97" s="1642"/>
      <c r="H97" s="1648"/>
      <c r="I97" s="1642"/>
      <c r="J97" s="1648"/>
      <c r="K97" s="1642"/>
      <c r="L97" s="1654"/>
      <c r="M97" s="1658"/>
      <c r="N97" s="1654"/>
      <c r="O97" s="1669"/>
    </row>
    <row r="98" spans="1:20">
      <c r="A98" s="49">
        <v>2001.05</v>
      </c>
      <c r="B98" s="50">
        <v>36328</v>
      </c>
      <c r="C98" s="1460"/>
      <c r="D98" s="350"/>
      <c r="E98" s="387">
        <v>445259</v>
      </c>
      <c r="F98" s="1648"/>
      <c r="G98" s="1642"/>
      <c r="H98" s="1648"/>
      <c r="I98" s="1642"/>
      <c r="J98" s="1648"/>
      <c r="K98" s="1642"/>
      <c r="L98" s="1654"/>
      <c r="M98" s="1658"/>
      <c r="N98" s="1654"/>
      <c r="O98" s="1669"/>
    </row>
    <row r="99" spans="1:20">
      <c r="A99" s="49">
        <v>2001.06</v>
      </c>
      <c r="B99" s="50">
        <v>34214</v>
      </c>
      <c r="C99" s="1460"/>
      <c r="D99" s="350"/>
      <c r="E99" s="387">
        <v>436564</v>
      </c>
      <c r="F99" s="1648"/>
      <c r="G99" s="1642"/>
      <c r="H99" s="1648"/>
      <c r="I99" s="1642"/>
      <c r="J99" s="1648"/>
      <c r="K99" s="1642"/>
      <c r="L99" s="1654"/>
      <c r="M99" s="1658"/>
      <c r="N99" s="1654"/>
      <c r="O99" s="1669"/>
    </row>
    <row r="100" spans="1:20">
      <c r="A100" s="49">
        <v>2001.07</v>
      </c>
      <c r="B100" s="50">
        <v>40425</v>
      </c>
      <c r="C100" s="1460"/>
      <c r="D100" s="350"/>
      <c r="E100" s="387">
        <v>450975</v>
      </c>
      <c r="F100" s="1648"/>
      <c r="G100" s="1642"/>
      <c r="H100" s="1648"/>
      <c r="I100" s="1642"/>
      <c r="J100" s="1648"/>
      <c r="K100" s="1642"/>
      <c r="L100" s="1654"/>
      <c r="M100" s="1658"/>
      <c r="N100" s="1654"/>
      <c r="O100" s="1669"/>
    </row>
    <row r="101" spans="1:20">
      <c r="A101" s="49">
        <v>2001.08</v>
      </c>
      <c r="B101" s="50">
        <v>35892</v>
      </c>
      <c r="C101" s="1460"/>
      <c r="D101" s="350"/>
      <c r="E101" s="387">
        <v>451521</v>
      </c>
      <c r="F101" s="1648"/>
      <c r="G101" s="1642"/>
      <c r="H101" s="1648"/>
      <c r="I101" s="1642"/>
      <c r="J101" s="1648"/>
      <c r="K101" s="1642"/>
      <c r="L101" s="1654"/>
      <c r="M101" s="1658"/>
      <c r="N101" s="1654"/>
      <c r="O101" s="1669"/>
    </row>
    <row r="102" spans="1:20">
      <c r="A102" s="49">
        <v>2001.09</v>
      </c>
      <c r="B102" s="50">
        <v>35470</v>
      </c>
      <c r="C102" s="1460"/>
      <c r="D102" s="350"/>
      <c r="E102" s="387">
        <v>425771</v>
      </c>
      <c r="F102" s="1648"/>
      <c r="G102" s="1642"/>
      <c r="H102" s="1648"/>
      <c r="I102" s="1642"/>
      <c r="J102" s="1648"/>
      <c r="K102" s="1642"/>
      <c r="L102" s="1654"/>
      <c r="M102" s="1658"/>
      <c r="N102" s="1654"/>
      <c r="O102" s="1669"/>
    </row>
    <row r="103" spans="1:20">
      <c r="A103" s="49">
        <v>2001.1</v>
      </c>
      <c r="B103" s="50">
        <v>31462</v>
      </c>
      <c r="C103" s="1460"/>
      <c r="D103" s="350"/>
      <c r="E103" s="387">
        <v>404195</v>
      </c>
      <c r="F103" s="1648"/>
      <c r="G103" s="1642"/>
      <c r="H103" s="1648"/>
      <c r="I103" s="1642"/>
      <c r="J103" s="1648"/>
      <c r="K103" s="1642"/>
      <c r="L103" s="1654"/>
      <c r="M103" s="1658"/>
      <c r="N103" s="1654"/>
      <c r="O103" s="1669"/>
    </row>
    <row r="104" spans="1:20">
      <c r="A104" s="49">
        <v>2001.11</v>
      </c>
      <c r="B104" s="50">
        <v>35718</v>
      </c>
      <c r="C104" s="1460"/>
      <c r="D104" s="350"/>
      <c r="E104" s="387">
        <v>441476</v>
      </c>
      <c r="F104" s="1648"/>
      <c r="G104" s="1642"/>
      <c r="H104" s="1648"/>
      <c r="I104" s="1642"/>
      <c r="J104" s="1648"/>
      <c r="K104" s="1642"/>
      <c r="L104" s="1654"/>
      <c r="M104" s="1658"/>
      <c r="N104" s="1654"/>
      <c r="O104" s="1669"/>
    </row>
    <row r="105" spans="1:20">
      <c r="A105" s="49">
        <v>2001.12</v>
      </c>
      <c r="B105" s="50">
        <v>23364</v>
      </c>
      <c r="C105" s="1460"/>
      <c r="D105" s="350"/>
      <c r="E105" s="387">
        <v>321034</v>
      </c>
      <c r="F105" s="1648"/>
      <c r="G105" s="1642"/>
      <c r="H105" s="1648"/>
      <c r="I105" s="1642"/>
      <c r="J105" s="1648"/>
      <c r="K105" s="1642"/>
      <c r="L105" s="1654"/>
      <c r="M105" s="1658"/>
      <c r="N105" s="1654"/>
      <c r="O105" s="1669"/>
    </row>
    <row r="106" spans="1:20">
      <c r="A106" s="51">
        <v>2002.01</v>
      </c>
      <c r="B106" s="50">
        <v>21364</v>
      </c>
      <c r="C106" s="1460"/>
      <c r="D106" s="350"/>
      <c r="E106" s="387">
        <v>305007</v>
      </c>
      <c r="F106" s="1648"/>
      <c r="G106" s="1642"/>
      <c r="H106" s="1648"/>
      <c r="I106" s="1642"/>
      <c r="J106" s="1648"/>
      <c r="K106" s="1642"/>
      <c r="L106" s="1654"/>
      <c r="M106" s="1658"/>
      <c r="N106" s="1654"/>
      <c r="O106" s="1669"/>
      <c r="P106" s="34"/>
      <c r="Q106" s="34"/>
      <c r="R106" s="34"/>
      <c r="S106" s="34"/>
      <c r="T106" s="2"/>
    </row>
    <row r="107" spans="1:20">
      <c r="A107" s="51">
        <v>2002.02</v>
      </c>
      <c r="B107" s="50">
        <v>20009</v>
      </c>
      <c r="C107" s="1460"/>
      <c r="D107" s="350"/>
      <c r="E107" s="387">
        <v>278133</v>
      </c>
      <c r="F107" s="1648"/>
      <c r="G107" s="1642"/>
      <c r="H107" s="1648"/>
      <c r="I107" s="1642"/>
      <c r="J107" s="1648"/>
      <c r="K107" s="1642"/>
      <c r="L107" s="1654"/>
      <c r="M107" s="1658"/>
      <c r="N107" s="1654"/>
      <c r="O107" s="1669"/>
      <c r="P107" s="34"/>
      <c r="Q107" s="34"/>
      <c r="R107" s="34"/>
      <c r="S107" s="34"/>
      <c r="T107" s="34"/>
    </row>
    <row r="108" spans="1:20">
      <c r="A108" s="51">
        <v>2002.03</v>
      </c>
      <c r="B108" s="50">
        <v>19719</v>
      </c>
      <c r="C108" s="1460"/>
      <c r="D108" s="350"/>
      <c r="E108" s="387">
        <v>317899</v>
      </c>
      <c r="F108" s="1648"/>
      <c r="G108" s="1642"/>
      <c r="H108" s="1648"/>
      <c r="I108" s="1642"/>
      <c r="J108" s="1648"/>
      <c r="K108" s="1642"/>
      <c r="L108" s="1654"/>
      <c r="M108" s="1658"/>
      <c r="N108" s="1654"/>
      <c r="O108" s="1669"/>
      <c r="P108" s="34"/>
      <c r="Q108" s="34"/>
      <c r="R108" s="34"/>
      <c r="S108" s="34"/>
      <c r="T108" s="34"/>
    </row>
    <row r="109" spans="1:20">
      <c r="A109" s="51">
        <v>2002.04</v>
      </c>
      <c r="B109" s="50">
        <v>18276</v>
      </c>
      <c r="C109" s="1460"/>
      <c r="D109" s="350"/>
      <c r="E109" s="387">
        <v>283413</v>
      </c>
      <c r="F109" s="1648"/>
      <c r="G109" s="1642"/>
      <c r="H109" s="1648"/>
      <c r="I109" s="1642"/>
      <c r="J109" s="1648"/>
      <c r="K109" s="1642"/>
      <c r="L109" s="1654"/>
      <c r="M109" s="1658"/>
      <c r="N109" s="1654"/>
      <c r="O109" s="1669"/>
      <c r="P109" s="34"/>
      <c r="Q109" s="34"/>
      <c r="R109" s="34"/>
      <c r="S109" s="34"/>
      <c r="T109" s="34"/>
    </row>
    <row r="110" spans="1:20">
      <c r="A110" s="51">
        <v>2002.05</v>
      </c>
      <c r="B110" s="50">
        <v>23642</v>
      </c>
      <c r="C110" s="1460"/>
      <c r="D110" s="350"/>
      <c r="E110" s="387">
        <v>303346</v>
      </c>
      <c r="F110" s="1648"/>
      <c r="G110" s="1642"/>
      <c r="H110" s="1648"/>
      <c r="I110" s="1642"/>
      <c r="J110" s="1648"/>
      <c r="K110" s="1642"/>
      <c r="L110" s="1654"/>
      <c r="M110" s="1658"/>
      <c r="N110" s="1654"/>
      <c r="O110" s="1669"/>
      <c r="P110" s="34"/>
      <c r="Q110" s="34"/>
      <c r="R110" s="34"/>
      <c r="S110" s="34"/>
      <c r="T110" s="34"/>
    </row>
    <row r="111" spans="1:20">
      <c r="A111" s="51">
        <v>2002.06</v>
      </c>
      <c r="B111" s="50">
        <v>24403</v>
      </c>
      <c r="C111" s="1460"/>
      <c r="D111" s="350"/>
      <c r="E111" s="387">
        <v>299946</v>
      </c>
      <c r="F111" s="1648"/>
      <c r="G111" s="1642"/>
      <c r="H111" s="1648"/>
      <c r="I111" s="1642"/>
      <c r="J111" s="1648"/>
      <c r="K111" s="1642"/>
      <c r="L111" s="1654"/>
      <c r="M111" s="1658"/>
      <c r="N111" s="1654"/>
      <c r="O111" s="1669"/>
      <c r="P111" s="34"/>
      <c r="Q111" s="34"/>
      <c r="R111" s="34"/>
      <c r="S111" s="34"/>
      <c r="T111" s="34"/>
    </row>
    <row r="112" spans="1:20">
      <c r="A112" s="51">
        <v>2002.07</v>
      </c>
      <c r="B112" s="50">
        <v>26058</v>
      </c>
      <c r="C112" s="1460"/>
      <c r="D112" s="350"/>
      <c r="E112" s="387">
        <v>314196</v>
      </c>
      <c r="F112" s="1648"/>
      <c r="G112" s="1642"/>
      <c r="H112" s="1648"/>
      <c r="I112" s="1642"/>
      <c r="J112" s="1648"/>
      <c r="K112" s="1642"/>
      <c r="L112" s="1654"/>
      <c r="M112" s="1658"/>
      <c r="N112" s="1654"/>
      <c r="O112" s="1669"/>
      <c r="P112" s="34"/>
      <c r="Q112" s="34"/>
      <c r="R112" s="34"/>
      <c r="S112" s="34"/>
      <c r="T112" s="34"/>
    </row>
    <row r="113" spans="1:20">
      <c r="A113" s="51">
        <v>2002.08</v>
      </c>
      <c r="B113" s="50">
        <v>30805</v>
      </c>
      <c r="C113" s="1460"/>
      <c r="D113" s="350"/>
      <c r="E113" s="387">
        <v>352198</v>
      </c>
      <c r="F113" s="1648"/>
      <c r="G113" s="1642"/>
      <c r="H113" s="1648"/>
      <c r="I113" s="1642"/>
      <c r="J113" s="1648"/>
      <c r="K113" s="1642"/>
      <c r="L113" s="1654"/>
      <c r="M113" s="1658"/>
      <c r="N113" s="1654"/>
      <c r="O113" s="1669"/>
      <c r="P113" s="34"/>
      <c r="Q113" s="34"/>
      <c r="R113" s="34"/>
      <c r="S113" s="34"/>
      <c r="T113" s="34"/>
    </row>
    <row r="114" spans="1:20">
      <c r="A114" s="51">
        <v>2002.09</v>
      </c>
      <c r="B114" s="50">
        <v>31593</v>
      </c>
      <c r="C114" s="1460"/>
      <c r="D114" s="350"/>
      <c r="E114" s="387">
        <v>348784</v>
      </c>
      <c r="F114" s="1648"/>
      <c r="G114" s="1642"/>
      <c r="H114" s="1648"/>
      <c r="I114" s="1642"/>
      <c r="J114" s="1648"/>
      <c r="K114" s="1642"/>
      <c r="L114" s="1654"/>
      <c r="M114" s="1658"/>
      <c r="N114" s="1654"/>
      <c r="O114" s="1669"/>
      <c r="P114" s="34"/>
      <c r="Q114" s="34"/>
      <c r="R114" s="34"/>
      <c r="S114" s="34"/>
      <c r="T114" s="34"/>
    </row>
    <row r="115" spans="1:20">
      <c r="A115" s="51">
        <v>2002.1</v>
      </c>
      <c r="B115" s="50">
        <v>30653</v>
      </c>
      <c r="C115" s="1460"/>
      <c r="D115" s="350"/>
      <c r="E115" s="387">
        <v>356989</v>
      </c>
      <c r="F115" s="1648"/>
      <c r="G115" s="1642"/>
      <c r="H115" s="1648"/>
      <c r="I115" s="1642"/>
      <c r="J115" s="1648"/>
      <c r="K115" s="1642"/>
      <c r="L115" s="1654"/>
      <c r="M115" s="1658"/>
      <c r="N115" s="1654"/>
      <c r="O115" s="1669"/>
      <c r="P115" s="34"/>
      <c r="Q115" s="34"/>
      <c r="R115" s="34"/>
      <c r="S115" s="34"/>
      <c r="T115" s="34"/>
    </row>
    <row r="116" spans="1:20">
      <c r="A116" s="51">
        <v>2002.11</v>
      </c>
      <c r="B116" s="50">
        <v>30366</v>
      </c>
      <c r="C116" s="1460"/>
      <c r="D116" s="350"/>
      <c r="E116" s="387">
        <v>343331</v>
      </c>
      <c r="F116" s="1648"/>
      <c r="G116" s="1642"/>
      <c r="H116" s="1648"/>
      <c r="I116" s="1642"/>
      <c r="J116" s="1648"/>
      <c r="K116" s="1642"/>
      <c r="L116" s="1654"/>
      <c r="M116" s="1658"/>
      <c r="N116" s="1654"/>
      <c r="O116" s="1669"/>
      <c r="P116" s="34"/>
      <c r="Q116" s="34"/>
      <c r="R116" s="34"/>
      <c r="S116" s="34"/>
      <c r="T116" s="34"/>
    </row>
    <row r="117" spans="1:20">
      <c r="A117" s="51">
        <v>2002.12</v>
      </c>
      <c r="B117" s="50">
        <v>27794</v>
      </c>
      <c r="C117" s="1460"/>
      <c r="D117" s="350"/>
      <c r="E117" s="387">
        <v>333979</v>
      </c>
      <c r="F117" s="1648"/>
      <c r="G117" s="1642"/>
      <c r="H117" s="1648"/>
      <c r="I117" s="1642"/>
      <c r="J117" s="1648"/>
      <c r="K117" s="1642"/>
      <c r="L117" s="1654"/>
      <c r="M117" s="1658"/>
      <c r="N117" s="1654"/>
      <c r="O117" s="1669"/>
      <c r="P117" s="34"/>
      <c r="Q117" s="34"/>
      <c r="R117" s="34"/>
      <c r="S117" s="34"/>
      <c r="T117" s="2"/>
    </row>
    <row r="118" spans="1:20">
      <c r="A118" s="51">
        <v>2003.01</v>
      </c>
      <c r="B118" s="50">
        <v>34028</v>
      </c>
      <c r="C118" s="1460"/>
      <c r="D118" s="350"/>
      <c r="E118" s="387">
        <v>381492</v>
      </c>
      <c r="F118" s="1648"/>
      <c r="G118" s="1642"/>
      <c r="H118" s="1648"/>
      <c r="I118" s="1642"/>
      <c r="J118" s="1648"/>
      <c r="K118" s="1642"/>
      <c r="L118" s="1654"/>
      <c r="M118" s="1658"/>
      <c r="N118" s="1654"/>
      <c r="O118" s="1669"/>
    </row>
    <row r="119" spans="1:20">
      <c r="A119" s="51">
        <v>2003.02</v>
      </c>
      <c r="B119" s="50">
        <v>28570</v>
      </c>
      <c r="C119" s="1460"/>
      <c r="D119" s="350"/>
      <c r="E119" s="387">
        <v>342765</v>
      </c>
      <c r="F119" s="1648"/>
      <c r="G119" s="1642"/>
      <c r="H119" s="1648"/>
      <c r="I119" s="1642"/>
      <c r="J119" s="1648"/>
      <c r="K119" s="1642"/>
      <c r="L119" s="1654"/>
      <c r="M119" s="1658"/>
      <c r="N119" s="1654"/>
      <c r="O119" s="1669"/>
    </row>
    <row r="120" spans="1:20">
      <c r="A120" s="51">
        <v>2003.03</v>
      </c>
      <c r="B120" s="50">
        <v>29928</v>
      </c>
      <c r="C120" s="1460"/>
      <c r="D120" s="350"/>
      <c r="E120" s="387">
        <v>375533</v>
      </c>
      <c r="F120" s="1648"/>
      <c r="G120" s="1642"/>
      <c r="H120" s="1648"/>
      <c r="I120" s="1642"/>
      <c r="J120" s="1648"/>
      <c r="K120" s="1642"/>
      <c r="L120" s="1654"/>
      <c r="M120" s="1658"/>
      <c r="N120" s="1654"/>
      <c r="O120" s="1669"/>
    </row>
    <row r="121" spans="1:20">
      <c r="A121" s="51">
        <v>2003.04</v>
      </c>
      <c r="B121" s="50">
        <v>26681</v>
      </c>
      <c r="C121" s="1460"/>
      <c r="D121" s="350"/>
      <c r="E121" s="387">
        <v>363489</v>
      </c>
      <c r="F121" s="1648"/>
      <c r="G121" s="1642"/>
      <c r="H121" s="1648"/>
      <c r="I121" s="1642"/>
      <c r="J121" s="1648"/>
      <c r="K121" s="1642"/>
      <c r="L121" s="1654"/>
      <c r="M121" s="1658"/>
      <c r="N121" s="1654"/>
      <c r="O121" s="1669"/>
    </row>
    <row r="122" spans="1:20">
      <c r="A122" s="51">
        <v>2003.05</v>
      </c>
      <c r="B122" s="50">
        <v>29066</v>
      </c>
      <c r="C122" s="1460"/>
      <c r="D122" s="350"/>
      <c r="E122" s="387">
        <v>361980</v>
      </c>
      <c r="F122" s="1648"/>
      <c r="G122" s="1642"/>
      <c r="H122" s="1648"/>
      <c r="I122" s="1642"/>
      <c r="J122" s="1648"/>
      <c r="K122" s="1642"/>
      <c r="L122" s="1654"/>
      <c r="M122" s="1658"/>
      <c r="N122" s="1654"/>
      <c r="O122" s="1669"/>
    </row>
    <row r="123" spans="1:20">
      <c r="A123" s="51">
        <v>2003.06</v>
      </c>
      <c r="B123" s="50">
        <v>35125</v>
      </c>
      <c r="C123" s="1460"/>
      <c r="D123" s="350"/>
      <c r="E123" s="387">
        <v>369389</v>
      </c>
      <c r="F123" s="1648"/>
      <c r="G123" s="1642"/>
      <c r="H123" s="1648"/>
      <c r="I123" s="1642"/>
      <c r="J123" s="1648"/>
      <c r="K123" s="1642"/>
      <c r="L123" s="1654"/>
      <c r="M123" s="1658"/>
      <c r="N123" s="1654"/>
      <c r="O123" s="1669"/>
    </row>
    <row r="124" spans="1:20">
      <c r="A124" s="51">
        <v>2003.07</v>
      </c>
      <c r="B124" s="50">
        <v>37512</v>
      </c>
      <c r="C124" s="1460"/>
      <c r="D124" s="350"/>
      <c r="E124" s="387">
        <v>418505</v>
      </c>
      <c r="F124" s="1648"/>
      <c r="G124" s="1642"/>
      <c r="H124" s="1648"/>
      <c r="I124" s="1642"/>
      <c r="J124" s="1648"/>
      <c r="K124" s="1642"/>
      <c r="L124" s="1654"/>
      <c r="M124" s="1658"/>
      <c r="N124" s="1654"/>
      <c r="O124" s="1669"/>
    </row>
    <row r="125" spans="1:20">
      <c r="A125" s="51">
        <v>2003.08</v>
      </c>
      <c r="B125" s="50">
        <v>37938</v>
      </c>
      <c r="C125" s="1460"/>
      <c r="D125" s="350"/>
      <c r="E125" s="387">
        <v>425718</v>
      </c>
      <c r="F125" s="1648"/>
      <c r="G125" s="1642"/>
      <c r="H125" s="1648"/>
      <c r="I125" s="1642"/>
      <c r="J125" s="1648"/>
      <c r="K125" s="1642"/>
      <c r="L125" s="1654"/>
      <c r="M125" s="1658"/>
      <c r="N125" s="1654"/>
      <c r="O125" s="1669"/>
    </row>
    <row r="126" spans="1:20">
      <c r="A126" s="51">
        <v>2003.09</v>
      </c>
      <c r="B126" s="50">
        <v>46284</v>
      </c>
      <c r="C126" s="1460"/>
      <c r="D126" s="350"/>
      <c r="E126" s="387">
        <v>485123</v>
      </c>
      <c r="F126" s="1648"/>
      <c r="G126" s="1642"/>
      <c r="H126" s="1648"/>
      <c r="I126" s="1642"/>
      <c r="J126" s="1648"/>
      <c r="K126" s="1642"/>
      <c r="L126" s="1654"/>
      <c r="M126" s="1658"/>
      <c r="N126" s="1654"/>
      <c r="O126" s="1669"/>
    </row>
    <row r="127" spans="1:20">
      <c r="A127" s="51">
        <v>2003.1</v>
      </c>
      <c r="B127" s="50">
        <v>48273</v>
      </c>
      <c r="C127" s="1460"/>
      <c r="D127" s="350"/>
      <c r="E127" s="387">
        <v>509630</v>
      </c>
      <c r="F127" s="1648"/>
      <c r="G127" s="1642"/>
      <c r="H127" s="1648"/>
      <c r="I127" s="1642"/>
      <c r="J127" s="1648"/>
      <c r="K127" s="1642"/>
      <c r="L127" s="1654"/>
      <c r="M127" s="1658"/>
      <c r="N127" s="1654"/>
      <c r="O127" s="1669"/>
    </row>
    <row r="128" spans="1:20">
      <c r="A128" s="51">
        <v>2003.11</v>
      </c>
      <c r="B128" s="50">
        <v>44555</v>
      </c>
      <c r="C128" s="1460"/>
      <c r="D128" s="350"/>
      <c r="E128" s="387">
        <v>464318</v>
      </c>
      <c r="F128" s="1648"/>
      <c r="G128" s="1642"/>
      <c r="H128" s="1648"/>
      <c r="I128" s="1642"/>
      <c r="J128" s="1648"/>
      <c r="K128" s="1642"/>
      <c r="L128" s="1654"/>
      <c r="M128" s="1658"/>
      <c r="N128" s="1654"/>
      <c r="O128" s="1669"/>
    </row>
    <row r="129" spans="1:15">
      <c r="A129" s="51">
        <v>2003.12</v>
      </c>
      <c r="B129" s="50">
        <v>44467</v>
      </c>
      <c r="C129" s="1460"/>
      <c r="D129" s="350"/>
      <c r="E129" s="387">
        <v>442870</v>
      </c>
      <c r="F129" s="1648"/>
      <c r="G129" s="1642"/>
      <c r="H129" s="1648"/>
      <c r="I129" s="1642"/>
      <c r="J129" s="1648"/>
      <c r="K129" s="1642"/>
      <c r="L129" s="1654"/>
      <c r="M129" s="1658"/>
      <c r="N129" s="1654"/>
      <c r="O129" s="1669"/>
    </row>
    <row r="130" spans="1:15">
      <c r="A130" s="51">
        <v>2004.01</v>
      </c>
      <c r="B130" s="50">
        <v>47222.25</v>
      </c>
      <c r="C130" s="1460"/>
      <c r="D130" s="350"/>
      <c r="E130" s="387">
        <v>466421</v>
      </c>
      <c r="F130" s="1648"/>
      <c r="G130" s="1642"/>
      <c r="H130" s="1648"/>
      <c r="I130" s="1642"/>
      <c r="J130" s="1648"/>
      <c r="K130" s="1642"/>
      <c r="L130" s="1654"/>
      <c r="M130" s="1658"/>
      <c r="N130" s="1654"/>
      <c r="O130" s="1669"/>
    </row>
    <row r="131" spans="1:15">
      <c r="A131" s="51">
        <v>2004.02</v>
      </c>
      <c r="B131" s="50">
        <v>44373.16</v>
      </c>
      <c r="C131" s="1460"/>
      <c r="D131" s="350"/>
      <c r="E131" s="387">
        <v>446498</v>
      </c>
      <c r="F131" s="1648"/>
      <c r="G131" s="1642"/>
      <c r="H131" s="1648"/>
      <c r="I131" s="1642"/>
      <c r="J131" s="1648"/>
      <c r="K131" s="1642"/>
      <c r="L131" s="1654"/>
      <c r="M131" s="1658"/>
      <c r="N131" s="1654"/>
      <c r="O131" s="1669"/>
    </row>
    <row r="132" spans="1:15">
      <c r="A132" s="51">
        <v>2004.03</v>
      </c>
      <c r="B132" s="50">
        <v>52507.61</v>
      </c>
      <c r="C132" s="1460"/>
      <c r="D132" s="350"/>
      <c r="E132" s="387">
        <v>520634</v>
      </c>
      <c r="F132" s="1648"/>
      <c r="G132" s="1642"/>
      <c r="H132" s="1648"/>
      <c r="I132" s="1642"/>
      <c r="J132" s="1648"/>
      <c r="K132" s="1642"/>
      <c r="L132" s="1654"/>
      <c r="M132" s="1658"/>
      <c r="N132" s="1654"/>
      <c r="O132" s="1669"/>
    </row>
    <row r="133" spans="1:15">
      <c r="A133" s="51">
        <v>2004.04</v>
      </c>
      <c r="B133" s="50">
        <v>37158.28</v>
      </c>
      <c r="C133" s="1460"/>
      <c r="D133" s="350"/>
      <c r="E133" s="387">
        <v>415446</v>
      </c>
      <c r="F133" s="1648"/>
      <c r="G133" s="1642"/>
      <c r="H133" s="1648"/>
      <c r="I133" s="1642"/>
      <c r="J133" s="1648"/>
      <c r="K133" s="1642"/>
      <c r="L133" s="1654"/>
      <c r="M133" s="1658"/>
      <c r="N133" s="1654"/>
      <c r="O133" s="1669"/>
    </row>
    <row r="134" spans="1:15">
      <c r="A134" s="51">
        <v>2004.05</v>
      </c>
      <c r="B134" s="50">
        <v>45377.87</v>
      </c>
      <c r="C134" s="1460"/>
      <c r="D134" s="350"/>
      <c r="E134" s="387">
        <v>448531</v>
      </c>
      <c r="F134" s="1648"/>
      <c r="G134" s="1642"/>
      <c r="H134" s="1648"/>
      <c r="I134" s="1642"/>
      <c r="J134" s="1648"/>
      <c r="K134" s="1642"/>
      <c r="L134" s="1654"/>
      <c r="M134" s="1658"/>
      <c r="N134" s="1654"/>
      <c r="O134" s="1669"/>
    </row>
    <row r="135" spans="1:15">
      <c r="A135" s="51">
        <v>2004.06</v>
      </c>
      <c r="B135" s="50">
        <v>49862.5</v>
      </c>
      <c r="C135" s="1460"/>
      <c r="D135" s="350"/>
      <c r="E135" s="387">
        <v>485582</v>
      </c>
      <c r="F135" s="1648"/>
      <c r="G135" s="1642"/>
      <c r="H135" s="1648"/>
      <c r="I135" s="1642"/>
      <c r="J135" s="1648"/>
      <c r="K135" s="1642"/>
      <c r="L135" s="1654"/>
      <c r="M135" s="1658"/>
      <c r="N135" s="1654"/>
      <c r="O135" s="1669"/>
    </row>
    <row r="136" spans="1:15">
      <c r="A136" s="51">
        <v>2004.07</v>
      </c>
      <c r="B136" s="50">
        <v>55438.77</v>
      </c>
      <c r="C136" s="1460"/>
      <c r="D136" s="350"/>
      <c r="E136" s="387">
        <v>503066</v>
      </c>
      <c r="F136" s="1648"/>
      <c r="G136" s="1642"/>
      <c r="H136" s="1648"/>
      <c r="I136" s="1642"/>
      <c r="J136" s="1648"/>
      <c r="K136" s="1642"/>
      <c r="L136" s="1654"/>
      <c r="M136" s="1658"/>
      <c r="N136" s="1654"/>
      <c r="O136" s="1669"/>
    </row>
    <row r="137" spans="1:15">
      <c r="A137" s="51">
        <v>2004.08</v>
      </c>
      <c r="B137" s="50">
        <v>55363.05</v>
      </c>
      <c r="C137" s="1460"/>
      <c r="D137" s="350"/>
      <c r="E137" s="387">
        <v>508796</v>
      </c>
      <c r="F137" s="1648"/>
      <c r="G137" s="1642"/>
      <c r="H137" s="1648"/>
      <c r="I137" s="1642"/>
      <c r="J137" s="1648"/>
      <c r="K137" s="1642"/>
      <c r="L137" s="1654"/>
      <c r="M137" s="1658"/>
      <c r="N137" s="1654"/>
      <c r="O137" s="1669"/>
    </row>
    <row r="138" spans="1:15">
      <c r="A138" s="51">
        <v>2004.09</v>
      </c>
      <c r="B138" s="50">
        <v>57284.11</v>
      </c>
      <c r="C138" s="1460"/>
      <c r="D138" s="350"/>
      <c r="E138" s="387">
        <v>575117</v>
      </c>
      <c r="F138" s="1648"/>
      <c r="G138" s="1642"/>
      <c r="H138" s="1648"/>
      <c r="I138" s="1642"/>
      <c r="J138" s="1648"/>
      <c r="K138" s="1642"/>
      <c r="L138" s="1654"/>
      <c r="M138" s="1658"/>
      <c r="N138" s="1654"/>
      <c r="O138" s="1669"/>
    </row>
    <row r="139" spans="1:15">
      <c r="A139" s="51">
        <v>2004.1</v>
      </c>
      <c r="B139" s="50">
        <v>53979.76</v>
      </c>
      <c r="C139" s="1460"/>
      <c r="D139" s="350"/>
      <c r="E139" s="387">
        <v>554656</v>
      </c>
      <c r="F139" s="1648"/>
      <c r="G139" s="1642"/>
      <c r="H139" s="1648"/>
      <c r="I139" s="1642"/>
      <c r="J139" s="1648"/>
      <c r="K139" s="1642"/>
      <c r="L139" s="1654"/>
      <c r="M139" s="1658"/>
      <c r="N139" s="1654"/>
      <c r="O139" s="1669"/>
    </row>
    <row r="140" spans="1:15">
      <c r="A140" s="51">
        <v>2004.11</v>
      </c>
      <c r="B140" s="50">
        <v>52289.54</v>
      </c>
      <c r="C140" s="1460"/>
      <c r="D140" s="350"/>
      <c r="E140" s="387">
        <v>573706</v>
      </c>
      <c r="F140" s="1648"/>
      <c r="G140" s="1642"/>
      <c r="H140" s="1648"/>
      <c r="I140" s="1642"/>
      <c r="J140" s="1648"/>
      <c r="K140" s="1642"/>
      <c r="L140" s="1654"/>
      <c r="M140" s="1658"/>
      <c r="N140" s="1654"/>
      <c r="O140" s="1669"/>
    </row>
    <row r="141" spans="1:15">
      <c r="A141" s="51">
        <v>2004.12</v>
      </c>
      <c r="B141" s="50">
        <v>23565.200000000001</v>
      </c>
      <c r="C141" s="1460"/>
      <c r="D141" s="350"/>
      <c r="E141" s="387">
        <v>547042</v>
      </c>
      <c r="F141" s="1648"/>
      <c r="G141" s="1642"/>
      <c r="H141" s="1648"/>
      <c r="I141" s="1642"/>
      <c r="J141" s="1648"/>
      <c r="K141" s="1642"/>
      <c r="L141" s="1654"/>
      <c r="M141" s="1658"/>
      <c r="N141" s="1654"/>
      <c r="O141" s="1669"/>
    </row>
    <row r="142" spans="1:15">
      <c r="A142" s="51">
        <v>2005.01</v>
      </c>
      <c r="B142" s="50">
        <v>52576.46</v>
      </c>
      <c r="C142" s="1460"/>
      <c r="D142" s="350"/>
      <c r="E142" s="387">
        <v>535057</v>
      </c>
      <c r="F142" s="1649">
        <v>1352</v>
      </c>
      <c r="G142" s="896">
        <v>16074</v>
      </c>
      <c r="H142" s="1649">
        <v>25132</v>
      </c>
      <c r="I142" s="896">
        <v>232967</v>
      </c>
      <c r="J142" s="1648"/>
      <c r="K142" s="1642"/>
      <c r="L142" s="1660">
        <v>542</v>
      </c>
      <c r="M142" s="1314">
        <v>636.22</v>
      </c>
      <c r="N142" s="1654"/>
      <c r="O142" s="1669"/>
    </row>
    <row r="143" spans="1:15">
      <c r="A143" s="51">
        <v>2005.02</v>
      </c>
      <c r="B143" s="50">
        <v>47851.21</v>
      </c>
      <c r="C143" s="1460"/>
      <c r="D143" s="350"/>
      <c r="E143" s="387">
        <v>508744</v>
      </c>
      <c r="F143" s="1650">
        <v>1373</v>
      </c>
      <c r="G143" s="1643">
        <v>16349</v>
      </c>
      <c r="H143" s="1650">
        <v>25704</v>
      </c>
      <c r="I143" s="1643">
        <v>244272</v>
      </c>
      <c r="J143" s="1648"/>
      <c r="K143" s="1642"/>
      <c r="L143" s="1651">
        <v>508.99</v>
      </c>
      <c r="M143" s="1655">
        <v>600.26</v>
      </c>
      <c r="N143" s="1654"/>
      <c r="O143" s="1669"/>
    </row>
    <row r="144" spans="1:15">
      <c r="A144" s="51">
        <v>2005.03</v>
      </c>
      <c r="B144" s="50">
        <v>47192.78</v>
      </c>
      <c r="C144" s="1460"/>
      <c r="D144" s="350"/>
      <c r="E144" s="387">
        <v>553599</v>
      </c>
      <c r="F144" s="1650">
        <v>1399</v>
      </c>
      <c r="G144" s="1643">
        <v>16717</v>
      </c>
      <c r="H144" s="1650">
        <v>26663</v>
      </c>
      <c r="I144" s="1643">
        <v>255825</v>
      </c>
      <c r="J144" s="1648"/>
      <c r="K144" s="1642"/>
      <c r="L144" s="1651">
        <v>541.20000000000005</v>
      </c>
      <c r="M144" s="1655">
        <v>654.79999999999995</v>
      </c>
      <c r="N144" s="1654"/>
      <c r="O144" s="1669"/>
    </row>
    <row r="145" spans="1:15">
      <c r="A145" s="51">
        <v>2005.04</v>
      </c>
      <c r="B145" s="50">
        <v>49833.26</v>
      </c>
      <c r="C145" s="1460"/>
      <c r="D145" s="350"/>
      <c r="E145" s="387">
        <v>574343</v>
      </c>
      <c r="F145" s="1650">
        <v>1432</v>
      </c>
      <c r="G145" s="1643">
        <v>17092</v>
      </c>
      <c r="H145" s="1650">
        <v>26461</v>
      </c>
      <c r="I145" s="1643">
        <v>263724</v>
      </c>
      <c r="J145" s="1648"/>
      <c r="K145" s="1642"/>
      <c r="L145" s="1651">
        <v>648.80999999999995</v>
      </c>
      <c r="M145" s="1655">
        <v>749.19</v>
      </c>
      <c r="N145" s="1654"/>
      <c r="O145" s="1669"/>
    </row>
    <row r="146" spans="1:15">
      <c r="A146" s="51">
        <v>2005.05</v>
      </c>
      <c r="B146" s="50">
        <v>55936.11</v>
      </c>
      <c r="C146" s="1460"/>
      <c r="D146" s="350"/>
      <c r="E146" s="387">
        <v>580957</v>
      </c>
      <c r="F146" s="1650">
        <v>1082</v>
      </c>
      <c r="G146" s="1643">
        <v>11430</v>
      </c>
      <c r="H146" s="1650">
        <v>26713</v>
      </c>
      <c r="I146" s="1643">
        <v>268327</v>
      </c>
      <c r="J146" s="1648"/>
      <c r="K146" s="1642"/>
      <c r="L146" s="1651">
        <v>663.99</v>
      </c>
      <c r="M146" s="1655">
        <v>748.65</v>
      </c>
      <c r="N146" s="1654"/>
      <c r="O146" s="1669"/>
    </row>
    <row r="147" spans="1:15">
      <c r="A147" s="51">
        <v>2005.06</v>
      </c>
      <c r="B147" s="50">
        <v>51137.54</v>
      </c>
      <c r="C147" s="1460"/>
      <c r="D147" s="350"/>
      <c r="E147" s="387">
        <v>528058</v>
      </c>
      <c r="F147" s="1650">
        <v>1173</v>
      </c>
      <c r="G147" s="1643">
        <v>12905</v>
      </c>
      <c r="H147" s="1650">
        <v>27366</v>
      </c>
      <c r="I147" s="1643">
        <v>270029</v>
      </c>
      <c r="J147" s="1648"/>
      <c r="K147" s="1642"/>
      <c r="L147" s="1651">
        <v>892.87</v>
      </c>
      <c r="M147" s="1655">
        <v>1000.23</v>
      </c>
      <c r="N147" s="1654"/>
      <c r="O147" s="1669"/>
    </row>
    <row r="148" spans="1:15">
      <c r="A148" s="51">
        <v>2005.07</v>
      </c>
      <c r="B148" s="50">
        <v>59067.22</v>
      </c>
      <c r="C148" s="1460"/>
      <c r="D148" s="350"/>
      <c r="E148" s="387">
        <v>603207</v>
      </c>
      <c r="F148" s="1650">
        <v>1235</v>
      </c>
      <c r="G148" s="1643">
        <v>13961</v>
      </c>
      <c r="H148" s="1650">
        <v>27915</v>
      </c>
      <c r="I148" s="1643">
        <v>270297</v>
      </c>
      <c r="J148" s="1648"/>
      <c r="K148" s="1642"/>
      <c r="L148" s="1651">
        <v>656.15</v>
      </c>
      <c r="M148" s="1655">
        <v>727.11</v>
      </c>
      <c r="N148" s="1654"/>
      <c r="O148" s="1669"/>
    </row>
    <row r="149" spans="1:15">
      <c r="A149" s="51">
        <v>2005.08</v>
      </c>
      <c r="B149" s="50">
        <v>65467.99</v>
      </c>
      <c r="C149" s="1460"/>
      <c r="D149" s="350"/>
      <c r="E149" s="387">
        <v>673919</v>
      </c>
      <c r="F149" s="1650">
        <v>1318</v>
      </c>
      <c r="G149" s="1643">
        <v>15028</v>
      </c>
      <c r="H149" s="1650">
        <v>29729</v>
      </c>
      <c r="I149" s="1643">
        <v>282054</v>
      </c>
      <c r="J149" s="1648"/>
      <c r="K149" s="1642"/>
      <c r="L149" s="1651">
        <v>679.32</v>
      </c>
      <c r="M149" s="1655">
        <v>754.49</v>
      </c>
      <c r="N149" s="1654"/>
      <c r="O149" s="1669"/>
    </row>
    <row r="150" spans="1:15">
      <c r="A150" s="51">
        <v>2005.09</v>
      </c>
      <c r="B150" s="50">
        <v>71964</v>
      </c>
      <c r="C150" s="1460"/>
      <c r="D150" s="350"/>
      <c r="E150" s="387">
        <v>721488</v>
      </c>
      <c r="F150" s="1650">
        <v>1392</v>
      </c>
      <c r="G150" s="1643">
        <v>15937</v>
      </c>
      <c r="H150" s="1650">
        <v>31393</v>
      </c>
      <c r="I150" s="1643">
        <v>292888</v>
      </c>
      <c r="J150" s="1648"/>
      <c r="K150" s="1642"/>
      <c r="L150" s="1651">
        <v>662.64</v>
      </c>
      <c r="M150" s="1655">
        <v>739.09</v>
      </c>
      <c r="N150" s="1654"/>
      <c r="O150" s="1669"/>
    </row>
    <row r="151" spans="1:15">
      <c r="A151" s="51">
        <v>2005.1</v>
      </c>
      <c r="B151" s="50">
        <v>63872</v>
      </c>
      <c r="C151" s="1460"/>
      <c r="D151" s="350"/>
      <c r="E151" s="387">
        <v>705182</v>
      </c>
      <c r="F151" s="1650">
        <v>1447</v>
      </c>
      <c r="G151" s="1643">
        <v>16716</v>
      </c>
      <c r="H151" s="1650">
        <v>33049</v>
      </c>
      <c r="I151" s="1643">
        <v>300079</v>
      </c>
      <c r="J151" s="1648"/>
      <c r="K151" s="1642"/>
      <c r="L151" s="1651">
        <v>749.18</v>
      </c>
      <c r="M151" s="1655">
        <v>813.78</v>
      </c>
      <c r="N151" s="1654"/>
      <c r="O151" s="1669"/>
    </row>
    <row r="152" spans="1:15">
      <c r="A152" s="51">
        <v>2005.11</v>
      </c>
      <c r="B152" s="50">
        <v>63775.58</v>
      </c>
      <c r="C152" s="1460"/>
      <c r="D152" s="350"/>
      <c r="E152" s="387">
        <v>737426</v>
      </c>
      <c r="F152" s="1650">
        <v>1503</v>
      </c>
      <c r="G152" s="1643">
        <v>17550</v>
      </c>
      <c r="H152" s="1650">
        <v>34242</v>
      </c>
      <c r="I152" s="1643">
        <v>309416</v>
      </c>
      <c r="J152" s="1648"/>
      <c r="K152" s="1642"/>
      <c r="L152" s="1651">
        <v>801.24</v>
      </c>
      <c r="M152" s="1655">
        <v>869.39</v>
      </c>
      <c r="N152" s="1654"/>
      <c r="O152" s="1669"/>
    </row>
    <row r="153" spans="1:15">
      <c r="A153" s="51">
        <v>2005.12</v>
      </c>
      <c r="B153" s="50">
        <v>64360</v>
      </c>
      <c r="C153" s="1460"/>
      <c r="D153" s="350"/>
      <c r="E153" s="387">
        <v>692891</v>
      </c>
      <c r="F153" s="1650">
        <v>1575</v>
      </c>
      <c r="G153" s="1643">
        <v>18361</v>
      </c>
      <c r="H153" s="1650">
        <v>34598</v>
      </c>
      <c r="I153" s="1643">
        <v>312054</v>
      </c>
      <c r="J153" s="1648"/>
      <c r="K153" s="1642"/>
      <c r="L153" s="1651">
        <v>1031.8800000000001</v>
      </c>
      <c r="M153" s="1655">
        <v>1146.72</v>
      </c>
      <c r="N153" s="1654"/>
      <c r="O153" s="1669"/>
    </row>
    <row r="154" spans="1:15">
      <c r="A154" s="51">
        <v>2006.01</v>
      </c>
      <c r="B154" s="50">
        <v>60241.08</v>
      </c>
      <c r="C154" s="1460"/>
      <c r="D154" s="350"/>
      <c r="E154" s="387">
        <v>648557</v>
      </c>
      <c r="F154" s="1650">
        <v>1605</v>
      </c>
      <c r="G154" s="1643">
        <v>18704</v>
      </c>
      <c r="H154" s="1650">
        <v>33611</v>
      </c>
      <c r="I154" s="1643">
        <v>305281</v>
      </c>
      <c r="J154" s="1648"/>
      <c r="K154" s="1642"/>
      <c r="L154" s="1651">
        <v>839.38</v>
      </c>
      <c r="M154" s="1655">
        <v>918.35</v>
      </c>
      <c r="N154" s="1654"/>
      <c r="O154" s="1669"/>
    </row>
    <row r="155" spans="1:15">
      <c r="A155" s="51">
        <v>2006.02</v>
      </c>
      <c r="B155" s="50">
        <v>58410.66</v>
      </c>
      <c r="C155" s="1460"/>
      <c r="D155" s="350"/>
      <c r="E155" s="387">
        <v>647844</v>
      </c>
      <c r="F155" s="1650">
        <v>1643</v>
      </c>
      <c r="G155" s="1643">
        <v>19241</v>
      </c>
      <c r="H155" s="1650">
        <v>33986</v>
      </c>
      <c r="I155" s="1643">
        <v>311045</v>
      </c>
      <c r="J155" s="1648"/>
      <c r="K155" s="1642"/>
      <c r="L155" s="1651">
        <v>768.63</v>
      </c>
      <c r="M155" s="1655">
        <v>875.19</v>
      </c>
      <c r="N155" s="1654"/>
      <c r="O155" s="1669"/>
    </row>
    <row r="156" spans="1:15">
      <c r="A156" s="51">
        <v>2006.03</v>
      </c>
      <c r="B156" s="50">
        <v>63146.19</v>
      </c>
      <c r="C156" s="1460"/>
      <c r="D156" s="350"/>
      <c r="E156" s="387">
        <v>710198</v>
      </c>
      <c r="F156" s="1650">
        <v>1672</v>
      </c>
      <c r="G156" s="1643">
        <v>19822</v>
      </c>
      <c r="H156" s="1650">
        <v>35475</v>
      </c>
      <c r="I156" s="1643">
        <v>323814</v>
      </c>
      <c r="J156" s="1648"/>
      <c r="K156" s="1642"/>
      <c r="L156" s="1651">
        <v>847.47</v>
      </c>
      <c r="M156" s="1655">
        <v>938.82</v>
      </c>
      <c r="N156" s="1654"/>
      <c r="O156" s="1669"/>
    </row>
    <row r="157" spans="1:15">
      <c r="A157" s="51">
        <v>2006.04</v>
      </c>
      <c r="B157" s="50">
        <v>63661.22</v>
      </c>
      <c r="C157" s="1460"/>
      <c r="D157" s="350"/>
      <c r="E157" s="387">
        <v>689943</v>
      </c>
      <c r="F157" s="1650">
        <v>1698</v>
      </c>
      <c r="G157" s="1643">
        <v>20226</v>
      </c>
      <c r="H157" s="1650">
        <v>35246</v>
      </c>
      <c r="I157" s="1643">
        <v>322690</v>
      </c>
      <c r="J157" s="1648"/>
      <c r="K157" s="1642"/>
      <c r="L157" s="1651">
        <v>851.35</v>
      </c>
      <c r="M157" s="1655">
        <v>952.16</v>
      </c>
      <c r="N157" s="1654"/>
      <c r="O157" s="1669"/>
    </row>
    <row r="158" spans="1:15">
      <c r="A158" s="51">
        <v>2006.05</v>
      </c>
      <c r="B158" s="50">
        <v>69993</v>
      </c>
      <c r="C158" s="1460"/>
      <c r="D158" s="350"/>
      <c r="E158" s="387">
        <v>745493</v>
      </c>
      <c r="F158" s="1650">
        <v>1261</v>
      </c>
      <c r="G158" s="1643">
        <v>13889</v>
      </c>
      <c r="H158" s="1650">
        <v>35589</v>
      </c>
      <c r="I158" s="1643">
        <v>327891</v>
      </c>
      <c r="J158" s="1648"/>
      <c r="K158" s="1642"/>
      <c r="L158" s="1651">
        <v>917.43</v>
      </c>
      <c r="M158" s="1655">
        <v>1004.75</v>
      </c>
      <c r="N158" s="1654"/>
      <c r="O158" s="1669"/>
    </row>
    <row r="159" spans="1:15">
      <c r="A159" s="51">
        <v>2006.06</v>
      </c>
      <c r="B159" s="50">
        <v>65946.45</v>
      </c>
      <c r="C159" s="1460"/>
      <c r="D159" s="350"/>
      <c r="E159" s="387">
        <v>690072</v>
      </c>
      <c r="F159" s="1650">
        <v>1421</v>
      </c>
      <c r="G159" s="1643">
        <v>15896</v>
      </c>
      <c r="H159" s="1650">
        <v>35959</v>
      </c>
      <c r="I159" s="1643">
        <v>329633</v>
      </c>
      <c r="J159" s="1648"/>
      <c r="K159" s="1642"/>
      <c r="L159" s="1651">
        <v>1248.75</v>
      </c>
      <c r="M159" s="1655">
        <v>1376.96</v>
      </c>
      <c r="N159" s="1654"/>
      <c r="O159" s="1669"/>
    </row>
    <row r="160" spans="1:15">
      <c r="A160" s="51">
        <v>2006.07</v>
      </c>
      <c r="B160" s="50">
        <v>71100.179999999993</v>
      </c>
      <c r="C160" s="1460"/>
      <c r="D160" s="350"/>
      <c r="E160" s="387">
        <v>733370</v>
      </c>
      <c r="F160" s="1650">
        <v>1503</v>
      </c>
      <c r="G160" s="1643">
        <v>17201</v>
      </c>
      <c r="H160" s="1650">
        <v>35074</v>
      </c>
      <c r="I160" s="1643">
        <v>324963</v>
      </c>
      <c r="J160" s="1648"/>
      <c r="K160" s="1642"/>
      <c r="L160" s="1651">
        <v>955.29</v>
      </c>
      <c r="M160" s="1655">
        <v>1027.3900000000001</v>
      </c>
      <c r="N160" s="1654"/>
      <c r="O160" s="1669"/>
    </row>
    <row r="161" spans="1:18">
      <c r="A161" s="51">
        <v>2006.08</v>
      </c>
      <c r="B161" s="50">
        <v>77048.05</v>
      </c>
      <c r="C161" s="1460"/>
      <c r="D161" s="350"/>
      <c r="E161" s="387">
        <v>822595</v>
      </c>
      <c r="F161" s="1650">
        <v>1592</v>
      </c>
      <c r="G161" s="1643">
        <v>18392</v>
      </c>
      <c r="H161" s="1650">
        <v>35529</v>
      </c>
      <c r="I161" s="1643">
        <v>329851</v>
      </c>
      <c r="J161" s="1648"/>
      <c r="K161" s="1642"/>
      <c r="L161" s="1651">
        <v>987.72</v>
      </c>
      <c r="M161" s="1655">
        <v>1061.6400000000001</v>
      </c>
      <c r="N161" s="1654"/>
      <c r="O161" s="1669"/>
    </row>
    <row r="162" spans="1:18">
      <c r="A162" s="51">
        <v>2006.09</v>
      </c>
      <c r="B162" s="50">
        <v>75524</v>
      </c>
      <c r="C162" s="1460"/>
      <c r="D162" s="350"/>
      <c r="E162" s="387">
        <v>829411</v>
      </c>
      <c r="F162" s="1650">
        <v>1681</v>
      </c>
      <c r="G162" s="1643">
        <v>19324</v>
      </c>
      <c r="H162" s="1650">
        <v>35980</v>
      </c>
      <c r="I162" s="1643">
        <v>338703</v>
      </c>
      <c r="J162" s="1648"/>
      <c r="K162" s="1642"/>
      <c r="L162" s="1651">
        <v>964.47</v>
      </c>
      <c r="M162" s="1655">
        <v>1069.5</v>
      </c>
      <c r="N162" s="1654"/>
      <c r="O162" s="1669"/>
    </row>
    <row r="163" spans="1:18">
      <c r="A163" s="51">
        <v>2006.1</v>
      </c>
      <c r="B163" s="50">
        <v>72589</v>
      </c>
      <c r="C163" s="1460"/>
      <c r="D163" s="350"/>
      <c r="E163" s="387">
        <v>779319</v>
      </c>
      <c r="F163" s="1650">
        <v>1747</v>
      </c>
      <c r="G163" s="1643">
        <v>20142</v>
      </c>
      <c r="H163" s="1650">
        <v>36301</v>
      </c>
      <c r="I163" s="1643">
        <v>346968</v>
      </c>
      <c r="J163" s="1648"/>
      <c r="K163" s="1642"/>
      <c r="L163" s="1651">
        <v>1021.51</v>
      </c>
      <c r="M163" s="1655">
        <v>1135.58</v>
      </c>
      <c r="N163" s="1654"/>
      <c r="O163" s="1669"/>
    </row>
    <row r="164" spans="1:18">
      <c r="A164" s="51">
        <v>2006.11</v>
      </c>
      <c r="B164" s="50">
        <v>71150</v>
      </c>
      <c r="C164" s="1460"/>
      <c r="D164" s="350"/>
      <c r="E164" s="387">
        <v>841725</v>
      </c>
      <c r="F164" s="1650">
        <v>1806</v>
      </c>
      <c r="G164" s="1643">
        <v>20978</v>
      </c>
      <c r="H164" s="1650">
        <v>36157</v>
      </c>
      <c r="I164" s="1643">
        <v>353612</v>
      </c>
      <c r="J164" s="1648"/>
      <c r="K164" s="1642"/>
      <c r="L164" s="1651">
        <v>1023.26</v>
      </c>
      <c r="M164" s="1655">
        <v>1161.52</v>
      </c>
      <c r="N164" s="1654"/>
      <c r="O164" s="1669"/>
    </row>
    <row r="165" spans="1:18">
      <c r="A165" s="51">
        <v>2006.12</v>
      </c>
      <c r="B165" s="50">
        <v>59411</v>
      </c>
      <c r="C165" s="1460"/>
      <c r="D165" s="350"/>
      <c r="E165" s="387">
        <v>712198</v>
      </c>
      <c r="F165" s="1650">
        <v>1851</v>
      </c>
      <c r="G165" s="1643">
        <v>21536</v>
      </c>
      <c r="H165" s="1650">
        <v>35805</v>
      </c>
      <c r="I165" s="1643">
        <v>345520</v>
      </c>
      <c r="J165" s="1648"/>
      <c r="K165" s="1642"/>
      <c r="L165" s="1651">
        <v>1379.05</v>
      </c>
      <c r="M165" s="1655">
        <v>1592.01</v>
      </c>
      <c r="N165" s="1654"/>
      <c r="O165" s="1669"/>
    </row>
    <row r="166" spans="1:18">
      <c r="A166" s="51">
        <v>2007.01</v>
      </c>
      <c r="B166" s="50">
        <v>66041</v>
      </c>
      <c r="C166" s="1462">
        <v>41118</v>
      </c>
      <c r="D166" s="1457">
        <v>24923</v>
      </c>
      <c r="E166" s="387">
        <v>727060</v>
      </c>
      <c r="F166" s="1650">
        <v>1900</v>
      </c>
      <c r="G166" s="1643">
        <v>22098</v>
      </c>
      <c r="H166" s="1650">
        <v>36606</v>
      </c>
      <c r="I166" s="1643">
        <v>350379</v>
      </c>
      <c r="J166" s="1648"/>
      <c r="K166" s="1642"/>
      <c r="L166" s="1651">
        <v>1169.3599999999999</v>
      </c>
      <c r="M166" s="1655">
        <v>1284.6500000000001</v>
      </c>
      <c r="N166" s="1654"/>
      <c r="O166" s="1669"/>
    </row>
    <row r="167" spans="1:18">
      <c r="A167" s="51">
        <v>2007.02</v>
      </c>
      <c r="B167" s="50">
        <v>63672.25</v>
      </c>
      <c r="C167" s="1365">
        <v>40936</v>
      </c>
      <c r="D167" s="430">
        <v>22736</v>
      </c>
      <c r="E167" s="387">
        <v>734776</v>
      </c>
      <c r="F167" s="1650">
        <v>1922</v>
      </c>
      <c r="G167" s="1643">
        <v>22602</v>
      </c>
      <c r="H167" s="1650">
        <v>36210</v>
      </c>
      <c r="I167" s="1643">
        <v>359902</v>
      </c>
      <c r="J167" s="1648"/>
      <c r="K167" s="1642"/>
      <c r="L167" s="1651">
        <v>1077.99</v>
      </c>
      <c r="M167" s="1655">
        <v>1213.5899999999999</v>
      </c>
      <c r="N167" s="1654"/>
      <c r="O167" s="1669"/>
    </row>
    <row r="168" spans="1:18">
      <c r="A168" s="51">
        <v>2007.03</v>
      </c>
      <c r="B168" s="50">
        <v>48422</v>
      </c>
      <c r="C168" s="1365">
        <v>28779</v>
      </c>
      <c r="D168" s="430">
        <v>19643</v>
      </c>
      <c r="E168" s="387">
        <v>703390</v>
      </c>
      <c r="F168" s="1650">
        <v>1963</v>
      </c>
      <c r="G168" s="1643">
        <v>23185</v>
      </c>
      <c r="H168" s="1650">
        <v>35819</v>
      </c>
      <c r="I168" s="1643">
        <v>370993</v>
      </c>
      <c r="J168" s="1648"/>
      <c r="K168" s="1642"/>
      <c r="L168" s="1651">
        <v>1108.69</v>
      </c>
      <c r="M168" s="1655">
        <v>1292.3499999999999</v>
      </c>
      <c r="N168" s="1654"/>
      <c r="O168" s="1669"/>
    </row>
    <row r="169" spans="1:18">
      <c r="A169" s="51">
        <v>2007.04</v>
      </c>
      <c r="B169" s="50">
        <v>59688.88</v>
      </c>
      <c r="C169" s="1365">
        <v>37530</v>
      </c>
      <c r="D169" s="430">
        <v>22159</v>
      </c>
      <c r="E169" s="387">
        <v>702709</v>
      </c>
      <c r="F169" s="1650">
        <v>1989</v>
      </c>
      <c r="G169" s="1643">
        <v>23594</v>
      </c>
      <c r="H169" s="1650">
        <v>34923</v>
      </c>
      <c r="I169" s="1643">
        <v>372305</v>
      </c>
      <c r="J169" s="1648"/>
      <c r="K169" s="1642"/>
      <c r="L169" s="1651">
        <v>1143.17</v>
      </c>
      <c r="M169" s="1655">
        <v>1284.25</v>
      </c>
      <c r="N169" s="1654"/>
      <c r="O169" s="1669"/>
    </row>
    <row r="170" spans="1:18">
      <c r="A170" s="51">
        <v>2007.05</v>
      </c>
      <c r="B170" s="50">
        <v>72693</v>
      </c>
      <c r="C170" s="1365">
        <v>44457</v>
      </c>
      <c r="D170" s="430">
        <v>28236</v>
      </c>
      <c r="E170" s="387">
        <v>847401</v>
      </c>
      <c r="F170" s="1650">
        <v>1425</v>
      </c>
      <c r="G170" s="1643">
        <v>16360</v>
      </c>
      <c r="H170" s="1650">
        <v>35532</v>
      </c>
      <c r="I170" s="1643">
        <v>381337</v>
      </c>
      <c r="J170" s="1648"/>
      <c r="K170" s="1642"/>
      <c r="L170" s="1651">
        <v>1296.0899999999999</v>
      </c>
      <c r="M170" s="1655">
        <v>1424.86</v>
      </c>
      <c r="N170" s="1654"/>
      <c r="O170" s="1669"/>
    </row>
    <row r="171" spans="1:18">
      <c r="A171" s="51">
        <v>2007.06</v>
      </c>
      <c r="B171" s="50">
        <v>73820.539999999994</v>
      </c>
      <c r="C171" s="1365">
        <v>44054</v>
      </c>
      <c r="D171" s="430">
        <v>29767</v>
      </c>
      <c r="E171" s="387">
        <v>795056</v>
      </c>
      <c r="F171" s="1650">
        <v>1548</v>
      </c>
      <c r="G171" s="1643">
        <v>18117</v>
      </c>
      <c r="H171" s="1650">
        <v>35925</v>
      </c>
      <c r="I171" s="1643">
        <v>381983</v>
      </c>
      <c r="J171" s="1649">
        <v>39175</v>
      </c>
      <c r="K171" s="896">
        <v>419957</v>
      </c>
      <c r="L171" s="1651">
        <v>1735.83</v>
      </c>
      <c r="M171" s="1655">
        <v>1922.68</v>
      </c>
      <c r="N171" s="1664">
        <v>1743.1579514996808</v>
      </c>
      <c r="O171" s="1670">
        <v>1948.4673162252329</v>
      </c>
      <c r="R171" s="431"/>
    </row>
    <row r="172" spans="1:18">
      <c r="A172" s="51">
        <v>2007.07</v>
      </c>
      <c r="B172" s="50">
        <v>79218</v>
      </c>
      <c r="C172" s="1365">
        <v>46128</v>
      </c>
      <c r="D172" s="430">
        <v>33090</v>
      </c>
      <c r="E172" s="387">
        <v>824601</v>
      </c>
      <c r="F172" s="1650">
        <v>1634</v>
      </c>
      <c r="G172" s="1643">
        <v>19408</v>
      </c>
      <c r="H172" s="1650">
        <v>35803</v>
      </c>
      <c r="I172" s="1643">
        <v>381991</v>
      </c>
      <c r="J172" s="1650">
        <v>38856</v>
      </c>
      <c r="K172" s="1643">
        <v>420327</v>
      </c>
      <c r="L172" s="1651">
        <v>1366.1603001713324</v>
      </c>
      <c r="M172" s="1655">
        <v>1467.7379447735068</v>
      </c>
      <c r="N172" s="1181">
        <v>1375.6655885834878</v>
      </c>
      <c r="O172" s="1322">
        <v>1490.5131899211804</v>
      </c>
      <c r="R172" s="431"/>
    </row>
    <row r="173" spans="1:18">
      <c r="A173" s="51">
        <v>2007.08</v>
      </c>
      <c r="B173" s="50">
        <v>88369</v>
      </c>
      <c r="C173" s="1365">
        <v>50450</v>
      </c>
      <c r="D173" s="430">
        <v>37919</v>
      </c>
      <c r="E173" s="387">
        <v>876500</v>
      </c>
      <c r="F173" s="1650">
        <v>1732</v>
      </c>
      <c r="G173" s="1643">
        <v>20637</v>
      </c>
      <c r="H173" s="1650">
        <v>35746</v>
      </c>
      <c r="I173" s="1643">
        <v>384669</v>
      </c>
      <c r="J173" s="1650">
        <v>39013</v>
      </c>
      <c r="K173" s="1643">
        <v>426088</v>
      </c>
      <c r="L173" s="1651">
        <v>1396.93</v>
      </c>
      <c r="M173" s="1655">
        <v>1499.01</v>
      </c>
      <c r="N173" s="1181">
        <v>1406.8332481480531</v>
      </c>
      <c r="O173" s="1322">
        <v>1523.6477649218</v>
      </c>
      <c r="R173" s="431"/>
    </row>
    <row r="174" spans="1:18">
      <c r="A174" s="51">
        <v>2007.09</v>
      </c>
      <c r="B174" s="50">
        <v>68630</v>
      </c>
      <c r="C174" s="1365">
        <v>48952</v>
      </c>
      <c r="D174" s="430">
        <v>42762</v>
      </c>
      <c r="E174" s="387">
        <v>776052</v>
      </c>
      <c r="F174" s="1650">
        <v>1792</v>
      </c>
      <c r="G174" s="1643">
        <v>21629</v>
      </c>
      <c r="H174" s="1650">
        <v>35285</v>
      </c>
      <c r="I174" s="1643">
        <v>385681</v>
      </c>
      <c r="J174" s="1650">
        <v>38797</v>
      </c>
      <c r="K174" s="1643">
        <v>429208</v>
      </c>
      <c r="L174" s="1651">
        <v>1254.99</v>
      </c>
      <c r="M174" s="1655">
        <v>1394.93</v>
      </c>
      <c r="N174" s="1181">
        <v>1267.7301314534629</v>
      </c>
      <c r="O174" s="1322">
        <v>1421.9414269072338</v>
      </c>
      <c r="R174" s="431"/>
    </row>
    <row r="175" spans="1:18">
      <c r="A175" s="51">
        <v>2007.1</v>
      </c>
      <c r="B175" s="50">
        <v>87905</v>
      </c>
      <c r="C175" s="1365">
        <v>49496</v>
      </c>
      <c r="D175" s="430">
        <v>38409</v>
      </c>
      <c r="E175" s="387">
        <v>878497</v>
      </c>
      <c r="F175" s="1650">
        <v>1851</v>
      </c>
      <c r="G175" s="1643">
        <v>22522</v>
      </c>
      <c r="H175" s="1650">
        <v>36511</v>
      </c>
      <c r="I175" s="1643">
        <v>389392</v>
      </c>
      <c r="J175" s="1650">
        <v>40220</v>
      </c>
      <c r="K175" s="1643">
        <v>434771</v>
      </c>
      <c r="L175" s="1651">
        <v>1452.99</v>
      </c>
      <c r="M175" s="1655">
        <v>1569.23</v>
      </c>
      <c r="N175" s="1181">
        <v>1466.045274241671</v>
      </c>
      <c r="O175" s="1322">
        <v>1601.8728786648603</v>
      </c>
      <c r="R175" s="431"/>
    </row>
    <row r="176" spans="1:18">
      <c r="A176" s="51">
        <v>2007.11</v>
      </c>
      <c r="B176" s="50">
        <v>106545</v>
      </c>
      <c r="C176" s="1365">
        <v>39934</v>
      </c>
      <c r="D176" s="430">
        <v>33748</v>
      </c>
      <c r="E176" s="387">
        <v>947803</v>
      </c>
      <c r="F176" s="1650">
        <v>1896</v>
      </c>
      <c r="G176" s="1643">
        <v>23329</v>
      </c>
      <c r="H176" s="1650">
        <v>37397</v>
      </c>
      <c r="I176" s="1643">
        <v>390289</v>
      </c>
      <c r="J176" s="1650">
        <v>41263</v>
      </c>
      <c r="K176" s="1643">
        <v>436497</v>
      </c>
      <c r="L176" s="1651">
        <v>1487.14</v>
      </c>
      <c r="M176" s="1655">
        <v>1575.64</v>
      </c>
      <c r="N176" s="1181">
        <v>1500.1022446259362</v>
      </c>
      <c r="O176" s="1322">
        <v>1604.3312542125148</v>
      </c>
      <c r="R176" s="431"/>
    </row>
    <row r="177" spans="1:18">
      <c r="A177" s="51">
        <v>2007.12</v>
      </c>
      <c r="B177" s="50">
        <v>83377</v>
      </c>
      <c r="C177" s="1365">
        <v>42944</v>
      </c>
      <c r="D177" s="430">
        <v>40432</v>
      </c>
      <c r="E177" s="387">
        <v>779749</v>
      </c>
      <c r="F177" s="1650">
        <v>1949</v>
      </c>
      <c r="G177" s="1643">
        <v>23925</v>
      </c>
      <c r="H177" s="1650">
        <v>35776</v>
      </c>
      <c r="I177" s="1643">
        <v>372969</v>
      </c>
      <c r="J177" s="1650">
        <v>39715</v>
      </c>
      <c r="K177" s="1643">
        <v>419131</v>
      </c>
      <c r="L177" s="1651">
        <v>1971.71</v>
      </c>
      <c r="M177" s="1655">
        <v>2196.6799999999998</v>
      </c>
      <c r="N177" s="1181">
        <v>1996.3913584288055</v>
      </c>
      <c r="O177" s="1322">
        <v>2242.6158543748852</v>
      </c>
      <c r="R177" s="431"/>
    </row>
    <row r="178" spans="1:18">
      <c r="A178" s="51">
        <f t="shared" ref="A178:A241" si="0">A166+1</f>
        <v>2008.01</v>
      </c>
      <c r="B178" s="50">
        <v>84058</v>
      </c>
      <c r="C178" s="1365">
        <v>45182</v>
      </c>
      <c r="D178" s="430">
        <v>38876</v>
      </c>
      <c r="E178" s="387">
        <v>812216</v>
      </c>
      <c r="F178" s="1650">
        <v>1997</v>
      </c>
      <c r="G178" s="1643">
        <v>24435</v>
      </c>
      <c r="H178" s="1650">
        <v>36361</v>
      </c>
      <c r="I178" s="1643">
        <v>369713</v>
      </c>
      <c r="J178" s="1650">
        <v>42489</v>
      </c>
      <c r="K178" s="1643">
        <v>432696</v>
      </c>
      <c r="L178" s="1651">
        <v>1487.17</v>
      </c>
      <c r="M178" s="1655">
        <v>1589.4456668616881</v>
      </c>
      <c r="N178" s="1181">
        <v>1475.8771383181531</v>
      </c>
      <c r="O178" s="1322">
        <v>1601.3160483166826</v>
      </c>
      <c r="R178" s="431"/>
    </row>
    <row r="179" spans="1:18">
      <c r="A179" s="51">
        <f t="shared" si="0"/>
        <v>2008.02</v>
      </c>
      <c r="B179" s="50">
        <v>77351</v>
      </c>
      <c r="C179" s="1365">
        <v>42252</v>
      </c>
      <c r="D179" s="430">
        <v>35100</v>
      </c>
      <c r="E179" s="387">
        <v>787505</v>
      </c>
      <c r="F179" s="1650">
        <v>2049</v>
      </c>
      <c r="G179" s="1643">
        <v>24983</v>
      </c>
      <c r="H179" s="1650">
        <v>36905</v>
      </c>
      <c r="I179" s="1643">
        <v>377322</v>
      </c>
      <c r="J179" s="1650">
        <v>41284</v>
      </c>
      <c r="K179" s="1643">
        <v>426380</v>
      </c>
      <c r="L179" s="1651">
        <v>1442.01</v>
      </c>
      <c r="M179" s="1655">
        <v>1557.92</v>
      </c>
      <c r="N179" s="1181">
        <v>1449.3649040790622</v>
      </c>
      <c r="O179" s="1322">
        <v>1586.8522812514657</v>
      </c>
      <c r="R179" s="431"/>
    </row>
    <row r="180" spans="1:18">
      <c r="A180" s="51">
        <f t="shared" si="0"/>
        <v>2008.03</v>
      </c>
      <c r="B180" s="50">
        <v>73808</v>
      </c>
      <c r="C180" s="1365">
        <v>39294</v>
      </c>
      <c r="D180" s="430">
        <v>34514</v>
      </c>
      <c r="E180" s="387">
        <v>709549</v>
      </c>
      <c r="F180" s="1650">
        <v>2074</v>
      </c>
      <c r="G180" s="1643">
        <v>25473</v>
      </c>
      <c r="H180" s="1650">
        <v>36784</v>
      </c>
      <c r="I180" s="1643">
        <v>377948</v>
      </c>
      <c r="J180" s="1650">
        <v>41232</v>
      </c>
      <c r="K180" s="1643">
        <v>428938</v>
      </c>
      <c r="L180" s="1651">
        <v>1483.58</v>
      </c>
      <c r="M180" s="1655">
        <v>1588.14</v>
      </c>
      <c r="N180" s="1181">
        <v>1496.4713465269692</v>
      </c>
      <c r="O180" s="1322">
        <v>1624.8000202593382</v>
      </c>
      <c r="R180" s="431"/>
    </row>
    <row r="181" spans="1:18">
      <c r="A181" s="51">
        <f t="shared" si="0"/>
        <v>2008.04</v>
      </c>
      <c r="B181" s="50">
        <v>86686</v>
      </c>
      <c r="C181" s="1365">
        <v>45565</v>
      </c>
      <c r="D181" s="430">
        <v>41121</v>
      </c>
      <c r="E181" s="387">
        <v>896774</v>
      </c>
      <c r="F181" s="1650">
        <v>2151</v>
      </c>
      <c r="G181" s="1643">
        <v>26288</v>
      </c>
      <c r="H181" s="1650">
        <v>36703</v>
      </c>
      <c r="I181" s="1643">
        <v>381234</v>
      </c>
      <c r="J181" s="1650">
        <v>40935</v>
      </c>
      <c r="K181" s="1643">
        <v>429278</v>
      </c>
      <c r="L181" s="1651">
        <v>1681.86</v>
      </c>
      <c r="M181" s="1655">
        <v>1800.1</v>
      </c>
      <c r="N181" s="1181">
        <v>1696.4050123366312</v>
      </c>
      <c r="O181" s="1322">
        <v>1836.7204902417545</v>
      </c>
      <c r="R181" s="431"/>
    </row>
    <row r="182" spans="1:18">
      <c r="A182" s="51">
        <f t="shared" si="0"/>
        <v>2008.05</v>
      </c>
      <c r="B182" s="50">
        <v>85149</v>
      </c>
      <c r="C182" s="1365">
        <v>43313</v>
      </c>
      <c r="D182" s="430">
        <v>41837</v>
      </c>
      <c r="E182" s="387">
        <v>830457</v>
      </c>
      <c r="F182" s="1650">
        <v>1591</v>
      </c>
      <c r="G182" s="1643">
        <v>18387</v>
      </c>
      <c r="H182" s="1650">
        <v>36153</v>
      </c>
      <c r="I182" s="1643">
        <v>380506</v>
      </c>
      <c r="J182" s="1650">
        <v>40538</v>
      </c>
      <c r="K182" s="1643">
        <v>432662</v>
      </c>
      <c r="L182" s="1651">
        <v>1699.64</v>
      </c>
      <c r="M182" s="1655">
        <v>1801.78</v>
      </c>
      <c r="N182" s="1181">
        <v>1718.8845446247965</v>
      </c>
      <c r="O182" s="1322">
        <v>1848.1098984657767</v>
      </c>
      <c r="R182" s="431"/>
    </row>
    <row r="183" spans="1:18">
      <c r="A183" s="51">
        <f t="shared" si="0"/>
        <v>2008.06</v>
      </c>
      <c r="B183" s="50">
        <v>59598</v>
      </c>
      <c r="C183" s="1365">
        <v>32152</v>
      </c>
      <c r="D183" s="430">
        <v>27446</v>
      </c>
      <c r="E183" s="387">
        <v>709098</v>
      </c>
      <c r="F183" s="1650">
        <v>1698</v>
      </c>
      <c r="G183" s="1643">
        <v>19952</v>
      </c>
      <c r="H183" s="1650">
        <v>34990</v>
      </c>
      <c r="I183" s="1643">
        <v>373235</v>
      </c>
      <c r="J183" s="1650">
        <v>39572</v>
      </c>
      <c r="K183" s="1643">
        <v>425839</v>
      </c>
      <c r="L183" s="1651">
        <v>2185.7399999999998</v>
      </c>
      <c r="M183" s="1655">
        <v>2402.19</v>
      </c>
      <c r="N183" s="1181">
        <v>2221.0822586677446</v>
      </c>
      <c r="O183" s="1322">
        <v>2463.7976724536738</v>
      </c>
      <c r="R183" s="431"/>
    </row>
    <row r="184" spans="1:18">
      <c r="A184" s="51">
        <f t="shared" si="0"/>
        <v>2008.07</v>
      </c>
      <c r="B184" s="50">
        <v>96381</v>
      </c>
      <c r="C184" s="1365">
        <v>48999</v>
      </c>
      <c r="D184" s="430">
        <v>47382</v>
      </c>
      <c r="E184" s="387">
        <v>883142</v>
      </c>
      <c r="F184" s="1650">
        <v>1776</v>
      </c>
      <c r="G184" s="1643">
        <v>21253</v>
      </c>
      <c r="H184" s="1650">
        <v>34217</v>
      </c>
      <c r="I184" s="1643">
        <v>369346</v>
      </c>
      <c r="J184" s="1650">
        <v>38828</v>
      </c>
      <c r="K184" s="1643">
        <v>423490</v>
      </c>
      <c r="L184" s="1651">
        <v>1707.19</v>
      </c>
      <c r="M184" s="1655">
        <v>1843.63</v>
      </c>
      <c r="N184" s="1181">
        <v>1729.0823933759143</v>
      </c>
      <c r="O184" s="1322">
        <v>1894.769576896739</v>
      </c>
      <c r="R184" s="431"/>
    </row>
    <row r="185" spans="1:18">
      <c r="A185" s="51">
        <f t="shared" si="0"/>
        <v>2008.08</v>
      </c>
      <c r="B185" s="50">
        <v>85578</v>
      </c>
      <c r="C185" s="1365">
        <v>45110</v>
      </c>
      <c r="D185" s="430">
        <v>40468</v>
      </c>
      <c r="E185" s="387">
        <v>839196</v>
      </c>
      <c r="F185" s="1650">
        <v>1842</v>
      </c>
      <c r="G185" s="1643">
        <v>22255</v>
      </c>
      <c r="H185" s="1650">
        <v>33699</v>
      </c>
      <c r="I185" s="1643">
        <v>361653</v>
      </c>
      <c r="J185" s="1650">
        <v>38409</v>
      </c>
      <c r="K185" s="1643">
        <v>416790</v>
      </c>
      <c r="L185" s="1651">
        <v>1649.87</v>
      </c>
      <c r="M185" s="1655">
        <v>1768.83</v>
      </c>
      <c r="N185" s="1181">
        <v>1667.0182308833864</v>
      </c>
      <c r="O185" s="1322">
        <v>1819.121241800427</v>
      </c>
      <c r="R185" s="431"/>
    </row>
    <row r="186" spans="1:18">
      <c r="A186" s="51">
        <f t="shared" si="0"/>
        <v>2008.09</v>
      </c>
      <c r="B186" s="50">
        <v>91714</v>
      </c>
      <c r="C186" s="1365">
        <v>48952</v>
      </c>
      <c r="D186" s="430">
        <v>42762</v>
      </c>
      <c r="E186" s="387">
        <v>908193</v>
      </c>
      <c r="F186" s="1650">
        <v>1924</v>
      </c>
      <c r="G186" s="1643">
        <v>23226</v>
      </c>
      <c r="H186" s="1650">
        <v>33070</v>
      </c>
      <c r="I186" s="1643">
        <v>363246</v>
      </c>
      <c r="J186" s="1650">
        <v>38215</v>
      </c>
      <c r="K186" s="1643">
        <v>422038</v>
      </c>
      <c r="L186" s="1651">
        <v>1687.7</v>
      </c>
      <c r="M186" s="1655">
        <v>1802.64</v>
      </c>
      <c r="N186" s="1181">
        <v>1702.5284783461991</v>
      </c>
      <c r="O186" s="1322">
        <v>1852.3411192830979</v>
      </c>
      <c r="R186" s="431"/>
    </row>
    <row r="187" spans="1:18">
      <c r="A187" s="51">
        <f t="shared" si="0"/>
        <v>2008.1</v>
      </c>
      <c r="B187" s="50">
        <v>80002</v>
      </c>
      <c r="C187" s="1365">
        <v>44074</v>
      </c>
      <c r="D187" s="430">
        <v>35928</v>
      </c>
      <c r="E187" s="387">
        <v>874601</v>
      </c>
      <c r="F187" s="1650">
        <v>1967</v>
      </c>
      <c r="G187" s="1643">
        <v>24025</v>
      </c>
      <c r="H187" s="1650">
        <v>32619</v>
      </c>
      <c r="I187" s="1643">
        <v>363312</v>
      </c>
      <c r="J187" s="1650">
        <v>37999</v>
      </c>
      <c r="K187" s="1643">
        <v>424073</v>
      </c>
      <c r="L187" s="1651">
        <v>1797.86</v>
      </c>
      <c r="M187" s="1655">
        <v>1924.99</v>
      </c>
      <c r="N187" s="1181">
        <v>1815.7461391089239</v>
      </c>
      <c r="O187" s="1322">
        <v>1980.3991062152036</v>
      </c>
      <c r="R187" s="431"/>
    </row>
    <row r="188" spans="1:18">
      <c r="A188" s="51">
        <f t="shared" si="0"/>
        <v>2008.11</v>
      </c>
      <c r="B188" s="50">
        <v>73682</v>
      </c>
      <c r="C188" s="1365">
        <v>39934</v>
      </c>
      <c r="D188" s="430">
        <v>33748</v>
      </c>
      <c r="E188" s="387">
        <v>803468</v>
      </c>
      <c r="F188" s="1650">
        <v>2023</v>
      </c>
      <c r="G188" s="1643">
        <v>24661</v>
      </c>
      <c r="H188" s="1650">
        <v>31685</v>
      </c>
      <c r="I188" s="1643">
        <v>354806</v>
      </c>
      <c r="J188" s="1650">
        <v>37196</v>
      </c>
      <c r="K188" s="1643">
        <v>416028</v>
      </c>
      <c r="L188" s="1651">
        <v>1709.52</v>
      </c>
      <c r="M188" s="1655">
        <v>1835.8</v>
      </c>
      <c r="N188" s="1181">
        <v>1721.9507156683517</v>
      </c>
      <c r="O188" s="1322">
        <v>1902.4276380916669</v>
      </c>
      <c r="R188" s="431"/>
    </row>
    <row r="189" spans="1:18">
      <c r="A189" s="51">
        <f t="shared" si="0"/>
        <v>2008.12</v>
      </c>
      <c r="B189" s="50">
        <v>63531</v>
      </c>
      <c r="C189" s="1365">
        <v>35556</v>
      </c>
      <c r="D189" s="430">
        <v>27974</v>
      </c>
      <c r="E189" s="387">
        <v>692038</v>
      </c>
      <c r="F189" s="1650">
        <v>2056</v>
      </c>
      <c r="G189" s="1643">
        <v>25201</v>
      </c>
      <c r="H189" s="1650">
        <v>30166</v>
      </c>
      <c r="I189" s="1643">
        <v>336239</v>
      </c>
      <c r="J189" s="1650">
        <v>35667</v>
      </c>
      <c r="K189" s="1643">
        <v>396169</v>
      </c>
      <c r="L189" s="1651">
        <v>2446.75</v>
      </c>
      <c r="M189" s="1655">
        <v>2761.17</v>
      </c>
      <c r="N189" s="1181">
        <v>2482.3097768245157</v>
      </c>
      <c r="O189" s="1322">
        <v>2836.5632300609086</v>
      </c>
      <c r="R189" s="431"/>
    </row>
    <row r="190" spans="1:18">
      <c r="A190" s="51">
        <f t="shared" si="0"/>
        <v>2009.01</v>
      </c>
      <c r="B190" s="50">
        <v>72353</v>
      </c>
      <c r="C190" s="1365">
        <v>39188</v>
      </c>
      <c r="D190" s="430">
        <v>33165</v>
      </c>
      <c r="E190" s="387">
        <v>728799</v>
      </c>
      <c r="F190" s="1650">
        <v>2082</v>
      </c>
      <c r="G190" s="1643">
        <v>25556</v>
      </c>
      <c r="H190" s="1650">
        <v>29058</v>
      </c>
      <c r="I190" s="1643">
        <v>324525</v>
      </c>
      <c r="J190" s="1650">
        <v>34479</v>
      </c>
      <c r="K190" s="1643">
        <v>384287</v>
      </c>
      <c r="L190" s="1651">
        <v>1734.73</v>
      </c>
      <c r="M190" s="1655">
        <v>1913.2</v>
      </c>
      <c r="N190" s="1181">
        <v>1746.5172435395459</v>
      </c>
      <c r="O190" s="1322">
        <v>1958.6152064472649</v>
      </c>
      <c r="R190" s="431"/>
    </row>
    <row r="191" spans="1:18">
      <c r="A191" s="51">
        <f t="shared" si="0"/>
        <v>2009.02</v>
      </c>
      <c r="B191" s="50">
        <v>60707</v>
      </c>
      <c r="C191" s="1365">
        <v>31748</v>
      </c>
      <c r="D191" s="430">
        <v>28959</v>
      </c>
      <c r="E191" s="387">
        <v>684268</v>
      </c>
      <c r="F191" s="1650">
        <v>2102</v>
      </c>
      <c r="G191" s="1643">
        <v>25836</v>
      </c>
      <c r="H191" s="1650">
        <v>28235</v>
      </c>
      <c r="I191" s="1643">
        <v>325090</v>
      </c>
      <c r="J191" s="1650">
        <v>33580</v>
      </c>
      <c r="K191" s="1643">
        <v>385677</v>
      </c>
      <c r="L191" s="1651">
        <v>1675.27</v>
      </c>
      <c r="M191" s="1655">
        <v>1848.6</v>
      </c>
      <c r="N191" s="1181">
        <v>1688.8585244192973</v>
      </c>
      <c r="O191" s="1322">
        <v>1890.0592155612078</v>
      </c>
      <c r="R191" s="431"/>
    </row>
    <row r="192" spans="1:18">
      <c r="A192" s="51">
        <f t="shared" si="0"/>
        <v>2009.03</v>
      </c>
      <c r="B192" s="50">
        <v>69091</v>
      </c>
      <c r="C192" s="1365">
        <v>37590</v>
      </c>
      <c r="D192" s="430">
        <v>31501</v>
      </c>
      <c r="E192" s="387">
        <v>757422</v>
      </c>
      <c r="F192" s="1650">
        <v>2137</v>
      </c>
      <c r="G192" s="1643">
        <v>26139</v>
      </c>
      <c r="H192" s="1650">
        <v>28351</v>
      </c>
      <c r="I192" s="1643">
        <v>326427</v>
      </c>
      <c r="J192" s="1650">
        <v>33751</v>
      </c>
      <c r="K192" s="1643">
        <v>387578</v>
      </c>
      <c r="L192" s="1651">
        <v>1766.02</v>
      </c>
      <c r="M192" s="1655">
        <v>1939</v>
      </c>
      <c r="N192" s="1181">
        <v>1791.7664371426031</v>
      </c>
      <c r="O192" s="1322">
        <v>1983.4794460211881</v>
      </c>
      <c r="R192" s="431"/>
    </row>
    <row r="193" spans="1:18">
      <c r="A193" s="51">
        <f t="shared" si="0"/>
        <v>2009.04</v>
      </c>
      <c r="B193" s="50">
        <v>61662</v>
      </c>
      <c r="C193" s="1365">
        <v>36961</v>
      </c>
      <c r="D193" s="430">
        <v>24701</v>
      </c>
      <c r="E193" s="387">
        <v>761154</v>
      </c>
      <c r="F193" s="1650">
        <v>2138</v>
      </c>
      <c r="G193" s="1643">
        <v>26231</v>
      </c>
      <c r="H193" s="1650">
        <v>27681</v>
      </c>
      <c r="I193" s="1643">
        <v>325257</v>
      </c>
      <c r="J193" s="1650">
        <v>32960</v>
      </c>
      <c r="K193" s="1643">
        <v>386136</v>
      </c>
      <c r="L193" s="1651">
        <v>1782.11</v>
      </c>
      <c r="M193" s="1655">
        <v>1956.6</v>
      </c>
      <c r="N193" s="1181">
        <v>1811.4904538834951</v>
      </c>
      <c r="O193" s="1322">
        <v>2018.7514842179958</v>
      </c>
      <c r="R193" s="431"/>
    </row>
    <row r="194" spans="1:18">
      <c r="A194" s="51">
        <f t="shared" si="0"/>
        <v>2009.05</v>
      </c>
      <c r="B194" s="50">
        <v>56141</v>
      </c>
      <c r="C194" s="1365">
        <v>33745</v>
      </c>
      <c r="D194" s="430">
        <v>22397</v>
      </c>
      <c r="E194" s="387">
        <v>727453</v>
      </c>
      <c r="F194" s="1650">
        <v>1328</v>
      </c>
      <c r="G194" s="1643">
        <v>15942</v>
      </c>
      <c r="H194" s="1650">
        <v>26783</v>
      </c>
      <c r="I194" s="1643">
        <v>323945</v>
      </c>
      <c r="J194" s="1650">
        <v>31906</v>
      </c>
      <c r="K194" s="1643">
        <v>384595</v>
      </c>
      <c r="L194" s="1651">
        <v>1772.83</v>
      </c>
      <c r="M194" s="1655">
        <v>1925.8</v>
      </c>
      <c r="N194" s="1181">
        <v>1806.5519475960634</v>
      </c>
      <c r="O194" s="1322">
        <v>1975.5450803312574</v>
      </c>
      <c r="R194" s="431"/>
    </row>
    <row r="195" spans="1:18">
      <c r="A195" s="51">
        <f t="shared" si="0"/>
        <v>2009.06</v>
      </c>
      <c r="B195" s="50">
        <v>61629</v>
      </c>
      <c r="C195" s="1365">
        <v>38290</v>
      </c>
      <c r="D195" s="430">
        <v>23339</v>
      </c>
      <c r="E195" s="387">
        <v>796637</v>
      </c>
      <c r="F195" s="1650">
        <v>1455</v>
      </c>
      <c r="G195" s="1643">
        <v>17466</v>
      </c>
      <c r="H195" s="1650">
        <v>25972</v>
      </c>
      <c r="I195" s="1643">
        <v>324084</v>
      </c>
      <c r="J195" s="1650">
        <v>30993</v>
      </c>
      <c r="K195" s="1643">
        <v>385055</v>
      </c>
      <c r="L195" s="1651">
        <v>2644.39</v>
      </c>
      <c r="M195" s="1655">
        <v>2892.9</v>
      </c>
      <c r="N195" s="1181">
        <v>2701.3539602490882</v>
      </c>
      <c r="O195" s="1322">
        <v>2983.2106663983072</v>
      </c>
      <c r="R195" s="431"/>
    </row>
    <row r="196" spans="1:18">
      <c r="A196" s="51">
        <f t="shared" si="0"/>
        <v>2009.07</v>
      </c>
      <c r="B196" s="50">
        <v>62284</v>
      </c>
      <c r="C196" s="1365">
        <v>39820</v>
      </c>
      <c r="D196" s="430">
        <v>22464</v>
      </c>
      <c r="E196" s="387">
        <v>809184</v>
      </c>
      <c r="F196" s="1650">
        <v>1552</v>
      </c>
      <c r="G196" s="1643">
        <v>18601</v>
      </c>
      <c r="H196" s="1650">
        <v>25609</v>
      </c>
      <c r="I196" s="1643">
        <v>321475</v>
      </c>
      <c r="J196" s="1650">
        <v>30875</v>
      </c>
      <c r="K196" s="1643">
        <v>384275</v>
      </c>
      <c r="L196" s="1651">
        <v>1911.45</v>
      </c>
      <c r="M196" s="1655">
        <v>2067.75</v>
      </c>
      <c r="N196" s="1181">
        <v>1944.8317496356276</v>
      </c>
      <c r="O196" s="1322">
        <v>2124.8460564959992</v>
      </c>
      <c r="R196" s="431"/>
    </row>
    <row r="197" spans="1:18">
      <c r="A197" s="51">
        <f t="shared" si="0"/>
        <v>2009.08</v>
      </c>
      <c r="B197" s="50">
        <v>63160</v>
      </c>
      <c r="C197" s="1365">
        <v>39459</v>
      </c>
      <c r="D197" s="430">
        <v>23701</v>
      </c>
      <c r="E197" s="387">
        <v>822140</v>
      </c>
      <c r="F197" s="1650">
        <v>1618</v>
      </c>
      <c r="G197" s="1643">
        <v>19499</v>
      </c>
      <c r="H197" s="1650">
        <v>25639</v>
      </c>
      <c r="I197" s="1643">
        <v>320488</v>
      </c>
      <c r="J197" s="1650">
        <v>30914</v>
      </c>
      <c r="K197" s="1643">
        <v>383640</v>
      </c>
      <c r="L197" s="1651">
        <v>1864.56</v>
      </c>
      <c r="M197" s="1655">
        <v>2017.89</v>
      </c>
      <c r="N197" s="1181">
        <v>1895.4790010998252</v>
      </c>
      <c r="O197" s="1322">
        <v>2072.0942298509021</v>
      </c>
      <c r="R197" s="431"/>
    </row>
    <row r="198" spans="1:18">
      <c r="A198" s="51">
        <f t="shared" si="0"/>
        <v>2009.09</v>
      </c>
      <c r="B198" s="50">
        <v>60863</v>
      </c>
      <c r="C198" s="1365">
        <v>38176</v>
      </c>
      <c r="D198" s="430">
        <v>22687</v>
      </c>
      <c r="E198" s="387">
        <v>791461</v>
      </c>
      <c r="F198" s="1650">
        <v>1679</v>
      </c>
      <c r="G198" s="1643">
        <v>20238</v>
      </c>
      <c r="H198" s="1650">
        <v>25915</v>
      </c>
      <c r="I198" s="1643">
        <v>320411</v>
      </c>
      <c r="J198" s="1650">
        <v>31268</v>
      </c>
      <c r="K198" s="1643">
        <v>384233</v>
      </c>
      <c r="L198" s="1651">
        <v>1853.19</v>
      </c>
      <c r="M198" s="1655">
        <v>2015.84</v>
      </c>
      <c r="N198" s="1181">
        <v>1888.2015782909043</v>
      </c>
      <c r="O198" s="1322">
        <v>2077.2807452249026</v>
      </c>
      <c r="R198" s="431"/>
    </row>
    <row r="199" spans="1:18">
      <c r="A199" s="51">
        <f t="shared" si="0"/>
        <v>2009.1</v>
      </c>
      <c r="B199" s="50">
        <v>68202</v>
      </c>
      <c r="C199" s="1365">
        <v>41804</v>
      </c>
      <c r="D199" s="430">
        <v>26398</v>
      </c>
      <c r="E199" s="387">
        <v>866586</v>
      </c>
      <c r="F199" s="1650">
        <v>1728</v>
      </c>
      <c r="G199" s="1643">
        <v>20901</v>
      </c>
      <c r="H199" s="1650">
        <v>25788</v>
      </c>
      <c r="I199" s="1643">
        <v>321981</v>
      </c>
      <c r="J199" s="1650">
        <v>31185</v>
      </c>
      <c r="K199" s="1643">
        <v>386140</v>
      </c>
      <c r="L199" s="1651">
        <v>2033.44</v>
      </c>
      <c r="M199" s="1655">
        <v>2188.75</v>
      </c>
      <c r="N199" s="1181">
        <v>2071.5313804713805</v>
      </c>
      <c r="O199" s="1322">
        <v>2253.1601078624331</v>
      </c>
      <c r="R199" s="431"/>
    </row>
    <row r="200" spans="1:18">
      <c r="A200" s="51">
        <f t="shared" si="0"/>
        <v>2009.11</v>
      </c>
      <c r="B200" s="50">
        <v>60681</v>
      </c>
      <c r="C200" s="1365">
        <v>36059</v>
      </c>
      <c r="D200" s="430">
        <v>24622</v>
      </c>
      <c r="E200" s="387">
        <v>772759</v>
      </c>
      <c r="F200" s="1650">
        <v>1778</v>
      </c>
      <c r="G200" s="1643">
        <v>21485</v>
      </c>
      <c r="H200" s="1650">
        <v>25888</v>
      </c>
      <c r="I200" s="1643">
        <v>320719</v>
      </c>
      <c r="J200" s="1650">
        <v>31310</v>
      </c>
      <c r="K200" s="1643">
        <v>385828</v>
      </c>
      <c r="L200" s="1651">
        <v>1940.15</v>
      </c>
      <c r="M200" s="1655">
        <v>2139.0500000000002</v>
      </c>
      <c r="N200" s="1181">
        <v>1978.732612583839</v>
      </c>
      <c r="O200" s="1322">
        <v>2218.2540195372035</v>
      </c>
      <c r="R200" s="431"/>
    </row>
    <row r="201" spans="1:18">
      <c r="A201" s="51">
        <f t="shared" si="0"/>
        <v>2009.12</v>
      </c>
      <c r="B201" s="50">
        <v>52172</v>
      </c>
      <c r="C201" s="1365">
        <v>32448</v>
      </c>
      <c r="D201" s="430">
        <v>19724</v>
      </c>
      <c r="E201" s="387">
        <v>733488</v>
      </c>
      <c r="F201" s="1650">
        <v>1816</v>
      </c>
      <c r="G201" s="1643">
        <v>21918</v>
      </c>
      <c r="H201" s="1650">
        <v>25503</v>
      </c>
      <c r="I201" s="1643">
        <v>309631</v>
      </c>
      <c r="J201" s="1650">
        <v>30948</v>
      </c>
      <c r="K201" s="1643">
        <v>373459</v>
      </c>
      <c r="L201" s="1651">
        <v>2761.5</v>
      </c>
      <c r="M201" s="1655">
        <v>3152.58</v>
      </c>
      <c r="N201" s="1181">
        <v>2822.7518514928265</v>
      </c>
      <c r="O201" s="1322">
        <v>3255.9586938325224</v>
      </c>
      <c r="R201" s="431"/>
    </row>
    <row r="202" spans="1:18">
      <c r="A202" s="51">
        <f t="shared" si="0"/>
        <v>2010.01</v>
      </c>
      <c r="B202" s="50">
        <v>59927</v>
      </c>
      <c r="C202" s="1365">
        <v>38726</v>
      </c>
      <c r="D202" s="430">
        <v>21201</v>
      </c>
      <c r="E202" s="387">
        <v>743563</v>
      </c>
      <c r="F202" s="1650">
        <v>1844</v>
      </c>
      <c r="G202" s="1643">
        <v>22322</v>
      </c>
      <c r="H202" s="1650">
        <v>25606</v>
      </c>
      <c r="I202" s="1643">
        <v>305289</v>
      </c>
      <c r="J202" s="1650">
        <v>31058</v>
      </c>
      <c r="K202" s="1643">
        <v>368374</v>
      </c>
      <c r="L202" s="1651">
        <v>1936.82</v>
      </c>
      <c r="M202" s="1655">
        <v>2150.8000000000002</v>
      </c>
      <c r="N202" s="1181">
        <v>1969.6148560757294</v>
      </c>
      <c r="O202" s="1322">
        <v>2213.9320754993569</v>
      </c>
      <c r="R202" s="431"/>
    </row>
    <row r="203" spans="1:18">
      <c r="A203" s="51">
        <f t="shared" si="0"/>
        <v>2010.02</v>
      </c>
      <c r="B203" s="50">
        <v>50312</v>
      </c>
      <c r="C203" s="1365">
        <v>32493</v>
      </c>
      <c r="D203" s="430">
        <v>17819</v>
      </c>
      <c r="E203" s="387">
        <v>692124</v>
      </c>
      <c r="F203" s="1650">
        <v>1875</v>
      </c>
      <c r="G203" s="1643">
        <v>22682</v>
      </c>
      <c r="H203" s="1650">
        <v>25655</v>
      </c>
      <c r="I203" s="1643">
        <v>309650</v>
      </c>
      <c r="J203" s="1650">
        <v>31157</v>
      </c>
      <c r="K203" s="1643">
        <v>373638</v>
      </c>
      <c r="L203" s="1651">
        <v>1872.61</v>
      </c>
      <c r="M203" s="1655">
        <v>2094.04</v>
      </c>
      <c r="N203" s="1181">
        <v>1897.8781959110311</v>
      </c>
      <c r="O203" s="1322">
        <v>2150.8158294391897</v>
      </c>
      <c r="R203" s="431"/>
    </row>
    <row r="204" spans="1:18">
      <c r="A204" s="51">
        <f t="shared" si="0"/>
        <v>2010.03</v>
      </c>
      <c r="B204" s="50">
        <v>67622</v>
      </c>
      <c r="C204" s="1365">
        <v>40307</v>
      </c>
      <c r="D204" s="430">
        <v>27315</v>
      </c>
      <c r="E204" s="387">
        <v>871646</v>
      </c>
      <c r="F204" s="1650">
        <v>1915</v>
      </c>
      <c r="G204" s="1643">
        <v>23090</v>
      </c>
      <c r="H204" s="1650">
        <v>25381</v>
      </c>
      <c r="I204" s="1643">
        <v>311943</v>
      </c>
      <c r="J204" s="1650">
        <v>30944</v>
      </c>
      <c r="K204" s="1643">
        <v>378292</v>
      </c>
      <c r="L204" s="1651">
        <v>2252.21</v>
      </c>
      <c r="M204" s="1655">
        <v>2431.36</v>
      </c>
      <c r="N204" s="1181">
        <v>2247.1834526887278</v>
      </c>
      <c r="O204" s="1322">
        <v>2477.3515681801364</v>
      </c>
      <c r="R204" s="431"/>
    </row>
    <row r="205" spans="1:18">
      <c r="A205" s="51">
        <f t="shared" si="0"/>
        <v>2010.04</v>
      </c>
      <c r="B205" s="50">
        <v>65127</v>
      </c>
      <c r="C205" s="1365">
        <v>39630</v>
      </c>
      <c r="D205" s="430">
        <v>25497</v>
      </c>
      <c r="E205" s="387">
        <v>819623</v>
      </c>
      <c r="F205" s="1650">
        <v>1905</v>
      </c>
      <c r="G205" s="1643">
        <v>23319</v>
      </c>
      <c r="H205" s="1650">
        <v>25290</v>
      </c>
      <c r="I205" s="1643">
        <v>315299</v>
      </c>
      <c r="J205" s="1650">
        <v>30687</v>
      </c>
      <c r="K205" s="1643">
        <v>381443</v>
      </c>
      <c r="L205" s="1651">
        <v>2077.29</v>
      </c>
      <c r="M205" s="1655">
        <v>2309.96</v>
      </c>
      <c r="N205" s="1181">
        <v>2097.5557903998433</v>
      </c>
      <c r="O205" s="1322">
        <v>2370.3761716691615</v>
      </c>
      <c r="R205" s="431"/>
    </row>
    <row r="206" spans="1:18">
      <c r="A206" s="51">
        <f t="shared" si="0"/>
        <v>2010.05</v>
      </c>
      <c r="B206" s="50">
        <v>62254</v>
      </c>
      <c r="C206" s="1365">
        <v>37143</v>
      </c>
      <c r="D206" s="430">
        <v>25111</v>
      </c>
      <c r="E206" s="387">
        <v>771257</v>
      </c>
      <c r="F206" s="1650">
        <v>1347</v>
      </c>
      <c r="G206" s="1643">
        <v>16088</v>
      </c>
      <c r="H206" s="1650">
        <v>25145</v>
      </c>
      <c r="I206" s="1643">
        <v>314793</v>
      </c>
      <c r="J206" s="1650">
        <v>30585</v>
      </c>
      <c r="K206" s="1643">
        <v>380863</v>
      </c>
      <c r="L206" s="1651">
        <v>2268.9</v>
      </c>
      <c r="M206" s="1655">
        <v>2507.5</v>
      </c>
      <c r="N206" s="1181">
        <v>2290.0552591139449</v>
      </c>
      <c r="O206" s="1322">
        <v>2566.4923673604421</v>
      </c>
      <c r="R206" s="431"/>
    </row>
    <row r="207" spans="1:18">
      <c r="A207" s="51">
        <f t="shared" si="0"/>
        <v>2010.06</v>
      </c>
      <c r="B207" s="50">
        <v>67270</v>
      </c>
      <c r="C207" s="1365">
        <v>39951</v>
      </c>
      <c r="D207" s="430">
        <v>27319</v>
      </c>
      <c r="E207" s="387">
        <v>802474</v>
      </c>
      <c r="F207" s="1650">
        <v>1457</v>
      </c>
      <c r="G207" s="1643">
        <v>17447</v>
      </c>
      <c r="H207" s="1650">
        <v>25048</v>
      </c>
      <c r="I207" s="1643">
        <v>315281</v>
      </c>
      <c r="J207" s="1650">
        <v>30390</v>
      </c>
      <c r="K207" s="1643">
        <v>380164</v>
      </c>
      <c r="L207" s="1651">
        <v>3153.26</v>
      </c>
      <c r="M207" s="1655">
        <v>3570.29</v>
      </c>
      <c r="N207" s="1181">
        <v>3222.49</v>
      </c>
      <c r="O207" s="1322">
        <v>3695.26</v>
      </c>
      <c r="R207" s="431"/>
    </row>
    <row r="208" spans="1:18">
      <c r="A208" s="51">
        <f t="shared" si="0"/>
        <v>2010.07</v>
      </c>
      <c r="B208" s="50">
        <v>72679</v>
      </c>
      <c r="C208" s="1365">
        <v>43472</v>
      </c>
      <c r="D208" s="430">
        <v>29207</v>
      </c>
      <c r="E208" s="387">
        <v>835247</v>
      </c>
      <c r="F208" s="1650">
        <v>1540</v>
      </c>
      <c r="G208" s="1643">
        <v>18449</v>
      </c>
      <c r="H208" s="1650">
        <v>25294</v>
      </c>
      <c r="I208" s="1643">
        <v>313345</v>
      </c>
      <c r="J208" s="1650">
        <v>30867</v>
      </c>
      <c r="K208" s="1643">
        <v>376942</v>
      </c>
      <c r="L208" s="1651">
        <v>2225.6999999999998</v>
      </c>
      <c r="M208" s="1655">
        <v>2494.66</v>
      </c>
      <c r="N208" s="1181">
        <v>2178.33</v>
      </c>
      <c r="O208" s="1322">
        <v>2476.25</v>
      </c>
      <c r="R208" s="431"/>
    </row>
    <row r="209" spans="1:18">
      <c r="A209" s="51">
        <f t="shared" si="0"/>
        <v>2010.08</v>
      </c>
      <c r="B209" s="50">
        <v>72346</v>
      </c>
      <c r="C209" s="1365">
        <v>44339</v>
      </c>
      <c r="D209" s="430">
        <v>28007</v>
      </c>
      <c r="E209" s="387">
        <v>901284</v>
      </c>
      <c r="F209" s="1650">
        <v>1608</v>
      </c>
      <c r="G209" s="1643">
        <v>19344</v>
      </c>
      <c r="H209" s="1651">
        <v>26019</v>
      </c>
      <c r="I209" s="1655">
        <v>320219</v>
      </c>
      <c r="J209" s="1650">
        <v>31743.437526402013</v>
      </c>
      <c r="K209" s="1643">
        <v>386662</v>
      </c>
      <c r="L209" s="1651">
        <v>2393.69</v>
      </c>
      <c r="M209" s="1655">
        <v>2669.95</v>
      </c>
      <c r="N209" s="1181">
        <v>2388.7800000000002</v>
      </c>
      <c r="O209" s="1322">
        <v>2767.37</v>
      </c>
      <c r="R209" s="431"/>
    </row>
    <row r="210" spans="1:18">
      <c r="A210" s="51">
        <f t="shared" si="0"/>
        <v>2010.09</v>
      </c>
      <c r="B210" s="50">
        <v>71787</v>
      </c>
      <c r="C210" s="1365">
        <v>43860</v>
      </c>
      <c r="D210" s="430">
        <v>27927</v>
      </c>
      <c r="E210" s="387">
        <v>911514</v>
      </c>
      <c r="F210" s="1650">
        <v>1697</v>
      </c>
      <c r="G210" s="1643">
        <v>20187</v>
      </c>
      <c r="H210" s="1651">
        <v>26587</v>
      </c>
      <c r="I210" s="1655">
        <v>325007</v>
      </c>
      <c r="J210" s="1650">
        <v>32649.963113430018</v>
      </c>
      <c r="K210" s="1643">
        <v>391275</v>
      </c>
      <c r="L210" s="1651">
        <v>2343.16</v>
      </c>
      <c r="M210" s="1655">
        <v>2634.02</v>
      </c>
      <c r="N210" s="1181">
        <v>2335.27</v>
      </c>
      <c r="O210" s="1322">
        <v>2727.53</v>
      </c>
      <c r="R210" s="431"/>
    </row>
    <row r="211" spans="1:18">
      <c r="A211" s="51">
        <f t="shared" si="0"/>
        <v>2010.1</v>
      </c>
      <c r="B211" s="50">
        <v>79384</v>
      </c>
      <c r="C211" s="1365">
        <v>45338</v>
      </c>
      <c r="D211" s="430">
        <v>34046</v>
      </c>
      <c r="E211" s="387">
        <v>934872</v>
      </c>
      <c r="F211" s="1650">
        <v>1749</v>
      </c>
      <c r="G211" s="1643">
        <v>20847</v>
      </c>
      <c r="H211" s="1651">
        <v>26680</v>
      </c>
      <c r="I211" s="1655">
        <v>326034</v>
      </c>
      <c r="J211" s="1650">
        <v>32594.426246891449</v>
      </c>
      <c r="K211" s="1643">
        <v>394360</v>
      </c>
      <c r="L211" s="1651">
        <v>2360.48</v>
      </c>
      <c r="M211" s="1655">
        <v>2669.11</v>
      </c>
      <c r="N211" s="1181">
        <v>2356.75</v>
      </c>
      <c r="O211" s="1322">
        <v>2768.13</v>
      </c>
      <c r="R211" s="431"/>
    </row>
    <row r="212" spans="1:18">
      <c r="A212" s="51">
        <f t="shared" si="0"/>
        <v>2010.11</v>
      </c>
      <c r="B212" s="50">
        <v>86817</v>
      </c>
      <c r="C212" s="1365">
        <v>47759</v>
      </c>
      <c r="D212" s="430">
        <v>39058</v>
      </c>
      <c r="E212" s="387">
        <v>1004211</v>
      </c>
      <c r="F212" s="1650">
        <v>1810</v>
      </c>
      <c r="G212" s="1643">
        <v>21470</v>
      </c>
      <c r="H212" s="1651">
        <v>28230</v>
      </c>
      <c r="I212" s="1655">
        <v>337669</v>
      </c>
      <c r="J212" s="1650">
        <v>34245.018728159717</v>
      </c>
      <c r="K212" s="1643">
        <v>405115</v>
      </c>
      <c r="L212" s="1651">
        <v>2427.84</v>
      </c>
      <c r="M212" s="1655">
        <v>2776.4</v>
      </c>
      <c r="N212" s="1181">
        <v>2423.5700000000002</v>
      </c>
      <c r="O212" s="1322">
        <v>2882.43</v>
      </c>
      <c r="R212" s="431"/>
    </row>
    <row r="213" spans="1:18">
      <c r="A213" s="51">
        <f t="shared" si="0"/>
        <v>2010.12</v>
      </c>
      <c r="B213" s="50">
        <v>78679</v>
      </c>
      <c r="C213" s="1365">
        <v>45154</v>
      </c>
      <c r="D213" s="430">
        <v>33525</v>
      </c>
      <c r="E213" s="387">
        <v>904291</v>
      </c>
      <c r="F213" s="1650">
        <v>1854</v>
      </c>
      <c r="G213" s="1643">
        <v>21941</v>
      </c>
      <c r="H213" s="1651">
        <v>28013.197969543147</v>
      </c>
      <c r="I213" s="1655">
        <v>330948.22335025383</v>
      </c>
      <c r="J213" s="1650">
        <v>33873</v>
      </c>
      <c r="K213" s="1643">
        <v>398284</v>
      </c>
      <c r="L213" s="1651">
        <v>3459.5078534031413</v>
      </c>
      <c r="M213" s="1655">
        <v>4017.256544502618</v>
      </c>
      <c r="N213" s="1181">
        <v>3656</v>
      </c>
      <c r="O213" s="1322">
        <v>4295.88</v>
      </c>
      <c r="R213" s="431"/>
    </row>
    <row r="214" spans="1:18">
      <c r="A214" s="51">
        <f t="shared" si="0"/>
        <v>2011.01</v>
      </c>
      <c r="B214" s="50">
        <v>75139</v>
      </c>
      <c r="C214" s="1365">
        <v>46105</v>
      </c>
      <c r="D214" s="430">
        <v>29034</v>
      </c>
      <c r="E214" s="387">
        <v>851247</v>
      </c>
      <c r="F214" s="1650">
        <v>1899</v>
      </c>
      <c r="G214" s="1643">
        <v>22455</v>
      </c>
      <c r="H214" s="1652" t="s">
        <v>230</v>
      </c>
      <c r="I214" s="1656" t="s">
        <v>230</v>
      </c>
      <c r="J214" s="1650">
        <v>34219</v>
      </c>
      <c r="K214" s="1643">
        <v>397626</v>
      </c>
      <c r="L214" s="1652" t="s">
        <v>230</v>
      </c>
      <c r="M214" s="1656" t="s">
        <v>230</v>
      </c>
      <c r="N214" s="1181">
        <v>2687.94</v>
      </c>
      <c r="O214" s="1322">
        <v>3097.24</v>
      </c>
      <c r="R214" s="431"/>
    </row>
    <row r="215" spans="1:18">
      <c r="A215" s="51">
        <f t="shared" si="0"/>
        <v>2011.02</v>
      </c>
      <c r="B215" s="50">
        <v>63105</v>
      </c>
      <c r="C215" s="1365">
        <v>38462</v>
      </c>
      <c r="D215" s="430">
        <v>24643</v>
      </c>
      <c r="E215" s="387">
        <v>819491</v>
      </c>
      <c r="F215" s="1650">
        <v>1937</v>
      </c>
      <c r="G215" s="1643">
        <v>22908</v>
      </c>
      <c r="H215" s="1653"/>
      <c r="I215" s="1657"/>
      <c r="J215" s="1650">
        <v>35408</v>
      </c>
      <c r="K215" s="1643">
        <v>405353</v>
      </c>
      <c r="L215" s="1654"/>
      <c r="M215" s="1658"/>
      <c r="N215" s="1181">
        <v>2554.71</v>
      </c>
      <c r="O215" s="1322">
        <v>2967.62</v>
      </c>
      <c r="R215" s="431"/>
    </row>
    <row r="216" spans="1:18">
      <c r="A216" s="51">
        <f t="shared" si="0"/>
        <v>2011.03</v>
      </c>
      <c r="B216" s="50">
        <v>78159</v>
      </c>
      <c r="C216" s="1365">
        <v>44696</v>
      </c>
      <c r="D216" s="430">
        <v>33463</v>
      </c>
      <c r="E216" s="387">
        <v>911933</v>
      </c>
      <c r="F216" s="1650">
        <v>1983</v>
      </c>
      <c r="G216" s="1643">
        <v>23471</v>
      </c>
      <c r="H216" s="1653"/>
      <c r="I216" s="1657"/>
      <c r="J216" s="1650">
        <v>35983</v>
      </c>
      <c r="K216" s="1643">
        <v>413282</v>
      </c>
      <c r="L216" s="1654"/>
      <c r="M216" s="1658"/>
      <c r="N216" s="1181">
        <v>2841.25</v>
      </c>
      <c r="O216" s="1322">
        <v>3278.17</v>
      </c>
      <c r="R216" s="431"/>
    </row>
    <row r="217" spans="1:18">
      <c r="A217" s="51">
        <f t="shared" si="0"/>
        <v>2011.04</v>
      </c>
      <c r="B217" s="50">
        <v>74411</v>
      </c>
      <c r="C217" s="1365">
        <v>44465</v>
      </c>
      <c r="D217" s="430">
        <v>29946</v>
      </c>
      <c r="E217" s="387">
        <v>938741</v>
      </c>
      <c r="F217" s="1650">
        <v>2030</v>
      </c>
      <c r="G217" s="1643">
        <v>23932</v>
      </c>
      <c r="H217" s="1653"/>
      <c r="I217" s="1657"/>
      <c r="J217" s="1650">
        <v>35767</v>
      </c>
      <c r="K217" s="1643">
        <v>420035</v>
      </c>
      <c r="L217" s="1654"/>
      <c r="M217" s="1658"/>
      <c r="N217" s="1181">
        <v>2663.04</v>
      </c>
      <c r="O217" s="1322">
        <v>3124.67</v>
      </c>
      <c r="R217" s="431"/>
    </row>
    <row r="218" spans="1:18">
      <c r="A218" s="51">
        <f t="shared" si="0"/>
        <v>2011.05</v>
      </c>
      <c r="B218" s="50">
        <v>79265</v>
      </c>
      <c r="C218" s="1365">
        <v>47746</v>
      </c>
      <c r="D218" s="430">
        <v>31519</v>
      </c>
      <c r="E218" s="387">
        <v>988185</v>
      </c>
      <c r="F218" s="1650">
        <v>1633</v>
      </c>
      <c r="G218" s="1643">
        <v>18537</v>
      </c>
      <c r="H218" s="1653"/>
      <c r="I218" s="1657"/>
      <c r="J218" s="1650">
        <v>36724</v>
      </c>
      <c r="K218" s="1643">
        <v>424585</v>
      </c>
      <c r="L218" s="1654"/>
      <c r="M218" s="1658"/>
      <c r="N218" s="1181">
        <v>3505.7</v>
      </c>
      <c r="O218" s="1322">
        <v>3994.1</v>
      </c>
      <c r="R218" s="431"/>
    </row>
    <row r="219" spans="1:18">
      <c r="A219" s="51">
        <f t="shared" si="0"/>
        <v>2011.06</v>
      </c>
      <c r="B219" s="50">
        <v>74056</v>
      </c>
      <c r="C219" s="1365">
        <v>43234</v>
      </c>
      <c r="D219" s="430">
        <v>30822</v>
      </c>
      <c r="E219" s="387">
        <v>887565</v>
      </c>
      <c r="F219" s="1650">
        <v>1746</v>
      </c>
      <c r="G219" s="1643">
        <v>19863</v>
      </c>
      <c r="H219" s="1653"/>
      <c r="I219" s="1657"/>
      <c r="J219" s="1650">
        <v>36762</v>
      </c>
      <c r="K219" s="1643">
        <v>423663</v>
      </c>
      <c r="L219" s="1654"/>
      <c r="M219" s="1658"/>
      <c r="N219" s="1181">
        <v>4171.07</v>
      </c>
      <c r="O219" s="1322">
        <v>4827.03</v>
      </c>
      <c r="R219" s="431"/>
    </row>
    <row r="220" spans="1:18">
      <c r="A220" s="51">
        <f t="shared" si="0"/>
        <v>2011.07</v>
      </c>
      <c r="B220" s="50">
        <v>80895</v>
      </c>
      <c r="C220" s="1365">
        <v>47094</v>
      </c>
      <c r="D220" s="430">
        <v>33801</v>
      </c>
      <c r="E220" s="387">
        <v>911313</v>
      </c>
      <c r="F220" s="1650">
        <v>1810</v>
      </c>
      <c r="G220" s="1643">
        <v>20815</v>
      </c>
      <c r="H220" s="1653"/>
      <c r="I220" s="1657"/>
      <c r="J220" s="1650">
        <v>37548</v>
      </c>
      <c r="K220" s="1643">
        <v>422408</v>
      </c>
      <c r="L220" s="1654"/>
      <c r="M220" s="1658"/>
      <c r="N220" s="1181">
        <v>3293.13</v>
      </c>
      <c r="O220" s="1322">
        <v>3635.97</v>
      </c>
      <c r="R220" s="431"/>
    </row>
    <row r="221" spans="1:18">
      <c r="A221" s="51">
        <f t="shared" si="0"/>
        <v>2011.08</v>
      </c>
      <c r="B221" s="50">
        <v>84311</v>
      </c>
      <c r="C221" s="1365">
        <v>49356</v>
      </c>
      <c r="D221" s="430">
        <v>34955</v>
      </c>
      <c r="E221" s="387">
        <v>1008599</v>
      </c>
      <c r="F221" s="1650">
        <v>1887</v>
      </c>
      <c r="G221" s="1643">
        <v>21801</v>
      </c>
      <c r="H221" s="1653"/>
      <c r="I221" s="1657"/>
      <c r="J221" s="1650">
        <v>38149</v>
      </c>
      <c r="K221" s="1643">
        <v>425812</v>
      </c>
      <c r="L221" s="1654"/>
      <c r="M221" s="1658"/>
      <c r="N221" s="1181">
        <v>3262.69</v>
      </c>
      <c r="O221" s="1322">
        <v>3656.44</v>
      </c>
      <c r="R221" s="431"/>
    </row>
    <row r="222" spans="1:18">
      <c r="A222" s="51">
        <f t="shared" si="0"/>
        <v>2011.09</v>
      </c>
      <c r="B222" s="50">
        <v>91531</v>
      </c>
      <c r="C222" s="1365">
        <v>55995</v>
      </c>
      <c r="D222" s="430">
        <v>35536</v>
      </c>
      <c r="E222" s="387">
        <v>1093892</v>
      </c>
      <c r="F222" s="1650">
        <v>1967</v>
      </c>
      <c r="G222" s="1643">
        <v>22681</v>
      </c>
      <c r="H222" s="1653"/>
      <c r="I222" s="1657"/>
      <c r="J222" s="1650">
        <v>37992</v>
      </c>
      <c r="K222" s="1643">
        <v>428841</v>
      </c>
      <c r="L222" s="1654"/>
      <c r="M222" s="1658"/>
      <c r="N222" s="1181">
        <v>3514.17</v>
      </c>
      <c r="O222" s="1322">
        <v>3863.58</v>
      </c>
      <c r="R222" s="431"/>
    </row>
    <row r="223" spans="1:18">
      <c r="A223" s="51">
        <f t="shared" si="0"/>
        <v>2011.1</v>
      </c>
      <c r="B223" s="50">
        <v>75635</v>
      </c>
      <c r="C223" s="1365">
        <v>48788</v>
      </c>
      <c r="D223" s="430">
        <v>26847</v>
      </c>
      <c r="E223" s="387">
        <v>1002307</v>
      </c>
      <c r="F223" s="1650">
        <v>2026</v>
      </c>
      <c r="G223" s="1643">
        <v>23326</v>
      </c>
      <c r="H223" s="1654"/>
      <c r="I223" s="1658"/>
      <c r="J223" s="1650">
        <v>37959</v>
      </c>
      <c r="K223" s="1643">
        <v>433984</v>
      </c>
      <c r="L223" s="1654"/>
      <c r="M223" s="1658"/>
      <c r="N223" s="1181">
        <v>3413.1</v>
      </c>
      <c r="O223" s="1322">
        <v>3859.85</v>
      </c>
      <c r="R223" s="431"/>
    </row>
    <row r="224" spans="1:18">
      <c r="A224" s="51">
        <f t="shared" si="0"/>
        <v>2011.11</v>
      </c>
      <c r="B224" s="50">
        <v>81973</v>
      </c>
      <c r="C224" s="1365">
        <v>48396</v>
      </c>
      <c r="D224" s="430">
        <v>33577</v>
      </c>
      <c r="E224" s="387">
        <v>1049969</v>
      </c>
      <c r="F224" s="1650">
        <v>2076</v>
      </c>
      <c r="G224" s="1643">
        <v>23976</v>
      </c>
      <c r="H224" s="1654"/>
      <c r="I224" s="1658"/>
      <c r="J224" s="1650">
        <v>38592</v>
      </c>
      <c r="K224" s="1643">
        <v>438360</v>
      </c>
      <c r="L224" s="1654"/>
      <c r="M224" s="1658"/>
      <c r="N224" s="1181">
        <v>3499.1</v>
      </c>
      <c r="O224" s="1322">
        <v>3987.7</v>
      </c>
      <c r="R224" s="431"/>
    </row>
    <row r="225" spans="1:18">
      <c r="A225" s="51">
        <f t="shared" si="0"/>
        <v>2011.12</v>
      </c>
      <c r="B225" s="50">
        <v>75564</v>
      </c>
      <c r="C225" s="1365">
        <v>45496</v>
      </c>
      <c r="D225" s="430">
        <v>30068</v>
      </c>
      <c r="E225" s="387">
        <v>922969</v>
      </c>
      <c r="F225" s="1650">
        <v>2111</v>
      </c>
      <c r="G225" s="1643">
        <v>24359</v>
      </c>
      <c r="H225" s="1654"/>
      <c r="I225" s="1658"/>
      <c r="J225" s="1650">
        <v>37460</v>
      </c>
      <c r="K225" s="1643">
        <v>418556</v>
      </c>
      <c r="L225" s="1654"/>
      <c r="M225" s="1658"/>
      <c r="N225" s="1181">
        <v>4919.09</v>
      </c>
      <c r="O225" s="1322">
        <v>5669.73</v>
      </c>
      <c r="R225" s="431"/>
    </row>
    <row r="226" spans="1:18">
      <c r="A226" s="51">
        <f t="shared" si="0"/>
        <v>2012.01</v>
      </c>
      <c r="B226" s="50">
        <v>65876</v>
      </c>
      <c r="C226" s="1365">
        <v>40392</v>
      </c>
      <c r="D226" s="430">
        <v>25484</v>
      </c>
      <c r="E226" s="387">
        <v>860798</v>
      </c>
      <c r="F226" s="1650">
        <v>2158</v>
      </c>
      <c r="G226" s="1643">
        <v>24800</v>
      </c>
      <c r="H226" s="1654"/>
      <c r="I226" s="1658"/>
      <c r="J226" s="1650">
        <v>37451</v>
      </c>
      <c r="K226" s="1643">
        <v>410110</v>
      </c>
      <c r="L226" s="1654"/>
      <c r="M226" s="1658"/>
      <c r="N226" s="1181">
        <v>3707.03</v>
      </c>
      <c r="O226" s="1322">
        <v>4158.92</v>
      </c>
      <c r="R226" s="431"/>
    </row>
    <row r="227" spans="1:18">
      <c r="A227" s="51">
        <f t="shared" si="0"/>
        <v>2012.02</v>
      </c>
      <c r="B227" s="50">
        <v>57253</v>
      </c>
      <c r="C227" s="1365">
        <v>35538</v>
      </c>
      <c r="D227" s="430">
        <v>21715</v>
      </c>
      <c r="E227" s="387">
        <v>763164</v>
      </c>
      <c r="F227" s="1650">
        <v>2192</v>
      </c>
      <c r="G227" s="1643">
        <v>25084</v>
      </c>
      <c r="H227" s="1654"/>
      <c r="I227" s="1658"/>
      <c r="J227" s="1650">
        <v>37634</v>
      </c>
      <c r="K227" s="1643">
        <v>408874</v>
      </c>
      <c r="L227" s="1654"/>
      <c r="M227" s="1658"/>
      <c r="N227" s="1181">
        <v>3595.75</v>
      </c>
      <c r="O227" s="1322">
        <v>4150.67</v>
      </c>
      <c r="R227" s="431"/>
    </row>
    <row r="228" spans="1:18">
      <c r="A228" s="51">
        <f t="shared" si="0"/>
        <v>2012.03</v>
      </c>
      <c r="B228" s="50">
        <v>57400</v>
      </c>
      <c r="C228" s="1365">
        <v>33394</v>
      </c>
      <c r="D228" s="430">
        <v>24006</v>
      </c>
      <c r="E228" s="387">
        <v>952811</v>
      </c>
      <c r="F228" s="1650">
        <v>2216</v>
      </c>
      <c r="G228" s="1643">
        <v>25504</v>
      </c>
      <c r="H228" s="1654"/>
      <c r="I228" s="1658"/>
      <c r="J228" s="1650">
        <v>37941</v>
      </c>
      <c r="K228" s="1643">
        <v>416504</v>
      </c>
      <c r="L228" s="1654"/>
      <c r="M228" s="1658"/>
      <c r="N228" s="1181">
        <v>3790.13</v>
      </c>
      <c r="O228" s="1322">
        <v>4353.6099999999997</v>
      </c>
      <c r="R228" s="431"/>
    </row>
    <row r="229" spans="1:18">
      <c r="A229" s="51">
        <f t="shared" si="0"/>
        <v>2012.04</v>
      </c>
      <c r="B229" s="50">
        <v>64655</v>
      </c>
      <c r="C229" s="1365">
        <v>40514</v>
      </c>
      <c r="D229" s="430">
        <v>24141</v>
      </c>
      <c r="E229" s="387">
        <v>782378</v>
      </c>
      <c r="F229" s="1650">
        <v>2243</v>
      </c>
      <c r="G229" s="1643">
        <v>25869</v>
      </c>
      <c r="H229" s="1654"/>
      <c r="I229" s="1658"/>
      <c r="J229" s="1650">
        <v>36843</v>
      </c>
      <c r="K229" s="1643">
        <v>410756</v>
      </c>
      <c r="L229" s="1654"/>
      <c r="M229" s="1658"/>
      <c r="N229" s="1181">
        <v>3716.9</v>
      </c>
      <c r="O229" s="1322">
        <v>4238.08</v>
      </c>
      <c r="R229" s="431"/>
    </row>
    <row r="230" spans="1:18">
      <c r="A230" s="51">
        <f t="shared" si="0"/>
        <v>2012.05</v>
      </c>
      <c r="B230" s="50">
        <v>67533</v>
      </c>
      <c r="C230" s="1365">
        <v>43040</v>
      </c>
      <c r="D230" s="430">
        <v>24493</v>
      </c>
      <c r="E230" s="387">
        <v>871478</v>
      </c>
      <c r="F230" s="1650">
        <v>1725</v>
      </c>
      <c r="G230" s="1643">
        <v>18974</v>
      </c>
      <c r="H230" s="1654"/>
      <c r="I230" s="1658"/>
      <c r="J230" s="1650">
        <v>36435</v>
      </c>
      <c r="K230" s="1643">
        <v>409934</v>
      </c>
      <c r="L230" s="1654"/>
      <c r="M230" s="1658"/>
      <c r="N230" s="1181">
        <v>3568.55</v>
      </c>
      <c r="O230" s="1322">
        <v>4196.47</v>
      </c>
      <c r="R230" s="431"/>
    </row>
    <row r="231" spans="1:18">
      <c r="A231" s="51">
        <f t="shared" si="0"/>
        <v>2012.06</v>
      </c>
      <c r="B231" s="50">
        <v>71984</v>
      </c>
      <c r="C231" s="1365">
        <v>44068</v>
      </c>
      <c r="D231" s="430">
        <v>27916</v>
      </c>
      <c r="E231" s="387">
        <v>888090</v>
      </c>
      <c r="F231" s="1650">
        <v>1820</v>
      </c>
      <c r="G231" s="1643">
        <v>20224</v>
      </c>
      <c r="H231" s="1654"/>
      <c r="I231" s="1658"/>
      <c r="J231" s="1650">
        <v>35879</v>
      </c>
      <c r="K231" s="1643">
        <v>403197</v>
      </c>
      <c r="L231" s="1654"/>
      <c r="M231" s="1658"/>
      <c r="N231" s="1181">
        <v>5594.04</v>
      </c>
      <c r="O231" s="1322">
        <v>6375.24</v>
      </c>
      <c r="R231" s="431"/>
    </row>
    <row r="232" spans="1:18">
      <c r="A232" s="51">
        <f t="shared" si="0"/>
        <v>2012.07</v>
      </c>
      <c r="B232" s="50">
        <v>74949</v>
      </c>
      <c r="C232" s="1365">
        <v>46752</v>
      </c>
      <c r="D232" s="430">
        <v>28197</v>
      </c>
      <c r="E232" s="387">
        <v>904169</v>
      </c>
      <c r="F232" s="1650">
        <v>1883</v>
      </c>
      <c r="G232" s="1643">
        <v>21111</v>
      </c>
      <c r="H232" s="1654"/>
      <c r="I232" s="1658"/>
      <c r="J232" s="1650">
        <v>35267</v>
      </c>
      <c r="K232" s="1643">
        <v>398674</v>
      </c>
      <c r="L232" s="1654"/>
      <c r="M232" s="1658"/>
      <c r="N232" s="1181">
        <v>4975.25</v>
      </c>
      <c r="O232" s="1322">
        <v>5665.51</v>
      </c>
      <c r="R232" s="431"/>
    </row>
    <row r="233" spans="1:18">
      <c r="A233" s="51">
        <f t="shared" si="0"/>
        <v>2012.08</v>
      </c>
      <c r="B233" s="50">
        <v>64861</v>
      </c>
      <c r="C233" s="1365">
        <v>42997</v>
      </c>
      <c r="D233" s="430">
        <v>21865</v>
      </c>
      <c r="E233" s="387">
        <v>841124</v>
      </c>
      <c r="F233" s="1650">
        <v>1953</v>
      </c>
      <c r="G233" s="1643">
        <v>22010</v>
      </c>
      <c r="H233" s="1654"/>
      <c r="I233" s="1658"/>
      <c r="J233" s="1650">
        <v>35052</v>
      </c>
      <c r="K233" s="1643">
        <v>398270</v>
      </c>
      <c r="L233" s="1654"/>
      <c r="M233" s="1658"/>
      <c r="N233" s="1181">
        <v>4357.8100000000004</v>
      </c>
      <c r="O233" s="1322">
        <v>5048.5200000000004</v>
      </c>
      <c r="R233" s="431"/>
    </row>
    <row r="234" spans="1:18">
      <c r="A234" s="51">
        <f t="shared" si="0"/>
        <v>2012.09</v>
      </c>
      <c r="B234" s="50">
        <v>63236</v>
      </c>
      <c r="C234" s="1365">
        <v>41393</v>
      </c>
      <c r="D234" s="430">
        <v>21843</v>
      </c>
      <c r="E234" s="387">
        <v>889649</v>
      </c>
      <c r="F234" s="1650">
        <v>1992</v>
      </c>
      <c r="G234" s="1643">
        <v>22557</v>
      </c>
      <c r="H234" s="1654"/>
      <c r="I234" s="1658"/>
      <c r="J234" s="1650">
        <v>34100.176836690167</v>
      </c>
      <c r="K234" s="1643">
        <v>394900</v>
      </c>
      <c r="L234" s="1654"/>
      <c r="M234" s="1658"/>
      <c r="N234" s="1181">
        <v>3946.8232284568312</v>
      </c>
      <c r="O234" s="1322">
        <v>4789.67</v>
      </c>
      <c r="R234" s="431"/>
    </row>
    <row r="235" spans="1:18">
      <c r="A235" s="51">
        <f t="shared" si="0"/>
        <v>2012.1</v>
      </c>
      <c r="B235" s="50">
        <v>66755</v>
      </c>
      <c r="C235" s="1365">
        <v>46180</v>
      </c>
      <c r="D235" s="430">
        <v>20575</v>
      </c>
      <c r="E235" s="387">
        <v>954609</v>
      </c>
      <c r="F235" s="1650">
        <v>2043</v>
      </c>
      <c r="G235" s="1643">
        <v>23231</v>
      </c>
      <c r="H235" s="1654"/>
      <c r="I235" s="1658"/>
      <c r="J235" s="1650">
        <v>34385.858793247331</v>
      </c>
      <c r="K235" s="1643">
        <v>401528</v>
      </c>
      <c r="L235" s="1654"/>
      <c r="M235" s="1658"/>
      <c r="N235" s="1181">
        <v>4185.4129339970796</v>
      </c>
      <c r="O235" s="1322">
        <v>5045.43</v>
      </c>
      <c r="R235" s="431"/>
    </row>
    <row r="236" spans="1:18">
      <c r="A236" s="51">
        <f t="shared" si="0"/>
        <v>2012.11</v>
      </c>
      <c r="B236" s="50">
        <v>73211</v>
      </c>
      <c r="C236" s="1365">
        <v>48470</v>
      </c>
      <c r="D236" s="430">
        <v>24741</v>
      </c>
      <c r="E236" s="387">
        <v>959567</v>
      </c>
      <c r="F236" s="1650">
        <v>2099</v>
      </c>
      <c r="G236" s="1643">
        <v>23790</v>
      </c>
      <c r="H236" s="1654"/>
      <c r="I236" s="1658"/>
      <c r="J236" s="1650">
        <v>34249.433824958047</v>
      </c>
      <c r="K236" s="1643">
        <v>400792</v>
      </c>
      <c r="L236" s="1654"/>
      <c r="M236" s="1658"/>
      <c r="N236" s="1181">
        <v>4234.1375702988053</v>
      </c>
      <c r="O236" s="1322">
        <v>5101.38</v>
      </c>
      <c r="R236" s="431"/>
    </row>
    <row r="237" spans="1:18">
      <c r="A237" s="51">
        <f t="shared" si="0"/>
        <v>2012.12</v>
      </c>
      <c r="B237" s="50">
        <v>53603</v>
      </c>
      <c r="C237" s="1365">
        <v>36525</v>
      </c>
      <c r="D237" s="430">
        <v>17079</v>
      </c>
      <c r="E237" s="387">
        <v>787914</v>
      </c>
      <c r="F237" s="1650">
        <v>2127</v>
      </c>
      <c r="G237" s="1643">
        <v>24164</v>
      </c>
      <c r="H237" s="1654"/>
      <c r="I237" s="1658"/>
      <c r="J237" s="1650">
        <v>32532</v>
      </c>
      <c r="K237" s="1643">
        <v>384715</v>
      </c>
      <c r="L237" s="1654"/>
      <c r="M237" s="1658"/>
      <c r="N237" s="1181">
        <v>5867.11</v>
      </c>
      <c r="O237" s="1322">
        <v>7303.04</v>
      </c>
      <c r="R237" s="431"/>
    </row>
    <row r="238" spans="1:18">
      <c r="A238" s="51">
        <f t="shared" si="0"/>
        <v>2013.01</v>
      </c>
      <c r="B238" s="50">
        <v>71356</v>
      </c>
      <c r="C238" s="1365">
        <v>48394</v>
      </c>
      <c r="D238" s="430">
        <v>22962</v>
      </c>
      <c r="E238" s="387">
        <v>888602</v>
      </c>
      <c r="F238" s="1650">
        <v>2163</v>
      </c>
      <c r="G238" s="1643">
        <v>24554</v>
      </c>
      <c r="H238" s="1654"/>
      <c r="I238" s="1658"/>
      <c r="J238" s="1650">
        <v>33424</v>
      </c>
      <c r="K238" s="1643">
        <v>383264</v>
      </c>
      <c r="L238" s="1654"/>
      <c r="M238" s="1658"/>
      <c r="N238" s="1181">
        <v>4361.3</v>
      </c>
      <c r="O238" s="1322">
        <v>5214.7299999999996</v>
      </c>
      <c r="R238" s="431"/>
    </row>
    <row r="239" spans="1:18">
      <c r="A239" s="51">
        <f t="shared" si="0"/>
        <v>2013.02</v>
      </c>
      <c r="B239" s="50">
        <v>59164</v>
      </c>
      <c r="C239" s="1365">
        <v>40868</v>
      </c>
      <c r="D239" s="430">
        <v>18296</v>
      </c>
      <c r="E239" s="387">
        <v>809267</v>
      </c>
      <c r="F239" s="1650">
        <v>2183</v>
      </c>
      <c r="G239" s="1643">
        <v>24805</v>
      </c>
      <c r="H239" s="1654"/>
      <c r="I239" s="1658"/>
      <c r="J239" s="1650">
        <v>33597</v>
      </c>
      <c r="K239" s="1643">
        <v>386889</v>
      </c>
      <c r="L239" s="1654"/>
      <c r="M239" s="1658"/>
      <c r="N239" s="1181">
        <v>4106.43</v>
      </c>
      <c r="O239" s="1322">
        <v>5028.1899999999996</v>
      </c>
      <c r="R239" s="431"/>
    </row>
    <row r="240" spans="1:18">
      <c r="A240" s="51">
        <f t="shared" si="0"/>
        <v>2013.03</v>
      </c>
      <c r="B240" s="50">
        <v>68581</v>
      </c>
      <c r="C240" s="1365">
        <v>44032</v>
      </c>
      <c r="D240" s="430">
        <v>24549</v>
      </c>
      <c r="E240" s="387">
        <v>915326</v>
      </c>
      <c r="F240" s="1650">
        <v>2224</v>
      </c>
      <c r="G240" s="1643">
        <v>25239</v>
      </c>
      <c r="H240" s="1654"/>
      <c r="I240" s="1658"/>
      <c r="J240" s="1650">
        <v>34263</v>
      </c>
      <c r="K240" s="1643">
        <v>394314</v>
      </c>
      <c r="L240" s="1654"/>
      <c r="M240" s="1658"/>
      <c r="N240" s="1181">
        <v>4552.84</v>
      </c>
      <c r="O240" s="1322">
        <v>5356.25</v>
      </c>
      <c r="R240" s="431"/>
    </row>
    <row r="241" spans="1:18">
      <c r="A241" s="51">
        <f t="shared" si="0"/>
        <v>2013.04</v>
      </c>
      <c r="B241" s="50">
        <v>73516</v>
      </c>
      <c r="C241" s="1365">
        <v>48045</v>
      </c>
      <c r="D241" s="430">
        <v>25471</v>
      </c>
      <c r="E241" s="387">
        <v>946722</v>
      </c>
      <c r="F241" s="1650">
        <v>2272</v>
      </c>
      <c r="G241" s="1643">
        <v>25662</v>
      </c>
      <c r="H241" s="1654"/>
      <c r="I241" s="1658"/>
      <c r="J241" s="1650">
        <v>34147</v>
      </c>
      <c r="K241" s="1643">
        <v>400481</v>
      </c>
      <c r="L241" s="1654"/>
      <c r="M241" s="1658"/>
      <c r="N241" s="1181">
        <v>4777.68</v>
      </c>
      <c r="O241" s="1322">
        <v>5497.51</v>
      </c>
      <c r="R241" s="431"/>
    </row>
    <row r="242" spans="1:18">
      <c r="A242" s="51">
        <f t="shared" ref="A242:A306" si="1">A230+1</f>
        <v>2013.05</v>
      </c>
      <c r="B242" s="50">
        <v>73511</v>
      </c>
      <c r="C242" s="1365">
        <v>48220</v>
      </c>
      <c r="D242" s="430">
        <v>25291</v>
      </c>
      <c r="E242" s="387">
        <v>998196</v>
      </c>
      <c r="F242" s="1650">
        <v>1847</v>
      </c>
      <c r="G242" s="1643">
        <v>20313</v>
      </c>
      <c r="H242" s="1654"/>
      <c r="I242" s="1658"/>
      <c r="J242" s="1650">
        <v>34321</v>
      </c>
      <c r="K242" s="1643">
        <v>400549</v>
      </c>
      <c r="L242" s="1654"/>
      <c r="M242" s="1658"/>
      <c r="N242" s="1181">
        <v>4790.58</v>
      </c>
      <c r="O242" s="1322">
        <v>5492.11</v>
      </c>
      <c r="R242" s="431"/>
    </row>
    <row r="243" spans="1:18">
      <c r="A243" s="51">
        <f t="shared" si="1"/>
        <v>2013.06</v>
      </c>
      <c r="B243" s="50">
        <v>72709</v>
      </c>
      <c r="C243" s="1365">
        <v>46786</v>
      </c>
      <c r="D243" s="430">
        <v>25923</v>
      </c>
      <c r="E243" s="387">
        <v>913744</v>
      </c>
      <c r="F243" s="1650">
        <v>1916</v>
      </c>
      <c r="G243" s="1643">
        <v>21195</v>
      </c>
      <c r="H243" s="1654"/>
      <c r="I243" s="1658"/>
      <c r="J243" s="1650">
        <v>33630</v>
      </c>
      <c r="K243" s="1643">
        <v>393924</v>
      </c>
      <c r="L243" s="1654"/>
      <c r="M243" s="1658"/>
      <c r="N243" s="1181">
        <v>6983.74</v>
      </c>
      <c r="O243" s="1322">
        <v>8070.92</v>
      </c>
      <c r="R243" s="431"/>
    </row>
    <row r="244" spans="1:18">
      <c r="A244" s="51">
        <f t="shared" si="1"/>
        <v>2013.07</v>
      </c>
      <c r="B244" s="50">
        <v>79222</v>
      </c>
      <c r="C244" s="1365">
        <v>51428</v>
      </c>
      <c r="D244" s="430">
        <v>27794</v>
      </c>
      <c r="E244" s="387">
        <v>1004648</v>
      </c>
      <c r="F244" s="1650">
        <v>1996</v>
      </c>
      <c r="G244" s="1643">
        <v>22056</v>
      </c>
      <c r="H244" s="1654"/>
      <c r="I244" s="1658"/>
      <c r="J244" s="1650">
        <v>33965</v>
      </c>
      <c r="K244" s="1643">
        <v>397754</v>
      </c>
      <c r="L244" s="1654"/>
      <c r="M244" s="1658"/>
      <c r="N244" s="1181">
        <v>5642.57</v>
      </c>
      <c r="O244" s="1322">
        <v>6251.76</v>
      </c>
      <c r="R244" s="431"/>
    </row>
    <row r="245" spans="1:18">
      <c r="A245" s="51">
        <f t="shared" si="1"/>
        <v>2013.08</v>
      </c>
      <c r="B245" s="50">
        <v>87266</v>
      </c>
      <c r="C245" s="1365">
        <v>54860</v>
      </c>
      <c r="D245" s="430">
        <v>32406</v>
      </c>
      <c r="E245" s="387">
        <v>1071257</v>
      </c>
      <c r="F245" s="1650">
        <v>2056</v>
      </c>
      <c r="G245" s="1643">
        <v>22780</v>
      </c>
      <c r="H245" s="1654"/>
      <c r="I245" s="1658"/>
      <c r="J245" s="1650">
        <v>33417</v>
      </c>
      <c r="K245" s="1643">
        <v>400205</v>
      </c>
      <c r="L245" s="1654"/>
      <c r="M245" s="1658"/>
      <c r="N245" s="1181">
        <v>5577.27</v>
      </c>
      <c r="O245" s="1322">
        <v>6103.32</v>
      </c>
      <c r="R245" s="431"/>
    </row>
    <row r="246" spans="1:18">
      <c r="A246" s="51">
        <f t="shared" si="1"/>
        <v>2013.09</v>
      </c>
      <c r="B246" s="50">
        <v>87790</v>
      </c>
      <c r="C246" s="1365">
        <v>56016</v>
      </c>
      <c r="D246" s="430">
        <v>31774</v>
      </c>
      <c r="E246" s="387">
        <v>1042359</v>
      </c>
      <c r="F246" s="1650">
        <v>2105</v>
      </c>
      <c r="G246" s="1643">
        <v>23464</v>
      </c>
      <c r="H246" s="1654"/>
      <c r="I246" s="1658"/>
      <c r="J246" s="1650">
        <v>33481</v>
      </c>
      <c r="K246" s="1643">
        <v>402343</v>
      </c>
      <c r="L246" s="1654"/>
      <c r="M246" s="1658"/>
      <c r="N246" s="1181">
        <v>5342.75</v>
      </c>
      <c r="O246" s="1322">
        <v>5814.42</v>
      </c>
      <c r="R246" s="431"/>
    </row>
    <row r="247" spans="1:18">
      <c r="A247" s="51">
        <f t="shared" si="1"/>
        <v>2013.1</v>
      </c>
      <c r="B247" s="50">
        <v>92614</v>
      </c>
      <c r="C247" s="1365">
        <v>60100</v>
      </c>
      <c r="D247" s="430">
        <v>32514</v>
      </c>
      <c r="E247" s="387">
        <v>1136672</v>
      </c>
      <c r="F247" s="1650">
        <v>2154</v>
      </c>
      <c r="G247" s="1643">
        <v>24135</v>
      </c>
      <c r="H247" s="1654"/>
      <c r="I247" s="1658"/>
      <c r="J247" s="1650">
        <v>33730</v>
      </c>
      <c r="K247" s="1643">
        <v>409888</v>
      </c>
      <c r="L247" s="1654"/>
      <c r="M247" s="1658"/>
      <c r="N247" s="1181">
        <v>5615.54</v>
      </c>
      <c r="O247" s="1322">
        <v>6271.93</v>
      </c>
      <c r="R247" s="431"/>
    </row>
    <row r="248" spans="1:18">
      <c r="A248" s="51">
        <f t="shared" si="1"/>
        <v>2013.11</v>
      </c>
      <c r="B248" s="50">
        <v>80109</v>
      </c>
      <c r="C248" s="1365">
        <v>53830</v>
      </c>
      <c r="D248" s="430">
        <v>26280</v>
      </c>
      <c r="E248" s="387">
        <v>1046488</v>
      </c>
      <c r="F248" s="1650">
        <v>2187</v>
      </c>
      <c r="G248" s="1643">
        <v>24654</v>
      </c>
      <c r="H248" s="1654"/>
      <c r="I248" s="1658"/>
      <c r="J248" s="1650">
        <v>33863</v>
      </c>
      <c r="K248" s="1643">
        <v>404092</v>
      </c>
      <c r="L248" s="1654"/>
      <c r="M248" s="1658"/>
      <c r="N248" s="1181">
        <v>5314.43</v>
      </c>
      <c r="O248" s="1322">
        <v>5987.9</v>
      </c>
      <c r="R248" s="431"/>
    </row>
    <row r="249" spans="1:18">
      <c r="A249" s="51">
        <f t="shared" si="1"/>
        <v>2013.12</v>
      </c>
      <c r="B249" s="50">
        <v>72370</v>
      </c>
      <c r="C249" s="1365">
        <v>46237</v>
      </c>
      <c r="D249" s="430">
        <v>26134</v>
      </c>
      <c r="E249" s="387">
        <v>914744</v>
      </c>
      <c r="F249" s="1650">
        <v>2217</v>
      </c>
      <c r="G249" s="1643">
        <v>25049</v>
      </c>
      <c r="H249" s="1654"/>
      <c r="I249" s="1658"/>
      <c r="J249" s="1650">
        <v>33388</v>
      </c>
      <c r="K249" s="1643">
        <v>387510</v>
      </c>
      <c r="L249" s="1654"/>
      <c r="M249" s="1658"/>
      <c r="N249" s="1181">
        <v>7769.78</v>
      </c>
      <c r="O249" s="1322">
        <v>8789.9</v>
      </c>
      <c r="R249" s="431"/>
    </row>
    <row r="250" spans="1:18">
      <c r="A250" s="51">
        <f t="shared" si="1"/>
        <v>2014.01</v>
      </c>
      <c r="B250" s="50">
        <v>71424</v>
      </c>
      <c r="C250" s="1365">
        <v>48864</v>
      </c>
      <c r="D250" s="430">
        <v>22560</v>
      </c>
      <c r="E250" s="387">
        <v>910318</v>
      </c>
      <c r="F250" s="1650">
        <v>2255</v>
      </c>
      <c r="G250" s="1643">
        <v>25377</v>
      </c>
      <c r="H250" s="1654"/>
      <c r="I250" s="1658"/>
      <c r="J250" s="1650">
        <v>33301</v>
      </c>
      <c r="K250" s="1643">
        <v>381368</v>
      </c>
      <c r="L250" s="1654"/>
      <c r="M250" s="1658"/>
      <c r="N250" s="1181">
        <v>5481.23</v>
      </c>
      <c r="O250" s="1322">
        <v>6151.3</v>
      </c>
      <c r="R250" s="431"/>
    </row>
    <row r="251" spans="1:18">
      <c r="A251" s="51">
        <f t="shared" si="1"/>
        <v>2014.02</v>
      </c>
      <c r="B251" s="50">
        <v>53417</v>
      </c>
      <c r="C251" s="1365">
        <v>34634</v>
      </c>
      <c r="D251" s="430">
        <v>18783</v>
      </c>
      <c r="E251" s="387">
        <v>783917</v>
      </c>
      <c r="F251" s="1650">
        <v>2273</v>
      </c>
      <c r="G251" s="1643">
        <v>25556</v>
      </c>
      <c r="H251" s="1654"/>
      <c r="I251" s="1658"/>
      <c r="J251" s="1650">
        <v>33079</v>
      </c>
      <c r="K251" s="1643">
        <v>380439</v>
      </c>
      <c r="L251" s="1654"/>
      <c r="M251" s="1658"/>
      <c r="N251" s="1181">
        <v>5115.1400000000003</v>
      </c>
      <c r="O251" s="1322">
        <v>5823.8</v>
      </c>
      <c r="R251" s="431"/>
    </row>
    <row r="252" spans="1:18">
      <c r="A252" s="51">
        <f t="shared" si="1"/>
        <v>2014.03</v>
      </c>
      <c r="B252" s="50">
        <v>70511</v>
      </c>
      <c r="C252" s="1365">
        <v>44990</v>
      </c>
      <c r="D252" s="430">
        <v>25521</v>
      </c>
      <c r="E252" s="387">
        <v>898807</v>
      </c>
      <c r="F252" s="1650">
        <v>2289</v>
      </c>
      <c r="G252" s="1643">
        <v>25750</v>
      </c>
      <c r="H252" s="1654"/>
      <c r="I252" s="1658"/>
      <c r="J252" s="1650">
        <v>32762</v>
      </c>
      <c r="K252" s="1643">
        <v>384018</v>
      </c>
      <c r="L252" s="1654"/>
      <c r="M252" s="1658"/>
      <c r="N252" s="1181">
        <v>5518.09</v>
      </c>
      <c r="O252" s="1322">
        <v>6300.46</v>
      </c>
      <c r="R252" s="431"/>
    </row>
    <row r="253" spans="1:18">
      <c r="A253" s="51">
        <f t="shared" si="1"/>
        <v>2014.04</v>
      </c>
      <c r="B253" s="50">
        <v>71546</v>
      </c>
      <c r="C253" s="1365">
        <v>45496</v>
      </c>
      <c r="D253" s="430">
        <v>26050</v>
      </c>
      <c r="E253" s="387">
        <v>895697</v>
      </c>
      <c r="F253" s="1650">
        <v>2288</v>
      </c>
      <c r="G253" s="1643">
        <v>25963</v>
      </c>
      <c r="H253" s="1654"/>
      <c r="I253" s="1658"/>
      <c r="J253" s="1650">
        <v>32521</v>
      </c>
      <c r="K253" s="1643">
        <v>382339</v>
      </c>
      <c r="L253" s="1654"/>
      <c r="M253" s="1658"/>
      <c r="N253" s="1181">
        <v>6497.88</v>
      </c>
      <c r="O253" s="1322">
        <v>7066.8</v>
      </c>
      <c r="R253" s="431"/>
    </row>
    <row r="254" spans="1:18">
      <c r="A254" s="51">
        <f t="shared" si="1"/>
        <v>2014.05</v>
      </c>
      <c r="B254" s="613">
        <v>73960</v>
      </c>
      <c r="C254" s="1639">
        <v>46834</v>
      </c>
      <c r="D254" s="578">
        <v>27126</v>
      </c>
      <c r="E254" s="387">
        <v>920093</v>
      </c>
      <c r="F254" s="1650">
        <v>1632</v>
      </c>
      <c r="G254" s="1643">
        <v>17832</v>
      </c>
      <c r="H254" s="1654"/>
      <c r="I254" s="1658"/>
      <c r="J254" s="1650">
        <v>32941</v>
      </c>
      <c r="K254" s="1643">
        <v>387072</v>
      </c>
      <c r="L254" s="1654"/>
      <c r="M254" s="1658"/>
      <c r="N254" s="1181">
        <v>6763.42</v>
      </c>
      <c r="O254" s="1322">
        <v>7387.83</v>
      </c>
      <c r="R254" s="431"/>
    </row>
    <row r="255" spans="1:18">
      <c r="A255" s="51">
        <f t="shared" si="1"/>
        <v>2014.06</v>
      </c>
      <c r="B255" s="613">
        <v>75655</v>
      </c>
      <c r="C255" s="1639">
        <v>46566</v>
      </c>
      <c r="D255" s="578">
        <v>29089</v>
      </c>
      <c r="E255" s="387">
        <v>886097</v>
      </c>
      <c r="F255" s="1650">
        <v>1724</v>
      </c>
      <c r="G255" s="1643">
        <v>19079</v>
      </c>
      <c r="H255" s="1654"/>
      <c r="I255" s="1658"/>
      <c r="J255" s="1650">
        <v>33110</v>
      </c>
      <c r="K255" s="1643">
        <v>387041</v>
      </c>
      <c r="L255" s="1654"/>
      <c r="M255" s="1658"/>
      <c r="N255" s="1181">
        <v>8990.77</v>
      </c>
      <c r="O255" s="1322">
        <v>9929.42</v>
      </c>
      <c r="R255" s="431"/>
    </row>
    <row r="256" spans="1:18">
      <c r="A256" s="51">
        <f t="shared" si="1"/>
        <v>2014.07</v>
      </c>
      <c r="B256" s="613">
        <v>77542</v>
      </c>
      <c r="C256" s="1639">
        <v>49232</v>
      </c>
      <c r="D256" s="578">
        <v>28310</v>
      </c>
      <c r="E256" s="387">
        <v>949904</v>
      </c>
      <c r="F256" s="1650">
        <v>1809</v>
      </c>
      <c r="G256" s="1643">
        <v>20094</v>
      </c>
      <c r="H256" s="1654"/>
      <c r="I256" s="1658"/>
      <c r="J256" s="1650">
        <v>33099</v>
      </c>
      <c r="K256" s="1643">
        <v>389194</v>
      </c>
      <c r="L256" s="1654"/>
      <c r="M256" s="1658"/>
      <c r="N256" s="1181">
        <v>7170.37</v>
      </c>
      <c r="O256" s="1322">
        <v>7795.58</v>
      </c>
      <c r="R256" s="431"/>
    </row>
    <row r="257" spans="1:18">
      <c r="A257" s="51">
        <f t="shared" si="1"/>
        <v>2014.08</v>
      </c>
      <c r="B257" s="613">
        <v>83732</v>
      </c>
      <c r="C257" s="1639">
        <v>52684</v>
      </c>
      <c r="D257" s="578">
        <v>31048</v>
      </c>
      <c r="E257" s="387">
        <v>993651</v>
      </c>
      <c r="F257" s="1650">
        <v>1850</v>
      </c>
      <c r="G257" s="1643">
        <v>20751</v>
      </c>
      <c r="H257" s="1654"/>
      <c r="I257" s="1658"/>
      <c r="J257" s="1650">
        <v>32974.560630343869</v>
      </c>
      <c r="K257" s="1643">
        <v>388235.34038730361</v>
      </c>
      <c r="L257" s="1654"/>
      <c r="M257" s="1658"/>
      <c r="N257" s="1181">
        <v>7007.8149982769664</v>
      </c>
      <c r="O257" s="1322">
        <v>7645.503663292473</v>
      </c>
      <c r="R257" s="431"/>
    </row>
    <row r="258" spans="1:18">
      <c r="A258" s="51">
        <f t="shared" si="1"/>
        <v>2014.09</v>
      </c>
      <c r="B258" s="613">
        <v>85093</v>
      </c>
      <c r="C258" s="1639">
        <v>56834</v>
      </c>
      <c r="D258" s="578">
        <v>28259</v>
      </c>
      <c r="E258" s="387">
        <v>1045852</v>
      </c>
      <c r="F258" s="1650">
        <v>1917</v>
      </c>
      <c r="G258" s="1643">
        <v>21523</v>
      </c>
      <c r="H258" s="1654"/>
      <c r="I258" s="1658"/>
      <c r="J258" s="1614">
        <v>33106</v>
      </c>
      <c r="K258" s="180">
        <v>391496</v>
      </c>
      <c r="L258" s="1654"/>
      <c r="M258" s="1658"/>
      <c r="N258" s="1181">
        <v>7102.13</v>
      </c>
      <c r="O258" s="1322">
        <v>7727.37</v>
      </c>
      <c r="R258" s="431"/>
    </row>
    <row r="259" spans="1:18">
      <c r="A259" s="51">
        <f t="shared" si="1"/>
        <v>2014.1</v>
      </c>
      <c r="B259" s="613">
        <v>87730</v>
      </c>
      <c r="C259" s="1639">
        <v>56883</v>
      </c>
      <c r="D259" s="578">
        <v>30847</v>
      </c>
      <c r="E259" s="387">
        <v>1101044</v>
      </c>
      <c r="F259" s="1650">
        <v>1962</v>
      </c>
      <c r="G259" s="1643">
        <v>22215</v>
      </c>
      <c r="H259" s="1654"/>
      <c r="I259" s="1658"/>
      <c r="J259" s="1614">
        <v>33831</v>
      </c>
      <c r="K259" s="180">
        <v>400991</v>
      </c>
      <c r="L259" s="1654"/>
      <c r="M259" s="1658"/>
      <c r="N259" s="1181">
        <v>7717.04</v>
      </c>
      <c r="O259" s="1322">
        <v>8034.5</v>
      </c>
      <c r="R259" s="431"/>
    </row>
    <row r="260" spans="1:18">
      <c r="A260" s="51">
        <f t="shared" si="1"/>
        <v>2014.11</v>
      </c>
      <c r="B260" s="613">
        <v>79332</v>
      </c>
      <c r="C260" s="1640">
        <v>51487</v>
      </c>
      <c r="D260" s="578">
        <v>27845</v>
      </c>
      <c r="E260" s="387">
        <v>996205</v>
      </c>
      <c r="F260" s="1614">
        <v>1998</v>
      </c>
      <c r="G260" s="180">
        <v>22693</v>
      </c>
      <c r="H260" s="1654"/>
      <c r="I260" s="1658"/>
      <c r="J260" s="1614">
        <v>33850</v>
      </c>
      <c r="K260" s="180">
        <v>400589</v>
      </c>
      <c r="L260" s="1654"/>
      <c r="M260" s="1658"/>
      <c r="N260" s="1181">
        <v>6999.17</v>
      </c>
      <c r="O260" s="1322">
        <v>7655.15</v>
      </c>
      <c r="R260" s="431"/>
    </row>
    <row r="261" spans="1:18">
      <c r="A261" s="51">
        <f t="shared" si="1"/>
        <v>2014.12</v>
      </c>
      <c r="B261" s="50">
        <v>71637</v>
      </c>
      <c r="C261" s="1365">
        <v>45871</v>
      </c>
      <c r="D261" s="430">
        <v>25766</v>
      </c>
      <c r="E261" s="387">
        <v>892312</v>
      </c>
      <c r="F261" s="1650">
        <v>2035</v>
      </c>
      <c r="G261" s="1643">
        <v>23092</v>
      </c>
      <c r="H261" s="1654"/>
      <c r="I261" s="1658"/>
      <c r="J261" s="1614">
        <v>33552</v>
      </c>
      <c r="K261" s="180">
        <v>389626</v>
      </c>
      <c r="L261" s="1654"/>
      <c r="M261" s="1658"/>
      <c r="N261" s="1181">
        <v>10574.82</v>
      </c>
      <c r="O261" s="1322">
        <v>11477.09</v>
      </c>
      <c r="R261" s="431"/>
    </row>
    <row r="262" spans="1:18">
      <c r="A262" s="51">
        <f t="shared" si="1"/>
        <v>2015.01</v>
      </c>
      <c r="B262" s="50">
        <v>72542</v>
      </c>
      <c r="C262" s="1365">
        <v>48716</v>
      </c>
      <c r="D262" s="430">
        <v>23826</v>
      </c>
      <c r="E262" s="387">
        <v>928200</v>
      </c>
      <c r="F262" s="1650">
        <v>2067</v>
      </c>
      <c r="G262" s="1643">
        <v>23428</v>
      </c>
      <c r="H262" s="1654"/>
      <c r="I262" s="1658"/>
      <c r="J262" s="1614">
        <v>33590</v>
      </c>
      <c r="K262" s="180">
        <v>390346</v>
      </c>
      <c r="L262" s="1654"/>
      <c r="M262" s="1658"/>
      <c r="N262" s="1665">
        <v>7171.04</v>
      </c>
      <c r="O262" s="1671">
        <v>7833.72</v>
      </c>
      <c r="R262" s="431"/>
    </row>
    <row r="263" spans="1:18">
      <c r="A263" s="51">
        <f t="shared" si="1"/>
        <v>2015.02</v>
      </c>
      <c r="B263" s="50">
        <v>70064</v>
      </c>
      <c r="C263" s="1365">
        <v>43300</v>
      </c>
      <c r="D263" s="430">
        <v>26764</v>
      </c>
      <c r="E263" s="387">
        <v>885296</v>
      </c>
      <c r="F263" s="1614">
        <v>2088</v>
      </c>
      <c r="G263" s="180">
        <v>23678</v>
      </c>
      <c r="H263" s="1654"/>
      <c r="I263" s="1658"/>
      <c r="J263" s="1650">
        <v>33446</v>
      </c>
      <c r="K263" s="1643">
        <v>396719</v>
      </c>
      <c r="L263" s="1654"/>
      <c r="M263" s="1658"/>
      <c r="N263" s="1651">
        <v>6965.13</v>
      </c>
      <c r="O263" s="1672">
        <v>7707.24</v>
      </c>
      <c r="R263" s="431"/>
    </row>
    <row r="264" spans="1:18">
      <c r="A264" s="51">
        <f t="shared" si="1"/>
        <v>2015.03</v>
      </c>
      <c r="B264" s="50">
        <v>73371</v>
      </c>
      <c r="C264" s="1365">
        <v>45626</v>
      </c>
      <c r="D264" s="430">
        <v>27745</v>
      </c>
      <c r="E264" s="387">
        <v>967701</v>
      </c>
      <c r="F264" s="1650">
        <v>2103</v>
      </c>
      <c r="G264" s="1643">
        <v>24118</v>
      </c>
      <c r="H264" s="1654"/>
      <c r="I264" s="1658"/>
      <c r="J264" s="1650">
        <v>33873</v>
      </c>
      <c r="K264" s="1643">
        <v>409170</v>
      </c>
      <c r="L264" s="1654"/>
      <c r="M264" s="1658"/>
      <c r="N264" s="1651">
        <v>7391.31</v>
      </c>
      <c r="O264" s="1672">
        <v>8078.19</v>
      </c>
      <c r="R264" s="431"/>
    </row>
    <row r="265" spans="1:18">
      <c r="A265" s="51">
        <f t="shared" si="1"/>
        <v>2015.04</v>
      </c>
      <c r="B265" s="50">
        <v>83388</v>
      </c>
      <c r="C265" s="1365">
        <v>50147</v>
      </c>
      <c r="D265" s="430">
        <v>33240</v>
      </c>
      <c r="E265" s="387">
        <v>1045288</v>
      </c>
      <c r="F265" s="1650">
        <v>2130</v>
      </c>
      <c r="G265" s="1643">
        <v>24601</v>
      </c>
      <c r="H265" s="1654"/>
      <c r="I265" s="1658"/>
      <c r="J265" s="1650">
        <v>33871</v>
      </c>
      <c r="K265" s="1643">
        <v>416315</v>
      </c>
      <c r="L265" s="1654"/>
      <c r="M265" s="1658"/>
      <c r="N265" s="1651">
        <v>7581.6</v>
      </c>
      <c r="O265" s="1672">
        <v>8186.18</v>
      </c>
      <c r="R265" s="431"/>
    </row>
    <row r="266" spans="1:18">
      <c r="A266" s="51">
        <f t="shared" si="1"/>
        <v>2015.05</v>
      </c>
      <c r="B266" s="50">
        <v>80162</v>
      </c>
      <c r="C266" s="1365">
        <v>48232</v>
      </c>
      <c r="D266" s="430">
        <v>31930</v>
      </c>
      <c r="E266" s="387">
        <v>996155</v>
      </c>
      <c r="F266" s="1650">
        <v>1704</v>
      </c>
      <c r="G266" s="1643">
        <v>19130</v>
      </c>
      <c r="H266" s="1654"/>
      <c r="I266" s="1658"/>
      <c r="J266" s="1650">
        <v>34042</v>
      </c>
      <c r="K266" s="1643">
        <v>421373</v>
      </c>
      <c r="L266" s="1654"/>
      <c r="M266" s="1658"/>
      <c r="N266" s="1651">
        <v>8000.11</v>
      </c>
      <c r="O266" s="1672">
        <v>8171.01</v>
      </c>
      <c r="R266" s="431"/>
    </row>
    <row r="267" spans="1:18">
      <c r="A267" s="51">
        <f t="shared" si="1"/>
        <v>2015.06</v>
      </c>
      <c r="B267" s="50">
        <v>84889</v>
      </c>
      <c r="C267" s="1365">
        <v>53126</v>
      </c>
      <c r="D267" s="430">
        <v>31763</v>
      </c>
      <c r="E267" s="387">
        <v>1055480</v>
      </c>
      <c r="F267" s="1650">
        <v>1779</v>
      </c>
      <c r="G267" s="1643">
        <v>20214</v>
      </c>
      <c r="H267" s="1654"/>
      <c r="I267" s="1658"/>
      <c r="J267" s="1650">
        <v>34333</v>
      </c>
      <c r="K267" s="1643">
        <v>427279</v>
      </c>
      <c r="L267" s="1654"/>
      <c r="M267" s="1658"/>
      <c r="N267" s="1651">
        <v>11511.93</v>
      </c>
      <c r="O267" s="1672">
        <v>12116.64</v>
      </c>
      <c r="R267" s="431"/>
    </row>
    <row r="268" spans="1:18">
      <c r="A268" s="51">
        <f t="shared" si="1"/>
        <v>2015.07</v>
      </c>
      <c r="B268" s="50">
        <v>79655</v>
      </c>
      <c r="C268" s="1365">
        <v>49860</v>
      </c>
      <c r="D268" s="430">
        <v>29795</v>
      </c>
      <c r="E268" s="387">
        <v>1069622</v>
      </c>
      <c r="F268" s="1650">
        <v>1844</v>
      </c>
      <c r="G268" s="1643">
        <v>20958</v>
      </c>
      <c r="H268" s="1654"/>
      <c r="I268" s="1658"/>
      <c r="J268" s="1650">
        <v>34074</v>
      </c>
      <c r="K268" s="1643">
        <v>425341</v>
      </c>
      <c r="L268" s="1654"/>
      <c r="M268" s="1658"/>
      <c r="N268" s="1651">
        <v>8956.02</v>
      </c>
      <c r="O268" s="1672">
        <v>9444.15</v>
      </c>
      <c r="R268" s="431"/>
    </row>
    <row r="269" spans="1:18">
      <c r="A269" s="51">
        <f t="shared" si="1"/>
        <v>2015.08</v>
      </c>
      <c r="B269" s="50">
        <v>77272</v>
      </c>
      <c r="C269" s="1365">
        <v>53263</v>
      </c>
      <c r="D269" s="430">
        <v>24009</v>
      </c>
      <c r="E269" s="387">
        <v>977469</v>
      </c>
      <c r="F269" s="1650">
        <v>1891</v>
      </c>
      <c r="G269" s="1643">
        <v>21592</v>
      </c>
      <c r="H269" s="1654"/>
      <c r="I269" s="1658"/>
      <c r="J269" s="1650">
        <v>33779</v>
      </c>
      <c r="K269" s="1643">
        <v>422379</v>
      </c>
      <c r="L269" s="1654"/>
      <c r="M269" s="1658"/>
      <c r="N269" s="1651">
        <v>8921.93</v>
      </c>
      <c r="O269" s="1672">
        <v>9434.19</v>
      </c>
      <c r="R269" s="431"/>
    </row>
    <row r="270" spans="1:18">
      <c r="A270" s="51">
        <f t="shared" si="1"/>
        <v>2015.09</v>
      </c>
      <c r="B270" s="50">
        <v>82991</v>
      </c>
      <c r="C270" s="1365">
        <v>53084</v>
      </c>
      <c r="D270" s="430">
        <v>29907</v>
      </c>
      <c r="E270" s="387">
        <v>1131223</v>
      </c>
      <c r="F270" s="1650">
        <v>1937</v>
      </c>
      <c r="G270" s="1643">
        <v>22240</v>
      </c>
      <c r="H270" s="1654"/>
      <c r="I270" s="1658"/>
      <c r="J270" s="1650">
        <v>34421</v>
      </c>
      <c r="K270" s="1643">
        <v>428083</v>
      </c>
      <c r="L270" s="1654"/>
      <c r="M270" s="1658"/>
      <c r="N270" s="1651">
        <v>9323.9599999999991</v>
      </c>
      <c r="O270" s="1672">
        <v>9864.4500000000007</v>
      </c>
      <c r="R270" s="431"/>
    </row>
    <row r="271" spans="1:18">
      <c r="A271" s="51">
        <f t="shared" si="1"/>
        <v>2015.1</v>
      </c>
      <c r="B271" s="50">
        <v>87328</v>
      </c>
      <c r="C271" s="1365">
        <v>56212</v>
      </c>
      <c r="D271" s="430">
        <v>31116</v>
      </c>
      <c r="E271" s="387">
        <v>1139923</v>
      </c>
      <c r="F271" s="1650">
        <v>1973</v>
      </c>
      <c r="G271" s="1643">
        <v>22800</v>
      </c>
      <c r="H271" s="1654"/>
      <c r="I271" s="1658"/>
      <c r="J271" s="1650">
        <v>34926</v>
      </c>
      <c r="K271" s="1643">
        <v>426694</v>
      </c>
      <c r="L271" s="1654"/>
      <c r="M271" s="1658"/>
      <c r="N271" s="1651">
        <v>9441.0400000000009</v>
      </c>
      <c r="O271" s="1672">
        <v>9963.49</v>
      </c>
      <c r="R271" s="431"/>
    </row>
    <row r="272" spans="1:18">
      <c r="A272" s="51">
        <f t="shared" si="1"/>
        <v>2015.11</v>
      </c>
      <c r="B272" s="50">
        <v>77317</v>
      </c>
      <c r="C272" s="1365">
        <v>51262</v>
      </c>
      <c r="D272" s="430">
        <v>26055</v>
      </c>
      <c r="E272" s="387">
        <v>995497</v>
      </c>
      <c r="F272" s="1650">
        <v>2004</v>
      </c>
      <c r="G272" s="1643">
        <v>23242</v>
      </c>
      <c r="H272" s="1654"/>
      <c r="I272" s="1658"/>
      <c r="J272" s="1650">
        <v>34715</v>
      </c>
      <c r="K272" s="1643">
        <v>416150</v>
      </c>
      <c r="L272" s="1654"/>
      <c r="M272" s="1658"/>
      <c r="N272" s="1651">
        <v>9130.5400000000009</v>
      </c>
      <c r="O272" s="1672">
        <v>9591.74</v>
      </c>
      <c r="R272" s="431"/>
    </row>
    <row r="273" spans="1:18">
      <c r="A273" s="51">
        <f t="shared" si="1"/>
        <v>2015.12</v>
      </c>
      <c r="B273" s="50">
        <v>71504</v>
      </c>
      <c r="C273" s="1365">
        <v>47078</v>
      </c>
      <c r="D273" s="430">
        <v>24426</v>
      </c>
      <c r="E273" s="387">
        <v>933180</v>
      </c>
      <c r="F273" s="1650">
        <v>2027</v>
      </c>
      <c r="G273" s="1643">
        <v>23492</v>
      </c>
      <c r="H273" s="1654"/>
      <c r="I273" s="1658"/>
      <c r="J273" s="1650">
        <v>33055</v>
      </c>
      <c r="K273" s="1643">
        <v>386213</v>
      </c>
      <c r="L273" s="1654"/>
      <c r="M273" s="1658"/>
      <c r="N273" s="1651">
        <v>13226.83</v>
      </c>
      <c r="O273" s="1672">
        <v>14229.47</v>
      </c>
      <c r="R273" s="431"/>
    </row>
    <row r="274" spans="1:18">
      <c r="A274" s="51">
        <f t="shared" si="1"/>
        <v>2016.01</v>
      </c>
      <c r="B274" s="50">
        <v>68705</v>
      </c>
      <c r="C274" s="1365">
        <v>44714</v>
      </c>
      <c r="D274" s="430">
        <v>23991</v>
      </c>
      <c r="E274" s="387">
        <v>858496</v>
      </c>
      <c r="F274" s="1650">
        <v>2046</v>
      </c>
      <c r="G274" s="1643">
        <v>23702</v>
      </c>
      <c r="H274" s="1654"/>
      <c r="I274" s="1658"/>
      <c r="J274" s="1650">
        <v>32645</v>
      </c>
      <c r="K274" s="1643">
        <v>370663</v>
      </c>
      <c r="L274" s="1654"/>
      <c r="M274" s="1658"/>
      <c r="N274" s="1651">
        <v>8965.8799999999992</v>
      </c>
      <c r="O274" s="1672">
        <v>9638.83</v>
      </c>
      <c r="R274" s="431"/>
    </row>
    <row r="275" spans="1:18">
      <c r="A275" s="51">
        <f t="shared" si="1"/>
        <v>2016.02</v>
      </c>
      <c r="B275" s="50">
        <v>58831</v>
      </c>
      <c r="C275" s="1365">
        <v>37926</v>
      </c>
      <c r="D275" s="430">
        <v>20905</v>
      </c>
      <c r="E275" s="387">
        <v>802256</v>
      </c>
      <c r="F275" s="1650">
        <v>2063</v>
      </c>
      <c r="G275" s="1643">
        <v>23940</v>
      </c>
      <c r="H275" s="1654"/>
      <c r="I275" s="1658"/>
      <c r="J275" s="1650">
        <v>32838</v>
      </c>
      <c r="K275" s="1643">
        <v>369663</v>
      </c>
      <c r="L275" s="1654"/>
      <c r="M275" s="1658"/>
      <c r="N275" s="1651">
        <v>9112.3799999999992</v>
      </c>
      <c r="O275" s="1672">
        <v>9718.09</v>
      </c>
      <c r="R275" s="431"/>
    </row>
    <row r="276" spans="1:18">
      <c r="A276" s="51">
        <f t="shared" si="1"/>
        <v>2016.03</v>
      </c>
      <c r="B276" s="50">
        <v>66974</v>
      </c>
      <c r="C276" s="1365">
        <v>42146</v>
      </c>
      <c r="D276" s="430">
        <v>24828</v>
      </c>
      <c r="E276" s="387">
        <v>885244</v>
      </c>
      <c r="F276" s="1650">
        <v>2096</v>
      </c>
      <c r="G276" s="1643">
        <v>24297</v>
      </c>
      <c r="H276" s="1654"/>
      <c r="I276" s="1658"/>
      <c r="J276" s="1650">
        <v>33133</v>
      </c>
      <c r="K276" s="1643">
        <v>368942</v>
      </c>
      <c r="L276" s="1654"/>
      <c r="M276" s="1658"/>
      <c r="N276" s="1651">
        <v>9945.5</v>
      </c>
      <c r="O276" s="1672">
        <v>10276.719999999999</v>
      </c>
      <c r="R276" s="431"/>
    </row>
    <row r="277" spans="1:18">
      <c r="A277" s="51">
        <f t="shared" si="1"/>
        <v>2016.04</v>
      </c>
      <c r="B277" s="50">
        <v>45916</v>
      </c>
      <c r="C277" s="1365">
        <v>30231</v>
      </c>
      <c r="D277" s="430">
        <v>15685</v>
      </c>
      <c r="E277" s="387">
        <v>756858</v>
      </c>
      <c r="F277" s="1650">
        <v>2134</v>
      </c>
      <c r="G277" s="1643">
        <v>24580</v>
      </c>
      <c r="H277" s="1654"/>
      <c r="I277" s="1658"/>
      <c r="J277" s="1650">
        <v>32343</v>
      </c>
      <c r="K277" s="1643">
        <v>366650</v>
      </c>
      <c r="L277" s="1654"/>
      <c r="M277" s="1658"/>
      <c r="N277" s="1651">
        <v>10674.23</v>
      </c>
      <c r="O277" s="1672">
        <v>11408.84</v>
      </c>
      <c r="R277" s="431"/>
    </row>
    <row r="278" spans="1:18">
      <c r="A278" s="51">
        <f t="shared" si="1"/>
        <v>2016.05</v>
      </c>
      <c r="B278" s="50">
        <v>81687</v>
      </c>
      <c r="C278" s="1365">
        <v>52888</v>
      </c>
      <c r="D278" s="430">
        <v>28798</v>
      </c>
      <c r="E278" s="387">
        <v>881663</v>
      </c>
      <c r="F278" s="1650">
        <v>1731</v>
      </c>
      <c r="G278" s="1643">
        <v>19011</v>
      </c>
      <c r="H278" s="1654"/>
      <c r="I278" s="1658"/>
      <c r="J278" s="1650">
        <v>32806</v>
      </c>
      <c r="K278" s="1643">
        <v>367770</v>
      </c>
      <c r="L278" s="1654"/>
      <c r="M278" s="1658"/>
      <c r="N278" s="1651">
        <v>12121.32</v>
      </c>
      <c r="O278" s="1672">
        <v>12180.96</v>
      </c>
      <c r="R278" s="431"/>
    </row>
    <row r="279" spans="1:18">
      <c r="A279" s="51">
        <f t="shared" si="1"/>
        <v>2016.06</v>
      </c>
      <c r="B279" s="50">
        <v>76599</v>
      </c>
      <c r="C279" s="1365">
        <v>48658</v>
      </c>
      <c r="D279" s="430">
        <v>27940</v>
      </c>
      <c r="E279" s="387">
        <v>859427</v>
      </c>
      <c r="F279" s="1650">
        <v>1801</v>
      </c>
      <c r="G279" s="1643">
        <v>19970</v>
      </c>
      <c r="H279" s="1654"/>
      <c r="I279" s="1658"/>
      <c r="J279" s="1650">
        <v>32697</v>
      </c>
      <c r="K279" s="1643">
        <v>365970</v>
      </c>
      <c r="L279" s="1654"/>
      <c r="M279" s="1658"/>
      <c r="N279" s="1651">
        <v>16460.87</v>
      </c>
      <c r="O279" s="1672">
        <v>16830.61</v>
      </c>
      <c r="R279" s="431"/>
    </row>
    <row r="280" spans="1:18">
      <c r="A280" s="51">
        <f t="shared" si="1"/>
        <v>2016.07</v>
      </c>
      <c r="B280" s="50">
        <v>69318</v>
      </c>
      <c r="C280" s="1365">
        <v>44762</v>
      </c>
      <c r="D280" s="430">
        <v>24556</v>
      </c>
      <c r="E280" s="387">
        <v>848636</v>
      </c>
      <c r="F280" s="1650">
        <v>1858</v>
      </c>
      <c r="G280" s="1643">
        <v>20585</v>
      </c>
      <c r="H280" s="1654"/>
      <c r="I280" s="1658"/>
      <c r="J280" s="1650">
        <v>32920</v>
      </c>
      <c r="K280" s="1643">
        <v>365076</v>
      </c>
      <c r="L280" s="1654"/>
      <c r="M280" s="1658"/>
      <c r="N280" s="1651">
        <v>11667.58</v>
      </c>
      <c r="O280" s="1672">
        <v>11860.24</v>
      </c>
      <c r="R280" s="431"/>
    </row>
    <row r="281" spans="1:18">
      <c r="A281" s="51">
        <f t="shared" si="1"/>
        <v>2016.08</v>
      </c>
      <c r="B281" s="50">
        <v>93214</v>
      </c>
      <c r="C281" s="1365">
        <v>59552</v>
      </c>
      <c r="D281" s="430">
        <v>33662</v>
      </c>
      <c r="E281" s="387">
        <v>1044238</v>
      </c>
      <c r="F281" s="1650">
        <v>1914</v>
      </c>
      <c r="G281" s="1643">
        <v>21262</v>
      </c>
      <c r="H281" s="1654"/>
      <c r="I281" s="1658"/>
      <c r="J281" s="1650">
        <v>33227</v>
      </c>
      <c r="K281" s="1643">
        <v>371247</v>
      </c>
      <c r="L281" s="1654"/>
      <c r="M281" s="1658"/>
      <c r="N281" s="1651">
        <v>12308.69</v>
      </c>
      <c r="O281" s="1672">
        <v>12485.93</v>
      </c>
      <c r="R281" s="431"/>
    </row>
    <row r="282" spans="1:18">
      <c r="A282" s="51">
        <f t="shared" si="1"/>
        <v>2016.09</v>
      </c>
      <c r="B282" s="50">
        <v>86003</v>
      </c>
      <c r="C282" s="1365">
        <v>55192</v>
      </c>
      <c r="D282" s="430">
        <v>30811</v>
      </c>
      <c r="E282" s="387">
        <v>1001131</v>
      </c>
      <c r="F282" s="1650">
        <v>1951</v>
      </c>
      <c r="G282" s="1643">
        <v>21844</v>
      </c>
      <c r="H282" s="1654"/>
      <c r="I282" s="1658"/>
      <c r="J282" s="1650">
        <v>33604</v>
      </c>
      <c r="K282" s="1643">
        <v>374353</v>
      </c>
      <c r="L282" s="1654"/>
      <c r="M282" s="1658"/>
      <c r="N282" s="1651">
        <v>11702.13</v>
      </c>
      <c r="O282" s="1672">
        <v>12075.19</v>
      </c>
      <c r="R282" s="431"/>
    </row>
    <row r="283" spans="1:18">
      <c r="A283" s="51">
        <f t="shared" si="1"/>
        <v>2016.1</v>
      </c>
      <c r="B283" s="50">
        <v>71907</v>
      </c>
      <c r="C283" s="1365">
        <v>47188</v>
      </c>
      <c r="D283" s="430">
        <v>24719</v>
      </c>
      <c r="E283" s="387">
        <v>931619</v>
      </c>
      <c r="F283" s="1650">
        <v>1990</v>
      </c>
      <c r="G283" s="1643">
        <v>22355</v>
      </c>
      <c r="H283" s="1654"/>
      <c r="I283" s="1658"/>
      <c r="J283" s="1650">
        <v>34306</v>
      </c>
      <c r="K283" s="1643">
        <v>377081</v>
      </c>
      <c r="L283" s="1654"/>
      <c r="M283" s="1658"/>
      <c r="N283" s="1651">
        <v>12455.87</v>
      </c>
      <c r="O283" s="1672">
        <v>12863.9</v>
      </c>
      <c r="R283" s="431"/>
    </row>
    <row r="284" spans="1:18">
      <c r="A284" s="51">
        <f t="shared" si="1"/>
        <v>2016.11</v>
      </c>
      <c r="B284" s="50">
        <v>86403</v>
      </c>
      <c r="C284" s="1365">
        <v>52484</v>
      </c>
      <c r="D284" s="430">
        <v>33919</v>
      </c>
      <c r="E284" s="387">
        <v>1013083</v>
      </c>
      <c r="F284" s="1650">
        <v>2035</v>
      </c>
      <c r="G284" s="1643">
        <v>22862</v>
      </c>
      <c r="H284" s="1654"/>
      <c r="I284" s="1658"/>
      <c r="J284" s="1650">
        <v>35192</v>
      </c>
      <c r="K284" s="1643">
        <v>383778</v>
      </c>
      <c r="L284" s="1654"/>
      <c r="M284" s="1658"/>
      <c r="N284" s="1651">
        <v>13126.37</v>
      </c>
      <c r="O284" s="1672">
        <v>13430.22</v>
      </c>
      <c r="R284" s="431"/>
    </row>
    <row r="285" spans="1:18">
      <c r="A285" s="51">
        <f t="shared" si="1"/>
        <v>2016.12</v>
      </c>
      <c r="B285" s="50">
        <v>78455</v>
      </c>
      <c r="C285" s="1365">
        <v>48024</v>
      </c>
      <c r="D285" s="430">
        <v>30431</v>
      </c>
      <c r="E285" s="387">
        <v>940055</v>
      </c>
      <c r="F285" s="1650">
        <v>2055</v>
      </c>
      <c r="G285" s="1643">
        <v>23160</v>
      </c>
      <c r="H285" s="1654"/>
      <c r="I285" s="1658"/>
      <c r="J285" s="1650">
        <v>34799</v>
      </c>
      <c r="K285" s="1643">
        <v>373583</v>
      </c>
      <c r="L285" s="1654"/>
      <c r="M285" s="1658"/>
      <c r="N285" s="1651">
        <v>18279.8</v>
      </c>
      <c r="O285" s="1672">
        <v>19205.98</v>
      </c>
      <c r="R285" s="431"/>
    </row>
    <row r="286" spans="1:18">
      <c r="A286" s="51">
        <f t="shared" si="1"/>
        <v>2017.01</v>
      </c>
      <c r="B286" s="50">
        <v>68635</v>
      </c>
      <c r="C286" s="1365">
        <v>43360</v>
      </c>
      <c r="D286" s="430">
        <v>25275</v>
      </c>
      <c r="E286" s="387">
        <v>873775</v>
      </c>
      <c r="F286" s="1650">
        <v>2073</v>
      </c>
      <c r="G286" s="1643">
        <v>23505</v>
      </c>
      <c r="H286" s="1654"/>
      <c r="I286" s="1658"/>
      <c r="J286" s="1650">
        <v>35690</v>
      </c>
      <c r="K286" s="1643">
        <v>374115</v>
      </c>
      <c r="L286" s="1654"/>
      <c r="M286" s="1658"/>
      <c r="N286" s="1651">
        <v>13318.5</v>
      </c>
      <c r="O286" s="1672">
        <v>14048.2</v>
      </c>
      <c r="R286" s="431"/>
    </row>
    <row r="287" spans="1:18">
      <c r="A287" s="51">
        <f t="shared" si="1"/>
        <v>2017.02</v>
      </c>
      <c r="B287" s="50">
        <v>69053</v>
      </c>
      <c r="C287" s="1365">
        <v>40526</v>
      </c>
      <c r="D287" s="430">
        <v>28527</v>
      </c>
      <c r="E287" s="387">
        <v>799340</v>
      </c>
      <c r="F287" s="1650">
        <v>2108</v>
      </c>
      <c r="G287" s="1643">
        <v>23773</v>
      </c>
      <c r="H287" s="1654"/>
      <c r="I287" s="1658"/>
      <c r="J287" s="1650">
        <v>36387</v>
      </c>
      <c r="K287" s="1643">
        <v>380908</v>
      </c>
      <c r="L287" s="1654"/>
      <c r="M287" s="1658"/>
      <c r="N287" s="1651">
        <v>12834.22</v>
      </c>
      <c r="O287" s="1672">
        <v>13430.07</v>
      </c>
      <c r="R287" s="431"/>
    </row>
    <row r="288" spans="1:18">
      <c r="A288" s="51">
        <f t="shared" si="1"/>
        <v>2017.03</v>
      </c>
      <c r="B288" s="50">
        <v>84278</v>
      </c>
      <c r="C288" s="1365">
        <v>49155</v>
      </c>
      <c r="D288" s="430">
        <v>35123</v>
      </c>
      <c r="E288" s="387">
        <v>1027094</v>
      </c>
      <c r="F288" s="1650">
        <v>2139</v>
      </c>
      <c r="G288" s="1643">
        <v>24097</v>
      </c>
      <c r="H288" s="1654"/>
      <c r="I288" s="1658"/>
      <c r="J288" s="1650">
        <v>37419</v>
      </c>
      <c r="K288" s="1643">
        <v>395268</v>
      </c>
      <c r="L288" s="1654"/>
      <c r="M288" s="1658"/>
      <c r="N288" s="1651">
        <v>14019.48</v>
      </c>
      <c r="O288" s="1672">
        <v>14638.33</v>
      </c>
      <c r="R288" s="431"/>
    </row>
    <row r="289" spans="1:18">
      <c r="A289" s="51">
        <f t="shared" si="1"/>
        <v>2017.04</v>
      </c>
      <c r="B289" s="50">
        <v>71033</v>
      </c>
      <c r="C289" s="1365">
        <v>41476</v>
      </c>
      <c r="D289" s="430">
        <v>29557</v>
      </c>
      <c r="E289" s="387">
        <v>844324</v>
      </c>
      <c r="F289" s="1650">
        <v>2150</v>
      </c>
      <c r="G289" s="1643">
        <v>24285</v>
      </c>
      <c r="H289" s="1654"/>
      <c r="I289" s="1658"/>
      <c r="J289" s="1650">
        <v>36739</v>
      </c>
      <c r="K289" s="1643">
        <v>393777</v>
      </c>
      <c r="L289" s="1654"/>
      <c r="M289" s="1658"/>
      <c r="N289" s="1651">
        <v>13524.5</v>
      </c>
      <c r="O289" s="1672">
        <v>13984.59</v>
      </c>
      <c r="R289" s="431"/>
    </row>
    <row r="290" spans="1:18">
      <c r="A290" s="51">
        <f t="shared" si="1"/>
        <v>2017.05</v>
      </c>
      <c r="B290" s="50">
        <v>84586</v>
      </c>
      <c r="C290" s="1365">
        <v>48678</v>
      </c>
      <c r="D290" s="430">
        <v>35908</v>
      </c>
      <c r="E290" s="387">
        <v>967718</v>
      </c>
      <c r="F290" s="1650">
        <v>1772</v>
      </c>
      <c r="G290" s="1643">
        <v>19037</v>
      </c>
      <c r="H290" s="1654"/>
      <c r="I290" s="1658"/>
      <c r="J290" s="1650">
        <v>37307</v>
      </c>
      <c r="K290" s="1643">
        <v>403015</v>
      </c>
      <c r="L290" s="1654"/>
      <c r="M290" s="1658"/>
      <c r="N290" s="1651">
        <v>15970.88</v>
      </c>
      <c r="O290" s="1672">
        <v>16721.18</v>
      </c>
      <c r="R290" s="431"/>
    </row>
    <row r="291" spans="1:18">
      <c r="A291" s="51">
        <f t="shared" si="1"/>
        <v>2017.06</v>
      </c>
      <c r="B291" s="50">
        <v>87178</v>
      </c>
      <c r="C291" s="1365">
        <v>50558</v>
      </c>
      <c r="D291" s="430">
        <v>36620</v>
      </c>
      <c r="E291" s="387">
        <v>1006666</v>
      </c>
      <c r="F291" s="1650">
        <v>1842</v>
      </c>
      <c r="G291" s="1643">
        <v>19980</v>
      </c>
      <c r="H291" s="1654"/>
      <c r="I291" s="1658"/>
      <c r="J291" s="1650">
        <v>37224</v>
      </c>
      <c r="K291" s="1643">
        <v>408945</v>
      </c>
      <c r="L291" s="1654"/>
      <c r="M291" s="1658"/>
      <c r="N291" s="1651">
        <v>20751.189999999999</v>
      </c>
      <c r="O291" s="1672">
        <v>22305.39</v>
      </c>
      <c r="R291" s="431"/>
    </row>
    <row r="292" spans="1:18">
      <c r="A292" s="51">
        <f t="shared" si="1"/>
        <v>2017.07</v>
      </c>
      <c r="B292" s="50">
        <v>81449</v>
      </c>
      <c r="C292" s="1365">
        <v>48020</v>
      </c>
      <c r="D292" s="430">
        <v>33429</v>
      </c>
      <c r="E292" s="387">
        <v>1016589</v>
      </c>
      <c r="F292" s="1650">
        <v>1902</v>
      </c>
      <c r="G292" s="1643">
        <v>20657</v>
      </c>
      <c r="H292" s="1654"/>
      <c r="I292" s="1658"/>
      <c r="J292" s="1650">
        <v>37142</v>
      </c>
      <c r="K292" s="1643">
        <v>410316</v>
      </c>
      <c r="L292" s="1654"/>
      <c r="M292" s="1658"/>
      <c r="N292" s="1651">
        <v>15676</v>
      </c>
      <c r="O292" s="1672">
        <v>16886.599999999999</v>
      </c>
      <c r="R292" s="431"/>
    </row>
    <row r="293" spans="1:18">
      <c r="A293" s="51">
        <f t="shared" si="1"/>
        <v>2017.08</v>
      </c>
      <c r="B293" s="50">
        <v>94575</v>
      </c>
      <c r="C293" s="1365">
        <v>56346</v>
      </c>
      <c r="D293" s="430">
        <v>38229</v>
      </c>
      <c r="E293" s="387">
        <v>1122059</v>
      </c>
      <c r="F293" s="1650">
        <v>1954</v>
      </c>
      <c r="G293" s="1643">
        <v>21349</v>
      </c>
      <c r="H293" s="1654"/>
      <c r="I293" s="1658"/>
      <c r="J293" s="1650">
        <v>37496</v>
      </c>
      <c r="K293" s="1643">
        <v>417586</v>
      </c>
      <c r="L293" s="1654"/>
      <c r="M293" s="1658"/>
      <c r="N293" s="1651">
        <v>16172.98</v>
      </c>
      <c r="O293" s="1672">
        <v>17291.47</v>
      </c>
      <c r="R293" s="431"/>
    </row>
    <row r="294" spans="1:18">
      <c r="A294" s="51">
        <f t="shared" si="1"/>
        <v>2017.09</v>
      </c>
      <c r="B294" s="50">
        <v>93701</v>
      </c>
      <c r="C294" s="1365">
        <v>56556</v>
      </c>
      <c r="D294" s="430">
        <v>37145</v>
      </c>
      <c r="E294" s="387">
        <v>1131545</v>
      </c>
      <c r="F294" s="1650">
        <v>2007</v>
      </c>
      <c r="G294" s="1643">
        <v>22051</v>
      </c>
      <c r="H294" s="1654"/>
      <c r="I294" s="1658"/>
      <c r="J294" s="1650">
        <v>38242</v>
      </c>
      <c r="K294" s="1643">
        <v>422929</v>
      </c>
      <c r="L294" s="1654"/>
      <c r="M294" s="1658"/>
      <c r="N294" s="1651">
        <v>15470.69</v>
      </c>
      <c r="O294" s="1672">
        <v>16734.45</v>
      </c>
      <c r="R294" s="431"/>
    </row>
    <row r="295" spans="1:18">
      <c r="A295" s="51">
        <f t="shared" si="1"/>
        <v>2017.1</v>
      </c>
      <c r="B295" s="50">
        <v>94644</v>
      </c>
      <c r="C295" s="1365">
        <v>56874</v>
      </c>
      <c r="D295" s="430">
        <v>37770</v>
      </c>
      <c r="E295" s="387">
        <v>1150794</v>
      </c>
      <c r="F295" s="1650">
        <v>2052</v>
      </c>
      <c r="G295" s="1643">
        <v>22588</v>
      </c>
      <c r="H295" s="1654"/>
      <c r="I295" s="1658"/>
      <c r="J295" s="1650">
        <v>39082</v>
      </c>
      <c r="K295" s="1643">
        <v>428940</v>
      </c>
      <c r="L295" s="1654"/>
      <c r="M295" s="1658"/>
      <c r="N295" s="1651">
        <v>16414.990000000002</v>
      </c>
      <c r="O295" s="1672">
        <v>17409.16</v>
      </c>
      <c r="R295" s="431"/>
    </row>
    <row r="296" spans="1:18">
      <c r="A296" s="51">
        <f t="shared" si="1"/>
        <v>2017.11</v>
      </c>
      <c r="B296" s="50">
        <v>96011</v>
      </c>
      <c r="C296" s="1365">
        <v>55776</v>
      </c>
      <c r="D296" s="430">
        <v>40235</v>
      </c>
      <c r="E296" s="387">
        <v>1179763</v>
      </c>
      <c r="F296" s="1650">
        <v>2088</v>
      </c>
      <c r="G296" s="1643">
        <v>23101</v>
      </c>
      <c r="H296" s="1654"/>
      <c r="I296" s="1658"/>
      <c r="J296" s="1650">
        <v>40187</v>
      </c>
      <c r="K296" s="1643">
        <v>432814</v>
      </c>
      <c r="L296" s="1654"/>
      <c r="M296" s="1658"/>
      <c r="N296" s="1651">
        <v>16710.78</v>
      </c>
      <c r="O296" s="1672">
        <v>17682.63</v>
      </c>
      <c r="R296" s="431"/>
    </row>
    <row r="297" spans="1:18">
      <c r="A297" s="51">
        <f t="shared" si="1"/>
        <v>2017.12</v>
      </c>
      <c r="B297" s="50">
        <v>87217</v>
      </c>
      <c r="C297" s="1365">
        <v>48112</v>
      </c>
      <c r="D297" s="430">
        <v>39105</v>
      </c>
      <c r="E297" s="387">
        <v>1004298</v>
      </c>
      <c r="F297" s="1650">
        <v>2115</v>
      </c>
      <c r="G297" s="1643">
        <v>23436</v>
      </c>
      <c r="H297" s="1654"/>
      <c r="I297" s="1658"/>
      <c r="J297" s="1650">
        <v>38679</v>
      </c>
      <c r="K297" s="1643">
        <v>418242</v>
      </c>
      <c r="L297" s="1654"/>
      <c r="M297" s="1658"/>
      <c r="N297" s="1651">
        <v>22421.41</v>
      </c>
      <c r="O297" s="1672">
        <v>24753.45</v>
      </c>
      <c r="R297" s="431"/>
    </row>
    <row r="298" spans="1:18">
      <c r="A298" s="51">
        <f t="shared" si="1"/>
        <v>2018.01</v>
      </c>
      <c r="B298" s="50">
        <v>96168</v>
      </c>
      <c r="C298" s="1365">
        <v>57995</v>
      </c>
      <c r="D298" s="430">
        <v>38173</v>
      </c>
      <c r="E298" s="387">
        <v>1043732</v>
      </c>
      <c r="F298" s="1650">
        <v>2148</v>
      </c>
      <c r="G298" s="1643">
        <v>23776</v>
      </c>
      <c r="H298" s="1654"/>
      <c r="I298" s="1658"/>
      <c r="J298" s="1650">
        <v>38919</v>
      </c>
      <c r="K298" s="1643">
        <v>415290</v>
      </c>
      <c r="L298" s="1654"/>
      <c r="M298" s="1658"/>
      <c r="N298" s="1651">
        <v>16376.46</v>
      </c>
      <c r="O298" s="1672">
        <v>17681.23</v>
      </c>
      <c r="R298" s="431"/>
    </row>
    <row r="299" spans="1:18">
      <c r="A299" s="51">
        <f t="shared" si="1"/>
        <v>2018.02</v>
      </c>
      <c r="B299" s="50">
        <v>84353</v>
      </c>
      <c r="C299" s="1365">
        <v>45578</v>
      </c>
      <c r="D299" s="430">
        <v>38775</v>
      </c>
      <c r="E299" s="387">
        <v>924085</v>
      </c>
      <c r="F299" s="1650">
        <v>2176</v>
      </c>
      <c r="G299" s="1643">
        <v>24043</v>
      </c>
      <c r="H299" s="1654"/>
      <c r="I299" s="1658"/>
      <c r="J299" s="1650">
        <v>38865</v>
      </c>
      <c r="K299" s="1643">
        <v>416852</v>
      </c>
      <c r="L299" s="1654"/>
      <c r="M299" s="1658"/>
      <c r="N299" s="1651">
        <v>15505.17</v>
      </c>
      <c r="O299" s="1672">
        <v>17028.96</v>
      </c>
      <c r="R299" s="431"/>
    </row>
    <row r="300" spans="1:18">
      <c r="A300" s="51">
        <f t="shared" si="1"/>
        <v>2018.03</v>
      </c>
      <c r="B300" s="50">
        <v>96892</v>
      </c>
      <c r="C300" s="1365">
        <v>52842</v>
      </c>
      <c r="D300" s="430">
        <v>44050</v>
      </c>
      <c r="E300" s="387">
        <v>1091122</v>
      </c>
      <c r="F300" s="1650">
        <v>2206</v>
      </c>
      <c r="G300" s="1643">
        <v>24385</v>
      </c>
      <c r="H300" s="1654"/>
      <c r="I300" s="1658"/>
      <c r="J300" s="1650">
        <v>39178</v>
      </c>
      <c r="K300" s="1643">
        <v>426446</v>
      </c>
      <c r="L300" s="1654"/>
      <c r="M300" s="1658"/>
      <c r="N300" s="1651">
        <v>17296.8</v>
      </c>
      <c r="O300" s="1672">
        <v>18809.22</v>
      </c>
      <c r="R300" s="431"/>
    </row>
    <row r="301" spans="1:18">
      <c r="A301" s="51">
        <f t="shared" si="1"/>
        <v>2018.04</v>
      </c>
      <c r="B301" s="50">
        <v>77739</v>
      </c>
      <c r="C301" s="1365">
        <v>46934</v>
      </c>
      <c r="D301" s="430">
        <v>30805</v>
      </c>
      <c r="E301" s="387">
        <v>958184</v>
      </c>
      <c r="F301" s="1650">
        <v>2211</v>
      </c>
      <c r="G301" s="1643">
        <v>24691</v>
      </c>
      <c r="H301" s="1654"/>
      <c r="I301" s="1658"/>
      <c r="J301" s="1650">
        <v>38421</v>
      </c>
      <c r="K301" s="1643">
        <v>426114</v>
      </c>
      <c r="L301" s="1654"/>
      <c r="M301" s="1658"/>
      <c r="N301" s="1651">
        <v>17850.400000000001</v>
      </c>
      <c r="O301" s="1672">
        <v>19296.060000000001</v>
      </c>
      <c r="R301" s="431"/>
    </row>
    <row r="302" spans="1:18">
      <c r="A302" s="51">
        <f t="shared" si="1"/>
        <v>2018.05</v>
      </c>
      <c r="B302" s="50">
        <v>71144</v>
      </c>
      <c r="C302" s="1365">
        <v>41492</v>
      </c>
      <c r="D302" s="430">
        <v>29652</v>
      </c>
      <c r="E302" s="387">
        <v>924765</v>
      </c>
      <c r="F302" s="1650">
        <v>1802</v>
      </c>
      <c r="G302" s="1643">
        <v>19072</v>
      </c>
      <c r="H302" s="1654"/>
      <c r="I302" s="1658"/>
      <c r="J302" s="1650">
        <v>38341</v>
      </c>
      <c r="K302" s="1643">
        <v>425787</v>
      </c>
      <c r="L302" s="1654"/>
      <c r="M302" s="1658"/>
      <c r="N302" s="1651">
        <v>18302.990000000002</v>
      </c>
      <c r="O302" s="1672">
        <v>20080.23</v>
      </c>
      <c r="R302" s="431"/>
    </row>
    <row r="303" spans="1:18">
      <c r="A303" s="51">
        <f t="shared" si="1"/>
        <v>2018.06</v>
      </c>
      <c r="B303" s="50">
        <v>90463</v>
      </c>
      <c r="C303" s="1365">
        <v>51008</v>
      </c>
      <c r="D303" s="430">
        <v>39455</v>
      </c>
      <c r="E303" s="387">
        <v>970895</v>
      </c>
      <c r="F303" s="1650">
        <v>1871</v>
      </c>
      <c r="G303" s="1643">
        <v>19969</v>
      </c>
      <c r="H303" s="1654"/>
      <c r="I303" s="1658"/>
      <c r="J303" s="1650">
        <v>38398</v>
      </c>
      <c r="K303" s="1643">
        <v>420353</v>
      </c>
      <c r="L303" s="1654"/>
      <c r="M303" s="1658"/>
      <c r="N303" s="1651">
        <v>25381.7</v>
      </c>
      <c r="O303" s="1672">
        <v>27511.16</v>
      </c>
      <c r="R303" s="431"/>
    </row>
    <row r="304" spans="1:18">
      <c r="A304" s="51">
        <f t="shared" si="1"/>
        <v>2018.07</v>
      </c>
      <c r="B304" s="50">
        <v>82106</v>
      </c>
      <c r="C304" s="1365">
        <v>42791</v>
      </c>
      <c r="D304" s="430">
        <v>39316</v>
      </c>
      <c r="E304" s="387">
        <v>952280</v>
      </c>
      <c r="F304" s="1650">
        <v>1926</v>
      </c>
      <c r="G304" s="1643">
        <v>20679</v>
      </c>
      <c r="H304" s="1654"/>
      <c r="I304" s="1658"/>
      <c r="J304" s="1650">
        <v>38631</v>
      </c>
      <c r="K304" s="1643">
        <v>418562</v>
      </c>
      <c r="L304" s="1654"/>
      <c r="M304" s="1658"/>
      <c r="N304" s="1651">
        <v>17945.43</v>
      </c>
      <c r="O304" s="1672">
        <v>19700.150000000001</v>
      </c>
      <c r="R304" s="431"/>
    </row>
    <row r="305" spans="1:18">
      <c r="A305" s="51">
        <f t="shared" si="1"/>
        <v>2018.08</v>
      </c>
      <c r="B305" s="50">
        <v>97057</v>
      </c>
      <c r="C305" s="1365">
        <v>55065</v>
      </c>
      <c r="D305" s="430">
        <v>41992</v>
      </c>
      <c r="E305" s="387">
        <v>1115347</v>
      </c>
      <c r="F305" s="1650">
        <v>1970</v>
      </c>
      <c r="G305" s="1643">
        <v>21330</v>
      </c>
      <c r="H305" s="1654"/>
      <c r="I305" s="1658"/>
      <c r="J305" s="1650">
        <v>39189</v>
      </c>
      <c r="K305" s="1643">
        <v>421089</v>
      </c>
      <c r="L305" s="1654"/>
      <c r="M305" s="1658"/>
      <c r="N305" s="1651">
        <v>19442.919999999998</v>
      </c>
      <c r="O305" s="1672">
        <v>21384.52</v>
      </c>
      <c r="P305" s="426" t="s">
        <v>74</v>
      </c>
      <c r="R305" s="431"/>
    </row>
    <row r="306" spans="1:18">
      <c r="A306" s="51">
        <f t="shared" si="1"/>
        <v>2018.09</v>
      </c>
      <c r="B306" s="50">
        <v>83623</v>
      </c>
      <c r="C306" s="1365">
        <v>47134</v>
      </c>
      <c r="D306" s="430">
        <v>36489</v>
      </c>
      <c r="E306" s="387">
        <v>1011872</v>
      </c>
      <c r="F306" s="1650">
        <v>2012</v>
      </c>
      <c r="G306" s="1643">
        <v>21831</v>
      </c>
      <c r="H306" s="1654"/>
      <c r="I306" s="1658"/>
      <c r="J306" s="1650">
        <v>39142</v>
      </c>
      <c r="K306" s="1643">
        <v>415503</v>
      </c>
      <c r="L306" s="1654"/>
      <c r="M306" s="1658"/>
      <c r="N306" s="1651">
        <v>18312.71</v>
      </c>
      <c r="O306" s="1672">
        <v>20140.53</v>
      </c>
      <c r="R306" s="431"/>
    </row>
    <row r="307" spans="1:18">
      <c r="A307" s="51">
        <f t="shared" ref="A307:A370" si="2">A295+1</f>
        <v>2018.1</v>
      </c>
      <c r="B307" s="50">
        <v>80867</v>
      </c>
      <c r="C307" s="1365">
        <v>46512</v>
      </c>
      <c r="D307" s="430">
        <v>34355</v>
      </c>
      <c r="E307" s="387">
        <v>1040317</v>
      </c>
      <c r="F307" s="1650">
        <v>2046</v>
      </c>
      <c r="G307" s="1643">
        <v>22423</v>
      </c>
      <c r="H307" s="1654"/>
      <c r="I307" s="1658"/>
      <c r="J307" s="1650">
        <v>39529</v>
      </c>
      <c r="K307" s="1643">
        <v>417090</v>
      </c>
      <c r="L307" s="1654"/>
      <c r="M307" s="1658"/>
      <c r="N307" s="1651">
        <v>20169.990000000002</v>
      </c>
      <c r="O307" s="1672">
        <v>22321.59</v>
      </c>
      <c r="R307" s="431"/>
    </row>
    <row r="308" spans="1:18">
      <c r="A308" s="51">
        <f t="shared" si="2"/>
        <v>2018.11</v>
      </c>
      <c r="B308" s="50">
        <v>71863</v>
      </c>
      <c r="C308" s="1365">
        <v>41092</v>
      </c>
      <c r="D308" s="430">
        <v>30771</v>
      </c>
      <c r="E308" s="387">
        <v>970181</v>
      </c>
      <c r="F308" s="1650">
        <v>2086</v>
      </c>
      <c r="G308" s="1643">
        <v>22841</v>
      </c>
      <c r="H308" s="1654"/>
      <c r="I308" s="1658"/>
      <c r="J308" s="1650">
        <v>39706</v>
      </c>
      <c r="K308" s="1643">
        <v>412596</v>
      </c>
      <c r="L308" s="1654"/>
      <c r="M308" s="1658"/>
      <c r="N308" s="1651">
        <v>20323.41</v>
      </c>
      <c r="O308" s="1672">
        <v>22393.040000000001</v>
      </c>
      <c r="R308" s="431"/>
    </row>
    <row r="309" spans="1:18">
      <c r="A309" s="51">
        <f t="shared" si="2"/>
        <v>2018.12</v>
      </c>
      <c r="B309" s="50">
        <v>65394</v>
      </c>
      <c r="C309" s="1365">
        <v>36678</v>
      </c>
      <c r="D309" s="430">
        <v>28716</v>
      </c>
      <c r="E309" s="387">
        <v>808887</v>
      </c>
      <c r="F309" s="1650">
        <v>2108</v>
      </c>
      <c r="G309" s="1643">
        <v>23187</v>
      </c>
      <c r="H309" s="1654"/>
      <c r="I309" s="1658"/>
      <c r="J309" s="1650">
        <v>39120</v>
      </c>
      <c r="K309" s="1643">
        <v>401316</v>
      </c>
      <c r="L309" s="1654"/>
      <c r="M309" s="1658"/>
      <c r="N309" s="1651">
        <v>29770.400000000001</v>
      </c>
      <c r="O309" s="1672">
        <v>32773.370000000003</v>
      </c>
      <c r="R309" s="431"/>
    </row>
    <row r="310" spans="1:18">
      <c r="A310" s="51">
        <f t="shared" si="2"/>
        <v>2019.01</v>
      </c>
      <c r="B310" s="50">
        <v>64413</v>
      </c>
      <c r="C310" s="1365">
        <v>38576</v>
      </c>
      <c r="D310" s="430">
        <v>25837</v>
      </c>
      <c r="E310" s="387">
        <v>873987</v>
      </c>
      <c r="F310" s="1650">
        <v>2141</v>
      </c>
      <c r="G310" s="1643">
        <v>23533</v>
      </c>
      <c r="H310" s="1654"/>
      <c r="I310" s="1658"/>
      <c r="J310" s="1650">
        <v>40225</v>
      </c>
      <c r="K310" s="1643">
        <v>404846</v>
      </c>
      <c r="L310" s="1654"/>
      <c r="M310" s="1658"/>
      <c r="N310" s="1651">
        <v>22001.06</v>
      </c>
      <c r="O310" s="1672">
        <v>24261.98</v>
      </c>
      <c r="R310" s="431"/>
    </row>
    <row r="311" spans="1:18">
      <c r="A311" s="51">
        <f t="shared" si="2"/>
        <v>2019.02</v>
      </c>
      <c r="B311" s="50">
        <v>75841</v>
      </c>
      <c r="C311" s="1365">
        <v>42860</v>
      </c>
      <c r="D311" s="430">
        <v>32981</v>
      </c>
      <c r="E311" s="387">
        <v>921087</v>
      </c>
      <c r="F311" s="1650">
        <v>2156</v>
      </c>
      <c r="G311" s="1643">
        <v>23778</v>
      </c>
      <c r="H311" s="1654"/>
      <c r="I311" s="1658"/>
      <c r="J311" s="1650">
        <v>40719</v>
      </c>
      <c r="K311" s="1643">
        <v>414575</v>
      </c>
      <c r="L311" s="1654"/>
      <c r="M311" s="1658"/>
      <c r="N311" s="1651">
        <v>21582.11</v>
      </c>
      <c r="O311" s="1672">
        <v>23422.32</v>
      </c>
      <c r="R311" s="431"/>
    </row>
    <row r="312" spans="1:18">
      <c r="A312" s="51">
        <f t="shared" si="2"/>
        <v>2019.03</v>
      </c>
      <c r="B312" s="50">
        <v>77642</v>
      </c>
      <c r="C312" s="1365">
        <v>44357</v>
      </c>
      <c r="D312" s="430">
        <v>33285</v>
      </c>
      <c r="E312" s="387">
        <v>940167</v>
      </c>
      <c r="F312" s="1650">
        <v>2178</v>
      </c>
      <c r="G312" s="1643">
        <v>24084</v>
      </c>
      <c r="H312" s="1654"/>
      <c r="I312" s="1658"/>
      <c r="J312" s="1650">
        <v>40540</v>
      </c>
      <c r="K312" s="180">
        <v>419809</v>
      </c>
      <c r="L312" s="1654"/>
      <c r="M312" s="1658"/>
      <c r="N312" s="1651">
        <v>24119.09</v>
      </c>
      <c r="O312" s="1322">
        <v>25982.03</v>
      </c>
      <c r="R312" s="431"/>
    </row>
    <row r="313" spans="1:18">
      <c r="A313" s="51">
        <f t="shared" si="2"/>
        <v>2019.04</v>
      </c>
      <c r="B313" s="50">
        <v>69249</v>
      </c>
      <c r="C313" s="1365">
        <v>37694</v>
      </c>
      <c r="D313" s="430">
        <v>31554</v>
      </c>
      <c r="E313" s="387">
        <v>900938</v>
      </c>
      <c r="F313" s="1650">
        <v>2172</v>
      </c>
      <c r="G313" s="1643">
        <v>24292</v>
      </c>
      <c r="H313" s="1654"/>
      <c r="I313" s="1658"/>
      <c r="J313" s="1650">
        <v>39281</v>
      </c>
      <c r="K313" s="1643">
        <v>417728</v>
      </c>
      <c r="L313" s="1654"/>
      <c r="M313" s="1658"/>
      <c r="N313" s="1651">
        <v>23553.74</v>
      </c>
      <c r="O313" s="1322">
        <v>26282.48</v>
      </c>
      <c r="R313" s="431"/>
    </row>
    <row r="314" spans="1:18">
      <c r="A314" s="51">
        <f t="shared" si="2"/>
        <v>2019.05</v>
      </c>
      <c r="B314" s="50">
        <v>76813</v>
      </c>
      <c r="C314" s="1365">
        <v>39986</v>
      </c>
      <c r="D314" s="430">
        <v>36827</v>
      </c>
      <c r="E314" s="387">
        <v>964733</v>
      </c>
      <c r="F314" s="1650">
        <v>1764</v>
      </c>
      <c r="G314" s="1643">
        <v>19332</v>
      </c>
      <c r="H314" s="1654"/>
      <c r="I314" s="1658"/>
      <c r="J314" s="1650">
        <v>39295</v>
      </c>
      <c r="K314" s="1643">
        <v>417391</v>
      </c>
      <c r="L314" s="1654"/>
      <c r="M314" s="1658"/>
      <c r="N314" s="1651">
        <v>28652.26</v>
      </c>
      <c r="O314" s="1322">
        <v>30933.21</v>
      </c>
      <c r="R314" s="431"/>
    </row>
    <row r="315" spans="1:18">
      <c r="A315" s="51">
        <f t="shared" si="2"/>
        <v>2019.06</v>
      </c>
      <c r="B315" s="50">
        <v>73178</v>
      </c>
      <c r="C315" s="1365">
        <v>38704</v>
      </c>
      <c r="D315" s="430">
        <v>34474</v>
      </c>
      <c r="E315" s="387">
        <v>860652</v>
      </c>
      <c r="F315" s="1650">
        <v>1823</v>
      </c>
      <c r="G315" s="1643">
        <v>20075</v>
      </c>
      <c r="H315" s="1654"/>
      <c r="I315" s="1658"/>
      <c r="J315" s="1650">
        <v>38919</v>
      </c>
      <c r="K315" s="1643">
        <v>411178</v>
      </c>
      <c r="L315" s="1654"/>
      <c r="M315" s="1658"/>
      <c r="N315" s="1665">
        <v>37236.519999999997</v>
      </c>
      <c r="O315" s="1671">
        <v>40703.69</v>
      </c>
      <c r="R315" s="431"/>
    </row>
    <row r="316" spans="1:18">
      <c r="A316" s="51">
        <f t="shared" si="2"/>
        <v>2019.07</v>
      </c>
      <c r="B316" s="50">
        <v>81076</v>
      </c>
      <c r="C316" s="1365">
        <v>44374</v>
      </c>
      <c r="D316" s="430">
        <v>36702</v>
      </c>
      <c r="E316" s="387">
        <v>1000469</v>
      </c>
      <c r="F316" s="1650">
        <v>1874</v>
      </c>
      <c r="G316" s="1643">
        <v>20665</v>
      </c>
      <c r="H316" s="1654"/>
      <c r="I316" s="1658"/>
      <c r="J316" s="1650">
        <v>38712</v>
      </c>
      <c r="K316" s="1643">
        <v>408630</v>
      </c>
      <c r="L316" s="1654"/>
      <c r="M316" s="1658"/>
      <c r="N316" s="1665">
        <v>28100.48</v>
      </c>
      <c r="O316" s="1671">
        <v>30627.77</v>
      </c>
      <c r="R316" s="431"/>
    </row>
    <row r="317" spans="1:18">
      <c r="A317" s="51">
        <f t="shared" si="2"/>
        <v>2019.08</v>
      </c>
      <c r="B317" s="50">
        <v>84089</v>
      </c>
      <c r="C317" s="1365">
        <v>45765</v>
      </c>
      <c r="D317" s="430">
        <v>38324</v>
      </c>
      <c r="E317" s="387">
        <v>1048460</v>
      </c>
      <c r="F317" s="1650">
        <v>1932</v>
      </c>
      <c r="G317" s="1643">
        <v>21265</v>
      </c>
      <c r="H317" s="1654"/>
      <c r="I317" s="1658"/>
      <c r="J317" s="2279">
        <v>38142</v>
      </c>
      <c r="K317" s="2278">
        <v>406166</v>
      </c>
      <c r="L317" s="1654"/>
      <c r="M317" s="1658"/>
      <c r="N317" s="1665">
        <v>29461.42</v>
      </c>
      <c r="O317" s="1671">
        <v>32652.1</v>
      </c>
      <c r="R317" s="431"/>
    </row>
    <row r="318" spans="1:18">
      <c r="A318" s="51">
        <f t="shared" si="2"/>
        <v>2019.09</v>
      </c>
      <c r="B318" s="50">
        <v>70532</v>
      </c>
      <c r="C318" s="1365">
        <v>39347</v>
      </c>
      <c r="D318" s="430">
        <v>31185</v>
      </c>
      <c r="E318" s="387">
        <v>938994</v>
      </c>
      <c r="F318" s="1650">
        <v>1967</v>
      </c>
      <c r="G318" s="1643">
        <v>21722</v>
      </c>
      <c r="H318" s="1654"/>
      <c r="I318" s="1658"/>
      <c r="J318" s="2279">
        <v>37187</v>
      </c>
      <c r="K318" s="2278">
        <v>397065</v>
      </c>
      <c r="L318" s="1654"/>
      <c r="M318" s="1658"/>
      <c r="N318" s="1651">
        <v>28067.73</v>
      </c>
      <c r="O318" s="1672">
        <v>30864.46</v>
      </c>
      <c r="P318" s="1651"/>
      <c r="R318" s="431"/>
    </row>
    <row r="319" spans="1:18">
      <c r="A319" s="51">
        <f t="shared" si="2"/>
        <v>2019.1</v>
      </c>
      <c r="B319" s="50">
        <v>69144</v>
      </c>
      <c r="C319" s="1365">
        <v>41760</v>
      </c>
      <c r="D319" s="430">
        <v>27384</v>
      </c>
      <c r="E319" s="387">
        <v>948931</v>
      </c>
      <c r="F319" s="1650">
        <v>2008</v>
      </c>
      <c r="G319" s="1643">
        <v>22228</v>
      </c>
      <c r="H319" s="1654"/>
      <c r="I319" s="1658"/>
      <c r="J319" s="1650">
        <v>36450</v>
      </c>
      <c r="K319" s="1643">
        <v>388164</v>
      </c>
      <c r="L319" s="1654"/>
      <c r="M319" s="1658"/>
      <c r="N319" s="1651">
        <v>31032.91</v>
      </c>
      <c r="O319" s="1672">
        <v>34316.199999999997</v>
      </c>
      <c r="R319" s="431"/>
    </row>
    <row r="320" spans="1:18">
      <c r="A320" s="51">
        <f t="shared" si="2"/>
        <v>2019.11</v>
      </c>
      <c r="B320" s="50">
        <v>63634</v>
      </c>
      <c r="C320" s="1365">
        <v>35403</v>
      </c>
      <c r="D320" s="430">
        <v>28231</v>
      </c>
      <c r="E320" s="387">
        <v>872207</v>
      </c>
      <c r="F320" s="1650">
        <v>2031</v>
      </c>
      <c r="G320" s="1643">
        <v>22583</v>
      </c>
      <c r="H320" s="1654"/>
      <c r="I320" s="1658"/>
      <c r="J320" s="2279">
        <v>36389</v>
      </c>
      <c r="K320" s="180">
        <v>378009</v>
      </c>
      <c r="L320" s="1654"/>
      <c r="M320" s="1658"/>
      <c r="N320" s="1651">
        <v>31840.6</v>
      </c>
      <c r="O320" s="1672">
        <v>35568.71</v>
      </c>
      <c r="R320" s="431"/>
    </row>
    <row r="321" spans="1:18">
      <c r="A321" s="51">
        <f t="shared" si="2"/>
        <v>2019.12</v>
      </c>
      <c r="B321" s="50">
        <v>57265</v>
      </c>
      <c r="C321" s="1365">
        <v>31396</v>
      </c>
      <c r="D321" s="430">
        <v>25869</v>
      </c>
      <c r="E321" s="387">
        <v>732734</v>
      </c>
      <c r="F321" s="1650">
        <v>2049</v>
      </c>
      <c r="G321" s="1643">
        <v>22832</v>
      </c>
      <c r="H321" s="1654"/>
      <c r="I321" s="1658"/>
      <c r="J321" s="2279">
        <v>34716</v>
      </c>
      <c r="K321" s="180">
        <v>357311</v>
      </c>
      <c r="L321" s="1654"/>
      <c r="M321" s="1658"/>
      <c r="N321" s="1651">
        <v>46147.53</v>
      </c>
      <c r="O321" s="1672">
        <v>51361.59</v>
      </c>
      <c r="R321" s="431"/>
    </row>
    <row r="322" spans="1:18">
      <c r="A322" s="51">
        <f t="shared" si="2"/>
        <v>2020.01</v>
      </c>
      <c r="B322" s="50">
        <v>54388</v>
      </c>
      <c r="C322" s="1365">
        <v>34050</v>
      </c>
      <c r="D322" s="430">
        <v>20338</v>
      </c>
      <c r="E322" s="387">
        <v>745681</v>
      </c>
      <c r="F322" s="1650">
        <v>2065</v>
      </c>
      <c r="G322" s="1643">
        <v>23109</v>
      </c>
      <c r="H322" s="1654"/>
      <c r="I322" s="1658"/>
      <c r="J322" s="2279">
        <v>34220</v>
      </c>
      <c r="K322" s="180">
        <v>343671</v>
      </c>
      <c r="L322" s="1654"/>
      <c r="M322" s="1658"/>
      <c r="N322" s="1651">
        <v>37006.31</v>
      </c>
      <c r="O322" s="1672">
        <v>40022.47</v>
      </c>
      <c r="R322" s="431"/>
    </row>
    <row r="323" spans="1:18">
      <c r="A323" s="51">
        <f t="shared" si="2"/>
        <v>2020.02</v>
      </c>
      <c r="B323" s="613">
        <v>52619</v>
      </c>
      <c r="C323" s="1365">
        <v>30929</v>
      </c>
      <c r="D323" s="430">
        <v>21690</v>
      </c>
      <c r="E323" s="387">
        <v>686602</v>
      </c>
      <c r="F323" s="1650">
        <v>2082</v>
      </c>
      <c r="G323" s="1643">
        <v>23275</v>
      </c>
      <c r="H323" s="1654"/>
      <c r="I323" s="1658"/>
      <c r="J323" s="2279">
        <v>32480</v>
      </c>
      <c r="K323" s="180">
        <v>337208</v>
      </c>
      <c r="L323" s="1654"/>
      <c r="M323" s="1658"/>
      <c r="N323" s="1651">
        <v>38466.339999999997</v>
      </c>
      <c r="O323" s="1672">
        <v>41411.54</v>
      </c>
      <c r="R323" s="431"/>
    </row>
    <row r="324" spans="1:18">
      <c r="A324" s="51">
        <f t="shared" si="2"/>
        <v>2020.03</v>
      </c>
      <c r="B324" s="50">
        <v>43044</v>
      </c>
      <c r="C324" s="1365">
        <v>26596</v>
      </c>
      <c r="D324" s="430">
        <v>16448</v>
      </c>
      <c r="E324" s="387">
        <v>502368</v>
      </c>
      <c r="F324" s="1650">
        <v>2093</v>
      </c>
      <c r="G324" s="1643">
        <v>23408</v>
      </c>
      <c r="H324" s="1654"/>
      <c r="I324" s="1658"/>
      <c r="J324" s="2279">
        <v>30387</v>
      </c>
      <c r="K324" s="180">
        <v>317672</v>
      </c>
      <c r="L324" s="1654"/>
      <c r="M324" s="1658"/>
      <c r="N324" s="1651">
        <v>35995.370000000003</v>
      </c>
      <c r="O324" s="1672">
        <v>39099.870000000003</v>
      </c>
      <c r="R324" s="431"/>
    </row>
    <row r="325" spans="1:18">
      <c r="A325" s="51">
        <f t="shared" si="2"/>
        <v>2020.04</v>
      </c>
      <c r="B325" s="50">
        <v>24456</v>
      </c>
      <c r="C325" s="1365">
        <v>21177</v>
      </c>
      <c r="D325" s="430">
        <v>3279</v>
      </c>
      <c r="E325" s="387">
        <v>403653</v>
      </c>
      <c r="F325" s="1650">
        <v>2095</v>
      </c>
      <c r="G325" s="1643">
        <v>23401</v>
      </c>
      <c r="H325" s="1654"/>
      <c r="I325" s="1658"/>
      <c r="J325" s="2279">
        <v>26431</v>
      </c>
      <c r="K325" s="180">
        <v>273111</v>
      </c>
      <c r="L325" s="1654"/>
      <c r="M325" s="1658"/>
      <c r="N325" s="1651">
        <v>31062.45</v>
      </c>
      <c r="O325" s="1672">
        <v>33620.089999999997</v>
      </c>
      <c r="R325" s="431"/>
    </row>
    <row r="326" spans="1:18">
      <c r="A326" s="51">
        <f t="shared" si="2"/>
        <v>2020.05</v>
      </c>
      <c r="B326" s="50">
        <v>51994</v>
      </c>
      <c r="C326" s="1365">
        <v>38086</v>
      </c>
      <c r="D326" s="430">
        <v>13909</v>
      </c>
      <c r="E326" s="387">
        <v>648543</v>
      </c>
      <c r="F326" s="1650">
        <v>1294</v>
      </c>
      <c r="G326" s="1643">
        <v>13952</v>
      </c>
      <c r="H326" s="1654"/>
      <c r="I326" s="1658"/>
      <c r="J326" s="2279">
        <v>26171</v>
      </c>
      <c r="K326" s="180">
        <v>268807</v>
      </c>
      <c r="L326" s="1654"/>
      <c r="M326" s="1658"/>
      <c r="N326" s="1651">
        <v>33744.33</v>
      </c>
      <c r="O326" s="1672">
        <v>35921.519999999997</v>
      </c>
      <c r="R326" s="431"/>
    </row>
    <row r="327" spans="1:18">
      <c r="A327" s="51">
        <f t="shared" si="2"/>
        <v>2020.06</v>
      </c>
      <c r="B327" s="50">
        <v>72737</v>
      </c>
      <c r="C327" s="1365">
        <v>47773</v>
      </c>
      <c r="D327" s="430">
        <v>24964</v>
      </c>
      <c r="E327" s="387">
        <v>797794</v>
      </c>
      <c r="F327" s="1650">
        <v>1587</v>
      </c>
      <c r="G327" s="1643">
        <v>15930</v>
      </c>
      <c r="H327" s="1654"/>
      <c r="I327" s="1658"/>
      <c r="J327" s="2279">
        <v>26901</v>
      </c>
      <c r="K327" s="180">
        <v>272283</v>
      </c>
      <c r="L327" s="1654"/>
      <c r="M327" s="1658"/>
      <c r="N327" s="1651">
        <v>52533.25</v>
      </c>
      <c r="O327" s="1672">
        <v>54461.81</v>
      </c>
      <c r="R327" s="431"/>
    </row>
    <row r="328" spans="1:18">
      <c r="A328" s="51">
        <f t="shared" si="2"/>
        <v>2020.07</v>
      </c>
      <c r="B328" s="50">
        <v>84614</v>
      </c>
      <c r="C328" s="1365">
        <v>55453</v>
      </c>
      <c r="D328" s="430">
        <v>29160</v>
      </c>
      <c r="E328" s="387">
        <v>862675</v>
      </c>
      <c r="F328" s="1650">
        <v>1685</v>
      </c>
      <c r="G328" s="1643">
        <v>16776</v>
      </c>
      <c r="H328" s="1654"/>
      <c r="I328" s="1658"/>
      <c r="J328" s="1650">
        <v>27567</v>
      </c>
      <c r="K328" s="1643">
        <v>268558</v>
      </c>
      <c r="L328" s="1654"/>
      <c r="M328" s="1658"/>
      <c r="N328" s="1651">
        <v>27554.79</v>
      </c>
      <c r="O328" s="1672">
        <v>38763.949999999997</v>
      </c>
      <c r="R328" s="431"/>
    </row>
    <row r="329" spans="1:18">
      <c r="A329" s="51">
        <f t="shared" si="2"/>
        <v>2020.08</v>
      </c>
      <c r="B329" s="50">
        <v>81584</v>
      </c>
      <c r="C329" s="1365">
        <v>51641</v>
      </c>
      <c r="D329" s="430">
        <v>29943</v>
      </c>
      <c r="E329" s="387">
        <v>917233</v>
      </c>
      <c r="F329" s="1650">
        <v>1743</v>
      </c>
      <c r="G329" s="1643">
        <v>17391</v>
      </c>
      <c r="H329" s="1654"/>
      <c r="I329" s="1658"/>
      <c r="J329" s="1650">
        <v>28074</v>
      </c>
      <c r="K329" s="1643">
        <v>273680</v>
      </c>
      <c r="L329" s="1654"/>
      <c r="M329" s="1658"/>
      <c r="N329" s="1651">
        <v>36542.980000000003</v>
      </c>
      <c r="O329" s="1672">
        <v>37918.019999999997</v>
      </c>
      <c r="R329" s="431"/>
    </row>
    <row r="330" spans="1:18">
      <c r="A330" s="51">
        <f t="shared" si="2"/>
        <v>2020.09</v>
      </c>
      <c r="B330" s="50">
        <v>85502</v>
      </c>
      <c r="C330" s="1365">
        <v>56891</v>
      </c>
      <c r="D330" s="430">
        <v>28611</v>
      </c>
      <c r="E330" s="387">
        <v>1037475</v>
      </c>
      <c r="F330" s="1650">
        <v>1785</v>
      </c>
      <c r="G330" s="1643">
        <v>17985</v>
      </c>
      <c r="H330" s="1654"/>
      <c r="I330" s="1658"/>
      <c r="J330" s="1650">
        <v>28343</v>
      </c>
      <c r="K330" s="1643">
        <v>282413</v>
      </c>
      <c r="L330" s="1654"/>
      <c r="M330" s="1658"/>
      <c r="N330" s="1651">
        <v>36254.839999999997</v>
      </c>
      <c r="O330" s="1672">
        <v>39223.89</v>
      </c>
      <c r="R330" s="431"/>
    </row>
    <row r="331" spans="1:18">
      <c r="A331" s="51">
        <f t="shared" si="2"/>
        <v>2020.1</v>
      </c>
      <c r="B331" s="50">
        <v>88152</v>
      </c>
      <c r="C331" s="1365">
        <v>55838</v>
      </c>
      <c r="D331" s="430">
        <v>32314</v>
      </c>
      <c r="E331" s="387">
        <v>1070232</v>
      </c>
      <c r="F331" s="1650">
        <v>1830</v>
      </c>
      <c r="G331" s="1643">
        <v>18518</v>
      </c>
      <c r="H331" s="1654"/>
      <c r="I331" s="1658"/>
      <c r="J331" s="1650">
        <v>28925</v>
      </c>
      <c r="K331" s="1643">
        <v>291505</v>
      </c>
      <c r="L331" s="1654"/>
      <c r="M331" s="1658"/>
      <c r="N331" s="1651">
        <v>37686.65</v>
      </c>
      <c r="O331" s="1672">
        <v>40754.71</v>
      </c>
      <c r="R331" s="431"/>
    </row>
    <row r="332" spans="1:18">
      <c r="A332" s="51">
        <f t="shared" si="2"/>
        <v>2020.11</v>
      </c>
      <c r="B332" s="50">
        <v>84605</v>
      </c>
      <c r="C332" s="1365">
        <v>54918</v>
      </c>
      <c r="D332" s="430">
        <v>29687</v>
      </c>
      <c r="E332" s="387">
        <v>1092246</v>
      </c>
      <c r="F332" s="1650">
        <v>1871</v>
      </c>
      <c r="G332" s="1643">
        <v>18978</v>
      </c>
      <c r="H332" s="1654"/>
      <c r="I332" s="1658"/>
      <c r="J332" s="1650">
        <v>29413</v>
      </c>
      <c r="K332" s="1643">
        <v>298430</v>
      </c>
      <c r="L332" s="1654"/>
      <c r="M332" s="1658"/>
      <c r="N332" s="1651">
        <v>43223.71</v>
      </c>
      <c r="O332" s="1672">
        <v>46641.53</v>
      </c>
      <c r="R332" s="431"/>
    </row>
    <row r="333" spans="1:18">
      <c r="A333" s="51">
        <f t="shared" si="2"/>
        <v>2020.12</v>
      </c>
      <c r="B333" s="50">
        <v>81834</v>
      </c>
      <c r="C333" s="1365">
        <v>52354</v>
      </c>
      <c r="D333" s="430">
        <v>29480</v>
      </c>
      <c r="E333" s="387">
        <v>976945</v>
      </c>
      <c r="F333" s="1650">
        <v>1890</v>
      </c>
      <c r="G333" s="1643">
        <v>19308</v>
      </c>
      <c r="H333" s="1654"/>
      <c r="I333" s="1658"/>
      <c r="J333" s="1650">
        <v>28963</v>
      </c>
      <c r="K333" s="1643">
        <v>294178</v>
      </c>
      <c r="L333" s="1654"/>
      <c r="M333" s="1658"/>
      <c r="N333" s="1651">
        <v>59634.17</v>
      </c>
      <c r="O333" s="1672">
        <v>66716.03</v>
      </c>
      <c r="R333" s="431"/>
    </row>
    <row r="334" spans="1:18">
      <c r="A334" s="51">
        <f t="shared" si="2"/>
        <v>2021.01</v>
      </c>
      <c r="B334" s="50">
        <v>70465</v>
      </c>
      <c r="C334" s="1365">
        <v>45155</v>
      </c>
      <c r="D334" s="430">
        <v>25310</v>
      </c>
      <c r="E334" s="387">
        <v>895416</v>
      </c>
      <c r="F334" s="1650">
        <v>1917</v>
      </c>
      <c r="G334" s="1643">
        <v>19632</v>
      </c>
      <c r="H334" s="1654"/>
      <c r="I334" s="1658"/>
      <c r="J334" s="1650">
        <v>30070</v>
      </c>
      <c r="K334" s="1643">
        <v>299499</v>
      </c>
      <c r="L334" s="1654"/>
      <c r="M334" s="1658"/>
      <c r="N334" s="1651">
        <v>42273.919999999998</v>
      </c>
      <c r="O334" s="1672">
        <v>47200.5</v>
      </c>
      <c r="R334" s="431"/>
    </row>
    <row r="335" spans="1:18">
      <c r="A335" s="51">
        <f t="shared" si="2"/>
        <v>2021.02</v>
      </c>
      <c r="B335" s="50">
        <v>66629</v>
      </c>
      <c r="C335" s="1365">
        <v>39837</v>
      </c>
      <c r="D335" s="430">
        <v>26792</v>
      </c>
      <c r="E335" s="387">
        <v>811697</v>
      </c>
      <c r="F335" s="1650">
        <v>1938</v>
      </c>
      <c r="G335" s="1643">
        <v>19945</v>
      </c>
      <c r="H335" s="1654"/>
      <c r="I335" s="1658"/>
      <c r="J335" s="1650">
        <v>31108</v>
      </c>
      <c r="K335" s="1643">
        <v>309585</v>
      </c>
      <c r="L335" s="1654"/>
      <c r="M335" s="1658"/>
      <c r="N335" s="1651">
        <v>45916.39</v>
      </c>
      <c r="O335" s="1672">
        <v>49048.57</v>
      </c>
      <c r="R335" s="431"/>
    </row>
    <row r="336" spans="1:18">
      <c r="A336" s="51">
        <f t="shared" si="2"/>
        <v>2021.03</v>
      </c>
      <c r="B336" s="50">
        <v>78849</v>
      </c>
      <c r="C336" s="1365">
        <v>45479</v>
      </c>
      <c r="D336" s="430">
        <v>33370</v>
      </c>
      <c r="E336" s="387">
        <v>974347</v>
      </c>
      <c r="F336" s="1650">
        <v>1959</v>
      </c>
      <c r="G336" s="1643">
        <v>20514</v>
      </c>
      <c r="H336" s="1654"/>
      <c r="I336" s="1658"/>
      <c r="J336" s="1650">
        <v>32194</v>
      </c>
      <c r="K336" s="1643">
        <v>322000</v>
      </c>
      <c r="L336" s="1654"/>
      <c r="M336" s="1658"/>
      <c r="N336" s="1651">
        <v>48604.35</v>
      </c>
      <c r="O336" s="1672">
        <v>52877.57</v>
      </c>
      <c r="R336" s="431"/>
    </row>
    <row r="337" spans="1:18">
      <c r="A337" s="51">
        <f t="shared" si="2"/>
        <v>2021.04</v>
      </c>
      <c r="B337" s="50">
        <v>75158</v>
      </c>
      <c r="C337" s="1365">
        <v>43145</v>
      </c>
      <c r="D337" s="430">
        <v>32013</v>
      </c>
      <c r="E337" s="387">
        <v>947965</v>
      </c>
      <c r="F337" s="1650">
        <v>1980</v>
      </c>
      <c r="G337" s="1643">
        <v>20843</v>
      </c>
      <c r="H337" s="1654"/>
      <c r="I337" s="1658"/>
      <c r="J337" s="1650">
        <v>31838</v>
      </c>
      <c r="K337" s="1643">
        <v>324276</v>
      </c>
      <c r="L337" s="1654"/>
      <c r="M337" s="1658"/>
      <c r="N337" s="1651">
        <v>52998.66</v>
      </c>
      <c r="O337" s="1672">
        <v>57000.97</v>
      </c>
      <c r="R337" s="431"/>
    </row>
    <row r="338" spans="1:18">
      <c r="A338" s="51">
        <f t="shared" si="2"/>
        <v>2021.05</v>
      </c>
      <c r="B338" s="50">
        <v>69549</v>
      </c>
      <c r="C338" s="1365">
        <v>38367</v>
      </c>
      <c r="D338" s="430">
        <v>31181</v>
      </c>
      <c r="E338" s="387">
        <v>874188</v>
      </c>
      <c r="F338" s="1650">
        <v>1659</v>
      </c>
      <c r="G338" s="1643">
        <v>17149</v>
      </c>
      <c r="H338" s="1654"/>
      <c r="I338" s="1658"/>
      <c r="J338" s="1650">
        <v>31915</v>
      </c>
      <c r="K338" s="1643">
        <v>325324</v>
      </c>
      <c r="L338" s="1654"/>
      <c r="M338" s="1658"/>
      <c r="N338" s="1651">
        <v>50994.25</v>
      </c>
      <c r="O338" s="1672">
        <v>56244.1</v>
      </c>
      <c r="R338" s="431"/>
    </row>
    <row r="339" spans="1:18">
      <c r="A339" s="51">
        <f t="shared" si="2"/>
        <v>2021.06</v>
      </c>
      <c r="B339" s="50">
        <v>85028</v>
      </c>
      <c r="C339" s="1365">
        <v>48947</v>
      </c>
      <c r="D339" s="430">
        <v>36081</v>
      </c>
      <c r="E339" s="387">
        <v>961512</v>
      </c>
      <c r="F339" s="1650">
        <v>1712</v>
      </c>
      <c r="G339" s="1643">
        <v>17883</v>
      </c>
      <c r="H339" s="1654"/>
      <c r="I339" s="1658"/>
      <c r="J339" s="1650">
        <v>31913</v>
      </c>
      <c r="K339" s="1643">
        <v>332338</v>
      </c>
      <c r="L339" s="1654"/>
      <c r="M339" s="1658"/>
      <c r="N339" s="1651">
        <v>71480.710000000006</v>
      </c>
      <c r="O339" s="1672">
        <v>77637.73</v>
      </c>
      <c r="R339" s="431"/>
    </row>
    <row r="340" spans="1:18">
      <c r="A340" s="51">
        <f t="shared" si="2"/>
        <v>2021.07</v>
      </c>
      <c r="B340" s="50">
        <v>86573</v>
      </c>
      <c r="C340" s="1365">
        <v>47864</v>
      </c>
      <c r="D340" s="430">
        <v>38709</v>
      </c>
      <c r="E340" s="387">
        <v>1043235</v>
      </c>
      <c r="F340" s="1650">
        <v>1759</v>
      </c>
      <c r="G340" s="1643">
        <v>18450</v>
      </c>
      <c r="H340" s="1654"/>
      <c r="I340" s="1658"/>
      <c r="J340" s="1650">
        <v>32691</v>
      </c>
      <c r="K340" s="1643">
        <v>340020</v>
      </c>
      <c r="L340" s="1654"/>
      <c r="M340" s="1658"/>
      <c r="N340" s="1651">
        <v>55842.39</v>
      </c>
      <c r="O340" s="1672">
        <v>62216.44</v>
      </c>
      <c r="R340" s="431"/>
    </row>
    <row r="341" spans="1:18" ht="12" customHeight="1">
      <c r="A341" s="51">
        <f t="shared" si="2"/>
        <v>2021.08</v>
      </c>
      <c r="B341" s="50">
        <v>90561</v>
      </c>
      <c r="C341" s="1365">
        <v>50009</v>
      </c>
      <c r="D341" s="430">
        <v>40553</v>
      </c>
      <c r="E341" s="387">
        <v>1083824</v>
      </c>
      <c r="F341" s="1650">
        <v>1804</v>
      </c>
      <c r="G341" s="1643">
        <v>18985</v>
      </c>
      <c r="H341" s="1654"/>
      <c r="I341" s="1658"/>
      <c r="J341" s="1650">
        <v>33398</v>
      </c>
      <c r="K341" s="1643">
        <v>349397</v>
      </c>
      <c r="L341" s="1654"/>
      <c r="M341" s="1658"/>
      <c r="N341" s="1651">
        <v>56581.78</v>
      </c>
      <c r="O341" s="1672">
        <v>62627.14</v>
      </c>
      <c r="R341" s="431"/>
    </row>
    <row r="342" spans="1:18">
      <c r="A342" s="51">
        <f t="shared" si="2"/>
        <v>2021.09</v>
      </c>
      <c r="B342" s="50">
        <v>89168</v>
      </c>
      <c r="C342" s="1365">
        <v>51088</v>
      </c>
      <c r="D342" s="430">
        <v>38080</v>
      </c>
      <c r="E342" s="387">
        <v>1110263</v>
      </c>
      <c r="F342" s="1650">
        <v>1874</v>
      </c>
      <c r="G342" s="1643">
        <v>19641</v>
      </c>
      <c r="H342" s="1654"/>
      <c r="I342" s="1658"/>
      <c r="J342" s="1650">
        <v>34206</v>
      </c>
      <c r="K342" s="1643">
        <v>355611</v>
      </c>
      <c r="L342" s="1654"/>
      <c r="M342" s="1658"/>
      <c r="N342" s="1651">
        <v>58367.42</v>
      </c>
      <c r="O342" s="1672">
        <v>63996.44</v>
      </c>
      <c r="R342" s="431"/>
    </row>
    <row r="343" spans="1:18">
      <c r="A343" s="51">
        <f t="shared" si="2"/>
        <v>2021.1</v>
      </c>
      <c r="B343" s="50">
        <v>87385</v>
      </c>
      <c r="C343" s="1365">
        <v>49933</v>
      </c>
      <c r="D343" s="430">
        <v>37452</v>
      </c>
      <c r="E343" s="387">
        <v>1140962</v>
      </c>
      <c r="F343" s="1650">
        <v>1924</v>
      </c>
      <c r="G343" s="1643">
        <v>20125</v>
      </c>
      <c r="H343" s="1654"/>
      <c r="I343" s="1658"/>
      <c r="J343" s="1650">
        <v>35243</v>
      </c>
      <c r="K343" s="1643">
        <v>361263</v>
      </c>
      <c r="L343" s="1654"/>
      <c r="M343" s="1658"/>
      <c r="N343" s="1651">
        <v>61461.919999999998</v>
      </c>
      <c r="O343" s="1672">
        <v>68265.070000000007</v>
      </c>
      <c r="R343" s="431"/>
    </row>
    <row r="344" spans="1:18">
      <c r="A344" s="51">
        <f t="shared" si="2"/>
        <v>2021.11</v>
      </c>
      <c r="B344" s="50">
        <v>87242</v>
      </c>
      <c r="C344" s="1365">
        <v>49194</v>
      </c>
      <c r="D344" s="430">
        <v>38048</v>
      </c>
      <c r="E344" s="387">
        <v>1142127</v>
      </c>
      <c r="F344" s="1650">
        <v>1967</v>
      </c>
      <c r="G344" s="1643">
        <v>20580</v>
      </c>
      <c r="H344" s="1654"/>
      <c r="I344" s="1658"/>
      <c r="J344" s="1650">
        <v>36352</v>
      </c>
      <c r="K344" s="1643">
        <v>367410</v>
      </c>
      <c r="L344" s="1654"/>
      <c r="M344" s="1658"/>
      <c r="N344" s="1651">
        <v>64283.43</v>
      </c>
      <c r="O344" s="1672">
        <v>70040.800000000003</v>
      </c>
      <c r="R344" s="431"/>
    </row>
    <row r="345" spans="1:18">
      <c r="A345" s="51">
        <f t="shared" si="2"/>
        <v>2021.12</v>
      </c>
      <c r="B345" s="50">
        <v>79649</v>
      </c>
      <c r="C345" s="1365">
        <v>45839</v>
      </c>
      <c r="D345" s="430">
        <v>33810</v>
      </c>
      <c r="E345" s="387">
        <v>1025197</v>
      </c>
      <c r="F345" s="1650">
        <v>1985</v>
      </c>
      <c r="G345" s="1643">
        <v>20840</v>
      </c>
      <c r="H345" s="1654"/>
      <c r="I345" s="1658"/>
      <c r="J345" s="1650">
        <v>35226</v>
      </c>
      <c r="K345" s="1643">
        <v>361088</v>
      </c>
      <c r="L345" s="1654"/>
      <c r="M345" s="1658"/>
      <c r="N345" s="1651">
        <v>89936.97</v>
      </c>
      <c r="O345" s="1672">
        <v>99434.15</v>
      </c>
      <c r="R345" s="431"/>
    </row>
    <row r="346" spans="1:18">
      <c r="A346" s="51">
        <f t="shared" si="2"/>
        <v>2022.01</v>
      </c>
      <c r="B346" s="50">
        <v>66381</v>
      </c>
      <c r="C346" s="1365">
        <v>39402</v>
      </c>
      <c r="D346" s="430">
        <v>26979</v>
      </c>
      <c r="E346" s="387">
        <v>877364</v>
      </c>
      <c r="F346" s="1650">
        <v>2006</v>
      </c>
      <c r="G346" s="1643">
        <v>21105</v>
      </c>
      <c r="H346" s="1654"/>
      <c r="I346" s="1658"/>
      <c r="J346" s="1650">
        <v>36513</v>
      </c>
      <c r="K346" s="1643">
        <v>361933</v>
      </c>
      <c r="L346" s="1654"/>
      <c r="M346" s="1658"/>
      <c r="N346" s="1651">
        <v>63559.4</v>
      </c>
      <c r="O346" s="1672">
        <v>69972.47</v>
      </c>
      <c r="R346" s="431"/>
    </row>
    <row r="347" spans="1:18">
      <c r="A347" s="51">
        <f t="shared" si="2"/>
        <v>2022.02</v>
      </c>
      <c r="B347" s="50">
        <v>76075</v>
      </c>
      <c r="C347" s="1365">
        <v>41893</v>
      </c>
      <c r="D347" s="430">
        <v>34181</v>
      </c>
      <c r="E347" s="387">
        <v>938072</v>
      </c>
      <c r="F347" s="1650">
        <v>2033</v>
      </c>
      <c r="G347" s="1643">
        <v>21335</v>
      </c>
      <c r="H347" s="1654"/>
      <c r="I347" s="1658"/>
      <c r="J347" s="1650">
        <v>37029</v>
      </c>
      <c r="K347" s="1643">
        <v>372996</v>
      </c>
      <c r="L347" s="1654"/>
      <c r="M347" s="1658"/>
      <c r="N347" s="1651">
        <v>67749.509999999995</v>
      </c>
      <c r="O347" s="1672">
        <v>73151.19</v>
      </c>
      <c r="R347" s="431"/>
    </row>
    <row r="348" spans="1:18">
      <c r="A348" s="51">
        <f t="shared" si="2"/>
        <v>2022.03</v>
      </c>
      <c r="B348" s="50">
        <v>79313</v>
      </c>
      <c r="C348" s="1365">
        <v>44980</v>
      </c>
      <c r="D348" s="430">
        <v>34334</v>
      </c>
      <c r="E348" s="387">
        <v>1047227</v>
      </c>
      <c r="F348" s="1650">
        <v>2059</v>
      </c>
      <c r="G348" s="1643">
        <v>21592</v>
      </c>
      <c r="H348" s="1654"/>
      <c r="I348" s="1658"/>
      <c r="J348" s="1650">
        <v>37317</v>
      </c>
      <c r="K348" s="1643">
        <v>384784</v>
      </c>
      <c r="L348" s="1654"/>
      <c r="M348" s="1658"/>
      <c r="N348" s="1651">
        <v>75959.58</v>
      </c>
      <c r="O348" s="1672">
        <v>84138.35</v>
      </c>
      <c r="R348" s="431"/>
    </row>
    <row r="349" spans="1:18">
      <c r="A349" s="51">
        <f t="shared" si="2"/>
        <v>2022.04</v>
      </c>
      <c r="B349" s="50">
        <v>82991</v>
      </c>
      <c r="C349" s="1365">
        <v>44523</v>
      </c>
      <c r="D349" s="430">
        <v>38468</v>
      </c>
      <c r="E349" s="387">
        <v>1039320</v>
      </c>
      <c r="F349" s="1650">
        <v>2073</v>
      </c>
      <c r="G349" s="1643">
        <v>21849</v>
      </c>
      <c r="H349" s="1654"/>
      <c r="I349" s="1658"/>
      <c r="J349" s="1650">
        <v>37352</v>
      </c>
      <c r="K349" s="1643">
        <v>386354</v>
      </c>
      <c r="L349" s="1654"/>
      <c r="M349" s="1658"/>
      <c r="N349" s="1651">
        <v>74703.83</v>
      </c>
      <c r="O349" s="1672">
        <v>82549.03</v>
      </c>
      <c r="R349" s="431"/>
    </row>
    <row r="350" spans="1:18">
      <c r="A350" s="51">
        <f t="shared" si="2"/>
        <v>2022.05</v>
      </c>
      <c r="B350" s="50">
        <v>86980</v>
      </c>
      <c r="C350" s="1365">
        <v>45162</v>
      </c>
      <c r="D350" s="430">
        <v>41818</v>
      </c>
      <c r="E350" s="387">
        <v>1088000</v>
      </c>
      <c r="F350" s="1650">
        <v>1742</v>
      </c>
      <c r="G350" s="1643">
        <v>17574</v>
      </c>
      <c r="H350" s="1654"/>
      <c r="I350" s="1658"/>
      <c r="J350" s="1650">
        <v>37384</v>
      </c>
      <c r="K350" s="1643">
        <v>390528</v>
      </c>
      <c r="L350" s="1654"/>
      <c r="M350" s="1658"/>
      <c r="N350" s="1651">
        <v>83779.19</v>
      </c>
      <c r="O350" s="1672">
        <v>92281.18</v>
      </c>
      <c r="R350" s="431"/>
    </row>
    <row r="351" spans="1:18">
      <c r="A351" s="51">
        <f t="shared" si="2"/>
        <v>2022.06</v>
      </c>
      <c r="B351" s="50">
        <v>84746</v>
      </c>
      <c r="C351" s="1365">
        <v>46774</v>
      </c>
      <c r="D351" s="430">
        <v>37972</v>
      </c>
      <c r="E351" s="387">
        <v>1104095</v>
      </c>
      <c r="F351" s="1650">
        <v>1808</v>
      </c>
      <c r="G351" s="1643">
        <v>18398</v>
      </c>
      <c r="H351" s="1654"/>
      <c r="I351" s="1658"/>
      <c r="J351" s="1650">
        <v>37265.991794614609</v>
      </c>
      <c r="K351" s="1643">
        <v>393577</v>
      </c>
      <c r="L351" s="1654"/>
      <c r="M351" s="1658"/>
      <c r="N351" s="1651">
        <v>122665.89</v>
      </c>
      <c r="O351" s="1672">
        <v>138736.39000000001</v>
      </c>
      <c r="R351" s="431"/>
    </row>
    <row r="352" spans="1:18">
      <c r="A352" s="51">
        <f t="shared" si="2"/>
        <v>2022.07</v>
      </c>
      <c r="B352" s="50">
        <v>90513</v>
      </c>
      <c r="C352" s="1365">
        <v>48013</v>
      </c>
      <c r="D352" s="430">
        <v>42499</v>
      </c>
      <c r="E352" s="387">
        <v>1146900</v>
      </c>
      <c r="F352" s="1650">
        <v>1862</v>
      </c>
      <c r="G352" s="1643">
        <v>19007</v>
      </c>
      <c r="H352" s="1654"/>
      <c r="I352" s="1658"/>
      <c r="J352" s="1650">
        <v>37105</v>
      </c>
      <c r="K352" s="1643">
        <v>400983</v>
      </c>
      <c r="L352" s="1654"/>
      <c r="M352" s="1658"/>
      <c r="N352" s="1651">
        <v>86024.44</v>
      </c>
      <c r="O352" s="1672">
        <v>96827.55</v>
      </c>
      <c r="R352" s="431"/>
    </row>
    <row r="353" spans="1:18">
      <c r="A353" s="51">
        <f t="shared" si="2"/>
        <v>2022.08</v>
      </c>
      <c r="B353" s="50">
        <v>92775</v>
      </c>
      <c r="C353" s="1365">
        <v>49837</v>
      </c>
      <c r="D353" s="430">
        <v>42938</v>
      </c>
      <c r="E353" s="387">
        <v>1226646</v>
      </c>
      <c r="F353" s="1650">
        <v>1907</v>
      </c>
      <c r="G353" s="1643">
        <v>19575</v>
      </c>
      <c r="H353" s="1654"/>
      <c r="I353" s="1658"/>
      <c r="J353" s="1650">
        <v>38022</v>
      </c>
      <c r="K353" s="1643">
        <v>408470</v>
      </c>
      <c r="L353" s="1654"/>
      <c r="M353" s="1658"/>
      <c r="N353" s="1651">
        <v>96334.49</v>
      </c>
      <c r="O353" s="1672">
        <v>107017</v>
      </c>
      <c r="R353" s="431"/>
    </row>
    <row r="354" spans="1:18">
      <c r="A354" s="51">
        <f t="shared" si="2"/>
        <v>2022.09</v>
      </c>
      <c r="B354" s="50">
        <v>92783</v>
      </c>
      <c r="C354" s="1365">
        <v>48079</v>
      </c>
      <c r="D354" s="430">
        <v>44704</v>
      </c>
      <c r="E354" s="387">
        <v>1212881</v>
      </c>
      <c r="F354" s="1650">
        <v>1968</v>
      </c>
      <c r="G354" s="1643">
        <v>20097</v>
      </c>
      <c r="H354" s="1654"/>
      <c r="I354" s="1658"/>
      <c r="J354" s="1650">
        <v>38784</v>
      </c>
      <c r="K354" s="1643">
        <v>416457</v>
      </c>
      <c r="L354" s="1654"/>
      <c r="M354" s="1658"/>
      <c r="N354" s="1651">
        <v>104434.59</v>
      </c>
      <c r="O354" s="1672">
        <v>114558.76</v>
      </c>
      <c r="R354" s="431"/>
    </row>
    <row r="355" spans="1:18">
      <c r="A355" s="51">
        <f t="shared" si="2"/>
        <v>2022.1</v>
      </c>
      <c r="B355" s="50">
        <v>82447</v>
      </c>
      <c r="C355" s="1365">
        <v>45269</v>
      </c>
      <c r="D355" s="430">
        <v>37177</v>
      </c>
      <c r="E355" s="387">
        <v>1131509</v>
      </c>
      <c r="F355" s="1650">
        <v>1997</v>
      </c>
      <c r="G355" s="1643">
        <v>20519</v>
      </c>
      <c r="H355" s="1654"/>
      <c r="I355" s="1658"/>
      <c r="J355" s="1650">
        <v>38857</v>
      </c>
      <c r="K355" s="1643">
        <v>421267</v>
      </c>
      <c r="L355" s="1654"/>
      <c r="M355" s="1658"/>
      <c r="N355" s="1651">
        <v>113643.13</v>
      </c>
      <c r="O355" s="1672">
        <v>125408.38</v>
      </c>
      <c r="R355" s="431"/>
    </row>
    <row r="356" spans="1:18">
      <c r="A356" s="51">
        <f t="shared" si="2"/>
        <v>2022.11</v>
      </c>
      <c r="B356" s="50">
        <v>85842</v>
      </c>
      <c r="C356" s="1365">
        <v>44533</v>
      </c>
      <c r="D356" s="430">
        <v>41309</v>
      </c>
      <c r="E356" s="387">
        <v>1144153</v>
      </c>
      <c r="F356" s="1650">
        <v>2024</v>
      </c>
      <c r="G356" s="1643">
        <v>20923</v>
      </c>
      <c r="H356" s="1654"/>
      <c r="I356" s="1658"/>
      <c r="J356" s="1650">
        <v>39022</v>
      </c>
      <c r="K356" s="1643">
        <v>428302</v>
      </c>
      <c r="L356" s="1654"/>
      <c r="M356" s="1658"/>
      <c r="N356" s="1651">
        <v>126412.38</v>
      </c>
      <c r="O356" s="1672">
        <v>138091.22</v>
      </c>
      <c r="R356" s="431"/>
    </row>
    <row r="357" spans="1:18">
      <c r="A357" s="51">
        <f t="shared" si="2"/>
        <v>2022.12</v>
      </c>
      <c r="B357" s="50">
        <v>71614</v>
      </c>
      <c r="C357" s="1365">
        <v>37290</v>
      </c>
      <c r="D357" s="430">
        <v>34324</v>
      </c>
      <c r="E357" s="387">
        <v>932660</v>
      </c>
      <c r="F357" s="1650">
        <v>2030</v>
      </c>
      <c r="G357" s="1643">
        <v>21109</v>
      </c>
      <c r="H357" s="1654"/>
      <c r="I357" s="1658"/>
      <c r="J357" s="1650">
        <v>38989</v>
      </c>
      <c r="K357" s="1643">
        <v>422994</v>
      </c>
      <c r="L357" s="1654"/>
      <c r="M357" s="1658"/>
      <c r="N357" s="1651">
        <v>183606.87</v>
      </c>
      <c r="O357" s="1672">
        <v>202861.06</v>
      </c>
      <c r="R357" s="431"/>
    </row>
    <row r="358" spans="1:18">
      <c r="A358" s="51">
        <f t="shared" si="2"/>
        <v>2023.01</v>
      </c>
      <c r="B358" s="50">
        <v>68930</v>
      </c>
      <c r="C358" s="1365">
        <v>37730</v>
      </c>
      <c r="D358" s="430">
        <v>31199</v>
      </c>
      <c r="E358" s="387">
        <v>958230</v>
      </c>
      <c r="F358" s="1650">
        <v>2070</v>
      </c>
      <c r="G358" s="1643">
        <v>24158</v>
      </c>
      <c r="H358" s="1654"/>
      <c r="I358" s="1658"/>
      <c r="J358" s="1650">
        <v>39387</v>
      </c>
      <c r="K358" s="1643">
        <v>423702</v>
      </c>
      <c r="L358" s="1654"/>
      <c r="M358" s="1658"/>
      <c r="N358" s="1651">
        <v>139949.24</v>
      </c>
      <c r="O358" s="1672">
        <v>154496.98000000001</v>
      </c>
      <c r="R358" s="431"/>
    </row>
    <row r="359" spans="1:18">
      <c r="A359" s="51">
        <f t="shared" si="2"/>
        <v>2023.02</v>
      </c>
      <c r="B359" s="50" t="e">
        <v>#N/A</v>
      </c>
      <c r="C359" s="1365" t="e">
        <v>#N/A</v>
      </c>
      <c r="D359" s="430" t="e">
        <v>#N/A</v>
      </c>
      <c r="E359" s="387">
        <v>895938</v>
      </c>
      <c r="F359" s="1650">
        <v>2093</v>
      </c>
      <c r="G359" s="1643">
        <v>21658</v>
      </c>
      <c r="H359" s="1654"/>
      <c r="I359" s="1658"/>
      <c r="J359" s="1650">
        <v>39264</v>
      </c>
      <c r="K359" s="1643">
        <v>430752</v>
      </c>
      <c r="L359" s="1654"/>
      <c r="M359" s="1658"/>
      <c r="N359" s="1651">
        <v>132660.51</v>
      </c>
      <c r="O359" s="1672">
        <v>151762.43</v>
      </c>
      <c r="R359" s="431"/>
    </row>
    <row r="360" spans="1:18">
      <c r="A360" s="51">
        <f t="shared" si="2"/>
        <v>2023.03</v>
      </c>
      <c r="B360" s="50" t="e">
        <v>#N/A</v>
      </c>
      <c r="C360" s="1365" t="e">
        <v>#N/A</v>
      </c>
      <c r="D360" s="430" t="e">
        <v>#N/A</v>
      </c>
      <c r="E360" s="387">
        <v>1113909</v>
      </c>
      <c r="F360" s="1650">
        <v>2140</v>
      </c>
      <c r="G360" s="1643">
        <v>22081</v>
      </c>
      <c r="H360" s="1654"/>
      <c r="I360" s="1658"/>
      <c r="J360" s="1650">
        <v>40377</v>
      </c>
      <c r="K360" s="1643">
        <v>446357</v>
      </c>
      <c r="L360" s="1654"/>
      <c r="M360" s="1658"/>
      <c r="N360" s="1651">
        <v>155143.32</v>
      </c>
      <c r="O360" s="1672">
        <v>178214.51</v>
      </c>
      <c r="R360" s="431"/>
    </row>
    <row r="361" spans="1:18">
      <c r="A361" s="51">
        <f t="shared" si="2"/>
        <v>2023.04</v>
      </c>
      <c r="B361" s="50" t="e">
        <v>#N/A</v>
      </c>
      <c r="C361" s="1365" t="e">
        <v>#N/A</v>
      </c>
      <c r="D361" s="430" t="e">
        <v>#N/A</v>
      </c>
      <c r="E361" s="387">
        <v>1028598</v>
      </c>
      <c r="F361" s="1650">
        <v>2149</v>
      </c>
      <c r="G361" s="1643">
        <v>22238</v>
      </c>
      <c r="H361" s="1654"/>
      <c r="I361" s="1658"/>
      <c r="J361" s="1650">
        <v>40121</v>
      </c>
      <c r="K361" s="1643">
        <v>444028</v>
      </c>
      <c r="L361" s="1654"/>
      <c r="M361" s="1658"/>
      <c r="N361" s="1651">
        <v>164676.29</v>
      </c>
      <c r="O361" s="1672">
        <v>187704.52</v>
      </c>
      <c r="R361" s="431"/>
    </row>
    <row r="362" spans="1:18">
      <c r="A362" s="51">
        <f t="shared" si="2"/>
        <v>2023.05</v>
      </c>
      <c r="B362" s="50" t="e">
        <v>#N/A</v>
      </c>
      <c r="C362" s="1365" t="e">
        <v>#N/A</v>
      </c>
      <c r="D362" s="430" t="e">
        <v>#N/A</v>
      </c>
      <c r="E362" s="387">
        <v>1071951</v>
      </c>
      <c r="F362" s="1650">
        <v>1851</v>
      </c>
      <c r="G362" s="1643">
        <v>18232</v>
      </c>
      <c r="H362" s="1654"/>
      <c r="I362" s="1658"/>
      <c r="J362" s="1650">
        <v>39895</v>
      </c>
      <c r="K362" s="1643">
        <v>447038</v>
      </c>
      <c r="L362" s="1654"/>
      <c r="M362" s="1658"/>
      <c r="N362" s="1651">
        <v>180745.02</v>
      </c>
      <c r="O362" s="1672">
        <v>206009.21</v>
      </c>
      <c r="R362" s="431"/>
    </row>
    <row r="363" spans="1:18">
      <c r="A363" s="51">
        <f t="shared" si="2"/>
        <v>2023.06</v>
      </c>
      <c r="B363" s="50" t="e">
        <v>#N/A</v>
      </c>
      <c r="C363" s="1365" t="e">
        <v>#N/A</v>
      </c>
      <c r="D363" s="430" t="e">
        <v>#N/A</v>
      </c>
      <c r="E363" s="387">
        <v>1080354</v>
      </c>
      <c r="F363" s="1650">
        <v>1912</v>
      </c>
      <c r="G363" s="1643">
        <v>18896</v>
      </c>
      <c r="H363" s="1654"/>
      <c r="I363" s="1658"/>
      <c r="J363" s="1650">
        <v>39109</v>
      </c>
      <c r="K363" s="1643">
        <v>442658</v>
      </c>
      <c r="L363" s="1654"/>
      <c r="M363" s="1658"/>
      <c r="N363" s="1651">
        <v>265048.89</v>
      </c>
      <c r="O363" s="1672">
        <v>300237.03999999998</v>
      </c>
      <c r="R363" s="431"/>
    </row>
    <row r="364" spans="1:18">
      <c r="A364" s="51">
        <f t="shared" si="2"/>
        <v>2023.07</v>
      </c>
      <c r="B364" s="50" t="e">
        <v>#N/A</v>
      </c>
      <c r="C364" s="1365" t="e">
        <v>#N/A</v>
      </c>
      <c r="D364" s="430" t="e">
        <v>#N/A</v>
      </c>
      <c r="E364" s="387">
        <v>1067680</v>
      </c>
      <c r="F364" s="1650">
        <v>1959</v>
      </c>
      <c r="G364" s="1643">
        <v>19456</v>
      </c>
      <c r="H364" s="1654"/>
      <c r="I364" s="1658"/>
      <c r="J364" s="1650">
        <v>37952</v>
      </c>
      <c r="K364" s="1643">
        <v>439835</v>
      </c>
      <c r="L364" s="1654"/>
      <c r="M364" s="1658"/>
      <c r="N364" s="1651">
        <v>201637.96</v>
      </c>
      <c r="O364" s="1672">
        <v>232983.55</v>
      </c>
      <c r="R364" s="431"/>
    </row>
    <row r="365" spans="1:18">
      <c r="A365" s="51">
        <f t="shared" si="2"/>
        <v>2023.08</v>
      </c>
      <c r="B365" s="50" t="e">
        <v>#N/A</v>
      </c>
      <c r="C365" s="1365" t="e">
        <v>#N/A</v>
      </c>
      <c r="D365" s="430" t="e">
        <v>#N/A</v>
      </c>
      <c r="E365" s="387">
        <v>1208153</v>
      </c>
      <c r="F365" s="1650">
        <v>2005</v>
      </c>
      <c r="G365" s="1643">
        <v>19986</v>
      </c>
      <c r="H365" s="1654"/>
      <c r="I365" s="1658"/>
      <c r="J365" s="1650">
        <v>38842</v>
      </c>
      <c r="K365" s="1643">
        <v>444668</v>
      </c>
      <c r="L365" s="1654"/>
      <c r="M365" s="1658"/>
      <c r="N365" s="1651">
        <v>232215.2</v>
      </c>
      <c r="O365" s="1672">
        <v>259385.89</v>
      </c>
      <c r="R365" s="431"/>
    </row>
    <row r="366" spans="1:18">
      <c r="A366" s="51">
        <f t="shared" si="2"/>
        <v>2023.09</v>
      </c>
      <c r="B366" s="50" t="e">
        <v>#N/A</v>
      </c>
      <c r="C366" s="1365" t="e">
        <v>#N/A</v>
      </c>
      <c r="D366" s="430" t="e">
        <v>#N/A</v>
      </c>
      <c r="E366" s="387">
        <v>1118070</v>
      </c>
      <c r="F366" s="1650">
        <v>2043</v>
      </c>
      <c r="G366" s="1643">
        <v>20405</v>
      </c>
      <c r="H366" s="1654"/>
      <c r="I366" s="1658"/>
      <c r="J366" s="1650">
        <v>39049</v>
      </c>
      <c r="K366" s="1643">
        <v>439463</v>
      </c>
      <c r="L366" s="1654"/>
      <c r="M366" s="1658"/>
      <c r="N366" s="1651">
        <v>237841</v>
      </c>
      <c r="O366" s="1672">
        <v>266503.71000000002</v>
      </c>
      <c r="R366" s="431"/>
    </row>
    <row r="367" spans="1:18">
      <c r="A367" s="51">
        <f t="shared" si="2"/>
        <v>2023.1</v>
      </c>
      <c r="B367" s="50" t="e">
        <v>#N/A</v>
      </c>
      <c r="C367" s="1365" t="e">
        <v>#N/A</v>
      </c>
      <c r="D367" s="430" t="e">
        <v>#N/A</v>
      </c>
      <c r="E367" s="387">
        <v>1125075</v>
      </c>
      <c r="F367" s="1650">
        <v>2076</v>
      </c>
      <c r="G367" s="1643">
        <v>20768</v>
      </c>
      <c r="H367" s="1654"/>
      <c r="I367" s="1658"/>
      <c r="J367" s="1650">
        <v>38655</v>
      </c>
      <c r="K367" s="1643">
        <v>431562</v>
      </c>
      <c r="L367" s="1654"/>
      <c r="M367" s="1658"/>
      <c r="N367" s="1651">
        <v>276399.05</v>
      </c>
      <c r="O367" s="1672">
        <v>308995.40999999997</v>
      </c>
      <c r="R367" s="431"/>
    </row>
    <row r="368" spans="1:18">
      <c r="A368" s="51">
        <f t="shared" si="2"/>
        <v>2023.11</v>
      </c>
      <c r="B368" s="50" t="e">
        <v>#N/A</v>
      </c>
      <c r="C368" s="1365" t="e">
        <v>#N/A</v>
      </c>
      <c r="D368" s="430" t="e">
        <v>#N/A</v>
      </c>
      <c r="E368" s="387">
        <v>1019879</v>
      </c>
      <c r="F368" s="1650">
        <v>2092</v>
      </c>
      <c r="G368" s="1643">
        <v>21006</v>
      </c>
      <c r="H368" s="1654"/>
      <c r="I368" s="1658"/>
      <c r="J368" s="1650">
        <v>38140</v>
      </c>
      <c r="K368" s="1643">
        <v>422239</v>
      </c>
      <c r="L368" s="1654"/>
      <c r="M368" s="1658"/>
      <c r="N368" s="1651">
        <v>308057.26</v>
      </c>
      <c r="O368" s="1672">
        <v>337299.5</v>
      </c>
      <c r="R368" s="431"/>
    </row>
    <row r="369" spans="1:18">
      <c r="A369" s="51">
        <f t="shared" si="2"/>
        <v>2023.12</v>
      </c>
      <c r="B369" s="50" t="e">
        <v>#N/A</v>
      </c>
      <c r="C369" s="1365" t="e">
        <v>#N/A</v>
      </c>
      <c r="D369" s="430" t="e">
        <v>#N/A</v>
      </c>
      <c r="E369" s="387">
        <v>810343</v>
      </c>
      <c r="F369" s="1650">
        <v>2107</v>
      </c>
      <c r="G369" s="1643">
        <v>21172</v>
      </c>
      <c r="H369" s="1654"/>
      <c r="I369" s="1658"/>
      <c r="J369" s="1650">
        <v>36358</v>
      </c>
      <c r="K369" s="1643">
        <v>394478</v>
      </c>
      <c r="L369" s="1654"/>
      <c r="M369" s="1658"/>
      <c r="N369" s="1651">
        <v>466204.93</v>
      </c>
      <c r="O369" s="1672">
        <v>540093.29</v>
      </c>
      <c r="R369" s="431"/>
    </row>
    <row r="370" spans="1:18">
      <c r="A370" s="51">
        <f t="shared" si="2"/>
        <v>2024.01</v>
      </c>
      <c r="B370" s="50" t="e">
        <v>#N/A</v>
      </c>
      <c r="C370" s="1365" t="e">
        <v>#N/A</v>
      </c>
      <c r="D370" s="430" t="e">
        <v>#N/A</v>
      </c>
      <c r="E370" s="387">
        <v>767263</v>
      </c>
      <c r="F370" s="1650">
        <v>2117</v>
      </c>
      <c r="G370" s="1643">
        <v>21313</v>
      </c>
      <c r="H370" s="1654"/>
      <c r="I370" s="1658"/>
      <c r="J370" s="1650">
        <v>35318</v>
      </c>
      <c r="K370" s="1643">
        <v>370292</v>
      </c>
      <c r="L370" s="1654"/>
      <c r="M370" s="1658"/>
      <c r="N370" s="1651">
        <v>416128.6</v>
      </c>
      <c r="O370" s="1672">
        <v>465164.95628189907</v>
      </c>
      <c r="R370" s="431"/>
    </row>
    <row r="371" spans="1:18">
      <c r="A371" s="51">
        <f t="shared" ref="A371:A434" si="3">A359+1</f>
        <v>2024.02</v>
      </c>
      <c r="B371" s="50" t="e">
        <v>#N/A</v>
      </c>
      <c r="C371" s="1365" t="e">
        <v>#N/A</v>
      </c>
      <c r="D371" s="430" t="e">
        <v>#N/A</v>
      </c>
      <c r="E371" s="387">
        <v>683899</v>
      </c>
      <c r="F371" s="1650">
        <v>2089</v>
      </c>
      <c r="G371" s="1643">
        <v>21150</v>
      </c>
      <c r="H371" s="1654"/>
      <c r="I371" s="1658"/>
      <c r="J371" s="1650">
        <v>34863.361926726204</v>
      </c>
      <c r="K371" s="1643">
        <v>360209.99930146197</v>
      </c>
      <c r="L371" s="1654"/>
      <c r="M371" s="1658"/>
      <c r="N371" s="1651">
        <v>414477.81294943014</v>
      </c>
      <c r="O371" s="1672">
        <v>465112.23452223744</v>
      </c>
      <c r="R371" s="431"/>
    </row>
    <row r="372" spans="1:18">
      <c r="A372" s="51">
        <f t="shared" si="3"/>
        <v>2024.03</v>
      </c>
      <c r="B372" s="50" t="e">
        <v>#N/A</v>
      </c>
      <c r="C372" s="1365" t="e">
        <v>#N/A</v>
      </c>
      <c r="D372" s="430" t="e">
        <v>#N/A</v>
      </c>
      <c r="E372" s="387">
        <v>634342</v>
      </c>
      <c r="F372" s="1650">
        <v>2092</v>
      </c>
      <c r="G372" s="1643">
        <v>20241</v>
      </c>
      <c r="H372" s="1654"/>
      <c r="I372" s="1658"/>
      <c r="J372" s="1650" t="e">
        <v>#N/A</v>
      </c>
      <c r="K372" s="1643" t="e">
        <v>#N/A</v>
      </c>
      <c r="L372" s="1654"/>
      <c r="M372" s="1658"/>
      <c r="N372" s="1651" t="e">
        <v>#N/A</v>
      </c>
      <c r="O372" s="1672" t="e">
        <v>#N/A</v>
      </c>
      <c r="R372" s="431"/>
    </row>
    <row r="373" spans="1:18">
      <c r="A373" s="51">
        <f t="shared" si="3"/>
        <v>2024.04</v>
      </c>
      <c r="B373" s="50" t="e">
        <v>#N/A</v>
      </c>
      <c r="C373" s="1365" t="e">
        <v>#N/A</v>
      </c>
      <c r="D373" s="430" t="e">
        <v>#N/A</v>
      </c>
      <c r="E373" s="387">
        <v>661122</v>
      </c>
      <c r="F373" s="1650" t="e">
        <v>#N/A</v>
      </c>
      <c r="G373" s="1643" t="e">
        <v>#N/A</v>
      </c>
      <c r="H373" s="1654"/>
      <c r="I373" s="1658"/>
      <c r="J373" s="1650" t="e">
        <v>#N/A</v>
      </c>
      <c r="K373" s="1643" t="e">
        <v>#N/A</v>
      </c>
      <c r="L373" s="1654"/>
      <c r="M373" s="1658"/>
      <c r="N373" s="1651" t="e">
        <v>#N/A</v>
      </c>
      <c r="O373" s="1672" t="e">
        <v>#N/A</v>
      </c>
      <c r="R373" s="431"/>
    </row>
    <row r="374" spans="1:18">
      <c r="A374" s="51">
        <f t="shared" si="3"/>
        <v>2024.05</v>
      </c>
      <c r="B374" s="50" t="e">
        <v>#N/A</v>
      </c>
      <c r="C374" s="1365" t="e">
        <v>#N/A</v>
      </c>
      <c r="D374" s="430" t="e">
        <v>#N/A</v>
      </c>
      <c r="E374" s="387" t="e">
        <v>#N/A</v>
      </c>
      <c r="F374" s="1650" t="e">
        <v>#N/A</v>
      </c>
      <c r="G374" s="1643" t="e">
        <v>#N/A</v>
      </c>
      <c r="H374" s="1654"/>
      <c r="I374" s="1658"/>
      <c r="J374" s="1650" t="e">
        <v>#N/A</v>
      </c>
      <c r="K374" s="1643" t="e">
        <v>#N/A</v>
      </c>
      <c r="L374" s="1654"/>
      <c r="M374" s="1658"/>
      <c r="N374" s="1651" t="e">
        <v>#N/A</v>
      </c>
      <c r="O374" s="1672" t="e">
        <v>#N/A</v>
      </c>
      <c r="R374" s="431"/>
    </row>
    <row r="375" spans="1:18">
      <c r="A375" s="51">
        <f t="shared" si="3"/>
        <v>2024.06</v>
      </c>
      <c r="B375" s="50" t="e">
        <v>#N/A</v>
      </c>
      <c r="C375" s="1365" t="e">
        <v>#N/A</v>
      </c>
      <c r="D375" s="430" t="e">
        <v>#N/A</v>
      </c>
      <c r="E375" s="387" t="e">
        <v>#N/A</v>
      </c>
      <c r="F375" s="1650" t="e">
        <v>#N/A</v>
      </c>
      <c r="G375" s="1643" t="e">
        <v>#N/A</v>
      </c>
      <c r="H375" s="1654"/>
      <c r="I375" s="1658"/>
      <c r="J375" s="1650" t="e">
        <v>#N/A</v>
      </c>
      <c r="K375" s="1643" t="e">
        <v>#N/A</v>
      </c>
      <c r="L375" s="1654"/>
      <c r="M375" s="1658"/>
      <c r="N375" s="1651" t="e">
        <v>#N/A</v>
      </c>
      <c r="O375" s="1672" t="e">
        <v>#N/A</v>
      </c>
      <c r="R375" s="431"/>
    </row>
    <row r="376" spans="1:18">
      <c r="A376" s="51">
        <f t="shared" si="3"/>
        <v>2024.07</v>
      </c>
      <c r="B376" s="50" t="e">
        <v>#N/A</v>
      </c>
      <c r="C376" s="1365" t="e">
        <v>#N/A</v>
      </c>
      <c r="D376" s="430" t="e">
        <v>#N/A</v>
      </c>
      <c r="E376" s="387" t="e">
        <v>#N/A</v>
      </c>
      <c r="F376" s="1650" t="e">
        <v>#N/A</v>
      </c>
      <c r="G376" s="1643" t="e">
        <v>#N/A</v>
      </c>
      <c r="H376" s="1654"/>
      <c r="I376" s="1658"/>
      <c r="J376" s="1650" t="e">
        <v>#N/A</v>
      </c>
      <c r="K376" s="1643" t="e">
        <v>#N/A</v>
      </c>
      <c r="L376" s="1654"/>
      <c r="M376" s="1658"/>
      <c r="N376" s="1651" t="e">
        <v>#N/A</v>
      </c>
      <c r="O376" s="1672" t="e">
        <v>#N/A</v>
      </c>
      <c r="R376" s="431"/>
    </row>
    <row r="377" spans="1:18">
      <c r="A377" s="51">
        <f t="shared" si="3"/>
        <v>2024.08</v>
      </c>
      <c r="B377" s="50" t="e">
        <v>#N/A</v>
      </c>
      <c r="C377" s="1365" t="e">
        <v>#N/A</v>
      </c>
      <c r="D377" s="430" t="e">
        <v>#N/A</v>
      </c>
      <c r="E377" s="387" t="e">
        <v>#N/A</v>
      </c>
      <c r="F377" s="1650" t="e">
        <v>#N/A</v>
      </c>
      <c r="G377" s="1643" t="e">
        <v>#N/A</v>
      </c>
      <c r="H377" s="1654"/>
      <c r="I377" s="1658"/>
      <c r="J377" s="1650" t="e">
        <v>#N/A</v>
      </c>
      <c r="K377" s="1643" t="e">
        <v>#N/A</v>
      </c>
      <c r="L377" s="1654"/>
      <c r="M377" s="1658"/>
      <c r="N377" s="1651" t="e">
        <v>#N/A</v>
      </c>
      <c r="O377" s="1672" t="e">
        <v>#N/A</v>
      </c>
      <c r="R377" s="431"/>
    </row>
    <row r="378" spans="1:18">
      <c r="A378" s="51">
        <f t="shared" si="3"/>
        <v>2024.09</v>
      </c>
      <c r="B378" s="50" t="e">
        <v>#N/A</v>
      </c>
      <c r="C378" s="1365" t="e">
        <v>#N/A</v>
      </c>
      <c r="D378" s="430" t="e">
        <v>#N/A</v>
      </c>
      <c r="E378" s="387" t="e">
        <v>#N/A</v>
      </c>
      <c r="F378" s="1650" t="e">
        <v>#N/A</v>
      </c>
      <c r="G378" s="1643" t="e">
        <v>#N/A</v>
      </c>
      <c r="H378" s="1654"/>
      <c r="I378" s="1658"/>
      <c r="J378" s="1650" t="e">
        <v>#N/A</v>
      </c>
      <c r="K378" s="1643" t="e">
        <v>#N/A</v>
      </c>
      <c r="L378" s="1654"/>
      <c r="M378" s="1658"/>
      <c r="N378" s="1651" t="e">
        <v>#N/A</v>
      </c>
      <c r="O378" s="1672" t="e">
        <v>#N/A</v>
      </c>
      <c r="R378" s="431"/>
    </row>
    <row r="379" spans="1:18">
      <c r="A379" s="51">
        <f t="shared" si="3"/>
        <v>2024.1</v>
      </c>
      <c r="B379" s="50" t="e">
        <v>#N/A</v>
      </c>
      <c r="C379" s="1365" t="e">
        <v>#N/A</v>
      </c>
      <c r="D379" s="430" t="e">
        <v>#N/A</v>
      </c>
      <c r="E379" s="387" t="e">
        <v>#N/A</v>
      </c>
      <c r="F379" s="1650" t="e">
        <v>#N/A</v>
      </c>
      <c r="G379" s="1643" t="e">
        <v>#N/A</v>
      </c>
      <c r="H379" s="1654"/>
      <c r="I379" s="1658"/>
      <c r="J379" s="1650" t="e">
        <v>#N/A</v>
      </c>
      <c r="K379" s="1643" t="e">
        <v>#N/A</v>
      </c>
      <c r="L379" s="1654"/>
      <c r="M379" s="1658"/>
      <c r="N379" s="1651" t="e">
        <v>#N/A</v>
      </c>
      <c r="O379" s="1672" t="e">
        <v>#N/A</v>
      </c>
      <c r="R379" s="431"/>
    </row>
    <row r="380" spans="1:18">
      <c r="A380" s="51">
        <f t="shared" si="3"/>
        <v>2024.11</v>
      </c>
      <c r="B380" s="50" t="e">
        <v>#N/A</v>
      </c>
      <c r="C380" s="1365" t="e">
        <v>#N/A</v>
      </c>
      <c r="D380" s="430" t="e">
        <v>#N/A</v>
      </c>
      <c r="E380" s="387" t="e">
        <v>#N/A</v>
      </c>
      <c r="F380" s="1650" t="e">
        <v>#N/A</v>
      </c>
      <c r="G380" s="1643" t="e">
        <v>#N/A</v>
      </c>
      <c r="H380" s="1654"/>
      <c r="I380" s="1658"/>
      <c r="J380" s="1650" t="e">
        <v>#N/A</v>
      </c>
      <c r="K380" s="1643" t="e">
        <v>#N/A</v>
      </c>
      <c r="L380" s="1654"/>
      <c r="M380" s="1658"/>
      <c r="N380" s="1651" t="e">
        <v>#N/A</v>
      </c>
      <c r="O380" s="1672" t="e">
        <v>#N/A</v>
      </c>
      <c r="R380" s="431"/>
    </row>
    <row r="381" spans="1:18">
      <c r="A381" s="51">
        <f t="shared" si="3"/>
        <v>2024.12</v>
      </c>
      <c r="B381" s="50" t="e">
        <v>#N/A</v>
      </c>
      <c r="C381" s="1365" t="e">
        <v>#N/A</v>
      </c>
      <c r="D381" s="430" t="e">
        <v>#N/A</v>
      </c>
      <c r="E381" s="387" t="e">
        <v>#N/A</v>
      </c>
      <c r="F381" s="1650" t="e">
        <v>#N/A</v>
      </c>
      <c r="G381" s="1643" t="e">
        <v>#N/A</v>
      </c>
      <c r="H381" s="1654"/>
      <c r="I381" s="1658"/>
      <c r="J381" s="1650" t="e">
        <v>#N/A</v>
      </c>
      <c r="K381" s="1643" t="e">
        <v>#N/A</v>
      </c>
      <c r="L381" s="1654"/>
      <c r="M381" s="1658"/>
      <c r="N381" s="1651" t="e">
        <v>#N/A</v>
      </c>
      <c r="O381" s="1672" t="e">
        <v>#N/A</v>
      </c>
      <c r="R381" s="431"/>
    </row>
    <row r="382" spans="1:18">
      <c r="A382" s="51">
        <f t="shared" si="3"/>
        <v>2025.01</v>
      </c>
      <c r="B382" s="50" t="e">
        <v>#N/A</v>
      </c>
      <c r="C382" s="1365" t="e">
        <v>#N/A</v>
      </c>
      <c r="D382" s="430" t="e">
        <v>#N/A</v>
      </c>
      <c r="E382" s="387" t="e">
        <v>#N/A</v>
      </c>
      <c r="F382" s="1650" t="e">
        <v>#N/A</v>
      </c>
      <c r="G382" s="1643" t="e">
        <v>#N/A</v>
      </c>
      <c r="H382" s="1654"/>
      <c r="I382" s="1658"/>
      <c r="J382" s="1650" t="e">
        <v>#N/A</v>
      </c>
      <c r="K382" s="1643" t="e">
        <v>#N/A</v>
      </c>
      <c r="L382" s="1654"/>
      <c r="M382" s="1658"/>
      <c r="N382" s="1651" t="e">
        <v>#N/A</v>
      </c>
      <c r="O382" s="1672" t="e">
        <v>#N/A</v>
      </c>
      <c r="R382" s="431"/>
    </row>
    <row r="383" spans="1:18">
      <c r="A383" s="51">
        <f t="shared" si="3"/>
        <v>2025.02</v>
      </c>
      <c r="B383" s="50" t="e">
        <v>#N/A</v>
      </c>
      <c r="C383" s="1365" t="e">
        <v>#N/A</v>
      </c>
      <c r="D383" s="430" t="e">
        <v>#N/A</v>
      </c>
      <c r="E383" s="387" t="e">
        <v>#N/A</v>
      </c>
      <c r="F383" s="1650" t="e">
        <v>#N/A</v>
      </c>
      <c r="G383" s="1643" t="e">
        <v>#N/A</v>
      </c>
      <c r="H383" s="1654"/>
      <c r="I383" s="1658"/>
      <c r="J383" s="1650" t="e">
        <v>#N/A</v>
      </c>
      <c r="K383" s="1643" t="e">
        <v>#N/A</v>
      </c>
      <c r="L383" s="1654"/>
      <c r="M383" s="1658"/>
      <c r="N383" s="1651" t="e">
        <v>#N/A</v>
      </c>
      <c r="O383" s="1672" t="e">
        <v>#N/A</v>
      </c>
      <c r="R383" s="431"/>
    </row>
    <row r="384" spans="1:18">
      <c r="A384" s="51">
        <f t="shared" si="3"/>
        <v>2025.03</v>
      </c>
      <c r="B384" s="50" t="e">
        <v>#N/A</v>
      </c>
      <c r="C384" s="1365" t="e">
        <v>#N/A</v>
      </c>
      <c r="D384" s="430" t="e">
        <v>#N/A</v>
      </c>
      <c r="E384" s="387" t="e">
        <v>#N/A</v>
      </c>
      <c r="F384" s="1650" t="e">
        <v>#N/A</v>
      </c>
      <c r="G384" s="1643" t="e">
        <v>#N/A</v>
      </c>
      <c r="H384" s="1654"/>
      <c r="I384" s="1658"/>
      <c r="J384" s="1650" t="e">
        <v>#N/A</v>
      </c>
      <c r="K384" s="1643" t="e">
        <v>#N/A</v>
      </c>
      <c r="L384" s="1654"/>
      <c r="M384" s="1658"/>
      <c r="N384" s="1651" t="e">
        <v>#N/A</v>
      </c>
      <c r="O384" s="1672" t="e">
        <v>#N/A</v>
      </c>
      <c r="R384" s="431"/>
    </row>
    <row r="385" spans="1:18">
      <c r="A385" s="51">
        <f t="shared" si="3"/>
        <v>2025.04</v>
      </c>
      <c r="B385" s="50" t="e">
        <v>#N/A</v>
      </c>
      <c r="C385" s="1365" t="e">
        <v>#N/A</v>
      </c>
      <c r="D385" s="430" t="e">
        <v>#N/A</v>
      </c>
      <c r="E385" s="387" t="e">
        <v>#N/A</v>
      </c>
      <c r="F385" s="1650" t="e">
        <v>#N/A</v>
      </c>
      <c r="G385" s="1643" t="e">
        <v>#N/A</v>
      </c>
      <c r="H385" s="1654"/>
      <c r="I385" s="1658"/>
      <c r="J385" s="1650" t="e">
        <v>#N/A</v>
      </c>
      <c r="K385" s="1643" t="e">
        <v>#N/A</v>
      </c>
      <c r="L385" s="1654"/>
      <c r="M385" s="1658"/>
      <c r="N385" s="1651" t="e">
        <v>#N/A</v>
      </c>
      <c r="O385" s="1672" t="e">
        <v>#N/A</v>
      </c>
      <c r="R385" s="431"/>
    </row>
    <row r="386" spans="1:18">
      <c r="A386" s="51">
        <f t="shared" si="3"/>
        <v>2025.05</v>
      </c>
      <c r="B386" s="50" t="e">
        <v>#N/A</v>
      </c>
      <c r="C386" s="1365" t="e">
        <v>#N/A</v>
      </c>
      <c r="D386" s="430" t="e">
        <v>#N/A</v>
      </c>
      <c r="E386" s="387" t="e">
        <v>#N/A</v>
      </c>
      <c r="F386" s="1650" t="e">
        <v>#N/A</v>
      </c>
      <c r="G386" s="1643" t="e">
        <v>#N/A</v>
      </c>
      <c r="H386" s="1654"/>
      <c r="I386" s="1658"/>
      <c r="J386" s="1650" t="e">
        <v>#N/A</v>
      </c>
      <c r="K386" s="1643" t="e">
        <v>#N/A</v>
      </c>
      <c r="L386" s="1654"/>
      <c r="M386" s="1658"/>
      <c r="N386" s="1651" t="e">
        <v>#N/A</v>
      </c>
      <c r="O386" s="1672" t="e">
        <v>#N/A</v>
      </c>
      <c r="R386" s="431"/>
    </row>
    <row r="387" spans="1:18">
      <c r="A387" s="51">
        <f t="shared" si="3"/>
        <v>2025.06</v>
      </c>
      <c r="B387" s="50" t="e">
        <v>#N/A</v>
      </c>
      <c r="C387" s="1365" t="e">
        <v>#N/A</v>
      </c>
      <c r="D387" s="430" t="e">
        <v>#N/A</v>
      </c>
      <c r="E387" s="387" t="e">
        <v>#N/A</v>
      </c>
      <c r="F387" s="1650" t="e">
        <v>#N/A</v>
      </c>
      <c r="G387" s="1643" t="e">
        <v>#N/A</v>
      </c>
      <c r="H387" s="1654"/>
      <c r="I387" s="1658"/>
      <c r="J387" s="1650" t="e">
        <v>#N/A</v>
      </c>
      <c r="K387" s="1643" t="e">
        <v>#N/A</v>
      </c>
      <c r="L387" s="1654"/>
      <c r="M387" s="1658"/>
      <c r="N387" s="1651" t="e">
        <v>#N/A</v>
      </c>
      <c r="O387" s="1672" t="e">
        <v>#N/A</v>
      </c>
      <c r="R387" s="431"/>
    </row>
    <row r="388" spans="1:18">
      <c r="A388" s="51">
        <f t="shared" si="3"/>
        <v>2025.07</v>
      </c>
      <c r="B388" s="50" t="e">
        <v>#N/A</v>
      </c>
      <c r="C388" s="1365" t="e">
        <v>#N/A</v>
      </c>
      <c r="D388" s="430" t="e">
        <v>#N/A</v>
      </c>
      <c r="E388" s="387" t="e">
        <v>#N/A</v>
      </c>
      <c r="F388" s="1650" t="e">
        <v>#N/A</v>
      </c>
      <c r="G388" s="1643" t="e">
        <v>#N/A</v>
      </c>
      <c r="H388" s="1654"/>
      <c r="I388" s="1658"/>
      <c r="J388" s="1650" t="e">
        <v>#N/A</v>
      </c>
      <c r="K388" s="1643" t="e">
        <v>#N/A</v>
      </c>
      <c r="L388" s="1654"/>
      <c r="M388" s="1658"/>
      <c r="N388" s="1651" t="e">
        <v>#N/A</v>
      </c>
      <c r="O388" s="1672" t="e">
        <v>#N/A</v>
      </c>
      <c r="R388" s="431"/>
    </row>
    <row r="389" spans="1:18">
      <c r="A389" s="51">
        <f t="shared" si="3"/>
        <v>2025.08</v>
      </c>
      <c r="B389" s="50" t="e">
        <v>#N/A</v>
      </c>
      <c r="C389" s="1365" t="e">
        <v>#N/A</v>
      </c>
      <c r="D389" s="430" t="e">
        <v>#N/A</v>
      </c>
      <c r="E389" s="387" t="e">
        <v>#N/A</v>
      </c>
      <c r="F389" s="1650" t="e">
        <v>#N/A</v>
      </c>
      <c r="G389" s="1643" t="e">
        <v>#N/A</v>
      </c>
      <c r="H389" s="1654"/>
      <c r="I389" s="1658"/>
      <c r="J389" s="1650" t="e">
        <v>#N/A</v>
      </c>
      <c r="K389" s="1643" t="e">
        <v>#N/A</v>
      </c>
      <c r="L389" s="1654"/>
      <c r="M389" s="1658"/>
      <c r="N389" s="1651" t="e">
        <v>#N/A</v>
      </c>
      <c r="O389" s="1672" t="e">
        <v>#N/A</v>
      </c>
      <c r="R389" s="431"/>
    </row>
    <row r="390" spans="1:18">
      <c r="A390" s="51">
        <f t="shared" si="3"/>
        <v>2025.09</v>
      </c>
      <c r="B390" s="50" t="e">
        <v>#N/A</v>
      </c>
      <c r="C390" s="1365" t="e">
        <v>#N/A</v>
      </c>
      <c r="D390" s="430" t="e">
        <v>#N/A</v>
      </c>
      <c r="E390" s="387" t="e">
        <v>#N/A</v>
      </c>
      <c r="F390" s="1650" t="e">
        <v>#N/A</v>
      </c>
      <c r="G390" s="1643" t="e">
        <v>#N/A</v>
      </c>
      <c r="H390" s="1654"/>
      <c r="I390" s="1658"/>
      <c r="J390" s="1650" t="e">
        <v>#N/A</v>
      </c>
      <c r="K390" s="1643" t="e">
        <v>#N/A</v>
      </c>
      <c r="L390" s="1654"/>
      <c r="M390" s="1658"/>
      <c r="N390" s="1651" t="e">
        <v>#N/A</v>
      </c>
      <c r="O390" s="1672" t="e">
        <v>#N/A</v>
      </c>
      <c r="R390" s="431"/>
    </row>
    <row r="391" spans="1:18">
      <c r="A391" s="51">
        <f t="shared" si="3"/>
        <v>2025.1</v>
      </c>
      <c r="B391" s="50" t="e">
        <v>#N/A</v>
      </c>
      <c r="C391" s="1365" t="e">
        <v>#N/A</v>
      </c>
      <c r="D391" s="430" t="e">
        <v>#N/A</v>
      </c>
      <c r="E391" s="387" t="e">
        <v>#N/A</v>
      </c>
      <c r="F391" s="1650" t="e">
        <v>#N/A</v>
      </c>
      <c r="G391" s="1643" t="e">
        <v>#N/A</v>
      </c>
      <c r="H391" s="1654"/>
      <c r="I391" s="1658"/>
      <c r="J391" s="1650" t="e">
        <v>#N/A</v>
      </c>
      <c r="K391" s="1643" t="e">
        <v>#N/A</v>
      </c>
      <c r="L391" s="1654"/>
      <c r="M391" s="1658"/>
      <c r="N391" s="1651" t="e">
        <v>#N/A</v>
      </c>
      <c r="O391" s="1672" t="e">
        <v>#N/A</v>
      </c>
      <c r="R391" s="431"/>
    </row>
    <row r="392" spans="1:18">
      <c r="A392" s="51">
        <f t="shared" si="3"/>
        <v>2025.11</v>
      </c>
      <c r="B392" s="50" t="e">
        <v>#N/A</v>
      </c>
      <c r="C392" s="1365" t="e">
        <v>#N/A</v>
      </c>
      <c r="D392" s="430" t="e">
        <v>#N/A</v>
      </c>
      <c r="E392" s="387" t="e">
        <v>#N/A</v>
      </c>
      <c r="F392" s="1650" t="e">
        <v>#N/A</v>
      </c>
      <c r="G392" s="1643" t="e">
        <v>#N/A</v>
      </c>
      <c r="H392" s="1654"/>
      <c r="I392" s="1658"/>
      <c r="J392" s="1650" t="e">
        <v>#N/A</v>
      </c>
      <c r="K392" s="1643" t="e">
        <v>#N/A</v>
      </c>
      <c r="L392" s="1654"/>
      <c r="M392" s="1658"/>
      <c r="N392" s="1651" t="e">
        <v>#N/A</v>
      </c>
      <c r="O392" s="1672" t="e">
        <v>#N/A</v>
      </c>
      <c r="R392" s="431"/>
    </row>
    <row r="393" spans="1:18">
      <c r="A393" s="51">
        <f t="shared" si="3"/>
        <v>2025.12</v>
      </c>
      <c r="B393" s="50" t="e">
        <v>#N/A</v>
      </c>
      <c r="C393" s="1365" t="e">
        <v>#N/A</v>
      </c>
      <c r="D393" s="430" t="e">
        <v>#N/A</v>
      </c>
      <c r="E393" s="387" t="e">
        <v>#N/A</v>
      </c>
      <c r="F393" s="1650" t="e">
        <v>#N/A</v>
      </c>
      <c r="G393" s="1643" t="e">
        <v>#N/A</v>
      </c>
      <c r="H393" s="1654"/>
      <c r="I393" s="1658"/>
      <c r="J393" s="1650" t="e">
        <v>#N/A</v>
      </c>
      <c r="K393" s="1643" t="e">
        <v>#N/A</v>
      </c>
      <c r="L393" s="1654"/>
      <c r="M393" s="1658"/>
      <c r="N393" s="1651" t="e">
        <v>#N/A</v>
      </c>
      <c r="O393" s="1672" t="e">
        <v>#N/A</v>
      </c>
      <c r="R393" s="431"/>
    </row>
    <row r="394" spans="1:18">
      <c r="A394" s="51">
        <f t="shared" si="3"/>
        <v>2026.01</v>
      </c>
      <c r="B394" s="50" t="e">
        <v>#N/A</v>
      </c>
      <c r="C394" s="1365" t="e">
        <v>#N/A</v>
      </c>
      <c r="D394" s="430" t="e">
        <v>#N/A</v>
      </c>
      <c r="E394" s="387" t="e">
        <v>#N/A</v>
      </c>
      <c r="F394" s="1650" t="e">
        <v>#N/A</v>
      </c>
      <c r="G394" s="1643" t="e">
        <v>#N/A</v>
      </c>
      <c r="H394" s="1654"/>
      <c r="I394" s="1658"/>
      <c r="J394" s="1650" t="e">
        <v>#N/A</v>
      </c>
      <c r="K394" s="1643" t="e">
        <v>#N/A</v>
      </c>
      <c r="L394" s="1654"/>
      <c r="M394" s="1658"/>
      <c r="N394" s="1651" t="e">
        <v>#N/A</v>
      </c>
      <c r="O394" s="1672" t="e">
        <v>#N/A</v>
      </c>
    </row>
    <row r="395" spans="1:18">
      <c r="A395" s="51">
        <f t="shared" si="3"/>
        <v>2026.02</v>
      </c>
      <c r="B395" s="50" t="e">
        <v>#N/A</v>
      </c>
      <c r="C395" s="1365" t="e">
        <v>#N/A</v>
      </c>
      <c r="D395" s="430" t="e">
        <v>#N/A</v>
      </c>
      <c r="E395" s="387" t="e">
        <v>#N/A</v>
      </c>
      <c r="F395" s="1650" t="e">
        <v>#N/A</v>
      </c>
      <c r="G395" s="1643" t="e">
        <v>#N/A</v>
      </c>
      <c r="H395" s="1654"/>
      <c r="I395" s="1658"/>
      <c r="J395" s="1650" t="e">
        <v>#N/A</v>
      </c>
      <c r="K395" s="1643" t="e">
        <v>#N/A</v>
      </c>
      <c r="L395" s="1654"/>
      <c r="M395" s="1658"/>
      <c r="N395" s="1651" t="e">
        <v>#N/A</v>
      </c>
      <c r="O395" s="1672" t="e">
        <v>#N/A</v>
      </c>
    </row>
    <row r="396" spans="1:18">
      <c r="A396" s="51">
        <f t="shared" si="3"/>
        <v>2026.03</v>
      </c>
      <c r="B396" s="50" t="e">
        <v>#N/A</v>
      </c>
      <c r="C396" s="1365" t="e">
        <v>#N/A</v>
      </c>
      <c r="D396" s="430" t="e">
        <v>#N/A</v>
      </c>
      <c r="E396" s="387" t="e">
        <v>#N/A</v>
      </c>
      <c r="F396" s="1650" t="e">
        <v>#N/A</v>
      </c>
      <c r="G396" s="1643" t="e">
        <v>#N/A</v>
      </c>
      <c r="H396" s="1654"/>
      <c r="I396" s="1658"/>
      <c r="J396" s="1650" t="e">
        <v>#N/A</v>
      </c>
      <c r="K396" s="1643" t="e">
        <v>#N/A</v>
      </c>
      <c r="L396" s="1654"/>
      <c r="M396" s="1658"/>
      <c r="N396" s="1651" t="e">
        <v>#N/A</v>
      </c>
      <c r="O396" s="1672" t="e">
        <v>#N/A</v>
      </c>
    </row>
    <row r="397" spans="1:18">
      <c r="A397" s="51">
        <f t="shared" si="3"/>
        <v>2026.04</v>
      </c>
      <c r="B397" s="50" t="e">
        <v>#N/A</v>
      </c>
      <c r="C397" s="1365" t="e">
        <v>#N/A</v>
      </c>
      <c r="D397" s="430" t="e">
        <v>#N/A</v>
      </c>
      <c r="E397" s="387" t="e">
        <v>#N/A</v>
      </c>
      <c r="F397" s="1650" t="e">
        <v>#N/A</v>
      </c>
      <c r="G397" s="1643" t="e">
        <v>#N/A</v>
      </c>
      <c r="H397" s="1654"/>
      <c r="I397" s="1658"/>
      <c r="J397" s="1650" t="e">
        <v>#N/A</v>
      </c>
      <c r="K397" s="1643" t="e">
        <v>#N/A</v>
      </c>
      <c r="L397" s="1654"/>
      <c r="M397" s="1658"/>
      <c r="N397" s="1651" t="e">
        <v>#N/A</v>
      </c>
      <c r="O397" s="1672" t="e">
        <v>#N/A</v>
      </c>
    </row>
    <row r="398" spans="1:18">
      <c r="A398" s="51">
        <f t="shared" si="3"/>
        <v>2026.05</v>
      </c>
      <c r="B398" s="50" t="e">
        <v>#N/A</v>
      </c>
      <c r="C398" s="1365" t="e">
        <v>#N/A</v>
      </c>
      <c r="D398" s="430" t="e">
        <v>#N/A</v>
      </c>
      <c r="E398" s="387" t="e">
        <v>#N/A</v>
      </c>
      <c r="F398" s="1650" t="e">
        <v>#N/A</v>
      </c>
      <c r="G398" s="1643" t="e">
        <v>#N/A</v>
      </c>
      <c r="H398" s="1654"/>
      <c r="I398" s="1658"/>
      <c r="J398" s="1650" t="e">
        <v>#N/A</v>
      </c>
      <c r="K398" s="1643" t="e">
        <v>#N/A</v>
      </c>
      <c r="L398" s="1654"/>
      <c r="M398" s="1658"/>
      <c r="N398" s="1651" t="e">
        <v>#N/A</v>
      </c>
      <c r="O398" s="1672" t="e">
        <v>#N/A</v>
      </c>
    </row>
    <row r="399" spans="1:18">
      <c r="A399" s="51">
        <f t="shared" si="3"/>
        <v>2026.06</v>
      </c>
      <c r="B399" s="50" t="e">
        <v>#N/A</v>
      </c>
      <c r="C399" s="1365" t="e">
        <v>#N/A</v>
      </c>
      <c r="D399" s="430" t="e">
        <v>#N/A</v>
      </c>
      <c r="E399" s="387" t="e">
        <v>#N/A</v>
      </c>
      <c r="F399" s="1650" t="e">
        <v>#N/A</v>
      </c>
      <c r="G399" s="1643" t="e">
        <v>#N/A</v>
      </c>
      <c r="H399" s="1654"/>
      <c r="I399" s="1658"/>
      <c r="J399" s="1650" t="e">
        <v>#N/A</v>
      </c>
      <c r="K399" s="1643" t="e">
        <v>#N/A</v>
      </c>
      <c r="L399" s="1654"/>
      <c r="M399" s="1658"/>
      <c r="N399" s="1651" t="e">
        <v>#N/A</v>
      </c>
      <c r="O399" s="1672" t="e">
        <v>#N/A</v>
      </c>
    </row>
    <row r="400" spans="1:18">
      <c r="A400" s="51">
        <f t="shared" si="3"/>
        <v>2026.07</v>
      </c>
      <c r="B400" s="50" t="e">
        <v>#N/A</v>
      </c>
      <c r="C400" s="1365" t="e">
        <v>#N/A</v>
      </c>
      <c r="D400" s="430" t="e">
        <v>#N/A</v>
      </c>
      <c r="E400" s="387" t="e">
        <v>#N/A</v>
      </c>
      <c r="F400" s="1650" t="e">
        <v>#N/A</v>
      </c>
      <c r="G400" s="1643" t="e">
        <v>#N/A</v>
      </c>
      <c r="H400" s="1654"/>
      <c r="I400" s="1658"/>
      <c r="J400" s="1650" t="e">
        <v>#N/A</v>
      </c>
      <c r="K400" s="1643" t="e">
        <v>#N/A</v>
      </c>
      <c r="L400" s="1654"/>
      <c r="M400" s="1658"/>
      <c r="N400" s="1651" t="e">
        <v>#N/A</v>
      </c>
      <c r="O400" s="1672" t="e">
        <v>#N/A</v>
      </c>
    </row>
    <row r="401" spans="1:15">
      <c r="A401" s="51">
        <f t="shared" si="3"/>
        <v>2026.08</v>
      </c>
      <c r="B401" s="50" t="e">
        <v>#N/A</v>
      </c>
      <c r="C401" s="1365" t="e">
        <v>#N/A</v>
      </c>
      <c r="D401" s="430" t="e">
        <v>#N/A</v>
      </c>
      <c r="E401" s="387" t="e">
        <v>#N/A</v>
      </c>
      <c r="F401" s="1650" t="e">
        <v>#N/A</v>
      </c>
      <c r="G401" s="1643" t="e">
        <v>#N/A</v>
      </c>
      <c r="H401" s="1654"/>
      <c r="I401" s="1658"/>
      <c r="J401" s="1650" t="e">
        <v>#N/A</v>
      </c>
      <c r="K401" s="1643" t="e">
        <v>#N/A</v>
      </c>
      <c r="L401" s="1654"/>
      <c r="M401" s="1658"/>
      <c r="N401" s="1651" t="e">
        <v>#N/A</v>
      </c>
      <c r="O401" s="1672" t="e">
        <v>#N/A</v>
      </c>
    </row>
    <row r="402" spans="1:15">
      <c r="A402" s="51">
        <f t="shared" si="3"/>
        <v>2026.09</v>
      </c>
      <c r="B402" s="50" t="e">
        <v>#N/A</v>
      </c>
      <c r="C402" s="1365" t="e">
        <v>#N/A</v>
      </c>
      <c r="D402" s="430" t="e">
        <v>#N/A</v>
      </c>
      <c r="E402" s="387" t="e">
        <v>#N/A</v>
      </c>
      <c r="F402" s="1650" t="e">
        <v>#N/A</v>
      </c>
      <c r="G402" s="1643" t="e">
        <v>#N/A</v>
      </c>
      <c r="H402" s="1654"/>
      <c r="I402" s="1658"/>
      <c r="J402" s="1650" t="e">
        <v>#N/A</v>
      </c>
      <c r="K402" s="1643" t="e">
        <v>#N/A</v>
      </c>
      <c r="L402" s="1654"/>
      <c r="M402" s="1658"/>
      <c r="N402" s="1651" t="e">
        <v>#N/A</v>
      </c>
      <c r="O402" s="1672" t="e">
        <v>#N/A</v>
      </c>
    </row>
    <row r="403" spans="1:15">
      <c r="A403" s="51">
        <f t="shared" si="3"/>
        <v>2026.1</v>
      </c>
      <c r="B403" s="50" t="e">
        <v>#N/A</v>
      </c>
      <c r="C403" s="1365" t="e">
        <v>#N/A</v>
      </c>
      <c r="D403" s="430" t="e">
        <v>#N/A</v>
      </c>
      <c r="E403" s="387" t="e">
        <v>#N/A</v>
      </c>
      <c r="F403" s="1650" t="e">
        <v>#N/A</v>
      </c>
      <c r="G403" s="1643" t="e">
        <v>#N/A</v>
      </c>
      <c r="H403" s="1654"/>
      <c r="I403" s="1658"/>
      <c r="J403" s="1650" t="e">
        <v>#N/A</v>
      </c>
      <c r="K403" s="1643" t="e">
        <v>#N/A</v>
      </c>
      <c r="L403" s="1654"/>
      <c r="M403" s="1658"/>
      <c r="N403" s="1651" t="e">
        <v>#N/A</v>
      </c>
      <c r="O403" s="1672" t="e">
        <v>#N/A</v>
      </c>
    </row>
    <row r="404" spans="1:15">
      <c r="A404" s="51">
        <f t="shared" si="3"/>
        <v>2026.11</v>
      </c>
      <c r="B404" s="50" t="e">
        <v>#N/A</v>
      </c>
      <c r="C404" s="1365" t="e">
        <v>#N/A</v>
      </c>
      <c r="D404" s="430" t="e">
        <v>#N/A</v>
      </c>
      <c r="E404" s="387" t="e">
        <v>#N/A</v>
      </c>
      <c r="F404" s="1650" t="e">
        <v>#N/A</v>
      </c>
      <c r="G404" s="1643" t="e">
        <v>#N/A</v>
      </c>
      <c r="H404" s="1654"/>
      <c r="I404" s="1658"/>
      <c r="J404" s="1650" t="e">
        <v>#N/A</v>
      </c>
      <c r="K404" s="1643" t="e">
        <v>#N/A</v>
      </c>
      <c r="L404" s="1654"/>
      <c r="M404" s="1658"/>
      <c r="N404" s="1651" t="e">
        <v>#N/A</v>
      </c>
      <c r="O404" s="1672" t="e">
        <v>#N/A</v>
      </c>
    </row>
    <row r="405" spans="1:15">
      <c r="A405" s="51">
        <f t="shared" si="3"/>
        <v>2026.12</v>
      </c>
      <c r="B405" s="50" t="e">
        <v>#N/A</v>
      </c>
      <c r="C405" s="1365" t="e">
        <v>#N/A</v>
      </c>
      <c r="D405" s="430" t="e">
        <v>#N/A</v>
      </c>
      <c r="E405" s="387" t="e">
        <v>#N/A</v>
      </c>
      <c r="F405" s="1650" t="e">
        <v>#N/A</v>
      </c>
      <c r="G405" s="1643" t="e">
        <v>#N/A</v>
      </c>
      <c r="H405" s="1654"/>
      <c r="I405" s="1658"/>
      <c r="J405" s="1650" t="e">
        <v>#N/A</v>
      </c>
      <c r="K405" s="1643" t="e">
        <v>#N/A</v>
      </c>
      <c r="L405" s="1654"/>
      <c r="M405" s="1658"/>
      <c r="N405" s="1651" t="e">
        <v>#N/A</v>
      </c>
      <c r="O405" s="1672" t="e">
        <v>#N/A</v>
      </c>
    </row>
    <row r="406" spans="1:15">
      <c r="A406" s="51">
        <f t="shared" si="3"/>
        <v>2027.01</v>
      </c>
      <c r="B406" s="50" t="e">
        <v>#N/A</v>
      </c>
      <c r="C406" s="1365" t="e">
        <v>#N/A</v>
      </c>
      <c r="D406" s="430" t="e">
        <v>#N/A</v>
      </c>
      <c r="E406" s="387" t="e">
        <v>#N/A</v>
      </c>
      <c r="F406" s="1650" t="e">
        <v>#N/A</v>
      </c>
      <c r="G406" s="1643" t="e">
        <v>#N/A</v>
      </c>
      <c r="H406" s="1654"/>
      <c r="I406" s="1658"/>
      <c r="J406" s="1650" t="e">
        <v>#N/A</v>
      </c>
      <c r="K406" s="1643" t="e">
        <v>#N/A</v>
      </c>
      <c r="L406" s="1654"/>
      <c r="M406" s="1658"/>
      <c r="N406" s="1651" t="e">
        <v>#N/A</v>
      </c>
      <c r="O406" s="1672" t="e">
        <v>#N/A</v>
      </c>
    </row>
    <row r="407" spans="1:15">
      <c r="A407" s="51">
        <f t="shared" si="3"/>
        <v>2027.02</v>
      </c>
      <c r="B407" s="50" t="e">
        <v>#N/A</v>
      </c>
      <c r="C407" s="1365" t="e">
        <v>#N/A</v>
      </c>
      <c r="D407" s="430" t="e">
        <v>#N/A</v>
      </c>
      <c r="E407" s="387" t="e">
        <v>#N/A</v>
      </c>
      <c r="F407" s="1650" t="e">
        <v>#N/A</v>
      </c>
      <c r="G407" s="1643" t="e">
        <v>#N/A</v>
      </c>
      <c r="H407" s="1654"/>
      <c r="I407" s="1658"/>
      <c r="J407" s="1650" t="e">
        <v>#N/A</v>
      </c>
      <c r="K407" s="1643" t="e">
        <v>#N/A</v>
      </c>
      <c r="L407" s="1654"/>
      <c r="M407" s="1658"/>
      <c r="N407" s="1651" t="e">
        <v>#N/A</v>
      </c>
      <c r="O407" s="1672" t="e">
        <v>#N/A</v>
      </c>
    </row>
    <row r="408" spans="1:15">
      <c r="A408" s="51">
        <f t="shared" si="3"/>
        <v>2027.03</v>
      </c>
      <c r="B408" s="50" t="e">
        <v>#N/A</v>
      </c>
      <c r="C408" s="1365" t="e">
        <v>#N/A</v>
      </c>
      <c r="D408" s="430" t="e">
        <v>#N/A</v>
      </c>
      <c r="E408" s="387" t="e">
        <v>#N/A</v>
      </c>
      <c r="F408" s="1650" t="e">
        <v>#N/A</v>
      </c>
      <c r="G408" s="1643" t="e">
        <v>#N/A</v>
      </c>
      <c r="H408" s="1654"/>
      <c r="I408" s="1658"/>
      <c r="J408" s="1650" t="e">
        <v>#N/A</v>
      </c>
      <c r="K408" s="1643" t="e">
        <v>#N/A</v>
      </c>
      <c r="L408" s="1654"/>
      <c r="M408" s="1658"/>
      <c r="N408" s="1651" t="e">
        <v>#N/A</v>
      </c>
      <c r="O408" s="1672" t="e">
        <v>#N/A</v>
      </c>
    </row>
    <row r="409" spans="1:15">
      <c r="A409" s="51">
        <f t="shared" si="3"/>
        <v>2027.04</v>
      </c>
      <c r="B409" s="50" t="e">
        <v>#N/A</v>
      </c>
      <c r="C409" s="1365" t="e">
        <v>#N/A</v>
      </c>
      <c r="D409" s="430" t="e">
        <v>#N/A</v>
      </c>
      <c r="E409" s="387" t="e">
        <v>#N/A</v>
      </c>
      <c r="F409" s="1650" t="e">
        <v>#N/A</v>
      </c>
      <c r="G409" s="1643" t="e">
        <v>#N/A</v>
      </c>
      <c r="H409" s="1654"/>
      <c r="I409" s="1658"/>
      <c r="J409" s="1650" t="e">
        <v>#N/A</v>
      </c>
      <c r="K409" s="1643" t="e">
        <v>#N/A</v>
      </c>
      <c r="L409" s="1654"/>
      <c r="M409" s="1658"/>
      <c r="N409" s="1651" t="e">
        <v>#N/A</v>
      </c>
      <c r="O409" s="1672" t="e">
        <v>#N/A</v>
      </c>
    </row>
    <row r="410" spans="1:15">
      <c r="A410" s="51">
        <f t="shared" si="3"/>
        <v>2027.05</v>
      </c>
      <c r="B410" s="50" t="e">
        <v>#N/A</v>
      </c>
      <c r="C410" s="1365" t="e">
        <v>#N/A</v>
      </c>
      <c r="D410" s="430" t="e">
        <v>#N/A</v>
      </c>
      <c r="E410" s="387" t="e">
        <v>#N/A</v>
      </c>
      <c r="F410" s="1650" t="e">
        <v>#N/A</v>
      </c>
      <c r="G410" s="1643" t="e">
        <v>#N/A</v>
      </c>
      <c r="H410" s="1654"/>
      <c r="I410" s="1658"/>
      <c r="J410" s="1650" t="e">
        <v>#N/A</v>
      </c>
      <c r="K410" s="1643" t="e">
        <v>#N/A</v>
      </c>
      <c r="L410" s="1654"/>
      <c r="M410" s="1658"/>
      <c r="N410" s="1651" t="e">
        <v>#N/A</v>
      </c>
      <c r="O410" s="1672" t="e">
        <v>#N/A</v>
      </c>
    </row>
    <row r="411" spans="1:15">
      <c r="A411" s="51">
        <f t="shared" si="3"/>
        <v>2027.06</v>
      </c>
      <c r="B411" s="50" t="e">
        <v>#N/A</v>
      </c>
      <c r="C411" s="1365" t="e">
        <v>#N/A</v>
      </c>
      <c r="D411" s="430" t="e">
        <v>#N/A</v>
      </c>
      <c r="E411" s="387" t="e">
        <v>#N/A</v>
      </c>
      <c r="F411" s="1650" t="e">
        <v>#N/A</v>
      </c>
      <c r="G411" s="1643" t="e">
        <v>#N/A</v>
      </c>
      <c r="H411" s="1654"/>
      <c r="I411" s="1658"/>
      <c r="J411" s="1650" t="e">
        <v>#N/A</v>
      </c>
      <c r="K411" s="1643" t="e">
        <v>#N/A</v>
      </c>
      <c r="L411" s="1654"/>
      <c r="M411" s="1658"/>
      <c r="N411" s="1651" t="e">
        <v>#N/A</v>
      </c>
      <c r="O411" s="1672" t="e">
        <v>#N/A</v>
      </c>
    </row>
    <row r="412" spans="1:15">
      <c r="A412" s="51">
        <f t="shared" si="3"/>
        <v>2027.07</v>
      </c>
      <c r="B412" s="50" t="e">
        <v>#N/A</v>
      </c>
      <c r="C412" s="1365" t="e">
        <v>#N/A</v>
      </c>
      <c r="D412" s="430" t="e">
        <v>#N/A</v>
      </c>
      <c r="E412" s="387" t="e">
        <v>#N/A</v>
      </c>
      <c r="F412" s="1650" t="e">
        <v>#N/A</v>
      </c>
      <c r="G412" s="1643" t="e">
        <v>#N/A</v>
      </c>
      <c r="H412" s="1654"/>
      <c r="I412" s="1658"/>
      <c r="J412" s="1650" t="e">
        <v>#N/A</v>
      </c>
      <c r="K412" s="1643" t="e">
        <v>#N/A</v>
      </c>
      <c r="L412" s="1654"/>
      <c r="M412" s="1658"/>
      <c r="N412" s="1651" t="e">
        <v>#N/A</v>
      </c>
      <c r="O412" s="1672" t="e">
        <v>#N/A</v>
      </c>
    </row>
    <row r="413" spans="1:15">
      <c r="A413" s="51">
        <f t="shared" si="3"/>
        <v>2027.08</v>
      </c>
      <c r="B413" s="50" t="e">
        <v>#N/A</v>
      </c>
      <c r="C413" s="1365" t="e">
        <v>#N/A</v>
      </c>
      <c r="D413" s="430" t="e">
        <v>#N/A</v>
      </c>
      <c r="E413" s="387" t="e">
        <v>#N/A</v>
      </c>
      <c r="F413" s="1650" t="e">
        <v>#N/A</v>
      </c>
      <c r="G413" s="1643" t="e">
        <v>#N/A</v>
      </c>
      <c r="H413" s="1654"/>
      <c r="I413" s="1658"/>
      <c r="J413" s="1650" t="e">
        <v>#N/A</v>
      </c>
      <c r="K413" s="1643" t="e">
        <v>#N/A</v>
      </c>
      <c r="L413" s="1654"/>
      <c r="M413" s="1658"/>
      <c r="N413" s="1651" t="e">
        <v>#N/A</v>
      </c>
      <c r="O413" s="1672" t="e">
        <v>#N/A</v>
      </c>
    </row>
    <row r="414" spans="1:15">
      <c r="A414" s="51">
        <f t="shared" si="3"/>
        <v>2027.09</v>
      </c>
      <c r="B414" s="50" t="e">
        <v>#N/A</v>
      </c>
      <c r="C414" s="1365" t="e">
        <v>#N/A</v>
      </c>
      <c r="D414" s="430" t="e">
        <v>#N/A</v>
      </c>
      <c r="E414" s="387" t="e">
        <v>#N/A</v>
      </c>
      <c r="F414" s="1650" t="e">
        <v>#N/A</v>
      </c>
      <c r="G414" s="1643" t="e">
        <v>#N/A</v>
      </c>
      <c r="H414" s="1654"/>
      <c r="I414" s="1658"/>
      <c r="J414" s="1650" t="e">
        <v>#N/A</v>
      </c>
      <c r="K414" s="1643" t="e">
        <v>#N/A</v>
      </c>
      <c r="L414" s="1654"/>
      <c r="M414" s="1658"/>
      <c r="N414" s="1651" t="e">
        <v>#N/A</v>
      </c>
      <c r="O414" s="1672" t="e">
        <v>#N/A</v>
      </c>
    </row>
    <row r="415" spans="1:15">
      <c r="A415" s="51">
        <f t="shared" si="3"/>
        <v>2027.1</v>
      </c>
      <c r="B415" s="50" t="e">
        <v>#N/A</v>
      </c>
      <c r="C415" s="1365" t="e">
        <v>#N/A</v>
      </c>
      <c r="D415" s="430" t="e">
        <v>#N/A</v>
      </c>
      <c r="E415" s="387" t="e">
        <v>#N/A</v>
      </c>
      <c r="F415" s="1650" t="e">
        <v>#N/A</v>
      </c>
      <c r="G415" s="1643" t="e">
        <v>#N/A</v>
      </c>
      <c r="H415" s="1654"/>
      <c r="I415" s="1658"/>
      <c r="J415" s="1650" t="e">
        <v>#N/A</v>
      </c>
      <c r="K415" s="1643" t="e">
        <v>#N/A</v>
      </c>
      <c r="L415" s="1654"/>
      <c r="M415" s="1658"/>
      <c r="N415" s="1651" t="e">
        <v>#N/A</v>
      </c>
      <c r="O415" s="1672" t="e">
        <v>#N/A</v>
      </c>
    </row>
    <row r="416" spans="1:15">
      <c r="A416" s="51">
        <f t="shared" si="3"/>
        <v>2027.11</v>
      </c>
      <c r="B416" s="50" t="e">
        <v>#N/A</v>
      </c>
      <c r="C416" s="1365" t="e">
        <v>#N/A</v>
      </c>
      <c r="D416" s="430" t="e">
        <v>#N/A</v>
      </c>
      <c r="E416" s="387" t="e">
        <v>#N/A</v>
      </c>
      <c r="F416" s="1650" t="e">
        <v>#N/A</v>
      </c>
      <c r="G416" s="1643" t="e">
        <v>#N/A</v>
      </c>
      <c r="H416" s="1654"/>
      <c r="I416" s="1658"/>
      <c r="J416" s="1650" t="e">
        <v>#N/A</v>
      </c>
      <c r="K416" s="1643" t="e">
        <v>#N/A</v>
      </c>
      <c r="L416" s="1654"/>
      <c r="M416" s="1658"/>
      <c r="N416" s="1651" t="e">
        <v>#N/A</v>
      </c>
      <c r="O416" s="1672" t="e">
        <v>#N/A</v>
      </c>
    </row>
    <row r="417" spans="1:15">
      <c r="A417" s="51">
        <f t="shared" si="3"/>
        <v>2027.12</v>
      </c>
      <c r="B417" s="50" t="e">
        <v>#N/A</v>
      </c>
      <c r="C417" s="1365" t="e">
        <v>#N/A</v>
      </c>
      <c r="D417" s="430" t="e">
        <v>#N/A</v>
      </c>
      <c r="E417" s="387" t="e">
        <v>#N/A</v>
      </c>
      <c r="F417" s="1650" t="e">
        <v>#N/A</v>
      </c>
      <c r="G417" s="1643" t="e">
        <v>#N/A</v>
      </c>
      <c r="H417" s="1654"/>
      <c r="I417" s="1658"/>
      <c r="J417" s="1650" t="e">
        <v>#N/A</v>
      </c>
      <c r="K417" s="1643" t="e">
        <v>#N/A</v>
      </c>
      <c r="L417" s="1654"/>
      <c r="M417" s="1658"/>
      <c r="N417" s="1651" t="e">
        <v>#N/A</v>
      </c>
      <c r="O417" s="1672" t="e">
        <v>#N/A</v>
      </c>
    </row>
    <row r="418" spans="1:15">
      <c r="A418" s="51">
        <f t="shared" si="3"/>
        <v>2028.01</v>
      </c>
      <c r="B418" s="50" t="e">
        <v>#N/A</v>
      </c>
      <c r="C418" s="1365" t="e">
        <v>#N/A</v>
      </c>
      <c r="D418" s="430" t="e">
        <v>#N/A</v>
      </c>
      <c r="E418" s="387" t="e">
        <v>#N/A</v>
      </c>
      <c r="F418" s="1650" t="e">
        <v>#N/A</v>
      </c>
      <c r="G418" s="1643" t="e">
        <v>#N/A</v>
      </c>
      <c r="H418" s="1654"/>
      <c r="I418" s="1658"/>
      <c r="J418" s="1650" t="e">
        <v>#N/A</v>
      </c>
      <c r="K418" s="1643" t="e">
        <v>#N/A</v>
      </c>
      <c r="L418" s="1654"/>
      <c r="M418" s="1658"/>
      <c r="N418" s="1651" t="e">
        <v>#N/A</v>
      </c>
      <c r="O418" s="1672" t="e">
        <v>#N/A</v>
      </c>
    </row>
    <row r="419" spans="1:15">
      <c r="A419" s="51">
        <f t="shared" si="3"/>
        <v>2028.02</v>
      </c>
      <c r="B419" s="50" t="e">
        <v>#N/A</v>
      </c>
      <c r="C419" s="1365" t="e">
        <v>#N/A</v>
      </c>
      <c r="D419" s="430" t="e">
        <v>#N/A</v>
      </c>
      <c r="E419" s="387" t="e">
        <v>#N/A</v>
      </c>
      <c r="F419" s="1650" t="e">
        <v>#N/A</v>
      </c>
      <c r="G419" s="1643" t="e">
        <v>#N/A</v>
      </c>
      <c r="H419" s="1654"/>
      <c r="I419" s="1658"/>
      <c r="J419" s="1650" t="e">
        <v>#N/A</v>
      </c>
      <c r="K419" s="1643" t="e">
        <v>#N/A</v>
      </c>
      <c r="L419" s="1654"/>
      <c r="M419" s="1658"/>
      <c r="N419" s="1651" t="e">
        <v>#N/A</v>
      </c>
      <c r="O419" s="1672" t="e">
        <v>#N/A</v>
      </c>
    </row>
    <row r="420" spans="1:15">
      <c r="A420" s="51">
        <f t="shared" si="3"/>
        <v>2028.03</v>
      </c>
      <c r="B420" s="50" t="e">
        <v>#N/A</v>
      </c>
      <c r="C420" s="1365" t="e">
        <v>#N/A</v>
      </c>
      <c r="D420" s="430" t="e">
        <v>#N/A</v>
      </c>
      <c r="E420" s="387" t="e">
        <v>#N/A</v>
      </c>
      <c r="F420" s="1650" t="e">
        <v>#N/A</v>
      </c>
      <c r="G420" s="1643" t="e">
        <v>#N/A</v>
      </c>
      <c r="H420" s="1654"/>
      <c r="I420" s="1658"/>
      <c r="J420" s="1650" t="e">
        <v>#N/A</v>
      </c>
      <c r="K420" s="1643" t="e">
        <v>#N/A</v>
      </c>
      <c r="L420" s="1654"/>
      <c r="M420" s="1658"/>
      <c r="N420" s="1651" t="e">
        <v>#N/A</v>
      </c>
      <c r="O420" s="1672" t="e">
        <v>#N/A</v>
      </c>
    </row>
    <row r="421" spans="1:15">
      <c r="A421" s="51">
        <f t="shared" si="3"/>
        <v>2028.04</v>
      </c>
      <c r="B421" s="50" t="e">
        <v>#N/A</v>
      </c>
      <c r="C421" s="1365" t="e">
        <v>#N/A</v>
      </c>
      <c r="D421" s="430" t="e">
        <v>#N/A</v>
      </c>
      <c r="E421" s="387" t="e">
        <v>#N/A</v>
      </c>
      <c r="F421" s="1650" t="e">
        <v>#N/A</v>
      </c>
      <c r="G421" s="1643" t="e">
        <v>#N/A</v>
      </c>
      <c r="H421" s="1654"/>
      <c r="I421" s="1658"/>
      <c r="J421" s="1650" t="e">
        <v>#N/A</v>
      </c>
      <c r="K421" s="1643" t="e">
        <v>#N/A</v>
      </c>
      <c r="L421" s="1654"/>
      <c r="M421" s="1658"/>
      <c r="N421" s="1651" t="e">
        <v>#N/A</v>
      </c>
      <c r="O421" s="1672" t="e">
        <v>#N/A</v>
      </c>
    </row>
    <row r="422" spans="1:15">
      <c r="A422" s="51">
        <f t="shared" si="3"/>
        <v>2028.05</v>
      </c>
      <c r="B422" s="50" t="e">
        <v>#N/A</v>
      </c>
      <c r="C422" s="1365" t="e">
        <v>#N/A</v>
      </c>
      <c r="D422" s="430" t="e">
        <v>#N/A</v>
      </c>
      <c r="E422" s="387" t="e">
        <v>#N/A</v>
      </c>
      <c r="F422" s="1650" t="e">
        <v>#N/A</v>
      </c>
      <c r="G422" s="1643" t="e">
        <v>#N/A</v>
      </c>
      <c r="H422" s="1654"/>
      <c r="I422" s="1658"/>
      <c r="J422" s="1650" t="e">
        <v>#N/A</v>
      </c>
      <c r="K422" s="1643" t="e">
        <v>#N/A</v>
      </c>
      <c r="L422" s="1654"/>
      <c r="M422" s="1658"/>
      <c r="N422" s="1651" t="e">
        <v>#N/A</v>
      </c>
      <c r="O422" s="1672" t="e">
        <v>#N/A</v>
      </c>
    </row>
    <row r="423" spans="1:15">
      <c r="A423" s="51">
        <f t="shared" si="3"/>
        <v>2028.06</v>
      </c>
      <c r="B423" s="50" t="e">
        <v>#N/A</v>
      </c>
      <c r="C423" s="1365" t="e">
        <v>#N/A</v>
      </c>
      <c r="D423" s="430" t="e">
        <v>#N/A</v>
      </c>
      <c r="E423" s="387" t="e">
        <v>#N/A</v>
      </c>
      <c r="F423" s="1650" t="e">
        <v>#N/A</v>
      </c>
      <c r="G423" s="1643" t="e">
        <v>#N/A</v>
      </c>
      <c r="H423" s="1654"/>
      <c r="I423" s="1658"/>
      <c r="J423" s="1650" t="e">
        <v>#N/A</v>
      </c>
      <c r="K423" s="1643" t="e">
        <v>#N/A</v>
      </c>
      <c r="L423" s="1654"/>
      <c r="M423" s="1658"/>
      <c r="N423" s="1651" t="e">
        <v>#N/A</v>
      </c>
      <c r="O423" s="1672" t="e">
        <v>#N/A</v>
      </c>
    </row>
    <row r="424" spans="1:15">
      <c r="A424" s="51">
        <f t="shared" si="3"/>
        <v>2028.07</v>
      </c>
      <c r="B424" s="50" t="e">
        <v>#N/A</v>
      </c>
      <c r="C424" s="1365" t="e">
        <v>#N/A</v>
      </c>
      <c r="D424" s="430" t="e">
        <v>#N/A</v>
      </c>
      <c r="E424" s="387" t="e">
        <v>#N/A</v>
      </c>
      <c r="F424" s="1650" t="e">
        <v>#N/A</v>
      </c>
      <c r="G424" s="1643" t="e">
        <v>#N/A</v>
      </c>
      <c r="H424" s="1654"/>
      <c r="I424" s="1658"/>
      <c r="J424" s="1650" t="e">
        <v>#N/A</v>
      </c>
      <c r="K424" s="1643" t="e">
        <v>#N/A</v>
      </c>
      <c r="L424" s="1654"/>
      <c r="M424" s="1658"/>
      <c r="N424" s="1651" t="e">
        <v>#N/A</v>
      </c>
      <c r="O424" s="1672" t="e">
        <v>#N/A</v>
      </c>
    </row>
    <row r="425" spans="1:15">
      <c r="A425" s="51">
        <f t="shared" si="3"/>
        <v>2028.08</v>
      </c>
      <c r="B425" s="50" t="e">
        <v>#N/A</v>
      </c>
      <c r="C425" s="1365" t="e">
        <v>#N/A</v>
      </c>
      <c r="D425" s="430" t="e">
        <v>#N/A</v>
      </c>
      <c r="E425" s="387" t="e">
        <v>#N/A</v>
      </c>
      <c r="F425" s="1650" t="e">
        <v>#N/A</v>
      </c>
      <c r="G425" s="1643" t="e">
        <v>#N/A</v>
      </c>
      <c r="H425" s="1654"/>
      <c r="I425" s="1658"/>
      <c r="J425" s="1650" t="e">
        <v>#N/A</v>
      </c>
      <c r="K425" s="1643" t="e">
        <v>#N/A</v>
      </c>
      <c r="L425" s="1654"/>
      <c r="M425" s="1658"/>
      <c r="N425" s="1651" t="e">
        <v>#N/A</v>
      </c>
      <c r="O425" s="1672" t="e">
        <v>#N/A</v>
      </c>
    </row>
    <row r="426" spans="1:15">
      <c r="A426" s="51">
        <f t="shared" si="3"/>
        <v>2028.09</v>
      </c>
      <c r="B426" s="50" t="e">
        <v>#N/A</v>
      </c>
      <c r="C426" s="1365" t="e">
        <v>#N/A</v>
      </c>
      <c r="D426" s="430" t="e">
        <v>#N/A</v>
      </c>
      <c r="E426" s="387" t="e">
        <v>#N/A</v>
      </c>
      <c r="F426" s="1650" t="e">
        <v>#N/A</v>
      </c>
      <c r="G426" s="1643" t="e">
        <v>#N/A</v>
      </c>
      <c r="H426" s="1654"/>
      <c r="I426" s="1658"/>
      <c r="J426" s="1650" t="e">
        <v>#N/A</v>
      </c>
      <c r="K426" s="1643" t="e">
        <v>#N/A</v>
      </c>
      <c r="L426" s="1654"/>
      <c r="M426" s="1658"/>
      <c r="N426" s="1651" t="e">
        <v>#N/A</v>
      </c>
      <c r="O426" s="1672" t="e">
        <v>#N/A</v>
      </c>
    </row>
    <row r="427" spans="1:15">
      <c r="A427" s="51">
        <f t="shared" si="3"/>
        <v>2028.1</v>
      </c>
      <c r="B427" s="50" t="e">
        <v>#N/A</v>
      </c>
      <c r="C427" s="1365" t="e">
        <v>#N/A</v>
      </c>
      <c r="D427" s="430" t="e">
        <v>#N/A</v>
      </c>
      <c r="E427" s="387" t="e">
        <v>#N/A</v>
      </c>
      <c r="F427" s="1650" t="e">
        <v>#N/A</v>
      </c>
      <c r="G427" s="1643" t="e">
        <v>#N/A</v>
      </c>
      <c r="H427" s="1654"/>
      <c r="I427" s="1658"/>
      <c r="J427" s="1650" t="e">
        <v>#N/A</v>
      </c>
      <c r="K427" s="1643" t="e">
        <v>#N/A</v>
      </c>
      <c r="L427" s="1654"/>
      <c r="M427" s="1658"/>
      <c r="N427" s="1651" t="e">
        <v>#N/A</v>
      </c>
      <c r="O427" s="1672" t="e">
        <v>#N/A</v>
      </c>
    </row>
    <row r="428" spans="1:15">
      <c r="A428" s="51">
        <f t="shared" si="3"/>
        <v>2028.11</v>
      </c>
      <c r="B428" s="50" t="e">
        <v>#N/A</v>
      </c>
      <c r="C428" s="1365" t="e">
        <v>#N/A</v>
      </c>
      <c r="D428" s="430" t="e">
        <v>#N/A</v>
      </c>
      <c r="E428" s="387" t="e">
        <v>#N/A</v>
      </c>
      <c r="F428" s="1650" t="e">
        <v>#N/A</v>
      </c>
      <c r="G428" s="1643" t="e">
        <v>#N/A</v>
      </c>
      <c r="H428" s="1654"/>
      <c r="I428" s="1658"/>
      <c r="J428" s="1650" t="e">
        <v>#N/A</v>
      </c>
      <c r="K428" s="1643" t="e">
        <v>#N/A</v>
      </c>
      <c r="L428" s="1654"/>
      <c r="M428" s="1658"/>
      <c r="N428" s="1651" t="e">
        <v>#N/A</v>
      </c>
      <c r="O428" s="1672" t="e">
        <v>#N/A</v>
      </c>
    </row>
    <row r="429" spans="1:15">
      <c r="A429" s="51">
        <f t="shared" si="3"/>
        <v>2028.12</v>
      </c>
      <c r="B429" s="50" t="e">
        <v>#N/A</v>
      </c>
      <c r="C429" s="1365" t="e">
        <v>#N/A</v>
      </c>
      <c r="D429" s="430" t="e">
        <v>#N/A</v>
      </c>
      <c r="E429" s="387" t="e">
        <v>#N/A</v>
      </c>
      <c r="F429" s="1650" t="e">
        <v>#N/A</v>
      </c>
      <c r="G429" s="1643" t="e">
        <v>#N/A</v>
      </c>
      <c r="H429" s="1654"/>
      <c r="I429" s="1658"/>
      <c r="J429" s="1650" t="e">
        <v>#N/A</v>
      </c>
      <c r="K429" s="1643" t="e">
        <v>#N/A</v>
      </c>
      <c r="L429" s="1654"/>
      <c r="M429" s="1658"/>
      <c r="N429" s="1651" t="e">
        <v>#N/A</v>
      </c>
      <c r="O429" s="1672" t="e">
        <v>#N/A</v>
      </c>
    </row>
    <row r="430" spans="1:15">
      <c r="A430" s="51">
        <f t="shared" si="3"/>
        <v>2029.01</v>
      </c>
      <c r="B430" s="50" t="e">
        <v>#N/A</v>
      </c>
      <c r="C430" s="1365" t="e">
        <v>#N/A</v>
      </c>
      <c r="D430" s="430" t="e">
        <v>#N/A</v>
      </c>
      <c r="E430" s="387" t="e">
        <v>#N/A</v>
      </c>
      <c r="F430" s="1650" t="e">
        <v>#N/A</v>
      </c>
      <c r="G430" s="1643" t="e">
        <v>#N/A</v>
      </c>
      <c r="H430" s="1654"/>
      <c r="I430" s="1658"/>
      <c r="J430" s="1650" t="e">
        <v>#N/A</v>
      </c>
      <c r="K430" s="1643" t="e">
        <v>#N/A</v>
      </c>
      <c r="L430" s="1654"/>
      <c r="M430" s="1658"/>
      <c r="N430" s="1651" t="e">
        <v>#N/A</v>
      </c>
      <c r="O430" s="1672" t="e">
        <v>#N/A</v>
      </c>
    </row>
    <row r="431" spans="1:15">
      <c r="A431" s="51">
        <f t="shared" si="3"/>
        <v>2029.02</v>
      </c>
      <c r="B431" s="50" t="e">
        <v>#N/A</v>
      </c>
      <c r="C431" s="1365" t="e">
        <v>#N/A</v>
      </c>
      <c r="D431" s="430" t="e">
        <v>#N/A</v>
      </c>
      <c r="E431" s="387" t="e">
        <v>#N/A</v>
      </c>
      <c r="F431" s="1650" t="e">
        <v>#N/A</v>
      </c>
      <c r="G431" s="1643" t="e">
        <v>#N/A</v>
      </c>
      <c r="H431" s="1654"/>
      <c r="I431" s="1658"/>
      <c r="J431" s="1650" t="e">
        <v>#N/A</v>
      </c>
      <c r="K431" s="1643" t="e">
        <v>#N/A</v>
      </c>
      <c r="L431" s="1654"/>
      <c r="M431" s="1658"/>
      <c r="N431" s="1651" t="e">
        <v>#N/A</v>
      </c>
      <c r="O431" s="1672" t="e">
        <v>#N/A</v>
      </c>
    </row>
    <row r="432" spans="1:15">
      <c r="A432" s="51">
        <f t="shared" si="3"/>
        <v>2029.03</v>
      </c>
      <c r="B432" s="50" t="e">
        <v>#N/A</v>
      </c>
      <c r="C432" s="1365" t="e">
        <v>#N/A</v>
      </c>
      <c r="D432" s="430" t="e">
        <v>#N/A</v>
      </c>
      <c r="E432" s="387" t="e">
        <v>#N/A</v>
      </c>
      <c r="F432" s="1650" t="e">
        <v>#N/A</v>
      </c>
      <c r="G432" s="1643" t="e">
        <v>#N/A</v>
      </c>
      <c r="H432" s="1654"/>
      <c r="I432" s="1658"/>
      <c r="J432" s="1650" t="e">
        <v>#N/A</v>
      </c>
      <c r="K432" s="1643" t="e">
        <v>#N/A</v>
      </c>
      <c r="L432" s="1654"/>
      <c r="M432" s="1658"/>
      <c r="N432" s="1651" t="e">
        <v>#N/A</v>
      </c>
      <c r="O432" s="1672" t="e">
        <v>#N/A</v>
      </c>
    </row>
    <row r="433" spans="1:15">
      <c r="A433" s="51">
        <f t="shared" si="3"/>
        <v>2029.04</v>
      </c>
      <c r="B433" s="50" t="e">
        <v>#N/A</v>
      </c>
      <c r="C433" s="1365" t="e">
        <v>#N/A</v>
      </c>
      <c r="D433" s="430" t="e">
        <v>#N/A</v>
      </c>
      <c r="E433" s="387" t="e">
        <v>#N/A</v>
      </c>
      <c r="F433" s="1650" t="e">
        <v>#N/A</v>
      </c>
      <c r="G433" s="1643" t="e">
        <v>#N/A</v>
      </c>
      <c r="H433" s="1654"/>
      <c r="I433" s="1658"/>
      <c r="J433" s="1650" t="e">
        <v>#N/A</v>
      </c>
      <c r="K433" s="1643" t="e">
        <v>#N/A</v>
      </c>
      <c r="L433" s="1654"/>
      <c r="M433" s="1658"/>
      <c r="N433" s="1651" t="e">
        <v>#N/A</v>
      </c>
      <c r="O433" s="1672" t="e">
        <v>#N/A</v>
      </c>
    </row>
    <row r="434" spans="1:15">
      <c r="A434" s="51">
        <f t="shared" si="3"/>
        <v>2029.05</v>
      </c>
      <c r="B434" s="50" t="e">
        <v>#N/A</v>
      </c>
      <c r="C434" s="1365" t="e">
        <v>#N/A</v>
      </c>
      <c r="D434" s="430" t="e">
        <v>#N/A</v>
      </c>
      <c r="E434" s="387" t="e">
        <v>#N/A</v>
      </c>
      <c r="F434" s="1650" t="e">
        <v>#N/A</v>
      </c>
      <c r="G434" s="1643" t="e">
        <v>#N/A</v>
      </c>
      <c r="H434" s="1654"/>
      <c r="I434" s="1658"/>
      <c r="J434" s="1650" t="e">
        <v>#N/A</v>
      </c>
      <c r="K434" s="1643" t="e">
        <v>#N/A</v>
      </c>
      <c r="L434" s="1654"/>
      <c r="M434" s="1658"/>
      <c r="N434" s="1651" t="e">
        <v>#N/A</v>
      </c>
      <c r="O434" s="1672" t="e">
        <v>#N/A</v>
      </c>
    </row>
    <row r="435" spans="1:15">
      <c r="A435" s="51">
        <f t="shared" ref="A435:A453" si="4">A423+1</f>
        <v>2029.06</v>
      </c>
      <c r="B435" s="50" t="e">
        <v>#N/A</v>
      </c>
      <c r="C435" s="1365" t="e">
        <v>#N/A</v>
      </c>
      <c r="D435" s="430" t="e">
        <v>#N/A</v>
      </c>
      <c r="E435" s="387" t="e">
        <v>#N/A</v>
      </c>
      <c r="F435" s="1650" t="e">
        <v>#N/A</v>
      </c>
      <c r="G435" s="1643" t="e">
        <v>#N/A</v>
      </c>
      <c r="H435" s="1654"/>
      <c r="I435" s="1658"/>
      <c r="J435" s="1650" t="e">
        <v>#N/A</v>
      </c>
      <c r="K435" s="1643" t="e">
        <v>#N/A</v>
      </c>
      <c r="L435" s="1654"/>
      <c r="M435" s="1658"/>
      <c r="N435" s="1651" t="e">
        <v>#N/A</v>
      </c>
      <c r="O435" s="1672" t="e">
        <v>#N/A</v>
      </c>
    </row>
    <row r="436" spans="1:15">
      <c r="A436" s="51">
        <f t="shared" si="4"/>
        <v>2029.07</v>
      </c>
      <c r="B436" s="50" t="e">
        <v>#N/A</v>
      </c>
      <c r="C436" s="1365" t="e">
        <v>#N/A</v>
      </c>
      <c r="D436" s="430" t="e">
        <v>#N/A</v>
      </c>
      <c r="E436" s="387" t="e">
        <v>#N/A</v>
      </c>
      <c r="F436" s="1650" t="e">
        <v>#N/A</v>
      </c>
      <c r="G436" s="1643" t="e">
        <v>#N/A</v>
      </c>
      <c r="H436" s="1654"/>
      <c r="I436" s="1658"/>
      <c r="J436" s="1650" t="e">
        <v>#N/A</v>
      </c>
      <c r="K436" s="1643" t="e">
        <v>#N/A</v>
      </c>
      <c r="L436" s="1654"/>
      <c r="M436" s="1658"/>
      <c r="N436" s="1651" t="e">
        <v>#N/A</v>
      </c>
      <c r="O436" s="1672" t="e">
        <v>#N/A</v>
      </c>
    </row>
    <row r="437" spans="1:15">
      <c r="A437" s="51">
        <f t="shared" si="4"/>
        <v>2029.08</v>
      </c>
      <c r="B437" s="50" t="e">
        <v>#N/A</v>
      </c>
      <c r="C437" s="1365" t="e">
        <v>#N/A</v>
      </c>
      <c r="D437" s="430" t="e">
        <v>#N/A</v>
      </c>
      <c r="E437" s="387" t="e">
        <v>#N/A</v>
      </c>
      <c r="F437" s="1650" t="e">
        <v>#N/A</v>
      </c>
      <c r="G437" s="1643" t="e">
        <v>#N/A</v>
      </c>
      <c r="H437" s="1654"/>
      <c r="I437" s="1658"/>
      <c r="J437" s="1650" t="e">
        <v>#N/A</v>
      </c>
      <c r="K437" s="1643" t="e">
        <v>#N/A</v>
      </c>
      <c r="L437" s="1654"/>
      <c r="M437" s="1658"/>
      <c r="N437" s="1651" t="e">
        <v>#N/A</v>
      </c>
      <c r="O437" s="1672" t="e">
        <v>#N/A</v>
      </c>
    </row>
    <row r="438" spans="1:15">
      <c r="A438" s="51">
        <f t="shared" si="4"/>
        <v>2029.09</v>
      </c>
      <c r="B438" s="50" t="e">
        <v>#N/A</v>
      </c>
      <c r="C438" s="1365" t="e">
        <v>#N/A</v>
      </c>
      <c r="D438" s="430" t="e">
        <v>#N/A</v>
      </c>
      <c r="E438" s="387" t="e">
        <v>#N/A</v>
      </c>
      <c r="F438" s="1650" t="e">
        <v>#N/A</v>
      </c>
      <c r="G438" s="1643" t="e">
        <v>#N/A</v>
      </c>
      <c r="H438" s="1654"/>
      <c r="I438" s="1658"/>
      <c r="J438" s="1650" t="e">
        <v>#N/A</v>
      </c>
      <c r="K438" s="1643" t="e">
        <v>#N/A</v>
      </c>
      <c r="L438" s="1654"/>
      <c r="M438" s="1658"/>
      <c r="N438" s="1651" t="e">
        <v>#N/A</v>
      </c>
      <c r="O438" s="1672" t="e">
        <v>#N/A</v>
      </c>
    </row>
    <row r="439" spans="1:15">
      <c r="A439" s="51">
        <f t="shared" si="4"/>
        <v>2029.1</v>
      </c>
      <c r="B439" s="50" t="e">
        <v>#N/A</v>
      </c>
      <c r="C439" s="1365" t="e">
        <v>#N/A</v>
      </c>
      <c r="D439" s="430" t="e">
        <v>#N/A</v>
      </c>
      <c r="E439" s="387" t="e">
        <v>#N/A</v>
      </c>
      <c r="F439" s="1650" t="e">
        <v>#N/A</v>
      </c>
      <c r="G439" s="1643" t="e">
        <v>#N/A</v>
      </c>
      <c r="H439" s="1654"/>
      <c r="I439" s="1658"/>
      <c r="J439" s="1650" t="e">
        <v>#N/A</v>
      </c>
      <c r="K439" s="1643" t="e">
        <v>#N/A</v>
      </c>
      <c r="L439" s="1654"/>
      <c r="M439" s="1658"/>
      <c r="N439" s="1651" t="e">
        <v>#N/A</v>
      </c>
      <c r="O439" s="1672" t="e">
        <v>#N/A</v>
      </c>
    </row>
    <row r="440" spans="1:15">
      <c r="A440" s="51">
        <f t="shared" si="4"/>
        <v>2029.11</v>
      </c>
      <c r="B440" s="50" t="e">
        <v>#N/A</v>
      </c>
      <c r="C440" s="1365" t="e">
        <v>#N/A</v>
      </c>
      <c r="D440" s="430" t="e">
        <v>#N/A</v>
      </c>
      <c r="E440" s="387" t="e">
        <v>#N/A</v>
      </c>
      <c r="F440" s="1650" t="e">
        <v>#N/A</v>
      </c>
      <c r="G440" s="1643" t="e">
        <v>#N/A</v>
      </c>
      <c r="H440" s="1654"/>
      <c r="I440" s="1658"/>
      <c r="J440" s="1650" t="e">
        <v>#N/A</v>
      </c>
      <c r="K440" s="1643" t="e">
        <v>#N/A</v>
      </c>
      <c r="L440" s="1654"/>
      <c r="M440" s="1658"/>
      <c r="N440" s="1651" t="e">
        <v>#N/A</v>
      </c>
      <c r="O440" s="1672" t="e">
        <v>#N/A</v>
      </c>
    </row>
    <row r="441" spans="1:15">
      <c r="A441" s="51">
        <f t="shared" si="4"/>
        <v>2029.12</v>
      </c>
      <c r="B441" s="50" t="e">
        <v>#N/A</v>
      </c>
      <c r="C441" s="1365" t="e">
        <v>#N/A</v>
      </c>
      <c r="D441" s="430" t="e">
        <v>#N/A</v>
      </c>
      <c r="E441" s="387" t="e">
        <v>#N/A</v>
      </c>
      <c r="F441" s="1650" t="e">
        <v>#N/A</v>
      </c>
      <c r="G441" s="1643" t="e">
        <v>#N/A</v>
      </c>
      <c r="H441" s="1654"/>
      <c r="I441" s="1658"/>
      <c r="J441" s="1650" t="e">
        <v>#N/A</v>
      </c>
      <c r="K441" s="1643" t="e">
        <v>#N/A</v>
      </c>
      <c r="L441" s="1654"/>
      <c r="M441" s="1658"/>
      <c r="N441" s="1651" t="e">
        <v>#N/A</v>
      </c>
      <c r="O441" s="1672" t="e">
        <v>#N/A</v>
      </c>
    </row>
    <row r="442" spans="1:15">
      <c r="A442" s="51">
        <f t="shared" si="4"/>
        <v>2030.01</v>
      </c>
      <c r="B442" s="50" t="e">
        <v>#N/A</v>
      </c>
      <c r="C442" s="1365" t="e">
        <v>#N/A</v>
      </c>
      <c r="D442" s="430" t="e">
        <v>#N/A</v>
      </c>
      <c r="E442" s="387" t="e">
        <v>#N/A</v>
      </c>
      <c r="F442" s="1650" t="e">
        <v>#N/A</v>
      </c>
      <c r="G442" s="1643" t="e">
        <v>#N/A</v>
      </c>
      <c r="H442" s="1654"/>
      <c r="I442" s="1658"/>
      <c r="J442" s="1650" t="e">
        <v>#N/A</v>
      </c>
      <c r="K442" s="1643" t="e">
        <v>#N/A</v>
      </c>
      <c r="L442" s="1654"/>
      <c r="M442" s="1658"/>
      <c r="N442" s="1651" t="e">
        <v>#N/A</v>
      </c>
      <c r="O442" s="1672" t="e">
        <v>#N/A</v>
      </c>
    </row>
    <row r="443" spans="1:15">
      <c r="A443" s="51">
        <f t="shared" si="4"/>
        <v>2030.02</v>
      </c>
      <c r="B443" s="50" t="e">
        <v>#N/A</v>
      </c>
      <c r="C443" s="1365" t="e">
        <v>#N/A</v>
      </c>
      <c r="D443" s="430" t="e">
        <v>#N/A</v>
      </c>
      <c r="E443" s="387" t="e">
        <v>#N/A</v>
      </c>
      <c r="F443" s="1650" t="e">
        <v>#N/A</v>
      </c>
      <c r="G443" s="1643" t="e">
        <v>#N/A</v>
      </c>
      <c r="H443" s="1654"/>
      <c r="I443" s="1658"/>
      <c r="J443" s="1650" t="e">
        <v>#N/A</v>
      </c>
      <c r="K443" s="1643" t="e">
        <v>#N/A</v>
      </c>
      <c r="L443" s="1654"/>
      <c r="M443" s="1658"/>
      <c r="N443" s="1651" t="e">
        <v>#N/A</v>
      </c>
      <c r="O443" s="1672" t="e">
        <v>#N/A</v>
      </c>
    </row>
    <row r="444" spans="1:15">
      <c r="A444" s="51">
        <f t="shared" si="4"/>
        <v>2030.03</v>
      </c>
      <c r="B444" s="50" t="e">
        <v>#N/A</v>
      </c>
      <c r="C444" s="1365" t="e">
        <v>#N/A</v>
      </c>
      <c r="D444" s="430" t="e">
        <v>#N/A</v>
      </c>
      <c r="E444" s="387" t="e">
        <v>#N/A</v>
      </c>
      <c r="F444" s="1650" t="e">
        <v>#N/A</v>
      </c>
      <c r="G444" s="1643" t="e">
        <v>#N/A</v>
      </c>
      <c r="H444" s="1654"/>
      <c r="I444" s="1658"/>
      <c r="J444" s="1650" t="e">
        <v>#N/A</v>
      </c>
      <c r="K444" s="1643" t="e">
        <v>#N/A</v>
      </c>
      <c r="L444" s="1654"/>
      <c r="M444" s="1658"/>
      <c r="N444" s="1651" t="e">
        <v>#N/A</v>
      </c>
      <c r="O444" s="1672" t="e">
        <v>#N/A</v>
      </c>
    </row>
    <row r="445" spans="1:15">
      <c r="A445" s="51">
        <f t="shared" si="4"/>
        <v>2030.04</v>
      </c>
      <c r="B445" s="50" t="e">
        <v>#N/A</v>
      </c>
      <c r="C445" s="1365" t="e">
        <v>#N/A</v>
      </c>
      <c r="D445" s="430" t="e">
        <v>#N/A</v>
      </c>
      <c r="E445" s="387" t="e">
        <v>#N/A</v>
      </c>
      <c r="F445" s="1650" t="e">
        <v>#N/A</v>
      </c>
      <c r="G445" s="1643" t="e">
        <v>#N/A</v>
      </c>
      <c r="H445" s="1654"/>
      <c r="I445" s="1658"/>
      <c r="J445" s="1650" t="e">
        <v>#N/A</v>
      </c>
      <c r="K445" s="1643" t="e">
        <v>#N/A</v>
      </c>
      <c r="L445" s="1654"/>
      <c r="M445" s="1658"/>
      <c r="N445" s="1651" t="e">
        <v>#N/A</v>
      </c>
      <c r="O445" s="1672" t="e">
        <v>#N/A</v>
      </c>
    </row>
    <row r="446" spans="1:15">
      <c r="A446" s="51">
        <f t="shared" si="4"/>
        <v>2030.05</v>
      </c>
      <c r="B446" s="50" t="e">
        <v>#N/A</v>
      </c>
      <c r="C446" s="1365" t="e">
        <v>#N/A</v>
      </c>
      <c r="D446" s="430" t="e">
        <v>#N/A</v>
      </c>
      <c r="E446" s="387" t="e">
        <v>#N/A</v>
      </c>
      <c r="F446" s="1650" t="e">
        <v>#N/A</v>
      </c>
      <c r="G446" s="1643" t="e">
        <v>#N/A</v>
      </c>
      <c r="H446" s="1654"/>
      <c r="I446" s="1658"/>
      <c r="J446" s="1650" t="e">
        <v>#N/A</v>
      </c>
      <c r="K446" s="1643" t="e">
        <v>#N/A</v>
      </c>
      <c r="L446" s="1654"/>
      <c r="M446" s="1658"/>
      <c r="N446" s="1651" t="e">
        <v>#N/A</v>
      </c>
      <c r="O446" s="1672" t="e">
        <v>#N/A</v>
      </c>
    </row>
    <row r="447" spans="1:15">
      <c r="A447" s="51">
        <f t="shared" si="4"/>
        <v>2030.06</v>
      </c>
      <c r="B447" s="50" t="e">
        <v>#N/A</v>
      </c>
      <c r="C447" s="1365" t="e">
        <v>#N/A</v>
      </c>
      <c r="D447" s="430" t="e">
        <v>#N/A</v>
      </c>
      <c r="E447" s="387" t="e">
        <v>#N/A</v>
      </c>
      <c r="F447" s="1650" t="e">
        <v>#N/A</v>
      </c>
      <c r="G447" s="1643" t="e">
        <v>#N/A</v>
      </c>
      <c r="H447" s="1654"/>
      <c r="I447" s="1658"/>
      <c r="J447" s="1650" t="e">
        <v>#N/A</v>
      </c>
      <c r="K447" s="1643" t="e">
        <v>#N/A</v>
      </c>
      <c r="L447" s="1654"/>
      <c r="M447" s="1658"/>
      <c r="N447" s="1651" t="e">
        <v>#N/A</v>
      </c>
      <c r="O447" s="1672" t="e">
        <v>#N/A</v>
      </c>
    </row>
    <row r="448" spans="1:15">
      <c r="A448" s="51">
        <f t="shared" si="4"/>
        <v>2030.07</v>
      </c>
      <c r="B448" s="50" t="e">
        <v>#N/A</v>
      </c>
      <c r="C448" s="1365" t="e">
        <v>#N/A</v>
      </c>
      <c r="D448" s="430" t="e">
        <v>#N/A</v>
      </c>
      <c r="E448" s="387" t="e">
        <v>#N/A</v>
      </c>
      <c r="F448" s="1650" t="e">
        <v>#N/A</v>
      </c>
      <c r="G448" s="1643" t="e">
        <v>#N/A</v>
      </c>
      <c r="H448" s="1654"/>
      <c r="I448" s="1658"/>
      <c r="J448" s="1650" t="e">
        <v>#N/A</v>
      </c>
      <c r="K448" s="1643" t="e">
        <v>#N/A</v>
      </c>
      <c r="L448" s="1654"/>
      <c r="M448" s="1658"/>
      <c r="N448" s="1651" t="e">
        <v>#N/A</v>
      </c>
      <c r="O448" s="1672" t="e">
        <v>#N/A</v>
      </c>
    </row>
    <row r="449" spans="1:15">
      <c r="A449" s="51">
        <f t="shared" si="4"/>
        <v>2030.08</v>
      </c>
      <c r="B449" s="50" t="e">
        <v>#N/A</v>
      </c>
      <c r="C449" s="1365" t="e">
        <v>#N/A</v>
      </c>
      <c r="D449" s="430" t="e">
        <v>#N/A</v>
      </c>
      <c r="E449" s="387" t="e">
        <v>#N/A</v>
      </c>
      <c r="F449" s="1650" t="e">
        <v>#N/A</v>
      </c>
      <c r="G449" s="1643" t="e">
        <v>#N/A</v>
      </c>
      <c r="H449" s="1654"/>
      <c r="I449" s="1658"/>
      <c r="J449" s="1650" t="e">
        <v>#N/A</v>
      </c>
      <c r="K449" s="1643" t="e">
        <v>#N/A</v>
      </c>
      <c r="L449" s="1654"/>
      <c r="M449" s="1658"/>
      <c r="N449" s="1651" t="e">
        <v>#N/A</v>
      </c>
      <c r="O449" s="1672" t="e">
        <v>#N/A</v>
      </c>
    </row>
    <row r="450" spans="1:15">
      <c r="A450" s="51">
        <f t="shared" si="4"/>
        <v>2030.09</v>
      </c>
      <c r="B450" s="50" t="e">
        <v>#N/A</v>
      </c>
      <c r="C450" s="1365" t="e">
        <v>#N/A</v>
      </c>
      <c r="D450" s="430" t="e">
        <v>#N/A</v>
      </c>
      <c r="E450" s="387" t="e">
        <v>#N/A</v>
      </c>
      <c r="F450" s="1650" t="e">
        <v>#N/A</v>
      </c>
      <c r="G450" s="1643" t="e">
        <v>#N/A</v>
      </c>
      <c r="H450" s="1654"/>
      <c r="I450" s="1658"/>
      <c r="J450" s="1650" t="e">
        <v>#N/A</v>
      </c>
      <c r="K450" s="1643" t="e">
        <v>#N/A</v>
      </c>
      <c r="L450" s="1654"/>
      <c r="M450" s="1658"/>
      <c r="N450" s="1651" t="e">
        <v>#N/A</v>
      </c>
      <c r="O450" s="1672" t="e">
        <v>#N/A</v>
      </c>
    </row>
    <row r="451" spans="1:15">
      <c r="A451" s="51">
        <f t="shared" si="4"/>
        <v>2030.1</v>
      </c>
      <c r="B451" s="50" t="e">
        <v>#N/A</v>
      </c>
      <c r="C451" s="1365" t="e">
        <v>#N/A</v>
      </c>
      <c r="D451" s="430" t="e">
        <v>#N/A</v>
      </c>
      <c r="E451" s="387" t="e">
        <v>#N/A</v>
      </c>
      <c r="F451" s="1650" t="e">
        <v>#N/A</v>
      </c>
      <c r="G451" s="1643" t="e">
        <v>#N/A</v>
      </c>
      <c r="H451" s="1654"/>
      <c r="I451" s="1658"/>
      <c r="J451" s="1650" t="e">
        <v>#N/A</v>
      </c>
      <c r="K451" s="1643" t="e">
        <v>#N/A</v>
      </c>
      <c r="L451" s="1654"/>
      <c r="M451" s="1658"/>
      <c r="N451" s="1651" t="e">
        <v>#N/A</v>
      </c>
      <c r="O451" s="1672" t="e">
        <v>#N/A</v>
      </c>
    </row>
    <row r="452" spans="1:15">
      <c r="A452" s="51">
        <f t="shared" si="4"/>
        <v>2030.11</v>
      </c>
      <c r="B452" s="50" t="e">
        <v>#N/A</v>
      </c>
      <c r="C452" s="1365" t="e">
        <v>#N/A</v>
      </c>
      <c r="D452" s="430" t="e">
        <v>#N/A</v>
      </c>
      <c r="E452" s="387" t="e">
        <v>#N/A</v>
      </c>
      <c r="F452" s="1650" t="e">
        <v>#N/A</v>
      </c>
      <c r="G452" s="1643" t="e">
        <v>#N/A</v>
      </c>
      <c r="H452" s="1654"/>
      <c r="I452" s="1658"/>
      <c r="J452" s="1650" t="e">
        <v>#N/A</v>
      </c>
      <c r="K452" s="1643" t="e">
        <v>#N/A</v>
      </c>
      <c r="L452" s="1654"/>
      <c r="M452" s="1658"/>
      <c r="N452" s="1651" t="e">
        <v>#N/A</v>
      </c>
      <c r="O452" s="1672" t="e">
        <v>#N/A</v>
      </c>
    </row>
    <row r="453" spans="1:15">
      <c r="A453" s="51">
        <f t="shared" si="4"/>
        <v>2030.12</v>
      </c>
      <c r="B453" s="50" t="e">
        <v>#N/A</v>
      </c>
      <c r="C453" s="1365" t="e">
        <v>#N/A</v>
      </c>
      <c r="D453" s="430" t="e">
        <v>#N/A</v>
      </c>
      <c r="E453" s="387" t="e">
        <v>#N/A</v>
      </c>
      <c r="F453" s="1650" t="e">
        <v>#N/A</v>
      </c>
      <c r="G453" s="1643" t="e">
        <v>#N/A</v>
      </c>
      <c r="H453" s="1654"/>
      <c r="I453" s="1658"/>
      <c r="J453" s="1650" t="e">
        <v>#N/A</v>
      </c>
      <c r="K453" s="1643" t="e">
        <v>#N/A</v>
      </c>
      <c r="L453" s="1654"/>
      <c r="M453" s="1658"/>
      <c r="N453" s="1651" t="e">
        <v>#N/A</v>
      </c>
      <c r="O453" s="1672" t="e">
        <v>#N/A</v>
      </c>
    </row>
  </sheetData>
  <phoneticPr fontId="58" type="noConversion"/>
  <hyperlinks>
    <hyperlink ref="A5" location="INDICE!A13" display="VOLVER AL INDICE" xr:uid="{00000000-0004-0000-1800-000000000000}"/>
  </hyperlinks>
  <pageMargins left="0.75" right="0.75" top="1" bottom="1" header="0" footer="0"/>
  <pageSetup paperSize="9" orientation="portrait" horizontalDpi="300"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sheetPr>
  <dimension ref="A1:XEN490"/>
  <sheetViews>
    <sheetView zoomScaleNormal="100" workbookViewId="0">
      <pane xSplit="1" ySplit="9" topLeftCell="B391"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42578125" style="581" bestFit="1" customWidth="1"/>
    <col min="2" max="4" width="13" style="581" customWidth="1"/>
    <col min="5" max="14" width="10.42578125" style="581" customWidth="1"/>
    <col min="15" max="16" width="10.42578125" style="580" customWidth="1"/>
    <col min="17" max="16384" width="11.42578125" style="580"/>
  </cols>
  <sheetData>
    <row r="1" spans="1:17" ht="3" customHeight="1">
      <c r="A1" s="37"/>
      <c r="B1" s="91"/>
      <c r="C1" s="91"/>
      <c r="D1" s="91"/>
      <c r="E1" s="91"/>
      <c r="F1" s="91"/>
      <c r="G1" s="91"/>
      <c r="H1" s="91"/>
      <c r="I1" s="91"/>
      <c r="J1" s="91"/>
      <c r="K1" s="91"/>
      <c r="L1" s="91"/>
      <c r="M1" s="91"/>
      <c r="N1" s="91"/>
      <c r="Q1" s="2438"/>
    </row>
    <row r="2" spans="1:17" ht="22.5">
      <c r="A2" s="39" t="s">
        <v>212</v>
      </c>
      <c r="B2" s="2439" t="s">
        <v>354</v>
      </c>
      <c r="C2" s="2440"/>
      <c r="D2" s="2440"/>
      <c r="E2" s="2441" t="s">
        <v>1466</v>
      </c>
      <c r="F2" s="2441"/>
      <c r="G2" s="2441"/>
      <c r="H2" s="2441"/>
      <c r="I2" s="2441"/>
      <c r="J2" s="2441"/>
      <c r="K2" s="2441"/>
      <c r="L2" s="2441"/>
      <c r="M2" s="2441"/>
      <c r="N2" s="2441"/>
      <c r="O2" s="2441"/>
      <c r="P2" s="2441"/>
      <c r="Q2" s="2442"/>
    </row>
    <row r="3" spans="1:17">
      <c r="A3" s="42" t="s">
        <v>211</v>
      </c>
      <c r="B3" s="2440" t="s">
        <v>222</v>
      </c>
      <c r="C3" s="2440"/>
      <c r="D3" s="2440"/>
      <c r="E3" s="2443" t="s">
        <v>1369</v>
      </c>
      <c r="F3" s="2444"/>
      <c r="G3" s="2444"/>
      <c r="H3" s="2444"/>
      <c r="I3" s="2444"/>
      <c r="J3" s="2444"/>
      <c r="K3" s="2444"/>
      <c r="L3" s="2444"/>
      <c r="M3" s="2444"/>
      <c r="N3" s="2568"/>
      <c r="O3" s="2445"/>
      <c r="P3" s="2445"/>
      <c r="Q3" s="2446"/>
    </row>
    <row r="4" spans="1:17">
      <c r="A4" s="119"/>
      <c r="B4" s="3406"/>
      <c r="C4" s="3407"/>
      <c r="D4" s="2700"/>
      <c r="E4" s="2447"/>
      <c r="F4" s="2447"/>
      <c r="G4" s="2447"/>
      <c r="H4" s="2447"/>
      <c r="I4" s="2447"/>
      <c r="J4" s="2447"/>
      <c r="K4" s="2447"/>
      <c r="L4" s="2447"/>
      <c r="M4" s="2447"/>
      <c r="N4" s="2448"/>
      <c r="O4" s="2447"/>
      <c r="P4" s="2447"/>
      <c r="Q4" s="2449"/>
    </row>
    <row r="5" spans="1:17" ht="22.5">
      <c r="A5" s="45" t="s">
        <v>213</v>
      </c>
      <c r="B5" s="2450" t="s">
        <v>1370</v>
      </c>
      <c r="C5" s="2701" t="s">
        <v>1371</v>
      </c>
      <c r="D5" s="2702" t="s">
        <v>1469</v>
      </c>
      <c r="E5" s="2451" t="s">
        <v>55</v>
      </c>
      <c r="F5" s="2452" t="s">
        <v>1460</v>
      </c>
      <c r="G5" s="2918" t="s">
        <v>57</v>
      </c>
      <c r="H5" s="2452" t="s">
        <v>58</v>
      </c>
      <c r="I5" s="2918" t="s">
        <v>59</v>
      </c>
      <c r="J5" s="2452" t="s">
        <v>60</v>
      </c>
      <c r="K5" s="2918" t="s">
        <v>61</v>
      </c>
      <c r="L5" s="2452" t="s">
        <v>63</v>
      </c>
      <c r="M5" s="2919" t="s">
        <v>64</v>
      </c>
      <c r="N5" s="2453" t="s">
        <v>12</v>
      </c>
      <c r="O5" s="2453" t="s">
        <v>81</v>
      </c>
      <c r="P5" s="2454" t="s">
        <v>1360</v>
      </c>
      <c r="Q5" s="2455" t="s">
        <v>1372</v>
      </c>
    </row>
    <row r="6" spans="1:17">
      <c r="A6" s="36"/>
      <c r="B6" s="2456"/>
      <c r="C6" s="2703"/>
      <c r="D6" s="2704"/>
      <c r="E6" s="2457"/>
      <c r="F6" s="2458"/>
      <c r="G6" s="2459"/>
      <c r="H6" s="2458"/>
      <c r="I6" s="2459"/>
      <c r="J6" s="2458"/>
      <c r="K6" s="2459"/>
      <c r="L6" s="2458"/>
      <c r="M6" s="2460"/>
      <c r="N6" s="2453"/>
      <c r="O6" s="2461"/>
      <c r="P6" s="2462"/>
      <c r="Q6" s="2463"/>
    </row>
    <row r="7" spans="1:17" ht="22.5">
      <c r="A7" s="47" t="s">
        <v>210</v>
      </c>
      <c r="B7" s="2451" t="s">
        <v>223</v>
      </c>
      <c r="C7" s="2452" t="s">
        <v>223</v>
      </c>
      <c r="D7" s="2705" t="s">
        <v>223</v>
      </c>
      <c r="E7" s="2457" t="s">
        <v>223</v>
      </c>
      <c r="F7" s="2458" t="s">
        <v>223</v>
      </c>
      <c r="G7" s="2459" t="s">
        <v>223</v>
      </c>
      <c r="H7" s="2458" t="s">
        <v>223</v>
      </c>
      <c r="I7" s="2459" t="s">
        <v>223</v>
      </c>
      <c r="J7" s="2458" t="s">
        <v>223</v>
      </c>
      <c r="K7" s="2459" t="s">
        <v>223</v>
      </c>
      <c r="L7" s="2459" t="s">
        <v>223</v>
      </c>
      <c r="M7" s="2459" t="s">
        <v>223</v>
      </c>
      <c r="N7" s="2453" t="s">
        <v>223</v>
      </c>
      <c r="O7" s="2453" t="s">
        <v>223</v>
      </c>
      <c r="P7" s="2454" t="s">
        <v>223</v>
      </c>
      <c r="Q7" s="2455" t="s">
        <v>223</v>
      </c>
    </row>
    <row r="8" spans="1:17" ht="12.75" customHeight="1">
      <c r="A8" s="390" t="s">
        <v>412</v>
      </c>
      <c r="B8" s="2464" t="s">
        <v>1028</v>
      </c>
      <c r="C8" s="2706" t="s">
        <v>1029</v>
      </c>
      <c r="D8" s="2706" t="s">
        <v>1030</v>
      </c>
      <c r="E8" s="2465" t="s">
        <v>1031</v>
      </c>
      <c r="F8" s="2466" t="s">
        <v>1032</v>
      </c>
      <c r="G8" s="2466" t="s">
        <v>1033</v>
      </c>
      <c r="H8" s="2466" t="s">
        <v>1034</v>
      </c>
      <c r="I8" s="2466" t="s">
        <v>1035</v>
      </c>
      <c r="J8" s="2466" t="s">
        <v>1036</v>
      </c>
      <c r="K8" s="2466" t="s">
        <v>1037</v>
      </c>
      <c r="L8" s="2466" t="s">
        <v>1038</v>
      </c>
      <c r="M8" s="2467" t="s">
        <v>1066</v>
      </c>
      <c r="N8" s="2468" t="s">
        <v>1358</v>
      </c>
      <c r="O8" s="2468" t="s">
        <v>1359</v>
      </c>
      <c r="P8" s="2469" t="s">
        <v>1373</v>
      </c>
      <c r="Q8" s="2470" t="s">
        <v>1470</v>
      </c>
    </row>
    <row r="9" spans="1:17" ht="13.5" thickBot="1">
      <c r="A9" s="2471"/>
      <c r="B9" s="2472"/>
      <c r="C9" s="2707"/>
      <c r="D9" s="2708"/>
      <c r="E9" s="2473"/>
      <c r="F9" s="2474"/>
      <c r="G9" s="2475"/>
      <c r="H9" s="2474"/>
      <c r="I9" s="2475"/>
      <c r="J9" s="2474"/>
      <c r="K9" s="2475"/>
      <c r="L9" s="2474"/>
      <c r="M9" s="2476"/>
      <c r="N9" s="2477"/>
      <c r="O9" s="2477"/>
      <c r="P9" s="2478"/>
      <c r="Q9" s="2479"/>
    </row>
    <row r="10" spans="1:17">
      <c r="A10" s="2480">
        <v>1991.01</v>
      </c>
      <c r="B10" s="2481">
        <v>288683</v>
      </c>
      <c r="C10" s="2709"/>
      <c r="D10" s="2710"/>
      <c r="E10" s="2482">
        <v>156</v>
      </c>
      <c r="F10" s="2483">
        <v>1381</v>
      </c>
      <c r="G10" s="2484">
        <v>2071</v>
      </c>
      <c r="H10" s="2483">
        <v>1725</v>
      </c>
      <c r="I10" s="2484">
        <v>81</v>
      </c>
      <c r="J10" s="2483">
        <v>153</v>
      </c>
      <c r="K10" s="2484">
        <v>236</v>
      </c>
      <c r="L10" s="2483">
        <v>2234</v>
      </c>
      <c r="M10" s="2485">
        <v>394</v>
      </c>
      <c r="N10" s="2486">
        <f>SUM(E10:M10)</f>
        <v>8431</v>
      </c>
      <c r="O10" s="2487"/>
      <c r="P10" s="2488"/>
      <c r="Q10" s="2489"/>
    </row>
    <row r="11" spans="1:17">
      <c r="A11" s="2480">
        <v>1991.02</v>
      </c>
      <c r="B11" s="2490">
        <v>177817</v>
      </c>
      <c r="C11" s="2711"/>
      <c r="D11" s="2712"/>
      <c r="E11" s="2491">
        <v>1081</v>
      </c>
      <c r="F11" s="2492">
        <v>1297</v>
      </c>
      <c r="G11" s="2493">
        <v>2197</v>
      </c>
      <c r="H11" s="2492">
        <v>2153</v>
      </c>
      <c r="I11" s="2493">
        <v>168</v>
      </c>
      <c r="J11" s="2492">
        <v>1325</v>
      </c>
      <c r="K11" s="2493">
        <v>366</v>
      </c>
      <c r="L11" s="2492">
        <v>1311</v>
      </c>
      <c r="M11" s="2494">
        <v>0</v>
      </c>
      <c r="N11" s="2495">
        <f t="shared" ref="N11:N74" si="0">SUM(E11:M11)</f>
        <v>9898</v>
      </c>
      <c r="O11" s="2487"/>
      <c r="P11" s="2488"/>
      <c r="Q11" s="2489"/>
    </row>
    <row r="12" spans="1:17">
      <c r="A12" s="2480">
        <v>1991.03</v>
      </c>
      <c r="B12" s="2490">
        <v>208283</v>
      </c>
      <c r="C12" s="2711"/>
      <c r="D12" s="2712"/>
      <c r="E12" s="2491">
        <v>248</v>
      </c>
      <c r="F12" s="2492">
        <v>2192</v>
      </c>
      <c r="G12" s="2493">
        <v>777</v>
      </c>
      <c r="H12" s="2492">
        <v>4102</v>
      </c>
      <c r="I12" s="2493">
        <v>842</v>
      </c>
      <c r="J12" s="2492">
        <v>1743</v>
      </c>
      <c r="K12" s="2493">
        <v>279</v>
      </c>
      <c r="L12" s="2492">
        <v>978</v>
      </c>
      <c r="M12" s="2494">
        <v>727</v>
      </c>
      <c r="N12" s="2495">
        <f t="shared" si="0"/>
        <v>11888</v>
      </c>
      <c r="O12" s="2487"/>
      <c r="P12" s="2488"/>
      <c r="Q12" s="2489"/>
    </row>
    <row r="13" spans="1:17">
      <c r="A13" s="2480">
        <v>1991.04</v>
      </c>
      <c r="B13" s="2490">
        <v>313177</v>
      </c>
      <c r="C13" s="2711"/>
      <c r="D13" s="2712"/>
      <c r="E13" s="2491">
        <v>1150</v>
      </c>
      <c r="F13" s="2492">
        <v>619</v>
      </c>
      <c r="G13" s="2493">
        <v>268</v>
      </c>
      <c r="H13" s="2492">
        <v>1352</v>
      </c>
      <c r="I13" s="2493">
        <v>833</v>
      </c>
      <c r="J13" s="2492">
        <v>1698</v>
      </c>
      <c r="K13" s="2493">
        <v>191</v>
      </c>
      <c r="L13" s="2492">
        <v>3127</v>
      </c>
      <c r="M13" s="2494">
        <v>0</v>
      </c>
      <c r="N13" s="2495">
        <f t="shared" si="0"/>
        <v>9238</v>
      </c>
      <c r="O13" s="2487"/>
      <c r="P13" s="2488"/>
      <c r="Q13" s="2489"/>
    </row>
    <row r="14" spans="1:17">
      <c r="A14" s="2480">
        <v>1991.05</v>
      </c>
      <c r="B14" s="2490">
        <v>400947</v>
      </c>
      <c r="C14" s="2711"/>
      <c r="D14" s="2712"/>
      <c r="E14" s="2491">
        <v>521</v>
      </c>
      <c r="F14" s="2492">
        <v>3650</v>
      </c>
      <c r="G14" s="2493">
        <v>1574</v>
      </c>
      <c r="H14" s="2492">
        <v>2389</v>
      </c>
      <c r="I14" s="2493">
        <v>349</v>
      </c>
      <c r="J14" s="2492">
        <v>3379</v>
      </c>
      <c r="K14" s="2493">
        <v>202</v>
      </c>
      <c r="L14" s="2492">
        <v>1171</v>
      </c>
      <c r="M14" s="2494">
        <v>865</v>
      </c>
      <c r="N14" s="2495">
        <f t="shared" si="0"/>
        <v>14100</v>
      </c>
      <c r="O14" s="2487"/>
      <c r="P14" s="2488"/>
      <c r="Q14" s="2489"/>
    </row>
    <row r="15" spans="1:17">
      <c r="A15" s="2480">
        <v>1991.06</v>
      </c>
      <c r="B15" s="2490">
        <v>274687</v>
      </c>
      <c r="C15" s="2711"/>
      <c r="D15" s="2712"/>
      <c r="E15" s="2491">
        <v>942</v>
      </c>
      <c r="F15" s="2492">
        <v>1711</v>
      </c>
      <c r="G15" s="2493">
        <v>1897</v>
      </c>
      <c r="H15" s="2492">
        <v>1617</v>
      </c>
      <c r="I15" s="2493">
        <v>70</v>
      </c>
      <c r="J15" s="2492">
        <v>2863</v>
      </c>
      <c r="K15" s="2493">
        <v>123</v>
      </c>
      <c r="L15" s="2492">
        <v>1924</v>
      </c>
      <c r="M15" s="2494">
        <v>0</v>
      </c>
      <c r="N15" s="2495">
        <f t="shared" si="0"/>
        <v>11147</v>
      </c>
      <c r="O15" s="2487"/>
      <c r="P15" s="2488"/>
      <c r="Q15" s="2489"/>
    </row>
    <row r="16" spans="1:17">
      <c r="A16" s="2480">
        <v>1991.07</v>
      </c>
      <c r="B16" s="2490">
        <v>343519</v>
      </c>
      <c r="C16" s="2711"/>
      <c r="D16" s="2712"/>
      <c r="E16" s="2491">
        <v>810</v>
      </c>
      <c r="F16" s="2492">
        <v>1970</v>
      </c>
      <c r="G16" s="2493">
        <v>489</v>
      </c>
      <c r="H16" s="2492">
        <v>3623</v>
      </c>
      <c r="I16" s="2493">
        <v>489</v>
      </c>
      <c r="J16" s="2492">
        <v>1296</v>
      </c>
      <c r="K16" s="2493">
        <v>435</v>
      </c>
      <c r="L16" s="2492">
        <v>4803</v>
      </c>
      <c r="M16" s="2494">
        <v>1423</v>
      </c>
      <c r="N16" s="2495">
        <f t="shared" si="0"/>
        <v>15338</v>
      </c>
      <c r="O16" s="2487"/>
      <c r="P16" s="2488"/>
      <c r="Q16" s="2489"/>
    </row>
    <row r="17" spans="1:17">
      <c r="A17" s="2480">
        <v>1991.08</v>
      </c>
      <c r="B17" s="2490">
        <v>415156</v>
      </c>
      <c r="C17" s="2711"/>
      <c r="D17" s="2712"/>
      <c r="E17" s="2491">
        <v>111</v>
      </c>
      <c r="F17" s="2492">
        <v>2134</v>
      </c>
      <c r="G17" s="2493">
        <v>2673</v>
      </c>
      <c r="H17" s="2492">
        <v>5176</v>
      </c>
      <c r="I17" s="2493">
        <v>659</v>
      </c>
      <c r="J17" s="2492">
        <v>2667</v>
      </c>
      <c r="K17" s="2493">
        <v>147</v>
      </c>
      <c r="L17" s="2492">
        <v>4706</v>
      </c>
      <c r="M17" s="2494">
        <v>134</v>
      </c>
      <c r="N17" s="2495">
        <f t="shared" si="0"/>
        <v>18407</v>
      </c>
      <c r="O17" s="2487"/>
      <c r="P17" s="2488"/>
      <c r="Q17" s="2489"/>
    </row>
    <row r="18" spans="1:17">
      <c r="A18" s="2480">
        <v>1991.09</v>
      </c>
      <c r="B18" s="2490">
        <v>289097</v>
      </c>
      <c r="C18" s="2711"/>
      <c r="D18" s="2712"/>
      <c r="E18" s="2491">
        <v>111</v>
      </c>
      <c r="F18" s="2492">
        <v>3354</v>
      </c>
      <c r="G18" s="2493">
        <v>863</v>
      </c>
      <c r="H18" s="2492">
        <v>6020</v>
      </c>
      <c r="I18" s="2493">
        <v>640</v>
      </c>
      <c r="J18" s="2492">
        <v>596</v>
      </c>
      <c r="K18" s="2493">
        <v>322</v>
      </c>
      <c r="L18" s="2492">
        <v>6076</v>
      </c>
      <c r="M18" s="2494">
        <v>131</v>
      </c>
      <c r="N18" s="2495">
        <f t="shared" si="0"/>
        <v>18113</v>
      </c>
      <c r="O18" s="2487"/>
      <c r="P18" s="2488"/>
      <c r="Q18" s="2489"/>
    </row>
    <row r="19" spans="1:17">
      <c r="A19" s="2480">
        <v>1991.1</v>
      </c>
      <c r="B19" s="2490">
        <v>538362</v>
      </c>
      <c r="C19" s="2711"/>
      <c r="D19" s="2712"/>
      <c r="E19" s="2491">
        <v>406</v>
      </c>
      <c r="F19" s="2492">
        <v>6461</v>
      </c>
      <c r="G19" s="2493">
        <v>67</v>
      </c>
      <c r="H19" s="2492">
        <v>3349</v>
      </c>
      <c r="I19" s="2493">
        <v>1523</v>
      </c>
      <c r="J19" s="2492">
        <v>1449</v>
      </c>
      <c r="K19" s="2493">
        <v>655</v>
      </c>
      <c r="L19" s="2492">
        <v>8010</v>
      </c>
      <c r="M19" s="2494">
        <v>1051</v>
      </c>
      <c r="N19" s="2495">
        <f t="shared" si="0"/>
        <v>22971</v>
      </c>
      <c r="O19" s="2487"/>
      <c r="P19" s="2488"/>
      <c r="Q19" s="2489"/>
    </row>
    <row r="20" spans="1:17">
      <c r="A20" s="2480">
        <v>1991.11</v>
      </c>
      <c r="B20" s="2490">
        <v>489410</v>
      </c>
      <c r="C20" s="2711"/>
      <c r="D20" s="2712"/>
      <c r="E20" s="2491">
        <v>158</v>
      </c>
      <c r="F20" s="2492">
        <v>6022</v>
      </c>
      <c r="G20" s="2493">
        <v>2771</v>
      </c>
      <c r="H20" s="2492">
        <v>5720</v>
      </c>
      <c r="I20" s="2493">
        <v>453</v>
      </c>
      <c r="J20" s="2492">
        <v>1018</v>
      </c>
      <c r="K20" s="2493">
        <v>722</v>
      </c>
      <c r="L20" s="2492">
        <v>10485</v>
      </c>
      <c r="M20" s="2494">
        <v>579</v>
      </c>
      <c r="N20" s="2495">
        <f t="shared" si="0"/>
        <v>27928</v>
      </c>
      <c r="O20" s="2487"/>
      <c r="P20" s="2488"/>
      <c r="Q20" s="2489"/>
    </row>
    <row r="21" spans="1:17">
      <c r="A21" s="2480">
        <v>1991.12</v>
      </c>
      <c r="B21" s="2490">
        <v>694907</v>
      </c>
      <c r="C21" s="2711"/>
      <c r="D21" s="2712"/>
      <c r="E21" s="2491">
        <v>230</v>
      </c>
      <c r="F21" s="2492">
        <v>2449</v>
      </c>
      <c r="G21" s="2493">
        <v>3061</v>
      </c>
      <c r="H21" s="2492">
        <v>4001</v>
      </c>
      <c r="I21" s="2493">
        <v>329</v>
      </c>
      <c r="J21" s="2492">
        <v>3394</v>
      </c>
      <c r="K21" s="2493">
        <v>136</v>
      </c>
      <c r="L21" s="2492">
        <v>5628</v>
      </c>
      <c r="M21" s="2494">
        <v>0</v>
      </c>
      <c r="N21" s="2495">
        <f t="shared" si="0"/>
        <v>19228</v>
      </c>
      <c r="O21" s="2487"/>
      <c r="P21" s="2488"/>
      <c r="Q21" s="2489"/>
    </row>
    <row r="22" spans="1:17">
      <c r="A22" s="2480">
        <v>1992.01</v>
      </c>
      <c r="B22" s="2490">
        <v>258246</v>
      </c>
      <c r="C22" s="2711"/>
      <c r="D22" s="2712"/>
      <c r="E22" s="2491">
        <v>833</v>
      </c>
      <c r="F22" s="2492">
        <v>1316</v>
      </c>
      <c r="G22" s="2493">
        <v>984</v>
      </c>
      <c r="H22" s="2492">
        <v>1119</v>
      </c>
      <c r="I22" s="2493">
        <v>238</v>
      </c>
      <c r="J22" s="2492">
        <v>614</v>
      </c>
      <c r="K22" s="2493">
        <v>448</v>
      </c>
      <c r="L22" s="2492">
        <v>1968</v>
      </c>
      <c r="M22" s="2494">
        <v>412</v>
      </c>
      <c r="N22" s="2495">
        <f t="shared" si="0"/>
        <v>7932</v>
      </c>
      <c r="O22" s="2487"/>
      <c r="P22" s="2488"/>
      <c r="Q22" s="2489"/>
    </row>
    <row r="23" spans="1:17">
      <c r="A23" s="2480">
        <v>1992.02</v>
      </c>
      <c r="B23" s="2490">
        <v>413222</v>
      </c>
      <c r="C23" s="2711"/>
      <c r="D23" s="2712"/>
      <c r="E23" s="2491">
        <v>47</v>
      </c>
      <c r="F23" s="2492">
        <v>1410</v>
      </c>
      <c r="G23" s="2493">
        <v>381</v>
      </c>
      <c r="H23" s="2492">
        <v>4629</v>
      </c>
      <c r="I23" s="2493">
        <v>220</v>
      </c>
      <c r="J23" s="2492">
        <v>362</v>
      </c>
      <c r="K23" s="2493">
        <v>296</v>
      </c>
      <c r="L23" s="2492">
        <v>1926</v>
      </c>
      <c r="M23" s="2494">
        <v>270</v>
      </c>
      <c r="N23" s="2495">
        <f t="shared" si="0"/>
        <v>9541</v>
      </c>
      <c r="O23" s="2487"/>
      <c r="P23" s="2488"/>
      <c r="Q23" s="2489"/>
    </row>
    <row r="24" spans="1:17">
      <c r="A24" s="2480">
        <v>1992.03</v>
      </c>
      <c r="B24" s="2490">
        <v>473417</v>
      </c>
      <c r="C24" s="2711"/>
      <c r="D24" s="2712"/>
      <c r="E24" s="2491">
        <v>67</v>
      </c>
      <c r="F24" s="2492">
        <v>8063</v>
      </c>
      <c r="G24" s="2493">
        <v>1505</v>
      </c>
      <c r="H24" s="2492">
        <v>4649</v>
      </c>
      <c r="I24" s="2493">
        <v>969</v>
      </c>
      <c r="J24" s="2492">
        <v>1410</v>
      </c>
      <c r="K24" s="2493">
        <v>458</v>
      </c>
      <c r="L24" s="2492">
        <v>2048</v>
      </c>
      <c r="M24" s="2494">
        <v>937</v>
      </c>
      <c r="N24" s="2495">
        <f t="shared" si="0"/>
        <v>20106</v>
      </c>
      <c r="O24" s="2487"/>
      <c r="P24" s="2488"/>
      <c r="Q24" s="2489"/>
    </row>
    <row r="25" spans="1:17">
      <c r="A25" s="2480">
        <v>1992.04</v>
      </c>
      <c r="B25" s="2490">
        <v>447301</v>
      </c>
      <c r="C25" s="2711"/>
      <c r="D25" s="2712"/>
      <c r="E25" s="2491">
        <v>142</v>
      </c>
      <c r="F25" s="2492">
        <v>4928</v>
      </c>
      <c r="G25" s="2493">
        <v>498</v>
      </c>
      <c r="H25" s="2492">
        <v>6732</v>
      </c>
      <c r="I25" s="2493">
        <v>741</v>
      </c>
      <c r="J25" s="2492">
        <v>556</v>
      </c>
      <c r="K25" s="2493">
        <v>393</v>
      </c>
      <c r="L25" s="2492">
        <v>3027</v>
      </c>
      <c r="M25" s="2494">
        <v>0</v>
      </c>
      <c r="N25" s="2495">
        <f t="shared" si="0"/>
        <v>17017</v>
      </c>
      <c r="O25" s="2487"/>
      <c r="P25" s="2488"/>
      <c r="Q25" s="2489"/>
    </row>
    <row r="26" spans="1:17">
      <c r="A26" s="2480">
        <v>1992.05</v>
      </c>
      <c r="B26" s="2490">
        <v>420374</v>
      </c>
      <c r="C26" s="2711"/>
      <c r="D26" s="2712"/>
      <c r="E26" s="2491">
        <v>527</v>
      </c>
      <c r="F26" s="2492">
        <v>6019</v>
      </c>
      <c r="G26" s="2493">
        <v>1313</v>
      </c>
      <c r="H26" s="2492">
        <v>2101</v>
      </c>
      <c r="I26" s="2493">
        <v>666</v>
      </c>
      <c r="J26" s="2492">
        <v>1878</v>
      </c>
      <c r="K26" s="2493">
        <v>421</v>
      </c>
      <c r="L26" s="2492">
        <v>4303</v>
      </c>
      <c r="M26" s="2494">
        <v>0</v>
      </c>
      <c r="N26" s="2495">
        <f t="shared" si="0"/>
        <v>17228</v>
      </c>
      <c r="O26" s="2487"/>
      <c r="P26" s="2488"/>
      <c r="Q26" s="2489"/>
    </row>
    <row r="27" spans="1:17">
      <c r="A27" s="2480">
        <v>1992.06</v>
      </c>
      <c r="B27" s="2490">
        <v>644177</v>
      </c>
      <c r="C27" s="2711"/>
      <c r="D27" s="2712"/>
      <c r="E27" s="2491">
        <v>46</v>
      </c>
      <c r="F27" s="2492">
        <v>4544</v>
      </c>
      <c r="G27" s="2493">
        <v>253</v>
      </c>
      <c r="H27" s="2492">
        <v>5936</v>
      </c>
      <c r="I27" s="2493">
        <v>930</v>
      </c>
      <c r="J27" s="2492">
        <v>472</v>
      </c>
      <c r="K27" s="2493">
        <v>491</v>
      </c>
      <c r="L27" s="2492">
        <v>8175</v>
      </c>
      <c r="M27" s="2494">
        <v>0</v>
      </c>
      <c r="N27" s="2495">
        <f t="shared" si="0"/>
        <v>20847</v>
      </c>
      <c r="O27" s="2487"/>
      <c r="P27" s="2488"/>
      <c r="Q27" s="2489"/>
    </row>
    <row r="28" spans="1:17">
      <c r="A28" s="2480">
        <v>1992.07</v>
      </c>
      <c r="B28" s="2490">
        <v>588796</v>
      </c>
      <c r="C28" s="2711"/>
      <c r="D28" s="2712"/>
      <c r="E28" s="2491">
        <v>282</v>
      </c>
      <c r="F28" s="2492">
        <v>3246</v>
      </c>
      <c r="G28" s="2493">
        <v>1904</v>
      </c>
      <c r="H28" s="2492">
        <v>5825</v>
      </c>
      <c r="I28" s="2493">
        <v>733</v>
      </c>
      <c r="J28" s="2492">
        <v>547</v>
      </c>
      <c r="K28" s="2493">
        <v>721</v>
      </c>
      <c r="L28" s="2492">
        <v>2657</v>
      </c>
      <c r="M28" s="2494">
        <v>0</v>
      </c>
      <c r="N28" s="2495">
        <f t="shared" si="0"/>
        <v>15915</v>
      </c>
      <c r="O28" s="2487"/>
      <c r="P28" s="2488"/>
      <c r="Q28" s="2489"/>
    </row>
    <row r="29" spans="1:17">
      <c r="A29" s="2480">
        <v>1992.08</v>
      </c>
      <c r="B29" s="2490">
        <v>474955</v>
      </c>
      <c r="C29" s="2711"/>
      <c r="D29" s="2712"/>
      <c r="E29" s="2491">
        <v>206</v>
      </c>
      <c r="F29" s="2492">
        <v>6199</v>
      </c>
      <c r="G29" s="2493">
        <v>6</v>
      </c>
      <c r="H29" s="2492">
        <v>4367</v>
      </c>
      <c r="I29" s="2493">
        <v>373</v>
      </c>
      <c r="J29" s="2492">
        <v>1941</v>
      </c>
      <c r="K29" s="2493">
        <v>366</v>
      </c>
      <c r="L29" s="2492">
        <v>8529</v>
      </c>
      <c r="M29" s="2494">
        <v>0</v>
      </c>
      <c r="N29" s="2495">
        <f t="shared" si="0"/>
        <v>21987</v>
      </c>
      <c r="O29" s="2487"/>
      <c r="P29" s="2488"/>
      <c r="Q29" s="2489"/>
    </row>
    <row r="30" spans="1:17">
      <c r="A30" s="2480">
        <v>1992.09</v>
      </c>
      <c r="B30" s="2490">
        <v>545954</v>
      </c>
      <c r="C30" s="2711"/>
      <c r="D30" s="2712"/>
      <c r="E30" s="2491">
        <v>448</v>
      </c>
      <c r="F30" s="2492">
        <v>7738</v>
      </c>
      <c r="G30" s="2493">
        <v>2597</v>
      </c>
      <c r="H30" s="2492">
        <v>15306</v>
      </c>
      <c r="I30" s="2493">
        <v>504</v>
      </c>
      <c r="J30" s="2492">
        <v>2675</v>
      </c>
      <c r="K30" s="2493">
        <v>1389</v>
      </c>
      <c r="L30" s="2492">
        <v>3409</v>
      </c>
      <c r="M30" s="2494">
        <v>883</v>
      </c>
      <c r="N30" s="2495">
        <f t="shared" si="0"/>
        <v>34949</v>
      </c>
      <c r="O30" s="2487"/>
      <c r="P30" s="2488"/>
      <c r="Q30" s="2489"/>
    </row>
    <row r="31" spans="1:17">
      <c r="A31" s="2480">
        <v>1992.1</v>
      </c>
      <c r="B31" s="2490">
        <v>556720</v>
      </c>
      <c r="C31" s="2711"/>
      <c r="D31" s="2712"/>
      <c r="E31" s="2491">
        <v>480</v>
      </c>
      <c r="F31" s="2492">
        <v>10301</v>
      </c>
      <c r="G31" s="2493">
        <v>90</v>
      </c>
      <c r="H31" s="2492">
        <v>7515</v>
      </c>
      <c r="I31" s="2493">
        <v>1325</v>
      </c>
      <c r="J31" s="2492">
        <v>3242</v>
      </c>
      <c r="K31" s="2493">
        <v>228</v>
      </c>
      <c r="L31" s="2492">
        <v>3873</v>
      </c>
      <c r="M31" s="2494">
        <v>738</v>
      </c>
      <c r="N31" s="2495">
        <f t="shared" si="0"/>
        <v>27792</v>
      </c>
      <c r="O31" s="2487"/>
      <c r="P31" s="2488"/>
      <c r="Q31" s="2489"/>
    </row>
    <row r="32" spans="1:17">
      <c r="A32" s="2480">
        <v>1992.11</v>
      </c>
      <c r="B32" s="2490">
        <v>547223</v>
      </c>
      <c r="C32" s="2711"/>
      <c r="D32" s="2712"/>
      <c r="E32" s="2491">
        <v>143</v>
      </c>
      <c r="F32" s="2492">
        <v>3340</v>
      </c>
      <c r="G32" s="2493">
        <v>588</v>
      </c>
      <c r="H32" s="2492">
        <v>8317</v>
      </c>
      <c r="I32" s="2493">
        <v>711</v>
      </c>
      <c r="J32" s="2492">
        <v>2762</v>
      </c>
      <c r="K32" s="2493">
        <v>1033</v>
      </c>
      <c r="L32" s="2492">
        <v>6440</v>
      </c>
      <c r="M32" s="2494">
        <v>528</v>
      </c>
      <c r="N32" s="2495">
        <f t="shared" si="0"/>
        <v>23862</v>
      </c>
      <c r="O32" s="2487"/>
      <c r="P32" s="2488"/>
      <c r="Q32" s="2489"/>
    </row>
    <row r="33" spans="1:17">
      <c r="A33" s="2480">
        <v>1992.12</v>
      </c>
      <c r="B33" s="2490">
        <v>438233</v>
      </c>
      <c r="C33" s="2711"/>
      <c r="D33" s="2712"/>
      <c r="E33" s="2491">
        <v>125</v>
      </c>
      <c r="F33" s="2492">
        <v>5621</v>
      </c>
      <c r="G33" s="2493">
        <v>1102</v>
      </c>
      <c r="H33" s="2492">
        <v>4313</v>
      </c>
      <c r="I33" s="2493">
        <v>426</v>
      </c>
      <c r="J33" s="2492">
        <v>2133</v>
      </c>
      <c r="K33" s="2493">
        <v>1519</v>
      </c>
      <c r="L33" s="2492">
        <v>3215</v>
      </c>
      <c r="M33" s="2494">
        <v>632</v>
      </c>
      <c r="N33" s="2495">
        <f t="shared" si="0"/>
        <v>19086</v>
      </c>
      <c r="O33" s="2487"/>
      <c r="P33" s="2488"/>
      <c r="Q33" s="2489"/>
    </row>
    <row r="34" spans="1:17">
      <c r="A34" s="2480">
        <v>1993.01</v>
      </c>
      <c r="B34" s="2490">
        <v>409830</v>
      </c>
      <c r="C34" s="2711"/>
      <c r="D34" s="2712"/>
      <c r="E34" s="2491">
        <v>455</v>
      </c>
      <c r="F34" s="2492">
        <v>2014</v>
      </c>
      <c r="G34" s="2493">
        <v>855</v>
      </c>
      <c r="H34" s="2492">
        <v>5310</v>
      </c>
      <c r="I34" s="2493">
        <v>2503</v>
      </c>
      <c r="J34" s="2492">
        <v>1014</v>
      </c>
      <c r="K34" s="2493">
        <v>813</v>
      </c>
      <c r="L34" s="2492">
        <v>2316</v>
      </c>
      <c r="M34" s="2494">
        <v>458</v>
      </c>
      <c r="N34" s="2495">
        <f t="shared" si="0"/>
        <v>15738</v>
      </c>
      <c r="O34" s="2487"/>
      <c r="P34" s="2488"/>
      <c r="Q34" s="2489"/>
    </row>
    <row r="35" spans="1:17">
      <c r="A35" s="2480">
        <v>1993.02</v>
      </c>
      <c r="B35" s="2490">
        <v>332926</v>
      </c>
      <c r="C35" s="2711"/>
      <c r="D35" s="2712"/>
      <c r="E35" s="2491">
        <v>378</v>
      </c>
      <c r="F35" s="2492">
        <v>10714</v>
      </c>
      <c r="G35" s="2493">
        <v>1472</v>
      </c>
      <c r="H35" s="2492">
        <v>8325</v>
      </c>
      <c r="I35" s="2493">
        <v>1018</v>
      </c>
      <c r="J35" s="2492">
        <v>949</v>
      </c>
      <c r="K35" s="2493">
        <v>812</v>
      </c>
      <c r="L35" s="2492">
        <v>11113</v>
      </c>
      <c r="M35" s="2494">
        <v>0</v>
      </c>
      <c r="N35" s="2495">
        <f t="shared" si="0"/>
        <v>34781</v>
      </c>
      <c r="O35" s="2487"/>
      <c r="P35" s="2488"/>
      <c r="Q35" s="2489"/>
    </row>
    <row r="36" spans="1:17">
      <c r="A36" s="2480">
        <v>1993.03</v>
      </c>
      <c r="B36" s="2490">
        <v>490004</v>
      </c>
      <c r="C36" s="2711"/>
      <c r="D36" s="2712"/>
      <c r="E36" s="2491">
        <v>209</v>
      </c>
      <c r="F36" s="2492">
        <v>2823</v>
      </c>
      <c r="G36" s="2493">
        <v>2551</v>
      </c>
      <c r="H36" s="2492">
        <v>17339</v>
      </c>
      <c r="I36" s="2493">
        <v>618</v>
      </c>
      <c r="J36" s="2492">
        <v>467</v>
      </c>
      <c r="K36" s="2493">
        <v>1253</v>
      </c>
      <c r="L36" s="2492">
        <v>5341</v>
      </c>
      <c r="M36" s="2494">
        <v>1330</v>
      </c>
      <c r="N36" s="2495">
        <f t="shared" si="0"/>
        <v>31931</v>
      </c>
      <c r="O36" s="2487"/>
      <c r="P36" s="2488"/>
      <c r="Q36" s="2489"/>
    </row>
    <row r="37" spans="1:17">
      <c r="A37" s="2480">
        <v>1993.04</v>
      </c>
      <c r="B37" s="2490">
        <v>392737</v>
      </c>
      <c r="C37" s="2711"/>
      <c r="D37" s="2712"/>
      <c r="E37" s="2491">
        <v>357</v>
      </c>
      <c r="F37" s="2492">
        <v>4150</v>
      </c>
      <c r="G37" s="2493">
        <v>2330</v>
      </c>
      <c r="H37" s="2492">
        <v>6652</v>
      </c>
      <c r="I37" s="2493">
        <v>486</v>
      </c>
      <c r="J37" s="2492">
        <v>1394</v>
      </c>
      <c r="K37" s="2493">
        <v>814</v>
      </c>
      <c r="L37" s="2492">
        <v>17102</v>
      </c>
      <c r="M37" s="2494">
        <v>806</v>
      </c>
      <c r="N37" s="2495">
        <f t="shared" si="0"/>
        <v>34091</v>
      </c>
      <c r="O37" s="2487"/>
      <c r="P37" s="2488"/>
      <c r="Q37" s="2489"/>
    </row>
    <row r="38" spans="1:17">
      <c r="A38" s="2480">
        <v>1993.05</v>
      </c>
      <c r="B38" s="2490">
        <v>403181</v>
      </c>
      <c r="C38" s="2711"/>
      <c r="D38" s="2712"/>
      <c r="E38" s="2491">
        <v>863</v>
      </c>
      <c r="F38" s="2492">
        <v>5588</v>
      </c>
      <c r="G38" s="2493">
        <v>1980</v>
      </c>
      <c r="H38" s="2492">
        <v>7147</v>
      </c>
      <c r="I38" s="2493">
        <v>905</v>
      </c>
      <c r="J38" s="2492">
        <v>3071</v>
      </c>
      <c r="K38" s="2493">
        <v>408</v>
      </c>
      <c r="L38" s="2492">
        <v>2843</v>
      </c>
      <c r="M38" s="2494">
        <v>410</v>
      </c>
      <c r="N38" s="2495">
        <f t="shared" si="0"/>
        <v>23215</v>
      </c>
      <c r="O38" s="2487"/>
      <c r="P38" s="2488"/>
      <c r="Q38" s="2489"/>
    </row>
    <row r="39" spans="1:17">
      <c r="A39" s="2480">
        <v>1993.06</v>
      </c>
      <c r="B39" s="2490">
        <v>464052</v>
      </c>
      <c r="C39" s="2711"/>
      <c r="D39" s="2712"/>
      <c r="E39" s="2491">
        <v>807</v>
      </c>
      <c r="F39" s="2492">
        <v>3308</v>
      </c>
      <c r="G39" s="2493">
        <v>3061</v>
      </c>
      <c r="H39" s="2492">
        <v>8366</v>
      </c>
      <c r="I39" s="2493">
        <v>2465</v>
      </c>
      <c r="J39" s="2492">
        <v>5505</v>
      </c>
      <c r="K39" s="2493">
        <v>1492</v>
      </c>
      <c r="L39" s="2492">
        <v>1664</v>
      </c>
      <c r="M39" s="2494">
        <v>1803</v>
      </c>
      <c r="N39" s="2495">
        <f t="shared" si="0"/>
        <v>28471</v>
      </c>
      <c r="O39" s="2487"/>
      <c r="P39" s="2488"/>
      <c r="Q39" s="2489"/>
    </row>
    <row r="40" spans="1:17">
      <c r="A40" s="2480">
        <v>1993.07</v>
      </c>
      <c r="B40" s="2490">
        <v>532577</v>
      </c>
      <c r="C40" s="2711"/>
      <c r="D40" s="2712"/>
      <c r="E40" s="2491">
        <v>1295</v>
      </c>
      <c r="F40" s="2492">
        <v>2868</v>
      </c>
      <c r="G40" s="2493">
        <v>5546</v>
      </c>
      <c r="H40" s="2492">
        <v>5025</v>
      </c>
      <c r="I40" s="2493">
        <v>609</v>
      </c>
      <c r="J40" s="2492">
        <v>5469</v>
      </c>
      <c r="K40" s="2493">
        <v>863</v>
      </c>
      <c r="L40" s="2492">
        <v>1466</v>
      </c>
      <c r="M40" s="2494">
        <v>156</v>
      </c>
      <c r="N40" s="2495">
        <f t="shared" si="0"/>
        <v>23297</v>
      </c>
      <c r="O40" s="2487"/>
      <c r="P40" s="2488"/>
      <c r="Q40" s="2489"/>
    </row>
    <row r="41" spans="1:17">
      <c r="A41" s="2480">
        <v>1993.08</v>
      </c>
      <c r="B41" s="2490">
        <v>530847</v>
      </c>
      <c r="C41" s="2711"/>
      <c r="D41" s="2712"/>
      <c r="E41" s="2491">
        <v>2237</v>
      </c>
      <c r="F41" s="2492">
        <v>8516</v>
      </c>
      <c r="G41" s="2493">
        <v>5546</v>
      </c>
      <c r="H41" s="2492">
        <v>6419</v>
      </c>
      <c r="I41" s="2493">
        <v>1763</v>
      </c>
      <c r="J41" s="2492">
        <v>2281</v>
      </c>
      <c r="K41" s="2493">
        <v>1241</v>
      </c>
      <c r="L41" s="2492">
        <v>2366</v>
      </c>
      <c r="M41" s="2494">
        <v>654</v>
      </c>
      <c r="N41" s="2495">
        <f t="shared" si="0"/>
        <v>31023</v>
      </c>
      <c r="O41" s="2487"/>
      <c r="P41" s="2488"/>
      <c r="Q41" s="2489"/>
    </row>
    <row r="42" spans="1:17">
      <c r="A42" s="2480">
        <v>1993.09</v>
      </c>
      <c r="B42" s="2490">
        <v>530908</v>
      </c>
      <c r="C42" s="2711"/>
      <c r="D42" s="2712"/>
      <c r="E42" s="2491">
        <v>3440</v>
      </c>
      <c r="F42" s="2492">
        <v>5424</v>
      </c>
      <c r="G42" s="2493">
        <v>5545</v>
      </c>
      <c r="H42" s="2492">
        <v>6980</v>
      </c>
      <c r="I42" s="2493">
        <v>1097</v>
      </c>
      <c r="J42" s="2492">
        <v>2305</v>
      </c>
      <c r="K42" s="2493">
        <v>1182</v>
      </c>
      <c r="L42" s="2492">
        <v>5855</v>
      </c>
      <c r="M42" s="2494">
        <v>549</v>
      </c>
      <c r="N42" s="2495">
        <f t="shared" si="0"/>
        <v>32377</v>
      </c>
      <c r="O42" s="2487"/>
      <c r="P42" s="2488"/>
      <c r="Q42" s="2489"/>
    </row>
    <row r="43" spans="1:17">
      <c r="A43" s="2480">
        <v>1993.1</v>
      </c>
      <c r="B43" s="2490">
        <v>581664</v>
      </c>
      <c r="C43" s="2711"/>
      <c r="D43" s="2712"/>
      <c r="E43" s="2491">
        <v>3421</v>
      </c>
      <c r="F43" s="2492">
        <v>5689</v>
      </c>
      <c r="G43" s="2493">
        <v>2089</v>
      </c>
      <c r="H43" s="2492">
        <v>9860</v>
      </c>
      <c r="I43" s="2493">
        <v>710</v>
      </c>
      <c r="J43" s="2492">
        <v>824</v>
      </c>
      <c r="K43" s="2493">
        <v>608</v>
      </c>
      <c r="L43" s="2492">
        <v>9541</v>
      </c>
      <c r="M43" s="2494">
        <v>0</v>
      </c>
      <c r="N43" s="2495">
        <f t="shared" si="0"/>
        <v>32742</v>
      </c>
      <c r="O43" s="2487"/>
      <c r="P43" s="2488"/>
      <c r="Q43" s="2489"/>
    </row>
    <row r="44" spans="1:17">
      <c r="A44" s="2480">
        <v>1993.11</v>
      </c>
      <c r="B44" s="2490">
        <v>521833</v>
      </c>
      <c r="C44" s="2711"/>
      <c r="D44" s="2712"/>
      <c r="E44" s="2491">
        <v>4964</v>
      </c>
      <c r="F44" s="2492">
        <v>5398</v>
      </c>
      <c r="G44" s="2493">
        <v>2089</v>
      </c>
      <c r="H44" s="2492">
        <v>14780</v>
      </c>
      <c r="I44" s="2493">
        <v>1597</v>
      </c>
      <c r="J44" s="2492">
        <v>1358</v>
      </c>
      <c r="K44" s="2493">
        <v>934</v>
      </c>
      <c r="L44" s="2492">
        <v>7811</v>
      </c>
      <c r="M44" s="2494">
        <v>886</v>
      </c>
      <c r="N44" s="2495">
        <f t="shared" si="0"/>
        <v>39817</v>
      </c>
      <c r="O44" s="2487"/>
      <c r="P44" s="2488"/>
      <c r="Q44" s="2489"/>
    </row>
    <row r="45" spans="1:17">
      <c r="A45" s="2480">
        <v>1993.12</v>
      </c>
      <c r="B45" s="2490">
        <v>505586</v>
      </c>
      <c r="C45" s="2711"/>
      <c r="D45" s="2712"/>
      <c r="E45" s="2491">
        <v>2270</v>
      </c>
      <c r="F45" s="2492">
        <v>5825</v>
      </c>
      <c r="G45" s="2493">
        <v>2089</v>
      </c>
      <c r="H45" s="2492">
        <v>3591</v>
      </c>
      <c r="I45" s="2493">
        <v>4389</v>
      </c>
      <c r="J45" s="2492">
        <v>1192</v>
      </c>
      <c r="K45" s="2493">
        <v>3266</v>
      </c>
      <c r="L45" s="2492">
        <v>8547</v>
      </c>
      <c r="M45" s="2494">
        <v>803</v>
      </c>
      <c r="N45" s="2495">
        <f t="shared" si="0"/>
        <v>31972</v>
      </c>
      <c r="O45" s="2487"/>
      <c r="P45" s="2488"/>
      <c r="Q45" s="2489"/>
    </row>
    <row r="46" spans="1:17">
      <c r="A46" s="2480">
        <v>1994.01</v>
      </c>
      <c r="B46" s="2490">
        <v>420046</v>
      </c>
      <c r="C46" s="2711"/>
      <c r="D46" s="2712"/>
      <c r="E46" s="2491">
        <v>745</v>
      </c>
      <c r="F46" s="2492">
        <v>1822</v>
      </c>
      <c r="G46" s="2493">
        <v>680</v>
      </c>
      <c r="H46" s="2492">
        <v>0</v>
      </c>
      <c r="I46" s="2493">
        <v>4364</v>
      </c>
      <c r="J46" s="2492">
        <v>4497</v>
      </c>
      <c r="K46" s="2493">
        <v>1749</v>
      </c>
      <c r="L46" s="2492">
        <v>6820</v>
      </c>
      <c r="M46" s="2494">
        <v>928</v>
      </c>
      <c r="N46" s="2495">
        <f t="shared" si="0"/>
        <v>21605</v>
      </c>
      <c r="O46" s="2487"/>
      <c r="P46" s="2488"/>
      <c r="Q46" s="2489"/>
    </row>
    <row r="47" spans="1:17">
      <c r="A47" s="2480">
        <v>1994.02</v>
      </c>
      <c r="B47" s="2490">
        <v>522915</v>
      </c>
      <c r="C47" s="2711"/>
      <c r="D47" s="2712"/>
      <c r="E47" s="2491">
        <v>1471</v>
      </c>
      <c r="F47" s="2492">
        <v>7600</v>
      </c>
      <c r="G47" s="2493">
        <v>2918</v>
      </c>
      <c r="H47" s="2492">
        <v>12231</v>
      </c>
      <c r="I47" s="2493">
        <v>4067</v>
      </c>
      <c r="J47" s="2492">
        <v>1068</v>
      </c>
      <c r="K47" s="2493">
        <v>1662</v>
      </c>
      <c r="L47" s="2492">
        <v>4113</v>
      </c>
      <c r="M47" s="2494">
        <v>2170</v>
      </c>
      <c r="N47" s="2495">
        <f t="shared" si="0"/>
        <v>37300</v>
      </c>
      <c r="O47" s="2487"/>
      <c r="P47" s="2488"/>
      <c r="Q47" s="2489"/>
    </row>
    <row r="48" spans="1:17">
      <c r="A48" s="2480">
        <v>1994.03</v>
      </c>
      <c r="B48" s="2490">
        <v>569520</v>
      </c>
      <c r="C48" s="2711"/>
      <c r="D48" s="2712"/>
      <c r="E48" s="2491">
        <v>2777</v>
      </c>
      <c r="F48" s="2492">
        <v>10933</v>
      </c>
      <c r="G48" s="2493">
        <v>10010</v>
      </c>
      <c r="H48" s="2492">
        <v>11654</v>
      </c>
      <c r="I48" s="2493">
        <v>8061</v>
      </c>
      <c r="J48" s="2492">
        <v>2102</v>
      </c>
      <c r="K48" s="2493">
        <v>3214</v>
      </c>
      <c r="L48" s="2492">
        <v>19751</v>
      </c>
      <c r="M48" s="2494">
        <v>1070</v>
      </c>
      <c r="N48" s="2495">
        <f t="shared" si="0"/>
        <v>69572</v>
      </c>
      <c r="O48" s="2487"/>
      <c r="P48" s="2488"/>
      <c r="Q48" s="2489"/>
    </row>
    <row r="49" spans="1:17">
      <c r="A49" s="2480">
        <v>1994.04</v>
      </c>
      <c r="B49" s="2490">
        <v>556888</v>
      </c>
      <c r="C49" s="2711"/>
      <c r="D49" s="2712"/>
      <c r="E49" s="2491">
        <v>7425</v>
      </c>
      <c r="F49" s="2492">
        <v>7371</v>
      </c>
      <c r="G49" s="2493">
        <v>1501</v>
      </c>
      <c r="H49" s="2492">
        <v>17635</v>
      </c>
      <c r="I49" s="2493">
        <v>8778</v>
      </c>
      <c r="J49" s="2492">
        <v>1740</v>
      </c>
      <c r="K49" s="2493">
        <v>3320</v>
      </c>
      <c r="L49" s="2492">
        <v>15365</v>
      </c>
      <c r="M49" s="2494">
        <v>1167</v>
      </c>
      <c r="N49" s="2495">
        <f t="shared" si="0"/>
        <v>64302</v>
      </c>
      <c r="O49" s="2487"/>
      <c r="P49" s="2488"/>
      <c r="Q49" s="2489"/>
    </row>
    <row r="50" spans="1:17">
      <c r="A50" s="2480">
        <v>1994.05</v>
      </c>
      <c r="B50" s="2490">
        <v>620449</v>
      </c>
      <c r="C50" s="2711"/>
      <c r="D50" s="2712"/>
      <c r="E50" s="2491">
        <v>1405</v>
      </c>
      <c r="F50" s="2492">
        <v>6809</v>
      </c>
      <c r="G50" s="2493">
        <v>5434</v>
      </c>
      <c r="H50" s="2492">
        <v>9293</v>
      </c>
      <c r="I50" s="2493">
        <v>8104</v>
      </c>
      <c r="J50" s="2492">
        <v>3489</v>
      </c>
      <c r="K50" s="2493">
        <v>20440</v>
      </c>
      <c r="L50" s="2492">
        <v>7534</v>
      </c>
      <c r="M50" s="2494">
        <v>657</v>
      </c>
      <c r="N50" s="2495">
        <f t="shared" si="0"/>
        <v>63165</v>
      </c>
      <c r="O50" s="2487"/>
      <c r="P50" s="2488"/>
      <c r="Q50" s="2489"/>
    </row>
    <row r="51" spans="1:17">
      <c r="A51" s="2480">
        <v>1994.06</v>
      </c>
      <c r="B51" s="2490">
        <v>580889</v>
      </c>
      <c r="C51" s="2711"/>
      <c r="D51" s="2712"/>
      <c r="E51" s="2491">
        <v>2297</v>
      </c>
      <c r="F51" s="2492">
        <v>6241</v>
      </c>
      <c r="G51" s="2493">
        <v>4821</v>
      </c>
      <c r="H51" s="2492">
        <v>4061</v>
      </c>
      <c r="I51" s="2493">
        <v>9976</v>
      </c>
      <c r="J51" s="2492">
        <v>3414</v>
      </c>
      <c r="K51" s="2493">
        <v>3976</v>
      </c>
      <c r="L51" s="2492">
        <v>24477</v>
      </c>
      <c r="M51" s="2494">
        <v>1201</v>
      </c>
      <c r="N51" s="2495">
        <f t="shared" si="0"/>
        <v>60464</v>
      </c>
      <c r="O51" s="2487"/>
      <c r="P51" s="2488"/>
      <c r="Q51" s="2489"/>
    </row>
    <row r="52" spans="1:17">
      <c r="A52" s="2480">
        <v>1994.07</v>
      </c>
      <c r="B52" s="2490">
        <v>760121</v>
      </c>
      <c r="C52" s="2711"/>
      <c r="D52" s="2712"/>
      <c r="E52" s="2491">
        <v>2821</v>
      </c>
      <c r="F52" s="2492">
        <v>8587</v>
      </c>
      <c r="G52" s="2493">
        <v>2911</v>
      </c>
      <c r="H52" s="2492">
        <v>11483</v>
      </c>
      <c r="I52" s="2493">
        <v>4635</v>
      </c>
      <c r="J52" s="2492">
        <v>2962</v>
      </c>
      <c r="K52" s="2493">
        <v>2311</v>
      </c>
      <c r="L52" s="2492">
        <v>30268</v>
      </c>
      <c r="M52" s="2494">
        <v>1636</v>
      </c>
      <c r="N52" s="2495">
        <f t="shared" si="0"/>
        <v>67614</v>
      </c>
      <c r="O52" s="2487"/>
      <c r="P52" s="2488"/>
      <c r="Q52" s="2489"/>
    </row>
    <row r="53" spans="1:17">
      <c r="A53" s="2480">
        <v>1994.08</v>
      </c>
      <c r="B53" s="2490">
        <v>869879</v>
      </c>
      <c r="C53" s="2711"/>
      <c r="D53" s="2712"/>
      <c r="E53" s="2491">
        <v>3213</v>
      </c>
      <c r="F53" s="2492">
        <v>5299</v>
      </c>
      <c r="G53" s="2493">
        <v>3371</v>
      </c>
      <c r="H53" s="2492">
        <v>12932</v>
      </c>
      <c r="I53" s="2493">
        <v>10375</v>
      </c>
      <c r="J53" s="2492">
        <v>4213</v>
      </c>
      <c r="K53" s="2493">
        <v>908</v>
      </c>
      <c r="L53" s="2492">
        <v>3583</v>
      </c>
      <c r="M53" s="2494">
        <v>1622</v>
      </c>
      <c r="N53" s="2495">
        <f t="shared" si="0"/>
        <v>45516</v>
      </c>
      <c r="O53" s="2487"/>
      <c r="P53" s="2488"/>
      <c r="Q53" s="2489"/>
    </row>
    <row r="54" spans="1:17">
      <c r="A54" s="2480">
        <v>1994.09</v>
      </c>
      <c r="B54" s="2490">
        <v>606258</v>
      </c>
      <c r="C54" s="2711"/>
      <c r="D54" s="2712"/>
      <c r="E54" s="2491">
        <v>2466</v>
      </c>
      <c r="F54" s="2492">
        <v>6665</v>
      </c>
      <c r="G54" s="2493">
        <v>737</v>
      </c>
      <c r="H54" s="2492">
        <v>13809</v>
      </c>
      <c r="I54" s="2493">
        <v>12584</v>
      </c>
      <c r="J54" s="2492">
        <v>4073</v>
      </c>
      <c r="K54" s="2493">
        <v>948</v>
      </c>
      <c r="L54" s="2492">
        <v>3990</v>
      </c>
      <c r="M54" s="2494">
        <v>1005</v>
      </c>
      <c r="N54" s="2495">
        <f t="shared" si="0"/>
        <v>46277</v>
      </c>
      <c r="O54" s="2487"/>
      <c r="P54" s="2488"/>
      <c r="Q54" s="2489"/>
    </row>
    <row r="55" spans="1:17">
      <c r="A55" s="2480">
        <v>1994.1</v>
      </c>
      <c r="B55" s="2490">
        <v>627348</v>
      </c>
      <c r="C55" s="2711"/>
      <c r="D55" s="2712"/>
      <c r="E55" s="2491">
        <v>1040</v>
      </c>
      <c r="F55" s="2492">
        <v>11402</v>
      </c>
      <c r="G55" s="2493">
        <v>2892</v>
      </c>
      <c r="H55" s="2492">
        <v>3759</v>
      </c>
      <c r="I55" s="2493">
        <v>12329</v>
      </c>
      <c r="J55" s="2492">
        <v>3001</v>
      </c>
      <c r="K55" s="2493">
        <v>783</v>
      </c>
      <c r="L55" s="2492">
        <v>3106</v>
      </c>
      <c r="M55" s="2494">
        <v>1224</v>
      </c>
      <c r="N55" s="2495">
        <f t="shared" si="0"/>
        <v>39536</v>
      </c>
      <c r="O55" s="2487"/>
      <c r="P55" s="2488"/>
      <c r="Q55" s="2489"/>
    </row>
    <row r="56" spans="1:17">
      <c r="A56" s="2480">
        <v>1994.11</v>
      </c>
      <c r="B56" s="2490">
        <v>791225</v>
      </c>
      <c r="C56" s="2711"/>
      <c r="D56" s="2712"/>
      <c r="E56" s="2491">
        <v>380</v>
      </c>
      <c r="F56" s="2492">
        <v>7175</v>
      </c>
      <c r="G56" s="2493">
        <v>5532</v>
      </c>
      <c r="H56" s="2492">
        <v>9972</v>
      </c>
      <c r="I56" s="2493">
        <v>11957</v>
      </c>
      <c r="J56" s="2492">
        <v>4461</v>
      </c>
      <c r="K56" s="2493">
        <v>1398</v>
      </c>
      <c r="L56" s="2492">
        <v>4865</v>
      </c>
      <c r="M56" s="2494">
        <v>1084</v>
      </c>
      <c r="N56" s="2495">
        <f t="shared" si="0"/>
        <v>46824</v>
      </c>
      <c r="O56" s="2487"/>
      <c r="P56" s="2488"/>
      <c r="Q56" s="2489"/>
    </row>
    <row r="57" spans="1:17">
      <c r="A57" s="2480">
        <v>1994.12</v>
      </c>
      <c r="B57" s="2490">
        <v>966672</v>
      </c>
      <c r="C57" s="2711"/>
      <c r="D57" s="2712"/>
      <c r="E57" s="2491">
        <v>738</v>
      </c>
      <c r="F57" s="2492">
        <v>4840</v>
      </c>
      <c r="G57" s="2493">
        <v>3418</v>
      </c>
      <c r="H57" s="2492">
        <v>12512</v>
      </c>
      <c r="I57" s="2493">
        <v>12730</v>
      </c>
      <c r="J57" s="2492">
        <v>1361</v>
      </c>
      <c r="K57" s="2493">
        <v>315</v>
      </c>
      <c r="L57" s="2492">
        <v>2118</v>
      </c>
      <c r="M57" s="2494">
        <v>1171</v>
      </c>
      <c r="N57" s="2495">
        <f t="shared" si="0"/>
        <v>39203</v>
      </c>
      <c r="O57" s="2487"/>
      <c r="P57" s="2488"/>
      <c r="Q57" s="2489"/>
    </row>
    <row r="58" spans="1:17">
      <c r="A58" s="2480">
        <v>1995.01</v>
      </c>
      <c r="B58" s="2490">
        <v>563649</v>
      </c>
      <c r="C58" s="2711"/>
      <c r="D58" s="2712"/>
      <c r="E58" s="2491">
        <v>643</v>
      </c>
      <c r="F58" s="2492">
        <v>8950</v>
      </c>
      <c r="G58" s="2493">
        <v>4796</v>
      </c>
      <c r="H58" s="2492">
        <v>0</v>
      </c>
      <c r="I58" s="2493">
        <v>5978</v>
      </c>
      <c r="J58" s="2492">
        <v>2865</v>
      </c>
      <c r="K58" s="2493">
        <v>874</v>
      </c>
      <c r="L58" s="2492">
        <v>2255</v>
      </c>
      <c r="M58" s="2494">
        <v>380</v>
      </c>
      <c r="N58" s="2495">
        <f t="shared" si="0"/>
        <v>26741</v>
      </c>
      <c r="O58" s="2487"/>
      <c r="P58" s="2488"/>
      <c r="Q58" s="2489"/>
    </row>
    <row r="59" spans="1:17">
      <c r="A59" s="2480">
        <v>1995.02</v>
      </c>
      <c r="B59" s="2490">
        <v>504375</v>
      </c>
      <c r="C59" s="2711"/>
      <c r="D59" s="2712"/>
      <c r="E59" s="2491">
        <v>355</v>
      </c>
      <c r="F59" s="2492">
        <v>2854</v>
      </c>
      <c r="G59" s="2493">
        <v>4667</v>
      </c>
      <c r="H59" s="2492">
        <v>5761</v>
      </c>
      <c r="I59" s="2493">
        <v>12961</v>
      </c>
      <c r="J59" s="2492">
        <v>2392</v>
      </c>
      <c r="K59" s="2493">
        <v>887</v>
      </c>
      <c r="L59" s="2492">
        <v>2888</v>
      </c>
      <c r="M59" s="2494">
        <v>0</v>
      </c>
      <c r="N59" s="2495">
        <f t="shared" si="0"/>
        <v>32765</v>
      </c>
      <c r="O59" s="2487"/>
      <c r="P59" s="2488"/>
      <c r="Q59" s="2489"/>
    </row>
    <row r="60" spans="1:17">
      <c r="A60" s="2480">
        <v>1995.03</v>
      </c>
      <c r="B60" s="2490">
        <v>802175</v>
      </c>
      <c r="C60" s="2711"/>
      <c r="D60" s="2712"/>
      <c r="E60" s="2491">
        <v>580</v>
      </c>
      <c r="F60" s="2492">
        <v>7863</v>
      </c>
      <c r="G60" s="2493">
        <v>3115</v>
      </c>
      <c r="H60" s="2492">
        <v>12668</v>
      </c>
      <c r="I60" s="2493">
        <v>12205</v>
      </c>
      <c r="J60" s="2492">
        <v>5621</v>
      </c>
      <c r="K60" s="2493">
        <v>718</v>
      </c>
      <c r="L60" s="2492">
        <v>1526</v>
      </c>
      <c r="M60" s="2494">
        <v>1916</v>
      </c>
      <c r="N60" s="2495">
        <f t="shared" si="0"/>
        <v>46212</v>
      </c>
      <c r="O60" s="2487"/>
      <c r="P60" s="2488"/>
      <c r="Q60" s="2489"/>
    </row>
    <row r="61" spans="1:17">
      <c r="A61" s="2480">
        <v>1995.04</v>
      </c>
      <c r="B61" s="2490">
        <v>486529</v>
      </c>
      <c r="C61" s="2711"/>
      <c r="D61" s="2712"/>
      <c r="E61" s="2491">
        <v>633</v>
      </c>
      <c r="F61" s="2492">
        <v>11726</v>
      </c>
      <c r="G61" s="2493">
        <v>2274</v>
      </c>
      <c r="H61" s="2492">
        <v>3713</v>
      </c>
      <c r="I61" s="2493">
        <v>9347</v>
      </c>
      <c r="J61" s="2492">
        <v>3584</v>
      </c>
      <c r="K61" s="2493">
        <v>798</v>
      </c>
      <c r="L61" s="2492">
        <v>710</v>
      </c>
      <c r="M61" s="2494">
        <v>944</v>
      </c>
      <c r="N61" s="2495">
        <f t="shared" si="0"/>
        <v>33729</v>
      </c>
      <c r="O61" s="2487"/>
      <c r="P61" s="2488"/>
      <c r="Q61" s="2489"/>
    </row>
    <row r="62" spans="1:17">
      <c r="A62" s="2480">
        <v>1995.05</v>
      </c>
      <c r="B62" s="2490">
        <v>593827</v>
      </c>
      <c r="C62" s="2711"/>
      <c r="D62" s="2712"/>
      <c r="E62" s="2491">
        <v>515</v>
      </c>
      <c r="F62" s="2492">
        <v>6301</v>
      </c>
      <c r="G62" s="2493">
        <v>4915</v>
      </c>
      <c r="H62" s="2492">
        <v>4415</v>
      </c>
      <c r="I62" s="2493">
        <v>11981</v>
      </c>
      <c r="J62" s="2492">
        <v>4074</v>
      </c>
      <c r="K62" s="2493">
        <v>843</v>
      </c>
      <c r="L62" s="2492">
        <v>1740</v>
      </c>
      <c r="M62" s="2494">
        <v>1149</v>
      </c>
      <c r="N62" s="2495">
        <f t="shared" si="0"/>
        <v>35933</v>
      </c>
      <c r="O62" s="2487"/>
      <c r="P62" s="2488"/>
      <c r="Q62" s="2489"/>
    </row>
    <row r="63" spans="1:17">
      <c r="A63" s="2480">
        <v>1995.06</v>
      </c>
      <c r="B63" s="2490">
        <v>461005</v>
      </c>
      <c r="C63" s="2711"/>
      <c r="D63" s="2712"/>
      <c r="E63" s="2491">
        <v>1147</v>
      </c>
      <c r="F63" s="2492">
        <v>6838</v>
      </c>
      <c r="G63" s="2493">
        <v>7896</v>
      </c>
      <c r="H63" s="2492">
        <v>16219</v>
      </c>
      <c r="I63" s="2493">
        <v>7880</v>
      </c>
      <c r="J63" s="2492">
        <v>3555</v>
      </c>
      <c r="K63" s="2493">
        <v>545</v>
      </c>
      <c r="L63" s="2492">
        <v>1143</v>
      </c>
      <c r="M63" s="2494">
        <v>257</v>
      </c>
      <c r="N63" s="2495">
        <f t="shared" si="0"/>
        <v>45480</v>
      </c>
      <c r="O63" s="2487"/>
      <c r="P63" s="2488"/>
      <c r="Q63" s="2489"/>
    </row>
    <row r="64" spans="1:17">
      <c r="A64" s="2480">
        <v>1995.07</v>
      </c>
      <c r="B64" s="2490">
        <v>437999</v>
      </c>
      <c r="C64" s="2711"/>
      <c r="D64" s="2712"/>
      <c r="E64" s="2491">
        <v>2067</v>
      </c>
      <c r="F64" s="2492">
        <v>4368</v>
      </c>
      <c r="G64" s="2493">
        <v>4483</v>
      </c>
      <c r="H64" s="2492">
        <v>4735</v>
      </c>
      <c r="I64" s="2493">
        <v>4175</v>
      </c>
      <c r="J64" s="2492">
        <v>2889</v>
      </c>
      <c r="K64" s="2493">
        <v>860</v>
      </c>
      <c r="L64" s="2492">
        <v>2128</v>
      </c>
      <c r="M64" s="2494">
        <v>701</v>
      </c>
      <c r="N64" s="2495">
        <f t="shared" si="0"/>
        <v>26406</v>
      </c>
      <c r="O64" s="2487"/>
      <c r="P64" s="2488"/>
      <c r="Q64" s="2489"/>
    </row>
    <row r="65" spans="1:17">
      <c r="A65" s="2480">
        <v>1995.08</v>
      </c>
      <c r="B65" s="2490">
        <v>435308</v>
      </c>
      <c r="C65" s="2711"/>
      <c r="D65" s="2712"/>
      <c r="E65" s="2491">
        <v>574</v>
      </c>
      <c r="F65" s="2492">
        <v>7730</v>
      </c>
      <c r="G65" s="2493">
        <v>7029</v>
      </c>
      <c r="H65" s="2492">
        <v>2574</v>
      </c>
      <c r="I65" s="2493">
        <v>10356</v>
      </c>
      <c r="J65" s="2492">
        <v>4450</v>
      </c>
      <c r="K65" s="2493">
        <v>2653</v>
      </c>
      <c r="L65" s="2492">
        <v>1481</v>
      </c>
      <c r="M65" s="2494">
        <v>846</v>
      </c>
      <c r="N65" s="2495">
        <f t="shared" si="0"/>
        <v>37693</v>
      </c>
      <c r="O65" s="2487"/>
      <c r="P65" s="2488"/>
      <c r="Q65" s="2489"/>
    </row>
    <row r="66" spans="1:17">
      <c r="A66" s="2480">
        <v>1995.09</v>
      </c>
      <c r="B66" s="2490">
        <v>535559</v>
      </c>
      <c r="C66" s="2711"/>
      <c r="D66" s="2712"/>
      <c r="E66" s="2491">
        <v>1010</v>
      </c>
      <c r="F66" s="2492">
        <v>6994</v>
      </c>
      <c r="G66" s="2493">
        <v>4637</v>
      </c>
      <c r="H66" s="2492">
        <v>1601</v>
      </c>
      <c r="I66" s="2493">
        <v>4307</v>
      </c>
      <c r="J66" s="2492">
        <v>2874</v>
      </c>
      <c r="K66" s="2493">
        <v>1241</v>
      </c>
      <c r="L66" s="2492">
        <v>2178</v>
      </c>
      <c r="M66" s="2494">
        <v>1359</v>
      </c>
      <c r="N66" s="2495">
        <f t="shared" si="0"/>
        <v>26201</v>
      </c>
      <c r="O66" s="2487"/>
      <c r="P66" s="2488"/>
      <c r="Q66" s="2489"/>
    </row>
    <row r="67" spans="1:17">
      <c r="A67" s="2480">
        <v>1995.1</v>
      </c>
      <c r="B67" s="2490">
        <v>449085</v>
      </c>
      <c r="C67" s="2711"/>
      <c r="D67" s="2712"/>
      <c r="E67" s="2491">
        <v>1109</v>
      </c>
      <c r="F67" s="2492">
        <v>7735</v>
      </c>
      <c r="G67" s="2493">
        <v>5930</v>
      </c>
      <c r="H67" s="2492">
        <v>5438</v>
      </c>
      <c r="I67" s="2493">
        <v>3379</v>
      </c>
      <c r="J67" s="2492">
        <v>4347</v>
      </c>
      <c r="K67" s="2493">
        <v>684</v>
      </c>
      <c r="L67" s="2492">
        <v>3554</v>
      </c>
      <c r="M67" s="2494">
        <v>1753</v>
      </c>
      <c r="N67" s="2495">
        <f t="shared" si="0"/>
        <v>33929</v>
      </c>
      <c r="O67" s="2487"/>
      <c r="P67" s="2488"/>
      <c r="Q67" s="2489"/>
    </row>
    <row r="68" spans="1:17">
      <c r="A68" s="2480">
        <v>1995.11</v>
      </c>
      <c r="B68" s="2490">
        <v>432609</v>
      </c>
      <c r="C68" s="2711"/>
      <c r="D68" s="2712"/>
      <c r="E68" s="2491">
        <v>901</v>
      </c>
      <c r="F68" s="2492">
        <v>10313</v>
      </c>
      <c r="G68" s="2493">
        <v>4944</v>
      </c>
      <c r="H68" s="2492">
        <v>2451</v>
      </c>
      <c r="I68" s="2493">
        <v>3229</v>
      </c>
      <c r="J68" s="2492">
        <v>3239</v>
      </c>
      <c r="K68" s="2493">
        <v>586</v>
      </c>
      <c r="L68" s="2492">
        <v>4296</v>
      </c>
      <c r="M68" s="2494">
        <v>1214</v>
      </c>
      <c r="N68" s="2495">
        <f t="shared" si="0"/>
        <v>31173</v>
      </c>
      <c r="O68" s="2487"/>
      <c r="P68" s="2488"/>
      <c r="Q68" s="2489"/>
    </row>
    <row r="69" spans="1:17">
      <c r="A69" s="2480">
        <v>1995.12</v>
      </c>
      <c r="B69" s="2490">
        <v>439289</v>
      </c>
      <c r="C69" s="2711"/>
      <c r="D69" s="2712"/>
      <c r="E69" s="2491">
        <v>1767</v>
      </c>
      <c r="F69" s="2492">
        <v>13290</v>
      </c>
      <c r="G69" s="2493">
        <v>3904</v>
      </c>
      <c r="H69" s="2492">
        <v>1214</v>
      </c>
      <c r="I69" s="2493">
        <v>6904</v>
      </c>
      <c r="J69" s="2492">
        <v>2839</v>
      </c>
      <c r="K69" s="2493">
        <v>671</v>
      </c>
      <c r="L69" s="2492">
        <v>3929</v>
      </c>
      <c r="M69" s="2494">
        <v>610</v>
      </c>
      <c r="N69" s="2495">
        <f t="shared" si="0"/>
        <v>35128</v>
      </c>
      <c r="O69" s="2487"/>
      <c r="P69" s="2488"/>
      <c r="Q69" s="2489"/>
    </row>
    <row r="70" spans="1:17">
      <c r="A70" s="2480">
        <v>1996.01</v>
      </c>
      <c r="B70" s="2490">
        <v>335434</v>
      </c>
      <c r="C70" s="2711"/>
      <c r="D70" s="2712"/>
      <c r="E70" s="2491">
        <v>891</v>
      </c>
      <c r="F70" s="2492">
        <v>3413</v>
      </c>
      <c r="G70" s="2493">
        <v>2578</v>
      </c>
      <c r="H70" s="2492">
        <v>0</v>
      </c>
      <c r="I70" s="2493">
        <v>692</v>
      </c>
      <c r="J70" s="2492">
        <v>2238</v>
      </c>
      <c r="K70" s="2493">
        <v>1074</v>
      </c>
      <c r="L70" s="2492">
        <v>1286</v>
      </c>
      <c r="M70" s="2494">
        <v>1302</v>
      </c>
      <c r="N70" s="2495">
        <f t="shared" si="0"/>
        <v>13474</v>
      </c>
      <c r="O70" s="2487"/>
      <c r="P70" s="2488"/>
      <c r="Q70" s="2489"/>
    </row>
    <row r="71" spans="1:17">
      <c r="A71" s="2480">
        <v>1996.02</v>
      </c>
      <c r="B71" s="2490">
        <v>489814</v>
      </c>
      <c r="C71" s="2711"/>
      <c r="D71" s="2712"/>
      <c r="E71" s="2491">
        <v>480</v>
      </c>
      <c r="F71" s="2492">
        <v>4991</v>
      </c>
      <c r="G71" s="2493">
        <v>4432</v>
      </c>
      <c r="H71" s="2492">
        <v>3504</v>
      </c>
      <c r="I71" s="2493">
        <v>1197</v>
      </c>
      <c r="J71" s="2492">
        <v>2977</v>
      </c>
      <c r="K71" s="2493">
        <v>917</v>
      </c>
      <c r="L71" s="2492">
        <v>1813</v>
      </c>
      <c r="M71" s="2494">
        <v>1828</v>
      </c>
      <c r="N71" s="2495">
        <f t="shared" si="0"/>
        <v>22139</v>
      </c>
      <c r="O71" s="2487"/>
      <c r="P71" s="2488"/>
      <c r="Q71" s="2489"/>
    </row>
    <row r="72" spans="1:17">
      <c r="A72" s="2480">
        <v>1996.03</v>
      </c>
      <c r="B72" s="2490">
        <v>608278</v>
      </c>
      <c r="C72" s="2711"/>
      <c r="D72" s="2712"/>
      <c r="E72" s="2491">
        <v>359</v>
      </c>
      <c r="F72" s="2492">
        <v>5318</v>
      </c>
      <c r="G72" s="2493">
        <v>5626</v>
      </c>
      <c r="H72" s="2492">
        <v>2059</v>
      </c>
      <c r="I72" s="2493">
        <v>4528</v>
      </c>
      <c r="J72" s="2492">
        <v>2651</v>
      </c>
      <c r="K72" s="2493">
        <v>861</v>
      </c>
      <c r="L72" s="2492">
        <v>3280</v>
      </c>
      <c r="M72" s="2494">
        <v>857</v>
      </c>
      <c r="N72" s="2495">
        <f t="shared" si="0"/>
        <v>25539</v>
      </c>
      <c r="O72" s="2487"/>
      <c r="P72" s="2488"/>
      <c r="Q72" s="2489"/>
    </row>
    <row r="73" spans="1:17">
      <c r="A73" s="2480">
        <v>1996.04</v>
      </c>
      <c r="B73" s="2490">
        <v>401679</v>
      </c>
      <c r="C73" s="2711"/>
      <c r="D73" s="2712"/>
      <c r="E73" s="2491">
        <v>1026</v>
      </c>
      <c r="F73" s="2492">
        <v>6578</v>
      </c>
      <c r="G73" s="2493">
        <v>3110</v>
      </c>
      <c r="H73" s="2492">
        <v>4084</v>
      </c>
      <c r="I73" s="2493">
        <v>3059</v>
      </c>
      <c r="J73" s="2492">
        <v>3724</v>
      </c>
      <c r="K73" s="2493">
        <v>398</v>
      </c>
      <c r="L73" s="2492">
        <v>3591</v>
      </c>
      <c r="M73" s="2494">
        <v>519</v>
      </c>
      <c r="N73" s="2495">
        <f t="shared" si="0"/>
        <v>26089</v>
      </c>
      <c r="O73" s="2487"/>
      <c r="P73" s="2488"/>
      <c r="Q73" s="2489"/>
    </row>
    <row r="74" spans="1:17">
      <c r="A74" s="2480">
        <v>1996.05</v>
      </c>
      <c r="B74" s="2490">
        <v>389342</v>
      </c>
      <c r="C74" s="2711"/>
      <c r="D74" s="2712"/>
      <c r="E74" s="2491">
        <v>815</v>
      </c>
      <c r="F74" s="2492">
        <v>5266</v>
      </c>
      <c r="G74" s="2493">
        <v>2735</v>
      </c>
      <c r="H74" s="2492">
        <v>2909</v>
      </c>
      <c r="I74" s="2493">
        <v>7579</v>
      </c>
      <c r="J74" s="2492">
        <v>2712</v>
      </c>
      <c r="K74" s="2493">
        <v>873</v>
      </c>
      <c r="L74" s="2492">
        <v>1799</v>
      </c>
      <c r="M74" s="2494">
        <v>2175</v>
      </c>
      <c r="N74" s="2495">
        <f t="shared" si="0"/>
        <v>26863</v>
      </c>
      <c r="O74" s="2487"/>
      <c r="P74" s="2488"/>
      <c r="Q74" s="2489"/>
    </row>
    <row r="75" spans="1:17">
      <c r="A75" s="2480">
        <v>1996.06</v>
      </c>
      <c r="B75" s="2490">
        <v>449956</v>
      </c>
      <c r="C75" s="2711"/>
      <c r="D75" s="2712"/>
      <c r="E75" s="2491">
        <v>1910</v>
      </c>
      <c r="F75" s="2492">
        <v>5118</v>
      </c>
      <c r="G75" s="2493">
        <v>3040</v>
      </c>
      <c r="H75" s="2492">
        <v>4046</v>
      </c>
      <c r="I75" s="2493">
        <v>4385</v>
      </c>
      <c r="J75" s="2492">
        <v>3110</v>
      </c>
      <c r="K75" s="2493">
        <v>1893</v>
      </c>
      <c r="L75" s="2492">
        <v>1722</v>
      </c>
      <c r="M75" s="2494">
        <v>2021</v>
      </c>
      <c r="N75" s="2495">
        <f t="shared" ref="N75:N138" si="1">SUM(E75:M75)</f>
        <v>27245</v>
      </c>
      <c r="O75" s="2487"/>
      <c r="P75" s="2488"/>
      <c r="Q75" s="2489"/>
    </row>
    <row r="76" spans="1:17">
      <c r="A76" s="2480">
        <v>1996.07</v>
      </c>
      <c r="B76" s="2490">
        <v>638884</v>
      </c>
      <c r="C76" s="2711"/>
      <c r="D76" s="2712"/>
      <c r="E76" s="2491">
        <v>788</v>
      </c>
      <c r="F76" s="2492">
        <v>5052</v>
      </c>
      <c r="G76" s="2493">
        <v>4987</v>
      </c>
      <c r="H76" s="2492">
        <v>5602</v>
      </c>
      <c r="I76" s="2493">
        <v>4391</v>
      </c>
      <c r="J76" s="2492">
        <v>3493</v>
      </c>
      <c r="K76" s="2493">
        <v>2466</v>
      </c>
      <c r="L76" s="2492">
        <v>2281</v>
      </c>
      <c r="M76" s="2494">
        <v>655</v>
      </c>
      <c r="N76" s="2495">
        <f t="shared" si="1"/>
        <v>29715</v>
      </c>
      <c r="O76" s="2487"/>
      <c r="P76" s="2488"/>
      <c r="Q76" s="2489"/>
    </row>
    <row r="77" spans="1:17">
      <c r="A77" s="2480">
        <v>1996.08</v>
      </c>
      <c r="B77" s="2490">
        <v>491977</v>
      </c>
      <c r="C77" s="2711"/>
      <c r="D77" s="2712"/>
      <c r="E77" s="2491">
        <v>550</v>
      </c>
      <c r="F77" s="2492">
        <v>9320</v>
      </c>
      <c r="G77" s="2493">
        <v>5194</v>
      </c>
      <c r="H77" s="2492">
        <v>13822</v>
      </c>
      <c r="I77" s="2493">
        <v>4787</v>
      </c>
      <c r="J77" s="2492">
        <v>3793</v>
      </c>
      <c r="K77" s="2493">
        <v>1069</v>
      </c>
      <c r="L77" s="2492">
        <v>2157</v>
      </c>
      <c r="M77" s="2494">
        <v>2121</v>
      </c>
      <c r="N77" s="2495">
        <f t="shared" si="1"/>
        <v>42813</v>
      </c>
      <c r="O77" s="2487"/>
      <c r="P77" s="2488"/>
      <c r="Q77" s="2489"/>
    </row>
    <row r="78" spans="1:17">
      <c r="A78" s="2480">
        <v>1996.09</v>
      </c>
      <c r="B78" s="2490">
        <v>557991</v>
      </c>
      <c r="C78" s="2711"/>
      <c r="D78" s="2712"/>
      <c r="E78" s="2491">
        <v>983</v>
      </c>
      <c r="F78" s="2492">
        <v>7923</v>
      </c>
      <c r="G78" s="2493">
        <v>5466</v>
      </c>
      <c r="H78" s="2492">
        <v>7403</v>
      </c>
      <c r="I78" s="2493">
        <v>3568</v>
      </c>
      <c r="J78" s="2492">
        <v>1847</v>
      </c>
      <c r="K78" s="2493">
        <v>1938</v>
      </c>
      <c r="L78" s="2492">
        <v>3370</v>
      </c>
      <c r="M78" s="2494">
        <v>4772</v>
      </c>
      <c r="N78" s="2495">
        <f t="shared" si="1"/>
        <v>37270</v>
      </c>
      <c r="O78" s="2487"/>
      <c r="P78" s="2488"/>
      <c r="Q78" s="2489"/>
    </row>
    <row r="79" spans="1:17">
      <c r="A79" s="2480">
        <v>1996.1</v>
      </c>
      <c r="B79" s="2490">
        <v>711757</v>
      </c>
      <c r="C79" s="2711"/>
      <c r="D79" s="2712"/>
      <c r="E79" s="2491">
        <v>772</v>
      </c>
      <c r="F79" s="2492">
        <v>11554</v>
      </c>
      <c r="G79" s="2493">
        <v>4584</v>
      </c>
      <c r="H79" s="2492">
        <v>5484</v>
      </c>
      <c r="I79" s="2493">
        <v>6776</v>
      </c>
      <c r="J79" s="2492">
        <v>2724</v>
      </c>
      <c r="K79" s="2493">
        <v>1010</v>
      </c>
      <c r="L79" s="2492">
        <v>8044</v>
      </c>
      <c r="M79" s="2494">
        <v>1908</v>
      </c>
      <c r="N79" s="2495">
        <f t="shared" si="1"/>
        <v>42856</v>
      </c>
      <c r="O79" s="2487"/>
      <c r="P79" s="2488"/>
      <c r="Q79" s="2489"/>
    </row>
    <row r="80" spans="1:17">
      <c r="A80" s="2480">
        <v>1996.11</v>
      </c>
      <c r="B80" s="2490">
        <v>443126</v>
      </c>
      <c r="C80" s="2711"/>
      <c r="D80" s="2712"/>
      <c r="E80" s="2491">
        <v>1141</v>
      </c>
      <c r="F80" s="2492">
        <v>4590</v>
      </c>
      <c r="G80" s="2493">
        <v>4604</v>
      </c>
      <c r="H80" s="2492">
        <v>7696</v>
      </c>
      <c r="I80" s="2493">
        <v>3340</v>
      </c>
      <c r="J80" s="2492">
        <v>2455</v>
      </c>
      <c r="K80" s="2493">
        <v>558</v>
      </c>
      <c r="L80" s="2492">
        <v>14484</v>
      </c>
      <c r="M80" s="2494">
        <v>1291</v>
      </c>
      <c r="N80" s="2495">
        <f t="shared" si="1"/>
        <v>40159</v>
      </c>
      <c r="O80" s="2487"/>
      <c r="P80" s="2488"/>
      <c r="Q80" s="2489"/>
    </row>
    <row r="81" spans="1:17">
      <c r="A81" s="2480">
        <v>1996.12</v>
      </c>
      <c r="B81" s="2490">
        <v>464151</v>
      </c>
      <c r="C81" s="2711"/>
      <c r="D81" s="2712"/>
      <c r="E81" s="2491">
        <v>1203</v>
      </c>
      <c r="F81" s="2492">
        <v>6806</v>
      </c>
      <c r="G81" s="2493">
        <v>3865</v>
      </c>
      <c r="H81" s="2492">
        <v>1236</v>
      </c>
      <c r="I81" s="2493">
        <v>2968</v>
      </c>
      <c r="J81" s="2492">
        <v>2356</v>
      </c>
      <c r="K81" s="2493">
        <v>186</v>
      </c>
      <c r="L81" s="2492">
        <v>15451</v>
      </c>
      <c r="M81" s="2494">
        <v>1357</v>
      </c>
      <c r="N81" s="2495">
        <f t="shared" si="1"/>
        <v>35428</v>
      </c>
      <c r="O81" s="2487"/>
      <c r="P81" s="2488"/>
      <c r="Q81" s="2489"/>
    </row>
    <row r="82" spans="1:17">
      <c r="A82" s="2480">
        <v>1997.01</v>
      </c>
      <c r="B82" s="2490">
        <v>383301</v>
      </c>
      <c r="C82" s="2711"/>
      <c r="D82" s="2712"/>
      <c r="E82" s="2491">
        <v>938</v>
      </c>
      <c r="F82" s="2492">
        <v>11419</v>
      </c>
      <c r="G82" s="2493">
        <v>1637</v>
      </c>
      <c r="H82" s="2492">
        <v>0</v>
      </c>
      <c r="I82" s="2493">
        <v>1339</v>
      </c>
      <c r="J82" s="2492">
        <v>1176</v>
      </c>
      <c r="K82" s="2493">
        <v>782</v>
      </c>
      <c r="L82" s="2492">
        <v>30404</v>
      </c>
      <c r="M82" s="2494">
        <v>755</v>
      </c>
      <c r="N82" s="2495">
        <f t="shared" si="1"/>
        <v>48450</v>
      </c>
      <c r="O82" s="2487"/>
      <c r="P82" s="2488"/>
      <c r="Q82" s="2489"/>
    </row>
    <row r="83" spans="1:17">
      <c r="A83" s="2480">
        <v>1997.02</v>
      </c>
      <c r="B83" s="2490">
        <v>403095</v>
      </c>
      <c r="C83" s="2711"/>
      <c r="D83" s="2712"/>
      <c r="E83" s="2491">
        <v>1474</v>
      </c>
      <c r="F83" s="2492">
        <v>3093</v>
      </c>
      <c r="G83" s="2493">
        <v>372</v>
      </c>
      <c r="H83" s="2492">
        <v>3311</v>
      </c>
      <c r="I83" s="2493">
        <v>1994</v>
      </c>
      <c r="J83" s="2492">
        <v>1139</v>
      </c>
      <c r="K83" s="2493">
        <v>452</v>
      </c>
      <c r="L83" s="2492">
        <v>1847</v>
      </c>
      <c r="M83" s="2494">
        <v>1341</v>
      </c>
      <c r="N83" s="2495">
        <f t="shared" si="1"/>
        <v>15023</v>
      </c>
      <c r="O83" s="2487"/>
      <c r="P83" s="2488"/>
      <c r="Q83" s="2489"/>
    </row>
    <row r="84" spans="1:17">
      <c r="A84" s="2480">
        <v>1997.03</v>
      </c>
      <c r="B84" s="2490">
        <v>464748</v>
      </c>
      <c r="C84" s="2711"/>
      <c r="D84" s="2712"/>
      <c r="E84" s="2491">
        <v>792</v>
      </c>
      <c r="F84" s="2492">
        <v>9218</v>
      </c>
      <c r="G84" s="2493">
        <v>482</v>
      </c>
      <c r="H84" s="2492">
        <v>5382</v>
      </c>
      <c r="I84" s="2493">
        <v>3673</v>
      </c>
      <c r="J84" s="2492">
        <v>7298</v>
      </c>
      <c r="K84" s="2493">
        <v>1010</v>
      </c>
      <c r="L84" s="2492">
        <v>3204</v>
      </c>
      <c r="M84" s="2494">
        <v>1805</v>
      </c>
      <c r="N84" s="2495">
        <f t="shared" si="1"/>
        <v>32864</v>
      </c>
      <c r="O84" s="2487"/>
      <c r="P84" s="2488"/>
      <c r="Q84" s="2489"/>
    </row>
    <row r="85" spans="1:17">
      <c r="A85" s="2480">
        <v>1997.04</v>
      </c>
      <c r="B85" s="2490">
        <v>542956</v>
      </c>
      <c r="C85" s="2711"/>
      <c r="D85" s="2712"/>
      <c r="E85" s="2491">
        <v>742</v>
      </c>
      <c r="F85" s="2492">
        <v>9431</v>
      </c>
      <c r="G85" s="2493">
        <v>3826</v>
      </c>
      <c r="H85" s="2492">
        <v>7157</v>
      </c>
      <c r="I85" s="2493">
        <v>3993</v>
      </c>
      <c r="J85" s="2492">
        <v>3116</v>
      </c>
      <c r="K85" s="2493">
        <v>1012</v>
      </c>
      <c r="L85" s="2492">
        <v>3016</v>
      </c>
      <c r="M85" s="2494">
        <v>2671</v>
      </c>
      <c r="N85" s="2495">
        <f t="shared" si="1"/>
        <v>34964</v>
      </c>
      <c r="O85" s="2487"/>
      <c r="P85" s="2488"/>
      <c r="Q85" s="2489"/>
    </row>
    <row r="86" spans="1:17">
      <c r="A86" s="2480">
        <v>1997.05</v>
      </c>
      <c r="B86" s="2490">
        <v>578626</v>
      </c>
      <c r="C86" s="2711"/>
      <c r="D86" s="2712"/>
      <c r="E86" s="2491">
        <v>651</v>
      </c>
      <c r="F86" s="2492">
        <v>10627</v>
      </c>
      <c r="G86" s="2493">
        <v>2875</v>
      </c>
      <c r="H86" s="2492">
        <v>3619</v>
      </c>
      <c r="I86" s="2493">
        <v>4649</v>
      </c>
      <c r="J86" s="2492">
        <v>1892</v>
      </c>
      <c r="K86" s="2493">
        <v>1212</v>
      </c>
      <c r="L86" s="2492">
        <v>2299</v>
      </c>
      <c r="M86" s="2494">
        <v>1526</v>
      </c>
      <c r="N86" s="2495">
        <f t="shared" si="1"/>
        <v>29350</v>
      </c>
      <c r="O86" s="2487"/>
      <c r="P86" s="2488"/>
      <c r="Q86" s="2489"/>
    </row>
    <row r="87" spans="1:17">
      <c r="A87" s="2480">
        <v>1997.06</v>
      </c>
      <c r="B87" s="2490">
        <v>531263</v>
      </c>
      <c r="C87" s="2711"/>
      <c r="D87" s="2712"/>
      <c r="E87" s="2491">
        <v>2379</v>
      </c>
      <c r="F87" s="2492">
        <v>4029</v>
      </c>
      <c r="G87" s="2493">
        <v>8574</v>
      </c>
      <c r="H87" s="2492">
        <v>200</v>
      </c>
      <c r="I87" s="2493">
        <v>3828</v>
      </c>
      <c r="J87" s="2492">
        <v>2023</v>
      </c>
      <c r="K87" s="2493">
        <v>1101</v>
      </c>
      <c r="L87" s="2492">
        <v>2899</v>
      </c>
      <c r="M87" s="2494">
        <v>3529</v>
      </c>
      <c r="N87" s="2495">
        <f t="shared" si="1"/>
        <v>28562</v>
      </c>
      <c r="O87" s="2487"/>
      <c r="P87" s="2488"/>
      <c r="Q87" s="2489"/>
    </row>
    <row r="88" spans="1:17">
      <c r="A88" s="2480">
        <v>1997.07</v>
      </c>
      <c r="B88" s="2490">
        <v>574938</v>
      </c>
      <c r="C88" s="2711"/>
      <c r="D88" s="2712"/>
      <c r="E88" s="2491">
        <v>1659</v>
      </c>
      <c r="F88" s="2492">
        <v>6483</v>
      </c>
      <c r="G88" s="2493">
        <v>6015</v>
      </c>
      <c r="H88" s="2492">
        <v>5547</v>
      </c>
      <c r="I88" s="2493">
        <v>4809</v>
      </c>
      <c r="J88" s="2492">
        <v>2432</v>
      </c>
      <c r="K88" s="2493">
        <v>993</v>
      </c>
      <c r="L88" s="2492">
        <v>2114</v>
      </c>
      <c r="M88" s="2494">
        <v>1460</v>
      </c>
      <c r="N88" s="2495">
        <f t="shared" si="1"/>
        <v>31512</v>
      </c>
      <c r="O88" s="2487"/>
      <c r="P88" s="2488"/>
      <c r="Q88" s="2489"/>
    </row>
    <row r="89" spans="1:17">
      <c r="A89" s="2480">
        <v>1997.08</v>
      </c>
      <c r="B89" s="2490">
        <v>595990</v>
      </c>
      <c r="C89" s="2711"/>
      <c r="D89" s="2712"/>
      <c r="E89" s="2491">
        <v>1043</v>
      </c>
      <c r="F89" s="2492">
        <v>3601</v>
      </c>
      <c r="G89" s="2493">
        <v>2656</v>
      </c>
      <c r="H89" s="2492">
        <v>5121</v>
      </c>
      <c r="I89" s="2493">
        <v>2368</v>
      </c>
      <c r="J89" s="2492">
        <v>1609</v>
      </c>
      <c r="K89" s="2493">
        <v>736</v>
      </c>
      <c r="L89" s="2492">
        <v>2934</v>
      </c>
      <c r="M89" s="2494">
        <v>2082</v>
      </c>
      <c r="N89" s="2495">
        <f t="shared" si="1"/>
        <v>22150</v>
      </c>
      <c r="O89" s="2487"/>
      <c r="P89" s="2488"/>
      <c r="Q89" s="2489"/>
    </row>
    <row r="90" spans="1:17">
      <c r="A90" s="2480">
        <v>1997.09</v>
      </c>
      <c r="B90" s="2490">
        <v>575590</v>
      </c>
      <c r="C90" s="2711"/>
      <c r="D90" s="2712"/>
      <c r="E90" s="2491">
        <v>1834</v>
      </c>
      <c r="F90" s="2492">
        <v>26575</v>
      </c>
      <c r="G90" s="2493">
        <v>3655</v>
      </c>
      <c r="H90" s="2492">
        <v>4894</v>
      </c>
      <c r="I90" s="2493">
        <v>2782</v>
      </c>
      <c r="J90" s="2492">
        <v>2572</v>
      </c>
      <c r="K90" s="2493">
        <v>651</v>
      </c>
      <c r="L90" s="2492">
        <v>4336</v>
      </c>
      <c r="M90" s="2494">
        <v>4113</v>
      </c>
      <c r="N90" s="2495">
        <f t="shared" si="1"/>
        <v>51412</v>
      </c>
      <c r="O90" s="2487"/>
      <c r="P90" s="2488"/>
      <c r="Q90" s="2489"/>
    </row>
    <row r="91" spans="1:17">
      <c r="A91" s="2480">
        <v>1997.1</v>
      </c>
      <c r="B91" s="2490">
        <v>838250</v>
      </c>
      <c r="C91" s="2711"/>
      <c r="D91" s="2712"/>
      <c r="E91" s="2491">
        <v>722</v>
      </c>
      <c r="F91" s="2492">
        <v>15038</v>
      </c>
      <c r="G91" s="2493">
        <v>2142</v>
      </c>
      <c r="H91" s="2492">
        <v>5285</v>
      </c>
      <c r="I91" s="2493">
        <v>3378</v>
      </c>
      <c r="J91" s="2492">
        <v>2578</v>
      </c>
      <c r="K91" s="2493">
        <v>1119</v>
      </c>
      <c r="L91" s="2492">
        <v>7148</v>
      </c>
      <c r="M91" s="2494">
        <v>2479</v>
      </c>
      <c r="N91" s="2495">
        <f t="shared" si="1"/>
        <v>39889</v>
      </c>
      <c r="O91" s="2487"/>
      <c r="P91" s="2488"/>
      <c r="Q91" s="2489"/>
    </row>
    <row r="92" spans="1:17">
      <c r="A92" s="2480">
        <v>1997.11</v>
      </c>
      <c r="B92" s="2490">
        <v>566874</v>
      </c>
      <c r="C92" s="2711"/>
      <c r="D92" s="2712"/>
      <c r="E92" s="2491">
        <v>2599</v>
      </c>
      <c r="F92" s="2492">
        <v>15930</v>
      </c>
      <c r="G92" s="2493">
        <v>1010</v>
      </c>
      <c r="H92" s="2492">
        <v>3923</v>
      </c>
      <c r="I92" s="2493">
        <v>7533</v>
      </c>
      <c r="J92" s="2492">
        <v>1689</v>
      </c>
      <c r="K92" s="2493">
        <v>1415</v>
      </c>
      <c r="L92" s="2492">
        <v>2798</v>
      </c>
      <c r="M92" s="2494">
        <v>3046</v>
      </c>
      <c r="N92" s="2495">
        <f t="shared" si="1"/>
        <v>39943</v>
      </c>
      <c r="O92" s="2487"/>
      <c r="P92" s="2488"/>
      <c r="Q92" s="2489"/>
    </row>
    <row r="93" spans="1:17">
      <c r="A93" s="2480">
        <v>1997.12</v>
      </c>
      <c r="B93" s="2490">
        <v>854725</v>
      </c>
      <c r="C93" s="2711"/>
      <c r="D93" s="2712"/>
      <c r="E93" s="2491">
        <v>532</v>
      </c>
      <c r="F93" s="2492">
        <v>5603</v>
      </c>
      <c r="G93" s="2493">
        <v>2827</v>
      </c>
      <c r="H93" s="2492">
        <v>3557</v>
      </c>
      <c r="I93" s="2493">
        <v>4520</v>
      </c>
      <c r="J93" s="2492">
        <v>3112</v>
      </c>
      <c r="K93" s="2493">
        <v>1001</v>
      </c>
      <c r="L93" s="2492">
        <v>6163</v>
      </c>
      <c r="M93" s="2494">
        <v>3931</v>
      </c>
      <c r="N93" s="2495">
        <f t="shared" si="1"/>
        <v>31246</v>
      </c>
      <c r="O93" s="2487"/>
      <c r="P93" s="2488"/>
      <c r="Q93" s="2489"/>
    </row>
    <row r="94" spans="1:17">
      <c r="A94" s="2480">
        <v>1998.01</v>
      </c>
      <c r="B94" s="2490">
        <v>448402</v>
      </c>
      <c r="C94" s="2711"/>
      <c r="D94" s="2712"/>
      <c r="E94" s="2491">
        <v>1983</v>
      </c>
      <c r="F94" s="2492">
        <v>16200</v>
      </c>
      <c r="G94" s="2493">
        <v>4516</v>
      </c>
      <c r="H94" s="2492">
        <v>0</v>
      </c>
      <c r="I94" s="2493">
        <v>0</v>
      </c>
      <c r="J94" s="2492">
        <v>3288</v>
      </c>
      <c r="K94" s="2493">
        <v>440</v>
      </c>
      <c r="L94" s="2492">
        <v>3400</v>
      </c>
      <c r="M94" s="2494">
        <v>2970</v>
      </c>
      <c r="N94" s="2495">
        <f t="shared" si="1"/>
        <v>32797</v>
      </c>
      <c r="O94" s="2487"/>
      <c r="P94" s="2488"/>
      <c r="Q94" s="2489"/>
    </row>
    <row r="95" spans="1:17">
      <c r="A95" s="2480">
        <v>1998.02</v>
      </c>
      <c r="B95" s="2490">
        <v>745910</v>
      </c>
      <c r="C95" s="2711"/>
      <c r="D95" s="2712"/>
      <c r="E95" s="2491">
        <v>3107</v>
      </c>
      <c r="F95" s="2492">
        <v>4348</v>
      </c>
      <c r="G95" s="2493">
        <v>1703</v>
      </c>
      <c r="H95" s="2492">
        <v>4901</v>
      </c>
      <c r="I95" s="2493">
        <v>4962</v>
      </c>
      <c r="J95" s="2492">
        <v>2253</v>
      </c>
      <c r="K95" s="2493">
        <v>370</v>
      </c>
      <c r="L95" s="2492">
        <v>1664</v>
      </c>
      <c r="M95" s="2494">
        <v>1338</v>
      </c>
      <c r="N95" s="2495">
        <f t="shared" si="1"/>
        <v>24646</v>
      </c>
      <c r="O95" s="2487"/>
      <c r="P95" s="2488"/>
      <c r="Q95" s="2489"/>
    </row>
    <row r="96" spans="1:17">
      <c r="A96" s="2480">
        <v>1998.03</v>
      </c>
      <c r="B96" s="2490">
        <v>693558</v>
      </c>
      <c r="C96" s="2711"/>
      <c r="D96" s="2712"/>
      <c r="E96" s="2491">
        <v>1746</v>
      </c>
      <c r="F96" s="2492">
        <v>17194</v>
      </c>
      <c r="G96" s="2493">
        <v>2166</v>
      </c>
      <c r="H96" s="2492">
        <v>3744</v>
      </c>
      <c r="I96" s="2493">
        <v>2361</v>
      </c>
      <c r="J96" s="2492">
        <v>2174</v>
      </c>
      <c r="K96" s="2493">
        <v>464</v>
      </c>
      <c r="L96" s="2492">
        <v>3930</v>
      </c>
      <c r="M96" s="2494">
        <v>3465</v>
      </c>
      <c r="N96" s="2495">
        <f t="shared" si="1"/>
        <v>37244</v>
      </c>
      <c r="O96" s="2487"/>
      <c r="P96" s="2488"/>
      <c r="Q96" s="2489"/>
    </row>
    <row r="97" spans="1:17">
      <c r="A97" s="2480">
        <v>1998.04</v>
      </c>
      <c r="B97" s="2490">
        <v>699686</v>
      </c>
      <c r="C97" s="2711"/>
      <c r="D97" s="2712"/>
      <c r="E97" s="2491">
        <v>4363</v>
      </c>
      <c r="F97" s="2492">
        <v>8050</v>
      </c>
      <c r="G97" s="2493">
        <v>2228</v>
      </c>
      <c r="H97" s="2492">
        <v>5833</v>
      </c>
      <c r="I97" s="2493">
        <v>4188</v>
      </c>
      <c r="J97" s="2492">
        <v>3495</v>
      </c>
      <c r="K97" s="2493">
        <v>1666</v>
      </c>
      <c r="L97" s="2492">
        <v>5668</v>
      </c>
      <c r="M97" s="2494">
        <v>1719</v>
      </c>
      <c r="N97" s="2495">
        <f t="shared" si="1"/>
        <v>37210</v>
      </c>
      <c r="O97" s="2487"/>
      <c r="P97" s="2488"/>
      <c r="Q97" s="2489"/>
    </row>
    <row r="98" spans="1:17">
      <c r="A98" s="2480">
        <v>1998.05</v>
      </c>
      <c r="B98" s="2490">
        <v>675425</v>
      </c>
      <c r="C98" s="2711"/>
      <c r="D98" s="2712"/>
      <c r="E98" s="2491">
        <v>1053</v>
      </c>
      <c r="F98" s="2492">
        <v>13739</v>
      </c>
      <c r="G98" s="2493">
        <v>1332</v>
      </c>
      <c r="H98" s="2492">
        <v>6013</v>
      </c>
      <c r="I98" s="2493">
        <v>8323</v>
      </c>
      <c r="J98" s="2492">
        <v>2627</v>
      </c>
      <c r="K98" s="2493">
        <v>804</v>
      </c>
      <c r="L98" s="2492">
        <v>3975</v>
      </c>
      <c r="M98" s="2494">
        <v>2419</v>
      </c>
      <c r="N98" s="2495">
        <f t="shared" si="1"/>
        <v>40285</v>
      </c>
      <c r="O98" s="2487"/>
      <c r="P98" s="2488"/>
      <c r="Q98" s="2489"/>
    </row>
    <row r="99" spans="1:17">
      <c r="A99" s="2480">
        <v>1998.06</v>
      </c>
      <c r="B99" s="2490">
        <v>586383</v>
      </c>
      <c r="C99" s="2711"/>
      <c r="D99" s="2712"/>
      <c r="E99" s="2491">
        <v>1799</v>
      </c>
      <c r="F99" s="2492">
        <v>24265</v>
      </c>
      <c r="G99" s="2493">
        <v>132</v>
      </c>
      <c r="H99" s="2492">
        <v>5259</v>
      </c>
      <c r="I99" s="2493">
        <v>8642</v>
      </c>
      <c r="J99" s="2492">
        <v>2924</v>
      </c>
      <c r="K99" s="2493">
        <v>314</v>
      </c>
      <c r="L99" s="2492">
        <v>14310</v>
      </c>
      <c r="M99" s="2494">
        <v>2421</v>
      </c>
      <c r="N99" s="2495">
        <f t="shared" si="1"/>
        <v>60066</v>
      </c>
      <c r="O99" s="2487"/>
      <c r="P99" s="2488"/>
      <c r="Q99" s="2489"/>
    </row>
    <row r="100" spans="1:17">
      <c r="A100" s="2480">
        <v>1998.07</v>
      </c>
      <c r="B100" s="2490">
        <v>627151</v>
      </c>
      <c r="C100" s="2711"/>
      <c r="D100" s="2712"/>
      <c r="E100" s="2491">
        <v>2994</v>
      </c>
      <c r="F100" s="2492">
        <v>10358</v>
      </c>
      <c r="G100" s="2493">
        <v>3319</v>
      </c>
      <c r="H100" s="2492">
        <v>5085</v>
      </c>
      <c r="I100" s="2493">
        <v>3652</v>
      </c>
      <c r="J100" s="2492">
        <v>2309</v>
      </c>
      <c r="K100" s="2493">
        <v>1535</v>
      </c>
      <c r="L100" s="2492">
        <v>9860</v>
      </c>
      <c r="M100" s="2494">
        <v>3120</v>
      </c>
      <c r="N100" s="2495">
        <f t="shared" si="1"/>
        <v>42232</v>
      </c>
      <c r="O100" s="2487"/>
      <c r="P100" s="2488"/>
      <c r="Q100" s="2489"/>
    </row>
    <row r="101" spans="1:17">
      <c r="A101" s="2480">
        <v>1998.08</v>
      </c>
      <c r="B101" s="2490">
        <v>674178</v>
      </c>
      <c r="C101" s="2711"/>
      <c r="D101" s="2712"/>
      <c r="E101" s="2491">
        <v>2078</v>
      </c>
      <c r="F101" s="2492">
        <v>7824</v>
      </c>
      <c r="G101" s="2493">
        <v>1710</v>
      </c>
      <c r="H101" s="2492">
        <v>4753</v>
      </c>
      <c r="I101" s="2493">
        <v>7465</v>
      </c>
      <c r="J101" s="2492">
        <v>2917</v>
      </c>
      <c r="K101" s="2493">
        <v>1966</v>
      </c>
      <c r="L101" s="2492">
        <v>3910</v>
      </c>
      <c r="M101" s="2494">
        <v>4734</v>
      </c>
      <c r="N101" s="2495">
        <f t="shared" si="1"/>
        <v>37357</v>
      </c>
      <c r="O101" s="2487"/>
      <c r="P101" s="2488"/>
      <c r="Q101" s="2489"/>
    </row>
    <row r="102" spans="1:17">
      <c r="A102" s="2480">
        <v>1998.09</v>
      </c>
      <c r="B102" s="2490">
        <v>654057</v>
      </c>
      <c r="C102" s="2711"/>
      <c r="D102" s="2712"/>
      <c r="E102" s="2491">
        <v>2234</v>
      </c>
      <c r="F102" s="2492">
        <v>10323</v>
      </c>
      <c r="G102" s="2493">
        <v>310</v>
      </c>
      <c r="H102" s="2492">
        <v>8727</v>
      </c>
      <c r="I102" s="2493">
        <v>6087</v>
      </c>
      <c r="J102" s="2492">
        <v>7728</v>
      </c>
      <c r="K102" s="2493">
        <v>1311</v>
      </c>
      <c r="L102" s="2492">
        <v>6595</v>
      </c>
      <c r="M102" s="2494">
        <v>5365</v>
      </c>
      <c r="N102" s="2495">
        <f t="shared" si="1"/>
        <v>48680</v>
      </c>
      <c r="O102" s="2487"/>
      <c r="P102" s="2488"/>
      <c r="Q102" s="2489"/>
    </row>
    <row r="103" spans="1:17">
      <c r="A103" s="2480">
        <v>1998.1</v>
      </c>
      <c r="B103" s="2490">
        <v>631279</v>
      </c>
      <c r="C103" s="2711"/>
      <c r="D103" s="2712"/>
      <c r="E103" s="2491">
        <v>1123</v>
      </c>
      <c r="F103" s="2492">
        <v>8376</v>
      </c>
      <c r="G103" s="2493">
        <v>8553</v>
      </c>
      <c r="H103" s="2492">
        <v>4672</v>
      </c>
      <c r="I103" s="2493">
        <v>4523</v>
      </c>
      <c r="J103" s="2492">
        <v>4537</v>
      </c>
      <c r="K103" s="2493">
        <v>739</v>
      </c>
      <c r="L103" s="2492">
        <v>4147</v>
      </c>
      <c r="M103" s="2494">
        <v>2610</v>
      </c>
      <c r="N103" s="2495">
        <f t="shared" si="1"/>
        <v>39280</v>
      </c>
      <c r="O103" s="2487"/>
      <c r="P103" s="2488"/>
      <c r="Q103" s="2489"/>
    </row>
    <row r="104" spans="1:17">
      <c r="A104" s="2480">
        <v>1998.11</v>
      </c>
      <c r="B104" s="2490">
        <v>569205</v>
      </c>
      <c r="C104" s="2711"/>
      <c r="D104" s="2712"/>
      <c r="E104" s="2491">
        <v>1580</v>
      </c>
      <c r="F104" s="2492">
        <v>5611</v>
      </c>
      <c r="G104" s="2493">
        <v>7458</v>
      </c>
      <c r="H104" s="2492">
        <v>7103</v>
      </c>
      <c r="I104" s="2493">
        <v>4437</v>
      </c>
      <c r="J104" s="2492">
        <v>2338</v>
      </c>
      <c r="K104" s="2493">
        <v>840</v>
      </c>
      <c r="L104" s="2492">
        <v>4923</v>
      </c>
      <c r="M104" s="2494">
        <v>3510</v>
      </c>
      <c r="N104" s="2495">
        <f t="shared" si="1"/>
        <v>37800</v>
      </c>
      <c r="O104" s="2487"/>
      <c r="P104" s="2488"/>
      <c r="Q104" s="2489"/>
    </row>
    <row r="105" spans="1:17">
      <c r="A105" s="2480">
        <v>1998.12</v>
      </c>
      <c r="B105" s="2490">
        <v>787524</v>
      </c>
      <c r="C105" s="2711"/>
      <c r="D105" s="2712"/>
      <c r="E105" s="2491">
        <v>2739</v>
      </c>
      <c r="F105" s="2492">
        <v>10405</v>
      </c>
      <c r="G105" s="2493">
        <v>7624</v>
      </c>
      <c r="H105" s="2492">
        <v>5062</v>
      </c>
      <c r="I105" s="2493">
        <v>5071</v>
      </c>
      <c r="J105" s="2492">
        <v>4034</v>
      </c>
      <c r="K105" s="2493">
        <v>875</v>
      </c>
      <c r="L105" s="2492">
        <v>4359</v>
      </c>
      <c r="M105" s="2494">
        <v>3815</v>
      </c>
      <c r="N105" s="2495">
        <f t="shared" si="1"/>
        <v>43984</v>
      </c>
      <c r="O105" s="2487"/>
      <c r="P105" s="2488"/>
      <c r="Q105" s="2489"/>
    </row>
    <row r="106" spans="1:17">
      <c r="A106" s="2480">
        <v>1999.01</v>
      </c>
      <c r="B106" s="2490">
        <v>443343</v>
      </c>
      <c r="C106" s="2711"/>
      <c r="D106" s="2712"/>
      <c r="E106" s="2491">
        <v>2705</v>
      </c>
      <c r="F106" s="2492">
        <v>8052</v>
      </c>
      <c r="G106" s="2493">
        <v>5088</v>
      </c>
      <c r="H106" s="2492">
        <v>2531</v>
      </c>
      <c r="I106" s="2493">
        <v>0</v>
      </c>
      <c r="J106" s="2492">
        <v>3215</v>
      </c>
      <c r="K106" s="2493">
        <v>113</v>
      </c>
      <c r="L106" s="2492">
        <v>4596</v>
      </c>
      <c r="M106" s="2494">
        <v>426</v>
      </c>
      <c r="N106" s="2495">
        <f t="shared" si="1"/>
        <v>26726</v>
      </c>
      <c r="O106" s="2487"/>
      <c r="P106" s="2488"/>
      <c r="Q106" s="2489"/>
    </row>
    <row r="107" spans="1:17">
      <c r="A107" s="2480">
        <v>1999.02</v>
      </c>
      <c r="B107" s="2490">
        <v>548267</v>
      </c>
      <c r="C107" s="2711"/>
      <c r="D107" s="2712"/>
      <c r="E107" s="2491">
        <v>1698</v>
      </c>
      <c r="F107" s="2492">
        <v>17497</v>
      </c>
      <c r="G107" s="2493">
        <v>134</v>
      </c>
      <c r="H107" s="2492">
        <v>4407</v>
      </c>
      <c r="I107" s="2493">
        <v>6395</v>
      </c>
      <c r="J107" s="2492">
        <v>5846</v>
      </c>
      <c r="K107" s="2493">
        <v>1116</v>
      </c>
      <c r="L107" s="2492">
        <v>4047</v>
      </c>
      <c r="M107" s="2494">
        <v>1424</v>
      </c>
      <c r="N107" s="2495">
        <f t="shared" si="1"/>
        <v>42564</v>
      </c>
      <c r="O107" s="2487"/>
      <c r="P107" s="2488"/>
      <c r="Q107" s="2489"/>
    </row>
    <row r="108" spans="1:17">
      <c r="A108" s="2480">
        <v>1999.03</v>
      </c>
      <c r="B108" s="2490">
        <v>567530</v>
      </c>
      <c r="C108" s="2711"/>
      <c r="D108" s="2712"/>
      <c r="E108" s="2491">
        <v>2108</v>
      </c>
      <c r="F108" s="2492">
        <v>14895</v>
      </c>
      <c r="G108" s="2493">
        <v>6636</v>
      </c>
      <c r="H108" s="2492">
        <v>5369</v>
      </c>
      <c r="I108" s="2493">
        <v>4287</v>
      </c>
      <c r="J108" s="2492">
        <v>9376</v>
      </c>
      <c r="K108" s="2493">
        <v>368</v>
      </c>
      <c r="L108" s="2492">
        <v>2945</v>
      </c>
      <c r="M108" s="2494">
        <v>2767</v>
      </c>
      <c r="N108" s="2495">
        <f t="shared" si="1"/>
        <v>48751</v>
      </c>
      <c r="O108" s="2487"/>
      <c r="P108" s="2488"/>
      <c r="Q108" s="2489"/>
    </row>
    <row r="109" spans="1:17">
      <c r="A109" s="2480">
        <v>1999.04</v>
      </c>
      <c r="B109" s="2490">
        <v>481145</v>
      </c>
      <c r="C109" s="2711"/>
      <c r="D109" s="2712"/>
      <c r="E109" s="2491">
        <v>1028</v>
      </c>
      <c r="F109" s="2492">
        <v>9274</v>
      </c>
      <c r="G109" s="2493">
        <v>5623</v>
      </c>
      <c r="H109" s="2492">
        <v>8455</v>
      </c>
      <c r="I109" s="2493">
        <v>5593</v>
      </c>
      <c r="J109" s="2492">
        <v>6666</v>
      </c>
      <c r="K109" s="2493">
        <v>939</v>
      </c>
      <c r="L109" s="2492">
        <v>4106</v>
      </c>
      <c r="M109" s="2494">
        <v>184</v>
      </c>
      <c r="N109" s="2495">
        <f t="shared" si="1"/>
        <v>41868</v>
      </c>
      <c r="O109" s="2487"/>
      <c r="P109" s="2488"/>
      <c r="Q109" s="2489"/>
    </row>
    <row r="110" spans="1:17">
      <c r="A110" s="2480">
        <v>1999.05</v>
      </c>
      <c r="B110" s="2490">
        <v>510985</v>
      </c>
      <c r="C110" s="2711"/>
      <c r="D110" s="2712"/>
      <c r="E110" s="2491">
        <v>857</v>
      </c>
      <c r="F110" s="2492">
        <v>3789</v>
      </c>
      <c r="G110" s="2493">
        <v>4435</v>
      </c>
      <c r="H110" s="2492">
        <v>6070</v>
      </c>
      <c r="I110" s="2493">
        <v>5155</v>
      </c>
      <c r="J110" s="2492">
        <v>3624</v>
      </c>
      <c r="K110" s="2493">
        <v>474</v>
      </c>
      <c r="L110" s="2492">
        <v>3706</v>
      </c>
      <c r="M110" s="2494">
        <v>1558</v>
      </c>
      <c r="N110" s="2495">
        <f t="shared" si="1"/>
        <v>29668</v>
      </c>
      <c r="O110" s="2487"/>
      <c r="P110" s="2488"/>
      <c r="Q110" s="2489"/>
    </row>
    <row r="111" spans="1:17">
      <c r="A111" s="2480">
        <v>1999.06</v>
      </c>
      <c r="B111" s="2490">
        <v>554494</v>
      </c>
      <c r="C111" s="2711"/>
      <c r="D111" s="2712"/>
      <c r="E111" s="2491">
        <v>1564</v>
      </c>
      <c r="F111" s="2492">
        <v>11576</v>
      </c>
      <c r="G111" s="2493">
        <v>5197</v>
      </c>
      <c r="H111" s="2492">
        <v>11123</v>
      </c>
      <c r="I111" s="2493">
        <v>9639</v>
      </c>
      <c r="J111" s="2492">
        <v>4523</v>
      </c>
      <c r="K111" s="2493">
        <v>662</v>
      </c>
      <c r="L111" s="2492">
        <v>7951</v>
      </c>
      <c r="M111" s="2494">
        <v>2657</v>
      </c>
      <c r="N111" s="2495">
        <f t="shared" si="1"/>
        <v>54892</v>
      </c>
      <c r="O111" s="2487"/>
      <c r="P111" s="2488"/>
      <c r="Q111" s="2489"/>
    </row>
    <row r="112" spans="1:17">
      <c r="A112" s="2480">
        <v>1999.07</v>
      </c>
      <c r="B112" s="2490">
        <v>665134</v>
      </c>
      <c r="C112" s="2711"/>
      <c r="D112" s="2712"/>
      <c r="E112" s="2491">
        <v>1527</v>
      </c>
      <c r="F112" s="2492">
        <v>6604</v>
      </c>
      <c r="G112" s="2493">
        <v>5619</v>
      </c>
      <c r="H112" s="2492">
        <v>12316</v>
      </c>
      <c r="I112" s="2493">
        <v>2019</v>
      </c>
      <c r="J112" s="2492">
        <v>5802</v>
      </c>
      <c r="K112" s="2493">
        <v>1348</v>
      </c>
      <c r="L112" s="2492">
        <v>5329</v>
      </c>
      <c r="M112" s="2494">
        <v>3039</v>
      </c>
      <c r="N112" s="2495">
        <f t="shared" si="1"/>
        <v>43603</v>
      </c>
      <c r="O112" s="2487"/>
      <c r="P112" s="2488"/>
      <c r="Q112" s="2489"/>
    </row>
    <row r="113" spans="1:17">
      <c r="A113" s="2480">
        <v>1999.08</v>
      </c>
      <c r="B113" s="2490">
        <v>485922</v>
      </c>
      <c r="C113" s="2711"/>
      <c r="D113" s="2712"/>
      <c r="E113" s="2491">
        <v>1280</v>
      </c>
      <c r="F113" s="2492">
        <v>8750</v>
      </c>
      <c r="G113" s="2493">
        <v>5092</v>
      </c>
      <c r="H113" s="2492">
        <v>12003</v>
      </c>
      <c r="I113" s="2493">
        <v>6275</v>
      </c>
      <c r="J113" s="2492">
        <v>4053</v>
      </c>
      <c r="K113" s="2493">
        <v>1142</v>
      </c>
      <c r="L113" s="2492">
        <v>3537</v>
      </c>
      <c r="M113" s="2494">
        <v>2099</v>
      </c>
      <c r="N113" s="2495">
        <f t="shared" si="1"/>
        <v>44231</v>
      </c>
      <c r="O113" s="2487"/>
      <c r="P113" s="2488"/>
      <c r="Q113" s="2489"/>
    </row>
    <row r="114" spans="1:17">
      <c r="A114" s="2480">
        <v>1999.09</v>
      </c>
      <c r="B114" s="2490">
        <v>675139</v>
      </c>
      <c r="C114" s="2711"/>
      <c r="D114" s="2712"/>
      <c r="E114" s="2491">
        <v>1855</v>
      </c>
      <c r="F114" s="2492">
        <v>7990</v>
      </c>
      <c r="G114" s="2493">
        <v>5774</v>
      </c>
      <c r="H114" s="2492">
        <v>9412</v>
      </c>
      <c r="I114" s="2493">
        <v>12674</v>
      </c>
      <c r="J114" s="2492">
        <v>3806</v>
      </c>
      <c r="K114" s="2493">
        <v>523</v>
      </c>
      <c r="L114" s="2492">
        <v>6907</v>
      </c>
      <c r="M114" s="2494">
        <v>5038</v>
      </c>
      <c r="N114" s="2495">
        <f t="shared" si="1"/>
        <v>53979</v>
      </c>
      <c r="O114" s="2487"/>
      <c r="P114" s="2488"/>
      <c r="Q114" s="2489"/>
    </row>
    <row r="115" spans="1:17">
      <c r="A115" s="2480">
        <v>1999.1</v>
      </c>
      <c r="B115" s="2490">
        <v>470356</v>
      </c>
      <c r="C115" s="2711"/>
      <c r="D115" s="2712"/>
      <c r="E115" s="2491">
        <v>1196</v>
      </c>
      <c r="F115" s="2492">
        <v>9044</v>
      </c>
      <c r="G115" s="2493">
        <v>4308</v>
      </c>
      <c r="H115" s="2492">
        <v>7484</v>
      </c>
      <c r="I115" s="2493">
        <v>6506</v>
      </c>
      <c r="J115" s="2492">
        <v>2855</v>
      </c>
      <c r="K115" s="2493">
        <v>1516</v>
      </c>
      <c r="L115" s="2492">
        <v>7480</v>
      </c>
      <c r="M115" s="2494">
        <v>3543</v>
      </c>
      <c r="N115" s="2495">
        <f t="shared" si="1"/>
        <v>43932</v>
      </c>
      <c r="O115" s="2487"/>
      <c r="P115" s="2488"/>
      <c r="Q115" s="2489"/>
    </row>
    <row r="116" spans="1:17">
      <c r="A116" s="2480">
        <v>1999.11</v>
      </c>
      <c r="B116" s="2490">
        <v>516762</v>
      </c>
      <c r="C116" s="2711"/>
      <c r="D116" s="2712"/>
      <c r="E116" s="2491">
        <v>1467</v>
      </c>
      <c r="F116" s="2492">
        <v>6491</v>
      </c>
      <c r="G116" s="2493">
        <v>4578</v>
      </c>
      <c r="H116" s="2492">
        <v>5713</v>
      </c>
      <c r="I116" s="2493">
        <v>9904</v>
      </c>
      <c r="J116" s="2492">
        <v>2798</v>
      </c>
      <c r="K116" s="2493">
        <v>1390</v>
      </c>
      <c r="L116" s="2492">
        <v>3363</v>
      </c>
      <c r="M116" s="2494">
        <v>1831</v>
      </c>
      <c r="N116" s="2495">
        <f t="shared" si="1"/>
        <v>37535</v>
      </c>
      <c r="O116" s="2487"/>
      <c r="P116" s="2488"/>
      <c r="Q116" s="2489"/>
    </row>
    <row r="117" spans="1:17">
      <c r="A117" s="2480">
        <v>1999.12</v>
      </c>
      <c r="B117" s="2490">
        <v>613787</v>
      </c>
      <c r="C117" s="2711"/>
      <c r="D117" s="2712"/>
      <c r="E117" s="2491">
        <v>982</v>
      </c>
      <c r="F117" s="2492">
        <v>6052</v>
      </c>
      <c r="G117" s="2493">
        <v>5115</v>
      </c>
      <c r="H117" s="2492">
        <v>8044</v>
      </c>
      <c r="I117" s="2493">
        <v>9056</v>
      </c>
      <c r="J117" s="2492">
        <v>2569</v>
      </c>
      <c r="K117" s="2493">
        <v>2713</v>
      </c>
      <c r="L117" s="2492">
        <v>18641</v>
      </c>
      <c r="M117" s="2494">
        <v>2588</v>
      </c>
      <c r="N117" s="2495">
        <f t="shared" si="1"/>
        <v>55760</v>
      </c>
      <c r="O117" s="2487"/>
      <c r="P117" s="2488"/>
      <c r="Q117" s="2489"/>
    </row>
    <row r="118" spans="1:17">
      <c r="A118" s="2480">
        <v>2000.01</v>
      </c>
      <c r="B118" s="2490">
        <v>411991.5</v>
      </c>
      <c r="C118" s="2711"/>
      <c r="D118" s="2712"/>
      <c r="E118" s="2491">
        <v>1442</v>
      </c>
      <c r="F118" s="2492">
        <v>2772</v>
      </c>
      <c r="G118" s="2493">
        <v>332</v>
      </c>
      <c r="H118" s="2492">
        <v>1528</v>
      </c>
      <c r="I118" s="2493">
        <v>3344</v>
      </c>
      <c r="J118" s="2492">
        <v>1832</v>
      </c>
      <c r="K118" s="2493">
        <v>1836</v>
      </c>
      <c r="L118" s="2492">
        <v>11388</v>
      </c>
      <c r="M118" s="2494">
        <v>4262</v>
      </c>
      <c r="N118" s="2495">
        <f t="shared" si="1"/>
        <v>28736</v>
      </c>
      <c r="O118" s="2487"/>
      <c r="P118" s="2488"/>
      <c r="Q118" s="2489"/>
    </row>
    <row r="119" spans="1:17">
      <c r="A119" s="2480">
        <v>2000.02</v>
      </c>
      <c r="B119" s="2490">
        <v>390673</v>
      </c>
      <c r="C119" s="2711"/>
      <c r="D119" s="2712"/>
      <c r="E119" s="2491">
        <v>2232</v>
      </c>
      <c r="F119" s="2492">
        <v>2811</v>
      </c>
      <c r="G119" s="2493">
        <v>3237</v>
      </c>
      <c r="H119" s="2492">
        <v>3106</v>
      </c>
      <c r="I119" s="2493">
        <v>4553</v>
      </c>
      <c r="J119" s="2492">
        <v>1203</v>
      </c>
      <c r="K119" s="2493">
        <v>1502</v>
      </c>
      <c r="L119" s="2492">
        <v>10106</v>
      </c>
      <c r="M119" s="2494">
        <v>4517</v>
      </c>
      <c r="N119" s="2495">
        <f t="shared" si="1"/>
        <v>33267</v>
      </c>
      <c r="O119" s="2487"/>
      <c r="P119" s="2488"/>
      <c r="Q119" s="2489"/>
    </row>
    <row r="120" spans="1:17">
      <c r="A120" s="2480">
        <v>2000.03</v>
      </c>
      <c r="B120" s="2490">
        <v>491400</v>
      </c>
      <c r="C120" s="2711"/>
      <c r="D120" s="2712"/>
      <c r="E120" s="2491">
        <v>1013</v>
      </c>
      <c r="F120" s="2492">
        <v>5070</v>
      </c>
      <c r="G120" s="2493">
        <v>6255</v>
      </c>
      <c r="H120" s="2492">
        <v>6102</v>
      </c>
      <c r="I120" s="2493">
        <v>5211</v>
      </c>
      <c r="J120" s="2492">
        <v>3776</v>
      </c>
      <c r="K120" s="2493">
        <v>1558</v>
      </c>
      <c r="L120" s="2492">
        <v>12619</v>
      </c>
      <c r="M120" s="2494">
        <v>893</v>
      </c>
      <c r="N120" s="2495">
        <f t="shared" si="1"/>
        <v>42497</v>
      </c>
      <c r="O120" s="2487"/>
      <c r="P120" s="2488"/>
      <c r="Q120" s="2489"/>
    </row>
    <row r="121" spans="1:17">
      <c r="A121" s="2480">
        <v>2000.04</v>
      </c>
      <c r="B121" s="2490">
        <v>474576</v>
      </c>
      <c r="C121" s="2711"/>
      <c r="D121" s="2712"/>
      <c r="E121" s="2491">
        <v>2042</v>
      </c>
      <c r="F121" s="2492">
        <v>3840</v>
      </c>
      <c r="G121" s="2493">
        <v>4686</v>
      </c>
      <c r="H121" s="2492">
        <v>5570</v>
      </c>
      <c r="I121" s="2493">
        <v>4268</v>
      </c>
      <c r="J121" s="2492">
        <v>2258</v>
      </c>
      <c r="K121" s="2493">
        <v>835</v>
      </c>
      <c r="L121" s="2492">
        <v>5040</v>
      </c>
      <c r="M121" s="2494">
        <v>2438</v>
      </c>
      <c r="N121" s="2495">
        <f t="shared" si="1"/>
        <v>30977</v>
      </c>
      <c r="O121" s="2487"/>
      <c r="P121" s="2488"/>
      <c r="Q121" s="2489"/>
    </row>
    <row r="122" spans="1:17">
      <c r="A122" s="2480">
        <v>2000.05</v>
      </c>
      <c r="B122" s="2490">
        <v>458275</v>
      </c>
      <c r="C122" s="2711"/>
      <c r="D122" s="2712"/>
      <c r="E122" s="2491">
        <v>3026</v>
      </c>
      <c r="F122" s="2492">
        <v>11289</v>
      </c>
      <c r="G122" s="2493">
        <v>5092</v>
      </c>
      <c r="H122" s="2492">
        <v>4652</v>
      </c>
      <c r="I122" s="2493">
        <v>4073</v>
      </c>
      <c r="J122" s="2492">
        <v>2344</v>
      </c>
      <c r="K122" s="2493">
        <v>837</v>
      </c>
      <c r="L122" s="2492">
        <v>5281</v>
      </c>
      <c r="M122" s="2494">
        <v>2801</v>
      </c>
      <c r="N122" s="2495">
        <f t="shared" si="1"/>
        <v>39395</v>
      </c>
      <c r="O122" s="2487"/>
      <c r="P122" s="2488"/>
      <c r="Q122" s="2489"/>
    </row>
    <row r="123" spans="1:17">
      <c r="A123" s="2480">
        <v>2000.06</v>
      </c>
      <c r="B123" s="2490">
        <v>495276</v>
      </c>
      <c r="C123" s="2711"/>
      <c r="D123" s="2712"/>
      <c r="E123" s="2491">
        <v>1580</v>
      </c>
      <c r="F123" s="2492">
        <v>5342</v>
      </c>
      <c r="G123" s="2493">
        <v>2680</v>
      </c>
      <c r="H123" s="2492">
        <v>3603</v>
      </c>
      <c r="I123" s="2493">
        <v>4540</v>
      </c>
      <c r="J123" s="2492">
        <v>2557</v>
      </c>
      <c r="K123" s="2493">
        <v>1590</v>
      </c>
      <c r="L123" s="2492">
        <v>3886</v>
      </c>
      <c r="M123" s="2494">
        <v>4602</v>
      </c>
      <c r="N123" s="2495">
        <f t="shared" si="1"/>
        <v>30380</v>
      </c>
      <c r="O123" s="2487"/>
      <c r="P123" s="2488"/>
      <c r="Q123" s="2489"/>
    </row>
    <row r="124" spans="1:17">
      <c r="A124" s="2480">
        <v>2000.07</v>
      </c>
      <c r="B124" s="2490">
        <v>492625</v>
      </c>
      <c r="C124" s="2711"/>
      <c r="D124" s="2712"/>
      <c r="E124" s="2491">
        <v>2277</v>
      </c>
      <c r="F124" s="2492">
        <v>5322</v>
      </c>
      <c r="G124" s="2493">
        <v>1685</v>
      </c>
      <c r="H124" s="2492">
        <v>8838</v>
      </c>
      <c r="I124" s="2493">
        <v>4262</v>
      </c>
      <c r="J124" s="2492">
        <v>3410</v>
      </c>
      <c r="K124" s="2493">
        <v>2350</v>
      </c>
      <c r="L124" s="2492">
        <v>2050</v>
      </c>
      <c r="M124" s="2494">
        <v>2026</v>
      </c>
      <c r="N124" s="2495">
        <f t="shared" si="1"/>
        <v>32220</v>
      </c>
      <c r="O124" s="2487"/>
      <c r="P124" s="2488"/>
      <c r="Q124" s="2489"/>
    </row>
    <row r="125" spans="1:17">
      <c r="A125" s="2480">
        <v>2000.08</v>
      </c>
      <c r="B125" s="2490">
        <v>653836</v>
      </c>
      <c r="C125" s="2711"/>
      <c r="D125" s="2712"/>
      <c r="E125" s="2491">
        <v>2636</v>
      </c>
      <c r="F125" s="2492">
        <v>9242</v>
      </c>
      <c r="G125" s="2493">
        <v>1653</v>
      </c>
      <c r="H125" s="2492">
        <v>6912</v>
      </c>
      <c r="I125" s="2493">
        <v>6640</v>
      </c>
      <c r="J125" s="2492">
        <v>7465</v>
      </c>
      <c r="K125" s="2493">
        <v>1885</v>
      </c>
      <c r="L125" s="2492">
        <v>2938</v>
      </c>
      <c r="M125" s="2494">
        <v>3167</v>
      </c>
      <c r="N125" s="2495">
        <f t="shared" si="1"/>
        <v>42538</v>
      </c>
      <c r="O125" s="2487"/>
      <c r="P125" s="2488"/>
      <c r="Q125" s="2489"/>
    </row>
    <row r="126" spans="1:17">
      <c r="A126" s="2480">
        <v>2000.09</v>
      </c>
      <c r="B126" s="2490">
        <v>614405</v>
      </c>
      <c r="C126" s="2711"/>
      <c r="D126" s="2712"/>
      <c r="E126" s="2491">
        <v>2528</v>
      </c>
      <c r="F126" s="2492">
        <v>6783</v>
      </c>
      <c r="G126" s="2493">
        <v>4307</v>
      </c>
      <c r="H126" s="2492">
        <v>6851</v>
      </c>
      <c r="I126" s="2493">
        <v>3657</v>
      </c>
      <c r="J126" s="2492">
        <v>1268</v>
      </c>
      <c r="K126" s="2493">
        <v>980</v>
      </c>
      <c r="L126" s="2492">
        <v>3452</v>
      </c>
      <c r="M126" s="2494">
        <v>3424</v>
      </c>
      <c r="N126" s="2495">
        <f t="shared" si="1"/>
        <v>33250</v>
      </c>
      <c r="O126" s="2487"/>
      <c r="P126" s="2488"/>
      <c r="Q126" s="2489"/>
    </row>
    <row r="127" spans="1:17">
      <c r="A127" s="2480">
        <v>2000.1</v>
      </c>
      <c r="B127" s="2490">
        <v>540904</v>
      </c>
      <c r="C127" s="2711"/>
      <c r="D127" s="2712"/>
      <c r="E127" s="2491">
        <v>2769</v>
      </c>
      <c r="F127" s="2492">
        <v>5895</v>
      </c>
      <c r="G127" s="2493">
        <v>4751</v>
      </c>
      <c r="H127" s="2492">
        <v>5181</v>
      </c>
      <c r="I127" s="2493">
        <v>3933</v>
      </c>
      <c r="J127" s="2492">
        <v>2151</v>
      </c>
      <c r="K127" s="2493">
        <v>2022</v>
      </c>
      <c r="L127" s="2492">
        <v>2420</v>
      </c>
      <c r="M127" s="2494">
        <v>2461</v>
      </c>
      <c r="N127" s="2495">
        <f t="shared" si="1"/>
        <v>31583</v>
      </c>
      <c r="O127" s="2487"/>
      <c r="P127" s="2488"/>
      <c r="Q127" s="2489"/>
    </row>
    <row r="128" spans="1:17">
      <c r="A128" s="2480">
        <v>2000.11</v>
      </c>
      <c r="B128" s="2490">
        <v>580286</v>
      </c>
      <c r="C128" s="2711"/>
      <c r="D128" s="2712"/>
      <c r="E128" s="2491">
        <v>771</v>
      </c>
      <c r="F128" s="2492">
        <v>6481</v>
      </c>
      <c r="G128" s="2493">
        <v>2564</v>
      </c>
      <c r="H128" s="2492">
        <v>2606</v>
      </c>
      <c r="I128" s="2493">
        <v>4937</v>
      </c>
      <c r="J128" s="2492">
        <v>5092</v>
      </c>
      <c r="K128" s="2493">
        <v>599</v>
      </c>
      <c r="L128" s="2492">
        <v>3263</v>
      </c>
      <c r="M128" s="2494">
        <v>1916</v>
      </c>
      <c r="N128" s="2495">
        <f t="shared" si="1"/>
        <v>28229</v>
      </c>
      <c r="O128" s="2487"/>
      <c r="P128" s="2488"/>
      <c r="Q128" s="2489"/>
    </row>
    <row r="129" spans="1:17">
      <c r="A129" s="2480">
        <v>2000.12</v>
      </c>
      <c r="B129" s="2490">
        <v>686340.47</v>
      </c>
      <c r="C129" s="2711"/>
      <c r="D129" s="2712"/>
      <c r="E129" s="2491">
        <v>767</v>
      </c>
      <c r="F129" s="2492">
        <v>9326</v>
      </c>
      <c r="G129" s="2493">
        <v>4704</v>
      </c>
      <c r="H129" s="2492">
        <v>3266</v>
      </c>
      <c r="I129" s="2493">
        <v>7167</v>
      </c>
      <c r="J129" s="2492">
        <v>3673</v>
      </c>
      <c r="K129" s="2493">
        <v>1014</v>
      </c>
      <c r="L129" s="2492">
        <v>2949</v>
      </c>
      <c r="M129" s="2494">
        <v>1806</v>
      </c>
      <c r="N129" s="2495">
        <f t="shared" si="1"/>
        <v>34672</v>
      </c>
      <c r="O129" s="2487"/>
      <c r="P129" s="2488"/>
      <c r="Q129" s="2489"/>
    </row>
    <row r="130" spans="1:17">
      <c r="A130" s="2480">
        <v>2001.01</v>
      </c>
      <c r="B130" s="2490">
        <v>421722</v>
      </c>
      <c r="C130" s="2711"/>
      <c r="D130" s="2712"/>
      <c r="E130" s="2491">
        <v>274</v>
      </c>
      <c r="F130" s="2492">
        <v>6941</v>
      </c>
      <c r="G130" s="2493">
        <v>0</v>
      </c>
      <c r="H130" s="2492">
        <v>4443</v>
      </c>
      <c r="I130" s="2493">
        <v>0</v>
      </c>
      <c r="J130" s="2492">
        <v>4840</v>
      </c>
      <c r="K130" s="2493">
        <v>760</v>
      </c>
      <c r="L130" s="2492">
        <v>2845</v>
      </c>
      <c r="M130" s="2494">
        <v>2962</v>
      </c>
      <c r="N130" s="2495">
        <f t="shared" si="1"/>
        <v>23065</v>
      </c>
      <c r="O130" s="2487"/>
      <c r="P130" s="2488"/>
      <c r="Q130" s="2489"/>
    </row>
    <row r="131" spans="1:17">
      <c r="A131" s="2480">
        <v>2001.02</v>
      </c>
      <c r="B131" s="2490">
        <v>459005</v>
      </c>
      <c r="C131" s="2711"/>
      <c r="D131" s="2712"/>
      <c r="E131" s="2491">
        <v>1350</v>
      </c>
      <c r="F131" s="2492">
        <v>13363</v>
      </c>
      <c r="G131" s="2493">
        <v>745</v>
      </c>
      <c r="H131" s="2492">
        <v>9520</v>
      </c>
      <c r="I131" s="2493">
        <v>3004</v>
      </c>
      <c r="J131" s="2492">
        <v>2709</v>
      </c>
      <c r="K131" s="2493">
        <v>1081</v>
      </c>
      <c r="L131" s="2492">
        <v>2621</v>
      </c>
      <c r="M131" s="2494">
        <v>2664</v>
      </c>
      <c r="N131" s="2495">
        <f t="shared" si="1"/>
        <v>37057</v>
      </c>
      <c r="O131" s="2487"/>
      <c r="P131" s="2488"/>
      <c r="Q131" s="2489"/>
    </row>
    <row r="132" spans="1:17">
      <c r="A132" s="2480">
        <v>2001.03</v>
      </c>
      <c r="B132" s="2490">
        <v>581471</v>
      </c>
      <c r="C132" s="2711"/>
      <c r="D132" s="2712"/>
      <c r="E132" s="2491">
        <v>670</v>
      </c>
      <c r="F132" s="2492">
        <v>4238</v>
      </c>
      <c r="G132" s="2493">
        <v>7163</v>
      </c>
      <c r="H132" s="2492">
        <v>4407</v>
      </c>
      <c r="I132" s="2493">
        <v>5163</v>
      </c>
      <c r="J132" s="2492">
        <v>4856</v>
      </c>
      <c r="K132" s="2493">
        <v>1797</v>
      </c>
      <c r="L132" s="2492">
        <v>4643</v>
      </c>
      <c r="M132" s="2494">
        <v>3440</v>
      </c>
      <c r="N132" s="2495">
        <f t="shared" si="1"/>
        <v>36377</v>
      </c>
      <c r="O132" s="2487"/>
      <c r="P132" s="2488"/>
      <c r="Q132" s="2489"/>
    </row>
    <row r="133" spans="1:17">
      <c r="A133" s="2480">
        <v>2001.04</v>
      </c>
      <c r="B133" s="2490">
        <v>462968</v>
      </c>
      <c r="C133" s="2711"/>
      <c r="D133" s="2712"/>
      <c r="E133" s="2491">
        <v>357</v>
      </c>
      <c r="F133" s="2492">
        <v>6545</v>
      </c>
      <c r="G133" s="2493">
        <v>3555</v>
      </c>
      <c r="H133" s="2492">
        <v>2998</v>
      </c>
      <c r="I133" s="2493">
        <v>1878</v>
      </c>
      <c r="J133" s="2492">
        <v>4002</v>
      </c>
      <c r="K133" s="2493">
        <v>1309</v>
      </c>
      <c r="L133" s="2492">
        <v>4514</v>
      </c>
      <c r="M133" s="2494">
        <v>2676</v>
      </c>
      <c r="N133" s="2495">
        <f t="shared" si="1"/>
        <v>27834</v>
      </c>
      <c r="O133" s="2487"/>
      <c r="P133" s="2488"/>
      <c r="Q133" s="2489"/>
    </row>
    <row r="134" spans="1:17">
      <c r="A134" s="2480">
        <v>2001.05</v>
      </c>
      <c r="B134" s="2490">
        <v>417676</v>
      </c>
      <c r="C134" s="2711"/>
      <c r="D134" s="2712"/>
      <c r="E134" s="2491">
        <v>2434</v>
      </c>
      <c r="F134" s="2492">
        <v>12042</v>
      </c>
      <c r="G134" s="2493">
        <v>4471</v>
      </c>
      <c r="H134" s="2492">
        <v>5779</v>
      </c>
      <c r="I134" s="2493">
        <v>3511</v>
      </c>
      <c r="J134" s="2492">
        <v>5764</v>
      </c>
      <c r="K134" s="2493">
        <v>2786</v>
      </c>
      <c r="L134" s="2492">
        <v>3651</v>
      </c>
      <c r="M134" s="2494">
        <v>3219</v>
      </c>
      <c r="N134" s="2495">
        <f t="shared" si="1"/>
        <v>43657</v>
      </c>
      <c r="O134" s="2487"/>
      <c r="P134" s="2488"/>
      <c r="Q134" s="2489"/>
    </row>
    <row r="135" spans="1:17">
      <c r="A135" s="2480">
        <v>2001.06</v>
      </c>
      <c r="B135" s="2490">
        <v>480551</v>
      </c>
      <c r="C135" s="2711"/>
      <c r="D135" s="2712"/>
      <c r="E135" s="2491">
        <v>1038</v>
      </c>
      <c r="F135" s="2492">
        <v>5771</v>
      </c>
      <c r="G135" s="2493">
        <v>3975</v>
      </c>
      <c r="H135" s="2492">
        <v>5549</v>
      </c>
      <c r="I135" s="2493">
        <v>3304</v>
      </c>
      <c r="J135" s="2492">
        <v>5712</v>
      </c>
      <c r="K135" s="2493">
        <v>993</v>
      </c>
      <c r="L135" s="2492">
        <v>2613</v>
      </c>
      <c r="M135" s="2494">
        <v>2454</v>
      </c>
      <c r="N135" s="2495">
        <f t="shared" si="1"/>
        <v>31409</v>
      </c>
      <c r="O135" s="2487"/>
      <c r="P135" s="2488"/>
      <c r="Q135" s="2489"/>
    </row>
    <row r="136" spans="1:17">
      <c r="A136" s="2480">
        <v>2001.07</v>
      </c>
      <c r="B136" s="2490">
        <v>468838</v>
      </c>
      <c r="C136" s="2711"/>
      <c r="D136" s="2712"/>
      <c r="E136" s="2491">
        <v>857</v>
      </c>
      <c r="F136" s="2492">
        <v>4533</v>
      </c>
      <c r="G136" s="2493">
        <v>1718</v>
      </c>
      <c r="H136" s="2492">
        <v>3879</v>
      </c>
      <c r="I136" s="2493">
        <v>3537</v>
      </c>
      <c r="J136" s="2492">
        <v>12522</v>
      </c>
      <c r="K136" s="2493">
        <v>1849</v>
      </c>
      <c r="L136" s="2492">
        <v>3155</v>
      </c>
      <c r="M136" s="2494">
        <v>2427</v>
      </c>
      <c r="N136" s="2495">
        <f t="shared" si="1"/>
        <v>34477</v>
      </c>
      <c r="O136" s="2487"/>
      <c r="P136" s="2488"/>
      <c r="Q136" s="2489"/>
    </row>
    <row r="137" spans="1:17">
      <c r="A137" s="2480">
        <v>2001.08</v>
      </c>
      <c r="B137" s="2490">
        <v>447622</v>
      </c>
      <c r="C137" s="2711"/>
      <c r="D137" s="2712"/>
      <c r="E137" s="2491">
        <v>393</v>
      </c>
      <c r="F137" s="2492">
        <v>8799</v>
      </c>
      <c r="G137" s="2493">
        <v>3981</v>
      </c>
      <c r="H137" s="2492">
        <v>5328</v>
      </c>
      <c r="I137" s="2493">
        <v>2095</v>
      </c>
      <c r="J137" s="2492">
        <v>4815</v>
      </c>
      <c r="K137" s="2493">
        <v>1111</v>
      </c>
      <c r="L137" s="2492">
        <v>3367</v>
      </c>
      <c r="M137" s="2494">
        <v>2995</v>
      </c>
      <c r="N137" s="2495">
        <f t="shared" si="1"/>
        <v>32884</v>
      </c>
      <c r="O137" s="2487"/>
      <c r="P137" s="2488"/>
      <c r="Q137" s="2489"/>
    </row>
    <row r="138" spans="1:17">
      <c r="A138" s="2480">
        <v>2001.09</v>
      </c>
      <c r="B138" s="2490">
        <v>370033</v>
      </c>
      <c r="C138" s="2711"/>
      <c r="D138" s="2712"/>
      <c r="E138" s="2491">
        <v>2257</v>
      </c>
      <c r="F138" s="2492">
        <v>12010</v>
      </c>
      <c r="G138" s="2493">
        <v>3053</v>
      </c>
      <c r="H138" s="2492">
        <v>8071</v>
      </c>
      <c r="I138" s="2493">
        <v>3331</v>
      </c>
      <c r="J138" s="2492">
        <v>6040</v>
      </c>
      <c r="K138" s="2493">
        <v>956</v>
      </c>
      <c r="L138" s="2492">
        <v>7920</v>
      </c>
      <c r="M138" s="2494">
        <v>4016</v>
      </c>
      <c r="N138" s="2495">
        <f t="shared" si="1"/>
        <v>47654</v>
      </c>
      <c r="O138" s="2487"/>
      <c r="P138" s="2488"/>
      <c r="Q138" s="2489"/>
    </row>
    <row r="139" spans="1:17">
      <c r="A139" s="2480">
        <v>2001.1</v>
      </c>
      <c r="B139" s="2490">
        <v>299046</v>
      </c>
      <c r="C139" s="2711"/>
      <c r="D139" s="2712"/>
      <c r="E139" s="2491">
        <v>913</v>
      </c>
      <c r="F139" s="2492">
        <v>6273</v>
      </c>
      <c r="G139" s="2493">
        <v>2868</v>
      </c>
      <c r="H139" s="2492">
        <v>4254</v>
      </c>
      <c r="I139" s="2493">
        <v>1678</v>
      </c>
      <c r="J139" s="2492">
        <v>6423</v>
      </c>
      <c r="K139" s="2493">
        <v>851</v>
      </c>
      <c r="L139" s="2492">
        <v>3250</v>
      </c>
      <c r="M139" s="2494">
        <v>1955</v>
      </c>
      <c r="N139" s="2495">
        <f t="shared" ref="N139:N202" si="2">SUM(E139:M139)</f>
        <v>28465</v>
      </c>
      <c r="O139" s="2487"/>
      <c r="P139" s="2488"/>
      <c r="Q139" s="2489"/>
    </row>
    <row r="140" spans="1:17">
      <c r="A140" s="2480">
        <v>2001.11</v>
      </c>
      <c r="B140" s="2490">
        <v>357539</v>
      </c>
      <c r="C140" s="2711"/>
      <c r="D140" s="2712"/>
      <c r="E140" s="2491">
        <v>1575</v>
      </c>
      <c r="F140" s="2492">
        <v>5099</v>
      </c>
      <c r="G140" s="2493">
        <v>2746</v>
      </c>
      <c r="H140" s="2492">
        <v>2263</v>
      </c>
      <c r="I140" s="2493">
        <v>2732</v>
      </c>
      <c r="J140" s="2492">
        <v>6717</v>
      </c>
      <c r="K140" s="2493">
        <v>1443</v>
      </c>
      <c r="L140" s="2492">
        <v>2522</v>
      </c>
      <c r="M140" s="2494">
        <v>2034</v>
      </c>
      <c r="N140" s="2495">
        <f t="shared" si="2"/>
        <v>27131</v>
      </c>
      <c r="O140" s="2487"/>
      <c r="P140" s="2488"/>
      <c r="Q140" s="2489"/>
    </row>
    <row r="141" spans="1:17">
      <c r="A141" s="2480">
        <v>2001.12</v>
      </c>
      <c r="B141" s="2490">
        <v>223630</v>
      </c>
      <c r="C141" s="2711"/>
      <c r="D141" s="2712"/>
      <c r="E141" s="2491">
        <v>1304</v>
      </c>
      <c r="F141" s="2492">
        <v>8403</v>
      </c>
      <c r="G141" s="2493">
        <v>2176</v>
      </c>
      <c r="H141" s="2492">
        <v>1595</v>
      </c>
      <c r="I141" s="2493">
        <v>699</v>
      </c>
      <c r="J141" s="2492">
        <v>7003</v>
      </c>
      <c r="K141" s="2493">
        <v>336</v>
      </c>
      <c r="L141" s="2492">
        <v>1321</v>
      </c>
      <c r="M141" s="2494">
        <v>1496</v>
      </c>
      <c r="N141" s="2495">
        <f t="shared" si="2"/>
        <v>24333</v>
      </c>
      <c r="O141" s="2487"/>
      <c r="P141" s="2488"/>
      <c r="Q141" s="2489"/>
    </row>
    <row r="142" spans="1:17">
      <c r="A142" s="2496">
        <v>2002.01</v>
      </c>
      <c r="B142" s="2490">
        <v>127130</v>
      </c>
      <c r="C142" s="2711"/>
      <c r="D142" s="2712"/>
      <c r="E142" s="2491">
        <v>993</v>
      </c>
      <c r="F142" s="2492">
        <v>0</v>
      </c>
      <c r="G142" s="2493">
        <v>476</v>
      </c>
      <c r="H142" s="2492">
        <v>2006</v>
      </c>
      <c r="I142" s="2493">
        <v>0</v>
      </c>
      <c r="J142" s="2492">
        <v>2788</v>
      </c>
      <c r="K142" s="2493">
        <v>378</v>
      </c>
      <c r="L142" s="2492">
        <v>1283</v>
      </c>
      <c r="M142" s="2494">
        <v>1953</v>
      </c>
      <c r="N142" s="2495">
        <f t="shared" si="2"/>
        <v>9877</v>
      </c>
      <c r="O142" s="2487"/>
      <c r="P142" s="2488"/>
      <c r="Q142" s="2489"/>
    </row>
    <row r="143" spans="1:17">
      <c r="A143" s="2496">
        <v>2002.02</v>
      </c>
      <c r="B143" s="2490">
        <v>184400</v>
      </c>
      <c r="C143" s="2711"/>
      <c r="D143" s="2712"/>
      <c r="E143" s="2491">
        <v>490</v>
      </c>
      <c r="F143" s="2492">
        <v>19195</v>
      </c>
      <c r="G143" s="2493">
        <v>2445</v>
      </c>
      <c r="H143" s="2492">
        <v>855</v>
      </c>
      <c r="I143" s="2493">
        <v>1295</v>
      </c>
      <c r="J143" s="2492">
        <v>4620</v>
      </c>
      <c r="K143" s="2493">
        <v>226</v>
      </c>
      <c r="L143" s="2492">
        <v>1404</v>
      </c>
      <c r="M143" s="2494">
        <v>930</v>
      </c>
      <c r="N143" s="2495">
        <f t="shared" si="2"/>
        <v>31460</v>
      </c>
      <c r="O143" s="2487"/>
      <c r="P143" s="2488"/>
      <c r="Q143" s="2489"/>
    </row>
    <row r="144" spans="1:17">
      <c r="A144" s="2496">
        <v>2002.03</v>
      </c>
      <c r="B144" s="2490">
        <v>287585</v>
      </c>
      <c r="C144" s="2711"/>
      <c r="D144" s="2712"/>
      <c r="E144" s="2491">
        <v>288</v>
      </c>
      <c r="F144" s="2492">
        <v>10122</v>
      </c>
      <c r="G144" s="2493">
        <v>1050</v>
      </c>
      <c r="H144" s="2492">
        <v>3627</v>
      </c>
      <c r="I144" s="2493">
        <v>1789</v>
      </c>
      <c r="J144" s="2492">
        <v>2873</v>
      </c>
      <c r="K144" s="2493">
        <v>718</v>
      </c>
      <c r="L144" s="2492">
        <v>1168</v>
      </c>
      <c r="M144" s="2494">
        <v>912</v>
      </c>
      <c r="N144" s="2495">
        <f t="shared" si="2"/>
        <v>22547</v>
      </c>
      <c r="O144" s="2487"/>
      <c r="P144" s="2488"/>
      <c r="Q144" s="2489"/>
    </row>
    <row r="145" spans="1:17">
      <c r="A145" s="2496">
        <v>2002.04</v>
      </c>
      <c r="B145" s="2490">
        <v>232922</v>
      </c>
      <c r="C145" s="2711"/>
      <c r="D145" s="2712"/>
      <c r="E145" s="2491">
        <v>424</v>
      </c>
      <c r="F145" s="2492">
        <v>5814</v>
      </c>
      <c r="G145" s="2493">
        <v>2736</v>
      </c>
      <c r="H145" s="2492">
        <v>6295</v>
      </c>
      <c r="I145" s="2493">
        <v>805</v>
      </c>
      <c r="J145" s="2492">
        <v>2132</v>
      </c>
      <c r="K145" s="2493">
        <v>1097</v>
      </c>
      <c r="L145" s="2492">
        <v>2673</v>
      </c>
      <c r="M145" s="2494">
        <v>1272</v>
      </c>
      <c r="N145" s="2495">
        <f t="shared" si="2"/>
        <v>23248</v>
      </c>
      <c r="O145" s="2487"/>
      <c r="P145" s="2488"/>
      <c r="Q145" s="2489"/>
    </row>
    <row r="146" spans="1:17">
      <c r="A146" s="2496">
        <v>2002.05</v>
      </c>
      <c r="B146" s="2490">
        <v>237156</v>
      </c>
      <c r="C146" s="2711"/>
      <c r="D146" s="2712"/>
      <c r="E146" s="2491">
        <v>1328</v>
      </c>
      <c r="F146" s="2492">
        <v>4297</v>
      </c>
      <c r="G146" s="2493">
        <v>2510</v>
      </c>
      <c r="H146" s="2492">
        <v>7097</v>
      </c>
      <c r="I146" s="2493">
        <v>2974</v>
      </c>
      <c r="J146" s="2492">
        <v>4361</v>
      </c>
      <c r="K146" s="2493">
        <v>1107</v>
      </c>
      <c r="L146" s="2492">
        <v>6402</v>
      </c>
      <c r="M146" s="2494">
        <v>2082</v>
      </c>
      <c r="N146" s="2495">
        <f t="shared" si="2"/>
        <v>32158</v>
      </c>
      <c r="O146" s="2487"/>
      <c r="P146" s="2488"/>
      <c r="Q146" s="2489"/>
    </row>
    <row r="147" spans="1:17">
      <c r="A147" s="2496">
        <v>2002.06</v>
      </c>
      <c r="B147" s="2490">
        <v>240045</v>
      </c>
      <c r="C147" s="2711"/>
      <c r="D147" s="2712"/>
      <c r="E147" s="2491">
        <v>1003</v>
      </c>
      <c r="F147" s="2492">
        <v>3155</v>
      </c>
      <c r="G147" s="2493">
        <v>6036</v>
      </c>
      <c r="H147" s="2492">
        <v>4426</v>
      </c>
      <c r="I147" s="2493">
        <v>1660</v>
      </c>
      <c r="J147" s="2492">
        <v>2984</v>
      </c>
      <c r="K147" s="2493">
        <v>1159</v>
      </c>
      <c r="L147" s="2492">
        <v>7821</v>
      </c>
      <c r="M147" s="2494">
        <v>1474</v>
      </c>
      <c r="N147" s="2495">
        <f t="shared" si="2"/>
        <v>29718</v>
      </c>
      <c r="O147" s="2487"/>
      <c r="P147" s="2488"/>
      <c r="Q147" s="2489"/>
    </row>
    <row r="148" spans="1:17">
      <c r="A148" s="2496">
        <v>2002.07</v>
      </c>
      <c r="B148" s="2490">
        <v>292697</v>
      </c>
      <c r="C148" s="2711"/>
      <c r="D148" s="2712"/>
      <c r="E148" s="2491">
        <v>3185</v>
      </c>
      <c r="F148" s="2492">
        <v>2345</v>
      </c>
      <c r="G148" s="2493">
        <v>3632</v>
      </c>
      <c r="H148" s="2492">
        <v>3980</v>
      </c>
      <c r="I148" s="2493">
        <v>1381</v>
      </c>
      <c r="J148" s="2492">
        <v>2093</v>
      </c>
      <c r="K148" s="2493">
        <v>828</v>
      </c>
      <c r="L148" s="2492">
        <v>7829</v>
      </c>
      <c r="M148" s="2494">
        <v>1644</v>
      </c>
      <c r="N148" s="2495">
        <f t="shared" si="2"/>
        <v>26917</v>
      </c>
      <c r="O148" s="2487"/>
      <c r="P148" s="2488"/>
      <c r="Q148" s="2489"/>
    </row>
    <row r="149" spans="1:17">
      <c r="A149" s="2496">
        <v>2002.08</v>
      </c>
      <c r="B149" s="2490">
        <v>261246</v>
      </c>
      <c r="C149" s="2711"/>
      <c r="D149" s="2712"/>
      <c r="E149" s="2491">
        <v>597</v>
      </c>
      <c r="F149" s="2492">
        <v>13877</v>
      </c>
      <c r="G149" s="2493">
        <v>3777</v>
      </c>
      <c r="H149" s="2492">
        <v>3712</v>
      </c>
      <c r="I149" s="2493">
        <v>3333</v>
      </c>
      <c r="J149" s="2492">
        <v>2124</v>
      </c>
      <c r="K149" s="2493">
        <v>569</v>
      </c>
      <c r="L149" s="2492">
        <v>5086</v>
      </c>
      <c r="M149" s="2494">
        <v>2716</v>
      </c>
      <c r="N149" s="2495">
        <f t="shared" si="2"/>
        <v>35791</v>
      </c>
      <c r="O149" s="2487"/>
      <c r="P149" s="2488"/>
      <c r="Q149" s="2489"/>
    </row>
    <row r="150" spans="1:17">
      <c r="A150" s="2496">
        <v>2002.09</v>
      </c>
      <c r="B150" s="2490">
        <v>271497</v>
      </c>
      <c r="C150" s="2711"/>
      <c r="D150" s="2712"/>
      <c r="E150" s="2491">
        <v>2240</v>
      </c>
      <c r="F150" s="2492">
        <v>5140</v>
      </c>
      <c r="G150" s="2493">
        <v>2218</v>
      </c>
      <c r="H150" s="2492">
        <v>3518</v>
      </c>
      <c r="I150" s="2493">
        <v>1844</v>
      </c>
      <c r="J150" s="2492">
        <v>2780</v>
      </c>
      <c r="K150" s="2493">
        <v>1363</v>
      </c>
      <c r="L150" s="2492">
        <v>10104</v>
      </c>
      <c r="M150" s="2494">
        <v>4773</v>
      </c>
      <c r="N150" s="2495">
        <f t="shared" si="2"/>
        <v>33980</v>
      </c>
      <c r="O150" s="2487"/>
      <c r="P150" s="2488"/>
      <c r="Q150" s="2489"/>
    </row>
    <row r="151" spans="1:17">
      <c r="A151" s="2496">
        <v>2002.1</v>
      </c>
      <c r="B151" s="2490">
        <v>321266</v>
      </c>
      <c r="C151" s="2711"/>
      <c r="D151" s="2712"/>
      <c r="E151" s="2491">
        <v>1775</v>
      </c>
      <c r="F151" s="2492">
        <v>5475</v>
      </c>
      <c r="G151" s="2493">
        <v>876</v>
      </c>
      <c r="H151" s="2492">
        <v>6711</v>
      </c>
      <c r="I151" s="2493">
        <v>4202</v>
      </c>
      <c r="J151" s="2492">
        <v>3869</v>
      </c>
      <c r="K151" s="2493">
        <v>362</v>
      </c>
      <c r="L151" s="2492">
        <v>6601</v>
      </c>
      <c r="M151" s="2494">
        <v>2783</v>
      </c>
      <c r="N151" s="2495">
        <f t="shared" si="2"/>
        <v>32654</v>
      </c>
      <c r="O151" s="2487"/>
      <c r="P151" s="2488"/>
      <c r="Q151" s="2489"/>
    </row>
    <row r="152" spans="1:17">
      <c r="A152" s="2496">
        <v>2002.11</v>
      </c>
      <c r="B152" s="2490">
        <v>250306</v>
      </c>
      <c r="C152" s="2711"/>
      <c r="D152" s="2712"/>
      <c r="E152" s="2491">
        <v>1381</v>
      </c>
      <c r="F152" s="2492">
        <v>4427</v>
      </c>
      <c r="G152" s="2493">
        <v>967</v>
      </c>
      <c r="H152" s="2492">
        <v>5133</v>
      </c>
      <c r="I152" s="2493">
        <v>7910</v>
      </c>
      <c r="J152" s="2492">
        <v>2270</v>
      </c>
      <c r="K152" s="2493">
        <v>992</v>
      </c>
      <c r="L152" s="2492">
        <v>5755</v>
      </c>
      <c r="M152" s="2494">
        <v>2940</v>
      </c>
      <c r="N152" s="2495">
        <f t="shared" si="2"/>
        <v>31775</v>
      </c>
      <c r="O152" s="2487"/>
      <c r="P152" s="2488"/>
      <c r="Q152" s="2489"/>
    </row>
    <row r="153" spans="1:17">
      <c r="A153" s="2496">
        <v>2002.12</v>
      </c>
      <c r="B153" s="2490">
        <v>331321</v>
      </c>
      <c r="C153" s="2711"/>
      <c r="D153" s="2712"/>
      <c r="E153" s="2491">
        <v>1530</v>
      </c>
      <c r="F153" s="2492">
        <v>11916</v>
      </c>
      <c r="G153" s="2493">
        <v>2585</v>
      </c>
      <c r="H153" s="2492">
        <v>433</v>
      </c>
      <c r="I153" s="2493">
        <v>14404</v>
      </c>
      <c r="J153" s="2492">
        <v>3732</v>
      </c>
      <c r="K153" s="2493">
        <v>722</v>
      </c>
      <c r="L153" s="2492">
        <v>4331</v>
      </c>
      <c r="M153" s="2494">
        <v>4147</v>
      </c>
      <c r="N153" s="2495">
        <f t="shared" si="2"/>
        <v>43800</v>
      </c>
      <c r="O153" s="2487"/>
      <c r="P153" s="2488"/>
      <c r="Q153" s="2489"/>
    </row>
    <row r="154" spans="1:17">
      <c r="A154" s="2496">
        <v>2003.01</v>
      </c>
      <c r="B154" s="2490">
        <v>221415</v>
      </c>
      <c r="C154" s="2711"/>
      <c r="D154" s="2712"/>
      <c r="E154" s="2491">
        <v>1931</v>
      </c>
      <c r="F154" s="2492">
        <v>0</v>
      </c>
      <c r="G154" s="2493">
        <v>562</v>
      </c>
      <c r="H154" s="2492">
        <v>0</v>
      </c>
      <c r="I154" s="2493">
        <v>0</v>
      </c>
      <c r="J154" s="2492">
        <v>2038</v>
      </c>
      <c r="K154" s="2493">
        <v>458</v>
      </c>
      <c r="L154" s="2492">
        <v>5576</v>
      </c>
      <c r="M154" s="2494">
        <v>4285</v>
      </c>
      <c r="N154" s="2495">
        <f t="shared" si="2"/>
        <v>14850</v>
      </c>
      <c r="O154" s="2487"/>
      <c r="P154" s="2488"/>
      <c r="Q154" s="2489"/>
    </row>
    <row r="155" spans="1:17">
      <c r="A155" s="2496">
        <v>2003.02</v>
      </c>
      <c r="B155" s="2490">
        <v>278421</v>
      </c>
      <c r="C155" s="2711"/>
      <c r="D155" s="2712"/>
      <c r="E155" s="2491">
        <v>2755</v>
      </c>
      <c r="F155" s="2492">
        <v>6322</v>
      </c>
      <c r="G155" s="2493">
        <v>7706</v>
      </c>
      <c r="H155" s="2492">
        <v>3593</v>
      </c>
      <c r="I155" s="2493">
        <v>3357</v>
      </c>
      <c r="J155" s="2492">
        <v>3598</v>
      </c>
      <c r="K155" s="2493">
        <v>797</v>
      </c>
      <c r="L155" s="2492">
        <v>3590</v>
      </c>
      <c r="M155" s="2494">
        <v>2554</v>
      </c>
      <c r="N155" s="2495">
        <f t="shared" si="2"/>
        <v>34272</v>
      </c>
      <c r="O155" s="2487"/>
      <c r="P155" s="2488"/>
      <c r="Q155" s="2489"/>
    </row>
    <row r="156" spans="1:17">
      <c r="A156" s="2496">
        <v>2003.03</v>
      </c>
      <c r="B156" s="2490">
        <v>327626</v>
      </c>
      <c r="C156" s="2711"/>
      <c r="D156" s="2712"/>
      <c r="E156" s="2491">
        <v>2450</v>
      </c>
      <c r="F156" s="2492">
        <v>7957</v>
      </c>
      <c r="G156" s="2493">
        <v>2753</v>
      </c>
      <c r="H156" s="2492">
        <v>7319</v>
      </c>
      <c r="I156" s="2493">
        <v>2849</v>
      </c>
      <c r="J156" s="2492">
        <v>2212</v>
      </c>
      <c r="K156" s="2493">
        <v>499</v>
      </c>
      <c r="L156" s="2492">
        <v>6281</v>
      </c>
      <c r="M156" s="2494">
        <v>4620</v>
      </c>
      <c r="N156" s="2495">
        <f t="shared" si="2"/>
        <v>36940</v>
      </c>
      <c r="O156" s="2487"/>
      <c r="P156" s="2488"/>
      <c r="Q156" s="2489"/>
    </row>
    <row r="157" spans="1:17">
      <c r="A157" s="2496">
        <v>2003.04</v>
      </c>
      <c r="B157" s="2490">
        <v>340317</v>
      </c>
      <c r="C157" s="2711"/>
      <c r="D157" s="2712"/>
      <c r="E157" s="2491">
        <v>2776</v>
      </c>
      <c r="F157" s="2492">
        <v>6159</v>
      </c>
      <c r="G157" s="2493">
        <v>4483</v>
      </c>
      <c r="H157" s="2492">
        <v>5053</v>
      </c>
      <c r="I157" s="2493">
        <v>2435</v>
      </c>
      <c r="J157" s="2492">
        <v>2380</v>
      </c>
      <c r="K157" s="2493">
        <v>1200</v>
      </c>
      <c r="L157" s="2492">
        <v>9085</v>
      </c>
      <c r="M157" s="2494">
        <v>4424</v>
      </c>
      <c r="N157" s="2495">
        <f t="shared" si="2"/>
        <v>37995</v>
      </c>
      <c r="O157" s="2487"/>
      <c r="P157" s="2488"/>
      <c r="Q157" s="2489"/>
    </row>
    <row r="158" spans="1:17">
      <c r="A158" s="2496">
        <v>2003.05</v>
      </c>
      <c r="B158" s="2490">
        <v>452157</v>
      </c>
      <c r="C158" s="2711"/>
      <c r="D158" s="2712"/>
      <c r="E158" s="2491">
        <v>1155</v>
      </c>
      <c r="F158" s="2492">
        <v>5146</v>
      </c>
      <c r="G158" s="2493">
        <v>1699</v>
      </c>
      <c r="H158" s="2492">
        <v>3851</v>
      </c>
      <c r="I158" s="2493">
        <v>1159</v>
      </c>
      <c r="J158" s="2492">
        <v>1877</v>
      </c>
      <c r="K158" s="2493">
        <v>810</v>
      </c>
      <c r="L158" s="2492">
        <v>7066</v>
      </c>
      <c r="M158" s="2494">
        <v>2503</v>
      </c>
      <c r="N158" s="2495">
        <f t="shared" si="2"/>
        <v>25266</v>
      </c>
      <c r="O158" s="2487"/>
      <c r="P158" s="2488"/>
      <c r="Q158" s="2489"/>
    </row>
    <row r="159" spans="1:17">
      <c r="A159" s="2496">
        <v>2003.06</v>
      </c>
      <c r="B159" s="2490">
        <v>795816</v>
      </c>
      <c r="C159" s="2711"/>
      <c r="D159" s="2712"/>
      <c r="E159" s="2491">
        <v>1270</v>
      </c>
      <c r="F159" s="2492">
        <v>3813</v>
      </c>
      <c r="G159" s="2493">
        <v>3188</v>
      </c>
      <c r="H159" s="2492">
        <v>2872</v>
      </c>
      <c r="I159" s="2493">
        <v>3266</v>
      </c>
      <c r="J159" s="2492">
        <v>3934</v>
      </c>
      <c r="K159" s="2493">
        <v>448</v>
      </c>
      <c r="L159" s="2492">
        <v>8924</v>
      </c>
      <c r="M159" s="2494">
        <v>3526</v>
      </c>
      <c r="N159" s="2495">
        <f t="shared" si="2"/>
        <v>31241</v>
      </c>
      <c r="O159" s="2487"/>
      <c r="P159" s="2488"/>
      <c r="Q159" s="2489"/>
    </row>
    <row r="160" spans="1:17">
      <c r="A160" s="2496">
        <v>2003.07</v>
      </c>
      <c r="B160" s="2490">
        <v>357081</v>
      </c>
      <c r="C160" s="2711"/>
      <c r="D160" s="2712"/>
      <c r="E160" s="2491">
        <v>2090</v>
      </c>
      <c r="F160" s="2492">
        <v>7045</v>
      </c>
      <c r="G160" s="2493">
        <v>1972</v>
      </c>
      <c r="H160" s="2492">
        <v>5566</v>
      </c>
      <c r="I160" s="2493">
        <v>1146</v>
      </c>
      <c r="J160" s="2492">
        <v>2720</v>
      </c>
      <c r="K160" s="2493">
        <v>522</v>
      </c>
      <c r="L160" s="2492">
        <v>8794</v>
      </c>
      <c r="M160" s="2494">
        <v>2758</v>
      </c>
      <c r="N160" s="2495">
        <f t="shared" si="2"/>
        <v>32613</v>
      </c>
      <c r="O160" s="2487"/>
      <c r="P160" s="2488"/>
      <c r="Q160" s="2489"/>
    </row>
    <row r="161" spans="1:17">
      <c r="A161" s="2496">
        <v>2003.08</v>
      </c>
      <c r="B161" s="2490">
        <v>373639</v>
      </c>
      <c r="C161" s="2711"/>
      <c r="D161" s="2712"/>
      <c r="E161" s="2491">
        <v>1700</v>
      </c>
      <c r="F161" s="2492">
        <v>3928</v>
      </c>
      <c r="G161" s="2493">
        <v>2661</v>
      </c>
      <c r="H161" s="2492">
        <v>1186</v>
      </c>
      <c r="I161" s="2493">
        <v>3881</v>
      </c>
      <c r="J161" s="2492">
        <v>2612</v>
      </c>
      <c r="K161" s="2493">
        <v>520</v>
      </c>
      <c r="L161" s="2492">
        <v>7086</v>
      </c>
      <c r="M161" s="2494">
        <v>1454</v>
      </c>
      <c r="N161" s="2495">
        <f t="shared" si="2"/>
        <v>25028</v>
      </c>
      <c r="O161" s="2487"/>
      <c r="P161" s="2488"/>
      <c r="Q161" s="2489"/>
    </row>
    <row r="162" spans="1:17">
      <c r="A162" s="2496">
        <v>2003.09</v>
      </c>
      <c r="B162" s="2490">
        <v>387682</v>
      </c>
      <c r="C162" s="2711"/>
      <c r="D162" s="2712"/>
      <c r="E162" s="2491">
        <v>1675</v>
      </c>
      <c r="F162" s="2492">
        <v>5243</v>
      </c>
      <c r="G162" s="2493">
        <v>3673</v>
      </c>
      <c r="H162" s="2492">
        <v>5383</v>
      </c>
      <c r="I162" s="2493">
        <v>2485</v>
      </c>
      <c r="J162" s="2492">
        <v>2553</v>
      </c>
      <c r="K162" s="2493">
        <v>1600</v>
      </c>
      <c r="L162" s="2492">
        <v>13215</v>
      </c>
      <c r="M162" s="2494">
        <v>2948</v>
      </c>
      <c r="N162" s="2495">
        <f t="shared" si="2"/>
        <v>38775</v>
      </c>
      <c r="O162" s="2487"/>
      <c r="P162" s="2488"/>
      <c r="Q162" s="2489"/>
    </row>
    <row r="163" spans="1:17">
      <c r="A163" s="2496">
        <v>2003.1</v>
      </c>
      <c r="B163" s="2490">
        <v>399427</v>
      </c>
      <c r="C163" s="2711"/>
      <c r="D163" s="2712"/>
      <c r="E163" s="2491">
        <v>961</v>
      </c>
      <c r="F163" s="2492">
        <v>6747</v>
      </c>
      <c r="G163" s="2493">
        <v>2378</v>
      </c>
      <c r="H163" s="2492">
        <v>3428</v>
      </c>
      <c r="I163" s="2493">
        <v>1504</v>
      </c>
      <c r="J163" s="2492">
        <v>5314</v>
      </c>
      <c r="K163" s="2493">
        <v>1680</v>
      </c>
      <c r="L163" s="2492">
        <v>13399</v>
      </c>
      <c r="M163" s="2494">
        <v>2364</v>
      </c>
      <c r="N163" s="2495">
        <f t="shared" si="2"/>
        <v>37775</v>
      </c>
      <c r="O163" s="2487"/>
      <c r="P163" s="2488"/>
      <c r="Q163" s="2489"/>
    </row>
    <row r="164" spans="1:17">
      <c r="A164" s="2496">
        <v>2003.11</v>
      </c>
      <c r="B164" s="2490">
        <v>584155</v>
      </c>
      <c r="C164" s="2711"/>
      <c r="D164" s="2712"/>
      <c r="E164" s="2491">
        <v>3365</v>
      </c>
      <c r="F164" s="2492">
        <v>11351</v>
      </c>
      <c r="G164" s="2493">
        <v>3757</v>
      </c>
      <c r="H164" s="2492">
        <v>4517</v>
      </c>
      <c r="I164" s="2493">
        <v>1281</v>
      </c>
      <c r="J164" s="2492">
        <v>2048</v>
      </c>
      <c r="K164" s="2493">
        <v>364</v>
      </c>
      <c r="L164" s="2492">
        <v>5251</v>
      </c>
      <c r="M164" s="2494">
        <v>1981</v>
      </c>
      <c r="N164" s="2495">
        <f t="shared" si="2"/>
        <v>33915</v>
      </c>
      <c r="O164" s="2487"/>
      <c r="P164" s="2488"/>
      <c r="Q164" s="2489"/>
    </row>
    <row r="165" spans="1:17">
      <c r="A165" s="2496">
        <v>2003.12</v>
      </c>
      <c r="B165" s="2490">
        <v>468128</v>
      </c>
      <c r="C165" s="2711"/>
      <c r="D165" s="2712"/>
      <c r="E165" s="2491">
        <v>2089</v>
      </c>
      <c r="F165" s="2492">
        <v>5719</v>
      </c>
      <c r="G165" s="2493">
        <v>1778</v>
      </c>
      <c r="H165" s="2492">
        <v>3563</v>
      </c>
      <c r="I165" s="2493">
        <v>2303</v>
      </c>
      <c r="J165" s="2492">
        <v>4839</v>
      </c>
      <c r="K165" s="2493">
        <v>1955</v>
      </c>
      <c r="L165" s="2492">
        <v>10222</v>
      </c>
      <c r="M165" s="2494">
        <v>1317</v>
      </c>
      <c r="N165" s="2495">
        <f t="shared" si="2"/>
        <v>33785</v>
      </c>
      <c r="O165" s="2487"/>
      <c r="P165" s="2488"/>
      <c r="Q165" s="2489"/>
    </row>
    <row r="166" spans="1:17">
      <c r="A166" s="2496">
        <v>2004.01</v>
      </c>
      <c r="B166" s="2490">
        <v>364587</v>
      </c>
      <c r="C166" s="2711"/>
      <c r="D166" s="2712"/>
      <c r="E166" s="2491">
        <v>353</v>
      </c>
      <c r="F166" s="2492">
        <v>1517</v>
      </c>
      <c r="G166" s="2493">
        <v>204</v>
      </c>
      <c r="H166" s="2492">
        <v>3517</v>
      </c>
      <c r="I166" s="2493">
        <v>926</v>
      </c>
      <c r="J166" s="2492">
        <v>823</v>
      </c>
      <c r="K166" s="2493">
        <v>749</v>
      </c>
      <c r="L166" s="2492">
        <v>2716</v>
      </c>
      <c r="M166" s="2494">
        <v>2955</v>
      </c>
      <c r="N166" s="2495">
        <f t="shared" si="2"/>
        <v>13760</v>
      </c>
      <c r="O166" s="2487"/>
      <c r="P166" s="2488"/>
      <c r="Q166" s="2489"/>
    </row>
    <row r="167" spans="1:17">
      <c r="A167" s="2496">
        <v>2004.02</v>
      </c>
      <c r="B167" s="2490">
        <v>327088</v>
      </c>
      <c r="C167" s="2711"/>
      <c r="D167" s="2712"/>
      <c r="E167" s="2491">
        <v>1614</v>
      </c>
      <c r="F167" s="2492">
        <v>10002</v>
      </c>
      <c r="G167" s="2493">
        <v>633</v>
      </c>
      <c r="H167" s="2492">
        <v>3824</v>
      </c>
      <c r="I167" s="2493">
        <v>1291</v>
      </c>
      <c r="J167" s="2492">
        <v>2868</v>
      </c>
      <c r="K167" s="2493">
        <v>528</v>
      </c>
      <c r="L167" s="2492">
        <v>5719</v>
      </c>
      <c r="M167" s="2494">
        <v>2206</v>
      </c>
      <c r="N167" s="2495">
        <f t="shared" si="2"/>
        <v>28685</v>
      </c>
      <c r="O167" s="2487"/>
      <c r="P167" s="2488"/>
      <c r="Q167" s="2489"/>
    </row>
    <row r="168" spans="1:17">
      <c r="A168" s="2496">
        <v>2004.03</v>
      </c>
      <c r="B168" s="2490">
        <v>500987</v>
      </c>
      <c r="C168" s="2711"/>
      <c r="D168" s="2712"/>
      <c r="E168" s="2491">
        <v>2148</v>
      </c>
      <c r="F168" s="2492">
        <v>8167</v>
      </c>
      <c r="G168" s="2493">
        <v>3013</v>
      </c>
      <c r="H168" s="2492">
        <v>2442</v>
      </c>
      <c r="I168" s="2493">
        <v>2025</v>
      </c>
      <c r="J168" s="2492">
        <v>4653</v>
      </c>
      <c r="K168" s="2493">
        <v>1307</v>
      </c>
      <c r="L168" s="2492">
        <v>10414</v>
      </c>
      <c r="M168" s="2494">
        <v>1892</v>
      </c>
      <c r="N168" s="2495">
        <f t="shared" si="2"/>
        <v>36061</v>
      </c>
      <c r="O168" s="2487"/>
      <c r="P168" s="2488"/>
      <c r="Q168" s="2489"/>
    </row>
    <row r="169" spans="1:17">
      <c r="A169" s="2496">
        <v>2004.04</v>
      </c>
      <c r="B169" s="2490">
        <v>381955</v>
      </c>
      <c r="C169" s="2711"/>
      <c r="D169" s="2712"/>
      <c r="E169" s="2491">
        <v>1098</v>
      </c>
      <c r="F169" s="2492">
        <v>6579</v>
      </c>
      <c r="G169" s="2493">
        <v>3085</v>
      </c>
      <c r="H169" s="2492">
        <v>3411</v>
      </c>
      <c r="I169" s="2493">
        <v>1226</v>
      </c>
      <c r="J169" s="2492">
        <v>3441</v>
      </c>
      <c r="K169" s="2493">
        <v>1210</v>
      </c>
      <c r="L169" s="2492">
        <v>6073</v>
      </c>
      <c r="M169" s="2494">
        <v>1487</v>
      </c>
      <c r="N169" s="2495">
        <f t="shared" si="2"/>
        <v>27610</v>
      </c>
      <c r="O169" s="2487"/>
      <c r="P169" s="2488"/>
      <c r="Q169" s="2489"/>
    </row>
    <row r="170" spans="1:17">
      <c r="A170" s="2496">
        <v>2004.05</v>
      </c>
      <c r="B170" s="2490">
        <v>405586</v>
      </c>
      <c r="C170" s="2711"/>
      <c r="D170" s="2712"/>
      <c r="E170" s="2491">
        <v>343</v>
      </c>
      <c r="F170" s="2492">
        <v>9899</v>
      </c>
      <c r="G170" s="2493">
        <v>4757</v>
      </c>
      <c r="H170" s="2492">
        <v>3795</v>
      </c>
      <c r="I170" s="2493">
        <v>2945</v>
      </c>
      <c r="J170" s="2492">
        <v>3001</v>
      </c>
      <c r="K170" s="2493">
        <v>1295</v>
      </c>
      <c r="L170" s="2492">
        <v>8168</v>
      </c>
      <c r="M170" s="2494">
        <v>1906</v>
      </c>
      <c r="N170" s="2495">
        <f t="shared" si="2"/>
        <v>36109</v>
      </c>
      <c r="O170" s="2487"/>
      <c r="P170" s="2488"/>
      <c r="Q170" s="2489"/>
    </row>
    <row r="171" spans="1:17">
      <c r="A171" s="2496">
        <v>2004.06</v>
      </c>
      <c r="B171" s="2490">
        <v>542474</v>
      </c>
      <c r="C171" s="2711"/>
      <c r="D171" s="2712"/>
      <c r="E171" s="2491">
        <v>1177</v>
      </c>
      <c r="F171" s="2492">
        <v>9707</v>
      </c>
      <c r="G171" s="2493">
        <v>4291</v>
      </c>
      <c r="H171" s="2492">
        <v>4923</v>
      </c>
      <c r="I171" s="2493">
        <v>3245</v>
      </c>
      <c r="J171" s="2492">
        <v>3060</v>
      </c>
      <c r="K171" s="2493">
        <v>2595</v>
      </c>
      <c r="L171" s="2492">
        <v>5248</v>
      </c>
      <c r="M171" s="2494">
        <v>1698</v>
      </c>
      <c r="N171" s="2495">
        <f t="shared" si="2"/>
        <v>35944</v>
      </c>
      <c r="O171" s="2487"/>
      <c r="P171" s="2488"/>
      <c r="Q171" s="2489"/>
    </row>
    <row r="172" spans="1:17">
      <c r="A172" s="2496">
        <v>2004.07</v>
      </c>
      <c r="B172" s="2490">
        <v>451780</v>
      </c>
      <c r="C172" s="2711"/>
      <c r="D172" s="2712"/>
      <c r="E172" s="2491">
        <v>2364</v>
      </c>
      <c r="F172" s="2492">
        <v>14889</v>
      </c>
      <c r="G172" s="2493">
        <v>3218</v>
      </c>
      <c r="H172" s="2492">
        <v>4021</v>
      </c>
      <c r="I172" s="2493">
        <v>2222</v>
      </c>
      <c r="J172" s="2492">
        <v>5516</v>
      </c>
      <c r="K172" s="2493">
        <v>1307</v>
      </c>
      <c r="L172" s="2492">
        <v>5545</v>
      </c>
      <c r="M172" s="2494">
        <v>3895</v>
      </c>
      <c r="N172" s="2495">
        <f t="shared" si="2"/>
        <v>42977</v>
      </c>
      <c r="O172" s="2487"/>
      <c r="P172" s="2488"/>
      <c r="Q172" s="2489"/>
    </row>
    <row r="173" spans="1:17">
      <c r="A173" s="2496">
        <v>2004.08</v>
      </c>
      <c r="B173" s="2490">
        <v>500665</v>
      </c>
      <c r="C173" s="2711"/>
      <c r="D173" s="2712"/>
      <c r="E173" s="2491">
        <v>1498</v>
      </c>
      <c r="F173" s="2492">
        <v>22021</v>
      </c>
      <c r="G173" s="2493">
        <v>2794</v>
      </c>
      <c r="H173" s="2492">
        <v>6374</v>
      </c>
      <c r="I173" s="2493">
        <v>4110</v>
      </c>
      <c r="J173" s="2492">
        <v>2078</v>
      </c>
      <c r="K173" s="2493">
        <v>2541</v>
      </c>
      <c r="L173" s="2492">
        <v>4887</v>
      </c>
      <c r="M173" s="2494">
        <v>2523</v>
      </c>
      <c r="N173" s="2495">
        <f t="shared" si="2"/>
        <v>48826</v>
      </c>
      <c r="O173" s="2487"/>
      <c r="P173" s="2488"/>
      <c r="Q173" s="2489"/>
    </row>
    <row r="174" spans="1:17">
      <c r="A174" s="2496">
        <v>2004.09</v>
      </c>
      <c r="B174" s="2490">
        <v>630549</v>
      </c>
      <c r="C174" s="2711"/>
      <c r="D174" s="2712"/>
      <c r="E174" s="2491">
        <v>1526</v>
      </c>
      <c r="F174" s="2492">
        <v>16449</v>
      </c>
      <c r="G174" s="2493">
        <v>3716</v>
      </c>
      <c r="H174" s="2492">
        <v>7749</v>
      </c>
      <c r="I174" s="2493">
        <v>3625</v>
      </c>
      <c r="J174" s="2492">
        <v>7196</v>
      </c>
      <c r="K174" s="2493">
        <v>984</v>
      </c>
      <c r="L174" s="2492">
        <v>8718</v>
      </c>
      <c r="M174" s="2494">
        <v>2429</v>
      </c>
      <c r="N174" s="2495">
        <f t="shared" si="2"/>
        <v>52392</v>
      </c>
      <c r="O174" s="2487"/>
      <c r="P174" s="2488"/>
      <c r="Q174" s="2489"/>
    </row>
    <row r="175" spans="1:17">
      <c r="A175" s="2496">
        <v>2004.1</v>
      </c>
      <c r="B175" s="2490">
        <v>589511</v>
      </c>
      <c r="C175" s="2711"/>
      <c r="D175" s="2712"/>
      <c r="E175" s="2491">
        <v>2376</v>
      </c>
      <c r="F175" s="2492">
        <v>9138</v>
      </c>
      <c r="G175" s="2493">
        <v>3563</v>
      </c>
      <c r="H175" s="2492">
        <v>3033</v>
      </c>
      <c r="I175" s="2493">
        <v>5675</v>
      </c>
      <c r="J175" s="2492">
        <v>7170</v>
      </c>
      <c r="K175" s="2493">
        <v>1402</v>
      </c>
      <c r="L175" s="2492">
        <v>7809</v>
      </c>
      <c r="M175" s="2494">
        <v>2454</v>
      </c>
      <c r="N175" s="2495">
        <f t="shared" si="2"/>
        <v>42620</v>
      </c>
      <c r="O175" s="2487"/>
      <c r="P175" s="2488"/>
      <c r="Q175" s="2489"/>
    </row>
    <row r="176" spans="1:17">
      <c r="A176" s="2496">
        <v>2004.11</v>
      </c>
      <c r="B176" s="2490">
        <v>562669</v>
      </c>
      <c r="C176" s="2711"/>
      <c r="D176" s="2712"/>
      <c r="E176" s="2491">
        <v>2018</v>
      </c>
      <c r="F176" s="2492">
        <v>10864</v>
      </c>
      <c r="G176" s="2493">
        <v>2263</v>
      </c>
      <c r="H176" s="2492">
        <v>6374</v>
      </c>
      <c r="I176" s="2493">
        <v>1132</v>
      </c>
      <c r="J176" s="2492">
        <v>3657</v>
      </c>
      <c r="K176" s="2493">
        <v>1469</v>
      </c>
      <c r="L176" s="2492">
        <v>4129</v>
      </c>
      <c r="M176" s="2494">
        <v>3725</v>
      </c>
      <c r="N176" s="2495">
        <f t="shared" si="2"/>
        <v>35631</v>
      </c>
      <c r="O176" s="2487"/>
      <c r="P176" s="2488"/>
      <c r="Q176" s="2489"/>
    </row>
    <row r="177" spans="1:17">
      <c r="A177" s="2496">
        <v>2004.12</v>
      </c>
      <c r="B177" s="2490">
        <v>498701</v>
      </c>
      <c r="C177" s="2711"/>
      <c r="D177" s="2712"/>
      <c r="E177" s="2491">
        <v>3247</v>
      </c>
      <c r="F177" s="2492">
        <v>12081</v>
      </c>
      <c r="G177" s="2493">
        <v>4244</v>
      </c>
      <c r="H177" s="2492">
        <v>9284</v>
      </c>
      <c r="I177" s="2493">
        <v>3492</v>
      </c>
      <c r="J177" s="2492">
        <v>2932</v>
      </c>
      <c r="K177" s="2493">
        <v>1034</v>
      </c>
      <c r="L177" s="2492">
        <v>7272</v>
      </c>
      <c r="M177" s="2494">
        <v>2469</v>
      </c>
      <c r="N177" s="2495">
        <f t="shared" si="2"/>
        <v>46055</v>
      </c>
      <c r="O177" s="2487"/>
      <c r="P177" s="2488"/>
      <c r="Q177" s="2489"/>
    </row>
    <row r="178" spans="1:17">
      <c r="A178" s="2496">
        <v>2005.01</v>
      </c>
      <c r="B178" s="2490">
        <v>569799</v>
      </c>
      <c r="C178" s="2711"/>
      <c r="D178" s="2712"/>
      <c r="E178" s="2491">
        <v>1947</v>
      </c>
      <c r="F178" s="2492">
        <v>0</v>
      </c>
      <c r="G178" s="2493">
        <v>1625</v>
      </c>
      <c r="H178" s="2492">
        <v>9311</v>
      </c>
      <c r="I178" s="2493">
        <v>1901</v>
      </c>
      <c r="J178" s="2492">
        <v>4356</v>
      </c>
      <c r="K178" s="2493">
        <v>2833</v>
      </c>
      <c r="L178" s="2492">
        <v>3784</v>
      </c>
      <c r="M178" s="2494">
        <v>1469</v>
      </c>
      <c r="N178" s="2495">
        <f t="shared" si="2"/>
        <v>27226</v>
      </c>
      <c r="O178" s="2487"/>
      <c r="P178" s="2488"/>
      <c r="Q178" s="2489"/>
    </row>
    <row r="179" spans="1:17">
      <c r="A179" s="2496">
        <v>2005.02</v>
      </c>
      <c r="B179" s="2490">
        <v>406736</v>
      </c>
      <c r="C179" s="2711"/>
      <c r="D179" s="2712"/>
      <c r="E179" s="2491">
        <v>883</v>
      </c>
      <c r="F179" s="2492">
        <v>10654</v>
      </c>
      <c r="G179" s="2493">
        <v>753</v>
      </c>
      <c r="H179" s="2492">
        <v>0</v>
      </c>
      <c r="I179" s="2493">
        <v>1387</v>
      </c>
      <c r="J179" s="2492">
        <v>1682</v>
      </c>
      <c r="K179" s="2493">
        <v>790</v>
      </c>
      <c r="L179" s="2492">
        <v>6995</v>
      </c>
      <c r="M179" s="2494">
        <v>3542</v>
      </c>
      <c r="N179" s="2495">
        <f t="shared" si="2"/>
        <v>26686</v>
      </c>
      <c r="O179" s="2487"/>
      <c r="P179" s="2488"/>
      <c r="Q179" s="2489"/>
    </row>
    <row r="180" spans="1:17">
      <c r="A180" s="2496">
        <v>2005.03</v>
      </c>
      <c r="B180" s="2490">
        <v>565203</v>
      </c>
      <c r="C180" s="2711"/>
      <c r="D180" s="2712"/>
      <c r="E180" s="2491">
        <v>1105</v>
      </c>
      <c r="F180" s="2492">
        <v>8852</v>
      </c>
      <c r="G180" s="2493">
        <v>5362</v>
      </c>
      <c r="H180" s="2492">
        <v>9474</v>
      </c>
      <c r="I180" s="2493">
        <v>4203</v>
      </c>
      <c r="J180" s="2492">
        <v>5001</v>
      </c>
      <c r="K180" s="2493">
        <v>2463</v>
      </c>
      <c r="L180" s="2492">
        <v>6521</v>
      </c>
      <c r="M180" s="2494">
        <v>3428</v>
      </c>
      <c r="N180" s="2495">
        <f t="shared" si="2"/>
        <v>46409</v>
      </c>
      <c r="O180" s="2487"/>
      <c r="P180" s="2488"/>
      <c r="Q180" s="2489"/>
    </row>
    <row r="181" spans="1:17">
      <c r="A181" s="2496">
        <v>2005.04</v>
      </c>
      <c r="B181" s="2490">
        <v>611311</v>
      </c>
      <c r="C181" s="2711"/>
      <c r="D181" s="2712"/>
      <c r="E181" s="2491">
        <v>3593</v>
      </c>
      <c r="F181" s="2492">
        <v>18694</v>
      </c>
      <c r="G181" s="2493">
        <v>5067</v>
      </c>
      <c r="H181" s="2492">
        <v>5704</v>
      </c>
      <c r="I181" s="2493">
        <v>3942</v>
      </c>
      <c r="J181" s="2492">
        <v>3940</v>
      </c>
      <c r="K181" s="2493">
        <v>1938</v>
      </c>
      <c r="L181" s="2492">
        <v>2418</v>
      </c>
      <c r="M181" s="2494">
        <v>3035</v>
      </c>
      <c r="N181" s="2495">
        <f t="shared" si="2"/>
        <v>48331</v>
      </c>
      <c r="O181" s="2487"/>
      <c r="P181" s="2488"/>
      <c r="Q181" s="2489"/>
    </row>
    <row r="182" spans="1:17">
      <c r="A182" s="2496">
        <v>2005.05</v>
      </c>
      <c r="B182" s="2490">
        <v>674222</v>
      </c>
      <c r="C182" s="2711"/>
      <c r="D182" s="2712"/>
      <c r="E182" s="2491">
        <v>2451</v>
      </c>
      <c r="F182" s="2492">
        <v>12950</v>
      </c>
      <c r="G182" s="2493">
        <v>4371</v>
      </c>
      <c r="H182" s="2492">
        <v>6265</v>
      </c>
      <c r="I182" s="2493">
        <v>8346</v>
      </c>
      <c r="J182" s="2492">
        <v>4972</v>
      </c>
      <c r="K182" s="2493">
        <v>1420</v>
      </c>
      <c r="L182" s="2492">
        <v>6927</v>
      </c>
      <c r="M182" s="2494">
        <v>3940</v>
      </c>
      <c r="N182" s="2495">
        <f t="shared" si="2"/>
        <v>51642</v>
      </c>
      <c r="O182" s="2487"/>
      <c r="P182" s="2488"/>
      <c r="Q182" s="2489"/>
    </row>
    <row r="183" spans="1:17">
      <c r="A183" s="2496">
        <v>2005.06</v>
      </c>
      <c r="B183" s="2490">
        <v>789441</v>
      </c>
      <c r="C183" s="2711"/>
      <c r="D183" s="2712"/>
      <c r="E183" s="2491">
        <v>1762</v>
      </c>
      <c r="F183" s="2492">
        <v>21960</v>
      </c>
      <c r="G183" s="2493">
        <v>3416</v>
      </c>
      <c r="H183" s="2492">
        <v>6525</v>
      </c>
      <c r="I183" s="2493">
        <v>3095</v>
      </c>
      <c r="J183" s="2492">
        <v>6096</v>
      </c>
      <c r="K183" s="2493">
        <v>3314</v>
      </c>
      <c r="L183" s="2492">
        <v>10085</v>
      </c>
      <c r="M183" s="2494">
        <v>2746</v>
      </c>
      <c r="N183" s="2495">
        <f t="shared" si="2"/>
        <v>58999</v>
      </c>
      <c r="O183" s="2487"/>
      <c r="P183" s="2488"/>
      <c r="Q183" s="2489"/>
    </row>
    <row r="184" spans="1:17">
      <c r="A184" s="2496">
        <v>2005.07</v>
      </c>
      <c r="B184" s="2490">
        <v>637772</v>
      </c>
      <c r="C184" s="2711"/>
      <c r="D184" s="2712"/>
      <c r="E184" s="2491">
        <v>1988</v>
      </c>
      <c r="F184" s="2492">
        <v>13295</v>
      </c>
      <c r="G184" s="2493">
        <v>6105</v>
      </c>
      <c r="H184" s="2492">
        <v>5046</v>
      </c>
      <c r="I184" s="2493">
        <v>3327</v>
      </c>
      <c r="J184" s="2492">
        <v>4966</v>
      </c>
      <c r="K184" s="2493">
        <v>2438</v>
      </c>
      <c r="L184" s="2492">
        <v>5339</v>
      </c>
      <c r="M184" s="2494">
        <v>5077</v>
      </c>
      <c r="N184" s="2495">
        <f t="shared" si="2"/>
        <v>47581</v>
      </c>
      <c r="O184" s="2487"/>
      <c r="P184" s="2488"/>
      <c r="Q184" s="2489"/>
    </row>
    <row r="185" spans="1:17">
      <c r="A185" s="2496">
        <v>2005.08</v>
      </c>
      <c r="B185" s="2490">
        <v>602838</v>
      </c>
      <c r="C185" s="2711"/>
      <c r="D185" s="2712"/>
      <c r="E185" s="2491">
        <v>1968</v>
      </c>
      <c r="F185" s="2492">
        <v>15010</v>
      </c>
      <c r="G185" s="2493">
        <v>6173</v>
      </c>
      <c r="H185" s="2492">
        <v>3849</v>
      </c>
      <c r="I185" s="2493">
        <v>2790</v>
      </c>
      <c r="J185" s="2492">
        <v>6527</v>
      </c>
      <c r="K185" s="2493">
        <v>2135</v>
      </c>
      <c r="L185" s="2492">
        <v>10590</v>
      </c>
      <c r="M185" s="2494">
        <v>5137</v>
      </c>
      <c r="N185" s="2495">
        <f t="shared" si="2"/>
        <v>54179</v>
      </c>
      <c r="O185" s="2487"/>
      <c r="P185" s="2488"/>
      <c r="Q185" s="2489"/>
    </row>
    <row r="186" spans="1:17">
      <c r="A186" s="2496">
        <v>2005.09</v>
      </c>
      <c r="B186" s="2490">
        <v>712229</v>
      </c>
      <c r="C186" s="2711"/>
      <c r="D186" s="2712"/>
      <c r="E186" s="2491">
        <v>1030</v>
      </c>
      <c r="F186" s="2492">
        <v>12868</v>
      </c>
      <c r="G186" s="2493">
        <v>10626</v>
      </c>
      <c r="H186" s="2492">
        <v>4372</v>
      </c>
      <c r="I186" s="2493">
        <v>7564</v>
      </c>
      <c r="J186" s="2492">
        <v>3656</v>
      </c>
      <c r="K186" s="2493">
        <v>2957</v>
      </c>
      <c r="L186" s="2492">
        <v>6630</v>
      </c>
      <c r="M186" s="2494">
        <v>2567</v>
      </c>
      <c r="N186" s="2495">
        <f t="shared" si="2"/>
        <v>52270</v>
      </c>
      <c r="O186" s="2487"/>
      <c r="P186" s="2488"/>
      <c r="Q186" s="2489"/>
    </row>
    <row r="187" spans="1:17">
      <c r="A187" s="2496">
        <v>2005.1</v>
      </c>
      <c r="B187" s="2490">
        <v>629659</v>
      </c>
      <c r="C187" s="2711"/>
      <c r="D187" s="2712"/>
      <c r="E187" s="2491">
        <v>2517</v>
      </c>
      <c r="F187" s="2492">
        <v>20799</v>
      </c>
      <c r="G187" s="2493">
        <v>5499</v>
      </c>
      <c r="H187" s="2492">
        <v>8462</v>
      </c>
      <c r="I187" s="2493">
        <v>2060</v>
      </c>
      <c r="J187" s="2492">
        <v>4969</v>
      </c>
      <c r="K187" s="2493">
        <v>1641</v>
      </c>
      <c r="L187" s="2492">
        <v>6609</v>
      </c>
      <c r="M187" s="2494">
        <v>5128</v>
      </c>
      <c r="N187" s="2495">
        <f t="shared" si="2"/>
        <v>57684</v>
      </c>
      <c r="O187" s="2487"/>
      <c r="P187" s="2488"/>
      <c r="Q187" s="2489"/>
    </row>
    <row r="188" spans="1:17">
      <c r="A188" s="2496">
        <v>2005.11</v>
      </c>
      <c r="B188" s="2490">
        <v>889630</v>
      </c>
      <c r="C188" s="2711"/>
      <c r="D188" s="2712"/>
      <c r="E188" s="2491">
        <v>1789</v>
      </c>
      <c r="F188" s="2492">
        <v>9773</v>
      </c>
      <c r="G188" s="2493">
        <v>12133</v>
      </c>
      <c r="H188" s="2492">
        <v>10832</v>
      </c>
      <c r="I188" s="2493">
        <v>2956</v>
      </c>
      <c r="J188" s="2492">
        <v>4037</v>
      </c>
      <c r="K188" s="2493">
        <v>3758</v>
      </c>
      <c r="L188" s="2492">
        <v>6696</v>
      </c>
      <c r="M188" s="2494">
        <v>4156</v>
      </c>
      <c r="N188" s="2495">
        <f t="shared" si="2"/>
        <v>56130</v>
      </c>
      <c r="O188" s="2487"/>
      <c r="P188" s="2488"/>
      <c r="Q188" s="2489"/>
    </row>
    <row r="189" spans="1:17">
      <c r="A189" s="2496">
        <v>2005.12</v>
      </c>
      <c r="B189" s="2490">
        <v>758972</v>
      </c>
      <c r="C189" s="2711"/>
      <c r="D189" s="2712"/>
      <c r="E189" s="2491">
        <v>5875</v>
      </c>
      <c r="F189" s="2492">
        <v>15148</v>
      </c>
      <c r="G189" s="2493">
        <v>4527</v>
      </c>
      <c r="H189" s="2492">
        <v>10071</v>
      </c>
      <c r="I189" s="2493">
        <v>2997</v>
      </c>
      <c r="J189" s="2492">
        <v>5899</v>
      </c>
      <c r="K189" s="2493">
        <v>3667</v>
      </c>
      <c r="L189" s="2492">
        <v>14542</v>
      </c>
      <c r="M189" s="2494">
        <v>3812</v>
      </c>
      <c r="N189" s="2495">
        <f t="shared" si="2"/>
        <v>66538</v>
      </c>
      <c r="O189" s="2487"/>
      <c r="P189" s="2488"/>
      <c r="Q189" s="2489"/>
    </row>
    <row r="190" spans="1:17">
      <c r="A190" s="2496">
        <v>2006.01</v>
      </c>
      <c r="B190" s="2490">
        <v>659316</v>
      </c>
      <c r="C190" s="2711"/>
      <c r="D190" s="2712"/>
      <c r="E190" s="2491">
        <v>2235</v>
      </c>
      <c r="F190" s="2492">
        <v>0</v>
      </c>
      <c r="G190" s="2493">
        <v>0</v>
      </c>
      <c r="H190" s="2492">
        <v>4038</v>
      </c>
      <c r="I190" s="2493">
        <v>1313</v>
      </c>
      <c r="J190" s="2492">
        <v>4333</v>
      </c>
      <c r="K190" s="2493">
        <v>2117</v>
      </c>
      <c r="L190" s="2492">
        <v>5210</v>
      </c>
      <c r="M190" s="2494">
        <v>3322</v>
      </c>
      <c r="N190" s="2495">
        <f t="shared" si="2"/>
        <v>22568</v>
      </c>
      <c r="O190" s="2487"/>
      <c r="P190" s="2488"/>
      <c r="Q190" s="2489"/>
    </row>
    <row r="191" spans="1:17">
      <c r="A191" s="2496">
        <v>2006.02</v>
      </c>
      <c r="B191" s="2490">
        <v>643489</v>
      </c>
      <c r="C191" s="2711"/>
      <c r="D191" s="2712"/>
      <c r="E191" s="2491">
        <v>2196</v>
      </c>
      <c r="F191" s="2492">
        <v>22512</v>
      </c>
      <c r="G191" s="2493">
        <v>6900</v>
      </c>
      <c r="H191" s="2492">
        <v>2090</v>
      </c>
      <c r="I191" s="2493">
        <v>10840</v>
      </c>
      <c r="J191" s="2492">
        <v>5027</v>
      </c>
      <c r="K191" s="2493">
        <v>1435</v>
      </c>
      <c r="L191" s="2492">
        <v>3881</v>
      </c>
      <c r="M191" s="2494">
        <v>2528</v>
      </c>
      <c r="N191" s="2495">
        <f t="shared" si="2"/>
        <v>57409</v>
      </c>
      <c r="O191" s="2487"/>
      <c r="P191" s="2488"/>
      <c r="Q191" s="2489"/>
    </row>
    <row r="192" spans="1:17">
      <c r="A192" s="2496">
        <v>2006.03</v>
      </c>
      <c r="B192" s="2490">
        <v>662150</v>
      </c>
      <c r="C192" s="2711"/>
      <c r="D192" s="2712"/>
      <c r="E192" s="2491">
        <v>6977</v>
      </c>
      <c r="F192" s="2492">
        <v>11004</v>
      </c>
      <c r="G192" s="2493">
        <v>4850</v>
      </c>
      <c r="H192" s="2492">
        <v>471</v>
      </c>
      <c r="I192" s="2493">
        <v>4470</v>
      </c>
      <c r="J192" s="2492">
        <v>4484</v>
      </c>
      <c r="K192" s="2493">
        <v>3327</v>
      </c>
      <c r="L192" s="2492">
        <v>4328</v>
      </c>
      <c r="M192" s="2494">
        <v>3093</v>
      </c>
      <c r="N192" s="2495">
        <f t="shared" si="2"/>
        <v>43004</v>
      </c>
      <c r="O192" s="2487"/>
      <c r="P192" s="2488"/>
      <c r="Q192" s="2489"/>
    </row>
    <row r="193" spans="1:17">
      <c r="A193" s="2496">
        <v>2006.04</v>
      </c>
      <c r="B193" s="2490">
        <v>698687</v>
      </c>
      <c r="C193" s="2711"/>
      <c r="D193" s="2712"/>
      <c r="E193" s="2491">
        <v>2877</v>
      </c>
      <c r="F193" s="2492">
        <v>7970</v>
      </c>
      <c r="G193" s="2493">
        <v>5637</v>
      </c>
      <c r="H193" s="2492">
        <v>4217</v>
      </c>
      <c r="I193" s="2493">
        <v>11350</v>
      </c>
      <c r="J193" s="2492">
        <v>3553</v>
      </c>
      <c r="K193" s="2493">
        <v>1702</v>
      </c>
      <c r="L193" s="2492">
        <v>5275</v>
      </c>
      <c r="M193" s="2494">
        <v>3997</v>
      </c>
      <c r="N193" s="2495">
        <f t="shared" si="2"/>
        <v>46578</v>
      </c>
      <c r="O193" s="2487"/>
      <c r="P193" s="2488"/>
      <c r="Q193" s="2489"/>
    </row>
    <row r="194" spans="1:17">
      <c r="A194" s="2496">
        <v>2006.05</v>
      </c>
      <c r="B194" s="2490">
        <v>868849</v>
      </c>
      <c r="C194" s="2711"/>
      <c r="D194" s="2712"/>
      <c r="E194" s="2491">
        <v>5141</v>
      </c>
      <c r="F194" s="2492">
        <v>24660</v>
      </c>
      <c r="G194" s="2493">
        <v>5184</v>
      </c>
      <c r="H194" s="2492">
        <v>22155</v>
      </c>
      <c r="I194" s="2493">
        <v>5182</v>
      </c>
      <c r="J194" s="2492">
        <v>6421</v>
      </c>
      <c r="K194" s="2493">
        <v>5321</v>
      </c>
      <c r="L194" s="2492">
        <v>4955</v>
      </c>
      <c r="M194" s="2494">
        <v>2996</v>
      </c>
      <c r="N194" s="2495">
        <f t="shared" si="2"/>
        <v>82015</v>
      </c>
      <c r="O194" s="2487"/>
      <c r="P194" s="2488"/>
      <c r="Q194" s="2489"/>
    </row>
    <row r="195" spans="1:17">
      <c r="A195" s="2496">
        <v>2006.06</v>
      </c>
      <c r="B195" s="2490">
        <v>827045</v>
      </c>
      <c r="C195" s="2711"/>
      <c r="D195" s="2712"/>
      <c r="E195" s="2491">
        <v>3875</v>
      </c>
      <c r="F195" s="2492">
        <v>19694</v>
      </c>
      <c r="G195" s="2493">
        <v>6093</v>
      </c>
      <c r="H195" s="2492">
        <v>17285</v>
      </c>
      <c r="I195" s="2493">
        <v>3113</v>
      </c>
      <c r="J195" s="2492">
        <v>3728</v>
      </c>
      <c r="K195" s="2493">
        <v>3845</v>
      </c>
      <c r="L195" s="2492">
        <v>11746</v>
      </c>
      <c r="M195" s="2494">
        <v>1560</v>
      </c>
      <c r="N195" s="2495">
        <f t="shared" si="2"/>
        <v>70939</v>
      </c>
      <c r="O195" s="2487"/>
      <c r="P195" s="2488"/>
      <c r="Q195" s="2489"/>
    </row>
    <row r="196" spans="1:17">
      <c r="A196" s="2496">
        <v>2006.07</v>
      </c>
      <c r="B196" s="2490">
        <v>989837</v>
      </c>
      <c r="C196" s="2711"/>
      <c r="D196" s="2712"/>
      <c r="E196" s="2491">
        <v>1041</v>
      </c>
      <c r="F196" s="2492">
        <v>9456</v>
      </c>
      <c r="G196" s="2493">
        <v>3430</v>
      </c>
      <c r="H196" s="2492">
        <v>9103</v>
      </c>
      <c r="I196" s="2493">
        <v>4375</v>
      </c>
      <c r="J196" s="2492">
        <v>3634</v>
      </c>
      <c r="K196" s="2493">
        <v>3689</v>
      </c>
      <c r="L196" s="2492">
        <v>8478</v>
      </c>
      <c r="M196" s="2494">
        <v>3243</v>
      </c>
      <c r="N196" s="2495">
        <f t="shared" si="2"/>
        <v>46449</v>
      </c>
      <c r="O196" s="2487"/>
      <c r="P196" s="2488"/>
      <c r="Q196" s="2489"/>
    </row>
    <row r="197" spans="1:17">
      <c r="A197" s="2496">
        <v>2006.08</v>
      </c>
      <c r="B197" s="2490">
        <v>798876</v>
      </c>
      <c r="C197" s="2711"/>
      <c r="D197" s="2712"/>
      <c r="E197" s="2491">
        <v>2219</v>
      </c>
      <c r="F197" s="2492">
        <v>13125</v>
      </c>
      <c r="G197" s="2493">
        <v>5919</v>
      </c>
      <c r="H197" s="2492">
        <v>9452</v>
      </c>
      <c r="I197" s="2493">
        <v>7750</v>
      </c>
      <c r="J197" s="2492">
        <v>4371</v>
      </c>
      <c r="K197" s="2493">
        <v>2572</v>
      </c>
      <c r="L197" s="2492">
        <v>5414</v>
      </c>
      <c r="M197" s="2494">
        <v>3738</v>
      </c>
      <c r="N197" s="2495">
        <f t="shared" si="2"/>
        <v>54560</v>
      </c>
      <c r="O197" s="2487"/>
      <c r="P197" s="2488"/>
      <c r="Q197" s="2489"/>
    </row>
    <row r="198" spans="1:17">
      <c r="A198" s="2496">
        <v>2006.09</v>
      </c>
      <c r="B198" s="2490">
        <v>799054</v>
      </c>
      <c r="C198" s="2711"/>
      <c r="D198" s="2712"/>
      <c r="E198" s="2491">
        <v>3210</v>
      </c>
      <c r="F198" s="2492">
        <v>24568</v>
      </c>
      <c r="G198" s="2493">
        <v>4753</v>
      </c>
      <c r="H198" s="2492">
        <v>5340</v>
      </c>
      <c r="I198" s="2493">
        <v>9910</v>
      </c>
      <c r="J198" s="2492">
        <v>4019</v>
      </c>
      <c r="K198" s="2493">
        <v>3223</v>
      </c>
      <c r="L198" s="2492">
        <v>8933</v>
      </c>
      <c r="M198" s="2494">
        <v>1979</v>
      </c>
      <c r="N198" s="2495">
        <f t="shared" si="2"/>
        <v>65935</v>
      </c>
      <c r="O198" s="2487"/>
      <c r="P198" s="2488"/>
      <c r="Q198" s="2489"/>
    </row>
    <row r="199" spans="1:17">
      <c r="A199" s="2496">
        <v>2006.1</v>
      </c>
      <c r="B199" s="2490">
        <v>777096</v>
      </c>
      <c r="C199" s="2711"/>
      <c r="D199" s="2712"/>
      <c r="E199" s="2491">
        <v>1989</v>
      </c>
      <c r="F199" s="2492">
        <v>13580</v>
      </c>
      <c r="G199" s="2493">
        <v>7303</v>
      </c>
      <c r="H199" s="2492">
        <v>8167</v>
      </c>
      <c r="I199" s="2493">
        <v>5388</v>
      </c>
      <c r="J199" s="2492">
        <v>3616</v>
      </c>
      <c r="K199" s="2493">
        <v>6186</v>
      </c>
      <c r="L199" s="2492">
        <v>6927</v>
      </c>
      <c r="M199" s="2494">
        <v>2949</v>
      </c>
      <c r="N199" s="2495">
        <f t="shared" si="2"/>
        <v>56105</v>
      </c>
      <c r="O199" s="2487"/>
      <c r="P199" s="2488"/>
      <c r="Q199" s="2489"/>
    </row>
    <row r="200" spans="1:17">
      <c r="A200" s="2496">
        <v>2006.11</v>
      </c>
      <c r="B200" s="2490">
        <v>883576</v>
      </c>
      <c r="C200" s="2711"/>
      <c r="D200" s="2712"/>
      <c r="E200" s="2491">
        <v>5247</v>
      </c>
      <c r="F200" s="2492">
        <v>16900</v>
      </c>
      <c r="G200" s="2493">
        <v>4882</v>
      </c>
      <c r="H200" s="2492">
        <v>8426</v>
      </c>
      <c r="I200" s="2493">
        <v>12451</v>
      </c>
      <c r="J200" s="2492">
        <v>4584</v>
      </c>
      <c r="K200" s="2493">
        <v>4101</v>
      </c>
      <c r="L200" s="2492">
        <v>4506</v>
      </c>
      <c r="M200" s="2494">
        <v>3905</v>
      </c>
      <c r="N200" s="2495">
        <f t="shared" si="2"/>
        <v>65002</v>
      </c>
      <c r="O200" s="2487"/>
      <c r="P200" s="2488"/>
      <c r="Q200" s="2489"/>
    </row>
    <row r="201" spans="1:17">
      <c r="A201" s="2496">
        <v>2006.12</v>
      </c>
      <c r="B201" s="2490">
        <v>944814</v>
      </c>
      <c r="C201" s="2711"/>
      <c r="D201" s="2712"/>
      <c r="E201" s="2491">
        <v>2166</v>
      </c>
      <c r="F201" s="2492">
        <v>41924</v>
      </c>
      <c r="G201" s="2493">
        <v>3148</v>
      </c>
      <c r="H201" s="2492">
        <v>6459</v>
      </c>
      <c r="I201" s="2493">
        <v>10076</v>
      </c>
      <c r="J201" s="2492">
        <v>3799</v>
      </c>
      <c r="K201" s="2493">
        <v>6309</v>
      </c>
      <c r="L201" s="2492">
        <v>6068</v>
      </c>
      <c r="M201" s="2494">
        <v>2775</v>
      </c>
      <c r="N201" s="2495">
        <f t="shared" si="2"/>
        <v>82724</v>
      </c>
      <c r="O201" s="2487"/>
      <c r="P201" s="2488"/>
      <c r="Q201" s="2489"/>
    </row>
    <row r="202" spans="1:17">
      <c r="A202" s="2496">
        <v>2007.01</v>
      </c>
      <c r="B202" s="2490">
        <v>684638</v>
      </c>
      <c r="C202" s="2711"/>
      <c r="D202" s="2712"/>
      <c r="E202" s="2491">
        <v>1760</v>
      </c>
      <c r="F202" s="2492">
        <v>0</v>
      </c>
      <c r="G202" s="2493">
        <v>960</v>
      </c>
      <c r="H202" s="2492">
        <v>6369</v>
      </c>
      <c r="I202" s="2493">
        <v>8816</v>
      </c>
      <c r="J202" s="2492">
        <v>5203</v>
      </c>
      <c r="K202" s="2493">
        <v>4497</v>
      </c>
      <c r="L202" s="2492">
        <v>2411</v>
      </c>
      <c r="M202" s="2494">
        <v>2775</v>
      </c>
      <c r="N202" s="2495">
        <f t="shared" si="2"/>
        <v>32791</v>
      </c>
      <c r="O202" s="2487"/>
      <c r="P202" s="2488"/>
      <c r="Q202" s="2489"/>
    </row>
    <row r="203" spans="1:17">
      <c r="A203" s="2496">
        <v>2007.02</v>
      </c>
      <c r="B203" s="2490">
        <v>689622</v>
      </c>
      <c r="C203" s="2711"/>
      <c r="D203" s="2712"/>
      <c r="E203" s="2491">
        <v>1537</v>
      </c>
      <c r="F203" s="2492">
        <v>17198</v>
      </c>
      <c r="G203" s="2493">
        <v>7224</v>
      </c>
      <c r="H203" s="2492">
        <v>11110</v>
      </c>
      <c r="I203" s="2493">
        <v>4181</v>
      </c>
      <c r="J203" s="2492">
        <v>3906</v>
      </c>
      <c r="K203" s="2493">
        <v>1822</v>
      </c>
      <c r="L203" s="2492">
        <v>8896</v>
      </c>
      <c r="M203" s="2494">
        <v>1084</v>
      </c>
      <c r="N203" s="2495">
        <f t="shared" ref="N203:N266" si="3">SUM(E203:M203)</f>
        <v>56958</v>
      </c>
      <c r="O203" s="2487"/>
      <c r="P203" s="2488"/>
      <c r="Q203" s="2489"/>
    </row>
    <row r="204" spans="1:17">
      <c r="A204" s="2496">
        <v>2007.03</v>
      </c>
      <c r="B204" s="2490">
        <v>818731</v>
      </c>
      <c r="C204" s="2711"/>
      <c r="D204" s="2712"/>
      <c r="E204" s="2491">
        <v>2608</v>
      </c>
      <c r="F204" s="2492">
        <v>11570</v>
      </c>
      <c r="G204" s="2493">
        <v>4065</v>
      </c>
      <c r="H204" s="2492">
        <v>17752</v>
      </c>
      <c r="I204" s="2493">
        <v>17712</v>
      </c>
      <c r="J204" s="2492">
        <v>4045</v>
      </c>
      <c r="K204" s="2493">
        <v>3682</v>
      </c>
      <c r="L204" s="2492">
        <v>11977</v>
      </c>
      <c r="M204" s="2494">
        <v>2595</v>
      </c>
      <c r="N204" s="2495">
        <f t="shared" si="3"/>
        <v>76006</v>
      </c>
      <c r="O204" s="2487"/>
      <c r="P204" s="2488"/>
      <c r="Q204" s="2489"/>
    </row>
    <row r="205" spans="1:17">
      <c r="A205" s="2496">
        <v>2007.04</v>
      </c>
      <c r="B205" s="2490">
        <v>761321</v>
      </c>
      <c r="C205" s="2711"/>
      <c r="D205" s="2712"/>
      <c r="E205" s="2491">
        <v>2539</v>
      </c>
      <c r="F205" s="2492">
        <v>11981</v>
      </c>
      <c r="G205" s="2493">
        <v>5459</v>
      </c>
      <c r="H205" s="2492">
        <v>10705</v>
      </c>
      <c r="I205" s="2493">
        <v>9157</v>
      </c>
      <c r="J205" s="2492">
        <v>5986</v>
      </c>
      <c r="K205" s="2493">
        <v>2327</v>
      </c>
      <c r="L205" s="2492">
        <v>6483</v>
      </c>
      <c r="M205" s="2494">
        <v>3928</v>
      </c>
      <c r="N205" s="2495">
        <f t="shared" si="3"/>
        <v>58565</v>
      </c>
      <c r="O205" s="2487"/>
      <c r="P205" s="2488"/>
      <c r="Q205" s="2489"/>
    </row>
    <row r="206" spans="1:17">
      <c r="A206" s="2496">
        <v>2007.05</v>
      </c>
      <c r="B206" s="2490">
        <v>808365</v>
      </c>
      <c r="C206" s="2711"/>
      <c r="D206" s="2712"/>
      <c r="E206" s="2491">
        <v>2423</v>
      </c>
      <c r="F206" s="2492">
        <v>19368</v>
      </c>
      <c r="G206" s="2493">
        <v>8260</v>
      </c>
      <c r="H206" s="2492">
        <v>12056</v>
      </c>
      <c r="I206" s="2493">
        <v>4771</v>
      </c>
      <c r="J206" s="2492">
        <v>11562</v>
      </c>
      <c r="K206" s="2493">
        <v>3405</v>
      </c>
      <c r="L206" s="2492">
        <v>9131</v>
      </c>
      <c r="M206" s="2494">
        <v>2482</v>
      </c>
      <c r="N206" s="2495">
        <f t="shared" si="3"/>
        <v>73458</v>
      </c>
      <c r="O206" s="2487"/>
      <c r="P206" s="2488"/>
      <c r="Q206" s="2489"/>
    </row>
    <row r="207" spans="1:17">
      <c r="A207" s="2496">
        <v>2007.06</v>
      </c>
      <c r="B207" s="2490">
        <v>804567</v>
      </c>
      <c r="C207" s="2711"/>
      <c r="D207" s="2712"/>
      <c r="E207" s="2491">
        <v>3032</v>
      </c>
      <c r="F207" s="2492">
        <v>24273</v>
      </c>
      <c r="G207" s="2493">
        <v>4504</v>
      </c>
      <c r="H207" s="2492">
        <v>11096</v>
      </c>
      <c r="I207" s="2493">
        <v>6296</v>
      </c>
      <c r="J207" s="2492">
        <v>2715</v>
      </c>
      <c r="K207" s="2493">
        <v>2133</v>
      </c>
      <c r="L207" s="2492">
        <v>6089</v>
      </c>
      <c r="M207" s="2494">
        <v>2982</v>
      </c>
      <c r="N207" s="2495">
        <f t="shared" si="3"/>
        <v>63120</v>
      </c>
      <c r="O207" s="2487"/>
      <c r="P207" s="2488"/>
      <c r="Q207" s="2489"/>
    </row>
    <row r="208" spans="1:17">
      <c r="A208" s="2496">
        <v>2007.07</v>
      </c>
      <c r="B208" s="2490">
        <v>783120</v>
      </c>
      <c r="C208" s="2711"/>
      <c r="D208" s="2712"/>
      <c r="E208" s="2491">
        <v>2639</v>
      </c>
      <c r="F208" s="2492">
        <v>13986</v>
      </c>
      <c r="G208" s="2493">
        <v>5726</v>
      </c>
      <c r="H208" s="2492">
        <v>5570</v>
      </c>
      <c r="I208" s="2493">
        <v>5693</v>
      </c>
      <c r="J208" s="2492">
        <v>6080</v>
      </c>
      <c r="K208" s="2493">
        <v>4239</v>
      </c>
      <c r="L208" s="2492">
        <v>5438</v>
      </c>
      <c r="M208" s="2494">
        <v>2147</v>
      </c>
      <c r="N208" s="2495">
        <f t="shared" si="3"/>
        <v>51518</v>
      </c>
      <c r="O208" s="2487"/>
      <c r="P208" s="2488"/>
      <c r="Q208" s="2489"/>
    </row>
    <row r="209" spans="1:17">
      <c r="A209" s="2496">
        <v>2007.08</v>
      </c>
      <c r="B209" s="2490">
        <v>736400</v>
      </c>
      <c r="C209" s="2711"/>
      <c r="D209" s="2712"/>
      <c r="E209" s="2491">
        <v>3706</v>
      </c>
      <c r="F209" s="2492">
        <v>15568</v>
      </c>
      <c r="G209" s="2493">
        <v>3859</v>
      </c>
      <c r="H209" s="2492">
        <v>4495</v>
      </c>
      <c r="I209" s="2493">
        <v>5547</v>
      </c>
      <c r="J209" s="2492">
        <v>6521</v>
      </c>
      <c r="K209" s="2493">
        <v>4444</v>
      </c>
      <c r="L209" s="2492">
        <v>10517</v>
      </c>
      <c r="M209" s="2494">
        <v>2280</v>
      </c>
      <c r="N209" s="2495">
        <f t="shared" si="3"/>
        <v>56937</v>
      </c>
      <c r="O209" s="2487"/>
      <c r="P209" s="2488"/>
      <c r="Q209" s="2489"/>
    </row>
    <row r="210" spans="1:17">
      <c r="A210" s="2496">
        <v>2007.09</v>
      </c>
      <c r="B210" s="2490">
        <v>709486</v>
      </c>
      <c r="C210" s="2711"/>
      <c r="D210" s="2712"/>
      <c r="E210" s="2491">
        <v>2763</v>
      </c>
      <c r="F210" s="2492">
        <v>13976</v>
      </c>
      <c r="G210" s="2493">
        <v>6189</v>
      </c>
      <c r="H210" s="2492">
        <v>13266</v>
      </c>
      <c r="I210" s="2493">
        <v>8790</v>
      </c>
      <c r="J210" s="2492">
        <v>4880</v>
      </c>
      <c r="K210" s="2493">
        <v>5057</v>
      </c>
      <c r="L210" s="2492">
        <v>8183</v>
      </c>
      <c r="M210" s="2494">
        <v>2609</v>
      </c>
      <c r="N210" s="2495">
        <f t="shared" si="3"/>
        <v>65713</v>
      </c>
      <c r="O210" s="2487"/>
      <c r="P210" s="2488"/>
      <c r="Q210" s="2489"/>
    </row>
    <row r="211" spans="1:17">
      <c r="A211" s="2496">
        <v>2007.1</v>
      </c>
      <c r="B211" s="2490">
        <v>920654</v>
      </c>
      <c r="C211" s="2711"/>
      <c r="D211" s="2712"/>
      <c r="E211" s="2491">
        <v>2122</v>
      </c>
      <c r="F211" s="2492">
        <v>13848</v>
      </c>
      <c r="G211" s="2493">
        <v>5660</v>
      </c>
      <c r="H211" s="2492">
        <v>17983</v>
      </c>
      <c r="I211" s="2493">
        <v>13256</v>
      </c>
      <c r="J211" s="2492">
        <v>7194</v>
      </c>
      <c r="K211" s="2493">
        <v>2767</v>
      </c>
      <c r="L211" s="2492">
        <v>7071</v>
      </c>
      <c r="M211" s="2494">
        <v>1749</v>
      </c>
      <c r="N211" s="2495">
        <f t="shared" si="3"/>
        <v>71650</v>
      </c>
      <c r="O211" s="2487"/>
      <c r="P211" s="2488"/>
      <c r="Q211" s="2489"/>
    </row>
    <row r="212" spans="1:17">
      <c r="A212" s="2496">
        <v>2007.11</v>
      </c>
      <c r="B212" s="2490">
        <v>765363</v>
      </c>
      <c r="C212" s="2711"/>
      <c r="D212" s="2712"/>
      <c r="E212" s="2491">
        <v>2570</v>
      </c>
      <c r="F212" s="2492">
        <v>17668</v>
      </c>
      <c r="G212" s="2493">
        <v>13616</v>
      </c>
      <c r="H212" s="2492">
        <v>6560</v>
      </c>
      <c r="I212" s="2493">
        <v>7545</v>
      </c>
      <c r="J212" s="2492">
        <v>4951</v>
      </c>
      <c r="K212" s="2493">
        <v>4232</v>
      </c>
      <c r="L212" s="2492">
        <v>6342</v>
      </c>
      <c r="M212" s="2494">
        <v>3249</v>
      </c>
      <c r="N212" s="2495">
        <f t="shared" si="3"/>
        <v>66733</v>
      </c>
      <c r="O212" s="2487"/>
      <c r="P212" s="2488"/>
      <c r="Q212" s="2489"/>
    </row>
    <row r="213" spans="1:17">
      <c r="A213" s="2496">
        <v>2007.12</v>
      </c>
      <c r="B213" s="2490">
        <v>1129719</v>
      </c>
      <c r="C213" s="2711"/>
      <c r="D213" s="2712"/>
      <c r="E213" s="2491">
        <v>3183</v>
      </c>
      <c r="F213" s="2492">
        <v>9342</v>
      </c>
      <c r="G213" s="2493">
        <v>3121</v>
      </c>
      <c r="H213" s="2492">
        <v>19733</v>
      </c>
      <c r="I213" s="2493">
        <v>5860</v>
      </c>
      <c r="J213" s="2492">
        <v>5074</v>
      </c>
      <c r="K213" s="2493">
        <v>3045</v>
      </c>
      <c r="L213" s="2492">
        <v>9329</v>
      </c>
      <c r="M213" s="2494">
        <v>4050</v>
      </c>
      <c r="N213" s="2495">
        <f t="shared" si="3"/>
        <v>62737</v>
      </c>
      <c r="O213" s="2487"/>
      <c r="P213" s="2488"/>
      <c r="Q213" s="2489"/>
    </row>
    <row r="214" spans="1:17">
      <c r="A214" s="2496">
        <f t="shared" ref="A214:A277" si="4">A202+1</f>
        <v>2008.01</v>
      </c>
      <c r="B214" s="2490">
        <v>844301</v>
      </c>
      <c r="C214" s="2711"/>
      <c r="D214" s="2712"/>
      <c r="E214" s="2491">
        <v>803</v>
      </c>
      <c r="F214" s="2492">
        <v>12349</v>
      </c>
      <c r="G214" s="2493">
        <v>5635</v>
      </c>
      <c r="H214" s="2492">
        <v>13874</v>
      </c>
      <c r="I214" s="2493">
        <v>3873</v>
      </c>
      <c r="J214" s="2492">
        <v>5346</v>
      </c>
      <c r="K214" s="2493">
        <v>2291</v>
      </c>
      <c r="L214" s="2492">
        <v>7857</v>
      </c>
      <c r="M214" s="2494">
        <v>1839</v>
      </c>
      <c r="N214" s="2495">
        <f t="shared" si="3"/>
        <v>53867</v>
      </c>
      <c r="O214" s="2487"/>
      <c r="P214" s="2488"/>
      <c r="Q214" s="2489"/>
    </row>
    <row r="215" spans="1:17">
      <c r="A215" s="2496">
        <f t="shared" si="4"/>
        <v>2008.02</v>
      </c>
      <c r="B215" s="2490">
        <v>608125</v>
      </c>
      <c r="C215" s="2711"/>
      <c r="D215" s="2712"/>
      <c r="E215" s="2491">
        <v>1311</v>
      </c>
      <c r="F215" s="2492">
        <v>9839</v>
      </c>
      <c r="G215" s="2493">
        <v>159</v>
      </c>
      <c r="H215" s="2492">
        <v>11456</v>
      </c>
      <c r="I215" s="2493">
        <v>3399</v>
      </c>
      <c r="J215" s="2492">
        <v>5209</v>
      </c>
      <c r="K215" s="2493">
        <v>2202</v>
      </c>
      <c r="L215" s="2492">
        <v>11945</v>
      </c>
      <c r="M215" s="2494">
        <v>2534</v>
      </c>
      <c r="N215" s="2495">
        <f t="shared" si="3"/>
        <v>48054</v>
      </c>
      <c r="O215" s="2487"/>
      <c r="P215" s="2488"/>
      <c r="Q215" s="2489"/>
    </row>
    <row r="216" spans="1:17">
      <c r="A216" s="2496">
        <f t="shared" si="4"/>
        <v>2008.03</v>
      </c>
      <c r="B216" s="2490">
        <v>626751</v>
      </c>
      <c r="C216" s="2711"/>
      <c r="D216" s="2712"/>
      <c r="E216" s="2491">
        <v>1448</v>
      </c>
      <c r="F216" s="2492">
        <v>17534</v>
      </c>
      <c r="G216" s="2493">
        <v>13066</v>
      </c>
      <c r="H216" s="2492">
        <v>4660</v>
      </c>
      <c r="I216" s="2493">
        <v>11065</v>
      </c>
      <c r="J216" s="2492">
        <v>2577</v>
      </c>
      <c r="K216" s="2493">
        <v>1505</v>
      </c>
      <c r="L216" s="2492">
        <v>23216</v>
      </c>
      <c r="M216" s="2494">
        <v>2123</v>
      </c>
      <c r="N216" s="2495">
        <f t="shared" si="3"/>
        <v>77194</v>
      </c>
      <c r="O216" s="2487"/>
      <c r="P216" s="2488"/>
      <c r="Q216" s="2489"/>
    </row>
    <row r="217" spans="1:17">
      <c r="A217" s="2496">
        <f t="shared" si="4"/>
        <v>2008.04</v>
      </c>
      <c r="B217" s="2490">
        <v>817651</v>
      </c>
      <c r="C217" s="2711"/>
      <c r="D217" s="2712"/>
      <c r="E217" s="2491">
        <v>2647</v>
      </c>
      <c r="F217" s="2492">
        <v>24080</v>
      </c>
      <c r="G217" s="2493">
        <v>2141</v>
      </c>
      <c r="H217" s="2492">
        <v>10510</v>
      </c>
      <c r="I217" s="2493">
        <v>5659</v>
      </c>
      <c r="J217" s="2492">
        <v>3953</v>
      </c>
      <c r="K217" s="2493">
        <v>3536</v>
      </c>
      <c r="L217" s="2492">
        <v>3599</v>
      </c>
      <c r="M217" s="2494">
        <v>4165</v>
      </c>
      <c r="N217" s="2495">
        <f t="shared" si="3"/>
        <v>60290</v>
      </c>
      <c r="O217" s="2487"/>
      <c r="P217" s="2488"/>
      <c r="Q217" s="2489"/>
    </row>
    <row r="218" spans="1:17">
      <c r="A218" s="2496">
        <f t="shared" si="4"/>
        <v>2008.05</v>
      </c>
      <c r="B218" s="2490">
        <v>985259</v>
      </c>
      <c r="C218" s="2711"/>
      <c r="D218" s="2712"/>
      <c r="E218" s="2491">
        <v>826</v>
      </c>
      <c r="F218" s="2492">
        <v>32087</v>
      </c>
      <c r="G218" s="2493">
        <v>4348</v>
      </c>
      <c r="H218" s="2492">
        <v>10228</v>
      </c>
      <c r="I218" s="2493">
        <v>5056</v>
      </c>
      <c r="J218" s="2492">
        <v>2576</v>
      </c>
      <c r="K218" s="2493">
        <v>3130</v>
      </c>
      <c r="L218" s="2492">
        <v>2733</v>
      </c>
      <c r="M218" s="2494">
        <v>3763</v>
      </c>
      <c r="N218" s="2495">
        <f t="shared" si="3"/>
        <v>64747</v>
      </c>
      <c r="O218" s="2487"/>
      <c r="P218" s="2488"/>
      <c r="Q218" s="2489"/>
    </row>
    <row r="219" spans="1:17">
      <c r="A219" s="2496">
        <f t="shared" si="4"/>
        <v>2008.06</v>
      </c>
      <c r="B219" s="2490">
        <v>710669</v>
      </c>
      <c r="C219" s="2711"/>
      <c r="D219" s="2712"/>
      <c r="E219" s="2491">
        <v>8986</v>
      </c>
      <c r="F219" s="2492">
        <v>17675</v>
      </c>
      <c r="G219" s="2493">
        <v>4108</v>
      </c>
      <c r="H219" s="2492">
        <v>10055</v>
      </c>
      <c r="I219" s="2493">
        <v>7371</v>
      </c>
      <c r="J219" s="2492">
        <v>4412</v>
      </c>
      <c r="K219" s="2493">
        <v>3577</v>
      </c>
      <c r="L219" s="2492">
        <v>7421</v>
      </c>
      <c r="M219" s="2494">
        <v>2071</v>
      </c>
      <c r="N219" s="2495">
        <f t="shared" si="3"/>
        <v>65676</v>
      </c>
      <c r="O219" s="2487"/>
      <c r="P219" s="2488"/>
      <c r="Q219" s="2489"/>
    </row>
    <row r="220" spans="1:17">
      <c r="A220" s="2496">
        <f t="shared" si="4"/>
        <v>2008.07</v>
      </c>
      <c r="B220" s="2490">
        <v>989554</v>
      </c>
      <c r="C220" s="2711"/>
      <c r="D220" s="2712"/>
      <c r="E220" s="2491">
        <v>2526</v>
      </c>
      <c r="F220" s="2492">
        <v>16875</v>
      </c>
      <c r="G220" s="2493">
        <v>7414</v>
      </c>
      <c r="H220" s="2492">
        <v>9363</v>
      </c>
      <c r="I220" s="2493">
        <v>8258</v>
      </c>
      <c r="J220" s="2492">
        <v>4986</v>
      </c>
      <c r="K220" s="2493">
        <v>18215</v>
      </c>
      <c r="L220" s="2492">
        <v>5546</v>
      </c>
      <c r="M220" s="2494">
        <v>2188</v>
      </c>
      <c r="N220" s="2495">
        <f t="shared" si="3"/>
        <v>75371</v>
      </c>
      <c r="O220" s="2487"/>
      <c r="P220" s="2488"/>
      <c r="Q220" s="2489"/>
    </row>
    <row r="221" spans="1:17">
      <c r="A221" s="2496">
        <f t="shared" si="4"/>
        <v>2008.08</v>
      </c>
      <c r="B221" s="2490">
        <v>849791</v>
      </c>
      <c r="C221" s="2711"/>
      <c r="D221" s="2712"/>
      <c r="E221" s="2491">
        <v>1089</v>
      </c>
      <c r="F221" s="2492">
        <v>35448</v>
      </c>
      <c r="G221" s="2493">
        <v>7008</v>
      </c>
      <c r="H221" s="2492">
        <v>25152</v>
      </c>
      <c r="I221" s="2493">
        <v>5030</v>
      </c>
      <c r="J221" s="2492">
        <v>4769</v>
      </c>
      <c r="K221" s="2493">
        <v>2266</v>
      </c>
      <c r="L221" s="2492">
        <v>8240</v>
      </c>
      <c r="M221" s="2494">
        <v>3031</v>
      </c>
      <c r="N221" s="2495">
        <f t="shared" si="3"/>
        <v>92033</v>
      </c>
      <c r="O221" s="2487"/>
      <c r="P221" s="2488"/>
      <c r="Q221" s="2489"/>
    </row>
    <row r="222" spans="1:17">
      <c r="A222" s="2496">
        <f t="shared" si="4"/>
        <v>2008.09</v>
      </c>
      <c r="B222" s="2490">
        <v>816605</v>
      </c>
      <c r="C222" s="2711"/>
      <c r="D222" s="2712"/>
      <c r="E222" s="2491">
        <v>2250</v>
      </c>
      <c r="F222" s="2492">
        <v>31752</v>
      </c>
      <c r="G222" s="2493">
        <v>4914</v>
      </c>
      <c r="H222" s="2492">
        <v>31119</v>
      </c>
      <c r="I222" s="2493">
        <v>9483</v>
      </c>
      <c r="J222" s="2492">
        <v>5516</v>
      </c>
      <c r="K222" s="2493">
        <v>4196</v>
      </c>
      <c r="L222" s="2492">
        <v>6036</v>
      </c>
      <c r="M222" s="2494">
        <v>3449</v>
      </c>
      <c r="N222" s="2495">
        <f t="shared" si="3"/>
        <v>98715</v>
      </c>
      <c r="O222" s="2487"/>
      <c r="P222" s="2488"/>
      <c r="Q222" s="2489"/>
    </row>
    <row r="223" spans="1:17">
      <c r="A223" s="2496">
        <f t="shared" si="4"/>
        <v>2008.1</v>
      </c>
      <c r="B223" s="2490">
        <v>860896</v>
      </c>
      <c r="C223" s="2711"/>
      <c r="D223" s="2712"/>
      <c r="E223" s="2491">
        <v>1480</v>
      </c>
      <c r="F223" s="2492">
        <v>19847</v>
      </c>
      <c r="G223" s="2493">
        <v>6141</v>
      </c>
      <c r="H223" s="2492">
        <v>14635</v>
      </c>
      <c r="I223" s="2493">
        <v>5366</v>
      </c>
      <c r="J223" s="2492">
        <v>4354</v>
      </c>
      <c r="K223" s="2493">
        <v>1787</v>
      </c>
      <c r="L223" s="2492">
        <v>2846</v>
      </c>
      <c r="M223" s="2494">
        <v>2473</v>
      </c>
      <c r="N223" s="2495">
        <f t="shared" si="3"/>
        <v>58929</v>
      </c>
      <c r="O223" s="2487"/>
      <c r="P223" s="2488"/>
      <c r="Q223" s="2489"/>
    </row>
    <row r="224" spans="1:17">
      <c r="A224" s="2496">
        <f t="shared" si="4"/>
        <v>2008.11</v>
      </c>
      <c r="B224" s="2490">
        <v>832192</v>
      </c>
      <c r="C224" s="2711"/>
      <c r="D224" s="2712"/>
      <c r="E224" s="2491">
        <v>919</v>
      </c>
      <c r="F224" s="2492">
        <v>20433</v>
      </c>
      <c r="G224" s="2493">
        <v>5911</v>
      </c>
      <c r="H224" s="2492">
        <v>21868</v>
      </c>
      <c r="I224" s="2493">
        <v>4530</v>
      </c>
      <c r="J224" s="2492">
        <v>12284</v>
      </c>
      <c r="K224" s="2493">
        <v>4694</v>
      </c>
      <c r="L224" s="2492">
        <v>11964</v>
      </c>
      <c r="M224" s="2494">
        <v>2588</v>
      </c>
      <c r="N224" s="2495">
        <f t="shared" si="3"/>
        <v>85191</v>
      </c>
      <c r="O224" s="2487"/>
      <c r="P224" s="2488"/>
      <c r="Q224" s="2489"/>
    </row>
    <row r="225" spans="1:17">
      <c r="A225" s="2496">
        <f t="shared" si="4"/>
        <v>2008.12</v>
      </c>
      <c r="B225" s="2490">
        <v>697331</v>
      </c>
      <c r="C225" s="2711"/>
      <c r="D225" s="2712"/>
      <c r="E225" s="2491">
        <v>2683</v>
      </c>
      <c r="F225" s="2492">
        <v>24365</v>
      </c>
      <c r="G225" s="2493">
        <v>9414</v>
      </c>
      <c r="H225" s="2492">
        <v>9019</v>
      </c>
      <c r="I225" s="2493">
        <v>4427</v>
      </c>
      <c r="J225" s="2492">
        <v>3114</v>
      </c>
      <c r="K225" s="2493">
        <v>3226</v>
      </c>
      <c r="L225" s="2492">
        <v>3863</v>
      </c>
      <c r="M225" s="2494">
        <v>3443</v>
      </c>
      <c r="N225" s="2495">
        <f t="shared" si="3"/>
        <v>63554</v>
      </c>
      <c r="O225" s="2487"/>
      <c r="P225" s="2488"/>
      <c r="Q225" s="2489"/>
    </row>
    <row r="226" spans="1:17">
      <c r="A226" s="2496">
        <f t="shared" si="4"/>
        <v>2009.01</v>
      </c>
      <c r="B226" s="2490">
        <v>555482</v>
      </c>
      <c r="C226" s="2711"/>
      <c r="D226" s="2712"/>
      <c r="E226" s="2491">
        <v>2715</v>
      </c>
      <c r="F226" s="2492">
        <v>0</v>
      </c>
      <c r="G226" s="2493">
        <v>4835</v>
      </c>
      <c r="H226" s="2492">
        <v>10829</v>
      </c>
      <c r="I226" s="2493">
        <v>4890</v>
      </c>
      <c r="J226" s="2492">
        <v>4880</v>
      </c>
      <c r="K226" s="2493">
        <v>472</v>
      </c>
      <c r="L226" s="2492">
        <v>4010</v>
      </c>
      <c r="M226" s="2494">
        <v>1182</v>
      </c>
      <c r="N226" s="2495">
        <f t="shared" si="3"/>
        <v>33813</v>
      </c>
      <c r="O226" s="2487"/>
      <c r="P226" s="2488"/>
      <c r="Q226" s="2489"/>
    </row>
    <row r="227" spans="1:17">
      <c r="A227" s="2496">
        <f t="shared" si="4"/>
        <v>2009.02</v>
      </c>
      <c r="B227" s="2490">
        <v>534301</v>
      </c>
      <c r="C227" s="2711"/>
      <c r="D227" s="2712"/>
      <c r="E227" s="2491">
        <v>1394</v>
      </c>
      <c r="F227" s="2492">
        <v>0</v>
      </c>
      <c r="G227" s="2493">
        <v>4455</v>
      </c>
      <c r="H227" s="2492">
        <v>4077</v>
      </c>
      <c r="I227" s="2493">
        <v>3934</v>
      </c>
      <c r="J227" s="2492">
        <v>2961</v>
      </c>
      <c r="K227" s="2493">
        <v>1904</v>
      </c>
      <c r="L227" s="2492">
        <v>1673</v>
      </c>
      <c r="M227" s="2494">
        <v>1557</v>
      </c>
      <c r="N227" s="2495">
        <f t="shared" si="3"/>
        <v>21955</v>
      </c>
      <c r="O227" s="2487"/>
      <c r="P227" s="2488"/>
      <c r="Q227" s="2489"/>
    </row>
    <row r="228" spans="1:17">
      <c r="A228" s="2496">
        <f t="shared" si="4"/>
        <v>2009.03</v>
      </c>
      <c r="B228" s="2490">
        <v>678316</v>
      </c>
      <c r="C228" s="2711"/>
      <c r="D228" s="2712"/>
      <c r="E228" s="2491">
        <v>1349</v>
      </c>
      <c r="F228" s="2492">
        <v>32628</v>
      </c>
      <c r="G228" s="2493">
        <v>5189</v>
      </c>
      <c r="H228" s="2492">
        <v>7782</v>
      </c>
      <c r="I228" s="2493">
        <v>3976</v>
      </c>
      <c r="J228" s="2492">
        <v>4358</v>
      </c>
      <c r="K228" s="2493">
        <v>3466</v>
      </c>
      <c r="L228" s="2492">
        <v>6636</v>
      </c>
      <c r="M228" s="2494">
        <v>4076</v>
      </c>
      <c r="N228" s="2495">
        <f t="shared" si="3"/>
        <v>69460</v>
      </c>
      <c r="O228" s="2487"/>
      <c r="P228" s="2488"/>
      <c r="Q228" s="2489"/>
    </row>
    <row r="229" spans="1:17">
      <c r="A229" s="2496">
        <f t="shared" si="4"/>
        <v>2009.04</v>
      </c>
      <c r="B229" s="2490">
        <v>645132</v>
      </c>
      <c r="C229" s="2711"/>
      <c r="D229" s="2712"/>
      <c r="E229" s="2491">
        <v>3376</v>
      </c>
      <c r="F229" s="2492">
        <v>19807</v>
      </c>
      <c r="G229" s="2493">
        <v>8222</v>
      </c>
      <c r="H229" s="2492">
        <v>13115</v>
      </c>
      <c r="I229" s="2493">
        <v>5628</v>
      </c>
      <c r="J229" s="2492">
        <v>3189</v>
      </c>
      <c r="K229" s="2493">
        <v>7197</v>
      </c>
      <c r="L229" s="2492">
        <v>8574</v>
      </c>
      <c r="M229" s="2494">
        <v>1761</v>
      </c>
      <c r="N229" s="2495">
        <f t="shared" si="3"/>
        <v>70869</v>
      </c>
      <c r="O229" s="2487"/>
      <c r="P229" s="2488"/>
      <c r="Q229" s="2489"/>
    </row>
    <row r="230" spans="1:17">
      <c r="A230" s="2496">
        <f t="shared" si="4"/>
        <v>2009.05</v>
      </c>
      <c r="B230" s="2490">
        <v>676692</v>
      </c>
      <c r="C230" s="2711"/>
      <c r="D230" s="2712"/>
      <c r="E230" s="2491">
        <v>676</v>
      </c>
      <c r="F230" s="2492">
        <v>18458</v>
      </c>
      <c r="G230" s="2493">
        <v>2171</v>
      </c>
      <c r="H230" s="2492">
        <v>12281</v>
      </c>
      <c r="I230" s="2493">
        <v>2405</v>
      </c>
      <c r="J230" s="2492">
        <v>822</v>
      </c>
      <c r="K230" s="2493">
        <v>756</v>
      </c>
      <c r="L230" s="2492">
        <v>3110</v>
      </c>
      <c r="M230" s="2494">
        <v>1005</v>
      </c>
      <c r="N230" s="2495">
        <f t="shared" si="3"/>
        <v>41684</v>
      </c>
      <c r="O230" s="2487"/>
      <c r="P230" s="2488"/>
      <c r="Q230" s="2489"/>
    </row>
    <row r="231" spans="1:17">
      <c r="A231" s="2496">
        <f t="shared" si="4"/>
        <v>2009.06</v>
      </c>
      <c r="B231" s="2490">
        <v>693075</v>
      </c>
      <c r="C231" s="2711"/>
      <c r="D231" s="2712"/>
      <c r="E231" s="2491">
        <v>1978</v>
      </c>
      <c r="F231" s="2492">
        <v>10875</v>
      </c>
      <c r="G231" s="2493">
        <v>4793</v>
      </c>
      <c r="H231" s="2492">
        <v>14021</v>
      </c>
      <c r="I231" s="2493">
        <v>4735</v>
      </c>
      <c r="J231" s="2492">
        <v>4227</v>
      </c>
      <c r="K231" s="2493">
        <v>2418</v>
      </c>
      <c r="L231" s="2492">
        <v>6822</v>
      </c>
      <c r="M231" s="2494">
        <v>1897</v>
      </c>
      <c r="N231" s="2495">
        <f t="shared" si="3"/>
        <v>51766</v>
      </c>
      <c r="O231" s="2487"/>
      <c r="P231" s="2488"/>
      <c r="Q231" s="2489"/>
    </row>
    <row r="232" spans="1:17">
      <c r="A232" s="2496">
        <f t="shared" si="4"/>
        <v>2009.07</v>
      </c>
      <c r="B232" s="2490">
        <v>695608</v>
      </c>
      <c r="C232" s="2711"/>
      <c r="D232" s="2712"/>
      <c r="E232" s="2491">
        <v>2066</v>
      </c>
      <c r="F232" s="2492">
        <v>9119</v>
      </c>
      <c r="G232" s="2493">
        <v>6619</v>
      </c>
      <c r="H232" s="2492">
        <v>11650</v>
      </c>
      <c r="I232" s="2493">
        <v>3594</v>
      </c>
      <c r="J232" s="2492">
        <v>5299</v>
      </c>
      <c r="K232" s="2493">
        <v>5876</v>
      </c>
      <c r="L232" s="2492">
        <v>5723</v>
      </c>
      <c r="M232" s="2494">
        <v>1968</v>
      </c>
      <c r="N232" s="2495">
        <f t="shared" si="3"/>
        <v>51914</v>
      </c>
      <c r="O232" s="2487"/>
      <c r="P232" s="2488"/>
      <c r="Q232" s="2489"/>
    </row>
    <row r="233" spans="1:17">
      <c r="A233" s="2496">
        <f t="shared" si="4"/>
        <v>2009.08</v>
      </c>
      <c r="B233" s="2490">
        <v>690183</v>
      </c>
      <c r="C233" s="2711"/>
      <c r="D233" s="2712"/>
      <c r="E233" s="2491">
        <v>2786</v>
      </c>
      <c r="F233" s="2492">
        <v>7896</v>
      </c>
      <c r="G233" s="2493">
        <v>6061</v>
      </c>
      <c r="H233" s="2492">
        <v>8373</v>
      </c>
      <c r="I233" s="2493">
        <v>5137</v>
      </c>
      <c r="J233" s="2492">
        <v>4535</v>
      </c>
      <c r="K233" s="2493">
        <v>3370</v>
      </c>
      <c r="L233" s="2492">
        <v>11622</v>
      </c>
      <c r="M233" s="2494">
        <v>2835</v>
      </c>
      <c r="N233" s="2495">
        <f t="shared" si="3"/>
        <v>52615</v>
      </c>
      <c r="O233" s="2487"/>
      <c r="P233" s="2488"/>
      <c r="Q233" s="2489"/>
    </row>
    <row r="234" spans="1:17">
      <c r="A234" s="2496">
        <f t="shared" si="4"/>
        <v>2009.09</v>
      </c>
      <c r="B234" s="2490">
        <v>756325</v>
      </c>
      <c r="C234" s="2711"/>
      <c r="D234" s="2712"/>
      <c r="E234" s="2491">
        <v>926</v>
      </c>
      <c r="F234" s="2492">
        <v>18488</v>
      </c>
      <c r="G234" s="2493">
        <v>3641</v>
      </c>
      <c r="H234" s="2492">
        <v>18702</v>
      </c>
      <c r="I234" s="2493">
        <v>8245</v>
      </c>
      <c r="J234" s="2492">
        <v>2448</v>
      </c>
      <c r="K234" s="2493">
        <v>3217</v>
      </c>
      <c r="L234" s="2492">
        <v>5754</v>
      </c>
      <c r="M234" s="2494">
        <v>7576</v>
      </c>
      <c r="N234" s="2495">
        <f t="shared" si="3"/>
        <v>68997</v>
      </c>
      <c r="O234" s="2487"/>
      <c r="P234" s="2488"/>
      <c r="Q234" s="2489"/>
    </row>
    <row r="235" spans="1:17">
      <c r="A235" s="2496">
        <f t="shared" si="4"/>
        <v>2009.1</v>
      </c>
      <c r="B235" s="2490">
        <v>876662</v>
      </c>
      <c r="C235" s="2711"/>
      <c r="D235" s="2712"/>
      <c r="E235" s="2491">
        <v>786</v>
      </c>
      <c r="F235" s="2492">
        <v>18410</v>
      </c>
      <c r="G235" s="2493">
        <v>4741</v>
      </c>
      <c r="H235" s="2492">
        <v>28187</v>
      </c>
      <c r="I235" s="2493">
        <v>6396</v>
      </c>
      <c r="J235" s="2492">
        <v>2125</v>
      </c>
      <c r="K235" s="2493">
        <v>1831</v>
      </c>
      <c r="L235" s="2492">
        <v>3902</v>
      </c>
      <c r="M235" s="2494">
        <v>2012</v>
      </c>
      <c r="N235" s="2495">
        <f t="shared" si="3"/>
        <v>68390</v>
      </c>
      <c r="O235" s="2487"/>
      <c r="P235" s="2488"/>
      <c r="Q235" s="2489"/>
    </row>
    <row r="236" spans="1:17">
      <c r="A236" s="2496">
        <f t="shared" si="4"/>
        <v>2009.11</v>
      </c>
      <c r="B236" s="2490">
        <v>610234</v>
      </c>
      <c r="C236" s="2711"/>
      <c r="D236" s="2712"/>
      <c r="E236" s="2491">
        <v>2976</v>
      </c>
      <c r="F236" s="2492">
        <v>14627</v>
      </c>
      <c r="G236" s="2493">
        <v>827</v>
      </c>
      <c r="H236" s="2492">
        <v>28761</v>
      </c>
      <c r="I236" s="2493">
        <v>3961</v>
      </c>
      <c r="J236" s="2492">
        <v>5867</v>
      </c>
      <c r="K236" s="2493">
        <v>3217</v>
      </c>
      <c r="L236" s="2492">
        <v>16591</v>
      </c>
      <c r="M236" s="2494">
        <v>823</v>
      </c>
      <c r="N236" s="2495">
        <f t="shared" si="3"/>
        <v>77650</v>
      </c>
      <c r="O236" s="2487"/>
      <c r="P236" s="2488"/>
      <c r="Q236" s="2489"/>
    </row>
    <row r="237" spans="1:17">
      <c r="A237" s="2496">
        <f t="shared" si="4"/>
        <v>2009.12</v>
      </c>
      <c r="B237" s="2490">
        <v>770920</v>
      </c>
      <c r="C237" s="2711"/>
      <c r="D237" s="2712"/>
      <c r="E237" s="2491">
        <v>3352</v>
      </c>
      <c r="F237" s="2492">
        <v>23426</v>
      </c>
      <c r="G237" s="2493">
        <v>5759</v>
      </c>
      <c r="H237" s="2492">
        <v>18785</v>
      </c>
      <c r="I237" s="2493">
        <v>6314</v>
      </c>
      <c r="J237" s="2492">
        <v>4248</v>
      </c>
      <c r="K237" s="2493">
        <v>3191</v>
      </c>
      <c r="L237" s="2492">
        <v>5652</v>
      </c>
      <c r="M237" s="2494">
        <v>3283</v>
      </c>
      <c r="N237" s="2495">
        <f t="shared" si="3"/>
        <v>74010</v>
      </c>
      <c r="O237" s="2487"/>
      <c r="P237" s="2488"/>
      <c r="Q237" s="2489"/>
    </row>
    <row r="238" spans="1:17">
      <c r="A238" s="2496">
        <f t="shared" si="4"/>
        <v>2010.01</v>
      </c>
      <c r="B238" s="2490">
        <v>519962</v>
      </c>
      <c r="C238" s="2711"/>
      <c r="D238" s="2712"/>
      <c r="E238" s="2491">
        <v>822</v>
      </c>
      <c r="F238" s="2492">
        <v>9342</v>
      </c>
      <c r="G238" s="2493">
        <v>8446</v>
      </c>
      <c r="H238" s="2492">
        <v>16298</v>
      </c>
      <c r="I238" s="2493">
        <v>4988</v>
      </c>
      <c r="J238" s="2492">
        <v>6357</v>
      </c>
      <c r="K238" s="2493">
        <v>1167</v>
      </c>
      <c r="L238" s="2492">
        <v>4891</v>
      </c>
      <c r="M238" s="2494">
        <v>1131</v>
      </c>
      <c r="N238" s="2495">
        <f t="shared" si="3"/>
        <v>53442</v>
      </c>
      <c r="O238" s="2497">
        <v>33980</v>
      </c>
      <c r="P238" s="2923" t="s">
        <v>1563</v>
      </c>
      <c r="Q238" s="2498">
        <v>112834</v>
      </c>
    </row>
    <row r="239" spans="1:17">
      <c r="A239" s="2496">
        <f t="shared" si="4"/>
        <v>2010.02</v>
      </c>
      <c r="B239" s="2490">
        <v>419663</v>
      </c>
      <c r="C239" s="2711"/>
      <c r="D239" s="2712"/>
      <c r="E239" s="2491">
        <v>822</v>
      </c>
      <c r="F239" s="2492">
        <v>8479</v>
      </c>
      <c r="G239" s="2493">
        <v>11249</v>
      </c>
      <c r="H239" s="2492">
        <v>8241</v>
      </c>
      <c r="I239" s="2493">
        <v>3867</v>
      </c>
      <c r="J239" s="2492">
        <v>3625</v>
      </c>
      <c r="K239" s="2493">
        <v>2433</v>
      </c>
      <c r="L239" s="2492">
        <v>10389</v>
      </c>
      <c r="M239" s="2494">
        <v>1098</v>
      </c>
      <c r="N239" s="2495">
        <f t="shared" si="3"/>
        <v>50203</v>
      </c>
      <c r="O239" s="2499">
        <v>34207</v>
      </c>
      <c r="P239" s="2494">
        <v>1884</v>
      </c>
      <c r="Q239" s="2500">
        <v>110529</v>
      </c>
    </row>
    <row r="240" spans="1:17">
      <c r="A240" s="2496">
        <f t="shared" si="4"/>
        <v>2010.03</v>
      </c>
      <c r="B240" s="2490">
        <v>535436</v>
      </c>
      <c r="C240" s="2711"/>
      <c r="D240" s="2712"/>
      <c r="E240" s="2491">
        <v>1855</v>
      </c>
      <c r="F240" s="2492">
        <v>7019</v>
      </c>
      <c r="G240" s="2493">
        <v>5688</v>
      </c>
      <c r="H240" s="2492">
        <v>9910</v>
      </c>
      <c r="I240" s="2493">
        <v>9563</v>
      </c>
      <c r="J240" s="2492">
        <v>4351</v>
      </c>
      <c r="K240" s="2493">
        <v>3541</v>
      </c>
      <c r="L240" s="2492">
        <v>7825</v>
      </c>
      <c r="M240" s="2494">
        <v>1617</v>
      </c>
      <c r="N240" s="2495">
        <f t="shared" si="3"/>
        <v>51369</v>
      </c>
      <c r="O240" s="2499">
        <v>26001</v>
      </c>
      <c r="P240" s="2494">
        <v>2197</v>
      </c>
      <c r="Q240" s="2500">
        <v>119058</v>
      </c>
    </row>
    <row r="241" spans="1:17">
      <c r="A241" s="2496">
        <f t="shared" si="4"/>
        <v>2010.04</v>
      </c>
      <c r="B241" s="2490">
        <v>616698</v>
      </c>
      <c r="C241" s="2711"/>
      <c r="D241" s="2712"/>
      <c r="E241" s="2491">
        <v>3902</v>
      </c>
      <c r="F241" s="2492">
        <v>9250</v>
      </c>
      <c r="G241" s="2493">
        <v>6596</v>
      </c>
      <c r="H241" s="2492">
        <v>15188</v>
      </c>
      <c r="I241" s="2493">
        <v>12506</v>
      </c>
      <c r="J241" s="2492">
        <v>5385</v>
      </c>
      <c r="K241" s="2493">
        <v>4071</v>
      </c>
      <c r="L241" s="2492">
        <v>11328</v>
      </c>
      <c r="M241" s="2494">
        <v>2619</v>
      </c>
      <c r="N241" s="2495">
        <f t="shared" si="3"/>
        <v>70845</v>
      </c>
      <c r="O241" s="2499">
        <v>38424</v>
      </c>
      <c r="P241" s="2494">
        <v>2845</v>
      </c>
      <c r="Q241" s="2500">
        <v>145670</v>
      </c>
    </row>
    <row r="242" spans="1:17">
      <c r="A242" s="2496">
        <f t="shared" si="4"/>
        <v>2010.05</v>
      </c>
      <c r="B242" s="2490">
        <v>557684</v>
      </c>
      <c r="C242" s="2711"/>
      <c r="D242" s="2712"/>
      <c r="E242" s="2491">
        <v>2776</v>
      </c>
      <c r="F242" s="2492">
        <v>11704</v>
      </c>
      <c r="G242" s="2493">
        <v>10270</v>
      </c>
      <c r="H242" s="2492">
        <v>6423</v>
      </c>
      <c r="I242" s="2493">
        <v>12343</v>
      </c>
      <c r="J242" s="2492">
        <v>9589</v>
      </c>
      <c r="K242" s="2493">
        <v>3746</v>
      </c>
      <c r="L242" s="2492">
        <v>3282</v>
      </c>
      <c r="M242" s="2494">
        <v>3047</v>
      </c>
      <c r="N242" s="2495">
        <f t="shared" si="3"/>
        <v>63180</v>
      </c>
      <c r="O242" s="2499">
        <v>57298</v>
      </c>
      <c r="P242" s="2494">
        <v>2154</v>
      </c>
      <c r="Q242" s="2500">
        <v>165803</v>
      </c>
    </row>
    <row r="243" spans="1:17">
      <c r="A243" s="2496">
        <f t="shared" si="4"/>
        <v>2010.06</v>
      </c>
      <c r="B243" s="2490">
        <v>676012</v>
      </c>
      <c r="C243" s="2711"/>
      <c r="D243" s="2712"/>
      <c r="E243" s="2491">
        <v>1203</v>
      </c>
      <c r="F243" s="2492">
        <v>16744</v>
      </c>
      <c r="G243" s="2493">
        <v>5549</v>
      </c>
      <c r="H243" s="2492">
        <v>11735</v>
      </c>
      <c r="I243" s="2493">
        <v>17285</v>
      </c>
      <c r="J243" s="2492">
        <v>4825</v>
      </c>
      <c r="K243" s="2493">
        <v>1805</v>
      </c>
      <c r="L243" s="2492">
        <v>22993</v>
      </c>
      <c r="M243" s="2494">
        <v>1893</v>
      </c>
      <c r="N243" s="2495">
        <f t="shared" si="3"/>
        <v>84032</v>
      </c>
      <c r="O243" s="2499">
        <v>47918</v>
      </c>
      <c r="P243" s="2494">
        <v>498</v>
      </c>
      <c r="Q243" s="2500">
        <v>181662</v>
      </c>
    </row>
    <row r="244" spans="1:17">
      <c r="A244" s="2496">
        <f t="shared" si="4"/>
        <v>2010.07</v>
      </c>
      <c r="B244" s="2490">
        <v>693301</v>
      </c>
      <c r="C244" s="2711"/>
      <c r="D244" s="2712"/>
      <c r="E244" s="2491">
        <v>1136</v>
      </c>
      <c r="F244" s="2492">
        <v>28004</v>
      </c>
      <c r="G244" s="2493">
        <v>6775</v>
      </c>
      <c r="H244" s="2492">
        <v>6638</v>
      </c>
      <c r="I244" s="2493">
        <v>18009</v>
      </c>
      <c r="J244" s="2492">
        <v>4361</v>
      </c>
      <c r="K244" s="2493">
        <v>2464</v>
      </c>
      <c r="L244" s="2492">
        <v>34676</v>
      </c>
      <c r="M244" s="2494">
        <v>3524</v>
      </c>
      <c r="N244" s="2495">
        <f t="shared" si="3"/>
        <v>105587</v>
      </c>
      <c r="O244" s="2499">
        <v>118295</v>
      </c>
      <c r="P244" s="2494">
        <v>4114</v>
      </c>
      <c r="Q244" s="2500">
        <v>269554</v>
      </c>
    </row>
    <row r="245" spans="1:17">
      <c r="A245" s="2496">
        <f t="shared" si="4"/>
        <v>2010.08</v>
      </c>
      <c r="B245" s="2490">
        <v>889489</v>
      </c>
      <c r="C245" s="2711"/>
      <c r="D245" s="2712"/>
      <c r="E245" s="2491">
        <v>3327</v>
      </c>
      <c r="F245" s="2492">
        <v>30013</v>
      </c>
      <c r="G245" s="2493">
        <v>14691</v>
      </c>
      <c r="H245" s="2492">
        <v>16129</v>
      </c>
      <c r="I245" s="2493">
        <v>12474</v>
      </c>
      <c r="J245" s="2492">
        <v>2598</v>
      </c>
      <c r="K245" s="2493">
        <v>2972</v>
      </c>
      <c r="L245" s="2492">
        <v>12679</v>
      </c>
      <c r="M245" s="2494">
        <v>2145</v>
      </c>
      <c r="N245" s="2495">
        <f t="shared" si="3"/>
        <v>97028</v>
      </c>
      <c r="O245" s="2499">
        <v>49133</v>
      </c>
      <c r="P245" s="2494">
        <v>860</v>
      </c>
      <c r="Q245" s="2500">
        <v>186686</v>
      </c>
    </row>
    <row r="246" spans="1:17">
      <c r="A246" s="2496">
        <f t="shared" si="4"/>
        <v>2010.09</v>
      </c>
      <c r="B246" s="2490">
        <v>779731</v>
      </c>
      <c r="C246" s="2711"/>
      <c r="D246" s="2712"/>
      <c r="E246" s="2491">
        <v>1178</v>
      </c>
      <c r="F246" s="2492">
        <v>17218</v>
      </c>
      <c r="G246" s="2493">
        <v>12500</v>
      </c>
      <c r="H246" s="2492">
        <v>9460</v>
      </c>
      <c r="I246" s="2493">
        <v>12034</v>
      </c>
      <c r="J246" s="2492">
        <v>3258</v>
      </c>
      <c r="K246" s="2493">
        <v>1469</v>
      </c>
      <c r="L246" s="2492">
        <v>12652</v>
      </c>
      <c r="M246" s="2494">
        <v>2282</v>
      </c>
      <c r="N246" s="2495">
        <f t="shared" si="3"/>
        <v>72051</v>
      </c>
      <c r="O246" s="2499">
        <v>62095</v>
      </c>
      <c r="P246" s="2494">
        <v>477</v>
      </c>
      <c r="Q246" s="2500">
        <v>173524</v>
      </c>
    </row>
    <row r="247" spans="1:17">
      <c r="A247" s="2496">
        <f t="shared" si="4"/>
        <v>2010.1</v>
      </c>
      <c r="B247" s="2490">
        <v>581375</v>
      </c>
      <c r="C247" s="2711"/>
      <c r="D247" s="2712"/>
      <c r="E247" s="2491">
        <v>1455</v>
      </c>
      <c r="F247" s="2492">
        <v>8910</v>
      </c>
      <c r="G247" s="2493">
        <v>7865</v>
      </c>
      <c r="H247" s="2492">
        <v>14703</v>
      </c>
      <c r="I247" s="2493">
        <v>10261</v>
      </c>
      <c r="J247" s="2492">
        <v>2810</v>
      </c>
      <c r="K247" s="2493">
        <v>1951</v>
      </c>
      <c r="L247" s="2492">
        <v>7439</v>
      </c>
      <c r="M247" s="2494">
        <v>1835</v>
      </c>
      <c r="N247" s="2495">
        <f t="shared" si="3"/>
        <v>57229</v>
      </c>
      <c r="O247" s="2499">
        <v>53874</v>
      </c>
      <c r="P247" s="2922" t="s">
        <v>1563</v>
      </c>
      <c r="Q247" s="2500">
        <v>138463</v>
      </c>
    </row>
    <row r="248" spans="1:17">
      <c r="A248" s="2496">
        <f t="shared" si="4"/>
        <v>2010.11</v>
      </c>
      <c r="B248" s="2490">
        <v>885421</v>
      </c>
      <c r="C248" s="2711"/>
      <c r="D248" s="2712"/>
      <c r="E248" s="2491">
        <v>1037</v>
      </c>
      <c r="F248" s="2492">
        <v>12201</v>
      </c>
      <c r="G248" s="2493">
        <v>6045</v>
      </c>
      <c r="H248" s="2492">
        <v>11941</v>
      </c>
      <c r="I248" s="2493">
        <v>11704</v>
      </c>
      <c r="J248" s="2492">
        <v>1925</v>
      </c>
      <c r="K248" s="2493">
        <v>2340</v>
      </c>
      <c r="L248" s="2492">
        <v>7814</v>
      </c>
      <c r="M248" s="2494">
        <v>2461</v>
      </c>
      <c r="N248" s="2495">
        <f t="shared" si="3"/>
        <v>57468</v>
      </c>
      <c r="O248" s="2499">
        <v>53101</v>
      </c>
      <c r="P248" s="2922" t="s">
        <v>1563</v>
      </c>
      <c r="Q248" s="2500">
        <v>158218</v>
      </c>
    </row>
    <row r="249" spans="1:17">
      <c r="A249" s="2496">
        <f t="shared" si="4"/>
        <v>2010.12</v>
      </c>
      <c r="B249" s="2490">
        <v>779701</v>
      </c>
      <c r="C249" s="2711"/>
      <c r="D249" s="2712"/>
      <c r="E249" s="2491">
        <v>5082</v>
      </c>
      <c r="F249" s="2492">
        <v>19659</v>
      </c>
      <c r="G249" s="2493">
        <v>7067</v>
      </c>
      <c r="H249" s="2492">
        <v>17037</v>
      </c>
      <c r="I249" s="2493">
        <v>21114</v>
      </c>
      <c r="J249" s="2492">
        <v>5043</v>
      </c>
      <c r="K249" s="2493">
        <v>1361</v>
      </c>
      <c r="L249" s="2492">
        <v>8605</v>
      </c>
      <c r="M249" s="2494">
        <v>3451</v>
      </c>
      <c r="N249" s="2495">
        <f t="shared" si="3"/>
        <v>88419</v>
      </c>
      <c r="O249" s="2499">
        <v>59956</v>
      </c>
      <c r="P249" s="2922" t="s">
        <v>1563</v>
      </c>
      <c r="Q249" s="2500">
        <v>188881</v>
      </c>
    </row>
    <row r="250" spans="1:17">
      <c r="A250" s="2496">
        <f t="shared" si="4"/>
        <v>2011.01</v>
      </c>
      <c r="B250" s="2490">
        <v>507395</v>
      </c>
      <c r="C250" s="2711"/>
      <c r="D250" s="2712"/>
      <c r="E250" s="2491">
        <v>2289</v>
      </c>
      <c r="F250" s="2492">
        <v>12920</v>
      </c>
      <c r="G250" s="2493">
        <v>1196</v>
      </c>
      <c r="H250" s="2492">
        <v>7301</v>
      </c>
      <c r="I250" s="2493">
        <v>8337</v>
      </c>
      <c r="J250" s="2920">
        <v>1793</v>
      </c>
      <c r="K250" s="2493">
        <v>1838</v>
      </c>
      <c r="L250" s="2492">
        <v>8834</v>
      </c>
      <c r="M250" s="2494">
        <v>1122</v>
      </c>
      <c r="N250" s="2495">
        <f t="shared" si="3"/>
        <v>45630</v>
      </c>
      <c r="O250" s="2499">
        <v>52645</v>
      </c>
      <c r="P250" s="2494">
        <v>126</v>
      </c>
      <c r="Q250" s="2500">
        <v>114267</v>
      </c>
    </row>
    <row r="251" spans="1:17">
      <c r="A251" s="2496">
        <f t="shared" si="4"/>
        <v>2011.02</v>
      </c>
      <c r="B251" s="2490">
        <v>547401</v>
      </c>
      <c r="C251" s="2711"/>
      <c r="D251" s="2712"/>
      <c r="E251" s="2491">
        <v>528</v>
      </c>
      <c r="F251" s="2492">
        <v>15624</v>
      </c>
      <c r="G251" s="2493">
        <v>12701</v>
      </c>
      <c r="H251" s="2492">
        <v>4810</v>
      </c>
      <c r="I251" s="2493">
        <v>7740</v>
      </c>
      <c r="J251" s="2492">
        <v>2183</v>
      </c>
      <c r="K251" s="2493">
        <v>2327</v>
      </c>
      <c r="L251" s="2492">
        <v>4662</v>
      </c>
      <c r="M251" s="2494">
        <v>5288</v>
      </c>
      <c r="N251" s="2495">
        <f t="shared" si="3"/>
        <v>55863</v>
      </c>
      <c r="O251" s="2499">
        <v>49541</v>
      </c>
      <c r="P251" s="2494">
        <v>349</v>
      </c>
      <c r="Q251" s="2500">
        <v>130648</v>
      </c>
    </row>
    <row r="252" spans="1:17">
      <c r="A252" s="2496">
        <f t="shared" si="4"/>
        <v>2011.03</v>
      </c>
      <c r="B252" s="2490">
        <v>578814</v>
      </c>
      <c r="C252" s="2711"/>
      <c r="D252" s="2712"/>
      <c r="E252" s="2491">
        <v>1913</v>
      </c>
      <c r="F252" s="2492">
        <v>15905</v>
      </c>
      <c r="G252" s="2493">
        <v>10773</v>
      </c>
      <c r="H252" s="2492">
        <v>8575</v>
      </c>
      <c r="I252" s="2493">
        <v>12671</v>
      </c>
      <c r="J252" s="2492">
        <v>4481</v>
      </c>
      <c r="K252" s="2493">
        <v>2966</v>
      </c>
      <c r="L252" s="2492">
        <v>4786</v>
      </c>
      <c r="M252" s="2494">
        <v>2027</v>
      </c>
      <c r="N252" s="2495">
        <f t="shared" si="3"/>
        <v>64097</v>
      </c>
      <c r="O252" s="2499">
        <v>73081</v>
      </c>
      <c r="P252" s="2494">
        <v>1378</v>
      </c>
      <c r="Q252" s="2500">
        <v>169106</v>
      </c>
    </row>
    <row r="253" spans="1:17">
      <c r="A253" s="2496">
        <f t="shared" si="4"/>
        <v>2011.04</v>
      </c>
      <c r="B253" s="2490">
        <v>633625</v>
      </c>
      <c r="C253" s="2711"/>
      <c r="D253" s="2712"/>
      <c r="E253" s="2491">
        <v>2636</v>
      </c>
      <c r="F253" s="2492">
        <v>18122</v>
      </c>
      <c r="G253" s="2493">
        <v>16099</v>
      </c>
      <c r="H253" s="2492">
        <v>6309</v>
      </c>
      <c r="I253" s="2493">
        <v>7746</v>
      </c>
      <c r="J253" s="2492">
        <v>3433</v>
      </c>
      <c r="K253" s="2493">
        <v>2948</v>
      </c>
      <c r="L253" s="2492">
        <v>10314</v>
      </c>
      <c r="M253" s="2494">
        <v>4000</v>
      </c>
      <c r="N253" s="2495">
        <f t="shared" si="3"/>
        <v>71607</v>
      </c>
      <c r="O253" s="2499">
        <v>33670</v>
      </c>
      <c r="P253" s="2494">
        <v>105</v>
      </c>
      <c r="Q253" s="2500">
        <v>139130</v>
      </c>
    </row>
    <row r="254" spans="1:17">
      <c r="A254" s="2496">
        <f t="shared" si="4"/>
        <v>2011.05</v>
      </c>
      <c r="B254" s="2490">
        <v>701791</v>
      </c>
      <c r="C254" s="2711"/>
      <c r="D254" s="2712"/>
      <c r="E254" s="2491">
        <v>2749</v>
      </c>
      <c r="F254" s="2492">
        <v>25211</v>
      </c>
      <c r="G254" s="2493">
        <v>14729</v>
      </c>
      <c r="H254" s="2492">
        <v>11255</v>
      </c>
      <c r="I254" s="2493">
        <v>12572</v>
      </c>
      <c r="J254" s="2492">
        <v>3068</v>
      </c>
      <c r="K254" s="2493">
        <v>2109</v>
      </c>
      <c r="L254" s="2492">
        <v>8945</v>
      </c>
      <c r="M254" s="2494">
        <v>1597</v>
      </c>
      <c r="N254" s="2495">
        <f t="shared" si="3"/>
        <v>82235</v>
      </c>
      <c r="O254" s="2499">
        <v>75744</v>
      </c>
      <c r="P254" s="2494">
        <v>1063</v>
      </c>
      <c r="Q254" s="2500">
        <v>203308</v>
      </c>
    </row>
    <row r="255" spans="1:17">
      <c r="A255" s="2496">
        <f t="shared" si="4"/>
        <v>2011.06</v>
      </c>
      <c r="B255" s="2490">
        <v>790068</v>
      </c>
      <c r="C255" s="2711"/>
      <c r="D255" s="2712"/>
      <c r="E255" s="2491">
        <v>1937</v>
      </c>
      <c r="F255" s="2492">
        <v>12613</v>
      </c>
      <c r="G255" s="2493">
        <v>5730</v>
      </c>
      <c r="H255" s="2492">
        <v>13107</v>
      </c>
      <c r="I255" s="2493">
        <v>8883</v>
      </c>
      <c r="J255" s="2492">
        <v>2558</v>
      </c>
      <c r="K255" s="2493">
        <v>2778</v>
      </c>
      <c r="L255" s="2492">
        <v>6181</v>
      </c>
      <c r="M255" s="2494">
        <v>1869</v>
      </c>
      <c r="N255" s="2495">
        <f t="shared" si="3"/>
        <v>55656</v>
      </c>
      <c r="O255" s="2499">
        <v>58478</v>
      </c>
      <c r="P255" s="2494">
        <v>2938</v>
      </c>
      <c r="Q255" s="2500">
        <v>151484</v>
      </c>
    </row>
    <row r="256" spans="1:17">
      <c r="A256" s="2496">
        <f t="shared" si="4"/>
        <v>2011.07</v>
      </c>
      <c r="B256" s="2490">
        <v>603009</v>
      </c>
      <c r="C256" s="2711"/>
      <c r="D256" s="2712"/>
      <c r="E256" s="2491">
        <v>2689</v>
      </c>
      <c r="F256" s="2492">
        <v>7975</v>
      </c>
      <c r="G256" s="2493">
        <v>6049</v>
      </c>
      <c r="H256" s="2492">
        <v>15466</v>
      </c>
      <c r="I256" s="2493">
        <v>7776</v>
      </c>
      <c r="J256" s="2492">
        <v>2486</v>
      </c>
      <c r="K256" s="2493">
        <v>2200</v>
      </c>
      <c r="L256" s="2492">
        <v>7305</v>
      </c>
      <c r="M256" s="2494">
        <v>1881</v>
      </c>
      <c r="N256" s="2495">
        <f t="shared" si="3"/>
        <v>53827</v>
      </c>
      <c r="O256" s="2499">
        <v>64794</v>
      </c>
      <c r="P256" s="2494">
        <v>4702</v>
      </c>
      <c r="Q256" s="2500">
        <v>163351</v>
      </c>
    </row>
    <row r="257" spans="1:17">
      <c r="A257" s="2496">
        <f t="shared" si="4"/>
        <v>2011.08</v>
      </c>
      <c r="B257" s="2490">
        <v>884436</v>
      </c>
      <c r="C257" s="2711"/>
      <c r="D257" s="2712"/>
      <c r="E257" s="2491">
        <v>2276</v>
      </c>
      <c r="F257" s="2492">
        <v>23854</v>
      </c>
      <c r="G257" s="2493">
        <v>9893</v>
      </c>
      <c r="H257" s="2492">
        <v>18395</v>
      </c>
      <c r="I257" s="2493">
        <v>13501</v>
      </c>
      <c r="J257" s="2492">
        <v>3505</v>
      </c>
      <c r="K257" s="2493">
        <v>7132</v>
      </c>
      <c r="L257" s="2492">
        <v>9136</v>
      </c>
      <c r="M257" s="2494">
        <v>3220</v>
      </c>
      <c r="N257" s="2495">
        <f t="shared" si="3"/>
        <v>90912</v>
      </c>
      <c r="O257" s="2499">
        <v>97490</v>
      </c>
      <c r="P257" s="2494">
        <v>2205</v>
      </c>
      <c r="Q257" s="2500">
        <v>305884</v>
      </c>
    </row>
    <row r="258" spans="1:17">
      <c r="A258" s="2496">
        <f t="shared" si="4"/>
        <v>2011.09</v>
      </c>
      <c r="B258" s="2490">
        <v>770321</v>
      </c>
      <c r="C258" s="2711"/>
      <c r="D258" s="2712"/>
      <c r="E258" s="2491">
        <v>3566</v>
      </c>
      <c r="F258" s="2492">
        <v>42682</v>
      </c>
      <c r="G258" s="2493">
        <v>8248</v>
      </c>
      <c r="H258" s="2492">
        <v>18402</v>
      </c>
      <c r="I258" s="2493">
        <v>5913</v>
      </c>
      <c r="J258" s="2492">
        <v>2945</v>
      </c>
      <c r="K258" s="2493">
        <v>2439</v>
      </c>
      <c r="L258" s="2492">
        <v>9653</v>
      </c>
      <c r="M258" s="2494">
        <v>3111</v>
      </c>
      <c r="N258" s="2495">
        <f t="shared" si="3"/>
        <v>96959</v>
      </c>
      <c r="O258" s="2499">
        <v>71005</v>
      </c>
      <c r="P258" s="2494">
        <v>535</v>
      </c>
      <c r="Q258" s="2500">
        <v>211780</v>
      </c>
    </row>
    <row r="259" spans="1:17">
      <c r="A259" s="2496">
        <f t="shared" si="4"/>
        <v>2011.1</v>
      </c>
      <c r="B259" s="2490">
        <v>789984</v>
      </c>
      <c r="C259" s="2711"/>
      <c r="D259" s="2712"/>
      <c r="E259" s="2491">
        <v>3259</v>
      </c>
      <c r="F259" s="2492">
        <v>18618</v>
      </c>
      <c r="G259" s="2493">
        <v>10327</v>
      </c>
      <c r="H259" s="2492">
        <v>19761</v>
      </c>
      <c r="I259" s="2493">
        <v>676</v>
      </c>
      <c r="J259" s="2492">
        <v>3050</v>
      </c>
      <c r="K259" s="2493">
        <v>4899</v>
      </c>
      <c r="L259" s="2492">
        <v>7356</v>
      </c>
      <c r="M259" s="2494">
        <v>2634</v>
      </c>
      <c r="N259" s="2495">
        <f t="shared" si="3"/>
        <v>70580</v>
      </c>
      <c r="O259" s="2499">
        <v>62524</v>
      </c>
      <c r="P259" s="2494">
        <v>2045</v>
      </c>
      <c r="Q259" s="2500">
        <v>180558</v>
      </c>
    </row>
    <row r="260" spans="1:17">
      <c r="A260" s="2496">
        <f t="shared" si="4"/>
        <v>2011.11</v>
      </c>
      <c r="B260" s="2490">
        <v>692215</v>
      </c>
      <c r="C260" s="2711"/>
      <c r="D260" s="2712"/>
      <c r="E260" s="2491">
        <v>1596</v>
      </c>
      <c r="F260" s="2492">
        <v>38015</v>
      </c>
      <c r="G260" s="2493">
        <v>9338</v>
      </c>
      <c r="H260" s="2492">
        <v>16047</v>
      </c>
      <c r="I260" s="2493">
        <v>6149</v>
      </c>
      <c r="J260" s="2492">
        <v>2271</v>
      </c>
      <c r="K260" s="2493">
        <v>1274</v>
      </c>
      <c r="L260" s="2492">
        <v>8541</v>
      </c>
      <c r="M260" s="2494">
        <v>2218</v>
      </c>
      <c r="N260" s="2495">
        <f t="shared" si="3"/>
        <v>85449</v>
      </c>
      <c r="O260" s="2499">
        <v>63396</v>
      </c>
      <c r="P260" s="2922" t="s">
        <v>1563</v>
      </c>
      <c r="Q260" s="2500">
        <v>199105</v>
      </c>
    </row>
    <row r="261" spans="1:17">
      <c r="A261" s="2496">
        <f t="shared" si="4"/>
        <v>2011.12</v>
      </c>
      <c r="B261" s="2490">
        <v>690243</v>
      </c>
      <c r="C261" s="2711"/>
      <c r="D261" s="2712"/>
      <c r="E261" s="2491">
        <v>2473</v>
      </c>
      <c r="F261" s="2492">
        <v>14116</v>
      </c>
      <c r="G261" s="2493">
        <v>7219</v>
      </c>
      <c r="H261" s="2492">
        <v>17864</v>
      </c>
      <c r="I261" s="2493">
        <v>7818</v>
      </c>
      <c r="J261" s="2492">
        <v>2854</v>
      </c>
      <c r="K261" s="2493">
        <v>3967</v>
      </c>
      <c r="L261" s="2492">
        <v>6016</v>
      </c>
      <c r="M261" s="2494">
        <v>4316</v>
      </c>
      <c r="N261" s="2495">
        <f t="shared" si="3"/>
        <v>66643</v>
      </c>
      <c r="O261" s="2499">
        <v>49756</v>
      </c>
      <c r="P261" s="2494">
        <v>845</v>
      </c>
      <c r="Q261" s="2500">
        <v>175825</v>
      </c>
    </row>
    <row r="262" spans="1:17">
      <c r="A262" s="2496">
        <f t="shared" si="4"/>
        <v>2012.01</v>
      </c>
      <c r="B262" s="2490">
        <v>517001</v>
      </c>
      <c r="C262" s="2711"/>
      <c r="D262" s="2712"/>
      <c r="E262" s="2491">
        <v>1478</v>
      </c>
      <c r="F262" s="2492">
        <v>18053</v>
      </c>
      <c r="G262" s="2493">
        <v>0</v>
      </c>
      <c r="H262" s="2492">
        <v>11032</v>
      </c>
      <c r="I262" s="2493">
        <v>7158</v>
      </c>
      <c r="J262" s="2492">
        <v>1192</v>
      </c>
      <c r="K262" s="2493">
        <v>1421</v>
      </c>
      <c r="L262" s="2492">
        <v>4495</v>
      </c>
      <c r="M262" s="2494">
        <v>2682</v>
      </c>
      <c r="N262" s="2495">
        <f t="shared" si="3"/>
        <v>47511</v>
      </c>
      <c r="O262" s="2499">
        <v>71501</v>
      </c>
      <c r="P262" s="2494">
        <v>0</v>
      </c>
      <c r="Q262" s="2500">
        <v>146122</v>
      </c>
    </row>
    <row r="263" spans="1:17">
      <c r="A263" s="2496">
        <f t="shared" si="4"/>
        <v>2012.02</v>
      </c>
      <c r="B263" s="2490">
        <v>537555</v>
      </c>
      <c r="C263" s="2711"/>
      <c r="D263" s="2712"/>
      <c r="E263" s="2491">
        <v>1540</v>
      </c>
      <c r="F263" s="2492">
        <v>15518</v>
      </c>
      <c r="G263" s="2493">
        <v>9393</v>
      </c>
      <c r="H263" s="2492">
        <v>8339</v>
      </c>
      <c r="I263" s="2493">
        <v>5376</v>
      </c>
      <c r="J263" s="2492">
        <v>2948</v>
      </c>
      <c r="K263" s="2493">
        <v>1324</v>
      </c>
      <c r="L263" s="2492">
        <v>3551</v>
      </c>
      <c r="M263" s="2494">
        <v>1634</v>
      </c>
      <c r="N263" s="2495">
        <f t="shared" si="3"/>
        <v>49623</v>
      </c>
      <c r="O263" s="2499">
        <v>54220</v>
      </c>
      <c r="P263" s="2494">
        <v>915</v>
      </c>
      <c r="Q263" s="2500">
        <v>139400</v>
      </c>
    </row>
    <row r="264" spans="1:17">
      <c r="A264" s="2496">
        <f t="shared" si="4"/>
        <v>2012.03</v>
      </c>
      <c r="B264" s="2490">
        <v>649256</v>
      </c>
      <c r="C264" s="2711"/>
      <c r="D264" s="2712"/>
      <c r="E264" s="2491">
        <v>1565</v>
      </c>
      <c r="F264" s="2492">
        <v>5523</v>
      </c>
      <c r="G264" s="2493">
        <v>4925</v>
      </c>
      <c r="H264" s="2492">
        <v>8386</v>
      </c>
      <c r="I264" s="2493">
        <v>4211</v>
      </c>
      <c r="J264" s="2492">
        <v>4143</v>
      </c>
      <c r="K264" s="2493">
        <v>2207</v>
      </c>
      <c r="L264" s="2492">
        <v>11305</v>
      </c>
      <c r="M264" s="2494">
        <v>2734</v>
      </c>
      <c r="N264" s="2495">
        <f t="shared" si="3"/>
        <v>44999</v>
      </c>
      <c r="O264" s="2499">
        <v>46367</v>
      </c>
      <c r="P264" s="2494">
        <v>257</v>
      </c>
      <c r="Q264" s="2500">
        <v>132990</v>
      </c>
    </row>
    <row r="265" spans="1:17">
      <c r="A265" s="2496">
        <f t="shared" si="4"/>
        <v>2012.04</v>
      </c>
      <c r="B265" s="2490">
        <v>551374</v>
      </c>
      <c r="C265" s="2711"/>
      <c r="D265" s="2712"/>
      <c r="E265" s="2921">
        <v>5009</v>
      </c>
      <c r="F265" s="2492">
        <v>17110</v>
      </c>
      <c r="G265" s="2493">
        <v>10425</v>
      </c>
      <c r="H265" s="2492">
        <v>10429</v>
      </c>
      <c r="I265" s="2493">
        <v>3604</v>
      </c>
      <c r="J265" s="2492">
        <v>5324</v>
      </c>
      <c r="K265" s="2493">
        <v>3426</v>
      </c>
      <c r="L265" s="2492">
        <v>9505</v>
      </c>
      <c r="M265" s="2494">
        <v>1103</v>
      </c>
      <c r="N265" s="2495">
        <f t="shared" si="3"/>
        <v>65935</v>
      </c>
      <c r="O265" s="2499">
        <v>57512</v>
      </c>
      <c r="P265" s="2494">
        <v>1276</v>
      </c>
      <c r="Q265" s="2500">
        <v>149544</v>
      </c>
    </row>
    <row r="266" spans="1:17">
      <c r="A266" s="2496">
        <f t="shared" si="4"/>
        <v>2012.05</v>
      </c>
      <c r="B266" s="2490">
        <v>667898</v>
      </c>
      <c r="C266" s="2711"/>
      <c r="D266" s="2712"/>
      <c r="E266" s="2491">
        <v>2804</v>
      </c>
      <c r="F266" s="2492">
        <v>14758</v>
      </c>
      <c r="G266" s="2493">
        <v>10463</v>
      </c>
      <c r="H266" s="2492">
        <v>18105</v>
      </c>
      <c r="I266" s="2493">
        <v>14595</v>
      </c>
      <c r="J266" s="2492">
        <v>3441</v>
      </c>
      <c r="K266" s="2493">
        <v>4032</v>
      </c>
      <c r="L266" s="2492">
        <v>3760</v>
      </c>
      <c r="M266" s="2494">
        <v>2390</v>
      </c>
      <c r="N266" s="2495">
        <f t="shared" si="3"/>
        <v>74348</v>
      </c>
      <c r="O266" s="2499">
        <v>87164</v>
      </c>
      <c r="P266" s="2494">
        <v>886</v>
      </c>
      <c r="Q266" s="2500">
        <v>203211</v>
      </c>
    </row>
    <row r="267" spans="1:17">
      <c r="A267" s="2496">
        <f t="shared" si="4"/>
        <v>2012.06</v>
      </c>
      <c r="B267" s="2490">
        <v>633073</v>
      </c>
      <c r="C267" s="2711"/>
      <c r="D267" s="2712"/>
      <c r="E267" s="2491">
        <v>1847</v>
      </c>
      <c r="F267" s="2492">
        <v>8465</v>
      </c>
      <c r="G267" s="2493">
        <v>13254</v>
      </c>
      <c r="H267" s="2492">
        <v>10835</v>
      </c>
      <c r="I267" s="2493">
        <v>9775</v>
      </c>
      <c r="J267" s="2492">
        <v>1346</v>
      </c>
      <c r="K267" s="2493">
        <v>3898</v>
      </c>
      <c r="L267" s="2492">
        <v>6905</v>
      </c>
      <c r="M267" s="2494">
        <v>2297</v>
      </c>
      <c r="N267" s="2495">
        <f t="shared" ref="N267:N330" si="5">SUM(E267:M267)</f>
        <v>58622</v>
      </c>
      <c r="O267" s="2499">
        <v>57539</v>
      </c>
      <c r="P267" s="2494">
        <v>4459</v>
      </c>
      <c r="Q267" s="2500">
        <v>184724</v>
      </c>
    </row>
    <row r="268" spans="1:17">
      <c r="A268" s="2496">
        <f t="shared" si="4"/>
        <v>2012.07</v>
      </c>
      <c r="B268" s="2490">
        <v>537671</v>
      </c>
      <c r="C268" s="2711"/>
      <c r="D268" s="2712"/>
      <c r="E268" s="2491">
        <v>105</v>
      </c>
      <c r="F268" s="2492">
        <v>8077</v>
      </c>
      <c r="G268" s="2493">
        <v>15896</v>
      </c>
      <c r="H268" s="2492">
        <v>22233</v>
      </c>
      <c r="I268" s="2493">
        <v>6271</v>
      </c>
      <c r="J268" s="2492">
        <v>1731</v>
      </c>
      <c r="K268" s="2493">
        <v>3880</v>
      </c>
      <c r="L268" s="2492">
        <v>6453</v>
      </c>
      <c r="M268" s="2494">
        <v>1427</v>
      </c>
      <c r="N268" s="2495">
        <f t="shared" si="5"/>
        <v>66073</v>
      </c>
      <c r="O268" s="2499">
        <v>67303</v>
      </c>
      <c r="P268" s="2494">
        <v>5704</v>
      </c>
      <c r="Q268" s="2500">
        <v>189677</v>
      </c>
    </row>
    <row r="269" spans="1:17">
      <c r="A269" s="2496">
        <f t="shared" si="4"/>
        <v>2012.08</v>
      </c>
      <c r="B269" s="2490">
        <v>897584</v>
      </c>
      <c r="C269" s="2711"/>
      <c r="D269" s="2712"/>
      <c r="E269" s="2491">
        <v>2560</v>
      </c>
      <c r="F269" s="2492">
        <v>30176</v>
      </c>
      <c r="G269" s="2493">
        <v>11106</v>
      </c>
      <c r="H269" s="2492">
        <v>28629</v>
      </c>
      <c r="I269" s="2493">
        <v>20247</v>
      </c>
      <c r="J269" s="2492">
        <v>4963</v>
      </c>
      <c r="K269" s="2493">
        <v>4563</v>
      </c>
      <c r="L269" s="2492">
        <v>8508</v>
      </c>
      <c r="M269" s="2494">
        <v>5857</v>
      </c>
      <c r="N269" s="2495">
        <f t="shared" si="5"/>
        <v>116609</v>
      </c>
      <c r="O269" s="2499">
        <v>62088</v>
      </c>
      <c r="P269" s="2494">
        <v>662</v>
      </c>
      <c r="Q269" s="2500">
        <v>236141</v>
      </c>
    </row>
    <row r="270" spans="1:17">
      <c r="A270" s="2496">
        <f t="shared" si="4"/>
        <v>2012.09</v>
      </c>
      <c r="B270" s="2490">
        <v>712294</v>
      </c>
      <c r="C270" s="2711"/>
      <c r="D270" s="2712"/>
      <c r="E270" s="2491">
        <v>1069</v>
      </c>
      <c r="F270" s="2920">
        <v>30498</v>
      </c>
      <c r="G270" s="2493">
        <v>9053</v>
      </c>
      <c r="H270" s="2492">
        <v>20281</v>
      </c>
      <c r="I270" s="2493">
        <v>6516</v>
      </c>
      <c r="J270" s="2492">
        <v>2451</v>
      </c>
      <c r="K270" s="2493">
        <v>2010</v>
      </c>
      <c r="L270" s="2492">
        <v>7446</v>
      </c>
      <c r="M270" s="2494">
        <v>2531</v>
      </c>
      <c r="N270" s="2495">
        <f t="shared" si="5"/>
        <v>81855</v>
      </c>
      <c r="O270" s="2499">
        <v>47932</v>
      </c>
      <c r="P270" s="2494">
        <v>500</v>
      </c>
      <c r="Q270" s="2500">
        <v>134451</v>
      </c>
    </row>
    <row r="271" spans="1:17">
      <c r="A271" s="2496">
        <f t="shared" si="4"/>
        <v>2012.1</v>
      </c>
      <c r="B271" s="2490">
        <v>866944</v>
      </c>
      <c r="C271" s="2711"/>
      <c r="D271" s="2712"/>
      <c r="E271" s="2491">
        <v>2807</v>
      </c>
      <c r="F271" s="2492">
        <v>12739</v>
      </c>
      <c r="G271" s="2493">
        <v>8975</v>
      </c>
      <c r="H271" s="2492">
        <v>12200</v>
      </c>
      <c r="I271" s="2493">
        <v>7488</v>
      </c>
      <c r="J271" s="2492">
        <v>2385</v>
      </c>
      <c r="K271" s="2493">
        <v>2993</v>
      </c>
      <c r="L271" s="2492">
        <v>6926</v>
      </c>
      <c r="M271" s="2494">
        <v>2024</v>
      </c>
      <c r="N271" s="2495">
        <f t="shared" si="5"/>
        <v>58537</v>
      </c>
      <c r="O271" s="2499">
        <v>60654</v>
      </c>
      <c r="P271" s="2494">
        <v>309</v>
      </c>
      <c r="Q271" s="2500">
        <v>159811</v>
      </c>
    </row>
    <row r="272" spans="1:17">
      <c r="A272" s="2496">
        <f t="shared" si="4"/>
        <v>2012.11</v>
      </c>
      <c r="B272" s="2490">
        <v>650084</v>
      </c>
      <c r="C272" s="2711"/>
      <c r="D272" s="2712"/>
      <c r="E272" s="2491">
        <v>4297</v>
      </c>
      <c r="F272" s="2492">
        <v>14633</v>
      </c>
      <c r="G272" s="2493">
        <v>6186</v>
      </c>
      <c r="H272" s="2492">
        <v>14276</v>
      </c>
      <c r="I272" s="2493">
        <v>6990</v>
      </c>
      <c r="J272" s="2492">
        <v>2690</v>
      </c>
      <c r="K272" s="2493">
        <v>4435</v>
      </c>
      <c r="L272" s="2492">
        <v>5600</v>
      </c>
      <c r="M272" s="2494">
        <v>2538</v>
      </c>
      <c r="N272" s="2495">
        <f t="shared" si="5"/>
        <v>61645</v>
      </c>
      <c r="O272" s="2499">
        <v>56507</v>
      </c>
      <c r="P272" s="2494">
        <v>2798</v>
      </c>
      <c r="Q272" s="2500">
        <v>153489</v>
      </c>
    </row>
    <row r="273" spans="1:16368">
      <c r="A273" s="2496">
        <f t="shared" si="4"/>
        <v>2012.12</v>
      </c>
      <c r="B273" s="2490">
        <v>788119</v>
      </c>
      <c r="C273" s="2711"/>
      <c r="D273" s="2712"/>
      <c r="E273" s="2491">
        <v>1800</v>
      </c>
      <c r="F273" s="2492">
        <v>10142</v>
      </c>
      <c r="G273" s="2493">
        <v>3988</v>
      </c>
      <c r="H273" s="2492">
        <v>12985</v>
      </c>
      <c r="I273" s="2493">
        <v>3976</v>
      </c>
      <c r="J273" s="2492">
        <v>2485</v>
      </c>
      <c r="K273" s="2493">
        <v>3111</v>
      </c>
      <c r="L273" s="2492">
        <v>4081</v>
      </c>
      <c r="M273" s="2494">
        <v>1617</v>
      </c>
      <c r="N273" s="2495">
        <f t="shared" si="5"/>
        <v>44185</v>
      </c>
      <c r="O273" s="2499">
        <v>35731</v>
      </c>
      <c r="P273" s="2494">
        <v>3609</v>
      </c>
      <c r="Q273" s="2500">
        <v>127706</v>
      </c>
    </row>
    <row r="274" spans="1:16368">
      <c r="A274" s="2496">
        <f t="shared" si="4"/>
        <v>2013.01</v>
      </c>
      <c r="B274" s="2490">
        <v>491563</v>
      </c>
      <c r="C274" s="2711"/>
      <c r="D274" s="2712"/>
      <c r="E274" s="2491">
        <v>2528</v>
      </c>
      <c r="F274" s="2492">
        <v>11171</v>
      </c>
      <c r="G274" s="2493">
        <v>1237</v>
      </c>
      <c r="H274" s="2492">
        <v>10990</v>
      </c>
      <c r="I274" s="2493">
        <v>6887</v>
      </c>
      <c r="J274" s="2492">
        <v>4548</v>
      </c>
      <c r="K274" s="2493">
        <v>7192</v>
      </c>
      <c r="L274" s="2492">
        <v>9769</v>
      </c>
      <c r="M274" s="2494">
        <v>2719</v>
      </c>
      <c r="N274" s="2495">
        <f t="shared" si="5"/>
        <v>57041</v>
      </c>
      <c r="O274" s="2499">
        <v>72324</v>
      </c>
      <c r="P274" s="2494">
        <v>507</v>
      </c>
      <c r="Q274" s="2500">
        <v>195114</v>
      </c>
    </row>
    <row r="275" spans="1:16368" s="2501" customFormat="1">
      <c r="A275" s="2496">
        <f t="shared" si="4"/>
        <v>2013.02</v>
      </c>
      <c r="B275" s="2490">
        <v>526011</v>
      </c>
      <c r="C275" s="2711"/>
      <c r="D275" s="2712"/>
      <c r="E275" s="2491">
        <v>1531</v>
      </c>
      <c r="F275" s="2492">
        <v>12102</v>
      </c>
      <c r="G275" s="2493">
        <v>10208</v>
      </c>
      <c r="H275" s="2492">
        <v>13756</v>
      </c>
      <c r="I275" s="2493">
        <v>5769</v>
      </c>
      <c r="J275" s="2492">
        <v>2798</v>
      </c>
      <c r="K275" s="2493">
        <v>2958</v>
      </c>
      <c r="L275" s="2492">
        <v>3986</v>
      </c>
      <c r="M275" s="2494">
        <v>1062</v>
      </c>
      <c r="N275" s="2495">
        <f t="shared" si="5"/>
        <v>54170</v>
      </c>
      <c r="O275" s="2499">
        <v>22613</v>
      </c>
      <c r="P275" s="2494">
        <v>2312</v>
      </c>
      <c r="Q275" s="2500">
        <v>109513</v>
      </c>
      <c r="R275" s="580"/>
      <c r="S275" s="580"/>
      <c r="T275" s="580"/>
      <c r="U275" s="580"/>
      <c r="V275" s="580"/>
      <c r="W275" s="580"/>
      <c r="X275" s="580"/>
      <c r="Y275" s="580"/>
      <c r="Z275" s="580"/>
      <c r="AA275" s="580"/>
      <c r="AB275" s="580"/>
      <c r="AC275" s="580"/>
      <c r="AD275" s="580"/>
      <c r="AE275" s="580"/>
      <c r="AF275" s="580"/>
      <c r="AG275" s="580"/>
      <c r="AH275" s="580"/>
      <c r="AI275" s="580"/>
      <c r="AJ275" s="580"/>
      <c r="AK275" s="580"/>
      <c r="AL275" s="580"/>
      <c r="AM275" s="580"/>
      <c r="AN275" s="580"/>
      <c r="AO275" s="580"/>
      <c r="AP275" s="580"/>
      <c r="AQ275" s="580"/>
      <c r="AR275" s="580"/>
      <c r="AS275" s="580"/>
      <c r="AT275" s="580"/>
      <c r="AU275" s="580"/>
      <c r="AV275" s="580"/>
      <c r="AW275" s="580"/>
      <c r="AX275" s="580"/>
      <c r="AY275" s="580"/>
      <c r="AZ275" s="580"/>
      <c r="BA275" s="580"/>
      <c r="BB275" s="580"/>
      <c r="BC275" s="580"/>
      <c r="BD275" s="580"/>
      <c r="BE275" s="580"/>
      <c r="BF275" s="580"/>
      <c r="BG275" s="580"/>
      <c r="BH275" s="580"/>
      <c r="BI275" s="580"/>
      <c r="BJ275" s="580"/>
      <c r="BK275" s="580"/>
      <c r="BL275" s="580"/>
      <c r="BM275" s="580"/>
      <c r="BN275" s="580"/>
      <c r="BO275" s="580"/>
      <c r="BP275" s="580"/>
      <c r="BQ275" s="580"/>
      <c r="BR275" s="580"/>
      <c r="BS275" s="580"/>
      <c r="BT275" s="580"/>
      <c r="BU275" s="580"/>
      <c r="BV275" s="580"/>
      <c r="BW275" s="580"/>
      <c r="BX275" s="580"/>
      <c r="BY275" s="580"/>
      <c r="BZ275" s="580"/>
      <c r="CA275" s="580"/>
      <c r="CB275" s="580"/>
      <c r="CC275" s="580"/>
      <c r="CD275" s="580"/>
      <c r="CE275" s="580"/>
      <c r="CF275" s="580"/>
      <c r="CG275" s="580"/>
      <c r="CH275" s="580"/>
      <c r="CI275" s="580"/>
      <c r="CJ275" s="580"/>
      <c r="CK275" s="580"/>
      <c r="CL275" s="580"/>
      <c r="CM275" s="580"/>
      <c r="CN275" s="580"/>
      <c r="CO275" s="580"/>
      <c r="CP275" s="580"/>
      <c r="CQ275" s="580"/>
      <c r="CR275" s="580"/>
      <c r="CS275" s="580"/>
      <c r="CT275" s="580"/>
      <c r="CU275" s="580"/>
      <c r="CV275" s="580"/>
      <c r="CW275" s="580"/>
      <c r="CX275" s="580"/>
      <c r="CY275" s="580"/>
      <c r="CZ275" s="580"/>
      <c r="DA275" s="580"/>
      <c r="DB275" s="580"/>
      <c r="DC275" s="580"/>
      <c r="DD275" s="580"/>
      <c r="DE275" s="580"/>
      <c r="DF275" s="580"/>
      <c r="DG275" s="580"/>
      <c r="DH275" s="580"/>
      <c r="DI275" s="580"/>
      <c r="DJ275" s="580"/>
      <c r="DK275" s="580"/>
      <c r="DL275" s="580"/>
      <c r="DM275" s="580"/>
      <c r="DN275" s="580"/>
      <c r="DO275" s="580"/>
      <c r="DP275" s="580"/>
      <c r="DQ275" s="580"/>
      <c r="DR275" s="580"/>
      <c r="DS275" s="580"/>
      <c r="DT275" s="580"/>
      <c r="DU275" s="580"/>
      <c r="DV275" s="580"/>
      <c r="DW275" s="580"/>
      <c r="DX275" s="580"/>
      <c r="DY275" s="580"/>
      <c r="DZ275" s="580"/>
      <c r="EA275" s="580"/>
      <c r="EB275" s="580"/>
      <c r="EC275" s="580"/>
      <c r="ED275" s="580"/>
      <c r="EE275" s="580"/>
      <c r="EF275" s="580"/>
      <c r="EG275" s="580"/>
      <c r="EH275" s="580"/>
      <c r="EI275" s="580"/>
      <c r="EJ275" s="580"/>
      <c r="EK275" s="580"/>
      <c r="EL275" s="580"/>
      <c r="EM275" s="580"/>
      <c r="EN275" s="580"/>
      <c r="EO275" s="580"/>
      <c r="EP275" s="580"/>
      <c r="EQ275" s="580"/>
      <c r="ER275" s="580"/>
      <c r="ES275" s="580"/>
      <c r="ET275" s="580"/>
      <c r="EU275" s="580"/>
      <c r="EV275" s="580"/>
      <c r="EW275" s="580"/>
      <c r="EX275" s="580"/>
      <c r="EY275" s="580"/>
      <c r="EZ275" s="580"/>
      <c r="FA275" s="580"/>
      <c r="FB275" s="580"/>
      <c r="FC275" s="580"/>
      <c r="FD275" s="580"/>
      <c r="FE275" s="580"/>
      <c r="FF275" s="580"/>
      <c r="FG275" s="580"/>
      <c r="FH275" s="580"/>
      <c r="FI275" s="580"/>
      <c r="FJ275" s="580"/>
      <c r="FK275" s="580"/>
      <c r="FL275" s="580"/>
      <c r="FM275" s="580"/>
      <c r="FN275" s="580"/>
      <c r="FO275" s="580"/>
      <c r="FP275" s="580"/>
      <c r="FQ275" s="580"/>
      <c r="FR275" s="580"/>
      <c r="FS275" s="580"/>
      <c r="FT275" s="580"/>
      <c r="FU275" s="580"/>
      <c r="FV275" s="580"/>
      <c r="FW275" s="580"/>
      <c r="FX275" s="580"/>
      <c r="FY275" s="580"/>
      <c r="FZ275" s="580"/>
      <c r="GA275" s="580"/>
      <c r="GB275" s="580"/>
      <c r="GC275" s="580"/>
      <c r="GD275" s="580"/>
      <c r="GE275" s="580"/>
      <c r="GF275" s="580"/>
      <c r="GG275" s="580"/>
      <c r="GH275" s="580"/>
      <c r="GI275" s="580"/>
      <c r="GJ275" s="580"/>
      <c r="GK275" s="580"/>
      <c r="GL275" s="580"/>
      <c r="GM275" s="580"/>
      <c r="GN275" s="580"/>
      <c r="GO275" s="580"/>
      <c r="GP275" s="580"/>
      <c r="GQ275" s="580"/>
      <c r="GR275" s="580"/>
      <c r="GS275" s="580"/>
      <c r="GT275" s="580"/>
      <c r="GU275" s="580"/>
      <c r="GV275" s="580"/>
      <c r="GW275" s="580"/>
      <c r="GX275" s="580"/>
      <c r="GY275" s="580"/>
      <c r="GZ275" s="580"/>
      <c r="HA275" s="580"/>
      <c r="HB275" s="580"/>
      <c r="HC275" s="580"/>
      <c r="HD275" s="580"/>
      <c r="HE275" s="580"/>
      <c r="HF275" s="580"/>
      <c r="HG275" s="580"/>
      <c r="HH275" s="580"/>
      <c r="HI275" s="580"/>
      <c r="HJ275" s="580"/>
      <c r="HK275" s="580"/>
      <c r="HL275" s="580"/>
      <c r="HM275" s="580"/>
      <c r="HN275" s="580"/>
      <c r="HO275" s="580"/>
      <c r="HP275" s="580"/>
      <c r="HQ275" s="580"/>
      <c r="HR275" s="580"/>
      <c r="HS275" s="580"/>
      <c r="HT275" s="580"/>
      <c r="HU275" s="580"/>
      <c r="HV275" s="580"/>
      <c r="HW275" s="580"/>
      <c r="HX275" s="580"/>
      <c r="HY275" s="580"/>
      <c r="HZ275" s="580"/>
      <c r="IA275" s="580"/>
      <c r="IB275" s="580"/>
      <c r="IC275" s="580"/>
      <c r="ID275" s="580"/>
      <c r="IE275" s="580"/>
      <c r="IF275" s="580"/>
      <c r="IG275" s="580"/>
      <c r="IH275" s="580"/>
      <c r="II275" s="580"/>
      <c r="IJ275" s="580"/>
      <c r="IK275" s="580"/>
      <c r="IL275" s="580"/>
      <c r="IM275" s="580"/>
      <c r="IN275" s="580"/>
      <c r="IO275" s="580"/>
      <c r="IP275" s="580"/>
      <c r="IQ275" s="580"/>
      <c r="IR275" s="580"/>
      <c r="IS275" s="580"/>
      <c r="IT275" s="580"/>
      <c r="IU275" s="580"/>
      <c r="IV275" s="580"/>
      <c r="IW275" s="580"/>
      <c r="IX275" s="580"/>
      <c r="IY275" s="580"/>
      <c r="IZ275" s="580"/>
      <c r="JA275" s="580"/>
      <c r="JB275" s="580"/>
      <c r="JC275" s="580"/>
      <c r="JD275" s="580"/>
      <c r="JE275" s="580"/>
      <c r="JF275" s="580"/>
      <c r="JG275" s="580"/>
      <c r="JH275" s="580"/>
      <c r="JI275" s="580"/>
      <c r="JJ275" s="580"/>
      <c r="JK275" s="580"/>
      <c r="JL275" s="580"/>
      <c r="JM275" s="580"/>
      <c r="JN275" s="580"/>
      <c r="JO275" s="580"/>
      <c r="JP275" s="580"/>
      <c r="JQ275" s="580"/>
      <c r="JR275" s="580"/>
      <c r="JS275" s="580"/>
      <c r="JT275" s="580"/>
      <c r="JU275" s="580"/>
      <c r="JV275" s="580"/>
      <c r="JW275" s="580"/>
      <c r="JX275" s="580"/>
      <c r="JY275" s="580"/>
      <c r="JZ275" s="580"/>
      <c r="KA275" s="580"/>
      <c r="KB275" s="580"/>
      <c r="KC275" s="580"/>
      <c r="KD275" s="580"/>
      <c r="KE275" s="580"/>
      <c r="KF275" s="580"/>
      <c r="KG275" s="580"/>
      <c r="KH275" s="580"/>
      <c r="KI275" s="580"/>
      <c r="KJ275" s="580"/>
      <c r="KK275" s="580"/>
      <c r="KL275" s="580"/>
      <c r="KM275" s="580"/>
      <c r="KN275" s="580"/>
      <c r="KO275" s="580"/>
      <c r="KP275" s="580"/>
      <c r="KQ275" s="580"/>
      <c r="KR275" s="580"/>
      <c r="KS275" s="580"/>
      <c r="KT275" s="580"/>
      <c r="KU275" s="580"/>
      <c r="KV275" s="580"/>
      <c r="KW275" s="580"/>
      <c r="KX275" s="580"/>
      <c r="KY275" s="580"/>
      <c r="KZ275" s="580"/>
      <c r="LA275" s="580"/>
      <c r="LB275" s="580"/>
      <c r="LC275" s="580"/>
      <c r="LD275" s="580"/>
      <c r="LE275" s="580"/>
      <c r="LF275" s="580"/>
      <c r="LG275" s="580"/>
      <c r="LH275" s="580"/>
      <c r="LI275" s="580"/>
      <c r="LJ275" s="580"/>
      <c r="LK275" s="580"/>
      <c r="LL275" s="580"/>
      <c r="LM275" s="580"/>
      <c r="LN275" s="580"/>
      <c r="LO275" s="580"/>
      <c r="LP275" s="580"/>
      <c r="LQ275" s="580"/>
      <c r="LR275" s="580"/>
      <c r="LS275" s="580"/>
      <c r="LT275" s="580"/>
      <c r="LU275" s="580"/>
      <c r="LV275" s="580"/>
      <c r="LW275" s="580"/>
      <c r="LX275" s="580"/>
      <c r="LY275" s="580"/>
      <c r="LZ275" s="580"/>
      <c r="MA275" s="580"/>
      <c r="MB275" s="580"/>
      <c r="MC275" s="580"/>
      <c r="MD275" s="580"/>
      <c r="ME275" s="580"/>
      <c r="MF275" s="580"/>
      <c r="MG275" s="580"/>
      <c r="MH275" s="580"/>
      <c r="MI275" s="580"/>
      <c r="MJ275" s="580"/>
      <c r="MK275" s="580"/>
      <c r="ML275" s="580"/>
      <c r="MM275" s="580"/>
      <c r="MN275" s="580"/>
      <c r="MO275" s="580"/>
      <c r="MP275" s="580"/>
      <c r="MQ275" s="580"/>
      <c r="MR275" s="580"/>
      <c r="MS275" s="580"/>
      <c r="MT275" s="580"/>
      <c r="MU275" s="580"/>
      <c r="MV275" s="580"/>
      <c r="MW275" s="580"/>
      <c r="MX275" s="580"/>
      <c r="MY275" s="580"/>
      <c r="MZ275" s="580"/>
      <c r="NA275" s="580"/>
      <c r="NB275" s="580"/>
      <c r="NC275" s="580"/>
      <c r="ND275" s="580"/>
      <c r="NE275" s="580"/>
      <c r="NF275" s="580"/>
      <c r="NG275" s="580"/>
      <c r="NH275" s="580"/>
      <c r="NI275" s="580"/>
      <c r="NJ275" s="580"/>
      <c r="NK275" s="580"/>
      <c r="NL275" s="580"/>
      <c r="NM275" s="580"/>
      <c r="NN275" s="580"/>
      <c r="NO275" s="580"/>
      <c r="NP275" s="580"/>
      <c r="NQ275" s="580"/>
      <c r="NR275" s="580"/>
      <c r="NS275" s="580"/>
      <c r="NT275" s="580"/>
      <c r="NU275" s="580"/>
      <c r="NV275" s="580"/>
      <c r="NW275" s="580"/>
      <c r="NX275" s="580"/>
      <c r="NY275" s="580"/>
      <c r="NZ275" s="580"/>
      <c r="OA275" s="580"/>
      <c r="OB275" s="580"/>
      <c r="OC275" s="580"/>
      <c r="OD275" s="580"/>
      <c r="OE275" s="580"/>
      <c r="OF275" s="580"/>
      <c r="OG275" s="580"/>
      <c r="OH275" s="580"/>
      <c r="OI275" s="580"/>
      <c r="OJ275" s="580"/>
      <c r="OK275" s="580"/>
      <c r="OL275" s="580"/>
      <c r="OM275" s="580"/>
      <c r="ON275" s="580"/>
      <c r="OO275" s="580"/>
      <c r="OP275" s="580"/>
      <c r="OQ275" s="580"/>
      <c r="OR275" s="580"/>
      <c r="OS275" s="580"/>
      <c r="OT275" s="580"/>
      <c r="OU275" s="580"/>
      <c r="OV275" s="580"/>
      <c r="OW275" s="580"/>
      <c r="OX275" s="580"/>
      <c r="OY275" s="580"/>
      <c r="OZ275" s="580"/>
      <c r="PA275" s="580"/>
      <c r="PB275" s="580"/>
      <c r="PC275" s="580"/>
      <c r="PD275" s="580"/>
      <c r="PE275" s="580"/>
      <c r="PF275" s="580"/>
      <c r="PG275" s="580"/>
      <c r="PH275" s="580"/>
      <c r="PI275" s="580"/>
      <c r="PJ275" s="580"/>
      <c r="PK275" s="580"/>
      <c r="PL275" s="580"/>
      <c r="PM275" s="580"/>
      <c r="PN275" s="580"/>
      <c r="PO275" s="580"/>
      <c r="PP275" s="580"/>
      <c r="PQ275" s="580"/>
      <c r="PR275" s="580"/>
      <c r="PS275" s="580"/>
      <c r="PT275" s="580"/>
      <c r="PU275" s="580"/>
      <c r="PV275" s="580"/>
      <c r="PW275" s="580"/>
      <c r="PX275" s="580"/>
      <c r="PY275" s="580"/>
      <c r="PZ275" s="580"/>
      <c r="QA275" s="580"/>
      <c r="QB275" s="580"/>
      <c r="QC275" s="580"/>
      <c r="QD275" s="580"/>
      <c r="QE275" s="580"/>
      <c r="QF275" s="580"/>
      <c r="QG275" s="580"/>
      <c r="QH275" s="580"/>
      <c r="QI275" s="580"/>
      <c r="QJ275" s="580"/>
      <c r="QK275" s="580"/>
      <c r="QL275" s="580"/>
      <c r="QM275" s="580"/>
      <c r="QN275" s="580"/>
      <c r="QO275" s="580"/>
      <c r="QP275" s="580"/>
      <c r="QQ275" s="580"/>
      <c r="QR275" s="580"/>
      <c r="QS275" s="580"/>
      <c r="QT275" s="580"/>
      <c r="QU275" s="580"/>
      <c r="QV275" s="580"/>
      <c r="QW275" s="580"/>
      <c r="QX275" s="580"/>
      <c r="QY275" s="580"/>
      <c r="QZ275" s="580"/>
      <c r="RA275" s="580"/>
      <c r="RB275" s="580"/>
      <c r="RC275" s="580"/>
      <c r="RD275" s="580"/>
      <c r="RE275" s="580"/>
      <c r="RF275" s="580"/>
      <c r="RG275" s="580"/>
      <c r="RH275" s="580"/>
      <c r="RI275" s="580"/>
      <c r="RJ275" s="580"/>
      <c r="RK275" s="580"/>
      <c r="RL275" s="580"/>
      <c r="RM275" s="580"/>
      <c r="RN275" s="580"/>
      <c r="RO275" s="580"/>
      <c r="RP275" s="580"/>
      <c r="RQ275" s="580"/>
      <c r="RR275" s="580"/>
      <c r="RS275" s="580"/>
      <c r="RT275" s="580"/>
      <c r="RU275" s="580"/>
      <c r="RV275" s="580"/>
      <c r="RW275" s="580"/>
      <c r="RX275" s="580"/>
      <c r="RY275" s="580"/>
      <c r="RZ275" s="580"/>
      <c r="SA275" s="580"/>
      <c r="SB275" s="580"/>
      <c r="SC275" s="580"/>
      <c r="SD275" s="580"/>
      <c r="SE275" s="580"/>
      <c r="SF275" s="580"/>
      <c r="SG275" s="580"/>
      <c r="SH275" s="580"/>
      <c r="SI275" s="580"/>
      <c r="SJ275" s="580"/>
      <c r="SK275" s="580"/>
      <c r="SL275" s="580"/>
      <c r="SM275" s="580"/>
      <c r="SN275" s="580"/>
      <c r="SO275" s="580"/>
      <c r="SP275" s="580"/>
      <c r="SQ275" s="580"/>
      <c r="SR275" s="580"/>
      <c r="SS275" s="580"/>
      <c r="ST275" s="580"/>
      <c r="SU275" s="580"/>
      <c r="SV275" s="580"/>
      <c r="SW275" s="580"/>
      <c r="SX275" s="580"/>
      <c r="SY275" s="580"/>
      <c r="SZ275" s="580"/>
      <c r="TA275" s="580"/>
      <c r="TB275" s="580"/>
      <c r="TC275" s="580"/>
      <c r="TD275" s="580"/>
      <c r="TE275" s="580"/>
      <c r="TF275" s="580"/>
      <c r="TG275" s="580"/>
      <c r="TH275" s="580"/>
      <c r="TI275" s="580"/>
      <c r="TJ275" s="580"/>
      <c r="TK275" s="580"/>
      <c r="TL275" s="580"/>
      <c r="TM275" s="580"/>
      <c r="TN275" s="580"/>
      <c r="TO275" s="580"/>
      <c r="TP275" s="580"/>
      <c r="TQ275" s="580"/>
      <c r="TR275" s="580"/>
      <c r="TS275" s="580"/>
      <c r="TT275" s="580"/>
      <c r="TU275" s="580"/>
      <c r="TV275" s="580"/>
      <c r="TW275" s="580"/>
      <c r="TX275" s="580"/>
      <c r="TY275" s="580"/>
      <c r="TZ275" s="580"/>
      <c r="UA275" s="580"/>
      <c r="UB275" s="580"/>
      <c r="UC275" s="580"/>
      <c r="UD275" s="580"/>
      <c r="UE275" s="580"/>
      <c r="UF275" s="580"/>
      <c r="UG275" s="580"/>
      <c r="UH275" s="580"/>
      <c r="UI275" s="580"/>
      <c r="UJ275" s="580"/>
      <c r="UK275" s="580"/>
      <c r="UL275" s="580"/>
      <c r="UM275" s="580"/>
      <c r="UN275" s="580"/>
      <c r="UO275" s="580"/>
      <c r="UP275" s="580"/>
      <c r="UQ275" s="580"/>
      <c r="UR275" s="580"/>
      <c r="US275" s="580"/>
      <c r="UT275" s="580"/>
      <c r="UU275" s="580"/>
      <c r="UV275" s="580"/>
      <c r="UW275" s="580"/>
      <c r="UX275" s="580"/>
      <c r="UY275" s="580"/>
      <c r="UZ275" s="580"/>
      <c r="VA275" s="580"/>
      <c r="VB275" s="580"/>
      <c r="VC275" s="580"/>
      <c r="VD275" s="580"/>
      <c r="VE275" s="580"/>
      <c r="VF275" s="580"/>
      <c r="VG275" s="580"/>
      <c r="VH275" s="580"/>
      <c r="VI275" s="580"/>
      <c r="VJ275" s="580"/>
      <c r="VK275" s="580"/>
      <c r="VL275" s="580"/>
      <c r="VM275" s="580"/>
      <c r="VN275" s="580"/>
      <c r="VO275" s="580"/>
      <c r="VP275" s="580"/>
      <c r="VQ275" s="580"/>
      <c r="VR275" s="580"/>
      <c r="VS275" s="580"/>
      <c r="VT275" s="580"/>
      <c r="VU275" s="580"/>
      <c r="VV275" s="580"/>
      <c r="VW275" s="580"/>
      <c r="VX275" s="580"/>
      <c r="VY275" s="580"/>
      <c r="VZ275" s="580"/>
      <c r="WA275" s="580"/>
      <c r="WB275" s="580"/>
      <c r="WC275" s="580"/>
      <c r="WD275" s="580"/>
      <c r="WE275" s="580"/>
      <c r="WF275" s="580"/>
      <c r="WG275" s="580"/>
      <c r="WH275" s="580"/>
      <c r="WI275" s="580"/>
      <c r="WJ275" s="580"/>
      <c r="WK275" s="580"/>
      <c r="WL275" s="580"/>
      <c r="WM275" s="580"/>
      <c r="WN275" s="580"/>
      <c r="WO275" s="580"/>
      <c r="WP275" s="580"/>
      <c r="WQ275" s="580"/>
      <c r="WR275" s="580"/>
      <c r="WS275" s="580"/>
      <c r="WT275" s="580"/>
      <c r="WU275" s="580"/>
      <c r="WV275" s="580"/>
      <c r="WW275" s="580"/>
      <c r="WX275" s="580"/>
      <c r="WY275" s="580"/>
      <c r="WZ275" s="580"/>
      <c r="XA275" s="580"/>
      <c r="XB275" s="580"/>
      <c r="XC275" s="580"/>
      <c r="XD275" s="580"/>
      <c r="XE275" s="580"/>
      <c r="XF275" s="580"/>
      <c r="XG275" s="580"/>
      <c r="XH275" s="580"/>
      <c r="XI275" s="580"/>
      <c r="XJ275" s="580"/>
      <c r="XK275" s="580"/>
      <c r="XL275" s="580"/>
      <c r="XM275" s="580"/>
      <c r="XN275" s="580"/>
      <c r="XO275" s="580"/>
      <c r="XP275" s="580"/>
      <c r="XQ275" s="580"/>
      <c r="XR275" s="580"/>
      <c r="XS275" s="580"/>
      <c r="XT275" s="580"/>
      <c r="XU275" s="580"/>
      <c r="XV275" s="580"/>
      <c r="XW275" s="580"/>
      <c r="XX275" s="580"/>
      <c r="XY275" s="580"/>
      <c r="XZ275" s="580"/>
      <c r="YA275" s="580"/>
      <c r="YB275" s="580"/>
      <c r="YC275" s="580"/>
      <c r="YD275" s="580"/>
      <c r="YE275" s="580"/>
      <c r="YF275" s="580"/>
      <c r="YG275" s="580"/>
      <c r="YH275" s="580"/>
      <c r="YI275" s="580"/>
      <c r="YJ275" s="580"/>
      <c r="YK275" s="580"/>
      <c r="YL275" s="580"/>
      <c r="YM275" s="580"/>
      <c r="YN275" s="580"/>
      <c r="YO275" s="580"/>
      <c r="YP275" s="580"/>
      <c r="YQ275" s="580"/>
      <c r="YR275" s="580"/>
      <c r="YS275" s="580"/>
      <c r="YT275" s="580"/>
      <c r="YU275" s="580"/>
      <c r="YV275" s="580"/>
      <c r="YW275" s="580"/>
      <c r="YX275" s="580"/>
      <c r="YY275" s="580"/>
      <c r="YZ275" s="580"/>
      <c r="ZA275" s="580"/>
      <c r="ZB275" s="580"/>
      <c r="ZC275" s="580"/>
      <c r="ZD275" s="580"/>
      <c r="ZE275" s="580"/>
      <c r="ZF275" s="580"/>
      <c r="ZG275" s="580"/>
      <c r="ZH275" s="580"/>
      <c r="ZI275" s="580"/>
      <c r="ZJ275" s="580"/>
      <c r="ZK275" s="580"/>
      <c r="ZL275" s="580"/>
      <c r="ZM275" s="580"/>
      <c r="ZN275" s="580"/>
      <c r="ZO275" s="580"/>
      <c r="ZP275" s="580"/>
      <c r="ZQ275" s="580"/>
      <c r="ZR275" s="580"/>
      <c r="ZS275" s="580"/>
      <c r="ZT275" s="580"/>
      <c r="ZU275" s="580"/>
      <c r="ZV275" s="580"/>
      <c r="ZW275" s="580"/>
      <c r="ZX275" s="580"/>
      <c r="ZY275" s="580"/>
      <c r="ZZ275" s="580"/>
      <c r="AAA275" s="580"/>
      <c r="AAB275" s="580"/>
      <c r="AAC275" s="580"/>
      <c r="AAD275" s="580"/>
      <c r="AAE275" s="580"/>
      <c r="AAF275" s="580"/>
      <c r="AAG275" s="580"/>
      <c r="AAH275" s="580"/>
      <c r="AAI275" s="580"/>
      <c r="AAJ275" s="580"/>
      <c r="AAK275" s="580"/>
      <c r="AAL275" s="580"/>
      <c r="AAM275" s="580"/>
      <c r="AAN275" s="580"/>
      <c r="AAO275" s="580"/>
      <c r="AAP275" s="580"/>
      <c r="AAQ275" s="580"/>
      <c r="AAR275" s="580"/>
      <c r="AAS275" s="580"/>
      <c r="AAT275" s="580"/>
      <c r="AAU275" s="580"/>
      <c r="AAV275" s="580"/>
      <c r="AAW275" s="580"/>
      <c r="AAX275" s="580"/>
      <c r="AAY275" s="580"/>
      <c r="AAZ275" s="580"/>
      <c r="ABA275" s="580"/>
      <c r="ABB275" s="580"/>
      <c r="ABC275" s="580"/>
      <c r="ABD275" s="580"/>
      <c r="ABE275" s="580"/>
      <c r="ABF275" s="580"/>
      <c r="ABG275" s="580"/>
      <c r="ABH275" s="580"/>
      <c r="ABI275" s="580"/>
      <c r="ABJ275" s="580"/>
      <c r="ABK275" s="580"/>
      <c r="ABL275" s="580"/>
      <c r="ABM275" s="580"/>
      <c r="ABN275" s="580"/>
      <c r="ABO275" s="580"/>
      <c r="ABP275" s="580"/>
      <c r="ABQ275" s="580"/>
      <c r="ABR275" s="580"/>
      <c r="ABS275" s="580"/>
      <c r="ABT275" s="580"/>
      <c r="ABU275" s="580"/>
      <c r="ABV275" s="580"/>
      <c r="ABW275" s="580"/>
      <c r="ABX275" s="580"/>
      <c r="ABY275" s="580"/>
      <c r="ABZ275" s="580"/>
      <c r="ACA275" s="580"/>
      <c r="ACB275" s="580"/>
      <c r="ACC275" s="580"/>
      <c r="ACD275" s="580"/>
      <c r="ACE275" s="580"/>
      <c r="ACF275" s="580"/>
      <c r="ACG275" s="580"/>
      <c r="ACH275" s="580"/>
      <c r="ACI275" s="580"/>
      <c r="ACJ275" s="580"/>
      <c r="ACK275" s="580"/>
      <c r="ACL275" s="580"/>
      <c r="ACM275" s="580"/>
      <c r="ACN275" s="580"/>
      <c r="ACO275" s="580"/>
      <c r="ACP275" s="580"/>
      <c r="ACQ275" s="580"/>
      <c r="ACR275" s="580"/>
      <c r="ACS275" s="580"/>
      <c r="ACT275" s="580"/>
      <c r="ACU275" s="580"/>
      <c r="ACV275" s="580"/>
      <c r="ACW275" s="580"/>
      <c r="ACX275" s="580"/>
      <c r="ACY275" s="580"/>
      <c r="ACZ275" s="580"/>
      <c r="ADA275" s="580"/>
      <c r="ADB275" s="580"/>
      <c r="ADC275" s="580"/>
      <c r="ADD275" s="580"/>
      <c r="ADE275" s="580"/>
      <c r="ADF275" s="580"/>
      <c r="ADG275" s="580"/>
      <c r="ADH275" s="580"/>
      <c r="ADI275" s="580"/>
      <c r="ADJ275" s="580"/>
      <c r="ADK275" s="580"/>
      <c r="ADL275" s="580"/>
      <c r="ADM275" s="580"/>
      <c r="ADN275" s="580"/>
      <c r="ADO275" s="580"/>
      <c r="ADP275" s="580"/>
      <c r="ADQ275" s="580"/>
      <c r="ADR275" s="580"/>
      <c r="ADS275" s="580"/>
      <c r="ADT275" s="580"/>
      <c r="ADU275" s="580"/>
      <c r="ADV275" s="580"/>
      <c r="ADW275" s="580"/>
      <c r="ADX275" s="580"/>
      <c r="ADY275" s="580"/>
      <c r="ADZ275" s="580"/>
      <c r="AEA275" s="580"/>
      <c r="AEB275" s="580"/>
      <c r="AEC275" s="580"/>
      <c r="AED275" s="580"/>
      <c r="AEE275" s="580"/>
      <c r="AEF275" s="580"/>
      <c r="AEG275" s="580"/>
      <c r="AEH275" s="580"/>
      <c r="AEI275" s="580"/>
      <c r="AEJ275" s="580"/>
      <c r="AEK275" s="580"/>
      <c r="AEL275" s="580"/>
      <c r="AEM275" s="580"/>
      <c r="AEN275" s="580"/>
      <c r="AEO275" s="580"/>
      <c r="AEP275" s="580"/>
      <c r="AEQ275" s="580"/>
      <c r="AER275" s="580"/>
      <c r="AES275" s="580"/>
      <c r="AET275" s="580"/>
      <c r="AEU275" s="580"/>
      <c r="AEV275" s="580"/>
      <c r="AEW275" s="580"/>
      <c r="AEX275" s="580"/>
      <c r="AEY275" s="580"/>
      <c r="AEZ275" s="580"/>
      <c r="AFA275" s="580"/>
      <c r="AFB275" s="580"/>
      <c r="AFC275" s="580"/>
      <c r="AFD275" s="580"/>
      <c r="AFE275" s="580"/>
      <c r="AFF275" s="580"/>
      <c r="AFG275" s="580"/>
      <c r="AFH275" s="580"/>
      <c r="AFI275" s="580"/>
      <c r="AFJ275" s="580"/>
      <c r="AFK275" s="580"/>
      <c r="AFL275" s="580"/>
      <c r="AFM275" s="580"/>
      <c r="AFN275" s="580"/>
      <c r="AFO275" s="580"/>
      <c r="AFP275" s="580"/>
      <c r="AFQ275" s="580"/>
      <c r="AFR275" s="580"/>
      <c r="AFS275" s="580"/>
      <c r="AFT275" s="580"/>
      <c r="AFU275" s="580"/>
      <c r="AFV275" s="580"/>
      <c r="AFW275" s="580"/>
      <c r="AFX275" s="580"/>
      <c r="AFY275" s="580"/>
      <c r="AFZ275" s="580"/>
      <c r="AGA275" s="580"/>
      <c r="AGB275" s="580"/>
      <c r="AGC275" s="580"/>
      <c r="AGD275" s="580"/>
      <c r="AGE275" s="580"/>
      <c r="AGF275" s="580"/>
      <c r="AGG275" s="580"/>
      <c r="AGH275" s="580"/>
      <c r="AGI275" s="580"/>
      <c r="AGJ275" s="580"/>
      <c r="AGK275" s="580"/>
      <c r="AGL275" s="580"/>
      <c r="AGM275" s="580"/>
      <c r="AGN275" s="580"/>
      <c r="AGO275" s="580"/>
      <c r="AGP275" s="580"/>
      <c r="AGQ275" s="580"/>
      <c r="AGR275" s="580"/>
      <c r="AGS275" s="580"/>
      <c r="AGT275" s="580"/>
      <c r="AGU275" s="580"/>
      <c r="AGV275" s="580"/>
      <c r="AGW275" s="580"/>
      <c r="AGX275" s="580"/>
      <c r="AGY275" s="580"/>
      <c r="AGZ275" s="580"/>
      <c r="AHA275" s="580"/>
      <c r="AHB275" s="580"/>
      <c r="AHC275" s="580"/>
      <c r="AHD275" s="580"/>
      <c r="AHE275" s="580"/>
      <c r="AHF275" s="580"/>
      <c r="AHG275" s="580"/>
      <c r="AHH275" s="580"/>
      <c r="AHI275" s="580"/>
      <c r="AHJ275" s="580"/>
      <c r="AHK275" s="580"/>
      <c r="AHL275" s="580"/>
      <c r="AHM275" s="580"/>
      <c r="AHN275" s="580"/>
      <c r="AHO275" s="580"/>
      <c r="AHP275" s="580"/>
      <c r="AHQ275" s="580"/>
      <c r="AHR275" s="580"/>
      <c r="AHS275" s="580"/>
      <c r="AHT275" s="580"/>
      <c r="AHU275" s="580"/>
      <c r="AHV275" s="580"/>
      <c r="AHW275" s="580"/>
      <c r="AHX275" s="580"/>
      <c r="AHY275" s="580"/>
      <c r="AHZ275" s="580"/>
      <c r="AIA275" s="580"/>
      <c r="AIB275" s="580"/>
      <c r="AIC275" s="580"/>
      <c r="AID275" s="580"/>
      <c r="AIE275" s="580"/>
      <c r="AIF275" s="580"/>
      <c r="AIG275" s="580"/>
      <c r="AIH275" s="580"/>
      <c r="AII275" s="580"/>
      <c r="AIJ275" s="580"/>
      <c r="AIK275" s="580"/>
      <c r="AIL275" s="580"/>
      <c r="AIM275" s="580"/>
      <c r="AIN275" s="580"/>
      <c r="AIO275" s="580"/>
      <c r="AIP275" s="580"/>
      <c r="AIQ275" s="580"/>
      <c r="AIR275" s="580"/>
      <c r="AIS275" s="580"/>
      <c r="AIT275" s="580"/>
      <c r="AIU275" s="580"/>
      <c r="AIV275" s="580"/>
      <c r="AIW275" s="580"/>
      <c r="AIX275" s="580"/>
      <c r="AIY275" s="580"/>
      <c r="AIZ275" s="580"/>
      <c r="AJA275" s="580"/>
      <c r="AJB275" s="580"/>
      <c r="AJC275" s="580"/>
      <c r="AJD275" s="580"/>
      <c r="AJE275" s="580"/>
      <c r="AJF275" s="580"/>
      <c r="AJG275" s="580"/>
      <c r="AJH275" s="580"/>
      <c r="AJI275" s="580"/>
      <c r="AJJ275" s="580"/>
      <c r="AJK275" s="580"/>
      <c r="AJL275" s="580"/>
      <c r="AJM275" s="580"/>
      <c r="AJN275" s="580"/>
      <c r="AJO275" s="580"/>
      <c r="AJP275" s="580"/>
      <c r="AJQ275" s="580"/>
      <c r="AJR275" s="580"/>
      <c r="AJS275" s="580"/>
      <c r="AJT275" s="580"/>
      <c r="AJU275" s="580"/>
      <c r="AJV275" s="580"/>
      <c r="AJW275" s="580"/>
      <c r="AJX275" s="580"/>
      <c r="AJY275" s="580"/>
      <c r="AJZ275" s="580"/>
      <c r="AKA275" s="580"/>
      <c r="AKB275" s="580"/>
      <c r="AKC275" s="580"/>
      <c r="AKD275" s="580"/>
      <c r="AKE275" s="580"/>
      <c r="AKF275" s="580"/>
      <c r="AKG275" s="580"/>
      <c r="AKH275" s="580"/>
      <c r="AKI275" s="580"/>
      <c r="AKJ275" s="580"/>
      <c r="AKK275" s="580"/>
      <c r="AKL275" s="580"/>
      <c r="AKM275" s="580"/>
      <c r="AKN275" s="580"/>
      <c r="AKO275" s="580"/>
      <c r="AKP275" s="580"/>
      <c r="AKQ275" s="580"/>
      <c r="AKR275" s="580"/>
      <c r="AKS275" s="580"/>
      <c r="AKT275" s="580"/>
      <c r="AKU275" s="580"/>
      <c r="AKV275" s="580"/>
      <c r="AKW275" s="580"/>
      <c r="AKX275" s="580"/>
      <c r="AKY275" s="580"/>
      <c r="AKZ275" s="580"/>
      <c r="ALA275" s="580"/>
      <c r="ALB275" s="580"/>
      <c r="ALC275" s="580"/>
      <c r="ALD275" s="580"/>
      <c r="ALE275" s="580"/>
      <c r="ALF275" s="580"/>
      <c r="ALG275" s="580"/>
      <c r="ALH275" s="580"/>
      <c r="ALI275" s="580"/>
      <c r="ALJ275" s="580"/>
      <c r="ALK275" s="580"/>
      <c r="ALL275" s="580"/>
      <c r="ALM275" s="580"/>
      <c r="ALN275" s="580"/>
      <c r="ALO275" s="580"/>
      <c r="ALP275" s="580"/>
      <c r="ALQ275" s="580"/>
      <c r="ALR275" s="580"/>
      <c r="ALS275" s="580"/>
      <c r="ALT275" s="580"/>
      <c r="ALU275" s="580"/>
      <c r="ALV275" s="580"/>
      <c r="ALW275" s="580"/>
      <c r="ALX275" s="580"/>
      <c r="ALY275" s="580"/>
      <c r="ALZ275" s="580"/>
      <c r="AMA275" s="580"/>
      <c r="AMB275" s="580"/>
      <c r="AMC275" s="580"/>
      <c r="AMD275" s="580"/>
      <c r="AME275" s="580"/>
      <c r="AMF275" s="580"/>
      <c r="AMG275" s="580"/>
      <c r="AMH275" s="580"/>
      <c r="AMI275" s="580"/>
      <c r="AMJ275" s="580"/>
      <c r="AMK275" s="580"/>
      <c r="AML275" s="580"/>
      <c r="AMM275" s="580"/>
      <c r="AMN275" s="580"/>
      <c r="AMO275" s="580"/>
      <c r="AMP275" s="580"/>
      <c r="AMQ275" s="580"/>
      <c r="AMR275" s="580"/>
      <c r="AMS275" s="580"/>
      <c r="AMT275" s="580"/>
      <c r="AMU275" s="580"/>
      <c r="AMV275" s="580"/>
      <c r="AMW275" s="580"/>
      <c r="AMX275" s="580"/>
      <c r="AMY275" s="580"/>
      <c r="AMZ275" s="580"/>
      <c r="ANA275" s="580"/>
      <c r="ANB275" s="580"/>
      <c r="ANC275" s="580"/>
      <c r="AND275" s="580"/>
      <c r="ANE275" s="580"/>
      <c r="ANF275" s="580"/>
      <c r="ANG275" s="580"/>
      <c r="ANH275" s="580"/>
      <c r="ANI275" s="580"/>
      <c r="ANJ275" s="580"/>
      <c r="ANK275" s="580"/>
      <c r="ANL275" s="580"/>
      <c r="ANM275" s="580"/>
      <c r="ANN275" s="580"/>
      <c r="ANO275" s="580"/>
      <c r="ANP275" s="580"/>
      <c r="ANQ275" s="580"/>
      <c r="ANR275" s="580"/>
      <c r="ANS275" s="580"/>
      <c r="ANT275" s="580"/>
      <c r="ANU275" s="580"/>
      <c r="ANV275" s="580"/>
      <c r="ANW275" s="580"/>
      <c r="ANX275" s="580"/>
      <c r="ANY275" s="580"/>
      <c r="ANZ275" s="580"/>
      <c r="AOA275" s="580"/>
      <c r="AOB275" s="580"/>
      <c r="AOC275" s="580"/>
      <c r="AOD275" s="580"/>
      <c r="AOE275" s="580"/>
      <c r="AOF275" s="580"/>
      <c r="AOG275" s="580"/>
      <c r="AOH275" s="580"/>
      <c r="AOI275" s="580"/>
      <c r="AOJ275" s="580"/>
      <c r="AOK275" s="580"/>
      <c r="AOL275" s="580"/>
      <c r="AOM275" s="580"/>
      <c r="AON275" s="580"/>
      <c r="AOO275" s="580"/>
      <c r="AOP275" s="580"/>
      <c r="AOQ275" s="580"/>
      <c r="AOR275" s="580"/>
      <c r="AOS275" s="580"/>
      <c r="AOT275" s="580"/>
      <c r="AOU275" s="580"/>
      <c r="AOV275" s="580"/>
      <c r="AOW275" s="580"/>
      <c r="AOX275" s="580"/>
      <c r="AOY275" s="580"/>
      <c r="AOZ275" s="580"/>
      <c r="APA275" s="580"/>
      <c r="APB275" s="580"/>
      <c r="APC275" s="580"/>
      <c r="APD275" s="580"/>
      <c r="APE275" s="580"/>
      <c r="APF275" s="580"/>
      <c r="APG275" s="580"/>
      <c r="APH275" s="580"/>
      <c r="API275" s="580"/>
      <c r="APJ275" s="580"/>
      <c r="APK275" s="580"/>
      <c r="APL275" s="580"/>
      <c r="APM275" s="580"/>
      <c r="APN275" s="580"/>
      <c r="APO275" s="580"/>
      <c r="APP275" s="580"/>
      <c r="APQ275" s="580"/>
      <c r="APR275" s="580"/>
      <c r="APS275" s="580"/>
      <c r="APT275" s="580"/>
      <c r="APU275" s="580"/>
      <c r="APV275" s="580"/>
      <c r="APW275" s="580"/>
      <c r="APX275" s="580"/>
      <c r="APY275" s="580"/>
      <c r="APZ275" s="580"/>
      <c r="AQA275" s="580"/>
      <c r="AQB275" s="580"/>
      <c r="AQC275" s="580"/>
      <c r="AQD275" s="580"/>
      <c r="AQE275" s="580"/>
      <c r="AQF275" s="580"/>
      <c r="AQG275" s="580"/>
      <c r="AQH275" s="580"/>
      <c r="AQI275" s="580"/>
      <c r="AQJ275" s="580"/>
      <c r="AQK275" s="580"/>
      <c r="AQL275" s="580"/>
      <c r="AQM275" s="580"/>
      <c r="AQN275" s="580"/>
      <c r="AQO275" s="580"/>
      <c r="AQP275" s="580"/>
      <c r="AQQ275" s="580"/>
      <c r="AQR275" s="580"/>
      <c r="AQS275" s="580"/>
      <c r="AQT275" s="580"/>
      <c r="AQU275" s="580"/>
      <c r="AQV275" s="580"/>
      <c r="AQW275" s="580"/>
      <c r="AQX275" s="580"/>
      <c r="AQY275" s="580"/>
      <c r="AQZ275" s="580"/>
      <c r="ARA275" s="580"/>
      <c r="ARB275" s="580"/>
      <c r="ARC275" s="580"/>
      <c r="ARD275" s="580"/>
      <c r="ARE275" s="580"/>
      <c r="ARF275" s="580"/>
      <c r="ARG275" s="580"/>
      <c r="ARH275" s="580"/>
      <c r="ARI275" s="580"/>
      <c r="ARJ275" s="580"/>
      <c r="ARK275" s="580"/>
      <c r="ARL275" s="580"/>
      <c r="ARM275" s="580"/>
      <c r="ARN275" s="580"/>
      <c r="ARO275" s="580"/>
      <c r="ARP275" s="580"/>
      <c r="ARQ275" s="580"/>
      <c r="ARR275" s="580"/>
      <c r="ARS275" s="580"/>
      <c r="ART275" s="580"/>
      <c r="ARU275" s="580"/>
      <c r="ARV275" s="580"/>
      <c r="ARW275" s="580"/>
      <c r="ARX275" s="580"/>
      <c r="ARY275" s="580"/>
      <c r="ARZ275" s="580"/>
      <c r="ASA275" s="580"/>
      <c r="ASB275" s="580"/>
      <c r="ASC275" s="580"/>
      <c r="ASD275" s="580"/>
      <c r="ASE275" s="580"/>
      <c r="ASF275" s="580"/>
      <c r="ASG275" s="580"/>
      <c r="ASH275" s="580"/>
      <c r="ASI275" s="580"/>
      <c r="ASJ275" s="580"/>
      <c r="ASK275" s="580"/>
      <c r="ASL275" s="580"/>
      <c r="ASM275" s="580"/>
      <c r="ASN275" s="580"/>
      <c r="ASO275" s="580"/>
      <c r="ASP275" s="580"/>
      <c r="ASQ275" s="580"/>
      <c r="ASR275" s="580"/>
      <c r="ASS275" s="580"/>
      <c r="AST275" s="580"/>
      <c r="ASU275" s="580"/>
      <c r="ASV275" s="580"/>
      <c r="ASW275" s="580"/>
      <c r="ASX275" s="580"/>
      <c r="ASY275" s="580"/>
      <c r="ASZ275" s="580"/>
      <c r="ATA275" s="580"/>
      <c r="ATB275" s="580"/>
      <c r="ATC275" s="580"/>
      <c r="ATD275" s="580"/>
      <c r="ATE275" s="580"/>
      <c r="ATF275" s="580"/>
      <c r="ATG275" s="580"/>
      <c r="ATH275" s="580"/>
      <c r="ATI275" s="580"/>
      <c r="ATJ275" s="580"/>
      <c r="ATK275" s="580"/>
      <c r="ATL275" s="580"/>
      <c r="ATM275" s="580"/>
      <c r="ATN275" s="580"/>
      <c r="ATO275" s="580"/>
      <c r="ATP275" s="580"/>
      <c r="ATQ275" s="580"/>
      <c r="ATR275" s="580"/>
      <c r="ATS275" s="580"/>
      <c r="ATT275" s="580"/>
      <c r="ATU275" s="580"/>
      <c r="ATV275" s="580"/>
      <c r="ATW275" s="580"/>
      <c r="ATX275" s="580"/>
      <c r="ATY275" s="580"/>
      <c r="ATZ275" s="580"/>
      <c r="AUA275" s="580"/>
      <c r="AUB275" s="580"/>
      <c r="AUC275" s="580"/>
      <c r="AUD275" s="580"/>
      <c r="AUE275" s="580"/>
      <c r="AUF275" s="580"/>
      <c r="AUG275" s="580"/>
      <c r="AUH275" s="580"/>
      <c r="AUI275" s="580"/>
      <c r="AUJ275" s="580"/>
      <c r="AUK275" s="580"/>
      <c r="AUL275" s="580"/>
      <c r="AUM275" s="580"/>
      <c r="AUN275" s="580"/>
      <c r="AUO275" s="580"/>
      <c r="AUP275" s="580"/>
      <c r="AUQ275" s="580"/>
      <c r="AUR275" s="580"/>
      <c r="AUS275" s="580"/>
      <c r="AUT275" s="580"/>
      <c r="AUU275" s="580"/>
      <c r="AUV275" s="580"/>
      <c r="AUW275" s="580"/>
      <c r="AUX275" s="580"/>
      <c r="AUY275" s="580"/>
      <c r="AUZ275" s="580"/>
      <c r="AVA275" s="580"/>
      <c r="AVB275" s="580"/>
      <c r="AVC275" s="580"/>
      <c r="AVD275" s="580"/>
      <c r="AVE275" s="580"/>
      <c r="AVF275" s="580"/>
      <c r="AVG275" s="580"/>
      <c r="AVH275" s="580"/>
      <c r="AVI275" s="580"/>
      <c r="AVJ275" s="580"/>
      <c r="AVK275" s="580"/>
      <c r="AVL275" s="580"/>
      <c r="AVM275" s="580"/>
      <c r="AVN275" s="580"/>
      <c r="AVO275" s="580"/>
      <c r="AVP275" s="580"/>
      <c r="AVQ275" s="580"/>
      <c r="AVR275" s="580"/>
      <c r="AVS275" s="580"/>
      <c r="AVT275" s="580"/>
      <c r="AVU275" s="580"/>
      <c r="AVV275" s="580"/>
      <c r="AVW275" s="580"/>
      <c r="AVX275" s="580"/>
      <c r="AVY275" s="580"/>
      <c r="AVZ275" s="580"/>
      <c r="AWA275" s="580"/>
      <c r="AWB275" s="580"/>
      <c r="AWC275" s="580"/>
      <c r="AWD275" s="580"/>
      <c r="AWE275" s="580"/>
      <c r="AWF275" s="580"/>
      <c r="AWG275" s="580"/>
      <c r="AWH275" s="580"/>
      <c r="AWI275" s="580"/>
      <c r="AWJ275" s="580"/>
      <c r="AWK275" s="580"/>
      <c r="AWL275" s="580"/>
      <c r="AWM275" s="580"/>
      <c r="AWN275" s="580"/>
      <c r="AWO275" s="580"/>
      <c r="AWP275" s="580"/>
      <c r="AWQ275" s="580"/>
      <c r="AWR275" s="580"/>
      <c r="AWS275" s="580"/>
      <c r="AWT275" s="580"/>
      <c r="AWU275" s="580"/>
      <c r="AWV275" s="580"/>
      <c r="AWW275" s="580"/>
      <c r="AWX275" s="580"/>
      <c r="AWY275" s="580"/>
      <c r="AWZ275" s="580"/>
      <c r="AXA275" s="580"/>
      <c r="AXB275" s="580"/>
      <c r="AXC275" s="580"/>
      <c r="AXD275" s="580"/>
      <c r="AXE275" s="580"/>
      <c r="AXF275" s="580"/>
      <c r="AXG275" s="580"/>
      <c r="AXH275" s="580"/>
      <c r="AXI275" s="580"/>
      <c r="AXJ275" s="580"/>
      <c r="AXK275" s="580"/>
      <c r="AXL275" s="580"/>
      <c r="AXM275" s="580"/>
      <c r="AXN275" s="580"/>
      <c r="AXO275" s="580"/>
      <c r="AXP275" s="580"/>
      <c r="AXQ275" s="580"/>
      <c r="AXR275" s="580"/>
      <c r="AXS275" s="580"/>
      <c r="AXT275" s="580"/>
      <c r="AXU275" s="580"/>
      <c r="AXV275" s="580"/>
      <c r="AXW275" s="580"/>
      <c r="AXX275" s="580"/>
      <c r="AXY275" s="580"/>
      <c r="AXZ275" s="580"/>
      <c r="AYA275" s="580"/>
      <c r="AYB275" s="580"/>
      <c r="AYC275" s="580"/>
      <c r="AYD275" s="580"/>
      <c r="AYE275" s="580"/>
      <c r="AYF275" s="580"/>
      <c r="AYG275" s="580"/>
      <c r="AYH275" s="580"/>
      <c r="AYI275" s="580"/>
      <c r="AYJ275" s="580"/>
      <c r="AYK275" s="580"/>
      <c r="AYL275" s="580"/>
      <c r="AYM275" s="580"/>
      <c r="AYN275" s="580"/>
      <c r="AYO275" s="580"/>
      <c r="AYP275" s="580"/>
      <c r="AYQ275" s="580"/>
      <c r="AYR275" s="580"/>
      <c r="AYS275" s="580"/>
      <c r="AYT275" s="580"/>
      <c r="AYU275" s="580"/>
      <c r="AYV275" s="580"/>
      <c r="AYW275" s="580"/>
      <c r="AYX275" s="580"/>
      <c r="AYY275" s="580"/>
      <c r="AYZ275" s="580"/>
      <c r="AZA275" s="580"/>
      <c r="AZB275" s="580"/>
      <c r="AZC275" s="580"/>
      <c r="AZD275" s="580"/>
      <c r="AZE275" s="580"/>
      <c r="AZF275" s="580"/>
      <c r="AZG275" s="580"/>
      <c r="AZH275" s="580"/>
      <c r="AZI275" s="580"/>
      <c r="AZJ275" s="580"/>
      <c r="AZK275" s="580"/>
      <c r="AZL275" s="580"/>
      <c r="AZM275" s="580"/>
      <c r="AZN275" s="580"/>
      <c r="AZO275" s="580"/>
      <c r="AZP275" s="580"/>
      <c r="AZQ275" s="580"/>
      <c r="AZR275" s="580"/>
      <c r="AZS275" s="580"/>
      <c r="AZT275" s="580"/>
      <c r="AZU275" s="580"/>
      <c r="AZV275" s="580"/>
      <c r="AZW275" s="580"/>
      <c r="AZX275" s="580"/>
      <c r="AZY275" s="580"/>
      <c r="AZZ275" s="580"/>
      <c r="BAA275" s="580"/>
      <c r="BAB275" s="580"/>
      <c r="BAC275" s="580"/>
      <c r="BAD275" s="580"/>
      <c r="BAE275" s="580"/>
      <c r="BAF275" s="580"/>
      <c r="BAG275" s="580"/>
      <c r="BAH275" s="580"/>
      <c r="BAI275" s="580"/>
      <c r="BAJ275" s="580"/>
      <c r="BAK275" s="580"/>
      <c r="BAL275" s="580"/>
      <c r="BAM275" s="580"/>
      <c r="BAN275" s="580"/>
      <c r="BAO275" s="580"/>
      <c r="BAP275" s="580"/>
      <c r="BAQ275" s="580"/>
      <c r="BAR275" s="580"/>
      <c r="BAS275" s="580"/>
      <c r="BAT275" s="580"/>
      <c r="BAU275" s="580"/>
      <c r="BAV275" s="580"/>
      <c r="BAW275" s="580"/>
      <c r="BAX275" s="580"/>
      <c r="BAY275" s="580"/>
      <c r="BAZ275" s="580"/>
      <c r="BBA275" s="580"/>
      <c r="BBB275" s="580"/>
      <c r="BBC275" s="580"/>
      <c r="BBD275" s="580"/>
      <c r="BBE275" s="580"/>
      <c r="BBF275" s="580"/>
      <c r="BBG275" s="580"/>
      <c r="BBH275" s="580"/>
      <c r="BBI275" s="580"/>
      <c r="BBJ275" s="580"/>
      <c r="BBK275" s="580"/>
      <c r="BBL275" s="580"/>
      <c r="BBM275" s="580"/>
      <c r="BBN275" s="580"/>
      <c r="BBO275" s="580"/>
      <c r="BBP275" s="580"/>
      <c r="BBQ275" s="580"/>
      <c r="BBR275" s="580"/>
      <c r="BBS275" s="580"/>
      <c r="BBT275" s="580"/>
      <c r="BBU275" s="580"/>
      <c r="BBV275" s="580"/>
      <c r="BBW275" s="580"/>
      <c r="BBX275" s="580"/>
      <c r="BBY275" s="580"/>
      <c r="BBZ275" s="580"/>
      <c r="BCA275" s="580"/>
      <c r="BCB275" s="580"/>
      <c r="BCC275" s="580"/>
      <c r="BCD275" s="580"/>
      <c r="BCE275" s="580"/>
      <c r="BCF275" s="580"/>
      <c r="BCG275" s="580"/>
      <c r="BCH275" s="580"/>
      <c r="BCI275" s="580"/>
      <c r="BCJ275" s="580"/>
      <c r="BCK275" s="580"/>
      <c r="BCL275" s="580"/>
      <c r="BCM275" s="580"/>
      <c r="BCN275" s="580"/>
      <c r="BCO275" s="580"/>
      <c r="BCP275" s="580"/>
      <c r="BCQ275" s="580"/>
      <c r="BCR275" s="580"/>
      <c r="BCS275" s="580"/>
      <c r="BCT275" s="580"/>
      <c r="BCU275" s="580"/>
      <c r="BCV275" s="580"/>
      <c r="BCW275" s="580"/>
      <c r="BCX275" s="580"/>
      <c r="BCY275" s="580"/>
      <c r="BCZ275" s="580"/>
      <c r="BDA275" s="580"/>
      <c r="BDB275" s="580"/>
      <c r="BDC275" s="580"/>
      <c r="BDD275" s="580"/>
      <c r="BDE275" s="580"/>
      <c r="BDF275" s="580"/>
      <c r="BDG275" s="580"/>
      <c r="BDH275" s="580"/>
      <c r="BDI275" s="580"/>
      <c r="BDJ275" s="580"/>
      <c r="BDK275" s="580"/>
      <c r="BDL275" s="580"/>
      <c r="BDM275" s="580"/>
      <c r="BDN275" s="580"/>
      <c r="BDO275" s="580"/>
      <c r="BDP275" s="580"/>
      <c r="BDQ275" s="580"/>
      <c r="BDR275" s="580"/>
      <c r="BDS275" s="580"/>
      <c r="BDT275" s="580"/>
      <c r="BDU275" s="580"/>
      <c r="BDV275" s="580"/>
      <c r="BDW275" s="580"/>
      <c r="BDX275" s="580"/>
      <c r="BDY275" s="580"/>
      <c r="BDZ275" s="580"/>
      <c r="BEA275" s="580"/>
      <c r="BEB275" s="580"/>
      <c r="BEC275" s="580"/>
      <c r="BED275" s="580"/>
      <c r="BEE275" s="580"/>
      <c r="BEF275" s="580"/>
      <c r="BEG275" s="580"/>
      <c r="BEH275" s="580"/>
      <c r="BEI275" s="580"/>
      <c r="BEJ275" s="580"/>
      <c r="BEK275" s="580"/>
      <c r="BEL275" s="580"/>
      <c r="BEM275" s="580"/>
      <c r="BEN275" s="580"/>
      <c r="BEO275" s="580"/>
      <c r="BEP275" s="580"/>
      <c r="BEQ275" s="580"/>
      <c r="BER275" s="580"/>
      <c r="BES275" s="580"/>
      <c r="BET275" s="580"/>
      <c r="BEU275" s="580"/>
      <c r="BEV275" s="580"/>
      <c r="BEW275" s="580"/>
      <c r="BEX275" s="580"/>
      <c r="BEY275" s="580"/>
      <c r="BEZ275" s="580"/>
      <c r="BFA275" s="580"/>
      <c r="BFB275" s="580"/>
      <c r="BFC275" s="580"/>
      <c r="BFD275" s="580"/>
      <c r="BFE275" s="580"/>
      <c r="BFF275" s="580"/>
      <c r="BFG275" s="580"/>
      <c r="BFH275" s="580"/>
      <c r="BFI275" s="580"/>
      <c r="BFJ275" s="580"/>
      <c r="BFK275" s="580"/>
      <c r="BFL275" s="580"/>
      <c r="BFM275" s="580"/>
      <c r="BFN275" s="580"/>
      <c r="BFO275" s="580"/>
      <c r="BFP275" s="580"/>
      <c r="BFQ275" s="580"/>
      <c r="BFR275" s="580"/>
      <c r="BFS275" s="580"/>
      <c r="BFT275" s="580"/>
      <c r="BFU275" s="580"/>
      <c r="BFV275" s="580"/>
      <c r="BFW275" s="580"/>
      <c r="BFX275" s="580"/>
      <c r="BFY275" s="580"/>
      <c r="BFZ275" s="580"/>
      <c r="BGA275" s="580"/>
      <c r="BGB275" s="580"/>
      <c r="BGC275" s="580"/>
      <c r="BGD275" s="580"/>
      <c r="BGE275" s="580"/>
      <c r="BGF275" s="580"/>
      <c r="BGG275" s="580"/>
      <c r="BGH275" s="580"/>
      <c r="BGI275" s="580"/>
      <c r="BGJ275" s="580"/>
      <c r="BGK275" s="580"/>
      <c r="BGL275" s="580"/>
      <c r="BGM275" s="580"/>
      <c r="BGN275" s="580"/>
      <c r="BGO275" s="580"/>
      <c r="BGP275" s="580"/>
      <c r="BGQ275" s="580"/>
      <c r="BGR275" s="580"/>
      <c r="BGS275" s="580"/>
      <c r="BGT275" s="580"/>
      <c r="BGU275" s="580"/>
      <c r="BGV275" s="580"/>
      <c r="BGW275" s="580"/>
      <c r="BGX275" s="580"/>
      <c r="BGY275" s="580"/>
      <c r="BGZ275" s="580"/>
      <c r="BHA275" s="580"/>
      <c r="BHB275" s="580"/>
      <c r="BHC275" s="580"/>
      <c r="BHD275" s="580"/>
      <c r="BHE275" s="580"/>
      <c r="BHF275" s="580"/>
      <c r="BHG275" s="580"/>
      <c r="BHH275" s="580"/>
      <c r="BHI275" s="580"/>
      <c r="BHJ275" s="580"/>
      <c r="BHK275" s="580"/>
      <c r="BHL275" s="580"/>
      <c r="BHM275" s="580"/>
      <c r="BHN275" s="580"/>
      <c r="BHO275" s="580"/>
      <c r="BHP275" s="580"/>
      <c r="BHQ275" s="580"/>
      <c r="BHR275" s="580"/>
      <c r="BHS275" s="580"/>
      <c r="BHT275" s="580"/>
      <c r="BHU275" s="580"/>
      <c r="BHV275" s="580"/>
      <c r="BHW275" s="580"/>
      <c r="BHX275" s="580"/>
      <c r="BHY275" s="580"/>
      <c r="BHZ275" s="580"/>
      <c r="BIA275" s="580"/>
      <c r="BIB275" s="580"/>
      <c r="BIC275" s="580"/>
      <c r="BID275" s="580"/>
      <c r="BIE275" s="580"/>
      <c r="BIF275" s="580"/>
      <c r="BIG275" s="580"/>
      <c r="BIH275" s="580"/>
      <c r="BII275" s="580"/>
      <c r="BIJ275" s="580"/>
      <c r="BIK275" s="580"/>
      <c r="BIL275" s="580"/>
      <c r="BIM275" s="580"/>
      <c r="BIN275" s="580"/>
      <c r="BIO275" s="580"/>
      <c r="BIP275" s="580"/>
      <c r="BIQ275" s="580"/>
      <c r="BIR275" s="580"/>
      <c r="BIS275" s="580"/>
      <c r="BIT275" s="580"/>
      <c r="BIU275" s="580"/>
      <c r="BIV275" s="580"/>
      <c r="BIW275" s="580"/>
      <c r="BIX275" s="580"/>
      <c r="BIY275" s="580"/>
      <c r="BIZ275" s="580"/>
      <c r="BJA275" s="580"/>
      <c r="BJB275" s="580"/>
      <c r="BJC275" s="580"/>
      <c r="BJD275" s="580"/>
      <c r="BJE275" s="580"/>
      <c r="BJF275" s="580"/>
      <c r="BJG275" s="580"/>
      <c r="BJH275" s="580"/>
      <c r="BJI275" s="580"/>
      <c r="BJJ275" s="580"/>
      <c r="BJK275" s="580"/>
      <c r="BJL275" s="580"/>
      <c r="BJM275" s="580"/>
      <c r="BJN275" s="580"/>
      <c r="BJO275" s="580"/>
      <c r="BJP275" s="580"/>
      <c r="BJQ275" s="580"/>
      <c r="BJR275" s="580"/>
      <c r="BJS275" s="580"/>
      <c r="BJT275" s="580"/>
      <c r="BJU275" s="580"/>
      <c r="BJV275" s="580"/>
      <c r="BJW275" s="580"/>
      <c r="BJX275" s="580"/>
      <c r="BJY275" s="580"/>
      <c r="BJZ275" s="580"/>
      <c r="BKA275" s="580"/>
      <c r="BKB275" s="580"/>
      <c r="BKC275" s="580"/>
      <c r="BKD275" s="580"/>
      <c r="BKE275" s="580"/>
      <c r="BKF275" s="580"/>
      <c r="BKG275" s="580"/>
      <c r="BKH275" s="580"/>
      <c r="BKI275" s="580"/>
      <c r="BKJ275" s="580"/>
      <c r="BKK275" s="580"/>
      <c r="BKL275" s="580"/>
      <c r="BKM275" s="580"/>
      <c r="BKN275" s="580"/>
      <c r="BKO275" s="580"/>
      <c r="BKP275" s="580"/>
      <c r="BKQ275" s="580"/>
      <c r="BKR275" s="580"/>
      <c r="BKS275" s="580"/>
      <c r="BKT275" s="580"/>
      <c r="BKU275" s="580"/>
      <c r="BKV275" s="580"/>
      <c r="BKW275" s="580"/>
      <c r="BKX275" s="580"/>
      <c r="BKY275" s="580"/>
      <c r="BKZ275" s="580"/>
      <c r="BLA275" s="580"/>
      <c r="BLB275" s="580"/>
      <c r="BLC275" s="580"/>
      <c r="BLD275" s="580"/>
      <c r="BLE275" s="580"/>
      <c r="BLF275" s="580"/>
      <c r="BLG275" s="580"/>
      <c r="BLH275" s="580"/>
      <c r="BLI275" s="580"/>
      <c r="BLJ275" s="580"/>
      <c r="BLK275" s="580"/>
      <c r="BLL275" s="580"/>
      <c r="BLM275" s="580"/>
      <c r="BLN275" s="580"/>
      <c r="BLO275" s="580"/>
      <c r="BLP275" s="580"/>
      <c r="BLQ275" s="580"/>
      <c r="BLR275" s="580"/>
      <c r="BLS275" s="580"/>
      <c r="BLT275" s="580"/>
      <c r="BLU275" s="580"/>
      <c r="BLV275" s="580"/>
      <c r="BLW275" s="580"/>
      <c r="BLX275" s="580"/>
      <c r="BLY275" s="580"/>
      <c r="BLZ275" s="580"/>
      <c r="BMA275" s="580"/>
      <c r="BMB275" s="580"/>
      <c r="BMC275" s="580"/>
      <c r="BMD275" s="580"/>
      <c r="BME275" s="580"/>
      <c r="BMF275" s="580"/>
      <c r="BMG275" s="580"/>
      <c r="BMH275" s="580"/>
      <c r="BMI275" s="580"/>
      <c r="BMJ275" s="580"/>
      <c r="BMK275" s="580"/>
      <c r="BML275" s="580"/>
      <c r="BMM275" s="580"/>
      <c r="BMN275" s="580"/>
      <c r="BMO275" s="580"/>
      <c r="BMP275" s="580"/>
      <c r="BMQ275" s="580"/>
      <c r="BMR275" s="580"/>
      <c r="BMS275" s="580"/>
      <c r="BMT275" s="580"/>
      <c r="BMU275" s="580"/>
      <c r="BMV275" s="580"/>
      <c r="BMW275" s="580"/>
      <c r="BMX275" s="580"/>
      <c r="BMY275" s="580"/>
      <c r="BMZ275" s="580"/>
      <c r="BNA275" s="580"/>
      <c r="BNB275" s="580"/>
      <c r="BNC275" s="580"/>
      <c r="BND275" s="580"/>
      <c r="BNE275" s="580"/>
      <c r="BNF275" s="580"/>
      <c r="BNG275" s="580"/>
      <c r="BNH275" s="580"/>
      <c r="BNI275" s="580"/>
      <c r="BNJ275" s="580"/>
      <c r="BNK275" s="580"/>
      <c r="BNL275" s="580"/>
      <c r="BNM275" s="580"/>
      <c r="BNN275" s="580"/>
      <c r="BNO275" s="580"/>
      <c r="BNP275" s="580"/>
      <c r="BNQ275" s="580"/>
      <c r="BNR275" s="580"/>
      <c r="BNS275" s="580"/>
      <c r="BNT275" s="580"/>
      <c r="BNU275" s="580"/>
      <c r="BNV275" s="580"/>
      <c r="BNW275" s="580"/>
      <c r="BNX275" s="580"/>
      <c r="BNY275" s="580"/>
      <c r="BNZ275" s="580"/>
      <c r="BOA275" s="580"/>
      <c r="BOB275" s="580"/>
      <c r="BOC275" s="580"/>
      <c r="BOD275" s="580"/>
      <c r="BOE275" s="580"/>
      <c r="BOF275" s="580"/>
      <c r="BOG275" s="580"/>
      <c r="BOH275" s="580"/>
      <c r="BOI275" s="580"/>
      <c r="BOJ275" s="580"/>
      <c r="BOK275" s="580"/>
      <c r="BOL275" s="580"/>
      <c r="BOM275" s="580"/>
      <c r="BON275" s="580"/>
      <c r="BOO275" s="580"/>
      <c r="BOP275" s="580"/>
      <c r="BOQ275" s="580"/>
      <c r="BOR275" s="580"/>
      <c r="BOS275" s="580"/>
      <c r="BOT275" s="580"/>
      <c r="BOU275" s="580"/>
      <c r="BOV275" s="580"/>
      <c r="BOW275" s="580"/>
      <c r="BOX275" s="580"/>
      <c r="BOY275" s="580"/>
      <c r="BOZ275" s="580"/>
      <c r="BPA275" s="580"/>
      <c r="BPB275" s="580"/>
      <c r="BPC275" s="580"/>
      <c r="BPD275" s="580"/>
      <c r="BPE275" s="580"/>
      <c r="BPF275" s="580"/>
      <c r="BPG275" s="580"/>
      <c r="BPH275" s="580"/>
      <c r="BPI275" s="580"/>
      <c r="BPJ275" s="580"/>
      <c r="BPK275" s="580"/>
      <c r="BPL275" s="580"/>
      <c r="BPM275" s="580"/>
      <c r="BPN275" s="580"/>
      <c r="BPO275" s="580"/>
      <c r="BPP275" s="580"/>
      <c r="BPQ275" s="580"/>
      <c r="BPR275" s="580"/>
      <c r="BPS275" s="580"/>
      <c r="BPT275" s="580"/>
      <c r="BPU275" s="580"/>
      <c r="BPV275" s="580"/>
      <c r="BPW275" s="580"/>
      <c r="BPX275" s="580"/>
      <c r="BPY275" s="580"/>
      <c r="BPZ275" s="580"/>
      <c r="BQA275" s="580"/>
      <c r="BQB275" s="580"/>
      <c r="BQC275" s="580"/>
      <c r="BQD275" s="580"/>
      <c r="BQE275" s="580"/>
      <c r="BQF275" s="580"/>
      <c r="BQG275" s="580"/>
      <c r="BQH275" s="580"/>
      <c r="BQI275" s="580"/>
      <c r="BQJ275" s="580"/>
      <c r="BQK275" s="580"/>
      <c r="BQL275" s="580"/>
      <c r="BQM275" s="580"/>
      <c r="BQN275" s="580"/>
      <c r="BQO275" s="580"/>
      <c r="BQP275" s="580"/>
      <c r="BQQ275" s="580"/>
      <c r="BQR275" s="580"/>
      <c r="BQS275" s="580"/>
      <c r="BQT275" s="580"/>
      <c r="BQU275" s="580"/>
      <c r="BQV275" s="580"/>
      <c r="BQW275" s="580"/>
      <c r="BQX275" s="580"/>
      <c r="BQY275" s="580"/>
      <c r="BQZ275" s="580"/>
      <c r="BRA275" s="580"/>
      <c r="BRB275" s="580"/>
      <c r="BRC275" s="580"/>
      <c r="BRD275" s="580"/>
      <c r="BRE275" s="580"/>
      <c r="BRF275" s="580"/>
      <c r="BRG275" s="580"/>
      <c r="BRH275" s="580"/>
      <c r="BRI275" s="580"/>
      <c r="BRJ275" s="580"/>
      <c r="BRK275" s="580"/>
      <c r="BRL275" s="580"/>
      <c r="BRM275" s="580"/>
      <c r="BRN275" s="580"/>
      <c r="BRO275" s="580"/>
      <c r="BRP275" s="580"/>
      <c r="BRQ275" s="580"/>
      <c r="BRR275" s="580"/>
      <c r="BRS275" s="580"/>
      <c r="BRT275" s="580"/>
      <c r="BRU275" s="580"/>
      <c r="BRV275" s="580"/>
      <c r="BRW275" s="580"/>
      <c r="BRX275" s="580"/>
      <c r="BRY275" s="580"/>
      <c r="BRZ275" s="580"/>
      <c r="BSA275" s="580"/>
      <c r="BSB275" s="580"/>
      <c r="BSC275" s="580"/>
      <c r="BSD275" s="580"/>
      <c r="BSE275" s="580"/>
      <c r="BSF275" s="580"/>
      <c r="BSG275" s="580"/>
      <c r="BSH275" s="580"/>
      <c r="BSI275" s="580"/>
      <c r="BSJ275" s="580"/>
      <c r="BSK275" s="580"/>
      <c r="BSL275" s="580"/>
      <c r="BSM275" s="580"/>
      <c r="BSN275" s="580"/>
      <c r="BSO275" s="580"/>
      <c r="BSP275" s="580"/>
      <c r="BSQ275" s="580"/>
      <c r="BSR275" s="580"/>
      <c r="BSS275" s="580"/>
      <c r="BST275" s="580"/>
      <c r="BSU275" s="580"/>
      <c r="BSV275" s="580"/>
      <c r="BSW275" s="580"/>
      <c r="BSX275" s="580"/>
      <c r="BSY275" s="580"/>
      <c r="BSZ275" s="580"/>
      <c r="BTA275" s="580"/>
      <c r="BTB275" s="580"/>
      <c r="BTC275" s="580"/>
      <c r="BTD275" s="580"/>
      <c r="BTE275" s="580"/>
      <c r="BTF275" s="580"/>
      <c r="BTG275" s="580"/>
      <c r="BTH275" s="580"/>
      <c r="BTI275" s="580"/>
      <c r="BTJ275" s="580"/>
      <c r="BTK275" s="580"/>
      <c r="BTL275" s="580"/>
      <c r="BTM275" s="580"/>
      <c r="BTN275" s="580"/>
      <c r="BTO275" s="580"/>
      <c r="BTP275" s="580"/>
      <c r="BTQ275" s="580"/>
      <c r="BTR275" s="580"/>
      <c r="BTS275" s="580"/>
      <c r="BTT275" s="580"/>
      <c r="BTU275" s="580"/>
      <c r="BTV275" s="580"/>
      <c r="BTW275" s="580"/>
      <c r="BTX275" s="580"/>
      <c r="BTY275" s="580"/>
      <c r="BTZ275" s="580"/>
      <c r="BUA275" s="580"/>
      <c r="BUB275" s="580"/>
      <c r="BUC275" s="580"/>
      <c r="BUD275" s="580"/>
      <c r="BUE275" s="580"/>
      <c r="BUF275" s="580"/>
      <c r="BUG275" s="580"/>
      <c r="BUH275" s="580"/>
      <c r="BUI275" s="580"/>
      <c r="BUJ275" s="580"/>
      <c r="BUK275" s="580"/>
      <c r="BUL275" s="580"/>
      <c r="BUM275" s="580"/>
      <c r="BUN275" s="580"/>
      <c r="BUO275" s="580"/>
      <c r="BUP275" s="580"/>
      <c r="BUQ275" s="580"/>
      <c r="BUR275" s="580"/>
      <c r="BUS275" s="580"/>
      <c r="BUT275" s="580"/>
      <c r="BUU275" s="580"/>
      <c r="BUV275" s="580"/>
      <c r="BUW275" s="580"/>
      <c r="BUX275" s="580"/>
      <c r="BUY275" s="580"/>
      <c r="BUZ275" s="580"/>
      <c r="BVA275" s="580"/>
      <c r="BVB275" s="580"/>
      <c r="BVC275" s="580"/>
      <c r="BVD275" s="580"/>
      <c r="BVE275" s="580"/>
      <c r="BVF275" s="580"/>
      <c r="BVG275" s="580"/>
      <c r="BVH275" s="580"/>
      <c r="BVI275" s="580"/>
      <c r="BVJ275" s="580"/>
      <c r="BVK275" s="580"/>
      <c r="BVL275" s="580"/>
      <c r="BVM275" s="580"/>
      <c r="BVN275" s="580"/>
      <c r="BVO275" s="580"/>
      <c r="BVP275" s="580"/>
      <c r="BVQ275" s="580"/>
      <c r="BVR275" s="580"/>
      <c r="BVS275" s="580"/>
      <c r="BVT275" s="580"/>
      <c r="BVU275" s="580"/>
      <c r="BVV275" s="580"/>
      <c r="BVW275" s="580"/>
      <c r="BVX275" s="580"/>
      <c r="BVY275" s="580"/>
      <c r="BVZ275" s="580"/>
      <c r="BWA275" s="580"/>
      <c r="BWB275" s="580"/>
      <c r="BWC275" s="580"/>
      <c r="BWD275" s="580"/>
      <c r="BWE275" s="580"/>
      <c r="BWF275" s="580"/>
      <c r="BWG275" s="580"/>
      <c r="BWH275" s="580"/>
      <c r="BWI275" s="580"/>
      <c r="BWJ275" s="580"/>
      <c r="BWK275" s="580"/>
      <c r="BWL275" s="580"/>
      <c r="BWM275" s="580"/>
      <c r="BWN275" s="580"/>
      <c r="BWO275" s="580"/>
      <c r="BWP275" s="580"/>
      <c r="BWQ275" s="580"/>
      <c r="BWR275" s="580"/>
      <c r="BWS275" s="580"/>
      <c r="BWT275" s="580"/>
      <c r="BWU275" s="580"/>
      <c r="BWV275" s="580"/>
      <c r="BWW275" s="580"/>
      <c r="BWX275" s="580"/>
      <c r="BWY275" s="580"/>
      <c r="BWZ275" s="580"/>
      <c r="BXA275" s="580"/>
      <c r="BXB275" s="580"/>
      <c r="BXC275" s="580"/>
      <c r="BXD275" s="580"/>
      <c r="BXE275" s="580"/>
      <c r="BXF275" s="580"/>
      <c r="BXG275" s="580"/>
      <c r="BXH275" s="580"/>
      <c r="BXI275" s="580"/>
      <c r="BXJ275" s="580"/>
      <c r="BXK275" s="580"/>
      <c r="BXL275" s="580"/>
      <c r="BXM275" s="580"/>
      <c r="BXN275" s="580"/>
      <c r="BXO275" s="580"/>
      <c r="BXP275" s="580"/>
      <c r="BXQ275" s="580"/>
      <c r="BXR275" s="580"/>
      <c r="BXS275" s="580"/>
      <c r="BXT275" s="580"/>
      <c r="BXU275" s="580"/>
      <c r="BXV275" s="580"/>
      <c r="BXW275" s="580"/>
      <c r="BXX275" s="580"/>
      <c r="BXY275" s="580"/>
      <c r="BXZ275" s="580"/>
      <c r="BYA275" s="580"/>
      <c r="BYB275" s="580"/>
      <c r="BYC275" s="580"/>
      <c r="BYD275" s="580"/>
      <c r="BYE275" s="580"/>
      <c r="BYF275" s="580"/>
      <c r="BYG275" s="580"/>
      <c r="BYH275" s="580"/>
      <c r="BYI275" s="580"/>
      <c r="BYJ275" s="580"/>
      <c r="BYK275" s="580"/>
      <c r="BYL275" s="580"/>
      <c r="BYM275" s="580"/>
      <c r="BYN275" s="580"/>
      <c r="BYO275" s="580"/>
      <c r="BYP275" s="580"/>
      <c r="BYQ275" s="580"/>
      <c r="BYR275" s="580"/>
      <c r="BYS275" s="580"/>
      <c r="BYT275" s="580"/>
      <c r="BYU275" s="580"/>
      <c r="BYV275" s="580"/>
      <c r="BYW275" s="580"/>
      <c r="BYX275" s="580"/>
      <c r="BYY275" s="580"/>
      <c r="BYZ275" s="580"/>
      <c r="BZA275" s="580"/>
      <c r="BZB275" s="580"/>
      <c r="BZC275" s="580"/>
      <c r="BZD275" s="580"/>
      <c r="BZE275" s="580"/>
      <c r="BZF275" s="580"/>
      <c r="BZG275" s="580"/>
      <c r="BZH275" s="580"/>
      <c r="BZI275" s="580"/>
      <c r="BZJ275" s="580"/>
      <c r="BZK275" s="580"/>
      <c r="BZL275" s="580"/>
      <c r="BZM275" s="580"/>
      <c r="BZN275" s="580"/>
      <c r="BZO275" s="580"/>
      <c r="BZP275" s="580"/>
      <c r="BZQ275" s="580"/>
      <c r="BZR275" s="580"/>
      <c r="BZS275" s="580"/>
      <c r="BZT275" s="580"/>
      <c r="BZU275" s="580"/>
      <c r="BZV275" s="580"/>
      <c r="BZW275" s="580"/>
      <c r="BZX275" s="580"/>
      <c r="BZY275" s="580"/>
      <c r="BZZ275" s="580"/>
      <c r="CAA275" s="580"/>
      <c r="CAB275" s="580"/>
      <c r="CAC275" s="580"/>
      <c r="CAD275" s="580"/>
      <c r="CAE275" s="580"/>
      <c r="CAF275" s="580"/>
      <c r="CAG275" s="580"/>
      <c r="CAH275" s="580"/>
      <c r="CAI275" s="580"/>
      <c r="CAJ275" s="580"/>
      <c r="CAK275" s="580"/>
      <c r="CAL275" s="580"/>
      <c r="CAM275" s="580"/>
      <c r="CAN275" s="580"/>
      <c r="CAO275" s="580"/>
      <c r="CAP275" s="580"/>
      <c r="CAQ275" s="580"/>
      <c r="CAR275" s="580"/>
      <c r="CAS275" s="580"/>
      <c r="CAT275" s="580"/>
      <c r="CAU275" s="580"/>
      <c r="CAV275" s="580"/>
      <c r="CAW275" s="580"/>
      <c r="CAX275" s="580"/>
      <c r="CAY275" s="580"/>
      <c r="CAZ275" s="580"/>
      <c r="CBA275" s="580"/>
      <c r="CBB275" s="580"/>
      <c r="CBC275" s="580"/>
      <c r="CBD275" s="580"/>
      <c r="CBE275" s="580"/>
      <c r="CBF275" s="580"/>
      <c r="CBG275" s="580"/>
      <c r="CBH275" s="580"/>
      <c r="CBI275" s="580"/>
      <c r="CBJ275" s="580"/>
      <c r="CBK275" s="580"/>
      <c r="CBL275" s="580"/>
      <c r="CBM275" s="580"/>
      <c r="CBN275" s="580"/>
      <c r="CBO275" s="580"/>
      <c r="CBP275" s="580"/>
      <c r="CBQ275" s="580"/>
      <c r="CBR275" s="580"/>
      <c r="CBS275" s="580"/>
      <c r="CBT275" s="580"/>
      <c r="CBU275" s="580"/>
      <c r="CBV275" s="580"/>
      <c r="CBW275" s="580"/>
      <c r="CBX275" s="580"/>
      <c r="CBY275" s="580"/>
      <c r="CBZ275" s="580"/>
      <c r="CCA275" s="580"/>
      <c r="CCB275" s="580"/>
      <c r="CCC275" s="580"/>
      <c r="CCD275" s="580"/>
      <c r="CCE275" s="580"/>
      <c r="CCF275" s="580"/>
      <c r="CCG275" s="580"/>
      <c r="CCH275" s="580"/>
      <c r="CCI275" s="580"/>
      <c r="CCJ275" s="580"/>
      <c r="CCK275" s="580"/>
      <c r="CCL275" s="580"/>
      <c r="CCM275" s="580"/>
      <c r="CCN275" s="580"/>
      <c r="CCO275" s="580"/>
      <c r="CCP275" s="580"/>
      <c r="CCQ275" s="580"/>
      <c r="CCR275" s="580"/>
      <c r="CCS275" s="580"/>
      <c r="CCT275" s="580"/>
      <c r="CCU275" s="580"/>
      <c r="CCV275" s="580"/>
      <c r="CCW275" s="580"/>
      <c r="CCX275" s="580"/>
      <c r="CCY275" s="580"/>
      <c r="CCZ275" s="580"/>
      <c r="CDA275" s="580"/>
      <c r="CDB275" s="580"/>
      <c r="CDC275" s="580"/>
      <c r="CDD275" s="580"/>
      <c r="CDE275" s="580"/>
      <c r="CDF275" s="580"/>
      <c r="CDG275" s="580"/>
      <c r="CDH275" s="580"/>
      <c r="CDI275" s="580"/>
      <c r="CDJ275" s="580"/>
      <c r="CDK275" s="580"/>
      <c r="CDL275" s="580"/>
      <c r="CDM275" s="580"/>
      <c r="CDN275" s="580"/>
      <c r="CDO275" s="580"/>
      <c r="CDP275" s="580"/>
      <c r="CDQ275" s="580"/>
      <c r="CDR275" s="580"/>
      <c r="CDS275" s="580"/>
      <c r="CDT275" s="580"/>
      <c r="CDU275" s="580"/>
      <c r="CDV275" s="580"/>
      <c r="CDW275" s="580"/>
      <c r="CDX275" s="580"/>
      <c r="CDY275" s="580"/>
      <c r="CDZ275" s="580"/>
      <c r="CEA275" s="580"/>
      <c r="CEB275" s="580"/>
      <c r="CEC275" s="580"/>
      <c r="CED275" s="580"/>
      <c r="CEE275" s="580"/>
      <c r="CEF275" s="580"/>
      <c r="CEG275" s="580"/>
      <c r="CEH275" s="580"/>
      <c r="CEI275" s="580"/>
      <c r="CEJ275" s="580"/>
      <c r="CEK275" s="580"/>
      <c r="CEL275" s="580"/>
      <c r="CEM275" s="580"/>
      <c r="CEN275" s="580"/>
      <c r="CEO275" s="580"/>
      <c r="CEP275" s="580"/>
      <c r="CEQ275" s="580"/>
      <c r="CER275" s="580"/>
      <c r="CES275" s="580"/>
      <c r="CET275" s="580"/>
      <c r="CEU275" s="580"/>
      <c r="CEV275" s="580"/>
      <c r="CEW275" s="580"/>
      <c r="CEX275" s="580"/>
      <c r="CEY275" s="580"/>
      <c r="CEZ275" s="580"/>
      <c r="CFA275" s="580"/>
      <c r="CFB275" s="580"/>
      <c r="CFC275" s="580"/>
      <c r="CFD275" s="580"/>
      <c r="CFE275" s="580"/>
      <c r="CFF275" s="580"/>
      <c r="CFG275" s="580"/>
      <c r="CFH275" s="580"/>
      <c r="CFI275" s="580"/>
      <c r="CFJ275" s="580"/>
      <c r="CFK275" s="580"/>
      <c r="CFL275" s="580"/>
      <c r="CFM275" s="580"/>
      <c r="CFN275" s="580"/>
      <c r="CFO275" s="580"/>
      <c r="CFP275" s="580"/>
      <c r="CFQ275" s="580"/>
      <c r="CFR275" s="580"/>
      <c r="CFS275" s="580"/>
      <c r="CFT275" s="580"/>
      <c r="CFU275" s="580"/>
      <c r="CFV275" s="580"/>
      <c r="CFW275" s="580"/>
      <c r="CFX275" s="580"/>
      <c r="CFY275" s="580"/>
      <c r="CFZ275" s="580"/>
      <c r="CGA275" s="580"/>
      <c r="CGB275" s="580"/>
      <c r="CGC275" s="580"/>
      <c r="CGD275" s="580"/>
      <c r="CGE275" s="580"/>
      <c r="CGF275" s="580"/>
      <c r="CGG275" s="580"/>
      <c r="CGH275" s="580"/>
      <c r="CGI275" s="580"/>
      <c r="CGJ275" s="580"/>
      <c r="CGK275" s="580"/>
      <c r="CGL275" s="580"/>
      <c r="CGM275" s="580"/>
      <c r="CGN275" s="580"/>
      <c r="CGO275" s="580"/>
      <c r="CGP275" s="580"/>
      <c r="CGQ275" s="580"/>
      <c r="CGR275" s="580"/>
      <c r="CGS275" s="580"/>
      <c r="CGT275" s="580"/>
      <c r="CGU275" s="580"/>
      <c r="CGV275" s="580"/>
      <c r="CGW275" s="580"/>
      <c r="CGX275" s="580"/>
      <c r="CGY275" s="580"/>
      <c r="CGZ275" s="580"/>
      <c r="CHA275" s="580"/>
      <c r="CHB275" s="580"/>
      <c r="CHC275" s="580"/>
      <c r="CHD275" s="580"/>
      <c r="CHE275" s="580"/>
      <c r="CHF275" s="580"/>
      <c r="CHG275" s="580"/>
      <c r="CHH275" s="580"/>
      <c r="CHI275" s="580"/>
      <c r="CHJ275" s="580"/>
      <c r="CHK275" s="580"/>
      <c r="CHL275" s="580"/>
      <c r="CHM275" s="580"/>
      <c r="CHN275" s="580"/>
      <c r="CHO275" s="580"/>
      <c r="CHP275" s="580"/>
      <c r="CHQ275" s="580"/>
      <c r="CHR275" s="580"/>
      <c r="CHS275" s="580"/>
      <c r="CHT275" s="580"/>
      <c r="CHU275" s="580"/>
      <c r="CHV275" s="580"/>
      <c r="CHW275" s="580"/>
      <c r="CHX275" s="580"/>
      <c r="CHY275" s="580"/>
      <c r="CHZ275" s="580"/>
      <c r="CIA275" s="580"/>
      <c r="CIB275" s="580"/>
      <c r="CIC275" s="580"/>
      <c r="CID275" s="580"/>
      <c r="CIE275" s="580"/>
      <c r="CIF275" s="580"/>
      <c r="CIG275" s="580"/>
      <c r="CIH275" s="580"/>
      <c r="CII275" s="580"/>
      <c r="CIJ275" s="580"/>
      <c r="CIK275" s="580"/>
      <c r="CIL275" s="580"/>
      <c r="CIM275" s="580"/>
      <c r="CIN275" s="580"/>
      <c r="CIO275" s="580"/>
      <c r="CIP275" s="580"/>
      <c r="CIQ275" s="580"/>
      <c r="CIR275" s="580"/>
      <c r="CIS275" s="580"/>
      <c r="CIT275" s="580"/>
      <c r="CIU275" s="580"/>
      <c r="CIV275" s="580"/>
      <c r="CIW275" s="580"/>
      <c r="CIX275" s="580"/>
      <c r="CIY275" s="580"/>
      <c r="CIZ275" s="580"/>
      <c r="CJA275" s="580"/>
      <c r="CJB275" s="580"/>
      <c r="CJC275" s="580"/>
      <c r="CJD275" s="580"/>
      <c r="CJE275" s="580"/>
      <c r="CJF275" s="580"/>
      <c r="CJG275" s="580"/>
      <c r="CJH275" s="580"/>
      <c r="CJI275" s="580"/>
      <c r="CJJ275" s="580"/>
      <c r="CJK275" s="580"/>
      <c r="CJL275" s="580"/>
      <c r="CJM275" s="580"/>
      <c r="CJN275" s="580"/>
      <c r="CJO275" s="580"/>
      <c r="CJP275" s="580"/>
      <c r="CJQ275" s="580"/>
      <c r="CJR275" s="580"/>
      <c r="CJS275" s="580"/>
      <c r="CJT275" s="580"/>
      <c r="CJU275" s="580"/>
      <c r="CJV275" s="580"/>
      <c r="CJW275" s="580"/>
      <c r="CJX275" s="580"/>
      <c r="CJY275" s="580"/>
      <c r="CJZ275" s="580"/>
      <c r="CKA275" s="580"/>
      <c r="CKB275" s="580"/>
      <c r="CKC275" s="580"/>
      <c r="CKD275" s="580"/>
      <c r="CKE275" s="580"/>
      <c r="CKF275" s="580"/>
      <c r="CKG275" s="580"/>
      <c r="CKH275" s="580"/>
      <c r="CKI275" s="580"/>
      <c r="CKJ275" s="580"/>
      <c r="CKK275" s="580"/>
      <c r="CKL275" s="580"/>
      <c r="CKM275" s="580"/>
      <c r="CKN275" s="580"/>
      <c r="CKO275" s="580"/>
      <c r="CKP275" s="580"/>
      <c r="CKQ275" s="580"/>
      <c r="CKR275" s="580"/>
      <c r="CKS275" s="580"/>
      <c r="CKT275" s="580"/>
      <c r="CKU275" s="580"/>
      <c r="CKV275" s="580"/>
      <c r="CKW275" s="580"/>
      <c r="CKX275" s="580"/>
      <c r="CKY275" s="580"/>
      <c r="CKZ275" s="580"/>
      <c r="CLA275" s="580"/>
      <c r="CLB275" s="580"/>
      <c r="CLC275" s="580"/>
      <c r="CLD275" s="580"/>
      <c r="CLE275" s="580"/>
      <c r="CLF275" s="580"/>
      <c r="CLG275" s="580"/>
      <c r="CLH275" s="580"/>
      <c r="CLI275" s="580"/>
      <c r="CLJ275" s="580"/>
      <c r="CLK275" s="580"/>
      <c r="CLL275" s="580"/>
      <c r="CLM275" s="580"/>
      <c r="CLN275" s="580"/>
      <c r="CLO275" s="580"/>
      <c r="CLP275" s="580"/>
      <c r="CLQ275" s="580"/>
      <c r="CLR275" s="580"/>
      <c r="CLS275" s="580"/>
      <c r="CLT275" s="580"/>
      <c r="CLU275" s="580"/>
      <c r="CLV275" s="580"/>
      <c r="CLW275" s="580"/>
      <c r="CLX275" s="580"/>
      <c r="CLY275" s="580"/>
      <c r="CLZ275" s="580"/>
      <c r="CMA275" s="580"/>
      <c r="CMB275" s="580"/>
      <c r="CMC275" s="580"/>
      <c r="CMD275" s="580"/>
      <c r="CME275" s="580"/>
      <c r="CMF275" s="580"/>
      <c r="CMG275" s="580"/>
      <c r="CMH275" s="580"/>
      <c r="CMI275" s="580"/>
      <c r="CMJ275" s="580"/>
      <c r="CMK275" s="580"/>
      <c r="CML275" s="580"/>
      <c r="CMM275" s="580"/>
      <c r="CMN275" s="580"/>
      <c r="CMO275" s="580"/>
      <c r="CMP275" s="580"/>
      <c r="CMQ275" s="580"/>
      <c r="CMR275" s="580"/>
      <c r="CMS275" s="580"/>
      <c r="CMT275" s="580"/>
      <c r="CMU275" s="580"/>
      <c r="CMV275" s="580"/>
      <c r="CMW275" s="580"/>
      <c r="CMX275" s="580"/>
      <c r="CMY275" s="580"/>
      <c r="CMZ275" s="580"/>
      <c r="CNA275" s="580"/>
      <c r="CNB275" s="580"/>
      <c r="CNC275" s="580"/>
      <c r="CND275" s="580"/>
      <c r="CNE275" s="580"/>
      <c r="CNF275" s="580"/>
      <c r="CNG275" s="580"/>
      <c r="CNH275" s="580"/>
      <c r="CNI275" s="580"/>
      <c r="CNJ275" s="580"/>
      <c r="CNK275" s="580"/>
      <c r="CNL275" s="580"/>
      <c r="CNM275" s="580"/>
      <c r="CNN275" s="580"/>
      <c r="CNO275" s="580"/>
      <c r="CNP275" s="580"/>
      <c r="CNQ275" s="580"/>
      <c r="CNR275" s="580"/>
      <c r="CNS275" s="580"/>
      <c r="CNT275" s="580"/>
      <c r="CNU275" s="580"/>
      <c r="CNV275" s="580"/>
      <c r="CNW275" s="580"/>
      <c r="CNX275" s="580"/>
      <c r="CNY275" s="580"/>
      <c r="CNZ275" s="580"/>
      <c r="COA275" s="580"/>
      <c r="COB275" s="580"/>
      <c r="COC275" s="580"/>
      <c r="COD275" s="580"/>
      <c r="COE275" s="580"/>
      <c r="COF275" s="580"/>
      <c r="COG275" s="580"/>
      <c r="COH275" s="580"/>
      <c r="COI275" s="580"/>
      <c r="COJ275" s="580"/>
      <c r="COK275" s="580"/>
      <c r="COL275" s="580"/>
      <c r="COM275" s="580"/>
      <c r="CON275" s="580"/>
      <c r="COO275" s="580"/>
      <c r="COP275" s="580"/>
      <c r="COQ275" s="580"/>
      <c r="COR275" s="580"/>
      <c r="COS275" s="580"/>
      <c r="COT275" s="580"/>
      <c r="COU275" s="580"/>
      <c r="COV275" s="580"/>
      <c r="COW275" s="580"/>
      <c r="COX275" s="580"/>
      <c r="COY275" s="580"/>
      <c r="COZ275" s="580"/>
      <c r="CPA275" s="580"/>
      <c r="CPB275" s="580"/>
      <c r="CPC275" s="580"/>
      <c r="CPD275" s="580"/>
      <c r="CPE275" s="580"/>
      <c r="CPF275" s="580"/>
      <c r="CPG275" s="580"/>
      <c r="CPH275" s="580"/>
      <c r="CPI275" s="580"/>
      <c r="CPJ275" s="580"/>
      <c r="CPK275" s="580"/>
      <c r="CPL275" s="580"/>
      <c r="CPM275" s="580"/>
      <c r="CPN275" s="580"/>
      <c r="CPO275" s="580"/>
      <c r="CPP275" s="580"/>
      <c r="CPQ275" s="580"/>
      <c r="CPR275" s="580"/>
      <c r="CPS275" s="580"/>
      <c r="CPT275" s="580"/>
      <c r="CPU275" s="580"/>
      <c r="CPV275" s="580"/>
      <c r="CPW275" s="580"/>
      <c r="CPX275" s="580"/>
      <c r="CPY275" s="580"/>
      <c r="CPZ275" s="580"/>
      <c r="CQA275" s="580"/>
      <c r="CQB275" s="580"/>
      <c r="CQC275" s="580"/>
      <c r="CQD275" s="580"/>
      <c r="CQE275" s="580"/>
      <c r="CQF275" s="580"/>
      <c r="CQG275" s="580"/>
      <c r="CQH275" s="580"/>
      <c r="CQI275" s="580"/>
      <c r="CQJ275" s="580"/>
      <c r="CQK275" s="580"/>
      <c r="CQL275" s="580"/>
      <c r="CQM275" s="580"/>
      <c r="CQN275" s="580"/>
      <c r="CQO275" s="580"/>
      <c r="CQP275" s="580"/>
      <c r="CQQ275" s="580"/>
      <c r="CQR275" s="580"/>
      <c r="CQS275" s="580"/>
      <c r="CQT275" s="580"/>
      <c r="CQU275" s="580"/>
      <c r="CQV275" s="580"/>
      <c r="CQW275" s="580"/>
      <c r="CQX275" s="580"/>
      <c r="CQY275" s="580"/>
      <c r="CQZ275" s="580"/>
      <c r="CRA275" s="580"/>
      <c r="CRB275" s="580"/>
      <c r="CRC275" s="580"/>
      <c r="CRD275" s="580"/>
      <c r="CRE275" s="580"/>
      <c r="CRF275" s="580"/>
      <c r="CRG275" s="580"/>
      <c r="CRH275" s="580"/>
      <c r="CRI275" s="580"/>
      <c r="CRJ275" s="580"/>
      <c r="CRK275" s="580"/>
      <c r="CRL275" s="580"/>
      <c r="CRM275" s="580"/>
      <c r="CRN275" s="580"/>
      <c r="CRO275" s="580"/>
      <c r="CRP275" s="580"/>
      <c r="CRQ275" s="580"/>
      <c r="CRR275" s="580"/>
      <c r="CRS275" s="580"/>
      <c r="CRT275" s="580"/>
      <c r="CRU275" s="580"/>
      <c r="CRV275" s="580"/>
      <c r="CRW275" s="580"/>
      <c r="CRX275" s="580"/>
      <c r="CRY275" s="580"/>
      <c r="CRZ275" s="580"/>
      <c r="CSA275" s="580"/>
      <c r="CSB275" s="580"/>
      <c r="CSC275" s="580"/>
      <c r="CSD275" s="580"/>
      <c r="CSE275" s="580"/>
      <c r="CSF275" s="580"/>
      <c r="CSG275" s="580"/>
      <c r="CSH275" s="580"/>
      <c r="CSI275" s="580"/>
      <c r="CSJ275" s="580"/>
      <c r="CSK275" s="580"/>
      <c r="CSL275" s="580"/>
      <c r="CSM275" s="580"/>
      <c r="CSN275" s="580"/>
      <c r="CSO275" s="580"/>
      <c r="CSP275" s="580"/>
      <c r="CSQ275" s="580"/>
      <c r="CSR275" s="580"/>
      <c r="CSS275" s="580"/>
      <c r="CST275" s="580"/>
      <c r="CSU275" s="580"/>
      <c r="CSV275" s="580"/>
      <c r="CSW275" s="580"/>
      <c r="CSX275" s="580"/>
      <c r="CSY275" s="580"/>
      <c r="CSZ275" s="580"/>
      <c r="CTA275" s="580"/>
      <c r="CTB275" s="580"/>
      <c r="CTC275" s="580"/>
      <c r="CTD275" s="580"/>
      <c r="CTE275" s="580"/>
      <c r="CTF275" s="580"/>
      <c r="CTG275" s="580"/>
      <c r="CTH275" s="580"/>
      <c r="CTI275" s="580"/>
      <c r="CTJ275" s="580"/>
      <c r="CTK275" s="580"/>
      <c r="CTL275" s="580"/>
      <c r="CTM275" s="580"/>
      <c r="CTN275" s="580"/>
      <c r="CTO275" s="580"/>
      <c r="CTP275" s="580"/>
      <c r="CTQ275" s="580"/>
      <c r="CTR275" s="580"/>
      <c r="CTS275" s="580"/>
      <c r="CTT275" s="580"/>
      <c r="CTU275" s="580"/>
      <c r="CTV275" s="580"/>
      <c r="CTW275" s="580"/>
      <c r="CTX275" s="580"/>
      <c r="CTY275" s="580"/>
      <c r="CTZ275" s="580"/>
      <c r="CUA275" s="580"/>
      <c r="CUB275" s="580"/>
      <c r="CUC275" s="580"/>
      <c r="CUD275" s="580"/>
      <c r="CUE275" s="580"/>
      <c r="CUF275" s="580"/>
      <c r="CUG275" s="580"/>
      <c r="CUH275" s="580"/>
      <c r="CUI275" s="580"/>
      <c r="CUJ275" s="580"/>
      <c r="CUK275" s="580"/>
      <c r="CUL275" s="580"/>
      <c r="CUM275" s="580"/>
      <c r="CUN275" s="580"/>
      <c r="CUO275" s="580"/>
      <c r="CUP275" s="580"/>
      <c r="CUQ275" s="580"/>
      <c r="CUR275" s="580"/>
      <c r="CUS275" s="580"/>
      <c r="CUT275" s="580"/>
      <c r="CUU275" s="580"/>
      <c r="CUV275" s="580"/>
      <c r="CUW275" s="580"/>
      <c r="CUX275" s="580"/>
      <c r="CUY275" s="580"/>
      <c r="CUZ275" s="580"/>
      <c r="CVA275" s="580"/>
      <c r="CVB275" s="580"/>
      <c r="CVC275" s="580"/>
      <c r="CVD275" s="580"/>
      <c r="CVE275" s="580"/>
      <c r="CVF275" s="580"/>
      <c r="CVG275" s="580"/>
      <c r="CVH275" s="580"/>
      <c r="CVI275" s="580"/>
      <c r="CVJ275" s="580"/>
      <c r="CVK275" s="580"/>
      <c r="CVL275" s="580"/>
      <c r="CVM275" s="580"/>
      <c r="CVN275" s="580"/>
      <c r="CVO275" s="580"/>
      <c r="CVP275" s="580"/>
      <c r="CVQ275" s="580"/>
      <c r="CVR275" s="580"/>
      <c r="CVS275" s="580"/>
      <c r="CVT275" s="580"/>
      <c r="CVU275" s="580"/>
      <c r="CVV275" s="580"/>
      <c r="CVW275" s="580"/>
      <c r="CVX275" s="580"/>
      <c r="CVY275" s="580"/>
      <c r="CVZ275" s="580"/>
      <c r="CWA275" s="580"/>
      <c r="CWB275" s="580"/>
      <c r="CWC275" s="580"/>
      <c r="CWD275" s="580"/>
      <c r="CWE275" s="580"/>
      <c r="CWF275" s="580"/>
      <c r="CWG275" s="580"/>
      <c r="CWH275" s="580"/>
      <c r="CWI275" s="580"/>
      <c r="CWJ275" s="580"/>
      <c r="CWK275" s="580"/>
      <c r="CWL275" s="580"/>
      <c r="CWM275" s="580"/>
      <c r="CWN275" s="580"/>
      <c r="CWO275" s="580"/>
      <c r="CWP275" s="580"/>
      <c r="CWQ275" s="580"/>
      <c r="CWR275" s="580"/>
      <c r="CWS275" s="580"/>
      <c r="CWT275" s="580"/>
      <c r="CWU275" s="580"/>
      <c r="CWV275" s="580"/>
      <c r="CWW275" s="580"/>
      <c r="CWX275" s="580"/>
      <c r="CWY275" s="580"/>
      <c r="CWZ275" s="580"/>
      <c r="CXA275" s="580"/>
      <c r="CXB275" s="580"/>
      <c r="CXC275" s="580"/>
      <c r="CXD275" s="580"/>
      <c r="CXE275" s="580"/>
      <c r="CXF275" s="580"/>
      <c r="CXG275" s="580"/>
      <c r="CXH275" s="580"/>
      <c r="CXI275" s="580"/>
      <c r="CXJ275" s="580"/>
      <c r="CXK275" s="580"/>
      <c r="CXL275" s="580"/>
      <c r="CXM275" s="580"/>
      <c r="CXN275" s="580"/>
      <c r="CXO275" s="580"/>
      <c r="CXP275" s="580"/>
      <c r="CXQ275" s="580"/>
      <c r="CXR275" s="580"/>
      <c r="CXS275" s="580"/>
      <c r="CXT275" s="580"/>
      <c r="CXU275" s="580"/>
      <c r="CXV275" s="580"/>
      <c r="CXW275" s="580"/>
      <c r="CXX275" s="580"/>
      <c r="CXY275" s="580"/>
      <c r="CXZ275" s="580"/>
      <c r="CYA275" s="580"/>
      <c r="CYB275" s="580"/>
      <c r="CYC275" s="580"/>
      <c r="CYD275" s="580"/>
      <c r="CYE275" s="580"/>
      <c r="CYF275" s="580"/>
      <c r="CYG275" s="580"/>
      <c r="CYH275" s="580"/>
      <c r="CYI275" s="580"/>
      <c r="CYJ275" s="580"/>
      <c r="CYK275" s="580"/>
      <c r="CYL275" s="580"/>
      <c r="CYM275" s="580"/>
      <c r="CYN275" s="580"/>
      <c r="CYO275" s="580"/>
      <c r="CYP275" s="580"/>
      <c r="CYQ275" s="580"/>
      <c r="CYR275" s="580"/>
      <c r="CYS275" s="580"/>
      <c r="CYT275" s="580"/>
      <c r="CYU275" s="580"/>
      <c r="CYV275" s="580"/>
      <c r="CYW275" s="580"/>
      <c r="CYX275" s="580"/>
      <c r="CYY275" s="580"/>
      <c r="CYZ275" s="580"/>
      <c r="CZA275" s="580"/>
      <c r="CZB275" s="580"/>
      <c r="CZC275" s="580"/>
      <c r="CZD275" s="580"/>
      <c r="CZE275" s="580"/>
      <c r="CZF275" s="580"/>
      <c r="CZG275" s="580"/>
      <c r="CZH275" s="580"/>
      <c r="CZI275" s="580"/>
      <c r="CZJ275" s="580"/>
      <c r="CZK275" s="580"/>
      <c r="CZL275" s="580"/>
      <c r="CZM275" s="580"/>
      <c r="CZN275" s="580"/>
      <c r="CZO275" s="580"/>
      <c r="CZP275" s="580"/>
      <c r="CZQ275" s="580"/>
      <c r="CZR275" s="580"/>
      <c r="CZS275" s="580"/>
      <c r="CZT275" s="580"/>
      <c r="CZU275" s="580"/>
      <c r="CZV275" s="580"/>
      <c r="CZW275" s="580"/>
      <c r="CZX275" s="580"/>
      <c r="CZY275" s="580"/>
      <c r="CZZ275" s="580"/>
      <c r="DAA275" s="580"/>
      <c r="DAB275" s="580"/>
      <c r="DAC275" s="580"/>
      <c r="DAD275" s="580"/>
      <c r="DAE275" s="580"/>
      <c r="DAF275" s="580"/>
      <c r="DAG275" s="580"/>
      <c r="DAH275" s="580"/>
      <c r="DAI275" s="580"/>
      <c r="DAJ275" s="580"/>
      <c r="DAK275" s="580"/>
      <c r="DAL275" s="580"/>
      <c r="DAM275" s="580"/>
      <c r="DAN275" s="580"/>
      <c r="DAO275" s="580"/>
      <c r="DAP275" s="580"/>
      <c r="DAQ275" s="580"/>
      <c r="DAR275" s="580"/>
      <c r="DAS275" s="580"/>
      <c r="DAT275" s="580"/>
      <c r="DAU275" s="580"/>
      <c r="DAV275" s="580"/>
      <c r="DAW275" s="580"/>
      <c r="DAX275" s="580"/>
      <c r="DAY275" s="580"/>
      <c r="DAZ275" s="580"/>
      <c r="DBA275" s="580"/>
      <c r="DBB275" s="580"/>
      <c r="DBC275" s="580"/>
      <c r="DBD275" s="580"/>
      <c r="DBE275" s="580"/>
      <c r="DBF275" s="580"/>
      <c r="DBG275" s="580"/>
      <c r="DBH275" s="580"/>
      <c r="DBI275" s="580"/>
      <c r="DBJ275" s="580"/>
      <c r="DBK275" s="580"/>
      <c r="DBL275" s="580"/>
      <c r="DBM275" s="580"/>
      <c r="DBN275" s="580"/>
      <c r="DBO275" s="580"/>
      <c r="DBP275" s="580"/>
      <c r="DBQ275" s="580"/>
      <c r="DBR275" s="580"/>
      <c r="DBS275" s="580"/>
      <c r="DBT275" s="580"/>
      <c r="DBU275" s="580"/>
      <c r="DBV275" s="580"/>
      <c r="DBW275" s="580"/>
      <c r="DBX275" s="580"/>
      <c r="DBY275" s="580"/>
      <c r="DBZ275" s="580"/>
      <c r="DCA275" s="580"/>
      <c r="DCB275" s="580"/>
      <c r="DCC275" s="580"/>
      <c r="DCD275" s="580"/>
      <c r="DCE275" s="580"/>
      <c r="DCF275" s="580"/>
      <c r="DCG275" s="580"/>
      <c r="DCH275" s="580"/>
      <c r="DCI275" s="580"/>
      <c r="DCJ275" s="580"/>
      <c r="DCK275" s="580"/>
      <c r="DCL275" s="580"/>
      <c r="DCM275" s="580"/>
      <c r="DCN275" s="580"/>
      <c r="DCO275" s="580"/>
      <c r="DCP275" s="580"/>
      <c r="DCQ275" s="580"/>
      <c r="DCR275" s="580"/>
      <c r="DCS275" s="580"/>
      <c r="DCT275" s="580"/>
      <c r="DCU275" s="580"/>
      <c r="DCV275" s="580"/>
      <c r="DCW275" s="580"/>
      <c r="DCX275" s="580"/>
      <c r="DCY275" s="580"/>
      <c r="DCZ275" s="580"/>
      <c r="DDA275" s="580"/>
      <c r="DDB275" s="580"/>
      <c r="DDC275" s="580"/>
      <c r="DDD275" s="580"/>
      <c r="DDE275" s="580"/>
      <c r="DDF275" s="580"/>
      <c r="DDG275" s="580"/>
      <c r="DDH275" s="580"/>
      <c r="DDI275" s="580"/>
      <c r="DDJ275" s="580"/>
      <c r="DDK275" s="580"/>
      <c r="DDL275" s="580"/>
      <c r="DDM275" s="580"/>
      <c r="DDN275" s="580"/>
      <c r="DDO275" s="580"/>
      <c r="DDP275" s="580"/>
      <c r="DDQ275" s="580"/>
      <c r="DDR275" s="580"/>
      <c r="DDS275" s="580"/>
      <c r="DDT275" s="580"/>
      <c r="DDU275" s="580"/>
      <c r="DDV275" s="580"/>
      <c r="DDW275" s="580"/>
      <c r="DDX275" s="580"/>
      <c r="DDY275" s="580"/>
      <c r="DDZ275" s="580"/>
      <c r="DEA275" s="580"/>
      <c r="DEB275" s="580"/>
      <c r="DEC275" s="580"/>
      <c r="DED275" s="580"/>
      <c r="DEE275" s="580"/>
      <c r="DEF275" s="580"/>
      <c r="DEG275" s="580"/>
      <c r="DEH275" s="580"/>
      <c r="DEI275" s="580"/>
      <c r="DEJ275" s="580"/>
      <c r="DEK275" s="580"/>
      <c r="DEL275" s="580"/>
      <c r="DEM275" s="580"/>
      <c r="DEN275" s="580"/>
      <c r="DEO275" s="580"/>
      <c r="DEP275" s="580"/>
      <c r="DEQ275" s="580"/>
      <c r="DER275" s="580"/>
      <c r="DES275" s="580"/>
      <c r="DET275" s="580"/>
      <c r="DEU275" s="580"/>
      <c r="DEV275" s="580"/>
      <c r="DEW275" s="580"/>
      <c r="DEX275" s="580"/>
      <c r="DEY275" s="580"/>
      <c r="DEZ275" s="580"/>
      <c r="DFA275" s="580"/>
      <c r="DFB275" s="580"/>
      <c r="DFC275" s="580"/>
      <c r="DFD275" s="580"/>
      <c r="DFE275" s="580"/>
      <c r="DFF275" s="580"/>
      <c r="DFG275" s="580"/>
      <c r="DFH275" s="580"/>
      <c r="DFI275" s="580"/>
      <c r="DFJ275" s="580"/>
      <c r="DFK275" s="580"/>
      <c r="DFL275" s="580"/>
      <c r="DFM275" s="580"/>
      <c r="DFN275" s="580"/>
      <c r="DFO275" s="580"/>
      <c r="DFP275" s="580"/>
      <c r="DFQ275" s="580"/>
      <c r="DFR275" s="580"/>
      <c r="DFS275" s="580"/>
      <c r="DFT275" s="580"/>
      <c r="DFU275" s="580"/>
      <c r="DFV275" s="580"/>
      <c r="DFW275" s="580"/>
      <c r="DFX275" s="580"/>
      <c r="DFY275" s="580"/>
      <c r="DFZ275" s="580"/>
      <c r="DGA275" s="580"/>
      <c r="DGB275" s="580"/>
      <c r="DGC275" s="580"/>
      <c r="DGD275" s="580"/>
      <c r="DGE275" s="580"/>
      <c r="DGF275" s="580"/>
      <c r="DGG275" s="580"/>
      <c r="DGH275" s="580"/>
      <c r="DGI275" s="580"/>
      <c r="DGJ275" s="580"/>
      <c r="DGK275" s="580"/>
      <c r="DGL275" s="580"/>
      <c r="DGM275" s="580"/>
      <c r="DGN275" s="580"/>
      <c r="DGO275" s="580"/>
      <c r="DGP275" s="580"/>
      <c r="DGQ275" s="580"/>
      <c r="DGR275" s="580"/>
      <c r="DGS275" s="580"/>
      <c r="DGT275" s="580"/>
      <c r="DGU275" s="580"/>
      <c r="DGV275" s="580"/>
      <c r="DGW275" s="580"/>
      <c r="DGX275" s="580"/>
      <c r="DGY275" s="580"/>
      <c r="DGZ275" s="580"/>
      <c r="DHA275" s="580"/>
      <c r="DHB275" s="580"/>
      <c r="DHC275" s="580"/>
      <c r="DHD275" s="580"/>
      <c r="DHE275" s="580"/>
      <c r="DHF275" s="580"/>
      <c r="DHG275" s="580"/>
      <c r="DHH275" s="580"/>
      <c r="DHI275" s="580"/>
      <c r="DHJ275" s="580"/>
      <c r="DHK275" s="580"/>
      <c r="DHL275" s="580"/>
      <c r="DHM275" s="580"/>
      <c r="DHN275" s="580"/>
      <c r="DHO275" s="580"/>
      <c r="DHP275" s="580"/>
      <c r="DHQ275" s="580"/>
      <c r="DHR275" s="580"/>
      <c r="DHS275" s="580"/>
      <c r="DHT275" s="580"/>
      <c r="DHU275" s="580"/>
      <c r="DHV275" s="580"/>
      <c r="DHW275" s="580"/>
      <c r="DHX275" s="580"/>
      <c r="DHY275" s="580"/>
      <c r="DHZ275" s="580"/>
      <c r="DIA275" s="580"/>
      <c r="DIB275" s="580"/>
      <c r="DIC275" s="580"/>
      <c r="DID275" s="580"/>
      <c r="DIE275" s="580"/>
      <c r="DIF275" s="580"/>
      <c r="DIG275" s="580"/>
      <c r="DIH275" s="580"/>
      <c r="DII275" s="580"/>
      <c r="DIJ275" s="580"/>
      <c r="DIK275" s="580"/>
      <c r="DIL275" s="580"/>
      <c r="DIM275" s="580"/>
      <c r="DIN275" s="580"/>
      <c r="DIO275" s="580"/>
      <c r="DIP275" s="580"/>
      <c r="DIQ275" s="580"/>
      <c r="DIR275" s="580"/>
      <c r="DIS275" s="580"/>
      <c r="DIT275" s="580"/>
      <c r="DIU275" s="580"/>
      <c r="DIV275" s="580"/>
      <c r="DIW275" s="580"/>
      <c r="DIX275" s="580"/>
      <c r="DIY275" s="580"/>
      <c r="DIZ275" s="580"/>
      <c r="DJA275" s="580"/>
      <c r="DJB275" s="580"/>
      <c r="DJC275" s="580"/>
      <c r="DJD275" s="580"/>
      <c r="DJE275" s="580"/>
      <c r="DJF275" s="580"/>
      <c r="DJG275" s="580"/>
      <c r="DJH275" s="580"/>
      <c r="DJI275" s="580"/>
      <c r="DJJ275" s="580"/>
      <c r="DJK275" s="580"/>
      <c r="DJL275" s="580"/>
      <c r="DJM275" s="580"/>
      <c r="DJN275" s="580"/>
      <c r="DJO275" s="580"/>
      <c r="DJP275" s="580"/>
      <c r="DJQ275" s="580"/>
      <c r="DJR275" s="580"/>
      <c r="DJS275" s="580"/>
      <c r="DJT275" s="580"/>
      <c r="DJU275" s="580"/>
      <c r="DJV275" s="580"/>
      <c r="DJW275" s="580"/>
      <c r="DJX275" s="580"/>
      <c r="DJY275" s="580"/>
      <c r="DJZ275" s="580"/>
      <c r="DKA275" s="580"/>
      <c r="DKB275" s="580"/>
      <c r="DKC275" s="580"/>
      <c r="DKD275" s="580"/>
      <c r="DKE275" s="580"/>
      <c r="DKF275" s="580"/>
      <c r="DKG275" s="580"/>
      <c r="DKH275" s="580"/>
      <c r="DKI275" s="580"/>
      <c r="DKJ275" s="580"/>
      <c r="DKK275" s="580"/>
      <c r="DKL275" s="580"/>
      <c r="DKM275" s="580"/>
      <c r="DKN275" s="580"/>
      <c r="DKO275" s="580"/>
      <c r="DKP275" s="580"/>
      <c r="DKQ275" s="580"/>
      <c r="DKR275" s="580"/>
      <c r="DKS275" s="580"/>
      <c r="DKT275" s="580"/>
      <c r="DKU275" s="580"/>
      <c r="DKV275" s="580"/>
      <c r="DKW275" s="580"/>
      <c r="DKX275" s="580"/>
      <c r="DKY275" s="580"/>
      <c r="DKZ275" s="580"/>
      <c r="DLA275" s="580"/>
      <c r="DLB275" s="580"/>
      <c r="DLC275" s="580"/>
      <c r="DLD275" s="580"/>
      <c r="DLE275" s="580"/>
      <c r="DLF275" s="580"/>
      <c r="DLG275" s="580"/>
      <c r="DLH275" s="580"/>
      <c r="DLI275" s="580"/>
      <c r="DLJ275" s="580"/>
      <c r="DLK275" s="580"/>
      <c r="DLL275" s="580"/>
      <c r="DLM275" s="580"/>
      <c r="DLN275" s="580"/>
      <c r="DLO275" s="580"/>
      <c r="DLP275" s="580"/>
      <c r="DLQ275" s="580"/>
      <c r="DLR275" s="580"/>
      <c r="DLS275" s="580"/>
      <c r="DLT275" s="580"/>
      <c r="DLU275" s="580"/>
      <c r="DLV275" s="580"/>
      <c r="DLW275" s="580"/>
      <c r="DLX275" s="580"/>
      <c r="DLY275" s="580"/>
      <c r="DLZ275" s="580"/>
      <c r="DMA275" s="580"/>
      <c r="DMB275" s="580"/>
      <c r="DMC275" s="580"/>
      <c r="DMD275" s="580"/>
      <c r="DME275" s="580"/>
      <c r="DMF275" s="580"/>
      <c r="DMG275" s="580"/>
      <c r="DMH275" s="580"/>
      <c r="DMI275" s="580"/>
      <c r="DMJ275" s="580"/>
      <c r="DMK275" s="580"/>
      <c r="DML275" s="580"/>
      <c r="DMM275" s="580"/>
      <c r="DMN275" s="580"/>
      <c r="DMO275" s="580"/>
      <c r="DMP275" s="580"/>
      <c r="DMQ275" s="580"/>
      <c r="DMR275" s="580"/>
      <c r="DMS275" s="580"/>
      <c r="DMT275" s="580"/>
      <c r="DMU275" s="580"/>
      <c r="DMV275" s="580"/>
      <c r="DMW275" s="580"/>
      <c r="DMX275" s="580"/>
      <c r="DMY275" s="580"/>
      <c r="DMZ275" s="580"/>
      <c r="DNA275" s="580"/>
      <c r="DNB275" s="580"/>
      <c r="DNC275" s="580"/>
      <c r="DND275" s="580"/>
      <c r="DNE275" s="580"/>
      <c r="DNF275" s="580"/>
      <c r="DNG275" s="580"/>
      <c r="DNH275" s="580"/>
      <c r="DNI275" s="580"/>
      <c r="DNJ275" s="580"/>
      <c r="DNK275" s="580"/>
      <c r="DNL275" s="580"/>
      <c r="DNM275" s="580"/>
      <c r="DNN275" s="580"/>
      <c r="DNO275" s="580"/>
      <c r="DNP275" s="580"/>
      <c r="DNQ275" s="580"/>
      <c r="DNR275" s="580"/>
      <c r="DNS275" s="580"/>
      <c r="DNT275" s="580"/>
      <c r="DNU275" s="580"/>
      <c r="DNV275" s="580"/>
      <c r="DNW275" s="580"/>
      <c r="DNX275" s="580"/>
      <c r="DNY275" s="580"/>
      <c r="DNZ275" s="580"/>
      <c r="DOA275" s="580"/>
      <c r="DOB275" s="580"/>
      <c r="DOC275" s="580"/>
      <c r="DOD275" s="580"/>
      <c r="DOE275" s="580"/>
      <c r="DOF275" s="580"/>
      <c r="DOG275" s="580"/>
      <c r="DOH275" s="580"/>
      <c r="DOI275" s="580"/>
      <c r="DOJ275" s="580"/>
      <c r="DOK275" s="580"/>
      <c r="DOL275" s="580"/>
      <c r="DOM275" s="580"/>
      <c r="DON275" s="580"/>
      <c r="DOO275" s="580"/>
      <c r="DOP275" s="580"/>
      <c r="DOQ275" s="580"/>
      <c r="DOR275" s="580"/>
      <c r="DOS275" s="580"/>
      <c r="DOT275" s="580"/>
      <c r="DOU275" s="580"/>
      <c r="DOV275" s="580"/>
      <c r="DOW275" s="580"/>
      <c r="DOX275" s="580"/>
      <c r="DOY275" s="580"/>
      <c r="DOZ275" s="580"/>
      <c r="DPA275" s="580"/>
      <c r="DPB275" s="580"/>
      <c r="DPC275" s="580"/>
      <c r="DPD275" s="580"/>
      <c r="DPE275" s="580"/>
      <c r="DPF275" s="580"/>
      <c r="DPG275" s="580"/>
      <c r="DPH275" s="580"/>
      <c r="DPI275" s="580"/>
      <c r="DPJ275" s="580"/>
      <c r="DPK275" s="580"/>
      <c r="DPL275" s="580"/>
      <c r="DPM275" s="580"/>
      <c r="DPN275" s="580"/>
      <c r="DPO275" s="580"/>
      <c r="DPP275" s="580"/>
      <c r="DPQ275" s="580"/>
      <c r="DPR275" s="580"/>
      <c r="DPS275" s="580"/>
      <c r="DPT275" s="580"/>
      <c r="DPU275" s="580"/>
      <c r="DPV275" s="580"/>
      <c r="DPW275" s="580"/>
      <c r="DPX275" s="580"/>
      <c r="DPY275" s="580"/>
      <c r="DPZ275" s="580"/>
      <c r="DQA275" s="580"/>
      <c r="DQB275" s="580"/>
      <c r="DQC275" s="580"/>
      <c r="DQD275" s="580"/>
      <c r="DQE275" s="580"/>
      <c r="DQF275" s="580"/>
      <c r="DQG275" s="580"/>
      <c r="DQH275" s="580"/>
      <c r="DQI275" s="580"/>
      <c r="DQJ275" s="580"/>
      <c r="DQK275" s="580"/>
      <c r="DQL275" s="580"/>
      <c r="DQM275" s="580"/>
      <c r="DQN275" s="580"/>
      <c r="DQO275" s="580"/>
      <c r="DQP275" s="580"/>
      <c r="DQQ275" s="580"/>
      <c r="DQR275" s="580"/>
      <c r="DQS275" s="580"/>
      <c r="DQT275" s="580"/>
      <c r="DQU275" s="580"/>
      <c r="DQV275" s="580"/>
      <c r="DQW275" s="580"/>
      <c r="DQX275" s="580"/>
      <c r="DQY275" s="580"/>
      <c r="DQZ275" s="580"/>
      <c r="DRA275" s="580"/>
      <c r="DRB275" s="580"/>
      <c r="DRC275" s="580"/>
      <c r="DRD275" s="580"/>
      <c r="DRE275" s="580"/>
      <c r="DRF275" s="580"/>
      <c r="DRG275" s="580"/>
      <c r="DRH275" s="580"/>
      <c r="DRI275" s="580"/>
      <c r="DRJ275" s="580"/>
      <c r="DRK275" s="580"/>
      <c r="DRL275" s="580"/>
      <c r="DRM275" s="580"/>
      <c r="DRN275" s="580"/>
      <c r="DRO275" s="580"/>
      <c r="DRP275" s="580"/>
      <c r="DRQ275" s="580"/>
      <c r="DRR275" s="580"/>
      <c r="DRS275" s="580"/>
      <c r="DRT275" s="580"/>
      <c r="DRU275" s="580"/>
      <c r="DRV275" s="580"/>
      <c r="DRW275" s="580"/>
      <c r="DRX275" s="580"/>
      <c r="DRY275" s="580"/>
      <c r="DRZ275" s="580"/>
      <c r="DSA275" s="580"/>
      <c r="DSB275" s="580"/>
      <c r="DSC275" s="580"/>
      <c r="DSD275" s="580"/>
      <c r="DSE275" s="580"/>
      <c r="DSF275" s="580"/>
      <c r="DSG275" s="580"/>
      <c r="DSH275" s="580"/>
      <c r="DSI275" s="580"/>
      <c r="DSJ275" s="580"/>
      <c r="DSK275" s="580"/>
      <c r="DSL275" s="580"/>
      <c r="DSM275" s="580"/>
      <c r="DSN275" s="580"/>
      <c r="DSO275" s="580"/>
      <c r="DSP275" s="580"/>
      <c r="DSQ275" s="580"/>
      <c r="DSR275" s="580"/>
      <c r="DSS275" s="580"/>
      <c r="DST275" s="580"/>
      <c r="DSU275" s="580"/>
      <c r="DSV275" s="580"/>
      <c r="DSW275" s="580"/>
      <c r="DSX275" s="580"/>
      <c r="DSY275" s="580"/>
      <c r="DSZ275" s="580"/>
      <c r="DTA275" s="580"/>
      <c r="DTB275" s="580"/>
      <c r="DTC275" s="580"/>
      <c r="DTD275" s="580"/>
      <c r="DTE275" s="580"/>
      <c r="DTF275" s="580"/>
      <c r="DTG275" s="580"/>
      <c r="DTH275" s="580"/>
      <c r="DTI275" s="580"/>
      <c r="DTJ275" s="580"/>
      <c r="DTK275" s="580"/>
      <c r="DTL275" s="580"/>
      <c r="DTM275" s="580"/>
      <c r="DTN275" s="580"/>
      <c r="DTO275" s="580"/>
      <c r="DTP275" s="580"/>
      <c r="DTQ275" s="580"/>
      <c r="DTR275" s="580"/>
      <c r="DTS275" s="580"/>
      <c r="DTT275" s="580"/>
      <c r="DTU275" s="580"/>
      <c r="DTV275" s="580"/>
      <c r="DTW275" s="580"/>
      <c r="DTX275" s="580"/>
      <c r="DTY275" s="580"/>
      <c r="DTZ275" s="580"/>
      <c r="DUA275" s="580"/>
      <c r="DUB275" s="580"/>
      <c r="DUC275" s="580"/>
      <c r="DUD275" s="580"/>
      <c r="DUE275" s="580"/>
      <c r="DUF275" s="580"/>
      <c r="DUG275" s="580"/>
      <c r="DUH275" s="580"/>
      <c r="DUI275" s="580"/>
      <c r="DUJ275" s="580"/>
      <c r="DUK275" s="580"/>
      <c r="DUL275" s="580"/>
      <c r="DUM275" s="580"/>
      <c r="DUN275" s="580"/>
      <c r="DUO275" s="580"/>
      <c r="DUP275" s="580"/>
      <c r="DUQ275" s="580"/>
      <c r="DUR275" s="580"/>
      <c r="DUS275" s="580"/>
      <c r="DUT275" s="580"/>
      <c r="DUU275" s="580"/>
      <c r="DUV275" s="580"/>
      <c r="DUW275" s="580"/>
      <c r="DUX275" s="580"/>
      <c r="DUY275" s="580"/>
      <c r="DUZ275" s="580"/>
      <c r="DVA275" s="580"/>
      <c r="DVB275" s="580"/>
      <c r="DVC275" s="580"/>
      <c r="DVD275" s="580"/>
      <c r="DVE275" s="580"/>
      <c r="DVF275" s="580"/>
      <c r="DVG275" s="580"/>
      <c r="DVH275" s="580"/>
      <c r="DVI275" s="580"/>
      <c r="DVJ275" s="580"/>
      <c r="DVK275" s="580"/>
      <c r="DVL275" s="580"/>
      <c r="DVM275" s="580"/>
      <c r="DVN275" s="580"/>
      <c r="DVO275" s="580"/>
      <c r="DVP275" s="580"/>
      <c r="DVQ275" s="580"/>
      <c r="DVR275" s="580"/>
      <c r="DVS275" s="580"/>
      <c r="DVT275" s="580"/>
      <c r="DVU275" s="580"/>
      <c r="DVV275" s="580"/>
      <c r="DVW275" s="580"/>
      <c r="DVX275" s="580"/>
      <c r="DVY275" s="580"/>
      <c r="DVZ275" s="580"/>
      <c r="DWA275" s="580"/>
      <c r="DWB275" s="580"/>
      <c r="DWC275" s="580"/>
      <c r="DWD275" s="580"/>
      <c r="DWE275" s="580"/>
      <c r="DWF275" s="580"/>
      <c r="DWG275" s="580"/>
      <c r="DWH275" s="580"/>
      <c r="DWI275" s="580"/>
      <c r="DWJ275" s="580"/>
      <c r="DWK275" s="580"/>
      <c r="DWL275" s="580"/>
      <c r="DWM275" s="580"/>
      <c r="DWN275" s="580"/>
      <c r="DWO275" s="580"/>
      <c r="DWP275" s="580"/>
      <c r="DWQ275" s="580"/>
      <c r="DWR275" s="580"/>
      <c r="DWS275" s="580"/>
      <c r="DWT275" s="580"/>
      <c r="DWU275" s="580"/>
      <c r="DWV275" s="580"/>
      <c r="DWW275" s="580"/>
      <c r="DWX275" s="580"/>
      <c r="DWY275" s="580"/>
      <c r="DWZ275" s="580"/>
      <c r="DXA275" s="580"/>
      <c r="DXB275" s="580"/>
      <c r="DXC275" s="580"/>
      <c r="DXD275" s="580"/>
      <c r="DXE275" s="580"/>
      <c r="DXF275" s="580"/>
      <c r="DXG275" s="580"/>
      <c r="DXH275" s="580"/>
      <c r="DXI275" s="580"/>
      <c r="DXJ275" s="580"/>
      <c r="DXK275" s="580"/>
      <c r="DXL275" s="580"/>
      <c r="DXM275" s="580"/>
      <c r="DXN275" s="580"/>
      <c r="DXO275" s="580"/>
      <c r="DXP275" s="580"/>
      <c r="DXQ275" s="580"/>
      <c r="DXR275" s="580"/>
      <c r="DXS275" s="580"/>
      <c r="DXT275" s="580"/>
      <c r="DXU275" s="580"/>
      <c r="DXV275" s="580"/>
      <c r="DXW275" s="580"/>
      <c r="DXX275" s="580"/>
      <c r="DXY275" s="580"/>
      <c r="DXZ275" s="580"/>
      <c r="DYA275" s="580"/>
      <c r="DYB275" s="580"/>
      <c r="DYC275" s="580"/>
      <c r="DYD275" s="580"/>
      <c r="DYE275" s="580"/>
      <c r="DYF275" s="580"/>
      <c r="DYG275" s="580"/>
      <c r="DYH275" s="580"/>
      <c r="DYI275" s="580"/>
      <c r="DYJ275" s="580"/>
      <c r="DYK275" s="580"/>
      <c r="DYL275" s="580"/>
      <c r="DYM275" s="580"/>
      <c r="DYN275" s="580"/>
      <c r="DYO275" s="580"/>
      <c r="DYP275" s="580"/>
      <c r="DYQ275" s="580"/>
      <c r="DYR275" s="580"/>
      <c r="DYS275" s="580"/>
      <c r="DYT275" s="580"/>
      <c r="DYU275" s="580"/>
      <c r="DYV275" s="580"/>
      <c r="DYW275" s="580"/>
      <c r="DYX275" s="580"/>
      <c r="DYY275" s="580"/>
      <c r="DYZ275" s="580"/>
      <c r="DZA275" s="580"/>
      <c r="DZB275" s="580"/>
      <c r="DZC275" s="580"/>
      <c r="DZD275" s="580"/>
      <c r="DZE275" s="580"/>
      <c r="DZF275" s="580"/>
      <c r="DZG275" s="580"/>
      <c r="DZH275" s="580"/>
      <c r="DZI275" s="580"/>
      <c r="DZJ275" s="580"/>
      <c r="DZK275" s="580"/>
      <c r="DZL275" s="580"/>
      <c r="DZM275" s="580"/>
      <c r="DZN275" s="580"/>
      <c r="DZO275" s="580"/>
      <c r="DZP275" s="580"/>
      <c r="DZQ275" s="580"/>
      <c r="DZR275" s="580"/>
      <c r="DZS275" s="580"/>
      <c r="DZT275" s="580"/>
      <c r="DZU275" s="580"/>
      <c r="DZV275" s="580"/>
      <c r="DZW275" s="580"/>
      <c r="DZX275" s="580"/>
      <c r="DZY275" s="580"/>
      <c r="DZZ275" s="580"/>
      <c r="EAA275" s="580"/>
      <c r="EAB275" s="580"/>
      <c r="EAC275" s="580"/>
      <c r="EAD275" s="580"/>
      <c r="EAE275" s="580"/>
      <c r="EAF275" s="580"/>
      <c r="EAG275" s="580"/>
      <c r="EAH275" s="580"/>
      <c r="EAI275" s="580"/>
      <c r="EAJ275" s="580"/>
      <c r="EAK275" s="580"/>
      <c r="EAL275" s="580"/>
      <c r="EAM275" s="580"/>
      <c r="EAN275" s="580"/>
      <c r="EAO275" s="580"/>
      <c r="EAP275" s="580"/>
      <c r="EAQ275" s="580"/>
      <c r="EAR275" s="580"/>
      <c r="EAS275" s="580"/>
      <c r="EAT275" s="580"/>
      <c r="EAU275" s="580"/>
      <c r="EAV275" s="580"/>
      <c r="EAW275" s="580"/>
      <c r="EAX275" s="580"/>
      <c r="EAY275" s="580"/>
      <c r="EAZ275" s="580"/>
      <c r="EBA275" s="580"/>
      <c r="EBB275" s="580"/>
      <c r="EBC275" s="580"/>
      <c r="EBD275" s="580"/>
      <c r="EBE275" s="580"/>
      <c r="EBF275" s="580"/>
      <c r="EBG275" s="580"/>
      <c r="EBH275" s="580"/>
      <c r="EBI275" s="580"/>
      <c r="EBJ275" s="580"/>
      <c r="EBK275" s="580"/>
      <c r="EBL275" s="580"/>
      <c r="EBM275" s="580"/>
      <c r="EBN275" s="580"/>
      <c r="EBO275" s="580"/>
      <c r="EBP275" s="580"/>
      <c r="EBQ275" s="580"/>
      <c r="EBR275" s="580"/>
      <c r="EBS275" s="580"/>
      <c r="EBT275" s="580"/>
      <c r="EBU275" s="580"/>
      <c r="EBV275" s="580"/>
      <c r="EBW275" s="580"/>
      <c r="EBX275" s="580"/>
      <c r="EBY275" s="580"/>
      <c r="EBZ275" s="580"/>
      <c r="ECA275" s="580"/>
      <c r="ECB275" s="580"/>
      <c r="ECC275" s="580"/>
      <c r="ECD275" s="580"/>
      <c r="ECE275" s="580"/>
      <c r="ECF275" s="580"/>
      <c r="ECG275" s="580"/>
      <c r="ECH275" s="580"/>
      <c r="ECI275" s="580"/>
      <c r="ECJ275" s="580"/>
      <c r="ECK275" s="580"/>
      <c r="ECL275" s="580"/>
      <c r="ECM275" s="580"/>
      <c r="ECN275" s="580"/>
      <c r="ECO275" s="580"/>
      <c r="ECP275" s="580"/>
      <c r="ECQ275" s="580"/>
      <c r="ECR275" s="580"/>
      <c r="ECS275" s="580"/>
      <c r="ECT275" s="580"/>
      <c r="ECU275" s="580"/>
      <c r="ECV275" s="580"/>
      <c r="ECW275" s="580"/>
      <c r="ECX275" s="580"/>
      <c r="ECY275" s="580"/>
      <c r="ECZ275" s="580"/>
      <c r="EDA275" s="580"/>
      <c r="EDB275" s="580"/>
      <c r="EDC275" s="580"/>
      <c r="EDD275" s="580"/>
      <c r="EDE275" s="580"/>
      <c r="EDF275" s="580"/>
      <c r="EDG275" s="580"/>
      <c r="EDH275" s="580"/>
      <c r="EDI275" s="580"/>
      <c r="EDJ275" s="580"/>
      <c r="EDK275" s="580"/>
      <c r="EDL275" s="580"/>
      <c r="EDM275" s="580"/>
      <c r="EDN275" s="580"/>
      <c r="EDO275" s="580"/>
      <c r="EDP275" s="580"/>
      <c r="EDQ275" s="580"/>
      <c r="EDR275" s="580"/>
      <c r="EDS275" s="580"/>
      <c r="EDT275" s="580"/>
      <c r="EDU275" s="580"/>
      <c r="EDV275" s="580"/>
      <c r="EDW275" s="580"/>
      <c r="EDX275" s="580"/>
      <c r="EDY275" s="580"/>
      <c r="EDZ275" s="580"/>
      <c r="EEA275" s="580"/>
      <c r="EEB275" s="580"/>
      <c r="EEC275" s="580"/>
      <c r="EED275" s="580"/>
      <c r="EEE275" s="580"/>
      <c r="EEF275" s="580"/>
      <c r="EEG275" s="580"/>
      <c r="EEH275" s="580"/>
      <c r="EEI275" s="580"/>
      <c r="EEJ275" s="580"/>
      <c r="EEK275" s="580"/>
      <c r="EEL275" s="580"/>
      <c r="EEM275" s="580"/>
      <c r="EEN275" s="580"/>
      <c r="EEO275" s="580"/>
      <c r="EEP275" s="580"/>
      <c r="EEQ275" s="580"/>
      <c r="EER275" s="580"/>
      <c r="EES275" s="580"/>
      <c r="EET275" s="580"/>
      <c r="EEU275" s="580"/>
      <c r="EEV275" s="580"/>
      <c r="EEW275" s="580"/>
      <c r="EEX275" s="580"/>
      <c r="EEY275" s="580"/>
      <c r="EEZ275" s="580"/>
      <c r="EFA275" s="580"/>
      <c r="EFB275" s="580"/>
      <c r="EFC275" s="580"/>
      <c r="EFD275" s="580"/>
      <c r="EFE275" s="580"/>
      <c r="EFF275" s="580"/>
      <c r="EFG275" s="580"/>
      <c r="EFH275" s="580"/>
      <c r="EFI275" s="580"/>
      <c r="EFJ275" s="580"/>
      <c r="EFK275" s="580"/>
      <c r="EFL275" s="580"/>
      <c r="EFM275" s="580"/>
      <c r="EFN275" s="580"/>
      <c r="EFO275" s="580"/>
      <c r="EFP275" s="580"/>
      <c r="EFQ275" s="580"/>
      <c r="EFR275" s="580"/>
      <c r="EFS275" s="580"/>
      <c r="EFT275" s="580"/>
      <c r="EFU275" s="580"/>
      <c r="EFV275" s="580"/>
      <c r="EFW275" s="580"/>
      <c r="EFX275" s="580"/>
      <c r="EFY275" s="580"/>
      <c r="EFZ275" s="580"/>
      <c r="EGA275" s="580"/>
      <c r="EGB275" s="580"/>
      <c r="EGC275" s="580"/>
      <c r="EGD275" s="580"/>
      <c r="EGE275" s="580"/>
      <c r="EGF275" s="580"/>
      <c r="EGG275" s="580"/>
      <c r="EGH275" s="580"/>
      <c r="EGI275" s="580"/>
      <c r="EGJ275" s="580"/>
      <c r="EGK275" s="580"/>
      <c r="EGL275" s="580"/>
      <c r="EGM275" s="580"/>
      <c r="EGN275" s="580"/>
      <c r="EGO275" s="580"/>
      <c r="EGP275" s="580"/>
      <c r="EGQ275" s="580"/>
      <c r="EGR275" s="580"/>
      <c r="EGS275" s="580"/>
      <c r="EGT275" s="580"/>
      <c r="EGU275" s="580"/>
      <c r="EGV275" s="580"/>
      <c r="EGW275" s="580"/>
      <c r="EGX275" s="580"/>
      <c r="EGY275" s="580"/>
      <c r="EGZ275" s="580"/>
      <c r="EHA275" s="580"/>
      <c r="EHB275" s="580"/>
      <c r="EHC275" s="580"/>
      <c r="EHD275" s="580"/>
      <c r="EHE275" s="580"/>
      <c r="EHF275" s="580"/>
      <c r="EHG275" s="580"/>
      <c r="EHH275" s="580"/>
      <c r="EHI275" s="580"/>
      <c r="EHJ275" s="580"/>
      <c r="EHK275" s="580"/>
      <c r="EHL275" s="580"/>
      <c r="EHM275" s="580"/>
      <c r="EHN275" s="580"/>
      <c r="EHO275" s="580"/>
      <c r="EHP275" s="580"/>
      <c r="EHQ275" s="580"/>
      <c r="EHR275" s="580"/>
      <c r="EHS275" s="580"/>
      <c r="EHT275" s="580"/>
      <c r="EHU275" s="580"/>
      <c r="EHV275" s="580"/>
      <c r="EHW275" s="580"/>
      <c r="EHX275" s="580"/>
      <c r="EHY275" s="580"/>
      <c r="EHZ275" s="580"/>
      <c r="EIA275" s="580"/>
      <c r="EIB275" s="580"/>
      <c r="EIC275" s="580"/>
      <c r="EID275" s="580"/>
      <c r="EIE275" s="580"/>
      <c r="EIF275" s="580"/>
      <c r="EIG275" s="580"/>
      <c r="EIH275" s="580"/>
      <c r="EII275" s="580"/>
      <c r="EIJ275" s="580"/>
      <c r="EIK275" s="580"/>
      <c r="EIL275" s="580"/>
      <c r="EIM275" s="580"/>
      <c r="EIN275" s="580"/>
      <c r="EIO275" s="580"/>
      <c r="EIP275" s="580"/>
      <c r="EIQ275" s="580"/>
      <c r="EIR275" s="580"/>
      <c r="EIS275" s="580"/>
      <c r="EIT275" s="580"/>
      <c r="EIU275" s="580"/>
      <c r="EIV275" s="580"/>
      <c r="EIW275" s="580"/>
      <c r="EIX275" s="580"/>
      <c r="EIY275" s="580"/>
      <c r="EIZ275" s="580"/>
      <c r="EJA275" s="580"/>
      <c r="EJB275" s="580"/>
      <c r="EJC275" s="580"/>
      <c r="EJD275" s="580"/>
      <c r="EJE275" s="580"/>
      <c r="EJF275" s="580"/>
      <c r="EJG275" s="580"/>
      <c r="EJH275" s="580"/>
      <c r="EJI275" s="580"/>
      <c r="EJJ275" s="580"/>
      <c r="EJK275" s="580"/>
      <c r="EJL275" s="580"/>
      <c r="EJM275" s="580"/>
      <c r="EJN275" s="580"/>
      <c r="EJO275" s="580"/>
      <c r="EJP275" s="580"/>
      <c r="EJQ275" s="580"/>
      <c r="EJR275" s="580"/>
      <c r="EJS275" s="580"/>
      <c r="EJT275" s="580"/>
      <c r="EJU275" s="580"/>
      <c r="EJV275" s="580"/>
      <c r="EJW275" s="580"/>
      <c r="EJX275" s="580"/>
      <c r="EJY275" s="580"/>
      <c r="EJZ275" s="580"/>
      <c r="EKA275" s="580"/>
      <c r="EKB275" s="580"/>
      <c r="EKC275" s="580"/>
      <c r="EKD275" s="580"/>
      <c r="EKE275" s="580"/>
      <c r="EKF275" s="580"/>
      <c r="EKG275" s="580"/>
      <c r="EKH275" s="580"/>
      <c r="EKI275" s="580"/>
      <c r="EKJ275" s="580"/>
      <c r="EKK275" s="580"/>
      <c r="EKL275" s="580"/>
      <c r="EKM275" s="580"/>
      <c r="EKN275" s="580"/>
      <c r="EKO275" s="580"/>
      <c r="EKP275" s="580"/>
      <c r="EKQ275" s="580"/>
      <c r="EKR275" s="580"/>
      <c r="EKS275" s="580"/>
      <c r="EKT275" s="580"/>
      <c r="EKU275" s="580"/>
      <c r="EKV275" s="580"/>
      <c r="EKW275" s="580"/>
      <c r="EKX275" s="580"/>
      <c r="EKY275" s="580"/>
      <c r="EKZ275" s="580"/>
      <c r="ELA275" s="580"/>
      <c r="ELB275" s="580"/>
      <c r="ELC275" s="580"/>
      <c r="ELD275" s="580"/>
      <c r="ELE275" s="580"/>
      <c r="ELF275" s="580"/>
      <c r="ELG275" s="580"/>
      <c r="ELH275" s="580"/>
      <c r="ELI275" s="580"/>
      <c r="ELJ275" s="580"/>
      <c r="ELK275" s="580"/>
      <c r="ELL275" s="580"/>
      <c r="ELM275" s="580"/>
      <c r="ELN275" s="580"/>
      <c r="ELO275" s="580"/>
      <c r="ELP275" s="580"/>
      <c r="ELQ275" s="580"/>
      <c r="ELR275" s="580"/>
      <c r="ELS275" s="580"/>
      <c r="ELT275" s="580"/>
      <c r="ELU275" s="580"/>
      <c r="ELV275" s="580"/>
      <c r="ELW275" s="580"/>
      <c r="ELX275" s="580"/>
      <c r="ELY275" s="580"/>
      <c r="ELZ275" s="580"/>
      <c r="EMA275" s="580"/>
      <c r="EMB275" s="580"/>
      <c r="EMC275" s="580"/>
      <c r="EMD275" s="580"/>
      <c r="EME275" s="580"/>
      <c r="EMF275" s="580"/>
      <c r="EMG275" s="580"/>
      <c r="EMH275" s="580"/>
      <c r="EMI275" s="580"/>
      <c r="EMJ275" s="580"/>
      <c r="EMK275" s="580"/>
      <c r="EML275" s="580"/>
      <c r="EMM275" s="580"/>
      <c r="EMN275" s="580"/>
      <c r="EMO275" s="580"/>
      <c r="EMP275" s="580"/>
      <c r="EMQ275" s="580"/>
      <c r="EMR275" s="580"/>
      <c r="EMS275" s="580"/>
      <c r="EMT275" s="580"/>
      <c r="EMU275" s="580"/>
      <c r="EMV275" s="580"/>
      <c r="EMW275" s="580"/>
      <c r="EMX275" s="580"/>
      <c r="EMY275" s="580"/>
      <c r="EMZ275" s="580"/>
      <c r="ENA275" s="580"/>
      <c r="ENB275" s="580"/>
      <c r="ENC275" s="580"/>
      <c r="END275" s="580"/>
      <c r="ENE275" s="580"/>
      <c r="ENF275" s="580"/>
      <c r="ENG275" s="580"/>
      <c r="ENH275" s="580"/>
      <c r="ENI275" s="580"/>
      <c r="ENJ275" s="580"/>
      <c r="ENK275" s="580"/>
      <c r="ENL275" s="580"/>
      <c r="ENM275" s="580"/>
      <c r="ENN275" s="580"/>
      <c r="ENO275" s="580"/>
      <c r="ENP275" s="580"/>
      <c r="ENQ275" s="580"/>
      <c r="ENR275" s="580"/>
      <c r="ENS275" s="580"/>
      <c r="ENT275" s="580"/>
      <c r="ENU275" s="580"/>
      <c r="ENV275" s="580"/>
      <c r="ENW275" s="580"/>
      <c r="ENX275" s="580"/>
      <c r="ENY275" s="580"/>
      <c r="ENZ275" s="580"/>
      <c r="EOA275" s="580"/>
      <c r="EOB275" s="580"/>
      <c r="EOC275" s="580"/>
      <c r="EOD275" s="580"/>
      <c r="EOE275" s="580"/>
      <c r="EOF275" s="580"/>
      <c r="EOG275" s="580"/>
      <c r="EOH275" s="580"/>
      <c r="EOI275" s="580"/>
      <c r="EOJ275" s="580"/>
      <c r="EOK275" s="580"/>
      <c r="EOL275" s="580"/>
      <c r="EOM275" s="580"/>
      <c r="EON275" s="580"/>
      <c r="EOO275" s="580"/>
      <c r="EOP275" s="580"/>
      <c r="EOQ275" s="580"/>
      <c r="EOR275" s="580"/>
      <c r="EOS275" s="580"/>
      <c r="EOT275" s="580"/>
      <c r="EOU275" s="580"/>
      <c r="EOV275" s="580"/>
      <c r="EOW275" s="580"/>
      <c r="EOX275" s="580"/>
      <c r="EOY275" s="580"/>
      <c r="EOZ275" s="580"/>
      <c r="EPA275" s="580"/>
      <c r="EPB275" s="580"/>
      <c r="EPC275" s="580"/>
      <c r="EPD275" s="580"/>
      <c r="EPE275" s="580"/>
      <c r="EPF275" s="580"/>
      <c r="EPG275" s="580"/>
      <c r="EPH275" s="580"/>
      <c r="EPI275" s="580"/>
      <c r="EPJ275" s="580"/>
      <c r="EPK275" s="580"/>
      <c r="EPL275" s="580"/>
      <c r="EPM275" s="580"/>
      <c r="EPN275" s="580"/>
      <c r="EPO275" s="580"/>
      <c r="EPP275" s="580"/>
      <c r="EPQ275" s="580"/>
      <c r="EPR275" s="580"/>
      <c r="EPS275" s="580"/>
      <c r="EPT275" s="580"/>
      <c r="EPU275" s="580"/>
      <c r="EPV275" s="580"/>
      <c r="EPW275" s="580"/>
      <c r="EPX275" s="580"/>
      <c r="EPY275" s="580"/>
      <c r="EPZ275" s="580"/>
      <c r="EQA275" s="580"/>
      <c r="EQB275" s="580"/>
      <c r="EQC275" s="580"/>
      <c r="EQD275" s="580"/>
      <c r="EQE275" s="580"/>
      <c r="EQF275" s="580"/>
      <c r="EQG275" s="580"/>
      <c r="EQH275" s="580"/>
      <c r="EQI275" s="580"/>
      <c r="EQJ275" s="580"/>
      <c r="EQK275" s="580"/>
      <c r="EQL275" s="580"/>
      <c r="EQM275" s="580"/>
      <c r="EQN275" s="580"/>
      <c r="EQO275" s="580"/>
      <c r="EQP275" s="580"/>
      <c r="EQQ275" s="580"/>
      <c r="EQR275" s="580"/>
      <c r="EQS275" s="580"/>
      <c r="EQT275" s="580"/>
      <c r="EQU275" s="580"/>
      <c r="EQV275" s="580"/>
      <c r="EQW275" s="580"/>
      <c r="EQX275" s="580"/>
      <c r="EQY275" s="580"/>
      <c r="EQZ275" s="580"/>
      <c r="ERA275" s="580"/>
      <c r="ERB275" s="580"/>
      <c r="ERC275" s="580"/>
      <c r="ERD275" s="580"/>
      <c r="ERE275" s="580"/>
      <c r="ERF275" s="580"/>
      <c r="ERG275" s="580"/>
      <c r="ERH275" s="580"/>
      <c r="ERI275" s="580"/>
      <c r="ERJ275" s="580"/>
      <c r="ERK275" s="580"/>
      <c r="ERL275" s="580"/>
      <c r="ERM275" s="580"/>
      <c r="ERN275" s="580"/>
      <c r="ERO275" s="580"/>
      <c r="ERP275" s="580"/>
      <c r="ERQ275" s="580"/>
      <c r="ERR275" s="580"/>
      <c r="ERS275" s="580"/>
      <c r="ERT275" s="580"/>
      <c r="ERU275" s="580"/>
      <c r="ERV275" s="580"/>
      <c r="ERW275" s="580"/>
      <c r="ERX275" s="580"/>
      <c r="ERY275" s="580"/>
      <c r="ERZ275" s="580"/>
      <c r="ESA275" s="580"/>
      <c r="ESB275" s="580"/>
      <c r="ESC275" s="580"/>
      <c r="ESD275" s="580"/>
      <c r="ESE275" s="580"/>
      <c r="ESF275" s="580"/>
      <c r="ESG275" s="580"/>
      <c r="ESH275" s="580"/>
      <c r="ESI275" s="580"/>
      <c r="ESJ275" s="580"/>
      <c r="ESK275" s="580"/>
      <c r="ESL275" s="580"/>
      <c r="ESM275" s="580"/>
      <c r="ESN275" s="580"/>
      <c r="ESO275" s="580"/>
      <c r="ESP275" s="580"/>
      <c r="ESQ275" s="580"/>
      <c r="ESR275" s="580"/>
      <c r="ESS275" s="580"/>
      <c r="EST275" s="580"/>
      <c r="ESU275" s="580"/>
      <c r="ESV275" s="580"/>
      <c r="ESW275" s="580"/>
      <c r="ESX275" s="580"/>
      <c r="ESY275" s="580"/>
      <c r="ESZ275" s="580"/>
      <c r="ETA275" s="580"/>
      <c r="ETB275" s="580"/>
      <c r="ETC275" s="580"/>
      <c r="ETD275" s="580"/>
      <c r="ETE275" s="580"/>
      <c r="ETF275" s="580"/>
      <c r="ETG275" s="580"/>
      <c r="ETH275" s="580"/>
      <c r="ETI275" s="580"/>
      <c r="ETJ275" s="580"/>
      <c r="ETK275" s="580"/>
      <c r="ETL275" s="580"/>
      <c r="ETM275" s="580"/>
      <c r="ETN275" s="580"/>
      <c r="ETO275" s="580"/>
      <c r="ETP275" s="580"/>
      <c r="ETQ275" s="580"/>
      <c r="ETR275" s="580"/>
      <c r="ETS275" s="580"/>
      <c r="ETT275" s="580"/>
      <c r="ETU275" s="580"/>
      <c r="ETV275" s="580"/>
      <c r="ETW275" s="580"/>
      <c r="ETX275" s="580"/>
      <c r="ETY275" s="580"/>
      <c r="ETZ275" s="580"/>
      <c r="EUA275" s="580"/>
      <c r="EUB275" s="580"/>
      <c r="EUC275" s="580"/>
      <c r="EUD275" s="580"/>
      <c r="EUE275" s="580"/>
      <c r="EUF275" s="580"/>
      <c r="EUG275" s="580"/>
      <c r="EUH275" s="580"/>
      <c r="EUI275" s="580"/>
      <c r="EUJ275" s="580"/>
      <c r="EUK275" s="580"/>
      <c r="EUL275" s="580"/>
      <c r="EUM275" s="580"/>
      <c r="EUN275" s="580"/>
      <c r="EUO275" s="580"/>
      <c r="EUP275" s="580"/>
      <c r="EUQ275" s="580"/>
      <c r="EUR275" s="580"/>
      <c r="EUS275" s="580"/>
      <c r="EUT275" s="580"/>
      <c r="EUU275" s="580"/>
      <c r="EUV275" s="580"/>
      <c r="EUW275" s="580"/>
      <c r="EUX275" s="580"/>
      <c r="EUY275" s="580"/>
      <c r="EUZ275" s="580"/>
      <c r="EVA275" s="580"/>
      <c r="EVB275" s="580"/>
      <c r="EVC275" s="580"/>
      <c r="EVD275" s="580"/>
      <c r="EVE275" s="580"/>
      <c r="EVF275" s="580"/>
      <c r="EVG275" s="580"/>
      <c r="EVH275" s="580"/>
      <c r="EVI275" s="580"/>
      <c r="EVJ275" s="580"/>
      <c r="EVK275" s="580"/>
      <c r="EVL275" s="580"/>
      <c r="EVM275" s="580"/>
      <c r="EVN275" s="580"/>
      <c r="EVO275" s="580"/>
      <c r="EVP275" s="580"/>
      <c r="EVQ275" s="580"/>
      <c r="EVR275" s="580"/>
      <c r="EVS275" s="580"/>
      <c r="EVT275" s="580"/>
      <c r="EVU275" s="580"/>
      <c r="EVV275" s="580"/>
      <c r="EVW275" s="580"/>
      <c r="EVX275" s="580"/>
      <c r="EVY275" s="580"/>
      <c r="EVZ275" s="580"/>
      <c r="EWA275" s="580"/>
      <c r="EWB275" s="580"/>
      <c r="EWC275" s="580"/>
      <c r="EWD275" s="580"/>
      <c r="EWE275" s="580"/>
      <c r="EWF275" s="580"/>
      <c r="EWG275" s="580"/>
      <c r="EWH275" s="580"/>
      <c r="EWI275" s="580"/>
      <c r="EWJ275" s="580"/>
      <c r="EWK275" s="580"/>
      <c r="EWL275" s="580"/>
      <c r="EWM275" s="580"/>
      <c r="EWN275" s="580"/>
      <c r="EWO275" s="580"/>
      <c r="EWP275" s="580"/>
      <c r="EWQ275" s="580"/>
      <c r="EWR275" s="580"/>
      <c r="EWS275" s="580"/>
      <c r="EWT275" s="580"/>
      <c r="EWU275" s="580"/>
      <c r="EWV275" s="580"/>
      <c r="EWW275" s="580"/>
      <c r="EWX275" s="580"/>
      <c r="EWY275" s="580"/>
      <c r="EWZ275" s="580"/>
      <c r="EXA275" s="580"/>
      <c r="EXB275" s="580"/>
      <c r="EXC275" s="580"/>
      <c r="EXD275" s="580"/>
      <c r="EXE275" s="580"/>
      <c r="EXF275" s="580"/>
      <c r="EXG275" s="580"/>
      <c r="EXH275" s="580"/>
      <c r="EXI275" s="580"/>
      <c r="EXJ275" s="580"/>
      <c r="EXK275" s="580"/>
      <c r="EXL275" s="580"/>
      <c r="EXM275" s="580"/>
      <c r="EXN275" s="580"/>
      <c r="EXO275" s="580"/>
      <c r="EXP275" s="580"/>
      <c r="EXQ275" s="580"/>
      <c r="EXR275" s="580"/>
      <c r="EXS275" s="580"/>
      <c r="EXT275" s="580"/>
      <c r="EXU275" s="580"/>
      <c r="EXV275" s="580"/>
      <c r="EXW275" s="580"/>
      <c r="EXX275" s="580"/>
      <c r="EXY275" s="580"/>
      <c r="EXZ275" s="580"/>
      <c r="EYA275" s="580"/>
      <c r="EYB275" s="580"/>
      <c r="EYC275" s="580"/>
      <c r="EYD275" s="580"/>
      <c r="EYE275" s="580"/>
      <c r="EYF275" s="580"/>
      <c r="EYG275" s="580"/>
      <c r="EYH275" s="580"/>
      <c r="EYI275" s="580"/>
      <c r="EYJ275" s="580"/>
      <c r="EYK275" s="580"/>
      <c r="EYL275" s="580"/>
      <c r="EYM275" s="580"/>
      <c r="EYN275" s="580"/>
      <c r="EYO275" s="580"/>
      <c r="EYP275" s="580"/>
      <c r="EYQ275" s="580"/>
      <c r="EYR275" s="580"/>
      <c r="EYS275" s="580"/>
      <c r="EYT275" s="580"/>
      <c r="EYU275" s="580"/>
      <c r="EYV275" s="580"/>
      <c r="EYW275" s="580"/>
      <c r="EYX275" s="580"/>
      <c r="EYY275" s="580"/>
      <c r="EYZ275" s="580"/>
      <c r="EZA275" s="580"/>
      <c r="EZB275" s="580"/>
      <c r="EZC275" s="580"/>
      <c r="EZD275" s="580"/>
      <c r="EZE275" s="580"/>
      <c r="EZF275" s="580"/>
      <c r="EZG275" s="580"/>
      <c r="EZH275" s="580"/>
      <c r="EZI275" s="580"/>
      <c r="EZJ275" s="580"/>
      <c r="EZK275" s="580"/>
      <c r="EZL275" s="580"/>
      <c r="EZM275" s="580"/>
      <c r="EZN275" s="580"/>
      <c r="EZO275" s="580"/>
      <c r="EZP275" s="580"/>
      <c r="EZQ275" s="580"/>
      <c r="EZR275" s="580"/>
      <c r="EZS275" s="580"/>
      <c r="EZT275" s="580"/>
      <c r="EZU275" s="580"/>
      <c r="EZV275" s="580"/>
      <c r="EZW275" s="580"/>
      <c r="EZX275" s="580"/>
      <c r="EZY275" s="580"/>
      <c r="EZZ275" s="580"/>
      <c r="FAA275" s="580"/>
      <c r="FAB275" s="580"/>
      <c r="FAC275" s="580"/>
      <c r="FAD275" s="580"/>
      <c r="FAE275" s="580"/>
      <c r="FAF275" s="580"/>
      <c r="FAG275" s="580"/>
      <c r="FAH275" s="580"/>
      <c r="FAI275" s="580"/>
      <c r="FAJ275" s="580"/>
      <c r="FAK275" s="580"/>
      <c r="FAL275" s="580"/>
      <c r="FAM275" s="580"/>
      <c r="FAN275" s="580"/>
      <c r="FAO275" s="580"/>
      <c r="FAP275" s="580"/>
      <c r="FAQ275" s="580"/>
      <c r="FAR275" s="580"/>
      <c r="FAS275" s="580"/>
      <c r="FAT275" s="580"/>
      <c r="FAU275" s="580"/>
      <c r="FAV275" s="580"/>
      <c r="FAW275" s="580"/>
      <c r="FAX275" s="580"/>
      <c r="FAY275" s="580"/>
      <c r="FAZ275" s="580"/>
      <c r="FBA275" s="580"/>
      <c r="FBB275" s="580"/>
      <c r="FBC275" s="580"/>
      <c r="FBD275" s="580"/>
      <c r="FBE275" s="580"/>
      <c r="FBF275" s="580"/>
      <c r="FBG275" s="580"/>
      <c r="FBH275" s="580"/>
      <c r="FBI275" s="580"/>
      <c r="FBJ275" s="580"/>
      <c r="FBK275" s="580"/>
      <c r="FBL275" s="580"/>
      <c r="FBM275" s="580"/>
      <c r="FBN275" s="580"/>
      <c r="FBO275" s="580"/>
      <c r="FBP275" s="580"/>
      <c r="FBQ275" s="580"/>
      <c r="FBR275" s="580"/>
      <c r="FBS275" s="580"/>
      <c r="FBT275" s="580"/>
      <c r="FBU275" s="580"/>
      <c r="FBV275" s="580"/>
      <c r="FBW275" s="580"/>
      <c r="FBX275" s="580"/>
      <c r="FBY275" s="580"/>
      <c r="FBZ275" s="580"/>
      <c r="FCA275" s="580"/>
      <c r="FCB275" s="580"/>
      <c r="FCC275" s="580"/>
      <c r="FCD275" s="580"/>
      <c r="FCE275" s="580"/>
      <c r="FCF275" s="580"/>
      <c r="FCG275" s="580"/>
      <c r="FCH275" s="580"/>
      <c r="FCI275" s="580"/>
      <c r="FCJ275" s="580"/>
      <c r="FCK275" s="580"/>
      <c r="FCL275" s="580"/>
      <c r="FCM275" s="580"/>
      <c r="FCN275" s="580"/>
      <c r="FCO275" s="580"/>
      <c r="FCP275" s="580"/>
      <c r="FCQ275" s="580"/>
      <c r="FCR275" s="580"/>
      <c r="FCS275" s="580"/>
      <c r="FCT275" s="580"/>
      <c r="FCU275" s="580"/>
      <c r="FCV275" s="580"/>
      <c r="FCW275" s="580"/>
      <c r="FCX275" s="580"/>
      <c r="FCY275" s="580"/>
      <c r="FCZ275" s="580"/>
      <c r="FDA275" s="580"/>
      <c r="FDB275" s="580"/>
      <c r="FDC275" s="580"/>
      <c r="FDD275" s="580"/>
      <c r="FDE275" s="580"/>
      <c r="FDF275" s="580"/>
      <c r="FDG275" s="580"/>
      <c r="FDH275" s="580"/>
      <c r="FDI275" s="580"/>
      <c r="FDJ275" s="580"/>
      <c r="FDK275" s="580"/>
      <c r="FDL275" s="580"/>
      <c r="FDM275" s="580"/>
      <c r="FDN275" s="580"/>
      <c r="FDO275" s="580"/>
      <c r="FDP275" s="580"/>
      <c r="FDQ275" s="580"/>
      <c r="FDR275" s="580"/>
      <c r="FDS275" s="580"/>
      <c r="FDT275" s="580"/>
      <c r="FDU275" s="580"/>
      <c r="FDV275" s="580"/>
      <c r="FDW275" s="580"/>
      <c r="FDX275" s="580"/>
      <c r="FDY275" s="580"/>
      <c r="FDZ275" s="580"/>
      <c r="FEA275" s="580"/>
      <c r="FEB275" s="580"/>
      <c r="FEC275" s="580"/>
      <c r="FED275" s="580"/>
      <c r="FEE275" s="580"/>
      <c r="FEF275" s="580"/>
      <c r="FEG275" s="580"/>
      <c r="FEH275" s="580"/>
      <c r="FEI275" s="580"/>
      <c r="FEJ275" s="580"/>
      <c r="FEK275" s="580"/>
      <c r="FEL275" s="580"/>
      <c r="FEM275" s="580"/>
      <c r="FEN275" s="580"/>
      <c r="FEO275" s="580"/>
      <c r="FEP275" s="580"/>
      <c r="FEQ275" s="580"/>
      <c r="FER275" s="580"/>
      <c r="FES275" s="580"/>
      <c r="FET275" s="580"/>
      <c r="FEU275" s="580"/>
      <c r="FEV275" s="580"/>
      <c r="FEW275" s="580"/>
      <c r="FEX275" s="580"/>
      <c r="FEY275" s="580"/>
      <c r="FEZ275" s="580"/>
      <c r="FFA275" s="580"/>
      <c r="FFB275" s="580"/>
      <c r="FFC275" s="580"/>
      <c r="FFD275" s="580"/>
      <c r="FFE275" s="580"/>
      <c r="FFF275" s="580"/>
      <c r="FFG275" s="580"/>
      <c r="FFH275" s="580"/>
      <c r="FFI275" s="580"/>
      <c r="FFJ275" s="580"/>
      <c r="FFK275" s="580"/>
      <c r="FFL275" s="580"/>
      <c r="FFM275" s="580"/>
      <c r="FFN275" s="580"/>
      <c r="FFO275" s="580"/>
      <c r="FFP275" s="580"/>
      <c r="FFQ275" s="580"/>
      <c r="FFR275" s="580"/>
      <c r="FFS275" s="580"/>
      <c r="FFT275" s="580"/>
      <c r="FFU275" s="580"/>
      <c r="FFV275" s="580"/>
      <c r="FFW275" s="580"/>
      <c r="FFX275" s="580"/>
      <c r="FFY275" s="580"/>
      <c r="FFZ275" s="580"/>
      <c r="FGA275" s="580"/>
      <c r="FGB275" s="580"/>
      <c r="FGC275" s="580"/>
      <c r="FGD275" s="580"/>
      <c r="FGE275" s="580"/>
      <c r="FGF275" s="580"/>
      <c r="FGG275" s="580"/>
      <c r="FGH275" s="580"/>
      <c r="FGI275" s="580"/>
      <c r="FGJ275" s="580"/>
      <c r="FGK275" s="580"/>
      <c r="FGL275" s="580"/>
      <c r="FGM275" s="580"/>
      <c r="FGN275" s="580"/>
      <c r="FGO275" s="580"/>
      <c r="FGP275" s="580"/>
      <c r="FGQ275" s="580"/>
      <c r="FGR275" s="580"/>
      <c r="FGS275" s="580"/>
      <c r="FGT275" s="580"/>
      <c r="FGU275" s="580"/>
      <c r="FGV275" s="580"/>
      <c r="FGW275" s="580"/>
      <c r="FGX275" s="580"/>
      <c r="FGY275" s="580"/>
      <c r="FGZ275" s="580"/>
      <c r="FHA275" s="580"/>
      <c r="FHB275" s="580"/>
      <c r="FHC275" s="580"/>
      <c r="FHD275" s="580"/>
      <c r="FHE275" s="580"/>
      <c r="FHF275" s="580"/>
      <c r="FHG275" s="580"/>
      <c r="FHH275" s="580"/>
      <c r="FHI275" s="580"/>
      <c r="FHJ275" s="580"/>
      <c r="FHK275" s="580"/>
      <c r="FHL275" s="580"/>
      <c r="FHM275" s="580"/>
      <c r="FHN275" s="580"/>
      <c r="FHO275" s="580"/>
      <c r="FHP275" s="580"/>
      <c r="FHQ275" s="580"/>
      <c r="FHR275" s="580"/>
      <c r="FHS275" s="580"/>
      <c r="FHT275" s="580"/>
      <c r="FHU275" s="580"/>
      <c r="FHV275" s="580"/>
      <c r="FHW275" s="580"/>
      <c r="FHX275" s="580"/>
      <c r="FHY275" s="580"/>
      <c r="FHZ275" s="580"/>
      <c r="FIA275" s="580"/>
      <c r="FIB275" s="580"/>
      <c r="FIC275" s="580"/>
      <c r="FID275" s="580"/>
      <c r="FIE275" s="580"/>
      <c r="FIF275" s="580"/>
      <c r="FIG275" s="580"/>
      <c r="FIH275" s="580"/>
      <c r="FII275" s="580"/>
      <c r="FIJ275" s="580"/>
      <c r="FIK275" s="580"/>
      <c r="FIL275" s="580"/>
      <c r="FIM275" s="580"/>
      <c r="FIN275" s="580"/>
      <c r="FIO275" s="580"/>
      <c r="FIP275" s="580"/>
      <c r="FIQ275" s="580"/>
      <c r="FIR275" s="580"/>
      <c r="FIS275" s="580"/>
      <c r="FIT275" s="580"/>
      <c r="FIU275" s="580"/>
      <c r="FIV275" s="580"/>
      <c r="FIW275" s="580"/>
      <c r="FIX275" s="580"/>
      <c r="FIY275" s="580"/>
      <c r="FIZ275" s="580"/>
      <c r="FJA275" s="580"/>
      <c r="FJB275" s="580"/>
      <c r="FJC275" s="580"/>
      <c r="FJD275" s="580"/>
      <c r="FJE275" s="580"/>
      <c r="FJF275" s="580"/>
      <c r="FJG275" s="580"/>
      <c r="FJH275" s="580"/>
      <c r="FJI275" s="580"/>
      <c r="FJJ275" s="580"/>
      <c r="FJK275" s="580"/>
      <c r="FJL275" s="580"/>
      <c r="FJM275" s="580"/>
      <c r="FJN275" s="580"/>
      <c r="FJO275" s="580"/>
      <c r="FJP275" s="580"/>
      <c r="FJQ275" s="580"/>
      <c r="FJR275" s="580"/>
      <c r="FJS275" s="580"/>
      <c r="FJT275" s="580"/>
      <c r="FJU275" s="580"/>
      <c r="FJV275" s="580"/>
      <c r="FJW275" s="580"/>
      <c r="FJX275" s="580"/>
      <c r="FJY275" s="580"/>
      <c r="FJZ275" s="580"/>
      <c r="FKA275" s="580"/>
      <c r="FKB275" s="580"/>
      <c r="FKC275" s="580"/>
      <c r="FKD275" s="580"/>
      <c r="FKE275" s="580"/>
      <c r="FKF275" s="580"/>
      <c r="FKG275" s="580"/>
      <c r="FKH275" s="580"/>
      <c r="FKI275" s="580"/>
      <c r="FKJ275" s="580"/>
      <c r="FKK275" s="580"/>
      <c r="FKL275" s="580"/>
      <c r="FKM275" s="580"/>
      <c r="FKN275" s="580"/>
      <c r="FKO275" s="580"/>
      <c r="FKP275" s="580"/>
      <c r="FKQ275" s="580"/>
      <c r="FKR275" s="580"/>
      <c r="FKS275" s="580"/>
      <c r="FKT275" s="580"/>
      <c r="FKU275" s="580"/>
      <c r="FKV275" s="580"/>
      <c r="FKW275" s="580"/>
      <c r="FKX275" s="580"/>
      <c r="FKY275" s="580"/>
      <c r="FKZ275" s="580"/>
      <c r="FLA275" s="580"/>
      <c r="FLB275" s="580"/>
      <c r="FLC275" s="580"/>
      <c r="FLD275" s="580"/>
      <c r="FLE275" s="580"/>
      <c r="FLF275" s="580"/>
      <c r="FLG275" s="580"/>
      <c r="FLH275" s="580"/>
      <c r="FLI275" s="580"/>
      <c r="FLJ275" s="580"/>
      <c r="FLK275" s="580"/>
      <c r="FLL275" s="580"/>
      <c r="FLM275" s="580"/>
      <c r="FLN275" s="580"/>
      <c r="FLO275" s="580"/>
      <c r="FLP275" s="580"/>
      <c r="FLQ275" s="580"/>
      <c r="FLR275" s="580"/>
      <c r="FLS275" s="580"/>
      <c r="FLT275" s="580"/>
      <c r="FLU275" s="580"/>
      <c r="FLV275" s="580"/>
      <c r="FLW275" s="580"/>
      <c r="FLX275" s="580"/>
      <c r="FLY275" s="580"/>
      <c r="FLZ275" s="580"/>
      <c r="FMA275" s="580"/>
      <c r="FMB275" s="580"/>
      <c r="FMC275" s="580"/>
      <c r="FMD275" s="580"/>
      <c r="FME275" s="580"/>
      <c r="FMF275" s="580"/>
      <c r="FMG275" s="580"/>
      <c r="FMH275" s="580"/>
      <c r="FMI275" s="580"/>
      <c r="FMJ275" s="580"/>
      <c r="FMK275" s="580"/>
      <c r="FML275" s="580"/>
      <c r="FMM275" s="580"/>
      <c r="FMN275" s="580"/>
      <c r="FMO275" s="580"/>
      <c r="FMP275" s="580"/>
      <c r="FMQ275" s="580"/>
      <c r="FMR275" s="580"/>
      <c r="FMS275" s="580"/>
      <c r="FMT275" s="580"/>
      <c r="FMU275" s="580"/>
      <c r="FMV275" s="580"/>
      <c r="FMW275" s="580"/>
      <c r="FMX275" s="580"/>
      <c r="FMY275" s="580"/>
      <c r="FMZ275" s="580"/>
      <c r="FNA275" s="580"/>
      <c r="FNB275" s="580"/>
      <c r="FNC275" s="580"/>
      <c r="FND275" s="580"/>
      <c r="FNE275" s="580"/>
      <c r="FNF275" s="580"/>
      <c r="FNG275" s="580"/>
      <c r="FNH275" s="580"/>
      <c r="FNI275" s="580"/>
      <c r="FNJ275" s="580"/>
      <c r="FNK275" s="580"/>
      <c r="FNL275" s="580"/>
      <c r="FNM275" s="580"/>
      <c r="FNN275" s="580"/>
      <c r="FNO275" s="580"/>
      <c r="FNP275" s="580"/>
      <c r="FNQ275" s="580"/>
      <c r="FNR275" s="580"/>
      <c r="FNS275" s="580"/>
      <c r="FNT275" s="580"/>
      <c r="FNU275" s="580"/>
      <c r="FNV275" s="580"/>
      <c r="FNW275" s="580"/>
      <c r="FNX275" s="580"/>
      <c r="FNY275" s="580"/>
      <c r="FNZ275" s="580"/>
      <c r="FOA275" s="580"/>
      <c r="FOB275" s="580"/>
      <c r="FOC275" s="580"/>
      <c r="FOD275" s="580"/>
      <c r="FOE275" s="580"/>
      <c r="FOF275" s="580"/>
      <c r="FOG275" s="580"/>
      <c r="FOH275" s="580"/>
      <c r="FOI275" s="580"/>
      <c r="FOJ275" s="580"/>
      <c r="FOK275" s="580"/>
      <c r="FOL275" s="580"/>
      <c r="FOM275" s="580"/>
      <c r="FON275" s="580"/>
      <c r="FOO275" s="580"/>
      <c r="FOP275" s="580"/>
      <c r="FOQ275" s="580"/>
      <c r="FOR275" s="580"/>
      <c r="FOS275" s="580"/>
      <c r="FOT275" s="580"/>
      <c r="FOU275" s="580"/>
      <c r="FOV275" s="580"/>
      <c r="FOW275" s="580"/>
      <c r="FOX275" s="580"/>
      <c r="FOY275" s="580"/>
      <c r="FOZ275" s="580"/>
      <c r="FPA275" s="580"/>
      <c r="FPB275" s="580"/>
      <c r="FPC275" s="580"/>
      <c r="FPD275" s="580"/>
      <c r="FPE275" s="580"/>
      <c r="FPF275" s="580"/>
      <c r="FPG275" s="580"/>
      <c r="FPH275" s="580"/>
      <c r="FPI275" s="580"/>
      <c r="FPJ275" s="580"/>
      <c r="FPK275" s="580"/>
      <c r="FPL275" s="580"/>
      <c r="FPM275" s="580"/>
      <c r="FPN275" s="580"/>
      <c r="FPO275" s="580"/>
      <c r="FPP275" s="580"/>
      <c r="FPQ275" s="580"/>
      <c r="FPR275" s="580"/>
      <c r="FPS275" s="580"/>
      <c r="FPT275" s="580"/>
      <c r="FPU275" s="580"/>
      <c r="FPV275" s="580"/>
      <c r="FPW275" s="580"/>
      <c r="FPX275" s="580"/>
      <c r="FPY275" s="580"/>
      <c r="FPZ275" s="580"/>
      <c r="FQA275" s="580"/>
      <c r="FQB275" s="580"/>
      <c r="FQC275" s="580"/>
      <c r="FQD275" s="580"/>
      <c r="FQE275" s="580"/>
      <c r="FQF275" s="580"/>
      <c r="FQG275" s="580"/>
      <c r="FQH275" s="580"/>
      <c r="FQI275" s="580"/>
      <c r="FQJ275" s="580"/>
      <c r="FQK275" s="580"/>
      <c r="FQL275" s="580"/>
      <c r="FQM275" s="580"/>
      <c r="FQN275" s="580"/>
      <c r="FQO275" s="580"/>
      <c r="FQP275" s="580"/>
      <c r="FQQ275" s="580"/>
      <c r="FQR275" s="580"/>
      <c r="FQS275" s="580"/>
      <c r="FQT275" s="580"/>
      <c r="FQU275" s="580"/>
      <c r="FQV275" s="580"/>
      <c r="FQW275" s="580"/>
      <c r="FQX275" s="580"/>
      <c r="FQY275" s="580"/>
      <c r="FQZ275" s="580"/>
      <c r="FRA275" s="580"/>
      <c r="FRB275" s="580"/>
      <c r="FRC275" s="580"/>
      <c r="FRD275" s="580"/>
      <c r="FRE275" s="580"/>
      <c r="FRF275" s="580"/>
      <c r="FRG275" s="580"/>
      <c r="FRH275" s="580"/>
      <c r="FRI275" s="580"/>
      <c r="FRJ275" s="580"/>
      <c r="FRK275" s="580"/>
      <c r="FRL275" s="580"/>
      <c r="FRM275" s="580"/>
      <c r="FRN275" s="580"/>
      <c r="FRO275" s="580"/>
      <c r="FRP275" s="580"/>
      <c r="FRQ275" s="580"/>
      <c r="FRR275" s="580"/>
      <c r="FRS275" s="580"/>
      <c r="FRT275" s="580"/>
      <c r="FRU275" s="580"/>
      <c r="FRV275" s="580"/>
      <c r="FRW275" s="580"/>
      <c r="FRX275" s="580"/>
      <c r="FRY275" s="580"/>
      <c r="FRZ275" s="580"/>
      <c r="FSA275" s="580"/>
      <c r="FSB275" s="580"/>
      <c r="FSC275" s="580"/>
      <c r="FSD275" s="580"/>
      <c r="FSE275" s="580"/>
      <c r="FSF275" s="580"/>
      <c r="FSG275" s="580"/>
      <c r="FSH275" s="580"/>
      <c r="FSI275" s="580"/>
      <c r="FSJ275" s="580"/>
      <c r="FSK275" s="580"/>
      <c r="FSL275" s="580"/>
      <c r="FSM275" s="580"/>
      <c r="FSN275" s="580"/>
      <c r="FSO275" s="580"/>
      <c r="FSP275" s="580"/>
      <c r="FSQ275" s="580"/>
      <c r="FSR275" s="580"/>
      <c r="FSS275" s="580"/>
      <c r="FST275" s="580"/>
      <c r="FSU275" s="580"/>
      <c r="FSV275" s="580"/>
      <c r="FSW275" s="580"/>
      <c r="FSX275" s="580"/>
      <c r="FSY275" s="580"/>
      <c r="FSZ275" s="580"/>
      <c r="FTA275" s="580"/>
      <c r="FTB275" s="580"/>
      <c r="FTC275" s="580"/>
      <c r="FTD275" s="580"/>
      <c r="FTE275" s="580"/>
      <c r="FTF275" s="580"/>
      <c r="FTG275" s="580"/>
      <c r="FTH275" s="580"/>
      <c r="FTI275" s="580"/>
      <c r="FTJ275" s="580"/>
      <c r="FTK275" s="580"/>
      <c r="FTL275" s="580"/>
      <c r="FTM275" s="580"/>
      <c r="FTN275" s="580"/>
      <c r="FTO275" s="580"/>
      <c r="FTP275" s="580"/>
      <c r="FTQ275" s="580"/>
      <c r="FTR275" s="580"/>
      <c r="FTS275" s="580"/>
      <c r="FTT275" s="580"/>
      <c r="FTU275" s="580"/>
      <c r="FTV275" s="580"/>
      <c r="FTW275" s="580"/>
      <c r="FTX275" s="580"/>
      <c r="FTY275" s="580"/>
      <c r="FTZ275" s="580"/>
      <c r="FUA275" s="580"/>
      <c r="FUB275" s="580"/>
      <c r="FUC275" s="580"/>
      <c r="FUD275" s="580"/>
      <c r="FUE275" s="580"/>
      <c r="FUF275" s="580"/>
      <c r="FUG275" s="580"/>
      <c r="FUH275" s="580"/>
      <c r="FUI275" s="580"/>
      <c r="FUJ275" s="580"/>
      <c r="FUK275" s="580"/>
      <c r="FUL275" s="580"/>
      <c r="FUM275" s="580"/>
      <c r="FUN275" s="580"/>
      <c r="FUO275" s="580"/>
      <c r="FUP275" s="580"/>
      <c r="FUQ275" s="580"/>
      <c r="FUR275" s="580"/>
      <c r="FUS275" s="580"/>
      <c r="FUT275" s="580"/>
      <c r="FUU275" s="580"/>
      <c r="FUV275" s="580"/>
      <c r="FUW275" s="580"/>
      <c r="FUX275" s="580"/>
      <c r="FUY275" s="580"/>
      <c r="FUZ275" s="580"/>
      <c r="FVA275" s="580"/>
      <c r="FVB275" s="580"/>
      <c r="FVC275" s="580"/>
      <c r="FVD275" s="580"/>
      <c r="FVE275" s="580"/>
      <c r="FVF275" s="580"/>
      <c r="FVG275" s="580"/>
      <c r="FVH275" s="580"/>
      <c r="FVI275" s="580"/>
      <c r="FVJ275" s="580"/>
      <c r="FVK275" s="580"/>
      <c r="FVL275" s="580"/>
      <c r="FVM275" s="580"/>
      <c r="FVN275" s="580"/>
      <c r="FVO275" s="580"/>
      <c r="FVP275" s="580"/>
      <c r="FVQ275" s="580"/>
      <c r="FVR275" s="580"/>
      <c r="FVS275" s="580"/>
      <c r="FVT275" s="580"/>
      <c r="FVU275" s="580"/>
      <c r="FVV275" s="580"/>
      <c r="FVW275" s="580"/>
      <c r="FVX275" s="580"/>
      <c r="FVY275" s="580"/>
      <c r="FVZ275" s="580"/>
      <c r="FWA275" s="580"/>
      <c r="FWB275" s="580"/>
      <c r="FWC275" s="580"/>
      <c r="FWD275" s="580"/>
      <c r="FWE275" s="580"/>
      <c r="FWF275" s="580"/>
      <c r="FWG275" s="580"/>
      <c r="FWH275" s="580"/>
      <c r="FWI275" s="580"/>
      <c r="FWJ275" s="580"/>
      <c r="FWK275" s="580"/>
      <c r="FWL275" s="580"/>
      <c r="FWM275" s="580"/>
      <c r="FWN275" s="580"/>
      <c r="FWO275" s="580"/>
      <c r="FWP275" s="580"/>
      <c r="FWQ275" s="580"/>
      <c r="FWR275" s="580"/>
      <c r="FWS275" s="580"/>
      <c r="FWT275" s="580"/>
      <c r="FWU275" s="580"/>
      <c r="FWV275" s="580"/>
      <c r="FWW275" s="580"/>
      <c r="FWX275" s="580"/>
      <c r="FWY275" s="580"/>
      <c r="FWZ275" s="580"/>
      <c r="FXA275" s="580"/>
      <c r="FXB275" s="580"/>
      <c r="FXC275" s="580"/>
      <c r="FXD275" s="580"/>
      <c r="FXE275" s="580"/>
      <c r="FXF275" s="580"/>
      <c r="FXG275" s="580"/>
      <c r="FXH275" s="580"/>
      <c r="FXI275" s="580"/>
      <c r="FXJ275" s="580"/>
      <c r="FXK275" s="580"/>
      <c r="FXL275" s="580"/>
      <c r="FXM275" s="580"/>
      <c r="FXN275" s="580"/>
      <c r="FXO275" s="580"/>
      <c r="FXP275" s="580"/>
      <c r="FXQ275" s="580"/>
      <c r="FXR275" s="580"/>
      <c r="FXS275" s="580"/>
      <c r="FXT275" s="580"/>
      <c r="FXU275" s="580"/>
      <c r="FXV275" s="580"/>
      <c r="FXW275" s="580"/>
      <c r="FXX275" s="580"/>
      <c r="FXY275" s="580"/>
      <c r="FXZ275" s="580"/>
      <c r="FYA275" s="580"/>
      <c r="FYB275" s="580"/>
      <c r="FYC275" s="580"/>
      <c r="FYD275" s="580"/>
      <c r="FYE275" s="580"/>
      <c r="FYF275" s="580"/>
      <c r="FYG275" s="580"/>
      <c r="FYH275" s="580"/>
      <c r="FYI275" s="580"/>
      <c r="FYJ275" s="580"/>
      <c r="FYK275" s="580"/>
      <c r="FYL275" s="580"/>
      <c r="FYM275" s="580"/>
      <c r="FYN275" s="580"/>
      <c r="FYO275" s="580"/>
      <c r="FYP275" s="580"/>
      <c r="FYQ275" s="580"/>
      <c r="FYR275" s="580"/>
      <c r="FYS275" s="580"/>
      <c r="FYT275" s="580"/>
      <c r="FYU275" s="580"/>
      <c r="FYV275" s="580"/>
      <c r="FYW275" s="580"/>
      <c r="FYX275" s="580"/>
      <c r="FYY275" s="580"/>
      <c r="FYZ275" s="580"/>
      <c r="FZA275" s="580"/>
      <c r="FZB275" s="580"/>
      <c r="FZC275" s="580"/>
      <c r="FZD275" s="580"/>
      <c r="FZE275" s="580"/>
      <c r="FZF275" s="580"/>
      <c r="FZG275" s="580"/>
      <c r="FZH275" s="580"/>
      <c r="FZI275" s="580"/>
      <c r="FZJ275" s="580"/>
      <c r="FZK275" s="580"/>
      <c r="FZL275" s="580"/>
      <c r="FZM275" s="580"/>
      <c r="FZN275" s="580"/>
      <c r="FZO275" s="580"/>
      <c r="FZP275" s="580"/>
      <c r="FZQ275" s="580"/>
      <c r="FZR275" s="580"/>
      <c r="FZS275" s="580"/>
      <c r="FZT275" s="580"/>
      <c r="FZU275" s="580"/>
      <c r="FZV275" s="580"/>
      <c r="FZW275" s="580"/>
      <c r="FZX275" s="580"/>
      <c r="FZY275" s="580"/>
      <c r="FZZ275" s="580"/>
      <c r="GAA275" s="580"/>
      <c r="GAB275" s="580"/>
      <c r="GAC275" s="580"/>
      <c r="GAD275" s="580"/>
      <c r="GAE275" s="580"/>
      <c r="GAF275" s="580"/>
      <c r="GAG275" s="580"/>
      <c r="GAH275" s="580"/>
      <c r="GAI275" s="580"/>
      <c r="GAJ275" s="580"/>
      <c r="GAK275" s="580"/>
      <c r="GAL275" s="580"/>
      <c r="GAM275" s="580"/>
      <c r="GAN275" s="580"/>
      <c r="GAO275" s="580"/>
      <c r="GAP275" s="580"/>
      <c r="GAQ275" s="580"/>
      <c r="GAR275" s="580"/>
      <c r="GAS275" s="580"/>
      <c r="GAT275" s="580"/>
      <c r="GAU275" s="580"/>
      <c r="GAV275" s="580"/>
      <c r="GAW275" s="580"/>
      <c r="GAX275" s="580"/>
      <c r="GAY275" s="580"/>
      <c r="GAZ275" s="580"/>
      <c r="GBA275" s="580"/>
      <c r="GBB275" s="580"/>
      <c r="GBC275" s="580"/>
      <c r="GBD275" s="580"/>
      <c r="GBE275" s="580"/>
      <c r="GBF275" s="580"/>
      <c r="GBG275" s="580"/>
      <c r="GBH275" s="580"/>
      <c r="GBI275" s="580"/>
      <c r="GBJ275" s="580"/>
      <c r="GBK275" s="580"/>
      <c r="GBL275" s="580"/>
      <c r="GBM275" s="580"/>
      <c r="GBN275" s="580"/>
      <c r="GBO275" s="580"/>
      <c r="GBP275" s="580"/>
      <c r="GBQ275" s="580"/>
      <c r="GBR275" s="580"/>
      <c r="GBS275" s="580"/>
      <c r="GBT275" s="580"/>
      <c r="GBU275" s="580"/>
      <c r="GBV275" s="580"/>
      <c r="GBW275" s="580"/>
      <c r="GBX275" s="580"/>
      <c r="GBY275" s="580"/>
      <c r="GBZ275" s="580"/>
      <c r="GCA275" s="580"/>
      <c r="GCB275" s="580"/>
      <c r="GCC275" s="580"/>
      <c r="GCD275" s="580"/>
      <c r="GCE275" s="580"/>
      <c r="GCF275" s="580"/>
      <c r="GCG275" s="580"/>
      <c r="GCH275" s="580"/>
      <c r="GCI275" s="580"/>
      <c r="GCJ275" s="580"/>
      <c r="GCK275" s="580"/>
      <c r="GCL275" s="580"/>
      <c r="GCM275" s="580"/>
      <c r="GCN275" s="580"/>
      <c r="GCO275" s="580"/>
      <c r="GCP275" s="580"/>
      <c r="GCQ275" s="580"/>
      <c r="GCR275" s="580"/>
      <c r="GCS275" s="580"/>
      <c r="GCT275" s="580"/>
      <c r="GCU275" s="580"/>
      <c r="GCV275" s="580"/>
      <c r="GCW275" s="580"/>
      <c r="GCX275" s="580"/>
      <c r="GCY275" s="580"/>
      <c r="GCZ275" s="580"/>
      <c r="GDA275" s="580"/>
      <c r="GDB275" s="580"/>
      <c r="GDC275" s="580"/>
      <c r="GDD275" s="580"/>
      <c r="GDE275" s="580"/>
      <c r="GDF275" s="580"/>
      <c r="GDG275" s="580"/>
      <c r="GDH275" s="580"/>
      <c r="GDI275" s="580"/>
      <c r="GDJ275" s="580"/>
      <c r="GDK275" s="580"/>
      <c r="GDL275" s="580"/>
      <c r="GDM275" s="580"/>
      <c r="GDN275" s="580"/>
      <c r="GDO275" s="580"/>
      <c r="GDP275" s="580"/>
      <c r="GDQ275" s="580"/>
      <c r="GDR275" s="580"/>
      <c r="GDS275" s="580"/>
      <c r="GDT275" s="580"/>
      <c r="GDU275" s="580"/>
      <c r="GDV275" s="580"/>
      <c r="GDW275" s="580"/>
      <c r="GDX275" s="580"/>
      <c r="GDY275" s="580"/>
      <c r="GDZ275" s="580"/>
      <c r="GEA275" s="580"/>
      <c r="GEB275" s="580"/>
      <c r="GEC275" s="580"/>
      <c r="GED275" s="580"/>
      <c r="GEE275" s="580"/>
      <c r="GEF275" s="580"/>
      <c r="GEG275" s="580"/>
      <c r="GEH275" s="580"/>
      <c r="GEI275" s="580"/>
      <c r="GEJ275" s="580"/>
      <c r="GEK275" s="580"/>
      <c r="GEL275" s="580"/>
      <c r="GEM275" s="580"/>
      <c r="GEN275" s="580"/>
      <c r="GEO275" s="580"/>
      <c r="GEP275" s="580"/>
      <c r="GEQ275" s="580"/>
      <c r="GER275" s="580"/>
      <c r="GES275" s="580"/>
      <c r="GET275" s="580"/>
      <c r="GEU275" s="580"/>
      <c r="GEV275" s="580"/>
      <c r="GEW275" s="580"/>
      <c r="GEX275" s="580"/>
      <c r="GEY275" s="580"/>
      <c r="GEZ275" s="580"/>
      <c r="GFA275" s="580"/>
      <c r="GFB275" s="580"/>
      <c r="GFC275" s="580"/>
      <c r="GFD275" s="580"/>
      <c r="GFE275" s="580"/>
      <c r="GFF275" s="580"/>
      <c r="GFG275" s="580"/>
      <c r="GFH275" s="580"/>
      <c r="GFI275" s="580"/>
      <c r="GFJ275" s="580"/>
      <c r="GFK275" s="580"/>
      <c r="GFL275" s="580"/>
      <c r="GFM275" s="580"/>
      <c r="GFN275" s="580"/>
      <c r="GFO275" s="580"/>
      <c r="GFP275" s="580"/>
      <c r="GFQ275" s="580"/>
      <c r="GFR275" s="580"/>
      <c r="GFS275" s="580"/>
      <c r="GFT275" s="580"/>
      <c r="GFU275" s="580"/>
      <c r="GFV275" s="580"/>
      <c r="GFW275" s="580"/>
      <c r="GFX275" s="580"/>
      <c r="GFY275" s="580"/>
      <c r="GFZ275" s="580"/>
      <c r="GGA275" s="580"/>
      <c r="GGB275" s="580"/>
      <c r="GGC275" s="580"/>
      <c r="GGD275" s="580"/>
      <c r="GGE275" s="580"/>
      <c r="GGF275" s="580"/>
      <c r="GGG275" s="580"/>
      <c r="GGH275" s="580"/>
      <c r="GGI275" s="580"/>
      <c r="GGJ275" s="580"/>
      <c r="GGK275" s="580"/>
      <c r="GGL275" s="580"/>
      <c r="GGM275" s="580"/>
      <c r="GGN275" s="580"/>
      <c r="GGO275" s="580"/>
      <c r="GGP275" s="580"/>
      <c r="GGQ275" s="580"/>
      <c r="GGR275" s="580"/>
      <c r="GGS275" s="580"/>
      <c r="GGT275" s="580"/>
      <c r="GGU275" s="580"/>
      <c r="GGV275" s="580"/>
      <c r="GGW275" s="580"/>
      <c r="GGX275" s="580"/>
      <c r="GGY275" s="580"/>
      <c r="GGZ275" s="580"/>
      <c r="GHA275" s="580"/>
      <c r="GHB275" s="580"/>
      <c r="GHC275" s="580"/>
      <c r="GHD275" s="580"/>
      <c r="GHE275" s="580"/>
      <c r="GHF275" s="580"/>
      <c r="GHG275" s="580"/>
      <c r="GHH275" s="580"/>
      <c r="GHI275" s="580"/>
      <c r="GHJ275" s="580"/>
      <c r="GHK275" s="580"/>
      <c r="GHL275" s="580"/>
      <c r="GHM275" s="580"/>
      <c r="GHN275" s="580"/>
      <c r="GHO275" s="580"/>
      <c r="GHP275" s="580"/>
      <c r="GHQ275" s="580"/>
      <c r="GHR275" s="580"/>
      <c r="GHS275" s="580"/>
      <c r="GHT275" s="580"/>
      <c r="GHU275" s="580"/>
      <c r="GHV275" s="580"/>
      <c r="GHW275" s="580"/>
      <c r="GHX275" s="580"/>
      <c r="GHY275" s="580"/>
      <c r="GHZ275" s="580"/>
      <c r="GIA275" s="580"/>
      <c r="GIB275" s="580"/>
      <c r="GIC275" s="580"/>
      <c r="GID275" s="580"/>
      <c r="GIE275" s="580"/>
      <c r="GIF275" s="580"/>
      <c r="GIG275" s="580"/>
      <c r="GIH275" s="580"/>
      <c r="GII275" s="580"/>
      <c r="GIJ275" s="580"/>
      <c r="GIK275" s="580"/>
      <c r="GIL275" s="580"/>
      <c r="GIM275" s="580"/>
      <c r="GIN275" s="580"/>
      <c r="GIO275" s="580"/>
      <c r="GIP275" s="580"/>
      <c r="GIQ275" s="580"/>
      <c r="GIR275" s="580"/>
      <c r="GIS275" s="580"/>
      <c r="GIT275" s="580"/>
      <c r="GIU275" s="580"/>
      <c r="GIV275" s="580"/>
      <c r="GIW275" s="580"/>
      <c r="GIX275" s="580"/>
      <c r="GIY275" s="580"/>
      <c r="GIZ275" s="580"/>
      <c r="GJA275" s="580"/>
      <c r="GJB275" s="580"/>
      <c r="GJC275" s="580"/>
      <c r="GJD275" s="580"/>
      <c r="GJE275" s="580"/>
      <c r="GJF275" s="580"/>
      <c r="GJG275" s="580"/>
      <c r="GJH275" s="580"/>
      <c r="GJI275" s="580"/>
      <c r="GJJ275" s="580"/>
      <c r="GJK275" s="580"/>
      <c r="GJL275" s="580"/>
      <c r="GJM275" s="580"/>
      <c r="GJN275" s="580"/>
      <c r="GJO275" s="580"/>
      <c r="GJP275" s="580"/>
      <c r="GJQ275" s="580"/>
      <c r="GJR275" s="580"/>
      <c r="GJS275" s="580"/>
      <c r="GJT275" s="580"/>
      <c r="GJU275" s="580"/>
      <c r="GJV275" s="580"/>
      <c r="GJW275" s="580"/>
      <c r="GJX275" s="580"/>
      <c r="GJY275" s="580"/>
      <c r="GJZ275" s="580"/>
      <c r="GKA275" s="580"/>
      <c r="GKB275" s="580"/>
      <c r="GKC275" s="580"/>
      <c r="GKD275" s="580"/>
      <c r="GKE275" s="580"/>
      <c r="GKF275" s="580"/>
      <c r="GKG275" s="580"/>
      <c r="GKH275" s="580"/>
      <c r="GKI275" s="580"/>
      <c r="GKJ275" s="580"/>
      <c r="GKK275" s="580"/>
      <c r="GKL275" s="580"/>
      <c r="GKM275" s="580"/>
      <c r="GKN275" s="580"/>
      <c r="GKO275" s="580"/>
      <c r="GKP275" s="580"/>
      <c r="GKQ275" s="580"/>
      <c r="GKR275" s="580"/>
      <c r="GKS275" s="580"/>
      <c r="GKT275" s="580"/>
      <c r="GKU275" s="580"/>
      <c r="GKV275" s="580"/>
      <c r="GKW275" s="580"/>
      <c r="GKX275" s="580"/>
      <c r="GKY275" s="580"/>
      <c r="GKZ275" s="580"/>
      <c r="GLA275" s="580"/>
      <c r="GLB275" s="580"/>
      <c r="GLC275" s="580"/>
      <c r="GLD275" s="580"/>
      <c r="GLE275" s="580"/>
      <c r="GLF275" s="580"/>
      <c r="GLG275" s="580"/>
      <c r="GLH275" s="580"/>
      <c r="GLI275" s="580"/>
      <c r="GLJ275" s="580"/>
      <c r="GLK275" s="580"/>
      <c r="GLL275" s="580"/>
      <c r="GLM275" s="580"/>
      <c r="GLN275" s="580"/>
      <c r="GLO275" s="580"/>
      <c r="GLP275" s="580"/>
      <c r="GLQ275" s="580"/>
      <c r="GLR275" s="580"/>
      <c r="GLS275" s="580"/>
      <c r="GLT275" s="580"/>
      <c r="GLU275" s="580"/>
      <c r="GLV275" s="580"/>
      <c r="GLW275" s="580"/>
      <c r="GLX275" s="580"/>
      <c r="GLY275" s="580"/>
      <c r="GLZ275" s="580"/>
      <c r="GMA275" s="580"/>
      <c r="GMB275" s="580"/>
      <c r="GMC275" s="580"/>
      <c r="GMD275" s="580"/>
      <c r="GME275" s="580"/>
      <c r="GMF275" s="580"/>
      <c r="GMG275" s="580"/>
      <c r="GMH275" s="580"/>
      <c r="GMI275" s="580"/>
      <c r="GMJ275" s="580"/>
      <c r="GMK275" s="580"/>
      <c r="GML275" s="580"/>
      <c r="GMM275" s="580"/>
      <c r="GMN275" s="580"/>
      <c r="GMO275" s="580"/>
      <c r="GMP275" s="580"/>
      <c r="GMQ275" s="580"/>
      <c r="GMR275" s="580"/>
      <c r="GMS275" s="580"/>
      <c r="GMT275" s="580"/>
      <c r="GMU275" s="580"/>
      <c r="GMV275" s="580"/>
      <c r="GMW275" s="580"/>
      <c r="GMX275" s="580"/>
      <c r="GMY275" s="580"/>
      <c r="GMZ275" s="580"/>
      <c r="GNA275" s="580"/>
      <c r="GNB275" s="580"/>
      <c r="GNC275" s="580"/>
      <c r="GND275" s="580"/>
      <c r="GNE275" s="580"/>
      <c r="GNF275" s="580"/>
      <c r="GNG275" s="580"/>
      <c r="GNH275" s="580"/>
      <c r="GNI275" s="580"/>
      <c r="GNJ275" s="580"/>
      <c r="GNK275" s="580"/>
      <c r="GNL275" s="580"/>
      <c r="GNM275" s="580"/>
      <c r="GNN275" s="580"/>
      <c r="GNO275" s="580"/>
      <c r="GNP275" s="580"/>
      <c r="GNQ275" s="580"/>
      <c r="GNR275" s="580"/>
      <c r="GNS275" s="580"/>
      <c r="GNT275" s="580"/>
      <c r="GNU275" s="580"/>
      <c r="GNV275" s="580"/>
      <c r="GNW275" s="580"/>
      <c r="GNX275" s="580"/>
      <c r="GNY275" s="580"/>
      <c r="GNZ275" s="580"/>
      <c r="GOA275" s="580"/>
      <c r="GOB275" s="580"/>
      <c r="GOC275" s="580"/>
      <c r="GOD275" s="580"/>
      <c r="GOE275" s="580"/>
      <c r="GOF275" s="580"/>
      <c r="GOG275" s="580"/>
      <c r="GOH275" s="580"/>
      <c r="GOI275" s="580"/>
      <c r="GOJ275" s="580"/>
      <c r="GOK275" s="580"/>
      <c r="GOL275" s="580"/>
      <c r="GOM275" s="580"/>
      <c r="GON275" s="580"/>
      <c r="GOO275" s="580"/>
      <c r="GOP275" s="580"/>
      <c r="GOQ275" s="580"/>
      <c r="GOR275" s="580"/>
      <c r="GOS275" s="580"/>
      <c r="GOT275" s="580"/>
      <c r="GOU275" s="580"/>
      <c r="GOV275" s="580"/>
      <c r="GOW275" s="580"/>
      <c r="GOX275" s="580"/>
      <c r="GOY275" s="580"/>
      <c r="GOZ275" s="580"/>
      <c r="GPA275" s="580"/>
      <c r="GPB275" s="580"/>
      <c r="GPC275" s="580"/>
      <c r="GPD275" s="580"/>
      <c r="GPE275" s="580"/>
      <c r="GPF275" s="580"/>
      <c r="GPG275" s="580"/>
      <c r="GPH275" s="580"/>
      <c r="GPI275" s="580"/>
      <c r="GPJ275" s="580"/>
      <c r="GPK275" s="580"/>
      <c r="GPL275" s="580"/>
      <c r="GPM275" s="580"/>
      <c r="GPN275" s="580"/>
      <c r="GPO275" s="580"/>
      <c r="GPP275" s="580"/>
      <c r="GPQ275" s="580"/>
      <c r="GPR275" s="580"/>
      <c r="GPS275" s="580"/>
      <c r="GPT275" s="580"/>
      <c r="GPU275" s="580"/>
      <c r="GPV275" s="580"/>
      <c r="GPW275" s="580"/>
      <c r="GPX275" s="580"/>
      <c r="GPY275" s="580"/>
      <c r="GPZ275" s="580"/>
      <c r="GQA275" s="580"/>
      <c r="GQB275" s="580"/>
      <c r="GQC275" s="580"/>
      <c r="GQD275" s="580"/>
      <c r="GQE275" s="580"/>
      <c r="GQF275" s="580"/>
      <c r="GQG275" s="580"/>
      <c r="GQH275" s="580"/>
      <c r="GQI275" s="580"/>
      <c r="GQJ275" s="580"/>
      <c r="GQK275" s="580"/>
      <c r="GQL275" s="580"/>
      <c r="GQM275" s="580"/>
      <c r="GQN275" s="580"/>
      <c r="GQO275" s="580"/>
      <c r="GQP275" s="580"/>
      <c r="GQQ275" s="580"/>
      <c r="GQR275" s="580"/>
      <c r="GQS275" s="580"/>
      <c r="GQT275" s="580"/>
      <c r="GQU275" s="580"/>
      <c r="GQV275" s="580"/>
      <c r="GQW275" s="580"/>
      <c r="GQX275" s="580"/>
      <c r="GQY275" s="580"/>
      <c r="GQZ275" s="580"/>
      <c r="GRA275" s="580"/>
      <c r="GRB275" s="580"/>
      <c r="GRC275" s="580"/>
      <c r="GRD275" s="580"/>
      <c r="GRE275" s="580"/>
      <c r="GRF275" s="580"/>
      <c r="GRG275" s="580"/>
      <c r="GRH275" s="580"/>
      <c r="GRI275" s="580"/>
      <c r="GRJ275" s="580"/>
      <c r="GRK275" s="580"/>
      <c r="GRL275" s="580"/>
      <c r="GRM275" s="580"/>
      <c r="GRN275" s="580"/>
      <c r="GRO275" s="580"/>
      <c r="GRP275" s="580"/>
      <c r="GRQ275" s="580"/>
      <c r="GRR275" s="580"/>
      <c r="GRS275" s="580"/>
      <c r="GRT275" s="580"/>
      <c r="GRU275" s="580"/>
      <c r="GRV275" s="580"/>
      <c r="GRW275" s="580"/>
      <c r="GRX275" s="580"/>
      <c r="GRY275" s="580"/>
      <c r="GRZ275" s="580"/>
      <c r="GSA275" s="580"/>
      <c r="GSB275" s="580"/>
      <c r="GSC275" s="580"/>
      <c r="GSD275" s="580"/>
      <c r="GSE275" s="580"/>
      <c r="GSF275" s="580"/>
      <c r="GSG275" s="580"/>
      <c r="GSH275" s="580"/>
      <c r="GSI275" s="580"/>
      <c r="GSJ275" s="580"/>
      <c r="GSK275" s="580"/>
      <c r="GSL275" s="580"/>
      <c r="GSM275" s="580"/>
      <c r="GSN275" s="580"/>
      <c r="GSO275" s="580"/>
      <c r="GSP275" s="580"/>
      <c r="GSQ275" s="580"/>
      <c r="GSR275" s="580"/>
      <c r="GSS275" s="580"/>
      <c r="GST275" s="580"/>
      <c r="GSU275" s="580"/>
      <c r="GSV275" s="580"/>
      <c r="GSW275" s="580"/>
      <c r="GSX275" s="580"/>
      <c r="GSY275" s="580"/>
      <c r="GSZ275" s="580"/>
      <c r="GTA275" s="580"/>
      <c r="GTB275" s="580"/>
      <c r="GTC275" s="580"/>
      <c r="GTD275" s="580"/>
      <c r="GTE275" s="580"/>
      <c r="GTF275" s="580"/>
      <c r="GTG275" s="580"/>
      <c r="GTH275" s="580"/>
      <c r="GTI275" s="580"/>
      <c r="GTJ275" s="580"/>
      <c r="GTK275" s="580"/>
      <c r="GTL275" s="580"/>
      <c r="GTM275" s="580"/>
      <c r="GTN275" s="580"/>
      <c r="GTO275" s="580"/>
      <c r="GTP275" s="580"/>
      <c r="GTQ275" s="580"/>
      <c r="GTR275" s="580"/>
      <c r="GTS275" s="580"/>
      <c r="GTT275" s="580"/>
      <c r="GTU275" s="580"/>
      <c r="GTV275" s="580"/>
      <c r="GTW275" s="580"/>
      <c r="GTX275" s="580"/>
      <c r="GTY275" s="580"/>
      <c r="GTZ275" s="580"/>
      <c r="GUA275" s="580"/>
      <c r="GUB275" s="580"/>
      <c r="GUC275" s="580"/>
      <c r="GUD275" s="580"/>
      <c r="GUE275" s="580"/>
      <c r="GUF275" s="580"/>
      <c r="GUG275" s="580"/>
      <c r="GUH275" s="580"/>
      <c r="GUI275" s="580"/>
      <c r="GUJ275" s="580"/>
      <c r="GUK275" s="580"/>
      <c r="GUL275" s="580"/>
      <c r="GUM275" s="580"/>
      <c r="GUN275" s="580"/>
      <c r="GUO275" s="580"/>
      <c r="GUP275" s="580"/>
      <c r="GUQ275" s="580"/>
      <c r="GUR275" s="580"/>
      <c r="GUS275" s="580"/>
      <c r="GUT275" s="580"/>
      <c r="GUU275" s="580"/>
      <c r="GUV275" s="580"/>
      <c r="GUW275" s="580"/>
      <c r="GUX275" s="580"/>
      <c r="GUY275" s="580"/>
      <c r="GUZ275" s="580"/>
      <c r="GVA275" s="580"/>
      <c r="GVB275" s="580"/>
      <c r="GVC275" s="580"/>
      <c r="GVD275" s="580"/>
      <c r="GVE275" s="580"/>
      <c r="GVF275" s="580"/>
      <c r="GVG275" s="580"/>
      <c r="GVH275" s="580"/>
      <c r="GVI275" s="580"/>
      <c r="GVJ275" s="580"/>
      <c r="GVK275" s="580"/>
      <c r="GVL275" s="580"/>
      <c r="GVM275" s="580"/>
      <c r="GVN275" s="580"/>
      <c r="GVO275" s="580"/>
      <c r="GVP275" s="580"/>
      <c r="GVQ275" s="580"/>
      <c r="GVR275" s="580"/>
      <c r="GVS275" s="580"/>
      <c r="GVT275" s="580"/>
      <c r="GVU275" s="580"/>
      <c r="GVV275" s="580"/>
      <c r="GVW275" s="580"/>
      <c r="GVX275" s="580"/>
      <c r="GVY275" s="580"/>
      <c r="GVZ275" s="580"/>
      <c r="GWA275" s="580"/>
      <c r="GWB275" s="580"/>
      <c r="GWC275" s="580"/>
      <c r="GWD275" s="580"/>
      <c r="GWE275" s="580"/>
      <c r="GWF275" s="580"/>
      <c r="GWG275" s="580"/>
      <c r="GWH275" s="580"/>
      <c r="GWI275" s="580"/>
      <c r="GWJ275" s="580"/>
      <c r="GWK275" s="580"/>
      <c r="GWL275" s="580"/>
      <c r="GWM275" s="580"/>
      <c r="GWN275" s="580"/>
      <c r="GWO275" s="580"/>
      <c r="GWP275" s="580"/>
      <c r="GWQ275" s="580"/>
      <c r="GWR275" s="580"/>
      <c r="GWS275" s="580"/>
      <c r="GWT275" s="580"/>
      <c r="GWU275" s="580"/>
      <c r="GWV275" s="580"/>
      <c r="GWW275" s="580"/>
      <c r="GWX275" s="580"/>
      <c r="GWY275" s="580"/>
      <c r="GWZ275" s="580"/>
      <c r="GXA275" s="580"/>
      <c r="GXB275" s="580"/>
      <c r="GXC275" s="580"/>
      <c r="GXD275" s="580"/>
      <c r="GXE275" s="580"/>
      <c r="GXF275" s="580"/>
      <c r="GXG275" s="580"/>
      <c r="GXH275" s="580"/>
      <c r="GXI275" s="580"/>
      <c r="GXJ275" s="580"/>
      <c r="GXK275" s="580"/>
      <c r="GXL275" s="580"/>
      <c r="GXM275" s="580"/>
      <c r="GXN275" s="580"/>
      <c r="GXO275" s="580"/>
      <c r="GXP275" s="580"/>
      <c r="GXQ275" s="580"/>
      <c r="GXR275" s="580"/>
      <c r="GXS275" s="580"/>
      <c r="GXT275" s="580"/>
      <c r="GXU275" s="580"/>
      <c r="GXV275" s="580"/>
      <c r="GXW275" s="580"/>
      <c r="GXX275" s="580"/>
      <c r="GXY275" s="580"/>
      <c r="GXZ275" s="580"/>
      <c r="GYA275" s="580"/>
      <c r="GYB275" s="580"/>
      <c r="GYC275" s="580"/>
      <c r="GYD275" s="580"/>
      <c r="GYE275" s="580"/>
      <c r="GYF275" s="580"/>
      <c r="GYG275" s="580"/>
      <c r="GYH275" s="580"/>
      <c r="GYI275" s="580"/>
      <c r="GYJ275" s="580"/>
      <c r="GYK275" s="580"/>
      <c r="GYL275" s="580"/>
      <c r="GYM275" s="580"/>
      <c r="GYN275" s="580"/>
      <c r="GYO275" s="580"/>
      <c r="GYP275" s="580"/>
      <c r="GYQ275" s="580"/>
      <c r="GYR275" s="580"/>
      <c r="GYS275" s="580"/>
      <c r="GYT275" s="580"/>
      <c r="GYU275" s="580"/>
      <c r="GYV275" s="580"/>
      <c r="GYW275" s="580"/>
      <c r="GYX275" s="580"/>
      <c r="GYY275" s="580"/>
      <c r="GYZ275" s="580"/>
      <c r="GZA275" s="580"/>
      <c r="GZB275" s="580"/>
      <c r="GZC275" s="580"/>
      <c r="GZD275" s="580"/>
      <c r="GZE275" s="580"/>
      <c r="GZF275" s="580"/>
      <c r="GZG275" s="580"/>
      <c r="GZH275" s="580"/>
      <c r="GZI275" s="580"/>
      <c r="GZJ275" s="580"/>
      <c r="GZK275" s="580"/>
      <c r="GZL275" s="580"/>
      <c r="GZM275" s="580"/>
      <c r="GZN275" s="580"/>
      <c r="GZO275" s="580"/>
      <c r="GZP275" s="580"/>
      <c r="GZQ275" s="580"/>
      <c r="GZR275" s="580"/>
      <c r="GZS275" s="580"/>
      <c r="GZT275" s="580"/>
      <c r="GZU275" s="580"/>
      <c r="GZV275" s="580"/>
      <c r="GZW275" s="580"/>
      <c r="GZX275" s="580"/>
      <c r="GZY275" s="580"/>
      <c r="GZZ275" s="580"/>
      <c r="HAA275" s="580"/>
      <c r="HAB275" s="580"/>
      <c r="HAC275" s="580"/>
      <c r="HAD275" s="580"/>
      <c r="HAE275" s="580"/>
      <c r="HAF275" s="580"/>
      <c r="HAG275" s="580"/>
      <c r="HAH275" s="580"/>
      <c r="HAI275" s="580"/>
      <c r="HAJ275" s="580"/>
      <c r="HAK275" s="580"/>
      <c r="HAL275" s="580"/>
      <c r="HAM275" s="580"/>
      <c r="HAN275" s="580"/>
      <c r="HAO275" s="580"/>
      <c r="HAP275" s="580"/>
      <c r="HAQ275" s="580"/>
      <c r="HAR275" s="580"/>
      <c r="HAS275" s="580"/>
      <c r="HAT275" s="580"/>
      <c r="HAU275" s="580"/>
      <c r="HAV275" s="580"/>
      <c r="HAW275" s="580"/>
      <c r="HAX275" s="580"/>
      <c r="HAY275" s="580"/>
      <c r="HAZ275" s="580"/>
      <c r="HBA275" s="580"/>
      <c r="HBB275" s="580"/>
      <c r="HBC275" s="580"/>
      <c r="HBD275" s="580"/>
      <c r="HBE275" s="580"/>
      <c r="HBF275" s="580"/>
      <c r="HBG275" s="580"/>
      <c r="HBH275" s="580"/>
      <c r="HBI275" s="580"/>
      <c r="HBJ275" s="580"/>
      <c r="HBK275" s="580"/>
      <c r="HBL275" s="580"/>
      <c r="HBM275" s="580"/>
      <c r="HBN275" s="580"/>
      <c r="HBO275" s="580"/>
      <c r="HBP275" s="580"/>
      <c r="HBQ275" s="580"/>
      <c r="HBR275" s="580"/>
      <c r="HBS275" s="580"/>
      <c r="HBT275" s="580"/>
      <c r="HBU275" s="580"/>
      <c r="HBV275" s="580"/>
      <c r="HBW275" s="580"/>
      <c r="HBX275" s="580"/>
      <c r="HBY275" s="580"/>
      <c r="HBZ275" s="580"/>
      <c r="HCA275" s="580"/>
      <c r="HCB275" s="580"/>
      <c r="HCC275" s="580"/>
      <c r="HCD275" s="580"/>
      <c r="HCE275" s="580"/>
      <c r="HCF275" s="580"/>
      <c r="HCG275" s="580"/>
      <c r="HCH275" s="580"/>
      <c r="HCI275" s="580"/>
      <c r="HCJ275" s="580"/>
      <c r="HCK275" s="580"/>
      <c r="HCL275" s="580"/>
      <c r="HCM275" s="580"/>
      <c r="HCN275" s="580"/>
      <c r="HCO275" s="580"/>
      <c r="HCP275" s="580"/>
      <c r="HCQ275" s="580"/>
      <c r="HCR275" s="580"/>
      <c r="HCS275" s="580"/>
      <c r="HCT275" s="580"/>
      <c r="HCU275" s="580"/>
      <c r="HCV275" s="580"/>
      <c r="HCW275" s="580"/>
      <c r="HCX275" s="580"/>
      <c r="HCY275" s="580"/>
      <c r="HCZ275" s="580"/>
      <c r="HDA275" s="580"/>
      <c r="HDB275" s="580"/>
      <c r="HDC275" s="580"/>
      <c r="HDD275" s="580"/>
      <c r="HDE275" s="580"/>
      <c r="HDF275" s="580"/>
      <c r="HDG275" s="580"/>
      <c r="HDH275" s="580"/>
      <c r="HDI275" s="580"/>
      <c r="HDJ275" s="580"/>
      <c r="HDK275" s="580"/>
      <c r="HDL275" s="580"/>
      <c r="HDM275" s="580"/>
      <c r="HDN275" s="580"/>
      <c r="HDO275" s="580"/>
      <c r="HDP275" s="580"/>
      <c r="HDQ275" s="580"/>
      <c r="HDR275" s="580"/>
      <c r="HDS275" s="580"/>
      <c r="HDT275" s="580"/>
      <c r="HDU275" s="580"/>
      <c r="HDV275" s="580"/>
      <c r="HDW275" s="580"/>
      <c r="HDX275" s="580"/>
      <c r="HDY275" s="580"/>
      <c r="HDZ275" s="580"/>
      <c r="HEA275" s="580"/>
      <c r="HEB275" s="580"/>
      <c r="HEC275" s="580"/>
      <c r="HED275" s="580"/>
      <c r="HEE275" s="580"/>
      <c r="HEF275" s="580"/>
      <c r="HEG275" s="580"/>
      <c r="HEH275" s="580"/>
      <c r="HEI275" s="580"/>
      <c r="HEJ275" s="580"/>
      <c r="HEK275" s="580"/>
      <c r="HEL275" s="580"/>
      <c r="HEM275" s="580"/>
      <c r="HEN275" s="580"/>
      <c r="HEO275" s="580"/>
      <c r="HEP275" s="580"/>
      <c r="HEQ275" s="580"/>
      <c r="HER275" s="580"/>
      <c r="HES275" s="580"/>
      <c r="HET275" s="580"/>
      <c r="HEU275" s="580"/>
      <c r="HEV275" s="580"/>
      <c r="HEW275" s="580"/>
      <c r="HEX275" s="580"/>
      <c r="HEY275" s="580"/>
      <c r="HEZ275" s="580"/>
      <c r="HFA275" s="580"/>
      <c r="HFB275" s="580"/>
      <c r="HFC275" s="580"/>
      <c r="HFD275" s="580"/>
      <c r="HFE275" s="580"/>
      <c r="HFF275" s="580"/>
      <c r="HFG275" s="580"/>
      <c r="HFH275" s="580"/>
      <c r="HFI275" s="580"/>
      <c r="HFJ275" s="580"/>
      <c r="HFK275" s="580"/>
      <c r="HFL275" s="580"/>
      <c r="HFM275" s="580"/>
      <c r="HFN275" s="580"/>
      <c r="HFO275" s="580"/>
      <c r="HFP275" s="580"/>
      <c r="HFQ275" s="580"/>
      <c r="HFR275" s="580"/>
      <c r="HFS275" s="580"/>
      <c r="HFT275" s="580"/>
      <c r="HFU275" s="580"/>
      <c r="HFV275" s="580"/>
      <c r="HFW275" s="580"/>
      <c r="HFX275" s="580"/>
      <c r="HFY275" s="580"/>
      <c r="HFZ275" s="580"/>
      <c r="HGA275" s="580"/>
      <c r="HGB275" s="580"/>
      <c r="HGC275" s="580"/>
      <c r="HGD275" s="580"/>
      <c r="HGE275" s="580"/>
      <c r="HGF275" s="580"/>
      <c r="HGG275" s="580"/>
      <c r="HGH275" s="580"/>
      <c r="HGI275" s="580"/>
      <c r="HGJ275" s="580"/>
      <c r="HGK275" s="580"/>
      <c r="HGL275" s="580"/>
      <c r="HGM275" s="580"/>
      <c r="HGN275" s="580"/>
      <c r="HGO275" s="580"/>
      <c r="HGP275" s="580"/>
      <c r="HGQ275" s="580"/>
      <c r="HGR275" s="580"/>
      <c r="HGS275" s="580"/>
      <c r="HGT275" s="580"/>
      <c r="HGU275" s="580"/>
      <c r="HGV275" s="580"/>
      <c r="HGW275" s="580"/>
      <c r="HGX275" s="580"/>
      <c r="HGY275" s="580"/>
      <c r="HGZ275" s="580"/>
      <c r="HHA275" s="580"/>
      <c r="HHB275" s="580"/>
      <c r="HHC275" s="580"/>
      <c r="HHD275" s="580"/>
      <c r="HHE275" s="580"/>
      <c r="HHF275" s="580"/>
      <c r="HHG275" s="580"/>
      <c r="HHH275" s="580"/>
      <c r="HHI275" s="580"/>
      <c r="HHJ275" s="580"/>
      <c r="HHK275" s="580"/>
      <c r="HHL275" s="580"/>
      <c r="HHM275" s="580"/>
      <c r="HHN275" s="580"/>
      <c r="HHO275" s="580"/>
      <c r="HHP275" s="580"/>
      <c r="HHQ275" s="580"/>
      <c r="HHR275" s="580"/>
      <c r="HHS275" s="580"/>
      <c r="HHT275" s="580"/>
      <c r="HHU275" s="580"/>
      <c r="HHV275" s="580"/>
      <c r="HHW275" s="580"/>
      <c r="HHX275" s="580"/>
      <c r="HHY275" s="580"/>
      <c r="HHZ275" s="580"/>
      <c r="HIA275" s="580"/>
      <c r="HIB275" s="580"/>
      <c r="HIC275" s="580"/>
      <c r="HID275" s="580"/>
      <c r="HIE275" s="580"/>
      <c r="HIF275" s="580"/>
      <c r="HIG275" s="580"/>
      <c r="HIH275" s="580"/>
      <c r="HII275" s="580"/>
      <c r="HIJ275" s="580"/>
      <c r="HIK275" s="580"/>
      <c r="HIL275" s="580"/>
      <c r="HIM275" s="580"/>
      <c r="HIN275" s="580"/>
      <c r="HIO275" s="580"/>
      <c r="HIP275" s="580"/>
      <c r="HIQ275" s="580"/>
      <c r="HIR275" s="580"/>
      <c r="HIS275" s="580"/>
      <c r="HIT275" s="580"/>
      <c r="HIU275" s="580"/>
      <c r="HIV275" s="580"/>
      <c r="HIW275" s="580"/>
      <c r="HIX275" s="580"/>
      <c r="HIY275" s="580"/>
      <c r="HIZ275" s="580"/>
      <c r="HJA275" s="580"/>
      <c r="HJB275" s="580"/>
      <c r="HJC275" s="580"/>
      <c r="HJD275" s="580"/>
      <c r="HJE275" s="580"/>
      <c r="HJF275" s="580"/>
      <c r="HJG275" s="580"/>
      <c r="HJH275" s="580"/>
      <c r="HJI275" s="580"/>
      <c r="HJJ275" s="580"/>
      <c r="HJK275" s="580"/>
      <c r="HJL275" s="580"/>
      <c r="HJM275" s="580"/>
      <c r="HJN275" s="580"/>
      <c r="HJO275" s="580"/>
      <c r="HJP275" s="580"/>
      <c r="HJQ275" s="580"/>
      <c r="HJR275" s="580"/>
      <c r="HJS275" s="580"/>
      <c r="HJT275" s="580"/>
      <c r="HJU275" s="580"/>
      <c r="HJV275" s="580"/>
      <c r="HJW275" s="580"/>
      <c r="HJX275" s="580"/>
      <c r="HJY275" s="580"/>
      <c r="HJZ275" s="580"/>
      <c r="HKA275" s="580"/>
      <c r="HKB275" s="580"/>
      <c r="HKC275" s="580"/>
      <c r="HKD275" s="580"/>
      <c r="HKE275" s="580"/>
      <c r="HKF275" s="580"/>
      <c r="HKG275" s="580"/>
      <c r="HKH275" s="580"/>
      <c r="HKI275" s="580"/>
      <c r="HKJ275" s="580"/>
      <c r="HKK275" s="580"/>
      <c r="HKL275" s="580"/>
      <c r="HKM275" s="580"/>
      <c r="HKN275" s="580"/>
      <c r="HKO275" s="580"/>
      <c r="HKP275" s="580"/>
      <c r="HKQ275" s="580"/>
      <c r="HKR275" s="580"/>
      <c r="HKS275" s="580"/>
      <c r="HKT275" s="580"/>
      <c r="HKU275" s="580"/>
      <c r="HKV275" s="580"/>
      <c r="HKW275" s="580"/>
      <c r="HKX275" s="580"/>
      <c r="HKY275" s="580"/>
      <c r="HKZ275" s="580"/>
      <c r="HLA275" s="580"/>
      <c r="HLB275" s="580"/>
      <c r="HLC275" s="580"/>
      <c r="HLD275" s="580"/>
      <c r="HLE275" s="580"/>
      <c r="HLF275" s="580"/>
      <c r="HLG275" s="580"/>
      <c r="HLH275" s="580"/>
      <c r="HLI275" s="580"/>
      <c r="HLJ275" s="580"/>
      <c r="HLK275" s="580"/>
      <c r="HLL275" s="580"/>
      <c r="HLM275" s="580"/>
      <c r="HLN275" s="580"/>
      <c r="HLO275" s="580"/>
      <c r="HLP275" s="580"/>
      <c r="HLQ275" s="580"/>
      <c r="HLR275" s="580"/>
      <c r="HLS275" s="580"/>
      <c r="HLT275" s="580"/>
      <c r="HLU275" s="580"/>
      <c r="HLV275" s="580"/>
      <c r="HLW275" s="580"/>
      <c r="HLX275" s="580"/>
      <c r="HLY275" s="580"/>
      <c r="HLZ275" s="580"/>
      <c r="HMA275" s="580"/>
      <c r="HMB275" s="580"/>
      <c r="HMC275" s="580"/>
      <c r="HMD275" s="580"/>
      <c r="HME275" s="580"/>
      <c r="HMF275" s="580"/>
      <c r="HMG275" s="580"/>
      <c r="HMH275" s="580"/>
      <c r="HMI275" s="580"/>
      <c r="HMJ275" s="580"/>
      <c r="HMK275" s="580"/>
      <c r="HML275" s="580"/>
      <c r="HMM275" s="580"/>
      <c r="HMN275" s="580"/>
      <c r="HMO275" s="580"/>
      <c r="HMP275" s="580"/>
      <c r="HMQ275" s="580"/>
      <c r="HMR275" s="580"/>
      <c r="HMS275" s="580"/>
      <c r="HMT275" s="580"/>
      <c r="HMU275" s="580"/>
      <c r="HMV275" s="580"/>
      <c r="HMW275" s="580"/>
      <c r="HMX275" s="580"/>
      <c r="HMY275" s="580"/>
      <c r="HMZ275" s="580"/>
      <c r="HNA275" s="580"/>
      <c r="HNB275" s="580"/>
      <c r="HNC275" s="580"/>
      <c r="HND275" s="580"/>
      <c r="HNE275" s="580"/>
      <c r="HNF275" s="580"/>
      <c r="HNG275" s="580"/>
      <c r="HNH275" s="580"/>
      <c r="HNI275" s="580"/>
      <c r="HNJ275" s="580"/>
      <c r="HNK275" s="580"/>
      <c r="HNL275" s="580"/>
      <c r="HNM275" s="580"/>
      <c r="HNN275" s="580"/>
      <c r="HNO275" s="580"/>
      <c r="HNP275" s="580"/>
      <c r="HNQ275" s="580"/>
      <c r="HNR275" s="580"/>
      <c r="HNS275" s="580"/>
      <c r="HNT275" s="580"/>
      <c r="HNU275" s="580"/>
      <c r="HNV275" s="580"/>
      <c r="HNW275" s="580"/>
      <c r="HNX275" s="580"/>
      <c r="HNY275" s="580"/>
      <c r="HNZ275" s="580"/>
      <c r="HOA275" s="580"/>
      <c r="HOB275" s="580"/>
      <c r="HOC275" s="580"/>
      <c r="HOD275" s="580"/>
      <c r="HOE275" s="580"/>
      <c r="HOF275" s="580"/>
      <c r="HOG275" s="580"/>
      <c r="HOH275" s="580"/>
      <c r="HOI275" s="580"/>
      <c r="HOJ275" s="580"/>
      <c r="HOK275" s="580"/>
      <c r="HOL275" s="580"/>
      <c r="HOM275" s="580"/>
      <c r="HON275" s="580"/>
      <c r="HOO275" s="580"/>
      <c r="HOP275" s="580"/>
      <c r="HOQ275" s="580"/>
      <c r="HOR275" s="580"/>
      <c r="HOS275" s="580"/>
      <c r="HOT275" s="580"/>
      <c r="HOU275" s="580"/>
      <c r="HOV275" s="580"/>
      <c r="HOW275" s="580"/>
      <c r="HOX275" s="580"/>
      <c r="HOY275" s="580"/>
      <c r="HOZ275" s="580"/>
      <c r="HPA275" s="580"/>
      <c r="HPB275" s="580"/>
      <c r="HPC275" s="580"/>
      <c r="HPD275" s="580"/>
      <c r="HPE275" s="580"/>
      <c r="HPF275" s="580"/>
      <c r="HPG275" s="580"/>
      <c r="HPH275" s="580"/>
      <c r="HPI275" s="580"/>
      <c r="HPJ275" s="580"/>
      <c r="HPK275" s="580"/>
      <c r="HPL275" s="580"/>
      <c r="HPM275" s="580"/>
      <c r="HPN275" s="580"/>
      <c r="HPO275" s="580"/>
      <c r="HPP275" s="580"/>
      <c r="HPQ275" s="580"/>
      <c r="HPR275" s="580"/>
      <c r="HPS275" s="580"/>
      <c r="HPT275" s="580"/>
      <c r="HPU275" s="580"/>
      <c r="HPV275" s="580"/>
      <c r="HPW275" s="580"/>
      <c r="HPX275" s="580"/>
      <c r="HPY275" s="580"/>
      <c r="HPZ275" s="580"/>
      <c r="HQA275" s="580"/>
      <c r="HQB275" s="580"/>
      <c r="HQC275" s="580"/>
      <c r="HQD275" s="580"/>
      <c r="HQE275" s="580"/>
      <c r="HQF275" s="580"/>
      <c r="HQG275" s="580"/>
      <c r="HQH275" s="580"/>
      <c r="HQI275" s="580"/>
      <c r="HQJ275" s="580"/>
      <c r="HQK275" s="580"/>
      <c r="HQL275" s="580"/>
      <c r="HQM275" s="580"/>
      <c r="HQN275" s="580"/>
      <c r="HQO275" s="580"/>
      <c r="HQP275" s="580"/>
      <c r="HQQ275" s="580"/>
      <c r="HQR275" s="580"/>
      <c r="HQS275" s="580"/>
      <c r="HQT275" s="580"/>
      <c r="HQU275" s="580"/>
      <c r="HQV275" s="580"/>
      <c r="HQW275" s="580"/>
      <c r="HQX275" s="580"/>
      <c r="HQY275" s="580"/>
      <c r="HQZ275" s="580"/>
      <c r="HRA275" s="580"/>
      <c r="HRB275" s="580"/>
      <c r="HRC275" s="580"/>
      <c r="HRD275" s="580"/>
      <c r="HRE275" s="580"/>
      <c r="HRF275" s="580"/>
      <c r="HRG275" s="580"/>
      <c r="HRH275" s="580"/>
      <c r="HRI275" s="580"/>
      <c r="HRJ275" s="580"/>
      <c r="HRK275" s="580"/>
      <c r="HRL275" s="580"/>
      <c r="HRM275" s="580"/>
      <c r="HRN275" s="580"/>
      <c r="HRO275" s="580"/>
      <c r="HRP275" s="580"/>
      <c r="HRQ275" s="580"/>
      <c r="HRR275" s="580"/>
      <c r="HRS275" s="580"/>
      <c r="HRT275" s="580"/>
      <c r="HRU275" s="580"/>
      <c r="HRV275" s="580"/>
      <c r="HRW275" s="580"/>
      <c r="HRX275" s="580"/>
      <c r="HRY275" s="580"/>
      <c r="HRZ275" s="580"/>
      <c r="HSA275" s="580"/>
      <c r="HSB275" s="580"/>
      <c r="HSC275" s="580"/>
      <c r="HSD275" s="580"/>
      <c r="HSE275" s="580"/>
      <c r="HSF275" s="580"/>
      <c r="HSG275" s="580"/>
      <c r="HSH275" s="580"/>
      <c r="HSI275" s="580"/>
      <c r="HSJ275" s="580"/>
      <c r="HSK275" s="580"/>
      <c r="HSL275" s="580"/>
      <c r="HSM275" s="580"/>
      <c r="HSN275" s="580"/>
      <c r="HSO275" s="580"/>
      <c r="HSP275" s="580"/>
      <c r="HSQ275" s="580"/>
      <c r="HSR275" s="580"/>
      <c r="HSS275" s="580"/>
      <c r="HST275" s="580"/>
      <c r="HSU275" s="580"/>
      <c r="HSV275" s="580"/>
      <c r="HSW275" s="580"/>
      <c r="HSX275" s="580"/>
      <c r="HSY275" s="580"/>
      <c r="HSZ275" s="580"/>
      <c r="HTA275" s="580"/>
      <c r="HTB275" s="580"/>
      <c r="HTC275" s="580"/>
      <c r="HTD275" s="580"/>
      <c r="HTE275" s="580"/>
      <c r="HTF275" s="580"/>
      <c r="HTG275" s="580"/>
      <c r="HTH275" s="580"/>
      <c r="HTI275" s="580"/>
      <c r="HTJ275" s="580"/>
      <c r="HTK275" s="580"/>
      <c r="HTL275" s="580"/>
      <c r="HTM275" s="580"/>
      <c r="HTN275" s="580"/>
      <c r="HTO275" s="580"/>
      <c r="HTP275" s="580"/>
      <c r="HTQ275" s="580"/>
      <c r="HTR275" s="580"/>
      <c r="HTS275" s="580"/>
      <c r="HTT275" s="580"/>
      <c r="HTU275" s="580"/>
      <c r="HTV275" s="580"/>
      <c r="HTW275" s="580"/>
      <c r="HTX275" s="580"/>
      <c r="HTY275" s="580"/>
      <c r="HTZ275" s="580"/>
      <c r="HUA275" s="580"/>
      <c r="HUB275" s="580"/>
      <c r="HUC275" s="580"/>
      <c r="HUD275" s="580"/>
      <c r="HUE275" s="580"/>
      <c r="HUF275" s="580"/>
      <c r="HUG275" s="580"/>
      <c r="HUH275" s="580"/>
      <c r="HUI275" s="580"/>
      <c r="HUJ275" s="580"/>
      <c r="HUK275" s="580"/>
      <c r="HUL275" s="580"/>
      <c r="HUM275" s="580"/>
      <c r="HUN275" s="580"/>
      <c r="HUO275" s="580"/>
      <c r="HUP275" s="580"/>
      <c r="HUQ275" s="580"/>
      <c r="HUR275" s="580"/>
      <c r="HUS275" s="580"/>
      <c r="HUT275" s="580"/>
      <c r="HUU275" s="580"/>
      <c r="HUV275" s="580"/>
      <c r="HUW275" s="580"/>
      <c r="HUX275" s="580"/>
      <c r="HUY275" s="580"/>
      <c r="HUZ275" s="580"/>
      <c r="HVA275" s="580"/>
      <c r="HVB275" s="580"/>
      <c r="HVC275" s="580"/>
      <c r="HVD275" s="580"/>
      <c r="HVE275" s="580"/>
      <c r="HVF275" s="580"/>
      <c r="HVG275" s="580"/>
      <c r="HVH275" s="580"/>
      <c r="HVI275" s="580"/>
      <c r="HVJ275" s="580"/>
      <c r="HVK275" s="580"/>
      <c r="HVL275" s="580"/>
      <c r="HVM275" s="580"/>
      <c r="HVN275" s="580"/>
      <c r="HVO275" s="580"/>
      <c r="HVP275" s="580"/>
      <c r="HVQ275" s="580"/>
      <c r="HVR275" s="580"/>
      <c r="HVS275" s="580"/>
      <c r="HVT275" s="580"/>
      <c r="HVU275" s="580"/>
      <c r="HVV275" s="580"/>
      <c r="HVW275" s="580"/>
      <c r="HVX275" s="580"/>
      <c r="HVY275" s="580"/>
      <c r="HVZ275" s="580"/>
      <c r="HWA275" s="580"/>
      <c r="HWB275" s="580"/>
      <c r="HWC275" s="580"/>
      <c r="HWD275" s="580"/>
      <c r="HWE275" s="580"/>
      <c r="HWF275" s="580"/>
      <c r="HWG275" s="580"/>
      <c r="HWH275" s="580"/>
      <c r="HWI275" s="580"/>
      <c r="HWJ275" s="580"/>
      <c r="HWK275" s="580"/>
      <c r="HWL275" s="580"/>
      <c r="HWM275" s="580"/>
      <c r="HWN275" s="580"/>
      <c r="HWO275" s="580"/>
      <c r="HWP275" s="580"/>
      <c r="HWQ275" s="580"/>
      <c r="HWR275" s="580"/>
      <c r="HWS275" s="580"/>
      <c r="HWT275" s="580"/>
      <c r="HWU275" s="580"/>
      <c r="HWV275" s="580"/>
      <c r="HWW275" s="580"/>
      <c r="HWX275" s="580"/>
      <c r="HWY275" s="580"/>
      <c r="HWZ275" s="580"/>
      <c r="HXA275" s="580"/>
      <c r="HXB275" s="580"/>
      <c r="HXC275" s="580"/>
      <c r="HXD275" s="580"/>
      <c r="HXE275" s="580"/>
      <c r="HXF275" s="580"/>
      <c r="HXG275" s="580"/>
      <c r="HXH275" s="580"/>
      <c r="HXI275" s="580"/>
      <c r="HXJ275" s="580"/>
      <c r="HXK275" s="580"/>
      <c r="HXL275" s="580"/>
      <c r="HXM275" s="580"/>
      <c r="HXN275" s="580"/>
      <c r="HXO275" s="580"/>
      <c r="HXP275" s="580"/>
      <c r="HXQ275" s="580"/>
      <c r="HXR275" s="580"/>
      <c r="HXS275" s="580"/>
      <c r="HXT275" s="580"/>
      <c r="HXU275" s="580"/>
      <c r="HXV275" s="580"/>
      <c r="HXW275" s="580"/>
      <c r="HXX275" s="580"/>
      <c r="HXY275" s="580"/>
      <c r="HXZ275" s="580"/>
      <c r="HYA275" s="580"/>
      <c r="HYB275" s="580"/>
      <c r="HYC275" s="580"/>
      <c r="HYD275" s="580"/>
      <c r="HYE275" s="580"/>
      <c r="HYF275" s="580"/>
      <c r="HYG275" s="580"/>
      <c r="HYH275" s="580"/>
      <c r="HYI275" s="580"/>
      <c r="HYJ275" s="580"/>
      <c r="HYK275" s="580"/>
      <c r="HYL275" s="580"/>
      <c r="HYM275" s="580"/>
      <c r="HYN275" s="580"/>
      <c r="HYO275" s="580"/>
      <c r="HYP275" s="580"/>
      <c r="HYQ275" s="580"/>
      <c r="HYR275" s="580"/>
      <c r="HYS275" s="580"/>
      <c r="HYT275" s="580"/>
      <c r="HYU275" s="580"/>
      <c r="HYV275" s="580"/>
      <c r="HYW275" s="580"/>
      <c r="HYX275" s="580"/>
      <c r="HYY275" s="580"/>
      <c r="HYZ275" s="580"/>
      <c r="HZA275" s="580"/>
      <c r="HZB275" s="580"/>
      <c r="HZC275" s="580"/>
      <c r="HZD275" s="580"/>
      <c r="HZE275" s="580"/>
      <c r="HZF275" s="580"/>
      <c r="HZG275" s="580"/>
      <c r="HZH275" s="580"/>
      <c r="HZI275" s="580"/>
      <c r="HZJ275" s="580"/>
      <c r="HZK275" s="580"/>
      <c r="HZL275" s="580"/>
      <c r="HZM275" s="580"/>
      <c r="HZN275" s="580"/>
      <c r="HZO275" s="580"/>
      <c r="HZP275" s="580"/>
      <c r="HZQ275" s="580"/>
      <c r="HZR275" s="580"/>
      <c r="HZS275" s="580"/>
      <c r="HZT275" s="580"/>
      <c r="HZU275" s="580"/>
      <c r="HZV275" s="580"/>
      <c r="HZW275" s="580"/>
      <c r="HZX275" s="580"/>
      <c r="HZY275" s="580"/>
      <c r="HZZ275" s="580"/>
      <c r="IAA275" s="580"/>
      <c r="IAB275" s="580"/>
      <c r="IAC275" s="580"/>
      <c r="IAD275" s="580"/>
      <c r="IAE275" s="580"/>
      <c r="IAF275" s="580"/>
      <c r="IAG275" s="580"/>
      <c r="IAH275" s="580"/>
      <c r="IAI275" s="580"/>
      <c r="IAJ275" s="580"/>
      <c r="IAK275" s="580"/>
      <c r="IAL275" s="580"/>
      <c r="IAM275" s="580"/>
      <c r="IAN275" s="580"/>
      <c r="IAO275" s="580"/>
      <c r="IAP275" s="580"/>
      <c r="IAQ275" s="580"/>
      <c r="IAR275" s="580"/>
      <c r="IAS275" s="580"/>
      <c r="IAT275" s="580"/>
      <c r="IAU275" s="580"/>
      <c r="IAV275" s="580"/>
      <c r="IAW275" s="580"/>
      <c r="IAX275" s="580"/>
      <c r="IAY275" s="580"/>
      <c r="IAZ275" s="580"/>
      <c r="IBA275" s="580"/>
      <c r="IBB275" s="580"/>
      <c r="IBC275" s="580"/>
      <c r="IBD275" s="580"/>
      <c r="IBE275" s="580"/>
      <c r="IBF275" s="580"/>
      <c r="IBG275" s="580"/>
      <c r="IBH275" s="580"/>
      <c r="IBI275" s="580"/>
      <c r="IBJ275" s="580"/>
      <c r="IBK275" s="580"/>
      <c r="IBL275" s="580"/>
      <c r="IBM275" s="580"/>
      <c r="IBN275" s="580"/>
      <c r="IBO275" s="580"/>
      <c r="IBP275" s="580"/>
      <c r="IBQ275" s="580"/>
      <c r="IBR275" s="580"/>
      <c r="IBS275" s="580"/>
      <c r="IBT275" s="580"/>
      <c r="IBU275" s="580"/>
      <c r="IBV275" s="580"/>
      <c r="IBW275" s="580"/>
      <c r="IBX275" s="580"/>
      <c r="IBY275" s="580"/>
      <c r="IBZ275" s="580"/>
      <c r="ICA275" s="580"/>
      <c r="ICB275" s="580"/>
      <c r="ICC275" s="580"/>
      <c r="ICD275" s="580"/>
      <c r="ICE275" s="580"/>
      <c r="ICF275" s="580"/>
      <c r="ICG275" s="580"/>
      <c r="ICH275" s="580"/>
      <c r="ICI275" s="580"/>
      <c r="ICJ275" s="580"/>
      <c r="ICK275" s="580"/>
      <c r="ICL275" s="580"/>
      <c r="ICM275" s="580"/>
      <c r="ICN275" s="580"/>
      <c r="ICO275" s="580"/>
      <c r="ICP275" s="580"/>
      <c r="ICQ275" s="580"/>
      <c r="ICR275" s="580"/>
      <c r="ICS275" s="580"/>
      <c r="ICT275" s="580"/>
      <c r="ICU275" s="580"/>
      <c r="ICV275" s="580"/>
      <c r="ICW275" s="580"/>
      <c r="ICX275" s="580"/>
      <c r="ICY275" s="580"/>
      <c r="ICZ275" s="580"/>
      <c r="IDA275" s="580"/>
      <c r="IDB275" s="580"/>
      <c r="IDC275" s="580"/>
      <c r="IDD275" s="580"/>
      <c r="IDE275" s="580"/>
      <c r="IDF275" s="580"/>
      <c r="IDG275" s="580"/>
      <c r="IDH275" s="580"/>
      <c r="IDI275" s="580"/>
      <c r="IDJ275" s="580"/>
      <c r="IDK275" s="580"/>
      <c r="IDL275" s="580"/>
      <c r="IDM275" s="580"/>
      <c r="IDN275" s="580"/>
      <c r="IDO275" s="580"/>
      <c r="IDP275" s="580"/>
      <c r="IDQ275" s="580"/>
      <c r="IDR275" s="580"/>
      <c r="IDS275" s="580"/>
      <c r="IDT275" s="580"/>
      <c r="IDU275" s="580"/>
      <c r="IDV275" s="580"/>
      <c r="IDW275" s="580"/>
      <c r="IDX275" s="580"/>
      <c r="IDY275" s="580"/>
      <c r="IDZ275" s="580"/>
      <c r="IEA275" s="580"/>
      <c r="IEB275" s="580"/>
      <c r="IEC275" s="580"/>
      <c r="IED275" s="580"/>
      <c r="IEE275" s="580"/>
      <c r="IEF275" s="580"/>
      <c r="IEG275" s="580"/>
      <c r="IEH275" s="580"/>
      <c r="IEI275" s="580"/>
      <c r="IEJ275" s="580"/>
      <c r="IEK275" s="580"/>
      <c r="IEL275" s="580"/>
      <c r="IEM275" s="580"/>
      <c r="IEN275" s="580"/>
      <c r="IEO275" s="580"/>
      <c r="IEP275" s="580"/>
      <c r="IEQ275" s="580"/>
      <c r="IER275" s="580"/>
      <c r="IES275" s="580"/>
      <c r="IET275" s="580"/>
      <c r="IEU275" s="580"/>
      <c r="IEV275" s="580"/>
      <c r="IEW275" s="580"/>
      <c r="IEX275" s="580"/>
      <c r="IEY275" s="580"/>
      <c r="IEZ275" s="580"/>
      <c r="IFA275" s="580"/>
      <c r="IFB275" s="580"/>
      <c r="IFC275" s="580"/>
      <c r="IFD275" s="580"/>
      <c r="IFE275" s="580"/>
      <c r="IFF275" s="580"/>
      <c r="IFG275" s="580"/>
      <c r="IFH275" s="580"/>
      <c r="IFI275" s="580"/>
      <c r="IFJ275" s="580"/>
      <c r="IFK275" s="580"/>
      <c r="IFL275" s="580"/>
      <c r="IFM275" s="580"/>
      <c r="IFN275" s="580"/>
      <c r="IFO275" s="580"/>
      <c r="IFP275" s="580"/>
      <c r="IFQ275" s="580"/>
      <c r="IFR275" s="580"/>
      <c r="IFS275" s="580"/>
      <c r="IFT275" s="580"/>
      <c r="IFU275" s="580"/>
      <c r="IFV275" s="580"/>
      <c r="IFW275" s="580"/>
      <c r="IFX275" s="580"/>
      <c r="IFY275" s="580"/>
      <c r="IFZ275" s="580"/>
      <c r="IGA275" s="580"/>
      <c r="IGB275" s="580"/>
      <c r="IGC275" s="580"/>
      <c r="IGD275" s="580"/>
      <c r="IGE275" s="580"/>
      <c r="IGF275" s="580"/>
      <c r="IGG275" s="580"/>
      <c r="IGH275" s="580"/>
      <c r="IGI275" s="580"/>
      <c r="IGJ275" s="580"/>
      <c r="IGK275" s="580"/>
      <c r="IGL275" s="580"/>
      <c r="IGM275" s="580"/>
      <c r="IGN275" s="580"/>
      <c r="IGO275" s="580"/>
      <c r="IGP275" s="580"/>
      <c r="IGQ275" s="580"/>
      <c r="IGR275" s="580"/>
      <c r="IGS275" s="580"/>
      <c r="IGT275" s="580"/>
      <c r="IGU275" s="580"/>
      <c r="IGV275" s="580"/>
      <c r="IGW275" s="580"/>
      <c r="IGX275" s="580"/>
      <c r="IGY275" s="580"/>
      <c r="IGZ275" s="580"/>
      <c r="IHA275" s="580"/>
      <c r="IHB275" s="580"/>
      <c r="IHC275" s="580"/>
      <c r="IHD275" s="580"/>
      <c r="IHE275" s="580"/>
      <c r="IHF275" s="580"/>
      <c r="IHG275" s="580"/>
      <c r="IHH275" s="580"/>
      <c r="IHI275" s="580"/>
      <c r="IHJ275" s="580"/>
      <c r="IHK275" s="580"/>
      <c r="IHL275" s="580"/>
      <c r="IHM275" s="580"/>
      <c r="IHN275" s="580"/>
      <c r="IHO275" s="580"/>
      <c r="IHP275" s="580"/>
      <c r="IHQ275" s="580"/>
      <c r="IHR275" s="580"/>
      <c r="IHS275" s="580"/>
      <c r="IHT275" s="580"/>
      <c r="IHU275" s="580"/>
      <c r="IHV275" s="580"/>
      <c r="IHW275" s="580"/>
      <c r="IHX275" s="580"/>
      <c r="IHY275" s="580"/>
      <c r="IHZ275" s="580"/>
      <c r="IIA275" s="580"/>
      <c r="IIB275" s="580"/>
      <c r="IIC275" s="580"/>
      <c r="IID275" s="580"/>
      <c r="IIE275" s="580"/>
      <c r="IIF275" s="580"/>
      <c r="IIG275" s="580"/>
      <c r="IIH275" s="580"/>
      <c r="III275" s="580"/>
      <c r="IIJ275" s="580"/>
      <c r="IIK275" s="580"/>
      <c r="IIL275" s="580"/>
      <c r="IIM275" s="580"/>
      <c r="IIN275" s="580"/>
      <c r="IIO275" s="580"/>
      <c r="IIP275" s="580"/>
      <c r="IIQ275" s="580"/>
      <c r="IIR275" s="580"/>
      <c r="IIS275" s="580"/>
      <c r="IIT275" s="580"/>
      <c r="IIU275" s="580"/>
      <c r="IIV275" s="580"/>
      <c r="IIW275" s="580"/>
      <c r="IIX275" s="580"/>
      <c r="IIY275" s="580"/>
      <c r="IIZ275" s="580"/>
      <c r="IJA275" s="580"/>
      <c r="IJB275" s="580"/>
      <c r="IJC275" s="580"/>
      <c r="IJD275" s="580"/>
      <c r="IJE275" s="580"/>
      <c r="IJF275" s="580"/>
      <c r="IJG275" s="580"/>
      <c r="IJH275" s="580"/>
      <c r="IJI275" s="580"/>
      <c r="IJJ275" s="580"/>
      <c r="IJK275" s="580"/>
      <c r="IJL275" s="580"/>
      <c r="IJM275" s="580"/>
      <c r="IJN275" s="580"/>
      <c r="IJO275" s="580"/>
      <c r="IJP275" s="580"/>
      <c r="IJQ275" s="580"/>
      <c r="IJR275" s="580"/>
      <c r="IJS275" s="580"/>
      <c r="IJT275" s="580"/>
      <c r="IJU275" s="580"/>
      <c r="IJV275" s="580"/>
      <c r="IJW275" s="580"/>
      <c r="IJX275" s="580"/>
      <c r="IJY275" s="580"/>
      <c r="IJZ275" s="580"/>
      <c r="IKA275" s="580"/>
      <c r="IKB275" s="580"/>
      <c r="IKC275" s="580"/>
      <c r="IKD275" s="580"/>
      <c r="IKE275" s="580"/>
      <c r="IKF275" s="580"/>
      <c r="IKG275" s="580"/>
      <c r="IKH275" s="580"/>
      <c r="IKI275" s="580"/>
      <c r="IKJ275" s="580"/>
      <c r="IKK275" s="580"/>
      <c r="IKL275" s="580"/>
      <c r="IKM275" s="580"/>
      <c r="IKN275" s="580"/>
      <c r="IKO275" s="580"/>
      <c r="IKP275" s="580"/>
      <c r="IKQ275" s="580"/>
      <c r="IKR275" s="580"/>
      <c r="IKS275" s="580"/>
      <c r="IKT275" s="580"/>
      <c r="IKU275" s="580"/>
      <c r="IKV275" s="580"/>
      <c r="IKW275" s="580"/>
      <c r="IKX275" s="580"/>
      <c r="IKY275" s="580"/>
      <c r="IKZ275" s="580"/>
      <c r="ILA275" s="580"/>
      <c r="ILB275" s="580"/>
      <c r="ILC275" s="580"/>
      <c r="ILD275" s="580"/>
      <c r="ILE275" s="580"/>
      <c r="ILF275" s="580"/>
      <c r="ILG275" s="580"/>
      <c r="ILH275" s="580"/>
      <c r="ILI275" s="580"/>
      <c r="ILJ275" s="580"/>
      <c r="ILK275" s="580"/>
      <c r="ILL275" s="580"/>
      <c r="ILM275" s="580"/>
      <c r="ILN275" s="580"/>
      <c r="ILO275" s="580"/>
      <c r="ILP275" s="580"/>
      <c r="ILQ275" s="580"/>
      <c r="ILR275" s="580"/>
      <c r="ILS275" s="580"/>
      <c r="ILT275" s="580"/>
      <c r="ILU275" s="580"/>
      <c r="ILV275" s="580"/>
      <c r="ILW275" s="580"/>
      <c r="ILX275" s="580"/>
      <c r="ILY275" s="580"/>
      <c r="ILZ275" s="580"/>
      <c r="IMA275" s="580"/>
      <c r="IMB275" s="580"/>
      <c r="IMC275" s="580"/>
      <c r="IMD275" s="580"/>
      <c r="IME275" s="580"/>
      <c r="IMF275" s="580"/>
      <c r="IMG275" s="580"/>
      <c r="IMH275" s="580"/>
      <c r="IMI275" s="580"/>
      <c r="IMJ275" s="580"/>
      <c r="IMK275" s="580"/>
      <c r="IML275" s="580"/>
      <c r="IMM275" s="580"/>
      <c r="IMN275" s="580"/>
      <c r="IMO275" s="580"/>
      <c r="IMP275" s="580"/>
      <c r="IMQ275" s="580"/>
      <c r="IMR275" s="580"/>
      <c r="IMS275" s="580"/>
      <c r="IMT275" s="580"/>
      <c r="IMU275" s="580"/>
      <c r="IMV275" s="580"/>
      <c r="IMW275" s="580"/>
      <c r="IMX275" s="580"/>
      <c r="IMY275" s="580"/>
      <c r="IMZ275" s="580"/>
      <c r="INA275" s="580"/>
      <c r="INB275" s="580"/>
      <c r="INC275" s="580"/>
      <c r="IND275" s="580"/>
      <c r="INE275" s="580"/>
      <c r="INF275" s="580"/>
      <c r="ING275" s="580"/>
      <c r="INH275" s="580"/>
      <c r="INI275" s="580"/>
      <c r="INJ275" s="580"/>
      <c r="INK275" s="580"/>
      <c r="INL275" s="580"/>
      <c r="INM275" s="580"/>
      <c r="INN275" s="580"/>
      <c r="INO275" s="580"/>
      <c r="INP275" s="580"/>
      <c r="INQ275" s="580"/>
      <c r="INR275" s="580"/>
      <c r="INS275" s="580"/>
      <c r="INT275" s="580"/>
      <c r="INU275" s="580"/>
      <c r="INV275" s="580"/>
      <c r="INW275" s="580"/>
      <c r="INX275" s="580"/>
      <c r="INY275" s="580"/>
      <c r="INZ275" s="580"/>
      <c r="IOA275" s="580"/>
      <c r="IOB275" s="580"/>
      <c r="IOC275" s="580"/>
      <c r="IOD275" s="580"/>
      <c r="IOE275" s="580"/>
      <c r="IOF275" s="580"/>
      <c r="IOG275" s="580"/>
      <c r="IOH275" s="580"/>
      <c r="IOI275" s="580"/>
      <c r="IOJ275" s="580"/>
      <c r="IOK275" s="580"/>
      <c r="IOL275" s="580"/>
      <c r="IOM275" s="580"/>
      <c r="ION275" s="580"/>
      <c r="IOO275" s="580"/>
      <c r="IOP275" s="580"/>
      <c r="IOQ275" s="580"/>
      <c r="IOR275" s="580"/>
      <c r="IOS275" s="580"/>
      <c r="IOT275" s="580"/>
      <c r="IOU275" s="580"/>
      <c r="IOV275" s="580"/>
      <c r="IOW275" s="580"/>
      <c r="IOX275" s="580"/>
      <c r="IOY275" s="580"/>
      <c r="IOZ275" s="580"/>
      <c r="IPA275" s="580"/>
      <c r="IPB275" s="580"/>
      <c r="IPC275" s="580"/>
      <c r="IPD275" s="580"/>
      <c r="IPE275" s="580"/>
      <c r="IPF275" s="580"/>
      <c r="IPG275" s="580"/>
      <c r="IPH275" s="580"/>
      <c r="IPI275" s="580"/>
      <c r="IPJ275" s="580"/>
      <c r="IPK275" s="580"/>
      <c r="IPL275" s="580"/>
      <c r="IPM275" s="580"/>
      <c r="IPN275" s="580"/>
      <c r="IPO275" s="580"/>
      <c r="IPP275" s="580"/>
      <c r="IPQ275" s="580"/>
      <c r="IPR275" s="580"/>
      <c r="IPS275" s="580"/>
      <c r="IPT275" s="580"/>
      <c r="IPU275" s="580"/>
      <c r="IPV275" s="580"/>
      <c r="IPW275" s="580"/>
      <c r="IPX275" s="580"/>
      <c r="IPY275" s="580"/>
      <c r="IPZ275" s="580"/>
      <c r="IQA275" s="580"/>
      <c r="IQB275" s="580"/>
      <c r="IQC275" s="580"/>
      <c r="IQD275" s="580"/>
      <c r="IQE275" s="580"/>
      <c r="IQF275" s="580"/>
      <c r="IQG275" s="580"/>
      <c r="IQH275" s="580"/>
      <c r="IQI275" s="580"/>
      <c r="IQJ275" s="580"/>
      <c r="IQK275" s="580"/>
      <c r="IQL275" s="580"/>
      <c r="IQM275" s="580"/>
      <c r="IQN275" s="580"/>
      <c r="IQO275" s="580"/>
      <c r="IQP275" s="580"/>
      <c r="IQQ275" s="580"/>
      <c r="IQR275" s="580"/>
      <c r="IQS275" s="580"/>
      <c r="IQT275" s="580"/>
      <c r="IQU275" s="580"/>
      <c r="IQV275" s="580"/>
      <c r="IQW275" s="580"/>
      <c r="IQX275" s="580"/>
      <c r="IQY275" s="580"/>
      <c r="IQZ275" s="580"/>
      <c r="IRA275" s="580"/>
      <c r="IRB275" s="580"/>
      <c r="IRC275" s="580"/>
      <c r="IRD275" s="580"/>
      <c r="IRE275" s="580"/>
      <c r="IRF275" s="580"/>
      <c r="IRG275" s="580"/>
      <c r="IRH275" s="580"/>
      <c r="IRI275" s="580"/>
      <c r="IRJ275" s="580"/>
      <c r="IRK275" s="580"/>
      <c r="IRL275" s="580"/>
      <c r="IRM275" s="580"/>
      <c r="IRN275" s="580"/>
      <c r="IRO275" s="580"/>
      <c r="IRP275" s="580"/>
      <c r="IRQ275" s="580"/>
      <c r="IRR275" s="580"/>
      <c r="IRS275" s="580"/>
      <c r="IRT275" s="580"/>
      <c r="IRU275" s="580"/>
      <c r="IRV275" s="580"/>
      <c r="IRW275" s="580"/>
      <c r="IRX275" s="580"/>
      <c r="IRY275" s="580"/>
      <c r="IRZ275" s="580"/>
      <c r="ISA275" s="580"/>
      <c r="ISB275" s="580"/>
      <c r="ISC275" s="580"/>
      <c r="ISD275" s="580"/>
      <c r="ISE275" s="580"/>
      <c r="ISF275" s="580"/>
      <c r="ISG275" s="580"/>
      <c r="ISH275" s="580"/>
      <c r="ISI275" s="580"/>
      <c r="ISJ275" s="580"/>
      <c r="ISK275" s="580"/>
      <c r="ISL275" s="580"/>
      <c r="ISM275" s="580"/>
      <c r="ISN275" s="580"/>
      <c r="ISO275" s="580"/>
      <c r="ISP275" s="580"/>
      <c r="ISQ275" s="580"/>
      <c r="ISR275" s="580"/>
      <c r="ISS275" s="580"/>
      <c r="IST275" s="580"/>
      <c r="ISU275" s="580"/>
      <c r="ISV275" s="580"/>
      <c r="ISW275" s="580"/>
      <c r="ISX275" s="580"/>
      <c r="ISY275" s="580"/>
      <c r="ISZ275" s="580"/>
      <c r="ITA275" s="580"/>
      <c r="ITB275" s="580"/>
      <c r="ITC275" s="580"/>
      <c r="ITD275" s="580"/>
      <c r="ITE275" s="580"/>
      <c r="ITF275" s="580"/>
      <c r="ITG275" s="580"/>
      <c r="ITH275" s="580"/>
      <c r="ITI275" s="580"/>
      <c r="ITJ275" s="580"/>
      <c r="ITK275" s="580"/>
      <c r="ITL275" s="580"/>
      <c r="ITM275" s="580"/>
      <c r="ITN275" s="580"/>
      <c r="ITO275" s="580"/>
      <c r="ITP275" s="580"/>
      <c r="ITQ275" s="580"/>
      <c r="ITR275" s="580"/>
      <c r="ITS275" s="580"/>
      <c r="ITT275" s="580"/>
      <c r="ITU275" s="580"/>
      <c r="ITV275" s="580"/>
      <c r="ITW275" s="580"/>
      <c r="ITX275" s="580"/>
      <c r="ITY275" s="580"/>
      <c r="ITZ275" s="580"/>
      <c r="IUA275" s="580"/>
      <c r="IUB275" s="580"/>
      <c r="IUC275" s="580"/>
      <c r="IUD275" s="580"/>
      <c r="IUE275" s="580"/>
      <c r="IUF275" s="580"/>
      <c r="IUG275" s="580"/>
      <c r="IUH275" s="580"/>
      <c r="IUI275" s="580"/>
      <c r="IUJ275" s="580"/>
      <c r="IUK275" s="580"/>
      <c r="IUL275" s="580"/>
      <c r="IUM275" s="580"/>
      <c r="IUN275" s="580"/>
      <c r="IUO275" s="580"/>
      <c r="IUP275" s="580"/>
      <c r="IUQ275" s="580"/>
      <c r="IUR275" s="580"/>
      <c r="IUS275" s="580"/>
      <c r="IUT275" s="580"/>
      <c r="IUU275" s="580"/>
      <c r="IUV275" s="580"/>
      <c r="IUW275" s="580"/>
      <c r="IUX275" s="580"/>
      <c r="IUY275" s="580"/>
      <c r="IUZ275" s="580"/>
      <c r="IVA275" s="580"/>
      <c r="IVB275" s="580"/>
      <c r="IVC275" s="580"/>
      <c r="IVD275" s="580"/>
      <c r="IVE275" s="580"/>
      <c r="IVF275" s="580"/>
      <c r="IVG275" s="580"/>
      <c r="IVH275" s="580"/>
      <c r="IVI275" s="580"/>
      <c r="IVJ275" s="580"/>
      <c r="IVK275" s="580"/>
      <c r="IVL275" s="580"/>
      <c r="IVM275" s="580"/>
      <c r="IVN275" s="580"/>
      <c r="IVO275" s="580"/>
      <c r="IVP275" s="580"/>
      <c r="IVQ275" s="580"/>
      <c r="IVR275" s="580"/>
      <c r="IVS275" s="580"/>
      <c r="IVT275" s="580"/>
      <c r="IVU275" s="580"/>
      <c r="IVV275" s="580"/>
      <c r="IVW275" s="580"/>
      <c r="IVX275" s="580"/>
      <c r="IVY275" s="580"/>
      <c r="IVZ275" s="580"/>
      <c r="IWA275" s="580"/>
      <c r="IWB275" s="580"/>
      <c r="IWC275" s="580"/>
      <c r="IWD275" s="580"/>
      <c r="IWE275" s="580"/>
      <c r="IWF275" s="580"/>
      <c r="IWG275" s="580"/>
      <c r="IWH275" s="580"/>
      <c r="IWI275" s="580"/>
      <c r="IWJ275" s="580"/>
      <c r="IWK275" s="580"/>
      <c r="IWL275" s="580"/>
      <c r="IWM275" s="580"/>
      <c r="IWN275" s="580"/>
      <c r="IWO275" s="580"/>
      <c r="IWP275" s="580"/>
      <c r="IWQ275" s="580"/>
      <c r="IWR275" s="580"/>
      <c r="IWS275" s="580"/>
      <c r="IWT275" s="580"/>
      <c r="IWU275" s="580"/>
      <c r="IWV275" s="580"/>
      <c r="IWW275" s="580"/>
      <c r="IWX275" s="580"/>
      <c r="IWY275" s="580"/>
      <c r="IWZ275" s="580"/>
      <c r="IXA275" s="580"/>
      <c r="IXB275" s="580"/>
      <c r="IXC275" s="580"/>
      <c r="IXD275" s="580"/>
      <c r="IXE275" s="580"/>
      <c r="IXF275" s="580"/>
      <c r="IXG275" s="580"/>
      <c r="IXH275" s="580"/>
      <c r="IXI275" s="580"/>
      <c r="IXJ275" s="580"/>
      <c r="IXK275" s="580"/>
      <c r="IXL275" s="580"/>
      <c r="IXM275" s="580"/>
      <c r="IXN275" s="580"/>
      <c r="IXO275" s="580"/>
      <c r="IXP275" s="580"/>
      <c r="IXQ275" s="580"/>
      <c r="IXR275" s="580"/>
      <c r="IXS275" s="580"/>
      <c r="IXT275" s="580"/>
      <c r="IXU275" s="580"/>
      <c r="IXV275" s="580"/>
      <c r="IXW275" s="580"/>
      <c r="IXX275" s="580"/>
      <c r="IXY275" s="580"/>
      <c r="IXZ275" s="580"/>
      <c r="IYA275" s="580"/>
      <c r="IYB275" s="580"/>
      <c r="IYC275" s="580"/>
      <c r="IYD275" s="580"/>
      <c r="IYE275" s="580"/>
      <c r="IYF275" s="580"/>
      <c r="IYG275" s="580"/>
      <c r="IYH275" s="580"/>
      <c r="IYI275" s="580"/>
      <c r="IYJ275" s="580"/>
      <c r="IYK275" s="580"/>
      <c r="IYL275" s="580"/>
      <c r="IYM275" s="580"/>
      <c r="IYN275" s="580"/>
      <c r="IYO275" s="580"/>
      <c r="IYP275" s="580"/>
      <c r="IYQ275" s="580"/>
      <c r="IYR275" s="580"/>
      <c r="IYS275" s="580"/>
      <c r="IYT275" s="580"/>
      <c r="IYU275" s="580"/>
      <c r="IYV275" s="580"/>
      <c r="IYW275" s="580"/>
      <c r="IYX275" s="580"/>
      <c r="IYY275" s="580"/>
      <c r="IYZ275" s="580"/>
      <c r="IZA275" s="580"/>
      <c r="IZB275" s="580"/>
      <c r="IZC275" s="580"/>
      <c r="IZD275" s="580"/>
      <c r="IZE275" s="580"/>
      <c r="IZF275" s="580"/>
      <c r="IZG275" s="580"/>
      <c r="IZH275" s="580"/>
      <c r="IZI275" s="580"/>
      <c r="IZJ275" s="580"/>
      <c r="IZK275" s="580"/>
      <c r="IZL275" s="580"/>
      <c r="IZM275" s="580"/>
      <c r="IZN275" s="580"/>
      <c r="IZO275" s="580"/>
      <c r="IZP275" s="580"/>
      <c r="IZQ275" s="580"/>
      <c r="IZR275" s="580"/>
      <c r="IZS275" s="580"/>
      <c r="IZT275" s="580"/>
      <c r="IZU275" s="580"/>
      <c r="IZV275" s="580"/>
      <c r="IZW275" s="580"/>
      <c r="IZX275" s="580"/>
      <c r="IZY275" s="580"/>
      <c r="IZZ275" s="580"/>
      <c r="JAA275" s="580"/>
      <c r="JAB275" s="580"/>
      <c r="JAC275" s="580"/>
      <c r="JAD275" s="580"/>
      <c r="JAE275" s="580"/>
      <c r="JAF275" s="580"/>
      <c r="JAG275" s="580"/>
      <c r="JAH275" s="580"/>
      <c r="JAI275" s="580"/>
      <c r="JAJ275" s="580"/>
      <c r="JAK275" s="580"/>
      <c r="JAL275" s="580"/>
      <c r="JAM275" s="580"/>
      <c r="JAN275" s="580"/>
      <c r="JAO275" s="580"/>
      <c r="JAP275" s="580"/>
      <c r="JAQ275" s="580"/>
      <c r="JAR275" s="580"/>
      <c r="JAS275" s="580"/>
      <c r="JAT275" s="580"/>
      <c r="JAU275" s="580"/>
      <c r="JAV275" s="580"/>
      <c r="JAW275" s="580"/>
      <c r="JAX275" s="580"/>
      <c r="JAY275" s="580"/>
      <c r="JAZ275" s="580"/>
      <c r="JBA275" s="580"/>
      <c r="JBB275" s="580"/>
      <c r="JBC275" s="580"/>
      <c r="JBD275" s="580"/>
      <c r="JBE275" s="580"/>
      <c r="JBF275" s="580"/>
      <c r="JBG275" s="580"/>
      <c r="JBH275" s="580"/>
      <c r="JBI275" s="580"/>
      <c r="JBJ275" s="580"/>
      <c r="JBK275" s="580"/>
      <c r="JBL275" s="580"/>
      <c r="JBM275" s="580"/>
      <c r="JBN275" s="580"/>
      <c r="JBO275" s="580"/>
      <c r="JBP275" s="580"/>
      <c r="JBQ275" s="580"/>
      <c r="JBR275" s="580"/>
      <c r="JBS275" s="580"/>
      <c r="JBT275" s="580"/>
      <c r="JBU275" s="580"/>
      <c r="JBV275" s="580"/>
      <c r="JBW275" s="580"/>
      <c r="JBX275" s="580"/>
      <c r="JBY275" s="580"/>
      <c r="JBZ275" s="580"/>
      <c r="JCA275" s="580"/>
      <c r="JCB275" s="580"/>
      <c r="JCC275" s="580"/>
      <c r="JCD275" s="580"/>
      <c r="JCE275" s="580"/>
      <c r="JCF275" s="580"/>
      <c r="JCG275" s="580"/>
      <c r="JCH275" s="580"/>
      <c r="JCI275" s="580"/>
      <c r="JCJ275" s="580"/>
      <c r="JCK275" s="580"/>
      <c r="JCL275" s="580"/>
      <c r="JCM275" s="580"/>
      <c r="JCN275" s="580"/>
      <c r="JCO275" s="580"/>
      <c r="JCP275" s="580"/>
      <c r="JCQ275" s="580"/>
      <c r="JCR275" s="580"/>
      <c r="JCS275" s="580"/>
      <c r="JCT275" s="580"/>
      <c r="JCU275" s="580"/>
      <c r="JCV275" s="580"/>
      <c r="JCW275" s="580"/>
      <c r="JCX275" s="580"/>
      <c r="JCY275" s="580"/>
      <c r="JCZ275" s="580"/>
      <c r="JDA275" s="580"/>
      <c r="JDB275" s="580"/>
      <c r="JDC275" s="580"/>
      <c r="JDD275" s="580"/>
      <c r="JDE275" s="580"/>
      <c r="JDF275" s="580"/>
      <c r="JDG275" s="580"/>
      <c r="JDH275" s="580"/>
      <c r="JDI275" s="580"/>
      <c r="JDJ275" s="580"/>
      <c r="JDK275" s="580"/>
      <c r="JDL275" s="580"/>
      <c r="JDM275" s="580"/>
      <c r="JDN275" s="580"/>
      <c r="JDO275" s="580"/>
      <c r="JDP275" s="580"/>
      <c r="JDQ275" s="580"/>
      <c r="JDR275" s="580"/>
      <c r="JDS275" s="580"/>
      <c r="JDT275" s="580"/>
      <c r="JDU275" s="580"/>
      <c r="JDV275" s="580"/>
      <c r="JDW275" s="580"/>
      <c r="JDX275" s="580"/>
      <c r="JDY275" s="580"/>
      <c r="JDZ275" s="580"/>
      <c r="JEA275" s="580"/>
      <c r="JEB275" s="580"/>
      <c r="JEC275" s="580"/>
      <c r="JED275" s="580"/>
      <c r="JEE275" s="580"/>
      <c r="JEF275" s="580"/>
      <c r="JEG275" s="580"/>
      <c r="JEH275" s="580"/>
      <c r="JEI275" s="580"/>
      <c r="JEJ275" s="580"/>
      <c r="JEK275" s="580"/>
      <c r="JEL275" s="580"/>
      <c r="JEM275" s="580"/>
      <c r="JEN275" s="580"/>
      <c r="JEO275" s="580"/>
      <c r="JEP275" s="580"/>
      <c r="JEQ275" s="580"/>
      <c r="JER275" s="580"/>
      <c r="JES275" s="580"/>
      <c r="JET275" s="580"/>
      <c r="JEU275" s="580"/>
      <c r="JEV275" s="580"/>
      <c r="JEW275" s="580"/>
      <c r="JEX275" s="580"/>
      <c r="JEY275" s="580"/>
      <c r="JEZ275" s="580"/>
      <c r="JFA275" s="580"/>
      <c r="JFB275" s="580"/>
      <c r="JFC275" s="580"/>
      <c r="JFD275" s="580"/>
      <c r="JFE275" s="580"/>
      <c r="JFF275" s="580"/>
      <c r="JFG275" s="580"/>
      <c r="JFH275" s="580"/>
      <c r="JFI275" s="580"/>
      <c r="JFJ275" s="580"/>
      <c r="JFK275" s="580"/>
      <c r="JFL275" s="580"/>
      <c r="JFM275" s="580"/>
      <c r="JFN275" s="580"/>
      <c r="JFO275" s="580"/>
      <c r="JFP275" s="580"/>
      <c r="JFQ275" s="580"/>
      <c r="JFR275" s="580"/>
      <c r="JFS275" s="580"/>
      <c r="JFT275" s="580"/>
      <c r="JFU275" s="580"/>
      <c r="JFV275" s="580"/>
      <c r="JFW275" s="580"/>
      <c r="JFX275" s="580"/>
      <c r="JFY275" s="580"/>
      <c r="JFZ275" s="580"/>
      <c r="JGA275" s="580"/>
      <c r="JGB275" s="580"/>
      <c r="JGC275" s="580"/>
      <c r="JGD275" s="580"/>
      <c r="JGE275" s="580"/>
      <c r="JGF275" s="580"/>
      <c r="JGG275" s="580"/>
      <c r="JGH275" s="580"/>
      <c r="JGI275" s="580"/>
      <c r="JGJ275" s="580"/>
      <c r="JGK275" s="580"/>
      <c r="JGL275" s="580"/>
      <c r="JGM275" s="580"/>
      <c r="JGN275" s="580"/>
      <c r="JGO275" s="580"/>
      <c r="JGP275" s="580"/>
      <c r="JGQ275" s="580"/>
      <c r="JGR275" s="580"/>
      <c r="JGS275" s="580"/>
      <c r="JGT275" s="580"/>
      <c r="JGU275" s="580"/>
      <c r="JGV275" s="580"/>
      <c r="JGW275" s="580"/>
      <c r="JGX275" s="580"/>
      <c r="JGY275" s="580"/>
      <c r="JGZ275" s="580"/>
      <c r="JHA275" s="580"/>
      <c r="JHB275" s="580"/>
      <c r="JHC275" s="580"/>
      <c r="JHD275" s="580"/>
      <c r="JHE275" s="580"/>
      <c r="JHF275" s="580"/>
      <c r="JHG275" s="580"/>
      <c r="JHH275" s="580"/>
      <c r="JHI275" s="580"/>
      <c r="JHJ275" s="580"/>
      <c r="JHK275" s="580"/>
      <c r="JHL275" s="580"/>
      <c r="JHM275" s="580"/>
      <c r="JHN275" s="580"/>
      <c r="JHO275" s="580"/>
      <c r="JHP275" s="580"/>
      <c r="JHQ275" s="580"/>
      <c r="JHR275" s="580"/>
      <c r="JHS275" s="580"/>
      <c r="JHT275" s="580"/>
      <c r="JHU275" s="580"/>
      <c r="JHV275" s="580"/>
      <c r="JHW275" s="580"/>
      <c r="JHX275" s="580"/>
      <c r="JHY275" s="580"/>
      <c r="JHZ275" s="580"/>
      <c r="JIA275" s="580"/>
      <c r="JIB275" s="580"/>
      <c r="JIC275" s="580"/>
      <c r="JID275" s="580"/>
      <c r="JIE275" s="580"/>
      <c r="JIF275" s="580"/>
      <c r="JIG275" s="580"/>
      <c r="JIH275" s="580"/>
      <c r="JII275" s="580"/>
      <c r="JIJ275" s="580"/>
      <c r="JIK275" s="580"/>
      <c r="JIL275" s="580"/>
      <c r="JIM275" s="580"/>
      <c r="JIN275" s="580"/>
      <c r="JIO275" s="580"/>
      <c r="JIP275" s="580"/>
      <c r="JIQ275" s="580"/>
      <c r="JIR275" s="580"/>
      <c r="JIS275" s="580"/>
      <c r="JIT275" s="580"/>
      <c r="JIU275" s="580"/>
      <c r="JIV275" s="580"/>
      <c r="JIW275" s="580"/>
      <c r="JIX275" s="580"/>
      <c r="JIY275" s="580"/>
      <c r="JIZ275" s="580"/>
      <c r="JJA275" s="580"/>
      <c r="JJB275" s="580"/>
      <c r="JJC275" s="580"/>
      <c r="JJD275" s="580"/>
      <c r="JJE275" s="580"/>
      <c r="JJF275" s="580"/>
      <c r="JJG275" s="580"/>
      <c r="JJH275" s="580"/>
      <c r="JJI275" s="580"/>
      <c r="JJJ275" s="580"/>
      <c r="JJK275" s="580"/>
      <c r="JJL275" s="580"/>
      <c r="JJM275" s="580"/>
      <c r="JJN275" s="580"/>
      <c r="JJO275" s="580"/>
      <c r="JJP275" s="580"/>
      <c r="JJQ275" s="580"/>
      <c r="JJR275" s="580"/>
      <c r="JJS275" s="580"/>
      <c r="JJT275" s="580"/>
      <c r="JJU275" s="580"/>
      <c r="JJV275" s="580"/>
      <c r="JJW275" s="580"/>
      <c r="JJX275" s="580"/>
      <c r="JJY275" s="580"/>
      <c r="JJZ275" s="580"/>
      <c r="JKA275" s="580"/>
      <c r="JKB275" s="580"/>
      <c r="JKC275" s="580"/>
      <c r="JKD275" s="580"/>
      <c r="JKE275" s="580"/>
      <c r="JKF275" s="580"/>
      <c r="JKG275" s="580"/>
      <c r="JKH275" s="580"/>
      <c r="JKI275" s="580"/>
      <c r="JKJ275" s="580"/>
      <c r="JKK275" s="580"/>
      <c r="JKL275" s="580"/>
      <c r="JKM275" s="580"/>
      <c r="JKN275" s="580"/>
      <c r="JKO275" s="580"/>
      <c r="JKP275" s="580"/>
      <c r="JKQ275" s="580"/>
      <c r="JKR275" s="580"/>
      <c r="JKS275" s="580"/>
      <c r="JKT275" s="580"/>
      <c r="JKU275" s="580"/>
      <c r="JKV275" s="580"/>
      <c r="JKW275" s="580"/>
      <c r="JKX275" s="580"/>
      <c r="JKY275" s="580"/>
      <c r="JKZ275" s="580"/>
      <c r="JLA275" s="580"/>
      <c r="JLB275" s="580"/>
      <c r="JLC275" s="580"/>
      <c r="JLD275" s="580"/>
      <c r="JLE275" s="580"/>
      <c r="JLF275" s="580"/>
      <c r="JLG275" s="580"/>
      <c r="JLH275" s="580"/>
      <c r="JLI275" s="580"/>
      <c r="JLJ275" s="580"/>
      <c r="JLK275" s="580"/>
      <c r="JLL275" s="580"/>
      <c r="JLM275" s="580"/>
      <c r="JLN275" s="580"/>
      <c r="JLO275" s="580"/>
      <c r="JLP275" s="580"/>
      <c r="JLQ275" s="580"/>
      <c r="JLR275" s="580"/>
      <c r="JLS275" s="580"/>
      <c r="JLT275" s="580"/>
      <c r="JLU275" s="580"/>
      <c r="JLV275" s="580"/>
      <c r="JLW275" s="580"/>
      <c r="JLX275" s="580"/>
      <c r="JLY275" s="580"/>
      <c r="JLZ275" s="580"/>
      <c r="JMA275" s="580"/>
      <c r="JMB275" s="580"/>
      <c r="JMC275" s="580"/>
      <c r="JMD275" s="580"/>
      <c r="JME275" s="580"/>
      <c r="JMF275" s="580"/>
      <c r="JMG275" s="580"/>
      <c r="JMH275" s="580"/>
      <c r="JMI275" s="580"/>
      <c r="JMJ275" s="580"/>
      <c r="JMK275" s="580"/>
      <c r="JML275" s="580"/>
      <c r="JMM275" s="580"/>
      <c r="JMN275" s="580"/>
      <c r="JMO275" s="580"/>
      <c r="JMP275" s="580"/>
      <c r="JMQ275" s="580"/>
      <c r="JMR275" s="580"/>
      <c r="JMS275" s="580"/>
      <c r="JMT275" s="580"/>
      <c r="JMU275" s="580"/>
      <c r="JMV275" s="580"/>
      <c r="JMW275" s="580"/>
      <c r="JMX275" s="580"/>
      <c r="JMY275" s="580"/>
      <c r="JMZ275" s="580"/>
      <c r="JNA275" s="580"/>
      <c r="JNB275" s="580"/>
      <c r="JNC275" s="580"/>
      <c r="JND275" s="580"/>
      <c r="JNE275" s="580"/>
      <c r="JNF275" s="580"/>
      <c r="JNG275" s="580"/>
      <c r="JNH275" s="580"/>
      <c r="JNI275" s="580"/>
      <c r="JNJ275" s="580"/>
      <c r="JNK275" s="580"/>
      <c r="JNL275" s="580"/>
      <c r="JNM275" s="580"/>
      <c r="JNN275" s="580"/>
      <c r="JNO275" s="580"/>
      <c r="JNP275" s="580"/>
      <c r="JNQ275" s="580"/>
      <c r="JNR275" s="580"/>
      <c r="JNS275" s="580"/>
      <c r="JNT275" s="580"/>
      <c r="JNU275" s="580"/>
      <c r="JNV275" s="580"/>
      <c r="JNW275" s="580"/>
      <c r="JNX275" s="580"/>
      <c r="JNY275" s="580"/>
      <c r="JNZ275" s="580"/>
      <c r="JOA275" s="580"/>
      <c r="JOB275" s="580"/>
      <c r="JOC275" s="580"/>
      <c r="JOD275" s="580"/>
      <c r="JOE275" s="580"/>
      <c r="JOF275" s="580"/>
      <c r="JOG275" s="580"/>
      <c r="JOH275" s="580"/>
      <c r="JOI275" s="580"/>
      <c r="JOJ275" s="580"/>
      <c r="JOK275" s="580"/>
      <c r="JOL275" s="580"/>
      <c r="JOM275" s="580"/>
      <c r="JON275" s="580"/>
      <c r="JOO275" s="580"/>
      <c r="JOP275" s="580"/>
      <c r="JOQ275" s="580"/>
      <c r="JOR275" s="580"/>
      <c r="JOS275" s="580"/>
      <c r="JOT275" s="580"/>
      <c r="JOU275" s="580"/>
      <c r="JOV275" s="580"/>
      <c r="JOW275" s="580"/>
      <c r="JOX275" s="580"/>
      <c r="JOY275" s="580"/>
      <c r="JOZ275" s="580"/>
      <c r="JPA275" s="580"/>
      <c r="JPB275" s="580"/>
      <c r="JPC275" s="580"/>
      <c r="JPD275" s="580"/>
      <c r="JPE275" s="580"/>
      <c r="JPF275" s="580"/>
      <c r="JPG275" s="580"/>
      <c r="JPH275" s="580"/>
      <c r="JPI275" s="580"/>
      <c r="JPJ275" s="580"/>
      <c r="JPK275" s="580"/>
      <c r="JPL275" s="580"/>
      <c r="JPM275" s="580"/>
      <c r="JPN275" s="580"/>
      <c r="JPO275" s="580"/>
      <c r="JPP275" s="580"/>
      <c r="JPQ275" s="580"/>
      <c r="JPR275" s="580"/>
      <c r="JPS275" s="580"/>
      <c r="JPT275" s="580"/>
      <c r="JPU275" s="580"/>
      <c r="JPV275" s="580"/>
      <c r="JPW275" s="580"/>
      <c r="JPX275" s="580"/>
      <c r="JPY275" s="580"/>
      <c r="JPZ275" s="580"/>
      <c r="JQA275" s="580"/>
      <c r="JQB275" s="580"/>
      <c r="JQC275" s="580"/>
      <c r="JQD275" s="580"/>
      <c r="JQE275" s="580"/>
      <c r="JQF275" s="580"/>
      <c r="JQG275" s="580"/>
      <c r="JQH275" s="580"/>
      <c r="JQI275" s="580"/>
      <c r="JQJ275" s="580"/>
      <c r="JQK275" s="580"/>
      <c r="JQL275" s="580"/>
      <c r="JQM275" s="580"/>
      <c r="JQN275" s="580"/>
      <c r="JQO275" s="580"/>
      <c r="JQP275" s="580"/>
      <c r="JQQ275" s="580"/>
      <c r="JQR275" s="580"/>
      <c r="JQS275" s="580"/>
      <c r="JQT275" s="580"/>
      <c r="JQU275" s="580"/>
      <c r="JQV275" s="580"/>
      <c r="JQW275" s="580"/>
      <c r="JQX275" s="580"/>
      <c r="JQY275" s="580"/>
      <c r="JQZ275" s="580"/>
      <c r="JRA275" s="580"/>
      <c r="JRB275" s="580"/>
      <c r="JRC275" s="580"/>
      <c r="JRD275" s="580"/>
      <c r="JRE275" s="580"/>
      <c r="JRF275" s="580"/>
      <c r="JRG275" s="580"/>
      <c r="JRH275" s="580"/>
      <c r="JRI275" s="580"/>
      <c r="JRJ275" s="580"/>
      <c r="JRK275" s="580"/>
      <c r="JRL275" s="580"/>
      <c r="JRM275" s="580"/>
      <c r="JRN275" s="580"/>
      <c r="JRO275" s="580"/>
      <c r="JRP275" s="580"/>
      <c r="JRQ275" s="580"/>
      <c r="JRR275" s="580"/>
      <c r="JRS275" s="580"/>
      <c r="JRT275" s="580"/>
      <c r="JRU275" s="580"/>
      <c r="JRV275" s="580"/>
      <c r="JRW275" s="580"/>
      <c r="JRX275" s="580"/>
      <c r="JRY275" s="580"/>
      <c r="JRZ275" s="580"/>
      <c r="JSA275" s="580"/>
      <c r="JSB275" s="580"/>
      <c r="JSC275" s="580"/>
      <c r="JSD275" s="580"/>
      <c r="JSE275" s="580"/>
      <c r="JSF275" s="580"/>
      <c r="JSG275" s="580"/>
      <c r="JSH275" s="580"/>
      <c r="JSI275" s="580"/>
      <c r="JSJ275" s="580"/>
      <c r="JSK275" s="580"/>
      <c r="JSL275" s="580"/>
      <c r="JSM275" s="580"/>
      <c r="JSN275" s="580"/>
      <c r="JSO275" s="580"/>
      <c r="JSP275" s="580"/>
      <c r="JSQ275" s="580"/>
      <c r="JSR275" s="580"/>
      <c r="JSS275" s="580"/>
      <c r="JST275" s="580"/>
      <c r="JSU275" s="580"/>
      <c r="JSV275" s="580"/>
      <c r="JSW275" s="580"/>
      <c r="JSX275" s="580"/>
      <c r="JSY275" s="580"/>
      <c r="JSZ275" s="580"/>
      <c r="JTA275" s="580"/>
      <c r="JTB275" s="580"/>
      <c r="JTC275" s="580"/>
      <c r="JTD275" s="580"/>
      <c r="JTE275" s="580"/>
      <c r="JTF275" s="580"/>
      <c r="JTG275" s="580"/>
      <c r="JTH275" s="580"/>
      <c r="JTI275" s="580"/>
      <c r="JTJ275" s="580"/>
      <c r="JTK275" s="580"/>
      <c r="JTL275" s="580"/>
      <c r="JTM275" s="580"/>
      <c r="JTN275" s="580"/>
      <c r="JTO275" s="580"/>
      <c r="JTP275" s="580"/>
      <c r="JTQ275" s="580"/>
      <c r="JTR275" s="580"/>
      <c r="JTS275" s="580"/>
      <c r="JTT275" s="580"/>
      <c r="JTU275" s="580"/>
      <c r="JTV275" s="580"/>
      <c r="JTW275" s="580"/>
      <c r="JTX275" s="580"/>
      <c r="JTY275" s="580"/>
      <c r="JTZ275" s="580"/>
      <c r="JUA275" s="580"/>
      <c r="JUB275" s="580"/>
      <c r="JUC275" s="580"/>
      <c r="JUD275" s="580"/>
      <c r="JUE275" s="580"/>
      <c r="JUF275" s="580"/>
      <c r="JUG275" s="580"/>
      <c r="JUH275" s="580"/>
      <c r="JUI275" s="580"/>
      <c r="JUJ275" s="580"/>
      <c r="JUK275" s="580"/>
      <c r="JUL275" s="580"/>
      <c r="JUM275" s="580"/>
      <c r="JUN275" s="580"/>
      <c r="JUO275" s="580"/>
      <c r="JUP275" s="580"/>
      <c r="JUQ275" s="580"/>
      <c r="JUR275" s="580"/>
      <c r="JUS275" s="580"/>
      <c r="JUT275" s="580"/>
      <c r="JUU275" s="580"/>
      <c r="JUV275" s="580"/>
      <c r="JUW275" s="580"/>
      <c r="JUX275" s="580"/>
      <c r="JUY275" s="580"/>
      <c r="JUZ275" s="580"/>
      <c r="JVA275" s="580"/>
      <c r="JVB275" s="580"/>
      <c r="JVC275" s="580"/>
      <c r="JVD275" s="580"/>
      <c r="JVE275" s="580"/>
      <c r="JVF275" s="580"/>
      <c r="JVG275" s="580"/>
      <c r="JVH275" s="580"/>
      <c r="JVI275" s="580"/>
      <c r="JVJ275" s="580"/>
      <c r="JVK275" s="580"/>
      <c r="JVL275" s="580"/>
      <c r="JVM275" s="580"/>
      <c r="JVN275" s="580"/>
      <c r="JVO275" s="580"/>
      <c r="JVP275" s="580"/>
      <c r="JVQ275" s="580"/>
      <c r="JVR275" s="580"/>
      <c r="JVS275" s="580"/>
      <c r="JVT275" s="580"/>
      <c r="JVU275" s="580"/>
      <c r="JVV275" s="580"/>
      <c r="JVW275" s="580"/>
      <c r="JVX275" s="580"/>
      <c r="JVY275" s="580"/>
      <c r="JVZ275" s="580"/>
      <c r="JWA275" s="580"/>
      <c r="JWB275" s="580"/>
      <c r="JWC275" s="580"/>
      <c r="JWD275" s="580"/>
      <c r="JWE275" s="580"/>
      <c r="JWF275" s="580"/>
      <c r="JWG275" s="580"/>
      <c r="JWH275" s="580"/>
      <c r="JWI275" s="580"/>
      <c r="JWJ275" s="580"/>
      <c r="JWK275" s="580"/>
      <c r="JWL275" s="580"/>
      <c r="JWM275" s="580"/>
      <c r="JWN275" s="580"/>
      <c r="JWO275" s="580"/>
      <c r="JWP275" s="580"/>
      <c r="JWQ275" s="580"/>
      <c r="JWR275" s="580"/>
      <c r="JWS275" s="580"/>
      <c r="JWT275" s="580"/>
      <c r="JWU275" s="580"/>
      <c r="JWV275" s="580"/>
      <c r="JWW275" s="580"/>
      <c r="JWX275" s="580"/>
      <c r="JWY275" s="580"/>
      <c r="JWZ275" s="580"/>
      <c r="JXA275" s="580"/>
      <c r="JXB275" s="580"/>
      <c r="JXC275" s="580"/>
      <c r="JXD275" s="580"/>
      <c r="JXE275" s="580"/>
      <c r="JXF275" s="580"/>
      <c r="JXG275" s="580"/>
      <c r="JXH275" s="580"/>
      <c r="JXI275" s="580"/>
      <c r="JXJ275" s="580"/>
      <c r="JXK275" s="580"/>
      <c r="JXL275" s="580"/>
      <c r="JXM275" s="580"/>
      <c r="JXN275" s="580"/>
      <c r="JXO275" s="580"/>
      <c r="JXP275" s="580"/>
      <c r="JXQ275" s="580"/>
      <c r="JXR275" s="580"/>
      <c r="JXS275" s="580"/>
      <c r="JXT275" s="580"/>
      <c r="JXU275" s="580"/>
      <c r="JXV275" s="580"/>
      <c r="JXW275" s="580"/>
      <c r="JXX275" s="580"/>
      <c r="JXY275" s="580"/>
      <c r="JXZ275" s="580"/>
      <c r="JYA275" s="580"/>
      <c r="JYB275" s="580"/>
      <c r="JYC275" s="580"/>
      <c r="JYD275" s="580"/>
      <c r="JYE275" s="580"/>
      <c r="JYF275" s="580"/>
      <c r="JYG275" s="580"/>
      <c r="JYH275" s="580"/>
      <c r="JYI275" s="580"/>
      <c r="JYJ275" s="580"/>
      <c r="JYK275" s="580"/>
      <c r="JYL275" s="580"/>
      <c r="JYM275" s="580"/>
      <c r="JYN275" s="580"/>
      <c r="JYO275" s="580"/>
      <c r="JYP275" s="580"/>
      <c r="JYQ275" s="580"/>
      <c r="JYR275" s="580"/>
      <c r="JYS275" s="580"/>
      <c r="JYT275" s="580"/>
      <c r="JYU275" s="580"/>
      <c r="JYV275" s="580"/>
      <c r="JYW275" s="580"/>
      <c r="JYX275" s="580"/>
      <c r="JYY275" s="580"/>
      <c r="JYZ275" s="580"/>
      <c r="JZA275" s="580"/>
      <c r="JZB275" s="580"/>
      <c r="JZC275" s="580"/>
      <c r="JZD275" s="580"/>
      <c r="JZE275" s="580"/>
      <c r="JZF275" s="580"/>
      <c r="JZG275" s="580"/>
      <c r="JZH275" s="580"/>
      <c r="JZI275" s="580"/>
      <c r="JZJ275" s="580"/>
      <c r="JZK275" s="580"/>
      <c r="JZL275" s="580"/>
      <c r="JZM275" s="580"/>
      <c r="JZN275" s="580"/>
      <c r="JZO275" s="580"/>
      <c r="JZP275" s="580"/>
      <c r="JZQ275" s="580"/>
      <c r="JZR275" s="580"/>
      <c r="JZS275" s="580"/>
      <c r="JZT275" s="580"/>
      <c r="JZU275" s="580"/>
      <c r="JZV275" s="580"/>
      <c r="JZW275" s="580"/>
      <c r="JZX275" s="580"/>
      <c r="JZY275" s="580"/>
      <c r="JZZ275" s="580"/>
      <c r="KAA275" s="580"/>
      <c r="KAB275" s="580"/>
      <c r="KAC275" s="580"/>
      <c r="KAD275" s="580"/>
      <c r="KAE275" s="580"/>
      <c r="KAF275" s="580"/>
      <c r="KAG275" s="580"/>
      <c r="KAH275" s="580"/>
      <c r="KAI275" s="580"/>
      <c r="KAJ275" s="580"/>
      <c r="KAK275" s="580"/>
      <c r="KAL275" s="580"/>
      <c r="KAM275" s="580"/>
      <c r="KAN275" s="580"/>
      <c r="KAO275" s="580"/>
      <c r="KAP275" s="580"/>
      <c r="KAQ275" s="580"/>
      <c r="KAR275" s="580"/>
      <c r="KAS275" s="580"/>
      <c r="KAT275" s="580"/>
      <c r="KAU275" s="580"/>
      <c r="KAV275" s="580"/>
      <c r="KAW275" s="580"/>
      <c r="KAX275" s="580"/>
      <c r="KAY275" s="580"/>
      <c r="KAZ275" s="580"/>
      <c r="KBA275" s="580"/>
      <c r="KBB275" s="580"/>
      <c r="KBC275" s="580"/>
      <c r="KBD275" s="580"/>
      <c r="KBE275" s="580"/>
      <c r="KBF275" s="580"/>
      <c r="KBG275" s="580"/>
      <c r="KBH275" s="580"/>
      <c r="KBI275" s="580"/>
      <c r="KBJ275" s="580"/>
      <c r="KBK275" s="580"/>
      <c r="KBL275" s="580"/>
      <c r="KBM275" s="580"/>
      <c r="KBN275" s="580"/>
      <c r="KBO275" s="580"/>
      <c r="KBP275" s="580"/>
      <c r="KBQ275" s="580"/>
      <c r="KBR275" s="580"/>
      <c r="KBS275" s="580"/>
      <c r="KBT275" s="580"/>
      <c r="KBU275" s="580"/>
      <c r="KBV275" s="580"/>
      <c r="KBW275" s="580"/>
      <c r="KBX275" s="580"/>
      <c r="KBY275" s="580"/>
      <c r="KBZ275" s="580"/>
      <c r="KCA275" s="580"/>
      <c r="KCB275" s="580"/>
      <c r="KCC275" s="580"/>
      <c r="KCD275" s="580"/>
      <c r="KCE275" s="580"/>
      <c r="KCF275" s="580"/>
      <c r="KCG275" s="580"/>
      <c r="KCH275" s="580"/>
      <c r="KCI275" s="580"/>
      <c r="KCJ275" s="580"/>
      <c r="KCK275" s="580"/>
      <c r="KCL275" s="580"/>
      <c r="KCM275" s="580"/>
      <c r="KCN275" s="580"/>
      <c r="KCO275" s="580"/>
      <c r="KCP275" s="580"/>
      <c r="KCQ275" s="580"/>
      <c r="KCR275" s="580"/>
      <c r="KCS275" s="580"/>
      <c r="KCT275" s="580"/>
      <c r="KCU275" s="580"/>
      <c r="KCV275" s="580"/>
      <c r="KCW275" s="580"/>
      <c r="KCX275" s="580"/>
      <c r="KCY275" s="580"/>
      <c r="KCZ275" s="580"/>
      <c r="KDA275" s="580"/>
      <c r="KDB275" s="580"/>
      <c r="KDC275" s="580"/>
      <c r="KDD275" s="580"/>
      <c r="KDE275" s="580"/>
      <c r="KDF275" s="580"/>
      <c r="KDG275" s="580"/>
      <c r="KDH275" s="580"/>
      <c r="KDI275" s="580"/>
      <c r="KDJ275" s="580"/>
      <c r="KDK275" s="580"/>
      <c r="KDL275" s="580"/>
      <c r="KDM275" s="580"/>
      <c r="KDN275" s="580"/>
      <c r="KDO275" s="580"/>
      <c r="KDP275" s="580"/>
      <c r="KDQ275" s="580"/>
      <c r="KDR275" s="580"/>
      <c r="KDS275" s="580"/>
      <c r="KDT275" s="580"/>
      <c r="KDU275" s="580"/>
      <c r="KDV275" s="580"/>
      <c r="KDW275" s="580"/>
      <c r="KDX275" s="580"/>
      <c r="KDY275" s="580"/>
      <c r="KDZ275" s="580"/>
      <c r="KEA275" s="580"/>
      <c r="KEB275" s="580"/>
      <c r="KEC275" s="580"/>
      <c r="KED275" s="580"/>
      <c r="KEE275" s="580"/>
      <c r="KEF275" s="580"/>
      <c r="KEG275" s="580"/>
      <c r="KEH275" s="580"/>
      <c r="KEI275" s="580"/>
      <c r="KEJ275" s="580"/>
      <c r="KEK275" s="580"/>
      <c r="KEL275" s="580"/>
      <c r="KEM275" s="580"/>
      <c r="KEN275" s="580"/>
      <c r="KEO275" s="580"/>
      <c r="KEP275" s="580"/>
      <c r="KEQ275" s="580"/>
      <c r="KER275" s="580"/>
      <c r="KES275" s="580"/>
      <c r="KET275" s="580"/>
      <c r="KEU275" s="580"/>
      <c r="KEV275" s="580"/>
      <c r="KEW275" s="580"/>
      <c r="KEX275" s="580"/>
      <c r="KEY275" s="580"/>
      <c r="KEZ275" s="580"/>
      <c r="KFA275" s="580"/>
      <c r="KFB275" s="580"/>
      <c r="KFC275" s="580"/>
      <c r="KFD275" s="580"/>
      <c r="KFE275" s="580"/>
      <c r="KFF275" s="580"/>
      <c r="KFG275" s="580"/>
      <c r="KFH275" s="580"/>
      <c r="KFI275" s="580"/>
      <c r="KFJ275" s="580"/>
      <c r="KFK275" s="580"/>
      <c r="KFL275" s="580"/>
      <c r="KFM275" s="580"/>
      <c r="KFN275" s="580"/>
      <c r="KFO275" s="580"/>
      <c r="KFP275" s="580"/>
      <c r="KFQ275" s="580"/>
      <c r="KFR275" s="580"/>
      <c r="KFS275" s="580"/>
      <c r="KFT275" s="580"/>
      <c r="KFU275" s="580"/>
      <c r="KFV275" s="580"/>
      <c r="KFW275" s="580"/>
      <c r="KFX275" s="580"/>
      <c r="KFY275" s="580"/>
      <c r="KFZ275" s="580"/>
      <c r="KGA275" s="580"/>
      <c r="KGB275" s="580"/>
      <c r="KGC275" s="580"/>
      <c r="KGD275" s="580"/>
      <c r="KGE275" s="580"/>
      <c r="KGF275" s="580"/>
      <c r="KGG275" s="580"/>
      <c r="KGH275" s="580"/>
      <c r="KGI275" s="580"/>
      <c r="KGJ275" s="580"/>
      <c r="KGK275" s="580"/>
      <c r="KGL275" s="580"/>
      <c r="KGM275" s="580"/>
      <c r="KGN275" s="580"/>
      <c r="KGO275" s="580"/>
      <c r="KGP275" s="580"/>
      <c r="KGQ275" s="580"/>
      <c r="KGR275" s="580"/>
      <c r="KGS275" s="580"/>
      <c r="KGT275" s="580"/>
      <c r="KGU275" s="580"/>
      <c r="KGV275" s="580"/>
      <c r="KGW275" s="580"/>
      <c r="KGX275" s="580"/>
      <c r="KGY275" s="580"/>
      <c r="KGZ275" s="580"/>
      <c r="KHA275" s="580"/>
      <c r="KHB275" s="580"/>
      <c r="KHC275" s="580"/>
      <c r="KHD275" s="580"/>
      <c r="KHE275" s="580"/>
      <c r="KHF275" s="580"/>
      <c r="KHG275" s="580"/>
      <c r="KHH275" s="580"/>
      <c r="KHI275" s="580"/>
      <c r="KHJ275" s="580"/>
      <c r="KHK275" s="580"/>
      <c r="KHL275" s="580"/>
      <c r="KHM275" s="580"/>
      <c r="KHN275" s="580"/>
      <c r="KHO275" s="580"/>
      <c r="KHP275" s="580"/>
      <c r="KHQ275" s="580"/>
      <c r="KHR275" s="580"/>
      <c r="KHS275" s="580"/>
      <c r="KHT275" s="580"/>
      <c r="KHU275" s="580"/>
      <c r="KHV275" s="580"/>
      <c r="KHW275" s="580"/>
      <c r="KHX275" s="580"/>
      <c r="KHY275" s="580"/>
      <c r="KHZ275" s="580"/>
      <c r="KIA275" s="580"/>
      <c r="KIB275" s="580"/>
      <c r="KIC275" s="580"/>
      <c r="KID275" s="580"/>
      <c r="KIE275" s="580"/>
      <c r="KIF275" s="580"/>
      <c r="KIG275" s="580"/>
      <c r="KIH275" s="580"/>
      <c r="KII275" s="580"/>
      <c r="KIJ275" s="580"/>
      <c r="KIK275" s="580"/>
      <c r="KIL275" s="580"/>
      <c r="KIM275" s="580"/>
      <c r="KIN275" s="580"/>
      <c r="KIO275" s="580"/>
      <c r="KIP275" s="580"/>
      <c r="KIQ275" s="580"/>
      <c r="KIR275" s="580"/>
      <c r="KIS275" s="580"/>
      <c r="KIT275" s="580"/>
      <c r="KIU275" s="580"/>
      <c r="KIV275" s="580"/>
      <c r="KIW275" s="580"/>
      <c r="KIX275" s="580"/>
      <c r="KIY275" s="580"/>
      <c r="KIZ275" s="580"/>
      <c r="KJA275" s="580"/>
      <c r="KJB275" s="580"/>
      <c r="KJC275" s="580"/>
      <c r="KJD275" s="580"/>
      <c r="KJE275" s="580"/>
      <c r="KJF275" s="580"/>
      <c r="KJG275" s="580"/>
      <c r="KJH275" s="580"/>
      <c r="KJI275" s="580"/>
      <c r="KJJ275" s="580"/>
      <c r="KJK275" s="580"/>
      <c r="KJL275" s="580"/>
      <c r="KJM275" s="580"/>
      <c r="KJN275" s="580"/>
      <c r="KJO275" s="580"/>
      <c r="KJP275" s="580"/>
      <c r="KJQ275" s="580"/>
      <c r="KJR275" s="580"/>
      <c r="KJS275" s="580"/>
      <c r="KJT275" s="580"/>
      <c r="KJU275" s="580"/>
      <c r="KJV275" s="580"/>
      <c r="KJW275" s="580"/>
      <c r="KJX275" s="580"/>
      <c r="KJY275" s="580"/>
      <c r="KJZ275" s="580"/>
      <c r="KKA275" s="580"/>
      <c r="KKB275" s="580"/>
      <c r="KKC275" s="580"/>
      <c r="KKD275" s="580"/>
      <c r="KKE275" s="580"/>
      <c r="KKF275" s="580"/>
      <c r="KKG275" s="580"/>
      <c r="KKH275" s="580"/>
      <c r="KKI275" s="580"/>
      <c r="KKJ275" s="580"/>
      <c r="KKK275" s="580"/>
      <c r="KKL275" s="580"/>
      <c r="KKM275" s="580"/>
      <c r="KKN275" s="580"/>
      <c r="KKO275" s="580"/>
      <c r="KKP275" s="580"/>
      <c r="KKQ275" s="580"/>
      <c r="KKR275" s="580"/>
      <c r="KKS275" s="580"/>
      <c r="KKT275" s="580"/>
      <c r="KKU275" s="580"/>
      <c r="KKV275" s="580"/>
      <c r="KKW275" s="580"/>
      <c r="KKX275" s="580"/>
      <c r="KKY275" s="580"/>
      <c r="KKZ275" s="580"/>
      <c r="KLA275" s="580"/>
      <c r="KLB275" s="580"/>
      <c r="KLC275" s="580"/>
      <c r="KLD275" s="580"/>
      <c r="KLE275" s="580"/>
      <c r="KLF275" s="580"/>
      <c r="KLG275" s="580"/>
      <c r="KLH275" s="580"/>
      <c r="KLI275" s="580"/>
      <c r="KLJ275" s="580"/>
      <c r="KLK275" s="580"/>
      <c r="KLL275" s="580"/>
      <c r="KLM275" s="580"/>
      <c r="KLN275" s="580"/>
      <c r="KLO275" s="580"/>
      <c r="KLP275" s="580"/>
      <c r="KLQ275" s="580"/>
      <c r="KLR275" s="580"/>
      <c r="KLS275" s="580"/>
      <c r="KLT275" s="580"/>
      <c r="KLU275" s="580"/>
      <c r="KLV275" s="580"/>
      <c r="KLW275" s="580"/>
      <c r="KLX275" s="580"/>
      <c r="KLY275" s="580"/>
      <c r="KLZ275" s="580"/>
      <c r="KMA275" s="580"/>
      <c r="KMB275" s="580"/>
      <c r="KMC275" s="580"/>
      <c r="KMD275" s="580"/>
      <c r="KME275" s="580"/>
      <c r="KMF275" s="580"/>
      <c r="KMG275" s="580"/>
      <c r="KMH275" s="580"/>
      <c r="KMI275" s="580"/>
      <c r="KMJ275" s="580"/>
      <c r="KMK275" s="580"/>
      <c r="KML275" s="580"/>
      <c r="KMM275" s="580"/>
      <c r="KMN275" s="580"/>
      <c r="KMO275" s="580"/>
      <c r="KMP275" s="580"/>
      <c r="KMQ275" s="580"/>
      <c r="KMR275" s="580"/>
      <c r="KMS275" s="580"/>
      <c r="KMT275" s="580"/>
      <c r="KMU275" s="580"/>
      <c r="KMV275" s="580"/>
      <c r="KMW275" s="580"/>
      <c r="KMX275" s="580"/>
      <c r="KMY275" s="580"/>
      <c r="KMZ275" s="580"/>
      <c r="KNA275" s="580"/>
      <c r="KNB275" s="580"/>
      <c r="KNC275" s="580"/>
      <c r="KND275" s="580"/>
      <c r="KNE275" s="580"/>
      <c r="KNF275" s="580"/>
      <c r="KNG275" s="580"/>
      <c r="KNH275" s="580"/>
      <c r="KNI275" s="580"/>
      <c r="KNJ275" s="580"/>
      <c r="KNK275" s="580"/>
      <c r="KNL275" s="580"/>
      <c r="KNM275" s="580"/>
      <c r="KNN275" s="580"/>
      <c r="KNO275" s="580"/>
      <c r="KNP275" s="580"/>
      <c r="KNQ275" s="580"/>
      <c r="KNR275" s="580"/>
      <c r="KNS275" s="580"/>
      <c r="KNT275" s="580"/>
      <c r="KNU275" s="580"/>
      <c r="KNV275" s="580"/>
      <c r="KNW275" s="580"/>
      <c r="KNX275" s="580"/>
      <c r="KNY275" s="580"/>
      <c r="KNZ275" s="580"/>
      <c r="KOA275" s="580"/>
      <c r="KOB275" s="580"/>
      <c r="KOC275" s="580"/>
      <c r="KOD275" s="580"/>
      <c r="KOE275" s="580"/>
      <c r="KOF275" s="580"/>
      <c r="KOG275" s="580"/>
      <c r="KOH275" s="580"/>
      <c r="KOI275" s="580"/>
      <c r="KOJ275" s="580"/>
      <c r="KOK275" s="580"/>
      <c r="KOL275" s="580"/>
      <c r="KOM275" s="580"/>
      <c r="KON275" s="580"/>
      <c r="KOO275" s="580"/>
      <c r="KOP275" s="580"/>
      <c r="KOQ275" s="580"/>
      <c r="KOR275" s="580"/>
      <c r="KOS275" s="580"/>
      <c r="KOT275" s="580"/>
      <c r="KOU275" s="580"/>
      <c r="KOV275" s="580"/>
      <c r="KOW275" s="580"/>
      <c r="KOX275" s="580"/>
      <c r="KOY275" s="580"/>
      <c r="KOZ275" s="580"/>
      <c r="KPA275" s="580"/>
      <c r="KPB275" s="580"/>
      <c r="KPC275" s="580"/>
      <c r="KPD275" s="580"/>
      <c r="KPE275" s="580"/>
      <c r="KPF275" s="580"/>
      <c r="KPG275" s="580"/>
      <c r="KPH275" s="580"/>
      <c r="KPI275" s="580"/>
      <c r="KPJ275" s="580"/>
      <c r="KPK275" s="580"/>
      <c r="KPL275" s="580"/>
      <c r="KPM275" s="580"/>
      <c r="KPN275" s="580"/>
      <c r="KPO275" s="580"/>
      <c r="KPP275" s="580"/>
      <c r="KPQ275" s="580"/>
      <c r="KPR275" s="580"/>
      <c r="KPS275" s="580"/>
      <c r="KPT275" s="580"/>
      <c r="KPU275" s="580"/>
      <c r="KPV275" s="580"/>
      <c r="KPW275" s="580"/>
      <c r="KPX275" s="580"/>
      <c r="KPY275" s="580"/>
      <c r="KPZ275" s="580"/>
      <c r="KQA275" s="580"/>
      <c r="KQB275" s="580"/>
      <c r="KQC275" s="580"/>
      <c r="KQD275" s="580"/>
      <c r="KQE275" s="580"/>
      <c r="KQF275" s="580"/>
      <c r="KQG275" s="580"/>
      <c r="KQH275" s="580"/>
      <c r="KQI275" s="580"/>
      <c r="KQJ275" s="580"/>
      <c r="KQK275" s="580"/>
      <c r="KQL275" s="580"/>
      <c r="KQM275" s="580"/>
      <c r="KQN275" s="580"/>
      <c r="KQO275" s="580"/>
      <c r="KQP275" s="580"/>
      <c r="KQQ275" s="580"/>
      <c r="KQR275" s="580"/>
      <c r="KQS275" s="580"/>
      <c r="KQT275" s="580"/>
      <c r="KQU275" s="580"/>
      <c r="KQV275" s="580"/>
      <c r="KQW275" s="580"/>
      <c r="KQX275" s="580"/>
      <c r="KQY275" s="580"/>
      <c r="KQZ275" s="580"/>
      <c r="KRA275" s="580"/>
      <c r="KRB275" s="580"/>
      <c r="KRC275" s="580"/>
      <c r="KRD275" s="580"/>
      <c r="KRE275" s="580"/>
      <c r="KRF275" s="580"/>
      <c r="KRG275" s="580"/>
      <c r="KRH275" s="580"/>
      <c r="KRI275" s="580"/>
      <c r="KRJ275" s="580"/>
      <c r="KRK275" s="580"/>
      <c r="KRL275" s="580"/>
      <c r="KRM275" s="580"/>
      <c r="KRN275" s="580"/>
      <c r="KRO275" s="580"/>
      <c r="KRP275" s="580"/>
      <c r="KRQ275" s="580"/>
      <c r="KRR275" s="580"/>
      <c r="KRS275" s="580"/>
      <c r="KRT275" s="580"/>
      <c r="KRU275" s="580"/>
      <c r="KRV275" s="580"/>
      <c r="KRW275" s="580"/>
      <c r="KRX275" s="580"/>
      <c r="KRY275" s="580"/>
      <c r="KRZ275" s="580"/>
      <c r="KSA275" s="580"/>
      <c r="KSB275" s="580"/>
      <c r="KSC275" s="580"/>
      <c r="KSD275" s="580"/>
      <c r="KSE275" s="580"/>
      <c r="KSF275" s="580"/>
      <c r="KSG275" s="580"/>
      <c r="KSH275" s="580"/>
      <c r="KSI275" s="580"/>
      <c r="KSJ275" s="580"/>
      <c r="KSK275" s="580"/>
      <c r="KSL275" s="580"/>
      <c r="KSM275" s="580"/>
      <c r="KSN275" s="580"/>
      <c r="KSO275" s="580"/>
      <c r="KSP275" s="580"/>
      <c r="KSQ275" s="580"/>
      <c r="KSR275" s="580"/>
      <c r="KSS275" s="580"/>
      <c r="KST275" s="580"/>
      <c r="KSU275" s="580"/>
      <c r="KSV275" s="580"/>
      <c r="KSW275" s="580"/>
      <c r="KSX275" s="580"/>
      <c r="KSY275" s="580"/>
      <c r="KSZ275" s="580"/>
      <c r="KTA275" s="580"/>
      <c r="KTB275" s="580"/>
      <c r="KTC275" s="580"/>
      <c r="KTD275" s="580"/>
      <c r="KTE275" s="580"/>
      <c r="KTF275" s="580"/>
      <c r="KTG275" s="580"/>
      <c r="KTH275" s="580"/>
      <c r="KTI275" s="580"/>
      <c r="KTJ275" s="580"/>
      <c r="KTK275" s="580"/>
      <c r="KTL275" s="580"/>
      <c r="KTM275" s="580"/>
      <c r="KTN275" s="580"/>
      <c r="KTO275" s="580"/>
      <c r="KTP275" s="580"/>
      <c r="KTQ275" s="580"/>
      <c r="KTR275" s="580"/>
      <c r="KTS275" s="580"/>
      <c r="KTT275" s="580"/>
      <c r="KTU275" s="580"/>
      <c r="KTV275" s="580"/>
      <c r="KTW275" s="580"/>
      <c r="KTX275" s="580"/>
      <c r="KTY275" s="580"/>
      <c r="KTZ275" s="580"/>
      <c r="KUA275" s="580"/>
      <c r="KUB275" s="580"/>
      <c r="KUC275" s="580"/>
      <c r="KUD275" s="580"/>
      <c r="KUE275" s="580"/>
      <c r="KUF275" s="580"/>
      <c r="KUG275" s="580"/>
      <c r="KUH275" s="580"/>
      <c r="KUI275" s="580"/>
      <c r="KUJ275" s="580"/>
      <c r="KUK275" s="580"/>
      <c r="KUL275" s="580"/>
      <c r="KUM275" s="580"/>
      <c r="KUN275" s="580"/>
      <c r="KUO275" s="580"/>
      <c r="KUP275" s="580"/>
      <c r="KUQ275" s="580"/>
      <c r="KUR275" s="580"/>
      <c r="KUS275" s="580"/>
      <c r="KUT275" s="580"/>
      <c r="KUU275" s="580"/>
      <c r="KUV275" s="580"/>
      <c r="KUW275" s="580"/>
      <c r="KUX275" s="580"/>
      <c r="KUY275" s="580"/>
      <c r="KUZ275" s="580"/>
      <c r="KVA275" s="580"/>
      <c r="KVB275" s="580"/>
      <c r="KVC275" s="580"/>
      <c r="KVD275" s="580"/>
      <c r="KVE275" s="580"/>
      <c r="KVF275" s="580"/>
      <c r="KVG275" s="580"/>
      <c r="KVH275" s="580"/>
      <c r="KVI275" s="580"/>
      <c r="KVJ275" s="580"/>
      <c r="KVK275" s="580"/>
      <c r="KVL275" s="580"/>
      <c r="KVM275" s="580"/>
      <c r="KVN275" s="580"/>
      <c r="KVO275" s="580"/>
      <c r="KVP275" s="580"/>
      <c r="KVQ275" s="580"/>
      <c r="KVR275" s="580"/>
      <c r="KVS275" s="580"/>
      <c r="KVT275" s="580"/>
      <c r="KVU275" s="580"/>
      <c r="KVV275" s="580"/>
      <c r="KVW275" s="580"/>
      <c r="KVX275" s="580"/>
      <c r="KVY275" s="580"/>
      <c r="KVZ275" s="580"/>
      <c r="KWA275" s="580"/>
      <c r="KWB275" s="580"/>
      <c r="KWC275" s="580"/>
      <c r="KWD275" s="580"/>
      <c r="KWE275" s="580"/>
      <c r="KWF275" s="580"/>
      <c r="KWG275" s="580"/>
      <c r="KWH275" s="580"/>
      <c r="KWI275" s="580"/>
      <c r="KWJ275" s="580"/>
      <c r="KWK275" s="580"/>
      <c r="KWL275" s="580"/>
      <c r="KWM275" s="580"/>
      <c r="KWN275" s="580"/>
      <c r="KWO275" s="580"/>
      <c r="KWP275" s="580"/>
      <c r="KWQ275" s="580"/>
      <c r="KWR275" s="580"/>
      <c r="KWS275" s="580"/>
      <c r="KWT275" s="580"/>
      <c r="KWU275" s="580"/>
      <c r="KWV275" s="580"/>
      <c r="KWW275" s="580"/>
      <c r="KWX275" s="580"/>
      <c r="KWY275" s="580"/>
      <c r="KWZ275" s="580"/>
      <c r="KXA275" s="580"/>
      <c r="KXB275" s="580"/>
      <c r="KXC275" s="580"/>
      <c r="KXD275" s="580"/>
      <c r="KXE275" s="580"/>
      <c r="KXF275" s="580"/>
      <c r="KXG275" s="580"/>
      <c r="KXH275" s="580"/>
      <c r="KXI275" s="580"/>
      <c r="KXJ275" s="580"/>
      <c r="KXK275" s="580"/>
      <c r="KXL275" s="580"/>
      <c r="KXM275" s="580"/>
      <c r="KXN275" s="580"/>
      <c r="KXO275" s="580"/>
      <c r="KXP275" s="580"/>
      <c r="KXQ275" s="580"/>
      <c r="KXR275" s="580"/>
      <c r="KXS275" s="580"/>
      <c r="KXT275" s="580"/>
      <c r="KXU275" s="580"/>
      <c r="KXV275" s="580"/>
      <c r="KXW275" s="580"/>
      <c r="KXX275" s="580"/>
      <c r="KXY275" s="580"/>
      <c r="KXZ275" s="580"/>
      <c r="KYA275" s="580"/>
      <c r="KYB275" s="580"/>
      <c r="KYC275" s="580"/>
      <c r="KYD275" s="580"/>
      <c r="KYE275" s="580"/>
      <c r="KYF275" s="580"/>
      <c r="KYG275" s="580"/>
      <c r="KYH275" s="580"/>
      <c r="KYI275" s="580"/>
      <c r="KYJ275" s="580"/>
      <c r="KYK275" s="580"/>
      <c r="KYL275" s="580"/>
      <c r="KYM275" s="580"/>
      <c r="KYN275" s="580"/>
      <c r="KYO275" s="580"/>
      <c r="KYP275" s="580"/>
      <c r="KYQ275" s="580"/>
      <c r="KYR275" s="580"/>
      <c r="KYS275" s="580"/>
      <c r="KYT275" s="580"/>
      <c r="KYU275" s="580"/>
      <c r="KYV275" s="580"/>
      <c r="KYW275" s="580"/>
      <c r="KYX275" s="580"/>
      <c r="KYY275" s="580"/>
      <c r="KYZ275" s="580"/>
      <c r="KZA275" s="580"/>
      <c r="KZB275" s="580"/>
      <c r="KZC275" s="580"/>
      <c r="KZD275" s="580"/>
      <c r="KZE275" s="580"/>
      <c r="KZF275" s="580"/>
      <c r="KZG275" s="580"/>
      <c r="KZH275" s="580"/>
      <c r="KZI275" s="580"/>
      <c r="KZJ275" s="580"/>
      <c r="KZK275" s="580"/>
      <c r="KZL275" s="580"/>
      <c r="KZM275" s="580"/>
      <c r="KZN275" s="580"/>
      <c r="KZO275" s="580"/>
      <c r="KZP275" s="580"/>
      <c r="KZQ275" s="580"/>
      <c r="KZR275" s="580"/>
      <c r="KZS275" s="580"/>
      <c r="KZT275" s="580"/>
      <c r="KZU275" s="580"/>
      <c r="KZV275" s="580"/>
      <c r="KZW275" s="580"/>
      <c r="KZX275" s="580"/>
      <c r="KZY275" s="580"/>
      <c r="KZZ275" s="580"/>
      <c r="LAA275" s="580"/>
      <c r="LAB275" s="580"/>
      <c r="LAC275" s="580"/>
      <c r="LAD275" s="580"/>
      <c r="LAE275" s="580"/>
      <c r="LAF275" s="580"/>
      <c r="LAG275" s="580"/>
      <c r="LAH275" s="580"/>
      <c r="LAI275" s="580"/>
      <c r="LAJ275" s="580"/>
      <c r="LAK275" s="580"/>
      <c r="LAL275" s="580"/>
      <c r="LAM275" s="580"/>
      <c r="LAN275" s="580"/>
      <c r="LAO275" s="580"/>
      <c r="LAP275" s="580"/>
      <c r="LAQ275" s="580"/>
      <c r="LAR275" s="580"/>
      <c r="LAS275" s="580"/>
      <c r="LAT275" s="580"/>
      <c r="LAU275" s="580"/>
      <c r="LAV275" s="580"/>
      <c r="LAW275" s="580"/>
      <c r="LAX275" s="580"/>
      <c r="LAY275" s="580"/>
      <c r="LAZ275" s="580"/>
      <c r="LBA275" s="580"/>
      <c r="LBB275" s="580"/>
      <c r="LBC275" s="580"/>
      <c r="LBD275" s="580"/>
      <c r="LBE275" s="580"/>
      <c r="LBF275" s="580"/>
      <c r="LBG275" s="580"/>
      <c r="LBH275" s="580"/>
      <c r="LBI275" s="580"/>
      <c r="LBJ275" s="580"/>
      <c r="LBK275" s="580"/>
      <c r="LBL275" s="580"/>
      <c r="LBM275" s="580"/>
      <c r="LBN275" s="580"/>
      <c r="LBO275" s="580"/>
      <c r="LBP275" s="580"/>
      <c r="LBQ275" s="580"/>
      <c r="LBR275" s="580"/>
      <c r="LBS275" s="580"/>
      <c r="LBT275" s="580"/>
      <c r="LBU275" s="580"/>
      <c r="LBV275" s="580"/>
      <c r="LBW275" s="580"/>
      <c r="LBX275" s="580"/>
      <c r="LBY275" s="580"/>
      <c r="LBZ275" s="580"/>
      <c r="LCA275" s="580"/>
      <c r="LCB275" s="580"/>
      <c r="LCC275" s="580"/>
      <c r="LCD275" s="580"/>
      <c r="LCE275" s="580"/>
      <c r="LCF275" s="580"/>
      <c r="LCG275" s="580"/>
      <c r="LCH275" s="580"/>
      <c r="LCI275" s="580"/>
      <c r="LCJ275" s="580"/>
      <c r="LCK275" s="580"/>
      <c r="LCL275" s="580"/>
      <c r="LCM275" s="580"/>
      <c r="LCN275" s="580"/>
      <c r="LCO275" s="580"/>
      <c r="LCP275" s="580"/>
      <c r="LCQ275" s="580"/>
      <c r="LCR275" s="580"/>
      <c r="LCS275" s="580"/>
      <c r="LCT275" s="580"/>
      <c r="LCU275" s="580"/>
      <c r="LCV275" s="580"/>
      <c r="LCW275" s="580"/>
      <c r="LCX275" s="580"/>
      <c r="LCY275" s="580"/>
      <c r="LCZ275" s="580"/>
      <c r="LDA275" s="580"/>
      <c r="LDB275" s="580"/>
      <c r="LDC275" s="580"/>
      <c r="LDD275" s="580"/>
      <c r="LDE275" s="580"/>
      <c r="LDF275" s="580"/>
      <c r="LDG275" s="580"/>
      <c r="LDH275" s="580"/>
      <c r="LDI275" s="580"/>
      <c r="LDJ275" s="580"/>
      <c r="LDK275" s="580"/>
      <c r="LDL275" s="580"/>
      <c r="LDM275" s="580"/>
      <c r="LDN275" s="580"/>
      <c r="LDO275" s="580"/>
      <c r="LDP275" s="580"/>
      <c r="LDQ275" s="580"/>
      <c r="LDR275" s="580"/>
      <c r="LDS275" s="580"/>
      <c r="LDT275" s="580"/>
      <c r="LDU275" s="580"/>
      <c r="LDV275" s="580"/>
      <c r="LDW275" s="580"/>
      <c r="LDX275" s="580"/>
      <c r="LDY275" s="580"/>
      <c r="LDZ275" s="580"/>
      <c r="LEA275" s="580"/>
      <c r="LEB275" s="580"/>
      <c r="LEC275" s="580"/>
      <c r="LED275" s="580"/>
      <c r="LEE275" s="580"/>
      <c r="LEF275" s="580"/>
      <c r="LEG275" s="580"/>
      <c r="LEH275" s="580"/>
      <c r="LEI275" s="580"/>
      <c r="LEJ275" s="580"/>
      <c r="LEK275" s="580"/>
      <c r="LEL275" s="580"/>
      <c r="LEM275" s="580"/>
      <c r="LEN275" s="580"/>
      <c r="LEO275" s="580"/>
      <c r="LEP275" s="580"/>
      <c r="LEQ275" s="580"/>
      <c r="LER275" s="580"/>
      <c r="LES275" s="580"/>
      <c r="LET275" s="580"/>
      <c r="LEU275" s="580"/>
      <c r="LEV275" s="580"/>
      <c r="LEW275" s="580"/>
      <c r="LEX275" s="580"/>
      <c r="LEY275" s="580"/>
      <c r="LEZ275" s="580"/>
      <c r="LFA275" s="580"/>
      <c r="LFB275" s="580"/>
      <c r="LFC275" s="580"/>
      <c r="LFD275" s="580"/>
      <c r="LFE275" s="580"/>
      <c r="LFF275" s="580"/>
      <c r="LFG275" s="580"/>
      <c r="LFH275" s="580"/>
      <c r="LFI275" s="580"/>
      <c r="LFJ275" s="580"/>
      <c r="LFK275" s="580"/>
      <c r="LFL275" s="580"/>
      <c r="LFM275" s="580"/>
      <c r="LFN275" s="580"/>
      <c r="LFO275" s="580"/>
      <c r="LFP275" s="580"/>
      <c r="LFQ275" s="580"/>
      <c r="LFR275" s="580"/>
      <c r="LFS275" s="580"/>
      <c r="LFT275" s="580"/>
      <c r="LFU275" s="580"/>
      <c r="LFV275" s="580"/>
      <c r="LFW275" s="580"/>
      <c r="LFX275" s="580"/>
      <c r="LFY275" s="580"/>
      <c r="LFZ275" s="580"/>
      <c r="LGA275" s="580"/>
      <c r="LGB275" s="580"/>
      <c r="LGC275" s="580"/>
      <c r="LGD275" s="580"/>
      <c r="LGE275" s="580"/>
      <c r="LGF275" s="580"/>
      <c r="LGG275" s="580"/>
      <c r="LGH275" s="580"/>
      <c r="LGI275" s="580"/>
      <c r="LGJ275" s="580"/>
      <c r="LGK275" s="580"/>
      <c r="LGL275" s="580"/>
      <c r="LGM275" s="580"/>
      <c r="LGN275" s="580"/>
      <c r="LGO275" s="580"/>
      <c r="LGP275" s="580"/>
      <c r="LGQ275" s="580"/>
      <c r="LGR275" s="580"/>
      <c r="LGS275" s="580"/>
      <c r="LGT275" s="580"/>
      <c r="LGU275" s="580"/>
      <c r="LGV275" s="580"/>
      <c r="LGW275" s="580"/>
      <c r="LGX275" s="580"/>
      <c r="LGY275" s="580"/>
      <c r="LGZ275" s="580"/>
      <c r="LHA275" s="580"/>
      <c r="LHB275" s="580"/>
      <c r="LHC275" s="580"/>
      <c r="LHD275" s="580"/>
      <c r="LHE275" s="580"/>
      <c r="LHF275" s="580"/>
      <c r="LHG275" s="580"/>
      <c r="LHH275" s="580"/>
      <c r="LHI275" s="580"/>
      <c r="LHJ275" s="580"/>
      <c r="LHK275" s="580"/>
      <c r="LHL275" s="580"/>
      <c r="LHM275" s="580"/>
      <c r="LHN275" s="580"/>
      <c r="LHO275" s="580"/>
      <c r="LHP275" s="580"/>
      <c r="LHQ275" s="580"/>
      <c r="LHR275" s="580"/>
      <c r="LHS275" s="580"/>
      <c r="LHT275" s="580"/>
      <c r="LHU275" s="580"/>
      <c r="LHV275" s="580"/>
      <c r="LHW275" s="580"/>
      <c r="LHX275" s="580"/>
      <c r="LHY275" s="580"/>
      <c r="LHZ275" s="580"/>
      <c r="LIA275" s="580"/>
      <c r="LIB275" s="580"/>
      <c r="LIC275" s="580"/>
      <c r="LID275" s="580"/>
      <c r="LIE275" s="580"/>
      <c r="LIF275" s="580"/>
      <c r="LIG275" s="580"/>
      <c r="LIH275" s="580"/>
      <c r="LII275" s="580"/>
      <c r="LIJ275" s="580"/>
      <c r="LIK275" s="580"/>
      <c r="LIL275" s="580"/>
      <c r="LIM275" s="580"/>
      <c r="LIN275" s="580"/>
      <c r="LIO275" s="580"/>
      <c r="LIP275" s="580"/>
      <c r="LIQ275" s="580"/>
      <c r="LIR275" s="580"/>
      <c r="LIS275" s="580"/>
      <c r="LIT275" s="580"/>
      <c r="LIU275" s="580"/>
      <c r="LIV275" s="580"/>
      <c r="LIW275" s="580"/>
      <c r="LIX275" s="580"/>
      <c r="LIY275" s="580"/>
      <c r="LIZ275" s="580"/>
      <c r="LJA275" s="580"/>
      <c r="LJB275" s="580"/>
      <c r="LJC275" s="580"/>
      <c r="LJD275" s="580"/>
      <c r="LJE275" s="580"/>
      <c r="LJF275" s="580"/>
      <c r="LJG275" s="580"/>
      <c r="LJH275" s="580"/>
      <c r="LJI275" s="580"/>
      <c r="LJJ275" s="580"/>
      <c r="LJK275" s="580"/>
      <c r="LJL275" s="580"/>
      <c r="LJM275" s="580"/>
      <c r="LJN275" s="580"/>
      <c r="LJO275" s="580"/>
      <c r="LJP275" s="580"/>
      <c r="LJQ275" s="580"/>
      <c r="LJR275" s="580"/>
      <c r="LJS275" s="580"/>
      <c r="LJT275" s="580"/>
      <c r="LJU275" s="580"/>
      <c r="LJV275" s="580"/>
      <c r="LJW275" s="580"/>
      <c r="LJX275" s="580"/>
      <c r="LJY275" s="580"/>
      <c r="LJZ275" s="580"/>
      <c r="LKA275" s="580"/>
      <c r="LKB275" s="580"/>
      <c r="LKC275" s="580"/>
      <c r="LKD275" s="580"/>
      <c r="LKE275" s="580"/>
      <c r="LKF275" s="580"/>
      <c r="LKG275" s="580"/>
      <c r="LKH275" s="580"/>
      <c r="LKI275" s="580"/>
      <c r="LKJ275" s="580"/>
      <c r="LKK275" s="580"/>
      <c r="LKL275" s="580"/>
      <c r="LKM275" s="580"/>
      <c r="LKN275" s="580"/>
      <c r="LKO275" s="580"/>
      <c r="LKP275" s="580"/>
      <c r="LKQ275" s="580"/>
      <c r="LKR275" s="580"/>
      <c r="LKS275" s="580"/>
      <c r="LKT275" s="580"/>
      <c r="LKU275" s="580"/>
      <c r="LKV275" s="580"/>
      <c r="LKW275" s="580"/>
      <c r="LKX275" s="580"/>
      <c r="LKY275" s="580"/>
      <c r="LKZ275" s="580"/>
      <c r="LLA275" s="580"/>
      <c r="LLB275" s="580"/>
      <c r="LLC275" s="580"/>
      <c r="LLD275" s="580"/>
      <c r="LLE275" s="580"/>
      <c r="LLF275" s="580"/>
      <c r="LLG275" s="580"/>
      <c r="LLH275" s="580"/>
      <c r="LLI275" s="580"/>
      <c r="LLJ275" s="580"/>
      <c r="LLK275" s="580"/>
      <c r="LLL275" s="580"/>
      <c r="LLM275" s="580"/>
      <c r="LLN275" s="580"/>
      <c r="LLO275" s="580"/>
      <c r="LLP275" s="580"/>
      <c r="LLQ275" s="580"/>
      <c r="LLR275" s="580"/>
      <c r="LLS275" s="580"/>
      <c r="LLT275" s="580"/>
      <c r="LLU275" s="580"/>
      <c r="LLV275" s="580"/>
      <c r="LLW275" s="580"/>
      <c r="LLX275" s="580"/>
      <c r="LLY275" s="580"/>
      <c r="LLZ275" s="580"/>
      <c r="LMA275" s="580"/>
      <c r="LMB275" s="580"/>
      <c r="LMC275" s="580"/>
      <c r="LMD275" s="580"/>
      <c r="LME275" s="580"/>
      <c r="LMF275" s="580"/>
      <c r="LMG275" s="580"/>
      <c r="LMH275" s="580"/>
      <c r="LMI275" s="580"/>
      <c r="LMJ275" s="580"/>
      <c r="LMK275" s="580"/>
      <c r="LML275" s="580"/>
      <c r="LMM275" s="580"/>
      <c r="LMN275" s="580"/>
      <c r="LMO275" s="580"/>
      <c r="LMP275" s="580"/>
      <c r="LMQ275" s="580"/>
      <c r="LMR275" s="580"/>
      <c r="LMS275" s="580"/>
      <c r="LMT275" s="580"/>
      <c r="LMU275" s="580"/>
      <c r="LMV275" s="580"/>
      <c r="LMW275" s="580"/>
      <c r="LMX275" s="580"/>
      <c r="LMY275" s="580"/>
      <c r="LMZ275" s="580"/>
      <c r="LNA275" s="580"/>
      <c r="LNB275" s="580"/>
      <c r="LNC275" s="580"/>
      <c r="LND275" s="580"/>
      <c r="LNE275" s="580"/>
      <c r="LNF275" s="580"/>
      <c r="LNG275" s="580"/>
      <c r="LNH275" s="580"/>
      <c r="LNI275" s="580"/>
      <c r="LNJ275" s="580"/>
      <c r="LNK275" s="580"/>
      <c r="LNL275" s="580"/>
      <c r="LNM275" s="580"/>
      <c r="LNN275" s="580"/>
      <c r="LNO275" s="580"/>
      <c r="LNP275" s="580"/>
      <c r="LNQ275" s="580"/>
      <c r="LNR275" s="580"/>
      <c r="LNS275" s="580"/>
      <c r="LNT275" s="580"/>
      <c r="LNU275" s="580"/>
      <c r="LNV275" s="580"/>
      <c r="LNW275" s="580"/>
      <c r="LNX275" s="580"/>
      <c r="LNY275" s="580"/>
      <c r="LNZ275" s="580"/>
      <c r="LOA275" s="580"/>
      <c r="LOB275" s="580"/>
      <c r="LOC275" s="580"/>
      <c r="LOD275" s="580"/>
      <c r="LOE275" s="580"/>
      <c r="LOF275" s="580"/>
      <c r="LOG275" s="580"/>
      <c r="LOH275" s="580"/>
      <c r="LOI275" s="580"/>
      <c r="LOJ275" s="580"/>
      <c r="LOK275" s="580"/>
      <c r="LOL275" s="580"/>
      <c r="LOM275" s="580"/>
      <c r="LON275" s="580"/>
      <c r="LOO275" s="580"/>
      <c r="LOP275" s="580"/>
      <c r="LOQ275" s="580"/>
      <c r="LOR275" s="580"/>
      <c r="LOS275" s="580"/>
      <c r="LOT275" s="580"/>
      <c r="LOU275" s="580"/>
      <c r="LOV275" s="580"/>
      <c r="LOW275" s="580"/>
      <c r="LOX275" s="580"/>
      <c r="LOY275" s="580"/>
      <c r="LOZ275" s="580"/>
      <c r="LPA275" s="580"/>
      <c r="LPB275" s="580"/>
      <c r="LPC275" s="580"/>
      <c r="LPD275" s="580"/>
      <c r="LPE275" s="580"/>
      <c r="LPF275" s="580"/>
      <c r="LPG275" s="580"/>
      <c r="LPH275" s="580"/>
      <c r="LPI275" s="580"/>
      <c r="LPJ275" s="580"/>
      <c r="LPK275" s="580"/>
      <c r="LPL275" s="580"/>
      <c r="LPM275" s="580"/>
      <c r="LPN275" s="580"/>
      <c r="LPO275" s="580"/>
      <c r="LPP275" s="580"/>
      <c r="LPQ275" s="580"/>
      <c r="LPR275" s="580"/>
      <c r="LPS275" s="580"/>
      <c r="LPT275" s="580"/>
      <c r="LPU275" s="580"/>
      <c r="LPV275" s="580"/>
      <c r="LPW275" s="580"/>
      <c r="LPX275" s="580"/>
      <c r="LPY275" s="580"/>
      <c r="LPZ275" s="580"/>
      <c r="LQA275" s="580"/>
      <c r="LQB275" s="580"/>
      <c r="LQC275" s="580"/>
      <c r="LQD275" s="580"/>
      <c r="LQE275" s="580"/>
      <c r="LQF275" s="580"/>
      <c r="LQG275" s="580"/>
      <c r="LQH275" s="580"/>
      <c r="LQI275" s="580"/>
      <c r="LQJ275" s="580"/>
      <c r="LQK275" s="580"/>
      <c r="LQL275" s="580"/>
      <c r="LQM275" s="580"/>
      <c r="LQN275" s="580"/>
      <c r="LQO275" s="580"/>
      <c r="LQP275" s="580"/>
      <c r="LQQ275" s="580"/>
      <c r="LQR275" s="580"/>
      <c r="LQS275" s="580"/>
      <c r="LQT275" s="580"/>
      <c r="LQU275" s="580"/>
      <c r="LQV275" s="580"/>
      <c r="LQW275" s="580"/>
      <c r="LQX275" s="580"/>
      <c r="LQY275" s="580"/>
      <c r="LQZ275" s="580"/>
      <c r="LRA275" s="580"/>
      <c r="LRB275" s="580"/>
      <c r="LRC275" s="580"/>
      <c r="LRD275" s="580"/>
      <c r="LRE275" s="580"/>
      <c r="LRF275" s="580"/>
      <c r="LRG275" s="580"/>
      <c r="LRH275" s="580"/>
      <c r="LRI275" s="580"/>
      <c r="LRJ275" s="580"/>
      <c r="LRK275" s="580"/>
      <c r="LRL275" s="580"/>
      <c r="LRM275" s="580"/>
      <c r="LRN275" s="580"/>
      <c r="LRO275" s="580"/>
      <c r="LRP275" s="580"/>
      <c r="LRQ275" s="580"/>
      <c r="LRR275" s="580"/>
      <c r="LRS275" s="580"/>
      <c r="LRT275" s="580"/>
      <c r="LRU275" s="580"/>
      <c r="LRV275" s="580"/>
      <c r="LRW275" s="580"/>
      <c r="LRX275" s="580"/>
      <c r="LRY275" s="580"/>
      <c r="LRZ275" s="580"/>
      <c r="LSA275" s="580"/>
      <c r="LSB275" s="580"/>
      <c r="LSC275" s="580"/>
      <c r="LSD275" s="580"/>
      <c r="LSE275" s="580"/>
      <c r="LSF275" s="580"/>
      <c r="LSG275" s="580"/>
      <c r="LSH275" s="580"/>
      <c r="LSI275" s="580"/>
      <c r="LSJ275" s="580"/>
      <c r="LSK275" s="580"/>
      <c r="LSL275" s="580"/>
      <c r="LSM275" s="580"/>
      <c r="LSN275" s="580"/>
      <c r="LSO275" s="580"/>
      <c r="LSP275" s="580"/>
      <c r="LSQ275" s="580"/>
      <c r="LSR275" s="580"/>
      <c r="LSS275" s="580"/>
      <c r="LST275" s="580"/>
      <c r="LSU275" s="580"/>
      <c r="LSV275" s="580"/>
      <c r="LSW275" s="580"/>
      <c r="LSX275" s="580"/>
      <c r="LSY275" s="580"/>
      <c r="LSZ275" s="580"/>
      <c r="LTA275" s="580"/>
      <c r="LTB275" s="580"/>
      <c r="LTC275" s="580"/>
      <c r="LTD275" s="580"/>
      <c r="LTE275" s="580"/>
      <c r="LTF275" s="580"/>
      <c r="LTG275" s="580"/>
      <c r="LTH275" s="580"/>
      <c r="LTI275" s="580"/>
      <c r="LTJ275" s="580"/>
      <c r="LTK275" s="580"/>
      <c r="LTL275" s="580"/>
      <c r="LTM275" s="580"/>
      <c r="LTN275" s="580"/>
      <c r="LTO275" s="580"/>
      <c r="LTP275" s="580"/>
      <c r="LTQ275" s="580"/>
      <c r="LTR275" s="580"/>
      <c r="LTS275" s="580"/>
      <c r="LTT275" s="580"/>
      <c r="LTU275" s="580"/>
      <c r="LTV275" s="580"/>
      <c r="LTW275" s="580"/>
      <c r="LTX275" s="580"/>
      <c r="LTY275" s="580"/>
      <c r="LTZ275" s="580"/>
      <c r="LUA275" s="580"/>
      <c r="LUB275" s="580"/>
      <c r="LUC275" s="580"/>
      <c r="LUD275" s="580"/>
      <c r="LUE275" s="580"/>
      <c r="LUF275" s="580"/>
      <c r="LUG275" s="580"/>
      <c r="LUH275" s="580"/>
      <c r="LUI275" s="580"/>
      <c r="LUJ275" s="580"/>
      <c r="LUK275" s="580"/>
      <c r="LUL275" s="580"/>
      <c r="LUM275" s="580"/>
      <c r="LUN275" s="580"/>
      <c r="LUO275" s="580"/>
      <c r="LUP275" s="580"/>
      <c r="LUQ275" s="580"/>
      <c r="LUR275" s="580"/>
      <c r="LUS275" s="580"/>
      <c r="LUT275" s="580"/>
      <c r="LUU275" s="580"/>
      <c r="LUV275" s="580"/>
      <c r="LUW275" s="580"/>
      <c r="LUX275" s="580"/>
      <c r="LUY275" s="580"/>
      <c r="LUZ275" s="580"/>
      <c r="LVA275" s="580"/>
      <c r="LVB275" s="580"/>
      <c r="LVC275" s="580"/>
      <c r="LVD275" s="580"/>
      <c r="LVE275" s="580"/>
      <c r="LVF275" s="580"/>
      <c r="LVG275" s="580"/>
      <c r="LVH275" s="580"/>
      <c r="LVI275" s="580"/>
      <c r="LVJ275" s="580"/>
      <c r="LVK275" s="580"/>
      <c r="LVL275" s="580"/>
      <c r="LVM275" s="580"/>
      <c r="LVN275" s="580"/>
      <c r="LVO275" s="580"/>
      <c r="LVP275" s="580"/>
      <c r="LVQ275" s="580"/>
      <c r="LVR275" s="580"/>
      <c r="LVS275" s="580"/>
      <c r="LVT275" s="580"/>
      <c r="LVU275" s="580"/>
      <c r="LVV275" s="580"/>
      <c r="LVW275" s="580"/>
      <c r="LVX275" s="580"/>
      <c r="LVY275" s="580"/>
      <c r="LVZ275" s="580"/>
      <c r="LWA275" s="580"/>
      <c r="LWB275" s="580"/>
      <c r="LWC275" s="580"/>
      <c r="LWD275" s="580"/>
      <c r="LWE275" s="580"/>
      <c r="LWF275" s="580"/>
      <c r="LWG275" s="580"/>
      <c r="LWH275" s="580"/>
      <c r="LWI275" s="580"/>
      <c r="LWJ275" s="580"/>
      <c r="LWK275" s="580"/>
      <c r="LWL275" s="580"/>
      <c r="LWM275" s="580"/>
      <c r="LWN275" s="580"/>
      <c r="LWO275" s="580"/>
      <c r="LWP275" s="580"/>
      <c r="LWQ275" s="580"/>
      <c r="LWR275" s="580"/>
      <c r="LWS275" s="580"/>
      <c r="LWT275" s="580"/>
      <c r="LWU275" s="580"/>
      <c r="LWV275" s="580"/>
      <c r="LWW275" s="580"/>
      <c r="LWX275" s="580"/>
      <c r="LWY275" s="580"/>
      <c r="LWZ275" s="580"/>
      <c r="LXA275" s="580"/>
      <c r="LXB275" s="580"/>
      <c r="LXC275" s="580"/>
      <c r="LXD275" s="580"/>
      <c r="LXE275" s="580"/>
      <c r="LXF275" s="580"/>
      <c r="LXG275" s="580"/>
      <c r="LXH275" s="580"/>
      <c r="LXI275" s="580"/>
      <c r="LXJ275" s="580"/>
      <c r="LXK275" s="580"/>
      <c r="LXL275" s="580"/>
      <c r="LXM275" s="580"/>
      <c r="LXN275" s="580"/>
      <c r="LXO275" s="580"/>
      <c r="LXP275" s="580"/>
      <c r="LXQ275" s="580"/>
      <c r="LXR275" s="580"/>
      <c r="LXS275" s="580"/>
      <c r="LXT275" s="580"/>
      <c r="LXU275" s="580"/>
      <c r="LXV275" s="580"/>
      <c r="LXW275" s="580"/>
      <c r="LXX275" s="580"/>
      <c r="LXY275" s="580"/>
      <c r="LXZ275" s="580"/>
      <c r="LYA275" s="580"/>
      <c r="LYB275" s="580"/>
      <c r="LYC275" s="580"/>
      <c r="LYD275" s="580"/>
      <c r="LYE275" s="580"/>
      <c r="LYF275" s="580"/>
      <c r="LYG275" s="580"/>
      <c r="LYH275" s="580"/>
      <c r="LYI275" s="580"/>
      <c r="LYJ275" s="580"/>
      <c r="LYK275" s="580"/>
      <c r="LYL275" s="580"/>
      <c r="LYM275" s="580"/>
      <c r="LYN275" s="580"/>
      <c r="LYO275" s="580"/>
      <c r="LYP275" s="580"/>
      <c r="LYQ275" s="580"/>
      <c r="LYR275" s="580"/>
      <c r="LYS275" s="580"/>
      <c r="LYT275" s="580"/>
      <c r="LYU275" s="580"/>
      <c r="LYV275" s="580"/>
      <c r="LYW275" s="580"/>
      <c r="LYX275" s="580"/>
      <c r="LYY275" s="580"/>
      <c r="LYZ275" s="580"/>
      <c r="LZA275" s="580"/>
      <c r="LZB275" s="580"/>
      <c r="LZC275" s="580"/>
      <c r="LZD275" s="580"/>
      <c r="LZE275" s="580"/>
      <c r="LZF275" s="580"/>
      <c r="LZG275" s="580"/>
      <c r="LZH275" s="580"/>
      <c r="LZI275" s="580"/>
      <c r="LZJ275" s="580"/>
      <c r="LZK275" s="580"/>
      <c r="LZL275" s="580"/>
      <c r="LZM275" s="580"/>
      <c r="LZN275" s="580"/>
      <c r="LZO275" s="580"/>
      <c r="LZP275" s="580"/>
      <c r="LZQ275" s="580"/>
      <c r="LZR275" s="580"/>
      <c r="LZS275" s="580"/>
      <c r="LZT275" s="580"/>
      <c r="LZU275" s="580"/>
      <c r="LZV275" s="580"/>
      <c r="LZW275" s="580"/>
      <c r="LZX275" s="580"/>
      <c r="LZY275" s="580"/>
      <c r="LZZ275" s="580"/>
      <c r="MAA275" s="580"/>
      <c r="MAB275" s="580"/>
      <c r="MAC275" s="580"/>
      <c r="MAD275" s="580"/>
      <c r="MAE275" s="580"/>
      <c r="MAF275" s="580"/>
      <c r="MAG275" s="580"/>
      <c r="MAH275" s="580"/>
      <c r="MAI275" s="580"/>
      <c r="MAJ275" s="580"/>
      <c r="MAK275" s="580"/>
      <c r="MAL275" s="580"/>
      <c r="MAM275" s="580"/>
      <c r="MAN275" s="580"/>
      <c r="MAO275" s="580"/>
      <c r="MAP275" s="580"/>
      <c r="MAQ275" s="580"/>
      <c r="MAR275" s="580"/>
      <c r="MAS275" s="580"/>
      <c r="MAT275" s="580"/>
      <c r="MAU275" s="580"/>
      <c r="MAV275" s="580"/>
      <c r="MAW275" s="580"/>
      <c r="MAX275" s="580"/>
      <c r="MAY275" s="580"/>
      <c r="MAZ275" s="580"/>
      <c r="MBA275" s="580"/>
      <c r="MBB275" s="580"/>
      <c r="MBC275" s="580"/>
      <c r="MBD275" s="580"/>
      <c r="MBE275" s="580"/>
      <c r="MBF275" s="580"/>
      <c r="MBG275" s="580"/>
      <c r="MBH275" s="580"/>
      <c r="MBI275" s="580"/>
      <c r="MBJ275" s="580"/>
      <c r="MBK275" s="580"/>
      <c r="MBL275" s="580"/>
      <c r="MBM275" s="580"/>
      <c r="MBN275" s="580"/>
      <c r="MBO275" s="580"/>
      <c r="MBP275" s="580"/>
      <c r="MBQ275" s="580"/>
      <c r="MBR275" s="580"/>
      <c r="MBS275" s="580"/>
      <c r="MBT275" s="580"/>
      <c r="MBU275" s="580"/>
      <c r="MBV275" s="580"/>
      <c r="MBW275" s="580"/>
      <c r="MBX275" s="580"/>
      <c r="MBY275" s="580"/>
      <c r="MBZ275" s="580"/>
      <c r="MCA275" s="580"/>
      <c r="MCB275" s="580"/>
      <c r="MCC275" s="580"/>
      <c r="MCD275" s="580"/>
      <c r="MCE275" s="580"/>
      <c r="MCF275" s="580"/>
      <c r="MCG275" s="580"/>
      <c r="MCH275" s="580"/>
      <c r="MCI275" s="580"/>
      <c r="MCJ275" s="580"/>
      <c r="MCK275" s="580"/>
      <c r="MCL275" s="580"/>
      <c r="MCM275" s="580"/>
      <c r="MCN275" s="580"/>
      <c r="MCO275" s="580"/>
      <c r="MCP275" s="580"/>
      <c r="MCQ275" s="580"/>
      <c r="MCR275" s="580"/>
      <c r="MCS275" s="580"/>
      <c r="MCT275" s="580"/>
      <c r="MCU275" s="580"/>
      <c r="MCV275" s="580"/>
      <c r="MCW275" s="580"/>
      <c r="MCX275" s="580"/>
      <c r="MCY275" s="580"/>
      <c r="MCZ275" s="580"/>
      <c r="MDA275" s="580"/>
      <c r="MDB275" s="580"/>
      <c r="MDC275" s="580"/>
      <c r="MDD275" s="580"/>
      <c r="MDE275" s="580"/>
      <c r="MDF275" s="580"/>
      <c r="MDG275" s="580"/>
      <c r="MDH275" s="580"/>
      <c r="MDI275" s="580"/>
      <c r="MDJ275" s="580"/>
      <c r="MDK275" s="580"/>
      <c r="MDL275" s="580"/>
      <c r="MDM275" s="580"/>
      <c r="MDN275" s="580"/>
      <c r="MDO275" s="580"/>
      <c r="MDP275" s="580"/>
      <c r="MDQ275" s="580"/>
      <c r="MDR275" s="580"/>
      <c r="MDS275" s="580"/>
      <c r="MDT275" s="580"/>
      <c r="MDU275" s="580"/>
      <c r="MDV275" s="580"/>
      <c r="MDW275" s="580"/>
      <c r="MDX275" s="580"/>
      <c r="MDY275" s="580"/>
      <c r="MDZ275" s="580"/>
      <c r="MEA275" s="580"/>
      <c r="MEB275" s="580"/>
      <c r="MEC275" s="580"/>
      <c r="MED275" s="580"/>
      <c r="MEE275" s="580"/>
      <c r="MEF275" s="580"/>
      <c r="MEG275" s="580"/>
      <c r="MEH275" s="580"/>
      <c r="MEI275" s="580"/>
      <c r="MEJ275" s="580"/>
      <c r="MEK275" s="580"/>
      <c r="MEL275" s="580"/>
      <c r="MEM275" s="580"/>
      <c r="MEN275" s="580"/>
      <c r="MEO275" s="580"/>
      <c r="MEP275" s="580"/>
      <c r="MEQ275" s="580"/>
      <c r="MER275" s="580"/>
      <c r="MES275" s="580"/>
      <c r="MET275" s="580"/>
      <c r="MEU275" s="580"/>
      <c r="MEV275" s="580"/>
      <c r="MEW275" s="580"/>
      <c r="MEX275" s="580"/>
      <c r="MEY275" s="580"/>
      <c r="MEZ275" s="580"/>
      <c r="MFA275" s="580"/>
      <c r="MFB275" s="580"/>
      <c r="MFC275" s="580"/>
      <c r="MFD275" s="580"/>
      <c r="MFE275" s="580"/>
      <c r="MFF275" s="580"/>
      <c r="MFG275" s="580"/>
      <c r="MFH275" s="580"/>
      <c r="MFI275" s="580"/>
      <c r="MFJ275" s="580"/>
      <c r="MFK275" s="580"/>
      <c r="MFL275" s="580"/>
      <c r="MFM275" s="580"/>
      <c r="MFN275" s="580"/>
      <c r="MFO275" s="580"/>
      <c r="MFP275" s="580"/>
      <c r="MFQ275" s="580"/>
      <c r="MFR275" s="580"/>
      <c r="MFS275" s="580"/>
      <c r="MFT275" s="580"/>
      <c r="MFU275" s="580"/>
      <c r="MFV275" s="580"/>
      <c r="MFW275" s="580"/>
      <c r="MFX275" s="580"/>
      <c r="MFY275" s="580"/>
      <c r="MFZ275" s="580"/>
      <c r="MGA275" s="580"/>
      <c r="MGB275" s="580"/>
      <c r="MGC275" s="580"/>
      <c r="MGD275" s="580"/>
      <c r="MGE275" s="580"/>
      <c r="MGF275" s="580"/>
      <c r="MGG275" s="580"/>
      <c r="MGH275" s="580"/>
      <c r="MGI275" s="580"/>
      <c r="MGJ275" s="580"/>
      <c r="MGK275" s="580"/>
      <c r="MGL275" s="580"/>
      <c r="MGM275" s="580"/>
      <c r="MGN275" s="580"/>
      <c r="MGO275" s="580"/>
      <c r="MGP275" s="580"/>
      <c r="MGQ275" s="580"/>
      <c r="MGR275" s="580"/>
      <c r="MGS275" s="580"/>
      <c r="MGT275" s="580"/>
      <c r="MGU275" s="580"/>
      <c r="MGV275" s="580"/>
      <c r="MGW275" s="580"/>
      <c r="MGX275" s="580"/>
      <c r="MGY275" s="580"/>
      <c r="MGZ275" s="580"/>
      <c r="MHA275" s="580"/>
      <c r="MHB275" s="580"/>
      <c r="MHC275" s="580"/>
      <c r="MHD275" s="580"/>
      <c r="MHE275" s="580"/>
      <c r="MHF275" s="580"/>
      <c r="MHG275" s="580"/>
      <c r="MHH275" s="580"/>
      <c r="MHI275" s="580"/>
      <c r="MHJ275" s="580"/>
      <c r="MHK275" s="580"/>
      <c r="MHL275" s="580"/>
      <c r="MHM275" s="580"/>
      <c r="MHN275" s="580"/>
      <c r="MHO275" s="580"/>
      <c r="MHP275" s="580"/>
      <c r="MHQ275" s="580"/>
      <c r="MHR275" s="580"/>
      <c r="MHS275" s="580"/>
      <c r="MHT275" s="580"/>
      <c r="MHU275" s="580"/>
      <c r="MHV275" s="580"/>
      <c r="MHW275" s="580"/>
      <c r="MHX275" s="580"/>
      <c r="MHY275" s="580"/>
      <c r="MHZ275" s="580"/>
      <c r="MIA275" s="580"/>
      <c r="MIB275" s="580"/>
      <c r="MIC275" s="580"/>
      <c r="MID275" s="580"/>
      <c r="MIE275" s="580"/>
      <c r="MIF275" s="580"/>
      <c r="MIG275" s="580"/>
      <c r="MIH275" s="580"/>
      <c r="MII275" s="580"/>
      <c r="MIJ275" s="580"/>
      <c r="MIK275" s="580"/>
      <c r="MIL275" s="580"/>
      <c r="MIM275" s="580"/>
      <c r="MIN275" s="580"/>
      <c r="MIO275" s="580"/>
      <c r="MIP275" s="580"/>
      <c r="MIQ275" s="580"/>
      <c r="MIR275" s="580"/>
      <c r="MIS275" s="580"/>
      <c r="MIT275" s="580"/>
      <c r="MIU275" s="580"/>
      <c r="MIV275" s="580"/>
      <c r="MIW275" s="580"/>
      <c r="MIX275" s="580"/>
      <c r="MIY275" s="580"/>
      <c r="MIZ275" s="580"/>
      <c r="MJA275" s="580"/>
      <c r="MJB275" s="580"/>
      <c r="MJC275" s="580"/>
      <c r="MJD275" s="580"/>
      <c r="MJE275" s="580"/>
      <c r="MJF275" s="580"/>
      <c r="MJG275" s="580"/>
      <c r="MJH275" s="580"/>
      <c r="MJI275" s="580"/>
      <c r="MJJ275" s="580"/>
      <c r="MJK275" s="580"/>
      <c r="MJL275" s="580"/>
      <c r="MJM275" s="580"/>
      <c r="MJN275" s="580"/>
      <c r="MJO275" s="580"/>
      <c r="MJP275" s="580"/>
      <c r="MJQ275" s="580"/>
      <c r="MJR275" s="580"/>
      <c r="MJS275" s="580"/>
      <c r="MJT275" s="580"/>
      <c r="MJU275" s="580"/>
      <c r="MJV275" s="580"/>
      <c r="MJW275" s="580"/>
      <c r="MJX275" s="580"/>
      <c r="MJY275" s="580"/>
      <c r="MJZ275" s="580"/>
      <c r="MKA275" s="580"/>
      <c r="MKB275" s="580"/>
      <c r="MKC275" s="580"/>
      <c r="MKD275" s="580"/>
      <c r="MKE275" s="580"/>
      <c r="MKF275" s="580"/>
      <c r="MKG275" s="580"/>
      <c r="MKH275" s="580"/>
      <c r="MKI275" s="580"/>
      <c r="MKJ275" s="580"/>
      <c r="MKK275" s="580"/>
      <c r="MKL275" s="580"/>
      <c r="MKM275" s="580"/>
      <c r="MKN275" s="580"/>
      <c r="MKO275" s="580"/>
      <c r="MKP275" s="580"/>
      <c r="MKQ275" s="580"/>
      <c r="MKR275" s="580"/>
      <c r="MKS275" s="580"/>
      <c r="MKT275" s="580"/>
      <c r="MKU275" s="580"/>
      <c r="MKV275" s="580"/>
      <c r="MKW275" s="580"/>
      <c r="MKX275" s="580"/>
      <c r="MKY275" s="580"/>
      <c r="MKZ275" s="580"/>
      <c r="MLA275" s="580"/>
      <c r="MLB275" s="580"/>
      <c r="MLC275" s="580"/>
      <c r="MLD275" s="580"/>
      <c r="MLE275" s="580"/>
      <c r="MLF275" s="580"/>
      <c r="MLG275" s="580"/>
      <c r="MLH275" s="580"/>
      <c r="MLI275" s="580"/>
      <c r="MLJ275" s="580"/>
      <c r="MLK275" s="580"/>
      <c r="MLL275" s="580"/>
      <c r="MLM275" s="580"/>
      <c r="MLN275" s="580"/>
      <c r="MLO275" s="580"/>
      <c r="MLP275" s="580"/>
      <c r="MLQ275" s="580"/>
      <c r="MLR275" s="580"/>
      <c r="MLS275" s="580"/>
      <c r="MLT275" s="580"/>
      <c r="MLU275" s="580"/>
      <c r="MLV275" s="580"/>
      <c r="MLW275" s="580"/>
      <c r="MLX275" s="580"/>
      <c r="MLY275" s="580"/>
      <c r="MLZ275" s="580"/>
      <c r="MMA275" s="580"/>
      <c r="MMB275" s="580"/>
      <c r="MMC275" s="580"/>
      <c r="MMD275" s="580"/>
      <c r="MME275" s="580"/>
      <c r="MMF275" s="580"/>
      <c r="MMG275" s="580"/>
      <c r="MMH275" s="580"/>
      <c r="MMI275" s="580"/>
      <c r="MMJ275" s="580"/>
      <c r="MMK275" s="580"/>
      <c r="MML275" s="580"/>
      <c r="MMM275" s="580"/>
      <c r="MMN275" s="580"/>
      <c r="MMO275" s="580"/>
      <c r="MMP275" s="580"/>
      <c r="MMQ275" s="580"/>
      <c r="MMR275" s="580"/>
      <c r="MMS275" s="580"/>
      <c r="MMT275" s="580"/>
      <c r="MMU275" s="580"/>
      <c r="MMV275" s="580"/>
      <c r="MMW275" s="580"/>
      <c r="MMX275" s="580"/>
      <c r="MMY275" s="580"/>
      <c r="MMZ275" s="580"/>
      <c r="MNA275" s="580"/>
      <c r="MNB275" s="580"/>
      <c r="MNC275" s="580"/>
      <c r="MND275" s="580"/>
      <c r="MNE275" s="580"/>
      <c r="MNF275" s="580"/>
      <c r="MNG275" s="580"/>
      <c r="MNH275" s="580"/>
      <c r="MNI275" s="580"/>
      <c r="MNJ275" s="580"/>
      <c r="MNK275" s="580"/>
      <c r="MNL275" s="580"/>
      <c r="MNM275" s="580"/>
      <c r="MNN275" s="580"/>
      <c r="MNO275" s="580"/>
      <c r="MNP275" s="580"/>
      <c r="MNQ275" s="580"/>
      <c r="MNR275" s="580"/>
      <c r="MNS275" s="580"/>
      <c r="MNT275" s="580"/>
      <c r="MNU275" s="580"/>
      <c r="MNV275" s="580"/>
      <c r="MNW275" s="580"/>
      <c r="MNX275" s="580"/>
      <c r="MNY275" s="580"/>
      <c r="MNZ275" s="580"/>
      <c r="MOA275" s="580"/>
      <c r="MOB275" s="580"/>
      <c r="MOC275" s="580"/>
      <c r="MOD275" s="580"/>
      <c r="MOE275" s="580"/>
      <c r="MOF275" s="580"/>
      <c r="MOG275" s="580"/>
      <c r="MOH275" s="580"/>
      <c r="MOI275" s="580"/>
      <c r="MOJ275" s="580"/>
      <c r="MOK275" s="580"/>
      <c r="MOL275" s="580"/>
      <c r="MOM275" s="580"/>
      <c r="MON275" s="580"/>
      <c r="MOO275" s="580"/>
      <c r="MOP275" s="580"/>
      <c r="MOQ275" s="580"/>
      <c r="MOR275" s="580"/>
      <c r="MOS275" s="580"/>
      <c r="MOT275" s="580"/>
      <c r="MOU275" s="580"/>
      <c r="MOV275" s="580"/>
      <c r="MOW275" s="580"/>
      <c r="MOX275" s="580"/>
      <c r="MOY275" s="580"/>
      <c r="MOZ275" s="580"/>
      <c r="MPA275" s="580"/>
      <c r="MPB275" s="580"/>
      <c r="MPC275" s="580"/>
      <c r="MPD275" s="580"/>
      <c r="MPE275" s="580"/>
      <c r="MPF275" s="580"/>
      <c r="MPG275" s="580"/>
      <c r="MPH275" s="580"/>
      <c r="MPI275" s="580"/>
      <c r="MPJ275" s="580"/>
      <c r="MPK275" s="580"/>
      <c r="MPL275" s="580"/>
      <c r="MPM275" s="580"/>
      <c r="MPN275" s="580"/>
      <c r="MPO275" s="580"/>
      <c r="MPP275" s="580"/>
      <c r="MPQ275" s="580"/>
      <c r="MPR275" s="580"/>
      <c r="MPS275" s="580"/>
      <c r="MPT275" s="580"/>
      <c r="MPU275" s="580"/>
      <c r="MPV275" s="580"/>
      <c r="MPW275" s="580"/>
      <c r="MPX275" s="580"/>
      <c r="MPY275" s="580"/>
      <c r="MPZ275" s="580"/>
      <c r="MQA275" s="580"/>
      <c r="MQB275" s="580"/>
      <c r="MQC275" s="580"/>
      <c r="MQD275" s="580"/>
      <c r="MQE275" s="580"/>
      <c r="MQF275" s="580"/>
      <c r="MQG275" s="580"/>
      <c r="MQH275" s="580"/>
      <c r="MQI275" s="580"/>
      <c r="MQJ275" s="580"/>
      <c r="MQK275" s="580"/>
      <c r="MQL275" s="580"/>
      <c r="MQM275" s="580"/>
      <c r="MQN275" s="580"/>
      <c r="MQO275" s="580"/>
      <c r="MQP275" s="580"/>
      <c r="MQQ275" s="580"/>
      <c r="MQR275" s="580"/>
      <c r="MQS275" s="580"/>
      <c r="MQT275" s="580"/>
      <c r="MQU275" s="580"/>
      <c r="MQV275" s="580"/>
      <c r="MQW275" s="580"/>
      <c r="MQX275" s="580"/>
      <c r="MQY275" s="580"/>
      <c r="MQZ275" s="580"/>
      <c r="MRA275" s="580"/>
      <c r="MRB275" s="580"/>
      <c r="MRC275" s="580"/>
      <c r="MRD275" s="580"/>
      <c r="MRE275" s="580"/>
      <c r="MRF275" s="580"/>
      <c r="MRG275" s="580"/>
      <c r="MRH275" s="580"/>
      <c r="MRI275" s="580"/>
      <c r="MRJ275" s="580"/>
      <c r="MRK275" s="580"/>
      <c r="MRL275" s="580"/>
      <c r="MRM275" s="580"/>
      <c r="MRN275" s="580"/>
      <c r="MRO275" s="580"/>
      <c r="MRP275" s="580"/>
      <c r="MRQ275" s="580"/>
      <c r="MRR275" s="580"/>
      <c r="MRS275" s="580"/>
      <c r="MRT275" s="580"/>
      <c r="MRU275" s="580"/>
      <c r="MRV275" s="580"/>
      <c r="MRW275" s="580"/>
      <c r="MRX275" s="580"/>
      <c r="MRY275" s="580"/>
      <c r="MRZ275" s="580"/>
      <c r="MSA275" s="580"/>
      <c r="MSB275" s="580"/>
      <c r="MSC275" s="580"/>
      <c r="MSD275" s="580"/>
      <c r="MSE275" s="580"/>
      <c r="MSF275" s="580"/>
      <c r="MSG275" s="580"/>
      <c r="MSH275" s="580"/>
      <c r="MSI275" s="580"/>
      <c r="MSJ275" s="580"/>
      <c r="MSK275" s="580"/>
      <c r="MSL275" s="580"/>
      <c r="MSM275" s="580"/>
      <c r="MSN275" s="580"/>
      <c r="MSO275" s="580"/>
      <c r="MSP275" s="580"/>
      <c r="MSQ275" s="580"/>
      <c r="MSR275" s="580"/>
      <c r="MSS275" s="580"/>
      <c r="MST275" s="580"/>
      <c r="MSU275" s="580"/>
      <c r="MSV275" s="580"/>
      <c r="MSW275" s="580"/>
      <c r="MSX275" s="580"/>
      <c r="MSY275" s="580"/>
      <c r="MSZ275" s="580"/>
      <c r="MTA275" s="580"/>
      <c r="MTB275" s="580"/>
      <c r="MTC275" s="580"/>
      <c r="MTD275" s="580"/>
      <c r="MTE275" s="580"/>
      <c r="MTF275" s="580"/>
      <c r="MTG275" s="580"/>
      <c r="MTH275" s="580"/>
      <c r="MTI275" s="580"/>
      <c r="MTJ275" s="580"/>
      <c r="MTK275" s="580"/>
      <c r="MTL275" s="580"/>
      <c r="MTM275" s="580"/>
      <c r="MTN275" s="580"/>
      <c r="MTO275" s="580"/>
      <c r="MTP275" s="580"/>
      <c r="MTQ275" s="580"/>
      <c r="MTR275" s="580"/>
      <c r="MTS275" s="580"/>
      <c r="MTT275" s="580"/>
      <c r="MTU275" s="580"/>
      <c r="MTV275" s="580"/>
      <c r="MTW275" s="580"/>
      <c r="MTX275" s="580"/>
      <c r="MTY275" s="580"/>
      <c r="MTZ275" s="580"/>
      <c r="MUA275" s="580"/>
      <c r="MUB275" s="580"/>
      <c r="MUC275" s="580"/>
      <c r="MUD275" s="580"/>
      <c r="MUE275" s="580"/>
      <c r="MUF275" s="580"/>
      <c r="MUG275" s="580"/>
      <c r="MUH275" s="580"/>
      <c r="MUI275" s="580"/>
      <c r="MUJ275" s="580"/>
      <c r="MUK275" s="580"/>
      <c r="MUL275" s="580"/>
      <c r="MUM275" s="580"/>
      <c r="MUN275" s="580"/>
      <c r="MUO275" s="580"/>
      <c r="MUP275" s="580"/>
      <c r="MUQ275" s="580"/>
      <c r="MUR275" s="580"/>
      <c r="MUS275" s="580"/>
      <c r="MUT275" s="580"/>
      <c r="MUU275" s="580"/>
      <c r="MUV275" s="580"/>
      <c r="MUW275" s="580"/>
      <c r="MUX275" s="580"/>
      <c r="MUY275" s="580"/>
      <c r="MUZ275" s="580"/>
      <c r="MVA275" s="580"/>
      <c r="MVB275" s="580"/>
      <c r="MVC275" s="580"/>
      <c r="MVD275" s="580"/>
      <c r="MVE275" s="580"/>
      <c r="MVF275" s="580"/>
      <c r="MVG275" s="580"/>
      <c r="MVH275" s="580"/>
      <c r="MVI275" s="580"/>
      <c r="MVJ275" s="580"/>
      <c r="MVK275" s="580"/>
      <c r="MVL275" s="580"/>
      <c r="MVM275" s="580"/>
      <c r="MVN275" s="580"/>
      <c r="MVO275" s="580"/>
      <c r="MVP275" s="580"/>
      <c r="MVQ275" s="580"/>
      <c r="MVR275" s="580"/>
      <c r="MVS275" s="580"/>
      <c r="MVT275" s="580"/>
      <c r="MVU275" s="580"/>
      <c r="MVV275" s="580"/>
      <c r="MVW275" s="580"/>
      <c r="MVX275" s="580"/>
      <c r="MVY275" s="580"/>
      <c r="MVZ275" s="580"/>
      <c r="MWA275" s="580"/>
      <c r="MWB275" s="580"/>
      <c r="MWC275" s="580"/>
      <c r="MWD275" s="580"/>
      <c r="MWE275" s="580"/>
      <c r="MWF275" s="580"/>
      <c r="MWG275" s="580"/>
      <c r="MWH275" s="580"/>
      <c r="MWI275" s="580"/>
      <c r="MWJ275" s="580"/>
      <c r="MWK275" s="580"/>
      <c r="MWL275" s="580"/>
      <c r="MWM275" s="580"/>
      <c r="MWN275" s="580"/>
      <c r="MWO275" s="580"/>
      <c r="MWP275" s="580"/>
      <c r="MWQ275" s="580"/>
      <c r="MWR275" s="580"/>
      <c r="MWS275" s="580"/>
      <c r="MWT275" s="580"/>
      <c r="MWU275" s="580"/>
      <c r="MWV275" s="580"/>
      <c r="MWW275" s="580"/>
      <c r="MWX275" s="580"/>
      <c r="MWY275" s="580"/>
      <c r="MWZ275" s="580"/>
      <c r="MXA275" s="580"/>
      <c r="MXB275" s="580"/>
      <c r="MXC275" s="580"/>
      <c r="MXD275" s="580"/>
      <c r="MXE275" s="580"/>
      <c r="MXF275" s="580"/>
      <c r="MXG275" s="580"/>
      <c r="MXH275" s="580"/>
      <c r="MXI275" s="580"/>
      <c r="MXJ275" s="580"/>
      <c r="MXK275" s="580"/>
      <c r="MXL275" s="580"/>
      <c r="MXM275" s="580"/>
      <c r="MXN275" s="580"/>
      <c r="MXO275" s="580"/>
      <c r="MXP275" s="580"/>
      <c r="MXQ275" s="580"/>
      <c r="MXR275" s="580"/>
      <c r="MXS275" s="580"/>
      <c r="MXT275" s="580"/>
      <c r="MXU275" s="580"/>
      <c r="MXV275" s="580"/>
      <c r="MXW275" s="580"/>
      <c r="MXX275" s="580"/>
      <c r="MXY275" s="580"/>
      <c r="MXZ275" s="580"/>
      <c r="MYA275" s="580"/>
      <c r="MYB275" s="580"/>
      <c r="MYC275" s="580"/>
      <c r="MYD275" s="580"/>
      <c r="MYE275" s="580"/>
      <c r="MYF275" s="580"/>
      <c r="MYG275" s="580"/>
      <c r="MYH275" s="580"/>
      <c r="MYI275" s="580"/>
      <c r="MYJ275" s="580"/>
      <c r="MYK275" s="580"/>
      <c r="MYL275" s="580"/>
      <c r="MYM275" s="580"/>
      <c r="MYN275" s="580"/>
      <c r="MYO275" s="580"/>
      <c r="MYP275" s="580"/>
      <c r="MYQ275" s="580"/>
      <c r="MYR275" s="580"/>
      <c r="MYS275" s="580"/>
      <c r="MYT275" s="580"/>
      <c r="MYU275" s="580"/>
      <c r="MYV275" s="580"/>
      <c r="MYW275" s="580"/>
      <c r="MYX275" s="580"/>
      <c r="MYY275" s="580"/>
      <c r="MYZ275" s="580"/>
      <c r="MZA275" s="580"/>
      <c r="MZB275" s="580"/>
      <c r="MZC275" s="580"/>
      <c r="MZD275" s="580"/>
      <c r="MZE275" s="580"/>
      <c r="MZF275" s="580"/>
      <c r="MZG275" s="580"/>
      <c r="MZH275" s="580"/>
      <c r="MZI275" s="580"/>
      <c r="MZJ275" s="580"/>
      <c r="MZK275" s="580"/>
      <c r="MZL275" s="580"/>
      <c r="MZM275" s="580"/>
      <c r="MZN275" s="580"/>
      <c r="MZO275" s="580"/>
      <c r="MZP275" s="580"/>
      <c r="MZQ275" s="580"/>
      <c r="MZR275" s="580"/>
      <c r="MZS275" s="580"/>
      <c r="MZT275" s="580"/>
      <c r="MZU275" s="580"/>
      <c r="MZV275" s="580"/>
      <c r="MZW275" s="580"/>
      <c r="MZX275" s="580"/>
      <c r="MZY275" s="580"/>
      <c r="MZZ275" s="580"/>
      <c r="NAA275" s="580"/>
      <c r="NAB275" s="580"/>
      <c r="NAC275" s="580"/>
      <c r="NAD275" s="580"/>
      <c r="NAE275" s="580"/>
      <c r="NAF275" s="580"/>
      <c r="NAG275" s="580"/>
      <c r="NAH275" s="580"/>
      <c r="NAI275" s="580"/>
      <c r="NAJ275" s="580"/>
      <c r="NAK275" s="580"/>
      <c r="NAL275" s="580"/>
      <c r="NAM275" s="580"/>
      <c r="NAN275" s="580"/>
      <c r="NAO275" s="580"/>
      <c r="NAP275" s="580"/>
      <c r="NAQ275" s="580"/>
      <c r="NAR275" s="580"/>
      <c r="NAS275" s="580"/>
      <c r="NAT275" s="580"/>
      <c r="NAU275" s="580"/>
      <c r="NAV275" s="580"/>
      <c r="NAW275" s="580"/>
      <c r="NAX275" s="580"/>
      <c r="NAY275" s="580"/>
      <c r="NAZ275" s="580"/>
      <c r="NBA275" s="580"/>
      <c r="NBB275" s="580"/>
      <c r="NBC275" s="580"/>
      <c r="NBD275" s="580"/>
      <c r="NBE275" s="580"/>
      <c r="NBF275" s="580"/>
      <c r="NBG275" s="580"/>
      <c r="NBH275" s="580"/>
      <c r="NBI275" s="580"/>
      <c r="NBJ275" s="580"/>
      <c r="NBK275" s="580"/>
      <c r="NBL275" s="580"/>
      <c r="NBM275" s="580"/>
      <c r="NBN275" s="580"/>
      <c r="NBO275" s="580"/>
      <c r="NBP275" s="580"/>
      <c r="NBQ275" s="580"/>
      <c r="NBR275" s="580"/>
      <c r="NBS275" s="580"/>
      <c r="NBT275" s="580"/>
      <c r="NBU275" s="580"/>
      <c r="NBV275" s="580"/>
      <c r="NBW275" s="580"/>
      <c r="NBX275" s="580"/>
      <c r="NBY275" s="580"/>
      <c r="NBZ275" s="580"/>
      <c r="NCA275" s="580"/>
      <c r="NCB275" s="580"/>
      <c r="NCC275" s="580"/>
      <c r="NCD275" s="580"/>
      <c r="NCE275" s="580"/>
      <c r="NCF275" s="580"/>
      <c r="NCG275" s="580"/>
      <c r="NCH275" s="580"/>
      <c r="NCI275" s="580"/>
      <c r="NCJ275" s="580"/>
      <c r="NCK275" s="580"/>
      <c r="NCL275" s="580"/>
      <c r="NCM275" s="580"/>
      <c r="NCN275" s="580"/>
      <c r="NCO275" s="580"/>
      <c r="NCP275" s="580"/>
      <c r="NCQ275" s="580"/>
      <c r="NCR275" s="580"/>
      <c r="NCS275" s="580"/>
      <c r="NCT275" s="580"/>
      <c r="NCU275" s="580"/>
      <c r="NCV275" s="580"/>
      <c r="NCW275" s="580"/>
      <c r="NCX275" s="580"/>
      <c r="NCY275" s="580"/>
      <c r="NCZ275" s="580"/>
      <c r="NDA275" s="580"/>
      <c r="NDB275" s="580"/>
      <c r="NDC275" s="580"/>
      <c r="NDD275" s="580"/>
      <c r="NDE275" s="580"/>
      <c r="NDF275" s="580"/>
      <c r="NDG275" s="580"/>
      <c r="NDH275" s="580"/>
      <c r="NDI275" s="580"/>
      <c r="NDJ275" s="580"/>
      <c r="NDK275" s="580"/>
      <c r="NDL275" s="580"/>
      <c r="NDM275" s="580"/>
      <c r="NDN275" s="580"/>
      <c r="NDO275" s="580"/>
      <c r="NDP275" s="580"/>
      <c r="NDQ275" s="580"/>
      <c r="NDR275" s="580"/>
      <c r="NDS275" s="580"/>
      <c r="NDT275" s="580"/>
      <c r="NDU275" s="580"/>
      <c r="NDV275" s="580"/>
      <c r="NDW275" s="580"/>
      <c r="NDX275" s="580"/>
      <c r="NDY275" s="580"/>
      <c r="NDZ275" s="580"/>
      <c r="NEA275" s="580"/>
      <c r="NEB275" s="580"/>
      <c r="NEC275" s="580"/>
      <c r="NED275" s="580"/>
      <c r="NEE275" s="580"/>
      <c r="NEF275" s="580"/>
      <c r="NEG275" s="580"/>
      <c r="NEH275" s="580"/>
      <c r="NEI275" s="580"/>
      <c r="NEJ275" s="580"/>
      <c r="NEK275" s="580"/>
      <c r="NEL275" s="580"/>
      <c r="NEM275" s="580"/>
      <c r="NEN275" s="580"/>
      <c r="NEO275" s="580"/>
      <c r="NEP275" s="580"/>
      <c r="NEQ275" s="580"/>
      <c r="NER275" s="580"/>
      <c r="NES275" s="580"/>
      <c r="NET275" s="580"/>
      <c r="NEU275" s="580"/>
      <c r="NEV275" s="580"/>
      <c r="NEW275" s="580"/>
      <c r="NEX275" s="580"/>
      <c r="NEY275" s="580"/>
      <c r="NEZ275" s="580"/>
      <c r="NFA275" s="580"/>
      <c r="NFB275" s="580"/>
      <c r="NFC275" s="580"/>
      <c r="NFD275" s="580"/>
      <c r="NFE275" s="580"/>
      <c r="NFF275" s="580"/>
      <c r="NFG275" s="580"/>
      <c r="NFH275" s="580"/>
      <c r="NFI275" s="580"/>
      <c r="NFJ275" s="580"/>
      <c r="NFK275" s="580"/>
      <c r="NFL275" s="580"/>
      <c r="NFM275" s="580"/>
      <c r="NFN275" s="580"/>
      <c r="NFO275" s="580"/>
      <c r="NFP275" s="580"/>
      <c r="NFQ275" s="580"/>
      <c r="NFR275" s="580"/>
      <c r="NFS275" s="580"/>
      <c r="NFT275" s="580"/>
      <c r="NFU275" s="580"/>
      <c r="NFV275" s="580"/>
      <c r="NFW275" s="580"/>
      <c r="NFX275" s="580"/>
      <c r="NFY275" s="580"/>
      <c r="NFZ275" s="580"/>
      <c r="NGA275" s="580"/>
      <c r="NGB275" s="580"/>
      <c r="NGC275" s="580"/>
      <c r="NGD275" s="580"/>
      <c r="NGE275" s="580"/>
      <c r="NGF275" s="580"/>
      <c r="NGG275" s="580"/>
      <c r="NGH275" s="580"/>
      <c r="NGI275" s="580"/>
      <c r="NGJ275" s="580"/>
      <c r="NGK275" s="580"/>
      <c r="NGL275" s="580"/>
      <c r="NGM275" s="580"/>
      <c r="NGN275" s="580"/>
      <c r="NGO275" s="580"/>
      <c r="NGP275" s="580"/>
      <c r="NGQ275" s="580"/>
      <c r="NGR275" s="580"/>
      <c r="NGS275" s="580"/>
      <c r="NGT275" s="580"/>
      <c r="NGU275" s="580"/>
      <c r="NGV275" s="580"/>
      <c r="NGW275" s="580"/>
      <c r="NGX275" s="580"/>
      <c r="NGY275" s="580"/>
      <c r="NGZ275" s="580"/>
      <c r="NHA275" s="580"/>
      <c r="NHB275" s="580"/>
      <c r="NHC275" s="580"/>
      <c r="NHD275" s="580"/>
      <c r="NHE275" s="580"/>
      <c r="NHF275" s="580"/>
      <c r="NHG275" s="580"/>
      <c r="NHH275" s="580"/>
      <c r="NHI275" s="580"/>
      <c r="NHJ275" s="580"/>
      <c r="NHK275" s="580"/>
      <c r="NHL275" s="580"/>
      <c r="NHM275" s="580"/>
      <c r="NHN275" s="580"/>
      <c r="NHO275" s="580"/>
      <c r="NHP275" s="580"/>
      <c r="NHQ275" s="580"/>
      <c r="NHR275" s="580"/>
      <c r="NHS275" s="580"/>
      <c r="NHT275" s="580"/>
      <c r="NHU275" s="580"/>
      <c r="NHV275" s="580"/>
      <c r="NHW275" s="580"/>
      <c r="NHX275" s="580"/>
      <c r="NHY275" s="580"/>
      <c r="NHZ275" s="580"/>
      <c r="NIA275" s="580"/>
      <c r="NIB275" s="580"/>
      <c r="NIC275" s="580"/>
      <c r="NID275" s="580"/>
      <c r="NIE275" s="580"/>
      <c r="NIF275" s="580"/>
      <c r="NIG275" s="580"/>
      <c r="NIH275" s="580"/>
      <c r="NII275" s="580"/>
      <c r="NIJ275" s="580"/>
      <c r="NIK275" s="580"/>
      <c r="NIL275" s="580"/>
      <c r="NIM275" s="580"/>
      <c r="NIN275" s="580"/>
      <c r="NIO275" s="580"/>
      <c r="NIP275" s="580"/>
      <c r="NIQ275" s="580"/>
      <c r="NIR275" s="580"/>
      <c r="NIS275" s="580"/>
      <c r="NIT275" s="580"/>
      <c r="NIU275" s="580"/>
      <c r="NIV275" s="580"/>
      <c r="NIW275" s="580"/>
      <c r="NIX275" s="580"/>
      <c r="NIY275" s="580"/>
      <c r="NIZ275" s="580"/>
      <c r="NJA275" s="580"/>
      <c r="NJB275" s="580"/>
      <c r="NJC275" s="580"/>
      <c r="NJD275" s="580"/>
      <c r="NJE275" s="580"/>
      <c r="NJF275" s="580"/>
      <c r="NJG275" s="580"/>
      <c r="NJH275" s="580"/>
      <c r="NJI275" s="580"/>
      <c r="NJJ275" s="580"/>
      <c r="NJK275" s="580"/>
      <c r="NJL275" s="580"/>
      <c r="NJM275" s="580"/>
      <c r="NJN275" s="580"/>
      <c r="NJO275" s="580"/>
      <c r="NJP275" s="580"/>
      <c r="NJQ275" s="580"/>
      <c r="NJR275" s="580"/>
      <c r="NJS275" s="580"/>
      <c r="NJT275" s="580"/>
      <c r="NJU275" s="580"/>
      <c r="NJV275" s="580"/>
      <c r="NJW275" s="580"/>
      <c r="NJX275" s="580"/>
      <c r="NJY275" s="580"/>
      <c r="NJZ275" s="580"/>
      <c r="NKA275" s="580"/>
      <c r="NKB275" s="580"/>
      <c r="NKC275" s="580"/>
      <c r="NKD275" s="580"/>
      <c r="NKE275" s="580"/>
      <c r="NKF275" s="580"/>
      <c r="NKG275" s="580"/>
      <c r="NKH275" s="580"/>
      <c r="NKI275" s="580"/>
      <c r="NKJ275" s="580"/>
      <c r="NKK275" s="580"/>
      <c r="NKL275" s="580"/>
      <c r="NKM275" s="580"/>
      <c r="NKN275" s="580"/>
      <c r="NKO275" s="580"/>
      <c r="NKP275" s="580"/>
      <c r="NKQ275" s="580"/>
      <c r="NKR275" s="580"/>
      <c r="NKS275" s="580"/>
      <c r="NKT275" s="580"/>
      <c r="NKU275" s="580"/>
      <c r="NKV275" s="580"/>
      <c r="NKW275" s="580"/>
      <c r="NKX275" s="580"/>
      <c r="NKY275" s="580"/>
      <c r="NKZ275" s="580"/>
      <c r="NLA275" s="580"/>
      <c r="NLB275" s="580"/>
      <c r="NLC275" s="580"/>
      <c r="NLD275" s="580"/>
      <c r="NLE275" s="580"/>
      <c r="NLF275" s="580"/>
      <c r="NLG275" s="580"/>
      <c r="NLH275" s="580"/>
      <c r="NLI275" s="580"/>
      <c r="NLJ275" s="580"/>
      <c r="NLK275" s="580"/>
      <c r="NLL275" s="580"/>
      <c r="NLM275" s="580"/>
      <c r="NLN275" s="580"/>
      <c r="NLO275" s="580"/>
      <c r="NLP275" s="580"/>
      <c r="NLQ275" s="580"/>
      <c r="NLR275" s="580"/>
      <c r="NLS275" s="580"/>
      <c r="NLT275" s="580"/>
      <c r="NLU275" s="580"/>
      <c r="NLV275" s="580"/>
      <c r="NLW275" s="580"/>
      <c r="NLX275" s="580"/>
      <c r="NLY275" s="580"/>
      <c r="NLZ275" s="580"/>
      <c r="NMA275" s="580"/>
      <c r="NMB275" s="580"/>
      <c r="NMC275" s="580"/>
      <c r="NMD275" s="580"/>
      <c r="NME275" s="580"/>
      <c r="NMF275" s="580"/>
      <c r="NMG275" s="580"/>
      <c r="NMH275" s="580"/>
      <c r="NMI275" s="580"/>
      <c r="NMJ275" s="580"/>
      <c r="NMK275" s="580"/>
      <c r="NML275" s="580"/>
      <c r="NMM275" s="580"/>
      <c r="NMN275" s="580"/>
      <c r="NMO275" s="580"/>
      <c r="NMP275" s="580"/>
      <c r="NMQ275" s="580"/>
      <c r="NMR275" s="580"/>
      <c r="NMS275" s="580"/>
      <c r="NMT275" s="580"/>
      <c r="NMU275" s="580"/>
      <c r="NMV275" s="580"/>
      <c r="NMW275" s="580"/>
      <c r="NMX275" s="580"/>
      <c r="NMY275" s="580"/>
      <c r="NMZ275" s="580"/>
      <c r="NNA275" s="580"/>
      <c r="NNB275" s="580"/>
      <c r="NNC275" s="580"/>
      <c r="NND275" s="580"/>
      <c r="NNE275" s="580"/>
      <c r="NNF275" s="580"/>
      <c r="NNG275" s="580"/>
      <c r="NNH275" s="580"/>
      <c r="NNI275" s="580"/>
      <c r="NNJ275" s="580"/>
      <c r="NNK275" s="580"/>
      <c r="NNL275" s="580"/>
      <c r="NNM275" s="580"/>
      <c r="NNN275" s="580"/>
      <c r="NNO275" s="580"/>
      <c r="NNP275" s="580"/>
      <c r="NNQ275" s="580"/>
      <c r="NNR275" s="580"/>
      <c r="NNS275" s="580"/>
      <c r="NNT275" s="580"/>
      <c r="NNU275" s="580"/>
      <c r="NNV275" s="580"/>
      <c r="NNW275" s="580"/>
      <c r="NNX275" s="580"/>
      <c r="NNY275" s="580"/>
      <c r="NNZ275" s="580"/>
      <c r="NOA275" s="580"/>
      <c r="NOB275" s="580"/>
      <c r="NOC275" s="580"/>
      <c r="NOD275" s="580"/>
      <c r="NOE275" s="580"/>
      <c r="NOF275" s="580"/>
      <c r="NOG275" s="580"/>
      <c r="NOH275" s="580"/>
      <c r="NOI275" s="580"/>
      <c r="NOJ275" s="580"/>
      <c r="NOK275" s="580"/>
      <c r="NOL275" s="580"/>
      <c r="NOM275" s="580"/>
      <c r="NON275" s="580"/>
      <c r="NOO275" s="580"/>
      <c r="NOP275" s="580"/>
      <c r="NOQ275" s="580"/>
      <c r="NOR275" s="580"/>
      <c r="NOS275" s="580"/>
      <c r="NOT275" s="580"/>
      <c r="NOU275" s="580"/>
      <c r="NOV275" s="580"/>
      <c r="NOW275" s="580"/>
      <c r="NOX275" s="580"/>
      <c r="NOY275" s="580"/>
      <c r="NOZ275" s="580"/>
      <c r="NPA275" s="580"/>
      <c r="NPB275" s="580"/>
      <c r="NPC275" s="580"/>
      <c r="NPD275" s="580"/>
      <c r="NPE275" s="580"/>
      <c r="NPF275" s="580"/>
      <c r="NPG275" s="580"/>
      <c r="NPH275" s="580"/>
      <c r="NPI275" s="580"/>
      <c r="NPJ275" s="580"/>
      <c r="NPK275" s="580"/>
      <c r="NPL275" s="580"/>
      <c r="NPM275" s="580"/>
      <c r="NPN275" s="580"/>
      <c r="NPO275" s="580"/>
      <c r="NPP275" s="580"/>
      <c r="NPQ275" s="580"/>
      <c r="NPR275" s="580"/>
      <c r="NPS275" s="580"/>
      <c r="NPT275" s="580"/>
      <c r="NPU275" s="580"/>
      <c r="NPV275" s="580"/>
      <c r="NPW275" s="580"/>
      <c r="NPX275" s="580"/>
      <c r="NPY275" s="580"/>
      <c r="NPZ275" s="580"/>
      <c r="NQA275" s="580"/>
      <c r="NQB275" s="580"/>
      <c r="NQC275" s="580"/>
      <c r="NQD275" s="580"/>
      <c r="NQE275" s="580"/>
      <c r="NQF275" s="580"/>
      <c r="NQG275" s="580"/>
      <c r="NQH275" s="580"/>
      <c r="NQI275" s="580"/>
      <c r="NQJ275" s="580"/>
      <c r="NQK275" s="580"/>
      <c r="NQL275" s="580"/>
      <c r="NQM275" s="580"/>
      <c r="NQN275" s="580"/>
      <c r="NQO275" s="580"/>
      <c r="NQP275" s="580"/>
      <c r="NQQ275" s="580"/>
      <c r="NQR275" s="580"/>
      <c r="NQS275" s="580"/>
      <c r="NQT275" s="580"/>
      <c r="NQU275" s="580"/>
      <c r="NQV275" s="580"/>
      <c r="NQW275" s="580"/>
      <c r="NQX275" s="580"/>
      <c r="NQY275" s="580"/>
      <c r="NQZ275" s="580"/>
      <c r="NRA275" s="580"/>
      <c r="NRB275" s="580"/>
      <c r="NRC275" s="580"/>
      <c r="NRD275" s="580"/>
      <c r="NRE275" s="580"/>
      <c r="NRF275" s="580"/>
      <c r="NRG275" s="580"/>
      <c r="NRH275" s="580"/>
      <c r="NRI275" s="580"/>
      <c r="NRJ275" s="580"/>
      <c r="NRK275" s="580"/>
      <c r="NRL275" s="580"/>
      <c r="NRM275" s="580"/>
      <c r="NRN275" s="580"/>
      <c r="NRO275" s="580"/>
      <c r="NRP275" s="580"/>
      <c r="NRQ275" s="580"/>
      <c r="NRR275" s="580"/>
      <c r="NRS275" s="580"/>
      <c r="NRT275" s="580"/>
      <c r="NRU275" s="580"/>
      <c r="NRV275" s="580"/>
      <c r="NRW275" s="580"/>
      <c r="NRX275" s="580"/>
      <c r="NRY275" s="580"/>
      <c r="NRZ275" s="580"/>
      <c r="NSA275" s="580"/>
      <c r="NSB275" s="580"/>
      <c r="NSC275" s="580"/>
      <c r="NSD275" s="580"/>
      <c r="NSE275" s="580"/>
      <c r="NSF275" s="580"/>
      <c r="NSG275" s="580"/>
      <c r="NSH275" s="580"/>
      <c r="NSI275" s="580"/>
      <c r="NSJ275" s="580"/>
      <c r="NSK275" s="580"/>
      <c r="NSL275" s="580"/>
      <c r="NSM275" s="580"/>
      <c r="NSN275" s="580"/>
      <c r="NSO275" s="580"/>
      <c r="NSP275" s="580"/>
      <c r="NSQ275" s="580"/>
      <c r="NSR275" s="580"/>
      <c r="NSS275" s="580"/>
      <c r="NST275" s="580"/>
      <c r="NSU275" s="580"/>
      <c r="NSV275" s="580"/>
      <c r="NSW275" s="580"/>
      <c r="NSX275" s="580"/>
      <c r="NSY275" s="580"/>
      <c r="NSZ275" s="580"/>
      <c r="NTA275" s="580"/>
      <c r="NTB275" s="580"/>
      <c r="NTC275" s="580"/>
      <c r="NTD275" s="580"/>
      <c r="NTE275" s="580"/>
      <c r="NTF275" s="580"/>
      <c r="NTG275" s="580"/>
      <c r="NTH275" s="580"/>
      <c r="NTI275" s="580"/>
      <c r="NTJ275" s="580"/>
      <c r="NTK275" s="580"/>
      <c r="NTL275" s="580"/>
      <c r="NTM275" s="580"/>
      <c r="NTN275" s="580"/>
      <c r="NTO275" s="580"/>
      <c r="NTP275" s="580"/>
      <c r="NTQ275" s="580"/>
      <c r="NTR275" s="580"/>
      <c r="NTS275" s="580"/>
      <c r="NTT275" s="580"/>
      <c r="NTU275" s="580"/>
      <c r="NTV275" s="580"/>
      <c r="NTW275" s="580"/>
      <c r="NTX275" s="580"/>
      <c r="NTY275" s="580"/>
      <c r="NTZ275" s="580"/>
      <c r="NUA275" s="580"/>
      <c r="NUB275" s="580"/>
      <c r="NUC275" s="580"/>
      <c r="NUD275" s="580"/>
      <c r="NUE275" s="580"/>
      <c r="NUF275" s="580"/>
      <c r="NUG275" s="580"/>
      <c r="NUH275" s="580"/>
      <c r="NUI275" s="580"/>
      <c r="NUJ275" s="580"/>
      <c r="NUK275" s="580"/>
      <c r="NUL275" s="580"/>
      <c r="NUM275" s="580"/>
      <c r="NUN275" s="580"/>
      <c r="NUO275" s="580"/>
      <c r="NUP275" s="580"/>
      <c r="NUQ275" s="580"/>
      <c r="NUR275" s="580"/>
      <c r="NUS275" s="580"/>
      <c r="NUT275" s="580"/>
      <c r="NUU275" s="580"/>
      <c r="NUV275" s="580"/>
      <c r="NUW275" s="580"/>
      <c r="NUX275" s="580"/>
      <c r="NUY275" s="580"/>
      <c r="NUZ275" s="580"/>
      <c r="NVA275" s="580"/>
      <c r="NVB275" s="580"/>
      <c r="NVC275" s="580"/>
      <c r="NVD275" s="580"/>
      <c r="NVE275" s="580"/>
      <c r="NVF275" s="580"/>
      <c r="NVG275" s="580"/>
      <c r="NVH275" s="580"/>
      <c r="NVI275" s="580"/>
      <c r="NVJ275" s="580"/>
      <c r="NVK275" s="580"/>
      <c r="NVL275" s="580"/>
      <c r="NVM275" s="580"/>
      <c r="NVN275" s="580"/>
      <c r="NVO275" s="580"/>
      <c r="NVP275" s="580"/>
      <c r="NVQ275" s="580"/>
      <c r="NVR275" s="580"/>
      <c r="NVS275" s="580"/>
      <c r="NVT275" s="580"/>
      <c r="NVU275" s="580"/>
      <c r="NVV275" s="580"/>
      <c r="NVW275" s="580"/>
      <c r="NVX275" s="580"/>
      <c r="NVY275" s="580"/>
      <c r="NVZ275" s="580"/>
      <c r="NWA275" s="580"/>
      <c r="NWB275" s="580"/>
      <c r="NWC275" s="580"/>
      <c r="NWD275" s="580"/>
      <c r="NWE275" s="580"/>
      <c r="NWF275" s="580"/>
      <c r="NWG275" s="580"/>
      <c r="NWH275" s="580"/>
      <c r="NWI275" s="580"/>
      <c r="NWJ275" s="580"/>
      <c r="NWK275" s="580"/>
      <c r="NWL275" s="580"/>
      <c r="NWM275" s="580"/>
      <c r="NWN275" s="580"/>
      <c r="NWO275" s="580"/>
      <c r="NWP275" s="580"/>
      <c r="NWQ275" s="580"/>
      <c r="NWR275" s="580"/>
      <c r="NWS275" s="580"/>
      <c r="NWT275" s="580"/>
      <c r="NWU275" s="580"/>
      <c r="NWV275" s="580"/>
      <c r="NWW275" s="580"/>
      <c r="NWX275" s="580"/>
      <c r="NWY275" s="580"/>
      <c r="NWZ275" s="580"/>
      <c r="NXA275" s="580"/>
      <c r="NXB275" s="580"/>
      <c r="NXC275" s="580"/>
      <c r="NXD275" s="580"/>
      <c r="NXE275" s="580"/>
      <c r="NXF275" s="580"/>
      <c r="NXG275" s="580"/>
      <c r="NXH275" s="580"/>
      <c r="NXI275" s="580"/>
      <c r="NXJ275" s="580"/>
      <c r="NXK275" s="580"/>
      <c r="NXL275" s="580"/>
      <c r="NXM275" s="580"/>
      <c r="NXN275" s="580"/>
      <c r="NXO275" s="580"/>
      <c r="NXP275" s="580"/>
      <c r="NXQ275" s="580"/>
      <c r="NXR275" s="580"/>
      <c r="NXS275" s="580"/>
      <c r="NXT275" s="580"/>
      <c r="NXU275" s="580"/>
      <c r="NXV275" s="580"/>
      <c r="NXW275" s="580"/>
      <c r="NXX275" s="580"/>
      <c r="NXY275" s="580"/>
      <c r="NXZ275" s="580"/>
      <c r="NYA275" s="580"/>
      <c r="NYB275" s="580"/>
      <c r="NYC275" s="580"/>
      <c r="NYD275" s="580"/>
      <c r="NYE275" s="580"/>
      <c r="NYF275" s="580"/>
      <c r="NYG275" s="580"/>
      <c r="NYH275" s="580"/>
      <c r="NYI275" s="580"/>
      <c r="NYJ275" s="580"/>
      <c r="NYK275" s="580"/>
      <c r="NYL275" s="580"/>
      <c r="NYM275" s="580"/>
      <c r="NYN275" s="580"/>
      <c r="NYO275" s="580"/>
      <c r="NYP275" s="580"/>
      <c r="NYQ275" s="580"/>
      <c r="NYR275" s="580"/>
      <c r="NYS275" s="580"/>
      <c r="NYT275" s="580"/>
      <c r="NYU275" s="580"/>
      <c r="NYV275" s="580"/>
      <c r="NYW275" s="580"/>
      <c r="NYX275" s="580"/>
      <c r="NYY275" s="580"/>
      <c r="NYZ275" s="580"/>
      <c r="NZA275" s="580"/>
      <c r="NZB275" s="580"/>
      <c r="NZC275" s="580"/>
      <c r="NZD275" s="580"/>
      <c r="NZE275" s="580"/>
      <c r="NZF275" s="580"/>
      <c r="NZG275" s="580"/>
      <c r="NZH275" s="580"/>
      <c r="NZI275" s="580"/>
      <c r="NZJ275" s="580"/>
      <c r="NZK275" s="580"/>
      <c r="NZL275" s="580"/>
      <c r="NZM275" s="580"/>
      <c r="NZN275" s="580"/>
      <c r="NZO275" s="580"/>
      <c r="NZP275" s="580"/>
      <c r="NZQ275" s="580"/>
      <c r="NZR275" s="580"/>
      <c r="NZS275" s="580"/>
      <c r="NZT275" s="580"/>
      <c r="NZU275" s="580"/>
      <c r="NZV275" s="580"/>
      <c r="NZW275" s="580"/>
      <c r="NZX275" s="580"/>
      <c r="NZY275" s="580"/>
      <c r="NZZ275" s="580"/>
      <c r="OAA275" s="580"/>
      <c r="OAB275" s="580"/>
      <c r="OAC275" s="580"/>
      <c r="OAD275" s="580"/>
      <c r="OAE275" s="580"/>
      <c r="OAF275" s="580"/>
      <c r="OAG275" s="580"/>
      <c r="OAH275" s="580"/>
      <c r="OAI275" s="580"/>
      <c r="OAJ275" s="580"/>
      <c r="OAK275" s="580"/>
      <c r="OAL275" s="580"/>
      <c r="OAM275" s="580"/>
      <c r="OAN275" s="580"/>
      <c r="OAO275" s="580"/>
      <c r="OAP275" s="580"/>
      <c r="OAQ275" s="580"/>
      <c r="OAR275" s="580"/>
      <c r="OAS275" s="580"/>
      <c r="OAT275" s="580"/>
      <c r="OAU275" s="580"/>
      <c r="OAV275" s="580"/>
      <c r="OAW275" s="580"/>
      <c r="OAX275" s="580"/>
      <c r="OAY275" s="580"/>
      <c r="OAZ275" s="580"/>
      <c r="OBA275" s="580"/>
      <c r="OBB275" s="580"/>
      <c r="OBC275" s="580"/>
      <c r="OBD275" s="580"/>
      <c r="OBE275" s="580"/>
      <c r="OBF275" s="580"/>
      <c r="OBG275" s="580"/>
      <c r="OBH275" s="580"/>
      <c r="OBI275" s="580"/>
      <c r="OBJ275" s="580"/>
      <c r="OBK275" s="580"/>
      <c r="OBL275" s="580"/>
      <c r="OBM275" s="580"/>
      <c r="OBN275" s="580"/>
      <c r="OBO275" s="580"/>
      <c r="OBP275" s="580"/>
      <c r="OBQ275" s="580"/>
      <c r="OBR275" s="580"/>
      <c r="OBS275" s="580"/>
      <c r="OBT275" s="580"/>
      <c r="OBU275" s="580"/>
      <c r="OBV275" s="580"/>
      <c r="OBW275" s="580"/>
      <c r="OBX275" s="580"/>
      <c r="OBY275" s="580"/>
      <c r="OBZ275" s="580"/>
      <c r="OCA275" s="580"/>
      <c r="OCB275" s="580"/>
      <c r="OCC275" s="580"/>
      <c r="OCD275" s="580"/>
      <c r="OCE275" s="580"/>
      <c r="OCF275" s="580"/>
      <c r="OCG275" s="580"/>
      <c r="OCH275" s="580"/>
      <c r="OCI275" s="580"/>
      <c r="OCJ275" s="580"/>
      <c r="OCK275" s="580"/>
      <c r="OCL275" s="580"/>
      <c r="OCM275" s="580"/>
      <c r="OCN275" s="580"/>
      <c r="OCO275" s="580"/>
      <c r="OCP275" s="580"/>
      <c r="OCQ275" s="580"/>
      <c r="OCR275" s="580"/>
      <c r="OCS275" s="580"/>
      <c r="OCT275" s="580"/>
      <c r="OCU275" s="580"/>
      <c r="OCV275" s="580"/>
      <c r="OCW275" s="580"/>
      <c r="OCX275" s="580"/>
      <c r="OCY275" s="580"/>
      <c r="OCZ275" s="580"/>
      <c r="ODA275" s="580"/>
      <c r="ODB275" s="580"/>
      <c r="ODC275" s="580"/>
      <c r="ODD275" s="580"/>
      <c r="ODE275" s="580"/>
      <c r="ODF275" s="580"/>
      <c r="ODG275" s="580"/>
      <c r="ODH275" s="580"/>
      <c r="ODI275" s="580"/>
      <c r="ODJ275" s="580"/>
      <c r="ODK275" s="580"/>
      <c r="ODL275" s="580"/>
      <c r="ODM275" s="580"/>
      <c r="ODN275" s="580"/>
      <c r="ODO275" s="580"/>
      <c r="ODP275" s="580"/>
      <c r="ODQ275" s="580"/>
      <c r="ODR275" s="580"/>
      <c r="ODS275" s="580"/>
      <c r="ODT275" s="580"/>
      <c r="ODU275" s="580"/>
      <c r="ODV275" s="580"/>
      <c r="ODW275" s="580"/>
      <c r="ODX275" s="580"/>
      <c r="ODY275" s="580"/>
      <c r="ODZ275" s="580"/>
      <c r="OEA275" s="580"/>
      <c r="OEB275" s="580"/>
      <c r="OEC275" s="580"/>
      <c r="OED275" s="580"/>
      <c r="OEE275" s="580"/>
      <c r="OEF275" s="580"/>
      <c r="OEG275" s="580"/>
      <c r="OEH275" s="580"/>
      <c r="OEI275" s="580"/>
      <c r="OEJ275" s="580"/>
      <c r="OEK275" s="580"/>
      <c r="OEL275" s="580"/>
      <c r="OEM275" s="580"/>
      <c r="OEN275" s="580"/>
      <c r="OEO275" s="580"/>
      <c r="OEP275" s="580"/>
      <c r="OEQ275" s="580"/>
      <c r="OER275" s="580"/>
      <c r="OES275" s="580"/>
      <c r="OET275" s="580"/>
      <c r="OEU275" s="580"/>
      <c r="OEV275" s="580"/>
      <c r="OEW275" s="580"/>
      <c r="OEX275" s="580"/>
      <c r="OEY275" s="580"/>
      <c r="OEZ275" s="580"/>
      <c r="OFA275" s="580"/>
      <c r="OFB275" s="580"/>
      <c r="OFC275" s="580"/>
      <c r="OFD275" s="580"/>
      <c r="OFE275" s="580"/>
      <c r="OFF275" s="580"/>
      <c r="OFG275" s="580"/>
      <c r="OFH275" s="580"/>
      <c r="OFI275" s="580"/>
      <c r="OFJ275" s="580"/>
      <c r="OFK275" s="580"/>
      <c r="OFL275" s="580"/>
      <c r="OFM275" s="580"/>
      <c r="OFN275" s="580"/>
      <c r="OFO275" s="580"/>
      <c r="OFP275" s="580"/>
      <c r="OFQ275" s="580"/>
      <c r="OFR275" s="580"/>
      <c r="OFS275" s="580"/>
      <c r="OFT275" s="580"/>
      <c r="OFU275" s="580"/>
      <c r="OFV275" s="580"/>
      <c r="OFW275" s="580"/>
      <c r="OFX275" s="580"/>
      <c r="OFY275" s="580"/>
      <c r="OFZ275" s="580"/>
      <c r="OGA275" s="580"/>
      <c r="OGB275" s="580"/>
      <c r="OGC275" s="580"/>
      <c r="OGD275" s="580"/>
      <c r="OGE275" s="580"/>
      <c r="OGF275" s="580"/>
      <c r="OGG275" s="580"/>
      <c r="OGH275" s="580"/>
      <c r="OGI275" s="580"/>
      <c r="OGJ275" s="580"/>
      <c r="OGK275" s="580"/>
      <c r="OGL275" s="580"/>
      <c r="OGM275" s="580"/>
      <c r="OGN275" s="580"/>
      <c r="OGO275" s="580"/>
      <c r="OGP275" s="580"/>
      <c r="OGQ275" s="580"/>
      <c r="OGR275" s="580"/>
      <c r="OGS275" s="580"/>
      <c r="OGT275" s="580"/>
      <c r="OGU275" s="580"/>
      <c r="OGV275" s="580"/>
      <c r="OGW275" s="580"/>
      <c r="OGX275" s="580"/>
      <c r="OGY275" s="580"/>
      <c r="OGZ275" s="580"/>
      <c r="OHA275" s="580"/>
      <c r="OHB275" s="580"/>
      <c r="OHC275" s="580"/>
      <c r="OHD275" s="580"/>
      <c r="OHE275" s="580"/>
      <c r="OHF275" s="580"/>
      <c r="OHG275" s="580"/>
      <c r="OHH275" s="580"/>
      <c r="OHI275" s="580"/>
      <c r="OHJ275" s="580"/>
      <c r="OHK275" s="580"/>
      <c r="OHL275" s="580"/>
      <c r="OHM275" s="580"/>
      <c r="OHN275" s="580"/>
      <c r="OHO275" s="580"/>
      <c r="OHP275" s="580"/>
      <c r="OHQ275" s="580"/>
      <c r="OHR275" s="580"/>
      <c r="OHS275" s="580"/>
      <c r="OHT275" s="580"/>
      <c r="OHU275" s="580"/>
      <c r="OHV275" s="580"/>
      <c r="OHW275" s="580"/>
      <c r="OHX275" s="580"/>
      <c r="OHY275" s="580"/>
      <c r="OHZ275" s="580"/>
      <c r="OIA275" s="580"/>
      <c r="OIB275" s="580"/>
      <c r="OIC275" s="580"/>
      <c r="OID275" s="580"/>
      <c r="OIE275" s="580"/>
      <c r="OIF275" s="580"/>
      <c r="OIG275" s="580"/>
      <c r="OIH275" s="580"/>
      <c r="OII275" s="580"/>
      <c r="OIJ275" s="580"/>
      <c r="OIK275" s="580"/>
      <c r="OIL275" s="580"/>
      <c r="OIM275" s="580"/>
      <c r="OIN275" s="580"/>
      <c r="OIO275" s="580"/>
      <c r="OIP275" s="580"/>
      <c r="OIQ275" s="580"/>
      <c r="OIR275" s="580"/>
      <c r="OIS275" s="580"/>
      <c r="OIT275" s="580"/>
      <c r="OIU275" s="580"/>
      <c r="OIV275" s="580"/>
      <c r="OIW275" s="580"/>
      <c r="OIX275" s="580"/>
      <c r="OIY275" s="580"/>
      <c r="OIZ275" s="580"/>
      <c r="OJA275" s="580"/>
      <c r="OJB275" s="580"/>
      <c r="OJC275" s="580"/>
      <c r="OJD275" s="580"/>
      <c r="OJE275" s="580"/>
      <c r="OJF275" s="580"/>
      <c r="OJG275" s="580"/>
      <c r="OJH275" s="580"/>
      <c r="OJI275" s="580"/>
      <c r="OJJ275" s="580"/>
      <c r="OJK275" s="580"/>
      <c r="OJL275" s="580"/>
      <c r="OJM275" s="580"/>
      <c r="OJN275" s="580"/>
      <c r="OJO275" s="580"/>
      <c r="OJP275" s="580"/>
      <c r="OJQ275" s="580"/>
      <c r="OJR275" s="580"/>
      <c r="OJS275" s="580"/>
      <c r="OJT275" s="580"/>
      <c r="OJU275" s="580"/>
      <c r="OJV275" s="580"/>
      <c r="OJW275" s="580"/>
      <c r="OJX275" s="580"/>
      <c r="OJY275" s="580"/>
      <c r="OJZ275" s="580"/>
      <c r="OKA275" s="580"/>
      <c r="OKB275" s="580"/>
      <c r="OKC275" s="580"/>
      <c r="OKD275" s="580"/>
      <c r="OKE275" s="580"/>
      <c r="OKF275" s="580"/>
      <c r="OKG275" s="580"/>
      <c r="OKH275" s="580"/>
      <c r="OKI275" s="580"/>
      <c r="OKJ275" s="580"/>
      <c r="OKK275" s="580"/>
      <c r="OKL275" s="580"/>
      <c r="OKM275" s="580"/>
      <c r="OKN275" s="580"/>
      <c r="OKO275" s="580"/>
      <c r="OKP275" s="580"/>
      <c r="OKQ275" s="580"/>
      <c r="OKR275" s="580"/>
      <c r="OKS275" s="580"/>
      <c r="OKT275" s="580"/>
      <c r="OKU275" s="580"/>
      <c r="OKV275" s="580"/>
      <c r="OKW275" s="580"/>
      <c r="OKX275" s="580"/>
      <c r="OKY275" s="580"/>
      <c r="OKZ275" s="580"/>
      <c r="OLA275" s="580"/>
      <c r="OLB275" s="580"/>
      <c r="OLC275" s="580"/>
      <c r="OLD275" s="580"/>
      <c r="OLE275" s="580"/>
      <c r="OLF275" s="580"/>
      <c r="OLG275" s="580"/>
      <c r="OLH275" s="580"/>
      <c r="OLI275" s="580"/>
      <c r="OLJ275" s="580"/>
      <c r="OLK275" s="580"/>
      <c r="OLL275" s="580"/>
      <c r="OLM275" s="580"/>
      <c r="OLN275" s="580"/>
      <c r="OLO275" s="580"/>
      <c r="OLP275" s="580"/>
      <c r="OLQ275" s="580"/>
      <c r="OLR275" s="580"/>
      <c r="OLS275" s="580"/>
      <c r="OLT275" s="580"/>
      <c r="OLU275" s="580"/>
      <c r="OLV275" s="580"/>
      <c r="OLW275" s="580"/>
      <c r="OLX275" s="580"/>
      <c r="OLY275" s="580"/>
      <c r="OLZ275" s="580"/>
      <c r="OMA275" s="580"/>
      <c r="OMB275" s="580"/>
      <c r="OMC275" s="580"/>
      <c r="OMD275" s="580"/>
      <c r="OME275" s="580"/>
      <c r="OMF275" s="580"/>
      <c r="OMG275" s="580"/>
      <c r="OMH275" s="580"/>
      <c r="OMI275" s="580"/>
      <c r="OMJ275" s="580"/>
      <c r="OMK275" s="580"/>
      <c r="OML275" s="580"/>
      <c r="OMM275" s="580"/>
      <c r="OMN275" s="580"/>
      <c r="OMO275" s="580"/>
      <c r="OMP275" s="580"/>
      <c r="OMQ275" s="580"/>
      <c r="OMR275" s="580"/>
      <c r="OMS275" s="580"/>
      <c r="OMT275" s="580"/>
      <c r="OMU275" s="580"/>
      <c r="OMV275" s="580"/>
      <c r="OMW275" s="580"/>
      <c r="OMX275" s="580"/>
      <c r="OMY275" s="580"/>
      <c r="OMZ275" s="580"/>
      <c r="ONA275" s="580"/>
      <c r="ONB275" s="580"/>
      <c r="ONC275" s="580"/>
      <c r="OND275" s="580"/>
      <c r="ONE275" s="580"/>
      <c r="ONF275" s="580"/>
      <c r="ONG275" s="580"/>
      <c r="ONH275" s="580"/>
      <c r="ONI275" s="580"/>
      <c r="ONJ275" s="580"/>
      <c r="ONK275" s="580"/>
      <c r="ONL275" s="580"/>
      <c r="ONM275" s="580"/>
      <c r="ONN275" s="580"/>
      <c r="ONO275" s="580"/>
      <c r="ONP275" s="580"/>
      <c r="ONQ275" s="580"/>
      <c r="ONR275" s="580"/>
      <c r="ONS275" s="580"/>
      <c r="ONT275" s="580"/>
      <c r="ONU275" s="580"/>
      <c r="ONV275" s="580"/>
      <c r="ONW275" s="580"/>
      <c r="ONX275" s="580"/>
      <c r="ONY275" s="580"/>
      <c r="ONZ275" s="580"/>
      <c r="OOA275" s="580"/>
      <c r="OOB275" s="580"/>
      <c r="OOC275" s="580"/>
      <c r="OOD275" s="580"/>
      <c r="OOE275" s="580"/>
      <c r="OOF275" s="580"/>
      <c r="OOG275" s="580"/>
      <c r="OOH275" s="580"/>
      <c r="OOI275" s="580"/>
      <c r="OOJ275" s="580"/>
      <c r="OOK275" s="580"/>
      <c r="OOL275" s="580"/>
      <c r="OOM275" s="580"/>
      <c r="OON275" s="580"/>
      <c r="OOO275" s="580"/>
      <c r="OOP275" s="580"/>
      <c r="OOQ275" s="580"/>
      <c r="OOR275" s="580"/>
      <c r="OOS275" s="580"/>
      <c r="OOT275" s="580"/>
      <c r="OOU275" s="580"/>
      <c r="OOV275" s="580"/>
      <c r="OOW275" s="580"/>
      <c r="OOX275" s="580"/>
      <c r="OOY275" s="580"/>
      <c r="OOZ275" s="580"/>
      <c r="OPA275" s="580"/>
      <c r="OPB275" s="580"/>
      <c r="OPC275" s="580"/>
      <c r="OPD275" s="580"/>
      <c r="OPE275" s="580"/>
      <c r="OPF275" s="580"/>
      <c r="OPG275" s="580"/>
      <c r="OPH275" s="580"/>
      <c r="OPI275" s="580"/>
      <c r="OPJ275" s="580"/>
      <c r="OPK275" s="580"/>
      <c r="OPL275" s="580"/>
      <c r="OPM275" s="580"/>
      <c r="OPN275" s="580"/>
      <c r="OPO275" s="580"/>
      <c r="OPP275" s="580"/>
      <c r="OPQ275" s="580"/>
      <c r="OPR275" s="580"/>
      <c r="OPS275" s="580"/>
      <c r="OPT275" s="580"/>
      <c r="OPU275" s="580"/>
      <c r="OPV275" s="580"/>
      <c r="OPW275" s="580"/>
      <c r="OPX275" s="580"/>
      <c r="OPY275" s="580"/>
      <c r="OPZ275" s="580"/>
      <c r="OQA275" s="580"/>
      <c r="OQB275" s="580"/>
      <c r="OQC275" s="580"/>
      <c r="OQD275" s="580"/>
      <c r="OQE275" s="580"/>
      <c r="OQF275" s="580"/>
      <c r="OQG275" s="580"/>
      <c r="OQH275" s="580"/>
      <c r="OQI275" s="580"/>
      <c r="OQJ275" s="580"/>
      <c r="OQK275" s="580"/>
      <c r="OQL275" s="580"/>
      <c r="OQM275" s="580"/>
      <c r="OQN275" s="580"/>
      <c r="OQO275" s="580"/>
      <c r="OQP275" s="580"/>
      <c r="OQQ275" s="580"/>
      <c r="OQR275" s="580"/>
      <c r="OQS275" s="580"/>
      <c r="OQT275" s="580"/>
      <c r="OQU275" s="580"/>
      <c r="OQV275" s="580"/>
      <c r="OQW275" s="580"/>
      <c r="OQX275" s="580"/>
      <c r="OQY275" s="580"/>
      <c r="OQZ275" s="580"/>
      <c r="ORA275" s="580"/>
      <c r="ORB275" s="580"/>
      <c r="ORC275" s="580"/>
      <c r="ORD275" s="580"/>
      <c r="ORE275" s="580"/>
      <c r="ORF275" s="580"/>
      <c r="ORG275" s="580"/>
      <c r="ORH275" s="580"/>
      <c r="ORI275" s="580"/>
      <c r="ORJ275" s="580"/>
      <c r="ORK275" s="580"/>
      <c r="ORL275" s="580"/>
      <c r="ORM275" s="580"/>
      <c r="ORN275" s="580"/>
      <c r="ORO275" s="580"/>
      <c r="ORP275" s="580"/>
      <c r="ORQ275" s="580"/>
      <c r="ORR275" s="580"/>
      <c r="ORS275" s="580"/>
      <c r="ORT275" s="580"/>
      <c r="ORU275" s="580"/>
      <c r="ORV275" s="580"/>
      <c r="ORW275" s="580"/>
      <c r="ORX275" s="580"/>
      <c r="ORY275" s="580"/>
      <c r="ORZ275" s="580"/>
      <c r="OSA275" s="580"/>
      <c r="OSB275" s="580"/>
      <c r="OSC275" s="580"/>
      <c r="OSD275" s="580"/>
      <c r="OSE275" s="580"/>
      <c r="OSF275" s="580"/>
      <c r="OSG275" s="580"/>
      <c r="OSH275" s="580"/>
      <c r="OSI275" s="580"/>
      <c r="OSJ275" s="580"/>
      <c r="OSK275" s="580"/>
      <c r="OSL275" s="580"/>
      <c r="OSM275" s="580"/>
      <c r="OSN275" s="580"/>
      <c r="OSO275" s="580"/>
      <c r="OSP275" s="580"/>
      <c r="OSQ275" s="580"/>
      <c r="OSR275" s="580"/>
      <c r="OSS275" s="580"/>
      <c r="OST275" s="580"/>
      <c r="OSU275" s="580"/>
      <c r="OSV275" s="580"/>
      <c r="OSW275" s="580"/>
      <c r="OSX275" s="580"/>
      <c r="OSY275" s="580"/>
      <c r="OSZ275" s="580"/>
      <c r="OTA275" s="580"/>
      <c r="OTB275" s="580"/>
      <c r="OTC275" s="580"/>
      <c r="OTD275" s="580"/>
      <c r="OTE275" s="580"/>
      <c r="OTF275" s="580"/>
      <c r="OTG275" s="580"/>
      <c r="OTH275" s="580"/>
      <c r="OTI275" s="580"/>
      <c r="OTJ275" s="580"/>
      <c r="OTK275" s="580"/>
      <c r="OTL275" s="580"/>
      <c r="OTM275" s="580"/>
      <c r="OTN275" s="580"/>
      <c r="OTO275" s="580"/>
      <c r="OTP275" s="580"/>
      <c r="OTQ275" s="580"/>
      <c r="OTR275" s="580"/>
      <c r="OTS275" s="580"/>
      <c r="OTT275" s="580"/>
      <c r="OTU275" s="580"/>
      <c r="OTV275" s="580"/>
      <c r="OTW275" s="580"/>
      <c r="OTX275" s="580"/>
      <c r="OTY275" s="580"/>
      <c r="OTZ275" s="580"/>
      <c r="OUA275" s="580"/>
      <c r="OUB275" s="580"/>
      <c r="OUC275" s="580"/>
      <c r="OUD275" s="580"/>
      <c r="OUE275" s="580"/>
      <c r="OUF275" s="580"/>
      <c r="OUG275" s="580"/>
      <c r="OUH275" s="580"/>
      <c r="OUI275" s="580"/>
      <c r="OUJ275" s="580"/>
      <c r="OUK275" s="580"/>
      <c r="OUL275" s="580"/>
      <c r="OUM275" s="580"/>
      <c r="OUN275" s="580"/>
      <c r="OUO275" s="580"/>
      <c r="OUP275" s="580"/>
      <c r="OUQ275" s="580"/>
      <c r="OUR275" s="580"/>
      <c r="OUS275" s="580"/>
      <c r="OUT275" s="580"/>
      <c r="OUU275" s="580"/>
      <c r="OUV275" s="580"/>
      <c r="OUW275" s="580"/>
      <c r="OUX275" s="580"/>
      <c r="OUY275" s="580"/>
      <c r="OUZ275" s="580"/>
      <c r="OVA275" s="580"/>
      <c r="OVB275" s="580"/>
      <c r="OVC275" s="580"/>
      <c r="OVD275" s="580"/>
      <c r="OVE275" s="580"/>
      <c r="OVF275" s="580"/>
      <c r="OVG275" s="580"/>
      <c r="OVH275" s="580"/>
      <c r="OVI275" s="580"/>
      <c r="OVJ275" s="580"/>
      <c r="OVK275" s="580"/>
      <c r="OVL275" s="580"/>
      <c r="OVM275" s="580"/>
      <c r="OVN275" s="580"/>
      <c r="OVO275" s="580"/>
      <c r="OVP275" s="580"/>
      <c r="OVQ275" s="580"/>
      <c r="OVR275" s="580"/>
      <c r="OVS275" s="580"/>
      <c r="OVT275" s="580"/>
      <c r="OVU275" s="580"/>
      <c r="OVV275" s="580"/>
      <c r="OVW275" s="580"/>
      <c r="OVX275" s="580"/>
      <c r="OVY275" s="580"/>
      <c r="OVZ275" s="580"/>
      <c r="OWA275" s="580"/>
      <c r="OWB275" s="580"/>
      <c r="OWC275" s="580"/>
      <c r="OWD275" s="580"/>
      <c r="OWE275" s="580"/>
      <c r="OWF275" s="580"/>
      <c r="OWG275" s="580"/>
      <c r="OWH275" s="580"/>
      <c r="OWI275" s="580"/>
      <c r="OWJ275" s="580"/>
      <c r="OWK275" s="580"/>
      <c r="OWL275" s="580"/>
      <c r="OWM275" s="580"/>
      <c r="OWN275" s="580"/>
      <c r="OWO275" s="580"/>
      <c r="OWP275" s="580"/>
      <c r="OWQ275" s="580"/>
      <c r="OWR275" s="580"/>
      <c r="OWS275" s="580"/>
      <c r="OWT275" s="580"/>
      <c r="OWU275" s="580"/>
      <c r="OWV275" s="580"/>
      <c r="OWW275" s="580"/>
      <c r="OWX275" s="580"/>
      <c r="OWY275" s="580"/>
      <c r="OWZ275" s="580"/>
      <c r="OXA275" s="580"/>
      <c r="OXB275" s="580"/>
      <c r="OXC275" s="580"/>
      <c r="OXD275" s="580"/>
      <c r="OXE275" s="580"/>
      <c r="OXF275" s="580"/>
      <c r="OXG275" s="580"/>
      <c r="OXH275" s="580"/>
      <c r="OXI275" s="580"/>
      <c r="OXJ275" s="580"/>
      <c r="OXK275" s="580"/>
      <c r="OXL275" s="580"/>
      <c r="OXM275" s="580"/>
      <c r="OXN275" s="580"/>
      <c r="OXO275" s="580"/>
      <c r="OXP275" s="580"/>
      <c r="OXQ275" s="580"/>
      <c r="OXR275" s="580"/>
      <c r="OXS275" s="580"/>
      <c r="OXT275" s="580"/>
      <c r="OXU275" s="580"/>
      <c r="OXV275" s="580"/>
      <c r="OXW275" s="580"/>
      <c r="OXX275" s="580"/>
      <c r="OXY275" s="580"/>
      <c r="OXZ275" s="580"/>
      <c r="OYA275" s="580"/>
      <c r="OYB275" s="580"/>
      <c r="OYC275" s="580"/>
      <c r="OYD275" s="580"/>
      <c r="OYE275" s="580"/>
      <c r="OYF275" s="580"/>
      <c r="OYG275" s="580"/>
      <c r="OYH275" s="580"/>
      <c r="OYI275" s="580"/>
      <c r="OYJ275" s="580"/>
      <c r="OYK275" s="580"/>
      <c r="OYL275" s="580"/>
      <c r="OYM275" s="580"/>
      <c r="OYN275" s="580"/>
      <c r="OYO275" s="580"/>
      <c r="OYP275" s="580"/>
      <c r="OYQ275" s="580"/>
      <c r="OYR275" s="580"/>
      <c r="OYS275" s="580"/>
      <c r="OYT275" s="580"/>
      <c r="OYU275" s="580"/>
      <c r="OYV275" s="580"/>
      <c r="OYW275" s="580"/>
      <c r="OYX275" s="580"/>
      <c r="OYY275" s="580"/>
      <c r="OYZ275" s="580"/>
      <c r="OZA275" s="580"/>
      <c r="OZB275" s="580"/>
      <c r="OZC275" s="580"/>
      <c r="OZD275" s="580"/>
      <c r="OZE275" s="580"/>
      <c r="OZF275" s="580"/>
      <c r="OZG275" s="580"/>
      <c r="OZH275" s="580"/>
      <c r="OZI275" s="580"/>
      <c r="OZJ275" s="580"/>
      <c r="OZK275" s="580"/>
      <c r="OZL275" s="580"/>
      <c r="OZM275" s="580"/>
      <c r="OZN275" s="580"/>
      <c r="OZO275" s="580"/>
      <c r="OZP275" s="580"/>
      <c r="OZQ275" s="580"/>
      <c r="OZR275" s="580"/>
      <c r="OZS275" s="580"/>
      <c r="OZT275" s="580"/>
      <c r="OZU275" s="580"/>
      <c r="OZV275" s="580"/>
      <c r="OZW275" s="580"/>
      <c r="OZX275" s="580"/>
      <c r="OZY275" s="580"/>
      <c r="OZZ275" s="580"/>
      <c r="PAA275" s="580"/>
      <c r="PAB275" s="580"/>
      <c r="PAC275" s="580"/>
      <c r="PAD275" s="580"/>
      <c r="PAE275" s="580"/>
      <c r="PAF275" s="580"/>
      <c r="PAG275" s="580"/>
      <c r="PAH275" s="580"/>
      <c r="PAI275" s="580"/>
      <c r="PAJ275" s="580"/>
      <c r="PAK275" s="580"/>
      <c r="PAL275" s="580"/>
      <c r="PAM275" s="580"/>
      <c r="PAN275" s="580"/>
      <c r="PAO275" s="580"/>
      <c r="PAP275" s="580"/>
      <c r="PAQ275" s="580"/>
      <c r="PAR275" s="580"/>
      <c r="PAS275" s="580"/>
      <c r="PAT275" s="580"/>
      <c r="PAU275" s="580"/>
      <c r="PAV275" s="580"/>
      <c r="PAW275" s="580"/>
      <c r="PAX275" s="580"/>
      <c r="PAY275" s="580"/>
      <c r="PAZ275" s="580"/>
      <c r="PBA275" s="580"/>
      <c r="PBB275" s="580"/>
      <c r="PBC275" s="580"/>
      <c r="PBD275" s="580"/>
      <c r="PBE275" s="580"/>
      <c r="PBF275" s="580"/>
      <c r="PBG275" s="580"/>
      <c r="PBH275" s="580"/>
      <c r="PBI275" s="580"/>
      <c r="PBJ275" s="580"/>
      <c r="PBK275" s="580"/>
      <c r="PBL275" s="580"/>
      <c r="PBM275" s="580"/>
      <c r="PBN275" s="580"/>
      <c r="PBO275" s="580"/>
      <c r="PBP275" s="580"/>
      <c r="PBQ275" s="580"/>
      <c r="PBR275" s="580"/>
      <c r="PBS275" s="580"/>
      <c r="PBT275" s="580"/>
      <c r="PBU275" s="580"/>
      <c r="PBV275" s="580"/>
      <c r="PBW275" s="580"/>
      <c r="PBX275" s="580"/>
      <c r="PBY275" s="580"/>
      <c r="PBZ275" s="580"/>
      <c r="PCA275" s="580"/>
      <c r="PCB275" s="580"/>
      <c r="PCC275" s="580"/>
      <c r="PCD275" s="580"/>
      <c r="PCE275" s="580"/>
      <c r="PCF275" s="580"/>
      <c r="PCG275" s="580"/>
      <c r="PCH275" s="580"/>
      <c r="PCI275" s="580"/>
      <c r="PCJ275" s="580"/>
      <c r="PCK275" s="580"/>
      <c r="PCL275" s="580"/>
      <c r="PCM275" s="580"/>
      <c r="PCN275" s="580"/>
      <c r="PCO275" s="580"/>
      <c r="PCP275" s="580"/>
      <c r="PCQ275" s="580"/>
      <c r="PCR275" s="580"/>
      <c r="PCS275" s="580"/>
      <c r="PCT275" s="580"/>
      <c r="PCU275" s="580"/>
      <c r="PCV275" s="580"/>
      <c r="PCW275" s="580"/>
      <c r="PCX275" s="580"/>
      <c r="PCY275" s="580"/>
      <c r="PCZ275" s="580"/>
      <c r="PDA275" s="580"/>
      <c r="PDB275" s="580"/>
      <c r="PDC275" s="580"/>
      <c r="PDD275" s="580"/>
      <c r="PDE275" s="580"/>
      <c r="PDF275" s="580"/>
      <c r="PDG275" s="580"/>
      <c r="PDH275" s="580"/>
      <c r="PDI275" s="580"/>
      <c r="PDJ275" s="580"/>
      <c r="PDK275" s="580"/>
      <c r="PDL275" s="580"/>
      <c r="PDM275" s="580"/>
      <c r="PDN275" s="580"/>
      <c r="PDO275" s="580"/>
      <c r="PDP275" s="580"/>
      <c r="PDQ275" s="580"/>
      <c r="PDR275" s="580"/>
      <c r="PDS275" s="580"/>
      <c r="PDT275" s="580"/>
      <c r="PDU275" s="580"/>
      <c r="PDV275" s="580"/>
      <c r="PDW275" s="580"/>
      <c r="PDX275" s="580"/>
      <c r="PDY275" s="580"/>
      <c r="PDZ275" s="580"/>
      <c r="PEA275" s="580"/>
      <c r="PEB275" s="580"/>
      <c r="PEC275" s="580"/>
      <c r="PED275" s="580"/>
      <c r="PEE275" s="580"/>
      <c r="PEF275" s="580"/>
      <c r="PEG275" s="580"/>
      <c r="PEH275" s="580"/>
      <c r="PEI275" s="580"/>
      <c r="PEJ275" s="580"/>
      <c r="PEK275" s="580"/>
      <c r="PEL275" s="580"/>
      <c r="PEM275" s="580"/>
      <c r="PEN275" s="580"/>
      <c r="PEO275" s="580"/>
      <c r="PEP275" s="580"/>
      <c r="PEQ275" s="580"/>
      <c r="PER275" s="580"/>
      <c r="PES275" s="580"/>
      <c r="PET275" s="580"/>
      <c r="PEU275" s="580"/>
      <c r="PEV275" s="580"/>
      <c r="PEW275" s="580"/>
      <c r="PEX275" s="580"/>
      <c r="PEY275" s="580"/>
      <c r="PEZ275" s="580"/>
      <c r="PFA275" s="580"/>
      <c r="PFB275" s="580"/>
      <c r="PFC275" s="580"/>
      <c r="PFD275" s="580"/>
      <c r="PFE275" s="580"/>
      <c r="PFF275" s="580"/>
      <c r="PFG275" s="580"/>
      <c r="PFH275" s="580"/>
      <c r="PFI275" s="580"/>
      <c r="PFJ275" s="580"/>
      <c r="PFK275" s="580"/>
      <c r="PFL275" s="580"/>
      <c r="PFM275" s="580"/>
      <c r="PFN275" s="580"/>
      <c r="PFO275" s="580"/>
      <c r="PFP275" s="580"/>
      <c r="PFQ275" s="580"/>
      <c r="PFR275" s="580"/>
      <c r="PFS275" s="580"/>
      <c r="PFT275" s="580"/>
      <c r="PFU275" s="580"/>
      <c r="PFV275" s="580"/>
      <c r="PFW275" s="580"/>
      <c r="PFX275" s="580"/>
      <c r="PFY275" s="580"/>
      <c r="PFZ275" s="580"/>
      <c r="PGA275" s="580"/>
      <c r="PGB275" s="580"/>
      <c r="PGC275" s="580"/>
      <c r="PGD275" s="580"/>
      <c r="PGE275" s="580"/>
      <c r="PGF275" s="580"/>
      <c r="PGG275" s="580"/>
      <c r="PGH275" s="580"/>
      <c r="PGI275" s="580"/>
      <c r="PGJ275" s="580"/>
      <c r="PGK275" s="580"/>
      <c r="PGL275" s="580"/>
      <c r="PGM275" s="580"/>
      <c r="PGN275" s="580"/>
      <c r="PGO275" s="580"/>
      <c r="PGP275" s="580"/>
      <c r="PGQ275" s="580"/>
      <c r="PGR275" s="580"/>
      <c r="PGS275" s="580"/>
      <c r="PGT275" s="580"/>
      <c r="PGU275" s="580"/>
      <c r="PGV275" s="580"/>
      <c r="PGW275" s="580"/>
      <c r="PGX275" s="580"/>
      <c r="PGY275" s="580"/>
      <c r="PGZ275" s="580"/>
      <c r="PHA275" s="580"/>
      <c r="PHB275" s="580"/>
      <c r="PHC275" s="580"/>
      <c r="PHD275" s="580"/>
      <c r="PHE275" s="580"/>
      <c r="PHF275" s="580"/>
      <c r="PHG275" s="580"/>
      <c r="PHH275" s="580"/>
      <c r="PHI275" s="580"/>
      <c r="PHJ275" s="580"/>
      <c r="PHK275" s="580"/>
      <c r="PHL275" s="580"/>
      <c r="PHM275" s="580"/>
      <c r="PHN275" s="580"/>
      <c r="PHO275" s="580"/>
      <c r="PHP275" s="580"/>
      <c r="PHQ275" s="580"/>
      <c r="PHR275" s="580"/>
      <c r="PHS275" s="580"/>
      <c r="PHT275" s="580"/>
      <c r="PHU275" s="580"/>
      <c r="PHV275" s="580"/>
      <c r="PHW275" s="580"/>
      <c r="PHX275" s="580"/>
      <c r="PHY275" s="580"/>
      <c r="PHZ275" s="580"/>
      <c r="PIA275" s="580"/>
      <c r="PIB275" s="580"/>
      <c r="PIC275" s="580"/>
      <c r="PID275" s="580"/>
      <c r="PIE275" s="580"/>
      <c r="PIF275" s="580"/>
      <c r="PIG275" s="580"/>
      <c r="PIH275" s="580"/>
      <c r="PII275" s="580"/>
      <c r="PIJ275" s="580"/>
      <c r="PIK275" s="580"/>
      <c r="PIL275" s="580"/>
      <c r="PIM275" s="580"/>
      <c r="PIN275" s="580"/>
      <c r="PIO275" s="580"/>
      <c r="PIP275" s="580"/>
      <c r="PIQ275" s="580"/>
      <c r="PIR275" s="580"/>
      <c r="PIS275" s="580"/>
      <c r="PIT275" s="580"/>
      <c r="PIU275" s="580"/>
      <c r="PIV275" s="580"/>
      <c r="PIW275" s="580"/>
      <c r="PIX275" s="580"/>
      <c r="PIY275" s="580"/>
      <c r="PIZ275" s="580"/>
      <c r="PJA275" s="580"/>
      <c r="PJB275" s="580"/>
      <c r="PJC275" s="580"/>
      <c r="PJD275" s="580"/>
      <c r="PJE275" s="580"/>
      <c r="PJF275" s="580"/>
      <c r="PJG275" s="580"/>
      <c r="PJH275" s="580"/>
      <c r="PJI275" s="580"/>
      <c r="PJJ275" s="580"/>
      <c r="PJK275" s="580"/>
      <c r="PJL275" s="580"/>
      <c r="PJM275" s="580"/>
      <c r="PJN275" s="580"/>
      <c r="PJO275" s="580"/>
      <c r="PJP275" s="580"/>
      <c r="PJQ275" s="580"/>
      <c r="PJR275" s="580"/>
      <c r="PJS275" s="580"/>
      <c r="PJT275" s="580"/>
      <c r="PJU275" s="580"/>
      <c r="PJV275" s="580"/>
      <c r="PJW275" s="580"/>
      <c r="PJX275" s="580"/>
      <c r="PJY275" s="580"/>
      <c r="PJZ275" s="580"/>
      <c r="PKA275" s="580"/>
      <c r="PKB275" s="580"/>
      <c r="PKC275" s="580"/>
      <c r="PKD275" s="580"/>
      <c r="PKE275" s="580"/>
      <c r="PKF275" s="580"/>
      <c r="PKG275" s="580"/>
      <c r="PKH275" s="580"/>
      <c r="PKI275" s="580"/>
      <c r="PKJ275" s="580"/>
      <c r="PKK275" s="580"/>
      <c r="PKL275" s="580"/>
      <c r="PKM275" s="580"/>
      <c r="PKN275" s="580"/>
      <c r="PKO275" s="580"/>
      <c r="PKP275" s="580"/>
      <c r="PKQ275" s="580"/>
      <c r="PKR275" s="580"/>
      <c r="PKS275" s="580"/>
      <c r="PKT275" s="580"/>
      <c r="PKU275" s="580"/>
      <c r="PKV275" s="580"/>
      <c r="PKW275" s="580"/>
      <c r="PKX275" s="580"/>
      <c r="PKY275" s="580"/>
      <c r="PKZ275" s="580"/>
      <c r="PLA275" s="580"/>
      <c r="PLB275" s="580"/>
      <c r="PLC275" s="580"/>
      <c r="PLD275" s="580"/>
      <c r="PLE275" s="580"/>
      <c r="PLF275" s="580"/>
      <c r="PLG275" s="580"/>
      <c r="PLH275" s="580"/>
      <c r="PLI275" s="580"/>
      <c r="PLJ275" s="580"/>
      <c r="PLK275" s="580"/>
      <c r="PLL275" s="580"/>
      <c r="PLM275" s="580"/>
      <c r="PLN275" s="580"/>
      <c r="PLO275" s="580"/>
      <c r="PLP275" s="580"/>
      <c r="PLQ275" s="580"/>
      <c r="PLR275" s="580"/>
      <c r="PLS275" s="580"/>
      <c r="PLT275" s="580"/>
      <c r="PLU275" s="580"/>
      <c r="PLV275" s="580"/>
      <c r="PLW275" s="580"/>
      <c r="PLX275" s="580"/>
      <c r="PLY275" s="580"/>
      <c r="PLZ275" s="580"/>
      <c r="PMA275" s="580"/>
      <c r="PMB275" s="580"/>
      <c r="PMC275" s="580"/>
      <c r="PMD275" s="580"/>
      <c r="PME275" s="580"/>
      <c r="PMF275" s="580"/>
      <c r="PMG275" s="580"/>
      <c r="PMH275" s="580"/>
      <c r="PMI275" s="580"/>
      <c r="PMJ275" s="580"/>
      <c r="PMK275" s="580"/>
      <c r="PML275" s="580"/>
      <c r="PMM275" s="580"/>
      <c r="PMN275" s="580"/>
      <c r="PMO275" s="580"/>
      <c r="PMP275" s="580"/>
      <c r="PMQ275" s="580"/>
      <c r="PMR275" s="580"/>
      <c r="PMS275" s="580"/>
      <c r="PMT275" s="580"/>
      <c r="PMU275" s="580"/>
      <c r="PMV275" s="580"/>
      <c r="PMW275" s="580"/>
      <c r="PMX275" s="580"/>
      <c r="PMY275" s="580"/>
      <c r="PMZ275" s="580"/>
      <c r="PNA275" s="580"/>
      <c r="PNB275" s="580"/>
      <c r="PNC275" s="580"/>
      <c r="PND275" s="580"/>
      <c r="PNE275" s="580"/>
      <c r="PNF275" s="580"/>
      <c r="PNG275" s="580"/>
      <c r="PNH275" s="580"/>
      <c r="PNI275" s="580"/>
      <c r="PNJ275" s="580"/>
      <c r="PNK275" s="580"/>
      <c r="PNL275" s="580"/>
      <c r="PNM275" s="580"/>
      <c r="PNN275" s="580"/>
      <c r="PNO275" s="580"/>
      <c r="PNP275" s="580"/>
      <c r="PNQ275" s="580"/>
      <c r="PNR275" s="580"/>
      <c r="PNS275" s="580"/>
      <c r="PNT275" s="580"/>
      <c r="PNU275" s="580"/>
      <c r="PNV275" s="580"/>
      <c r="PNW275" s="580"/>
      <c r="PNX275" s="580"/>
      <c r="PNY275" s="580"/>
      <c r="PNZ275" s="580"/>
      <c r="POA275" s="580"/>
      <c r="POB275" s="580"/>
      <c r="POC275" s="580"/>
      <c r="POD275" s="580"/>
      <c r="POE275" s="580"/>
      <c r="POF275" s="580"/>
      <c r="POG275" s="580"/>
      <c r="POH275" s="580"/>
      <c r="POI275" s="580"/>
      <c r="POJ275" s="580"/>
      <c r="POK275" s="580"/>
      <c r="POL275" s="580"/>
      <c r="POM275" s="580"/>
      <c r="PON275" s="580"/>
      <c r="POO275" s="580"/>
      <c r="POP275" s="580"/>
      <c r="POQ275" s="580"/>
      <c r="POR275" s="580"/>
      <c r="POS275" s="580"/>
      <c r="POT275" s="580"/>
      <c r="POU275" s="580"/>
      <c r="POV275" s="580"/>
      <c r="POW275" s="580"/>
      <c r="POX275" s="580"/>
      <c r="POY275" s="580"/>
      <c r="POZ275" s="580"/>
      <c r="PPA275" s="580"/>
      <c r="PPB275" s="580"/>
      <c r="PPC275" s="580"/>
      <c r="PPD275" s="580"/>
      <c r="PPE275" s="580"/>
      <c r="PPF275" s="580"/>
      <c r="PPG275" s="580"/>
      <c r="PPH275" s="580"/>
      <c r="PPI275" s="580"/>
      <c r="PPJ275" s="580"/>
      <c r="PPK275" s="580"/>
      <c r="PPL275" s="580"/>
      <c r="PPM275" s="580"/>
      <c r="PPN275" s="580"/>
      <c r="PPO275" s="580"/>
      <c r="PPP275" s="580"/>
      <c r="PPQ275" s="580"/>
      <c r="PPR275" s="580"/>
      <c r="PPS275" s="580"/>
      <c r="PPT275" s="580"/>
      <c r="PPU275" s="580"/>
      <c r="PPV275" s="580"/>
      <c r="PPW275" s="580"/>
      <c r="PPX275" s="580"/>
      <c r="PPY275" s="580"/>
      <c r="PPZ275" s="580"/>
      <c r="PQA275" s="580"/>
      <c r="PQB275" s="580"/>
      <c r="PQC275" s="580"/>
      <c r="PQD275" s="580"/>
      <c r="PQE275" s="580"/>
      <c r="PQF275" s="580"/>
      <c r="PQG275" s="580"/>
      <c r="PQH275" s="580"/>
      <c r="PQI275" s="580"/>
      <c r="PQJ275" s="580"/>
      <c r="PQK275" s="580"/>
      <c r="PQL275" s="580"/>
      <c r="PQM275" s="580"/>
      <c r="PQN275" s="580"/>
      <c r="PQO275" s="580"/>
      <c r="PQP275" s="580"/>
      <c r="PQQ275" s="580"/>
      <c r="PQR275" s="580"/>
      <c r="PQS275" s="580"/>
      <c r="PQT275" s="580"/>
      <c r="PQU275" s="580"/>
      <c r="PQV275" s="580"/>
      <c r="PQW275" s="580"/>
      <c r="PQX275" s="580"/>
      <c r="PQY275" s="580"/>
      <c r="PQZ275" s="580"/>
      <c r="PRA275" s="580"/>
      <c r="PRB275" s="580"/>
      <c r="PRC275" s="580"/>
      <c r="PRD275" s="580"/>
      <c r="PRE275" s="580"/>
      <c r="PRF275" s="580"/>
      <c r="PRG275" s="580"/>
      <c r="PRH275" s="580"/>
      <c r="PRI275" s="580"/>
      <c r="PRJ275" s="580"/>
      <c r="PRK275" s="580"/>
      <c r="PRL275" s="580"/>
      <c r="PRM275" s="580"/>
      <c r="PRN275" s="580"/>
      <c r="PRO275" s="580"/>
      <c r="PRP275" s="580"/>
      <c r="PRQ275" s="580"/>
      <c r="PRR275" s="580"/>
      <c r="PRS275" s="580"/>
      <c r="PRT275" s="580"/>
      <c r="PRU275" s="580"/>
      <c r="PRV275" s="580"/>
      <c r="PRW275" s="580"/>
      <c r="PRX275" s="580"/>
      <c r="PRY275" s="580"/>
      <c r="PRZ275" s="580"/>
      <c r="PSA275" s="580"/>
      <c r="PSB275" s="580"/>
      <c r="PSC275" s="580"/>
      <c r="PSD275" s="580"/>
      <c r="PSE275" s="580"/>
      <c r="PSF275" s="580"/>
      <c r="PSG275" s="580"/>
      <c r="PSH275" s="580"/>
      <c r="PSI275" s="580"/>
      <c r="PSJ275" s="580"/>
      <c r="PSK275" s="580"/>
      <c r="PSL275" s="580"/>
      <c r="PSM275" s="580"/>
      <c r="PSN275" s="580"/>
      <c r="PSO275" s="580"/>
      <c r="PSP275" s="580"/>
      <c r="PSQ275" s="580"/>
      <c r="PSR275" s="580"/>
      <c r="PSS275" s="580"/>
      <c r="PST275" s="580"/>
      <c r="PSU275" s="580"/>
      <c r="PSV275" s="580"/>
      <c r="PSW275" s="580"/>
      <c r="PSX275" s="580"/>
      <c r="PSY275" s="580"/>
      <c r="PSZ275" s="580"/>
      <c r="PTA275" s="580"/>
      <c r="PTB275" s="580"/>
      <c r="PTC275" s="580"/>
      <c r="PTD275" s="580"/>
      <c r="PTE275" s="580"/>
      <c r="PTF275" s="580"/>
      <c r="PTG275" s="580"/>
      <c r="PTH275" s="580"/>
      <c r="PTI275" s="580"/>
      <c r="PTJ275" s="580"/>
      <c r="PTK275" s="580"/>
      <c r="PTL275" s="580"/>
      <c r="PTM275" s="580"/>
      <c r="PTN275" s="580"/>
      <c r="PTO275" s="580"/>
      <c r="PTP275" s="580"/>
      <c r="PTQ275" s="580"/>
      <c r="PTR275" s="580"/>
      <c r="PTS275" s="580"/>
      <c r="PTT275" s="580"/>
      <c r="PTU275" s="580"/>
      <c r="PTV275" s="580"/>
      <c r="PTW275" s="580"/>
      <c r="PTX275" s="580"/>
      <c r="PTY275" s="580"/>
      <c r="PTZ275" s="580"/>
      <c r="PUA275" s="580"/>
      <c r="PUB275" s="580"/>
      <c r="PUC275" s="580"/>
      <c r="PUD275" s="580"/>
      <c r="PUE275" s="580"/>
      <c r="PUF275" s="580"/>
      <c r="PUG275" s="580"/>
      <c r="PUH275" s="580"/>
      <c r="PUI275" s="580"/>
      <c r="PUJ275" s="580"/>
      <c r="PUK275" s="580"/>
      <c r="PUL275" s="580"/>
      <c r="PUM275" s="580"/>
      <c r="PUN275" s="580"/>
      <c r="PUO275" s="580"/>
      <c r="PUP275" s="580"/>
      <c r="PUQ275" s="580"/>
      <c r="PUR275" s="580"/>
      <c r="PUS275" s="580"/>
      <c r="PUT275" s="580"/>
      <c r="PUU275" s="580"/>
      <c r="PUV275" s="580"/>
      <c r="PUW275" s="580"/>
      <c r="PUX275" s="580"/>
      <c r="PUY275" s="580"/>
      <c r="PUZ275" s="580"/>
      <c r="PVA275" s="580"/>
      <c r="PVB275" s="580"/>
      <c r="PVC275" s="580"/>
      <c r="PVD275" s="580"/>
      <c r="PVE275" s="580"/>
      <c r="PVF275" s="580"/>
      <c r="PVG275" s="580"/>
      <c r="PVH275" s="580"/>
      <c r="PVI275" s="580"/>
      <c r="PVJ275" s="580"/>
      <c r="PVK275" s="580"/>
      <c r="PVL275" s="580"/>
      <c r="PVM275" s="580"/>
      <c r="PVN275" s="580"/>
      <c r="PVO275" s="580"/>
      <c r="PVP275" s="580"/>
      <c r="PVQ275" s="580"/>
      <c r="PVR275" s="580"/>
      <c r="PVS275" s="580"/>
      <c r="PVT275" s="580"/>
      <c r="PVU275" s="580"/>
      <c r="PVV275" s="580"/>
      <c r="PVW275" s="580"/>
      <c r="PVX275" s="580"/>
      <c r="PVY275" s="580"/>
      <c r="PVZ275" s="580"/>
      <c r="PWA275" s="580"/>
      <c r="PWB275" s="580"/>
      <c r="PWC275" s="580"/>
      <c r="PWD275" s="580"/>
      <c r="PWE275" s="580"/>
      <c r="PWF275" s="580"/>
      <c r="PWG275" s="580"/>
      <c r="PWH275" s="580"/>
      <c r="PWI275" s="580"/>
      <c r="PWJ275" s="580"/>
      <c r="PWK275" s="580"/>
      <c r="PWL275" s="580"/>
      <c r="PWM275" s="580"/>
      <c r="PWN275" s="580"/>
      <c r="PWO275" s="580"/>
      <c r="PWP275" s="580"/>
      <c r="PWQ275" s="580"/>
      <c r="PWR275" s="580"/>
      <c r="PWS275" s="580"/>
      <c r="PWT275" s="580"/>
      <c r="PWU275" s="580"/>
      <c r="PWV275" s="580"/>
      <c r="PWW275" s="580"/>
      <c r="PWX275" s="580"/>
      <c r="PWY275" s="580"/>
      <c r="PWZ275" s="580"/>
      <c r="PXA275" s="580"/>
      <c r="PXB275" s="580"/>
      <c r="PXC275" s="580"/>
      <c r="PXD275" s="580"/>
      <c r="PXE275" s="580"/>
      <c r="PXF275" s="580"/>
      <c r="PXG275" s="580"/>
      <c r="PXH275" s="580"/>
      <c r="PXI275" s="580"/>
      <c r="PXJ275" s="580"/>
      <c r="PXK275" s="580"/>
      <c r="PXL275" s="580"/>
      <c r="PXM275" s="580"/>
      <c r="PXN275" s="580"/>
      <c r="PXO275" s="580"/>
      <c r="PXP275" s="580"/>
      <c r="PXQ275" s="580"/>
      <c r="PXR275" s="580"/>
      <c r="PXS275" s="580"/>
      <c r="PXT275" s="580"/>
      <c r="PXU275" s="580"/>
      <c r="PXV275" s="580"/>
      <c r="PXW275" s="580"/>
      <c r="PXX275" s="580"/>
      <c r="PXY275" s="580"/>
      <c r="PXZ275" s="580"/>
      <c r="PYA275" s="580"/>
      <c r="PYB275" s="580"/>
      <c r="PYC275" s="580"/>
      <c r="PYD275" s="580"/>
      <c r="PYE275" s="580"/>
      <c r="PYF275" s="580"/>
      <c r="PYG275" s="580"/>
      <c r="PYH275" s="580"/>
      <c r="PYI275" s="580"/>
      <c r="PYJ275" s="580"/>
      <c r="PYK275" s="580"/>
      <c r="PYL275" s="580"/>
      <c r="PYM275" s="580"/>
      <c r="PYN275" s="580"/>
      <c r="PYO275" s="580"/>
      <c r="PYP275" s="580"/>
      <c r="PYQ275" s="580"/>
      <c r="PYR275" s="580"/>
      <c r="PYS275" s="580"/>
      <c r="PYT275" s="580"/>
      <c r="PYU275" s="580"/>
      <c r="PYV275" s="580"/>
      <c r="PYW275" s="580"/>
      <c r="PYX275" s="580"/>
      <c r="PYY275" s="580"/>
      <c r="PYZ275" s="580"/>
      <c r="PZA275" s="580"/>
      <c r="PZB275" s="580"/>
      <c r="PZC275" s="580"/>
      <c r="PZD275" s="580"/>
      <c r="PZE275" s="580"/>
      <c r="PZF275" s="580"/>
      <c r="PZG275" s="580"/>
      <c r="PZH275" s="580"/>
      <c r="PZI275" s="580"/>
      <c r="PZJ275" s="580"/>
      <c r="PZK275" s="580"/>
      <c r="PZL275" s="580"/>
      <c r="PZM275" s="580"/>
      <c r="PZN275" s="580"/>
      <c r="PZO275" s="580"/>
      <c r="PZP275" s="580"/>
      <c r="PZQ275" s="580"/>
      <c r="PZR275" s="580"/>
      <c r="PZS275" s="580"/>
      <c r="PZT275" s="580"/>
      <c r="PZU275" s="580"/>
      <c r="PZV275" s="580"/>
      <c r="PZW275" s="580"/>
      <c r="PZX275" s="580"/>
      <c r="PZY275" s="580"/>
      <c r="PZZ275" s="580"/>
      <c r="QAA275" s="580"/>
      <c r="QAB275" s="580"/>
      <c r="QAC275" s="580"/>
      <c r="QAD275" s="580"/>
      <c r="QAE275" s="580"/>
      <c r="QAF275" s="580"/>
      <c r="QAG275" s="580"/>
      <c r="QAH275" s="580"/>
      <c r="QAI275" s="580"/>
      <c r="QAJ275" s="580"/>
      <c r="QAK275" s="580"/>
      <c r="QAL275" s="580"/>
      <c r="QAM275" s="580"/>
      <c r="QAN275" s="580"/>
      <c r="QAO275" s="580"/>
      <c r="QAP275" s="580"/>
      <c r="QAQ275" s="580"/>
      <c r="QAR275" s="580"/>
      <c r="QAS275" s="580"/>
      <c r="QAT275" s="580"/>
      <c r="QAU275" s="580"/>
      <c r="QAV275" s="580"/>
      <c r="QAW275" s="580"/>
      <c r="QAX275" s="580"/>
      <c r="QAY275" s="580"/>
      <c r="QAZ275" s="580"/>
      <c r="QBA275" s="580"/>
      <c r="QBB275" s="580"/>
      <c r="QBC275" s="580"/>
      <c r="QBD275" s="580"/>
      <c r="QBE275" s="580"/>
      <c r="QBF275" s="580"/>
      <c r="QBG275" s="580"/>
      <c r="QBH275" s="580"/>
      <c r="QBI275" s="580"/>
      <c r="QBJ275" s="580"/>
      <c r="QBK275" s="580"/>
      <c r="QBL275" s="580"/>
      <c r="QBM275" s="580"/>
      <c r="QBN275" s="580"/>
      <c r="QBO275" s="580"/>
      <c r="QBP275" s="580"/>
      <c r="QBQ275" s="580"/>
      <c r="QBR275" s="580"/>
      <c r="QBS275" s="580"/>
      <c r="QBT275" s="580"/>
      <c r="QBU275" s="580"/>
      <c r="QBV275" s="580"/>
      <c r="QBW275" s="580"/>
      <c r="QBX275" s="580"/>
      <c r="QBY275" s="580"/>
      <c r="QBZ275" s="580"/>
      <c r="QCA275" s="580"/>
      <c r="QCB275" s="580"/>
      <c r="QCC275" s="580"/>
      <c r="QCD275" s="580"/>
      <c r="QCE275" s="580"/>
      <c r="QCF275" s="580"/>
      <c r="QCG275" s="580"/>
      <c r="QCH275" s="580"/>
      <c r="QCI275" s="580"/>
      <c r="QCJ275" s="580"/>
      <c r="QCK275" s="580"/>
      <c r="QCL275" s="580"/>
      <c r="QCM275" s="580"/>
      <c r="QCN275" s="580"/>
      <c r="QCO275" s="580"/>
      <c r="QCP275" s="580"/>
      <c r="QCQ275" s="580"/>
      <c r="QCR275" s="580"/>
      <c r="QCS275" s="580"/>
      <c r="QCT275" s="580"/>
      <c r="QCU275" s="580"/>
      <c r="QCV275" s="580"/>
      <c r="QCW275" s="580"/>
      <c r="QCX275" s="580"/>
      <c r="QCY275" s="580"/>
      <c r="QCZ275" s="580"/>
      <c r="QDA275" s="580"/>
      <c r="QDB275" s="580"/>
      <c r="QDC275" s="580"/>
      <c r="QDD275" s="580"/>
      <c r="QDE275" s="580"/>
      <c r="QDF275" s="580"/>
      <c r="QDG275" s="580"/>
      <c r="QDH275" s="580"/>
      <c r="QDI275" s="580"/>
      <c r="QDJ275" s="580"/>
      <c r="QDK275" s="580"/>
      <c r="QDL275" s="580"/>
      <c r="QDM275" s="580"/>
      <c r="QDN275" s="580"/>
      <c r="QDO275" s="580"/>
      <c r="QDP275" s="580"/>
      <c r="QDQ275" s="580"/>
      <c r="QDR275" s="580"/>
      <c r="QDS275" s="580"/>
      <c r="QDT275" s="580"/>
      <c r="QDU275" s="580"/>
      <c r="QDV275" s="580"/>
      <c r="QDW275" s="580"/>
      <c r="QDX275" s="580"/>
      <c r="QDY275" s="580"/>
      <c r="QDZ275" s="580"/>
      <c r="QEA275" s="580"/>
      <c r="QEB275" s="580"/>
      <c r="QEC275" s="580"/>
      <c r="QED275" s="580"/>
      <c r="QEE275" s="580"/>
      <c r="QEF275" s="580"/>
      <c r="QEG275" s="580"/>
      <c r="QEH275" s="580"/>
      <c r="QEI275" s="580"/>
      <c r="QEJ275" s="580"/>
      <c r="QEK275" s="580"/>
      <c r="QEL275" s="580"/>
      <c r="QEM275" s="580"/>
      <c r="QEN275" s="580"/>
      <c r="QEO275" s="580"/>
      <c r="QEP275" s="580"/>
      <c r="QEQ275" s="580"/>
      <c r="QER275" s="580"/>
      <c r="QES275" s="580"/>
      <c r="QET275" s="580"/>
      <c r="QEU275" s="580"/>
      <c r="QEV275" s="580"/>
      <c r="QEW275" s="580"/>
      <c r="QEX275" s="580"/>
      <c r="QEY275" s="580"/>
      <c r="QEZ275" s="580"/>
      <c r="QFA275" s="580"/>
      <c r="QFB275" s="580"/>
      <c r="QFC275" s="580"/>
      <c r="QFD275" s="580"/>
      <c r="QFE275" s="580"/>
      <c r="QFF275" s="580"/>
      <c r="QFG275" s="580"/>
      <c r="QFH275" s="580"/>
      <c r="QFI275" s="580"/>
      <c r="QFJ275" s="580"/>
      <c r="QFK275" s="580"/>
      <c r="QFL275" s="580"/>
      <c r="QFM275" s="580"/>
      <c r="QFN275" s="580"/>
      <c r="QFO275" s="580"/>
      <c r="QFP275" s="580"/>
      <c r="QFQ275" s="580"/>
      <c r="QFR275" s="580"/>
      <c r="QFS275" s="580"/>
      <c r="QFT275" s="580"/>
      <c r="QFU275" s="580"/>
      <c r="QFV275" s="580"/>
      <c r="QFW275" s="580"/>
      <c r="QFX275" s="580"/>
      <c r="QFY275" s="580"/>
      <c r="QFZ275" s="580"/>
      <c r="QGA275" s="580"/>
      <c r="QGB275" s="580"/>
      <c r="QGC275" s="580"/>
      <c r="QGD275" s="580"/>
      <c r="QGE275" s="580"/>
      <c r="QGF275" s="580"/>
      <c r="QGG275" s="580"/>
      <c r="QGH275" s="580"/>
      <c r="QGI275" s="580"/>
      <c r="QGJ275" s="580"/>
      <c r="QGK275" s="580"/>
      <c r="QGL275" s="580"/>
      <c r="QGM275" s="580"/>
      <c r="QGN275" s="580"/>
      <c r="QGO275" s="580"/>
      <c r="QGP275" s="580"/>
      <c r="QGQ275" s="580"/>
      <c r="QGR275" s="580"/>
      <c r="QGS275" s="580"/>
      <c r="QGT275" s="580"/>
      <c r="QGU275" s="580"/>
      <c r="QGV275" s="580"/>
      <c r="QGW275" s="580"/>
      <c r="QGX275" s="580"/>
      <c r="QGY275" s="580"/>
      <c r="QGZ275" s="580"/>
      <c r="QHA275" s="580"/>
      <c r="QHB275" s="580"/>
      <c r="QHC275" s="580"/>
      <c r="QHD275" s="580"/>
      <c r="QHE275" s="580"/>
      <c r="QHF275" s="580"/>
      <c r="QHG275" s="580"/>
      <c r="QHH275" s="580"/>
      <c r="QHI275" s="580"/>
      <c r="QHJ275" s="580"/>
      <c r="QHK275" s="580"/>
      <c r="QHL275" s="580"/>
      <c r="QHM275" s="580"/>
      <c r="QHN275" s="580"/>
      <c r="QHO275" s="580"/>
      <c r="QHP275" s="580"/>
      <c r="QHQ275" s="580"/>
      <c r="QHR275" s="580"/>
      <c r="QHS275" s="580"/>
      <c r="QHT275" s="580"/>
      <c r="QHU275" s="580"/>
      <c r="QHV275" s="580"/>
      <c r="QHW275" s="580"/>
      <c r="QHX275" s="580"/>
      <c r="QHY275" s="580"/>
      <c r="QHZ275" s="580"/>
      <c r="QIA275" s="580"/>
      <c r="QIB275" s="580"/>
      <c r="QIC275" s="580"/>
      <c r="QID275" s="580"/>
      <c r="QIE275" s="580"/>
      <c r="QIF275" s="580"/>
      <c r="QIG275" s="580"/>
      <c r="QIH275" s="580"/>
      <c r="QII275" s="580"/>
      <c r="QIJ275" s="580"/>
      <c r="QIK275" s="580"/>
      <c r="QIL275" s="580"/>
      <c r="QIM275" s="580"/>
      <c r="QIN275" s="580"/>
      <c r="QIO275" s="580"/>
      <c r="QIP275" s="580"/>
      <c r="QIQ275" s="580"/>
      <c r="QIR275" s="580"/>
      <c r="QIS275" s="580"/>
      <c r="QIT275" s="580"/>
      <c r="QIU275" s="580"/>
      <c r="QIV275" s="580"/>
      <c r="QIW275" s="580"/>
      <c r="QIX275" s="580"/>
      <c r="QIY275" s="580"/>
      <c r="QIZ275" s="580"/>
      <c r="QJA275" s="580"/>
      <c r="QJB275" s="580"/>
      <c r="QJC275" s="580"/>
      <c r="QJD275" s="580"/>
      <c r="QJE275" s="580"/>
      <c r="QJF275" s="580"/>
      <c r="QJG275" s="580"/>
      <c r="QJH275" s="580"/>
      <c r="QJI275" s="580"/>
      <c r="QJJ275" s="580"/>
      <c r="QJK275" s="580"/>
      <c r="QJL275" s="580"/>
      <c r="QJM275" s="580"/>
      <c r="QJN275" s="580"/>
      <c r="QJO275" s="580"/>
      <c r="QJP275" s="580"/>
      <c r="QJQ275" s="580"/>
      <c r="QJR275" s="580"/>
      <c r="QJS275" s="580"/>
      <c r="QJT275" s="580"/>
      <c r="QJU275" s="580"/>
      <c r="QJV275" s="580"/>
      <c r="QJW275" s="580"/>
      <c r="QJX275" s="580"/>
      <c r="QJY275" s="580"/>
      <c r="QJZ275" s="580"/>
      <c r="QKA275" s="580"/>
      <c r="QKB275" s="580"/>
      <c r="QKC275" s="580"/>
      <c r="QKD275" s="580"/>
      <c r="QKE275" s="580"/>
      <c r="QKF275" s="580"/>
      <c r="QKG275" s="580"/>
      <c r="QKH275" s="580"/>
      <c r="QKI275" s="580"/>
      <c r="QKJ275" s="580"/>
      <c r="QKK275" s="580"/>
      <c r="QKL275" s="580"/>
      <c r="QKM275" s="580"/>
      <c r="QKN275" s="580"/>
      <c r="QKO275" s="580"/>
      <c r="QKP275" s="580"/>
      <c r="QKQ275" s="580"/>
      <c r="QKR275" s="580"/>
      <c r="QKS275" s="580"/>
      <c r="QKT275" s="580"/>
      <c r="QKU275" s="580"/>
      <c r="QKV275" s="580"/>
      <c r="QKW275" s="580"/>
      <c r="QKX275" s="580"/>
      <c r="QKY275" s="580"/>
      <c r="QKZ275" s="580"/>
      <c r="QLA275" s="580"/>
      <c r="QLB275" s="580"/>
      <c r="QLC275" s="580"/>
      <c r="QLD275" s="580"/>
      <c r="QLE275" s="580"/>
      <c r="QLF275" s="580"/>
      <c r="QLG275" s="580"/>
      <c r="QLH275" s="580"/>
      <c r="QLI275" s="580"/>
      <c r="QLJ275" s="580"/>
      <c r="QLK275" s="580"/>
      <c r="QLL275" s="580"/>
      <c r="QLM275" s="580"/>
      <c r="QLN275" s="580"/>
      <c r="QLO275" s="580"/>
      <c r="QLP275" s="580"/>
      <c r="QLQ275" s="580"/>
      <c r="QLR275" s="580"/>
      <c r="QLS275" s="580"/>
      <c r="QLT275" s="580"/>
      <c r="QLU275" s="580"/>
      <c r="QLV275" s="580"/>
      <c r="QLW275" s="580"/>
      <c r="QLX275" s="580"/>
      <c r="QLY275" s="580"/>
      <c r="QLZ275" s="580"/>
      <c r="QMA275" s="580"/>
      <c r="QMB275" s="580"/>
      <c r="QMC275" s="580"/>
      <c r="QMD275" s="580"/>
      <c r="QME275" s="580"/>
      <c r="QMF275" s="580"/>
      <c r="QMG275" s="580"/>
      <c r="QMH275" s="580"/>
      <c r="QMI275" s="580"/>
      <c r="QMJ275" s="580"/>
      <c r="QMK275" s="580"/>
      <c r="QML275" s="580"/>
      <c r="QMM275" s="580"/>
      <c r="QMN275" s="580"/>
      <c r="QMO275" s="580"/>
      <c r="QMP275" s="580"/>
      <c r="QMQ275" s="580"/>
      <c r="QMR275" s="580"/>
      <c r="QMS275" s="580"/>
      <c r="QMT275" s="580"/>
      <c r="QMU275" s="580"/>
      <c r="QMV275" s="580"/>
      <c r="QMW275" s="580"/>
      <c r="QMX275" s="580"/>
      <c r="QMY275" s="580"/>
      <c r="QMZ275" s="580"/>
      <c r="QNA275" s="580"/>
      <c r="QNB275" s="580"/>
      <c r="QNC275" s="580"/>
      <c r="QND275" s="580"/>
      <c r="QNE275" s="580"/>
      <c r="QNF275" s="580"/>
      <c r="QNG275" s="580"/>
      <c r="QNH275" s="580"/>
      <c r="QNI275" s="580"/>
      <c r="QNJ275" s="580"/>
      <c r="QNK275" s="580"/>
      <c r="QNL275" s="580"/>
      <c r="QNM275" s="580"/>
      <c r="QNN275" s="580"/>
      <c r="QNO275" s="580"/>
      <c r="QNP275" s="580"/>
      <c r="QNQ275" s="580"/>
      <c r="QNR275" s="580"/>
      <c r="QNS275" s="580"/>
      <c r="QNT275" s="580"/>
      <c r="QNU275" s="580"/>
      <c r="QNV275" s="580"/>
      <c r="QNW275" s="580"/>
      <c r="QNX275" s="580"/>
      <c r="QNY275" s="580"/>
      <c r="QNZ275" s="580"/>
      <c r="QOA275" s="580"/>
      <c r="QOB275" s="580"/>
      <c r="QOC275" s="580"/>
      <c r="QOD275" s="580"/>
      <c r="QOE275" s="580"/>
      <c r="QOF275" s="580"/>
      <c r="QOG275" s="580"/>
      <c r="QOH275" s="580"/>
      <c r="QOI275" s="580"/>
      <c r="QOJ275" s="580"/>
      <c r="QOK275" s="580"/>
      <c r="QOL275" s="580"/>
      <c r="QOM275" s="580"/>
      <c r="QON275" s="580"/>
      <c r="QOO275" s="580"/>
      <c r="QOP275" s="580"/>
      <c r="QOQ275" s="580"/>
      <c r="QOR275" s="580"/>
      <c r="QOS275" s="580"/>
      <c r="QOT275" s="580"/>
      <c r="QOU275" s="580"/>
      <c r="QOV275" s="580"/>
      <c r="QOW275" s="580"/>
      <c r="QOX275" s="580"/>
      <c r="QOY275" s="580"/>
      <c r="QOZ275" s="580"/>
      <c r="QPA275" s="580"/>
      <c r="QPB275" s="580"/>
      <c r="QPC275" s="580"/>
      <c r="QPD275" s="580"/>
      <c r="QPE275" s="580"/>
      <c r="QPF275" s="580"/>
      <c r="QPG275" s="580"/>
      <c r="QPH275" s="580"/>
      <c r="QPI275" s="580"/>
      <c r="QPJ275" s="580"/>
      <c r="QPK275" s="580"/>
      <c r="QPL275" s="580"/>
      <c r="QPM275" s="580"/>
      <c r="QPN275" s="580"/>
      <c r="QPO275" s="580"/>
      <c r="QPP275" s="580"/>
      <c r="QPQ275" s="580"/>
      <c r="QPR275" s="580"/>
      <c r="QPS275" s="580"/>
      <c r="QPT275" s="580"/>
      <c r="QPU275" s="580"/>
      <c r="QPV275" s="580"/>
      <c r="QPW275" s="580"/>
      <c r="QPX275" s="580"/>
      <c r="QPY275" s="580"/>
      <c r="QPZ275" s="580"/>
      <c r="QQA275" s="580"/>
      <c r="QQB275" s="580"/>
      <c r="QQC275" s="580"/>
      <c r="QQD275" s="580"/>
      <c r="QQE275" s="580"/>
      <c r="QQF275" s="580"/>
      <c r="QQG275" s="580"/>
      <c r="QQH275" s="580"/>
      <c r="QQI275" s="580"/>
      <c r="QQJ275" s="580"/>
      <c r="QQK275" s="580"/>
      <c r="QQL275" s="580"/>
      <c r="QQM275" s="580"/>
      <c r="QQN275" s="580"/>
      <c r="QQO275" s="580"/>
      <c r="QQP275" s="580"/>
      <c r="QQQ275" s="580"/>
      <c r="QQR275" s="580"/>
      <c r="QQS275" s="580"/>
      <c r="QQT275" s="580"/>
      <c r="QQU275" s="580"/>
      <c r="QQV275" s="580"/>
      <c r="QQW275" s="580"/>
      <c r="QQX275" s="580"/>
      <c r="QQY275" s="580"/>
      <c r="QQZ275" s="580"/>
      <c r="QRA275" s="580"/>
      <c r="QRB275" s="580"/>
      <c r="QRC275" s="580"/>
      <c r="QRD275" s="580"/>
      <c r="QRE275" s="580"/>
      <c r="QRF275" s="580"/>
      <c r="QRG275" s="580"/>
      <c r="QRH275" s="580"/>
      <c r="QRI275" s="580"/>
      <c r="QRJ275" s="580"/>
      <c r="QRK275" s="580"/>
      <c r="QRL275" s="580"/>
      <c r="QRM275" s="580"/>
      <c r="QRN275" s="580"/>
      <c r="QRO275" s="580"/>
      <c r="QRP275" s="580"/>
      <c r="QRQ275" s="580"/>
      <c r="QRR275" s="580"/>
      <c r="QRS275" s="580"/>
      <c r="QRT275" s="580"/>
      <c r="QRU275" s="580"/>
      <c r="QRV275" s="580"/>
      <c r="QRW275" s="580"/>
      <c r="QRX275" s="580"/>
      <c r="QRY275" s="580"/>
      <c r="QRZ275" s="580"/>
      <c r="QSA275" s="580"/>
      <c r="QSB275" s="580"/>
      <c r="QSC275" s="580"/>
      <c r="QSD275" s="580"/>
      <c r="QSE275" s="580"/>
      <c r="QSF275" s="580"/>
      <c r="QSG275" s="580"/>
      <c r="QSH275" s="580"/>
      <c r="QSI275" s="580"/>
      <c r="QSJ275" s="580"/>
      <c r="QSK275" s="580"/>
      <c r="QSL275" s="580"/>
      <c r="QSM275" s="580"/>
      <c r="QSN275" s="580"/>
      <c r="QSO275" s="580"/>
      <c r="QSP275" s="580"/>
      <c r="QSQ275" s="580"/>
      <c r="QSR275" s="580"/>
      <c r="QSS275" s="580"/>
      <c r="QST275" s="580"/>
      <c r="QSU275" s="580"/>
      <c r="QSV275" s="580"/>
      <c r="QSW275" s="580"/>
      <c r="QSX275" s="580"/>
      <c r="QSY275" s="580"/>
      <c r="QSZ275" s="580"/>
      <c r="QTA275" s="580"/>
      <c r="QTB275" s="580"/>
      <c r="QTC275" s="580"/>
      <c r="QTD275" s="580"/>
      <c r="QTE275" s="580"/>
      <c r="QTF275" s="580"/>
      <c r="QTG275" s="580"/>
      <c r="QTH275" s="580"/>
      <c r="QTI275" s="580"/>
      <c r="QTJ275" s="580"/>
      <c r="QTK275" s="580"/>
      <c r="QTL275" s="580"/>
      <c r="QTM275" s="580"/>
      <c r="QTN275" s="580"/>
      <c r="QTO275" s="580"/>
      <c r="QTP275" s="580"/>
      <c r="QTQ275" s="580"/>
      <c r="QTR275" s="580"/>
      <c r="QTS275" s="580"/>
      <c r="QTT275" s="580"/>
      <c r="QTU275" s="580"/>
      <c r="QTV275" s="580"/>
      <c r="QTW275" s="580"/>
      <c r="QTX275" s="580"/>
      <c r="QTY275" s="580"/>
      <c r="QTZ275" s="580"/>
      <c r="QUA275" s="580"/>
      <c r="QUB275" s="580"/>
      <c r="QUC275" s="580"/>
      <c r="QUD275" s="580"/>
      <c r="QUE275" s="580"/>
      <c r="QUF275" s="580"/>
      <c r="QUG275" s="580"/>
      <c r="QUH275" s="580"/>
      <c r="QUI275" s="580"/>
      <c r="QUJ275" s="580"/>
      <c r="QUK275" s="580"/>
      <c r="QUL275" s="580"/>
      <c r="QUM275" s="580"/>
      <c r="QUN275" s="580"/>
      <c r="QUO275" s="580"/>
      <c r="QUP275" s="580"/>
      <c r="QUQ275" s="580"/>
      <c r="QUR275" s="580"/>
      <c r="QUS275" s="580"/>
      <c r="QUT275" s="580"/>
      <c r="QUU275" s="580"/>
      <c r="QUV275" s="580"/>
      <c r="QUW275" s="580"/>
      <c r="QUX275" s="580"/>
      <c r="QUY275" s="580"/>
      <c r="QUZ275" s="580"/>
      <c r="QVA275" s="580"/>
      <c r="QVB275" s="580"/>
      <c r="QVC275" s="580"/>
      <c r="QVD275" s="580"/>
      <c r="QVE275" s="580"/>
      <c r="QVF275" s="580"/>
      <c r="QVG275" s="580"/>
      <c r="QVH275" s="580"/>
      <c r="QVI275" s="580"/>
      <c r="QVJ275" s="580"/>
      <c r="QVK275" s="580"/>
      <c r="QVL275" s="580"/>
      <c r="QVM275" s="580"/>
      <c r="QVN275" s="580"/>
      <c r="QVO275" s="580"/>
      <c r="QVP275" s="580"/>
      <c r="QVQ275" s="580"/>
      <c r="QVR275" s="580"/>
      <c r="QVS275" s="580"/>
      <c r="QVT275" s="580"/>
      <c r="QVU275" s="580"/>
      <c r="QVV275" s="580"/>
      <c r="QVW275" s="580"/>
      <c r="QVX275" s="580"/>
      <c r="QVY275" s="580"/>
      <c r="QVZ275" s="580"/>
      <c r="QWA275" s="580"/>
      <c r="QWB275" s="580"/>
      <c r="QWC275" s="580"/>
      <c r="QWD275" s="580"/>
      <c r="QWE275" s="580"/>
      <c r="QWF275" s="580"/>
      <c r="QWG275" s="580"/>
      <c r="QWH275" s="580"/>
      <c r="QWI275" s="580"/>
      <c r="QWJ275" s="580"/>
      <c r="QWK275" s="580"/>
      <c r="QWL275" s="580"/>
      <c r="QWM275" s="580"/>
      <c r="QWN275" s="580"/>
      <c r="QWO275" s="580"/>
      <c r="QWP275" s="580"/>
      <c r="QWQ275" s="580"/>
      <c r="QWR275" s="580"/>
      <c r="QWS275" s="580"/>
      <c r="QWT275" s="580"/>
      <c r="QWU275" s="580"/>
      <c r="QWV275" s="580"/>
      <c r="QWW275" s="580"/>
      <c r="QWX275" s="580"/>
      <c r="QWY275" s="580"/>
      <c r="QWZ275" s="580"/>
      <c r="QXA275" s="580"/>
      <c r="QXB275" s="580"/>
      <c r="QXC275" s="580"/>
      <c r="QXD275" s="580"/>
      <c r="QXE275" s="580"/>
      <c r="QXF275" s="580"/>
      <c r="QXG275" s="580"/>
      <c r="QXH275" s="580"/>
      <c r="QXI275" s="580"/>
      <c r="QXJ275" s="580"/>
      <c r="QXK275" s="580"/>
      <c r="QXL275" s="580"/>
      <c r="QXM275" s="580"/>
      <c r="QXN275" s="580"/>
      <c r="QXO275" s="580"/>
      <c r="QXP275" s="580"/>
      <c r="QXQ275" s="580"/>
      <c r="QXR275" s="580"/>
      <c r="QXS275" s="580"/>
      <c r="QXT275" s="580"/>
      <c r="QXU275" s="580"/>
      <c r="QXV275" s="580"/>
      <c r="QXW275" s="580"/>
      <c r="QXX275" s="580"/>
      <c r="QXY275" s="580"/>
      <c r="QXZ275" s="580"/>
      <c r="QYA275" s="580"/>
      <c r="QYB275" s="580"/>
      <c r="QYC275" s="580"/>
      <c r="QYD275" s="580"/>
      <c r="QYE275" s="580"/>
      <c r="QYF275" s="580"/>
      <c r="QYG275" s="580"/>
      <c r="QYH275" s="580"/>
      <c r="QYI275" s="580"/>
      <c r="QYJ275" s="580"/>
      <c r="QYK275" s="580"/>
      <c r="QYL275" s="580"/>
      <c r="QYM275" s="580"/>
      <c r="QYN275" s="580"/>
      <c r="QYO275" s="580"/>
      <c r="QYP275" s="580"/>
      <c r="QYQ275" s="580"/>
      <c r="QYR275" s="580"/>
      <c r="QYS275" s="580"/>
      <c r="QYT275" s="580"/>
      <c r="QYU275" s="580"/>
      <c r="QYV275" s="580"/>
      <c r="QYW275" s="580"/>
      <c r="QYX275" s="580"/>
      <c r="QYY275" s="580"/>
      <c r="QYZ275" s="580"/>
      <c r="QZA275" s="580"/>
      <c r="QZB275" s="580"/>
      <c r="QZC275" s="580"/>
      <c r="QZD275" s="580"/>
      <c r="QZE275" s="580"/>
      <c r="QZF275" s="580"/>
      <c r="QZG275" s="580"/>
      <c r="QZH275" s="580"/>
      <c r="QZI275" s="580"/>
      <c r="QZJ275" s="580"/>
      <c r="QZK275" s="580"/>
      <c r="QZL275" s="580"/>
      <c r="QZM275" s="580"/>
      <c r="QZN275" s="580"/>
      <c r="QZO275" s="580"/>
      <c r="QZP275" s="580"/>
      <c r="QZQ275" s="580"/>
      <c r="QZR275" s="580"/>
      <c r="QZS275" s="580"/>
      <c r="QZT275" s="580"/>
      <c r="QZU275" s="580"/>
      <c r="QZV275" s="580"/>
      <c r="QZW275" s="580"/>
      <c r="QZX275" s="580"/>
      <c r="QZY275" s="580"/>
      <c r="QZZ275" s="580"/>
      <c r="RAA275" s="580"/>
      <c r="RAB275" s="580"/>
      <c r="RAC275" s="580"/>
      <c r="RAD275" s="580"/>
      <c r="RAE275" s="580"/>
      <c r="RAF275" s="580"/>
      <c r="RAG275" s="580"/>
      <c r="RAH275" s="580"/>
      <c r="RAI275" s="580"/>
      <c r="RAJ275" s="580"/>
      <c r="RAK275" s="580"/>
      <c r="RAL275" s="580"/>
      <c r="RAM275" s="580"/>
      <c r="RAN275" s="580"/>
      <c r="RAO275" s="580"/>
      <c r="RAP275" s="580"/>
      <c r="RAQ275" s="580"/>
      <c r="RAR275" s="580"/>
      <c r="RAS275" s="580"/>
      <c r="RAT275" s="580"/>
      <c r="RAU275" s="580"/>
      <c r="RAV275" s="580"/>
      <c r="RAW275" s="580"/>
      <c r="RAX275" s="580"/>
      <c r="RAY275" s="580"/>
      <c r="RAZ275" s="580"/>
      <c r="RBA275" s="580"/>
      <c r="RBB275" s="580"/>
      <c r="RBC275" s="580"/>
      <c r="RBD275" s="580"/>
      <c r="RBE275" s="580"/>
      <c r="RBF275" s="580"/>
      <c r="RBG275" s="580"/>
      <c r="RBH275" s="580"/>
      <c r="RBI275" s="580"/>
      <c r="RBJ275" s="580"/>
      <c r="RBK275" s="580"/>
      <c r="RBL275" s="580"/>
      <c r="RBM275" s="580"/>
      <c r="RBN275" s="580"/>
      <c r="RBO275" s="580"/>
      <c r="RBP275" s="580"/>
      <c r="RBQ275" s="580"/>
      <c r="RBR275" s="580"/>
      <c r="RBS275" s="580"/>
      <c r="RBT275" s="580"/>
      <c r="RBU275" s="580"/>
      <c r="RBV275" s="580"/>
      <c r="RBW275" s="580"/>
      <c r="RBX275" s="580"/>
      <c r="RBY275" s="580"/>
      <c r="RBZ275" s="580"/>
      <c r="RCA275" s="580"/>
      <c r="RCB275" s="580"/>
      <c r="RCC275" s="580"/>
      <c r="RCD275" s="580"/>
      <c r="RCE275" s="580"/>
      <c r="RCF275" s="580"/>
      <c r="RCG275" s="580"/>
      <c r="RCH275" s="580"/>
      <c r="RCI275" s="580"/>
      <c r="RCJ275" s="580"/>
      <c r="RCK275" s="580"/>
      <c r="RCL275" s="580"/>
      <c r="RCM275" s="580"/>
      <c r="RCN275" s="580"/>
      <c r="RCO275" s="580"/>
      <c r="RCP275" s="580"/>
      <c r="RCQ275" s="580"/>
      <c r="RCR275" s="580"/>
      <c r="RCS275" s="580"/>
      <c r="RCT275" s="580"/>
      <c r="RCU275" s="580"/>
      <c r="RCV275" s="580"/>
      <c r="RCW275" s="580"/>
      <c r="RCX275" s="580"/>
      <c r="RCY275" s="580"/>
      <c r="RCZ275" s="580"/>
      <c r="RDA275" s="580"/>
      <c r="RDB275" s="580"/>
      <c r="RDC275" s="580"/>
      <c r="RDD275" s="580"/>
      <c r="RDE275" s="580"/>
      <c r="RDF275" s="580"/>
      <c r="RDG275" s="580"/>
      <c r="RDH275" s="580"/>
      <c r="RDI275" s="580"/>
      <c r="RDJ275" s="580"/>
      <c r="RDK275" s="580"/>
      <c r="RDL275" s="580"/>
      <c r="RDM275" s="580"/>
      <c r="RDN275" s="580"/>
      <c r="RDO275" s="580"/>
      <c r="RDP275" s="580"/>
      <c r="RDQ275" s="580"/>
      <c r="RDR275" s="580"/>
      <c r="RDS275" s="580"/>
      <c r="RDT275" s="580"/>
      <c r="RDU275" s="580"/>
      <c r="RDV275" s="580"/>
      <c r="RDW275" s="580"/>
      <c r="RDX275" s="580"/>
      <c r="RDY275" s="580"/>
      <c r="RDZ275" s="580"/>
      <c r="REA275" s="580"/>
      <c r="REB275" s="580"/>
      <c r="REC275" s="580"/>
      <c r="RED275" s="580"/>
      <c r="REE275" s="580"/>
      <c r="REF275" s="580"/>
      <c r="REG275" s="580"/>
      <c r="REH275" s="580"/>
      <c r="REI275" s="580"/>
      <c r="REJ275" s="580"/>
      <c r="REK275" s="580"/>
      <c r="REL275" s="580"/>
      <c r="REM275" s="580"/>
      <c r="REN275" s="580"/>
      <c r="REO275" s="580"/>
      <c r="REP275" s="580"/>
      <c r="REQ275" s="580"/>
      <c r="RER275" s="580"/>
      <c r="RES275" s="580"/>
      <c r="RET275" s="580"/>
      <c r="REU275" s="580"/>
      <c r="REV275" s="580"/>
      <c r="REW275" s="580"/>
      <c r="REX275" s="580"/>
      <c r="REY275" s="580"/>
      <c r="REZ275" s="580"/>
      <c r="RFA275" s="580"/>
      <c r="RFB275" s="580"/>
      <c r="RFC275" s="580"/>
      <c r="RFD275" s="580"/>
      <c r="RFE275" s="580"/>
      <c r="RFF275" s="580"/>
      <c r="RFG275" s="580"/>
      <c r="RFH275" s="580"/>
      <c r="RFI275" s="580"/>
      <c r="RFJ275" s="580"/>
      <c r="RFK275" s="580"/>
      <c r="RFL275" s="580"/>
      <c r="RFM275" s="580"/>
      <c r="RFN275" s="580"/>
      <c r="RFO275" s="580"/>
      <c r="RFP275" s="580"/>
      <c r="RFQ275" s="580"/>
      <c r="RFR275" s="580"/>
      <c r="RFS275" s="580"/>
      <c r="RFT275" s="580"/>
      <c r="RFU275" s="580"/>
      <c r="RFV275" s="580"/>
      <c r="RFW275" s="580"/>
      <c r="RFX275" s="580"/>
      <c r="RFY275" s="580"/>
      <c r="RFZ275" s="580"/>
      <c r="RGA275" s="580"/>
      <c r="RGB275" s="580"/>
      <c r="RGC275" s="580"/>
      <c r="RGD275" s="580"/>
      <c r="RGE275" s="580"/>
      <c r="RGF275" s="580"/>
      <c r="RGG275" s="580"/>
      <c r="RGH275" s="580"/>
      <c r="RGI275" s="580"/>
      <c r="RGJ275" s="580"/>
      <c r="RGK275" s="580"/>
      <c r="RGL275" s="580"/>
      <c r="RGM275" s="580"/>
      <c r="RGN275" s="580"/>
      <c r="RGO275" s="580"/>
      <c r="RGP275" s="580"/>
      <c r="RGQ275" s="580"/>
      <c r="RGR275" s="580"/>
      <c r="RGS275" s="580"/>
      <c r="RGT275" s="580"/>
      <c r="RGU275" s="580"/>
      <c r="RGV275" s="580"/>
      <c r="RGW275" s="580"/>
      <c r="RGX275" s="580"/>
      <c r="RGY275" s="580"/>
      <c r="RGZ275" s="580"/>
      <c r="RHA275" s="580"/>
      <c r="RHB275" s="580"/>
      <c r="RHC275" s="580"/>
      <c r="RHD275" s="580"/>
      <c r="RHE275" s="580"/>
      <c r="RHF275" s="580"/>
      <c r="RHG275" s="580"/>
      <c r="RHH275" s="580"/>
      <c r="RHI275" s="580"/>
      <c r="RHJ275" s="580"/>
      <c r="RHK275" s="580"/>
      <c r="RHL275" s="580"/>
      <c r="RHM275" s="580"/>
      <c r="RHN275" s="580"/>
      <c r="RHO275" s="580"/>
      <c r="RHP275" s="580"/>
      <c r="RHQ275" s="580"/>
      <c r="RHR275" s="580"/>
      <c r="RHS275" s="580"/>
      <c r="RHT275" s="580"/>
      <c r="RHU275" s="580"/>
      <c r="RHV275" s="580"/>
      <c r="RHW275" s="580"/>
      <c r="RHX275" s="580"/>
      <c r="RHY275" s="580"/>
      <c r="RHZ275" s="580"/>
      <c r="RIA275" s="580"/>
      <c r="RIB275" s="580"/>
      <c r="RIC275" s="580"/>
      <c r="RID275" s="580"/>
      <c r="RIE275" s="580"/>
      <c r="RIF275" s="580"/>
      <c r="RIG275" s="580"/>
      <c r="RIH275" s="580"/>
      <c r="RII275" s="580"/>
      <c r="RIJ275" s="580"/>
      <c r="RIK275" s="580"/>
      <c r="RIL275" s="580"/>
      <c r="RIM275" s="580"/>
      <c r="RIN275" s="580"/>
      <c r="RIO275" s="580"/>
      <c r="RIP275" s="580"/>
      <c r="RIQ275" s="580"/>
      <c r="RIR275" s="580"/>
      <c r="RIS275" s="580"/>
      <c r="RIT275" s="580"/>
      <c r="RIU275" s="580"/>
      <c r="RIV275" s="580"/>
      <c r="RIW275" s="580"/>
      <c r="RIX275" s="580"/>
      <c r="RIY275" s="580"/>
      <c r="RIZ275" s="580"/>
      <c r="RJA275" s="580"/>
      <c r="RJB275" s="580"/>
      <c r="RJC275" s="580"/>
      <c r="RJD275" s="580"/>
      <c r="RJE275" s="580"/>
      <c r="RJF275" s="580"/>
      <c r="RJG275" s="580"/>
      <c r="RJH275" s="580"/>
      <c r="RJI275" s="580"/>
      <c r="RJJ275" s="580"/>
      <c r="RJK275" s="580"/>
      <c r="RJL275" s="580"/>
      <c r="RJM275" s="580"/>
      <c r="RJN275" s="580"/>
      <c r="RJO275" s="580"/>
      <c r="RJP275" s="580"/>
      <c r="RJQ275" s="580"/>
      <c r="RJR275" s="580"/>
      <c r="RJS275" s="580"/>
      <c r="RJT275" s="580"/>
      <c r="RJU275" s="580"/>
      <c r="RJV275" s="580"/>
      <c r="RJW275" s="580"/>
      <c r="RJX275" s="580"/>
      <c r="RJY275" s="580"/>
      <c r="RJZ275" s="580"/>
      <c r="RKA275" s="580"/>
      <c r="RKB275" s="580"/>
      <c r="RKC275" s="580"/>
      <c r="RKD275" s="580"/>
      <c r="RKE275" s="580"/>
      <c r="RKF275" s="580"/>
      <c r="RKG275" s="580"/>
      <c r="RKH275" s="580"/>
      <c r="RKI275" s="580"/>
      <c r="RKJ275" s="580"/>
      <c r="RKK275" s="580"/>
      <c r="RKL275" s="580"/>
      <c r="RKM275" s="580"/>
      <c r="RKN275" s="580"/>
      <c r="RKO275" s="580"/>
      <c r="RKP275" s="580"/>
      <c r="RKQ275" s="580"/>
      <c r="RKR275" s="580"/>
      <c r="RKS275" s="580"/>
      <c r="RKT275" s="580"/>
      <c r="RKU275" s="580"/>
      <c r="RKV275" s="580"/>
      <c r="RKW275" s="580"/>
      <c r="RKX275" s="580"/>
      <c r="RKY275" s="580"/>
      <c r="RKZ275" s="580"/>
      <c r="RLA275" s="580"/>
      <c r="RLB275" s="580"/>
      <c r="RLC275" s="580"/>
      <c r="RLD275" s="580"/>
      <c r="RLE275" s="580"/>
      <c r="RLF275" s="580"/>
      <c r="RLG275" s="580"/>
      <c r="RLH275" s="580"/>
      <c r="RLI275" s="580"/>
      <c r="RLJ275" s="580"/>
      <c r="RLK275" s="580"/>
      <c r="RLL275" s="580"/>
      <c r="RLM275" s="580"/>
      <c r="RLN275" s="580"/>
      <c r="RLO275" s="580"/>
      <c r="RLP275" s="580"/>
      <c r="RLQ275" s="580"/>
      <c r="RLR275" s="580"/>
      <c r="RLS275" s="580"/>
      <c r="RLT275" s="580"/>
      <c r="RLU275" s="580"/>
      <c r="RLV275" s="580"/>
      <c r="RLW275" s="580"/>
      <c r="RLX275" s="580"/>
      <c r="RLY275" s="580"/>
      <c r="RLZ275" s="580"/>
      <c r="RMA275" s="580"/>
      <c r="RMB275" s="580"/>
      <c r="RMC275" s="580"/>
      <c r="RMD275" s="580"/>
      <c r="RME275" s="580"/>
      <c r="RMF275" s="580"/>
      <c r="RMG275" s="580"/>
      <c r="RMH275" s="580"/>
      <c r="RMI275" s="580"/>
      <c r="RMJ275" s="580"/>
      <c r="RMK275" s="580"/>
      <c r="RML275" s="580"/>
      <c r="RMM275" s="580"/>
      <c r="RMN275" s="580"/>
      <c r="RMO275" s="580"/>
      <c r="RMP275" s="580"/>
      <c r="RMQ275" s="580"/>
      <c r="RMR275" s="580"/>
      <c r="RMS275" s="580"/>
      <c r="RMT275" s="580"/>
      <c r="RMU275" s="580"/>
      <c r="RMV275" s="580"/>
      <c r="RMW275" s="580"/>
      <c r="RMX275" s="580"/>
      <c r="RMY275" s="580"/>
      <c r="RMZ275" s="580"/>
      <c r="RNA275" s="580"/>
      <c r="RNB275" s="580"/>
      <c r="RNC275" s="580"/>
      <c r="RND275" s="580"/>
      <c r="RNE275" s="580"/>
      <c r="RNF275" s="580"/>
      <c r="RNG275" s="580"/>
      <c r="RNH275" s="580"/>
      <c r="RNI275" s="580"/>
      <c r="RNJ275" s="580"/>
      <c r="RNK275" s="580"/>
      <c r="RNL275" s="580"/>
      <c r="RNM275" s="580"/>
      <c r="RNN275" s="580"/>
      <c r="RNO275" s="580"/>
      <c r="RNP275" s="580"/>
      <c r="RNQ275" s="580"/>
      <c r="RNR275" s="580"/>
      <c r="RNS275" s="580"/>
      <c r="RNT275" s="580"/>
      <c r="RNU275" s="580"/>
      <c r="RNV275" s="580"/>
      <c r="RNW275" s="580"/>
      <c r="RNX275" s="580"/>
      <c r="RNY275" s="580"/>
      <c r="RNZ275" s="580"/>
      <c r="ROA275" s="580"/>
      <c r="ROB275" s="580"/>
      <c r="ROC275" s="580"/>
      <c r="ROD275" s="580"/>
      <c r="ROE275" s="580"/>
      <c r="ROF275" s="580"/>
      <c r="ROG275" s="580"/>
      <c r="ROH275" s="580"/>
      <c r="ROI275" s="580"/>
      <c r="ROJ275" s="580"/>
      <c r="ROK275" s="580"/>
      <c r="ROL275" s="580"/>
      <c r="ROM275" s="580"/>
      <c r="RON275" s="580"/>
      <c r="ROO275" s="580"/>
      <c r="ROP275" s="580"/>
      <c r="ROQ275" s="580"/>
      <c r="ROR275" s="580"/>
      <c r="ROS275" s="580"/>
      <c r="ROT275" s="580"/>
      <c r="ROU275" s="580"/>
      <c r="ROV275" s="580"/>
      <c r="ROW275" s="580"/>
      <c r="ROX275" s="580"/>
      <c r="ROY275" s="580"/>
      <c r="ROZ275" s="580"/>
      <c r="RPA275" s="580"/>
      <c r="RPB275" s="580"/>
      <c r="RPC275" s="580"/>
      <c r="RPD275" s="580"/>
      <c r="RPE275" s="580"/>
      <c r="RPF275" s="580"/>
      <c r="RPG275" s="580"/>
      <c r="RPH275" s="580"/>
      <c r="RPI275" s="580"/>
      <c r="RPJ275" s="580"/>
      <c r="RPK275" s="580"/>
      <c r="RPL275" s="580"/>
      <c r="RPM275" s="580"/>
      <c r="RPN275" s="580"/>
      <c r="RPO275" s="580"/>
      <c r="RPP275" s="580"/>
      <c r="RPQ275" s="580"/>
      <c r="RPR275" s="580"/>
      <c r="RPS275" s="580"/>
      <c r="RPT275" s="580"/>
      <c r="RPU275" s="580"/>
      <c r="RPV275" s="580"/>
      <c r="RPW275" s="580"/>
      <c r="RPX275" s="580"/>
      <c r="RPY275" s="580"/>
      <c r="RPZ275" s="580"/>
      <c r="RQA275" s="580"/>
      <c r="RQB275" s="580"/>
      <c r="RQC275" s="580"/>
      <c r="RQD275" s="580"/>
      <c r="RQE275" s="580"/>
      <c r="RQF275" s="580"/>
      <c r="RQG275" s="580"/>
      <c r="RQH275" s="580"/>
      <c r="RQI275" s="580"/>
      <c r="RQJ275" s="580"/>
      <c r="RQK275" s="580"/>
      <c r="RQL275" s="580"/>
      <c r="RQM275" s="580"/>
      <c r="RQN275" s="580"/>
      <c r="RQO275" s="580"/>
      <c r="RQP275" s="580"/>
      <c r="RQQ275" s="580"/>
      <c r="RQR275" s="580"/>
      <c r="RQS275" s="580"/>
      <c r="RQT275" s="580"/>
      <c r="RQU275" s="580"/>
      <c r="RQV275" s="580"/>
      <c r="RQW275" s="580"/>
      <c r="RQX275" s="580"/>
      <c r="RQY275" s="580"/>
      <c r="RQZ275" s="580"/>
      <c r="RRA275" s="580"/>
      <c r="RRB275" s="580"/>
      <c r="RRC275" s="580"/>
      <c r="RRD275" s="580"/>
      <c r="RRE275" s="580"/>
      <c r="RRF275" s="580"/>
      <c r="RRG275" s="580"/>
      <c r="RRH275" s="580"/>
      <c r="RRI275" s="580"/>
      <c r="RRJ275" s="580"/>
      <c r="RRK275" s="580"/>
      <c r="RRL275" s="580"/>
      <c r="RRM275" s="580"/>
      <c r="RRN275" s="580"/>
      <c r="RRO275" s="580"/>
      <c r="RRP275" s="580"/>
      <c r="RRQ275" s="580"/>
      <c r="RRR275" s="580"/>
      <c r="RRS275" s="580"/>
      <c r="RRT275" s="580"/>
      <c r="RRU275" s="580"/>
      <c r="RRV275" s="580"/>
      <c r="RRW275" s="580"/>
      <c r="RRX275" s="580"/>
      <c r="RRY275" s="580"/>
      <c r="RRZ275" s="580"/>
      <c r="RSA275" s="580"/>
      <c r="RSB275" s="580"/>
      <c r="RSC275" s="580"/>
      <c r="RSD275" s="580"/>
      <c r="RSE275" s="580"/>
      <c r="RSF275" s="580"/>
      <c r="RSG275" s="580"/>
      <c r="RSH275" s="580"/>
      <c r="RSI275" s="580"/>
      <c r="RSJ275" s="580"/>
      <c r="RSK275" s="580"/>
      <c r="RSL275" s="580"/>
      <c r="RSM275" s="580"/>
      <c r="RSN275" s="580"/>
      <c r="RSO275" s="580"/>
      <c r="RSP275" s="580"/>
      <c r="RSQ275" s="580"/>
      <c r="RSR275" s="580"/>
      <c r="RSS275" s="580"/>
      <c r="RST275" s="580"/>
      <c r="RSU275" s="580"/>
      <c r="RSV275" s="580"/>
      <c r="RSW275" s="580"/>
      <c r="RSX275" s="580"/>
      <c r="RSY275" s="580"/>
      <c r="RSZ275" s="580"/>
      <c r="RTA275" s="580"/>
      <c r="RTB275" s="580"/>
      <c r="RTC275" s="580"/>
      <c r="RTD275" s="580"/>
      <c r="RTE275" s="580"/>
      <c r="RTF275" s="580"/>
      <c r="RTG275" s="580"/>
      <c r="RTH275" s="580"/>
      <c r="RTI275" s="580"/>
      <c r="RTJ275" s="580"/>
      <c r="RTK275" s="580"/>
      <c r="RTL275" s="580"/>
      <c r="RTM275" s="580"/>
      <c r="RTN275" s="580"/>
      <c r="RTO275" s="580"/>
      <c r="RTP275" s="580"/>
      <c r="RTQ275" s="580"/>
      <c r="RTR275" s="580"/>
      <c r="RTS275" s="580"/>
      <c r="RTT275" s="580"/>
      <c r="RTU275" s="580"/>
      <c r="RTV275" s="580"/>
      <c r="RTW275" s="580"/>
      <c r="RTX275" s="580"/>
      <c r="RTY275" s="580"/>
      <c r="RTZ275" s="580"/>
      <c r="RUA275" s="580"/>
      <c r="RUB275" s="580"/>
      <c r="RUC275" s="580"/>
      <c r="RUD275" s="580"/>
      <c r="RUE275" s="580"/>
      <c r="RUF275" s="580"/>
      <c r="RUG275" s="580"/>
      <c r="RUH275" s="580"/>
      <c r="RUI275" s="580"/>
      <c r="RUJ275" s="580"/>
      <c r="RUK275" s="580"/>
      <c r="RUL275" s="580"/>
      <c r="RUM275" s="580"/>
      <c r="RUN275" s="580"/>
      <c r="RUO275" s="580"/>
      <c r="RUP275" s="580"/>
      <c r="RUQ275" s="580"/>
      <c r="RUR275" s="580"/>
      <c r="RUS275" s="580"/>
      <c r="RUT275" s="580"/>
      <c r="RUU275" s="580"/>
      <c r="RUV275" s="580"/>
      <c r="RUW275" s="580"/>
      <c r="RUX275" s="580"/>
      <c r="RUY275" s="580"/>
      <c r="RUZ275" s="580"/>
      <c r="RVA275" s="580"/>
      <c r="RVB275" s="580"/>
      <c r="RVC275" s="580"/>
      <c r="RVD275" s="580"/>
      <c r="RVE275" s="580"/>
      <c r="RVF275" s="580"/>
      <c r="RVG275" s="580"/>
      <c r="RVH275" s="580"/>
      <c r="RVI275" s="580"/>
      <c r="RVJ275" s="580"/>
      <c r="RVK275" s="580"/>
      <c r="RVL275" s="580"/>
      <c r="RVM275" s="580"/>
      <c r="RVN275" s="580"/>
      <c r="RVO275" s="580"/>
      <c r="RVP275" s="580"/>
      <c r="RVQ275" s="580"/>
      <c r="RVR275" s="580"/>
      <c r="RVS275" s="580"/>
      <c r="RVT275" s="580"/>
      <c r="RVU275" s="580"/>
      <c r="RVV275" s="580"/>
      <c r="RVW275" s="580"/>
      <c r="RVX275" s="580"/>
      <c r="RVY275" s="580"/>
      <c r="RVZ275" s="580"/>
      <c r="RWA275" s="580"/>
      <c r="RWB275" s="580"/>
      <c r="RWC275" s="580"/>
      <c r="RWD275" s="580"/>
      <c r="RWE275" s="580"/>
      <c r="RWF275" s="580"/>
      <c r="RWG275" s="580"/>
      <c r="RWH275" s="580"/>
      <c r="RWI275" s="580"/>
      <c r="RWJ275" s="580"/>
      <c r="RWK275" s="580"/>
      <c r="RWL275" s="580"/>
      <c r="RWM275" s="580"/>
      <c r="RWN275" s="580"/>
      <c r="RWO275" s="580"/>
      <c r="RWP275" s="580"/>
      <c r="RWQ275" s="580"/>
      <c r="RWR275" s="580"/>
      <c r="RWS275" s="580"/>
      <c r="RWT275" s="580"/>
      <c r="RWU275" s="580"/>
      <c r="RWV275" s="580"/>
      <c r="RWW275" s="580"/>
      <c r="RWX275" s="580"/>
      <c r="RWY275" s="580"/>
      <c r="RWZ275" s="580"/>
      <c r="RXA275" s="580"/>
      <c r="RXB275" s="580"/>
      <c r="RXC275" s="580"/>
      <c r="RXD275" s="580"/>
      <c r="RXE275" s="580"/>
      <c r="RXF275" s="580"/>
      <c r="RXG275" s="580"/>
      <c r="RXH275" s="580"/>
      <c r="RXI275" s="580"/>
      <c r="RXJ275" s="580"/>
      <c r="RXK275" s="580"/>
      <c r="RXL275" s="580"/>
      <c r="RXM275" s="580"/>
      <c r="RXN275" s="580"/>
      <c r="RXO275" s="580"/>
      <c r="RXP275" s="580"/>
      <c r="RXQ275" s="580"/>
      <c r="RXR275" s="580"/>
      <c r="RXS275" s="580"/>
      <c r="RXT275" s="580"/>
      <c r="RXU275" s="580"/>
      <c r="RXV275" s="580"/>
      <c r="RXW275" s="580"/>
      <c r="RXX275" s="580"/>
      <c r="RXY275" s="580"/>
      <c r="RXZ275" s="580"/>
      <c r="RYA275" s="580"/>
      <c r="RYB275" s="580"/>
      <c r="RYC275" s="580"/>
      <c r="RYD275" s="580"/>
      <c r="RYE275" s="580"/>
      <c r="RYF275" s="580"/>
      <c r="RYG275" s="580"/>
      <c r="RYH275" s="580"/>
      <c r="RYI275" s="580"/>
      <c r="RYJ275" s="580"/>
      <c r="RYK275" s="580"/>
      <c r="RYL275" s="580"/>
      <c r="RYM275" s="580"/>
      <c r="RYN275" s="580"/>
      <c r="RYO275" s="580"/>
      <c r="RYP275" s="580"/>
      <c r="RYQ275" s="580"/>
      <c r="RYR275" s="580"/>
      <c r="RYS275" s="580"/>
      <c r="RYT275" s="580"/>
      <c r="RYU275" s="580"/>
      <c r="RYV275" s="580"/>
      <c r="RYW275" s="580"/>
      <c r="RYX275" s="580"/>
      <c r="RYY275" s="580"/>
      <c r="RYZ275" s="580"/>
      <c r="RZA275" s="580"/>
      <c r="RZB275" s="580"/>
      <c r="RZC275" s="580"/>
      <c r="RZD275" s="580"/>
      <c r="RZE275" s="580"/>
      <c r="RZF275" s="580"/>
      <c r="RZG275" s="580"/>
      <c r="RZH275" s="580"/>
      <c r="RZI275" s="580"/>
      <c r="RZJ275" s="580"/>
      <c r="RZK275" s="580"/>
      <c r="RZL275" s="580"/>
      <c r="RZM275" s="580"/>
      <c r="RZN275" s="580"/>
      <c r="RZO275" s="580"/>
      <c r="RZP275" s="580"/>
      <c r="RZQ275" s="580"/>
      <c r="RZR275" s="580"/>
      <c r="RZS275" s="580"/>
      <c r="RZT275" s="580"/>
      <c r="RZU275" s="580"/>
      <c r="RZV275" s="580"/>
      <c r="RZW275" s="580"/>
      <c r="RZX275" s="580"/>
      <c r="RZY275" s="580"/>
      <c r="RZZ275" s="580"/>
      <c r="SAA275" s="580"/>
      <c r="SAB275" s="580"/>
      <c r="SAC275" s="580"/>
      <c r="SAD275" s="580"/>
      <c r="SAE275" s="580"/>
      <c r="SAF275" s="580"/>
      <c r="SAG275" s="580"/>
      <c r="SAH275" s="580"/>
      <c r="SAI275" s="580"/>
      <c r="SAJ275" s="580"/>
      <c r="SAK275" s="580"/>
      <c r="SAL275" s="580"/>
      <c r="SAM275" s="580"/>
      <c r="SAN275" s="580"/>
      <c r="SAO275" s="580"/>
      <c r="SAP275" s="580"/>
      <c r="SAQ275" s="580"/>
      <c r="SAR275" s="580"/>
      <c r="SAS275" s="580"/>
      <c r="SAT275" s="580"/>
      <c r="SAU275" s="580"/>
      <c r="SAV275" s="580"/>
      <c r="SAW275" s="580"/>
      <c r="SAX275" s="580"/>
      <c r="SAY275" s="580"/>
      <c r="SAZ275" s="580"/>
      <c r="SBA275" s="580"/>
      <c r="SBB275" s="580"/>
      <c r="SBC275" s="580"/>
      <c r="SBD275" s="580"/>
      <c r="SBE275" s="580"/>
      <c r="SBF275" s="580"/>
      <c r="SBG275" s="580"/>
      <c r="SBH275" s="580"/>
      <c r="SBI275" s="580"/>
      <c r="SBJ275" s="580"/>
      <c r="SBK275" s="580"/>
      <c r="SBL275" s="580"/>
      <c r="SBM275" s="580"/>
      <c r="SBN275" s="580"/>
      <c r="SBO275" s="580"/>
      <c r="SBP275" s="580"/>
      <c r="SBQ275" s="580"/>
      <c r="SBR275" s="580"/>
      <c r="SBS275" s="580"/>
      <c r="SBT275" s="580"/>
      <c r="SBU275" s="580"/>
      <c r="SBV275" s="580"/>
      <c r="SBW275" s="580"/>
      <c r="SBX275" s="580"/>
      <c r="SBY275" s="580"/>
      <c r="SBZ275" s="580"/>
      <c r="SCA275" s="580"/>
      <c r="SCB275" s="580"/>
      <c r="SCC275" s="580"/>
      <c r="SCD275" s="580"/>
      <c r="SCE275" s="580"/>
      <c r="SCF275" s="580"/>
      <c r="SCG275" s="580"/>
      <c r="SCH275" s="580"/>
      <c r="SCI275" s="580"/>
      <c r="SCJ275" s="580"/>
      <c r="SCK275" s="580"/>
      <c r="SCL275" s="580"/>
      <c r="SCM275" s="580"/>
      <c r="SCN275" s="580"/>
      <c r="SCO275" s="580"/>
      <c r="SCP275" s="580"/>
      <c r="SCQ275" s="580"/>
      <c r="SCR275" s="580"/>
      <c r="SCS275" s="580"/>
      <c r="SCT275" s="580"/>
      <c r="SCU275" s="580"/>
      <c r="SCV275" s="580"/>
      <c r="SCW275" s="580"/>
      <c r="SCX275" s="580"/>
      <c r="SCY275" s="580"/>
      <c r="SCZ275" s="580"/>
      <c r="SDA275" s="580"/>
      <c r="SDB275" s="580"/>
      <c r="SDC275" s="580"/>
      <c r="SDD275" s="580"/>
      <c r="SDE275" s="580"/>
      <c r="SDF275" s="580"/>
      <c r="SDG275" s="580"/>
      <c r="SDH275" s="580"/>
      <c r="SDI275" s="580"/>
      <c r="SDJ275" s="580"/>
      <c r="SDK275" s="580"/>
      <c r="SDL275" s="580"/>
      <c r="SDM275" s="580"/>
      <c r="SDN275" s="580"/>
      <c r="SDO275" s="580"/>
      <c r="SDP275" s="580"/>
      <c r="SDQ275" s="580"/>
      <c r="SDR275" s="580"/>
      <c r="SDS275" s="580"/>
      <c r="SDT275" s="580"/>
      <c r="SDU275" s="580"/>
      <c r="SDV275" s="580"/>
      <c r="SDW275" s="580"/>
      <c r="SDX275" s="580"/>
      <c r="SDY275" s="580"/>
      <c r="SDZ275" s="580"/>
      <c r="SEA275" s="580"/>
      <c r="SEB275" s="580"/>
      <c r="SEC275" s="580"/>
      <c r="SED275" s="580"/>
      <c r="SEE275" s="580"/>
      <c r="SEF275" s="580"/>
      <c r="SEG275" s="580"/>
      <c r="SEH275" s="580"/>
      <c r="SEI275" s="580"/>
      <c r="SEJ275" s="580"/>
      <c r="SEK275" s="580"/>
      <c r="SEL275" s="580"/>
      <c r="SEM275" s="580"/>
      <c r="SEN275" s="580"/>
      <c r="SEO275" s="580"/>
      <c r="SEP275" s="580"/>
      <c r="SEQ275" s="580"/>
      <c r="SER275" s="580"/>
      <c r="SES275" s="580"/>
      <c r="SET275" s="580"/>
      <c r="SEU275" s="580"/>
      <c r="SEV275" s="580"/>
      <c r="SEW275" s="580"/>
      <c r="SEX275" s="580"/>
      <c r="SEY275" s="580"/>
      <c r="SEZ275" s="580"/>
      <c r="SFA275" s="580"/>
      <c r="SFB275" s="580"/>
      <c r="SFC275" s="580"/>
      <c r="SFD275" s="580"/>
      <c r="SFE275" s="580"/>
      <c r="SFF275" s="580"/>
      <c r="SFG275" s="580"/>
      <c r="SFH275" s="580"/>
      <c r="SFI275" s="580"/>
      <c r="SFJ275" s="580"/>
      <c r="SFK275" s="580"/>
      <c r="SFL275" s="580"/>
      <c r="SFM275" s="580"/>
      <c r="SFN275" s="580"/>
      <c r="SFO275" s="580"/>
      <c r="SFP275" s="580"/>
      <c r="SFQ275" s="580"/>
      <c r="SFR275" s="580"/>
      <c r="SFS275" s="580"/>
      <c r="SFT275" s="580"/>
      <c r="SFU275" s="580"/>
      <c r="SFV275" s="580"/>
      <c r="SFW275" s="580"/>
      <c r="SFX275" s="580"/>
      <c r="SFY275" s="580"/>
      <c r="SFZ275" s="580"/>
      <c r="SGA275" s="580"/>
      <c r="SGB275" s="580"/>
      <c r="SGC275" s="580"/>
      <c r="SGD275" s="580"/>
      <c r="SGE275" s="580"/>
      <c r="SGF275" s="580"/>
      <c r="SGG275" s="580"/>
      <c r="SGH275" s="580"/>
      <c r="SGI275" s="580"/>
      <c r="SGJ275" s="580"/>
      <c r="SGK275" s="580"/>
      <c r="SGL275" s="580"/>
      <c r="SGM275" s="580"/>
      <c r="SGN275" s="580"/>
      <c r="SGO275" s="580"/>
      <c r="SGP275" s="580"/>
      <c r="SGQ275" s="580"/>
      <c r="SGR275" s="580"/>
      <c r="SGS275" s="580"/>
      <c r="SGT275" s="580"/>
      <c r="SGU275" s="580"/>
      <c r="SGV275" s="580"/>
      <c r="SGW275" s="580"/>
      <c r="SGX275" s="580"/>
      <c r="SGY275" s="580"/>
      <c r="SGZ275" s="580"/>
      <c r="SHA275" s="580"/>
      <c r="SHB275" s="580"/>
      <c r="SHC275" s="580"/>
      <c r="SHD275" s="580"/>
      <c r="SHE275" s="580"/>
      <c r="SHF275" s="580"/>
      <c r="SHG275" s="580"/>
      <c r="SHH275" s="580"/>
      <c r="SHI275" s="580"/>
      <c r="SHJ275" s="580"/>
      <c r="SHK275" s="580"/>
      <c r="SHL275" s="580"/>
      <c r="SHM275" s="580"/>
      <c r="SHN275" s="580"/>
      <c r="SHO275" s="580"/>
      <c r="SHP275" s="580"/>
      <c r="SHQ275" s="580"/>
      <c r="SHR275" s="580"/>
      <c r="SHS275" s="580"/>
      <c r="SHT275" s="580"/>
      <c r="SHU275" s="580"/>
      <c r="SHV275" s="580"/>
      <c r="SHW275" s="580"/>
      <c r="SHX275" s="580"/>
      <c r="SHY275" s="580"/>
      <c r="SHZ275" s="580"/>
      <c r="SIA275" s="580"/>
      <c r="SIB275" s="580"/>
      <c r="SIC275" s="580"/>
      <c r="SID275" s="580"/>
      <c r="SIE275" s="580"/>
      <c r="SIF275" s="580"/>
      <c r="SIG275" s="580"/>
      <c r="SIH275" s="580"/>
      <c r="SII275" s="580"/>
      <c r="SIJ275" s="580"/>
      <c r="SIK275" s="580"/>
      <c r="SIL275" s="580"/>
      <c r="SIM275" s="580"/>
      <c r="SIN275" s="580"/>
      <c r="SIO275" s="580"/>
      <c r="SIP275" s="580"/>
      <c r="SIQ275" s="580"/>
      <c r="SIR275" s="580"/>
      <c r="SIS275" s="580"/>
      <c r="SIT275" s="580"/>
      <c r="SIU275" s="580"/>
      <c r="SIV275" s="580"/>
      <c r="SIW275" s="580"/>
      <c r="SIX275" s="580"/>
      <c r="SIY275" s="580"/>
      <c r="SIZ275" s="580"/>
      <c r="SJA275" s="580"/>
      <c r="SJB275" s="580"/>
      <c r="SJC275" s="580"/>
      <c r="SJD275" s="580"/>
      <c r="SJE275" s="580"/>
      <c r="SJF275" s="580"/>
      <c r="SJG275" s="580"/>
      <c r="SJH275" s="580"/>
      <c r="SJI275" s="580"/>
      <c r="SJJ275" s="580"/>
      <c r="SJK275" s="580"/>
      <c r="SJL275" s="580"/>
      <c r="SJM275" s="580"/>
      <c r="SJN275" s="580"/>
      <c r="SJO275" s="580"/>
      <c r="SJP275" s="580"/>
      <c r="SJQ275" s="580"/>
      <c r="SJR275" s="580"/>
      <c r="SJS275" s="580"/>
      <c r="SJT275" s="580"/>
      <c r="SJU275" s="580"/>
      <c r="SJV275" s="580"/>
      <c r="SJW275" s="580"/>
      <c r="SJX275" s="580"/>
      <c r="SJY275" s="580"/>
      <c r="SJZ275" s="580"/>
      <c r="SKA275" s="580"/>
      <c r="SKB275" s="580"/>
      <c r="SKC275" s="580"/>
      <c r="SKD275" s="580"/>
      <c r="SKE275" s="580"/>
      <c r="SKF275" s="580"/>
      <c r="SKG275" s="580"/>
      <c r="SKH275" s="580"/>
      <c r="SKI275" s="580"/>
      <c r="SKJ275" s="580"/>
      <c r="SKK275" s="580"/>
      <c r="SKL275" s="580"/>
      <c r="SKM275" s="580"/>
      <c r="SKN275" s="580"/>
      <c r="SKO275" s="580"/>
      <c r="SKP275" s="580"/>
      <c r="SKQ275" s="580"/>
      <c r="SKR275" s="580"/>
      <c r="SKS275" s="580"/>
      <c r="SKT275" s="580"/>
      <c r="SKU275" s="580"/>
      <c r="SKV275" s="580"/>
      <c r="SKW275" s="580"/>
      <c r="SKX275" s="580"/>
      <c r="SKY275" s="580"/>
      <c r="SKZ275" s="580"/>
      <c r="SLA275" s="580"/>
      <c r="SLB275" s="580"/>
      <c r="SLC275" s="580"/>
      <c r="SLD275" s="580"/>
      <c r="SLE275" s="580"/>
      <c r="SLF275" s="580"/>
      <c r="SLG275" s="580"/>
      <c r="SLH275" s="580"/>
      <c r="SLI275" s="580"/>
      <c r="SLJ275" s="580"/>
      <c r="SLK275" s="580"/>
      <c r="SLL275" s="580"/>
      <c r="SLM275" s="580"/>
      <c r="SLN275" s="580"/>
      <c r="SLO275" s="580"/>
      <c r="SLP275" s="580"/>
      <c r="SLQ275" s="580"/>
      <c r="SLR275" s="580"/>
      <c r="SLS275" s="580"/>
      <c r="SLT275" s="580"/>
      <c r="SLU275" s="580"/>
      <c r="SLV275" s="580"/>
      <c r="SLW275" s="580"/>
      <c r="SLX275" s="580"/>
      <c r="SLY275" s="580"/>
      <c r="SLZ275" s="580"/>
      <c r="SMA275" s="580"/>
      <c r="SMB275" s="580"/>
      <c r="SMC275" s="580"/>
      <c r="SMD275" s="580"/>
      <c r="SME275" s="580"/>
      <c r="SMF275" s="580"/>
      <c r="SMG275" s="580"/>
      <c r="SMH275" s="580"/>
      <c r="SMI275" s="580"/>
      <c r="SMJ275" s="580"/>
      <c r="SMK275" s="580"/>
      <c r="SML275" s="580"/>
      <c r="SMM275" s="580"/>
      <c r="SMN275" s="580"/>
      <c r="SMO275" s="580"/>
      <c r="SMP275" s="580"/>
      <c r="SMQ275" s="580"/>
      <c r="SMR275" s="580"/>
      <c r="SMS275" s="580"/>
      <c r="SMT275" s="580"/>
      <c r="SMU275" s="580"/>
      <c r="SMV275" s="580"/>
      <c r="SMW275" s="580"/>
      <c r="SMX275" s="580"/>
      <c r="SMY275" s="580"/>
      <c r="SMZ275" s="580"/>
      <c r="SNA275" s="580"/>
      <c r="SNB275" s="580"/>
      <c r="SNC275" s="580"/>
      <c r="SND275" s="580"/>
      <c r="SNE275" s="580"/>
      <c r="SNF275" s="580"/>
      <c r="SNG275" s="580"/>
      <c r="SNH275" s="580"/>
      <c r="SNI275" s="580"/>
      <c r="SNJ275" s="580"/>
      <c r="SNK275" s="580"/>
      <c r="SNL275" s="580"/>
      <c r="SNM275" s="580"/>
      <c r="SNN275" s="580"/>
      <c r="SNO275" s="580"/>
      <c r="SNP275" s="580"/>
      <c r="SNQ275" s="580"/>
      <c r="SNR275" s="580"/>
      <c r="SNS275" s="580"/>
      <c r="SNT275" s="580"/>
      <c r="SNU275" s="580"/>
      <c r="SNV275" s="580"/>
      <c r="SNW275" s="580"/>
      <c r="SNX275" s="580"/>
      <c r="SNY275" s="580"/>
      <c r="SNZ275" s="580"/>
      <c r="SOA275" s="580"/>
      <c r="SOB275" s="580"/>
      <c r="SOC275" s="580"/>
      <c r="SOD275" s="580"/>
      <c r="SOE275" s="580"/>
      <c r="SOF275" s="580"/>
      <c r="SOG275" s="580"/>
      <c r="SOH275" s="580"/>
      <c r="SOI275" s="580"/>
      <c r="SOJ275" s="580"/>
      <c r="SOK275" s="580"/>
      <c r="SOL275" s="580"/>
      <c r="SOM275" s="580"/>
      <c r="SON275" s="580"/>
      <c r="SOO275" s="580"/>
      <c r="SOP275" s="580"/>
      <c r="SOQ275" s="580"/>
      <c r="SOR275" s="580"/>
      <c r="SOS275" s="580"/>
      <c r="SOT275" s="580"/>
      <c r="SOU275" s="580"/>
      <c r="SOV275" s="580"/>
      <c r="SOW275" s="580"/>
      <c r="SOX275" s="580"/>
      <c r="SOY275" s="580"/>
      <c r="SOZ275" s="580"/>
      <c r="SPA275" s="580"/>
      <c r="SPB275" s="580"/>
      <c r="SPC275" s="580"/>
      <c r="SPD275" s="580"/>
      <c r="SPE275" s="580"/>
      <c r="SPF275" s="580"/>
      <c r="SPG275" s="580"/>
      <c r="SPH275" s="580"/>
      <c r="SPI275" s="580"/>
      <c r="SPJ275" s="580"/>
      <c r="SPK275" s="580"/>
      <c r="SPL275" s="580"/>
      <c r="SPM275" s="580"/>
      <c r="SPN275" s="580"/>
      <c r="SPO275" s="580"/>
      <c r="SPP275" s="580"/>
      <c r="SPQ275" s="580"/>
      <c r="SPR275" s="580"/>
      <c r="SPS275" s="580"/>
      <c r="SPT275" s="580"/>
      <c r="SPU275" s="580"/>
      <c r="SPV275" s="580"/>
      <c r="SPW275" s="580"/>
      <c r="SPX275" s="580"/>
      <c r="SPY275" s="580"/>
      <c r="SPZ275" s="580"/>
      <c r="SQA275" s="580"/>
      <c r="SQB275" s="580"/>
      <c r="SQC275" s="580"/>
      <c r="SQD275" s="580"/>
      <c r="SQE275" s="580"/>
      <c r="SQF275" s="580"/>
      <c r="SQG275" s="580"/>
      <c r="SQH275" s="580"/>
      <c r="SQI275" s="580"/>
      <c r="SQJ275" s="580"/>
      <c r="SQK275" s="580"/>
      <c r="SQL275" s="580"/>
      <c r="SQM275" s="580"/>
      <c r="SQN275" s="580"/>
      <c r="SQO275" s="580"/>
      <c r="SQP275" s="580"/>
      <c r="SQQ275" s="580"/>
      <c r="SQR275" s="580"/>
      <c r="SQS275" s="580"/>
      <c r="SQT275" s="580"/>
      <c r="SQU275" s="580"/>
      <c r="SQV275" s="580"/>
      <c r="SQW275" s="580"/>
      <c r="SQX275" s="580"/>
      <c r="SQY275" s="580"/>
      <c r="SQZ275" s="580"/>
      <c r="SRA275" s="580"/>
      <c r="SRB275" s="580"/>
      <c r="SRC275" s="580"/>
      <c r="SRD275" s="580"/>
      <c r="SRE275" s="580"/>
      <c r="SRF275" s="580"/>
      <c r="SRG275" s="580"/>
      <c r="SRH275" s="580"/>
      <c r="SRI275" s="580"/>
      <c r="SRJ275" s="580"/>
      <c r="SRK275" s="580"/>
      <c r="SRL275" s="580"/>
      <c r="SRM275" s="580"/>
      <c r="SRN275" s="580"/>
      <c r="SRO275" s="580"/>
      <c r="SRP275" s="580"/>
      <c r="SRQ275" s="580"/>
      <c r="SRR275" s="580"/>
      <c r="SRS275" s="580"/>
      <c r="SRT275" s="580"/>
      <c r="SRU275" s="580"/>
      <c r="SRV275" s="580"/>
      <c r="SRW275" s="580"/>
      <c r="SRX275" s="580"/>
      <c r="SRY275" s="580"/>
      <c r="SRZ275" s="580"/>
      <c r="SSA275" s="580"/>
      <c r="SSB275" s="580"/>
      <c r="SSC275" s="580"/>
      <c r="SSD275" s="580"/>
      <c r="SSE275" s="580"/>
      <c r="SSF275" s="580"/>
      <c r="SSG275" s="580"/>
      <c r="SSH275" s="580"/>
      <c r="SSI275" s="580"/>
      <c r="SSJ275" s="580"/>
      <c r="SSK275" s="580"/>
      <c r="SSL275" s="580"/>
      <c r="SSM275" s="580"/>
      <c r="SSN275" s="580"/>
      <c r="SSO275" s="580"/>
      <c r="SSP275" s="580"/>
      <c r="SSQ275" s="580"/>
      <c r="SSR275" s="580"/>
      <c r="SSS275" s="580"/>
      <c r="SST275" s="580"/>
      <c r="SSU275" s="580"/>
      <c r="SSV275" s="580"/>
      <c r="SSW275" s="580"/>
      <c r="SSX275" s="580"/>
      <c r="SSY275" s="580"/>
      <c r="SSZ275" s="580"/>
      <c r="STA275" s="580"/>
      <c r="STB275" s="580"/>
      <c r="STC275" s="580"/>
      <c r="STD275" s="580"/>
      <c r="STE275" s="580"/>
      <c r="STF275" s="580"/>
      <c r="STG275" s="580"/>
      <c r="STH275" s="580"/>
      <c r="STI275" s="580"/>
      <c r="STJ275" s="580"/>
      <c r="STK275" s="580"/>
      <c r="STL275" s="580"/>
      <c r="STM275" s="580"/>
      <c r="STN275" s="580"/>
      <c r="STO275" s="580"/>
      <c r="STP275" s="580"/>
      <c r="STQ275" s="580"/>
      <c r="STR275" s="580"/>
      <c r="STS275" s="580"/>
      <c r="STT275" s="580"/>
      <c r="STU275" s="580"/>
      <c r="STV275" s="580"/>
      <c r="STW275" s="580"/>
      <c r="STX275" s="580"/>
      <c r="STY275" s="580"/>
      <c r="STZ275" s="580"/>
      <c r="SUA275" s="580"/>
      <c r="SUB275" s="580"/>
      <c r="SUC275" s="580"/>
      <c r="SUD275" s="580"/>
      <c r="SUE275" s="580"/>
      <c r="SUF275" s="580"/>
      <c r="SUG275" s="580"/>
      <c r="SUH275" s="580"/>
      <c r="SUI275" s="580"/>
      <c r="SUJ275" s="580"/>
      <c r="SUK275" s="580"/>
      <c r="SUL275" s="580"/>
      <c r="SUM275" s="580"/>
      <c r="SUN275" s="580"/>
      <c r="SUO275" s="580"/>
      <c r="SUP275" s="580"/>
      <c r="SUQ275" s="580"/>
      <c r="SUR275" s="580"/>
      <c r="SUS275" s="580"/>
      <c r="SUT275" s="580"/>
      <c r="SUU275" s="580"/>
      <c r="SUV275" s="580"/>
      <c r="SUW275" s="580"/>
      <c r="SUX275" s="580"/>
      <c r="SUY275" s="580"/>
      <c r="SUZ275" s="580"/>
      <c r="SVA275" s="580"/>
      <c r="SVB275" s="580"/>
      <c r="SVC275" s="580"/>
      <c r="SVD275" s="580"/>
      <c r="SVE275" s="580"/>
      <c r="SVF275" s="580"/>
      <c r="SVG275" s="580"/>
      <c r="SVH275" s="580"/>
      <c r="SVI275" s="580"/>
      <c r="SVJ275" s="580"/>
      <c r="SVK275" s="580"/>
      <c r="SVL275" s="580"/>
      <c r="SVM275" s="580"/>
      <c r="SVN275" s="580"/>
      <c r="SVO275" s="580"/>
      <c r="SVP275" s="580"/>
      <c r="SVQ275" s="580"/>
      <c r="SVR275" s="580"/>
      <c r="SVS275" s="580"/>
      <c r="SVT275" s="580"/>
      <c r="SVU275" s="580"/>
      <c r="SVV275" s="580"/>
      <c r="SVW275" s="580"/>
      <c r="SVX275" s="580"/>
      <c r="SVY275" s="580"/>
      <c r="SVZ275" s="580"/>
      <c r="SWA275" s="580"/>
      <c r="SWB275" s="580"/>
      <c r="SWC275" s="580"/>
      <c r="SWD275" s="580"/>
      <c r="SWE275" s="580"/>
      <c r="SWF275" s="580"/>
      <c r="SWG275" s="580"/>
      <c r="SWH275" s="580"/>
      <c r="SWI275" s="580"/>
      <c r="SWJ275" s="580"/>
      <c r="SWK275" s="580"/>
      <c r="SWL275" s="580"/>
      <c r="SWM275" s="580"/>
      <c r="SWN275" s="580"/>
      <c r="SWO275" s="580"/>
      <c r="SWP275" s="580"/>
      <c r="SWQ275" s="580"/>
      <c r="SWR275" s="580"/>
      <c r="SWS275" s="580"/>
      <c r="SWT275" s="580"/>
      <c r="SWU275" s="580"/>
      <c r="SWV275" s="580"/>
      <c r="SWW275" s="580"/>
      <c r="SWX275" s="580"/>
      <c r="SWY275" s="580"/>
      <c r="SWZ275" s="580"/>
      <c r="SXA275" s="580"/>
      <c r="SXB275" s="580"/>
      <c r="SXC275" s="580"/>
      <c r="SXD275" s="580"/>
      <c r="SXE275" s="580"/>
      <c r="SXF275" s="580"/>
      <c r="SXG275" s="580"/>
      <c r="SXH275" s="580"/>
      <c r="SXI275" s="580"/>
      <c r="SXJ275" s="580"/>
      <c r="SXK275" s="580"/>
      <c r="SXL275" s="580"/>
      <c r="SXM275" s="580"/>
      <c r="SXN275" s="580"/>
      <c r="SXO275" s="580"/>
      <c r="SXP275" s="580"/>
      <c r="SXQ275" s="580"/>
      <c r="SXR275" s="580"/>
      <c r="SXS275" s="580"/>
      <c r="SXT275" s="580"/>
      <c r="SXU275" s="580"/>
      <c r="SXV275" s="580"/>
      <c r="SXW275" s="580"/>
      <c r="SXX275" s="580"/>
      <c r="SXY275" s="580"/>
      <c r="SXZ275" s="580"/>
      <c r="SYA275" s="580"/>
      <c r="SYB275" s="580"/>
      <c r="SYC275" s="580"/>
      <c r="SYD275" s="580"/>
      <c r="SYE275" s="580"/>
      <c r="SYF275" s="580"/>
      <c r="SYG275" s="580"/>
      <c r="SYH275" s="580"/>
      <c r="SYI275" s="580"/>
      <c r="SYJ275" s="580"/>
      <c r="SYK275" s="580"/>
      <c r="SYL275" s="580"/>
      <c r="SYM275" s="580"/>
      <c r="SYN275" s="580"/>
      <c r="SYO275" s="580"/>
      <c r="SYP275" s="580"/>
      <c r="SYQ275" s="580"/>
      <c r="SYR275" s="580"/>
      <c r="SYS275" s="580"/>
      <c r="SYT275" s="580"/>
      <c r="SYU275" s="580"/>
      <c r="SYV275" s="580"/>
      <c r="SYW275" s="580"/>
      <c r="SYX275" s="580"/>
      <c r="SYY275" s="580"/>
      <c r="SYZ275" s="580"/>
      <c r="SZA275" s="580"/>
      <c r="SZB275" s="580"/>
      <c r="SZC275" s="580"/>
      <c r="SZD275" s="580"/>
      <c r="SZE275" s="580"/>
      <c r="SZF275" s="580"/>
      <c r="SZG275" s="580"/>
      <c r="SZH275" s="580"/>
      <c r="SZI275" s="580"/>
      <c r="SZJ275" s="580"/>
      <c r="SZK275" s="580"/>
      <c r="SZL275" s="580"/>
      <c r="SZM275" s="580"/>
      <c r="SZN275" s="580"/>
      <c r="SZO275" s="580"/>
      <c r="SZP275" s="580"/>
      <c r="SZQ275" s="580"/>
      <c r="SZR275" s="580"/>
      <c r="SZS275" s="580"/>
      <c r="SZT275" s="580"/>
      <c r="SZU275" s="580"/>
      <c r="SZV275" s="580"/>
      <c r="SZW275" s="580"/>
      <c r="SZX275" s="580"/>
      <c r="SZY275" s="580"/>
      <c r="SZZ275" s="580"/>
      <c r="TAA275" s="580"/>
      <c r="TAB275" s="580"/>
      <c r="TAC275" s="580"/>
      <c r="TAD275" s="580"/>
      <c r="TAE275" s="580"/>
      <c r="TAF275" s="580"/>
      <c r="TAG275" s="580"/>
      <c r="TAH275" s="580"/>
      <c r="TAI275" s="580"/>
      <c r="TAJ275" s="580"/>
      <c r="TAK275" s="580"/>
      <c r="TAL275" s="580"/>
      <c r="TAM275" s="580"/>
      <c r="TAN275" s="580"/>
      <c r="TAO275" s="580"/>
      <c r="TAP275" s="580"/>
      <c r="TAQ275" s="580"/>
      <c r="TAR275" s="580"/>
      <c r="TAS275" s="580"/>
      <c r="TAT275" s="580"/>
      <c r="TAU275" s="580"/>
      <c r="TAV275" s="580"/>
      <c r="TAW275" s="580"/>
      <c r="TAX275" s="580"/>
      <c r="TAY275" s="580"/>
      <c r="TAZ275" s="580"/>
      <c r="TBA275" s="580"/>
      <c r="TBB275" s="580"/>
      <c r="TBC275" s="580"/>
      <c r="TBD275" s="580"/>
      <c r="TBE275" s="580"/>
      <c r="TBF275" s="580"/>
      <c r="TBG275" s="580"/>
      <c r="TBH275" s="580"/>
      <c r="TBI275" s="580"/>
      <c r="TBJ275" s="580"/>
      <c r="TBK275" s="580"/>
      <c r="TBL275" s="580"/>
      <c r="TBM275" s="580"/>
      <c r="TBN275" s="580"/>
      <c r="TBO275" s="580"/>
      <c r="TBP275" s="580"/>
      <c r="TBQ275" s="580"/>
      <c r="TBR275" s="580"/>
      <c r="TBS275" s="580"/>
      <c r="TBT275" s="580"/>
      <c r="TBU275" s="580"/>
      <c r="TBV275" s="580"/>
      <c r="TBW275" s="580"/>
      <c r="TBX275" s="580"/>
      <c r="TBY275" s="580"/>
      <c r="TBZ275" s="580"/>
      <c r="TCA275" s="580"/>
      <c r="TCB275" s="580"/>
      <c r="TCC275" s="580"/>
      <c r="TCD275" s="580"/>
      <c r="TCE275" s="580"/>
      <c r="TCF275" s="580"/>
      <c r="TCG275" s="580"/>
      <c r="TCH275" s="580"/>
      <c r="TCI275" s="580"/>
      <c r="TCJ275" s="580"/>
      <c r="TCK275" s="580"/>
      <c r="TCL275" s="580"/>
      <c r="TCM275" s="580"/>
      <c r="TCN275" s="580"/>
      <c r="TCO275" s="580"/>
      <c r="TCP275" s="580"/>
      <c r="TCQ275" s="580"/>
      <c r="TCR275" s="580"/>
      <c r="TCS275" s="580"/>
      <c r="TCT275" s="580"/>
      <c r="TCU275" s="580"/>
      <c r="TCV275" s="580"/>
      <c r="TCW275" s="580"/>
      <c r="TCX275" s="580"/>
      <c r="TCY275" s="580"/>
      <c r="TCZ275" s="580"/>
      <c r="TDA275" s="580"/>
      <c r="TDB275" s="580"/>
      <c r="TDC275" s="580"/>
      <c r="TDD275" s="580"/>
      <c r="TDE275" s="580"/>
      <c r="TDF275" s="580"/>
      <c r="TDG275" s="580"/>
      <c r="TDH275" s="580"/>
      <c r="TDI275" s="580"/>
      <c r="TDJ275" s="580"/>
      <c r="TDK275" s="580"/>
      <c r="TDL275" s="580"/>
      <c r="TDM275" s="580"/>
      <c r="TDN275" s="580"/>
      <c r="TDO275" s="580"/>
      <c r="TDP275" s="580"/>
      <c r="TDQ275" s="580"/>
      <c r="TDR275" s="580"/>
      <c r="TDS275" s="580"/>
      <c r="TDT275" s="580"/>
      <c r="TDU275" s="580"/>
      <c r="TDV275" s="580"/>
      <c r="TDW275" s="580"/>
      <c r="TDX275" s="580"/>
      <c r="TDY275" s="580"/>
      <c r="TDZ275" s="580"/>
      <c r="TEA275" s="580"/>
      <c r="TEB275" s="580"/>
      <c r="TEC275" s="580"/>
      <c r="TED275" s="580"/>
      <c r="TEE275" s="580"/>
      <c r="TEF275" s="580"/>
      <c r="TEG275" s="580"/>
      <c r="TEH275" s="580"/>
      <c r="TEI275" s="580"/>
      <c r="TEJ275" s="580"/>
      <c r="TEK275" s="580"/>
      <c r="TEL275" s="580"/>
      <c r="TEM275" s="580"/>
      <c r="TEN275" s="580"/>
      <c r="TEO275" s="580"/>
      <c r="TEP275" s="580"/>
      <c r="TEQ275" s="580"/>
      <c r="TER275" s="580"/>
      <c r="TES275" s="580"/>
      <c r="TET275" s="580"/>
      <c r="TEU275" s="580"/>
      <c r="TEV275" s="580"/>
      <c r="TEW275" s="580"/>
      <c r="TEX275" s="580"/>
      <c r="TEY275" s="580"/>
      <c r="TEZ275" s="580"/>
      <c r="TFA275" s="580"/>
      <c r="TFB275" s="580"/>
      <c r="TFC275" s="580"/>
      <c r="TFD275" s="580"/>
      <c r="TFE275" s="580"/>
      <c r="TFF275" s="580"/>
      <c r="TFG275" s="580"/>
      <c r="TFH275" s="580"/>
      <c r="TFI275" s="580"/>
      <c r="TFJ275" s="580"/>
      <c r="TFK275" s="580"/>
      <c r="TFL275" s="580"/>
      <c r="TFM275" s="580"/>
      <c r="TFN275" s="580"/>
      <c r="TFO275" s="580"/>
      <c r="TFP275" s="580"/>
      <c r="TFQ275" s="580"/>
      <c r="TFR275" s="580"/>
      <c r="TFS275" s="580"/>
      <c r="TFT275" s="580"/>
      <c r="TFU275" s="580"/>
      <c r="TFV275" s="580"/>
      <c r="TFW275" s="580"/>
      <c r="TFX275" s="580"/>
      <c r="TFY275" s="580"/>
      <c r="TFZ275" s="580"/>
      <c r="TGA275" s="580"/>
      <c r="TGB275" s="580"/>
      <c r="TGC275" s="580"/>
      <c r="TGD275" s="580"/>
      <c r="TGE275" s="580"/>
      <c r="TGF275" s="580"/>
      <c r="TGG275" s="580"/>
      <c r="TGH275" s="580"/>
      <c r="TGI275" s="580"/>
      <c r="TGJ275" s="580"/>
      <c r="TGK275" s="580"/>
      <c r="TGL275" s="580"/>
      <c r="TGM275" s="580"/>
      <c r="TGN275" s="580"/>
      <c r="TGO275" s="580"/>
      <c r="TGP275" s="580"/>
      <c r="TGQ275" s="580"/>
      <c r="TGR275" s="580"/>
      <c r="TGS275" s="580"/>
      <c r="TGT275" s="580"/>
      <c r="TGU275" s="580"/>
      <c r="TGV275" s="580"/>
      <c r="TGW275" s="580"/>
      <c r="TGX275" s="580"/>
      <c r="TGY275" s="580"/>
      <c r="TGZ275" s="580"/>
      <c r="THA275" s="580"/>
      <c r="THB275" s="580"/>
      <c r="THC275" s="580"/>
      <c r="THD275" s="580"/>
      <c r="THE275" s="580"/>
      <c r="THF275" s="580"/>
      <c r="THG275" s="580"/>
      <c r="THH275" s="580"/>
      <c r="THI275" s="580"/>
      <c r="THJ275" s="580"/>
      <c r="THK275" s="580"/>
      <c r="THL275" s="580"/>
      <c r="THM275" s="580"/>
      <c r="THN275" s="580"/>
      <c r="THO275" s="580"/>
      <c r="THP275" s="580"/>
      <c r="THQ275" s="580"/>
      <c r="THR275" s="580"/>
      <c r="THS275" s="580"/>
      <c r="THT275" s="580"/>
      <c r="THU275" s="580"/>
      <c r="THV275" s="580"/>
      <c r="THW275" s="580"/>
      <c r="THX275" s="580"/>
      <c r="THY275" s="580"/>
      <c r="THZ275" s="580"/>
      <c r="TIA275" s="580"/>
      <c r="TIB275" s="580"/>
      <c r="TIC275" s="580"/>
      <c r="TID275" s="580"/>
      <c r="TIE275" s="580"/>
      <c r="TIF275" s="580"/>
      <c r="TIG275" s="580"/>
      <c r="TIH275" s="580"/>
      <c r="TII275" s="580"/>
      <c r="TIJ275" s="580"/>
      <c r="TIK275" s="580"/>
      <c r="TIL275" s="580"/>
      <c r="TIM275" s="580"/>
      <c r="TIN275" s="580"/>
      <c r="TIO275" s="580"/>
      <c r="TIP275" s="580"/>
      <c r="TIQ275" s="580"/>
      <c r="TIR275" s="580"/>
      <c r="TIS275" s="580"/>
      <c r="TIT275" s="580"/>
      <c r="TIU275" s="580"/>
      <c r="TIV275" s="580"/>
      <c r="TIW275" s="580"/>
      <c r="TIX275" s="580"/>
      <c r="TIY275" s="580"/>
      <c r="TIZ275" s="580"/>
      <c r="TJA275" s="580"/>
      <c r="TJB275" s="580"/>
      <c r="TJC275" s="580"/>
      <c r="TJD275" s="580"/>
      <c r="TJE275" s="580"/>
      <c r="TJF275" s="580"/>
      <c r="TJG275" s="580"/>
      <c r="TJH275" s="580"/>
      <c r="TJI275" s="580"/>
      <c r="TJJ275" s="580"/>
      <c r="TJK275" s="580"/>
      <c r="TJL275" s="580"/>
      <c r="TJM275" s="580"/>
      <c r="TJN275" s="580"/>
      <c r="TJO275" s="580"/>
      <c r="TJP275" s="580"/>
      <c r="TJQ275" s="580"/>
      <c r="TJR275" s="580"/>
      <c r="TJS275" s="580"/>
      <c r="TJT275" s="580"/>
      <c r="TJU275" s="580"/>
      <c r="TJV275" s="580"/>
      <c r="TJW275" s="580"/>
      <c r="TJX275" s="580"/>
      <c r="TJY275" s="580"/>
      <c r="TJZ275" s="580"/>
      <c r="TKA275" s="580"/>
      <c r="TKB275" s="580"/>
      <c r="TKC275" s="580"/>
      <c r="TKD275" s="580"/>
      <c r="TKE275" s="580"/>
      <c r="TKF275" s="580"/>
      <c r="TKG275" s="580"/>
      <c r="TKH275" s="580"/>
      <c r="TKI275" s="580"/>
      <c r="TKJ275" s="580"/>
      <c r="TKK275" s="580"/>
      <c r="TKL275" s="580"/>
      <c r="TKM275" s="580"/>
      <c r="TKN275" s="580"/>
      <c r="TKO275" s="580"/>
      <c r="TKP275" s="580"/>
      <c r="TKQ275" s="580"/>
      <c r="TKR275" s="580"/>
      <c r="TKS275" s="580"/>
      <c r="TKT275" s="580"/>
      <c r="TKU275" s="580"/>
      <c r="TKV275" s="580"/>
      <c r="TKW275" s="580"/>
      <c r="TKX275" s="580"/>
      <c r="TKY275" s="580"/>
      <c r="TKZ275" s="580"/>
      <c r="TLA275" s="580"/>
      <c r="TLB275" s="580"/>
      <c r="TLC275" s="580"/>
      <c r="TLD275" s="580"/>
      <c r="TLE275" s="580"/>
      <c r="TLF275" s="580"/>
      <c r="TLG275" s="580"/>
      <c r="TLH275" s="580"/>
      <c r="TLI275" s="580"/>
      <c r="TLJ275" s="580"/>
      <c r="TLK275" s="580"/>
      <c r="TLL275" s="580"/>
      <c r="TLM275" s="580"/>
      <c r="TLN275" s="580"/>
      <c r="TLO275" s="580"/>
      <c r="TLP275" s="580"/>
      <c r="TLQ275" s="580"/>
      <c r="TLR275" s="580"/>
      <c r="TLS275" s="580"/>
      <c r="TLT275" s="580"/>
      <c r="TLU275" s="580"/>
      <c r="TLV275" s="580"/>
      <c r="TLW275" s="580"/>
      <c r="TLX275" s="580"/>
      <c r="TLY275" s="580"/>
      <c r="TLZ275" s="580"/>
      <c r="TMA275" s="580"/>
      <c r="TMB275" s="580"/>
      <c r="TMC275" s="580"/>
      <c r="TMD275" s="580"/>
      <c r="TME275" s="580"/>
      <c r="TMF275" s="580"/>
      <c r="TMG275" s="580"/>
      <c r="TMH275" s="580"/>
      <c r="TMI275" s="580"/>
      <c r="TMJ275" s="580"/>
      <c r="TMK275" s="580"/>
      <c r="TML275" s="580"/>
      <c r="TMM275" s="580"/>
      <c r="TMN275" s="580"/>
      <c r="TMO275" s="580"/>
      <c r="TMP275" s="580"/>
      <c r="TMQ275" s="580"/>
      <c r="TMR275" s="580"/>
      <c r="TMS275" s="580"/>
      <c r="TMT275" s="580"/>
      <c r="TMU275" s="580"/>
      <c r="TMV275" s="580"/>
      <c r="TMW275" s="580"/>
      <c r="TMX275" s="580"/>
      <c r="TMY275" s="580"/>
      <c r="TMZ275" s="580"/>
      <c r="TNA275" s="580"/>
      <c r="TNB275" s="580"/>
      <c r="TNC275" s="580"/>
      <c r="TND275" s="580"/>
      <c r="TNE275" s="580"/>
      <c r="TNF275" s="580"/>
      <c r="TNG275" s="580"/>
      <c r="TNH275" s="580"/>
      <c r="TNI275" s="580"/>
      <c r="TNJ275" s="580"/>
      <c r="TNK275" s="580"/>
      <c r="TNL275" s="580"/>
      <c r="TNM275" s="580"/>
      <c r="TNN275" s="580"/>
      <c r="TNO275" s="580"/>
      <c r="TNP275" s="580"/>
      <c r="TNQ275" s="580"/>
      <c r="TNR275" s="580"/>
      <c r="TNS275" s="580"/>
      <c r="TNT275" s="580"/>
      <c r="TNU275" s="580"/>
      <c r="TNV275" s="580"/>
      <c r="TNW275" s="580"/>
      <c r="TNX275" s="580"/>
      <c r="TNY275" s="580"/>
      <c r="TNZ275" s="580"/>
      <c r="TOA275" s="580"/>
      <c r="TOB275" s="580"/>
      <c r="TOC275" s="580"/>
      <c r="TOD275" s="580"/>
      <c r="TOE275" s="580"/>
      <c r="TOF275" s="580"/>
      <c r="TOG275" s="580"/>
      <c r="TOH275" s="580"/>
      <c r="TOI275" s="580"/>
      <c r="TOJ275" s="580"/>
      <c r="TOK275" s="580"/>
      <c r="TOL275" s="580"/>
      <c r="TOM275" s="580"/>
      <c r="TON275" s="580"/>
      <c r="TOO275" s="580"/>
      <c r="TOP275" s="580"/>
      <c r="TOQ275" s="580"/>
      <c r="TOR275" s="580"/>
      <c r="TOS275" s="580"/>
      <c r="TOT275" s="580"/>
      <c r="TOU275" s="580"/>
      <c r="TOV275" s="580"/>
      <c r="TOW275" s="580"/>
      <c r="TOX275" s="580"/>
      <c r="TOY275" s="580"/>
      <c r="TOZ275" s="580"/>
      <c r="TPA275" s="580"/>
      <c r="TPB275" s="580"/>
      <c r="TPC275" s="580"/>
      <c r="TPD275" s="580"/>
      <c r="TPE275" s="580"/>
      <c r="TPF275" s="580"/>
      <c r="TPG275" s="580"/>
      <c r="TPH275" s="580"/>
      <c r="TPI275" s="580"/>
      <c r="TPJ275" s="580"/>
      <c r="TPK275" s="580"/>
      <c r="TPL275" s="580"/>
      <c r="TPM275" s="580"/>
      <c r="TPN275" s="580"/>
      <c r="TPO275" s="580"/>
      <c r="TPP275" s="580"/>
      <c r="TPQ275" s="580"/>
      <c r="TPR275" s="580"/>
      <c r="TPS275" s="580"/>
      <c r="TPT275" s="580"/>
      <c r="TPU275" s="580"/>
      <c r="TPV275" s="580"/>
      <c r="TPW275" s="580"/>
      <c r="TPX275" s="580"/>
      <c r="TPY275" s="580"/>
      <c r="TPZ275" s="580"/>
      <c r="TQA275" s="580"/>
      <c r="TQB275" s="580"/>
      <c r="TQC275" s="580"/>
      <c r="TQD275" s="580"/>
      <c r="TQE275" s="580"/>
      <c r="TQF275" s="580"/>
      <c r="TQG275" s="580"/>
      <c r="TQH275" s="580"/>
      <c r="TQI275" s="580"/>
      <c r="TQJ275" s="580"/>
      <c r="TQK275" s="580"/>
      <c r="TQL275" s="580"/>
      <c r="TQM275" s="580"/>
      <c r="TQN275" s="580"/>
      <c r="TQO275" s="580"/>
      <c r="TQP275" s="580"/>
      <c r="TQQ275" s="580"/>
      <c r="TQR275" s="580"/>
      <c r="TQS275" s="580"/>
      <c r="TQT275" s="580"/>
      <c r="TQU275" s="580"/>
      <c r="TQV275" s="580"/>
      <c r="TQW275" s="580"/>
      <c r="TQX275" s="580"/>
      <c r="TQY275" s="580"/>
      <c r="TQZ275" s="580"/>
      <c r="TRA275" s="580"/>
      <c r="TRB275" s="580"/>
      <c r="TRC275" s="580"/>
      <c r="TRD275" s="580"/>
      <c r="TRE275" s="580"/>
      <c r="TRF275" s="580"/>
      <c r="TRG275" s="580"/>
      <c r="TRH275" s="580"/>
      <c r="TRI275" s="580"/>
      <c r="TRJ275" s="580"/>
      <c r="TRK275" s="580"/>
      <c r="TRL275" s="580"/>
      <c r="TRM275" s="580"/>
      <c r="TRN275" s="580"/>
      <c r="TRO275" s="580"/>
      <c r="TRP275" s="580"/>
      <c r="TRQ275" s="580"/>
      <c r="TRR275" s="580"/>
      <c r="TRS275" s="580"/>
      <c r="TRT275" s="580"/>
      <c r="TRU275" s="580"/>
      <c r="TRV275" s="580"/>
      <c r="TRW275" s="580"/>
      <c r="TRX275" s="580"/>
      <c r="TRY275" s="580"/>
      <c r="TRZ275" s="580"/>
      <c r="TSA275" s="580"/>
      <c r="TSB275" s="580"/>
      <c r="TSC275" s="580"/>
      <c r="TSD275" s="580"/>
      <c r="TSE275" s="580"/>
      <c r="TSF275" s="580"/>
      <c r="TSG275" s="580"/>
      <c r="TSH275" s="580"/>
      <c r="TSI275" s="580"/>
      <c r="TSJ275" s="580"/>
      <c r="TSK275" s="580"/>
      <c r="TSL275" s="580"/>
      <c r="TSM275" s="580"/>
      <c r="TSN275" s="580"/>
      <c r="TSO275" s="580"/>
      <c r="TSP275" s="580"/>
      <c r="TSQ275" s="580"/>
      <c r="TSR275" s="580"/>
      <c r="TSS275" s="580"/>
      <c r="TST275" s="580"/>
      <c r="TSU275" s="580"/>
      <c r="TSV275" s="580"/>
      <c r="TSW275" s="580"/>
      <c r="TSX275" s="580"/>
      <c r="TSY275" s="580"/>
      <c r="TSZ275" s="580"/>
      <c r="TTA275" s="580"/>
      <c r="TTB275" s="580"/>
      <c r="TTC275" s="580"/>
      <c r="TTD275" s="580"/>
      <c r="TTE275" s="580"/>
      <c r="TTF275" s="580"/>
      <c r="TTG275" s="580"/>
      <c r="TTH275" s="580"/>
      <c r="TTI275" s="580"/>
      <c r="TTJ275" s="580"/>
      <c r="TTK275" s="580"/>
      <c r="TTL275" s="580"/>
      <c r="TTM275" s="580"/>
      <c r="TTN275" s="580"/>
      <c r="TTO275" s="580"/>
      <c r="TTP275" s="580"/>
      <c r="TTQ275" s="580"/>
      <c r="TTR275" s="580"/>
      <c r="TTS275" s="580"/>
      <c r="TTT275" s="580"/>
      <c r="TTU275" s="580"/>
      <c r="TTV275" s="580"/>
      <c r="TTW275" s="580"/>
      <c r="TTX275" s="580"/>
      <c r="TTY275" s="580"/>
      <c r="TTZ275" s="580"/>
      <c r="TUA275" s="580"/>
      <c r="TUB275" s="580"/>
      <c r="TUC275" s="580"/>
      <c r="TUD275" s="580"/>
      <c r="TUE275" s="580"/>
      <c r="TUF275" s="580"/>
      <c r="TUG275" s="580"/>
      <c r="TUH275" s="580"/>
      <c r="TUI275" s="580"/>
      <c r="TUJ275" s="580"/>
      <c r="TUK275" s="580"/>
      <c r="TUL275" s="580"/>
      <c r="TUM275" s="580"/>
      <c r="TUN275" s="580"/>
      <c r="TUO275" s="580"/>
      <c r="TUP275" s="580"/>
      <c r="TUQ275" s="580"/>
      <c r="TUR275" s="580"/>
      <c r="TUS275" s="580"/>
      <c r="TUT275" s="580"/>
      <c r="TUU275" s="580"/>
      <c r="TUV275" s="580"/>
      <c r="TUW275" s="580"/>
      <c r="TUX275" s="580"/>
      <c r="TUY275" s="580"/>
      <c r="TUZ275" s="580"/>
      <c r="TVA275" s="580"/>
      <c r="TVB275" s="580"/>
      <c r="TVC275" s="580"/>
      <c r="TVD275" s="580"/>
      <c r="TVE275" s="580"/>
      <c r="TVF275" s="580"/>
      <c r="TVG275" s="580"/>
      <c r="TVH275" s="580"/>
      <c r="TVI275" s="580"/>
      <c r="TVJ275" s="580"/>
      <c r="TVK275" s="580"/>
      <c r="TVL275" s="580"/>
      <c r="TVM275" s="580"/>
      <c r="TVN275" s="580"/>
      <c r="TVO275" s="580"/>
      <c r="TVP275" s="580"/>
      <c r="TVQ275" s="580"/>
      <c r="TVR275" s="580"/>
      <c r="TVS275" s="580"/>
      <c r="TVT275" s="580"/>
      <c r="TVU275" s="580"/>
      <c r="TVV275" s="580"/>
      <c r="TVW275" s="580"/>
      <c r="TVX275" s="580"/>
      <c r="TVY275" s="580"/>
      <c r="TVZ275" s="580"/>
      <c r="TWA275" s="580"/>
      <c r="TWB275" s="580"/>
      <c r="TWC275" s="580"/>
      <c r="TWD275" s="580"/>
      <c r="TWE275" s="580"/>
      <c r="TWF275" s="580"/>
      <c r="TWG275" s="580"/>
      <c r="TWH275" s="580"/>
      <c r="TWI275" s="580"/>
      <c r="TWJ275" s="580"/>
      <c r="TWK275" s="580"/>
      <c r="TWL275" s="580"/>
      <c r="TWM275" s="580"/>
      <c r="TWN275" s="580"/>
      <c r="TWO275" s="580"/>
      <c r="TWP275" s="580"/>
      <c r="TWQ275" s="580"/>
      <c r="TWR275" s="580"/>
      <c r="TWS275" s="580"/>
      <c r="TWT275" s="580"/>
      <c r="TWU275" s="580"/>
      <c r="TWV275" s="580"/>
      <c r="TWW275" s="580"/>
      <c r="TWX275" s="580"/>
      <c r="TWY275" s="580"/>
      <c r="TWZ275" s="580"/>
      <c r="TXA275" s="580"/>
      <c r="TXB275" s="580"/>
      <c r="TXC275" s="580"/>
      <c r="TXD275" s="580"/>
      <c r="TXE275" s="580"/>
      <c r="TXF275" s="580"/>
      <c r="TXG275" s="580"/>
      <c r="TXH275" s="580"/>
      <c r="TXI275" s="580"/>
      <c r="TXJ275" s="580"/>
      <c r="TXK275" s="580"/>
      <c r="TXL275" s="580"/>
      <c r="TXM275" s="580"/>
      <c r="TXN275" s="580"/>
      <c r="TXO275" s="580"/>
      <c r="TXP275" s="580"/>
      <c r="TXQ275" s="580"/>
      <c r="TXR275" s="580"/>
      <c r="TXS275" s="580"/>
      <c r="TXT275" s="580"/>
      <c r="TXU275" s="580"/>
      <c r="TXV275" s="580"/>
      <c r="TXW275" s="580"/>
      <c r="TXX275" s="580"/>
      <c r="TXY275" s="580"/>
      <c r="TXZ275" s="580"/>
      <c r="TYA275" s="580"/>
      <c r="TYB275" s="580"/>
      <c r="TYC275" s="580"/>
      <c r="TYD275" s="580"/>
      <c r="TYE275" s="580"/>
      <c r="TYF275" s="580"/>
      <c r="TYG275" s="580"/>
      <c r="TYH275" s="580"/>
      <c r="TYI275" s="580"/>
      <c r="TYJ275" s="580"/>
      <c r="TYK275" s="580"/>
      <c r="TYL275" s="580"/>
      <c r="TYM275" s="580"/>
      <c r="TYN275" s="580"/>
      <c r="TYO275" s="580"/>
      <c r="TYP275" s="580"/>
      <c r="TYQ275" s="580"/>
      <c r="TYR275" s="580"/>
      <c r="TYS275" s="580"/>
      <c r="TYT275" s="580"/>
      <c r="TYU275" s="580"/>
      <c r="TYV275" s="580"/>
      <c r="TYW275" s="580"/>
      <c r="TYX275" s="580"/>
      <c r="TYY275" s="580"/>
      <c r="TYZ275" s="580"/>
      <c r="TZA275" s="580"/>
      <c r="TZB275" s="580"/>
      <c r="TZC275" s="580"/>
      <c r="TZD275" s="580"/>
      <c r="TZE275" s="580"/>
      <c r="TZF275" s="580"/>
      <c r="TZG275" s="580"/>
      <c r="TZH275" s="580"/>
      <c r="TZI275" s="580"/>
      <c r="TZJ275" s="580"/>
      <c r="TZK275" s="580"/>
      <c r="TZL275" s="580"/>
      <c r="TZM275" s="580"/>
      <c r="TZN275" s="580"/>
      <c r="TZO275" s="580"/>
      <c r="TZP275" s="580"/>
      <c r="TZQ275" s="580"/>
      <c r="TZR275" s="580"/>
      <c r="TZS275" s="580"/>
      <c r="TZT275" s="580"/>
      <c r="TZU275" s="580"/>
      <c r="TZV275" s="580"/>
      <c r="TZW275" s="580"/>
      <c r="TZX275" s="580"/>
      <c r="TZY275" s="580"/>
      <c r="TZZ275" s="580"/>
      <c r="UAA275" s="580"/>
      <c r="UAB275" s="580"/>
      <c r="UAC275" s="580"/>
      <c r="UAD275" s="580"/>
      <c r="UAE275" s="580"/>
      <c r="UAF275" s="580"/>
      <c r="UAG275" s="580"/>
      <c r="UAH275" s="580"/>
      <c r="UAI275" s="580"/>
      <c r="UAJ275" s="580"/>
      <c r="UAK275" s="580"/>
      <c r="UAL275" s="580"/>
      <c r="UAM275" s="580"/>
      <c r="UAN275" s="580"/>
      <c r="UAO275" s="580"/>
      <c r="UAP275" s="580"/>
      <c r="UAQ275" s="580"/>
      <c r="UAR275" s="580"/>
      <c r="UAS275" s="580"/>
      <c r="UAT275" s="580"/>
      <c r="UAU275" s="580"/>
      <c r="UAV275" s="580"/>
      <c r="UAW275" s="580"/>
      <c r="UAX275" s="580"/>
      <c r="UAY275" s="580"/>
      <c r="UAZ275" s="580"/>
      <c r="UBA275" s="580"/>
      <c r="UBB275" s="580"/>
      <c r="UBC275" s="580"/>
      <c r="UBD275" s="580"/>
      <c r="UBE275" s="580"/>
      <c r="UBF275" s="580"/>
      <c r="UBG275" s="580"/>
      <c r="UBH275" s="580"/>
      <c r="UBI275" s="580"/>
      <c r="UBJ275" s="580"/>
      <c r="UBK275" s="580"/>
      <c r="UBL275" s="580"/>
      <c r="UBM275" s="580"/>
      <c r="UBN275" s="580"/>
      <c r="UBO275" s="580"/>
      <c r="UBP275" s="580"/>
      <c r="UBQ275" s="580"/>
      <c r="UBR275" s="580"/>
      <c r="UBS275" s="580"/>
      <c r="UBT275" s="580"/>
      <c r="UBU275" s="580"/>
      <c r="UBV275" s="580"/>
      <c r="UBW275" s="580"/>
      <c r="UBX275" s="580"/>
      <c r="UBY275" s="580"/>
      <c r="UBZ275" s="580"/>
      <c r="UCA275" s="580"/>
      <c r="UCB275" s="580"/>
      <c r="UCC275" s="580"/>
      <c r="UCD275" s="580"/>
      <c r="UCE275" s="580"/>
      <c r="UCF275" s="580"/>
      <c r="UCG275" s="580"/>
      <c r="UCH275" s="580"/>
      <c r="UCI275" s="580"/>
      <c r="UCJ275" s="580"/>
      <c r="UCK275" s="580"/>
      <c r="UCL275" s="580"/>
      <c r="UCM275" s="580"/>
      <c r="UCN275" s="580"/>
      <c r="UCO275" s="580"/>
      <c r="UCP275" s="580"/>
      <c r="UCQ275" s="580"/>
      <c r="UCR275" s="580"/>
      <c r="UCS275" s="580"/>
      <c r="UCT275" s="580"/>
      <c r="UCU275" s="580"/>
      <c r="UCV275" s="580"/>
      <c r="UCW275" s="580"/>
      <c r="UCX275" s="580"/>
      <c r="UCY275" s="580"/>
      <c r="UCZ275" s="580"/>
      <c r="UDA275" s="580"/>
      <c r="UDB275" s="580"/>
      <c r="UDC275" s="580"/>
      <c r="UDD275" s="580"/>
      <c r="UDE275" s="580"/>
      <c r="UDF275" s="580"/>
      <c r="UDG275" s="580"/>
      <c r="UDH275" s="580"/>
      <c r="UDI275" s="580"/>
      <c r="UDJ275" s="580"/>
      <c r="UDK275" s="580"/>
      <c r="UDL275" s="580"/>
      <c r="UDM275" s="580"/>
      <c r="UDN275" s="580"/>
      <c r="UDO275" s="580"/>
      <c r="UDP275" s="580"/>
      <c r="UDQ275" s="580"/>
      <c r="UDR275" s="580"/>
      <c r="UDS275" s="580"/>
      <c r="UDT275" s="580"/>
      <c r="UDU275" s="580"/>
      <c r="UDV275" s="580"/>
      <c r="UDW275" s="580"/>
      <c r="UDX275" s="580"/>
      <c r="UDY275" s="580"/>
      <c r="UDZ275" s="580"/>
      <c r="UEA275" s="580"/>
      <c r="UEB275" s="580"/>
      <c r="UEC275" s="580"/>
      <c r="UED275" s="580"/>
      <c r="UEE275" s="580"/>
      <c r="UEF275" s="580"/>
      <c r="UEG275" s="580"/>
      <c r="UEH275" s="580"/>
      <c r="UEI275" s="580"/>
      <c r="UEJ275" s="580"/>
      <c r="UEK275" s="580"/>
      <c r="UEL275" s="580"/>
      <c r="UEM275" s="580"/>
      <c r="UEN275" s="580"/>
      <c r="UEO275" s="580"/>
      <c r="UEP275" s="580"/>
      <c r="UEQ275" s="580"/>
      <c r="UER275" s="580"/>
      <c r="UES275" s="580"/>
      <c r="UET275" s="580"/>
      <c r="UEU275" s="580"/>
      <c r="UEV275" s="580"/>
      <c r="UEW275" s="580"/>
      <c r="UEX275" s="580"/>
      <c r="UEY275" s="580"/>
      <c r="UEZ275" s="580"/>
      <c r="UFA275" s="580"/>
      <c r="UFB275" s="580"/>
      <c r="UFC275" s="580"/>
      <c r="UFD275" s="580"/>
      <c r="UFE275" s="580"/>
      <c r="UFF275" s="580"/>
      <c r="UFG275" s="580"/>
      <c r="UFH275" s="580"/>
      <c r="UFI275" s="580"/>
      <c r="UFJ275" s="580"/>
      <c r="UFK275" s="580"/>
      <c r="UFL275" s="580"/>
      <c r="UFM275" s="580"/>
      <c r="UFN275" s="580"/>
      <c r="UFO275" s="580"/>
      <c r="UFP275" s="580"/>
      <c r="UFQ275" s="580"/>
      <c r="UFR275" s="580"/>
      <c r="UFS275" s="580"/>
      <c r="UFT275" s="580"/>
      <c r="UFU275" s="580"/>
      <c r="UFV275" s="580"/>
      <c r="UFW275" s="580"/>
      <c r="UFX275" s="580"/>
      <c r="UFY275" s="580"/>
      <c r="UFZ275" s="580"/>
      <c r="UGA275" s="580"/>
      <c r="UGB275" s="580"/>
      <c r="UGC275" s="580"/>
      <c r="UGD275" s="580"/>
      <c r="UGE275" s="580"/>
      <c r="UGF275" s="580"/>
      <c r="UGG275" s="580"/>
      <c r="UGH275" s="580"/>
      <c r="UGI275" s="580"/>
      <c r="UGJ275" s="580"/>
      <c r="UGK275" s="580"/>
      <c r="UGL275" s="580"/>
      <c r="UGM275" s="580"/>
      <c r="UGN275" s="580"/>
      <c r="UGO275" s="580"/>
      <c r="UGP275" s="580"/>
      <c r="UGQ275" s="580"/>
      <c r="UGR275" s="580"/>
      <c r="UGS275" s="580"/>
      <c r="UGT275" s="580"/>
      <c r="UGU275" s="580"/>
      <c r="UGV275" s="580"/>
      <c r="UGW275" s="580"/>
      <c r="UGX275" s="580"/>
      <c r="UGY275" s="580"/>
      <c r="UGZ275" s="580"/>
      <c r="UHA275" s="580"/>
      <c r="UHB275" s="580"/>
      <c r="UHC275" s="580"/>
      <c r="UHD275" s="580"/>
      <c r="UHE275" s="580"/>
      <c r="UHF275" s="580"/>
      <c r="UHG275" s="580"/>
      <c r="UHH275" s="580"/>
      <c r="UHI275" s="580"/>
      <c r="UHJ275" s="580"/>
      <c r="UHK275" s="580"/>
      <c r="UHL275" s="580"/>
      <c r="UHM275" s="580"/>
      <c r="UHN275" s="580"/>
      <c r="UHO275" s="580"/>
      <c r="UHP275" s="580"/>
      <c r="UHQ275" s="580"/>
      <c r="UHR275" s="580"/>
      <c r="UHS275" s="580"/>
      <c r="UHT275" s="580"/>
      <c r="UHU275" s="580"/>
      <c r="UHV275" s="580"/>
      <c r="UHW275" s="580"/>
      <c r="UHX275" s="580"/>
      <c r="UHY275" s="580"/>
      <c r="UHZ275" s="580"/>
      <c r="UIA275" s="580"/>
      <c r="UIB275" s="580"/>
      <c r="UIC275" s="580"/>
      <c r="UID275" s="580"/>
      <c r="UIE275" s="580"/>
      <c r="UIF275" s="580"/>
      <c r="UIG275" s="580"/>
      <c r="UIH275" s="580"/>
      <c r="UII275" s="580"/>
      <c r="UIJ275" s="580"/>
      <c r="UIK275" s="580"/>
      <c r="UIL275" s="580"/>
      <c r="UIM275" s="580"/>
      <c r="UIN275" s="580"/>
      <c r="UIO275" s="580"/>
      <c r="UIP275" s="580"/>
      <c r="UIQ275" s="580"/>
      <c r="UIR275" s="580"/>
      <c r="UIS275" s="580"/>
      <c r="UIT275" s="580"/>
      <c r="UIU275" s="580"/>
      <c r="UIV275" s="580"/>
      <c r="UIW275" s="580"/>
      <c r="UIX275" s="580"/>
      <c r="UIY275" s="580"/>
      <c r="UIZ275" s="580"/>
      <c r="UJA275" s="580"/>
      <c r="UJB275" s="580"/>
      <c r="UJC275" s="580"/>
      <c r="UJD275" s="580"/>
      <c r="UJE275" s="580"/>
      <c r="UJF275" s="580"/>
      <c r="UJG275" s="580"/>
      <c r="UJH275" s="580"/>
      <c r="UJI275" s="580"/>
      <c r="UJJ275" s="580"/>
      <c r="UJK275" s="580"/>
      <c r="UJL275" s="580"/>
      <c r="UJM275" s="580"/>
      <c r="UJN275" s="580"/>
      <c r="UJO275" s="580"/>
      <c r="UJP275" s="580"/>
      <c r="UJQ275" s="580"/>
      <c r="UJR275" s="580"/>
      <c r="UJS275" s="580"/>
      <c r="UJT275" s="580"/>
      <c r="UJU275" s="580"/>
      <c r="UJV275" s="580"/>
      <c r="UJW275" s="580"/>
      <c r="UJX275" s="580"/>
      <c r="UJY275" s="580"/>
      <c r="UJZ275" s="580"/>
      <c r="UKA275" s="580"/>
      <c r="UKB275" s="580"/>
      <c r="UKC275" s="580"/>
      <c r="UKD275" s="580"/>
      <c r="UKE275" s="580"/>
      <c r="UKF275" s="580"/>
      <c r="UKG275" s="580"/>
      <c r="UKH275" s="580"/>
      <c r="UKI275" s="580"/>
      <c r="UKJ275" s="580"/>
      <c r="UKK275" s="580"/>
      <c r="UKL275" s="580"/>
      <c r="UKM275" s="580"/>
      <c r="UKN275" s="580"/>
      <c r="UKO275" s="580"/>
      <c r="UKP275" s="580"/>
      <c r="UKQ275" s="580"/>
      <c r="UKR275" s="580"/>
      <c r="UKS275" s="580"/>
      <c r="UKT275" s="580"/>
      <c r="UKU275" s="580"/>
      <c r="UKV275" s="580"/>
      <c r="UKW275" s="580"/>
      <c r="UKX275" s="580"/>
      <c r="UKY275" s="580"/>
      <c r="UKZ275" s="580"/>
      <c r="ULA275" s="580"/>
      <c r="ULB275" s="580"/>
      <c r="ULC275" s="580"/>
      <c r="ULD275" s="580"/>
      <c r="ULE275" s="580"/>
      <c r="ULF275" s="580"/>
      <c r="ULG275" s="580"/>
      <c r="ULH275" s="580"/>
      <c r="ULI275" s="580"/>
      <c r="ULJ275" s="580"/>
      <c r="ULK275" s="580"/>
      <c r="ULL275" s="580"/>
      <c r="ULM275" s="580"/>
      <c r="ULN275" s="580"/>
      <c r="ULO275" s="580"/>
      <c r="ULP275" s="580"/>
      <c r="ULQ275" s="580"/>
      <c r="ULR275" s="580"/>
      <c r="ULS275" s="580"/>
      <c r="ULT275" s="580"/>
      <c r="ULU275" s="580"/>
      <c r="ULV275" s="580"/>
      <c r="ULW275" s="580"/>
      <c r="ULX275" s="580"/>
      <c r="ULY275" s="580"/>
      <c r="ULZ275" s="580"/>
      <c r="UMA275" s="580"/>
      <c r="UMB275" s="580"/>
      <c r="UMC275" s="580"/>
      <c r="UMD275" s="580"/>
      <c r="UME275" s="580"/>
      <c r="UMF275" s="580"/>
      <c r="UMG275" s="580"/>
      <c r="UMH275" s="580"/>
      <c r="UMI275" s="580"/>
      <c r="UMJ275" s="580"/>
      <c r="UMK275" s="580"/>
      <c r="UML275" s="580"/>
      <c r="UMM275" s="580"/>
      <c r="UMN275" s="580"/>
      <c r="UMO275" s="580"/>
      <c r="UMP275" s="580"/>
      <c r="UMQ275" s="580"/>
      <c r="UMR275" s="580"/>
      <c r="UMS275" s="580"/>
      <c r="UMT275" s="580"/>
      <c r="UMU275" s="580"/>
      <c r="UMV275" s="580"/>
      <c r="UMW275" s="580"/>
      <c r="UMX275" s="580"/>
      <c r="UMY275" s="580"/>
      <c r="UMZ275" s="580"/>
      <c r="UNA275" s="580"/>
      <c r="UNB275" s="580"/>
      <c r="UNC275" s="580"/>
      <c r="UND275" s="580"/>
      <c r="UNE275" s="580"/>
      <c r="UNF275" s="580"/>
      <c r="UNG275" s="580"/>
      <c r="UNH275" s="580"/>
      <c r="UNI275" s="580"/>
      <c r="UNJ275" s="580"/>
      <c r="UNK275" s="580"/>
      <c r="UNL275" s="580"/>
      <c r="UNM275" s="580"/>
      <c r="UNN275" s="580"/>
      <c r="UNO275" s="580"/>
      <c r="UNP275" s="580"/>
      <c r="UNQ275" s="580"/>
      <c r="UNR275" s="580"/>
      <c r="UNS275" s="580"/>
      <c r="UNT275" s="580"/>
      <c r="UNU275" s="580"/>
      <c r="UNV275" s="580"/>
      <c r="UNW275" s="580"/>
      <c r="UNX275" s="580"/>
      <c r="UNY275" s="580"/>
      <c r="UNZ275" s="580"/>
      <c r="UOA275" s="580"/>
      <c r="UOB275" s="580"/>
      <c r="UOC275" s="580"/>
      <c r="UOD275" s="580"/>
      <c r="UOE275" s="580"/>
      <c r="UOF275" s="580"/>
      <c r="UOG275" s="580"/>
      <c r="UOH275" s="580"/>
      <c r="UOI275" s="580"/>
      <c r="UOJ275" s="580"/>
      <c r="UOK275" s="580"/>
      <c r="UOL275" s="580"/>
      <c r="UOM275" s="580"/>
      <c r="UON275" s="580"/>
      <c r="UOO275" s="580"/>
      <c r="UOP275" s="580"/>
      <c r="UOQ275" s="580"/>
      <c r="UOR275" s="580"/>
      <c r="UOS275" s="580"/>
      <c r="UOT275" s="580"/>
      <c r="UOU275" s="580"/>
      <c r="UOV275" s="580"/>
      <c r="UOW275" s="580"/>
      <c r="UOX275" s="580"/>
      <c r="UOY275" s="580"/>
      <c r="UOZ275" s="580"/>
      <c r="UPA275" s="580"/>
      <c r="UPB275" s="580"/>
      <c r="UPC275" s="580"/>
      <c r="UPD275" s="580"/>
      <c r="UPE275" s="580"/>
      <c r="UPF275" s="580"/>
      <c r="UPG275" s="580"/>
      <c r="UPH275" s="580"/>
      <c r="UPI275" s="580"/>
      <c r="UPJ275" s="580"/>
      <c r="UPK275" s="580"/>
      <c r="UPL275" s="580"/>
      <c r="UPM275" s="580"/>
      <c r="UPN275" s="580"/>
      <c r="UPO275" s="580"/>
      <c r="UPP275" s="580"/>
      <c r="UPQ275" s="580"/>
      <c r="UPR275" s="580"/>
      <c r="UPS275" s="580"/>
      <c r="UPT275" s="580"/>
      <c r="UPU275" s="580"/>
      <c r="UPV275" s="580"/>
      <c r="UPW275" s="580"/>
      <c r="UPX275" s="580"/>
      <c r="UPY275" s="580"/>
      <c r="UPZ275" s="580"/>
      <c r="UQA275" s="580"/>
      <c r="UQB275" s="580"/>
      <c r="UQC275" s="580"/>
      <c r="UQD275" s="580"/>
      <c r="UQE275" s="580"/>
      <c r="UQF275" s="580"/>
      <c r="UQG275" s="580"/>
      <c r="UQH275" s="580"/>
      <c r="UQI275" s="580"/>
      <c r="UQJ275" s="580"/>
      <c r="UQK275" s="580"/>
      <c r="UQL275" s="580"/>
      <c r="UQM275" s="580"/>
      <c r="UQN275" s="580"/>
      <c r="UQO275" s="580"/>
      <c r="UQP275" s="580"/>
      <c r="UQQ275" s="580"/>
      <c r="UQR275" s="580"/>
      <c r="UQS275" s="580"/>
      <c r="UQT275" s="580"/>
      <c r="UQU275" s="580"/>
      <c r="UQV275" s="580"/>
      <c r="UQW275" s="580"/>
      <c r="UQX275" s="580"/>
      <c r="UQY275" s="580"/>
      <c r="UQZ275" s="580"/>
      <c r="URA275" s="580"/>
      <c r="URB275" s="580"/>
      <c r="URC275" s="580"/>
      <c r="URD275" s="580"/>
      <c r="URE275" s="580"/>
      <c r="URF275" s="580"/>
      <c r="URG275" s="580"/>
      <c r="URH275" s="580"/>
      <c r="URI275" s="580"/>
      <c r="URJ275" s="580"/>
      <c r="URK275" s="580"/>
      <c r="URL275" s="580"/>
      <c r="URM275" s="580"/>
      <c r="URN275" s="580"/>
      <c r="URO275" s="580"/>
      <c r="URP275" s="580"/>
      <c r="URQ275" s="580"/>
      <c r="URR275" s="580"/>
      <c r="URS275" s="580"/>
      <c r="URT275" s="580"/>
      <c r="URU275" s="580"/>
      <c r="URV275" s="580"/>
      <c r="URW275" s="580"/>
      <c r="URX275" s="580"/>
      <c r="URY275" s="580"/>
      <c r="URZ275" s="580"/>
      <c r="USA275" s="580"/>
      <c r="USB275" s="580"/>
      <c r="USC275" s="580"/>
      <c r="USD275" s="580"/>
      <c r="USE275" s="580"/>
      <c r="USF275" s="580"/>
      <c r="USG275" s="580"/>
      <c r="USH275" s="580"/>
      <c r="USI275" s="580"/>
      <c r="USJ275" s="580"/>
      <c r="USK275" s="580"/>
      <c r="USL275" s="580"/>
      <c r="USM275" s="580"/>
      <c r="USN275" s="580"/>
      <c r="USO275" s="580"/>
      <c r="USP275" s="580"/>
      <c r="USQ275" s="580"/>
      <c r="USR275" s="580"/>
      <c r="USS275" s="580"/>
      <c r="UST275" s="580"/>
      <c r="USU275" s="580"/>
      <c r="USV275" s="580"/>
      <c r="USW275" s="580"/>
      <c r="USX275" s="580"/>
      <c r="USY275" s="580"/>
      <c r="USZ275" s="580"/>
      <c r="UTA275" s="580"/>
      <c r="UTB275" s="580"/>
      <c r="UTC275" s="580"/>
      <c r="UTD275" s="580"/>
      <c r="UTE275" s="580"/>
      <c r="UTF275" s="580"/>
      <c r="UTG275" s="580"/>
      <c r="UTH275" s="580"/>
      <c r="UTI275" s="580"/>
      <c r="UTJ275" s="580"/>
      <c r="UTK275" s="580"/>
      <c r="UTL275" s="580"/>
      <c r="UTM275" s="580"/>
      <c r="UTN275" s="580"/>
      <c r="UTO275" s="580"/>
      <c r="UTP275" s="580"/>
      <c r="UTQ275" s="580"/>
      <c r="UTR275" s="580"/>
      <c r="UTS275" s="580"/>
      <c r="UTT275" s="580"/>
      <c r="UTU275" s="580"/>
      <c r="UTV275" s="580"/>
      <c r="UTW275" s="580"/>
      <c r="UTX275" s="580"/>
      <c r="UTY275" s="580"/>
      <c r="UTZ275" s="580"/>
      <c r="UUA275" s="580"/>
      <c r="UUB275" s="580"/>
      <c r="UUC275" s="580"/>
      <c r="UUD275" s="580"/>
      <c r="UUE275" s="580"/>
      <c r="UUF275" s="580"/>
      <c r="UUG275" s="580"/>
      <c r="UUH275" s="580"/>
      <c r="UUI275" s="580"/>
      <c r="UUJ275" s="580"/>
      <c r="UUK275" s="580"/>
      <c r="UUL275" s="580"/>
      <c r="UUM275" s="580"/>
      <c r="UUN275" s="580"/>
      <c r="UUO275" s="580"/>
      <c r="UUP275" s="580"/>
      <c r="UUQ275" s="580"/>
      <c r="UUR275" s="580"/>
      <c r="UUS275" s="580"/>
      <c r="UUT275" s="580"/>
      <c r="UUU275" s="580"/>
      <c r="UUV275" s="580"/>
      <c r="UUW275" s="580"/>
      <c r="UUX275" s="580"/>
      <c r="UUY275" s="580"/>
      <c r="UUZ275" s="580"/>
      <c r="UVA275" s="580"/>
      <c r="UVB275" s="580"/>
      <c r="UVC275" s="580"/>
      <c r="UVD275" s="580"/>
      <c r="UVE275" s="580"/>
      <c r="UVF275" s="580"/>
      <c r="UVG275" s="580"/>
      <c r="UVH275" s="580"/>
      <c r="UVI275" s="580"/>
      <c r="UVJ275" s="580"/>
      <c r="UVK275" s="580"/>
      <c r="UVL275" s="580"/>
      <c r="UVM275" s="580"/>
      <c r="UVN275" s="580"/>
      <c r="UVO275" s="580"/>
      <c r="UVP275" s="580"/>
      <c r="UVQ275" s="580"/>
      <c r="UVR275" s="580"/>
      <c r="UVS275" s="580"/>
      <c r="UVT275" s="580"/>
      <c r="UVU275" s="580"/>
      <c r="UVV275" s="580"/>
      <c r="UVW275" s="580"/>
      <c r="UVX275" s="580"/>
      <c r="UVY275" s="580"/>
      <c r="UVZ275" s="580"/>
      <c r="UWA275" s="580"/>
      <c r="UWB275" s="580"/>
      <c r="UWC275" s="580"/>
      <c r="UWD275" s="580"/>
      <c r="UWE275" s="580"/>
      <c r="UWF275" s="580"/>
      <c r="UWG275" s="580"/>
      <c r="UWH275" s="580"/>
      <c r="UWI275" s="580"/>
      <c r="UWJ275" s="580"/>
      <c r="UWK275" s="580"/>
      <c r="UWL275" s="580"/>
      <c r="UWM275" s="580"/>
      <c r="UWN275" s="580"/>
      <c r="UWO275" s="580"/>
      <c r="UWP275" s="580"/>
      <c r="UWQ275" s="580"/>
      <c r="UWR275" s="580"/>
      <c r="UWS275" s="580"/>
      <c r="UWT275" s="580"/>
      <c r="UWU275" s="580"/>
      <c r="UWV275" s="580"/>
      <c r="UWW275" s="580"/>
      <c r="UWX275" s="580"/>
      <c r="UWY275" s="580"/>
      <c r="UWZ275" s="580"/>
      <c r="UXA275" s="580"/>
      <c r="UXB275" s="580"/>
      <c r="UXC275" s="580"/>
      <c r="UXD275" s="580"/>
      <c r="UXE275" s="580"/>
      <c r="UXF275" s="580"/>
      <c r="UXG275" s="580"/>
      <c r="UXH275" s="580"/>
      <c r="UXI275" s="580"/>
      <c r="UXJ275" s="580"/>
      <c r="UXK275" s="580"/>
      <c r="UXL275" s="580"/>
      <c r="UXM275" s="580"/>
      <c r="UXN275" s="580"/>
      <c r="UXO275" s="580"/>
      <c r="UXP275" s="580"/>
      <c r="UXQ275" s="580"/>
      <c r="UXR275" s="580"/>
      <c r="UXS275" s="580"/>
      <c r="UXT275" s="580"/>
      <c r="UXU275" s="580"/>
      <c r="UXV275" s="580"/>
      <c r="UXW275" s="580"/>
      <c r="UXX275" s="580"/>
      <c r="UXY275" s="580"/>
      <c r="UXZ275" s="580"/>
      <c r="UYA275" s="580"/>
      <c r="UYB275" s="580"/>
      <c r="UYC275" s="580"/>
      <c r="UYD275" s="580"/>
      <c r="UYE275" s="580"/>
      <c r="UYF275" s="580"/>
      <c r="UYG275" s="580"/>
      <c r="UYH275" s="580"/>
      <c r="UYI275" s="580"/>
      <c r="UYJ275" s="580"/>
      <c r="UYK275" s="580"/>
      <c r="UYL275" s="580"/>
      <c r="UYM275" s="580"/>
      <c r="UYN275" s="580"/>
      <c r="UYO275" s="580"/>
      <c r="UYP275" s="580"/>
      <c r="UYQ275" s="580"/>
      <c r="UYR275" s="580"/>
      <c r="UYS275" s="580"/>
      <c r="UYT275" s="580"/>
      <c r="UYU275" s="580"/>
      <c r="UYV275" s="580"/>
      <c r="UYW275" s="580"/>
      <c r="UYX275" s="580"/>
      <c r="UYY275" s="580"/>
      <c r="UYZ275" s="580"/>
      <c r="UZA275" s="580"/>
      <c r="UZB275" s="580"/>
      <c r="UZC275" s="580"/>
      <c r="UZD275" s="580"/>
      <c r="UZE275" s="580"/>
      <c r="UZF275" s="580"/>
      <c r="UZG275" s="580"/>
      <c r="UZH275" s="580"/>
      <c r="UZI275" s="580"/>
      <c r="UZJ275" s="580"/>
      <c r="UZK275" s="580"/>
      <c r="UZL275" s="580"/>
      <c r="UZM275" s="580"/>
      <c r="UZN275" s="580"/>
      <c r="UZO275" s="580"/>
      <c r="UZP275" s="580"/>
      <c r="UZQ275" s="580"/>
      <c r="UZR275" s="580"/>
      <c r="UZS275" s="580"/>
      <c r="UZT275" s="580"/>
      <c r="UZU275" s="580"/>
      <c r="UZV275" s="580"/>
      <c r="UZW275" s="580"/>
      <c r="UZX275" s="580"/>
      <c r="UZY275" s="580"/>
      <c r="UZZ275" s="580"/>
      <c r="VAA275" s="580"/>
      <c r="VAB275" s="580"/>
      <c r="VAC275" s="580"/>
      <c r="VAD275" s="580"/>
      <c r="VAE275" s="580"/>
      <c r="VAF275" s="580"/>
      <c r="VAG275" s="580"/>
      <c r="VAH275" s="580"/>
      <c r="VAI275" s="580"/>
      <c r="VAJ275" s="580"/>
      <c r="VAK275" s="580"/>
      <c r="VAL275" s="580"/>
      <c r="VAM275" s="580"/>
      <c r="VAN275" s="580"/>
      <c r="VAO275" s="580"/>
      <c r="VAP275" s="580"/>
      <c r="VAQ275" s="580"/>
      <c r="VAR275" s="580"/>
      <c r="VAS275" s="580"/>
      <c r="VAT275" s="580"/>
      <c r="VAU275" s="580"/>
      <c r="VAV275" s="580"/>
      <c r="VAW275" s="580"/>
      <c r="VAX275" s="580"/>
      <c r="VAY275" s="580"/>
      <c r="VAZ275" s="580"/>
      <c r="VBA275" s="580"/>
      <c r="VBB275" s="580"/>
      <c r="VBC275" s="580"/>
      <c r="VBD275" s="580"/>
      <c r="VBE275" s="580"/>
      <c r="VBF275" s="580"/>
      <c r="VBG275" s="580"/>
      <c r="VBH275" s="580"/>
      <c r="VBI275" s="580"/>
      <c r="VBJ275" s="580"/>
      <c r="VBK275" s="580"/>
      <c r="VBL275" s="580"/>
      <c r="VBM275" s="580"/>
      <c r="VBN275" s="580"/>
      <c r="VBO275" s="580"/>
      <c r="VBP275" s="580"/>
      <c r="VBQ275" s="580"/>
      <c r="VBR275" s="580"/>
      <c r="VBS275" s="580"/>
      <c r="VBT275" s="580"/>
      <c r="VBU275" s="580"/>
      <c r="VBV275" s="580"/>
      <c r="VBW275" s="580"/>
      <c r="VBX275" s="580"/>
      <c r="VBY275" s="580"/>
      <c r="VBZ275" s="580"/>
      <c r="VCA275" s="580"/>
      <c r="VCB275" s="580"/>
      <c r="VCC275" s="580"/>
      <c r="VCD275" s="580"/>
      <c r="VCE275" s="580"/>
      <c r="VCF275" s="580"/>
      <c r="VCG275" s="580"/>
      <c r="VCH275" s="580"/>
      <c r="VCI275" s="580"/>
      <c r="VCJ275" s="580"/>
      <c r="VCK275" s="580"/>
      <c r="VCL275" s="580"/>
      <c r="VCM275" s="580"/>
      <c r="VCN275" s="580"/>
      <c r="VCO275" s="580"/>
      <c r="VCP275" s="580"/>
      <c r="VCQ275" s="580"/>
      <c r="VCR275" s="580"/>
      <c r="VCS275" s="580"/>
      <c r="VCT275" s="580"/>
      <c r="VCU275" s="580"/>
      <c r="VCV275" s="580"/>
      <c r="VCW275" s="580"/>
      <c r="VCX275" s="580"/>
      <c r="VCY275" s="580"/>
      <c r="VCZ275" s="580"/>
      <c r="VDA275" s="580"/>
      <c r="VDB275" s="580"/>
      <c r="VDC275" s="580"/>
      <c r="VDD275" s="580"/>
      <c r="VDE275" s="580"/>
      <c r="VDF275" s="580"/>
      <c r="VDG275" s="580"/>
      <c r="VDH275" s="580"/>
      <c r="VDI275" s="580"/>
      <c r="VDJ275" s="580"/>
      <c r="VDK275" s="580"/>
      <c r="VDL275" s="580"/>
      <c r="VDM275" s="580"/>
      <c r="VDN275" s="580"/>
      <c r="VDO275" s="580"/>
      <c r="VDP275" s="580"/>
      <c r="VDQ275" s="580"/>
      <c r="VDR275" s="580"/>
      <c r="VDS275" s="580"/>
      <c r="VDT275" s="580"/>
      <c r="VDU275" s="580"/>
      <c r="VDV275" s="580"/>
      <c r="VDW275" s="580"/>
      <c r="VDX275" s="580"/>
      <c r="VDY275" s="580"/>
      <c r="VDZ275" s="580"/>
      <c r="VEA275" s="580"/>
      <c r="VEB275" s="580"/>
      <c r="VEC275" s="580"/>
      <c r="VED275" s="580"/>
      <c r="VEE275" s="580"/>
      <c r="VEF275" s="580"/>
      <c r="VEG275" s="580"/>
      <c r="VEH275" s="580"/>
      <c r="VEI275" s="580"/>
      <c r="VEJ275" s="580"/>
      <c r="VEK275" s="580"/>
      <c r="VEL275" s="580"/>
      <c r="VEM275" s="580"/>
      <c r="VEN275" s="580"/>
      <c r="VEO275" s="580"/>
      <c r="VEP275" s="580"/>
      <c r="VEQ275" s="580"/>
      <c r="VER275" s="580"/>
      <c r="VES275" s="580"/>
      <c r="VET275" s="580"/>
      <c r="VEU275" s="580"/>
      <c r="VEV275" s="580"/>
      <c r="VEW275" s="580"/>
      <c r="VEX275" s="580"/>
      <c r="VEY275" s="580"/>
      <c r="VEZ275" s="580"/>
      <c r="VFA275" s="580"/>
      <c r="VFB275" s="580"/>
      <c r="VFC275" s="580"/>
      <c r="VFD275" s="580"/>
      <c r="VFE275" s="580"/>
      <c r="VFF275" s="580"/>
      <c r="VFG275" s="580"/>
      <c r="VFH275" s="580"/>
      <c r="VFI275" s="580"/>
      <c r="VFJ275" s="580"/>
      <c r="VFK275" s="580"/>
      <c r="VFL275" s="580"/>
      <c r="VFM275" s="580"/>
      <c r="VFN275" s="580"/>
      <c r="VFO275" s="580"/>
      <c r="VFP275" s="580"/>
      <c r="VFQ275" s="580"/>
      <c r="VFR275" s="580"/>
      <c r="VFS275" s="580"/>
      <c r="VFT275" s="580"/>
      <c r="VFU275" s="580"/>
      <c r="VFV275" s="580"/>
      <c r="VFW275" s="580"/>
      <c r="VFX275" s="580"/>
      <c r="VFY275" s="580"/>
      <c r="VFZ275" s="580"/>
      <c r="VGA275" s="580"/>
      <c r="VGB275" s="580"/>
      <c r="VGC275" s="580"/>
      <c r="VGD275" s="580"/>
      <c r="VGE275" s="580"/>
      <c r="VGF275" s="580"/>
      <c r="VGG275" s="580"/>
      <c r="VGH275" s="580"/>
      <c r="VGI275" s="580"/>
      <c r="VGJ275" s="580"/>
      <c r="VGK275" s="580"/>
      <c r="VGL275" s="580"/>
      <c r="VGM275" s="580"/>
      <c r="VGN275" s="580"/>
      <c r="VGO275" s="580"/>
      <c r="VGP275" s="580"/>
      <c r="VGQ275" s="580"/>
      <c r="VGR275" s="580"/>
      <c r="VGS275" s="580"/>
      <c r="VGT275" s="580"/>
      <c r="VGU275" s="580"/>
      <c r="VGV275" s="580"/>
      <c r="VGW275" s="580"/>
      <c r="VGX275" s="580"/>
      <c r="VGY275" s="580"/>
      <c r="VGZ275" s="580"/>
      <c r="VHA275" s="580"/>
      <c r="VHB275" s="580"/>
      <c r="VHC275" s="580"/>
      <c r="VHD275" s="580"/>
      <c r="VHE275" s="580"/>
      <c r="VHF275" s="580"/>
      <c r="VHG275" s="580"/>
      <c r="VHH275" s="580"/>
      <c r="VHI275" s="580"/>
      <c r="VHJ275" s="580"/>
      <c r="VHK275" s="580"/>
      <c r="VHL275" s="580"/>
      <c r="VHM275" s="580"/>
      <c r="VHN275" s="580"/>
      <c r="VHO275" s="580"/>
      <c r="VHP275" s="580"/>
      <c r="VHQ275" s="580"/>
      <c r="VHR275" s="580"/>
      <c r="VHS275" s="580"/>
      <c r="VHT275" s="580"/>
      <c r="VHU275" s="580"/>
      <c r="VHV275" s="580"/>
      <c r="VHW275" s="580"/>
      <c r="VHX275" s="580"/>
      <c r="VHY275" s="580"/>
      <c r="VHZ275" s="580"/>
      <c r="VIA275" s="580"/>
      <c r="VIB275" s="580"/>
      <c r="VIC275" s="580"/>
      <c r="VID275" s="580"/>
      <c r="VIE275" s="580"/>
      <c r="VIF275" s="580"/>
      <c r="VIG275" s="580"/>
      <c r="VIH275" s="580"/>
      <c r="VII275" s="580"/>
      <c r="VIJ275" s="580"/>
      <c r="VIK275" s="580"/>
      <c r="VIL275" s="580"/>
      <c r="VIM275" s="580"/>
      <c r="VIN275" s="580"/>
      <c r="VIO275" s="580"/>
      <c r="VIP275" s="580"/>
      <c r="VIQ275" s="580"/>
      <c r="VIR275" s="580"/>
      <c r="VIS275" s="580"/>
      <c r="VIT275" s="580"/>
      <c r="VIU275" s="580"/>
      <c r="VIV275" s="580"/>
      <c r="VIW275" s="580"/>
      <c r="VIX275" s="580"/>
      <c r="VIY275" s="580"/>
      <c r="VIZ275" s="580"/>
      <c r="VJA275" s="580"/>
      <c r="VJB275" s="580"/>
      <c r="VJC275" s="580"/>
      <c r="VJD275" s="580"/>
      <c r="VJE275" s="580"/>
      <c r="VJF275" s="580"/>
      <c r="VJG275" s="580"/>
      <c r="VJH275" s="580"/>
      <c r="VJI275" s="580"/>
      <c r="VJJ275" s="580"/>
      <c r="VJK275" s="580"/>
      <c r="VJL275" s="580"/>
      <c r="VJM275" s="580"/>
      <c r="VJN275" s="580"/>
      <c r="VJO275" s="580"/>
      <c r="VJP275" s="580"/>
      <c r="VJQ275" s="580"/>
      <c r="VJR275" s="580"/>
      <c r="VJS275" s="580"/>
      <c r="VJT275" s="580"/>
      <c r="VJU275" s="580"/>
      <c r="VJV275" s="580"/>
      <c r="VJW275" s="580"/>
      <c r="VJX275" s="580"/>
      <c r="VJY275" s="580"/>
      <c r="VJZ275" s="580"/>
      <c r="VKA275" s="580"/>
      <c r="VKB275" s="580"/>
      <c r="VKC275" s="580"/>
      <c r="VKD275" s="580"/>
      <c r="VKE275" s="580"/>
      <c r="VKF275" s="580"/>
      <c r="VKG275" s="580"/>
      <c r="VKH275" s="580"/>
      <c r="VKI275" s="580"/>
      <c r="VKJ275" s="580"/>
      <c r="VKK275" s="580"/>
      <c r="VKL275" s="580"/>
      <c r="VKM275" s="580"/>
      <c r="VKN275" s="580"/>
      <c r="VKO275" s="580"/>
      <c r="VKP275" s="580"/>
      <c r="VKQ275" s="580"/>
      <c r="VKR275" s="580"/>
      <c r="VKS275" s="580"/>
      <c r="VKT275" s="580"/>
      <c r="VKU275" s="580"/>
      <c r="VKV275" s="580"/>
      <c r="VKW275" s="580"/>
      <c r="VKX275" s="580"/>
      <c r="VKY275" s="580"/>
      <c r="VKZ275" s="580"/>
      <c r="VLA275" s="580"/>
      <c r="VLB275" s="580"/>
      <c r="VLC275" s="580"/>
      <c r="VLD275" s="580"/>
      <c r="VLE275" s="580"/>
      <c r="VLF275" s="580"/>
      <c r="VLG275" s="580"/>
      <c r="VLH275" s="580"/>
      <c r="VLI275" s="580"/>
      <c r="VLJ275" s="580"/>
      <c r="VLK275" s="580"/>
      <c r="VLL275" s="580"/>
      <c r="VLM275" s="580"/>
      <c r="VLN275" s="580"/>
      <c r="VLO275" s="580"/>
      <c r="VLP275" s="580"/>
      <c r="VLQ275" s="580"/>
      <c r="VLR275" s="580"/>
      <c r="VLS275" s="580"/>
      <c r="VLT275" s="580"/>
      <c r="VLU275" s="580"/>
      <c r="VLV275" s="580"/>
      <c r="VLW275" s="580"/>
      <c r="VLX275" s="580"/>
      <c r="VLY275" s="580"/>
      <c r="VLZ275" s="580"/>
      <c r="VMA275" s="580"/>
      <c r="VMB275" s="580"/>
      <c r="VMC275" s="580"/>
      <c r="VMD275" s="580"/>
      <c r="VME275" s="580"/>
      <c r="VMF275" s="580"/>
      <c r="VMG275" s="580"/>
      <c r="VMH275" s="580"/>
      <c r="VMI275" s="580"/>
      <c r="VMJ275" s="580"/>
      <c r="VMK275" s="580"/>
      <c r="VML275" s="580"/>
      <c r="VMM275" s="580"/>
      <c r="VMN275" s="580"/>
      <c r="VMO275" s="580"/>
      <c r="VMP275" s="580"/>
      <c r="VMQ275" s="580"/>
      <c r="VMR275" s="580"/>
      <c r="VMS275" s="580"/>
      <c r="VMT275" s="580"/>
      <c r="VMU275" s="580"/>
      <c r="VMV275" s="580"/>
      <c r="VMW275" s="580"/>
      <c r="VMX275" s="580"/>
      <c r="VMY275" s="580"/>
      <c r="VMZ275" s="580"/>
      <c r="VNA275" s="580"/>
      <c r="VNB275" s="580"/>
      <c r="VNC275" s="580"/>
      <c r="VND275" s="580"/>
      <c r="VNE275" s="580"/>
      <c r="VNF275" s="580"/>
      <c r="VNG275" s="580"/>
      <c r="VNH275" s="580"/>
      <c r="VNI275" s="580"/>
      <c r="VNJ275" s="580"/>
      <c r="VNK275" s="580"/>
      <c r="VNL275" s="580"/>
      <c r="VNM275" s="580"/>
      <c r="VNN275" s="580"/>
      <c r="VNO275" s="580"/>
      <c r="VNP275" s="580"/>
      <c r="VNQ275" s="580"/>
      <c r="VNR275" s="580"/>
      <c r="VNS275" s="580"/>
      <c r="VNT275" s="580"/>
      <c r="VNU275" s="580"/>
      <c r="VNV275" s="580"/>
      <c r="VNW275" s="580"/>
      <c r="VNX275" s="580"/>
      <c r="VNY275" s="580"/>
      <c r="VNZ275" s="580"/>
      <c r="VOA275" s="580"/>
      <c r="VOB275" s="580"/>
      <c r="VOC275" s="580"/>
      <c r="VOD275" s="580"/>
      <c r="VOE275" s="580"/>
      <c r="VOF275" s="580"/>
      <c r="VOG275" s="580"/>
      <c r="VOH275" s="580"/>
      <c r="VOI275" s="580"/>
      <c r="VOJ275" s="580"/>
      <c r="VOK275" s="580"/>
      <c r="VOL275" s="580"/>
      <c r="VOM275" s="580"/>
      <c r="VON275" s="580"/>
      <c r="VOO275" s="580"/>
      <c r="VOP275" s="580"/>
      <c r="VOQ275" s="580"/>
      <c r="VOR275" s="580"/>
      <c r="VOS275" s="580"/>
      <c r="VOT275" s="580"/>
      <c r="VOU275" s="580"/>
      <c r="VOV275" s="580"/>
      <c r="VOW275" s="580"/>
      <c r="VOX275" s="580"/>
      <c r="VOY275" s="580"/>
      <c r="VOZ275" s="580"/>
      <c r="VPA275" s="580"/>
      <c r="VPB275" s="580"/>
      <c r="VPC275" s="580"/>
      <c r="VPD275" s="580"/>
      <c r="VPE275" s="580"/>
      <c r="VPF275" s="580"/>
      <c r="VPG275" s="580"/>
      <c r="VPH275" s="580"/>
      <c r="VPI275" s="580"/>
      <c r="VPJ275" s="580"/>
      <c r="VPK275" s="580"/>
      <c r="VPL275" s="580"/>
      <c r="VPM275" s="580"/>
      <c r="VPN275" s="580"/>
      <c r="VPO275" s="580"/>
      <c r="VPP275" s="580"/>
      <c r="VPQ275" s="580"/>
      <c r="VPR275" s="580"/>
      <c r="VPS275" s="580"/>
      <c r="VPT275" s="580"/>
      <c r="VPU275" s="580"/>
      <c r="VPV275" s="580"/>
      <c r="VPW275" s="580"/>
      <c r="VPX275" s="580"/>
      <c r="VPY275" s="580"/>
      <c r="VPZ275" s="580"/>
      <c r="VQA275" s="580"/>
      <c r="VQB275" s="580"/>
      <c r="VQC275" s="580"/>
      <c r="VQD275" s="580"/>
      <c r="VQE275" s="580"/>
      <c r="VQF275" s="580"/>
      <c r="VQG275" s="580"/>
      <c r="VQH275" s="580"/>
      <c r="VQI275" s="580"/>
      <c r="VQJ275" s="580"/>
      <c r="VQK275" s="580"/>
      <c r="VQL275" s="580"/>
      <c r="VQM275" s="580"/>
      <c r="VQN275" s="580"/>
      <c r="VQO275" s="580"/>
      <c r="VQP275" s="580"/>
      <c r="VQQ275" s="580"/>
      <c r="VQR275" s="580"/>
      <c r="VQS275" s="580"/>
      <c r="VQT275" s="580"/>
      <c r="VQU275" s="580"/>
      <c r="VQV275" s="580"/>
      <c r="VQW275" s="580"/>
      <c r="VQX275" s="580"/>
      <c r="VQY275" s="580"/>
      <c r="VQZ275" s="580"/>
      <c r="VRA275" s="580"/>
      <c r="VRB275" s="580"/>
      <c r="VRC275" s="580"/>
      <c r="VRD275" s="580"/>
      <c r="VRE275" s="580"/>
      <c r="VRF275" s="580"/>
      <c r="VRG275" s="580"/>
      <c r="VRH275" s="580"/>
      <c r="VRI275" s="580"/>
      <c r="VRJ275" s="580"/>
      <c r="VRK275" s="580"/>
      <c r="VRL275" s="580"/>
      <c r="VRM275" s="580"/>
      <c r="VRN275" s="580"/>
      <c r="VRO275" s="580"/>
      <c r="VRP275" s="580"/>
      <c r="VRQ275" s="580"/>
      <c r="VRR275" s="580"/>
      <c r="VRS275" s="580"/>
      <c r="VRT275" s="580"/>
      <c r="VRU275" s="580"/>
      <c r="VRV275" s="580"/>
      <c r="VRW275" s="580"/>
      <c r="VRX275" s="580"/>
      <c r="VRY275" s="580"/>
      <c r="VRZ275" s="580"/>
      <c r="VSA275" s="580"/>
      <c r="VSB275" s="580"/>
      <c r="VSC275" s="580"/>
      <c r="VSD275" s="580"/>
      <c r="VSE275" s="580"/>
      <c r="VSF275" s="580"/>
      <c r="VSG275" s="580"/>
      <c r="VSH275" s="580"/>
      <c r="VSI275" s="580"/>
      <c r="VSJ275" s="580"/>
      <c r="VSK275" s="580"/>
      <c r="VSL275" s="580"/>
      <c r="VSM275" s="580"/>
      <c r="VSN275" s="580"/>
      <c r="VSO275" s="580"/>
      <c r="VSP275" s="580"/>
      <c r="VSQ275" s="580"/>
      <c r="VSR275" s="580"/>
      <c r="VSS275" s="580"/>
      <c r="VST275" s="580"/>
      <c r="VSU275" s="580"/>
      <c r="VSV275" s="580"/>
      <c r="VSW275" s="580"/>
      <c r="VSX275" s="580"/>
      <c r="VSY275" s="580"/>
      <c r="VSZ275" s="580"/>
      <c r="VTA275" s="580"/>
      <c r="VTB275" s="580"/>
      <c r="VTC275" s="580"/>
      <c r="VTD275" s="580"/>
      <c r="VTE275" s="580"/>
      <c r="VTF275" s="580"/>
      <c r="VTG275" s="580"/>
      <c r="VTH275" s="580"/>
      <c r="VTI275" s="580"/>
      <c r="VTJ275" s="580"/>
      <c r="VTK275" s="580"/>
      <c r="VTL275" s="580"/>
      <c r="VTM275" s="580"/>
      <c r="VTN275" s="580"/>
      <c r="VTO275" s="580"/>
      <c r="VTP275" s="580"/>
      <c r="VTQ275" s="580"/>
      <c r="VTR275" s="580"/>
      <c r="VTS275" s="580"/>
      <c r="VTT275" s="580"/>
      <c r="VTU275" s="580"/>
      <c r="VTV275" s="580"/>
      <c r="VTW275" s="580"/>
      <c r="VTX275" s="580"/>
      <c r="VTY275" s="580"/>
      <c r="VTZ275" s="580"/>
      <c r="VUA275" s="580"/>
      <c r="VUB275" s="580"/>
      <c r="VUC275" s="580"/>
      <c r="VUD275" s="580"/>
      <c r="VUE275" s="580"/>
      <c r="VUF275" s="580"/>
      <c r="VUG275" s="580"/>
      <c r="VUH275" s="580"/>
      <c r="VUI275" s="580"/>
      <c r="VUJ275" s="580"/>
      <c r="VUK275" s="580"/>
      <c r="VUL275" s="580"/>
      <c r="VUM275" s="580"/>
      <c r="VUN275" s="580"/>
      <c r="VUO275" s="580"/>
      <c r="VUP275" s="580"/>
      <c r="VUQ275" s="580"/>
      <c r="VUR275" s="580"/>
      <c r="VUS275" s="580"/>
      <c r="VUT275" s="580"/>
      <c r="VUU275" s="580"/>
      <c r="VUV275" s="580"/>
      <c r="VUW275" s="580"/>
      <c r="VUX275" s="580"/>
      <c r="VUY275" s="580"/>
      <c r="VUZ275" s="580"/>
      <c r="VVA275" s="580"/>
      <c r="VVB275" s="580"/>
      <c r="VVC275" s="580"/>
      <c r="VVD275" s="580"/>
      <c r="VVE275" s="580"/>
      <c r="VVF275" s="580"/>
      <c r="VVG275" s="580"/>
      <c r="VVH275" s="580"/>
      <c r="VVI275" s="580"/>
      <c r="VVJ275" s="580"/>
      <c r="VVK275" s="580"/>
      <c r="VVL275" s="580"/>
      <c r="VVM275" s="580"/>
      <c r="VVN275" s="580"/>
      <c r="VVO275" s="580"/>
      <c r="VVP275" s="580"/>
      <c r="VVQ275" s="580"/>
      <c r="VVR275" s="580"/>
      <c r="VVS275" s="580"/>
      <c r="VVT275" s="580"/>
      <c r="VVU275" s="580"/>
      <c r="VVV275" s="580"/>
      <c r="VVW275" s="580"/>
      <c r="VVX275" s="580"/>
      <c r="VVY275" s="580"/>
      <c r="VVZ275" s="580"/>
      <c r="VWA275" s="580"/>
      <c r="VWB275" s="580"/>
      <c r="VWC275" s="580"/>
      <c r="VWD275" s="580"/>
      <c r="VWE275" s="580"/>
      <c r="VWF275" s="580"/>
      <c r="VWG275" s="580"/>
      <c r="VWH275" s="580"/>
      <c r="VWI275" s="580"/>
      <c r="VWJ275" s="580"/>
      <c r="VWK275" s="580"/>
      <c r="VWL275" s="580"/>
      <c r="VWM275" s="580"/>
      <c r="VWN275" s="580"/>
      <c r="VWO275" s="580"/>
      <c r="VWP275" s="580"/>
      <c r="VWQ275" s="580"/>
      <c r="VWR275" s="580"/>
      <c r="VWS275" s="580"/>
      <c r="VWT275" s="580"/>
      <c r="VWU275" s="580"/>
      <c r="VWV275" s="580"/>
      <c r="VWW275" s="580"/>
      <c r="VWX275" s="580"/>
      <c r="VWY275" s="580"/>
      <c r="VWZ275" s="580"/>
      <c r="VXA275" s="580"/>
      <c r="VXB275" s="580"/>
      <c r="VXC275" s="580"/>
      <c r="VXD275" s="580"/>
      <c r="VXE275" s="580"/>
      <c r="VXF275" s="580"/>
      <c r="VXG275" s="580"/>
      <c r="VXH275" s="580"/>
      <c r="VXI275" s="580"/>
      <c r="VXJ275" s="580"/>
      <c r="VXK275" s="580"/>
      <c r="VXL275" s="580"/>
      <c r="VXM275" s="580"/>
      <c r="VXN275" s="580"/>
      <c r="VXO275" s="580"/>
      <c r="VXP275" s="580"/>
      <c r="VXQ275" s="580"/>
      <c r="VXR275" s="580"/>
      <c r="VXS275" s="580"/>
      <c r="VXT275" s="580"/>
      <c r="VXU275" s="580"/>
      <c r="VXV275" s="580"/>
      <c r="VXW275" s="580"/>
      <c r="VXX275" s="580"/>
      <c r="VXY275" s="580"/>
      <c r="VXZ275" s="580"/>
      <c r="VYA275" s="580"/>
      <c r="VYB275" s="580"/>
      <c r="VYC275" s="580"/>
      <c r="VYD275" s="580"/>
      <c r="VYE275" s="580"/>
      <c r="VYF275" s="580"/>
      <c r="VYG275" s="580"/>
      <c r="VYH275" s="580"/>
      <c r="VYI275" s="580"/>
      <c r="VYJ275" s="580"/>
      <c r="VYK275" s="580"/>
      <c r="VYL275" s="580"/>
      <c r="VYM275" s="580"/>
      <c r="VYN275" s="580"/>
      <c r="VYO275" s="580"/>
      <c r="VYP275" s="580"/>
      <c r="VYQ275" s="580"/>
      <c r="VYR275" s="580"/>
      <c r="VYS275" s="580"/>
      <c r="VYT275" s="580"/>
      <c r="VYU275" s="580"/>
      <c r="VYV275" s="580"/>
      <c r="VYW275" s="580"/>
      <c r="VYX275" s="580"/>
      <c r="VYY275" s="580"/>
      <c r="VYZ275" s="580"/>
      <c r="VZA275" s="580"/>
      <c r="VZB275" s="580"/>
      <c r="VZC275" s="580"/>
      <c r="VZD275" s="580"/>
      <c r="VZE275" s="580"/>
      <c r="VZF275" s="580"/>
      <c r="VZG275" s="580"/>
      <c r="VZH275" s="580"/>
      <c r="VZI275" s="580"/>
      <c r="VZJ275" s="580"/>
      <c r="VZK275" s="580"/>
      <c r="VZL275" s="580"/>
      <c r="VZM275" s="580"/>
      <c r="VZN275" s="580"/>
      <c r="VZO275" s="580"/>
      <c r="VZP275" s="580"/>
      <c r="VZQ275" s="580"/>
      <c r="VZR275" s="580"/>
      <c r="VZS275" s="580"/>
      <c r="VZT275" s="580"/>
      <c r="VZU275" s="580"/>
      <c r="VZV275" s="580"/>
      <c r="VZW275" s="580"/>
      <c r="VZX275" s="580"/>
      <c r="VZY275" s="580"/>
      <c r="VZZ275" s="580"/>
      <c r="WAA275" s="580"/>
      <c r="WAB275" s="580"/>
      <c r="WAC275" s="580"/>
      <c r="WAD275" s="580"/>
      <c r="WAE275" s="580"/>
      <c r="WAF275" s="580"/>
      <c r="WAG275" s="580"/>
      <c r="WAH275" s="580"/>
      <c r="WAI275" s="580"/>
      <c r="WAJ275" s="580"/>
      <c r="WAK275" s="580"/>
      <c r="WAL275" s="580"/>
      <c r="WAM275" s="580"/>
      <c r="WAN275" s="580"/>
      <c r="WAO275" s="580"/>
      <c r="WAP275" s="580"/>
      <c r="WAQ275" s="580"/>
      <c r="WAR275" s="580"/>
      <c r="WAS275" s="580"/>
      <c r="WAT275" s="580"/>
      <c r="WAU275" s="580"/>
      <c r="WAV275" s="580"/>
      <c r="WAW275" s="580"/>
      <c r="WAX275" s="580"/>
      <c r="WAY275" s="580"/>
      <c r="WAZ275" s="580"/>
      <c r="WBA275" s="580"/>
      <c r="WBB275" s="580"/>
      <c r="WBC275" s="580"/>
      <c r="WBD275" s="580"/>
      <c r="WBE275" s="580"/>
      <c r="WBF275" s="580"/>
      <c r="WBG275" s="580"/>
      <c r="WBH275" s="580"/>
      <c r="WBI275" s="580"/>
      <c r="WBJ275" s="580"/>
      <c r="WBK275" s="580"/>
      <c r="WBL275" s="580"/>
      <c r="WBM275" s="580"/>
      <c r="WBN275" s="580"/>
      <c r="WBO275" s="580"/>
      <c r="WBP275" s="580"/>
      <c r="WBQ275" s="580"/>
      <c r="WBR275" s="580"/>
      <c r="WBS275" s="580"/>
      <c r="WBT275" s="580"/>
      <c r="WBU275" s="580"/>
      <c r="WBV275" s="580"/>
      <c r="WBW275" s="580"/>
      <c r="WBX275" s="580"/>
      <c r="WBY275" s="580"/>
      <c r="WBZ275" s="580"/>
      <c r="WCA275" s="580"/>
      <c r="WCB275" s="580"/>
      <c r="WCC275" s="580"/>
      <c r="WCD275" s="580"/>
      <c r="WCE275" s="580"/>
      <c r="WCF275" s="580"/>
      <c r="WCG275" s="580"/>
      <c r="WCH275" s="580"/>
      <c r="WCI275" s="580"/>
      <c r="WCJ275" s="580"/>
      <c r="WCK275" s="580"/>
      <c r="WCL275" s="580"/>
      <c r="WCM275" s="580"/>
      <c r="WCN275" s="580"/>
      <c r="WCO275" s="580"/>
      <c r="WCP275" s="580"/>
      <c r="WCQ275" s="580"/>
      <c r="WCR275" s="580"/>
      <c r="WCS275" s="580"/>
      <c r="WCT275" s="580"/>
      <c r="WCU275" s="580"/>
      <c r="WCV275" s="580"/>
      <c r="WCW275" s="580"/>
      <c r="WCX275" s="580"/>
      <c r="WCY275" s="580"/>
      <c r="WCZ275" s="580"/>
      <c r="WDA275" s="580"/>
      <c r="WDB275" s="580"/>
      <c r="WDC275" s="580"/>
      <c r="WDD275" s="580"/>
      <c r="WDE275" s="580"/>
      <c r="WDF275" s="580"/>
      <c r="WDG275" s="580"/>
      <c r="WDH275" s="580"/>
      <c r="WDI275" s="580"/>
      <c r="WDJ275" s="580"/>
      <c r="WDK275" s="580"/>
      <c r="WDL275" s="580"/>
      <c r="WDM275" s="580"/>
      <c r="WDN275" s="580"/>
      <c r="WDO275" s="580"/>
      <c r="WDP275" s="580"/>
      <c r="WDQ275" s="580"/>
      <c r="WDR275" s="580"/>
      <c r="WDS275" s="580"/>
      <c r="WDT275" s="580"/>
      <c r="WDU275" s="580"/>
      <c r="WDV275" s="580"/>
      <c r="WDW275" s="580"/>
      <c r="WDX275" s="580"/>
      <c r="WDY275" s="580"/>
      <c r="WDZ275" s="580"/>
      <c r="WEA275" s="580"/>
      <c r="WEB275" s="580"/>
      <c r="WEC275" s="580"/>
      <c r="WED275" s="580"/>
      <c r="WEE275" s="580"/>
      <c r="WEF275" s="580"/>
      <c r="WEG275" s="580"/>
      <c r="WEH275" s="580"/>
      <c r="WEI275" s="580"/>
      <c r="WEJ275" s="580"/>
      <c r="WEK275" s="580"/>
      <c r="WEL275" s="580"/>
      <c r="WEM275" s="580"/>
      <c r="WEN275" s="580"/>
      <c r="WEO275" s="580"/>
      <c r="WEP275" s="580"/>
      <c r="WEQ275" s="580"/>
      <c r="WER275" s="580"/>
      <c r="WES275" s="580"/>
      <c r="WET275" s="580"/>
      <c r="WEU275" s="580"/>
      <c r="WEV275" s="580"/>
      <c r="WEW275" s="580"/>
      <c r="WEX275" s="580"/>
      <c r="WEY275" s="580"/>
      <c r="WEZ275" s="580"/>
      <c r="WFA275" s="580"/>
      <c r="WFB275" s="580"/>
      <c r="WFC275" s="580"/>
      <c r="WFD275" s="580"/>
      <c r="WFE275" s="580"/>
      <c r="WFF275" s="580"/>
      <c r="WFG275" s="580"/>
      <c r="WFH275" s="580"/>
      <c r="WFI275" s="580"/>
      <c r="WFJ275" s="580"/>
      <c r="WFK275" s="580"/>
      <c r="WFL275" s="580"/>
      <c r="WFM275" s="580"/>
      <c r="WFN275" s="580"/>
      <c r="WFO275" s="580"/>
      <c r="WFP275" s="580"/>
      <c r="WFQ275" s="580"/>
      <c r="WFR275" s="580"/>
      <c r="WFS275" s="580"/>
      <c r="WFT275" s="580"/>
      <c r="WFU275" s="580"/>
      <c r="WFV275" s="580"/>
      <c r="WFW275" s="580"/>
      <c r="WFX275" s="580"/>
      <c r="WFY275" s="580"/>
      <c r="WFZ275" s="580"/>
      <c r="WGA275" s="580"/>
      <c r="WGB275" s="580"/>
      <c r="WGC275" s="580"/>
      <c r="WGD275" s="580"/>
      <c r="WGE275" s="580"/>
      <c r="WGF275" s="580"/>
      <c r="WGG275" s="580"/>
      <c r="WGH275" s="580"/>
      <c r="WGI275" s="580"/>
      <c r="WGJ275" s="580"/>
      <c r="WGK275" s="580"/>
      <c r="WGL275" s="580"/>
      <c r="WGM275" s="580"/>
      <c r="WGN275" s="580"/>
      <c r="WGO275" s="580"/>
      <c r="WGP275" s="580"/>
      <c r="WGQ275" s="580"/>
      <c r="WGR275" s="580"/>
      <c r="WGS275" s="580"/>
      <c r="WGT275" s="580"/>
      <c r="WGU275" s="580"/>
      <c r="WGV275" s="580"/>
      <c r="WGW275" s="580"/>
      <c r="WGX275" s="580"/>
      <c r="WGY275" s="580"/>
      <c r="WGZ275" s="580"/>
      <c r="WHA275" s="580"/>
      <c r="WHB275" s="580"/>
      <c r="WHC275" s="580"/>
      <c r="WHD275" s="580"/>
      <c r="WHE275" s="580"/>
      <c r="WHF275" s="580"/>
      <c r="WHG275" s="580"/>
      <c r="WHH275" s="580"/>
      <c r="WHI275" s="580"/>
      <c r="WHJ275" s="580"/>
      <c r="WHK275" s="580"/>
      <c r="WHL275" s="580"/>
      <c r="WHM275" s="580"/>
      <c r="WHN275" s="580"/>
      <c r="WHO275" s="580"/>
      <c r="WHP275" s="580"/>
      <c r="WHQ275" s="580"/>
      <c r="WHR275" s="580"/>
      <c r="WHS275" s="580"/>
      <c r="WHT275" s="580"/>
      <c r="WHU275" s="580"/>
      <c r="WHV275" s="580"/>
      <c r="WHW275" s="580"/>
      <c r="WHX275" s="580"/>
      <c r="WHY275" s="580"/>
      <c r="WHZ275" s="580"/>
      <c r="WIA275" s="580"/>
      <c r="WIB275" s="580"/>
      <c r="WIC275" s="580"/>
      <c r="WID275" s="580"/>
      <c r="WIE275" s="580"/>
      <c r="WIF275" s="580"/>
      <c r="WIG275" s="580"/>
      <c r="WIH275" s="580"/>
      <c r="WII275" s="580"/>
      <c r="WIJ275" s="580"/>
      <c r="WIK275" s="580"/>
      <c r="WIL275" s="580"/>
      <c r="WIM275" s="580"/>
      <c r="WIN275" s="580"/>
      <c r="WIO275" s="580"/>
      <c r="WIP275" s="580"/>
      <c r="WIQ275" s="580"/>
      <c r="WIR275" s="580"/>
      <c r="WIS275" s="580"/>
      <c r="WIT275" s="580"/>
      <c r="WIU275" s="580"/>
      <c r="WIV275" s="580"/>
      <c r="WIW275" s="580"/>
      <c r="WIX275" s="580"/>
      <c r="WIY275" s="580"/>
      <c r="WIZ275" s="580"/>
      <c r="WJA275" s="580"/>
      <c r="WJB275" s="580"/>
      <c r="WJC275" s="580"/>
      <c r="WJD275" s="580"/>
      <c r="WJE275" s="580"/>
      <c r="WJF275" s="580"/>
      <c r="WJG275" s="580"/>
      <c r="WJH275" s="580"/>
      <c r="WJI275" s="580"/>
      <c r="WJJ275" s="580"/>
      <c r="WJK275" s="580"/>
      <c r="WJL275" s="580"/>
      <c r="WJM275" s="580"/>
      <c r="WJN275" s="580"/>
      <c r="WJO275" s="580"/>
      <c r="WJP275" s="580"/>
      <c r="WJQ275" s="580"/>
      <c r="WJR275" s="580"/>
      <c r="WJS275" s="580"/>
      <c r="WJT275" s="580"/>
      <c r="WJU275" s="580"/>
      <c r="WJV275" s="580"/>
      <c r="WJW275" s="580"/>
      <c r="WJX275" s="580"/>
      <c r="WJY275" s="580"/>
      <c r="WJZ275" s="580"/>
      <c r="WKA275" s="580"/>
      <c r="WKB275" s="580"/>
      <c r="WKC275" s="580"/>
      <c r="WKD275" s="580"/>
      <c r="WKE275" s="580"/>
      <c r="WKF275" s="580"/>
      <c r="WKG275" s="580"/>
      <c r="WKH275" s="580"/>
      <c r="WKI275" s="580"/>
      <c r="WKJ275" s="580"/>
      <c r="WKK275" s="580"/>
      <c r="WKL275" s="580"/>
      <c r="WKM275" s="580"/>
      <c r="WKN275" s="580"/>
      <c r="WKO275" s="580"/>
      <c r="WKP275" s="580"/>
      <c r="WKQ275" s="580"/>
      <c r="WKR275" s="580"/>
      <c r="WKS275" s="580"/>
      <c r="WKT275" s="580"/>
      <c r="WKU275" s="580"/>
      <c r="WKV275" s="580"/>
      <c r="WKW275" s="580"/>
      <c r="WKX275" s="580"/>
      <c r="WKY275" s="580"/>
      <c r="WKZ275" s="580"/>
      <c r="WLA275" s="580"/>
      <c r="WLB275" s="580"/>
      <c r="WLC275" s="580"/>
      <c r="WLD275" s="580"/>
      <c r="WLE275" s="580"/>
      <c r="WLF275" s="580"/>
      <c r="WLG275" s="580"/>
      <c r="WLH275" s="580"/>
      <c r="WLI275" s="580"/>
      <c r="WLJ275" s="580"/>
      <c r="WLK275" s="580"/>
      <c r="WLL275" s="580"/>
      <c r="WLM275" s="580"/>
      <c r="WLN275" s="580"/>
      <c r="WLO275" s="580"/>
      <c r="WLP275" s="580"/>
      <c r="WLQ275" s="580"/>
      <c r="WLR275" s="580"/>
      <c r="WLS275" s="580"/>
      <c r="WLT275" s="580"/>
      <c r="WLU275" s="580"/>
      <c r="WLV275" s="580"/>
      <c r="WLW275" s="580"/>
      <c r="WLX275" s="580"/>
      <c r="WLY275" s="580"/>
      <c r="WLZ275" s="580"/>
      <c r="WMA275" s="580"/>
      <c r="WMB275" s="580"/>
      <c r="WMC275" s="580"/>
      <c r="WMD275" s="580"/>
      <c r="WME275" s="580"/>
      <c r="WMF275" s="580"/>
      <c r="WMG275" s="580"/>
      <c r="WMH275" s="580"/>
      <c r="WMI275" s="580"/>
      <c r="WMJ275" s="580"/>
      <c r="WMK275" s="580"/>
      <c r="WML275" s="580"/>
      <c r="WMM275" s="580"/>
      <c r="WMN275" s="580"/>
      <c r="WMO275" s="580"/>
      <c r="WMP275" s="580"/>
      <c r="WMQ275" s="580"/>
      <c r="WMR275" s="580"/>
      <c r="WMS275" s="580"/>
      <c r="WMT275" s="580"/>
      <c r="WMU275" s="580"/>
      <c r="WMV275" s="580"/>
      <c r="WMW275" s="580"/>
      <c r="WMX275" s="580"/>
      <c r="WMY275" s="580"/>
      <c r="WMZ275" s="580"/>
      <c r="WNA275" s="580"/>
      <c r="WNB275" s="580"/>
      <c r="WNC275" s="580"/>
      <c r="WND275" s="580"/>
      <c r="WNE275" s="580"/>
      <c r="WNF275" s="580"/>
      <c r="WNG275" s="580"/>
      <c r="WNH275" s="580"/>
      <c r="WNI275" s="580"/>
      <c r="WNJ275" s="580"/>
      <c r="WNK275" s="580"/>
      <c r="WNL275" s="580"/>
      <c r="WNM275" s="580"/>
      <c r="WNN275" s="580"/>
      <c r="WNO275" s="580"/>
      <c r="WNP275" s="580"/>
      <c r="WNQ275" s="580"/>
      <c r="WNR275" s="580"/>
      <c r="WNS275" s="580"/>
      <c r="WNT275" s="580"/>
      <c r="WNU275" s="580"/>
      <c r="WNV275" s="580"/>
      <c r="WNW275" s="580"/>
      <c r="WNX275" s="580"/>
      <c r="WNY275" s="580"/>
      <c r="WNZ275" s="580"/>
      <c r="WOA275" s="580"/>
      <c r="WOB275" s="580"/>
      <c r="WOC275" s="580"/>
      <c r="WOD275" s="580"/>
      <c r="WOE275" s="580"/>
      <c r="WOF275" s="580"/>
      <c r="WOG275" s="580"/>
      <c r="WOH275" s="580"/>
      <c r="WOI275" s="580"/>
      <c r="WOJ275" s="580"/>
      <c r="WOK275" s="580"/>
      <c r="WOL275" s="580"/>
      <c r="WOM275" s="580"/>
      <c r="WON275" s="580"/>
      <c r="WOO275" s="580"/>
      <c r="WOP275" s="580"/>
      <c r="WOQ275" s="580"/>
      <c r="WOR275" s="580"/>
      <c r="WOS275" s="580"/>
      <c r="WOT275" s="580"/>
      <c r="WOU275" s="580"/>
      <c r="WOV275" s="580"/>
      <c r="WOW275" s="580"/>
      <c r="WOX275" s="580"/>
      <c r="WOY275" s="580"/>
      <c r="WOZ275" s="580"/>
      <c r="WPA275" s="580"/>
      <c r="WPB275" s="580"/>
      <c r="WPC275" s="580"/>
      <c r="WPD275" s="580"/>
      <c r="WPE275" s="580"/>
      <c r="WPF275" s="580"/>
      <c r="WPG275" s="580"/>
      <c r="WPH275" s="580"/>
      <c r="WPI275" s="580"/>
      <c r="WPJ275" s="580"/>
      <c r="WPK275" s="580"/>
      <c r="WPL275" s="580"/>
      <c r="WPM275" s="580"/>
      <c r="WPN275" s="580"/>
      <c r="WPO275" s="580"/>
      <c r="WPP275" s="580"/>
      <c r="WPQ275" s="580"/>
      <c r="WPR275" s="580"/>
      <c r="WPS275" s="580"/>
      <c r="WPT275" s="580"/>
      <c r="WPU275" s="580"/>
      <c r="WPV275" s="580"/>
      <c r="WPW275" s="580"/>
      <c r="WPX275" s="580"/>
      <c r="WPY275" s="580"/>
      <c r="WPZ275" s="580"/>
      <c r="WQA275" s="580"/>
      <c r="WQB275" s="580"/>
      <c r="WQC275" s="580"/>
      <c r="WQD275" s="580"/>
      <c r="WQE275" s="580"/>
      <c r="WQF275" s="580"/>
      <c r="WQG275" s="580"/>
      <c r="WQH275" s="580"/>
      <c r="WQI275" s="580"/>
      <c r="WQJ275" s="580"/>
      <c r="WQK275" s="580"/>
      <c r="WQL275" s="580"/>
      <c r="WQM275" s="580"/>
      <c r="WQN275" s="580"/>
      <c r="WQO275" s="580"/>
      <c r="WQP275" s="580"/>
      <c r="WQQ275" s="580"/>
      <c r="WQR275" s="580"/>
      <c r="WQS275" s="580"/>
      <c r="WQT275" s="580"/>
      <c r="WQU275" s="580"/>
      <c r="WQV275" s="580"/>
      <c r="WQW275" s="580"/>
      <c r="WQX275" s="580"/>
      <c r="WQY275" s="580"/>
      <c r="WQZ275" s="580"/>
      <c r="WRA275" s="580"/>
      <c r="WRB275" s="580"/>
      <c r="WRC275" s="580"/>
      <c r="WRD275" s="580"/>
      <c r="WRE275" s="580"/>
      <c r="WRF275" s="580"/>
      <c r="WRG275" s="580"/>
      <c r="WRH275" s="580"/>
      <c r="WRI275" s="580"/>
      <c r="WRJ275" s="580"/>
      <c r="WRK275" s="580"/>
      <c r="WRL275" s="580"/>
      <c r="WRM275" s="580"/>
      <c r="WRN275" s="580"/>
      <c r="WRO275" s="580"/>
      <c r="WRP275" s="580"/>
      <c r="WRQ275" s="580"/>
      <c r="WRR275" s="580"/>
      <c r="WRS275" s="580"/>
      <c r="WRT275" s="580"/>
      <c r="WRU275" s="580"/>
      <c r="WRV275" s="580"/>
      <c r="WRW275" s="580"/>
      <c r="WRX275" s="580"/>
      <c r="WRY275" s="580"/>
      <c r="WRZ275" s="580"/>
      <c r="WSA275" s="580"/>
      <c r="WSB275" s="580"/>
      <c r="WSC275" s="580"/>
      <c r="WSD275" s="580"/>
      <c r="WSE275" s="580"/>
      <c r="WSF275" s="580"/>
      <c r="WSG275" s="580"/>
      <c r="WSH275" s="580"/>
      <c r="WSI275" s="580"/>
      <c r="WSJ275" s="580"/>
      <c r="WSK275" s="580"/>
      <c r="WSL275" s="580"/>
      <c r="WSM275" s="580"/>
      <c r="WSN275" s="580"/>
      <c r="WSO275" s="580"/>
      <c r="WSP275" s="580"/>
      <c r="WSQ275" s="580"/>
      <c r="WSR275" s="580"/>
      <c r="WSS275" s="580"/>
      <c r="WST275" s="580"/>
      <c r="WSU275" s="580"/>
      <c r="WSV275" s="580"/>
      <c r="WSW275" s="580"/>
      <c r="WSX275" s="580"/>
      <c r="WSY275" s="580"/>
      <c r="WSZ275" s="580"/>
      <c r="WTA275" s="580"/>
      <c r="WTB275" s="580"/>
      <c r="WTC275" s="580"/>
      <c r="WTD275" s="580"/>
      <c r="WTE275" s="580"/>
      <c r="WTF275" s="580"/>
      <c r="WTG275" s="580"/>
      <c r="WTH275" s="580"/>
      <c r="WTI275" s="580"/>
      <c r="WTJ275" s="580"/>
      <c r="WTK275" s="580"/>
      <c r="WTL275" s="580"/>
      <c r="WTM275" s="580"/>
      <c r="WTN275" s="580"/>
      <c r="WTO275" s="580"/>
      <c r="WTP275" s="580"/>
      <c r="WTQ275" s="580"/>
      <c r="WTR275" s="580"/>
      <c r="WTS275" s="580"/>
      <c r="WTT275" s="580"/>
      <c r="WTU275" s="580"/>
      <c r="WTV275" s="580"/>
      <c r="WTW275" s="580"/>
      <c r="WTX275" s="580"/>
      <c r="WTY275" s="580"/>
      <c r="WTZ275" s="580"/>
      <c r="WUA275" s="580"/>
      <c r="WUB275" s="580"/>
      <c r="WUC275" s="580"/>
      <c r="WUD275" s="580"/>
      <c r="WUE275" s="580"/>
      <c r="WUF275" s="580"/>
      <c r="WUG275" s="580"/>
      <c r="WUH275" s="580"/>
      <c r="WUI275" s="580"/>
      <c r="WUJ275" s="580"/>
      <c r="WUK275" s="580"/>
      <c r="WUL275" s="580"/>
      <c r="WUM275" s="580"/>
      <c r="WUN275" s="580"/>
      <c r="WUO275" s="580"/>
      <c r="WUP275" s="580"/>
      <c r="WUQ275" s="580"/>
      <c r="WUR275" s="580"/>
      <c r="WUS275" s="580"/>
      <c r="WUT275" s="580"/>
      <c r="WUU275" s="580"/>
      <c r="WUV275" s="580"/>
      <c r="WUW275" s="580"/>
      <c r="WUX275" s="580"/>
      <c r="WUY275" s="580"/>
      <c r="WUZ275" s="580"/>
      <c r="WVA275" s="580"/>
      <c r="WVB275" s="580"/>
      <c r="WVC275" s="580"/>
      <c r="WVD275" s="580"/>
      <c r="WVE275" s="580"/>
      <c r="WVF275" s="580"/>
      <c r="WVG275" s="580"/>
      <c r="WVH275" s="580"/>
      <c r="WVI275" s="580"/>
      <c r="WVJ275" s="580"/>
      <c r="WVK275" s="580"/>
      <c r="WVL275" s="580"/>
      <c r="WVM275" s="580"/>
      <c r="WVN275" s="580"/>
      <c r="WVO275" s="580"/>
      <c r="WVP275" s="580"/>
      <c r="WVQ275" s="580"/>
      <c r="WVR275" s="580"/>
      <c r="WVS275" s="580"/>
      <c r="WVT275" s="580"/>
      <c r="WVU275" s="580"/>
      <c r="WVV275" s="580"/>
      <c r="WVW275" s="580"/>
      <c r="WVX275" s="580"/>
      <c r="WVY275" s="580"/>
      <c r="WVZ275" s="580"/>
      <c r="WWA275" s="580"/>
      <c r="WWB275" s="580"/>
      <c r="WWC275" s="580"/>
      <c r="WWD275" s="580"/>
      <c r="WWE275" s="580"/>
      <c r="WWF275" s="580"/>
      <c r="WWG275" s="580"/>
      <c r="WWH275" s="580"/>
      <c r="WWI275" s="580"/>
      <c r="WWJ275" s="580"/>
      <c r="WWK275" s="580"/>
      <c r="WWL275" s="580"/>
      <c r="WWM275" s="580"/>
      <c r="WWN275" s="580"/>
      <c r="WWO275" s="580"/>
      <c r="WWP275" s="580"/>
      <c r="WWQ275" s="580"/>
      <c r="WWR275" s="580"/>
      <c r="WWS275" s="580"/>
      <c r="WWT275" s="580"/>
      <c r="WWU275" s="580"/>
      <c r="WWV275" s="580"/>
      <c r="WWW275" s="580"/>
      <c r="WWX275" s="580"/>
      <c r="WWY275" s="580"/>
      <c r="WWZ275" s="580"/>
      <c r="WXA275" s="580"/>
      <c r="WXB275" s="580"/>
      <c r="WXC275" s="580"/>
      <c r="WXD275" s="580"/>
      <c r="WXE275" s="580"/>
      <c r="WXF275" s="580"/>
      <c r="WXG275" s="580"/>
      <c r="WXH275" s="580"/>
      <c r="WXI275" s="580"/>
      <c r="WXJ275" s="580"/>
      <c r="WXK275" s="580"/>
      <c r="WXL275" s="580"/>
      <c r="WXM275" s="580"/>
      <c r="WXN275" s="580"/>
      <c r="WXO275" s="580"/>
      <c r="WXP275" s="580"/>
      <c r="WXQ275" s="580"/>
      <c r="WXR275" s="580"/>
      <c r="WXS275" s="580"/>
      <c r="WXT275" s="580"/>
      <c r="WXU275" s="580"/>
      <c r="WXV275" s="580"/>
      <c r="WXW275" s="580"/>
      <c r="WXX275" s="580"/>
      <c r="WXY275" s="580"/>
      <c r="WXZ275" s="580"/>
      <c r="WYA275" s="580"/>
      <c r="WYB275" s="580"/>
      <c r="WYC275" s="580"/>
      <c r="WYD275" s="580"/>
      <c r="WYE275" s="580"/>
      <c r="WYF275" s="580"/>
      <c r="WYG275" s="580"/>
      <c r="WYH275" s="580"/>
      <c r="WYI275" s="580"/>
      <c r="WYJ275" s="580"/>
      <c r="WYK275" s="580"/>
      <c r="WYL275" s="580"/>
      <c r="WYM275" s="580"/>
      <c r="WYN275" s="580"/>
      <c r="WYO275" s="580"/>
      <c r="WYP275" s="580"/>
      <c r="WYQ275" s="580"/>
      <c r="WYR275" s="580"/>
      <c r="WYS275" s="580"/>
      <c r="WYT275" s="580"/>
      <c r="WYU275" s="580"/>
      <c r="WYV275" s="580"/>
      <c r="WYW275" s="580"/>
      <c r="WYX275" s="580"/>
      <c r="WYY275" s="580"/>
      <c r="WYZ275" s="580"/>
      <c r="WZA275" s="580"/>
      <c r="WZB275" s="580"/>
      <c r="WZC275" s="580"/>
      <c r="WZD275" s="580"/>
      <c r="WZE275" s="580"/>
      <c r="WZF275" s="580"/>
      <c r="WZG275" s="580"/>
      <c r="WZH275" s="580"/>
      <c r="WZI275" s="580"/>
      <c r="WZJ275" s="580"/>
      <c r="WZK275" s="580"/>
      <c r="WZL275" s="580"/>
      <c r="WZM275" s="580"/>
      <c r="WZN275" s="580"/>
      <c r="WZO275" s="580"/>
      <c r="WZP275" s="580"/>
      <c r="WZQ275" s="580"/>
      <c r="WZR275" s="580"/>
      <c r="WZS275" s="580"/>
      <c r="WZT275" s="580"/>
      <c r="WZU275" s="580"/>
      <c r="WZV275" s="580"/>
      <c r="WZW275" s="580"/>
      <c r="WZX275" s="580"/>
      <c r="WZY275" s="580"/>
      <c r="WZZ275" s="580"/>
      <c r="XAA275" s="580"/>
      <c r="XAB275" s="580"/>
      <c r="XAC275" s="580"/>
      <c r="XAD275" s="580"/>
      <c r="XAE275" s="580"/>
      <c r="XAF275" s="580"/>
      <c r="XAG275" s="580"/>
      <c r="XAH275" s="580"/>
      <c r="XAI275" s="580"/>
      <c r="XAJ275" s="580"/>
      <c r="XAK275" s="580"/>
      <c r="XAL275" s="580"/>
      <c r="XAM275" s="580"/>
      <c r="XAN275" s="580"/>
      <c r="XAO275" s="580"/>
      <c r="XAP275" s="580"/>
      <c r="XAQ275" s="580"/>
      <c r="XAR275" s="580"/>
      <c r="XAS275" s="580"/>
      <c r="XAT275" s="580"/>
      <c r="XAU275" s="580"/>
      <c r="XAV275" s="580"/>
      <c r="XAW275" s="580"/>
      <c r="XAX275" s="580"/>
      <c r="XAY275" s="580"/>
      <c r="XAZ275" s="580"/>
      <c r="XBA275" s="580"/>
      <c r="XBB275" s="580"/>
      <c r="XBC275" s="580"/>
      <c r="XBD275" s="580"/>
      <c r="XBE275" s="580"/>
      <c r="XBF275" s="580"/>
      <c r="XBG275" s="580"/>
      <c r="XBH275" s="580"/>
      <c r="XBI275" s="580"/>
      <c r="XBJ275" s="580"/>
      <c r="XBK275" s="580"/>
      <c r="XBL275" s="580"/>
      <c r="XBM275" s="580"/>
      <c r="XBN275" s="580"/>
      <c r="XBO275" s="580"/>
      <c r="XBP275" s="580"/>
      <c r="XBQ275" s="580"/>
      <c r="XBR275" s="580"/>
      <c r="XBS275" s="580"/>
      <c r="XBT275" s="580"/>
      <c r="XBU275" s="580"/>
      <c r="XBV275" s="580"/>
      <c r="XBW275" s="580"/>
      <c r="XBX275" s="580"/>
      <c r="XBY275" s="580"/>
      <c r="XBZ275" s="580"/>
      <c r="XCA275" s="580"/>
      <c r="XCB275" s="580"/>
      <c r="XCC275" s="580"/>
      <c r="XCD275" s="580"/>
      <c r="XCE275" s="580"/>
      <c r="XCF275" s="580"/>
      <c r="XCG275" s="580"/>
      <c r="XCH275" s="580"/>
      <c r="XCI275" s="580"/>
      <c r="XCJ275" s="580"/>
      <c r="XCK275" s="580"/>
      <c r="XCL275" s="580"/>
      <c r="XCM275" s="580"/>
      <c r="XCN275" s="580"/>
      <c r="XCO275" s="580"/>
      <c r="XCP275" s="580"/>
      <c r="XCQ275" s="580"/>
      <c r="XCR275" s="580"/>
      <c r="XCS275" s="580"/>
      <c r="XCT275" s="580"/>
      <c r="XCU275" s="580"/>
      <c r="XCV275" s="580"/>
      <c r="XCW275" s="580"/>
      <c r="XCX275" s="580"/>
      <c r="XCY275" s="580"/>
      <c r="XCZ275" s="580"/>
      <c r="XDA275" s="580"/>
      <c r="XDB275" s="580"/>
      <c r="XDC275" s="580"/>
      <c r="XDD275" s="580"/>
      <c r="XDE275" s="580"/>
      <c r="XDF275" s="580"/>
      <c r="XDG275" s="580"/>
      <c r="XDH275" s="580"/>
      <c r="XDI275" s="580"/>
      <c r="XDJ275" s="580"/>
      <c r="XDK275" s="580"/>
      <c r="XDL275" s="580"/>
      <c r="XDM275" s="580"/>
      <c r="XDN275" s="580"/>
      <c r="XDO275" s="580"/>
      <c r="XDP275" s="580"/>
      <c r="XDQ275" s="580"/>
      <c r="XDR275" s="580"/>
      <c r="XDS275" s="580"/>
      <c r="XDT275" s="580"/>
      <c r="XDU275" s="580"/>
      <c r="XDV275" s="580"/>
      <c r="XDW275" s="580"/>
      <c r="XDX275" s="580"/>
      <c r="XDY275" s="580"/>
      <c r="XDZ275" s="580"/>
      <c r="XEA275" s="580"/>
      <c r="XEB275" s="580"/>
      <c r="XEC275" s="580"/>
      <c r="XED275" s="580"/>
      <c r="XEE275" s="580"/>
      <c r="XEF275" s="580"/>
      <c r="XEG275" s="580"/>
      <c r="XEH275" s="580"/>
      <c r="XEI275" s="580"/>
      <c r="XEJ275" s="580"/>
      <c r="XEK275" s="580"/>
      <c r="XEL275" s="580"/>
      <c r="XEM275" s="580"/>
      <c r="XEN275" s="580"/>
    </row>
    <row r="276" spans="1:16368" s="2501" customFormat="1">
      <c r="A276" s="2496">
        <f t="shared" si="4"/>
        <v>2013.03</v>
      </c>
      <c r="B276" s="2490">
        <v>631530</v>
      </c>
      <c r="C276" s="2711"/>
      <c r="D276" s="2712"/>
      <c r="E276" s="2491">
        <v>1468</v>
      </c>
      <c r="F276" s="2492">
        <v>7573</v>
      </c>
      <c r="G276" s="2493">
        <v>8149</v>
      </c>
      <c r="H276" s="2492">
        <v>10570</v>
      </c>
      <c r="I276" s="2493">
        <v>23598</v>
      </c>
      <c r="J276" s="2492">
        <v>3669</v>
      </c>
      <c r="K276" s="2493">
        <v>4479</v>
      </c>
      <c r="L276" s="2492">
        <v>6021</v>
      </c>
      <c r="M276" s="2494">
        <v>2561</v>
      </c>
      <c r="N276" s="2495">
        <f t="shared" si="5"/>
        <v>68088</v>
      </c>
      <c r="O276" s="2499">
        <v>47696</v>
      </c>
      <c r="P276" s="2494">
        <v>424</v>
      </c>
      <c r="Q276" s="2500">
        <v>198145</v>
      </c>
      <c r="R276" s="580"/>
      <c r="S276" s="580"/>
      <c r="T276" s="580"/>
      <c r="U276" s="580"/>
      <c r="V276" s="580"/>
      <c r="W276" s="580"/>
      <c r="X276" s="580"/>
      <c r="Y276" s="580"/>
      <c r="Z276" s="580"/>
      <c r="AA276" s="580"/>
      <c r="AB276" s="580"/>
      <c r="AC276" s="580"/>
      <c r="AD276" s="580"/>
      <c r="AE276" s="580"/>
      <c r="AF276" s="580"/>
      <c r="AG276" s="580"/>
      <c r="AH276" s="580"/>
      <c r="AI276" s="580"/>
      <c r="AJ276" s="580"/>
      <c r="AK276" s="580"/>
      <c r="AL276" s="580"/>
      <c r="AM276" s="580"/>
      <c r="AN276" s="580"/>
      <c r="AO276" s="580"/>
      <c r="AP276" s="580"/>
      <c r="AQ276" s="580"/>
      <c r="AR276" s="580"/>
      <c r="AS276" s="580"/>
      <c r="AT276" s="580"/>
      <c r="AU276" s="580"/>
      <c r="AV276" s="580"/>
      <c r="AW276" s="580"/>
      <c r="AX276" s="580"/>
      <c r="AY276" s="580"/>
      <c r="AZ276" s="580"/>
      <c r="BA276" s="580"/>
      <c r="BB276" s="580"/>
      <c r="BC276" s="580"/>
      <c r="BD276" s="580"/>
      <c r="BE276" s="580"/>
      <c r="BF276" s="580"/>
      <c r="BG276" s="580"/>
      <c r="BH276" s="580"/>
      <c r="BI276" s="580"/>
      <c r="BJ276" s="580"/>
      <c r="BK276" s="580"/>
      <c r="BL276" s="580"/>
      <c r="BM276" s="580"/>
      <c r="BN276" s="580"/>
      <c r="BO276" s="580"/>
      <c r="BP276" s="580"/>
      <c r="BQ276" s="580"/>
      <c r="BR276" s="580"/>
      <c r="BS276" s="580"/>
      <c r="BT276" s="580"/>
      <c r="BU276" s="580"/>
      <c r="BV276" s="580"/>
      <c r="BW276" s="580"/>
      <c r="BX276" s="580"/>
      <c r="BY276" s="580"/>
      <c r="BZ276" s="580"/>
      <c r="CA276" s="580"/>
      <c r="CB276" s="580"/>
      <c r="CC276" s="580"/>
      <c r="CD276" s="580"/>
      <c r="CE276" s="580"/>
      <c r="CF276" s="580"/>
      <c r="CG276" s="580"/>
      <c r="CH276" s="580"/>
      <c r="CI276" s="580"/>
      <c r="CJ276" s="580"/>
      <c r="CK276" s="580"/>
      <c r="CL276" s="580"/>
      <c r="CM276" s="580"/>
      <c r="CN276" s="580"/>
      <c r="CO276" s="580"/>
      <c r="CP276" s="580"/>
      <c r="CQ276" s="580"/>
      <c r="CR276" s="580"/>
      <c r="CS276" s="580"/>
      <c r="CT276" s="580"/>
      <c r="CU276" s="580"/>
      <c r="CV276" s="580"/>
      <c r="CW276" s="580"/>
      <c r="CX276" s="580"/>
      <c r="CY276" s="580"/>
      <c r="CZ276" s="580"/>
      <c r="DA276" s="580"/>
      <c r="DB276" s="580"/>
      <c r="DC276" s="580"/>
      <c r="DD276" s="580"/>
      <c r="DE276" s="580"/>
      <c r="DF276" s="580"/>
      <c r="DG276" s="580"/>
      <c r="DH276" s="580"/>
      <c r="DI276" s="580"/>
      <c r="DJ276" s="580"/>
      <c r="DK276" s="580"/>
      <c r="DL276" s="580"/>
      <c r="DM276" s="580"/>
      <c r="DN276" s="580"/>
      <c r="DO276" s="580"/>
      <c r="DP276" s="580"/>
      <c r="DQ276" s="580"/>
      <c r="DR276" s="580"/>
      <c r="DS276" s="580"/>
      <c r="DT276" s="580"/>
      <c r="DU276" s="580"/>
      <c r="DV276" s="580"/>
      <c r="DW276" s="580"/>
      <c r="DX276" s="580"/>
      <c r="DY276" s="580"/>
      <c r="DZ276" s="580"/>
      <c r="EA276" s="580"/>
      <c r="EB276" s="580"/>
      <c r="EC276" s="580"/>
      <c r="ED276" s="580"/>
      <c r="EE276" s="580"/>
      <c r="EF276" s="580"/>
      <c r="EG276" s="580"/>
      <c r="EH276" s="580"/>
      <c r="EI276" s="580"/>
      <c r="EJ276" s="580"/>
      <c r="EK276" s="580"/>
      <c r="EL276" s="580"/>
      <c r="EM276" s="580"/>
      <c r="EN276" s="580"/>
      <c r="EO276" s="580"/>
      <c r="EP276" s="580"/>
      <c r="EQ276" s="580"/>
      <c r="ER276" s="580"/>
      <c r="ES276" s="580"/>
      <c r="ET276" s="580"/>
      <c r="EU276" s="580"/>
      <c r="EV276" s="580"/>
      <c r="EW276" s="580"/>
      <c r="EX276" s="580"/>
      <c r="EY276" s="580"/>
      <c r="EZ276" s="580"/>
      <c r="FA276" s="580"/>
      <c r="FB276" s="580"/>
      <c r="FC276" s="580"/>
      <c r="FD276" s="580"/>
      <c r="FE276" s="580"/>
      <c r="FF276" s="580"/>
      <c r="FG276" s="580"/>
      <c r="FH276" s="580"/>
      <c r="FI276" s="580"/>
      <c r="FJ276" s="580"/>
      <c r="FK276" s="580"/>
      <c r="FL276" s="580"/>
      <c r="FM276" s="580"/>
      <c r="FN276" s="580"/>
      <c r="FO276" s="580"/>
      <c r="FP276" s="580"/>
      <c r="FQ276" s="580"/>
      <c r="FR276" s="580"/>
      <c r="FS276" s="580"/>
      <c r="FT276" s="580"/>
      <c r="FU276" s="580"/>
      <c r="FV276" s="580"/>
      <c r="FW276" s="580"/>
      <c r="FX276" s="580"/>
      <c r="FY276" s="580"/>
      <c r="FZ276" s="580"/>
      <c r="GA276" s="580"/>
      <c r="GB276" s="580"/>
      <c r="GC276" s="580"/>
      <c r="GD276" s="580"/>
      <c r="GE276" s="580"/>
      <c r="GF276" s="580"/>
      <c r="GG276" s="580"/>
      <c r="GH276" s="580"/>
      <c r="GI276" s="580"/>
      <c r="GJ276" s="580"/>
      <c r="GK276" s="580"/>
      <c r="GL276" s="580"/>
      <c r="GM276" s="580"/>
      <c r="GN276" s="580"/>
      <c r="GO276" s="580"/>
      <c r="GP276" s="580"/>
      <c r="GQ276" s="580"/>
      <c r="GR276" s="580"/>
      <c r="GS276" s="580"/>
      <c r="GT276" s="580"/>
      <c r="GU276" s="580"/>
      <c r="GV276" s="580"/>
      <c r="GW276" s="580"/>
      <c r="GX276" s="580"/>
      <c r="GY276" s="580"/>
      <c r="GZ276" s="580"/>
      <c r="HA276" s="580"/>
      <c r="HB276" s="580"/>
      <c r="HC276" s="580"/>
      <c r="HD276" s="580"/>
      <c r="HE276" s="580"/>
      <c r="HF276" s="580"/>
      <c r="HG276" s="580"/>
      <c r="HH276" s="580"/>
      <c r="HI276" s="580"/>
      <c r="HJ276" s="580"/>
      <c r="HK276" s="580"/>
      <c r="HL276" s="580"/>
      <c r="HM276" s="580"/>
      <c r="HN276" s="580"/>
      <c r="HO276" s="580"/>
      <c r="HP276" s="580"/>
      <c r="HQ276" s="580"/>
      <c r="HR276" s="580"/>
      <c r="HS276" s="580"/>
      <c r="HT276" s="580"/>
      <c r="HU276" s="580"/>
      <c r="HV276" s="580"/>
      <c r="HW276" s="580"/>
      <c r="HX276" s="580"/>
      <c r="HY276" s="580"/>
      <c r="HZ276" s="580"/>
      <c r="IA276" s="580"/>
      <c r="IB276" s="580"/>
      <c r="IC276" s="580"/>
      <c r="ID276" s="580"/>
      <c r="IE276" s="580"/>
      <c r="IF276" s="580"/>
      <c r="IG276" s="580"/>
      <c r="IH276" s="580"/>
      <c r="II276" s="580"/>
      <c r="IJ276" s="580"/>
      <c r="IK276" s="580"/>
      <c r="IL276" s="580"/>
      <c r="IM276" s="580"/>
      <c r="IN276" s="580"/>
      <c r="IO276" s="580"/>
      <c r="IP276" s="580"/>
      <c r="IQ276" s="580"/>
      <c r="IR276" s="580"/>
      <c r="IS276" s="580"/>
      <c r="IT276" s="580"/>
      <c r="IU276" s="580"/>
      <c r="IV276" s="580"/>
      <c r="IW276" s="580"/>
      <c r="IX276" s="580"/>
      <c r="IY276" s="580"/>
      <c r="IZ276" s="580"/>
      <c r="JA276" s="580"/>
      <c r="JB276" s="580"/>
      <c r="JC276" s="580"/>
      <c r="JD276" s="580"/>
      <c r="JE276" s="580"/>
      <c r="JF276" s="580"/>
      <c r="JG276" s="580"/>
      <c r="JH276" s="580"/>
      <c r="JI276" s="580"/>
      <c r="JJ276" s="580"/>
      <c r="JK276" s="580"/>
      <c r="JL276" s="580"/>
      <c r="JM276" s="580"/>
      <c r="JN276" s="580"/>
      <c r="JO276" s="580"/>
      <c r="JP276" s="580"/>
      <c r="JQ276" s="580"/>
      <c r="JR276" s="580"/>
      <c r="JS276" s="580"/>
      <c r="JT276" s="580"/>
      <c r="JU276" s="580"/>
      <c r="JV276" s="580"/>
      <c r="JW276" s="580"/>
      <c r="JX276" s="580"/>
      <c r="JY276" s="580"/>
      <c r="JZ276" s="580"/>
      <c r="KA276" s="580"/>
      <c r="KB276" s="580"/>
      <c r="KC276" s="580"/>
      <c r="KD276" s="580"/>
      <c r="KE276" s="580"/>
      <c r="KF276" s="580"/>
      <c r="KG276" s="580"/>
      <c r="KH276" s="580"/>
      <c r="KI276" s="580"/>
      <c r="KJ276" s="580"/>
      <c r="KK276" s="580"/>
      <c r="KL276" s="580"/>
      <c r="KM276" s="580"/>
      <c r="KN276" s="580"/>
      <c r="KO276" s="580"/>
      <c r="KP276" s="580"/>
      <c r="KQ276" s="580"/>
      <c r="KR276" s="580"/>
      <c r="KS276" s="580"/>
      <c r="KT276" s="580"/>
      <c r="KU276" s="580"/>
      <c r="KV276" s="580"/>
      <c r="KW276" s="580"/>
      <c r="KX276" s="580"/>
      <c r="KY276" s="580"/>
      <c r="KZ276" s="580"/>
      <c r="LA276" s="580"/>
      <c r="LB276" s="580"/>
      <c r="LC276" s="580"/>
      <c r="LD276" s="580"/>
      <c r="LE276" s="580"/>
      <c r="LF276" s="580"/>
      <c r="LG276" s="580"/>
      <c r="LH276" s="580"/>
      <c r="LI276" s="580"/>
      <c r="LJ276" s="580"/>
      <c r="LK276" s="580"/>
      <c r="LL276" s="580"/>
      <c r="LM276" s="580"/>
      <c r="LN276" s="580"/>
      <c r="LO276" s="580"/>
      <c r="LP276" s="580"/>
      <c r="LQ276" s="580"/>
      <c r="LR276" s="580"/>
      <c r="LS276" s="580"/>
      <c r="LT276" s="580"/>
      <c r="LU276" s="580"/>
      <c r="LV276" s="580"/>
      <c r="LW276" s="580"/>
      <c r="LX276" s="580"/>
      <c r="LY276" s="580"/>
      <c r="LZ276" s="580"/>
      <c r="MA276" s="580"/>
      <c r="MB276" s="580"/>
      <c r="MC276" s="580"/>
      <c r="MD276" s="580"/>
      <c r="ME276" s="580"/>
      <c r="MF276" s="580"/>
      <c r="MG276" s="580"/>
      <c r="MH276" s="580"/>
      <c r="MI276" s="580"/>
      <c r="MJ276" s="580"/>
      <c r="MK276" s="580"/>
      <c r="ML276" s="580"/>
      <c r="MM276" s="580"/>
      <c r="MN276" s="580"/>
      <c r="MO276" s="580"/>
      <c r="MP276" s="580"/>
      <c r="MQ276" s="580"/>
      <c r="MR276" s="580"/>
      <c r="MS276" s="580"/>
      <c r="MT276" s="580"/>
      <c r="MU276" s="580"/>
      <c r="MV276" s="580"/>
      <c r="MW276" s="580"/>
      <c r="MX276" s="580"/>
      <c r="MY276" s="580"/>
      <c r="MZ276" s="580"/>
      <c r="NA276" s="580"/>
      <c r="NB276" s="580"/>
      <c r="NC276" s="580"/>
      <c r="ND276" s="580"/>
      <c r="NE276" s="580"/>
      <c r="NF276" s="580"/>
      <c r="NG276" s="580"/>
      <c r="NH276" s="580"/>
      <c r="NI276" s="580"/>
      <c r="NJ276" s="580"/>
      <c r="NK276" s="580"/>
      <c r="NL276" s="580"/>
      <c r="NM276" s="580"/>
      <c r="NN276" s="580"/>
      <c r="NO276" s="580"/>
      <c r="NP276" s="580"/>
      <c r="NQ276" s="580"/>
      <c r="NR276" s="580"/>
      <c r="NS276" s="580"/>
      <c r="NT276" s="580"/>
      <c r="NU276" s="580"/>
      <c r="NV276" s="580"/>
      <c r="NW276" s="580"/>
      <c r="NX276" s="580"/>
      <c r="NY276" s="580"/>
      <c r="NZ276" s="580"/>
      <c r="OA276" s="580"/>
      <c r="OB276" s="580"/>
      <c r="OC276" s="580"/>
      <c r="OD276" s="580"/>
      <c r="OE276" s="580"/>
      <c r="OF276" s="580"/>
      <c r="OG276" s="580"/>
      <c r="OH276" s="580"/>
      <c r="OI276" s="580"/>
      <c r="OJ276" s="580"/>
      <c r="OK276" s="580"/>
      <c r="OL276" s="580"/>
      <c r="OM276" s="580"/>
      <c r="ON276" s="580"/>
      <c r="OO276" s="580"/>
      <c r="OP276" s="580"/>
      <c r="OQ276" s="580"/>
      <c r="OR276" s="580"/>
      <c r="OS276" s="580"/>
      <c r="OT276" s="580"/>
      <c r="OU276" s="580"/>
      <c r="OV276" s="580"/>
      <c r="OW276" s="580"/>
      <c r="OX276" s="580"/>
      <c r="OY276" s="580"/>
      <c r="OZ276" s="580"/>
      <c r="PA276" s="580"/>
      <c r="PB276" s="580"/>
      <c r="PC276" s="580"/>
      <c r="PD276" s="580"/>
      <c r="PE276" s="580"/>
      <c r="PF276" s="580"/>
      <c r="PG276" s="580"/>
      <c r="PH276" s="580"/>
      <c r="PI276" s="580"/>
      <c r="PJ276" s="580"/>
      <c r="PK276" s="580"/>
      <c r="PL276" s="580"/>
      <c r="PM276" s="580"/>
      <c r="PN276" s="580"/>
      <c r="PO276" s="580"/>
      <c r="PP276" s="580"/>
      <c r="PQ276" s="580"/>
      <c r="PR276" s="580"/>
      <c r="PS276" s="580"/>
      <c r="PT276" s="580"/>
      <c r="PU276" s="580"/>
      <c r="PV276" s="580"/>
      <c r="PW276" s="580"/>
      <c r="PX276" s="580"/>
      <c r="PY276" s="580"/>
      <c r="PZ276" s="580"/>
      <c r="QA276" s="580"/>
      <c r="QB276" s="580"/>
      <c r="QC276" s="580"/>
      <c r="QD276" s="580"/>
      <c r="QE276" s="580"/>
      <c r="QF276" s="580"/>
      <c r="QG276" s="580"/>
      <c r="QH276" s="580"/>
      <c r="QI276" s="580"/>
      <c r="QJ276" s="580"/>
      <c r="QK276" s="580"/>
      <c r="QL276" s="580"/>
      <c r="QM276" s="580"/>
      <c r="QN276" s="580"/>
      <c r="QO276" s="580"/>
      <c r="QP276" s="580"/>
      <c r="QQ276" s="580"/>
      <c r="QR276" s="580"/>
      <c r="QS276" s="580"/>
      <c r="QT276" s="580"/>
      <c r="QU276" s="580"/>
      <c r="QV276" s="580"/>
      <c r="QW276" s="580"/>
      <c r="QX276" s="580"/>
      <c r="QY276" s="580"/>
      <c r="QZ276" s="580"/>
      <c r="RA276" s="580"/>
      <c r="RB276" s="580"/>
      <c r="RC276" s="580"/>
      <c r="RD276" s="580"/>
      <c r="RE276" s="580"/>
      <c r="RF276" s="580"/>
      <c r="RG276" s="580"/>
      <c r="RH276" s="580"/>
      <c r="RI276" s="580"/>
      <c r="RJ276" s="580"/>
      <c r="RK276" s="580"/>
      <c r="RL276" s="580"/>
      <c r="RM276" s="580"/>
      <c r="RN276" s="580"/>
      <c r="RO276" s="580"/>
      <c r="RP276" s="580"/>
      <c r="RQ276" s="580"/>
      <c r="RR276" s="580"/>
      <c r="RS276" s="580"/>
      <c r="RT276" s="580"/>
      <c r="RU276" s="580"/>
      <c r="RV276" s="580"/>
      <c r="RW276" s="580"/>
      <c r="RX276" s="580"/>
      <c r="RY276" s="580"/>
      <c r="RZ276" s="580"/>
      <c r="SA276" s="580"/>
      <c r="SB276" s="580"/>
      <c r="SC276" s="580"/>
      <c r="SD276" s="580"/>
      <c r="SE276" s="580"/>
      <c r="SF276" s="580"/>
      <c r="SG276" s="580"/>
      <c r="SH276" s="580"/>
      <c r="SI276" s="580"/>
      <c r="SJ276" s="580"/>
      <c r="SK276" s="580"/>
      <c r="SL276" s="580"/>
      <c r="SM276" s="580"/>
      <c r="SN276" s="580"/>
      <c r="SO276" s="580"/>
      <c r="SP276" s="580"/>
      <c r="SQ276" s="580"/>
      <c r="SR276" s="580"/>
      <c r="SS276" s="580"/>
      <c r="ST276" s="580"/>
      <c r="SU276" s="580"/>
      <c r="SV276" s="580"/>
      <c r="SW276" s="580"/>
      <c r="SX276" s="580"/>
      <c r="SY276" s="580"/>
      <c r="SZ276" s="580"/>
      <c r="TA276" s="580"/>
      <c r="TB276" s="580"/>
      <c r="TC276" s="580"/>
      <c r="TD276" s="580"/>
      <c r="TE276" s="580"/>
      <c r="TF276" s="580"/>
      <c r="TG276" s="580"/>
      <c r="TH276" s="580"/>
      <c r="TI276" s="580"/>
      <c r="TJ276" s="580"/>
      <c r="TK276" s="580"/>
      <c r="TL276" s="580"/>
      <c r="TM276" s="580"/>
      <c r="TN276" s="580"/>
      <c r="TO276" s="580"/>
      <c r="TP276" s="580"/>
      <c r="TQ276" s="580"/>
      <c r="TR276" s="580"/>
      <c r="TS276" s="580"/>
      <c r="TT276" s="580"/>
      <c r="TU276" s="580"/>
      <c r="TV276" s="580"/>
      <c r="TW276" s="580"/>
      <c r="TX276" s="580"/>
      <c r="TY276" s="580"/>
      <c r="TZ276" s="580"/>
      <c r="UA276" s="580"/>
      <c r="UB276" s="580"/>
      <c r="UC276" s="580"/>
      <c r="UD276" s="580"/>
      <c r="UE276" s="580"/>
      <c r="UF276" s="580"/>
      <c r="UG276" s="580"/>
      <c r="UH276" s="580"/>
      <c r="UI276" s="580"/>
      <c r="UJ276" s="580"/>
      <c r="UK276" s="580"/>
      <c r="UL276" s="580"/>
      <c r="UM276" s="580"/>
      <c r="UN276" s="580"/>
      <c r="UO276" s="580"/>
      <c r="UP276" s="580"/>
      <c r="UQ276" s="580"/>
      <c r="UR276" s="580"/>
      <c r="US276" s="580"/>
      <c r="UT276" s="580"/>
      <c r="UU276" s="580"/>
      <c r="UV276" s="580"/>
      <c r="UW276" s="580"/>
      <c r="UX276" s="580"/>
      <c r="UY276" s="580"/>
      <c r="UZ276" s="580"/>
      <c r="VA276" s="580"/>
      <c r="VB276" s="580"/>
      <c r="VC276" s="580"/>
      <c r="VD276" s="580"/>
      <c r="VE276" s="580"/>
      <c r="VF276" s="580"/>
      <c r="VG276" s="580"/>
      <c r="VH276" s="580"/>
      <c r="VI276" s="580"/>
      <c r="VJ276" s="580"/>
      <c r="VK276" s="580"/>
      <c r="VL276" s="580"/>
      <c r="VM276" s="580"/>
      <c r="VN276" s="580"/>
      <c r="VO276" s="580"/>
      <c r="VP276" s="580"/>
      <c r="VQ276" s="580"/>
      <c r="VR276" s="580"/>
      <c r="VS276" s="580"/>
      <c r="VT276" s="580"/>
      <c r="VU276" s="580"/>
      <c r="VV276" s="580"/>
      <c r="VW276" s="580"/>
      <c r="VX276" s="580"/>
      <c r="VY276" s="580"/>
      <c r="VZ276" s="580"/>
      <c r="WA276" s="580"/>
      <c r="WB276" s="580"/>
      <c r="WC276" s="580"/>
      <c r="WD276" s="580"/>
      <c r="WE276" s="580"/>
      <c r="WF276" s="580"/>
      <c r="WG276" s="580"/>
      <c r="WH276" s="580"/>
      <c r="WI276" s="580"/>
      <c r="WJ276" s="580"/>
      <c r="WK276" s="580"/>
      <c r="WL276" s="580"/>
      <c r="WM276" s="580"/>
      <c r="WN276" s="580"/>
      <c r="WO276" s="580"/>
      <c r="WP276" s="580"/>
      <c r="WQ276" s="580"/>
      <c r="WR276" s="580"/>
      <c r="WS276" s="580"/>
      <c r="WT276" s="580"/>
      <c r="WU276" s="580"/>
      <c r="WV276" s="580"/>
      <c r="WW276" s="580"/>
      <c r="WX276" s="580"/>
      <c r="WY276" s="580"/>
      <c r="WZ276" s="580"/>
      <c r="XA276" s="580"/>
      <c r="XB276" s="580"/>
      <c r="XC276" s="580"/>
      <c r="XD276" s="580"/>
      <c r="XE276" s="580"/>
      <c r="XF276" s="580"/>
      <c r="XG276" s="580"/>
      <c r="XH276" s="580"/>
      <c r="XI276" s="580"/>
      <c r="XJ276" s="580"/>
      <c r="XK276" s="580"/>
      <c r="XL276" s="580"/>
      <c r="XM276" s="580"/>
      <c r="XN276" s="580"/>
      <c r="XO276" s="580"/>
      <c r="XP276" s="580"/>
      <c r="XQ276" s="580"/>
      <c r="XR276" s="580"/>
      <c r="XS276" s="580"/>
      <c r="XT276" s="580"/>
      <c r="XU276" s="580"/>
      <c r="XV276" s="580"/>
      <c r="XW276" s="580"/>
      <c r="XX276" s="580"/>
      <c r="XY276" s="580"/>
      <c r="XZ276" s="580"/>
      <c r="YA276" s="580"/>
      <c r="YB276" s="580"/>
      <c r="YC276" s="580"/>
      <c r="YD276" s="580"/>
      <c r="YE276" s="580"/>
      <c r="YF276" s="580"/>
      <c r="YG276" s="580"/>
      <c r="YH276" s="580"/>
      <c r="YI276" s="580"/>
      <c r="YJ276" s="580"/>
      <c r="YK276" s="580"/>
      <c r="YL276" s="580"/>
      <c r="YM276" s="580"/>
      <c r="YN276" s="580"/>
      <c r="YO276" s="580"/>
      <c r="YP276" s="580"/>
      <c r="YQ276" s="580"/>
      <c r="YR276" s="580"/>
      <c r="YS276" s="580"/>
      <c r="YT276" s="580"/>
      <c r="YU276" s="580"/>
      <c r="YV276" s="580"/>
      <c r="YW276" s="580"/>
      <c r="YX276" s="580"/>
      <c r="YY276" s="580"/>
      <c r="YZ276" s="580"/>
      <c r="ZA276" s="580"/>
      <c r="ZB276" s="580"/>
      <c r="ZC276" s="580"/>
      <c r="ZD276" s="580"/>
      <c r="ZE276" s="580"/>
      <c r="ZF276" s="580"/>
      <c r="ZG276" s="580"/>
      <c r="ZH276" s="580"/>
      <c r="ZI276" s="580"/>
      <c r="ZJ276" s="580"/>
      <c r="ZK276" s="580"/>
      <c r="ZL276" s="580"/>
      <c r="ZM276" s="580"/>
      <c r="ZN276" s="580"/>
      <c r="ZO276" s="580"/>
      <c r="ZP276" s="580"/>
      <c r="ZQ276" s="580"/>
      <c r="ZR276" s="580"/>
      <c r="ZS276" s="580"/>
      <c r="ZT276" s="580"/>
      <c r="ZU276" s="580"/>
      <c r="ZV276" s="580"/>
      <c r="ZW276" s="580"/>
      <c r="ZX276" s="580"/>
      <c r="ZY276" s="580"/>
      <c r="ZZ276" s="580"/>
      <c r="AAA276" s="580"/>
      <c r="AAB276" s="580"/>
      <c r="AAC276" s="580"/>
      <c r="AAD276" s="580"/>
      <c r="AAE276" s="580"/>
      <c r="AAF276" s="580"/>
      <c r="AAG276" s="580"/>
      <c r="AAH276" s="580"/>
      <c r="AAI276" s="580"/>
      <c r="AAJ276" s="580"/>
      <c r="AAK276" s="580"/>
      <c r="AAL276" s="580"/>
      <c r="AAM276" s="580"/>
      <c r="AAN276" s="580"/>
      <c r="AAO276" s="580"/>
      <c r="AAP276" s="580"/>
      <c r="AAQ276" s="580"/>
      <c r="AAR276" s="580"/>
      <c r="AAS276" s="580"/>
      <c r="AAT276" s="580"/>
      <c r="AAU276" s="580"/>
      <c r="AAV276" s="580"/>
      <c r="AAW276" s="580"/>
      <c r="AAX276" s="580"/>
      <c r="AAY276" s="580"/>
      <c r="AAZ276" s="580"/>
      <c r="ABA276" s="580"/>
      <c r="ABB276" s="580"/>
      <c r="ABC276" s="580"/>
      <c r="ABD276" s="580"/>
      <c r="ABE276" s="580"/>
      <c r="ABF276" s="580"/>
      <c r="ABG276" s="580"/>
      <c r="ABH276" s="580"/>
      <c r="ABI276" s="580"/>
      <c r="ABJ276" s="580"/>
      <c r="ABK276" s="580"/>
      <c r="ABL276" s="580"/>
      <c r="ABM276" s="580"/>
      <c r="ABN276" s="580"/>
      <c r="ABO276" s="580"/>
      <c r="ABP276" s="580"/>
      <c r="ABQ276" s="580"/>
      <c r="ABR276" s="580"/>
      <c r="ABS276" s="580"/>
      <c r="ABT276" s="580"/>
      <c r="ABU276" s="580"/>
      <c r="ABV276" s="580"/>
      <c r="ABW276" s="580"/>
      <c r="ABX276" s="580"/>
      <c r="ABY276" s="580"/>
      <c r="ABZ276" s="580"/>
      <c r="ACA276" s="580"/>
      <c r="ACB276" s="580"/>
      <c r="ACC276" s="580"/>
      <c r="ACD276" s="580"/>
      <c r="ACE276" s="580"/>
      <c r="ACF276" s="580"/>
      <c r="ACG276" s="580"/>
      <c r="ACH276" s="580"/>
      <c r="ACI276" s="580"/>
      <c r="ACJ276" s="580"/>
      <c r="ACK276" s="580"/>
      <c r="ACL276" s="580"/>
      <c r="ACM276" s="580"/>
      <c r="ACN276" s="580"/>
      <c r="ACO276" s="580"/>
      <c r="ACP276" s="580"/>
      <c r="ACQ276" s="580"/>
      <c r="ACR276" s="580"/>
      <c r="ACS276" s="580"/>
      <c r="ACT276" s="580"/>
      <c r="ACU276" s="580"/>
      <c r="ACV276" s="580"/>
      <c r="ACW276" s="580"/>
      <c r="ACX276" s="580"/>
      <c r="ACY276" s="580"/>
      <c r="ACZ276" s="580"/>
      <c r="ADA276" s="580"/>
      <c r="ADB276" s="580"/>
      <c r="ADC276" s="580"/>
      <c r="ADD276" s="580"/>
      <c r="ADE276" s="580"/>
      <c r="ADF276" s="580"/>
      <c r="ADG276" s="580"/>
      <c r="ADH276" s="580"/>
      <c r="ADI276" s="580"/>
      <c r="ADJ276" s="580"/>
      <c r="ADK276" s="580"/>
      <c r="ADL276" s="580"/>
      <c r="ADM276" s="580"/>
      <c r="ADN276" s="580"/>
      <c r="ADO276" s="580"/>
      <c r="ADP276" s="580"/>
      <c r="ADQ276" s="580"/>
      <c r="ADR276" s="580"/>
      <c r="ADS276" s="580"/>
      <c r="ADT276" s="580"/>
      <c r="ADU276" s="580"/>
      <c r="ADV276" s="580"/>
      <c r="ADW276" s="580"/>
      <c r="ADX276" s="580"/>
      <c r="ADY276" s="580"/>
      <c r="ADZ276" s="580"/>
      <c r="AEA276" s="580"/>
      <c r="AEB276" s="580"/>
      <c r="AEC276" s="580"/>
      <c r="AED276" s="580"/>
      <c r="AEE276" s="580"/>
      <c r="AEF276" s="580"/>
      <c r="AEG276" s="580"/>
      <c r="AEH276" s="580"/>
      <c r="AEI276" s="580"/>
      <c r="AEJ276" s="580"/>
      <c r="AEK276" s="580"/>
      <c r="AEL276" s="580"/>
      <c r="AEM276" s="580"/>
      <c r="AEN276" s="580"/>
      <c r="AEO276" s="580"/>
      <c r="AEP276" s="580"/>
      <c r="AEQ276" s="580"/>
      <c r="AER276" s="580"/>
      <c r="AES276" s="580"/>
      <c r="AET276" s="580"/>
      <c r="AEU276" s="580"/>
      <c r="AEV276" s="580"/>
      <c r="AEW276" s="580"/>
      <c r="AEX276" s="580"/>
      <c r="AEY276" s="580"/>
      <c r="AEZ276" s="580"/>
      <c r="AFA276" s="580"/>
      <c r="AFB276" s="580"/>
      <c r="AFC276" s="580"/>
      <c r="AFD276" s="580"/>
      <c r="AFE276" s="580"/>
      <c r="AFF276" s="580"/>
      <c r="AFG276" s="580"/>
      <c r="AFH276" s="580"/>
      <c r="AFI276" s="580"/>
      <c r="AFJ276" s="580"/>
      <c r="AFK276" s="580"/>
      <c r="AFL276" s="580"/>
      <c r="AFM276" s="580"/>
      <c r="AFN276" s="580"/>
      <c r="AFO276" s="580"/>
      <c r="AFP276" s="580"/>
      <c r="AFQ276" s="580"/>
      <c r="AFR276" s="580"/>
      <c r="AFS276" s="580"/>
      <c r="AFT276" s="580"/>
      <c r="AFU276" s="580"/>
      <c r="AFV276" s="580"/>
      <c r="AFW276" s="580"/>
      <c r="AFX276" s="580"/>
      <c r="AFY276" s="580"/>
      <c r="AFZ276" s="580"/>
      <c r="AGA276" s="580"/>
      <c r="AGB276" s="580"/>
      <c r="AGC276" s="580"/>
      <c r="AGD276" s="580"/>
      <c r="AGE276" s="580"/>
      <c r="AGF276" s="580"/>
      <c r="AGG276" s="580"/>
      <c r="AGH276" s="580"/>
      <c r="AGI276" s="580"/>
      <c r="AGJ276" s="580"/>
      <c r="AGK276" s="580"/>
      <c r="AGL276" s="580"/>
      <c r="AGM276" s="580"/>
      <c r="AGN276" s="580"/>
      <c r="AGO276" s="580"/>
      <c r="AGP276" s="580"/>
      <c r="AGQ276" s="580"/>
      <c r="AGR276" s="580"/>
      <c r="AGS276" s="580"/>
      <c r="AGT276" s="580"/>
      <c r="AGU276" s="580"/>
      <c r="AGV276" s="580"/>
      <c r="AGW276" s="580"/>
      <c r="AGX276" s="580"/>
      <c r="AGY276" s="580"/>
      <c r="AGZ276" s="580"/>
      <c r="AHA276" s="580"/>
      <c r="AHB276" s="580"/>
      <c r="AHC276" s="580"/>
      <c r="AHD276" s="580"/>
      <c r="AHE276" s="580"/>
      <c r="AHF276" s="580"/>
      <c r="AHG276" s="580"/>
      <c r="AHH276" s="580"/>
      <c r="AHI276" s="580"/>
      <c r="AHJ276" s="580"/>
      <c r="AHK276" s="580"/>
      <c r="AHL276" s="580"/>
      <c r="AHM276" s="580"/>
      <c r="AHN276" s="580"/>
      <c r="AHO276" s="580"/>
      <c r="AHP276" s="580"/>
      <c r="AHQ276" s="580"/>
      <c r="AHR276" s="580"/>
      <c r="AHS276" s="580"/>
      <c r="AHT276" s="580"/>
      <c r="AHU276" s="580"/>
      <c r="AHV276" s="580"/>
      <c r="AHW276" s="580"/>
      <c r="AHX276" s="580"/>
      <c r="AHY276" s="580"/>
      <c r="AHZ276" s="580"/>
      <c r="AIA276" s="580"/>
      <c r="AIB276" s="580"/>
      <c r="AIC276" s="580"/>
      <c r="AID276" s="580"/>
      <c r="AIE276" s="580"/>
      <c r="AIF276" s="580"/>
      <c r="AIG276" s="580"/>
      <c r="AIH276" s="580"/>
      <c r="AII276" s="580"/>
      <c r="AIJ276" s="580"/>
      <c r="AIK276" s="580"/>
      <c r="AIL276" s="580"/>
      <c r="AIM276" s="580"/>
      <c r="AIN276" s="580"/>
      <c r="AIO276" s="580"/>
      <c r="AIP276" s="580"/>
      <c r="AIQ276" s="580"/>
      <c r="AIR276" s="580"/>
      <c r="AIS276" s="580"/>
      <c r="AIT276" s="580"/>
      <c r="AIU276" s="580"/>
      <c r="AIV276" s="580"/>
      <c r="AIW276" s="580"/>
      <c r="AIX276" s="580"/>
      <c r="AIY276" s="580"/>
      <c r="AIZ276" s="580"/>
      <c r="AJA276" s="580"/>
      <c r="AJB276" s="580"/>
      <c r="AJC276" s="580"/>
      <c r="AJD276" s="580"/>
      <c r="AJE276" s="580"/>
      <c r="AJF276" s="580"/>
      <c r="AJG276" s="580"/>
      <c r="AJH276" s="580"/>
      <c r="AJI276" s="580"/>
      <c r="AJJ276" s="580"/>
      <c r="AJK276" s="580"/>
      <c r="AJL276" s="580"/>
      <c r="AJM276" s="580"/>
      <c r="AJN276" s="580"/>
      <c r="AJO276" s="580"/>
      <c r="AJP276" s="580"/>
      <c r="AJQ276" s="580"/>
      <c r="AJR276" s="580"/>
      <c r="AJS276" s="580"/>
      <c r="AJT276" s="580"/>
      <c r="AJU276" s="580"/>
      <c r="AJV276" s="580"/>
      <c r="AJW276" s="580"/>
      <c r="AJX276" s="580"/>
      <c r="AJY276" s="580"/>
      <c r="AJZ276" s="580"/>
      <c r="AKA276" s="580"/>
      <c r="AKB276" s="580"/>
      <c r="AKC276" s="580"/>
      <c r="AKD276" s="580"/>
      <c r="AKE276" s="580"/>
      <c r="AKF276" s="580"/>
      <c r="AKG276" s="580"/>
      <c r="AKH276" s="580"/>
      <c r="AKI276" s="580"/>
      <c r="AKJ276" s="580"/>
      <c r="AKK276" s="580"/>
      <c r="AKL276" s="580"/>
      <c r="AKM276" s="580"/>
      <c r="AKN276" s="580"/>
      <c r="AKO276" s="580"/>
      <c r="AKP276" s="580"/>
      <c r="AKQ276" s="580"/>
      <c r="AKR276" s="580"/>
      <c r="AKS276" s="580"/>
      <c r="AKT276" s="580"/>
      <c r="AKU276" s="580"/>
      <c r="AKV276" s="580"/>
      <c r="AKW276" s="580"/>
      <c r="AKX276" s="580"/>
      <c r="AKY276" s="580"/>
      <c r="AKZ276" s="580"/>
      <c r="ALA276" s="580"/>
      <c r="ALB276" s="580"/>
      <c r="ALC276" s="580"/>
      <c r="ALD276" s="580"/>
      <c r="ALE276" s="580"/>
      <c r="ALF276" s="580"/>
      <c r="ALG276" s="580"/>
      <c r="ALH276" s="580"/>
      <c r="ALI276" s="580"/>
      <c r="ALJ276" s="580"/>
      <c r="ALK276" s="580"/>
      <c r="ALL276" s="580"/>
      <c r="ALM276" s="580"/>
      <c r="ALN276" s="580"/>
      <c r="ALO276" s="580"/>
      <c r="ALP276" s="580"/>
      <c r="ALQ276" s="580"/>
      <c r="ALR276" s="580"/>
      <c r="ALS276" s="580"/>
      <c r="ALT276" s="580"/>
      <c r="ALU276" s="580"/>
      <c r="ALV276" s="580"/>
      <c r="ALW276" s="580"/>
      <c r="ALX276" s="580"/>
      <c r="ALY276" s="580"/>
      <c r="ALZ276" s="580"/>
      <c r="AMA276" s="580"/>
      <c r="AMB276" s="580"/>
      <c r="AMC276" s="580"/>
      <c r="AMD276" s="580"/>
      <c r="AME276" s="580"/>
      <c r="AMF276" s="580"/>
      <c r="AMG276" s="580"/>
      <c r="AMH276" s="580"/>
      <c r="AMI276" s="580"/>
      <c r="AMJ276" s="580"/>
      <c r="AMK276" s="580"/>
      <c r="AML276" s="580"/>
      <c r="AMM276" s="580"/>
      <c r="AMN276" s="580"/>
      <c r="AMO276" s="580"/>
      <c r="AMP276" s="580"/>
      <c r="AMQ276" s="580"/>
      <c r="AMR276" s="580"/>
      <c r="AMS276" s="580"/>
      <c r="AMT276" s="580"/>
      <c r="AMU276" s="580"/>
      <c r="AMV276" s="580"/>
      <c r="AMW276" s="580"/>
      <c r="AMX276" s="580"/>
      <c r="AMY276" s="580"/>
      <c r="AMZ276" s="580"/>
      <c r="ANA276" s="580"/>
      <c r="ANB276" s="580"/>
      <c r="ANC276" s="580"/>
      <c r="AND276" s="580"/>
      <c r="ANE276" s="580"/>
      <c r="ANF276" s="580"/>
      <c r="ANG276" s="580"/>
      <c r="ANH276" s="580"/>
      <c r="ANI276" s="580"/>
      <c r="ANJ276" s="580"/>
      <c r="ANK276" s="580"/>
      <c r="ANL276" s="580"/>
      <c r="ANM276" s="580"/>
      <c r="ANN276" s="580"/>
      <c r="ANO276" s="580"/>
      <c r="ANP276" s="580"/>
      <c r="ANQ276" s="580"/>
      <c r="ANR276" s="580"/>
      <c r="ANS276" s="580"/>
      <c r="ANT276" s="580"/>
      <c r="ANU276" s="580"/>
      <c r="ANV276" s="580"/>
      <c r="ANW276" s="580"/>
      <c r="ANX276" s="580"/>
      <c r="ANY276" s="580"/>
      <c r="ANZ276" s="580"/>
      <c r="AOA276" s="580"/>
      <c r="AOB276" s="580"/>
      <c r="AOC276" s="580"/>
      <c r="AOD276" s="580"/>
      <c r="AOE276" s="580"/>
      <c r="AOF276" s="580"/>
      <c r="AOG276" s="580"/>
      <c r="AOH276" s="580"/>
      <c r="AOI276" s="580"/>
      <c r="AOJ276" s="580"/>
      <c r="AOK276" s="580"/>
      <c r="AOL276" s="580"/>
      <c r="AOM276" s="580"/>
      <c r="AON276" s="580"/>
      <c r="AOO276" s="580"/>
      <c r="AOP276" s="580"/>
      <c r="AOQ276" s="580"/>
      <c r="AOR276" s="580"/>
      <c r="AOS276" s="580"/>
      <c r="AOT276" s="580"/>
      <c r="AOU276" s="580"/>
      <c r="AOV276" s="580"/>
      <c r="AOW276" s="580"/>
      <c r="AOX276" s="580"/>
      <c r="AOY276" s="580"/>
      <c r="AOZ276" s="580"/>
      <c r="APA276" s="580"/>
      <c r="APB276" s="580"/>
      <c r="APC276" s="580"/>
      <c r="APD276" s="580"/>
      <c r="APE276" s="580"/>
      <c r="APF276" s="580"/>
      <c r="APG276" s="580"/>
      <c r="APH276" s="580"/>
      <c r="API276" s="580"/>
      <c r="APJ276" s="580"/>
      <c r="APK276" s="580"/>
      <c r="APL276" s="580"/>
      <c r="APM276" s="580"/>
      <c r="APN276" s="580"/>
      <c r="APO276" s="580"/>
      <c r="APP276" s="580"/>
      <c r="APQ276" s="580"/>
      <c r="APR276" s="580"/>
      <c r="APS276" s="580"/>
      <c r="APT276" s="580"/>
      <c r="APU276" s="580"/>
      <c r="APV276" s="580"/>
      <c r="APW276" s="580"/>
      <c r="APX276" s="580"/>
      <c r="APY276" s="580"/>
      <c r="APZ276" s="580"/>
      <c r="AQA276" s="580"/>
      <c r="AQB276" s="580"/>
      <c r="AQC276" s="580"/>
      <c r="AQD276" s="580"/>
      <c r="AQE276" s="580"/>
      <c r="AQF276" s="580"/>
      <c r="AQG276" s="580"/>
      <c r="AQH276" s="580"/>
      <c r="AQI276" s="580"/>
      <c r="AQJ276" s="580"/>
      <c r="AQK276" s="580"/>
      <c r="AQL276" s="580"/>
      <c r="AQM276" s="580"/>
      <c r="AQN276" s="580"/>
      <c r="AQO276" s="580"/>
      <c r="AQP276" s="580"/>
      <c r="AQQ276" s="580"/>
      <c r="AQR276" s="580"/>
      <c r="AQS276" s="580"/>
      <c r="AQT276" s="580"/>
      <c r="AQU276" s="580"/>
      <c r="AQV276" s="580"/>
      <c r="AQW276" s="580"/>
      <c r="AQX276" s="580"/>
      <c r="AQY276" s="580"/>
      <c r="AQZ276" s="580"/>
      <c r="ARA276" s="580"/>
      <c r="ARB276" s="580"/>
      <c r="ARC276" s="580"/>
      <c r="ARD276" s="580"/>
      <c r="ARE276" s="580"/>
      <c r="ARF276" s="580"/>
      <c r="ARG276" s="580"/>
      <c r="ARH276" s="580"/>
      <c r="ARI276" s="580"/>
      <c r="ARJ276" s="580"/>
      <c r="ARK276" s="580"/>
      <c r="ARL276" s="580"/>
      <c r="ARM276" s="580"/>
      <c r="ARN276" s="580"/>
      <c r="ARO276" s="580"/>
      <c r="ARP276" s="580"/>
      <c r="ARQ276" s="580"/>
      <c r="ARR276" s="580"/>
      <c r="ARS276" s="580"/>
      <c r="ART276" s="580"/>
      <c r="ARU276" s="580"/>
      <c r="ARV276" s="580"/>
      <c r="ARW276" s="580"/>
      <c r="ARX276" s="580"/>
      <c r="ARY276" s="580"/>
      <c r="ARZ276" s="580"/>
      <c r="ASA276" s="580"/>
      <c r="ASB276" s="580"/>
      <c r="ASC276" s="580"/>
      <c r="ASD276" s="580"/>
      <c r="ASE276" s="580"/>
      <c r="ASF276" s="580"/>
      <c r="ASG276" s="580"/>
      <c r="ASH276" s="580"/>
      <c r="ASI276" s="580"/>
      <c r="ASJ276" s="580"/>
      <c r="ASK276" s="580"/>
      <c r="ASL276" s="580"/>
      <c r="ASM276" s="580"/>
      <c r="ASN276" s="580"/>
      <c r="ASO276" s="580"/>
      <c r="ASP276" s="580"/>
      <c r="ASQ276" s="580"/>
      <c r="ASR276" s="580"/>
      <c r="ASS276" s="580"/>
      <c r="AST276" s="580"/>
      <c r="ASU276" s="580"/>
      <c r="ASV276" s="580"/>
      <c r="ASW276" s="580"/>
      <c r="ASX276" s="580"/>
      <c r="ASY276" s="580"/>
      <c r="ASZ276" s="580"/>
      <c r="ATA276" s="580"/>
      <c r="ATB276" s="580"/>
      <c r="ATC276" s="580"/>
      <c r="ATD276" s="580"/>
      <c r="ATE276" s="580"/>
      <c r="ATF276" s="580"/>
      <c r="ATG276" s="580"/>
      <c r="ATH276" s="580"/>
      <c r="ATI276" s="580"/>
      <c r="ATJ276" s="580"/>
      <c r="ATK276" s="580"/>
      <c r="ATL276" s="580"/>
      <c r="ATM276" s="580"/>
      <c r="ATN276" s="580"/>
      <c r="ATO276" s="580"/>
      <c r="ATP276" s="580"/>
      <c r="ATQ276" s="580"/>
      <c r="ATR276" s="580"/>
      <c r="ATS276" s="580"/>
      <c r="ATT276" s="580"/>
      <c r="ATU276" s="580"/>
      <c r="ATV276" s="580"/>
      <c r="ATW276" s="580"/>
      <c r="ATX276" s="580"/>
      <c r="ATY276" s="580"/>
      <c r="ATZ276" s="580"/>
      <c r="AUA276" s="580"/>
      <c r="AUB276" s="580"/>
      <c r="AUC276" s="580"/>
      <c r="AUD276" s="580"/>
      <c r="AUE276" s="580"/>
      <c r="AUF276" s="580"/>
      <c r="AUG276" s="580"/>
      <c r="AUH276" s="580"/>
      <c r="AUI276" s="580"/>
      <c r="AUJ276" s="580"/>
      <c r="AUK276" s="580"/>
      <c r="AUL276" s="580"/>
      <c r="AUM276" s="580"/>
      <c r="AUN276" s="580"/>
      <c r="AUO276" s="580"/>
      <c r="AUP276" s="580"/>
      <c r="AUQ276" s="580"/>
      <c r="AUR276" s="580"/>
      <c r="AUS276" s="580"/>
      <c r="AUT276" s="580"/>
      <c r="AUU276" s="580"/>
      <c r="AUV276" s="580"/>
      <c r="AUW276" s="580"/>
      <c r="AUX276" s="580"/>
      <c r="AUY276" s="580"/>
      <c r="AUZ276" s="580"/>
      <c r="AVA276" s="580"/>
      <c r="AVB276" s="580"/>
      <c r="AVC276" s="580"/>
      <c r="AVD276" s="580"/>
      <c r="AVE276" s="580"/>
      <c r="AVF276" s="580"/>
      <c r="AVG276" s="580"/>
      <c r="AVH276" s="580"/>
      <c r="AVI276" s="580"/>
      <c r="AVJ276" s="580"/>
      <c r="AVK276" s="580"/>
      <c r="AVL276" s="580"/>
      <c r="AVM276" s="580"/>
      <c r="AVN276" s="580"/>
      <c r="AVO276" s="580"/>
      <c r="AVP276" s="580"/>
      <c r="AVQ276" s="580"/>
      <c r="AVR276" s="580"/>
      <c r="AVS276" s="580"/>
      <c r="AVT276" s="580"/>
      <c r="AVU276" s="580"/>
      <c r="AVV276" s="580"/>
      <c r="AVW276" s="580"/>
      <c r="AVX276" s="580"/>
      <c r="AVY276" s="580"/>
      <c r="AVZ276" s="580"/>
      <c r="AWA276" s="580"/>
      <c r="AWB276" s="580"/>
      <c r="AWC276" s="580"/>
      <c r="AWD276" s="580"/>
      <c r="AWE276" s="580"/>
      <c r="AWF276" s="580"/>
      <c r="AWG276" s="580"/>
      <c r="AWH276" s="580"/>
      <c r="AWI276" s="580"/>
      <c r="AWJ276" s="580"/>
      <c r="AWK276" s="580"/>
      <c r="AWL276" s="580"/>
      <c r="AWM276" s="580"/>
      <c r="AWN276" s="580"/>
      <c r="AWO276" s="580"/>
      <c r="AWP276" s="580"/>
      <c r="AWQ276" s="580"/>
      <c r="AWR276" s="580"/>
      <c r="AWS276" s="580"/>
      <c r="AWT276" s="580"/>
      <c r="AWU276" s="580"/>
      <c r="AWV276" s="580"/>
      <c r="AWW276" s="580"/>
      <c r="AWX276" s="580"/>
      <c r="AWY276" s="580"/>
      <c r="AWZ276" s="580"/>
      <c r="AXA276" s="580"/>
      <c r="AXB276" s="580"/>
      <c r="AXC276" s="580"/>
      <c r="AXD276" s="580"/>
      <c r="AXE276" s="580"/>
      <c r="AXF276" s="580"/>
      <c r="AXG276" s="580"/>
      <c r="AXH276" s="580"/>
      <c r="AXI276" s="580"/>
      <c r="AXJ276" s="580"/>
      <c r="AXK276" s="580"/>
      <c r="AXL276" s="580"/>
      <c r="AXM276" s="580"/>
      <c r="AXN276" s="580"/>
      <c r="AXO276" s="580"/>
      <c r="AXP276" s="580"/>
      <c r="AXQ276" s="580"/>
      <c r="AXR276" s="580"/>
      <c r="AXS276" s="580"/>
      <c r="AXT276" s="580"/>
      <c r="AXU276" s="580"/>
      <c r="AXV276" s="580"/>
      <c r="AXW276" s="580"/>
      <c r="AXX276" s="580"/>
      <c r="AXY276" s="580"/>
      <c r="AXZ276" s="580"/>
      <c r="AYA276" s="580"/>
      <c r="AYB276" s="580"/>
      <c r="AYC276" s="580"/>
      <c r="AYD276" s="580"/>
      <c r="AYE276" s="580"/>
      <c r="AYF276" s="580"/>
      <c r="AYG276" s="580"/>
      <c r="AYH276" s="580"/>
      <c r="AYI276" s="580"/>
      <c r="AYJ276" s="580"/>
      <c r="AYK276" s="580"/>
      <c r="AYL276" s="580"/>
      <c r="AYM276" s="580"/>
      <c r="AYN276" s="580"/>
      <c r="AYO276" s="580"/>
      <c r="AYP276" s="580"/>
      <c r="AYQ276" s="580"/>
      <c r="AYR276" s="580"/>
      <c r="AYS276" s="580"/>
      <c r="AYT276" s="580"/>
      <c r="AYU276" s="580"/>
      <c r="AYV276" s="580"/>
      <c r="AYW276" s="580"/>
      <c r="AYX276" s="580"/>
      <c r="AYY276" s="580"/>
      <c r="AYZ276" s="580"/>
      <c r="AZA276" s="580"/>
      <c r="AZB276" s="580"/>
      <c r="AZC276" s="580"/>
      <c r="AZD276" s="580"/>
      <c r="AZE276" s="580"/>
      <c r="AZF276" s="580"/>
      <c r="AZG276" s="580"/>
      <c r="AZH276" s="580"/>
      <c r="AZI276" s="580"/>
      <c r="AZJ276" s="580"/>
      <c r="AZK276" s="580"/>
      <c r="AZL276" s="580"/>
      <c r="AZM276" s="580"/>
      <c r="AZN276" s="580"/>
      <c r="AZO276" s="580"/>
      <c r="AZP276" s="580"/>
      <c r="AZQ276" s="580"/>
      <c r="AZR276" s="580"/>
      <c r="AZS276" s="580"/>
      <c r="AZT276" s="580"/>
      <c r="AZU276" s="580"/>
      <c r="AZV276" s="580"/>
      <c r="AZW276" s="580"/>
      <c r="AZX276" s="580"/>
      <c r="AZY276" s="580"/>
      <c r="AZZ276" s="580"/>
      <c r="BAA276" s="580"/>
      <c r="BAB276" s="580"/>
      <c r="BAC276" s="580"/>
      <c r="BAD276" s="580"/>
      <c r="BAE276" s="580"/>
      <c r="BAF276" s="580"/>
      <c r="BAG276" s="580"/>
      <c r="BAH276" s="580"/>
      <c r="BAI276" s="580"/>
      <c r="BAJ276" s="580"/>
      <c r="BAK276" s="580"/>
      <c r="BAL276" s="580"/>
      <c r="BAM276" s="580"/>
      <c r="BAN276" s="580"/>
      <c r="BAO276" s="580"/>
      <c r="BAP276" s="580"/>
      <c r="BAQ276" s="580"/>
      <c r="BAR276" s="580"/>
      <c r="BAS276" s="580"/>
      <c r="BAT276" s="580"/>
      <c r="BAU276" s="580"/>
      <c r="BAV276" s="580"/>
      <c r="BAW276" s="580"/>
      <c r="BAX276" s="580"/>
      <c r="BAY276" s="580"/>
      <c r="BAZ276" s="580"/>
      <c r="BBA276" s="580"/>
      <c r="BBB276" s="580"/>
      <c r="BBC276" s="580"/>
      <c r="BBD276" s="580"/>
      <c r="BBE276" s="580"/>
      <c r="BBF276" s="580"/>
      <c r="BBG276" s="580"/>
      <c r="BBH276" s="580"/>
      <c r="BBI276" s="580"/>
      <c r="BBJ276" s="580"/>
      <c r="BBK276" s="580"/>
      <c r="BBL276" s="580"/>
      <c r="BBM276" s="580"/>
      <c r="BBN276" s="580"/>
      <c r="BBO276" s="580"/>
      <c r="BBP276" s="580"/>
      <c r="BBQ276" s="580"/>
      <c r="BBR276" s="580"/>
      <c r="BBS276" s="580"/>
      <c r="BBT276" s="580"/>
      <c r="BBU276" s="580"/>
      <c r="BBV276" s="580"/>
      <c r="BBW276" s="580"/>
      <c r="BBX276" s="580"/>
      <c r="BBY276" s="580"/>
      <c r="BBZ276" s="580"/>
      <c r="BCA276" s="580"/>
      <c r="BCB276" s="580"/>
      <c r="BCC276" s="580"/>
      <c r="BCD276" s="580"/>
      <c r="BCE276" s="580"/>
      <c r="BCF276" s="580"/>
      <c r="BCG276" s="580"/>
      <c r="BCH276" s="580"/>
      <c r="BCI276" s="580"/>
      <c r="BCJ276" s="580"/>
      <c r="BCK276" s="580"/>
      <c r="BCL276" s="580"/>
      <c r="BCM276" s="580"/>
      <c r="BCN276" s="580"/>
      <c r="BCO276" s="580"/>
      <c r="BCP276" s="580"/>
      <c r="BCQ276" s="580"/>
      <c r="BCR276" s="580"/>
      <c r="BCS276" s="580"/>
      <c r="BCT276" s="580"/>
      <c r="BCU276" s="580"/>
      <c r="BCV276" s="580"/>
      <c r="BCW276" s="580"/>
      <c r="BCX276" s="580"/>
      <c r="BCY276" s="580"/>
      <c r="BCZ276" s="580"/>
      <c r="BDA276" s="580"/>
      <c r="BDB276" s="580"/>
      <c r="BDC276" s="580"/>
      <c r="BDD276" s="580"/>
      <c r="BDE276" s="580"/>
      <c r="BDF276" s="580"/>
      <c r="BDG276" s="580"/>
      <c r="BDH276" s="580"/>
      <c r="BDI276" s="580"/>
      <c r="BDJ276" s="580"/>
      <c r="BDK276" s="580"/>
      <c r="BDL276" s="580"/>
      <c r="BDM276" s="580"/>
      <c r="BDN276" s="580"/>
      <c r="BDO276" s="580"/>
      <c r="BDP276" s="580"/>
      <c r="BDQ276" s="580"/>
      <c r="BDR276" s="580"/>
      <c r="BDS276" s="580"/>
      <c r="BDT276" s="580"/>
      <c r="BDU276" s="580"/>
      <c r="BDV276" s="580"/>
      <c r="BDW276" s="580"/>
      <c r="BDX276" s="580"/>
      <c r="BDY276" s="580"/>
      <c r="BDZ276" s="580"/>
      <c r="BEA276" s="580"/>
      <c r="BEB276" s="580"/>
      <c r="BEC276" s="580"/>
      <c r="BED276" s="580"/>
      <c r="BEE276" s="580"/>
      <c r="BEF276" s="580"/>
      <c r="BEG276" s="580"/>
      <c r="BEH276" s="580"/>
      <c r="BEI276" s="580"/>
      <c r="BEJ276" s="580"/>
      <c r="BEK276" s="580"/>
      <c r="BEL276" s="580"/>
      <c r="BEM276" s="580"/>
      <c r="BEN276" s="580"/>
      <c r="BEO276" s="580"/>
      <c r="BEP276" s="580"/>
      <c r="BEQ276" s="580"/>
      <c r="BER276" s="580"/>
      <c r="BES276" s="580"/>
      <c r="BET276" s="580"/>
      <c r="BEU276" s="580"/>
      <c r="BEV276" s="580"/>
      <c r="BEW276" s="580"/>
      <c r="BEX276" s="580"/>
      <c r="BEY276" s="580"/>
      <c r="BEZ276" s="580"/>
      <c r="BFA276" s="580"/>
      <c r="BFB276" s="580"/>
      <c r="BFC276" s="580"/>
      <c r="BFD276" s="580"/>
      <c r="BFE276" s="580"/>
      <c r="BFF276" s="580"/>
      <c r="BFG276" s="580"/>
      <c r="BFH276" s="580"/>
      <c r="BFI276" s="580"/>
      <c r="BFJ276" s="580"/>
      <c r="BFK276" s="580"/>
      <c r="BFL276" s="580"/>
      <c r="BFM276" s="580"/>
      <c r="BFN276" s="580"/>
      <c r="BFO276" s="580"/>
      <c r="BFP276" s="580"/>
      <c r="BFQ276" s="580"/>
      <c r="BFR276" s="580"/>
      <c r="BFS276" s="580"/>
      <c r="BFT276" s="580"/>
      <c r="BFU276" s="580"/>
      <c r="BFV276" s="580"/>
      <c r="BFW276" s="580"/>
      <c r="BFX276" s="580"/>
      <c r="BFY276" s="580"/>
      <c r="BFZ276" s="580"/>
      <c r="BGA276" s="580"/>
      <c r="BGB276" s="580"/>
      <c r="BGC276" s="580"/>
      <c r="BGD276" s="580"/>
      <c r="BGE276" s="580"/>
      <c r="BGF276" s="580"/>
      <c r="BGG276" s="580"/>
      <c r="BGH276" s="580"/>
      <c r="BGI276" s="580"/>
      <c r="BGJ276" s="580"/>
      <c r="BGK276" s="580"/>
      <c r="BGL276" s="580"/>
      <c r="BGM276" s="580"/>
      <c r="BGN276" s="580"/>
      <c r="BGO276" s="580"/>
      <c r="BGP276" s="580"/>
      <c r="BGQ276" s="580"/>
      <c r="BGR276" s="580"/>
      <c r="BGS276" s="580"/>
      <c r="BGT276" s="580"/>
      <c r="BGU276" s="580"/>
      <c r="BGV276" s="580"/>
      <c r="BGW276" s="580"/>
      <c r="BGX276" s="580"/>
      <c r="BGY276" s="580"/>
      <c r="BGZ276" s="580"/>
      <c r="BHA276" s="580"/>
      <c r="BHB276" s="580"/>
      <c r="BHC276" s="580"/>
      <c r="BHD276" s="580"/>
      <c r="BHE276" s="580"/>
      <c r="BHF276" s="580"/>
      <c r="BHG276" s="580"/>
      <c r="BHH276" s="580"/>
      <c r="BHI276" s="580"/>
      <c r="BHJ276" s="580"/>
      <c r="BHK276" s="580"/>
      <c r="BHL276" s="580"/>
      <c r="BHM276" s="580"/>
      <c r="BHN276" s="580"/>
      <c r="BHO276" s="580"/>
      <c r="BHP276" s="580"/>
      <c r="BHQ276" s="580"/>
      <c r="BHR276" s="580"/>
      <c r="BHS276" s="580"/>
      <c r="BHT276" s="580"/>
      <c r="BHU276" s="580"/>
      <c r="BHV276" s="580"/>
      <c r="BHW276" s="580"/>
      <c r="BHX276" s="580"/>
      <c r="BHY276" s="580"/>
      <c r="BHZ276" s="580"/>
      <c r="BIA276" s="580"/>
      <c r="BIB276" s="580"/>
      <c r="BIC276" s="580"/>
      <c r="BID276" s="580"/>
      <c r="BIE276" s="580"/>
      <c r="BIF276" s="580"/>
      <c r="BIG276" s="580"/>
      <c r="BIH276" s="580"/>
      <c r="BII276" s="580"/>
      <c r="BIJ276" s="580"/>
      <c r="BIK276" s="580"/>
      <c r="BIL276" s="580"/>
      <c r="BIM276" s="580"/>
      <c r="BIN276" s="580"/>
      <c r="BIO276" s="580"/>
      <c r="BIP276" s="580"/>
      <c r="BIQ276" s="580"/>
      <c r="BIR276" s="580"/>
      <c r="BIS276" s="580"/>
      <c r="BIT276" s="580"/>
      <c r="BIU276" s="580"/>
      <c r="BIV276" s="580"/>
      <c r="BIW276" s="580"/>
      <c r="BIX276" s="580"/>
      <c r="BIY276" s="580"/>
      <c r="BIZ276" s="580"/>
      <c r="BJA276" s="580"/>
      <c r="BJB276" s="580"/>
      <c r="BJC276" s="580"/>
      <c r="BJD276" s="580"/>
      <c r="BJE276" s="580"/>
      <c r="BJF276" s="580"/>
      <c r="BJG276" s="580"/>
      <c r="BJH276" s="580"/>
      <c r="BJI276" s="580"/>
      <c r="BJJ276" s="580"/>
      <c r="BJK276" s="580"/>
      <c r="BJL276" s="580"/>
      <c r="BJM276" s="580"/>
      <c r="BJN276" s="580"/>
      <c r="BJO276" s="580"/>
      <c r="BJP276" s="580"/>
      <c r="BJQ276" s="580"/>
      <c r="BJR276" s="580"/>
      <c r="BJS276" s="580"/>
      <c r="BJT276" s="580"/>
      <c r="BJU276" s="580"/>
      <c r="BJV276" s="580"/>
      <c r="BJW276" s="580"/>
      <c r="BJX276" s="580"/>
      <c r="BJY276" s="580"/>
      <c r="BJZ276" s="580"/>
      <c r="BKA276" s="580"/>
      <c r="BKB276" s="580"/>
      <c r="BKC276" s="580"/>
      <c r="BKD276" s="580"/>
      <c r="BKE276" s="580"/>
      <c r="BKF276" s="580"/>
      <c r="BKG276" s="580"/>
      <c r="BKH276" s="580"/>
      <c r="BKI276" s="580"/>
      <c r="BKJ276" s="580"/>
      <c r="BKK276" s="580"/>
      <c r="BKL276" s="580"/>
      <c r="BKM276" s="580"/>
      <c r="BKN276" s="580"/>
      <c r="BKO276" s="580"/>
      <c r="BKP276" s="580"/>
      <c r="BKQ276" s="580"/>
      <c r="BKR276" s="580"/>
      <c r="BKS276" s="580"/>
      <c r="BKT276" s="580"/>
      <c r="BKU276" s="580"/>
      <c r="BKV276" s="580"/>
      <c r="BKW276" s="580"/>
      <c r="BKX276" s="580"/>
      <c r="BKY276" s="580"/>
      <c r="BKZ276" s="580"/>
      <c r="BLA276" s="580"/>
      <c r="BLB276" s="580"/>
      <c r="BLC276" s="580"/>
      <c r="BLD276" s="580"/>
      <c r="BLE276" s="580"/>
      <c r="BLF276" s="580"/>
      <c r="BLG276" s="580"/>
      <c r="BLH276" s="580"/>
      <c r="BLI276" s="580"/>
      <c r="BLJ276" s="580"/>
      <c r="BLK276" s="580"/>
      <c r="BLL276" s="580"/>
      <c r="BLM276" s="580"/>
      <c r="BLN276" s="580"/>
      <c r="BLO276" s="580"/>
      <c r="BLP276" s="580"/>
      <c r="BLQ276" s="580"/>
      <c r="BLR276" s="580"/>
      <c r="BLS276" s="580"/>
      <c r="BLT276" s="580"/>
      <c r="BLU276" s="580"/>
      <c r="BLV276" s="580"/>
      <c r="BLW276" s="580"/>
      <c r="BLX276" s="580"/>
      <c r="BLY276" s="580"/>
      <c r="BLZ276" s="580"/>
      <c r="BMA276" s="580"/>
      <c r="BMB276" s="580"/>
      <c r="BMC276" s="580"/>
      <c r="BMD276" s="580"/>
      <c r="BME276" s="580"/>
      <c r="BMF276" s="580"/>
      <c r="BMG276" s="580"/>
      <c r="BMH276" s="580"/>
      <c r="BMI276" s="580"/>
      <c r="BMJ276" s="580"/>
      <c r="BMK276" s="580"/>
      <c r="BML276" s="580"/>
      <c r="BMM276" s="580"/>
      <c r="BMN276" s="580"/>
      <c r="BMO276" s="580"/>
      <c r="BMP276" s="580"/>
      <c r="BMQ276" s="580"/>
      <c r="BMR276" s="580"/>
      <c r="BMS276" s="580"/>
      <c r="BMT276" s="580"/>
      <c r="BMU276" s="580"/>
      <c r="BMV276" s="580"/>
      <c r="BMW276" s="580"/>
      <c r="BMX276" s="580"/>
      <c r="BMY276" s="580"/>
      <c r="BMZ276" s="580"/>
      <c r="BNA276" s="580"/>
      <c r="BNB276" s="580"/>
      <c r="BNC276" s="580"/>
      <c r="BND276" s="580"/>
      <c r="BNE276" s="580"/>
      <c r="BNF276" s="580"/>
      <c r="BNG276" s="580"/>
      <c r="BNH276" s="580"/>
      <c r="BNI276" s="580"/>
      <c r="BNJ276" s="580"/>
      <c r="BNK276" s="580"/>
      <c r="BNL276" s="580"/>
      <c r="BNM276" s="580"/>
      <c r="BNN276" s="580"/>
      <c r="BNO276" s="580"/>
      <c r="BNP276" s="580"/>
      <c r="BNQ276" s="580"/>
      <c r="BNR276" s="580"/>
      <c r="BNS276" s="580"/>
      <c r="BNT276" s="580"/>
      <c r="BNU276" s="580"/>
      <c r="BNV276" s="580"/>
      <c r="BNW276" s="580"/>
      <c r="BNX276" s="580"/>
      <c r="BNY276" s="580"/>
      <c r="BNZ276" s="580"/>
      <c r="BOA276" s="580"/>
      <c r="BOB276" s="580"/>
      <c r="BOC276" s="580"/>
      <c r="BOD276" s="580"/>
      <c r="BOE276" s="580"/>
      <c r="BOF276" s="580"/>
      <c r="BOG276" s="580"/>
      <c r="BOH276" s="580"/>
      <c r="BOI276" s="580"/>
      <c r="BOJ276" s="580"/>
      <c r="BOK276" s="580"/>
      <c r="BOL276" s="580"/>
      <c r="BOM276" s="580"/>
      <c r="BON276" s="580"/>
      <c r="BOO276" s="580"/>
      <c r="BOP276" s="580"/>
      <c r="BOQ276" s="580"/>
      <c r="BOR276" s="580"/>
      <c r="BOS276" s="580"/>
      <c r="BOT276" s="580"/>
      <c r="BOU276" s="580"/>
      <c r="BOV276" s="580"/>
      <c r="BOW276" s="580"/>
      <c r="BOX276" s="580"/>
      <c r="BOY276" s="580"/>
      <c r="BOZ276" s="580"/>
      <c r="BPA276" s="580"/>
      <c r="BPB276" s="580"/>
      <c r="BPC276" s="580"/>
      <c r="BPD276" s="580"/>
      <c r="BPE276" s="580"/>
      <c r="BPF276" s="580"/>
      <c r="BPG276" s="580"/>
      <c r="BPH276" s="580"/>
      <c r="BPI276" s="580"/>
      <c r="BPJ276" s="580"/>
      <c r="BPK276" s="580"/>
      <c r="BPL276" s="580"/>
      <c r="BPM276" s="580"/>
      <c r="BPN276" s="580"/>
      <c r="BPO276" s="580"/>
      <c r="BPP276" s="580"/>
      <c r="BPQ276" s="580"/>
      <c r="BPR276" s="580"/>
      <c r="BPS276" s="580"/>
      <c r="BPT276" s="580"/>
      <c r="BPU276" s="580"/>
      <c r="BPV276" s="580"/>
      <c r="BPW276" s="580"/>
      <c r="BPX276" s="580"/>
      <c r="BPY276" s="580"/>
      <c r="BPZ276" s="580"/>
      <c r="BQA276" s="580"/>
      <c r="BQB276" s="580"/>
      <c r="BQC276" s="580"/>
      <c r="BQD276" s="580"/>
      <c r="BQE276" s="580"/>
      <c r="BQF276" s="580"/>
      <c r="BQG276" s="580"/>
      <c r="BQH276" s="580"/>
      <c r="BQI276" s="580"/>
      <c r="BQJ276" s="580"/>
      <c r="BQK276" s="580"/>
      <c r="BQL276" s="580"/>
      <c r="BQM276" s="580"/>
      <c r="BQN276" s="580"/>
      <c r="BQO276" s="580"/>
      <c r="BQP276" s="580"/>
      <c r="BQQ276" s="580"/>
      <c r="BQR276" s="580"/>
      <c r="BQS276" s="580"/>
      <c r="BQT276" s="580"/>
      <c r="BQU276" s="580"/>
      <c r="BQV276" s="580"/>
      <c r="BQW276" s="580"/>
      <c r="BQX276" s="580"/>
      <c r="BQY276" s="580"/>
      <c r="BQZ276" s="580"/>
      <c r="BRA276" s="580"/>
      <c r="BRB276" s="580"/>
      <c r="BRC276" s="580"/>
      <c r="BRD276" s="580"/>
      <c r="BRE276" s="580"/>
      <c r="BRF276" s="580"/>
      <c r="BRG276" s="580"/>
      <c r="BRH276" s="580"/>
      <c r="BRI276" s="580"/>
      <c r="BRJ276" s="580"/>
      <c r="BRK276" s="580"/>
      <c r="BRL276" s="580"/>
      <c r="BRM276" s="580"/>
      <c r="BRN276" s="580"/>
      <c r="BRO276" s="580"/>
      <c r="BRP276" s="580"/>
      <c r="BRQ276" s="580"/>
      <c r="BRR276" s="580"/>
      <c r="BRS276" s="580"/>
      <c r="BRT276" s="580"/>
      <c r="BRU276" s="580"/>
      <c r="BRV276" s="580"/>
      <c r="BRW276" s="580"/>
      <c r="BRX276" s="580"/>
      <c r="BRY276" s="580"/>
      <c r="BRZ276" s="580"/>
      <c r="BSA276" s="580"/>
      <c r="BSB276" s="580"/>
      <c r="BSC276" s="580"/>
      <c r="BSD276" s="580"/>
      <c r="BSE276" s="580"/>
      <c r="BSF276" s="580"/>
      <c r="BSG276" s="580"/>
      <c r="BSH276" s="580"/>
      <c r="BSI276" s="580"/>
      <c r="BSJ276" s="580"/>
      <c r="BSK276" s="580"/>
      <c r="BSL276" s="580"/>
      <c r="BSM276" s="580"/>
      <c r="BSN276" s="580"/>
      <c r="BSO276" s="580"/>
      <c r="BSP276" s="580"/>
      <c r="BSQ276" s="580"/>
      <c r="BSR276" s="580"/>
      <c r="BSS276" s="580"/>
      <c r="BST276" s="580"/>
      <c r="BSU276" s="580"/>
      <c r="BSV276" s="580"/>
      <c r="BSW276" s="580"/>
      <c r="BSX276" s="580"/>
      <c r="BSY276" s="580"/>
      <c r="BSZ276" s="580"/>
      <c r="BTA276" s="580"/>
      <c r="BTB276" s="580"/>
      <c r="BTC276" s="580"/>
      <c r="BTD276" s="580"/>
      <c r="BTE276" s="580"/>
      <c r="BTF276" s="580"/>
      <c r="BTG276" s="580"/>
      <c r="BTH276" s="580"/>
      <c r="BTI276" s="580"/>
      <c r="BTJ276" s="580"/>
      <c r="BTK276" s="580"/>
      <c r="BTL276" s="580"/>
      <c r="BTM276" s="580"/>
      <c r="BTN276" s="580"/>
      <c r="BTO276" s="580"/>
      <c r="BTP276" s="580"/>
      <c r="BTQ276" s="580"/>
      <c r="BTR276" s="580"/>
      <c r="BTS276" s="580"/>
      <c r="BTT276" s="580"/>
      <c r="BTU276" s="580"/>
      <c r="BTV276" s="580"/>
      <c r="BTW276" s="580"/>
      <c r="BTX276" s="580"/>
      <c r="BTY276" s="580"/>
      <c r="BTZ276" s="580"/>
      <c r="BUA276" s="580"/>
      <c r="BUB276" s="580"/>
      <c r="BUC276" s="580"/>
      <c r="BUD276" s="580"/>
      <c r="BUE276" s="580"/>
      <c r="BUF276" s="580"/>
      <c r="BUG276" s="580"/>
      <c r="BUH276" s="580"/>
      <c r="BUI276" s="580"/>
      <c r="BUJ276" s="580"/>
      <c r="BUK276" s="580"/>
      <c r="BUL276" s="580"/>
      <c r="BUM276" s="580"/>
      <c r="BUN276" s="580"/>
      <c r="BUO276" s="580"/>
      <c r="BUP276" s="580"/>
      <c r="BUQ276" s="580"/>
      <c r="BUR276" s="580"/>
      <c r="BUS276" s="580"/>
      <c r="BUT276" s="580"/>
      <c r="BUU276" s="580"/>
      <c r="BUV276" s="580"/>
      <c r="BUW276" s="580"/>
      <c r="BUX276" s="580"/>
      <c r="BUY276" s="580"/>
      <c r="BUZ276" s="580"/>
      <c r="BVA276" s="580"/>
      <c r="BVB276" s="580"/>
      <c r="BVC276" s="580"/>
      <c r="BVD276" s="580"/>
      <c r="BVE276" s="580"/>
      <c r="BVF276" s="580"/>
      <c r="BVG276" s="580"/>
      <c r="BVH276" s="580"/>
      <c r="BVI276" s="580"/>
      <c r="BVJ276" s="580"/>
      <c r="BVK276" s="580"/>
      <c r="BVL276" s="580"/>
      <c r="BVM276" s="580"/>
      <c r="BVN276" s="580"/>
      <c r="BVO276" s="580"/>
      <c r="BVP276" s="580"/>
      <c r="BVQ276" s="580"/>
      <c r="BVR276" s="580"/>
      <c r="BVS276" s="580"/>
      <c r="BVT276" s="580"/>
      <c r="BVU276" s="580"/>
      <c r="BVV276" s="580"/>
      <c r="BVW276" s="580"/>
      <c r="BVX276" s="580"/>
      <c r="BVY276" s="580"/>
      <c r="BVZ276" s="580"/>
      <c r="BWA276" s="580"/>
      <c r="BWB276" s="580"/>
      <c r="BWC276" s="580"/>
      <c r="BWD276" s="580"/>
      <c r="BWE276" s="580"/>
      <c r="BWF276" s="580"/>
      <c r="BWG276" s="580"/>
      <c r="BWH276" s="580"/>
      <c r="BWI276" s="580"/>
      <c r="BWJ276" s="580"/>
      <c r="BWK276" s="580"/>
      <c r="BWL276" s="580"/>
      <c r="BWM276" s="580"/>
      <c r="BWN276" s="580"/>
      <c r="BWO276" s="580"/>
      <c r="BWP276" s="580"/>
      <c r="BWQ276" s="580"/>
      <c r="BWR276" s="580"/>
      <c r="BWS276" s="580"/>
      <c r="BWT276" s="580"/>
      <c r="BWU276" s="580"/>
      <c r="BWV276" s="580"/>
      <c r="BWW276" s="580"/>
      <c r="BWX276" s="580"/>
      <c r="BWY276" s="580"/>
      <c r="BWZ276" s="580"/>
      <c r="BXA276" s="580"/>
      <c r="BXB276" s="580"/>
      <c r="BXC276" s="580"/>
      <c r="BXD276" s="580"/>
      <c r="BXE276" s="580"/>
      <c r="BXF276" s="580"/>
      <c r="BXG276" s="580"/>
      <c r="BXH276" s="580"/>
      <c r="BXI276" s="580"/>
      <c r="BXJ276" s="580"/>
      <c r="BXK276" s="580"/>
      <c r="BXL276" s="580"/>
      <c r="BXM276" s="580"/>
      <c r="BXN276" s="580"/>
      <c r="BXO276" s="580"/>
      <c r="BXP276" s="580"/>
      <c r="BXQ276" s="580"/>
      <c r="BXR276" s="580"/>
      <c r="BXS276" s="580"/>
      <c r="BXT276" s="580"/>
      <c r="BXU276" s="580"/>
      <c r="BXV276" s="580"/>
      <c r="BXW276" s="580"/>
      <c r="BXX276" s="580"/>
      <c r="BXY276" s="580"/>
      <c r="BXZ276" s="580"/>
      <c r="BYA276" s="580"/>
      <c r="BYB276" s="580"/>
      <c r="BYC276" s="580"/>
      <c r="BYD276" s="580"/>
      <c r="BYE276" s="580"/>
      <c r="BYF276" s="580"/>
      <c r="BYG276" s="580"/>
      <c r="BYH276" s="580"/>
      <c r="BYI276" s="580"/>
      <c r="BYJ276" s="580"/>
      <c r="BYK276" s="580"/>
      <c r="BYL276" s="580"/>
      <c r="BYM276" s="580"/>
      <c r="BYN276" s="580"/>
      <c r="BYO276" s="580"/>
      <c r="BYP276" s="580"/>
      <c r="BYQ276" s="580"/>
      <c r="BYR276" s="580"/>
      <c r="BYS276" s="580"/>
      <c r="BYT276" s="580"/>
      <c r="BYU276" s="580"/>
      <c r="BYV276" s="580"/>
      <c r="BYW276" s="580"/>
      <c r="BYX276" s="580"/>
      <c r="BYY276" s="580"/>
      <c r="BYZ276" s="580"/>
      <c r="BZA276" s="580"/>
      <c r="BZB276" s="580"/>
      <c r="BZC276" s="580"/>
      <c r="BZD276" s="580"/>
      <c r="BZE276" s="580"/>
      <c r="BZF276" s="580"/>
      <c r="BZG276" s="580"/>
      <c r="BZH276" s="580"/>
      <c r="BZI276" s="580"/>
      <c r="BZJ276" s="580"/>
      <c r="BZK276" s="580"/>
      <c r="BZL276" s="580"/>
      <c r="BZM276" s="580"/>
      <c r="BZN276" s="580"/>
      <c r="BZO276" s="580"/>
      <c r="BZP276" s="580"/>
      <c r="BZQ276" s="580"/>
      <c r="BZR276" s="580"/>
      <c r="BZS276" s="580"/>
      <c r="BZT276" s="580"/>
      <c r="BZU276" s="580"/>
      <c r="BZV276" s="580"/>
      <c r="BZW276" s="580"/>
      <c r="BZX276" s="580"/>
      <c r="BZY276" s="580"/>
      <c r="BZZ276" s="580"/>
      <c r="CAA276" s="580"/>
      <c r="CAB276" s="580"/>
      <c r="CAC276" s="580"/>
      <c r="CAD276" s="580"/>
      <c r="CAE276" s="580"/>
      <c r="CAF276" s="580"/>
      <c r="CAG276" s="580"/>
      <c r="CAH276" s="580"/>
      <c r="CAI276" s="580"/>
      <c r="CAJ276" s="580"/>
      <c r="CAK276" s="580"/>
      <c r="CAL276" s="580"/>
      <c r="CAM276" s="580"/>
      <c r="CAN276" s="580"/>
      <c r="CAO276" s="580"/>
      <c r="CAP276" s="580"/>
      <c r="CAQ276" s="580"/>
      <c r="CAR276" s="580"/>
      <c r="CAS276" s="580"/>
      <c r="CAT276" s="580"/>
      <c r="CAU276" s="580"/>
      <c r="CAV276" s="580"/>
      <c r="CAW276" s="580"/>
      <c r="CAX276" s="580"/>
      <c r="CAY276" s="580"/>
      <c r="CAZ276" s="580"/>
      <c r="CBA276" s="580"/>
      <c r="CBB276" s="580"/>
      <c r="CBC276" s="580"/>
      <c r="CBD276" s="580"/>
      <c r="CBE276" s="580"/>
      <c r="CBF276" s="580"/>
      <c r="CBG276" s="580"/>
      <c r="CBH276" s="580"/>
      <c r="CBI276" s="580"/>
      <c r="CBJ276" s="580"/>
      <c r="CBK276" s="580"/>
      <c r="CBL276" s="580"/>
      <c r="CBM276" s="580"/>
      <c r="CBN276" s="580"/>
      <c r="CBO276" s="580"/>
      <c r="CBP276" s="580"/>
      <c r="CBQ276" s="580"/>
      <c r="CBR276" s="580"/>
      <c r="CBS276" s="580"/>
      <c r="CBT276" s="580"/>
      <c r="CBU276" s="580"/>
      <c r="CBV276" s="580"/>
      <c r="CBW276" s="580"/>
      <c r="CBX276" s="580"/>
      <c r="CBY276" s="580"/>
      <c r="CBZ276" s="580"/>
      <c r="CCA276" s="580"/>
      <c r="CCB276" s="580"/>
      <c r="CCC276" s="580"/>
      <c r="CCD276" s="580"/>
      <c r="CCE276" s="580"/>
      <c r="CCF276" s="580"/>
      <c r="CCG276" s="580"/>
      <c r="CCH276" s="580"/>
      <c r="CCI276" s="580"/>
      <c r="CCJ276" s="580"/>
      <c r="CCK276" s="580"/>
      <c r="CCL276" s="580"/>
      <c r="CCM276" s="580"/>
      <c r="CCN276" s="580"/>
      <c r="CCO276" s="580"/>
      <c r="CCP276" s="580"/>
      <c r="CCQ276" s="580"/>
      <c r="CCR276" s="580"/>
      <c r="CCS276" s="580"/>
      <c r="CCT276" s="580"/>
      <c r="CCU276" s="580"/>
      <c r="CCV276" s="580"/>
      <c r="CCW276" s="580"/>
      <c r="CCX276" s="580"/>
      <c r="CCY276" s="580"/>
      <c r="CCZ276" s="580"/>
      <c r="CDA276" s="580"/>
      <c r="CDB276" s="580"/>
      <c r="CDC276" s="580"/>
      <c r="CDD276" s="580"/>
      <c r="CDE276" s="580"/>
      <c r="CDF276" s="580"/>
      <c r="CDG276" s="580"/>
      <c r="CDH276" s="580"/>
      <c r="CDI276" s="580"/>
      <c r="CDJ276" s="580"/>
      <c r="CDK276" s="580"/>
      <c r="CDL276" s="580"/>
      <c r="CDM276" s="580"/>
      <c r="CDN276" s="580"/>
      <c r="CDO276" s="580"/>
      <c r="CDP276" s="580"/>
      <c r="CDQ276" s="580"/>
      <c r="CDR276" s="580"/>
      <c r="CDS276" s="580"/>
      <c r="CDT276" s="580"/>
      <c r="CDU276" s="580"/>
      <c r="CDV276" s="580"/>
      <c r="CDW276" s="580"/>
      <c r="CDX276" s="580"/>
      <c r="CDY276" s="580"/>
      <c r="CDZ276" s="580"/>
      <c r="CEA276" s="580"/>
      <c r="CEB276" s="580"/>
      <c r="CEC276" s="580"/>
      <c r="CED276" s="580"/>
      <c r="CEE276" s="580"/>
      <c r="CEF276" s="580"/>
      <c r="CEG276" s="580"/>
      <c r="CEH276" s="580"/>
      <c r="CEI276" s="580"/>
      <c r="CEJ276" s="580"/>
      <c r="CEK276" s="580"/>
      <c r="CEL276" s="580"/>
      <c r="CEM276" s="580"/>
      <c r="CEN276" s="580"/>
      <c r="CEO276" s="580"/>
      <c r="CEP276" s="580"/>
      <c r="CEQ276" s="580"/>
      <c r="CER276" s="580"/>
      <c r="CES276" s="580"/>
      <c r="CET276" s="580"/>
      <c r="CEU276" s="580"/>
      <c r="CEV276" s="580"/>
      <c r="CEW276" s="580"/>
      <c r="CEX276" s="580"/>
      <c r="CEY276" s="580"/>
      <c r="CEZ276" s="580"/>
      <c r="CFA276" s="580"/>
      <c r="CFB276" s="580"/>
      <c r="CFC276" s="580"/>
      <c r="CFD276" s="580"/>
      <c r="CFE276" s="580"/>
      <c r="CFF276" s="580"/>
      <c r="CFG276" s="580"/>
      <c r="CFH276" s="580"/>
      <c r="CFI276" s="580"/>
      <c r="CFJ276" s="580"/>
      <c r="CFK276" s="580"/>
      <c r="CFL276" s="580"/>
      <c r="CFM276" s="580"/>
      <c r="CFN276" s="580"/>
      <c r="CFO276" s="580"/>
      <c r="CFP276" s="580"/>
      <c r="CFQ276" s="580"/>
      <c r="CFR276" s="580"/>
      <c r="CFS276" s="580"/>
      <c r="CFT276" s="580"/>
      <c r="CFU276" s="580"/>
      <c r="CFV276" s="580"/>
      <c r="CFW276" s="580"/>
      <c r="CFX276" s="580"/>
      <c r="CFY276" s="580"/>
      <c r="CFZ276" s="580"/>
      <c r="CGA276" s="580"/>
      <c r="CGB276" s="580"/>
      <c r="CGC276" s="580"/>
      <c r="CGD276" s="580"/>
      <c r="CGE276" s="580"/>
      <c r="CGF276" s="580"/>
      <c r="CGG276" s="580"/>
      <c r="CGH276" s="580"/>
      <c r="CGI276" s="580"/>
      <c r="CGJ276" s="580"/>
      <c r="CGK276" s="580"/>
      <c r="CGL276" s="580"/>
      <c r="CGM276" s="580"/>
      <c r="CGN276" s="580"/>
      <c r="CGO276" s="580"/>
      <c r="CGP276" s="580"/>
      <c r="CGQ276" s="580"/>
      <c r="CGR276" s="580"/>
      <c r="CGS276" s="580"/>
      <c r="CGT276" s="580"/>
      <c r="CGU276" s="580"/>
      <c r="CGV276" s="580"/>
      <c r="CGW276" s="580"/>
      <c r="CGX276" s="580"/>
      <c r="CGY276" s="580"/>
      <c r="CGZ276" s="580"/>
      <c r="CHA276" s="580"/>
      <c r="CHB276" s="580"/>
      <c r="CHC276" s="580"/>
      <c r="CHD276" s="580"/>
      <c r="CHE276" s="580"/>
      <c r="CHF276" s="580"/>
      <c r="CHG276" s="580"/>
      <c r="CHH276" s="580"/>
      <c r="CHI276" s="580"/>
      <c r="CHJ276" s="580"/>
      <c r="CHK276" s="580"/>
      <c r="CHL276" s="580"/>
      <c r="CHM276" s="580"/>
      <c r="CHN276" s="580"/>
      <c r="CHO276" s="580"/>
      <c r="CHP276" s="580"/>
      <c r="CHQ276" s="580"/>
      <c r="CHR276" s="580"/>
      <c r="CHS276" s="580"/>
      <c r="CHT276" s="580"/>
      <c r="CHU276" s="580"/>
      <c r="CHV276" s="580"/>
      <c r="CHW276" s="580"/>
      <c r="CHX276" s="580"/>
      <c r="CHY276" s="580"/>
      <c r="CHZ276" s="580"/>
      <c r="CIA276" s="580"/>
      <c r="CIB276" s="580"/>
      <c r="CIC276" s="580"/>
      <c r="CID276" s="580"/>
      <c r="CIE276" s="580"/>
      <c r="CIF276" s="580"/>
      <c r="CIG276" s="580"/>
      <c r="CIH276" s="580"/>
      <c r="CII276" s="580"/>
      <c r="CIJ276" s="580"/>
      <c r="CIK276" s="580"/>
      <c r="CIL276" s="580"/>
      <c r="CIM276" s="580"/>
      <c r="CIN276" s="580"/>
      <c r="CIO276" s="580"/>
      <c r="CIP276" s="580"/>
      <c r="CIQ276" s="580"/>
      <c r="CIR276" s="580"/>
      <c r="CIS276" s="580"/>
      <c r="CIT276" s="580"/>
      <c r="CIU276" s="580"/>
      <c r="CIV276" s="580"/>
      <c r="CIW276" s="580"/>
      <c r="CIX276" s="580"/>
      <c r="CIY276" s="580"/>
      <c r="CIZ276" s="580"/>
      <c r="CJA276" s="580"/>
      <c r="CJB276" s="580"/>
      <c r="CJC276" s="580"/>
      <c r="CJD276" s="580"/>
      <c r="CJE276" s="580"/>
      <c r="CJF276" s="580"/>
      <c r="CJG276" s="580"/>
      <c r="CJH276" s="580"/>
      <c r="CJI276" s="580"/>
      <c r="CJJ276" s="580"/>
      <c r="CJK276" s="580"/>
      <c r="CJL276" s="580"/>
      <c r="CJM276" s="580"/>
      <c r="CJN276" s="580"/>
      <c r="CJO276" s="580"/>
      <c r="CJP276" s="580"/>
      <c r="CJQ276" s="580"/>
      <c r="CJR276" s="580"/>
      <c r="CJS276" s="580"/>
      <c r="CJT276" s="580"/>
      <c r="CJU276" s="580"/>
      <c r="CJV276" s="580"/>
      <c r="CJW276" s="580"/>
      <c r="CJX276" s="580"/>
      <c r="CJY276" s="580"/>
      <c r="CJZ276" s="580"/>
      <c r="CKA276" s="580"/>
      <c r="CKB276" s="580"/>
      <c r="CKC276" s="580"/>
      <c r="CKD276" s="580"/>
      <c r="CKE276" s="580"/>
      <c r="CKF276" s="580"/>
      <c r="CKG276" s="580"/>
      <c r="CKH276" s="580"/>
      <c r="CKI276" s="580"/>
      <c r="CKJ276" s="580"/>
      <c r="CKK276" s="580"/>
      <c r="CKL276" s="580"/>
      <c r="CKM276" s="580"/>
      <c r="CKN276" s="580"/>
      <c r="CKO276" s="580"/>
      <c r="CKP276" s="580"/>
      <c r="CKQ276" s="580"/>
      <c r="CKR276" s="580"/>
      <c r="CKS276" s="580"/>
      <c r="CKT276" s="580"/>
      <c r="CKU276" s="580"/>
      <c r="CKV276" s="580"/>
      <c r="CKW276" s="580"/>
      <c r="CKX276" s="580"/>
      <c r="CKY276" s="580"/>
      <c r="CKZ276" s="580"/>
      <c r="CLA276" s="580"/>
      <c r="CLB276" s="580"/>
      <c r="CLC276" s="580"/>
      <c r="CLD276" s="580"/>
      <c r="CLE276" s="580"/>
      <c r="CLF276" s="580"/>
      <c r="CLG276" s="580"/>
      <c r="CLH276" s="580"/>
      <c r="CLI276" s="580"/>
      <c r="CLJ276" s="580"/>
      <c r="CLK276" s="580"/>
      <c r="CLL276" s="580"/>
      <c r="CLM276" s="580"/>
      <c r="CLN276" s="580"/>
      <c r="CLO276" s="580"/>
      <c r="CLP276" s="580"/>
      <c r="CLQ276" s="580"/>
      <c r="CLR276" s="580"/>
      <c r="CLS276" s="580"/>
      <c r="CLT276" s="580"/>
      <c r="CLU276" s="580"/>
      <c r="CLV276" s="580"/>
      <c r="CLW276" s="580"/>
      <c r="CLX276" s="580"/>
      <c r="CLY276" s="580"/>
      <c r="CLZ276" s="580"/>
      <c r="CMA276" s="580"/>
      <c r="CMB276" s="580"/>
      <c r="CMC276" s="580"/>
      <c r="CMD276" s="580"/>
      <c r="CME276" s="580"/>
      <c r="CMF276" s="580"/>
      <c r="CMG276" s="580"/>
      <c r="CMH276" s="580"/>
      <c r="CMI276" s="580"/>
      <c r="CMJ276" s="580"/>
      <c r="CMK276" s="580"/>
      <c r="CML276" s="580"/>
      <c r="CMM276" s="580"/>
      <c r="CMN276" s="580"/>
      <c r="CMO276" s="580"/>
      <c r="CMP276" s="580"/>
      <c r="CMQ276" s="580"/>
      <c r="CMR276" s="580"/>
      <c r="CMS276" s="580"/>
      <c r="CMT276" s="580"/>
      <c r="CMU276" s="580"/>
      <c r="CMV276" s="580"/>
      <c r="CMW276" s="580"/>
      <c r="CMX276" s="580"/>
      <c r="CMY276" s="580"/>
      <c r="CMZ276" s="580"/>
      <c r="CNA276" s="580"/>
      <c r="CNB276" s="580"/>
      <c r="CNC276" s="580"/>
      <c r="CND276" s="580"/>
      <c r="CNE276" s="580"/>
      <c r="CNF276" s="580"/>
      <c r="CNG276" s="580"/>
      <c r="CNH276" s="580"/>
      <c r="CNI276" s="580"/>
      <c r="CNJ276" s="580"/>
      <c r="CNK276" s="580"/>
      <c r="CNL276" s="580"/>
      <c r="CNM276" s="580"/>
      <c r="CNN276" s="580"/>
      <c r="CNO276" s="580"/>
      <c r="CNP276" s="580"/>
      <c r="CNQ276" s="580"/>
      <c r="CNR276" s="580"/>
      <c r="CNS276" s="580"/>
      <c r="CNT276" s="580"/>
      <c r="CNU276" s="580"/>
      <c r="CNV276" s="580"/>
      <c r="CNW276" s="580"/>
      <c r="CNX276" s="580"/>
      <c r="CNY276" s="580"/>
      <c r="CNZ276" s="580"/>
      <c r="COA276" s="580"/>
      <c r="COB276" s="580"/>
      <c r="COC276" s="580"/>
      <c r="COD276" s="580"/>
      <c r="COE276" s="580"/>
      <c r="COF276" s="580"/>
      <c r="COG276" s="580"/>
      <c r="COH276" s="580"/>
      <c r="COI276" s="580"/>
      <c r="COJ276" s="580"/>
      <c r="COK276" s="580"/>
      <c r="COL276" s="580"/>
      <c r="COM276" s="580"/>
      <c r="CON276" s="580"/>
      <c r="COO276" s="580"/>
      <c r="COP276" s="580"/>
      <c r="COQ276" s="580"/>
      <c r="COR276" s="580"/>
      <c r="COS276" s="580"/>
      <c r="COT276" s="580"/>
      <c r="COU276" s="580"/>
      <c r="COV276" s="580"/>
      <c r="COW276" s="580"/>
      <c r="COX276" s="580"/>
      <c r="COY276" s="580"/>
      <c r="COZ276" s="580"/>
      <c r="CPA276" s="580"/>
      <c r="CPB276" s="580"/>
      <c r="CPC276" s="580"/>
      <c r="CPD276" s="580"/>
      <c r="CPE276" s="580"/>
      <c r="CPF276" s="580"/>
      <c r="CPG276" s="580"/>
      <c r="CPH276" s="580"/>
      <c r="CPI276" s="580"/>
      <c r="CPJ276" s="580"/>
      <c r="CPK276" s="580"/>
      <c r="CPL276" s="580"/>
      <c r="CPM276" s="580"/>
      <c r="CPN276" s="580"/>
      <c r="CPO276" s="580"/>
      <c r="CPP276" s="580"/>
      <c r="CPQ276" s="580"/>
      <c r="CPR276" s="580"/>
      <c r="CPS276" s="580"/>
      <c r="CPT276" s="580"/>
      <c r="CPU276" s="580"/>
      <c r="CPV276" s="580"/>
      <c r="CPW276" s="580"/>
      <c r="CPX276" s="580"/>
      <c r="CPY276" s="580"/>
      <c r="CPZ276" s="580"/>
      <c r="CQA276" s="580"/>
      <c r="CQB276" s="580"/>
      <c r="CQC276" s="580"/>
      <c r="CQD276" s="580"/>
      <c r="CQE276" s="580"/>
      <c r="CQF276" s="580"/>
      <c r="CQG276" s="580"/>
      <c r="CQH276" s="580"/>
      <c r="CQI276" s="580"/>
      <c r="CQJ276" s="580"/>
      <c r="CQK276" s="580"/>
      <c r="CQL276" s="580"/>
      <c r="CQM276" s="580"/>
      <c r="CQN276" s="580"/>
      <c r="CQO276" s="580"/>
      <c r="CQP276" s="580"/>
      <c r="CQQ276" s="580"/>
      <c r="CQR276" s="580"/>
      <c r="CQS276" s="580"/>
      <c r="CQT276" s="580"/>
      <c r="CQU276" s="580"/>
      <c r="CQV276" s="580"/>
      <c r="CQW276" s="580"/>
      <c r="CQX276" s="580"/>
      <c r="CQY276" s="580"/>
      <c r="CQZ276" s="580"/>
      <c r="CRA276" s="580"/>
      <c r="CRB276" s="580"/>
      <c r="CRC276" s="580"/>
      <c r="CRD276" s="580"/>
      <c r="CRE276" s="580"/>
      <c r="CRF276" s="580"/>
      <c r="CRG276" s="580"/>
      <c r="CRH276" s="580"/>
      <c r="CRI276" s="580"/>
      <c r="CRJ276" s="580"/>
      <c r="CRK276" s="580"/>
      <c r="CRL276" s="580"/>
      <c r="CRM276" s="580"/>
      <c r="CRN276" s="580"/>
      <c r="CRO276" s="580"/>
      <c r="CRP276" s="580"/>
      <c r="CRQ276" s="580"/>
      <c r="CRR276" s="580"/>
      <c r="CRS276" s="580"/>
      <c r="CRT276" s="580"/>
      <c r="CRU276" s="580"/>
      <c r="CRV276" s="580"/>
      <c r="CRW276" s="580"/>
      <c r="CRX276" s="580"/>
      <c r="CRY276" s="580"/>
      <c r="CRZ276" s="580"/>
      <c r="CSA276" s="580"/>
      <c r="CSB276" s="580"/>
      <c r="CSC276" s="580"/>
      <c r="CSD276" s="580"/>
      <c r="CSE276" s="580"/>
      <c r="CSF276" s="580"/>
      <c r="CSG276" s="580"/>
      <c r="CSH276" s="580"/>
      <c r="CSI276" s="580"/>
      <c r="CSJ276" s="580"/>
      <c r="CSK276" s="580"/>
      <c r="CSL276" s="580"/>
      <c r="CSM276" s="580"/>
      <c r="CSN276" s="580"/>
      <c r="CSO276" s="580"/>
      <c r="CSP276" s="580"/>
      <c r="CSQ276" s="580"/>
      <c r="CSR276" s="580"/>
      <c r="CSS276" s="580"/>
      <c r="CST276" s="580"/>
      <c r="CSU276" s="580"/>
      <c r="CSV276" s="580"/>
      <c r="CSW276" s="580"/>
      <c r="CSX276" s="580"/>
      <c r="CSY276" s="580"/>
      <c r="CSZ276" s="580"/>
      <c r="CTA276" s="580"/>
      <c r="CTB276" s="580"/>
      <c r="CTC276" s="580"/>
      <c r="CTD276" s="580"/>
      <c r="CTE276" s="580"/>
      <c r="CTF276" s="580"/>
      <c r="CTG276" s="580"/>
      <c r="CTH276" s="580"/>
      <c r="CTI276" s="580"/>
      <c r="CTJ276" s="580"/>
      <c r="CTK276" s="580"/>
      <c r="CTL276" s="580"/>
      <c r="CTM276" s="580"/>
      <c r="CTN276" s="580"/>
      <c r="CTO276" s="580"/>
      <c r="CTP276" s="580"/>
      <c r="CTQ276" s="580"/>
      <c r="CTR276" s="580"/>
      <c r="CTS276" s="580"/>
      <c r="CTT276" s="580"/>
      <c r="CTU276" s="580"/>
      <c r="CTV276" s="580"/>
      <c r="CTW276" s="580"/>
      <c r="CTX276" s="580"/>
      <c r="CTY276" s="580"/>
      <c r="CTZ276" s="580"/>
      <c r="CUA276" s="580"/>
      <c r="CUB276" s="580"/>
      <c r="CUC276" s="580"/>
      <c r="CUD276" s="580"/>
      <c r="CUE276" s="580"/>
      <c r="CUF276" s="580"/>
      <c r="CUG276" s="580"/>
      <c r="CUH276" s="580"/>
      <c r="CUI276" s="580"/>
      <c r="CUJ276" s="580"/>
      <c r="CUK276" s="580"/>
      <c r="CUL276" s="580"/>
      <c r="CUM276" s="580"/>
      <c r="CUN276" s="580"/>
      <c r="CUO276" s="580"/>
      <c r="CUP276" s="580"/>
      <c r="CUQ276" s="580"/>
      <c r="CUR276" s="580"/>
      <c r="CUS276" s="580"/>
      <c r="CUT276" s="580"/>
      <c r="CUU276" s="580"/>
      <c r="CUV276" s="580"/>
      <c r="CUW276" s="580"/>
      <c r="CUX276" s="580"/>
      <c r="CUY276" s="580"/>
      <c r="CUZ276" s="580"/>
      <c r="CVA276" s="580"/>
      <c r="CVB276" s="580"/>
      <c r="CVC276" s="580"/>
      <c r="CVD276" s="580"/>
      <c r="CVE276" s="580"/>
      <c r="CVF276" s="580"/>
      <c r="CVG276" s="580"/>
      <c r="CVH276" s="580"/>
      <c r="CVI276" s="580"/>
      <c r="CVJ276" s="580"/>
      <c r="CVK276" s="580"/>
      <c r="CVL276" s="580"/>
      <c r="CVM276" s="580"/>
      <c r="CVN276" s="580"/>
      <c r="CVO276" s="580"/>
      <c r="CVP276" s="580"/>
      <c r="CVQ276" s="580"/>
      <c r="CVR276" s="580"/>
      <c r="CVS276" s="580"/>
      <c r="CVT276" s="580"/>
      <c r="CVU276" s="580"/>
      <c r="CVV276" s="580"/>
      <c r="CVW276" s="580"/>
      <c r="CVX276" s="580"/>
      <c r="CVY276" s="580"/>
      <c r="CVZ276" s="580"/>
      <c r="CWA276" s="580"/>
      <c r="CWB276" s="580"/>
      <c r="CWC276" s="580"/>
      <c r="CWD276" s="580"/>
      <c r="CWE276" s="580"/>
      <c r="CWF276" s="580"/>
      <c r="CWG276" s="580"/>
      <c r="CWH276" s="580"/>
      <c r="CWI276" s="580"/>
      <c r="CWJ276" s="580"/>
      <c r="CWK276" s="580"/>
      <c r="CWL276" s="580"/>
      <c r="CWM276" s="580"/>
      <c r="CWN276" s="580"/>
      <c r="CWO276" s="580"/>
      <c r="CWP276" s="580"/>
      <c r="CWQ276" s="580"/>
      <c r="CWR276" s="580"/>
      <c r="CWS276" s="580"/>
      <c r="CWT276" s="580"/>
      <c r="CWU276" s="580"/>
      <c r="CWV276" s="580"/>
      <c r="CWW276" s="580"/>
      <c r="CWX276" s="580"/>
      <c r="CWY276" s="580"/>
      <c r="CWZ276" s="580"/>
      <c r="CXA276" s="580"/>
      <c r="CXB276" s="580"/>
      <c r="CXC276" s="580"/>
      <c r="CXD276" s="580"/>
      <c r="CXE276" s="580"/>
      <c r="CXF276" s="580"/>
      <c r="CXG276" s="580"/>
      <c r="CXH276" s="580"/>
      <c r="CXI276" s="580"/>
      <c r="CXJ276" s="580"/>
      <c r="CXK276" s="580"/>
      <c r="CXL276" s="580"/>
      <c r="CXM276" s="580"/>
      <c r="CXN276" s="580"/>
      <c r="CXO276" s="580"/>
      <c r="CXP276" s="580"/>
      <c r="CXQ276" s="580"/>
      <c r="CXR276" s="580"/>
      <c r="CXS276" s="580"/>
      <c r="CXT276" s="580"/>
      <c r="CXU276" s="580"/>
      <c r="CXV276" s="580"/>
      <c r="CXW276" s="580"/>
      <c r="CXX276" s="580"/>
      <c r="CXY276" s="580"/>
      <c r="CXZ276" s="580"/>
      <c r="CYA276" s="580"/>
      <c r="CYB276" s="580"/>
      <c r="CYC276" s="580"/>
      <c r="CYD276" s="580"/>
      <c r="CYE276" s="580"/>
      <c r="CYF276" s="580"/>
      <c r="CYG276" s="580"/>
      <c r="CYH276" s="580"/>
      <c r="CYI276" s="580"/>
      <c r="CYJ276" s="580"/>
      <c r="CYK276" s="580"/>
      <c r="CYL276" s="580"/>
      <c r="CYM276" s="580"/>
      <c r="CYN276" s="580"/>
      <c r="CYO276" s="580"/>
      <c r="CYP276" s="580"/>
      <c r="CYQ276" s="580"/>
      <c r="CYR276" s="580"/>
      <c r="CYS276" s="580"/>
      <c r="CYT276" s="580"/>
      <c r="CYU276" s="580"/>
      <c r="CYV276" s="580"/>
      <c r="CYW276" s="580"/>
      <c r="CYX276" s="580"/>
      <c r="CYY276" s="580"/>
      <c r="CYZ276" s="580"/>
      <c r="CZA276" s="580"/>
      <c r="CZB276" s="580"/>
      <c r="CZC276" s="580"/>
      <c r="CZD276" s="580"/>
      <c r="CZE276" s="580"/>
      <c r="CZF276" s="580"/>
      <c r="CZG276" s="580"/>
      <c r="CZH276" s="580"/>
      <c r="CZI276" s="580"/>
      <c r="CZJ276" s="580"/>
      <c r="CZK276" s="580"/>
      <c r="CZL276" s="580"/>
      <c r="CZM276" s="580"/>
      <c r="CZN276" s="580"/>
      <c r="CZO276" s="580"/>
      <c r="CZP276" s="580"/>
      <c r="CZQ276" s="580"/>
      <c r="CZR276" s="580"/>
      <c r="CZS276" s="580"/>
      <c r="CZT276" s="580"/>
      <c r="CZU276" s="580"/>
      <c r="CZV276" s="580"/>
      <c r="CZW276" s="580"/>
      <c r="CZX276" s="580"/>
      <c r="CZY276" s="580"/>
      <c r="CZZ276" s="580"/>
      <c r="DAA276" s="580"/>
      <c r="DAB276" s="580"/>
      <c r="DAC276" s="580"/>
      <c r="DAD276" s="580"/>
      <c r="DAE276" s="580"/>
      <c r="DAF276" s="580"/>
      <c r="DAG276" s="580"/>
      <c r="DAH276" s="580"/>
      <c r="DAI276" s="580"/>
      <c r="DAJ276" s="580"/>
      <c r="DAK276" s="580"/>
      <c r="DAL276" s="580"/>
      <c r="DAM276" s="580"/>
      <c r="DAN276" s="580"/>
      <c r="DAO276" s="580"/>
      <c r="DAP276" s="580"/>
      <c r="DAQ276" s="580"/>
      <c r="DAR276" s="580"/>
      <c r="DAS276" s="580"/>
      <c r="DAT276" s="580"/>
      <c r="DAU276" s="580"/>
      <c r="DAV276" s="580"/>
      <c r="DAW276" s="580"/>
      <c r="DAX276" s="580"/>
      <c r="DAY276" s="580"/>
      <c r="DAZ276" s="580"/>
      <c r="DBA276" s="580"/>
      <c r="DBB276" s="580"/>
      <c r="DBC276" s="580"/>
      <c r="DBD276" s="580"/>
      <c r="DBE276" s="580"/>
      <c r="DBF276" s="580"/>
      <c r="DBG276" s="580"/>
      <c r="DBH276" s="580"/>
      <c r="DBI276" s="580"/>
      <c r="DBJ276" s="580"/>
      <c r="DBK276" s="580"/>
      <c r="DBL276" s="580"/>
      <c r="DBM276" s="580"/>
      <c r="DBN276" s="580"/>
      <c r="DBO276" s="580"/>
      <c r="DBP276" s="580"/>
      <c r="DBQ276" s="580"/>
      <c r="DBR276" s="580"/>
      <c r="DBS276" s="580"/>
      <c r="DBT276" s="580"/>
      <c r="DBU276" s="580"/>
      <c r="DBV276" s="580"/>
      <c r="DBW276" s="580"/>
      <c r="DBX276" s="580"/>
      <c r="DBY276" s="580"/>
      <c r="DBZ276" s="580"/>
      <c r="DCA276" s="580"/>
      <c r="DCB276" s="580"/>
      <c r="DCC276" s="580"/>
      <c r="DCD276" s="580"/>
      <c r="DCE276" s="580"/>
      <c r="DCF276" s="580"/>
      <c r="DCG276" s="580"/>
      <c r="DCH276" s="580"/>
      <c r="DCI276" s="580"/>
      <c r="DCJ276" s="580"/>
      <c r="DCK276" s="580"/>
      <c r="DCL276" s="580"/>
      <c r="DCM276" s="580"/>
      <c r="DCN276" s="580"/>
      <c r="DCO276" s="580"/>
      <c r="DCP276" s="580"/>
      <c r="DCQ276" s="580"/>
      <c r="DCR276" s="580"/>
      <c r="DCS276" s="580"/>
      <c r="DCT276" s="580"/>
      <c r="DCU276" s="580"/>
      <c r="DCV276" s="580"/>
      <c r="DCW276" s="580"/>
      <c r="DCX276" s="580"/>
      <c r="DCY276" s="580"/>
      <c r="DCZ276" s="580"/>
      <c r="DDA276" s="580"/>
      <c r="DDB276" s="580"/>
      <c r="DDC276" s="580"/>
      <c r="DDD276" s="580"/>
      <c r="DDE276" s="580"/>
      <c r="DDF276" s="580"/>
      <c r="DDG276" s="580"/>
      <c r="DDH276" s="580"/>
      <c r="DDI276" s="580"/>
      <c r="DDJ276" s="580"/>
      <c r="DDK276" s="580"/>
      <c r="DDL276" s="580"/>
      <c r="DDM276" s="580"/>
      <c r="DDN276" s="580"/>
      <c r="DDO276" s="580"/>
      <c r="DDP276" s="580"/>
      <c r="DDQ276" s="580"/>
      <c r="DDR276" s="580"/>
      <c r="DDS276" s="580"/>
      <c r="DDT276" s="580"/>
      <c r="DDU276" s="580"/>
      <c r="DDV276" s="580"/>
      <c r="DDW276" s="580"/>
      <c r="DDX276" s="580"/>
      <c r="DDY276" s="580"/>
      <c r="DDZ276" s="580"/>
      <c r="DEA276" s="580"/>
      <c r="DEB276" s="580"/>
      <c r="DEC276" s="580"/>
      <c r="DED276" s="580"/>
      <c r="DEE276" s="580"/>
      <c r="DEF276" s="580"/>
      <c r="DEG276" s="580"/>
      <c r="DEH276" s="580"/>
      <c r="DEI276" s="580"/>
      <c r="DEJ276" s="580"/>
      <c r="DEK276" s="580"/>
      <c r="DEL276" s="580"/>
      <c r="DEM276" s="580"/>
      <c r="DEN276" s="580"/>
      <c r="DEO276" s="580"/>
      <c r="DEP276" s="580"/>
      <c r="DEQ276" s="580"/>
      <c r="DER276" s="580"/>
      <c r="DES276" s="580"/>
      <c r="DET276" s="580"/>
      <c r="DEU276" s="580"/>
      <c r="DEV276" s="580"/>
      <c r="DEW276" s="580"/>
      <c r="DEX276" s="580"/>
      <c r="DEY276" s="580"/>
      <c r="DEZ276" s="580"/>
      <c r="DFA276" s="580"/>
      <c r="DFB276" s="580"/>
      <c r="DFC276" s="580"/>
      <c r="DFD276" s="580"/>
      <c r="DFE276" s="580"/>
      <c r="DFF276" s="580"/>
      <c r="DFG276" s="580"/>
      <c r="DFH276" s="580"/>
      <c r="DFI276" s="580"/>
      <c r="DFJ276" s="580"/>
      <c r="DFK276" s="580"/>
      <c r="DFL276" s="580"/>
      <c r="DFM276" s="580"/>
      <c r="DFN276" s="580"/>
      <c r="DFO276" s="580"/>
      <c r="DFP276" s="580"/>
      <c r="DFQ276" s="580"/>
      <c r="DFR276" s="580"/>
      <c r="DFS276" s="580"/>
      <c r="DFT276" s="580"/>
      <c r="DFU276" s="580"/>
      <c r="DFV276" s="580"/>
      <c r="DFW276" s="580"/>
      <c r="DFX276" s="580"/>
      <c r="DFY276" s="580"/>
      <c r="DFZ276" s="580"/>
      <c r="DGA276" s="580"/>
      <c r="DGB276" s="580"/>
      <c r="DGC276" s="580"/>
      <c r="DGD276" s="580"/>
      <c r="DGE276" s="580"/>
      <c r="DGF276" s="580"/>
      <c r="DGG276" s="580"/>
      <c r="DGH276" s="580"/>
      <c r="DGI276" s="580"/>
      <c r="DGJ276" s="580"/>
      <c r="DGK276" s="580"/>
      <c r="DGL276" s="580"/>
      <c r="DGM276" s="580"/>
      <c r="DGN276" s="580"/>
      <c r="DGO276" s="580"/>
      <c r="DGP276" s="580"/>
      <c r="DGQ276" s="580"/>
      <c r="DGR276" s="580"/>
      <c r="DGS276" s="580"/>
      <c r="DGT276" s="580"/>
      <c r="DGU276" s="580"/>
      <c r="DGV276" s="580"/>
      <c r="DGW276" s="580"/>
      <c r="DGX276" s="580"/>
      <c r="DGY276" s="580"/>
      <c r="DGZ276" s="580"/>
      <c r="DHA276" s="580"/>
      <c r="DHB276" s="580"/>
      <c r="DHC276" s="580"/>
      <c r="DHD276" s="580"/>
      <c r="DHE276" s="580"/>
      <c r="DHF276" s="580"/>
      <c r="DHG276" s="580"/>
      <c r="DHH276" s="580"/>
      <c r="DHI276" s="580"/>
      <c r="DHJ276" s="580"/>
      <c r="DHK276" s="580"/>
      <c r="DHL276" s="580"/>
      <c r="DHM276" s="580"/>
      <c r="DHN276" s="580"/>
      <c r="DHO276" s="580"/>
      <c r="DHP276" s="580"/>
      <c r="DHQ276" s="580"/>
      <c r="DHR276" s="580"/>
      <c r="DHS276" s="580"/>
      <c r="DHT276" s="580"/>
      <c r="DHU276" s="580"/>
      <c r="DHV276" s="580"/>
      <c r="DHW276" s="580"/>
      <c r="DHX276" s="580"/>
      <c r="DHY276" s="580"/>
      <c r="DHZ276" s="580"/>
      <c r="DIA276" s="580"/>
      <c r="DIB276" s="580"/>
      <c r="DIC276" s="580"/>
      <c r="DID276" s="580"/>
      <c r="DIE276" s="580"/>
      <c r="DIF276" s="580"/>
      <c r="DIG276" s="580"/>
      <c r="DIH276" s="580"/>
      <c r="DII276" s="580"/>
      <c r="DIJ276" s="580"/>
      <c r="DIK276" s="580"/>
      <c r="DIL276" s="580"/>
      <c r="DIM276" s="580"/>
      <c r="DIN276" s="580"/>
      <c r="DIO276" s="580"/>
      <c r="DIP276" s="580"/>
      <c r="DIQ276" s="580"/>
      <c r="DIR276" s="580"/>
      <c r="DIS276" s="580"/>
      <c r="DIT276" s="580"/>
      <c r="DIU276" s="580"/>
      <c r="DIV276" s="580"/>
      <c r="DIW276" s="580"/>
      <c r="DIX276" s="580"/>
      <c r="DIY276" s="580"/>
      <c r="DIZ276" s="580"/>
      <c r="DJA276" s="580"/>
      <c r="DJB276" s="580"/>
      <c r="DJC276" s="580"/>
      <c r="DJD276" s="580"/>
      <c r="DJE276" s="580"/>
      <c r="DJF276" s="580"/>
      <c r="DJG276" s="580"/>
      <c r="DJH276" s="580"/>
      <c r="DJI276" s="580"/>
      <c r="DJJ276" s="580"/>
      <c r="DJK276" s="580"/>
      <c r="DJL276" s="580"/>
      <c r="DJM276" s="580"/>
      <c r="DJN276" s="580"/>
      <c r="DJO276" s="580"/>
      <c r="DJP276" s="580"/>
      <c r="DJQ276" s="580"/>
      <c r="DJR276" s="580"/>
      <c r="DJS276" s="580"/>
      <c r="DJT276" s="580"/>
      <c r="DJU276" s="580"/>
      <c r="DJV276" s="580"/>
      <c r="DJW276" s="580"/>
      <c r="DJX276" s="580"/>
      <c r="DJY276" s="580"/>
      <c r="DJZ276" s="580"/>
      <c r="DKA276" s="580"/>
      <c r="DKB276" s="580"/>
      <c r="DKC276" s="580"/>
      <c r="DKD276" s="580"/>
      <c r="DKE276" s="580"/>
      <c r="DKF276" s="580"/>
      <c r="DKG276" s="580"/>
      <c r="DKH276" s="580"/>
      <c r="DKI276" s="580"/>
      <c r="DKJ276" s="580"/>
      <c r="DKK276" s="580"/>
      <c r="DKL276" s="580"/>
      <c r="DKM276" s="580"/>
      <c r="DKN276" s="580"/>
      <c r="DKO276" s="580"/>
      <c r="DKP276" s="580"/>
      <c r="DKQ276" s="580"/>
      <c r="DKR276" s="580"/>
      <c r="DKS276" s="580"/>
      <c r="DKT276" s="580"/>
      <c r="DKU276" s="580"/>
      <c r="DKV276" s="580"/>
      <c r="DKW276" s="580"/>
      <c r="DKX276" s="580"/>
      <c r="DKY276" s="580"/>
      <c r="DKZ276" s="580"/>
      <c r="DLA276" s="580"/>
      <c r="DLB276" s="580"/>
      <c r="DLC276" s="580"/>
      <c r="DLD276" s="580"/>
      <c r="DLE276" s="580"/>
      <c r="DLF276" s="580"/>
      <c r="DLG276" s="580"/>
      <c r="DLH276" s="580"/>
      <c r="DLI276" s="580"/>
      <c r="DLJ276" s="580"/>
      <c r="DLK276" s="580"/>
      <c r="DLL276" s="580"/>
      <c r="DLM276" s="580"/>
      <c r="DLN276" s="580"/>
      <c r="DLO276" s="580"/>
      <c r="DLP276" s="580"/>
      <c r="DLQ276" s="580"/>
      <c r="DLR276" s="580"/>
      <c r="DLS276" s="580"/>
      <c r="DLT276" s="580"/>
      <c r="DLU276" s="580"/>
      <c r="DLV276" s="580"/>
      <c r="DLW276" s="580"/>
      <c r="DLX276" s="580"/>
      <c r="DLY276" s="580"/>
      <c r="DLZ276" s="580"/>
      <c r="DMA276" s="580"/>
      <c r="DMB276" s="580"/>
      <c r="DMC276" s="580"/>
      <c r="DMD276" s="580"/>
      <c r="DME276" s="580"/>
      <c r="DMF276" s="580"/>
      <c r="DMG276" s="580"/>
      <c r="DMH276" s="580"/>
      <c r="DMI276" s="580"/>
      <c r="DMJ276" s="580"/>
      <c r="DMK276" s="580"/>
      <c r="DML276" s="580"/>
      <c r="DMM276" s="580"/>
      <c r="DMN276" s="580"/>
      <c r="DMO276" s="580"/>
      <c r="DMP276" s="580"/>
      <c r="DMQ276" s="580"/>
      <c r="DMR276" s="580"/>
      <c r="DMS276" s="580"/>
      <c r="DMT276" s="580"/>
      <c r="DMU276" s="580"/>
      <c r="DMV276" s="580"/>
      <c r="DMW276" s="580"/>
      <c r="DMX276" s="580"/>
      <c r="DMY276" s="580"/>
      <c r="DMZ276" s="580"/>
      <c r="DNA276" s="580"/>
      <c r="DNB276" s="580"/>
      <c r="DNC276" s="580"/>
      <c r="DND276" s="580"/>
      <c r="DNE276" s="580"/>
      <c r="DNF276" s="580"/>
      <c r="DNG276" s="580"/>
      <c r="DNH276" s="580"/>
      <c r="DNI276" s="580"/>
      <c r="DNJ276" s="580"/>
      <c r="DNK276" s="580"/>
      <c r="DNL276" s="580"/>
      <c r="DNM276" s="580"/>
      <c r="DNN276" s="580"/>
      <c r="DNO276" s="580"/>
      <c r="DNP276" s="580"/>
      <c r="DNQ276" s="580"/>
      <c r="DNR276" s="580"/>
      <c r="DNS276" s="580"/>
      <c r="DNT276" s="580"/>
      <c r="DNU276" s="580"/>
      <c r="DNV276" s="580"/>
      <c r="DNW276" s="580"/>
      <c r="DNX276" s="580"/>
      <c r="DNY276" s="580"/>
      <c r="DNZ276" s="580"/>
      <c r="DOA276" s="580"/>
      <c r="DOB276" s="580"/>
      <c r="DOC276" s="580"/>
      <c r="DOD276" s="580"/>
      <c r="DOE276" s="580"/>
      <c r="DOF276" s="580"/>
      <c r="DOG276" s="580"/>
      <c r="DOH276" s="580"/>
      <c r="DOI276" s="580"/>
      <c r="DOJ276" s="580"/>
      <c r="DOK276" s="580"/>
      <c r="DOL276" s="580"/>
      <c r="DOM276" s="580"/>
      <c r="DON276" s="580"/>
      <c r="DOO276" s="580"/>
      <c r="DOP276" s="580"/>
      <c r="DOQ276" s="580"/>
      <c r="DOR276" s="580"/>
      <c r="DOS276" s="580"/>
      <c r="DOT276" s="580"/>
      <c r="DOU276" s="580"/>
      <c r="DOV276" s="580"/>
      <c r="DOW276" s="580"/>
      <c r="DOX276" s="580"/>
      <c r="DOY276" s="580"/>
      <c r="DOZ276" s="580"/>
      <c r="DPA276" s="580"/>
      <c r="DPB276" s="580"/>
      <c r="DPC276" s="580"/>
      <c r="DPD276" s="580"/>
      <c r="DPE276" s="580"/>
      <c r="DPF276" s="580"/>
      <c r="DPG276" s="580"/>
      <c r="DPH276" s="580"/>
      <c r="DPI276" s="580"/>
      <c r="DPJ276" s="580"/>
      <c r="DPK276" s="580"/>
      <c r="DPL276" s="580"/>
      <c r="DPM276" s="580"/>
      <c r="DPN276" s="580"/>
      <c r="DPO276" s="580"/>
      <c r="DPP276" s="580"/>
      <c r="DPQ276" s="580"/>
      <c r="DPR276" s="580"/>
      <c r="DPS276" s="580"/>
      <c r="DPT276" s="580"/>
      <c r="DPU276" s="580"/>
      <c r="DPV276" s="580"/>
      <c r="DPW276" s="580"/>
      <c r="DPX276" s="580"/>
      <c r="DPY276" s="580"/>
      <c r="DPZ276" s="580"/>
      <c r="DQA276" s="580"/>
      <c r="DQB276" s="580"/>
      <c r="DQC276" s="580"/>
      <c r="DQD276" s="580"/>
      <c r="DQE276" s="580"/>
      <c r="DQF276" s="580"/>
      <c r="DQG276" s="580"/>
      <c r="DQH276" s="580"/>
      <c r="DQI276" s="580"/>
      <c r="DQJ276" s="580"/>
      <c r="DQK276" s="580"/>
      <c r="DQL276" s="580"/>
      <c r="DQM276" s="580"/>
      <c r="DQN276" s="580"/>
      <c r="DQO276" s="580"/>
      <c r="DQP276" s="580"/>
      <c r="DQQ276" s="580"/>
      <c r="DQR276" s="580"/>
      <c r="DQS276" s="580"/>
      <c r="DQT276" s="580"/>
      <c r="DQU276" s="580"/>
      <c r="DQV276" s="580"/>
      <c r="DQW276" s="580"/>
      <c r="DQX276" s="580"/>
      <c r="DQY276" s="580"/>
      <c r="DQZ276" s="580"/>
      <c r="DRA276" s="580"/>
      <c r="DRB276" s="580"/>
      <c r="DRC276" s="580"/>
      <c r="DRD276" s="580"/>
      <c r="DRE276" s="580"/>
      <c r="DRF276" s="580"/>
      <c r="DRG276" s="580"/>
      <c r="DRH276" s="580"/>
      <c r="DRI276" s="580"/>
      <c r="DRJ276" s="580"/>
      <c r="DRK276" s="580"/>
      <c r="DRL276" s="580"/>
      <c r="DRM276" s="580"/>
      <c r="DRN276" s="580"/>
      <c r="DRO276" s="580"/>
      <c r="DRP276" s="580"/>
      <c r="DRQ276" s="580"/>
      <c r="DRR276" s="580"/>
      <c r="DRS276" s="580"/>
      <c r="DRT276" s="580"/>
      <c r="DRU276" s="580"/>
      <c r="DRV276" s="580"/>
      <c r="DRW276" s="580"/>
      <c r="DRX276" s="580"/>
      <c r="DRY276" s="580"/>
      <c r="DRZ276" s="580"/>
      <c r="DSA276" s="580"/>
      <c r="DSB276" s="580"/>
      <c r="DSC276" s="580"/>
      <c r="DSD276" s="580"/>
      <c r="DSE276" s="580"/>
      <c r="DSF276" s="580"/>
      <c r="DSG276" s="580"/>
      <c r="DSH276" s="580"/>
      <c r="DSI276" s="580"/>
      <c r="DSJ276" s="580"/>
      <c r="DSK276" s="580"/>
      <c r="DSL276" s="580"/>
      <c r="DSM276" s="580"/>
      <c r="DSN276" s="580"/>
      <c r="DSO276" s="580"/>
      <c r="DSP276" s="580"/>
      <c r="DSQ276" s="580"/>
      <c r="DSR276" s="580"/>
      <c r="DSS276" s="580"/>
      <c r="DST276" s="580"/>
      <c r="DSU276" s="580"/>
      <c r="DSV276" s="580"/>
      <c r="DSW276" s="580"/>
      <c r="DSX276" s="580"/>
      <c r="DSY276" s="580"/>
      <c r="DSZ276" s="580"/>
      <c r="DTA276" s="580"/>
      <c r="DTB276" s="580"/>
      <c r="DTC276" s="580"/>
      <c r="DTD276" s="580"/>
      <c r="DTE276" s="580"/>
      <c r="DTF276" s="580"/>
      <c r="DTG276" s="580"/>
      <c r="DTH276" s="580"/>
      <c r="DTI276" s="580"/>
      <c r="DTJ276" s="580"/>
      <c r="DTK276" s="580"/>
      <c r="DTL276" s="580"/>
      <c r="DTM276" s="580"/>
      <c r="DTN276" s="580"/>
      <c r="DTO276" s="580"/>
      <c r="DTP276" s="580"/>
      <c r="DTQ276" s="580"/>
      <c r="DTR276" s="580"/>
      <c r="DTS276" s="580"/>
      <c r="DTT276" s="580"/>
      <c r="DTU276" s="580"/>
      <c r="DTV276" s="580"/>
      <c r="DTW276" s="580"/>
      <c r="DTX276" s="580"/>
      <c r="DTY276" s="580"/>
      <c r="DTZ276" s="580"/>
      <c r="DUA276" s="580"/>
      <c r="DUB276" s="580"/>
      <c r="DUC276" s="580"/>
      <c r="DUD276" s="580"/>
      <c r="DUE276" s="580"/>
      <c r="DUF276" s="580"/>
      <c r="DUG276" s="580"/>
      <c r="DUH276" s="580"/>
      <c r="DUI276" s="580"/>
      <c r="DUJ276" s="580"/>
      <c r="DUK276" s="580"/>
      <c r="DUL276" s="580"/>
      <c r="DUM276" s="580"/>
      <c r="DUN276" s="580"/>
      <c r="DUO276" s="580"/>
      <c r="DUP276" s="580"/>
      <c r="DUQ276" s="580"/>
      <c r="DUR276" s="580"/>
      <c r="DUS276" s="580"/>
      <c r="DUT276" s="580"/>
      <c r="DUU276" s="580"/>
      <c r="DUV276" s="580"/>
      <c r="DUW276" s="580"/>
      <c r="DUX276" s="580"/>
      <c r="DUY276" s="580"/>
      <c r="DUZ276" s="580"/>
      <c r="DVA276" s="580"/>
      <c r="DVB276" s="580"/>
      <c r="DVC276" s="580"/>
      <c r="DVD276" s="580"/>
      <c r="DVE276" s="580"/>
      <c r="DVF276" s="580"/>
      <c r="DVG276" s="580"/>
      <c r="DVH276" s="580"/>
      <c r="DVI276" s="580"/>
      <c r="DVJ276" s="580"/>
      <c r="DVK276" s="580"/>
      <c r="DVL276" s="580"/>
      <c r="DVM276" s="580"/>
      <c r="DVN276" s="580"/>
      <c r="DVO276" s="580"/>
      <c r="DVP276" s="580"/>
      <c r="DVQ276" s="580"/>
      <c r="DVR276" s="580"/>
      <c r="DVS276" s="580"/>
      <c r="DVT276" s="580"/>
      <c r="DVU276" s="580"/>
      <c r="DVV276" s="580"/>
      <c r="DVW276" s="580"/>
      <c r="DVX276" s="580"/>
      <c r="DVY276" s="580"/>
      <c r="DVZ276" s="580"/>
      <c r="DWA276" s="580"/>
      <c r="DWB276" s="580"/>
      <c r="DWC276" s="580"/>
      <c r="DWD276" s="580"/>
      <c r="DWE276" s="580"/>
      <c r="DWF276" s="580"/>
      <c r="DWG276" s="580"/>
      <c r="DWH276" s="580"/>
      <c r="DWI276" s="580"/>
      <c r="DWJ276" s="580"/>
      <c r="DWK276" s="580"/>
      <c r="DWL276" s="580"/>
      <c r="DWM276" s="580"/>
      <c r="DWN276" s="580"/>
      <c r="DWO276" s="580"/>
      <c r="DWP276" s="580"/>
      <c r="DWQ276" s="580"/>
      <c r="DWR276" s="580"/>
      <c r="DWS276" s="580"/>
      <c r="DWT276" s="580"/>
      <c r="DWU276" s="580"/>
      <c r="DWV276" s="580"/>
      <c r="DWW276" s="580"/>
      <c r="DWX276" s="580"/>
      <c r="DWY276" s="580"/>
      <c r="DWZ276" s="580"/>
      <c r="DXA276" s="580"/>
      <c r="DXB276" s="580"/>
      <c r="DXC276" s="580"/>
      <c r="DXD276" s="580"/>
      <c r="DXE276" s="580"/>
      <c r="DXF276" s="580"/>
      <c r="DXG276" s="580"/>
      <c r="DXH276" s="580"/>
      <c r="DXI276" s="580"/>
      <c r="DXJ276" s="580"/>
      <c r="DXK276" s="580"/>
      <c r="DXL276" s="580"/>
      <c r="DXM276" s="580"/>
      <c r="DXN276" s="580"/>
      <c r="DXO276" s="580"/>
      <c r="DXP276" s="580"/>
      <c r="DXQ276" s="580"/>
      <c r="DXR276" s="580"/>
      <c r="DXS276" s="580"/>
      <c r="DXT276" s="580"/>
      <c r="DXU276" s="580"/>
      <c r="DXV276" s="580"/>
      <c r="DXW276" s="580"/>
      <c r="DXX276" s="580"/>
      <c r="DXY276" s="580"/>
      <c r="DXZ276" s="580"/>
      <c r="DYA276" s="580"/>
      <c r="DYB276" s="580"/>
      <c r="DYC276" s="580"/>
      <c r="DYD276" s="580"/>
      <c r="DYE276" s="580"/>
      <c r="DYF276" s="580"/>
      <c r="DYG276" s="580"/>
      <c r="DYH276" s="580"/>
      <c r="DYI276" s="580"/>
      <c r="DYJ276" s="580"/>
      <c r="DYK276" s="580"/>
      <c r="DYL276" s="580"/>
      <c r="DYM276" s="580"/>
      <c r="DYN276" s="580"/>
      <c r="DYO276" s="580"/>
      <c r="DYP276" s="580"/>
      <c r="DYQ276" s="580"/>
      <c r="DYR276" s="580"/>
      <c r="DYS276" s="580"/>
      <c r="DYT276" s="580"/>
      <c r="DYU276" s="580"/>
      <c r="DYV276" s="580"/>
      <c r="DYW276" s="580"/>
      <c r="DYX276" s="580"/>
      <c r="DYY276" s="580"/>
      <c r="DYZ276" s="580"/>
      <c r="DZA276" s="580"/>
      <c r="DZB276" s="580"/>
      <c r="DZC276" s="580"/>
      <c r="DZD276" s="580"/>
      <c r="DZE276" s="580"/>
      <c r="DZF276" s="580"/>
      <c r="DZG276" s="580"/>
      <c r="DZH276" s="580"/>
      <c r="DZI276" s="580"/>
      <c r="DZJ276" s="580"/>
      <c r="DZK276" s="580"/>
      <c r="DZL276" s="580"/>
      <c r="DZM276" s="580"/>
      <c r="DZN276" s="580"/>
      <c r="DZO276" s="580"/>
      <c r="DZP276" s="580"/>
      <c r="DZQ276" s="580"/>
      <c r="DZR276" s="580"/>
      <c r="DZS276" s="580"/>
      <c r="DZT276" s="580"/>
      <c r="DZU276" s="580"/>
      <c r="DZV276" s="580"/>
      <c r="DZW276" s="580"/>
      <c r="DZX276" s="580"/>
      <c r="DZY276" s="580"/>
      <c r="DZZ276" s="580"/>
      <c r="EAA276" s="580"/>
      <c r="EAB276" s="580"/>
      <c r="EAC276" s="580"/>
      <c r="EAD276" s="580"/>
      <c r="EAE276" s="580"/>
      <c r="EAF276" s="580"/>
      <c r="EAG276" s="580"/>
      <c r="EAH276" s="580"/>
      <c r="EAI276" s="580"/>
      <c r="EAJ276" s="580"/>
      <c r="EAK276" s="580"/>
      <c r="EAL276" s="580"/>
      <c r="EAM276" s="580"/>
      <c r="EAN276" s="580"/>
      <c r="EAO276" s="580"/>
      <c r="EAP276" s="580"/>
      <c r="EAQ276" s="580"/>
      <c r="EAR276" s="580"/>
      <c r="EAS276" s="580"/>
      <c r="EAT276" s="580"/>
      <c r="EAU276" s="580"/>
      <c r="EAV276" s="580"/>
      <c r="EAW276" s="580"/>
      <c r="EAX276" s="580"/>
      <c r="EAY276" s="580"/>
      <c r="EAZ276" s="580"/>
      <c r="EBA276" s="580"/>
      <c r="EBB276" s="580"/>
      <c r="EBC276" s="580"/>
      <c r="EBD276" s="580"/>
      <c r="EBE276" s="580"/>
      <c r="EBF276" s="580"/>
      <c r="EBG276" s="580"/>
      <c r="EBH276" s="580"/>
      <c r="EBI276" s="580"/>
      <c r="EBJ276" s="580"/>
      <c r="EBK276" s="580"/>
      <c r="EBL276" s="580"/>
      <c r="EBM276" s="580"/>
      <c r="EBN276" s="580"/>
      <c r="EBO276" s="580"/>
      <c r="EBP276" s="580"/>
      <c r="EBQ276" s="580"/>
      <c r="EBR276" s="580"/>
      <c r="EBS276" s="580"/>
      <c r="EBT276" s="580"/>
      <c r="EBU276" s="580"/>
      <c r="EBV276" s="580"/>
      <c r="EBW276" s="580"/>
      <c r="EBX276" s="580"/>
      <c r="EBY276" s="580"/>
      <c r="EBZ276" s="580"/>
      <c r="ECA276" s="580"/>
      <c r="ECB276" s="580"/>
      <c r="ECC276" s="580"/>
      <c r="ECD276" s="580"/>
      <c r="ECE276" s="580"/>
      <c r="ECF276" s="580"/>
      <c r="ECG276" s="580"/>
      <c r="ECH276" s="580"/>
      <c r="ECI276" s="580"/>
      <c r="ECJ276" s="580"/>
      <c r="ECK276" s="580"/>
      <c r="ECL276" s="580"/>
      <c r="ECM276" s="580"/>
      <c r="ECN276" s="580"/>
      <c r="ECO276" s="580"/>
      <c r="ECP276" s="580"/>
      <c r="ECQ276" s="580"/>
      <c r="ECR276" s="580"/>
      <c r="ECS276" s="580"/>
      <c r="ECT276" s="580"/>
      <c r="ECU276" s="580"/>
      <c r="ECV276" s="580"/>
      <c r="ECW276" s="580"/>
      <c r="ECX276" s="580"/>
      <c r="ECY276" s="580"/>
      <c r="ECZ276" s="580"/>
      <c r="EDA276" s="580"/>
      <c r="EDB276" s="580"/>
      <c r="EDC276" s="580"/>
      <c r="EDD276" s="580"/>
      <c r="EDE276" s="580"/>
      <c r="EDF276" s="580"/>
      <c r="EDG276" s="580"/>
      <c r="EDH276" s="580"/>
      <c r="EDI276" s="580"/>
      <c r="EDJ276" s="580"/>
      <c r="EDK276" s="580"/>
      <c r="EDL276" s="580"/>
      <c r="EDM276" s="580"/>
      <c r="EDN276" s="580"/>
      <c r="EDO276" s="580"/>
      <c r="EDP276" s="580"/>
      <c r="EDQ276" s="580"/>
      <c r="EDR276" s="580"/>
      <c r="EDS276" s="580"/>
      <c r="EDT276" s="580"/>
      <c r="EDU276" s="580"/>
      <c r="EDV276" s="580"/>
      <c r="EDW276" s="580"/>
      <c r="EDX276" s="580"/>
      <c r="EDY276" s="580"/>
      <c r="EDZ276" s="580"/>
      <c r="EEA276" s="580"/>
      <c r="EEB276" s="580"/>
      <c r="EEC276" s="580"/>
      <c r="EED276" s="580"/>
      <c r="EEE276" s="580"/>
      <c r="EEF276" s="580"/>
      <c r="EEG276" s="580"/>
      <c r="EEH276" s="580"/>
      <c r="EEI276" s="580"/>
      <c r="EEJ276" s="580"/>
      <c r="EEK276" s="580"/>
      <c r="EEL276" s="580"/>
      <c r="EEM276" s="580"/>
      <c r="EEN276" s="580"/>
      <c r="EEO276" s="580"/>
      <c r="EEP276" s="580"/>
      <c r="EEQ276" s="580"/>
      <c r="EER276" s="580"/>
      <c r="EES276" s="580"/>
      <c r="EET276" s="580"/>
      <c r="EEU276" s="580"/>
      <c r="EEV276" s="580"/>
      <c r="EEW276" s="580"/>
      <c r="EEX276" s="580"/>
      <c r="EEY276" s="580"/>
      <c r="EEZ276" s="580"/>
      <c r="EFA276" s="580"/>
      <c r="EFB276" s="580"/>
      <c r="EFC276" s="580"/>
      <c r="EFD276" s="580"/>
      <c r="EFE276" s="580"/>
      <c r="EFF276" s="580"/>
      <c r="EFG276" s="580"/>
      <c r="EFH276" s="580"/>
      <c r="EFI276" s="580"/>
      <c r="EFJ276" s="580"/>
      <c r="EFK276" s="580"/>
      <c r="EFL276" s="580"/>
      <c r="EFM276" s="580"/>
      <c r="EFN276" s="580"/>
      <c r="EFO276" s="580"/>
      <c r="EFP276" s="580"/>
      <c r="EFQ276" s="580"/>
      <c r="EFR276" s="580"/>
      <c r="EFS276" s="580"/>
      <c r="EFT276" s="580"/>
      <c r="EFU276" s="580"/>
      <c r="EFV276" s="580"/>
      <c r="EFW276" s="580"/>
      <c r="EFX276" s="580"/>
      <c r="EFY276" s="580"/>
      <c r="EFZ276" s="580"/>
      <c r="EGA276" s="580"/>
      <c r="EGB276" s="580"/>
      <c r="EGC276" s="580"/>
      <c r="EGD276" s="580"/>
      <c r="EGE276" s="580"/>
      <c r="EGF276" s="580"/>
      <c r="EGG276" s="580"/>
      <c r="EGH276" s="580"/>
      <c r="EGI276" s="580"/>
      <c r="EGJ276" s="580"/>
      <c r="EGK276" s="580"/>
      <c r="EGL276" s="580"/>
      <c r="EGM276" s="580"/>
      <c r="EGN276" s="580"/>
      <c r="EGO276" s="580"/>
      <c r="EGP276" s="580"/>
      <c r="EGQ276" s="580"/>
      <c r="EGR276" s="580"/>
      <c r="EGS276" s="580"/>
      <c r="EGT276" s="580"/>
      <c r="EGU276" s="580"/>
      <c r="EGV276" s="580"/>
      <c r="EGW276" s="580"/>
      <c r="EGX276" s="580"/>
      <c r="EGY276" s="580"/>
      <c r="EGZ276" s="580"/>
      <c r="EHA276" s="580"/>
      <c r="EHB276" s="580"/>
      <c r="EHC276" s="580"/>
      <c r="EHD276" s="580"/>
      <c r="EHE276" s="580"/>
      <c r="EHF276" s="580"/>
      <c r="EHG276" s="580"/>
      <c r="EHH276" s="580"/>
      <c r="EHI276" s="580"/>
      <c r="EHJ276" s="580"/>
      <c r="EHK276" s="580"/>
      <c r="EHL276" s="580"/>
      <c r="EHM276" s="580"/>
      <c r="EHN276" s="580"/>
      <c r="EHO276" s="580"/>
      <c r="EHP276" s="580"/>
      <c r="EHQ276" s="580"/>
      <c r="EHR276" s="580"/>
      <c r="EHS276" s="580"/>
      <c r="EHT276" s="580"/>
      <c r="EHU276" s="580"/>
      <c r="EHV276" s="580"/>
      <c r="EHW276" s="580"/>
      <c r="EHX276" s="580"/>
      <c r="EHY276" s="580"/>
      <c r="EHZ276" s="580"/>
      <c r="EIA276" s="580"/>
      <c r="EIB276" s="580"/>
      <c r="EIC276" s="580"/>
      <c r="EID276" s="580"/>
      <c r="EIE276" s="580"/>
      <c r="EIF276" s="580"/>
      <c r="EIG276" s="580"/>
      <c r="EIH276" s="580"/>
      <c r="EII276" s="580"/>
      <c r="EIJ276" s="580"/>
      <c r="EIK276" s="580"/>
      <c r="EIL276" s="580"/>
      <c r="EIM276" s="580"/>
      <c r="EIN276" s="580"/>
      <c r="EIO276" s="580"/>
      <c r="EIP276" s="580"/>
      <c r="EIQ276" s="580"/>
      <c r="EIR276" s="580"/>
      <c r="EIS276" s="580"/>
      <c r="EIT276" s="580"/>
      <c r="EIU276" s="580"/>
      <c r="EIV276" s="580"/>
      <c r="EIW276" s="580"/>
      <c r="EIX276" s="580"/>
      <c r="EIY276" s="580"/>
      <c r="EIZ276" s="580"/>
      <c r="EJA276" s="580"/>
      <c r="EJB276" s="580"/>
      <c r="EJC276" s="580"/>
      <c r="EJD276" s="580"/>
      <c r="EJE276" s="580"/>
      <c r="EJF276" s="580"/>
      <c r="EJG276" s="580"/>
      <c r="EJH276" s="580"/>
      <c r="EJI276" s="580"/>
      <c r="EJJ276" s="580"/>
      <c r="EJK276" s="580"/>
      <c r="EJL276" s="580"/>
      <c r="EJM276" s="580"/>
      <c r="EJN276" s="580"/>
      <c r="EJO276" s="580"/>
      <c r="EJP276" s="580"/>
      <c r="EJQ276" s="580"/>
      <c r="EJR276" s="580"/>
      <c r="EJS276" s="580"/>
      <c r="EJT276" s="580"/>
      <c r="EJU276" s="580"/>
      <c r="EJV276" s="580"/>
      <c r="EJW276" s="580"/>
      <c r="EJX276" s="580"/>
      <c r="EJY276" s="580"/>
      <c r="EJZ276" s="580"/>
      <c r="EKA276" s="580"/>
      <c r="EKB276" s="580"/>
      <c r="EKC276" s="580"/>
      <c r="EKD276" s="580"/>
      <c r="EKE276" s="580"/>
      <c r="EKF276" s="580"/>
      <c r="EKG276" s="580"/>
      <c r="EKH276" s="580"/>
      <c r="EKI276" s="580"/>
      <c r="EKJ276" s="580"/>
      <c r="EKK276" s="580"/>
      <c r="EKL276" s="580"/>
      <c r="EKM276" s="580"/>
      <c r="EKN276" s="580"/>
      <c r="EKO276" s="580"/>
      <c r="EKP276" s="580"/>
      <c r="EKQ276" s="580"/>
      <c r="EKR276" s="580"/>
      <c r="EKS276" s="580"/>
      <c r="EKT276" s="580"/>
      <c r="EKU276" s="580"/>
      <c r="EKV276" s="580"/>
      <c r="EKW276" s="580"/>
      <c r="EKX276" s="580"/>
      <c r="EKY276" s="580"/>
      <c r="EKZ276" s="580"/>
      <c r="ELA276" s="580"/>
      <c r="ELB276" s="580"/>
      <c r="ELC276" s="580"/>
      <c r="ELD276" s="580"/>
      <c r="ELE276" s="580"/>
      <c r="ELF276" s="580"/>
      <c r="ELG276" s="580"/>
      <c r="ELH276" s="580"/>
      <c r="ELI276" s="580"/>
      <c r="ELJ276" s="580"/>
      <c r="ELK276" s="580"/>
      <c r="ELL276" s="580"/>
      <c r="ELM276" s="580"/>
      <c r="ELN276" s="580"/>
      <c r="ELO276" s="580"/>
      <c r="ELP276" s="580"/>
      <c r="ELQ276" s="580"/>
      <c r="ELR276" s="580"/>
      <c r="ELS276" s="580"/>
      <c r="ELT276" s="580"/>
      <c r="ELU276" s="580"/>
      <c r="ELV276" s="580"/>
      <c r="ELW276" s="580"/>
      <c r="ELX276" s="580"/>
      <c r="ELY276" s="580"/>
      <c r="ELZ276" s="580"/>
      <c r="EMA276" s="580"/>
      <c r="EMB276" s="580"/>
      <c r="EMC276" s="580"/>
      <c r="EMD276" s="580"/>
      <c r="EME276" s="580"/>
      <c r="EMF276" s="580"/>
      <c r="EMG276" s="580"/>
      <c r="EMH276" s="580"/>
      <c r="EMI276" s="580"/>
      <c r="EMJ276" s="580"/>
      <c r="EMK276" s="580"/>
      <c r="EML276" s="580"/>
      <c r="EMM276" s="580"/>
      <c r="EMN276" s="580"/>
      <c r="EMO276" s="580"/>
      <c r="EMP276" s="580"/>
      <c r="EMQ276" s="580"/>
      <c r="EMR276" s="580"/>
      <c r="EMS276" s="580"/>
      <c r="EMT276" s="580"/>
      <c r="EMU276" s="580"/>
      <c r="EMV276" s="580"/>
      <c r="EMW276" s="580"/>
      <c r="EMX276" s="580"/>
      <c r="EMY276" s="580"/>
      <c r="EMZ276" s="580"/>
      <c r="ENA276" s="580"/>
      <c r="ENB276" s="580"/>
      <c r="ENC276" s="580"/>
      <c r="END276" s="580"/>
      <c r="ENE276" s="580"/>
      <c r="ENF276" s="580"/>
      <c r="ENG276" s="580"/>
      <c r="ENH276" s="580"/>
      <c r="ENI276" s="580"/>
      <c r="ENJ276" s="580"/>
      <c r="ENK276" s="580"/>
      <c r="ENL276" s="580"/>
      <c r="ENM276" s="580"/>
      <c r="ENN276" s="580"/>
      <c r="ENO276" s="580"/>
      <c r="ENP276" s="580"/>
      <c r="ENQ276" s="580"/>
      <c r="ENR276" s="580"/>
      <c r="ENS276" s="580"/>
      <c r="ENT276" s="580"/>
      <c r="ENU276" s="580"/>
      <c r="ENV276" s="580"/>
      <c r="ENW276" s="580"/>
      <c r="ENX276" s="580"/>
      <c r="ENY276" s="580"/>
      <c r="ENZ276" s="580"/>
      <c r="EOA276" s="580"/>
      <c r="EOB276" s="580"/>
      <c r="EOC276" s="580"/>
      <c r="EOD276" s="580"/>
      <c r="EOE276" s="580"/>
      <c r="EOF276" s="580"/>
      <c r="EOG276" s="580"/>
      <c r="EOH276" s="580"/>
      <c r="EOI276" s="580"/>
      <c r="EOJ276" s="580"/>
      <c r="EOK276" s="580"/>
      <c r="EOL276" s="580"/>
      <c r="EOM276" s="580"/>
      <c r="EON276" s="580"/>
      <c r="EOO276" s="580"/>
      <c r="EOP276" s="580"/>
      <c r="EOQ276" s="580"/>
      <c r="EOR276" s="580"/>
      <c r="EOS276" s="580"/>
      <c r="EOT276" s="580"/>
      <c r="EOU276" s="580"/>
      <c r="EOV276" s="580"/>
      <c r="EOW276" s="580"/>
      <c r="EOX276" s="580"/>
      <c r="EOY276" s="580"/>
      <c r="EOZ276" s="580"/>
      <c r="EPA276" s="580"/>
      <c r="EPB276" s="580"/>
      <c r="EPC276" s="580"/>
      <c r="EPD276" s="580"/>
      <c r="EPE276" s="580"/>
      <c r="EPF276" s="580"/>
      <c r="EPG276" s="580"/>
      <c r="EPH276" s="580"/>
      <c r="EPI276" s="580"/>
      <c r="EPJ276" s="580"/>
      <c r="EPK276" s="580"/>
      <c r="EPL276" s="580"/>
      <c r="EPM276" s="580"/>
      <c r="EPN276" s="580"/>
      <c r="EPO276" s="580"/>
      <c r="EPP276" s="580"/>
      <c r="EPQ276" s="580"/>
      <c r="EPR276" s="580"/>
      <c r="EPS276" s="580"/>
      <c r="EPT276" s="580"/>
      <c r="EPU276" s="580"/>
      <c r="EPV276" s="580"/>
      <c r="EPW276" s="580"/>
      <c r="EPX276" s="580"/>
      <c r="EPY276" s="580"/>
      <c r="EPZ276" s="580"/>
      <c r="EQA276" s="580"/>
      <c r="EQB276" s="580"/>
      <c r="EQC276" s="580"/>
      <c r="EQD276" s="580"/>
      <c r="EQE276" s="580"/>
      <c r="EQF276" s="580"/>
      <c r="EQG276" s="580"/>
      <c r="EQH276" s="580"/>
      <c r="EQI276" s="580"/>
      <c r="EQJ276" s="580"/>
      <c r="EQK276" s="580"/>
      <c r="EQL276" s="580"/>
      <c r="EQM276" s="580"/>
      <c r="EQN276" s="580"/>
      <c r="EQO276" s="580"/>
      <c r="EQP276" s="580"/>
      <c r="EQQ276" s="580"/>
      <c r="EQR276" s="580"/>
      <c r="EQS276" s="580"/>
      <c r="EQT276" s="580"/>
      <c r="EQU276" s="580"/>
      <c r="EQV276" s="580"/>
      <c r="EQW276" s="580"/>
      <c r="EQX276" s="580"/>
      <c r="EQY276" s="580"/>
      <c r="EQZ276" s="580"/>
      <c r="ERA276" s="580"/>
      <c r="ERB276" s="580"/>
      <c r="ERC276" s="580"/>
      <c r="ERD276" s="580"/>
      <c r="ERE276" s="580"/>
      <c r="ERF276" s="580"/>
      <c r="ERG276" s="580"/>
      <c r="ERH276" s="580"/>
      <c r="ERI276" s="580"/>
      <c r="ERJ276" s="580"/>
      <c r="ERK276" s="580"/>
      <c r="ERL276" s="580"/>
      <c r="ERM276" s="580"/>
      <c r="ERN276" s="580"/>
      <c r="ERO276" s="580"/>
      <c r="ERP276" s="580"/>
      <c r="ERQ276" s="580"/>
      <c r="ERR276" s="580"/>
      <c r="ERS276" s="580"/>
      <c r="ERT276" s="580"/>
      <c r="ERU276" s="580"/>
      <c r="ERV276" s="580"/>
      <c r="ERW276" s="580"/>
      <c r="ERX276" s="580"/>
      <c r="ERY276" s="580"/>
      <c r="ERZ276" s="580"/>
      <c r="ESA276" s="580"/>
      <c r="ESB276" s="580"/>
      <c r="ESC276" s="580"/>
      <c r="ESD276" s="580"/>
      <c r="ESE276" s="580"/>
      <c r="ESF276" s="580"/>
      <c r="ESG276" s="580"/>
      <c r="ESH276" s="580"/>
      <c r="ESI276" s="580"/>
      <c r="ESJ276" s="580"/>
      <c r="ESK276" s="580"/>
      <c r="ESL276" s="580"/>
      <c r="ESM276" s="580"/>
      <c r="ESN276" s="580"/>
      <c r="ESO276" s="580"/>
      <c r="ESP276" s="580"/>
      <c r="ESQ276" s="580"/>
      <c r="ESR276" s="580"/>
      <c r="ESS276" s="580"/>
      <c r="EST276" s="580"/>
      <c r="ESU276" s="580"/>
      <c r="ESV276" s="580"/>
      <c r="ESW276" s="580"/>
      <c r="ESX276" s="580"/>
      <c r="ESY276" s="580"/>
      <c r="ESZ276" s="580"/>
      <c r="ETA276" s="580"/>
      <c r="ETB276" s="580"/>
      <c r="ETC276" s="580"/>
      <c r="ETD276" s="580"/>
      <c r="ETE276" s="580"/>
      <c r="ETF276" s="580"/>
      <c r="ETG276" s="580"/>
      <c r="ETH276" s="580"/>
      <c r="ETI276" s="580"/>
      <c r="ETJ276" s="580"/>
      <c r="ETK276" s="580"/>
      <c r="ETL276" s="580"/>
      <c r="ETM276" s="580"/>
      <c r="ETN276" s="580"/>
      <c r="ETO276" s="580"/>
      <c r="ETP276" s="580"/>
      <c r="ETQ276" s="580"/>
      <c r="ETR276" s="580"/>
      <c r="ETS276" s="580"/>
      <c r="ETT276" s="580"/>
      <c r="ETU276" s="580"/>
      <c r="ETV276" s="580"/>
      <c r="ETW276" s="580"/>
      <c r="ETX276" s="580"/>
      <c r="ETY276" s="580"/>
      <c r="ETZ276" s="580"/>
      <c r="EUA276" s="580"/>
      <c r="EUB276" s="580"/>
      <c r="EUC276" s="580"/>
      <c r="EUD276" s="580"/>
      <c r="EUE276" s="580"/>
      <c r="EUF276" s="580"/>
      <c r="EUG276" s="580"/>
      <c r="EUH276" s="580"/>
      <c r="EUI276" s="580"/>
      <c r="EUJ276" s="580"/>
      <c r="EUK276" s="580"/>
      <c r="EUL276" s="580"/>
      <c r="EUM276" s="580"/>
      <c r="EUN276" s="580"/>
      <c r="EUO276" s="580"/>
      <c r="EUP276" s="580"/>
      <c r="EUQ276" s="580"/>
      <c r="EUR276" s="580"/>
      <c r="EUS276" s="580"/>
      <c r="EUT276" s="580"/>
      <c r="EUU276" s="580"/>
      <c r="EUV276" s="580"/>
      <c r="EUW276" s="580"/>
      <c r="EUX276" s="580"/>
      <c r="EUY276" s="580"/>
      <c r="EUZ276" s="580"/>
      <c r="EVA276" s="580"/>
      <c r="EVB276" s="580"/>
      <c r="EVC276" s="580"/>
      <c r="EVD276" s="580"/>
      <c r="EVE276" s="580"/>
      <c r="EVF276" s="580"/>
      <c r="EVG276" s="580"/>
      <c r="EVH276" s="580"/>
      <c r="EVI276" s="580"/>
      <c r="EVJ276" s="580"/>
      <c r="EVK276" s="580"/>
      <c r="EVL276" s="580"/>
      <c r="EVM276" s="580"/>
      <c r="EVN276" s="580"/>
      <c r="EVO276" s="580"/>
      <c r="EVP276" s="580"/>
      <c r="EVQ276" s="580"/>
      <c r="EVR276" s="580"/>
      <c r="EVS276" s="580"/>
      <c r="EVT276" s="580"/>
      <c r="EVU276" s="580"/>
      <c r="EVV276" s="580"/>
      <c r="EVW276" s="580"/>
      <c r="EVX276" s="580"/>
      <c r="EVY276" s="580"/>
      <c r="EVZ276" s="580"/>
      <c r="EWA276" s="580"/>
      <c r="EWB276" s="580"/>
      <c r="EWC276" s="580"/>
      <c r="EWD276" s="580"/>
      <c r="EWE276" s="580"/>
      <c r="EWF276" s="580"/>
      <c r="EWG276" s="580"/>
      <c r="EWH276" s="580"/>
      <c r="EWI276" s="580"/>
      <c r="EWJ276" s="580"/>
      <c r="EWK276" s="580"/>
      <c r="EWL276" s="580"/>
      <c r="EWM276" s="580"/>
      <c r="EWN276" s="580"/>
      <c r="EWO276" s="580"/>
      <c r="EWP276" s="580"/>
      <c r="EWQ276" s="580"/>
      <c r="EWR276" s="580"/>
      <c r="EWS276" s="580"/>
      <c r="EWT276" s="580"/>
      <c r="EWU276" s="580"/>
      <c r="EWV276" s="580"/>
      <c r="EWW276" s="580"/>
      <c r="EWX276" s="580"/>
      <c r="EWY276" s="580"/>
      <c r="EWZ276" s="580"/>
      <c r="EXA276" s="580"/>
      <c r="EXB276" s="580"/>
      <c r="EXC276" s="580"/>
      <c r="EXD276" s="580"/>
      <c r="EXE276" s="580"/>
      <c r="EXF276" s="580"/>
      <c r="EXG276" s="580"/>
      <c r="EXH276" s="580"/>
      <c r="EXI276" s="580"/>
      <c r="EXJ276" s="580"/>
      <c r="EXK276" s="580"/>
      <c r="EXL276" s="580"/>
      <c r="EXM276" s="580"/>
      <c r="EXN276" s="580"/>
      <c r="EXO276" s="580"/>
      <c r="EXP276" s="580"/>
      <c r="EXQ276" s="580"/>
      <c r="EXR276" s="580"/>
      <c r="EXS276" s="580"/>
      <c r="EXT276" s="580"/>
      <c r="EXU276" s="580"/>
      <c r="EXV276" s="580"/>
      <c r="EXW276" s="580"/>
      <c r="EXX276" s="580"/>
      <c r="EXY276" s="580"/>
      <c r="EXZ276" s="580"/>
      <c r="EYA276" s="580"/>
      <c r="EYB276" s="580"/>
      <c r="EYC276" s="580"/>
      <c r="EYD276" s="580"/>
      <c r="EYE276" s="580"/>
      <c r="EYF276" s="580"/>
      <c r="EYG276" s="580"/>
      <c r="EYH276" s="580"/>
      <c r="EYI276" s="580"/>
      <c r="EYJ276" s="580"/>
      <c r="EYK276" s="580"/>
      <c r="EYL276" s="580"/>
      <c r="EYM276" s="580"/>
      <c r="EYN276" s="580"/>
      <c r="EYO276" s="580"/>
      <c r="EYP276" s="580"/>
      <c r="EYQ276" s="580"/>
      <c r="EYR276" s="580"/>
      <c r="EYS276" s="580"/>
      <c r="EYT276" s="580"/>
      <c r="EYU276" s="580"/>
      <c r="EYV276" s="580"/>
      <c r="EYW276" s="580"/>
      <c r="EYX276" s="580"/>
      <c r="EYY276" s="580"/>
      <c r="EYZ276" s="580"/>
      <c r="EZA276" s="580"/>
      <c r="EZB276" s="580"/>
      <c r="EZC276" s="580"/>
      <c r="EZD276" s="580"/>
      <c r="EZE276" s="580"/>
      <c r="EZF276" s="580"/>
      <c r="EZG276" s="580"/>
      <c r="EZH276" s="580"/>
      <c r="EZI276" s="580"/>
      <c r="EZJ276" s="580"/>
      <c r="EZK276" s="580"/>
      <c r="EZL276" s="580"/>
      <c r="EZM276" s="580"/>
      <c r="EZN276" s="580"/>
      <c r="EZO276" s="580"/>
      <c r="EZP276" s="580"/>
      <c r="EZQ276" s="580"/>
      <c r="EZR276" s="580"/>
      <c r="EZS276" s="580"/>
      <c r="EZT276" s="580"/>
      <c r="EZU276" s="580"/>
      <c r="EZV276" s="580"/>
      <c r="EZW276" s="580"/>
      <c r="EZX276" s="580"/>
      <c r="EZY276" s="580"/>
      <c r="EZZ276" s="580"/>
      <c r="FAA276" s="580"/>
      <c r="FAB276" s="580"/>
      <c r="FAC276" s="580"/>
      <c r="FAD276" s="580"/>
      <c r="FAE276" s="580"/>
      <c r="FAF276" s="580"/>
      <c r="FAG276" s="580"/>
      <c r="FAH276" s="580"/>
      <c r="FAI276" s="580"/>
      <c r="FAJ276" s="580"/>
      <c r="FAK276" s="580"/>
      <c r="FAL276" s="580"/>
      <c r="FAM276" s="580"/>
      <c r="FAN276" s="580"/>
      <c r="FAO276" s="580"/>
      <c r="FAP276" s="580"/>
      <c r="FAQ276" s="580"/>
      <c r="FAR276" s="580"/>
      <c r="FAS276" s="580"/>
      <c r="FAT276" s="580"/>
      <c r="FAU276" s="580"/>
      <c r="FAV276" s="580"/>
      <c r="FAW276" s="580"/>
      <c r="FAX276" s="580"/>
      <c r="FAY276" s="580"/>
      <c r="FAZ276" s="580"/>
      <c r="FBA276" s="580"/>
      <c r="FBB276" s="580"/>
      <c r="FBC276" s="580"/>
      <c r="FBD276" s="580"/>
      <c r="FBE276" s="580"/>
      <c r="FBF276" s="580"/>
      <c r="FBG276" s="580"/>
      <c r="FBH276" s="580"/>
      <c r="FBI276" s="580"/>
      <c r="FBJ276" s="580"/>
      <c r="FBK276" s="580"/>
      <c r="FBL276" s="580"/>
      <c r="FBM276" s="580"/>
      <c r="FBN276" s="580"/>
      <c r="FBO276" s="580"/>
      <c r="FBP276" s="580"/>
      <c r="FBQ276" s="580"/>
      <c r="FBR276" s="580"/>
      <c r="FBS276" s="580"/>
      <c r="FBT276" s="580"/>
      <c r="FBU276" s="580"/>
      <c r="FBV276" s="580"/>
      <c r="FBW276" s="580"/>
      <c r="FBX276" s="580"/>
      <c r="FBY276" s="580"/>
      <c r="FBZ276" s="580"/>
      <c r="FCA276" s="580"/>
      <c r="FCB276" s="580"/>
      <c r="FCC276" s="580"/>
      <c r="FCD276" s="580"/>
      <c r="FCE276" s="580"/>
      <c r="FCF276" s="580"/>
      <c r="FCG276" s="580"/>
      <c r="FCH276" s="580"/>
      <c r="FCI276" s="580"/>
      <c r="FCJ276" s="580"/>
      <c r="FCK276" s="580"/>
      <c r="FCL276" s="580"/>
      <c r="FCM276" s="580"/>
      <c r="FCN276" s="580"/>
      <c r="FCO276" s="580"/>
      <c r="FCP276" s="580"/>
      <c r="FCQ276" s="580"/>
      <c r="FCR276" s="580"/>
      <c r="FCS276" s="580"/>
      <c r="FCT276" s="580"/>
      <c r="FCU276" s="580"/>
      <c r="FCV276" s="580"/>
      <c r="FCW276" s="580"/>
      <c r="FCX276" s="580"/>
      <c r="FCY276" s="580"/>
      <c r="FCZ276" s="580"/>
      <c r="FDA276" s="580"/>
      <c r="FDB276" s="580"/>
      <c r="FDC276" s="580"/>
      <c r="FDD276" s="580"/>
      <c r="FDE276" s="580"/>
      <c r="FDF276" s="580"/>
      <c r="FDG276" s="580"/>
      <c r="FDH276" s="580"/>
      <c r="FDI276" s="580"/>
      <c r="FDJ276" s="580"/>
      <c r="FDK276" s="580"/>
      <c r="FDL276" s="580"/>
      <c r="FDM276" s="580"/>
      <c r="FDN276" s="580"/>
      <c r="FDO276" s="580"/>
      <c r="FDP276" s="580"/>
      <c r="FDQ276" s="580"/>
      <c r="FDR276" s="580"/>
      <c r="FDS276" s="580"/>
      <c r="FDT276" s="580"/>
      <c r="FDU276" s="580"/>
      <c r="FDV276" s="580"/>
      <c r="FDW276" s="580"/>
      <c r="FDX276" s="580"/>
      <c r="FDY276" s="580"/>
      <c r="FDZ276" s="580"/>
      <c r="FEA276" s="580"/>
      <c r="FEB276" s="580"/>
      <c r="FEC276" s="580"/>
      <c r="FED276" s="580"/>
      <c r="FEE276" s="580"/>
      <c r="FEF276" s="580"/>
      <c r="FEG276" s="580"/>
      <c r="FEH276" s="580"/>
      <c r="FEI276" s="580"/>
      <c r="FEJ276" s="580"/>
      <c r="FEK276" s="580"/>
      <c r="FEL276" s="580"/>
      <c r="FEM276" s="580"/>
      <c r="FEN276" s="580"/>
      <c r="FEO276" s="580"/>
      <c r="FEP276" s="580"/>
      <c r="FEQ276" s="580"/>
      <c r="FER276" s="580"/>
      <c r="FES276" s="580"/>
      <c r="FET276" s="580"/>
      <c r="FEU276" s="580"/>
      <c r="FEV276" s="580"/>
      <c r="FEW276" s="580"/>
      <c r="FEX276" s="580"/>
      <c r="FEY276" s="580"/>
      <c r="FEZ276" s="580"/>
      <c r="FFA276" s="580"/>
      <c r="FFB276" s="580"/>
      <c r="FFC276" s="580"/>
      <c r="FFD276" s="580"/>
      <c r="FFE276" s="580"/>
      <c r="FFF276" s="580"/>
      <c r="FFG276" s="580"/>
      <c r="FFH276" s="580"/>
      <c r="FFI276" s="580"/>
      <c r="FFJ276" s="580"/>
      <c r="FFK276" s="580"/>
      <c r="FFL276" s="580"/>
      <c r="FFM276" s="580"/>
      <c r="FFN276" s="580"/>
      <c r="FFO276" s="580"/>
      <c r="FFP276" s="580"/>
      <c r="FFQ276" s="580"/>
      <c r="FFR276" s="580"/>
      <c r="FFS276" s="580"/>
      <c r="FFT276" s="580"/>
      <c r="FFU276" s="580"/>
      <c r="FFV276" s="580"/>
      <c r="FFW276" s="580"/>
      <c r="FFX276" s="580"/>
      <c r="FFY276" s="580"/>
      <c r="FFZ276" s="580"/>
      <c r="FGA276" s="580"/>
      <c r="FGB276" s="580"/>
      <c r="FGC276" s="580"/>
      <c r="FGD276" s="580"/>
      <c r="FGE276" s="580"/>
      <c r="FGF276" s="580"/>
      <c r="FGG276" s="580"/>
      <c r="FGH276" s="580"/>
      <c r="FGI276" s="580"/>
      <c r="FGJ276" s="580"/>
      <c r="FGK276" s="580"/>
      <c r="FGL276" s="580"/>
      <c r="FGM276" s="580"/>
      <c r="FGN276" s="580"/>
      <c r="FGO276" s="580"/>
      <c r="FGP276" s="580"/>
      <c r="FGQ276" s="580"/>
      <c r="FGR276" s="580"/>
      <c r="FGS276" s="580"/>
      <c r="FGT276" s="580"/>
      <c r="FGU276" s="580"/>
      <c r="FGV276" s="580"/>
      <c r="FGW276" s="580"/>
      <c r="FGX276" s="580"/>
      <c r="FGY276" s="580"/>
      <c r="FGZ276" s="580"/>
      <c r="FHA276" s="580"/>
      <c r="FHB276" s="580"/>
      <c r="FHC276" s="580"/>
      <c r="FHD276" s="580"/>
      <c r="FHE276" s="580"/>
      <c r="FHF276" s="580"/>
      <c r="FHG276" s="580"/>
      <c r="FHH276" s="580"/>
      <c r="FHI276" s="580"/>
      <c r="FHJ276" s="580"/>
      <c r="FHK276" s="580"/>
      <c r="FHL276" s="580"/>
      <c r="FHM276" s="580"/>
      <c r="FHN276" s="580"/>
      <c r="FHO276" s="580"/>
      <c r="FHP276" s="580"/>
      <c r="FHQ276" s="580"/>
      <c r="FHR276" s="580"/>
      <c r="FHS276" s="580"/>
      <c r="FHT276" s="580"/>
      <c r="FHU276" s="580"/>
      <c r="FHV276" s="580"/>
      <c r="FHW276" s="580"/>
      <c r="FHX276" s="580"/>
      <c r="FHY276" s="580"/>
      <c r="FHZ276" s="580"/>
      <c r="FIA276" s="580"/>
      <c r="FIB276" s="580"/>
      <c r="FIC276" s="580"/>
      <c r="FID276" s="580"/>
      <c r="FIE276" s="580"/>
      <c r="FIF276" s="580"/>
      <c r="FIG276" s="580"/>
      <c r="FIH276" s="580"/>
      <c r="FII276" s="580"/>
      <c r="FIJ276" s="580"/>
      <c r="FIK276" s="580"/>
      <c r="FIL276" s="580"/>
      <c r="FIM276" s="580"/>
      <c r="FIN276" s="580"/>
      <c r="FIO276" s="580"/>
      <c r="FIP276" s="580"/>
      <c r="FIQ276" s="580"/>
      <c r="FIR276" s="580"/>
      <c r="FIS276" s="580"/>
      <c r="FIT276" s="580"/>
      <c r="FIU276" s="580"/>
      <c r="FIV276" s="580"/>
      <c r="FIW276" s="580"/>
      <c r="FIX276" s="580"/>
      <c r="FIY276" s="580"/>
      <c r="FIZ276" s="580"/>
      <c r="FJA276" s="580"/>
      <c r="FJB276" s="580"/>
      <c r="FJC276" s="580"/>
      <c r="FJD276" s="580"/>
      <c r="FJE276" s="580"/>
      <c r="FJF276" s="580"/>
      <c r="FJG276" s="580"/>
      <c r="FJH276" s="580"/>
      <c r="FJI276" s="580"/>
      <c r="FJJ276" s="580"/>
      <c r="FJK276" s="580"/>
      <c r="FJL276" s="580"/>
      <c r="FJM276" s="580"/>
      <c r="FJN276" s="580"/>
      <c r="FJO276" s="580"/>
      <c r="FJP276" s="580"/>
      <c r="FJQ276" s="580"/>
      <c r="FJR276" s="580"/>
      <c r="FJS276" s="580"/>
      <c r="FJT276" s="580"/>
      <c r="FJU276" s="580"/>
      <c r="FJV276" s="580"/>
      <c r="FJW276" s="580"/>
      <c r="FJX276" s="580"/>
      <c r="FJY276" s="580"/>
      <c r="FJZ276" s="580"/>
      <c r="FKA276" s="580"/>
      <c r="FKB276" s="580"/>
      <c r="FKC276" s="580"/>
      <c r="FKD276" s="580"/>
      <c r="FKE276" s="580"/>
      <c r="FKF276" s="580"/>
      <c r="FKG276" s="580"/>
      <c r="FKH276" s="580"/>
      <c r="FKI276" s="580"/>
      <c r="FKJ276" s="580"/>
      <c r="FKK276" s="580"/>
      <c r="FKL276" s="580"/>
      <c r="FKM276" s="580"/>
      <c r="FKN276" s="580"/>
      <c r="FKO276" s="580"/>
      <c r="FKP276" s="580"/>
      <c r="FKQ276" s="580"/>
      <c r="FKR276" s="580"/>
      <c r="FKS276" s="580"/>
      <c r="FKT276" s="580"/>
      <c r="FKU276" s="580"/>
      <c r="FKV276" s="580"/>
      <c r="FKW276" s="580"/>
      <c r="FKX276" s="580"/>
      <c r="FKY276" s="580"/>
      <c r="FKZ276" s="580"/>
      <c r="FLA276" s="580"/>
      <c r="FLB276" s="580"/>
      <c r="FLC276" s="580"/>
      <c r="FLD276" s="580"/>
      <c r="FLE276" s="580"/>
      <c r="FLF276" s="580"/>
      <c r="FLG276" s="580"/>
      <c r="FLH276" s="580"/>
      <c r="FLI276" s="580"/>
      <c r="FLJ276" s="580"/>
      <c r="FLK276" s="580"/>
      <c r="FLL276" s="580"/>
      <c r="FLM276" s="580"/>
      <c r="FLN276" s="580"/>
      <c r="FLO276" s="580"/>
      <c r="FLP276" s="580"/>
      <c r="FLQ276" s="580"/>
      <c r="FLR276" s="580"/>
      <c r="FLS276" s="580"/>
      <c r="FLT276" s="580"/>
      <c r="FLU276" s="580"/>
      <c r="FLV276" s="580"/>
      <c r="FLW276" s="580"/>
      <c r="FLX276" s="580"/>
      <c r="FLY276" s="580"/>
      <c r="FLZ276" s="580"/>
      <c r="FMA276" s="580"/>
      <c r="FMB276" s="580"/>
      <c r="FMC276" s="580"/>
      <c r="FMD276" s="580"/>
      <c r="FME276" s="580"/>
      <c r="FMF276" s="580"/>
      <c r="FMG276" s="580"/>
      <c r="FMH276" s="580"/>
      <c r="FMI276" s="580"/>
      <c r="FMJ276" s="580"/>
      <c r="FMK276" s="580"/>
      <c r="FML276" s="580"/>
      <c r="FMM276" s="580"/>
      <c r="FMN276" s="580"/>
      <c r="FMO276" s="580"/>
      <c r="FMP276" s="580"/>
      <c r="FMQ276" s="580"/>
      <c r="FMR276" s="580"/>
      <c r="FMS276" s="580"/>
      <c r="FMT276" s="580"/>
      <c r="FMU276" s="580"/>
      <c r="FMV276" s="580"/>
      <c r="FMW276" s="580"/>
      <c r="FMX276" s="580"/>
      <c r="FMY276" s="580"/>
      <c r="FMZ276" s="580"/>
      <c r="FNA276" s="580"/>
      <c r="FNB276" s="580"/>
      <c r="FNC276" s="580"/>
      <c r="FND276" s="580"/>
      <c r="FNE276" s="580"/>
      <c r="FNF276" s="580"/>
      <c r="FNG276" s="580"/>
      <c r="FNH276" s="580"/>
      <c r="FNI276" s="580"/>
      <c r="FNJ276" s="580"/>
      <c r="FNK276" s="580"/>
      <c r="FNL276" s="580"/>
      <c r="FNM276" s="580"/>
      <c r="FNN276" s="580"/>
      <c r="FNO276" s="580"/>
      <c r="FNP276" s="580"/>
      <c r="FNQ276" s="580"/>
      <c r="FNR276" s="580"/>
      <c r="FNS276" s="580"/>
      <c r="FNT276" s="580"/>
      <c r="FNU276" s="580"/>
      <c r="FNV276" s="580"/>
      <c r="FNW276" s="580"/>
      <c r="FNX276" s="580"/>
      <c r="FNY276" s="580"/>
      <c r="FNZ276" s="580"/>
      <c r="FOA276" s="580"/>
      <c r="FOB276" s="580"/>
      <c r="FOC276" s="580"/>
      <c r="FOD276" s="580"/>
      <c r="FOE276" s="580"/>
      <c r="FOF276" s="580"/>
      <c r="FOG276" s="580"/>
      <c r="FOH276" s="580"/>
      <c r="FOI276" s="580"/>
      <c r="FOJ276" s="580"/>
      <c r="FOK276" s="580"/>
      <c r="FOL276" s="580"/>
      <c r="FOM276" s="580"/>
      <c r="FON276" s="580"/>
      <c r="FOO276" s="580"/>
      <c r="FOP276" s="580"/>
      <c r="FOQ276" s="580"/>
      <c r="FOR276" s="580"/>
      <c r="FOS276" s="580"/>
      <c r="FOT276" s="580"/>
      <c r="FOU276" s="580"/>
      <c r="FOV276" s="580"/>
      <c r="FOW276" s="580"/>
      <c r="FOX276" s="580"/>
      <c r="FOY276" s="580"/>
      <c r="FOZ276" s="580"/>
      <c r="FPA276" s="580"/>
      <c r="FPB276" s="580"/>
      <c r="FPC276" s="580"/>
      <c r="FPD276" s="580"/>
      <c r="FPE276" s="580"/>
      <c r="FPF276" s="580"/>
      <c r="FPG276" s="580"/>
      <c r="FPH276" s="580"/>
      <c r="FPI276" s="580"/>
      <c r="FPJ276" s="580"/>
      <c r="FPK276" s="580"/>
      <c r="FPL276" s="580"/>
      <c r="FPM276" s="580"/>
      <c r="FPN276" s="580"/>
      <c r="FPO276" s="580"/>
      <c r="FPP276" s="580"/>
      <c r="FPQ276" s="580"/>
      <c r="FPR276" s="580"/>
      <c r="FPS276" s="580"/>
      <c r="FPT276" s="580"/>
      <c r="FPU276" s="580"/>
      <c r="FPV276" s="580"/>
      <c r="FPW276" s="580"/>
      <c r="FPX276" s="580"/>
      <c r="FPY276" s="580"/>
      <c r="FPZ276" s="580"/>
      <c r="FQA276" s="580"/>
      <c r="FQB276" s="580"/>
      <c r="FQC276" s="580"/>
      <c r="FQD276" s="580"/>
      <c r="FQE276" s="580"/>
      <c r="FQF276" s="580"/>
      <c r="FQG276" s="580"/>
      <c r="FQH276" s="580"/>
      <c r="FQI276" s="580"/>
      <c r="FQJ276" s="580"/>
      <c r="FQK276" s="580"/>
      <c r="FQL276" s="580"/>
      <c r="FQM276" s="580"/>
      <c r="FQN276" s="580"/>
      <c r="FQO276" s="580"/>
      <c r="FQP276" s="580"/>
      <c r="FQQ276" s="580"/>
      <c r="FQR276" s="580"/>
      <c r="FQS276" s="580"/>
      <c r="FQT276" s="580"/>
      <c r="FQU276" s="580"/>
      <c r="FQV276" s="580"/>
      <c r="FQW276" s="580"/>
      <c r="FQX276" s="580"/>
      <c r="FQY276" s="580"/>
      <c r="FQZ276" s="580"/>
      <c r="FRA276" s="580"/>
      <c r="FRB276" s="580"/>
      <c r="FRC276" s="580"/>
      <c r="FRD276" s="580"/>
      <c r="FRE276" s="580"/>
      <c r="FRF276" s="580"/>
      <c r="FRG276" s="580"/>
      <c r="FRH276" s="580"/>
      <c r="FRI276" s="580"/>
      <c r="FRJ276" s="580"/>
      <c r="FRK276" s="580"/>
      <c r="FRL276" s="580"/>
      <c r="FRM276" s="580"/>
      <c r="FRN276" s="580"/>
      <c r="FRO276" s="580"/>
      <c r="FRP276" s="580"/>
      <c r="FRQ276" s="580"/>
      <c r="FRR276" s="580"/>
      <c r="FRS276" s="580"/>
      <c r="FRT276" s="580"/>
      <c r="FRU276" s="580"/>
      <c r="FRV276" s="580"/>
      <c r="FRW276" s="580"/>
      <c r="FRX276" s="580"/>
      <c r="FRY276" s="580"/>
      <c r="FRZ276" s="580"/>
      <c r="FSA276" s="580"/>
      <c r="FSB276" s="580"/>
      <c r="FSC276" s="580"/>
      <c r="FSD276" s="580"/>
      <c r="FSE276" s="580"/>
      <c r="FSF276" s="580"/>
      <c r="FSG276" s="580"/>
      <c r="FSH276" s="580"/>
      <c r="FSI276" s="580"/>
      <c r="FSJ276" s="580"/>
      <c r="FSK276" s="580"/>
      <c r="FSL276" s="580"/>
      <c r="FSM276" s="580"/>
      <c r="FSN276" s="580"/>
      <c r="FSO276" s="580"/>
      <c r="FSP276" s="580"/>
      <c r="FSQ276" s="580"/>
      <c r="FSR276" s="580"/>
      <c r="FSS276" s="580"/>
      <c r="FST276" s="580"/>
      <c r="FSU276" s="580"/>
      <c r="FSV276" s="580"/>
      <c r="FSW276" s="580"/>
      <c r="FSX276" s="580"/>
      <c r="FSY276" s="580"/>
      <c r="FSZ276" s="580"/>
      <c r="FTA276" s="580"/>
      <c r="FTB276" s="580"/>
      <c r="FTC276" s="580"/>
      <c r="FTD276" s="580"/>
      <c r="FTE276" s="580"/>
      <c r="FTF276" s="580"/>
      <c r="FTG276" s="580"/>
      <c r="FTH276" s="580"/>
      <c r="FTI276" s="580"/>
      <c r="FTJ276" s="580"/>
      <c r="FTK276" s="580"/>
      <c r="FTL276" s="580"/>
      <c r="FTM276" s="580"/>
      <c r="FTN276" s="580"/>
      <c r="FTO276" s="580"/>
      <c r="FTP276" s="580"/>
      <c r="FTQ276" s="580"/>
      <c r="FTR276" s="580"/>
      <c r="FTS276" s="580"/>
      <c r="FTT276" s="580"/>
      <c r="FTU276" s="580"/>
      <c r="FTV276" s="580"/>
      <c r="FTW276" s="580"/>
      <c r="FTX276" s="580"/>
      <c r="FTY276" s="580"/>
      <c r="FTZ276" s="580"/>
      <c r="FUA276" s="580"/>
      <c r="FUB276" s="580"/>
      <c r="FUC276" s="580"/>
      <c r="FUD276" s="580"/>
      <c r="FUE276" s="580"/>
      <c r="FUF276" s="580"/>
      <c r="FUG276" s="580"/>
      <c r="FUH276" s="580"/>
      <c r="FUI276" s="580"/>
      <c r="FUJ276" s="580"/>
      <c r="FUK276" s="580"/>
      <c r="FUL276" s="580"/>
      <c r="FUM276" s="580"/>
      <c r="FUN276" s="580"/>
      <c r="FUO276" s="580"/>
      <c r="FUP276" s="580"/>
      <c r="FUQ276" s="580"/>
      <c r="FUR276" s="580"/>
      <c r="FUS276" s="580"/>
      <c r="FUT276" s="580"/>
      <c r="FUU276" s="580"/>
      <c r="FUV276" s="580"/>
      <c r="FUW276" s="580"/>
      <c r="FUX276" s="580"/>
      <c r="FUY276" s="580"/>
      <c r="FUZ276" s="580"/>
      <c r="FVA276" s="580"/>
      <c r="FVB276" s="580"/>
      <c r="FVC276" s="580"/>
      <c r="FVD276" s="580"/>
      <c r="FVE276" s="580"/>
      <c r="FVF276" s="580"/>
      <c r="FVG276" s="580"/>
      <c r="FVH276" s="580"/>
      <c r="FVI276" s="580"/>
      <c r="FVJ276" s="580"/>
      <c r="FVK276" s="580"/>
      <c r="FVL276" s="580"/>
      <c r="FVM276" s="580"/>
      <c r="FVN276" s="580"/>
      <c r="FVO276" s="580"/>
      <c r="FVP276" s="580"/>
      <c r="FVQ276" s="580"/>
      <c r="FVR276" s="580"/>
      <c r="FVS276" s="580"/>
      <c r="FVT276" s="580"/>
      <c r="FVU276" s="580"/>
      <c r="FVV276" s="580"/>
      <c r="FVW276" s="580"/>
      <c r="FVX276" s="580"/>
      <c r="FVY276" s="580"/>
      <c r="FVZ276" s="580"/>
      <c r="FWA276" s="580"/>
      <c r="FWB276" s="580"/>
      <c r="FWC276" s="580"/>
      <c r="FWD276" s="580"/>
      <c r="FWE276" s="580"/>
      <c r="FWF276" s="580"/>
      <c r="FWG276" s="580"/>
      <c r="FWH276" s="580"/>
      <c r="FWI276" s="580"/>
      <c r="FWJ276" s="580"/>
      <c r="FWK276" s="580"/>
      <c r="FWL276" s="580"/>
      <c r="FWM276" s="580"/>
      <c r="FWN276" s="580"/>
      <c r="FWO276" s="580"/>
      <c r="FWP276" s="580"/>
      <c r="FWQ276" s="580"/>
      <c r="FWR276" s="580"/>
      <c r="FWS276" s="580"/>
      <c r="FWT276" s="580"/>
      <c r="FWU276" s="580"/>
      <c r="FWV276" s="580"/>
      <c r="FWW276" s="580"/>
      <c r="FWX276" s="580"/>
      <c r="FWY276" s="580"/>
      <c r="FWZ276" s="580"/>
      <c r="FXA276" s="580"/>
      <c r="FXB276" s="580"/>
      <c r="FXC276" s="580"/>
      <c r="FXD276" s="580"/>
      <c r="FXE276" s="580"/>
      <c r="FXF276" s="580"/>
      <c r="FXG276" s="580"/>
      <c r="FXH276" s="580"/>
      <c r="FXI276" s="580"/>
      <c r="FXJ276" s="580"/>
      <c r="FXK276" s="580"/>
      <c r="FXL276" s="580"/>
      <c r="FXM276" s="580"/>
      <c r="FXN276" s="580"/>
      <c r="FXO276" s="580"/>
      <c r="FXP276" s="580"/>
      <c r="FXQ276" s="580"/>
      <c r="FXR276" s="580"/>
      <c r="FXS276" s="580"/>
      <c r="FXT276" s="580"/>
      <c r="FXU276" s="580"/>
      <c r="FXV276" s="580"/>
      <c r="FXW276" s="580"/>
      <c r="FXX276" s="580"/>
      <c r="FXY276" s="580"/>
      <c r="FXZ276" s="580"/>
      <c r="FYA276" s="580"/>
      <c r="FYB276" s="580"/>
      <c r="FYC276" s="580"/>
      <c r="FYD276" s="580"/>
      <c r="FYE276" s="580"/>
      <c r="FYF276" s="580"/>
      <c r="FYG276" s="580"/>
      <c r="FYH276" s="580"/>
      <c r="FYI276" s="580"/>
      <c r="FYJ276" s="580"/>
      <c r="FYK276" s="580"/>
      <c r="FYL276" s="580"/>
      <c r="FYM276" s="580"/>
      <c r="FYN276" s="580"/>
      <c r="FYO276" s="580"/>
      <c r="FYP276" s="580"/>
      <c r="FYQ276" s="580"/>
      <c r="FYR276" s="580"/>
      <c r="FYS276" s="580"/>
      <c r="FYT276" s="580"/>
      <c r="FYU276" s="580"/>
      <c r="FYV276" s="580"/>
      <c r="FYW276" s="580"/>
      <c r="FYX276" s="580"/>
      <c r="FYY276" s="580"/>
      <c r="FYZ276" s="580"/>
      <c r="FZA276" s="580"/>
      <c r="FZB276" s="580"/>
      <c r="FZC276" s="580"/>
      <c r="FZD276" s="580"/>
      <c r="FZE276" s="580"/>
      <c r="FZF276" s="580"/>
      <c r="FZG276" s="580"/>
      <c r="FZH276" s="580"/>
      <c r="FZI276" s="580"/>
      <c r="FZJ276" s="580"/>
      <c r="FZK276" s="580"/>
      <c r="FZL276" s="580"/>
      <c r="FZM276" s="580"/>
      <c r="FZN276" s="580"/>
      <c r="FZO276" s="580"/>
      <c r="FZP276" s="580"/>
      <c r="FZQ276" s="580"/>
      <c r="FZR276" s="580"/>
      <c r="FZS276" s="580"/>
      <c r="FZT276" s="580"/>
      <c r="FZU276" s="580"/>
      <c r="FZV276" s="580"/>
      <c r="FZW276" s="580"/>
      <c r="FZX276" s="580"/>
      <c r="FZY276" s="580"/>
      <c r="FZZ276" s="580"/>
      <c r="GAA276" s="580"/>
      <c r="GAB276" s="580"/>
      <c r="GAC276" s="580"/>
      <c r="GAD276" s="580"/>
      <c r="GAE276" s="580"/>
      <c r="GAF276" s="580"/>
      <c r="GAG276" s="580"/>
      <c r="GAH276" s="580"/>
      <c r="GAI276" s="580"/>
      <c r="GAJ276" s="580"/>
      <c r="GAK276" s="580"/>
      <c r="GAL276" s="580"/>
      <c r="GAM276" s="580"/>
      <c r="GAN276" s="580"/>
      <c r="GAO276" s="580"/>
      <c r="GAP276" s="580"/>
      <c r="GAQ276" s="580"/>
      <c r="GAR276" s="580"/>
      <c r="GAS276" s="580"/>
      <c r="GAT276" s="580"/>
      <c r="GAU276" s="580"/>
      <c r="GAV276" s="580"/>
      <c r="GAW276" s="580"/>
      <c r="GAX276" s="580"/>
      <c r="GAY276" s="580"/>
      <c r="GAZ276" s="580"/>
      <c r="GBA276" s="580"/>
      <c r="GBB276" s="580"/>
      <c r="GBC276" s="580"/>
      <c r="GBD276" s="580"/>
      <c r="GBE276" s="580"/>
      <c r="GBF276" s="580"/>
      <c r="GBG276" s="580"/>
      <c r="GBH276" s="580"/>
      <c r="GBI276" s="580"/>
      <c r="GBJ276" s="580"/>
      <c r="GBK276" s="580"/>
      <c r="GBL276" s="580"/>
      <c r="GBM276" s="580"/>
      <c r="GBN276" s="580"/>
      <c r="GBO276" s="580"/>
      <c r="GBP276" s="580"/>
      <c r="GBQ276" s="580"/>
      <c r="GBR276" s="580"/>
      <c r="GBS276" s="580"/>
      <c r="GBT276" s="580"/>
      <c r="GBU276" s="580"/>
      <c r="GBV276" s="580"/>
      <c r="GBW276" s="580"/>
      <c r="GBX276" s="580"/>
      <c r="GBY276" s="580"/>
      <c r="GBZ276" s="580"/>
      <c r="GCA276" s="580"/>
      <c r="GCB276" s="580"/>
      <c r="GCC276" s="580"/>
      <c r="GCD276" s="580"/>
      <c r="GCE276" s="580"/>
      <c r="GCF276" s="580"/>
      <c r="GCG276" s="580"/>
      <c r="GCH276" s="580"/>
      <c r="GCI276" s="580"/>
      <c r="GCJ276" s="580"/>
      <c r="GCK276" s="580"/>
      <c r="GCL276" s="580"/>
      <c r="GCM276" s="580"/>
      <c r="GCN276" s="580"/>
      <c r="GCO276" s="580"/>
      <c r="GCP276" s="580"/>
      <c r="GCQ276" s="580"/>
      <c r="GCR276" s="580"/>
      <c r="GCS276" s="580"/>
      <c r="GCT276" s="580"/>
      <c r="GCU276" s="580"/>
      <c r="GCV276" s="580"/>
      <c r="GCW276" s="580"/>
      <c r="GCX276" s="580"/>
      <c r="GCY276" s="580"/>
      <c r="GCZ276" s="580"/>
      <c r="GDA276" s="580"/>
      <c r="GDB276" s="580"/>
      <c r="GDC276" s="580"/>
      <c r="GDD276" s="580"/>
      <c r="GDE276" s="580"/>
      <c r="GDF276" s="580"/>
      <c r="GDG276" s="580"/>
      <c r="GDH276" s="580"/>
      <c r="GDI276" s="580"/>
      <c r="GDJ276" s="580"/>
      <c r="GDK276" s="580"/>
      <c r="GDL276" s="580"/>
      <c r="GDM276" s="580"/>
      <c r="GDN276" s="580"/>
      <c r="GDO276" s="580"/>
      <c r="GDP276" s="580"/>
      <c r="GDQ276" s="580"/>
      <c r="GDR276" s="580"/>
      <c r="GDS276" s="580"/>
      <c r="GDT276" s="580"/>
      <c r="GDU276" s="580"/>
      <c r="GDV276" s="580"/>
      <c r="GDW276" s="580"/>
      <c r="GDX276" s="580"/>
      <c r="GDY276" s="580"/>
      <c r="GDZ276" s="580"/>
      <c r="GEA276" s="580"/>
      <c r="GEB276" s="580"/>
      <c r="GEC276" s="580"/>
      <c r="GED276" s="580"/>
      <c r="GEE276" s="580"/>
      <c r="GEF276" s="580"/>
      <c r="GEG276" s="580"/>
      <c r="GEH276" s="580"/>
      <c r="GEI276" s="580"/>
      <c r="GEJ276" s="580"/>
      <c r="GEK276" s="580"/>
      <c r="GEL276" s="580"/>
      <c r="GEM276" s="580"/>
      <c r="GEN276" s="580"/>
      <c r="GEO276" s="580"/>
      <c r="GEP276" s="580"/>
      <c r="GEQ276" s="580"/>
      <c r="GER276" s="580"/>
      <c r="GES276" s="580"/>
      <c r="GET276" s="580"/>
      <c r="GEU276" s="580"/>
      <c r="GEV276" s="580"/>
      <c r="GEW276" s="580"/>
      <c r="GEX276" s="580"/>
      <c r="GEY276" s="580"/>
      <c r="GEZ276" s="580"/>
      <c r="GFA276" s="580"/>
      <c r="GFB276" s="580"/>
      <c r="GFC276" s="580"/>
      <c r="GFD276" s="580"/>
      <c r="GFE276" s="580"/>
      <c r="GFF276" s="580"/>
      <c r="GFG276" s="580"/>
      <c r="GFH276" s="580"/>
      <c r="GFI276" s="580"/>
      <c r="GFJ276" s="580"/>
      <c r="GFK276" s="580"/>
      <c r="GFL276" s="580"/>
      <c r="GFM276" s="580"/>
      <c r="GFN276" s="580"/>
      <c r="GFO276" s="580"/>
      <c r="GFP276" s="580"/>
      <c r="GFQ276" s="580"/>
      <c r="GFR276" s="580"/>
      <c r="GFS276" s="580"/>
      <c r="GFT276" s="580"/>
      <c r="GFU276" s="580"/>
      <c r="GFV276" s="580"/>
      <c r="GFW276" s="580"/>
      <c r="GFX276" s="580"/>
      <c r="GFY276" s="580"/>
      <c r="GFZ276" s="580"/>
      <c r="GGA276" s="580"/>
      <c r="GGB276" s="580"/>
      <c r="GGC276" s="580"/>
      <c r="GGD276" s="580"/>
      <c r="GGE276" s="580"/>
      <c r="GGF276" s="580"/>
      <c r="GGG276" s="580"/>
      <c r="GGH276" s="580"/>
      <c r="GGI276" s="580"/>
      <c r="GGJ276" s="580"/>
      <c r="GGK276" s="580"/>
      <c r="GGL276" s="580"/>
      <c r="GGM276" s="580"/>
      <c r="GGN276" s="580"/>
      <c r="GGO276" s="580"/>
      <c r="GGP276" s="580"/>
      <c r="GGQ276" s="580"/>
      <c r="GGR276" s="580"/>
      <c r="GGS276" s="580"/>
      <c r="GGT276" s="580"/>
      <c r="GGU276" s="580"/>
      <c r="GGV276" s="580"/>
      <c r="GGW276" s="580"/>
      <c r="GGX276" s="580"/>
      <c r="GGY276" s="580"/>
      <c r="GGZ276" s="580"/>
      <c r="GHA276" s="580"/>
      <c r="GHB276" s="580"/>
      <c r="GHC276" s="580"/>
      <c r="GHD276" s="580"/>
      <c r="GHE276" s="580"/>
      <c r="GHF276" s="580"/>
      <c r="GHG276" s="580"/>
      <c r="GHH276" s="580"/>
      <c r="GHI276" s="580"/>
      <c r="GHJ276" s="580"/>
      <c r="GHK276" s="580"/>
      <c r="GHL276" s="580"/>
      <c r="GHM276" s="580"/>
      <c r="GHN276" s="580"/>
      <c r="GHO276" s="580"/>
      <c r="GHP276" s="580"/>
      <c r="GHQ276" s="580"/>
      <c r="GHR276" s="580"/>
      <c r="GHS276" s="580"/>
      <c r="GHT276" s="580"/>
      <c r="GHU276" s="580"/>
      <c r="GHV276" s="580"/>
      <c r="GHW276" s="580"/>
      <c r="GHX276" s="580"/>
      <c r="GHY276" s="580"/>
      <c r="GHZ276" s="580"/>
      <c r="GIA276" s="580"/>
      <c r="GIB276" s="580"/>
      <c r="GIC276" s="580"/>
      <c r="GID276" s="580"/>
      <c r="GIE276" s="580"/>
      <c r="GIF276" s="580"/>
      <c r="GIG276" s="580"/>
      <c r="GIH276" s="580"/>
      <c r="GII276" s="580"/>
      <c r="GIJ276" s="580"/>
      <c r="GIK276" s="580"/>
      <c r="GIL276" s="580"/>
      <c r="GIM276" s="580"/>
      <c r="GIN276" s="580"/>
      <c r="GIO276" s="580"/>
      <c r="GIP276" s="580"/>
      <c r="GIQ276" s="580"/>
      <c r="GIR276" s="580"/>
      <c r="GIS276" s="580"/>
      <c r="GIT276" s="580"/>
      <c r="GIU276" s="580"/>
      <c r="GIV276" s="580"/>
      <c r="GIW276" s="580"/>
      <c r="GIX276" s="580"/>
      <c r="GIY276" s="580"/>
      <c r="GIZ276" s="580"/>
      <c r="GJA276" s="580"/>
      <c r="GJB276" s="580"/>
      <c r="GJC276" s="580"/>
      <c r="GJD276" s="580"/>
      <c r="GJE276" s="580"/>
      <c r="GJF276" s="580"/>
      <c r="GJG276" s="580"/>
      <c r="GJH276" s="580"/>
      <c r="GJI276" s="580"/>
      <c r="GJJ276" s="580"/>
      <c r="GJK276" s="580"/>
      <c r="GJL276" s="580"/>
      <c r="GJM276" s="580"/>
      <c r="GJN276" s="580"/>
      <c r="GJO276" s="580"/>
      <c r="GJP276" s="580"/>
      <c r="GJQ276" s="580"/>
      <c r="GJR276" s="580"/>
      <c r="GJS276" s="580"/>
      <c r="GJT276" s="580"/>
      <c r="GJU276" s="580"/>
      <c r="GJV276" s="580"/>
      <c r="GJW276" s="580"/>
      <c r="GJX276" s="580"/>
      <c r="GJY276" s="580"/>
      <c r="GJZ276" s="580"/>
      <c r="GKA276" s="580"/>
      <c r="GKB276" s="580"/>
      <c r="GKC276" s="580"/>
      <c r="GKD276" s="580"/>
      <c r="GKE276" s="580"/>
      <c r="GKF276" s="580"/>
      <c r="GKG276" s="580"/>
      <c r="GKH276" s="580"/>
      <c r="GKI276" s="580"/>
      <c r="GKJ276" s="580"/>
      <c r="GKK276" s="580"/>
      <c r="GKL276" s="580"/>
      <c r="GKM276" s="580"/>
      <c r="GKN276" s="580"/>
      <c r="GKO276" s="580"/>
      <c r="GKP276" s="580"/>
      <c r="GKQ276" s="580"/>
      <c r="GKR276" s="580"/>
      <c r="GKS276" s="580"/>
      <c r="GKT276" s="580"/>
      <c r="GKU276" s="580"/>
      <c r="GKV276" s="580"/>
      <c r="GKW276" s="580"/>
      <c r="GKX276" s="580"/>
      <c r="GKY276" s="580"/>
      <c r="GKZ276" s="580"/>
      <c r="GLA276" s="580"/>
      <c r="GLB276" s="580"/>
      <c r="GLC276" s="580"/>
      <c r="GLD276" s="580"/>
      <c r="GLE276" s="580"/>
      <c r="GLF276" s="580"/>
      <c r="GLG276" s="580"/>
      <c r="GLH276" s="580"/>
      <c r="GLI276" s="580"/>
      <c r="GLJ276" s="580"/>
      <c r="GLK276" s="580"/>
      <c r="GLL276" s="580"/>
      <c r="GLM276" s="580"/>
      <c r="GLN276" s="580"/>
      <c r="GLO276" s="580"/>
      <c r="GLP276" s="580"/>
      <c r="GLQ276" s="580"/>
      <c r="GLR276" s="580"/>
      <c r="GLS276" s="580"/>
      <c r="GLT276" s="580"/>
      <c r="GLU276" s="580"/>
      <c r="GLV276" s="580"/>
      <c r="GLW276" s="580"/>
      <c r="GLX276" s="580"/>
      <c r="GLY276" s="580"/>
      <c r="GLZ276" s="580"/>
      <c r="GMA276" s="580"/>
      <c r="GMB276" s="580"/>
      <c r="GMC276" s="580"/>
      <c r="GMD276" s="580"/>
      <c r="GME276" s="580"/>
      <c r="GMF276" s="580"/>
      <c r="GMG276" s="580"/>
      <c r="GMH276" s="580"/>
      <c r="GMI276" s="580"/>
      <c r="GMJ276" s="580"/>
      <c r="GMK276" s="580"/>
      <c r="GML276" s="580"/>
      <c r="GMM276" s="580"/>
      <c r="GMN276" s="580"/>
      <c r="GMO276" s="580"/>
      <c r="GMP276" s="580"/>
      <c r="GMQ276" s="580"/>
      <c r="GMR276" s="580"/>
      <c r="GMS276" s="580"/>
      <c r="GMT276" s="580"/>
      <c r="GMU276" s="580"/>
      <c r="GMV276" s="580"/>
      <c r="GMW276" s="580"/>
      <c r="GMX276" s="580"/>
      <c r="GMY276" s="580"/>
      <c r="GMZ276" s="580"/>
      <c r="GNA276" s="580"/>
      <c r="GNB276" s="580"/>
      <c r="GNC276" s="580"/>
      <c r="GND276" s="580"/>
      <c r="GNE276" s="580"/>
      <c r="GNF276" s="580"/>
      <c r="GNG276" s="580"/>
      <c r="GNH276" s="580"/>
      <c r="GNI276" s="580"/>
      <c r="GNJ276" s="580"/>
      <c r="GNK276" s="580"/>
      <c r="GNL276" s="580"/>
      <c r="GNM276" s="580"/>
      <c r="GNN276" s="580"/>
      <c r="GNO276" s="580"/>
      <c r="GNP276" s="580"/>
      <c r="GNQ276" s="580"/>
      <c r="GNR276" s="580"/>
      <c r="GNS276" s="580"/>
      <c r="GNT276" s="580"/>
      <c r="GNU276" s="580"/>
      <c r="GNV276" s="580"/>
      <c r="GNW276" s="580"/>
      <c r="GNX276" s="580"/>
      <c r="GNY276" s="580"/>
      <c r="GNZ276" s="580"/>
      <c r="GOA276" s="580"/>
      <c r="GOB276" s="580"/>
      <c r="GOC276" s="580"/>
      <c r="GOD276" s="580"/>
      <c r="GOE276" s="580"/>
      <c r="GOF276" s="580"/>
      <c r="GOG276" s="580"/>
      <c r="GOH276" s="580"/>
      <c r="GOI276" s="580"/>
      <c r="GOJ276" s="580"/>
      <c r="GOK276" s="580"/>
      <c r="GOL276" s="580"/>
      <c r="GOM276" s="580"/>
      <c r="GON276" s="580"/>
      <c r="GOO276" s="580"/>
      <c r="GOP276" s="580"/>
      <c r="GOQ276" s="580"/>
      <c r="GOR276" s="580"/>
      <c r="GOS276" s="580"/>
      <c r="GOT276" s="580"/>
      <c r="GOU276" s="580"/>
      <c r="GOV276" s="580"/>
      <c r="GOW276" s="580"/>
      <c r="GOX276" s="580"/>
      <c r="GOY276" s="580"/>
      <c r="GOZ276" s="580"/>
      <c r="GPA276" s="580"/>
      <c r="GPB276" s="580"/>
      <c r="GPC276" s="580"/>
      <c r="GPD276" s="580"/>
      <c r="GPE276" s="580"/>
      <c r="GPF276" s="580"/>
      <c r="GPG276" s="580"/>
      <c r="GPH276" s="580"/>
      <c r="GPI276" s="580"/>
      <c r="GPJ276" s="580"/>
      <c r="GPK276" s="580"/>
      <c r="GPL276" s="580"/>
      <c r="GPM276" s="580"/>
      <c r="GPN276" s="580"/>
      <c r="GPO276" s="580"/>
      <c r="GPP276" s="580"/>
      <c r="GPQ276" s="580"/>
      <c r="GPR276" s="580"/>
      <c r="GPS276" s="580"/>
      <c r="GPT276" s="580"/>
      <c r="GPU276" s="580"/>
      <c r="GPV276" s="580"/>
      <c r="GPW276" s="580"/>
      <c r="GPX276" s="580"/>
      <c r="GPY276" s="580"/>
      <c r="GPZ276" s="580"/>
      <c r="GQA276" s="580"/>
      <c r="GQB276" s="580"/>
      <c r="GQC276" s="580"/>
      <c r="GQD276" s="580"/>
      <c r="GQE276" s="580"/>
      <c r="GQF276" s="580"/>
      <c r="GQG276" s="580"/>
      <c r="GQH276" s="580"/>
      <c r="GQI276" s="580"/>
      <c r="GQJ276" s="580"/>
      <c r="GQK276" s="580"/>
      <c r="GQL276" s="580"/>
      <c r="GQM276" s="580"/>
      <c r="GQN276" s="580"/>
      <c r="GQO276" s="580"/>
      <c r="GQP276" s="580"/>
      <c r="GQQ276" s="580"/>
      <c r="GQR276" s="580"/>
      <c r="GQS276" s="580"/>
      <c r="GQT276" s="580"/>
      <c r="GQU276" s="580"/>
      <c r="GQV276" s="580"/>
      <c r="GQW276" s="580"/>
      <c r="GQX276" s="580"/>
      <c r="GQY276" s="580"/>
      <c r="GQZ276" s="580"/>
      <c r="GRA276" s="580"/>
      <c r="GRB276" s="580"/>
      <c r="GRC276" s="580"/>
      <c r="GRD276" s="580"/>
      <c r="GRE276" s="580"/>
      <c r="GRF276" s="580"/>
      <c r="GRG276" s="580"/>
      <c r="GRH276" s="580"/>
      <c r="GRI276" s="580"/>
      <c r="GRJ276" s="580"/>
      <c r="GRK276" s="580"/>
      <c r="GRL276" s="580"/>
      <c r="GRM276" s="580"/>
      <c r="GRN276" s="580"/>
      <c r="GRO276" s="580"/>
      <c r="GRP276" s="580"/>
      <c r="GRQ276" s="580"/>
      <c r="GRR276" s="580"/>
      <c r="GRS276" s="580"/>
      <c r="GRT276" s="580"/>
      <c r="GRU276" s="580"/>
      <c r="GRV276" s="580"/>
      <c r="GRW276" s="580"/>
      <c r="GRX276" s="580"/>
      <c r="GRY276" s="580"/>
      <c r="GRZ276" s="580"/>
      <c r="GSA276" s="580"/>
      <c r="GSB276" s="580"/>
      <c r="GSC276" s="580"/>
      <c r="GSD276" s="580"/>
      <c r="GSE276" s="580"/>
      <c r="GSF276" s="580"/>
      <c r="GSG276" s="580"/>
      <c r="GSH276" s="580"/>
      <c r="GSI276" s="580"/>
      <c r="GSJ276" s="580"/>
      <c r="GSK276" s="580"/>
      <c r="GSL276" s="580"/>
      <c r="GSM276" s="580"/>
      <c r="GSN276" s="580"/>
      <c r="GSO276" s="580"/>
      <c r="GSP276" s="580"/>
      <c r="GSQ276" s="580"/>
      <c r="GSR276" s="580"/>
      <c r="GSS276" s="580"/>
      <c r="GST276" s="580"/>
      <c r="GSU276" s="580"/>
      <c r="GSV276" s="580"/>
      <c r="GSW276" s="580"/>
      <c r="GSX276" s="580"/>
      <c r="GSY276" s="580"/>
      <c r="GSZ276" s="580"/>
      <c r="GTA276" s="580"/>
      <c r="GTB276" s="580"/>
      <c r="GTC276" s="580"/>
      <c r="GTD276" s="580"/>
      <c r="GTE276" s="580"/>
      <c r="GTF276" s="580"/>
      <c r="GTG276" s="580"/>
      <c r="GTH276" s="580"/>
      <c r="GTI276" s="580"/>
      <c r="GTJ276" s="580"/>
      <c r="GTK276" s="580"/>
      <c r="GTL276" s="580"/>
      <c r="GTM276" s="580"/>
      <c r="GTN276" s="580"/>
      <c r="GTO276" s="580"/>
      <c r="GTP276" s="580"/>
      <c r="GTQ276" s="580"/>
      <c r="GTR276" s="580"/>
      <c r="GTS276" s="580"/>
      <c r="GTT276" s="580"/>
      <c r="GTU276" s="580"/>
      <c r="GTV276" s="580"/>
      <c r="GTW276" s="580"/>
      <c r="GTX276" s="580"/>
      <c r="GTY276" s="580"/>
      <c r="GTZ276" s="580"/>
      <c r="GUA276" s="580"/>
      <c r="GUB276" s="580"/>
      <c r="GUC276" s="580"/>
      <c r="GUD276" s="580"/>
      <c r="GUE276" s="580"/>
      <c r="GUF276" s="580"/>
      <c r="GUG276" s="580"/>
      <c r="GUH276" s="580"/>
      <c r="GUI276" s="580"/>
      <c r="GUJ276" s="580"/>
      <c r="GUK276" s="580"/>
      <c r="GUL276" s="580"/>
      <c r="GUM276" s="580"/>
      <c r="GUN276" s="580"/>
      <c r="GUO276" s="580"/>
      <c r="GUP276" s="580"/>
      <c r="GUQ276" s="580"/>
      <c r="GUR276" s="580"/>
      <c r="GUS276" s="580"/>
      <c r="GUT276" s="580"/>
      <c r="GUU276" s="580"/>
      <c r="GUV276" s="580"/>
      <c r="GUW276" s="580"/>
      <c r="GUX276" s="580"/>
      <c r="GUY276" s="580"/>
      <c r="GUZ276" s="580"/>
      <c r="GVA276" s="580"/>
      <c r="GVB276" s="580"/>
      <c r="GVC276" s="580"/>
      <c r="GVD276" s="580"/>
      <c r="GVE276" s="580"/>
      <c r="GVF276" s="580"/>
      <c r="GVG276" s="580"/>
      <c r="GVH276" s="580"/>
      <c r="GVI276" s="580"/>
      <c r="GVJ276" s="580"/>
      <c r="GVK276" s="580"/>
      <c r="GVL276" s="580"/>
      <c r="GVM276" s="580"/>
      <c r="GVN276" s="580"/>
      <c r="GVO276" s="580"/>
      <c r="GVP276" s="580"/>
      <c r="GVQ276" s="580"/>
      <c r="GVR276" s="580"/>
      <c r="GVS276" s="580"/>
      <c r="GVT276" s="580"/>
      <c r="GVU276" s="580"/>
      <c r="GVV276" s="580"/>
      <c r="GVW276" s="580"/>
      <c r="GVX276" s="580"/>
      <c r="GVY276" s="580"/>
      <c r="GVZ276" s="580"/>
      <c r="GWA276" s="580"/>
      <c r="GWB276" s="580"/>
      <c r="GWC276" s="580"/>
      <c r="GWD276" s="580"/>
      <c r="GWE276" s="580"/>
      <c r="GWF276" s="580"/>
      <c r="GWG276" s="580"/>
      <c r="GWH276" s="580"/>
      <c r="GWI276" s="580"/>
      <c r="GWJ276" s="580"/>
      <c r="GWK276" s="580"/>
      <c r="GWL276" s="580"/>
      <c r="GWM276" s="580"/>
      <c r="GWN276" s="580"/>
      <c r="GWO276" s="580"/>
      <c r="GWP276" s="580"/>
      <c r="GWQ276" s="580"/>
      <c r="GWR276" s="580"/>
      <c r="GWS276" s="580"/>
      <c r="GWT276" s="580"/>
      <c r="GWU276" s="580"/>
      <c r="GWV276" s="580"/>
      <c r="GWW276" s="580"/>
      <c r="GWX276" s="580"/>
      <c r="GWY276" s="580"/>
      <c r="GWZ276" s="580"/>
      <c r="GXA276" s="580"/>
      <c r="GXB276" s="580"/>
      <c r="GXC276" s="580"/>
      <c r="GXD276" s="580"/>
      <c r="GXE276" s="580"/>
      <c r="GXF276" s="580"/>
      <c r="GXG276" s="580"/>
      <c r="GXH276" s="580"/>
      <c r="GXI276" s="580"/>
      <c r="GXJ276" s="580"/>
      <c r="GXK276" s="580"/>
      <c r="GXL276" s="580"/>
      <c r="GXM276" s="580"/>
      <c r="GXN276" s="580"/>
      <c r="GXO276" s="580"/>
      <c r="GXP276" s="580"/>
      <c r="GXQ276" s="580"/>
      <c r="GXR276" s="580"/>
      <c r="GXS276" s="580"/>
      <c r="GXT276" s="580"/>
      <c r="GXU276" s="580"/>
      <c r="GXV276" s="580"/>
      <c r="GXW276" s="580"/>
      <c r="GXX276" s="580"/>
      <c r="GXY276" s="580"/>
      <c r="GXZ276" s="580"/>
      <c r="GYA276" s="580"/>
      <c r="GYB276" s="580"/>
      <c r="GYC276" s="580"/>
      <c r="GYD276" s="580"/>
      <c r="GYE276" s="580"/>
      <c r="GYF276" s="580"/>
      <c r="GYG276" s="580"/>
      <c r="GYH276" s="580"/>
      <c r="GYI276" s="580"/>
      <c r="GYJ276" s="580"/>
      <c r="GYK276" s="580"/>
      <c r="GYL276" s="580"/>
      <c r="GYM276" s="580"/>
      <c r="GYN276" s="580"/>
      <c r="GYO276" s="580"/>
      <c r="GYP276" s="580"/>
      <c r="GYQ276" s="580"/>
      <c r="GYR276" s="580"/>
      <c r="GYS276" s="580"/>
      <c r="GYT276" s="580"/>
      <c r="GYU276" s="580"/>
      <c r="GYV276" s="580"/>
      <c r="GYW276" s="580"/>
      <c r="GYX276" s="580"/>
      <c r="GYY276" s="580"/>
      <c r="GYZ276" s="580"/>
      <c r="GZA276" s="580"/>
      <c r="GZB276" s="580"/>
      <c r="GZC276" s="580"/>
      <c r="GZD276" s="580"/>
      <c r="GZE276" s="580"/>
      <c r="GZF276" s="580"/>
      <c r="GZG276" s="580"/>
      <c r="GZH276" s="580"/>
      <c r="GZI276" s="580"/>
      <c r="GZJ276" s="580"/>
      <c r="GZK276" s="580"/>
      <c r="GZL276" s="580"/>
      <c r="GZM276" s="580"/>
      <c r="GZN276" s="580"/>
      <c r="GZO276" s="580"/>
      <c r="GZP276" s="580"/>
      <c r="GZQ276" s="580"/>
      <c r="GZR276" s="580"/>
      <c r="GZS276" s="580"/>
      <c r="GZT276" s="580"/>
      <c r="GZU276" s="580"/>
      <c r="GZV276" s="580"/>
      <c r="GZW276" s="580"/>
      <c r="GZX276" s="580"/>
      <c r="GZY276" s="580"/>
      <c r="GZZ276" s="580"/>
      <c r="HAA276" s="580"/>
      <c r="HAB276" s="580"/>
      <c r="HAC276" s="580"/>
      <c r="HAD276" s="580"/>
      <c r="HAE276" s="580"/>
      <c r="HAF276" s="580"/>
      <c r="HAG276" s="580"/>
      <c r="HAH276" s="580"/>
      <c r="HAI276" s="580"/>
      <c r="HAJ276" s="580"/>
      <c r="HAK276" s="580"/>
      <c r="HAL276" s="580"/>
      <c r="HAM276" s="580"/>
      <c r="HAN276" s="580"/>
      <c r="HAO276" s="580"/>
      <c r="HAP276" s="580"/>
      <c r="HAQ276" s="580"/>
      <c r="HAR276" s="580"/>
      <c r="HAS276" s="580"/>
      <c r="HAT276" s="580"/>
      <c r="HAU276" s="580"/>
      <c r="HAV276" s="580"/>
      <c r="HAW276" s="580"/>
      <c r="HAX276" s="580"/>
      <c r="HAY276" s="580"/>
      <c r="HAZ276" s="580"/>
      <c r="HBA276" s="580"/>
      <c r="HBB276" s="580"/>
      <c r="HBC276" s="580"/>
      <c r="HBD276" s="580"/>
      <c r="HBE276" s="580"/>
      <c r="HBF276" s="580"/>
      <c r="HBG276" s="580"/>
      <c r="HBH276" s="580"/>
      <c r="HBI276" s="580"/>
      <c r="HBJ276" s="580"/>
      <c r="HBK276" s="580"/>
      <c r="HBL276" s="580"/>
      <c r="HBM276" s="580"/>
      <c r="HBN276" s="580"/>
      <c r="HBO276" s="580"/>
      <c r="HBP276" s="580"/>
      <c r="HBQ276" s="580"/>
      <c r="HBR276" s="580"/>
      <c r="HBS276" s="580"/>
      <c r="HBT276" s="580"/>
      <c r="HBU276" s="580"/>
      <c r="HBV276" s="580"/>
      <c r="HBW276" s="580"/>
      <c r="HBX276" s="580"/>
      <c r="HBY276" s="580"/>
      <c r="HBZ276" s="580"/>
      <c r="HCA276" s="580"/>
      <c r="HCB276" s="580"/>
      <c r="HCC276" s="580"/>
      <c r="HCD276" s="580"/>
      <c r="HCE276" s="580"/>
      <c r="HCF276" s="580"/>
      <c r="HCG276" s="580"/>
      <c r="HCH276" s="580"/>
      <c r="HCI276" s="580"/>
      <c r="HCJ276" s="580"/>
      <c r="HCK276" s="580"/>
      <c r="HCL276" s="580"/>
      <c r="HCM276" s="580"/>
      <c r="HCN276" s="580"/>
      <c r="HCO276" s="580"/>
      <c r="HCP276" s="580"/>
      <c r="HCQ276" s="580"/>
      <c r="HCR276" s="580"/>
      <c r="HCS276" s="580"/>
      <c r="HCT276" s="580"/>
      <c r="HCU276" s="580"/>
      <c r="HCV276" s="580"/>
      <c r="HCW276" s="580"/>
      <c r="HCX276" s="580"/>
      <c r="HCY276" s="580"/>
      <c r="HCZ276" s="580"/>
      <c r="HDA276" s="580"/>
      <c r="HDB276" s="580"/>
      <c r="HDC276" s="580"/>
      <c r="HDD276" s="580"/>
      <c r="HDE276" s="580"/>
      <c r="HDF276" s="580"/>
      <c r="HDG276" s="580"/>
      <c r="HDH276" s="580"/>
      <c r="HDI276" s="580"/>
      <c r="HDJ276" s="580"/>
      <c r="HDK276" s="580"/>
      <c r="HDL276" s="580"/>
      <c r="HDM276" s="580"/>
      <c r="HDN276" s="580"/>
      <c r="HDO276" s="580"/>
      <c r="HDP276" s="580"/>
      <c r="HDQ276" s="580"/>
      <c r="HDR276" s="580"/>
      <c r="HDS276" s="580"/>
      <c r="HDT276" s="580"/>
      <c r="HDU276" s="580"/>
      <c r="HDV276" s="580"/>
      <c r="HDW276" s="580"/>
      <c r="HDX276" s="580"/>
      <c r="HDY276" s="580"/>
      <c r="HDZ276" s="580"/>
      <c r="HEA276" s="580"/>
      <c r="HEB276" s="580"/>
      <c r="HEC276" s="580"/>
      <c r="HED276" s="580"/>
      <c r="HEE276" s="580"/>
      <c r="HEF276" s="580"/>
      <c r="HEG276" s="580"/>
      <c r="HEH276" s="580"/>
      <c r="HEI276" s="580"/>
      <c r="HEJ276" s="580"/>
      <c r="HEK276" s="580"/>
      <c r="HEL276" s="580"/>
      <c r="HEM276" s="580"/>
      <c r="HEN276" s="580"/>
      <c r="HEO276" s="580"/>
      <c r="HEP276" s="580"/>
      <c r="HEQ276" s="580"/>
      <c r="HER276" s="580"/>
      <c r="HES276" s="580"/>
      <c r="HET276" s="580"/>
      <c r="HEU276" s="580"/>
      <c r="HEV276" s="580"/>
      <c r="HEW276" s="580"/>
      <c r="HEX276" s="580"/>
      <c r="HEY276" s="580"/>
      <c r="HEZ276" s="580"/>
      <c r="HFA276" s="580"/>
      <c r="HFB276" s="580"/>
      <c r="HFC276" s="580"/>
      <c r="HFD276" s="580"/>
      <c r="HFE276" s="580"/>
      <c r="HFF276" s="580"/>
      <c r="HFG276" s="580"/>
      <c r="HFH276" s="580"/>
      <c r="HFI276" s="580"/>
      <c r="HFJ276" s="580"/>
      <c r="HFK276" s="580"/>
      <c r="HFL276" s="580"/>
      <c r="HFM276" s="580"/>
      <c r="HFN276" s="580"/>
      <c r="HFO276" s="580"/>
      <c r="HFP276" s="580"/>
      <c r="HFQ276" s="580"/>
      <c r="HFR276" s="580"/>
      <c r="HFS276" s="580"/>
      <c r="HFT276" s="580"/>
      <c r="HFU276" s="580"/>
      <c r="HFV276" s="580"/>
      <c r="HFW276" s="580"/>
      <c r="HFX276" s="580"/>
      <c r="HFY276" s="580"/>
      <c r="HFZ276" s="580"/>
      <c r="HGA276" s="580"/>
      <c r="HGB276" s="580"/>
      <c r="HGC276" s="580"/>
      <c r="HGD276" s="580"/>
      <c r="HGE276" s="580"/>
      <c r="HGF276" s="580"/>
      <c r="HGG276" s="580"/>
      <c r="HGH276" s="580"/>
      <c r="HGI276" s="580"/>
      <c r="HGJ276" s="580"/>
      <c r="HGK276" s="580"/>
      <c r="HGL276" s="580"/>
      <c r="HGM276" s="580"/>
      <c r="HGN276" s="580"/>
      <c r="HGO276" s="580"/>
      <c r="HGP276" s="580"/>
      <c r="HGQ276" s="580"/>
      <c r="HGR276" s="580"/>
      <c r="HGS276" s="580"/>
      <c r="HGT276" s="580"/>
      <c r="HGU276" s="580"/>
      <c r="HGV276" s="580"/>
      <c r="HGW276" s="580"/>
      <c r="HGX276" s="580"/>
      <c r="HGY276" s="580"/>
      <c r="HGZ276" s="580"/>
      <c r="HHA276" s="580"/>
      <c r="HHB276" s="580"/>
      <c r="HHC276" s="580"/>
      <c r="HHD276" s="580"/>
      <c r="HHE276" s="580"/>
      <c r="HHF276" s="580"/>
      <c r="HHG276" s="580"/>
      <c r="HHH276" s="580"/>
      <c r="HHI276" s="580"/>
      <c r="HHJ276" s="580"/>
      <c r="HHK276" s="580"/>
      <c r="HHL276" s="580"/>
      <c r="HHM276" s="580"/>
      <c r="HHN276" s="580"/>
      <c r="HHO276" s="580"/>
      <c r="HHP276" s="580"/>
      <c r="HHQ276" s="580"/>
      <c r="HHR276" s="580"/>
      <c r="HHS276" s="580"/>
      <c r="HHT276" s="580"/>
      <c r="HHU276" s="580"/>
      <c r="HHV276" s="580"/>
      <c r="HHW276" s="580"/>
      <c r="HHX276" s="580"/>
      <c r="HHY276" s="580"/>
      <c r="HHZ276" s="580"/>
      <c r="HIA276" s="580"/>
      <c r="HIB276" s="580"/>
      <c r="HIC276" s="580"/>
      <c r="HID276" s="580"/>
      <c r="HIE276" s="580"/>
      <c r="HIF276" s="580"/>
      <c r="HIG276" s="580"/>
      <c r="HIH276" s="580"/>
      <c r="HII276" s="580"/>
      <c r="HIJ276" s="580"/>
      <c r="HIK276" s="580"/>
      <c r="HIL276" s="580"/>
      <c r="HIM276" s="580"/>
      <c r="HIN276" s="580"/>
      <c r="HIO276" s="580"/>
      <c r="HIP276" s="580"/>
      <c r="HIQ276" s="580"/>
      <c r="HIR276" s="580"/>
      <c r="HIS276" s="580"/>
      <c r="HIT276" s="580"/>
      <c r="HIU276" s="580"/>
      <c r="HIV276" s="580"/>
      <c r="HIW276" s="580"/>
      <c r="HIX276" s="580"/>
      <c r="HIY276" s="580"/>
      <c r="HIZ276" s="580"/>
      <c r="HJA276" s="580"/>
      <c r="HJB276" s="580"/>
      <c r="HJC276" s="580"/>
      <c r="HJD276" s="580"/>
      <c r="HJE276" s="580"/>
      <c r="HJF276" s="580"/>
      <c r="HJG276" s="580"/>
      <c r="HJH276" s="580"/>
      <c r="HJI276" s="580"/>
      <c r="HJJ276" s="580"/>
      <c r="HJK276" s="580"/>
      <c r="HJL276" s="580"/>
      <c r="HJM276" s="580"/>
      <c r="HJN276" s="580"/>
      <c r="HJO276" s="580"/>
      <c r="HJP276" s="580"/>
      <c r="HJQ276" s="580"/>
      <c r="HJR276" s="580"/>
      <c r="HJS276" s="580"/>
      <c r="HJT276" s="580"/>
      <c r="HJU276" s="580"/>
      <c r="HJV276" s="580"/>
      <c r="HJW276" s="580"/>
      <c r="HJX276" s="580"/>
      <c r="HJY276" s="580"/>
      <c r="HJZ276" s="580"/>
      <c r="HKA276" s="580"/>
      <c r="HKB276" s="580"/>
      <c r="HKC276" s="580"/>
      <c r="HKD276" s="580"/>
      <c r="HKE276" s="580"/>
      <c r="HKF276" s="580"/>
      <c r="HKG276" s="580"/>
      <c r="HKH276" s="580"/>
      <c r="HKI276" s="580"/>
      <c r="HKJ276" s="580"/>
      <c r="HKK276" s="580"/>
      <c r="HKL276" s="580"/>
      <c r="HKM276" s="580"/>
      <c r="HKN276" s="580"/>
      <c r="HKO276" s="580"/>
      <c r="HKP276" s="580"/>
      <c r="HKQ276" s="580"/>
      <c r="HKR276" s="580"/>
      <c r="HKS276" s="580"/>
      <c r="HKT276" s="580"/>
      <c r="HKU276" s="580"/>
      <c r="HKV276" s="580"/>
      <c r="HKW276" s="580"/>
      <c r="HKX276" s="580"/>
      <c r="HKY276" s="580"/>
      <c r="HKZ276" s="580"/>
      <c r="HLA276" s="580"/>
      <c r="HLB276" s="580"/>
      <c r="HLC276" s="580"/>
      <c r="HLD276" s="580"/>
      <c r="HLE276" s="580"/>
      <c r="HLF276" s="580"/>
      <c r="HLG276" s="580"/>
      <c r="HLH276" s="580"/>
      <c r="HLI276" s="580"/>
      <c r="HLJ276" s="580"/>
      <c r="HLK276" s="580"/>
      <c r="HLL276" s="580"/>
      <c r="HLM276" s="580"/>
      <c r="HLN276" s="580"/>
      <c r="HLO276" s="580"/>
      <c r="HLP276" s="580"/>
      <c r="HLQ276" s="580"/>
      <c r="HLR276" s="580"/>
      <c r="HLS276" s="580"/>
      <c r="HLT276" s="580"/>
      <c r="HLU276" s="580"/>
      <c r="HLV276" s="580"/>
      <c r="HLW276" s="580"/>
      <c r="HLX276" s="580"/>
      <c r="HLY276" s="580"/>
      <c r="HLZ276" s="580"/>
      <c r="HMA276" s="580"/>
      <c r="HMB276" s="580"/>
      <c r="HMC276" s="580"/>
      <c r="HMD276" s="580"/>
      <c r="HME276" s="580"/>
      <c r="HMF276" s="580"/>
      <c r="HMG276" s="580"/>
      <c r="HMH276" s="580"/>
      <c r="HMI276" s="580"/>
      <c r="HMJ276" s="580"/>
      <c r="HMK276" s="580"/>
      <c r="HML276" s="580"/>
      <c r="HMM276" s="580"/>
      <c r="HMN276" s="580"/>
      <c r="HMO276" s="580"/>
      <c r="HMP276" s="580"/>
      <c r="HMQ276" s="580"/>
      <c r="HMR276" s="580"/>
      <c r="HMS276" s="580"/>
      <c r="HMT276" s="580"/>
      <c r="HMU276" s="580"/>
      <c r="HMV276" s="580"/>
      <c r="HMW276" s="580"/>
      <c r="HMX276" s="580"/>
      <c r="HMY276" s="580"/>
      <c r="HMZ276" s="580"/>
      <c r="HNA276" s="580"/>
      <c r="HNB276" s="580"/>
      <c r="HNC276" s="580"/>
      <c r="HND276" s="580"/>
      <c r="HNE276" s="580"/>
      <c r="HNF276" s="580"/>
      <c r="HNG276" s="580"/>
      <c r="HNH276" s="580"/>
      <c r="HNI276" s="580"/>
      <c r="HNJ276" s="580"/>
      <c r="HNK276" s="580"/>
      <c r="HNL276" s="580"/>
      <c r="HNM276" s="580"/>
      <c r="HNN276" s="580"/>
      <c r="HNO276" s="580"/>
      <c r="HNP276" s="580"/>
      <c r="HNQ276" s="580"/>
      <c r="HNR276" s="580"/>
      <c r="HNS276" s="580"/>
      <c r="HNT276" s="580"/>
      <c r="HNU276" s="580"/>
      <c r="HNV276" s="580"/>
      <c r="HNW276" s="580"/>
      <c r="HNX276" s="580"/>
      <c r="HNY276" s="580"/>
      <c r="HNZ276" s="580"/>
      <c r="HOA276" s="580"/>
      <c r="HOB276" s="580"/>
      <c r="HOC276" s="580"/>
      <c r="HOD276" s="580"/>
      <c r="HOE276" s="580"/>
      <c r="HOF276" s="580"/>
      <c r="HOG276" s="580"/>
      <c r="HOH276" s="580"/>
      <c r="HOI276" s="580"/>
      <c r="HOJ276" s="580"/>
      <c r="HOK276" s="580"/>
      <c r="HOL276" s="580"/>
      <c r="HOM276" s="580"/>
      <c r="HON276" s="580"/>
      <c r="HOO276" s="580"/>
      <c r="HOP276" s="580"/>
      <c r="HOQ276" s="580"/>
      <c r="HOR276" s="580"/>
      <c r="HOS276" s="580"/>
      <c r="HOT276" s="580"/>
      <c r="HOU276" s="580"/>
      <c r="HOV276" s="580"/>
      <c r="HOW276" s="580"/>
      <c r="HOX276" s="580"/>
      <c r="HOY276" s="580"/>
      <c r="HOZ276" s="580"/>
      <c r="HPA276" s="580"/>
      <c r="HPB276" s="580"/>
      <c r="HPC276" s="580"/>
      <c r="HPD276" s="580"/>
      <c r="HPE276" s="580"/>
      <c r="HPF276" s="580"/>
      <c r="HPG276" s="580"/>
      <c r="HPH276" s="580"/>
      <c r="HPI276" s="580"/>
      <c r="HPJ276" s="580"/>
      <c r="HPK276" s="580"/>
      <c r="HPL276" s="580"/>
      <c r="HPM276" s="580"/>
      <c r="HPN276" s="580"/>
      <c r="HPO276" s="580"/>
      <c r="HPP276" s="580"/>
      <c r="HPQ276" s="580"/>
      <c r="HPR276" s="580"/>
      <c r="HPS276" s="580"/>
      <c r="HPT276" s="580"/>
      <c r="HPU276" s="580"/>
      <c r="HPV276" s="580"/>
      <c r="HPW276" s="580"/>
      <c r="HPX276" s="580"/>
      <c r="HPY276" s="580"/>
      <c r="HPZ276" s="580"/>
      <c r="HQA276" s="580"/>
      <c r="HQB276" s="580"/>
      <c r="HQC276" s="580"/>
      <c r="HQD276" s="580"/>
      <c r="HQE276" s="580"/>
      <c r="HQF276" s="580"/>
      <c r="HQG276" s="580"/>
      <c r="HQH276" s="580"/>
      <c r="HQI276" s="580"/>
      <c r="HQJ276" s="580"/>
      <c r="HQK276" s="580"/>
      <c r="HQL276" s="580"/>
      <c r="HQM276" s="580"/>
      <c r="HQN276" s="580"/>
      <c r="HQO276" s="580"/>
      <c r="HQP276" s="580"/>
      <c r="HQQ276" s="580"/>
      <c r="HQR276" s="580"/>
      <c r="HQS276" s="580"/>
      <c r="HQT276" s="580"/>
      <c r="HQU276" s="580"/>
      <c r="HQV276" s="580"/>
      <c r="HQW276" s="580"/>
      <c r="HQX276" s="580"/>
      <c r="HQY276" s="580"/>
      <c r="HQZ276" s="580"/>
      <c r="HRA276" s="580"/>
      <c r="HRB276" s="580"/>
      <c r="HRC276" s="580"/>
      <c r="HRD276" s="580"/>
      <c r="HRE276" s="580"/>
      <c r="HRF276" s="580"/>
      <c r="HRG276" s="580"/>
      <c r="HRH276" s="580"/>
      <c r="HRI276" s="580"/>
      <c r="HRJ276" s="580"/>
      <c r="HRK276" s="580"/>
      <c r="HRL276" s="580"/>
      <c r="HRM276" s="580"/>
      <c r="HRN276" s="580"/>
      <c r="HRO276" s="580"/>
      <c r="HRP276" s="580"/>
      <c r="HRQ276" s="580"/>
      <c r="HRR276" s="580"/>
      <c r="HRS276" s="580"/>
      <c r="HRT276" s="580"/>
      <c r="HRU276" s="580"/>
      <c r="HRV276" s="580"/>
      <c r="HRW276" s="580"/>
      <c r="HRX276" s="580"/>
      <c r="HRY276" s="580"/>
      <c r="HRZ276" s="580"/>
      <c r="HSA276" s="580"/>
      <c r="HSB276" s="580"/>
      <c r="HSC276" s="580"/>
      <c r="HSD276" s="580"/>
      <c r="HSE276" s="580"/>
      <c r="HSF276" s="580"/>
      <c r="HSG276" s="580"/>
      <c r="HSH276" s="580"/>
      <c r="HSI276" s="580"/>
      <c r="HSJ276" s="580"/>
      <c r="HSK276" s="580"/>
      <c r="HSL276" s="580"/>
      <c r="HSM276" s="580"/>
      <c r="HSN276" s="580"/>
      <c r="HSO276" s="580"/>
      <c r="HSP276" s="580"/>
      <c r="HSQ276" s="580"/>
      <c r="HSR276" s="580"/>
      <c r="HSS276" s="580"/>
      <c r="HST276" s="580"/>
      <c r="HSU276" s="580"/>
      <c r="HSV276" s="580"/>
      <c r="HSW276" s="580"/>
      <c r="HSX276" s="580"/>
      <c r="HSY276" s="580"/>
      <c r="HSZ276" s="580"/>
      <c r="HTA276" s="580"/>
      <c r="HTB276" s="580"/>
      <c r="HTC276" s="580"/>
      <c r="HTD276" s="580"/>
      <c r="HTE276" s="580"/>
      <c r="HTF276" s="580"/>
      <c r="HTG276" s="580"/>
      <c r="HTH276" s="580"/>
      <c r="HTI276" s="580"/>
      <c r="HTJ276" s="580"/>
      <c r="HTK276" s="580"/>
      <c r="HTL276" s="580"/>
      <c r="HTM276" s="580"/>
      <c r="HTN276" s="580"/>
      <c r="HTO276" s="580"/>
      <c r="HTP276" s="580"/>
      <c r="HTQ276" s="580"/>
      <c r="HTR276" s="580"/>
      <c r="HTS276" s="580"/>
      <c r="HTT276" s="580"/>
      <c r="HTU276" s="580"/>
      <c r="HTV276" s="580"/>
      <c r="HTW276" s="580"/>
      <c r="HTX276" s="580"/>
      <c r="HTY276" s="580"/>
      <c r="HTZ276" s="580"/>
      <c r="HUA276" s="580"/>
      <c r="HUB276" s="580"/>
      <c r="HUC276" s="580"/>
      <c r="HUD276" s="580"/>
      <c r="HUE276" s="580"/>
      <c r="HUF276" s="580"/>
      <c r="HUG276" s="580"/>
      <c r="HUH276" s="580"/>
      <c r="HUI276" s="580"/>
      <c r="HUJ276" s="580"/>
      <c r="HUK276" s="580"/>
      <c r="HUL276" s="580"/>
      <c r="HUM276" s="580"/>
      <c r="HUN276" s="580"/>
      <c r="HUO276" s="580"/>
      <c r="HUP276" s="580"/>
      <c r="HUQ276" s="580"/>
      <c r="HUR276" s="580"/>
      <c r="HUS276" s="580"/>
      <c r="HUT276" s="580"/>
      <c r="HUU276" s="580"/>
      <c r="HUV276" s="580"/>
      <c r="HUW276" s="580"/>
      <c r="HUX276" s="580"/>
      <c r="HUY276" s="580"/>
      <c r="HUZ276" s="580"/>
      <c r="HVA276" s="580"/>
      <c r="HVB276" s="580"/>
      <c r="HVC276" s="580"/>
      <c r="HVD276" s="580"/>
      <c r="HVE276" s="580"/>
      <c r="HVF276" s="580"/>
      <c r="HVG276" s="580"/>
      <c r="HVH276" s="580"/>
      <c r="HVI276" s="580"/>
      <c r="HVJ276" s="580"/>
      <c r="HVK276" s="580"/>
      <c r="HVL276" s="580"/>
      <c r="HVM276" s="580"/>
      <c r="HVN276" s="580"/>
      <c r="HVO276" s="580"/>
      <c r="HVP276" s="580"/>
      <c r="HVQ276" s="580"/>
      <c r="HVR276" s="580"/>
      <c r="HVS276" s="580"/>
      <c r="HVT276" s="580"/>
      <c r="HVU276" s="580"/>
      <c r="HVV276" s="580"/>
      <c r="HVW276" s="580"/>
      <c r="HVX276" s="580"/>
      <c r="HVY276" s="580"/>
      <c r="HVZ276" s="580"/>
      <c r="HWA276" s="580"/>
      <c r="HWB276" s="580"/>
      <c r="HWC276" s="580"/>
      <c r="HWD276" s="580"/>
      <c r="HWE276" s="580"/>
      <c r="HWF276" s="580"/>
      <c r="HWG276" s="580"/>
      <c r="HWH276" s="580"/>
      <c r="HWI276" s="580"/>
      <c r="HWJ276" s="580"/>
      <c r="HWK276" s="580"/>
      <c r="HWL276" s="580"/>
      <c r="HWM276" s="580"/>
      <c r="HWN276" s="580"/>
      <c r="HWO276" s="580"/>
      <c r="HWP276" s="580"/>
      <c r="HWQ276" s="580"/>
      <c r="HWR276" s="580"/>
      <c r="HWS276" s="580"/>
      <c r="HWT276" s="580"/>
      <c r="HWU276" s="580"/>
      <c r="HWV276" s="580"/>
      <c r="HWW276" s="580"/>
      <c r="HWX276" s="580"/>
      <c r="HWY276" s="580"/>
      <c r="HWZ276" s="580"/>
      <c r="HXA276" s="580"/>
      <c r="HXB276" s="580"/>
      <c r="HXC276" s="580"/>
      <c r="HXD276" s="580"/>
      <c r="HXE276" s="580"/>
      <c r="HXF276" s="580"/>
      <c r="HXG276" s="580"/>
      <c r="HXH276" s="580"/>
      <c r="HXI276" s="580"/>
      <c r="HXJ276" s="580"/>
      <c r="HXK276" s="580"/>
      <c r="HXL276" s="580"/>
      <c r="HXM276" s="580"/>
      <c r="HXN276" s="580"/>
      <c r="HXO276" s="580"/>
      <c r="HXP276" s="580"/>
      <c r="HXQ276" s="580"/>
      <c r="HXR276" s="580"/>
      <c r="HXS276" s="580"/>
      <c r="HXT276" s="580"/>
      <c r="HXU276" s="580"/>
      <c r="HXV276" s="580"/>
      <c r="HXW276" s="580"/>
      <c r="HXX276" s="580"/>
      <c r="HXY276" s="580"/>
      <c r="HXZ276" s="580"/>
      <c r="HYA276" s="580"/>
      <c r="HYB276" s="580"/>
      <c r="HYC276" s="580"/>
      <c r="HYD276" s="580"/>
      <c r="HYE276" s="580"/>
      <c r="HYF276" s="580"/>
      <c r="HYG276" s="580"/>
      <c r="HYH276" s="580"/>
      <c r="HYI276" s="580"/>
      <c r="HYJ276" s="580"/>
      <c r="HYK276" s="580"/>
      <c r="HYL276" s="580"/>
      <c r="HYM276" s="580"/>
      <c r="HYN276" s="580"/>
      <c r="HYO276" s="580"/>
      <c r="HYP276" s="580"/>
      <c r="HYQ276" s="580"/>
      <c r="HYR276" s="580"/>
      <c r="HYS276" s="580"/>
      <c r="HYT276" s="580"/>
      <c r="HYU276" s="580"/>
      <c r="HYV276" s="580"/>
      <c r="HYW276" s="580"/>
      <c r="HYX276" s="580"/>
      <c r="HYY276" s="580"/>
      <c r="HYZ276" s="580"/>
      <c r="HZA276" s="580"/>
      <c r="HZB276" s="580"/>
      <c r="HZC276" s="580"/>
      <c r="HZD276" s="580"/>
      <c r="HZE276" s="580"/>
      <c r="HZF276" s="580"/>
      <c r="HZG276" s="580"/>
      <c r="HZH276" s="580"/>
      <c r="HZI276" s="580"/>
      <c r="HZJ276" s="580"/>
      <c r="HZK276" s="580"/>
      <c r="HZL276" s="580"/>
      <c r="HZM276" s="580"/>
      <c r="HZN276" s="580"/>
      <c r="HZO276" s="580"/>
      <c r="HZP276" s="580"/>
      <c r="HZQ276" s="580"/>
      <c r="HZR276" s="580"/>
      <c r="HZS276" s="580"/>
      <c r="HZT276" s="580"/>
      <c r="HZU276" s="580"/>
      <c r="HZV276" s="580"/>
      <c r="HZW276" s="580"/>
      <c r="HZX276" s="580"/>
      <c r="HZY276" s="580"/>
      <c r="HZZ276" s="580"/>
      <c r="IAA276" s="580"/>
      <c r="IAB276" s="580"/>
      <c r="IAC276" s="580"/>
      <c r="IAD276" s="580"/>
      <c r="IAE276" s="580"/>
      <c r="IAF276" s="580"/>
      <c r="IAG276" s="580"/>
      <c r="IAH276" s="580"/>
      <c r="IAI276" s="580"/>
      <c r="IAJ276" s="580"/>
      <c r="IAK276" s="580"/>
      <c r="IAL276" s="580"/>
      <c r="IAM276" s="580"/>
      <c r="IAN276" s="580"/>
      <c r="IAO276" s="580"/>
      <c r="IAP276" s="580"/>
      <c r="IAQ276" s="580"/>
      <c r="IAR276" s="580"/>
      <c r="IAS276" s="580"/>
      <c r="IAT276" s="580"/>
      <c r="IAU276" s="580"/>
      <c r="IAV276" s="580"/>
      <c r="IAW276" s="580"/>
      <c r="IAX276" s="580"/>
      <c r="IAY276" s="580"/>
      <c r="IAZ276" s="580"/>
      <c r="IBA276" s="580"/>
      <c r="IBB276" s="580"/>
      <c r="IBC276" s="580"/>
      <c r="IBD276" s="580"/>
      <c r="IBE276" s="580"/>
      <c r="IBF276" s="580"/>
      <c r="IBG276" s="580"/>
      <c r="IBH276" s="580"/>
      <c r="IBI276" s="580"/>
      <c r="IBJ276" s="580"/>
      <c r="IBK276" s="580"/>
      <c r="IBL276" s="580"/>
      <c r="IBM276" s="580"/>
      <c r="IBN276" s="580"/>
      <c r="IBO276" s="580"/>
      <c r="IBP276" s="580"/>
      <c r="IBQ276" s="580"/>
      <c r="IBR276" s="580"/>
      <c r="IBS276" s="580"/>
      <c r="IBT276" s="580"/>
      <c r="IBU276" s="580"/>
      <c r="IBV276" s="580"/>
      <c r="IBW276" s="580"/>
      <c r="IBX276" s="580"/>
      <c r="IBY276" s="580"/>
      <c r="IBZ276" s="580"/>
      <c r="ICA276" s="580"/>
      <c r="ICB276" s="580"/>
      <c r="ICC276" s="580"/>
      <c r="ICD276" s="580"/>
      <c r="ICE276" s="580"/>
      <c r="ICF276" s="580"/>
      <c r="ICG276" s="580"/>
      <c r="ICH276" s="580"/>
      <c r="ICI276" s="580"/>
      <c r="ICJ276" s="580"/>
      <c r="ICK276" s="580"/>
      <c r="ICL276" s="580"/>
      <c r="ICM276" s="580"/>
      <c r="ICN276" s="580"/>
      <c r="ICO276" s="580"/>
      <c r="ICP276" s="580"/>
      <c r="ICQ276" s="580"/>
      <c r="ICR276" s="580"/>
      <c r="ICS276" s="580"/>
      <c r="ICT276" s="580"/>
      <c r="ICU276" s="580"/>
      <c r="ICV276" s="580"/>
      <c r="ICW276" s="580"/>
      <c r="ICX276" s="580"/>
      <c r="ICY276" s="580"/>
      <c r="ICZ276" s="580"/>
      <c r="IDA276" s="580"/>
      <c r="IDB276" s="580"/>
      <c r="IDC276" s="580"/>
      <c r="IDD276" s="580"/>
      <c r="IDE276" s="580"/>
      <c r="IDF276" s="580"/>
      <c r="IDG276" s="580"/>
      <c r="IDH276" s="580"/>
      <c r="IDI276" s="580"/>
      <c r="IDJ276" s="580"/>
      <c r="IDK276" s="580"/>
      <c r="IDL276" s="580"/>
      <c r="IDM276" s="580"/>
      <c r="IDN276" s="580"/>
      <c r="IDO276" s="580"/>
      <c r="IDP276" s="580"/>
      <c r="IDQ276" s="580"/>
      <c r="IDR276" s="580"/>
      <c r="IDS276" s="580"/>
      <c r="IDT276" s="580"/>
      <c r="IDU276" s="580"/>
      <c r="IDV276" s="580"/>
      <c r="IDW276" s="580"/>
      <c r="IDX276" s="580"/>
      <c r="IDY276" s="580"/>
      <c r="IDZ276" s="580"/>
      <c r="IEA276" s="580"/>
      <c r="IEB276" s="580"/>
      <c r="IEC276" s="580"/>
      <c r="IED276" s="580"/>
      <c r="IEE276" s="580"/>
      <c r="IEF276" s="580"/>
      <c r="IEG276" s="580"/>
      <c r="IEH276" s="580"/>
      <c r="IEI276" s="580"/>
      <c r="IEJ276" s="580"/>
      <c r="IEK276" s="580"/>
      <c r="IEL276" s="580"/>
      <c r="IEM276" s="580"/>
      <c r="IEN276" s="580"/>
      <c r="IEO276" s="580"/>
      <c r="IEP276" s="580"/>
      <c r="IEQ276" s="580"/>
      <c r="IER276" s="580"/>
      <c r="IES276" s="580"/>
      <c r="IET276" s="580"/>
      <c r="IEU276" s="580"/>
      <c r="IEV276" s="580"/>
      <c r="IEW276" s="580"/>
      <c r="IEX276" s="580"/>
      <c r="IEY276" s="580"/>
      <c r="IEZ276" s="580"/>
      <c r="IFA276" s="580"/>
      <c r="IFB276" s="580"/>
      <c r="IFC276" s="580"/>
      <c r="IFD276" s="580"/>
      <c r="IFE276" s="580"/>
      <c r="IFF276" s="580"/>
      <c r="IFG276" s="580"/>
      <c r="IFH276" s="580"/>
      <c r="IFI276" s="580"/>
      <c r="IFJ276" s="580"/>
      <c r="IFK276" s="580"/>
      <c r="IFL276" s="580"/>
      <c r="IFM276" s="580"/>
      <c r="IFN276" s="580"/>
      <c r="IFO276" s="580"/>
      <c r="IFP276" s="580"/>
      <c r="IFQ276" s="580"/>
      <c r="IFR276" s="580"/>
      <c r="IFS276" s="580"/>
      <c r="IFT276" s="580"/>
      <c r="IFU276" s="580"/>
      <c r="IFV276" s="580"/>
      <c r="IFW276" s="580"/>
      <c r="IFX276" s="580"/>
      <c r="IFY276" s="580"/>
      <c r="IFZ276" s="580"/>
      <c r="IGA276" s="580"/>
      <c r="IGB276" s="580"/>
      <c r="IGC276" s="580"/>
      <c r="IGD276" s="580"/>
      <c r="IGE276" s="580"/>
      <c r="IGF276" s="580"/>
      <c r="IGG276" s="580"/>
      <c r="IGH276" s="580"/>
      <c r="IGI276" s="580"/>
      <c r="IGJ276" s="580"/>
      <c r="IGK276" s="580"/>
      <c r="IGL276" s="580"/>
      <c r="IGM276" s="580"/>
      <c r="IGN276" s="580"/>
      <c r="IGO276" s="580"/>
      <c r="IGP276" s="580"/>
      <c r="IGQ276" s="580"/>
      <c r="IGR276" s="580"/>
      <c r="IGS276" s="580"/>
      <c r="IGT276" s="580"/>
      <c r="IGU276" s="580"/>
      <c r="IGV276" s="580"/>
      <c r="IGW276" s="580"/>
      <c r="IGX276" s="580"/>
      <c r="IGY276" s="580"/>
      <c r="IGZ276" s="580"/>
      <c r="IHA276" s="580"/>
      <c r="IHB276" s="580"/>
      <c r="IHC276" s="580"/>
      <c r="IHD276" s="580"/>
      <c r="IHE276" s="580"/>
      <c r="IHF276" s="580"/>
      <c r="IHG276" s="580"/>
      <c r="IHH276" s="580"/>
      <c r="IHI276" s="580"/>
      <c r="IHJ276" s="580"/>
      <c r="IHK276" s="580"/>
      <c r="IHL276" s="580"/>
      <c r="IHM276" s="580"/>
      <c r="IHN276" s="580"/>
      <c r="IHO276" s="580"/>
      <c r="IHP276" s="580"/>
      <c r="IHQ276" s="580"/>
      <c r="IHR276" s="580"/>
      <c r="IHS276" s="580"/>
      <c r="IHT276" s="580"/>
      <c r="IHU276" s="580"/>
      <c r="IHV276" s="580"/>
      <c r="IHW276" s="580"/>
      <c r="IHX276" s="580"/>
      <c r="IHY276" s="580"/>
      <c r="IHZ276" s="580"/>
      <c r="IIA276" s="580"/>
      <c r="IIB276" s="580"/>
      <c r="IIC276" s="580"/>
      <c r="IID276" s="580"/>
      <c r="IIE276" s="580"/>
      <c r="IIF276" s="580"/>
      <c r="IIG276" s="580"/>
      <c r="IIH276" s="580"/>
      <c r="III276" s="580"/>
      <c r="IIJ276" s="580"/>
      <c r="IIK276" s="580"/>
      <c r="IIL276" s="580"/>
      <c r="IIM276" s="580"/>
      <c r="IIN276" s="580"/>
      <c r="IIO276" s="580"/>
      <c r="IIP276" s="580"/>
      <c r="IIQ276" s="580"/>
      <c r="IIR276" s="580"/>
      <c r="IIS276" s="580"/>
      <c r="IIT276" s="580"/>
      <c r="IIU276" s="580"/>
      <c r="IIV276" s="580"/>
      <c r="IIW276" s="580"/>
      <c r="IIX276" s="580"/>
      <c r="IIY276" s="580"/>
      <c r="IIZ276" s="580"/>
      <c r="IJA276" s="580"/>
      <c r="IJB276" s="580"/>
      <c r="IJC276" s="580"/>
      <c r="IJD276" s="580"/>
      <c r="IJE276" s="580"/>
      <c r="IJF276" s="580"/>
      <c r="IJG276" s="580"/>
      <c r="IJH276" s="580"/>
      <c r="IJI276" s="580"/>
      <c r="IJJ276" s="580"/>
      <c r="IJK276" s="580"/>
      <c r="IJL276" s="580"/>
      <c r="IJM276" s="580"/>
      <c r="IJN276" s="580"/>
      <c r="IJO276" s="580"/>
      <c r="IJP276" s="580"/>
      <c r="IJQ276" s="580"/>
      <c r="IJR276" s="580"/>
      <c r="IJS276" s="580"/>
      <c r="IJT276" s="580"/>
      <c r="IJU276" s="580"/>
      <c r="IJV276" s="580"/>
      <c r="IJW276" s="580"/>
      <c r="IJX276" s="580"/>
      <c r="IJY276" s="580"/>
      <c r="IJZ276" s="580"/>
      <c r="IKA276" s="580"/>
      <c r="IKB276" s="580"/>
      <c r="IKC276" s="580"/>
      <c r="IKD276" s="580"/>
      <c r="IKE276" s="580"/>
      <c r="IKF276" s="580"/>
      <c r="IKG276" s="580"/>
      <c r="IKH276" s="580"/>
      <c r="IKI276" s="580"/>
      <c r="IKJ276" s="580"/>
      <c r="IKK276" s="580"/>
      <c r="IKL276" s="580"/>
      <c r="IKM276" s="580"/>
      <c r="IKN276" s="580"/>
      <c r="IKO276" s="580"/>
      <c r="IKP276" s="580"/>
      <c r="IKQ276" s="580"/>
      <c r="IKR276" s="580"/>
      <c r="IKS276" s="580"/>
      <c r="IKT276" s="580"/>
      <c r="IKU276" s="580"/>
      <c r="IKV276" s="580"/>
      <c r="IKW276" s="580"/>
      <c r="IKX276" s="580"/>
      <c r="IKY276" s="580"/>
      <c r="IKZ276" s="580"/>
      <c r="ILA276" s="580"/>
      <c r="ILB276" s="580"/>
      <c r="ILC276" s="580"/>
      <c r="ILD276" s="580"/>
      <c r="ILE276" s="580"/>
      <c r="ILF276" s="580"/>
      <c r="ILG276" s="580"/>
      <c r="ILH276" s="580"/>
      <c r="ILI276" s="580"/>
      <c r="ILJ276" s="580"/>
      <c r="ILK276" s="580"/>
      <c r="ILL276" s="580"/>
      <c r="ILM276" s="580"/>
      <c r="ILN276" s="580"/>
      <c r="ILO276" s="580"/>
      <c r="ILP276" s="580"/>
      <c r="ILQ276" s="580"/>
      <c r="ILR276" s="580"/>
      <c r="ILS276" s="580"/>
      <c r="ILT276" s="580"/>
      <c r="ILU276" s="580"/>
      <c r="ILV276" s="580"/>
      <c r="ILW276" s="580"/>
      <c r="ILX276" s="580"/>
      <c r="ILY276" s="580"/>
      <c r="ILZ276" s="580"/>
      <c r="IMA276" s="580"/>
      <c r="IMB276" s="580"/>
      <c r="IMC276" s="580"/>
      <c r="IMD276" s="580"/>
      <c r="IME276" s="580"/>
      <c r="IMF276" s="580"/>
      <c r="IMG276" s="580"/>
      <c r="IMH276" s="580"/>
      <c r="IMI276" s="580"/>
      <c r="IMJ276" s="580"/>
      <c r="IMK276" s="580"/>
      <c r="IML276" s="580"/>
      <c r="IMM276" s="580"/>
      <c r="IMN276" s="580"/>
      <c r="IMO276" s="580"/>
      <c r="IMP276" s="580"/>
      <c r="IMQ276" s="580"/>
      <c r="IMR276" s="580"/>
      <c r="IMS276" s="580"/>
      <c r="IMT276" s="580"/>
      <c r="IMU276" s="580"/>
      <c r="IMV276" s="580"/>
      <c r="IMW276" s="580"/>
      <c r="IMX276" s="580"/>
      <c r="IMY276" s="580"/>
      <c r="IMZ276" s="580"/>
      <c r="INA276" s="580"/>
      <c r="INB276" s="580"/>
      <c r="INC276" s="580"/>
      <c r="IND276" s="580"/>
      <c r="INE276" s="580"/>
      <c r="INF276" s="580"/>
      <c r="ING276" s="580"/>
      <c r="INH276" s="580"/>
      <c r="INI276" s="580"/>
      <c r="INJ276" s="580"/>
      <c r="INK276" s="580"/>
      <c r="INL276" s="580"/>
      <c r="INM276" s="580"/>
      <c r="INN276" s="580"/>
      <c r="INO276" s="580"/>
      <c r="INP276" s="580"/>
      <c r="INQ276" s="580"/>
      <c r="INR276" s="580"/>
      <c r="INS276" s="580"/>
      <c r="INT276" s="580"/>
      <c r="INU276" s="580"/>
      <c r="INV276" s="580"/>
      <c r="INW276" s="580"/>
      <c r="INX276" s="580"/>
      <c r="INY276" s="580"/>
      <c r="INZ276" s="580"/>
      <c r="IOA276" s="580"/>
      <c r="IOB276" s="580"/>
      <c r="IOC276" s="580"/>
      <c r="IOD276" s="580"/>
      <c r="IOE276" s="580"/>
      <c r="IOF276" s="580"/>
      <c r="IOG276" s="580"/>
      <c r="IOH276" s="580"/>
      <c r="IOI276" s="580"/>
      <c r="IOJ276" s="580"/>
      <c r="IOK276" s="580"/>
      <c r="IOL276" s="580"/>
      <c r="IOM276" s="580"/>
      <c r="ION276" s="580"/>
      <c r="IOO276" s="580"/>
      <c r="IOP276" s="580"/>
      <c r="IOQ276" s="580"/>
      <c r="IOR276" s="580"/>
      <c r="IOS276" s="580"/>
      <c r="IOT276" s="580"/>
      <c r="IOU276" s="580"/>
      <c r="IOV276" s="580"/>
      <c r="IOW276" s="580"/>
      <c r="IOX276" s="580"/>
      <c r="IOY276" s="580"/>
      <c r="IOZ276" s="580"/>
      <c r="IPA276" s="580"/>
      <c r="IPB276" s="580"/>
      <c r="IPC276" s="580"/>
      <c r="IPD276" s="580"/>
      <c r="IPE276" s="580"/>
      <c r="IPF276" s="580"/>
      <c r="IPG276" s="580"/>
      <c r="IPH276" s="580"/>
      <c r="IPI276" s="580"/>
      <c r="IPJ276" s="580"/>
      <c r="IPK276" s="580"/>
      <c r="IPL276" s="580"/>
      <c r="IPM276" s="580"/>
      <c r="IPN276" s="580"/>
      <c r="IPO276" s="580"/>
      <c r="IPP276" s="580"/>
      <c r="IPQ276" s="580"/>
      <c r="IPR276" s="580"/>
      <c r="IPS276" s="580"/>
      <c r="IPT276" s="580"/>
      <c r="IPU276" s="580"/>
      <c r="IPV276" s="580"/>
      <c r="IPW276" s="580"/>
      <c r="IPX276" s="580"/>
      <c r="IPY276" s="580"/>
      <c r="IPZ276" s="580"/>
      <c r="IQA276" s="580"/>
      <c r="IQB276" s="580"/>
      <c r="IQC276" s="580"/>
      <c r="IQD276" s="580"/>
      <c r="IQE276" s="580"/>
      <c r="IQF276" s="580"/>
      <c r="IQG276" s="580"/>
      <c r="IQH276" s="580"/>
      <c r="IQI276" s="580"/>
      <c r="IQJ276" s="580"/>
      <c r="IQK276" s="580"/>
      <c r="IQL276" s="580"/>
      <c r="IQM276" s="580"/>
      <c r="IQN276" s="580"/>
      <c r="IQO276" s="580"/>
      <c r="IQP276" s="580"/>
      <c r="IQQ276" s="580"/>
      <c r="IQR276" s="580"/>
      <c r="IQS276" s="580"/>
      <c r="IQT276" s="580"/>
      <c r="IQU276" s="580"/>
      <c r="IQV276" s="580"/>
      <c r="IQW276" s="580"/>
      <c r="IQX276" s="580"/>
      <c r="IQY276" s="580"/>
      <c r="IQZ276" s="580"/>
      <c r="IRA276" s="580"/>
      <c r="IRB276" s="580"/>
      <c r="IRC276" s="580"/>
      <c r="IRD276" s="580"/>
      <c r="IRE276" s="580"/>
      <c r="IRF276" s="580"/>
      <c r="IRG276" s="580"/>
      <c r="IRH276" s="580"/>
      <c r="IRI276" s="580"/>
      <c r="IRJ276" s="580"/>
      <c r="IRK276" s="580"/>
      <c r="IRL276" s="580"/>
      <c r="IRM276" s="580"/>
      <c r="IRN276" s="580"/>
      <c r="IRO276" s="580"/>
      <c r="IRP276" s="580"/>
      <c r="IRQ276" s="580"/>
      <c r="IRR276" s="580"/>
      <c r="IRS276" s="580"/>
      <c r="IRT276" s="580"/>
      <c r="IRU276" s="580"/>
      <c r="IRV276" s="580"/>
      <c r="IRW276" s="580"/>
      <c r="IRX276" s="580"/>
      <c r="IRY276" s="580"/>
      <c r="IRZ276" s="580"/>
      <c r="ISA276" s="580"/>
      <c r="ISB276" s="580"/>
      <c r="ISC276" s="580"/>
      <c r="ISD276" s="580"/>
      <c r="ISE276" s="580"/>
      <c r="ISF276" s="580"/>
      <c r="ISG276" s="580"/>
      <c r="ISH276" s="580"/>
      <c r="ISI276" s="580"/>
      <c r="ISJ276" s="580"/>
      <c r="ISK276" s="580"/>
      <c r="ISL276" s="580"/>
      <c r="ISM276" s="580"/>
      <c r="ISN276" s="580"/>
      <c r="ISO276" s="580"/>
      <c r="ISP276" s="580"/>
      <c r="ISQ276" s="580"/>
      <c r="ISR276" s="580"/>
      <c r="ISS276" s="580"/>
      <c r="IST276" s="580"/>
      <c r="ISU276" s="580"/>
      <c r="ISV276" s="580"/>
      <c r="ISW276" s="580"/>
      <c r="ISX276" s="580"/>
      <c r="ISY276" s="580"/>
      <c r="ISZ276" s="580"/>
      <c r="ITA276" s="580"/>
      <c r="ITB276" s="580"/>
      <c r="ITC276" s="580"/>
      <c r="ITD276" s="580"/>
      <c r="ITE276" s="580"/>
      <c r="ITF276" s="580"/>
      <c r="ITG276" s="580"/>
      <c r="ITH276" s="580"/>
      <c r="ITI276" s="580"/>
      <c r="ITJ276" s="580"/>
      <c r="ITK276" s="580"/>
      <c r="ITL276" s="580"/>
      <c r="ITM276" s="580"/>
      <c r="ITN276" s="580"/>
      <c r="ITO276" s="580"/>
      <c r="ITP276" s="580"/>
      <c r="ITQ276" s="580"/>
      <c r="ITR276" s="580"/>
      <c r="ITS276" s="580"/>
      <c r="ITT276" s="580"/>
      <c r="ITU276" s="580"/>
      <c r="ITV276" s="580"/>
      <c r="ITW276" s="580"/>
      <c r="ITX276" s="580"/>
      <c r="ITY276" s="580"/>
      <c r="ITZ276" s="580"/>
      <c r="IUA276" s="580"/>
      <c r="IUB276" s="580"/>
      <c r="IUC276" s="580"/>
      <c r="IUD276" s="580"/>
      <c r="IUE276" s="580"/>
      <c r="IUF276" s="580"/>
      <c r="IUG276" s="580"/>
      <c r="IUH276" s="580"/>
      <c r="IUI276" s="580"/>
      <c r="IUJ276" s="580"/>
      <c r="IUK276" s="580"/>
      <c r="IUL276" s="580"/>
      <c r="IUM276" s="580"/>
      <c r="IUN276" s="580"/>
      <c r="IUO276" s="580"/>
      <c r="IUP276" s="580"/>
      <c r="IUQ276" s="580"/>
      <c r="IUR276" s="580"/>
      <c r="IUS276" s="580"/>
      <c r="IUT276" s="580"/>
      <c r="IUU276" s="580"/>
      <c r="IUV276" s="580"/>
      <c r="IUW276" s="580"/>
      <c r="IUX276" s="580"/>
      <c r="IUY276" s="580"/>
      <c r="IUZ276" s="580"/>
      <c r="IVA276" s="580"/>
      <c r="IVB276" s="580"/>
      <c r="IVC276" s="580"/>
      <c r="IVD276" s="580"/>
      <c r="IVE276" s="580"/>
      <c r="IVF276" s="580"/>
      <c r="IVG276" s="580"/>
      <c r="IVH276" s="580"/>
      <c r="IVI276" s="580"/>
      <c r="IVJ276" s="580"/>
      <c r="IVK276" s="580"/>
      <c r="IVL276" s="580"/>
      <c r="IVM276" s="580"/>
      <c r="IVN276" s="580"/>
      <c r="IVO276" s="580"/>
      <c r="IVP276" s="580"/>
      <c r="IVQ276" s="580"/>
      <c r="IVR276" s="580"/>
      <c r="IVS276" s="580"/>
      <c r="IVT276" s="580"/>
      <c r="IVU276" s="580"/>
      <c r="IVV276" s="580"/>
      <c r="IVW276" s="580"/>
      <c r="IVX276" s="580"/>
      <c r="IVY276" s="580"/>
      <c r="IVZ276" s="580"/>
      <c r="IWA276" s="580"/>
      <c r="IWB276" s="580"/>
      <c r="IWC276" s="580"/>
      <c r="IWD276" s="580"/>
      <c r="IWE276" s="580"/>
      <c r="IWF276" s="580"/>
      <c r="IWG276" s="580"/>
      <c r="IWH276" s="580"/>
      <c r="IWI276" s="580"/>
      <c r="IWJ276" s="580"/>
      <c r="IWK276" s="580"/>
      <c r="IWL276" s="580"/>
      <c r="IWM276" s="580"/>
      <c r="IWN276" s="580"/>
      <c r="IWO276" s="580"/>
      <c r="IWP276" s="580"/>
      <c r="IWQ276" s="580"/>
      <c r="IWR276" s="580"/>
      <c r="IWS276" s="580"/>
      <c r="IWT276" s="580"/>
      <c r="IWU276" s="580"/>
      <c r="IWV276" s="580"/>
      <c r="IWW276" s="580"/>
      <c r="IWX276" s="580"/>
      <c r="IWY276" s="580"/>
      <c r="IWZ276" s="580"/>
      <c r="IXA276" s="580"/>
      <c r="IXB276" s="580"/>
      <c r="IXC276" s="580"/>
      <c r="IXD276" s="580"/>
      <c r="IXE276" s="580"/>
      <c r="IXF276" s="580"/>
      <c r="IXG276" s="580"/>
      <c r="IXH276" s="580"/>
      <c r="IXI276" s="580"/>
      <c r="IXJ276" s="580"/>
      <c r="IXK276" s="580"/>
      <c r="IXL276" s="580"/>
      <c r="IXM276" s="580"/>
      <c r="IXN276" s="580"/>
      <c r="IXO276" s="580"/>
      <c r="IXP276" s="580"/>
      <c r="IXQ276" s="580"/>
      <c r="IXR276" s="580"/>
      <c r="IXS276" s="580"/>
      <c r="IXT276" s="580"/>
      <c r="IXU276" s="580"/>
      <c r="IXV276" s="580"/>
      <c r="IXW276" s="580"/>
      <c r="IXX276" s="580"/>
      <c r="IXY276" s="580"/>
      <c r="IXZ276" s="580"/>
      <c r="IYA276" s="580"/>
      <c r="IYB276" s="580"/>
      <c r="IYC276" s="580"/>
      <c r="IYD276" s="580"/>
      <c r="IYE276" s="580"/>
      <c r="IYF276" s="580"/>
      <c r="IYG276" s="580"/>
      <c r="IYH276" s="580"/>
      <c r="IYI276" s="580"/>
      <c r="IYJ276" s="580"/>
      <c r="IYK276" s="580"/>
      <c r="IYL276" s="580"/>
      <c r="IYM276" s="580"/>
      <c r="IYN276" s="580"/>
      <c r="IYO276" s="580"/>
      <c r="IYP276" s="580"/>
      <c r="IYQ276" s="580"/>
      <c r="IYR276" s="580"/>
      <c r="IYS276" s="580"/>
      <c r="IYT276" s="580"/>
      <c r="IYU276" s="580"/>
      <c r="IYV276" s="580"/>
      <c r="IYW276" s="580"/>
      <c r="IYX276" s="580"/>
      <c r="IYY276" s="580"/>
      <c r="IYZ276" s="580"/>
      <c r="IZA276" s="580"/>
      <c r="IZB276" s="580"/>
      <c r="IZC276" s="580"/>
      <c r="IZD276" s="580"/>
      <c r="IZE276" s="580"/>
      <c r="IZF276" s="580"/>
      <c r="IZG276" s="580"/>
      <c r="IZH276" s="580"/>
      <c r="IZI276" s="580"/>
      <c r="IZJ276" s="580"/>
      <c r="IZK276" s="580"/>
      <c r="IZL276" s="580"/>
      <c r="IZM276" s="580"/>
      <c r="IZN276" s="580"/>
      <c r="IZO276" s="580"/>
      <c r="IZP276" s="580"/>
      <c r="IZQ276" s="580"/>
      <c r="IZR276" s="580"/>
      <c r="IZS276" s="580"/>
      <c r="IZT276" s="580"/>
      <c r="IZU276" s="580"/>
      <c r="IZV276" s="580"/>
      <c r="IZW276" s="580"/>
      <c r="IZX276" s="580"/>
      <c r="IZY276" s="580"/>
      <c r="IZZ276" s="580"/>
      <c r="JAA276" s="580"/>
      <c r="JAB276" s="580"/>
      <c r="JAC276" s="580"/>
      <c r="JAD276" s="580"/>
      <c r="JAE276" s="580"/>
      <c r="JAF276" s="580"/>
      <c r="JAG276" s="580"/>
      <c r="JAH276" s="580"/>
      <c r="JAI276" s="580"/>
      <c r="JAJ276" s="580"/>
      <c r="JAK276" s="580"/>
      <c r="JAL276" s="580"/>
      <c r="JAM276" s="580"/>
      <c r="JAN276" s="580"/>
      <c r="JAO276" s="580"/>
      <c r="JAP276" s="580"/>
      <c r="JAQ276" s="580"/>
      <c r="JAR276" s="580"/>
      <c r="JAS276" s="580"/>
      <c r="JAT276" s="580"/>
      <c r="JAU276" s="580"/>
      <c r="JAV276" s="580"/>
      <c r="JAW276" s="580"/>
      <c r="JAX276" s="580"/>
      <c r="JAY276" s="580"/>
      <c r="JAZ276" s="580"/>
      <c r="JBA276" s="580"/>
      <c r="JBB276" s="580"/>
      <c r="JBC276" s="580"/>
      <c r="JBD276" s="580"/>
      <c r="JBE276" s="580"/>
      <c r="JBF276" s="580"/>
      <c r="JBG276" s="580"/>
      <c r="JBH276" s="580"/>
      <c r="JBI276" s="580"/>
      <c r="JBJ276" s="580"/>
      <c r="JBK276" s="580"/>
      <c r="JBL276" s="580"/>
      <c r="JBM276" s="580"/>
      <c r="JBN276" s="580"/>
      <c r="JBO276" s="580"/>
      <c r="JBP276" s="580"/>
      <c r="JBQ276" s="580"/>
      <c r="JBR276" s="580"/>
      <c r="JBS276" s="580"/>
      <c r="JBT276" s="580"/>
      <c r="JBU276" s="580"/>
      <c r="JBV276" s="580"/>
      <c r="JBW276" s="580"/>
      <c r="JBX276" s="580"/>
      <c r="JBY276" s="580"/>
      <c r="JBZ276" s="580"/>
      <c r="JCA276" s="580"/>
      <c r="JCB276" s="580"/>
      <c r="JCC276" s="580"/>
      <c r="JCD276" s="580"/>
      <c r="JCE276" s="580"/>
      <c r="JCF276" s="580"/>
      <c r="JCG276" s="580"/>
      <c r="JCH276" s="580"/>
      <c r="JCI276" s="580"/>
      <c r="JCJ276" s="580"/>
      <c r="JCK276" s="580"/>
      <c r="JCL276" s="580"/>
      <c r="JCM276" s="580"/>
      <c r="JCN276" s="580"/>
      <c r="JCO276" s="580"/>
      <c r="JCP276" s="580"/>
      <c r="JCQ276" s="580"/>
      <c r="JCR276" s="580"/>
      <c r="JCS276" s="580"/>
      <c r="JCT276" s="580"/>
      <c r="JCU276" s="580"/>
      <c r="JCV276" s="580"/>
      <c r="JCW276" s="580"/>
      <c r="JCX276" s="580"/>
      <c r="JCY276" s="580"/>
      <c r="JCZ276" s="580"/>
      <c r="JDA276" s="580"/>
      <c r="JDB276" s="580"/>
      <c r="JDC276" s="580"/>
      <c r="JDD276" s="580"/>
      <c r="JDE276" s="580"/>
      <c r="JDF276" s="580"/>
      <c r="JDG276" s="580"/>
      <c r="JDH276" s="580"/>
      <c r="JDI276" s="580"/>
      <c r="JDJ276" s="580"/>
      <c r="JDK276" s="580"/>
      <c r="JDL276" s="580"/>
      <c r="JDM276" s="580"/>
      <c r="JDN276" s="580"/>
      <c r="JDO276" s="580"/>
      <c r="JDP276" s="580"/>
      <c r="JDQ276" s="580"/>
      <c r="JDR276" s="580"/>
      <c r="JDS276" s="580"/>
      <c r="JDT276" s="580"/>
      <c r="JDU276" s="580"/>
      <c r="JDV276" s="580"/>
      <c r="JDW276" s="580"/>
      <c r="JDX276" s="580"/>
      <c r="JDY276" s="580"/>
      <c r="JDZ276" s="580"/>
      <c r="JEA276" s="580"/>
      <c r="JEB276" s="580"/>
      <c r="JEC276" s="580"/>
      <c r="JED276" s="580"/>
      <c r="JEE276" s="580"/>
      <c r="JEF276" s="580"/>
      <c r="JEG276" s="580"/>
      <c r="JEH276" s="580"/>
      <c r="JEI276" s="580"/>
      <c r="JEJ276" s="580"/>
      <c r="JEK276" s="580"/>
      <c r="JEL276" s="580"/>
      <c r="JEM276" s="580"/>
      <c r="JEN276" s="580"/>
      <c r="JEO276" s="580"/>
      <c r="JEP276" s="580"/>
      <c r="JEQ276" s="580"/>
      <c r="JER276" s="580"/>
      <c r="JES276" s="580"/>
      <c r="JET276" s="580"/>
      <c r="JEU276" s="580"/>
      <c r="JEV276" s="580"/>
      <c r="JEW276" s="580"/>
      <c r="JEX276" s="580"/>
      <c r="JEY276" s="580"/>
      <c r="JEZ276" s="580"/>
      <c r="JFA276" s="580"/>
      <c r="JFB276" s="580"/>
      <c r="JFC276" s="580"/>
      <c r="JFD276" s="580"/>
      <c r="JFE276" s="580"/>
      <c r="JFF276" s="580"/>
      <c r="JFG276" s="580"/>
      <c r="JFH276" s="580"/>
      <c r="JFI276" s="580"/>
      <c r="JFJ276" s="580"/>
      <c r="JFK276" s="580"/>
      <c r="JFL276" s="580"/>
      <c r="JFM276" s="580"/>
      <c r="JFN276" s="580"/>
      <c r="JFO276" s="580"/>
      <c r="JFP276" s="580"/>
      <c r="JFQ276" s="580"/>
      <c r="JFR276" s="580"/>
      <c r="JFS276" s="580"/>
      <c r="JFT276" s="580"/>
      <c r="JFU276" s="580"/>
      <c r="JFV276" s="580"/>
      <c r="JFW276" s="580"/>
      <c r="JFX276" s="580"/>
      <c r="JFY276" s="580"/>
      <c r="JFZ276" s="580"/>
      <c r="JGA276" s="580"/>
      <c r="JGB276" s="580"/>
      <c r="JGC276" s="580"/>
      <c r="JGD276" s="580"/>
      <c r="JGE276" s="580"/>
      <c r="JGF276" s="580"/>
      <c r="JGG276" s="580"/>
      <c r="JGH276" s="580"/>
      <c r="JGI276" s="580"/>
      <c r="JGJ276" s="580"/>
      <c r="JGK276" s="580"/>
      <c r="JGL276" s="580"/>
      <c r="JGM276" s="580"/>
      <c r="JGN276" s="580"/>
      <c r="JGO276" s="580"/>
      <c r="JGP276" s="580"/>
      <c r="JGQ276" s="580"/>
      <c r="JGR276" s="580"/>
      <c r="JGS276" s="580"/>
      <c r="JGT276" s="580"/>
      <c r="JGU276" s="580"/>
      <c r="JGV276" s="580"/>
      <c r="JGW276" s="580"/>
      <c r="JGX276" s="580"/>
      <c r="JGY276" s="580"/>
      <c r="JGZ276" s="580"/>
      <c r="JHA276" s="580"/>
      <c r="JHB276" s="580"/>
      <c r="JHC276" s="580"/>
      <c r="JHD276" s="580"/>
      <c r="JHE276" s="580"/>
      <c r="JHF276" s="580"/>
      <c r="JHG276" s="580"/>
      <c r="JHH276" s="580"/>
      <c r="JHI276" s="580"/>
      <c r="JHJ276" s="580"/>
      <c r="JHK276" s="580"/>
      <c r="JHL276" s="580"/>
      <c r="JHM276" s="580"/>
      <c r="JHN276" s="580"/>
      <c r="JHO276" s="580"/>
      <c r="JHP276" s="580"/>
      <c r="JHQ276" s="580"/>
      <c r="JHR276" s="580"/>
      <c r="JHS276" s="580"/>
      <c r="JHT276" s="580"/>
      <c r="JHU276" s="580"/>
      <c r="JHV276" s="580"/>
      <c r="JHW276" s="580"/>
      <c r="JHX276" s="580"/>
      <c r="JHY276" s="580"/>
      <c r="JHZ276" s="580"/>
      <c r="JIA276" s="580"/>
      <c r="JIB276" s="580"/>
      <c r="JIC276" s="580"/>
      <c r="JID276" s="580"/>
      <c r="JIE276" s="580"/>
      <c r="JIF276" s="580"/>
      <c r="JIG276" s="580"/>
      <c r="JIH276" s="580"/>
      <c r="JII276" s="580"/>
      <c r="JIJ276" s="580"/>
      <c r="JIK276" s="580"/>
      <c r="JIL276" s="580"/>
      <c r="JIM276" s="580"/>
      <c r="JIN276" s="580"/>
      <c r="JIO276" s="580"/>
      <c r="JIP276" s="580"/>
      <c r="JIQ276" s="580"/>
      <c r="JIR276" s="580"/>
      <c r="JIS276" s="580"/>
      <c r="JIT276" s="580"/>
      <c r="JIU276" s="580"/>
      <c r="JIV276" s="580"/>
      <c r="JIW276" s="580"/>
      <c r="JIX276" s="580"/>
      <c r="JIY276" s="580"/>
      <c r="JIZ276" s="580"/>
      <c r="JJA276" s="580"/>
      <c r="JJB276" s="580"/>
      <c r="JJC276" s="580"/>
      <c r="JJD276" s="580"/>
      <c r="JJE276" s="580"/>
      <c r="JJF276" s="580"/>
      <c r="JJG276" s="580"/>
      <c r="JJH276" s="580"/>
      <c r="JJI276" s="580"/>
      <c r="JJJ276" s="580"/>
      <c r="JJK276" s="580"/>
      <c r="JJL276" s="580"/>
      <c r="JJM276" s="580"/>
      <c r="JJN276" s="580"/>
      <c r="JJO276" s="580"/>
      <c r="JJP276" s="580"/>
      <c r="JJQ276" s="580"/>
      <c r="JJR276" s="580"/>
      <c r="JJS276" s="580"/>
      <c r="JJT276" s="580"/>
      <c r="JJU276" s="580"/>
      <c r="JJV276" s="580"/>
      <c r="JJW276" s="580"/>
      <c r="JJX276" s="580"/>
      <c r="JJY276" s="580"/>
      <c r="JJZ276" s="580"/>
      <c r="JKA276" s="580"/>
      <c r="JKB276" s="580"/>
      <c r="JKC276" s="580"/>
      <c r="JKD276" s="580"/>
      <c r="JKE276" s="580"/>
      <c r="JKF276" s="580"/>
      <c r="JKG276" s="580"/>
      <c r="JKH276" s="580"/>
      <c r="JKI276" s="580"/>
      <c r="JKJ276" s="580"/>
      <c r="JKK276" s="580"/>
      <c r="JKL276" s="580"/>
      <c r="JKM276" s="580"/>
      <c r="JKN276" s="580"/>
      <c r="JKO276" s="580"/>
      <c r="JKP276" s="580"/>
      <c r="JKQ276" s="580"/>
      <c r="JKR276" s="580"/>
      <c r="JKS276" s="580"/>
      <c r="JKT276" s="580"/>
      <c r="JKU276" s="580"/>
      <c r="JKV276" s="580"/>
      <c r="JKW276" s="580"/>
      <c r="JKX276" s="580"/>
      <c r="JKY276" s="580"/>
      <c r="JKZ276" s="580"/>
      <c r="JLA276" s="580"/>
      <c r="JLB276" s="580"/>
      <c r="JLC276" s="580"/>
      <c r="JLD276" s="580"/>
      <c r="JLE276" s="580"/>
      <c r="JLF276" s="580"/>
      <c r="JLG276" s="580"/>
      <c r="JLH276" s="580"/>
      <c r="JLI276" s="580"/>
      <c r="JLJ276" s="580"/>
      <c r="JLK276" s="580"/>
      <c r="JLL276" s="580"/>
      <c r="JLM276" s="580"/>
      <c r="JLN276" s="580"/>
      <c r="JLO276" s="580"/>
      <c r="JLP276" s="580"/>
      <c r="JLQ276" s="580"/>
      <c r="JLR276" s="580"/>
      <c r="JLS276" s="580"/>
      <c r="JLT276" s="580"/>
      <c r="JLU276" s="580"/>
      <c r="JLV276" s="580"/>
      <c r="JLW276" s="580"/>
      <c r="JLX276" s="580"/>
      <c r="JLY276" s="580"/>
      <c r="JLZ276" s="580"/>
      <c r="JMA276" s="580"/>
      <c r="JMB276" s="580"/>
      <c r="JMC276" s="580"/>
      <c r="JMD276" s="580"/>
      <c r="JME276" s="580"/>
      <c r="JMF276" s="580"/>
      <c r="JMG276" s="580"/>
      <c r="JMH276" s="580"/>
      <c r="JMI276" s="580"/>
      <c r="JMJ276" s="580"/>
      <c r="JMK276" s="580"/>
      <c r="JML276" s="580"/>
      <c r="JMM276" s="580"/>
      <c r="JMN276" s="580"/>
      <c r="JMO276" s="580"/>
      <c r="JMP276" s="580"/>
      <c r="JMQ276" s="580"/>
      <c r="JMR276" s="580"/>
      <c r="JMS276" s="580"/>
      <c r="JMT276" s="580"/>
      <c r="JMU276" s="580"/>
      <c r="JMV276" s="580"/>
      <c r="JMW276" s="580"/>
      <c r="JMX276" s="580"/>
      <c r="JMY276" s="580"/>
      <c r="JMZ276" s="580"/>
      <c r="JNA276" s="580"/>
      <c r="JNB276" s="580"/>
      <c r="JNC276" s="580"/>
      <c r="JND276" s="580"/>
      <c r="JNE276" s="580"/>
      <c r="JNF276" s="580"/>
      <c r="JNG276" s="580"/>
      <c r="JNH276" s="580"/>
      <c r="JNI276" s="580"/>
      <c r="JNJ276" s="580"/>
      <c r="JNK276" s="580"/>
      <c r="JNL276" s="580"/>
      <c r="JNM276" s="580"/>
      <c r="JNN276" s="580"/>
      <c r="JNO276" s="580"/>
      <c r="JNP276" s="580"/>
      <c r="JNQ276" s="580"/>
      <c r="JNR276" s="580"/>
      <c r="JNS276" s="580"/>
      <c r="JNT276" s="580"/>
      <c r="JNU276" s="580"/>
      <c r="JNV276" s="580"/>
      <c r="JNW276" s="580"/>
      <c r="JNX276" s="580"/>
      <c r="JNY276" s="580"/>
      <c r="JNZ276" s="580"/>
      <c r="JOA276" s="580"/>
      <c r="JOB276" s="580"/>
      <c r="JOC276" s="580"/>
      <c r="JOD276" s="580"/>
      <c r="JOE276" s="580"/>
      <c r="JOF276" s="580"/>
      <c r="JOG276" s="580"/>
      <c r="JOH276" s="580"/>
      <c r="JOI276" s="580"/>
      <c r="JOJ276" s="580"/>
      <c r="JOK276" s="580"/>
      <c r="JOL276" s="580"/>
      <c r="JOM276" s="580"/>
      <c r="JON276" s="580"/>
      <c r="JOO276" s="580"/>
      <c r="JOP276" s="580"/>
      <c r="JOQ276" s="580"/>
      <c r="JOR276" s="580"/>
      <c r="JOS276" s="580"/>
      <c r="JOT276" s="580"/>
      <c r="JOU276" s="580"/>
      <c r="JOV276" s="580"/>
      <c r="JOW276" s="580"/>
      <c r="JOX276" s="580"/>
      <c r="JOY276" s="580"/>
      <c r="JOZ276" s="580"/>
      <c r="JPA276" s="580"/>
      <c r="JPB276" s="580"/>
      <c r="JPC276" s="580"/>
      <c r="JPD276" s="580"/>
      <c r="JPE276" s="580"/>
      <c r="JPF276" s="580"/>
      <c r="JPG276" s="580"/>
      <c r="JPH276" s="580"/>
      <c r="JPI276" s="580"/>
      <c r="JPJ276" s="580"/>
      <c r="JPK276" s="580"/>
      <c r="JPL276" s="580"/>
      <c r="JPM276" s="580"/>
      <c r="JPN276" s="580"/>
      <c r="JPO276" s="580"/>
      <c r="JPP276" s="580"/>
      <c r="JPQ276" s="580"/>
      <c r="JPR276" s="580"/>
      <c r="JPS276" s="580"/>
      <c r="JPT276" s="580"/>
      <c r="JPU276" s="580"/>
      <c r="JPV276" s="580"/>
      <c r="JPW276" s="580"/>
      <c r="JPX276" s="580"/>
      <c r="JPY276" s="580"/>
      <c r="JPZ276" s="580"/>
      <c r="JQA276" s="580"/>
      <c r="JQB276" s="580"/>
      <c r="JQC276" s="580"/>
      <c r="JQD276" s="580"/>
      <c r="JQE276" s="580"/>
      <c r="JQF276" s="580"/>
      <c r="JQG276" s="580"/>
      <c r="JQH276" s="580"/>
      <c r="JQI276" s="580"/>
      <c r="JQJ276" s="580"/>
      <c r="JQK276" s="580"/>
      <c r="JQL276" s="580"/>
      <c r="JQM276" s="580"/>
      <c r="JQN276" s="580"/>
      <c r="JQO276" s="580"/>
      <c r="JQP276" s="580"/>
      <c r="JQQ276" s="580"/>
      <c r="JQR276" s="580"/>
      <c r="JQS276" s="580"/>
      <c r="JQT276" s="580"/>
      <c r="JQU276" s="580"/>
      <c r="JQV276" s="580"/>
      <c r="JQW276" s="580"/>
      <c r="JQX276" s="580"/>
      <c r="JQY276" s="580"/>
      <c r="JQZ276" s="580"/>
      <c r="JRA276" s="580"/>
      <c r="JRB276" s="580"/>
      <c r="JRC276" s="580"/>
      <c r="JRD276" s="580"/>
      <c r="JRE276" s="580"/>
      <c r="JRF276" s="580"/>
      <c r="JRG276" s="580"/>
      <c r="JRH276" s="580"/>
      <c r="JRI276" s="580"/>
      <c r="JRJ276" s="580"/>
      <c r="JRK276" s="580"/>
      <c r="JRL276" s="580"/>
      <c r="JRM276" s="580"/>
      <c r="JRN276" s="580"/>
      <c r="JRO276" s="580"/>
      <c r="JRP276" s="580"/>
      <c r="JRQ276" s="580"/>
      <c r="JRR276" s="580"/>
      <c r="JRS276" s="580"/>
      <c r="JRT276" s="580"/>
      <c r="JRU276" s="580"/>
      <c r="JRV276" s="580"/>
      <c r="JRW276" s="580"/>
      <c r="JRX276" s="580"/>
      <c r="JRY276" s="580"/>
      <c r="JRZ276" s="580"/>
      <c r="JSA276" s="580"/>
      <c r="JSB276" s="580"/>
      <c r="JSC276" s="580"/>
      <c r="JSD276" s="580"/>
      <c r="JSE276" s="580"/>
      <c r="JSF276" s="580"/>
      <c r="JSG276" s="580"/>
      <c r="JSH276" s="580"/>
      <c r="JSI276" s="580"/>
      <c r="JSJ276" s="580"/>
      <c r="JSK276" s="580"/>
      <c r="JSL276" s="580"/>
      <c r="JSM276" s="580"/>
      <c r="JSN276" s="580"/>
      <c r="JSO276" s="580"/>
      <c r="JSP276" s="580"/>
      <c r="JSQ276" s="580"/>
      <c r="JSR276" s="580"/>
      <c r="JSS276" s="580"/>
      <c r="JST276" s="580"/>
      <c r="JSU276" s="580"/>
      <c r="JSV276" s="580"/>
      <c r="JSW276" s="580"/>
      <c r="JSX276" s="580"/>
      <c r="JSY276" s="580"/>
      <c r="JSZ276" s="580"/>
      <c r="JTA276" s="580"/>
      <c r="JTB276" s="580"/>
      <c r="JTC276" s="580"/>
      <c r="JTD276" s="580"/>
      <c r="JTE276" s="580"/>
      <c r="JTF276" s="580"/>
      <c r="JTG276" s="580"/>
      <c r="JTH276" s="580"/>
      <c r="JTI276" s="580"/>
      <c r="JTJ276" s="580"/>
      <c r="JTK276" s="580"/>
      <c r="JTL276" s="580"/>
      <c r="JTM276" s="580"/>
      <c r="JTN276" s="580"/>
      <c r="JTO276" s="580"/>
      <c r="JTP276" s="580"/>
      <c r="JTQ276" s="580"/>
      <c r="JTR276" s="580"/>
      <c r="JTS276" s="580"/>
      <c r="JTT276" s="580"/>
      <c r="JTU276" s="580"/>
      <c r="JTV276" s="580"/>
      <c r="JTW276" s="580"/>
      <c r="JTX276" s="580"/>
      <c r="JTY276" s="580"/>
      <c r="JTZ276" s="580"/>
      <c r="JUA276" s="580"/>
      <c r="JUB276" s="580"/>
      <c r="JUC276" s="580"/>
      <c r="JUD276" s="580"/>
      <c r="JUE276" s="580"/>
      <c r="JUF276" s="580"/>
      <c r="JUG276" s="580"/>
      <c r="JUH276" s="580"/>
      <c r="JUI276" s="580"/>
      <c r="JUJ276" s="580"/>
      <c r="JUK276" s="580"/>
      <c r="JUL276" s="580"/>
      <c r="JUM276" s="580"/>
      <c r="JUN276" s="580"/>
      <c r="JUO276" s="580"/>
      <c r="JUP276" s="580"/>
      <c r="JUQ276" s="580"/>
      <c r="JUR276" s="580"/>
      <c r="JUS276" s="580"/>
      <c r="JUT276" s="580"/>
      <c r="JUU276" s="580"/>
      <c r="JUV276" s="580"/>
      <c r="JUW276" s="580"/>
      <c r="JUX276" s="580"/>
      <c r="JUY276" s="580"/>
      <c r="JUZ276" s="580"/>
      <c r="JVA276" s="580"/>
      <c r="JVB276" s="580"/>
      <c r="JVC276" s="580"/>
      <c r="JVD276" s="580"/>
      <c r="JVE276" s="580"/>
      <c r="JVF276" s="580"/>
      <c r="JVG276" s="580"/>
      <c r="JVH276" s="580"/>
      <c r="JVI276" s="580"/>
      <c r="JVJ276" s="580"/>
      <c r="JVK276" s="580"/>
      <c r="JVL276" s="580"/>
      <c r="JVM276" s="580"/>
      <c r="JVN276" s="580"/>
      <c r="JVO276" s="580"/>
      <c r="JVP276" s="580"/>
      <c r="JVQ276" s="580"/>
      <c r="JVR276" s="580"/>
      <c r="JVS276" s="580"/>
      <c r="JVT276" s="580"/>
      <c r="JVU276" s="580"/>
      <c r="JVV276" s="580"/>
      <c r="JVW276" s="580"/>
      <c r="JVX276" s="580"/>
      <c r="JVY276" s="580"/>
      <c r="JVZ276" s="580"/>
      <c r="JWA276" s="580"/>
      <c r="JWB276" s="580"/>
      <c r="JWC276" s="580"/>
      <c r="JWD276" s="580"/>
      <c r="JWE276" s="580"/>
      <c r="JWF276" s="580"/>
      <c r="JWG276" s="580"/>
      <c r="JWH276" s="580"/>
      <c r="JWI276" s="580"/>
      <c r="JWJ276" s="580"/>
      <c r="JWK276" s="580"/>
      <c r="JWL276" s="580"/>
      <c r="JWM276" s="580"/>
      <c r="JWN276" s="580"/>
      <c r="JWO276" s="580"/>
      <c r="JWP276" s="580"/>
      <c r="JWQ276" s="580"/>
      <c r="JWR276" s="580"/>
      <c r="JWS276" s="580"/>
      <c r="JWT276" s="580"/>
      <c r="JWU276" s="580"/>
      <c r="JWV276" s="580"/>
      <c r="JWW276" s="580"/>
      <c r="JWX276" s="580"/>
      <c r="JWY276" s="580"/>
      <c r="JWZ276" s="580"/>
      <c r="JXA276" s="580"/>
      <c r="JXB276" s="580"/>
      <c r="JXC276" s="580"/>
      <c r="JXD276" s="580"/>
      <c r="JXE276" s="580"/>
      <c r="JXF276" s="580"/>
      <c r="JXG276" s="580"/>
      <c r="JXH276" s="580"/>
      <c r="JXI276" s="580"/>
      <c r="JXJ276" s="580"/>
      <c r="JXK276" s="580"/>
      <c r="JXL276" s="580"/>
      <c r="JXM276" s="580"/>
      <c r="JXN276" s="580"/>
      <c r="JXO276" s="580"/>
      <c r="JXP276" s="580"/>
      <c r="JXQ276" s="580"/>
      <c r="JXR276" s="580"/>
      <c r="JXS276" s="580"/>
      <c r="JXT276" s="580"/>
      <c r="JXU276" s="580"/>
      <c r="JXV276" s="580"/>
      <c r="JXW276" s="580"/>
      <c r="JXX276" s="580"/>
      <c r="JXY276" s="580"/>
      <c r="JXZ276" s="580"/>
      <c r="JYA276" s="580"/>
      <c r="JYB276" s="580"/>
      <c r="JYC276" s="580"/>
      <c r="JYD276" s="580"/>
      <c r="JYE276" s="580"/>
      <c r="JYF276" s="580"/>
      <c r="JYG276" s="580"/>
      <c r="JYH276" s="580"/>
      <c r="JYI276" s="580"/>
      <c r="JYJ276" s="580"/>
      <c r="JYK276" s="580"/>
      <c r="JYL276" s="580"/>
      <c r="JYM276" s="580"/>
      <c r="JYN276" s="580"/>
      <c r="JYO276" s="580"/>
      <c r="JYP276" s="580"/>
      <c r="JYQ276" s="580"/>
      <c r="JYR276" s="580"/>
      <c r="JYS276" s="580"/>
      <c r="JYT276" s="580"/>
      <c r="JYU276" s="580"/>
      <c r="JYV276" s="580"/>
      <c r="JYW276" s="580"/>
      <c r="JYX276" s="580"/>
      <c r="JYY276" s="580"/>
      <c r="JYZ276" s="580"/>
      <c r="JZA276" s="580"/>
      <c r="JZB276" s="580"/>
      <c r="JZC276" s="580"/>
      <c r="JZD276" s="580"/>
      <c r="JZE276" s="580"/>
      <c r="JZF276" s="580"/>
      <c r="JZG276" s="580"/>
      <c r="JZH276" s="580"/>
      <c r="JZI276" s="580"/>
      <c r="JZJ276" s="580"/>
      <c r="JZK276" s="580"/>
      <c r="JZL276" s="580"/>
      <c r="JZM276" s="580"/>
      <c r="JZN276" s="580"/>
      <c r="JZO276" s="580"/>
      <c r="JZP276" s="580"/>
      <c r="JZQ276" s="580"/>
      <c r="JZR276" s="580"/>
      <c r="JZS276" s="580"/>
      <c r="JZT276" s="580"/>
      <c r="JZU276" s="580"/>
      <c r="JZV276" s="580"/>
      <c r="JZW276" s="580"/>
      <c r="JZX276" s="580"/>
      <c r="JZY276" s="580"/>
      <c r="JZZ276" s="580"/>
      <c r="KAA276" s="580"/>
      <c r="KAB276" s="580"/>
      <c r="KAC276" s="580"/>
      <c r="KAD276" s="580"/>
      <c r="KAE276" s="580"/>
      <c r="KAF276" s="580"/>
      <c r="KAG276" s="580"/>
      <c r="KAH276" s="580"/>
      <c r="KAI276" s="580"/>
      <c r="KAJ276" s="580"/>
      <c r="KAK276" s="580"/>
      <c r="KAL276" s="580"/>
      <c r="KAM276" s="580"/>
      <c r="KAN276" s="580"/>
      <c r="KAO276" s="580"/>
      <c r="KAP276" s="580"/>
      <c r="KAQ276" s="580"/>
      <c r="KAR276" s="580"/>
      <c r="KAS276" s="580"/>
      <c r="KAT276" s="580"/>
      <c r="KAU276" s="580"/>
      <c r="KAV276" s="580"/>
      <c r="KAW276" s="580"/>
      <c r="KAX276" s="580"/>
      <c r="KAY276" s="580"/>
      <c r="KAZ276" s="580"/>
      <c r="KBA276" s="580"/>
      <c r="KBB276" s="580"/>
      <c r="KBC276" s="580"/>
      <c r="KBD276" s="580"/>
      <c r="KBE276" s="580"/>
      <c r="KBF276" s="580"/>
      <c r="KBG276" s="580"/>
      <c r="KBH276" s="580"/>
      <c r="KBI276" s="580"/>
      <c r="KBJ276" s="580"/>
      <c r="KBK276" s="580"/>
      <c r="KBL276" s="580"/>
      <c r="KBM276" s="580"/>
      <c r="KBN276" s="580"/>
      <c r="KBO276" s="580"/>
      <c r="KBP276" s="580"/>
      <c r="KBQ276" s="580"/>
      <c r="KBR276" s="580"/>
      <c r="KBS276" s="580"/>
      <c r="KBT276" s="580"/>
      <c r="KBU276" s="580"/>
      <c r="KBV276" s="580"/>
      <c r="KBW276" s="580"/>
      <c r="KBX276" s="580"/>
      <c r="KBY276" s="580"/>
      <c r="KBZ276" s="580"/>
      <c r="KCA276" s="580"/>
      <c r="KCB276" s="580"/>
      <c r="KCC276" s="580"/>
      <c r="KCD276" s="580"/>
      <c r="KCE276" s="580"/>
      <c r="KCF276" s="580"/>
      <c r="KCG276" s="580"/>
      <c r="KCH276" s="580"/>
      <c r="KCI276" s="580"/>
      <c r="KCJ276" s="580"/>
      <c r="KCK276" s="580"/>
      <c r="KCL276" s="580"/>
      <c r="KCM276" s="580"/>
      <c r="KCN276" s="580"/>
      <c r="KCO276" s="580"/>
      <c r="KCP276" s="580"/>
      <c r="KCQ276" s="580"/>
      <c r="KCR276" s="580"/>
      <c r="KCS276" s="580"/>
      <c r="KCT276" s="580"/>
      <c r="KCU276" s="580"/>
      <c r="KCV276" s="580"/>
      <c r="KCW276" s="580"/>
      <c r="KCX276" s="580"/>
      <c r="KCY276" s="580"/>
      <c r="KCZ276" s="580"/>
      <c r="KDA276" s="580"/>
      <c r="KDB276" s="580"/>
      <c r="KDC276" s="580"/>
      <c r="KDD276" s="580"/>
      <c r="KDE276" s="580"/>
      <c r="KDF276" s="580"/>
      <c r="KDG276" s="580"/>
      <c r="KDH276" s="580"/>
      <c r="KDI276" s="580"/>
      <c r="KDJ276" s="580"/>
      <c r="KDK276" s="580"/>
      <c r="KDL276" s="580"/>
      <c r="KDM276" s="580"/>
      <c r="KDN276" s="580"/>
      <c r="KDO276" s="580"/>
      <c r="KDP276" s="580"/>
      <c r="KDQ276" s="580"/>
      <c r="KDR276" s="580"/>
      <c r="KDS276" s="580"/>
      <c r="KDT276" s="580"/>
      <c r="KDU276" s="580"/>
      <c r="KDV276" s="580"/>
      <c r="KDW276" s="580"/>
      <c r="KDX276" s="580"/>
      <c r="KDY276" s="580"/>
      <c r="KDZ276" s="580"/>
      <c r="KEA276" s="580"/>
      <c r="KEB276" s="580"/>
      <c r="KEC276" s="580"/>
      <c r="KED276" s="580"/>
      <c r="KEE276" s="580"/>
      <c r="KEF276" s="580"/>
      <c r="KEG276" s="580"/>
      <c r="KEH276" s="580"/>
      <c r="KEI276" s="580"/>
      <c r="KEJ276" s="580"/>
      <c r="KEK276" s="580"/>
      <c r="KEL276" s="580"/>
      <c r="KEM276" s="580"/>
      <c r="KEN276" s="580"/>
      <c r="KEO276" s="580"/>
      <c r="KEP276" s="580"/>
      <c r="KEQ276" s="580"/>
      <c r="KER276" s="580"/>
      <c r="KES276" s="580"/>
      <c r="KET276" s="580"/>
      <c r="KEU276" s="580"/>
      <c r="KEV276" s="580"/>
      <c r="KEW276" s="580"/>
      <c r="KEX276" s="580"/>
      <c r="KEY276" s="580"/>
      <c r="KEZ276" s="580"/>
      <c r="KFA276" s="580"/>
      <c r="KFB276" s="580"/>
      <c r="KFC276" s="580"/>
      <c r="KFD276" s="580"/>
      <c r="KFE276" s="580"/>
      <c r="KFF276" s="580"/>
      <c r="KFG276" s="580"/>
      <c r="KFH276" s="580"/>
      <c r="KFI276" s="580"/>
      <c r="KFJ276" s="580"/>
      <c r="KFK276" s="580"/>
      <c r="KFL276" s="580"/>
      <c r="KFM276" s="580"/>
      <c r="KFN276" s="580"/>
      <c r="KFO276" s="580"/>
      <c r="KFP276" s="580"/>
      <c r="KFQ276" s="580"/>
      <c r="KFR276" s="580"/>
      <c r="KFS276" s="580"/>
      <c r="KFT276" s="580"/>
      <c r="KFU276" s="580"/>
      <c r="KFV276" s="580"/>
      <c r="KFW276" s="580"/>
      <c r="KFX276" s="580"/>
      <c r="KFY276" s="580"/>
      <c r="KFZ276" s="580"/>
      <c r="KGA276" s="580"/>
      <c r="KGB276" s="580"/>
      <c r="KGC276" s="580"/>
      <c r="KGD276" s="580"/>
      <c r="KGE276" s="580"/>
      <c r="KGF276" s="580"/>
      <c r="KGG276" s="580"/>
      <c r="KGH276" s="580"/>
      <c r="KGI276" s="580"/>
      <c r="KGJ276" s="580"/>
      <c r="KGK276" s="580"/>
      <c r="KGL276" s="580"/>
      <c r="KGM276" s="580"/>
      <c r="KGN276" s="580"/>
      <c r="KGO276" s="580"/>
      <c r="KGP276" s="580"/>
      <c r="KGQ276" s="580"/>
      <c r="KGR276" s="580"/>
      <c r="KGS276" s="580"/>
      <c r="KGT276" s="580"/>
      <c r="KGU276" s="580"/>
      <c r="KGV276" s="580"/>
      <c r="KGW276" s="580"/>
      <c r="KGX276" s="580"/>
      <c r="KGY276" s="580"/>
      <c r="KGZ276" s="580"/>
      <c r="KHA276" s="580"/>
      <c r="KHB276" s="580"/>
      <c r="KHC276" s="580"/>
      <c r="KHD276" s="580"/>
      <c r="KHE276" s="580"/>
      <c r="KHF276" s="580"/>
      <c r="KHG276" s="580"/>
      <c r="KHH276" s="580"/>
      <c r="KHI276" s="580"/>
      <c r="KHJ276" s="580"/>
      <c r="KHK276" s="580"/>
      <c r="KHL276" s="580"/>
      <c r="KHM276" s="580"/>
      <c r="KHN276" s="580"/>
      <c r="KHO276" s="580"/>
      <c r="KHP276" s="580"/>
      <c r="KHQ276" s="580"/>
      <c r="KHR276" s="580"/>
      <c r="KHS276" s="580"/>
      <c r="KHT276" s="580"/>
      <c r="KHU276" s="580"/>
      <c r="KHV276" s="580"/>
      <c r="KHW276" s="580"/>
      <c r="KHX276" s="580"/>
      <c r="KHY276" s="580"/>
      <c r="KHZ276" s="580"/>
      <c r="KIA276" s="580"/>
      <c r="KIB276" s="580"/>
      <c r="KIC276" s="580"/>
      <c r="KID276" s="580"/>
      <c r="KIE276" s="580"/>
      <c r="KIF276" s="580"/>
      <c r="KIG276" s="580"/>
      <c r="KIH276" s="580"/>
      <c r="KII276" s="580"/>
      <c r="KIJ276" s="580"/>
      <c r="KIK276" s="580"/>
      <c r="KIL276" s="580"/>
      <c r="KIM276" s="580"/>
      <c r="KIN276" s="580"/>
      <c r="KIO276" s="580"/>
      <c r="KIP276" s="580"/>
      <c r="KIQ276" s="580"/>
      <c r="KIR276" s="580"/>
      <c r="KIS276" s="580"/>
      <c r="KIT276" s="580"/>
      <c r="KIU276" s="580"/>
      <c r="KIV276" s="580"/>
      <c r="KIW276" s="580"/>
      <c r="KIX276" s="580"/>
      <c r="KIY276" s="580"/>
      <c r="KIZ276" s="580"/>
      <c r="KJA276" s="580"/>
      <c r="KJB276" s="580"/>
      <c r="KJC276" s="580"/>
      <c r="KJD276" s="580"/>
      <c r="KJE276" s="580"/>
      <c r="KJF276" s="580"/>
      <c r="KJG276" s="580"/>
      <c r="KJH276" s="580"/>
      <c r="KJI276" s="580"/>
      <c r="KJJ276" s="580"/>
      <c r="KJK276" s="580"/>
      <c r="KJL276" s="580"/>
      <c r="KJM276" s="580"/>
      <c r="KJN276" s="580"/>
      <c r="KJO276" s="580"/>
      <c r="KJP276" s="580"/>
      <c r="KJQ276" s="580"/>
      <c r="KJR276" s="580"/>
      <c r="KJS276" s="580"/>
      <c r="KJT276" s="580"/>
      <c r="KJU276" s="580"/>
      <c r="KJV276" s="580"/>
      <c r="KJW276" s="580"/>
      <c r="KJX276" s="580"/>
      <c r="KJY276" s="580"/>
      <c r="KJZ276" s="580"/>
      <c r="KKA276" s="580"/>
      <c r="KKB276" s="580"/>
      <c r="KKC276" s="580"/>
      <c r="KKD276" s="580"/>
      <c r="KKE276" s="580"/>
      <c r="KKF276" s="580"/>
      <c r="KKG276" s="580"/>
      <c r="KKH276" s="580"/>
      <c r="KKI276" s="580"/>
      <c r="KKJ276" s="580"/>
      <c r="KKK276" s="580"/>
      <c r="KKL276" s="580"/>
      <c r="KKM276" s="580"/>
      <c r="KKN276" s="580"/>
      <c r="KKO276" s="580"/>
      <c r="KKP276" s="580"/>
      <c r="KKQ276" s="580"/>
      <c r="KKR276" s="580"/>
      <c r="KKS276" s="580"/>
      <c r="KKT276" s="580"/>
      <c r="KKU276" s="580"/>
      <c r="KKV276" s="580"/>
      <c r="KKW276" s="580"/>
      <c r="KKX276" s="580"/>
      <c r="KKY276" s="580"/>
      <c r="KKZ276" s="580"/>
      <c r="KLA276" s="580"/>
      <c r="KLB276" s="580"/>
      <c r="KLC276" s="580"/>
      <c r="KLD276" s="580"/>
      <c r="KLE276" s="580"/>
      <c r="KLF276" s="580"/>
      <c r="KLG276" s="580"/>
      <c r="KLH276" s="580"/>
      <c r="KLI276" s="580"/>
      <c r="KLJ276" s="580"/>
      <c r="KLK276" s="580"/>
      <c r="KLL276" s="580"/>
      <c r="KLM276" s="580"/>
      <c r="KLN276" s="580"/>
      <c r="KLO276" s="580"/>
      <c r="KLP276" s="580"/>
      <c r="KLQ276" s="580"/>
      <c r="KLR276" s="580"/>
      <c r="KLS276" s="580"/>
      <c r="KLT276" s="580"/>
      <c r="KLU276" s="580"/>
      <c r="KLV276" s="580"/>
      <c r="KLW276" s="580"/>
      <c r="KLX276" s="580"/>
      <c r="KLY276" s="580"/>
      <c r="KLZ276" s="580"/>
      <c r="KMA276" s="580"/>
      <c r="KMB276" s="580"/>
      <c r="KMC276" s="580"/>
      <c r="KMD276" s="580"/>
      <c r="KME276" s="580"/>
      <c r="KMF276" s="580"/>
      <c r="KMG276" s="580"/>
      <c r="KMH276" s="580"/>
      <c r="KMI276" s="580"/>
      <c r="KMJ276" s="580"/>
      <c r="KMK276" s="580"/>
      <c r="KML276" s="580"/>
      <c r="KMM276" s="580"/>
      <c r="KMN276" s="580"/>
      <c r="KMO276" s="580"/>
      <c r="KMP276" s="580"/>
      <c r="KMQ276" s="580"/>
      <c r="KMR276" s="580"/>
      <c r="KMS276" s="580"/>
      <c r="KMT276" s="580"/>
      <c r="KMU276" s="580"/>
      <c r="KMV276" s="580"/>
      <c r="KMW276" s="580"/>
      <c r="KMX276" s="580"/>
      <c r="KMY276" s="580"/>
      <c r="KMZ276" s="580"/>
      <c r="KNA276" s="580"/>
      <c r="KNB276" s="580"/>
      <c r="KNC276" s="580"/>
      <c r="KND276" s="580"/>
      <c r="KNE276" s="580"/>
      <c r="KNF276" s="580"/>
      <c r="KNG276" s="580"/>
      <c r="KNH276" s="580"/>
      <c r="KNI276" s="580"/>
      <c r="KNJ276" s="580"/>
      <c r="KNK276" s="580"/>
      <c r="KNL276" s="580"/>
      <c r="KNM276" s="580"/>
      <c r="KNN276" s="580"/>
      <c r="KNO276" s="580"/>
      <c r="KNP276" s="580"/>
      <c r="KNQ276" s="580"/>
      <c r="KNR276" s="580"/>
      <c r="KNS276" s="580"/>
      <c r="KNT276" s="580"/>
      <c r="KNU276" s="580"/>
      <c r="KNV276" s="580"/>
      <c r="KNW276" s="580"/>
      <c r="KNX276" s="580"/>
      <c r="KNY276" s="580"/>
      <c r="KNZ276" s="580"/>
      <c r="KOA276" s="580"/>
      <c r="KOB276" s="580"/>
      <c r="KOC276" s="580"/>
      <c r="KOD276" s="580"/>
      <c r="KOE276" s="580"/>
      <c r="KOF276" s="580"/>
      <c r="KOG276" s="580"/>
      <c r="KOH276" s="580"/>
      <c r="KOI276" s="580"/>
      <c r="KOJ276" s="580"/>
      <c r="KOK276" s="580"/>
      <c r="KOL276" s="580"/>
      <c r="KOM276" s="580"/>
      <c r="KON276" s="580"/>
      <c r="KOO276" s="580"/>
      <c r="KOP276" s="580"/>
      <c r="KOQ276" s="580"/>
      <c r="KOR276" s="580"/>
      <c r="KOS276" s="580"/>
      <c r="KOT276" s="580"/>
      <c r="KOU276" s="580"/>
      <c r="KOV276" s="580"/>
      <c r="KOW276" s="580"/>
      <c r="KOX276" s="580"/>
      <c r="KOY276" s="580"/>
      <c r="KOZ276" s="580"/>
      <c r="KPA276" s="580"/>
      <c r="KPB276" s="580"/>
      <c r="KPC276" s="580"/>
      <c r="KPD276" s="580"/>
      <c r="KPE276" s="580"/>
      <c r="KPF276" s="580"/>
      <c r="KPG276" s="580"/>
      <c r="KPH276" s="580"/>
      <c r="KPI276" s="580"/>
      <c r="KPJ276" s="580"/>
      <c r="KPK276" s="580"/>
      <c r="KPL276" s="580"/>
      <c r="KPM276" s="580"/>
      <c r="KPN276" s="580"/>
      <c r="KPO276" s="580"/>
      <c r="KPP276" s="580"/>
      <c r="KPQ276" s="580"/>
      <c r="KPR276" s="580"/>
      <c r="KPS276" s="580"/>
      <c r="KPT276" s="580"/>
      <c r="KPU276" s="580"/>
      <c r="KPV276" s="580"/>
      <c r="KPW276" s="580"/>
      <c r="KPX276" s="580"/>
      <c r="KPY276" s="580"/>
      <c r="KPZ276" s="580"/>
      <c r="KQA276" s="580"/>
      <c r="KQB276" s="580"/>
      <c r="KQC276" s="580"/>
      <c r="KQD276" s="580"/>
      <c r="KQE276" s="580"/>
      <c r="KQF276" s="580"/>
      <c r="KQG276" s="580"/>
      <c r="KQH276" s="580"/>
      <c r="KQI276" s="580"/>
      <c r="KQJ276" s="580"/>
      <c r="KQK276" s="580"/>
      <c r="KQL276" s="580"/>
      <c r="KQM276" s="580"/>
      <c r="KQN276" s="580"/>
      <c r="KQO276" s="580"/>
      <c r="KQP276" s="580"/>
      <c r="KQQ276" s="580"/>
      <c r="KQR276" s="580"/>
      <c r="KQS276" s="580"/>
      <c r="KQT276" s="580"/>
      <c r="KQU276" s="580"/>
      <c r="KQV276" s="580"/>
      <c r="KQW276" s="580"/>
      <c r="KQX276" s="580"/>
      <c r="KQY276" s="580"/>
      <c r="KQZ276" s="580"/>
      <c r="KRA276" s="580"/>
      <c r="KRB276" s="580"/>
      <c r="KRC276" s="580"/>
      <c r="KRD276" s="580"/>
      <c r="KRE276" s="580"/>
      <c r="KRF276" s="580"/>
      <c r="KRG276" s="580"/>
      <c r="KRH276" s="580"/>
      <c r="KRI276" s="580"/>
      <c r="KRJ276" s="580"/>
      <c r="KRK276" s="580"/>
      <c r="KRL276" s="580"/>
      <c r="KRM276" s="580"/>
      <c r="KRN276" s="580"/>
      <c r="KRO276" s="580"/>
      <c r="KRP276" s="580"/>
      <c r="KRQ276" s="580"/>
      <c r="KRR276" s="580"/>
      <c r="KRS276" s="580"/>
      <c r="KRT276" s="580"/>
      <c r="KRU276" s="580"/>
      <c r="KRV276" s="580"/>
      <c r="KRW276" s="580"/>
      <c r="KRX276" s="580"/>
      <c r="KRY276" s="580"/>
      <c r="KRZ276" s="580"/>
      <c r="KSA276" s="580"/>
      <c r="KSB276" s="580"/>
      <c r="KSC276" s="580"/>
      <c r="KSD276" s="580"/>
      <c r="KSE276" s="580"/>
      <c r="KSF276" s="580"/>
      <c r="KSG276" s="580"/>
      <c r="KSH276" s="580"/>
      <c r="KSI276" s="580"/>
      <c r="KSJ276" s="580"/>
      <c r="KSK276" s="580"/>
      <c r="KSL276" s="580"/>
      <c r="KSM276" s="580"/>
      <c r="KSN276" s="580"/>
      <c r="KSO276" s="580"/>
      <c r="KSP276" s="580"/>
      <c r="KSQ276" s="580"/>
      <c r="KSR276" s="580"/>
      <c r="KSS276" s="580"/>
      <c r="KST276" s="580"/>
      <c r="KSU276" s="580"/>
      <c r="KSV276" s="580"/>
      <c r="KSW276" s="580"/>
      <c r="KSX276" s="580"/>
      <c r="KSY276" s="580"/>
      <c r="KSZ276" s="580"/>
      <c r="KTA276" s="580"/>
      <c r="KTB276" s="580"/>
      <c r="KTC276" s="580"/>
      <c r="KTD276" s="580"/>
      <c r="KTE276" s="580"/>
      <c r="KTF276" s="580"/>
      <c r="KTG276" s="580"/>
      <c r="KTH276" s="580"/>
      <c r="KTI276" s="580"/>
      <c r="KTJ276" s="580"/>
      <c r="KTK276" s="580"/>
      <c r="KTL276" s="580"/>
      <c r="KTM276" s="580"/>
      <c r="KTN276" s="580"/>
      <c r="KTO276" s="580"/>
      <c r="KTP276" s="580"/>
      <c r="KTQ276" s="580"/>
      <c r="KTR276" s="580"/>
      <c r="KTS276" s="580"/>
      <c r="KTT276" s="580"/>
      <c r="KTU276" s="580"/>
      <c r="KTV276" s="580"/>
      <c r="KTW276" s="580"/>
      <c r="KTX276" s="580"/>
      <c r="KTY276" s="580"/>
      <c r="KTZ276" s="580"/>
      <c r="KUA276" s="580"/>
      <c r="KUB276" s="580"/>
      <c r="KUC276" s="580"/>
      <c r="KUD276" s="580"/>
      <c r="KUE276" s="580"/>
      <c r="KUF276" s="580"/>
      <c r="KUG276" s="580"/>
      <c r="KUH276" s="580"/>
      <c r="KUI276" s="580"/>
      <c r="KUJ276" s="580"/>
      <c r="KUK276" s="580"/>
      <c r="KUL276" s="580"/>
      <c r="KUM276" s="580"/>
      <c r="KUN276" s="580"/>
      <c r="KUO276" s="580"/>
      <c r="KUP276" s="580"/>
      <c r="KUQ276" s="580"/>
      <c r="KUR276" s="580"/>
      <c r="KUS276" s="580"/>
      <c r="KUT276" s="580"/>
      <c r="KUU276" s="580"/>
      <c r="KUV276" s="580"/>
      <c r="KUW276" s="580"/>
      <c r="KUX276" s="580"/>
      <c r="KUY276" s="580"/>
      <c r="KUZ276" s="580"/>
      <c r="KVA276" s="580"/>
      <c r="KVB276" s="580"/>
      <c r="KVC276" s="580"/>
      <c r="KVD276" s="580"/>
      <c r="KVE276" s="580"/>
      <c r="KVF276" s="580"/>
      <c r="KVG276" s="580"/>
      <c r="KVH276" s="580"/>
      <c r="KVI276" s="580"/>
      <c r="KVJ276" s="580"/>
      <c r="KVK276" s="580"/>
      <c r="KVL276" s="580"/>
      <c r="KVM276" s="580"/>
      <c r="KVN276" s="580"/>
      <c r="KVO276" s="580"/>
      <c r="KVP276" s="580"/>
      <c r="KVQ276" s="580"/>
      <c r="KVR276" s="580"/>
      <c r="KVS276" s="580"/>
      <c r="KVT276" s="580"/>
      <c r="KVU276" s="580"/>
      <c r="KVV276" s="580"/>
      <c r="KVW276" s="580"/>
      <c r="KVX276" s="580"/>
      <c r="KVY276" s="580"/>
      <c r="KVZ276" s="580"/>
      <c r="KWA276" s="580"/>
      <c r="KWB276" s="580"/>
      <c r="KWC276" s="580"/>
      <c r="KWD276" s="580"/>
      <c r="KWE276" s="580"/>
      <c r="KWF276" s="580"/>
      <c r="KWG276" s="580"/>
      <c r="KWH276" s="580"/>
      <c r="KWI276" s="580"/>
      <c r="KWJ276" s="580"/>
      <c r="KWK276" s="580"/>
      <c r="KWL276" s="580"/>
      <c r="KWM276" s="580"/>
      <c r="KWN276" s="580"/>
      <c r="KWO276" s="580"/>
      <c r="KWP276" s="580"/>
      <c r="KWQ276" s="580"/>
      <c r="KWR276" s="580"/>
      <c r="KWS276" s="580"/>
      <c r="KWT276" s="580"/>
      <c r="KWU276" s="580"/>
      <c r="KWV276" s="580"/>
      <c r="KWW276" s="580"/>
      <c r="KWX276" s="580"/>
      <c r="KWY276" s="580"/>
      <c r="KWZ276" s="580"/>
      <c r="KXA276" s="580"/>
      <c r="KXB276" s="580"/>
      <c r="KXC276" s="580"/>
      <c r="KXD276" s="580"/>
      <c r="KXE276" s="580"/>
      <c r="KXF276" s="580"/>
      <c r="KXG276" s="580"/>
      <c r="KXH276" s="580"/>
      <c r="KXI276" s="580"/>
      <c r="KXJ276" s="580"/>
      <c r="KXK276" s="580"/>
      <c r="KXL276" s="580"/>
      <c r="KXM276" s="580"/>
      <c r="KXN276" s="580"/>
      <c r="KXO276" s="580"/>
      <c r="KXP276" s="580"/>
      <c r="KXQ276" s="580"/>
      <c r="KXR276" s="580"/>
      <c r="KXS276" s="580"/>
      <c r="KXT276" s="580"/>
      <c r="KXU276" s="580"/>
      <c r="KXV276" s="580"/>
      <c r="KXW276" s="580"/>
      <c r="KXX276" s="580"/>
      <c r="KXY276" s="580"/>
      <c r="KXZ276" s="580"/>
      <c r="KYA276" s="580"/>
      <c r="KYB276" s="580"/>
      <c r="KYC276" s="580"/>
      <c r="KYD276" s="580"/>
      <c r="KYE276" s="580"/>
      <c r="KYF276" s="580"/>
      <c r="KYG276" s="580"/>
      <c r="KYH276" s="580"/>
      <c r="KYI276" s="580"/>
      <c r="KYJ276" s="580"/>
      <c r="KYK276" s="580"/>
      <c r="KYL276" s="580"/>
      <c r="KYM276" s="580"/>
      <c r="KYN276" s="580"/>
      <c r="KYO276" s="580"/>
      <c r="KYP276" s="580"/>
      <c r="KYQ276" s="580"/>
      <c r="KYR276" s="580"/>
      <c r="KYS276" s="580"/>
      <c r="KYT276" s="580"/>
      <c r="KYU276" s="580"/>
      <c r="KYV276" s="580"/>
      <c r="KYW276" s="580"/>
      <c r="KYX276" s="580"/>
      <c r="KYY276" s="580"/>
      <c r="KYZ276" s="580"/>
      <c r="KZA276" s="580"/>
      <c r="KZB276" s="580"/>
      <c r="KZC276" s="580"/>
      <c r="KZD276" s="580"/>
      <c r="KZE276" s="580"/>
      <c r="KZF276" s="580"/>
      <c r="KZG276" s="580"/>
      <c r="KZH276" s="580"/>
      <c r="KZI276" s="580"/>
      <c r="KZJ276" s="580"/>
      <c r="KZK276" s="580"/>
      <c r="KZL276" s="580"/>
      <c r="KZM276" s="580"/>
      <c r="KZN276" s="580"/>
      <c r="KZO276" s="580"/>
      <c r="KZP276" s="580"/>
      <c r="KZQ276" s="580"/>
      <c r="KZR276" s="580"/>
      <c r="KZS276" s="580"/>
      <c r="KZT276" s="580"/>
      <c r="KZU276" s="580"/>
      <c r="KZV276" s="580"/>
      <c r="KZW276" s="580"/>
      <c r="KZX276" s="580"/>
      <c r="KZY276" s="580"/>
      <c r="KZZ276" s="580"/>
      <c r="LAA276" s="580"/>
      <c r="LAB276" s="580"/>
      <c r="LAC276" s="580"/>
      <c r="LAD276" s="580"/>
      <c r="LAE276" s="580"/>
      <c r="LAF276" s="580"/>
      <c r="LAG276" s="580"/>
      <c r="LAH276" s="580"/>
      <c r="LAI276" s="580"/>
      <c r="LAJ276" s="580"/>
      <c r="LAK276" s="580"/>
      <c r="LAL276" s="580"/>
      <c r="LAM276" s="580"/>
      <c r="LAN276" s="580"/>
      <c r="LAO276" s="580"/>
      <c r="LAP276" s="580"/>
      <c r="LAQ276" s="580"/>
      <c r="LAR276" s="580"/>
      <c r="LAS276" s="580"/>
      <c r="LAT276" s="580"/>
      <c r="LAU276" s="580"/>
      <c r="LAV276" s="580"/>
      <c r="LAW276" s="580"/>
      <c r="LAX276" s="580"/>
      <c r="LAY276" s="580"/>
      <c r="LAZ276" s="580"/>
      <c r="LBA276" s="580"/>
      <c r="LBB276" s="580"/>
      <c r="LBC276" s="580"/>
      <c r="LBD276" s="580"/>
      <c r="LBE276" s="580"/>
      <c r="LBF276" s="580"/>
      <c r="LBG276" s="580"/>
      <c r="LBH276" s="580"/>
      <c r="LBI276" s="580"/>
      <c r="LBJ276" s="580"/>
      <c r="LBK276" s="580"/>
      <c r="LBL276" s="580"/>
      <c r="LBM276" s="580"/>
      <c r="LBN276" s="580"/>
      <c r="LBO276" s="580"/>
      <c r="LBP276" s="580"/>
      <c r="LBQ276" s="580"/>
      <c r="LBR276" s="580"/>
      <c r="LBS276" s="580"/>
      <c r="LBT276" s="580"/>
      <c r="LBU276" s="580"/>
      <c r="LBV276" s="580"/>
      <c r="LBW276" s="580"/>
      <c r="LBX276" s="580"/>
      <c r="LBY276" s="580"/>
      <c r="LBZ276" s="580"/>
      <c r="LCA276" s="580"/>
      <c r="LCB276" s="580"/>
      <c r="LCC276" s="580"/>
      <c r="LCD276" s="580"/>
      <c r="LCE276" s="580"/>
      <c r="LCF276" s="580"/>
      <c r="LCG276" s="580"/>
      <c r="LCH276" s="580"/>
      <c r="LCI276" s="580"/>
      <c r="LCJ276" s="580"/>
      <c r="LCK276" s="580"/>
      <c r="LCL276" s="580"/>
      <c r="LCM276" s="580"/>
      <c r="LCN276" s="580"/>
      <c r="LCO276" s="580"/>
      <c r="LCP276" s="580"/>
      <c r="LCQ276" s="580"/>
      <c r="LCR276" s="580"/>
      <c r="LCS276" s="580"/>
      <c r="LCT276" s="580"/>
      <c r="LCU276" s="580"/>
      <c r="LCV276" s="580"/>
      <c r="LCW276" s="580"/>
      <c r="LCX276" s="580"/>
      <c r="LCY276" s="580"/>
      <c r="LCZ276" s="580"/>
      <c r="LDA276" s="580"/>
      <c r="LDB276" s="580"/>
      <c r="LDC276" s="580"/>
      <c r="LDD276" s="580"/>
      <c r="LDE276" s="580"/>
      <c r="LDF276" s="580"/>
      <c r="LDG276" s="580"/>
      <c r="LDH276" s="580"/>
      <c r="LDI276" s="580"/>
      <c r="LDJ276" s="580"/>
      <c r="LDK276" s="580"/>
      <c r="LDL276" s="580"/>
      <c r="LDM276" s="580"/>
      <c r="LDN276" s="580"/>
      <c r="LDO276" s="580"/>
      <c r="LDP276" s="580"/>
      <c r="LDQ276" s="580"/>
      <c r="LDR276" s="580"/>
      <c r="LDS276" s="580"/>
      <c r="LDT276" s="580"/>
      <c r="LDU276" s="580"/>
      <c r="LDV276" s="580"/>
      <c r="LDW276" s="580"/>
      <c r="LDX276" s="580"/>
      <c r="LDY276" s="580"/>
      <c r="LDZ276" s="580"/>
      <c r="LEA276" s="580"/>
      <c r="LEB276" s="580"/>
      <c r="LEC276" s="580"/>
      <c r="LED276" s="580"/>
      <c r="LEE276" s="580"/>
      <c r="LEF276" s="580"/>
      <c r="LEG276" s="580"/>
      <c r="LEH276" s="580"/>
      <c r="LEI276" s="580"/>
      <c r="LEJ276" s="580"/>
      <c r="LEK276" s="580"/>
      <c r="LEL276" s="580"/>
      <c r="LEM276" s="580"/>
      <c r="LEN276" s="580"/>
      <c r="LEO276" s="580"/>
      <c r="LEP276" s="580"/>
      <c r="LEQ276" s="580"/>
      <c r="LER276" s="580"/>
      <c r="LES276" s="580"/>
      <c r="LET276" s="580"/>
      <c r="LEU276" s="580"/>
      <c r="LEV276" s="580"/>
      <c r="LEW276" s="580"/>
      <c r="LEX276" s="580"/>
      <c r="LEY276" s="580"/>
      <c r="LEZ276" s="580"/>
      <c r="LFA276" s="580"/>
      <c r="LFB276" s="580"/>
      <c r="LFC276" s="580"/>
      <c r="LFD276" s="580"/>
      <c r="LFE276" s="580"/>
      <c r="LFF276" s="580"/>
      <c r="LFG276" s="580"/>
      <c r="LFH276" s="580"/>
      <c r="LFI276" s="580"/>
      <c r="LFJ276" s="580"/>
      <c r="LFK276" s="580"/>
      <c r="LFL276" s="580"/>
      <c r="LFM276" s="580"/>
      <c r="LFN276" s="580"/>
      <c r="LFO276" s="580"/>
      <c r="LFP276" s="580"/>
      <c r="LFQ276" s="580"/>
      <c r="LFR276" s="580"/>
      <c r="LFS276" s="580"/>
      <c r="LFT276" s="580"/>
      <c r="LFU276" s="580"/>
      <c r="LFV276" s="580"/>
      <c r="LFW276" s="580"/>
      <c r="LFX276" s="580"/>
      <c r="LFY276" s="580"/>
      <c r="LFZ276" s="580"/>
      <c r="LGA276" s="580"/>
      <c r="LGB276" s="580"/>
      <c r="LGC276" s="580"/>
      <c r="LGD276" s="580"/>
      <c r="LGE276" s="580"/>
      <c r="LGF276" s="580"/>
      <c r="LGG276" s="580"/>
      <c r="LGH276" s="580"/>
      <c r="LGI276" s="580"/>
      <c r="LGJ276" s="580"/>
      <c r="LGK276" s="580"/>
      <c r="LGL276" s="580"/>
      <c r="LGM276" s="580"/>
      <c r="LGN276" s="580"/>
      <c r="LGO276" s="580"/>
      <c r="LGP276" s="580"/>
      <c r="LGQ276" s="580"/>
      <c r="LGR276" s="580"/>
      <c r="LGS276" s="580"/>
      <c r="LGT276" s="580"/>
      <c r="LGU276" s="580"/>
      <c r="LGV276" s="580"/>
      <c r="LGW276" s="580"/>
      <c r="LGX276" s="580"/>
      <c r="LGY276" s="580"/>
      <c r="LGZ276" s="580"/>
      <c r="LHA276" s="580"/>
      <c r="LHB276" s="580"/>
      <c r="LHC276" s="580"/>
      <c r="LHD276" s="580"/>
      <c r="LHE276" s="580"/>
      <c r="LHF276" s="580"/>
      <c r="LHG276" s="580"/>
      <c r="LHH276" s="580"/>
      <c r="LHI276" s="580"/>
      <c r="LHJ276" s="580"/>
      <c r="LHK276" s="580"/>
      <c r="LHL276" s="580"/>
      <c r="LHM276" s="580"/>
      <c r="LHN276" s="580"/>
      <c r="LHO276" s="580"/>
      <c r="LHP276" s="580"/>
      <c r="LHQ276" s="580"/>
      <c r="LHR276" s="580"/>
      <c r="LHS276" s="580"/>
      <c r="LHT276" s="580"/>
      <c r="LHU276" s="580"/>
      <c r="LHV276" s="580"/>
      <c r="LHW276" s="580"/>
      <c r="LHX276" s="580"/>
      <c r="LHY276" s="580"/>
      <c r="LHZ276" s="580"/>
      <c r="LIA276" s="580"/>
      <c r="LIB276" s="580"/>
      <c r="LIC276" s="580"/>
      <c r="LID276" s="580"/>
      <c r="LIE276" s="580"/>
      <c r="LIF276" s="580"/>
      <c r="LIG276" s="580"/>
      <c r="LIH276" s="580"/>
      <c r="LII276" s="580"/>
      <c r="LIJ276" s="580"/>
      <c r="LIK276" s="580"/>
      <c r="LIL276" s="580"/>
      <c r="LIM276" s="580"/>
      <c r="LIN276" s="580"/>
      <c r="LIO276" s="580"/>
      <c r="LIP276" s="580"/>
      <c r="LIQ276" s="580"/>
      <c r="LIR276" s="580"/>
      <c r="LIS276" s="580"/>
      <c r="LIT276" s="580"/>
      <c r="LIU276" s="580"/>
      <c r="LIV276" s="580"/>
      <c r="LIW276" s="580"/>
      <c r="LIX276" s="580"/>
      <c r="LIY276" s="580"/>
      <c r="LIZ276" s="580"/>
      <c r="LJA276" s="580"/>
      <c r="LJB276" s="580"/>
      <c r="LJC276" s="580"/>
      <c r="LJD276" s="580"/>
      <c r="LJE276" s="580"/>
      <c r="LJF276" s="580"/>
      <c r="LJG276" s="580"/>
      <c r="LJH276" s="580"/>
      <c r="LJI276" s="580"/>
      <c r="LJJ276" s="580"/>
      <c r="LJK276" s="580"/>
      <c r="LJL276" s="580"/>
      <c r="LJM276" s="580"/>
      <c r="LJN276" s="580"/>
      <c r="LJO276" s="580"/>
      <c r="LJP276" s="580"/>
      <c r="LJQ276" s="580"/>
      <c r="LJR276" s="580"/>
      <c r="LJS276" s="580"/>
      <c r="LJT276" s="580"/>
      <c r="LJU276" s="580"/>
      <c r="LJV276" s="580"/>
      <c r="LJW276" s="580"/>
      <c r="LJX276" s="580"/>
      <c r="LJY276" s="580"/>
      <c r="LJZ276" s="580"/>
      <c r="LKA276" s="580"/>
      <c r="LKB276" s="580"/>
      <c r="LKC276" s="580"/>
      <c r="LKD276" s="580"/>
      <c r="LKE276" s="580"/>
      <c r="LKF276" s="580"/>
      <c r="LKG276" s="580"/>
      <c r="LKH276" s="580"/>
      <c r="LKI276" s="580"/>
      <c r="LKJ276" s="580"/>
      <c r="LKK276" s="580"/>
      <c r="LKL276" s="580"/>
      <c r="LKM276" s="580"/>
      <c r="LKN276" s="580"/>
      <c r="LKO276" s="580"/>
      <c r="LKP276" s="580"/>
      <c r="LKQ276" s="580"/>
      <c r="LKR276" s="580"/>
      <c r="LKS276" s="580"/>
      <c r="LKT276" s="580"/>
      <c r="LKU276" s="580"/>
      <c r="LKV276" s="580"/>
      <c r="LKW276" s="580"/>
      <c r="LKX276" s="580"/>
      <c r="LKY276" s="580"/>
      <c r="LKZ276" s="580"/>
      <c r="LLA276" s="580"/>
      <c r="LLB276" s="580"/>
      <c r="LLC276" s="580"/>
      <c r="LLD276" s="580"/>
      <c r="LLE276" s="580"/>
      <c r="LLF276" s="580"/>
      <c r="LLG276" s="580"/>
      <c r="LLH276" s="580"/>
      <c r="LLI276" s="580"/>
      <c r="LLJ276" s="580"/>
      <c r="LLK276" s="580"/>
      <c r="LLL276" s="580"/>
      <c r="LLM276" s="580"/>
      <c r="LLN276" s="580"/>
      <c r="LLO276" s="580"/>
      <c r="LLP276" s="580"/>
      <c r="LLQ276" s="580"/>
      <c r="LLR276" s="580"/>
      <c r="LLS276" s="580"/>
      <c r="LLT276" s="580"/>
      <c r="LLU276" s="580"/>
      <c r="LLV276" s="580"/>
      <c r="LLW276" s="580"/>
      <c r="LLX276" s="580"/>
      <c r="LLY276" s="580"/>
      <c r="LLZ276" s="580"/>
      <c r="LMA276" s="580"/>
      <c r="LMB276" s="580"/>
      <c r="LMC276" s="580"/>
      <c r="LMD276" s="580"/>
      <c r="LME276" s="580"/>
      <c r="LMF276" s="580"/>
      <c r="LMG276" s="580"/>
      <c r="LMH276" s="580"/>
      <c r="LMI276" s="580"/>
      <c r="LMJ276" s="580"/>
      <c r="LMK276" s="580"/>
      <c r="LML276" s="580"/>
      <c r="LMM276" s="580"/>
      <c r="LMN276" s="580"/>
      <c r="LMO276" s="580"/>
      <c r="LMP276" s="580"/>
      <c r="LMQ276" s="580"/>
      <c r="LMR276" s="580"/>
      <c r="LMS276" s="580"/>
      <c r="LMT276" s="580"/>
      <c r="LMU276" s="580"/>
      <c r="LMV276" s="580"/>
      <c r="LMW276" s="580"/>
      <c r="LMX276" s="580"/>
      <c r="LMY276" s="580"/>
      <c r="LMZ276" s="580"/>
      <c r="LNA276" s="580"/>
      <c r="LNB276" s="580"/>
      <c r="LNC276" s="580"/>
      <c r="LND276" s="580"/>
      <c r="LNE276" s="580"/>
      <c r="LNF276" s="580"/>
      <c r="LNG276" s="580"/>
      <c r="LNH276" s="580"/>
      <c r="LNI276" s="580"/>
      <c r="LNJ276" s="580"/>
      <c r="LNK276" s="580"/>
      <c r="LNL276" s="580"/>
      <c r="LNM276" s="580"/>
      <c r="LNN276" s="580"/>
      <c r="LNO276" s="580"/>
      <c r="LNP276" s="580"/>
      <c r="LNQ276" s="580"/>
      <c r="LNR276" s="580"/>
      <c r="LNS276" s="580"/>
      <c r="LNT276" s="580"/>
      <c r="LNU276" s="580"/>
      <c r="LNV276" s="580"/>
      <c r="LNW276" s="580"/>
      <c r="LNX276" s="580"/>
      <c r="LNY276" s="580"/>
      <c r="LNZ276" s="580"/>
      <c r="LOA276" s="580"/>
      <c r="LOB276" s="580"/>
      <c r="LOC276" s="580"/>
      <c r="LOD276" s="580"/>
      <c r="LOE276" s="580"/>
      <c r="LOF276" s="580"/>
      <c r="LOG276" s="580"/>
      <c r="LOH276" s="580"/>
      <c r="LOI276" s="580"/>
      <c r="LOJ276" s="580"/>
      <c r="LOK276" s="580"/>
      <c r="LOL276" s="580"/>
      <c r="LOM276" s="580"/>
      <c r="LON276" s="580"/>
      <c r="LOO276" s="580"/>
      <c r="LOP276" s="580"/>
      <c r="LOQ276" s="580"/>
      <c r="LOR276" s="580"/>
      <c r="LOS276" s="580"/>
      <c r="LOT276" s="580"/>
      <c r="LOU276" s="580"/>
      <c r="LOV276" s="580"/>
      <c r="LOW276" s="580"/>
      <c r="LOX276" s="580"/>
      <c r="LOY276" s="580"/>
      <c r="LOZ276" s="580"/>
      <c r="LPA276" s="580"/>
      <c r="LPB276" s="580"/>
      <c r="LPC276" s="580"/>
      <c r="LPD276" s="580"/>
      <c r="LPE276" s="580"/>
      <c r="LPF276" s="580"/>
      <c r="LPG276" s="580"/>
      <c r="LPH276" s="580"/>
      <c r="LPI276" s="580"/>
      <c r="LPJ276" s="580"/>
      <c r="LPK276" s="580"/>
      <c r="LPL276" s="580"/>
      <c r="LPM276" s="580"/>
      <c r="LPN276" s="580"/>
      <c r="LPO276" s="580"/>
      <c r="LPP276" s="580"/>
      <c r="LPQ276" s="580"/>
      <c r="LPR276" s="580"/>
      <c r="LPS276" s="580"/>
      <c r="LPT276" s="580"/>
      <c r="LPU276" s="580"/>
      <c r="LPV276" s="580"/>
      <c r="LPW276" s="580"/>
      <c r="LPX276" s="580"/>
      <c r="LPY276" s="580"/>
      <c r="LPZ276" s="580"/>
      <c r="LQA276" s="580"/>
      <c r="LQB276" s="580"/>
      <c r="LQC276" s="580"/>
      <c r="LQD276" s="580"/>
      <c r="LQE276" s="580"/>
      <c r="LQF276" s="580"/>
      <c r="LQG276" s="580"/>
      <c r="LQH276" s="580"/>
      <c r="LQI276" s="580"/>
      <c r="LQJ276" s="580"/>
      <c r="LQK276" s="580"/>
      <c r="LQL276" s="580"/>
      <c r="LQM276" s="580"/>
      <c r="LQN276" s="580"/>
      <c r="LQO276" s="580"/>
      <c r="LQP276" s="580"/>
      <c r="LQQ276" s="580"/>
      <c r="LQR276" s="580"/>
      <c r="LQS276" s="580"/>
      <c r="LQT276" s="580"/>
      <c r="LQU276" s="580"/>
      <c r="LQV276" s="580"/>
      <c r="LQW276" s="580"/>
      <c r="LQX276" s="580"/>
      <c r="LQY276" s="580"/>
      <c r="LQZ276" s="580"/>
      <c r="LRA276" s="580"/>
      <c r="LRB276" s="580"/>
      <c r="LRC276" s="580"/>
      <c r="LRD276" s="580"/>
      <c r="LRE276" s="580"/>
      <c r="LRF276" s="580"/>
      <c r="LRG276" s="580"/>
      <c r="LRH276" s="580"/>
      <c r="LRI276" s="580"/>
      <c r="LRJ276" s="580"/>
      <c r="LRK276" s="580"/>
      <c r="LRL276" s="580"/>
      <c r="LRM276" s="580"/>
      <c r="LRN276" s="580"/>
      <c r="LRO276" s="580"/>
      <c r="LRP276" s="580"/>
      <c r="LRQ276" s="580"/>
      <c r="LRR276" s="580"/>
      <c r="LRS276" s="580"/>
      <c r="LRT276" s="580"/>
      <c r="LRU276" s="580"/>
      <c r="LRV276" s="580"/>
      <c r="LRW276" s="580"/>
      <c r="LRX276" s="580"/>
      <c r="LRY276" s="580"/>
      <c r="LRZ276" s="580"/>
      <c r="LSA276" s="580"/>
      <c r="LSB276" s="580"/>
      <c r="LSC276" s="580"/>
      <c r="LSD276" s="580"/>
      <c r="LSE276" s="580"/>
      <c r="LSF276" s="580"/>
      <c r="LSG276" s="580"/>
      <c r="LSH276" s="580"/>
      <c r="LSI276" s="580"/>
      <c r="LSJ276" s="580"/>
      <c r="LSK276" s="580"/>
      <c r="LSL276" s="580"/>
      <c r="LSM276" s="580"/>
      <c r="LSN276" s="580"/>
      <c r="LSO276" s="580"/>
      <c r="LSP276" s="580"/>
      <c r="LSQ276" s="580"/>
      <c r="LSR276" s="580"/>
      <c r="LSS276" s="580"/>
      <c r="LST276" s="580"/>
      <c r="LSU276" s="580"/>
      <c r="LSV276" s="580"/>
      <c r="LSW276" s="580"/>
      <c r="LSX276" s="580"/>
      <c r="LSY276" s="580"/>
      <c r="LSZ276" s="580"/>
      <c r="LTA276" s="580"/>
      <c r="LTB276" s="580"/>
      <c r="LTC276" s="580"/>
      <c r="LTD276" s="580"/>
      <c r="LTE276" s="580"/>
      <c r="LTF276" s="580"/>
      <c r="LTG276" s="580"/>
      <c r="LTH276" s="580"/>
      <c r="LTI276" s="580"/>
      <c r="LTJ276" s="580"/>
      <c r="LTK276" s="580"/>
      <c r="LTL276" s="580"/>
      <c r="LTM276" s="580"/>
      <c r="LTN276" s="580"/>
      <c r="LTO276" s="580"/>
      <c r="LTP276" s="580"/>
      <c r="LTQ276" s="580"/>
      <c r="LTR276" s="580"/>
      <c r="LTS276" s="580"/>
      <c r="LTT276" s="580"/>
      <c r="LTU276" s="580"/>
      <c r="LTV276" s="580"/>
      <c r="LTW276" s="580"/>
      <c r="LTX276" s="580"/>
      <c r="LTY276" s="580"/>
      <c r="LTZ276" s="580"/>
      <c r="LUA276" s="580"/>
      <c r="LUB276" s="580"/>
      <c r="LUC276" s="580"/>
      <c r="LUD276" s="580"/>
      <c r="LUE276" s="580"/>
      <c r="LUF276" s="580"/>
      <c r="LUG276" s="580"/>
      <c r="LUH276" s="580"/>
      <c r="LUI276" s="580"/>
      <c r="LUJ276" s="580"/>
      <c r="LUK276" s="580"/>
      <c r="LUL276" s="580"/>
      <c r="LUM276" s="580"/>
      <c r="LUN276" s="580"/>
      <c r="LUO276" s="580"/>
      <c r="LUP276" s="580"/>
      <c r="LUQ276" s="580"/>
      <c r="LUR276" s="580"/>
      <c r="LUS276" s="580"/>
      <c r="LUT276" s="580"/>
      <c r="LUU276" s="580"/>
      <c r="LUV276" s="580"/>
      <c r="LUW276" s="580"/>
      <c r="LUX276" s="580"/>
      <c r="LUY276" s="580"/>
      <c r="LUZ276" s="580"/>
      <c r="LVA276" s="580"/>
      <c r="LVB276" s="580"/>
      <c r="LVC276" s="580"/>
      <c r="LVD276" s="580"/>
      <c r="LVE276" s="580"/>
      <c r="LVF276" s="580"/>
      <c r="LVG276" s="580"/>
      <c r="LVH276" s="580"/>
      <c r="LVI276" s="580"/>
      <c r="LVJ276" s="580"/>
      <c r="LVK276" s="580"/>
      <c r="LVL276" s="580"/>
      <c r="LVM276" s="580"/>
      <c r="LVN276" s="580"/>
      <c r="LVO276" s="580"/>
      <c r="LVP276" s="580"/>
      <c r="LVQ276" s="580"/>
      <c r="LVR276" s="580"/>
      <c r="LVS276" s="580"/>
      <c r="LVT276" s="580"/>
      <c r="LVU276" s="580"/>
      <c r="LVV276" s="580"/>
      <c r="LVW276" s="580"/>
      <c r="LVX276" s="580"/>
      <c r="LVY276" s="580"/>
      <c r="LVZ276" s="580"/>
      <c r="LWA276" s="580"/>
      <c r="LWB276" s="580"/>
      <c r="LWC276" s="580"/>
      <c r="LWD276" s="580"/>
      <c r="LWE276" s="580"/>
      <c r="LWF276" s="580"/>
      <c r="LWG276" s="580"/>
      <c r="LWH276" s="580"/>
      <c r="LWI276" s="580"/>
      <c r="LWJ276" s="580"/>
      <c r="LWK276" s="580"/>
      <c r="LWL276" s="580"/>
      <c r="LWM276" s="580"/>
      <c r="LWN276" s="580"/>
      <c r="LWO276" s="580"/>
      <c r="LWP276" s="580"/>
      <c r="LWQ276" s="580"/>
      <c r="LWR276" s="580"/>
      <c r="LWS276" s="580"/>
      <c r="LWT276" s="580"/>
      <c r="LWU276" s="580"/>
      <c r="LWV276" s="580"/>
      <c r="LWW276" s="580"/>
      <c r="LWX276" s="580"/>
      <c r="LWY276" s="580"/>
      <c r="LWZ276" s="580"/>
      <c r="LXA276" s="580"/>
      <c r="LXB276" s="580"/>
      <c r="LXC276" s="580"/>
      <c r="LXD276" s="580"/>
      <c r="LXE276" s="580"/>
      <c r="LXF276" s="580"/>
      <c r="LXG276" s="580"/>
      <c r="LXH276" s="580"/>
      <c r="LXI276" s="580"/>
      <c r="LXJ276" s="580"/>
      <c r="LXK276" s="580"/>
      <c r="LXL276" s="580"/>
      <c r="LXM276" s="580"/>
      <c r="LXN276" s="580"/>
      <c r="LXO276" s="580"/>
      <c r="LXP276" s="580"/>
      <c r="LXQ276" s="580"/>
      <c r="LXR276" s="580"/>
      <c r="LXS276" s="580"/>
      <c r="LXT276" s="580"/>
      <c r="LXU276" s="580"/>
      <c r="LXV276" s="580"/>
      <c r="LXW276" s="580"/>
      <c r="LXX276" s="580"/>
      <c r="LXY276" s="580"/>
      <c r="LXZ276" s="580"/>
      <c r="LYA276" s="580"/>
      <c r="LYB276" s="580"/>
      <c r="LYC276" s="580"/>
      <c r="LYD276" s="580"/>
      <c r="LYE276" s="580"/>
      <c r="LYF276" s="580"/>
      <c r="LYG276" s="580"/>
      <c r="LYH276" s="580"/>
      <c r="LYI276" s="580"/>
      <c r="LYJ276" s="580"/>
      <c r="LYK276" s="580"/>
      <c r="LYL276" s="580"/>
      <c r="LYM276" s="580"/>
      <c r="LYN276" s="580"/>
      <c r="LYO276" s="580"/>
      <c r="LYP276" s="580"/>
      <c r="LYQ276" s="580"/>
      <c r="LYR276" s="580"/>
      <c r="LYS276" s="580"/>
      <c r="LYT276" s="580"/>
      <c r="LYU276" s="580"/>
      <c r="LYV276" s="580"/>
      <c r="LYW276" s="580"/>
      <c r="LYX276" s="580"/>
      <c r="LYY276" s="580"/>
      <c r="LYZ276" s="580"/>
      <c r="LZA276" s="580"/>
      <c r="LZB276" s="580"/>
      <c r="LZC276" s="580"/>
      <c r="LZD276" s="580"/>
      <c r="LZE276" s="580"/>
      <c r="LZF276" s="580"/>
      <c r="LZG276" s="580"/>
      <c r="LZH276" s="580"/>
      <c r="LZI276" s="580"/>
      <c r="LZJ276" s="580"/>
      <c r="LZK276" s="580"/>
      <c r="LZL276" s="580"/>
      <c r="LZM276" s="580"/>
      <c r="LZN276" s="580"/>
      <c r="LZO276" s="580"/>
      <c r="LZP276" s="580"/>
      <c r="LZQ276" s="580"/>
      <c r="LZR276" s="580"/>
      <c r="LZS276" s="580"/>
      <c r="LZT276" s="580"/>
      <c r="LZU276" s="580"/>
      <c r="LZV276" s="580"/>
      <c r="LZW276" s="580"/>
      <c r="LZX276" s="580"/>
      <c r="LZY276" s="580"/>
      <c r="LZZ276" s="580"/>
      <c r="MAA276" s="580"/>
      <c r="MAB276" s="580"/>
      <c r="MAC276" s="580"/>
      <c r="MAD276" s="580"/>
      <c r="MAE276" s="580"/>
      <c r="MAF276" s="580"/>
      <c r="MAG276" s="580"/>
      <c r="MAH276" s="580"/>
      <c r="MAI276" s="580"/>
      <c r="MAJ276" s="580"/>
      <c r="MAK276" s="580"/>
      <c r="MAL276" s="580"/>
      <c r="MAM276" s="580"/>
      <c r="MAN276" s="580"/>
      <c r="MAO276" s="580"/>
      <c r="MAP276" s="580"/>
      <c r="MAQ276" s="580"/>
      <c r="MAR276" s="580"/>
      <c r="MAS276" s="580"/>
      <c r="MAT276" s="580"/>
      <c r="MAU276" s="580"/>
      <c r="MAV276" s="580"/>
      <c r="MAW276" s="580"/>
      <c r="MAX276" s="580"/>
      <c r="MAY276" s="580"/>
      <c r="MAZ276" s="580"/>
      <c r="MBA276" s="580"/>
      <c r="MBB276" s="580"/>
      <c r="MBC276" s="580"/>
      <c r="MBD276" s="580"/>
      <c r="MBE276" s="580"/>
      <c r="MBF276" s="580"/>
      <c r="MBG276" s="580"/>
      <c r="MBH276" s="580"/>
      <c r="MBI276" s="580"/>
      <c r="MBJ276" s="580"/>
      <c r="MBK276" s="580"/>
      <c r="MBL276" s="580"/>
      <c r="MBM276" s="580"/>
      <c r="MBN276" s="580"/>
      <c r="MBO276" s="580"/>
      <c r="MBP276" s="580"/>
      <c r="MBQ276" s="580"/>
      <c r="MBR276" s="580"/>
      <c r="MBS276" s="580"/>
      <c r="MBT276" s="580"/>
      <c r="MBU276" s="580"/>
      <c r="MBV276" s="580"/>
      <c r="MBW276" s="580"/>
      <c r="MBX276" s="580"/>
      <c r="MBY276" s="580"/>
      <c r="MBZ276" s="580"/>
      <c r="MCA276" s="580"/>
      <c r="MCB276" s="580"/>
      <c r="MCC276" s="580"/>
      <c r="MCD276" s="580"/>
      <c r="MCE276" s="580"/>
      <c r="MCF276" s="580"/>
      <c r="MCG276" s="580"/>
      <c r="MCH276" s="580"/>
      <c r="MCI276" s="580"/>
      <c r="MCJ276" s="580"/>
      <c r="MCK276" s="580"/>
      <c r="MCL276" s="580"/>
      <c r="MCM276" s="580"/>
      <c r="MCN276" s="580"/>
      <c r="MCO276" s="580"/>
      <c r="MCP276" s="580"/>
      <c r="MCQ276" s="580"/>
      <c r="MCR276" s="580"/>
      <c r="MCS276" s="580"/>
      <c r="MCT276" s="580"/>
      <c r="MCU276" s="580"/>
      <c r="MCV276" s="580"/>
      <c r="MCW276" s="580"/>
      <c r="MCX276" s="580"/>
      <c r="MCY276" s="580"/>
      <c r="MCZ276" s="580"/>
      <c r="MDA276" s="580"/>
      <c r="MDB276" s="580"/>
      <c r="MDC276" s="580"/>
      <c r="MDD276" s="580"/>
      <c r="MDE276" s="580"/>
      <c r="MDF276" s="580"/>
      <c r="MDG276" s="580"/>
      <c r="MDH276" s="580"/>
      <c r="MDI276" s="580"/>
      <c r="MDJ276" s="580"/>
      <c r="MDK276" s="580"/>
      <c r="MDL276" s="580"/>
      <c r="MDM276" s="580"/>
      <c r="MDN276" s="580"/>
      <c r="MDO276" s="580"/>
      <c r="MDP276" s="580"/>
      <c r="MDQ276" s="580"/>
      <c r="MDR276" s="580"/>
      <c r="MDS276" s="580"/>
      <c r="MDT276" s="580"/>
      <c r="MDU276" s="580"/>
      <c r="MDV276" s="580"/>
      <c r="MDW276" s="580"/>
      <c r="MDX276" s="580"/>
      <c r="MDY276" s="580"/>
      <c r="MDZ276" s="580"/>
      <c r="MEA276" s="580"/>
      <c r="MEB276" s="580"/>
      <c r="MEC276" s="580"/>
      <c r="MED276" s="580"/>
      <c r="MEE276" s="580"/>
      <c r="MEF276" s="580"/>
      <c r="MEG276" s="580"/>
      <c r="MEH276" s="580"/>
      <c r="MEI276" s="580"/>
      <c r="MEJ276" s="580"/>
      <c r="MEK276" s="580"/>
      <c r="MEL276" s="580"/>
      <c r="MEM276" s="580"/>
      <c r="MEN276" s="580"/>
      <c r="MEO276" s="580"/>
      <c r="MEP276" s="580"/>
      <c r="MEQ276" s="580"/>
      <c r="MER276" s="580"/>
      <c r="MES276" s="580"/>
      <c r="MET276" s="580"/>
      <c r="MEU276" s="580"/>
      <c r="MEV276" s="580"/>
      <c r="MEW276" s="580"/>
      <c r="MEX276" s="580"/>
      <c r="MEY276" s="580"/>
      <c r="MEZ276" s="580"/>
      <c r="MFA276" s="580"/>
      <c r="MFB276" s="580"/>
      <c r="MFC276" s="580"/>
      <c r="MFD276" s="580"/>
      <c r="MFE276" s="580"/>
      <c r="MFF276" s="580"/>
      <c r="MFG276" s="580"/>
      <c r="MFH276" s="580"/>
      <c r="MFI276" s="580"/>
      <c r="MFJ276" s="580"/>
      <c r="MFK276" s="580"/>
      <c r="MFL276" s="580"/>
      <c r="MFM276" s="580"/>
      <c r="MFN276" s="580"/>
      <c r="MFO276" s="580"/>
      <c r="MFP276" s="580"/>
      <c r="MFQ276" s="580"/>
      <c r="MFR276" s="580"/>
      <c r="MFS276" s="580"/>
      <c r="MFT276" s="580"/>
      <c r="MFU276" s="580"/>
      <c r="MFV276" s="580"/>
      <c r="MFW276" s="580"/>
      <c r="MFX276" s="580"/>
      <c r="MFY276" s="580"/>
      <c r="MFZ276" s="580"/>
      <c r="MGA276" s="580"/>
      <c r="MGB276" s="580"/>
      <c r="MGC276" s="580"/>
      <c r="MGD276" s="580"/>
      <c r="MGE276" s="580"/>
      <c r="MGF276" s="580"/>
      <c r="MGG276" s="580"/>
      <c r="MGH276" s="580"/>
      <c r="MGI276" s="580"/>
      <c r="MGJ276" s="580"/>
      <c r="MGK276" s="580"/>
      <c r="MGL276" s="580"/>
      <c r="MGM276" s="580"/>
      <c r="MGN276" s="580"/>
      <c r="MGO276" s="580"/>
      <c r="MGP276" s="580"/>
      <c r="MGQ276" s="580"/>
      <c r="MGR276" s="580"/>
      <c r="MGS276" s="580"/>
      <c r="MGT276" s="580"/>
      <c r="MGU276" s="580"/>
      <c r="MGV276" s="580"/>
      <c r="MGW276" s="580"/>
      <c r="MGX276" s="580"/>
      <c r="MGY276" s="580"/>
      <c r="MGZ276" s="580"/>
      <c r="MHA276" s="580"/>
      <c r="MHB276" s="580"/>
      <c r="MHC276" s="580"/>
      <c r="MHD276" s="580"/>
      <c r="MHE276" s="580"/>
      <c r="MHF276" s="580"/>
      <c r="MHG276" s="580"/>
      <c r="MHH276" s="580"/>
      <c r="MHI276" s="580"/>
      <c r="MHJ276" s="580"/>
      <c r="MHK276" s="580"/>
      <c r="MHL276" s="580"/>
      <c r="MHM276" s="580"/>
      <c r="MHN276" s="580"/>
      <c r="MHO276" s="580"/>
      <c r="MHP276" s="580"/>
      <c r="MHQ276" s="580"/>
      <c r="MHR276" s="580"/>
      <c r="MHS276" s="580"/>
      <c r="MHT276" s="580"/>
      <c r="MHU276" s="580"/>
      <c r="MHV276" s="580"/>
      <c r="MHW276" s="580"/>
      <c r="MHX276" s="580"/>
      <c r="MHY276" s="580"/>
      <c r="MHZ276" s="580"/>
      <c r="MIA276" s="580"/>
      <c r="MIB276" s="580"/>
      <c r="MIC276" s="580"/>
      <c r="MID276" s="580"/>
      <c r="MIE276" s="580"/>
      <c r="MIF276" s="580"/>
      <c r="MIG276" s="580"/>
      <c r="MIH276" s="580"/>
      <c r="MII276" s="580"/>
      <c r="MIJ276" s="580"/>
      <c r="MIK276" s="580"/>
      <c r="MIL276" s="580"/>
      <c r="MIM276" s="580"/>
      <c r="MIN276" s="580"/>
      <c r="MIO276" s="580"/>
      <c r="MIP276" s="580"/>
      <c r="MIQ276" s="580"/>
      <c r="MIR276" s="580"/>
      <c r="MIS276" s="580"/>
      <c r="MIT276" s="580"/>
      <c r="MIU276" s="580"/>
      <c r="MIV276" s="580"/>
      <c r="MIW276" s="580"/>
      <c r="MIX276" s="580"/>
      <c r="MIY276" s="580"/>
      <c r="MIZ276" s="580"/>
      <c r="MJA276" s="580"/>
      <c r="MJB276" s="580"/>
      <c r="MJC276" s="580"/>
      <c r="MJD276" s="580"/>
      <c r="MJE276" s="580"/>
      <c r="MJF276" s="580"/>
      <c r="MJG276" s="580"/>
      <c r="MJH276" s="580"/>
      <c r="MJI276" s="580"/>
      <c r="MJJ276" s="580"/>
      <c r="MJK276" s="580"/>
      <c r="MJL276" s="580"/>
      <c r="MJM276" s="580"/>
      <c r="MJN276" s="580"/>
      <c r="MJO276" s="580"/>
      <c r="MJP276" s="580"/>
      <c r="MJQ276" s="580"/>
      <c r="MJR276" s="580"/>
      <c r="MJS276" s="580"/>
      <c r="MJT276" s="580"/>
      <c r="MJU276" s="580"/>
      <c r="MJV276" s="580"/>
      <c r="MJW276" s="580"/>
      <c r="MJX276" s="580"/>
      <c r="MJY276" s="580"/>
      <c r="MJZ276" s="580"/>
      <c r="MKA276" s="580"/>
      <c r="MKB276" s="580"/>
      <c r="MKC276" s="580"/>
      <c r="MKD276" s="580"/>
      <c r="MKE276" s="580"/>
      <c r="MKF276" s="580"/>
      <c r="MKG276" s="580"/>
      <c r="MKH276" s="580"/>
      <c r="MKI276" s="580"/>
      <c r="MKJ276" s="580"/>
      <c r="MKK276" s="580"/>
      <c r="MKL276" s="580"/>
      <c r="MKM276" s="580"/>
      <c r="MKN276" s="580"/>
      <c r="MKO276" s="580"/>
      <c r="MKP276" s="580"/>
      <c r="MKQ276" s="580"/>
      <c r="MKR276" s="580"/>
      <c r="MKS276" s="580"/>
      <c r="MKT276" s="580"/>
      <c r="MKU276" s="580"/>
      <c r="MKV276" s="580"/>
      <c r="MKW276" s="580"/>
      <c r="MKX276" s="580"/>
      <c r="MKY276" s="580"/>
      <c r="MKZ276" s="580"/>
      <c r="MLA276" s="580"/>
      <c r="MLB276" s="580"/>
      <c r="MLC276" s="580"/>
      <c r="MLD276" s="580"/>
      <c r="MLE276" s="580"/>
      <c r="MLF276" s="580"/>
      <c r="MLG276" s="580"/>
      <c r="MLH276" s="580"/>
      <c r="MLI276" s="580"/>
      <c r="MLJ276" s="580"/>
      <c r="MLK276" s="580"/>
      <c r="MLL276" s="580"/>
      <c r="MLM276" s="580"/>
      <c r="MLN276" s="580"/>
      <c r="MLO276" s="580"/>
      <c r="MLP276" s="580"/>
      <c r="MLQ276" s="580"/>
      <c r="MLR276" s="580"/>
      <c r="MLS276" s="580"/>
      <c r="MLT276" s="580"/>
      <c r="MLU276" s="580"/>
      <c r="MLV276" s="580"/>
      <c r="MLW276" s="580"/>
      <c r="MLX276" s="580"/>
      <c r="MLY276" s="580"/>
      <c r="MLZ276" s="580"/>
      <c r="MMA276" s="580"/>
      <c r="MMB276" s="580"/>
      <c r="MMC276" s="580"/>
      <c r="MMD276" s="580"/>
      <c r="MME276" s="580"/>
      <c r="MMF276" s="580"/>
      <c r="MMG276" s="580"/>
      <c r="MMH276" s="580"/>
      <c r="MMI276" s="580"/>
      <c r="MMJ276" s="580"/>
      <c r="MMK276" s="580"/>
      <c r="MML276" s="580"/>
      <c r="MMM276" s="580"/>
      <c r="MMN276" s="580"/>
      <c r="MMO276" s="580"/>
      <c r="MMP276" s="580"/>
      <c r="MMQ276" s="580"/>
      <c r="MMR276" s="580"/>
      <c r="MMS276" s="580"/>
      <c r="MMT276" s="580"/>
      <c r="MMU276" s="580"/>
      <c r="MMV276" s="580"/>
      <c r="MMW276" s="580"/>
      <c r="MMX276" s="580"/>
      <c r="MMY276" s="580"/>
      <c r="MMZ276" s="580"/>
      <c r="MNA276" s="580"/>
      <c r="MNB276" s="580"/>
      <c r="MNC276" s="580"/>
      <c r="MND276" s="580"/>
      <c r="MNE276" s="580"/>
      <c r="MNF276" s="580"/>
      <c r="MNG276" s="580"/>
      <c r="MNH276" s="580"/>
      <c r="MNI276" s="580"/>
      <c r="MNJ276" s="580"/>
      <c r="MNK276" s="580"/>
      <c r="MNL276" s="580"/>
      <c r="MNM276" s="580"/>
      <c r="MNN276" s="580"/>
      <c r="MNO276" s="580"/>
      <c r="MNP276" s="580"/>
      <c r="MNQ276" s="580"/>
      <c r="MNR276" s="580"/>
      <c r="MNS276" s="580"/>
      <c r="MNT276" s="580"/>
      <c r="MNU276" s="580"/>
      <c r="MNV276" s="580"/>
      <c r="MNW276" s="580"/>
      <c r="MNX276" s="580"/>
      <c r="MNY276" s="580"/>
      <c r="MNZ276" s="580"/>
      <c r="MOA276" s="580"/>
      <c r="MOB276" s="580"/>
      <c r="MOC276" s="580"/>
      <c r="MOD276" s="580"/>
      <c r="MOE276" s="580"/>
      <c r="MOF276" s="580"/>
      <c r="MOG276" s="580"/>
      <c r="MOH276" s="580"/>
      <c r="MOI276" s="580"/>
      <c r="MOJ276" s="580"/>
      <c r="MOK276" s="580"/>
      <c r="MOL276" s="580"/>
      <c r="MOM276" s="580"/>
      <c r="MON276" s="580"/>
      <c r="MOO276" s="580"/>
      <c r="MOP276" s="580"/>
      <c r="MOQ276" s="580"/>
      <c r="MOR276" s="580"/>
      <c r="MOS276" s="580"/>
      <c r="MOT276" s="580"/>
      <c r="MOU276" s="580"/>
      <c r="MOV276" s="580"/>
      <c r="MOW276" s="580"/>
      <c r="MOX276" s="580"/>
      <c r="MOY276" s="580"/>
      <c r="MOZ276" s="580"/>
      <c r="MPA276" s="580"/>
      <c r="MPB276" s="580"/>
      <c r="MPC276" s="580"/>
      <c r="MPD276" s="580"/>
      <c r="MPE276" s="580"/>
      <c r="MPF276" s="580"/>
      <c r="MPG276" s="580"/>
      <c r="MPH276" s="580"/>
      <c r="MPI276" s="580"/>
      <c r="MPJ276" s="580"/>
      <c r="MPK276" s="580"/>
      <c r="MPL276" s="580"/>
      <c r="MPM276" s="580"/>
      <c r="MPN276" s="580"/>
      <c r="MPO276" s="580"/>
      <c r="MPP276" s="580"/>
      <c r="MPQ276" s="580"/>
      <c r="MPR276" s="580"/>
      <c r="MPS276" s="580"/>
      <c r="MPT276" s="580"/>
      <c r="MPU276" s="580"/>
      <c r="MPV276" s="580"/>
      <c r="MPW276" s="580"/>
      <c r="MPX276" s="580"/>
      <c r="MPY276" s="580"/>
      <c r="MPZ276" s="580"/>
      <c r="MQA276" s="580"/>
      <c r="MQB276" s="580"/>
      <c r="MQC276" s="580"/>
      <c r="MQD276" s="580"/>
      <c r="MQE276" s="580"/>
      <c r="MQF276" s="580"/>
      <c r="MQG276" s="580"/>
      <c r="MQH276" s="580"/>
      <c r="MQI276" s="580"/>
      <c r="MQJ276" s="580"/>
      <c r="MQK276" s="580"/>
      <c r="MQL276" s="580"/>
      <c r="MQM276" s="580"/>
      <c r="MQN276" s="580"/>
      <c r="MQO276" s="580"/>
      <c r="MQP276" s="580"/>
      <c r="MQQ276" s="580"/>
      <c r="MQR276" s="580"/>
      <c r="MQS276" s="580"/>
      <c r="MQT276" s="580"/>
      <c r="MQU276" s="580"/>
      <c r="MQV276" s="580"/>
      <c r="MQW276" s="580"/>
      <c r="MQX276" s="580"/>
      <c r="MQY276" s="580"/>
      <c r="MQZ276" s="580"/>
      <c r="MRA276" s="580"/>
      <c r="MRB276" s="580"/>
      <c r="MRC276" s="580"/>
      <c r="MRD276" s="580"/>
      <c r="MRE276" s="580"/>
      <c r="MRF276" s="580"/>
      <c r="MRG276" s="580"/>
      <c r="MRH276" s="580"/>
      <c r="MRI276" s="580"/>
      <c r="MRJ276" s="580"/>
      <c r="MRK276" s="580"/>
      <c r="MRL276" s="580"/>
      <c r="MRM276" s="580"/>
      <c r="MRN276" s="580"/>
      <c r="MRO276" s="580"/>
      <c r="MRP276" s="580"/>
      <c r="MRQ276" s="580"/>
      <c r="MRR276" s="580"/>
      <c r="MRS276" s="580"/>
      <c r="MRT276" s="580"/>
      <c r="MRU276" s="580"/>
      <c r="MRV276" s="580"/>
      <c r="MRW276" s="580"/>
      <c r="MRX276" s="580"/>
      <c r="MRY276" s="580"/>
      <c r="MRZ276" s="580"/>
      <c r="MSA276" s="580"/>
      <c r="MSB276" s="580"/>
      <c r="MSC276" s="580"/>
      <c r="MSD276" s="580"/>
      <c r="MSE276" s="580"/>
      <c r="MSF276" s="580"/>
      <c r="MSG276" s="580"/>
      <c r="MSH276" s="580"/>
      <c r="MSI276" s="580"/>
      <c r="MSJ276" s="580"/>
      <c r="MSK276" s="580"/>
      <c r="MSL276" s="580"/>
      <c r="MSM276" s="580"/>
      <c r="MSN276" s="580"/>
      <c r="MSO276" s="580"/>
      <c r="MSP276" s="580"/>
      <c r="MSQ276" s="580"/>
      <c r="MSR276" s="580"/>
      <c r="MSS276" s="580"/>
      <c r="MST276" s="580"/>
      <c r="MSU276" s="580"/>
      <c r="MSV276" s="580"/>
      <c r="MSW276" s="580"/>
      <c r="MSX276" s="580"/>
      <c r="MSY276" s="580"/>
      <c r="MSZ276" s="580"/>
      <c r="MTA276" s="580"/>
      <c r="MTB276" s="580"/>
      <c r="MTC276" s="580"/>
      <c r="MTD276" s="580"/>
      <c r="MTE276" s="580"/>
      <c r="MTF276" s="580"/>
      <c r="MTG276" s="580"/>
      <c r="MTH276" s="580"/>
      <c r="MTI276" s="580"/>
      <c r="MTJ276" s="580"/>
      <c r="MTK276" s="580"/>
      <c r="MTL276" s="580"/>
      <c r="MTM276" s="580"/>
      <c r="MTN276" s="580"/>
      <c r="MTO276" s="580"/>
      <c r="MTP276" s="580"/>
      <c r="MTQ276" s="580"/>
      <c r="MTR276" s="580"/>
      <c r="MTS276" s="580"/>
      <c r="MTT276" s="580"/>
      <c r="MTU276" s="580"/>
      <c r="MTV276" s="580"/>
      <c r="MTW276" s="580"/>
      <c r="MTX276" s="580"/>
      <c r="MTY276" s="580"/>
      <c r="MTZ276" s="580"/>
      <c r="MUA276" s="580"/>
      <c r="MUB276" s="580"/>
      <c r="MUC276" s="580"/>
      <c r="MUD276" s="580"/>
      <c r="MUE276" s="580"/>
      <c r="MUF276" s="580"/>
      <c r="MUG276" s="580"/>
      <c r="MUH276" s="580"/>
      <c r="MUI276" s="580"/>
      <c r="MUJ276" s="580"/>
      <c r="MUK276" s="580"/>
      <c r="MUL276" s="580"/>
      <c r="MUM276" s="580"/>
      <c r="MUN276" s="580"/>
      <c r="MUO276" s="580"/>
      <c r="MUP276" s="580"/>
      <c r="MUQ276" s="580"/>
      <c r="MUR276" s="580"/>
      <c r="MUS276" s="580"/>
      <c r="MUT276" s="580"/>
      <c r="MUU276" s="580"/>
      <c r="MUV276" s="580"/>
      <c r="MUW276" s="580"/>
      <c r="MUX276" s="580"/>
      <c r="MUY276" s="580"/>
      <c r="MUZ276" s="580"/>
      <c r="MVA276" s="580"/>
      <c r="MVB276" s="580"/>
      <c r="MVC276" s="580"/>
      <c r="MVD276" s="580"/>
      <c r="MVE276" s="580"/>
      <c r="MVF276" s="580"/>
      <c r="MVG276" s="580"/>
      <c r="MVH276" s="580"/>
      <c r="MVI276" s="580"/>
      <c r="MVJ276" s="580"/>
      <c r="MVK276" s="580"/>
      <c r="MVL276" s="580"/>
      <c r="MVM276" s="580"/>
      <c r="MVN276" s="580"/>
      <c r="MVO276" s="580"/>
      <c r="MVP276" s="580"/>
      <c r="MVQ276" s="580"/>
      <c r="MVR276" s="580"/>
      <c r="MVS276" s="580"/>
      <c r="MVT276" s="580"/>
      <c r="MVU276" s="580"/>
      <c r="MVV276" s="580"/>
      <c r="MVW276" s="580"/>
      <c r="MVX276" s="580"/>
      <c r="MVY276" s="580"/>
      <c r="MVZ276" s="580"/>
      <c r="MWA276" s="580"/>
      <c r="MWB276" s="580"/>
      <c r="MWC276" s="580"/>
      <c r="MWD276" s="580"/>
      <c r="MWE276" s="580"/>
      <c r="MWF276" s="580"/>
      <c r="MWG276" s="580"/>
      <c r="MWH276" s="580"/>
      <c r="MWI276" s="580"/>
      <c r="MWJ276" s="580"/>
      <c r="MWK276" s="580"/>
      <c r="MWL276" s="580"/>
      <c r="MWM276" s="580"/>
      <c r="MWN276" s="580"/>
      <c r="MWO276" s="580"/>
      <c r="MWP276" s="580"/>
      <c r="MWQ276" s="580"/>
      <c r="MWR276" s="580"/>
      <c r="MWS276" s="580"/>
      <c r="MWT276" s="580"/>
      <c r="MWU276" s="580"/>
      <c r="MWV276" s="580"/>
      <c r="MWW276" s="580"/>
      <c r="MWX276" s="580"/>
      <c r="MWY276" s="580"/>
      <c r="MWZ276" s="580"/>
      <c r="MXA276" s="580"/>
      <c r="MXB276" s="580"/>
      <c r="MXC276" s="580"/>
      <c r="MXD276" s="580"/>
      <c r="MXE276" s="580"/>
      <c r="MXF276" s="580"/>
      <c r="MXG276" s="580"/>
      <c r="MXH276" s="580"/>
      <c r="MXI276" s="580"/>
      <c r="MXJ276" s="580"/>
      <c r="MXK276" s="580"/>
      <c r="MXL276" s="580"/>
      <c r="MXM276" s="580"/>
      <c r="MXN276" s="580"/>
      <c r="MXO276" s="580"/>
      <c r="MXP276" s="580"/>
      <c r="MXQ276" s="580"/>
      <c r="MXR276" s="580"/>
      <c r="MXS276" s="580"/>
      <c r="MXT276" s="580"/>
      <c r="MXU276" s="580"/>
      <c r="MXV276" s="580"/>
      <c r="MXW276" s="580"/>
      <c r="MXX276" s="580"/>
      <c r="MXY276" s="580"/>
      <c r="MXZ276" s="580"/>
      <c r="MYA276" s="580"/>
      <c r="MYB276" s="580"/>
      <c r="MYC276" s="580"/>
      <c r="MYD276" s="580"/>
      <c r="MYE276" s="580"/>
      <c r="MYF276" s="580"/>
      <c r="MYG276" s="580"/>
      <c r="MYH276" s="580"/>
      <c r="MYI276" s="580"/>
      <c r="MYJ276" s="580"/>
      <c r="MYK276" s="580"/>
      <c r="MYL276" s="580"/>
      <c r="MYM276" s="580"/>
      <c r="MYN276" s="580"/>
      <c r="MYO276" s="580"/>
      <c r="MYP276" s="580"/>
      <c r="MYQ276" s="580"/>
      <c r="MYR276" s="580"/>
      <c r="MYS276" s="580"/>
      <c r="MYT276" s="580"/>
      <c r="MYU276" s="580"/>
      <c r="MYV276" s="580"/>
      <c r="MYW276" s="580"/>
      <c r="MYX276" s="580"/>
      <c r="MYY276" s="580"/>
      <c r="MYZ276" s="580"/>
      <c r="MZA276" s="580"/>
      <c r="MZB276" s="580"/>
      <c r="MZC276" s="580"/>
      <c r="MZD276" s="580"/>
      <c r="MZE276" s="580"/>
      <c r="MZF276" s="580"/>
      <c r="MZG276" s="580"/>
      <c r="MZH276" s="580"/>
      <c r="MZI276" s="580"/>
      <c r="MZJ276" s="580"/>
      <c r="MZK276" s="580"/>
      <c r="MZL276" s="580"/>
      <c r="MZM276" s="580"/>
      <c r="MZN276" s="580"/>
      <c r="MZO276" s="580"/>
      <c r="MZP276" s="580"/>
      <c r="MZQ276" s="580"/>
      <c r="MZR276" s="580"/>
      <c r="MZS276" s="580"/>
      <c r="MZT276" s="580"/>
      <c r="MZU276" s="580"/>
      <c r="MZV276" s="580"/>
      <c r="MZW276" s="580"/>
      <c r="MZX276" s="580"/>
      <c r="MZY276" s="580"/>
      <c r="MZZ276" s="580"/>
      <c r="NAA276" s="580"/>
      <c r="NAB276" s="580"/>
      <c r="NAC276" s="580"/>
      <c r="NAD276" s="580"/>
      <c r="NAE276" s="580"/>
      <c r="NAF276" s="580"/>
      <c r="NAG276" s="580"/>
      <c r="NAH276" s="580"/>
      <c r="NAI276" s="580"/>
      <c r="NAJ276" s="580"/>
      <c r="NAK276" s="580"/>
      <c r="NAL276" s="580"/>
      <c r="NAM276" s="580"/>
      <c r="NAN276" s="580"/>
      <c r="NAO276" s="580"/>
      <c r="NAP276" s="580"/>
      <c r="NAQ276" s="580"/>
      <c r="NAR276" s="580"/>
      <c r="NAS276" s="580"/>
      <c r="NAT276" s="580"/>
      <c r="NAU276" s="580"/>
      <c r="NAV276" s="580"/>
      <c r="NAW276" s="580"/>
      <c r="NAX276" s="580"/>
      <c r="NAY276" s="580"/>
      <c r="NAZ276" s="580"/>
      <c r="NBA276" s="580"/>
      <c r="NBB276" s="580"/>
      <c r="NBC276" s="580"/>
      <c r="NBD276" s="580"/>
      <c r="NBE276" s="580"/>
      <c r="NBF276" s="580"/>
      <c r="NBG276" s="580"/>
      <c r="NBH276" s="580"/>
      <c r="NBI276" s="580"/>
      <c r="NBJ276" s="580"/>
      <c r="NBK276" s="580"/>
      <c r="NBL276" s="580"/>
      <c r="NBM276" s="580"/>
      <c r="NBN276" s="580"/>
      <c r="NBO276" s="580"/>
      <c r="NBP276" s="580"/>
      <c r="NBQ276" s="580"/>
      <c r="NBR276" s="580"/>
      <c r="NBS276" s="580"/>
      <c r="NBT276" s="580"/>
      <c r="NBU276" s="580"/>
      <c r="NBV276" s="580"/>
      <c r="NBW276" s="580"/>
      <c r="NBX276" s="580"/>
      <c r="NBY276" s="580"/>
      <c r="NBZ276" s="580"/>
      <c r="NCA276" s="580"/>
      <c r="NCB276" s="580"/>
      <c r="NCC276" s="580"/>
      <c r="NCD276" s="580"/>
      <c r="NCE276" s="580"/>
      <c r="NCF276" s="580"/>
      <c r="NCG276" s="580"/>
      <c r="NCH276" s="580"/>
      <c r="NCI276" s="580"/>
      <c r="NCJ276" s="580"/>
      <c r="NCK276" s="580"/>
      <c r="NCL276" s="580"/>
      <c r="NCM276" s="580"/>
      <c r="NCN276" s="580"/>
      <c r="NCO276" s="580"/>
      <c r="NCP276" s="580"/>
      <c r="NCQ276" s="580"/>
      <c r="NCR276" s="580"/>
      <c r="NCS276" s="580"/>
      <c r="NCT276" s="580"/>
      <c r="NCU276" s="580"/>
      <c r="NCV276" s="580"/>
      <c r="NCW276" s="580"/>
      <c r="NCX276" s="580"/>
      <c r="NCY276" s="580"/>
      <c r="NCZ276" s="580"/>
      <c r="NDA276" s="580"/>
      <c r="NDB276" s="580"/>
      <c r="NDC276" s="580"/>
      <c r="NDD276" s="580"/>
      <c r="NDE276" s="580"/>
      <c r="NDF276" s="580"/>
      <c r="NDG276" s="580"/>
      <c r="NDH276" s="580"/>
      <c r="NDI276" s="580"/>
      <c r="NDJ276" s="580"/>
      <c r="NDK276" s="580"/>
      <c r="NDL276" s="580"/>
      <c r="NDM276" s="580"/>
      <c r="NDN276" s="580"/>
      <c r="NDO276" s="580"/>
      <c r="NDP276" s="580"/>
      <c r="NDQ276" s="580"/>
      <c r="NDR276" s="580"/>
      <c r="NDS276" s="580"/>
      <c r="NDT276" s="580"/>
      <c r="NDU276" s="580"/>
      <c r="NDV276" s="580"/>
      <c r="NDW276" s="580"/>
      <c r="NDX276" s="580"/>
      <c r="NDY276" s="580"/>
      <c r="NDZ276" s="580"/>
      <c r="NEA276" s="580"/>
      <c r="NEB276" s="580"/>
      <c r="NEC276" s="580"/>
      <c r="NED276" s="580"/>
      <c r="NEE276" s="580"/>
      <c r="NEF276" s="580"/>
      <c r="NEG276" s="580"/>
      <c r="NEH276" s="580"/>
      <c r="NEI276" s="580"/>
      <c r="NEJ276" s="580"/>
      <c r="NEK276" s="580"/>
      <c r="NEL276" s="580"/>
      <c r="NEM276" s="580"/>
      <c r="NEN276" s="580"/>
      <c r="NEO276" s="580"/>
      <c r="NEP276" s="580"/>
      <c r="NEQ276" s="580"/>
      <c r="NER276" s="580"/>
      <c r="NES276" s="580"/>
      <c r="NET276" s="580"/>
      <c r="NEU276" s="580"/>
      <c r="NEV276" s="580"/>
      <c r="NEW276" s="580"/>
      <c r="NEX276" s="580"/>
      <c r="NEY276" s="580"/>
      <c r="NEZ276" s="580"/>
      <c r="NFA276" s="580"/>
      <c r="NFB276" s="580"/>
      <c r="NFC276" s="580"/>
      <c r="NFD276" s="580"/>
      <c r="NFE276" s="580"/>
      <c r="NFF276" s="580"/>
      <c r="NFG276" s="580"/>
      <c r="NFH276" s="580"/>
      <c r="NFI276" s="580"/>
      <c r="NFJ276" s="580"/>
      <c r="NFK276" s="580"/>
      <c r="NFL276" s="580"/>
      <c r="NFM276" s="580"/>
      <c r="NFN276" s="580"/>
      <c r="NFO276" s="580"/>
      <c r="NFP276" s="580"/>
      <c r="NFQ276" s="580"/>
      <c r="NFR276" s="580"/>
      <c r="NFS276" s="580"/>
      <c r="NFT276" s="580"/>
      <c r="NFU276" s="580"/>
      <c r="NFV276" s="580"/>
      <c r="NFW276" s="580"/>
      <c r="NFX276" s="580"/>
      <c r="NFY276" s="580"/>
      <c r="NFZ276" s="580"/>
      <c r="NGA276" s="580"/>
      <c r="NGB276" s="580"/>
      <c r="NGC276" s="580"/>
      <c r="NGD276" s="580"/>
      <c r="NGE276" s="580"/>
      <c r="NGF276" s="580"/>
      <c r="NGG276" s="580"/>
      <c r="NGH276" s="580"/>
      <c r="NGI276" s="580"/>
      <c r="NGJ276" s="580"/>
      <c r="NGK276" s="580"/>
      <c r="NGL276" s="580"/>
      <c r="NGM276" s="580"/>
      <c r="NGN276" s="580"/>
      <c r="NGO276" s="580"/>
      <c r="NGP276" s="580"/>
      <c r="NGQ276" s="580"/>
      <c r="NGR276" s="580"/>
      <c r="NGS276" s="580"/>
      <c r="NGT276" s="580"/>
      <c r="NGU276" s="580"/>
      <c r="NGV276" s="580"/>
      <c r="NGW276" s="580"/>
      <c r="NGX276" s="580"/>
      <c r="NGY276" s="580"/>
      <c r="NGZ276" s="580"/>
      <c r="NHA276" s="580"/>
      <c r="NHB276" s="580"/>
      <c r="NHC276" s="580"/>
      <c r="NHD276" s="580"/>
      <c r="NHE276" s="580"/>
      <c r="NHF276" s="580"/>
      <c r="NHG276" s="580"/>
      <c r="NHH276" s="580"/>
      <c r="NHI276" s="580"/>
      <c r="NHJ276" s="580"/>
      <c r="NHK276" s="580"/>
      <c r="NHL276" s="580"/>
      <c r="NHM276" s="580"/>
      <c r="NHN276" s="580"/>
      <c r="NHO276" s="580"/>
      <c r="NHP276" s="580"/>
      <c r="NHQ276" s="580"/>
      <c r="NHR276" s="580"/>
      <c r="NHS276" s="580"/>
      <c r="NHT276" s="580"/>
      <c r="NHU276" s="580"/>
      <c r="NHV276" s="580"/>
      <c r="NHW276" s="580"/>
      <c r="NHX276" s="580"/>
      <c r="NHY276" s="580"/>
      <c r="NHZ276" s="580"/>
      <c r="NIA276" s="580"/>
      <c r="NIB276" s="580"/>
      <c r="NIC276" s="580"/>
      <c r="NID276" s="580"/>
      <c r="NIE276" s="580"/>
      <c r="NIF276" s="580"/>
      <c r="NIG276" s="580"/>
      <c r="NIH276" s="580"/>
      <c r="NII276" s="580"/>
      <c r="NIJ276" s="580"/>
      <c r="NIK276" s="580"/>
      <c r="NIL276" s="580"/>
      <c r="NIM276" s="580"/>
      <c r="NIN276" s="580"/>
      <c r="NIO276" s="580"/>
      <c r="NIP276" s="580"/>
      <c r="NIQ276" s="580"/>
      <c r="NIR276" s="580"/>
      <c r="NIS276" s="580"/>
      <c r="NIT276" s="580"/>
      <c r="NIU276" s="580"/>
      <c r="NIV276" s="580"/>
      <c r="NIW276" s="580"/>
      <c r="NIX276" s="580"/>
      <c r="NIY276" s="580"/>
      <c r="NIZ276" s="580"/>
      <c r="NJA276" s="580"/>
      <c r="NJB276" s="580"/>
      <c r="NJC276" s="580"/>
      <c r="NJD276" s="580"/>
      <c r="NJE276" s="580"/>
      <c r="NJF276" s="580"/>
      <c r="NJG276" s="580"/>
      <c r="NJH276" s="580"/>
      <c r="NJI276" s="580"/>
      <c r="NJJ276" s="580"/>
      <c r="NJK276" s="580"/>
      <c r="NJL276" s="580"/>
      <c r="NJM276" s="580"/>
      <c r="NJN276" s="580"/>
      <c r="NJO276" s="580"/>
      <c r="NJP276" s="580"/>
      <c r="NJQ276" s="580"/>
      <c r="NJR276" s="580"/>
      <c r="NJS276" s="580"/>
      <c r="NJT276" s="580"/>
      <c r="NJU276" s="580"/>
      <c r="NJV276" s="580"/>
      <c r="NJW276" s="580"/>
      <c r="NJX276" s="580"/>
      <c r="NJY276" s="580"/>
      <c r="NJZ276" s="580"/>
      <c r="NKA276" s="580"/>
      <c r="NKB276" s="580"/>
      <c r="NKC276" s="580"/>
      <c r="NKD276" s="580"/>
      <c r="NKE276" s="580"/>
      <c r="NKF276" s="580"/>
      <c r="NKG276" s="580"/>
      <c r="NKH276" s="580"/>
      <c r="NKI276" s="580"/>
      <c r="NKJ276" s="580"/>
      <c r="NKK276" s="580"/>
      <c r="NKL276" s="580"/>
      <c r="NKM276" s="580"/>
      <c r="NKN276" s="580"/>
      <c r="NKO276" s="580"/>
      <c r="NKP276" s="580"/>
      <c r="NKQ276" s="580"/>
      <c r="NKR276" s="580"/>
      <c r="NKS276" s="580"/>
      <c r="NKT276" s="580"/>
      <c r="NKU276" s="580"/>
      <c r="NKV276" s="580"/>
      <c r="NKW276" s="580"/>
      <c r="NKX276" s="580"/>
      <c r="NKY276" s="580"/>
      <c r="NKZ276" s="580"/>
      <c r="NLA276" s="580"/>
      <c r="NLB276" s="580"/>
      <c r="NLC276" s="580"/>
      <c r="NLD276" s="580"/>
      <c r="NLE276" s="580"/>
      <c r="NLF276" s="580"/>
      <c r="NLG276" s="580"/>
      <c r="NLH276" s="580"/>
      <c r="NLI276" s="580"/>
      <c r="NLJ276" s="580"/>
      <c r="NLK276" s="580"/>
      <c r="NLL276" s="580"/>
      <c r="NLM276" s="580"/>
      <c r="NLN276" s="580"/>
      <c r="NLO276" s="580"/>
      <c r="NLP276" s="580"/>
      <c r="NLQ276" s="580"/>
      <c r="NLR276" s="580"/>
      <c r="NLS276" s="580"/>
      <c r="NLT276" s="580"/>
      <c r="NLU276" s="580"/>
      <c r="NLV276" s="580"/>
      <c r="NLW276" s="580"/>
      <c r="NLX276" s="580"/>
      <c r="NLY276" s="580"/>
      <c r="NLZ276" s="580"/>
      <c r="NMA276" s="580"/>
      <c r="NMB276" s="580"/>
      <c r="NMC276" s="580"/>
      <c r="NMD276" s="580"/>
      <c r="NME276" s="580"/>
      <c r="NMF276" s="580"/>
      <c r="NMG276" s="580"/>
      <c r="NMH276" s="580"/>
      <c r="NMI276" s="580"/>
      <c r="NMJ276" s="580"/>
      <c r="NMK276" s="580"/>
      <c r="NML276" s="580"/>
      <c r="NMM276" s="580"/>
      <c r="NMN276" s="580"/>
      <c r="NMO276" s="580"/>
      <c r="NMP276" s="580"/>
      <c r="NMQ276" s="580"/>
      <c r="NMR276" s="580"/>
      <c r="NMS276" s="580"/>
      <c r="NMT276" s="580"/>
      <c r="NMU276" s="580"/>
      <c r="NMV276" s="580"/>
      <c r="NMW276" s="580"/>
      <c r="NMX276" s="580"/>
      <c r="NMY276" s="580"/>
      <c r="NMZ276" s="580"/>
      <c r="NNA276" s="580"/>
      <c r="NNB276" s="580"/>
      <c r="NNC276" s="580"/>
      <c r="NND276" s="580"/>
      <c r="NNE276" s="580"/>
      <c r="NNF276" s="580"/>
      <c r="NNG276" s="580"/>
      <c r="NNH276" s="580"/>
      <c r="NNI276" s="580"/>
      <c r="NNJ276" s="580"/>
      <c r="NNK276" s="580"/>
      <c r="NNL276" s="580"/>
      <c r="NNM276" s="580"/>
      <c r="NNN276" s="580"/>
      <c r="NNO276" s="580"/>
      <c r="NNP276" s="580"/>
      <c r="NNQ276" s="580"/>
      <c r="NNR276" s="580"/>
      <c r="NNS276" s="580"/>
      <c r="NNT276" s="580"/>
      <c r="NNU276" s="580"/>
      <c r="NNV276" s="580"/>
      <c r="NNW276" s="580"/>
      <c r="NNX276" s="580"/>
      <c r="NNY276" s="580"/>
      <c r="NNZ276" s="580"/>
      <c r="NOA276" s="580"/>
      <c r="NOB276" s="580"/>
      <c r="NOC276" s="580"/>
      <c r="NOD276" s="580"/>
      <c r="NOE276" s="580"/>
      <c r="NOF276" s="580"/>
      <c r="NOG276" s="580"/>
      <c r="NOH276" s="580"/>
      <c r="NOI276" s="580"/>
      <c r="NOJ276" s="580"/>
      <c r="NOK276" s="580"/>
      <c r="NOL276" s="580"/>
      <c r="NOM276" s="580"/>
      <c r="NON276" s="580"/>
      <c r="NOO276" s="580"/>
      <c r="NOP276" s="580"/>
      <c r="NOQ276" s="580"/>
      <c r="NOR276" s="580"/>
      <c r="NOS276" s="580"/>
      <c r="NOT276" s="580"/>
      <c r="NOU276" s="580"/>
      <c r="NOV276" s="580"/>
      <c r="NOW276" s="580"/>
      <c r="NOX276" s="580"/>
      <c r="NOY276" s="580"/>
      <c r="NOZ276" s="580"/>
      <c r="NPA276" s="580"/>
      <c r="NPB276" s="580"/>
      <c r="NPC276" s="580"/>
      <c r="NPD276" s="580"/>
      <c r="NPE276" s="580"/>
      <c r="NPF276" s="580"/>
      <c r="NPG276" s="580"/>
      <c r="NPH276" s="580"/>
      <c r="NPI276" s="580"/>
      <c r="NPJ276" s="580"/>
      <c r="NPK276" s="580"/>
      <c r="NPL276" s="580"/>
      <c r="NPM276" s="580"/>
      <c r="NPN276" s="580"/>
      <c r="NPO276" s="580"/>
      <c r="NPP276" s="580"/>
      <c r="NPQ276" s="580"/>
      <c r="NPR276" s="580"/>
      <c r="NPS276" s="580"/>
      <c r="NPT276" s="580"/>
      <c r="NPU276" s="580"/>
      <c r="NPV276" s="580"/>
      <c r="NPW276" s="580"/>
      <c r="NPX276" s="580"/>
      <c r="NPY276" s="580"/>
      <c r="NPZ276" s="580"/>
      <c r="NQA276" s="580"/>
      <c r="NQB276" s="580"/>
      <c r="NQC276" s="580"/>
      <c r="NQD276" s="580"/>
      <c r="NQE276" s="580"/>
      <c r="NQF276" s="580"/>
      <c r="NQG276" s="580"/>
      <c r="NQH276" s="580"/>
      <c r="NQI276" s="580"/>
      <c r="NQJ276" s="580"/>
      <c r="NQK276" s="580"/>
      <c r="NQL276" s="580"/>
      <c r="NQM276" s="580"/>
      <c r="NQN276" s="580"/>
      <c r="NQO276" s="580"/>
      <c r="NQP276" s="580"/>
      <c r="NQQ276" s="580"/>
      <c r="NQR276" s="580"/>
      <c r="NQS276" s="580"/>
      <c r="NQT276" s="580"/>
      <c r="NQU276" s="580"/>
      <c r="NQV276" s="580"/>
      <c r="NQW276" s="580"/>
      <c r="NQX276" s="580"/>
      <c r="NQY276" s="580"/>
      <c r="NQZ276" s="580"/>
      <c r="NRA276" s="580"/>
      <c r="NRB276" s="580"/>
      <c r="NRC276" s="580"/>
      <c r="NRD276" s="580"/>
      <c r="NRE276" s="580"/>
      <c r="NRF276" s="580"/>
      <c r="NRG276" s="580"/>
      <c r="NRH276" s="580"/>
      <c r="NRI276" s="580"/>
      <c r="NRJ276" s="580"/>
      <c r="NRK276" s="580"/>
      <c r="NRL276" s="580"/>
      <c r="NRM276" s="580"/>
      <c r="NRN276" s="580"/>
      <c r="NRO276" s="580"/>
      <c r="NRP276" s="580"/>
      <c r="NRQ276" s="580"/>
      <c r="NRR276" s="580"/>
      <c r="NRS276" s="580"/>
      <c r="NRT276" s="580"/>
      <c r="NRU276" s="580"/>
      <c r="NRV276" s="580"/>
      <c r="NRW276" s="580"/>
      <c r="NRX276" s="580"/>
      <c r="NRY276" s="580"/>
      <c r="NRZ276" s="580"/>
      <c r="NSA276" s="580"/>
      <c r="NSB276" s="580"/>
      <c r="NSC276" s="580"/>
      <c r="NSD276" s="580"/>
      <c r="NSE276" s="580"/>
      <c r="NSF276" s="580"/>
      <c r="NSG276" s="580"/>
      <c r="NSH276" s="580"/>
      <c r="NSI276" s="580"/>
      <c r="NSJ276" s="580"/>
      <c r="NSK276" s="580"/>
      <c r="NSL276" s="580"/>
      <c r="NSM276" s="580"/>
      <c r="NSN276" s="580"/>
      <c r="NSO276" s="580"/>
      <c r="NSP276" s="580"/>
      <c r="NSQ276" s="580"/>
      <c r="NSR276" s="580"/>
      <c r="NSS276" s="580"/>
      <c r="NST276" s="580"/>
      <c r="NSU276" s="580"/>
      <c r="NSV276" s="580"/>
      <c r="NSW276" s="580"/>
      <c r="NSX276" s="580"/>
      <c r="NSY276" s="580"/>
      <c r="NSZ276" s="580"/>
      <c r="NTA276" s="580"/>
      <c r="NTB276" s="580"/>
      <c r="NTC276" s="580"/>
      <c r="NTD276" s="580"/>
      <c r="NTE276" s="580"/>
      <c r="NTF276" s="580"/>
      <c r="NTG276" s="580"/>
      <c r="NTH276" s="580"/>
      <c r="NTI276" s="580"/>
      <c r="NTJ276" s="580"/>
      <c r="NTK276" s="580"/>
      <c r="NTL276" s="580"/>
      <c r="NTM276" s="580"/>
      <c r="NTN276" s="580"/>
      <c r="NTO276" s="580"/>
      <c r="NTP276" s="580"/>
      <c r="NTQ276" s="580"/>
      <c r="NTR276" s="580"/>
      <c r="NTS276" s="580"/>
      <c r="NTT276" s="580"/>
      <c r="NTU276" s="580"/>
      <c r="NTV276" s="580"/>
      <c r="NTW276" s="580"/>
      <c r="NTX276" s="580"/>
      <c r="NTY276" s="580"/>
      <c r="NTZ276" s="580"/>
      <c r="NUA276" s="580"/>
      <c r="NUB276" s="580"/>
      <c r="NUC276" s="580"/>
      <c r="NUD276" s="580"/>
      <c r="NUE276" s="580"/>
      <c r="NUF276" s="580"/>
      <c r="NUG276" s="580"/>
      <c r="NUH276" s="580"/>
      <c r="NUI276" s="580"/>
      <c r="NUJ276" s="580"/>
      <c r="NUK276" s="580"/>
      <c r="NUL276" s="580"/>
      <c r="NUM276" s="580"/>
      <c r="NUN276" s="580"/>
      <c r="NUO276" s="580"/>
      <c r="NUP276" s="580"/>
      <c r="NUQ276" s="580"/>
      <c r="NUR276" s="580"/>
      <c r="NUS276" s="580"/>
      <c r="NUT276" s="580"/>
      <c r="NUU276" s="580"/>
      <c r="NUV276" s="580"/>
      <c r="NUW276" s="580"/>
      <c r="NUX276" s="580"/>
      <c r="NUY276" s="580"/>
      <c r="NUZ276" s="580"/>
      <c r="NVA276" s="580"/>
      <c r="NVB276" s="580"/>
      <c r="NVC276" s="580"/>
      <c r="NVD276" s="580"/>
      <c r="NVE276" s="580"/>
      <c r="NVF276" s="580"/>
      <c r="NVG276" s="580"/>
      <c r="NVH276" s="580"/>
      <c r="NVI276" s="580"/>
      <c r="NVJ276" s="580"/>
      <c r="NVK276" s="580"/>
      <c r="NVL276" s="580"/>
      <c r="NVM276" s="580"/>
      <c r="NVN276" s="580"/>
      <c r="NVO276" s="580"/>
      <c r="NVP276" s="580"/>
      <c r="NVQ276" s="580"/>
      <c r="NVR276" s="580"/>
      <c r="NVS276" s="580"/>
      <c r="NVT276" s="580"/>
      <c r="NVU276" s="580"/>
      <c r="NVV276" s="580"/>
      <c r="NVW276" s="580"/>
      <c r="NVX276" s="580"/>
      <c r="NVY276" s="580"/>
      <c r="NVZ276" s="580"/>
      <c r="NWA276" s="580"/>
      <c r="NWB276" s="580"/>
      <c r="NWC276" s="580"/>
      <c r="NWD276" s="580"/>
      <c r="NWE276" s="580"/>
      <c r="NWF276" s="580"/>
      <c r="NWG276" s="580"/>
      <c r="NWH276" s="580"/>
      <c r="NWI276" s="580"/>
      <c r="NWJ276" s="580"/>
      <c r="NWK276" s="580"/>
      <c r="NWL276" s="580"/>
      <c r="NWM276" s="580"/>
      <c r="NWN276" s="580"/>
      <c r="NWO276" s="580"/>
      <c r="NWP276" s="580"/>
      <c r="NWQ276" s="580"/>
      <c r="NWR276" s="580"/>
      <c r="NWS276" s="580"/>
      <c r="NWT276" s="580"/>
      <c r="NWU276" s="580"/>
      <c r="NWV276" s="580"/>
      <c r="NWW276" s="580"/>
      <c r="NWX276" s="580"/>
      <c r="NWY276" s="580"/>
      <c r="NWZ276" s="580"/>
      <c r="NXA276" s="580"/>
      <c r="NXB276" s="580"/>
      <c r="NXC276" s="580"/>
      <c r="NXD276" s="580"/>
      <c r="NXE276" s="580"/>
      <c r="NXF276" s="580"/>
      <c r="NXG276" s="580"/>
      <c r="NXH276" s="580"/>
      <c r="NXI276" s="580"/>
      <c r="NXJ276" s="580"/>
      <c r="NXK276" s="580"/>
      <c r="NXL276" s="580"/>
      <c r="NXM276" s="580"/>
      <c r="NXN276" s="580"/>
      <c r="NXO276" s="580"/>
      <c r="NXP276" s="580"/>
      <c r="NXQ276" s="580"/>
      <c r="NXR276" s="580"/>
      <c r="NXS276" s="580"/>
      <c r="NXT276" s="580"/>
      <c r="NXU276" s="580"/>
      <c r="NXV276" s="580"/>
      <c r="NXW276" s="580"/>
      <c r="NXX276" s="580"/>
      <c r="NXY276" s="580"/>
      <c r="NXZ276" s="580"/>
      <c r="NYA276" s="580"/>
      <c r="NYB276" s="580"/>
      <c r="NYC276" s="580"/>
      <c r="NYD276" s="580"/>
      <c r="NYE276" s="580"/>
      <c r="NYF276" s="580"/>
      <c r="NYG276" s="580"/>
      <c r="NYH276" s="580"/>
      <c r="NYI276" s="580"/>
      <c r="NYJ276" s="580"/>
      <c r="NYK276" s="580"/>
      <c r="NYL276" s="580"/>
      <c r="NYM276" s="580"/>
      <c r="NYN276" s="580"/>
      <c r="NYO276" s="580"/>
      <c r="NYP276" s="580"/>
      <c r="NYQ276" s="580"/>
      <c r="NYR276" s="580"/>
      <c r="NYS276" s="580"/>
      <c r="NYT276" s="580"/>
      <c r="NYU276" s="580"/>
      <c r="NYV276" s="580"/>
      <c r="NYW276" s="580"/>
      <c r="NYX276" s="580"/>
      <c r="NYY276" s="580"/>
      <c r="NYZ276" s="580"/>
      <c r="NZA276" s="580"/>
      <c r="NZB276" s="580"/>
      <c r="NZC276" s="580"/>
      <c r="NZD276" s="580"/>
      <c r="NZE276" s="580"/>
      <c r="NZF276" s="580"/>
      <c r="NZG276" s="580"/>
      <c r="NZH276" s="580"/>
      <c r="NZI276" s="580"/>
      <c r="NZJ276" s="580"/>
      <c r="NZK276" s="580"/>
      <c r="NZL276" s="580"/>
      <c r="NZM276" s="580"/>
      <c r="NZN276" s="580"/>
      <c r="NZO276" s="580"/>
      <c r="NZP276" s="580"/>
      <c r="NZQ276" s="580"/>
      <c r="NZR276" s="580"/>
      <c r="NZS276" s="580"/>
      <c r="NZT276" s="580"/>
      <c r="NZU276" s="580"/>
      <c r="NZV276" s="580"/>
      <c r="NZW276" s="580"/>
      <c r="NZX276" s="580"/>
      <c r="NZY276" s="580"/>
      <c r="NZZ276" s="580"/>
      <c r="OAA276" s="580"/>
      <c r="OAB276" s="580"/>
      <c r="OAC276" s="580"/>
      <c r="OAD276" s="580"/>
      <c r="OAE276" s="580"/>
      <c r="OAF276" s="580"/>
      <c r="OAG276" s="580"/>
      <c r="OAH276" s="580"/>
      <c r="OAI276" s="580"/>
      <c r="OAJ276" s="580"/>
      <c r="OAK276" s="580"/>
      <c r="OAL276" s="580"/>
      <c r="OAM276" s="580"/>
      <c r="OAN276" s="580"/>
      <c r="OAO276" s="580"/>
      <c r="OAP276" s="580"/>
      <c r="OAQ276" s="580"/>
      <c r="OAR276" s="580"/>
      <c r="OAS276" s="580"/>
      <c r="OAT276" s="580"/>
      <c r="OAU276" s="580"/>
      <c r="OAV276" s="580"/>
      <c r="OAW276" s="580"/>
      <c r="OAX276" s="580"/>
      <c r="OAY276" s="580"/>
      <c r="OAZ276" s="580"/>
      <c r="OBA276" s="580"/>
      <c r="OBB276" s="580"/>
      <c r="OBC276" s="580"/>
      <c r="OBD276" s="580"/>
      <c r="OBE276" s="580"/>
      <c r="OBF276" s="580"/>
      <c r="OBG276" s="580"/>
      <c r="OBH276" s="580"/>
      <c r="OBI276" s="580"/>
      <c r="OBJ276" s="580"/>
      <c r="OBK276" s="580"/>
      <c r="OBL276" s="580"/>
      <c r="OBM276" s="580"/>
      <c r="OBN276" s="580"/>
      <c r="OBO276" s="580"/>
      <c r="OBP276" s="580"/>
      <c r="OBQ276" s="580"/>
      <c r="OBR276" s="580"/>
      <c r="OBS276" s="580"/>
      <c r="OBT276" s="580"/>
      <c r="OBU276" s="580"/>
      <c r="OBV276" s="580"/>
      <c r="OBW276" s="580"/>
      <c r="OBX276" s="580"/>
      <c r="OBY276" s="580"/>
      <c r="OBZ276" s="580"/>
      <c r="OCA276" s="580"/>
      <c r="OCB276" s="580"/>
      <c r="OCC276" s="580"/>
      <c r="OCD276" s="580"/>
      <c r="OCE276" s="580"/>
      <c r="OCF276" s="580"/>
      <c r="OCG276" s="580"/>
      <c r="OCH276" s="580"/>
      <c r="OCI276" s="580"/>
      <c r="OCJ276" s="580"/>
      <c r="OCK276" s="580"/>
      <c r="OCL276" s="580"/>
      <c r="OCM276" s="580"/>
      <c r="OCN276" s="580"/>
      <c r="OCO276" s="580"/>
      <c r="OCP276" s="580"/>
      <c r="OCQ276" s="580"/>
      <c r="OCR276" s="580"/>
      <c r="OCS276" s="580"/>
      <c r="OCT276" s="580"/>
      <c r="OCU276" s="580"/>
      <c r="OCV276" s="580"/>
      <c r="OCW276" s="580"/>
      <c r="OCX276" s="580"/>
      <c r="OCY276" s="580"/>
      <c r="OCZ276" s="580"/>
      <c r="ODA276" s="580"/>
      <c r="ODB276" s="580"/>
      <c r="ODC276" s="580"/>
      <c r="ODD276" s="580"/>
      <c r="ODE276" s="580"/>
      <c r="ODF276" s="580"/>
      <c r="ODG276" s="580"/>
      <c r="ODH276" s="580"/>
      <c r="ODI276" s="580"/>
      <c r="ODJ276" s="580"/>
      <c r="ODK276" s="580"/>
      <c r="ODL276" s="580"/>
      <c r="ODM276" s="580"/>
      <c r="ODN276" s="580"/>
      <c r="ODO276" s="580"/>
      <c r="ODP276" s="580"/>
      <c r="ODQ276" s="580"/>
      <c r="ODR276" s="580"/>
      <c r="ODS276" s="580"/>
      <c r="ODT276" s="580"/>
      <c r="ODU276" s="580"/>
      <c r="ODV276" s="580"/>
      <c r="ODW276" s="580"/>
      <c r="ODX276" s="580"/>
      <c r="ODY276" s="580"/>
      <c r="ODZ276" s="580"/>
      <c r="OEA276" s="580"/>
      <c r="OEB276" s="580"/>
      <c r="OEC276" s="580"/>
      <c r="OED276" s="580"/>
      <c r="OEE276" s="580"/>
      <c r="OEF276" s="580"/>
      <c r="OEG276" s="580"/>
      <c r="OEH276" s="580"/>
      <c r="OEI276" s="580"/>
      <c r="OEJ276" s="580"/>
      <c r="OEK276" s="580"/>
      <c r="OEL276" s="580"/>
      <c r="OEM276" s="580"/>
      <c r="OEN276" s="580"/>
      <c r="OEO276" s="580"/>
      <c r="OEP276" s="580"/>
      <c r="OEQ276" s="580"/>
      <c r="OER276" s="580"/>
      <c r="OES276" s="580"/>
      <c r="OET276" s="580"/>
      <c r="OEU276" s="580"/>
      <c r="OEV276" s="580"/>
      <c r="OEW276" s="580"/>
      <c r="OEX276" s="580"/>
      <c r="OEY276" s="580"/>
      <c r="OEZ276" s="580"/>
      <c r="OFA276" s="580"/>
      <c r="OFB276" s="580"/>
      <c r="OFC276" s="580"/>
      <c r="OFD276" s="580"/>
      <c r="OFE276" s="580"/>
      <c r="OFF276" s="580"/>
      <c r="OFG276" s="580"/>
      <c r="OFH276" s="580"/>
      <c r="OFI276" s="580"/>
      <c r="OFJ276" s="580"/>
      <c r="OFK276" s="580"/>
      <c r="OFL276" s="580"/>
      <c r="OFM276" s="580"/>
      <c r="OFN276" s="580"/>
      <c r="OFO276" s="580"/>
      <c r="OFP276" s="580"/>
      <c r="OFQ276" s="580"/>
      <c r="OFR276" s="580"/>
      <c r="OFS276" s="580"/>
      <c r="OFT276" s="580"/>
      <c r="OFU276" s="580"/>
      <c r="OFV276" s="580"/>
      <c r="OFW276" s="580"/>
      <c r="OFX276" s="580"/>
      <c r="OFY276" s="580"/>
      <c r="OFZ276" s="580"/>
      <c r="OGA276" s="580"/>
      <c r="OGB276" s="580"/>
      <c r="OGC276" s="580"/>
      <c r="OGD276" s="580"/>
      <c r="OGE276" s="580"/>
      <c r="OGF276" s="580"/>
      <c r="OGG276" s="580"/>
      <c r="OGH276" s="580"/>
      <c r="OGI276" s="580"/>
      <c r="OGJ276" s="580"/>
      <c r="OGK276" s="580"/>
      <c r="OGL276" s="580"/>
      <c r="OGM276" s="580"/>
      <c r="OGN276" s="580"/>
      <c r="OGO276" s="580"/>
      <c r="OGP276" s="580"/>
      <c r="OGQ276" s="580"/>
      <c r="OGR276" s="580"/>
      <c r="OGS276" s="580"/>
      <c r="OGT276" s="580"/>
      <c r="OGU276" s="580"/>
      <c r="OGV276" s="580"/>
      <c r="OGW276" s="580"/>
      <c r="OGX276" s="580"/>
      <c r="OGY276" s="580"/>
      <c r="OGZ276" s="580"/>
      <c r="OHA276" s="580"/>
      <c r="OHB276" s="580"/>
      <c r="OHC276" s="580"/>
      <c r="OHD276" s="580"/>
      <c r="OHE276" s="580"/>
      <c r="OHF276" s="580"/>
      <c r="OHG276" s="580"/>
      <c r="OHH276" s="580"/>
      <c r="OHI276" s="580"/>
      <c r="OHJ276" s="580"/>
      <c r="OHK276" s="580"/>
      <c r="OHL276" s="580"/>
      <c r="OHM276" s="580"/>
      <c r="OHN276" s="580"/>
      <c r="OHO276" s="580"/>
      <c r="OHP276" s="580"/>
      <c r="OHQ276" s="580"/>
      <c r="OHR276" s="580"/>
      <c r="OHS276" s="580"/>
      <c r="OHT276" s="580"/>
      <c r="OHU276" s="580"/>
      <c r="OHV276" s="580"/>
      <c r="OHW276" s="580"/>
      <c r="OHX276" s="580"/>
      <c r="OHY276" s="580"/>
      <c r="OHZ276" s="580"/>
      <c r="OIA276" s="580"/>
      <c r="OIB276" s="580"/>
      <c r="OIC276" s="580"/>
      <c r="OID276" s="580"/>
      <c r="OIE276" s="580"/>
      <c r="OIF276" s="580"/>
      <c r="OIG276" s="580"/>
      <c r="OIH276" s="580"/>
      <c r="OII276" s="580"/>
      <c r="OIJ276" s="580"/>
      <c r="OIK276" s="580"/>
      <c r="OIL276" s="580"/>
      <c r="OIM276" s="580"/>
      <c r="OIN276" s="580"/>
      <c r="OIO276" s="580"/>
      <c r="OIP276" s="580"/>
      <c r="OIQ276" s="580"/>
      <c r="OIR276" s="580"/>
      <c r="OIS276" s="580"/>
      <c r="OIT276" s="580"/>
      <c r="OIU276" s="580"/>
      <c r="OIV276" s="580"/>
      <c r="OIW276" s="580"/>
      <c r="OIX276" s="580"/>
      <c r="OIY276" s="580"/>
      <c r="OIZ276" s="580"/>
      <c r="OJA276" s="580"/>
      <c r="OJB276" s="580"/>
      <c r="OJC276" s="580"/>
      <c r="OJD276" s="580"/>
      <c r="OJE276" s="580"/>
      <c r="OJF276" s="580"/>
      <c r="OJG276" s="580"/>
      <c r="OJH276" s="580"/>
      <c r="OJI276" s="580"/>
      <c r="OJJ276" s="580"/>
      <c r="OJK276" s="580"/>
      <c r="OJL276" s="580"/>
      <c r="OJM276" s="580"/>
      <c r="OJN276" s="580"/>
      <c r="OJO276" s="580"/>
      <c r="OJP276" s="580"/>
      <c r="OJQ276" s="580"/>
      <c r="OJR276" s="580"/>
      <c r="OJS276" s="580"/>
      <c r="OJT276" s="580"/>
      <c r="OJU276" s="580"/>
      <c r="OJV276" s="580"/>
      <c r="OJW276" s="580"/>
      <c r="OJX276" s="580"/>
      <c r="OJY276" s="580"/>
      <c r="OJZ276" s="580"/>
      <c r="OKA276" s="580"/>
      <c r="OKB276" s="580"/>
      <c r="OKC276" s="580"/>
      <c r="OKD276" s="580"/>
      <c r="OKE276" s="580"/>
      <c r="OKF276" s="580"/>
      <c r="OKG276" s="580"/>
      <c r="OKH276" s="580"/>
      <c r="OKI276" s="580"/>
      <c r="OKJ276" s="580"/>
      <c r="OKK276" s="580"/>
      <c r="OKL276" s="580"/>
      <c r="OKM276" s="580"/>
      <c r="OKN276" s="580"/>
      <c r="OKO276" s="580"/>
      <c r="OKP276" s="580"/>
      <c r="OKQ276" s="580"/>
      <c r="OKR276" s="580"/>
      <c r="OKS276" s="580"/>
      <c r="OKT276" s="580"/>
      <c r="OKU276" s="580"/>
      <c r="OKV276" s="580"/>
      <c r="OKW276" s="580"/>
      <c r="OKX276" s="580"/>
      <c r="OKY276" s="580"/>
      <c r="OKZ276" s="580"/>
      <c r="OLA276" s="580"/>
      <c r="OLB276" s="580"/>
      <c r="OLC276" s="580"/>
      <c r="OLD276" s="580"/>
      <c r="OLE276" s="580"/>
      <c r="OLF276" s="580"/>
      <c r="OLG276" s="580"/>
      <c r="OLH276" s="580"/>
      <c r="OLI276" s="580"/>
      <c r="OLJ276" s="580"/>
      <c r="OLK276" s="580"/>
      <c r="OLL276" s="580"/>
      <c r="OLM276" s="580"/>
      <c r="OLN276" s="580"/>
      <c r="OLO276" s="580"/>
      <c r="OLP276" s="580"/>
      <c r="OLQ276" s="580"/>
      <c r="OLR276" s="580"/>
      <c r="OLS276" s="580"/>
      <c r="OLT276" s="580"/>
      <c r="OLU276" s="580"/>
      <c r="OLV276" s="580"/>
      <c r="OLW276" s="580"/>
      <c r="OLX276" s="580"/>
      <c r="OLY276" s="580"/>
      <c r="OLZ276" s="580"/>
      <c r="OMA276" s="580"/>
      <c r="OMB276" s="580"/>
      <c r="OMC276" s="580"/>
      <c r="OMD276" s="580"/>
      <c r="OME276" s="580"/>
      <c r="OMF276" s="580"/>
      <c r="OMG276" s="580"/>
      <c r="OMH276" s="580"/>
      <c r="OMI276" s="580"/>
      <c r="OMJ276" s="580"/>
      <c r="OMK276" s="580"/>
      <c r="OML276" s="580"/>
      <c r="OMM276" s="580"/>
      <c r="OMN276" s="580"/>
      <c r="OMO276" s="580"/>
      <c r="OMP276" s="580"/>
      <c r="OMQ276" s="580"/>
      <c r="OMR276" s="580"/>
      <c r="OMS276" s="580"/>
      <c r="OMT276" s="580"/>
      <c r="OMU276" s="580"/>
      <c r="OMV276" s="580"/>
      <c r="OMW276" s="580"/>
      <c r="OMX276" s="580"/>
      <c r="OMY276" s="580"/>
      <c r="OMZ276" s="580"/>
      <c r="ONA276" s="580"/>
      <c r="ONB276" s="580"/>
      <c r="ONC276" s="580"/>
      <c r="OND276" s="580"/>
      <c r="ONE276" s="580"/>
      <c r="ONF276" s="580"/>
      <c r="ONG276" s="580"/>
      <c r="ONH276" s="580"/>
      <c r="ONI276" s="580"/>
      <c r="ONJ276" s="580"/>
      <c r="ONK276" s="580"/>
      <c r="ONL276" s="580"/>
      <c r="ONM276" s="580"/>
      <c r="ONN276" s="580"/>
      <c r="ONO276" s="580"/>
      <c r="ONP276" s="580"/>
      <c r="ONQ276" s="580"/>
      <c r="ONR276" s="580"/>
      <c r="ONS276" s="580"/>
      <c r="ONT276" s="580"/>
      <c r="ONU276" s="580"/>
      <c r="ONV276" s="580"/>
      <c r="ONW276" s="580"/>
      <c r="ONX276" s="580"/>
      <c r="ONY276" s="580"/>
      <c r="ONZ276" s="580"/>
      <c r="OOA276" s="580"/>
      <c r="OOB276" s="580"/>
      <c r="OOC276" s="580"/>
      <c r="OOD276" s="580"/>
      <c r="OOE276" s="580"/>
      <c r="OOF276" s="580"/>
      <c r="OOG276" s="580"/>
      <c r="OOH276" s="580"/>
      <c r="OOI276" s="580"/>
      <c r="OOJ276" s="580"/>
      <c r="OOK276" s="580"/>
      <c r="OOL276" s="580"/>
      <c r="OOM276" s="580"/>
      <c r="OON276" s="580"/>
      <c r="OOO276" s="580"/>
      <c r="OOP276" s="580"/>
      <c r="OOQ276" s="580"/>
      <c r="OOR276" s="580"/>
      <c r="OOS276" s="580"/>
      <c r="OOT276" s="580"/>
      <c r="OOU276" s="580"/>
      <c r="OOV276" s="580"/>
      <c r="OOW276" s="580"/>
      <c r="OOX276" s="580"/>
      <c r="OOY276" s="580"/>
      <c r="OOZ276" s="580"/>
      <c r="OPA276" s="580"/>
      <c r="OPB276" s="580"/>
      <c r="OPC276" s="580"/>
      <c r="OPD276" s="580"/>
      <c r="OPE276" s="580"/>
      <c r="OPF276" s="580"/>
      <c r="OPG276" s="580"/>
      <c r="OPH276" s="580"/>
      <c r="OPI276" s="580"/>
      <c r="OPJ276" s="580"/>
      <c r="OPK276" s="580"/>
      <c r="OPL276" s="580"/>
      <c r="OPM276" s="580"/>
      <c r="OPN276" s="580"/>
      <c r="OPO276" s="580"/>
      <c r="OPP276" s="580"/>
      <c r="OPQ276" s="580"/>
      <c r="OPR276" s="580"/>
      <c r="OPS276" s="580"/>
      <c r="OPT276" s="580"/>
      <c r="OPU276" s="580"/>
      <c r="OPV276" s="580"/>
      <c r="OPW276" s="580"/>
      <c r="OPX276" s="580"/>
      <c r="OPY276" s="580"/>
      <c r="OPZ276" s="580"/>
      <c r="OQA276" s="580"/>
      <c r="OQB276" s="580"/>
      <c r="OQC276" s="580"/>
      <c r="OQD276" s="580"/>
      <c r="OQE276" s="580"/>
      <c r="OQF276" s="580"/>
      <c r="OQG276" s="580"/>
      <c r="OQH276" s="580"/>
      <c r="OQI276" s="580"/>
      <c r="OQJ276" s="580"/>
      <c r="OQK276" s="580"/>
      <c r="OQL276" s="580"/>
      <c r="OQM276" s="580"/>
      <c r="OQN276" s="580"/>
      <c r="OQO276" s="580"/>
      <c r="OQP276" s="580"/>
      <c r="OQQ276" s="580"/>
      <c r="OQR276" s="580"/>
      <c r="OQS276" s="580"/>
      <c r="OQT276" s="580"/>
      <c r="OQU276" s="580"/>
      <c r="OQV276" s="580"/>
      <c r="OQW276" s="580"/>
      <c r="OQX276" s="580"/>
      <c r="OQY276" s="580"/>
      <c r="OQZ276" s="580"/>
      <c r="ORA276" s="580"/>
      <c r="ORB276" s="580"/>
      <c r="ORC276" s="580"/>
      <c r="ORD276" s="580"/>
      <c r="ORE276" s="580"/>
      <c r="ORF276" s="580"/>
      <c r="ORG276" s="580"/>
      <c r="ORH276" s="580"/>
      <c r="ORI276" s="580"/>
      <c r="ORJ276" s="580"/>
      <c r="ORK276" s="580"/>
      <c r="ORL276" s="580"/>
      <c r="ORM276" s="580"/>
      <c r="ORN276" s="580"/>
      <c r="ORO276" s="580"/>
      <c r="ORP276" s="580"/>
      <c r="ORQ276" s="580"/>
      <c r="ORR276" s="580"/>
      <c r="ORS276" s="580"/>
      <c r="ORT276" s="580"/>
      <c r="ORU276" s="580"/>
      <c r="ORV276" s="580"/>
      <c r="ORW276" s="580"/>
      <c r="ORX276" s="580"/>
      <c r="ORY276" s="580"/>
      <c r="ORZ276" s="580"/>
      <c r="OSA276" s="580"/>
      <c r="OSB276" s="580"/>
      <c r="OSC276" s="580"/>
      <c r="OSD276" s="580"/>
      <c r="OSE276" s="580"/>
      <c r="OSF276" s="580"/>
      <c r="OSG276" s="580"/>
      <c r="OSH276" s="580"/>
      <c r="OSI276" s="580"/>
      <c r="OSJ276" s="580"/>
      <c r="OSK276" s="580"/>
      <c r="OSL276" s="580"/>
      <c r="OSM276" s="580"/>
      <c r="OSN276" s="580"/>
      <c r="OSO276" s="580"/>
      <c r="OSP276" s="580"/>
      <c r="OSQ276" s="580"/>
      <c r="OSR276" s="580"/>
      <c r="OSS276" s="580"/>
      <c r="OST276" s="580"/>
      <c r="OSU276" s="580"/>
      <c r="OSV276" s="580"/>
      <c r="OSW276" s="580"/>
      <c r="OSX276" s="580"/>
      <c r="OSY276" s="580"/>
      <c r="OSZ276" s="580"/>
      <c r="OTA276" s="580"/>
      <c r="OTB276" s="580"/>
      <c r="OTC276" s="580"/>
      <c r="OTD276" s="580"/>
      <c r="OTE276" s="580"/>
      <c r="OTF276" s="580"/>
      <c r="OTG276" s="580"/>
      <c r="OTH276" s="580"/>
      <c r="OTI276" s="580"/>
      <c r="OTJ276" s="580"/>
      <c r="OTK276" s="580"/>
      <c r="OTL276" s="580"/>
      <c r="OTM276" s="580"/>
      <c r="OTN276" s="580"/>
      <c r="OTO276" s="580"/>
      <c r="OTP276" s="580"/>
      <c r="OTQ276" s="580"/>
      <c r="OTR276" s="580"/>
      <c r="OTS276" s="580"/>
      <c r="OTT276" s="580"/>
      <c r="OTU276" s="580"/>
      <c r="OTV276" s="580"/>
      <c r="OTW276" s="580"/>
      <c r="OTX276" s="580"/>
      <c r="OTY276" s="580"/>
      <c r="OTZ276" s="580"/>
      <c r="OUA276" s="580"/>
      <c r="OUB276" s="580"/>
      <c r="OUC276" s="580"/>
      <c r="OUD276" s="580"/>
      <c r="OUE276" s="580"/>
      <c r="OUF276" s="580"/>
      <c r="OUG276" s="580"/>
      <c r="OUH276" s="580"/>
      <c r="OUI276" s="580"/>
      <c r="OUJ276" s="580"/>
      <c r="OUK276" s="580"/>
      <c r="OUL276" s="580"/>
      <c r="OUM276" s="580"/>
      <c r="OUN276" s="580"/>
      <c r="OUO276" s="580"/>
      <c r="OUP276" s="580"/>
      <c r="OUQ276" s="580"/>
      <c r="OUR276" s="580"/>
      <c r="OUS276" s="580"/>
      <c r="OUT276" s="580"/>
      <c r="OUU276" s="580"/>
      <c r="OUV276" s="580"/>
      <c r="OUW276" s="580"/>
      <c r="OUX276" s="580"/>
      <c r="OUY276" s="580"/>
      <c r="OUZ276" s="580"/>
      <c r="OVA276" s="580"/>
      <c r="OVB276" s="580"/>
      <c r="OVC276" s="580"/>
      <c r="OVD276" s="580"/>
      <c r="OVE276" s="580"/>
      <c r="OVF276" s="580"/>
      <c r="OVG276" s="580"/>
      <c r="OVH276" s="580"/>
      <c r="OVI276" s="580"/>
      <c r="OVJ276" s="580"/>
      <c r="OVK276" s="580"/>
      <c r="OVL276" s="580"/>
      <c r="OVM276" s="580"/>
      <c r="OVN276" s="580"/>
      <c r="OVO276" s="580"/>
      <c r="OVP276" s="580"/>
      <c r="OVQ276" s="580"/>
      <c r="OVR276" s="580"/>
      <c r="OVS276" s="580"/>
      <c r="OVT276" s="580"/>
      <c r="OVU276" s="580"/>
      <c r="OVV276" s="580"/>
      <c r="OVW276" s="580"/>
      <c r="OVX276" s="580"/>
      <c r="OVY276" s="580"/>
      <c r="OVZ276" s="580"/>
      <c r="OWA276" s="580"/>
      <c r="OWB276" s="580"/>
      <c r="OWC276" s="580"/>
      <c r="OWD276" s="580"/>
      <c r="OWE276" s="580"/>
      <c r="OWF276" s="580"/>
      <c r="OWG276" s="580"/>
      <c r="OWH276" s="580"/>
      <c r="OWI276" s="580"/>
      <c r="OWJ276" s="580"/>
      <c r="OWK276" s="580"/>
      <c r="OWL276" s="580"/>
      <c r="OWM276" s="580"/>
      <c r="OWN276" s="580"/>
      <c r="OWO276" s="580"/>
      <c r="OWP276" s="580"/>
      <c r="OWQ276" s="580"/>
      <c r="OWR276" s="580"/>
      <c r="OWS276" s="580"/>
      <c r="OWT276" s="580"/>
      <c r="OWU276" s="580"/>
      <c r="OWV276" s="580"/>
      <c r="OWW276" s="580"/>
      <c r="OWX276" s="580"/>
      <c r="OWY276" s="580"/>
      <c r="OWZ276" s="580"/>
      <c r="OXA276" s="580"/>
      <c r="OXB276" s="580"/>
      <c r="OXC276" s="580"/>
      <c r="OXD276" s="580"/>
      <c r="OXE276" s="580"/>
      <c r="OXF276" s="580"/>
      <c r="OXG276" s="580"/>
      <c r="OXH276" s="580"/>
      <c r="OXI276" s="580"/>
      <c r="OXJ276" s="580"/>
      <c r="OXK276" s="580"/>
      <c r="OXL276" s="580"/>
      <c r="OXM276" s="580"/>
      <c r="OXN276" s="580"/>
      <c r="OXO276" s="580"/>
      <c r="OXP276" s="580"/>
      <c r="OXQ276" s="580"/>
      <c r="OXR276" s="580"/>
      <c r="OXS276" s="580"/>
      <c r="OXT276" s="580"/>
      <c r="OXU276" s="580"/>
      <c r="OXV276" s="580"/>
      <c r="OXW276" s="580"/>
      <c r="OXX276" s="580"/>
      <c r="OXY276" s="580"/>
      <c r="OXZ276" s="580"/>
      <c r="OYA276" s="580"/>
      <c r="OYB276" s="580"/>
      <c r="OYC276" s="580"/>
      <c r="OYD276" s="580"/>
      <c r="OYE276" s="580"/>
      <c r="OYF276" s="580"/>
      <c r="OYG276" s="580"/>
      <c r="OYH276" s="580"/>
      <c r="OYI276" s="580"/>
      <c r="OYJ276" s="580"/>
      <c r="OYK276" s="580"/>
      <c r="OYL276" s="580"/>
      <c r="OYM276" s="580"/>
      <c r="OYN276" s="580"/>
      <c r="OYO276" s="580"/>
      <c r="OYP276" s="580"/>
      <c r="OYQ276" s="580"/>
      <c r="OYR276" s="580"/>
      <c r="OYS276" s="580"/>
      <c r="OYT276" s="580"/>
      <c r="OYU276" s="580"/>
      <c r="OYV276" s="580"/>
      <c r="OYW276" s="580"/>
      <c r="OYX276" s="580"/>
      <c r="OYY276" s="580"/>
      <c r="OYZ276" s="580"/>
      <c r="OZA276" s="580"/>
      <c r="OZB276" s="580"/>
      <c r="OZC276" s="580"/>
      <c r="OZD276" s="580"/>
      <c r="OZE276" s="580"/>
      <c r="OZF276" s="580"/>
      <c r="OZG276" s="580"/>
      <c r="OZH276" s="580"/>
      <c r="OZI276" s="580"/>
      <c r="OZJ276" s="580"/>
      <c r="OZK276" s="580"/>
      <c r="OZL276" s="580"/>
      <c r="OZM276" s="580"/>
      <c r="OZN276" s="580"/>
      <c r="OZO276" s="580"/>
      <c r="OZP276" s="580"/>
      <c r="OZQ276" s="580"/>
      <c r="OZR276" s="580"/>
      <c r="OZS276" s="580"/>
      <c r="OZT276" s="580"/>
      <c r="OZU276" s="580"/>
      <c r="OZV276" s="580"/>
      <c r="OZW276" s="580"/>
      <c r="OZX276" s="580"/>
      <c r="OZY276" s="580"/>
      <c r="OZZ276" s="580"/>
      <c r="PAA276" s="580"/>
      <c r="PAB276" s="580"/>
      <c r="PAC276" s="580"/>
      <c r="PAD276" s="580"/>
      <c r="PAE276" s="580"/>
      <c r="PAF276" s="580"/>
      <c r="PAG276" s="580"/>
      <c r="PAH276" s="580"/>
      <c r="PAI276" s="580"/>
      <c r="PAJ276" s="580"/>
      <c r="PAK276" s="580"/>
      <c r="PAL276" s="580"/>
      <c r="PAM276" s="580"/>
      <c r="PAN276" s="580"/>
      <c r="PAO276" s="580"/>
      <c r="PAP276" s="580"/>
      <c r="PAQ276" s="580"/>
      <c r="PAR276" s="580"/>
      <c r="PAS276" s="580"/>
      <c r="PAT276" s="580"/>
      <c r="PAU276" s="580"/>
      <c r="PAV276" s="580"/>
      <c r="PAW276" s="580"/>
      <c r="PAX276" s="580"/>
      <c r="PAY276" s="580"/>
      <c r="PAZ276" s="580"/>
      <c r="PBA276" s="580"/>
      <c r="PBB276" s="580"/>
      <c r="PBC276" s="580"/>
      <c r="PBD276" s="580"/>
      <c r="PBE276" s="580"/>
      <c r="PBF276" s="580"/>
      <c r="PBG276" s="580"/>
      <c r="PBH276" s="580"/>
      <c r="PBI276" s="580"/>
      <c r="PBJ276" s="580"/>
      <c r="PBK276" s="580"/>
      <c r="PBL276" s="580"/>
      <c r="PBM276" s="580"/>
      <c r="PBN276" s="580"/>
      <c r="PBO276" s="580"/>
      <c r="PBP276" s="580"/>
      <c r="PBQ276" s="580"/>
      <c r="PBR276" s="580"/>
      <c r="PBS276" s="580"/>
      <c r="PBT276" s="580"/>
      <c r="PBU276" s="580"/>
      <c r="PBV276" s="580"/>
      <c r="PBW276" s="580"/>
      <c r="PBX276" s="580"/>
      <c r="PBY276" s="580"/>
      <c r="PBZ276" s="580"/>
      <c r="PCA276" s="580"/>
      <c r="PCB276" s="580"/>
      <c r="PCC276" s="580"/>
      <c r="PCD276" s="580"/>
      <c r="PCE276" s="580"/>
      <c r="PCF276" s="580"/>
      <c r="PCG276" s="580"/>
      <c r="PCH276" s="580"/>
      <c r="PCI276" s="580"/>
      <c r="PCJ276" s="580"/>
      <c r="PCK276" s="580"/>
      <c r="PCL276" s="580"/>
      <c r="PCM276" s="580"/>
      <c r="PCN276" s="580"/>
      <c r="PCO276" s="580"/>
      <c r="PCP276" s="580"/>
      <c r="PCQ276" s="580"/>
      <c r="PCR276" s="580"/>
      <c r="PCS276" s="580"/>
      <c r="PCT276" s="580"/>
      <c r="PCU276" s="580"/>
      <c r="PCV276" s="580"/>
      <c r="PCW276" s="580"/>
      <c r="PCX276" s="580"/>
      <c r="PCY276" s="580"/>
      <c r="PCZ276" s="580"/>
      <c r="PDA276" s="580"/>
      <c r="PDB276" s="580"/>
      <c r="PDC276" s="580"/>
      <c r="PDD276" s="580"/>
      <c r="PDE276" s="580"/>
      <c r="PDF276" s="580"/>
      <c r="PDG276" s="580"/>
      <c r="PDH276" s="580"/>
      <c r="PDI276" s="580"/>
      <c r="PDJ276" s="580"/>
      <c r="PDK276" s="580"/>
      <c r="PDL276" s="580"/>
      <c r="PDM276" s="580"/>
      <c r="PDN276" s="580"/>
      <c r="PDO276" s="580"/>
      <c r="PDP276" s="580"/>
      <c r="PDQ276" s="580"/>
      <c r="PDR276" s="580"/>
      <c r="PDS276" s="580"/>
      <c r="PDT276" s="580"/>
      <c r="PDU276" s="580"/>
      <c r="PDV276" s="580"/>
      <c r="PDW276" s="580"/>
      <c r="PDX276" s="580"/>
      <c r="PDY276" s="580"/>
      <c r="PDZ276" s="580"/>
      <c r="PEA276" s="580"/>
      <c r="PEB276" s="580"/>
      <c r="PEC276" s="580"/>
      <c r="PED276" s="580"/>
      <c r="PEE276" s="580"/>
      <c r="PEF276" s="580"/>
      <c r="PEG276" s="580"/>
      <c r="PEH276" s="580"/>
      <c r="PEI276" s="580"/>
      <c r="PEJ276" s="580"/>
      <c r="PEK276" s="580"/>
      <c r="PEL276" s="580"/>
      <c r="PEM276" s="580"/>
      <c r="PEN276" s="580"/>
      <c r="PEO276" s="580"/>
      <c r="PEP276" s="580"/>
      <c r="PEQ276" s="580"/>
      <c r="PER276" s="580"/>
      <c r="PES276" s="580"/>
      <c r="PET276" s="580"/>
      <c r="PEU276" s="580"/>
      <c r="PEV276" s="580"/>
      <c r="PEW276" s="580"/>
      <c r="PEX276" s="580"/>
      <c r="PEY276" s="580"/>
      <c r="PEZ276" s="580"/>
      <c r="PFA276" s="580"/>
      <c r="PFB276" s="580"/>
      <c r="PFC276" s="580"/>
      <c r="PFD276" s="580"/>
      <c r="PFE276" s="580"/>
      <c r="PFF276" s="580"/>
      <c r="PFG276" s="580"/>
      <c r="PFH276" s="580"/>
      <c r="PFI276" s="580"/>
      <c r="PFJ276" s="580"/>
      <c r="PFK276" s="580"/>
      <c r="PFL276" s="580"/>
      <c r="PFM276" s="580"/>
      <c r="PFN276" s="580"/>
      <c r="PFO276" s="580"/>
      <c r="PFP276" s="580"/>
      <c r="PFQ276" s="580"/>
      <c r="PFR276" s="580"/>
      <c r="PFS276" s="580"/>
      <c r="PFT276" s="580"/>
      <c r="PFU276" s="580"/>
      <c r="PFV276" s="580"/>
      <c r="PFW276" s="580"/>
      <c r="PFX276" s="580"/>
      <c r="PFY276" s="580"/>
      <c r="PFZ276" s="580"/>
      <c r="PGA276" s="580"/>
      <c r="PGB276" s="580"/>
      <c r="PGC276" s="580"/>
      <c r="PGD276" s="580"/>
      <c r="PGE276" s="580"/>
      <c r="PGF276" s="580"/>
      <c r="PGG276" s="580"/>
      <c r="PGH276" s="580"/>
      <c r="PGI276" s="580"/>
      <c r="PGJ276" s="580"/>
      <c r="PGK276" s="580"/>
      <c r="PGL276" s="580"/>
      <c r="PGM276" s="580"/>
      <c r="PGN276" s="580"/>
      <c r="PGO276" s="580"/>
      <c r="PGP276" s="580"/>
      <c r="PGQ276" s="580"/>
      <c r="PGR276" s="580"/>
      <c r="PGS276" s="580"/>
      <c r="PGT276" s="580"/>
      <c r="PGU276" s="580"/>
      <c r="PGV276" s="580"/>
      <c r="PGW276" s="580"/>
      <c r="PGX276" s="580"/>
      <c r="PGY276" s="580"/>
      <c r="PGZ276" s="580"/>
      <c r="PHA276" s="580"/>
      <c r="PHB276" s="580"/>
      <c r="PHC276" s="580"/>
      <c r="PHD276" s="580"/>
      <c r="PHE276" s="580"/>
      <c r="PHF276" s="580"/>
      <c r="PHG276" s="580"/>
      <c r="PHH276" s="580"/>
      <c r="PHI276" s="580"/>
      <c r="PHJ276" s="580"/>
      <c r="PHK276" s="580"/>
      <c r="PHL276" s="580"/>
      <c r="PHM276" s="580"/>
      <c r="PHN276" s="580"/>
      <c r="PHO276" s="580"/>
      <c r="PHP276" s="580"/>
      <c r="PHQ276" s="580"/>
      <c r="PHR276" s="580"/>
      <c r="PHS276" s="580"/>
      <c r="PHT276" s="580"/>
      <c r="PHU276" s="580"/>
      <c r="PHV276" s="580"/>
      <c r="PHW276" s="580"/>
      <c r="PHX276" s="580"/>
      <c r="PHY276" s="580"/>
      <c r="PHZ276" s="580"/>
      <c r="PIA276" s="580"/>
      <c r="PIB276" s="580"/>
      <c r="PIC276" s="580"/>
      <c r="PID276" s="580"/>
      <c r="PIE276" s="580"/>
      <c r="PIF276" s="580"/>
      <c r="PIG276" s="580"/>
      <c r="PIH276" s="580"/>
      <c r="PII276" s="580"/>
      <c r="PIJ276" s="580"/>
      <c r="PIK276" s="580"/>
      <c r="PIL276" s="580"/>
      <c r="PIM276" s="580"/>
      <c r="PIN276" s="580"/>
      <c r="PIO276" s="580"/>
      <c r="PIP276" s="580"/>
      <c r="PIQ276" s="580"/>
      <c r="PIR276" s="580"/>
      <c r="PIS276" s="580"/>
      <c r="PIT276" s="580"/>
      <c r="PIU276" s="580"/>
      <c r="PIV276" s="580"/>
      <c r="PIW276" s="580"/>
      <c r="PIX276" s="580"/>
      <c r="PIY276" s="580"/>
      <c r="PIZ276" s="580"/>
      <c r="PJA276" s="580"/>
      <c r="PJB276" s="580"/>
      <c r="PJC276" s="580"/>
      <c r="PJD276" s="580"/>
      <c r="PJE276" s="580"/>
      <c r="PJF276" s="580"/>
      <c r="PJG276" s="580"/>
      <c r="PJH276" s="580"/>
      <c r="PJI276" s="580"/>
      <c r="PJJ276" s="580"/>
      <c r="PJK276" s="580"/>
      <c r="PJL276" s="580"/>
      <c r="PJM276" s="580"/>
      <c r="PJN276" s="580"/>
      <c r="PJO276" s="580"/>
      <c r="PJP276" s="580"/>
      <c r="PJQ276" s="580"/>
      <c r="PJR276" s="580"/>
      <c r="PJS276" s="580"/>
      <c r="PJT276" s="580"/>
      <c r="PJU276" s="580"/>
      <c r="PJV276" s="580"/>
      <c r="PJW276" s="580"/>
      <c r="PJX276" s="580"/>
      <c r="PJY276" s="580"/>
      <c r="PJZ276" s="580"/>
      <c r="PKA276" s="580"/>
      <c r="PKB276" s="580"/>
      <c r="PKC276" s="580"/>
      <c r="PKD276" s="580"/>
      <c r="PKE276" s="580"/>
      <c r="PKF276" s="580"/>
      <c r="PKG276" s="580"/>
      <c r="PKH276" s="580"/>
      <c r="PKI276" s="580"/>
      <c r="PKJ276" s="580"/>
      <c r="PKK276" s="580"/>
      <c r="PKL276" s="580"/>
      <c r="PKM276" s="580"/>
      <c r="PKN276" s="580"/>
      <c r="PKO276" s="580"/>
      <c r="PKP276" s="580"/>
      <c r="PKQ276" s="580"/>
      <c r="PKR276" s="580"/>
      <c r="PKS276" s="580"/>
      <c r="PKT276" s="580"/>
      <c r="PKU276" s="580"/>
      <c r="PKV276" s="580"/>
      <c r="PKW276" s="580"/>
      <c r="PKX276" s="580"/>
      <c r="PKY276" s="580"/>
      <c r="PKZ276" s="580"/>
      <c r="PLA276" s="580"/>
      <c r="PLB276" s="580"/>
      <c r="PLC276" s="580"/>
      <c r="PLD276" s="580"/>
      <c r="PLE276" s="580"/>
      <c r="PLF276" s="580"/>
      <c r="PLG276" s="580"/>
      <c r="PLH276" s="580"/>
      <c r="PLI276" s="580"/>
      <c r="PLJ276" s="580"/>
      <c r="PLK276" s="580"/>
      <c r="PLL276" s="580"/>
      <c r="PLM276" s="580"/>
      <c r="PLN276" s="580"/>
      <c r="PLO276" s="580"/>
      <c r="PLP276" s="580"/>
      <c r="PLQ276" s="580"/>
      <c r="PLR276" s="580"/>
      <c r="PLS276" s="580"/>
      <c r="PLT276" s="580"/>
      <c r="PLU276" s="580"/>
      <c r="PLV276" s="580"/>
      <c r="PLW276" s="580"/>
      <c r="PLX276" s="580"/>
      <c r="PLY276" s="580"/>
      <c r="PLZ276" s="580"/>
      <c r="PMA276" s="580"/>
      <c r="PMB276" s="580"/>
      <c r="PMC276" s="580"/>
      <c r="PMD276" s="580"/>
      <c r="PME276" s="580"/>
      <c r="PMF276" s="580"/>
      <c r="PMG276" s="580"/>
      <c r="PMH276" s="580"/>
      <c r="PMI276" s="580"/>
      <c r="PMJ276" s="580"/>
      <c r="PMK276" s="580"/>
      <c r="PML276" s="580"/>
      <c r="PMM276" s="580"/>
      <c r="PMN276" s="580"/>
      <c r="PMO276" s="580"/>
      <c r="PMP276" s="580"/>
      <c r="PMQ276" s="580"/>
      <c r="PMR276" s="580"/>
      <c r="PMS276" s="580"/>
      <c r="PMT276" s="580"/>
      <c r="PMU276" s="580"/>
      <c r="PMV276" s="580"/>
      <c r="PMW276" s="580"/>
      <c r="PMX276" s="580"/>
      <c r="PMY276" s="580"/>
      <c r="PMZ276" s="580"/>
      <c r="PNA276" s="580"/>
      <c r="PNB276" s="580"/>
      <c r="PNC276" s="580"/>
      <c r="PND276" s="580"/>
      <c r="PNE276" s="580"/>
      <c r="PNF276" s="580"/>
      <c r="PNG276" s="580"/>
      <c r="PNH276" s="580"/>
      <c r="PNI276" s="580"/>
      <c r="PNJ276" s="580"/>
      <c r="PNK276" s="580"/>
      <c r="PNL276" s="580"/>
      <c r="PNM276" s="580"/>
      <c r="PNN276" s="580"/>
      <c r="PNO276" s="580"/>
      <c r="PNP276" s="580"/>
      <c r="PNQ276" s="580"/>
      <c r="PNR276" s="580"/>
      <c r="PNS276" s="580"/>
      <c r="PNT276" s="580"/>
      <c r="PNU276" s="580"/>
      <c r="PNV276" s="580"/>
      <c r="PNW276" s="580"/>
      <c r="PNX276" s="580"/>
      <c r="PNY276" s="580"/>
      <c r="PNZ276" s="580"/>
      <c r="POA276" s="580"/>
      <c r="POB276" s="580"/>
      <c r="POC276" s="580"/>
      <c r="POD276" s="580"/>
      <c r="POE276" s="580"/>
      <c r="POF276" s="580"/>
      <c r="POG276" s="580"/>
      <c r="POH276" s="580"/>
      <c r="POI276" s="580"/>
      <c r="POJ276" s="580"/>
      <c r="POK276" s="580"/>
      <c r="POL276" s="580"/>
      <c r="POM276" s="580"/>
      <c r="PON276" s="580"/>
      <c r="POO276" s="580"/>
      <c r="POP276" s="580"/>
      <c r="POQ276" s="580"/>
      <c r="POR276" s="580"/>
      <c r="POS276" s="580"/>
      <c r="POT276" s="580"/>
      <c r="POU276" s="580"/>
      <c r="POV276" s="580"/>
      <c r="POW276" s="580"/>
      <c r="POX276" s="580"/>
      <c r="POY276" s="580"/>
      <c r="POZ276" s="580"/>
      <c r="PPA276" s="580"/>
      <c r="PPB276" s="580"/>
      <c r="PPC276" s="580"/>
      <c r="PPD276" s="580"/>
      <c r="PPE276" s="580"/>
      <c r="PPF276" s="580"/>
      <c r="PPG276" s="580"/>
      <c r="PPH276" s="580"/>
      <c r="PPI276" s="580"/>
      <c r="PPJ276" s="580"/>
      <c r="PPK276" s="580"/>
      <c r="PPL276" s="580"/>
      <c r="PPM276" s="580"/>
      <c r="PPN276" s="580"/>
      <c r="PPO276" s="580"/>
      <c r="PPP276" s="580"/>
      <c r="PPQ276" s="580"/>
      <c r="PPR276" s="580"/>
      <c r="PPS276" s="580"/>
      <c r="PPT276" s="580"/>
      <c r="PPU276" s="580"/>
      <c r="PPV276" s="580"/>
      <c r="PPW276" s="580"/>
      <c r="PPX276" s="580"/>
      <c r="PPY276" s="580"/>
      <c r="PPZ276" s="580"/>
      <c r="PQA276" s="580"/>
      <c r="PQB276" s="580"/>
      <c r="PQC276" s="580"/>
      <c r="PQD276" s="580"/>
      <c r="PQE276" s="580"/>
      <c r="PQF276" s="580"/>
      <c r="PQG276" s="580"/>
      <c r="PQH276" s="580"/>
      <c r="PQI276" s="580"/>
      <c r="PQJ276" s="580"/>
      <c r="PQK276" s="580"/>
      <c r="PQL276" s="580"/>
      <c r="PQM276" s="580"/>
      <c r="PQN276" s="580"/>
      <c r="PQO276" s="580"/>
      <c r="PQP276" s="580"/>
      <c r="PQQ276" s="580"/>
      <c r="PQR276" s="580"/>
      <c r="PQS276" s="580"/>
      <c r="PQT276" s="580"/>
      <c r="PQU276" s="580"/>
      <c r="PQV276" s="580"/>
      <c r="PQW276" s="580"/>
      <c r="PQX276" s="580"/>
      <c r="PQY276" s="580"/>
      <c r="PQZ276" s="580"/>
      <c r="PRA276" s="580"/>
      <c r="PRB276" s="580"/>
      <c r="PRC276" s="580"/>
      <c r="PRD276" s="580"/>
      <c r="PRE276" s="580"/>
      <c r="PRF276" s="580"/>
      <c r="PRG276" s="580"/>
      <c r="PRH276" s="580"/>
      <c r="PRI276" s="580"/>
      <c r="PRJ276" s="580"/>
      <c r="PRK276" s="580"/>
      <c r="PRL276" s="580"/>
      <c r="PRM276" s="580"/>
      <c r="PRN276" s="580"/>
      <c r="PRO276" s="580"/>
      <c r="PRP276" s="580"/>
      <c r="PRQ276" s="580"/>
      <c r="PRR276" s="580"/>
      <c r="PRS276" s="580"/>
      <c r="PRT276" s="580"/>
      <c r="PRU276" s="580"/>
      <c r="PRV276" s="580"/>
      <c r="PRW276" s="580"/>
      <c r="PRX276" s="580"/>
      <c r="PRY276" s="580"/>
      <c r="PRZ276" s="580"/>
      <c r="PSA276" s="580"/>
      <c r="PSB276" s="580"/>
      <c r="PSC276" s="580"/>
      <c r="PSD276" s="580"/>
      <c r="PSE276" s="580"/>
      <c r="PSF276" s="580"/>
      <c r="PSG276" s="580"/>
      <c r="PSH276" s="580"/>
      <c r="PSI276" s="580"/>
      <c r="PSJ276" s="580"/>
      <c r="PSK276" s="580"/>
      <c r="PSL276" s="580"/>
      <c r="PSM276" s="580"/>
      <c r="PSN276" s="580"/>
      <c r="PSO276" s="580"/>
      <c r="PSP276" s="580"/>
      <c r="PSQ276" s="580"/>
      <c r="PSR276" s="580"/>
      <c r="PSS276" s="580"/>
      <c r="PST276" s="580"/>
      <c r="PSU276" s="580"/>
      <c r="PSV276" s="580"/>
      <c r="PSW276" s="580"/>
      <c r="PSX276" s="580"/>
      <c r="PSY276" s="580"/>
      <c r="PSZ276" s="580"/>
      <c r="PTA276" s="580"/>
      <c r="PTB276" s="580"/>
      <c r="PTC276" s="580"/>
      <c r="PTD276" s="580"/>
      <c r="PTE276" s="580"/>
      <c r="PTF276" s="580"/>
      <c r="PTG276" s="580"/>
      <c r="PTH276" s="580"/>
      <c r="PTI276" s="580"/>
      <c r="PTJ276" s="580"/>
      <c r="PTK276" s="580"/>
      <c r="PTL276" s="580"/>
      <c r="PTM276" s="580"/>
      <c r="PTN276" s="580"/>
      <c r="PTO276" s="580"/>
      <c r="PTP276" s="580"/>
      <c r="PTQ276" s="580"/>
      <c r="PTR276" s="580"/>
      <c r="PTS276" s="580"/>
      <c r="PTT276" s="580"/>
      <c r="PTU276" s="580"/>
      <c r="PTV276" s="580"/>
      <c r="PTW276" s="580"/>
      <c r="PTX276" s="580"/>
      <c r="PTY276" s="580"/>
      <c r="PTZ276" s="580"/>
      <c r="PUA276" s="580"/>
      <c r="PUB276" s="580"/>
      <c r="PUC276" s="580"/>
      <c r="PUD276" s="580"/>
      <c r="PUE276" s="580"/>
      <c r="PUF276" s="580"/>
      <c r="PUG276" s="580"/>
      <c r="PUH276" s="580"/>
      <c r="PUI276" s="580"/>
      <c r="PUJ276" s="580"/>
      <c r="PUK276" s="580"/>
      <c r="PUL276" s="580"/>
      <c r="PUM276" s="580"/>
      <c r="PUN276" s="580"/>
      <c r="PUO276" s="580"/>
      <c r="PUP276" s="580"/>
      <c r="PUQ276" s="580"/>
      <c r="PUR276" s="580"/>
      <c r="PUS276" s="580"/>
      <c r="PUT276" s="580"/>
      <c r="PUU276" s="580"/>
      <c r="PUV276" s="580"/>
      <c r="PUW276" s="580"/>
      <c r="PUX276" s="580"/>
      <c r="PUY276" s="580"/>
      <c r="PUZ276" s="580"/>
      <c r="PVA276" s="580"/>
      <c r="PVB276" s="580"/>
      <c r="PVC276" s="580"/>
      <c r="PVD276" s="580"/>
      <c r="PVE276" s="580"/>
      <c r="PVF276" s="580"/>
      <c r="PVG276" s="580"/>
      <c r="PVH276" s="580"/>
      <c r="PVI276" s="580"/>
      <c r="PVJ276" s="580"/>
      <c r="PVK276" s="580"/>
      <c r="PVL276" s="580"/>
      <c r="PVM276" s="580"/>
      <c r="PVN276" s="580"/>
      <c r="PVO276" s="580"/>
      <c r="PVP276" s="580"/>
      <c r="PVQ276" s="580"/>
      <c r="PVR276" s="580"/>
      <c r="PVS276" s="580"/>
      <c r="PVT276" s="580"/>
      <c r="PVU276" s="580"/>
      <c r="PVV276" s="580"/>
      <c r="PVW276" s="580"/>
      <c r="PVX276" s="580"/>
      <c r="PVY276" s="580"/>
      <c r="PVZ276" s="580"/>
      <c r="PWA276" s="580"/>
      <c r="PWB276" s="580"/>
      <c r="PWC276" s="580"/>
      <c r="PWD276" s="580"/>
      <c r="PWE276" s="580"/>
      <c r="PWF276" s="580"/>
      <c r="PWG276" s="580"/>
      <c r="PWH276" s="580"/>
      <c r="PWI276" s="580"/>
      <c r="PWJ276" s="580"/>
      <c r="PWK276" s="580"/>
      <c r="PWL276" s="580"/>
      <c r="PWM276" s="580"/>
      <c r="PWN276" s="580"/>
      <c r="PWO276" s="580"/>
      <c r="PWP276" s="580"/>
      <c r="PWQ276" s="580"/>
      <c r="PWR276" s="580"/>
      <c r="PWS276" s="580"/>
      <c r="PWT276" s="580"/>
      <c r="PWU276" s="580"/>
      <c r="PWV276" s="580"/>
      <c r="PWW276" s="580"/>
      <c r="PWX276" s="580"/>
      <c r="PWY276" s="580"/>
      <c r="PWZ276" s="580"/>
      <c r="PXA276" s="580"/>
      <c r="PXB276" s="580"/>
      <c r="PXC276" s="580"/>
      <c r="PXD276" s="580"/>
      <c r="PXE276" s="580"/>
      <c r="PXF276" s="580"/>
      <c r="PXG276" s="580"/>
      <c r="PXH276" s="580"/>
      <c r="PXI276" s="580"/>
      <c r="PXJ276" s="580"/>
      <c r="PXK276" s="580"/>
      <c r="PXL276" s="580"/>
      <c r="PXM276" s="580"/>
      <c r="PXN276" s="580"/>
      <c r="PXO276" s="580"/>
      <c r="PXP276" s="580"/>
      <c r="PXQ276" s="580"/>
      <c r="PXR276" s="580"/>
      <c r="PXS276" s="580"/>
      <c r="PXT276" s="580"/>
      <c r="PXU276" s="580"/>
      <c r="PXV276" s="580"/>
      <c r="PXW276" s="580"/>
      <c r="PXX276" s="580"/>
      <c r="PXY276" s="580"/>
      <c r="PXZ276" s="580"/>
      <c r="PYA276" s="580"/>
      <c r="PYB276" s="580"/>
      <c r="PYC276" s="580"/>
      <c r="PYD276" s="580"/>
      <c r="PYE276" s="580"/>
      <c r="PYF276" s="580"/>
      <c r="PYG276" s="580"/>
      <c r="PYH276" s="580"/>
      <c r="PYI276" s="580"/>
      <c r="PYJ276" s="580"/>
      <c r="PYK276" s="580"/>
      <c r="PYL276" s="580"/>
      <c r="PYM276" s="580"/>
      <c r="PYN276" s="580"/>
      <c r="PYO276" s="580"/>
      <c r="PYP276" s="580"/>
      <c r="PYQ276" s="580"/>
      <c r="PYR276" s="580"/>
      <c r="PYS276" s="580"/>
      <c r="PYT276" s="580"/>
      <c r="PYU276" s="580"/>
      <c r="PYV276" s="580"/>
      <c r="PYW276" s="580"/>
      <c r="PYX276" s="580"/>
      <c r="PYY276" s="580"/>
      <c r="PYZ276" s="580"/>
      <c r="PZA276" s="580"/>
      <c r="PZB276" s="580"/>
      <c r="PZC276" s="580"/>
      <c r="PZD276" s="580"/>
      <c r="PZE276" s="580"/>
      <c r="PZF276" s="580"/>
      <c r="PZG276" s="580"/>
      <c r="PZH276" s="580"/>
      <c r="PZI276" s="580"/>
      <c r="PZJ276" s="580"/>
      <c r="PZK276" s="580"/>
      <c r="PZL276" s="580"/>
      <c r="PZM276" s="580"/>
      <c r="PZN276" s="580"/>
      <c r="PZO276" s="580"/>
      <c r="PZP276" s="580"/>
      <c r="PZQ276" s="580"/>
      <c r="PZR276" s="580"/>
      <c r="PZS276" s="580"/>
      <c r="PZT276" s="580"/>
      <c r="PZU276" s="580"/>
      <c r="PZV276" s="580"/>
      <c r="PZW276" s="580"/>
      <c r="PZX276" s="580"/>
      <c r="PZY276" s="580"/>
      <c r="PZZ276" s="580"/>
      <c r="QAA276" s="580"/>
      <c r="QAB276" s="580"/>
      <c r="QAC276" s="580"/>
      <c r="QAD276" s="580"/>
      <c r="QAE276" s="580"/>
      <c r="QAF276" s="580"/>
      <c r="QAG276" s="580"/>
      <c r="QAH276" s="580"/>
      <c r="QAI276" s="580"/>
      <c r="QAJ276" s="580"/>
      <c r="QAK276" s="580"/>
      <c r="QAL276" s="580"/>
      <c r="QAM276" s="580"/>
      <c r="QAN276" s="580"/>
      <c r="QAO276" s="580"/>
      <c r="QAP276" s="580"/>
      <c r="QAQ276" s="580"/>
      <c r="QAR276" s="580"/>
      <c r="QAS276" s="580"/>
      <c r="QAT276" s="580"/>
      <c r="QAU276" s="580"/>
      <c r="QAV276" s="580"/>
      <c r="QAW276" s="580"/>
      <c r="QAX276" s="580"/>
      <c r="QAY276" s="580"/>
      <c r="QAZ276" s="580"/>
      <c r="QBA276" s="580"/>
      <c r="QBB276" s="580"/>
      <c r="QBC276" s="580"/>
      <c r="QBD276" s="580"/>
      <c r="QBE276" s="580"/>
      <c r="QBF276" s="580"/>
      <c r="QBG276" s="580"/>
      <c r="QBH276" s="580"/>
      <c r="QBI276" s="580"/>
      <c r="QBJ276" s="580"/>
      <c r="QBK276" s="580"/>
      <c r="QBL276" s="580"/>
      <c r="QBM276" s="580"/>
      <c r="QBN276" s="580"/>
      <c r="QBO276" s="580"/>
      <c r="QBP276" s="580"/>
      <c r="QBQ276" s="580"/>
      <c r="QBR276" s="580"/>
      <c r="QBS276" s="580"/>
      <c r="QBT276" s="580"/>
      <c r="QBU276" s="580"/>
      <c r="QBV276" s="580"/>
      <c r="QBW276" s="580"/>
      <c r="QBX276" s="580"/>
      <c r="QBY276" s="580"/>
      <c r="QBZ276" s="580"/>
      <c r="QCA276" s="580"/>
      <c r="QCB276" s="580"/>
      <c r="QCC276" s="580"/>
      <c r="QCD276" s="580"/>
      <c r="QCE276" s="580"/>
      <c r="QCF276" s="580"/>
      <c r="QCG276" s="580"/>
      <c r="QCH276" s="580"/>
      <c r="QCI276" s="580"/>
      <c r="QCJ276" s="580"/>
      <c r="QCK276" s="580"/>
      <c r="QCL276" s="580"/>
      <c r="QCM276" s="580"/>
      <c r="QCN276" s="580"/>
      <c r="QCO276" s="580"/>
      <c r="QCP276" s="580"/>
      <c r="QCQ276" s="580"/>
      <c r="QCR276" s="580"/>
      <c r="QCS276" s="580"/>
      <c r="QCT276" s="580"/>
      <c r="QCU276" s="580"/>
      <c r="QCV276" s="580"/>
      <c r="QCW276" s="580"/>
      <c r="QCX276" s="580"/>
      <c r="QCY276" s="580"/>
      <c r="QCZ276" s="580"/>
      <c r="QDA276" s="580"/>
      <c r="QDB276" s="580"/>
      <c r="QDC276" s="580"/>
      <c r="QDD276" s="580"/>
      <c r="QDE276" s="580"/>
      <c r="QDF276" s="580"/>
      <c r="QDG276" s="580"/>
      <c r="QDH276" s="580"/>
      <c r="QDI276" s="580"/>
      <c r="QDJ276" s="580"/>
      <c r="QDK276" s="580"/>
      <c r="QDL276" s="580"/>
      <c r="QDM276" s="580"/>
      <c r="QDN276" s="580"/>
      <c r="QDO276" s="580"/>
      <c r="QDP276" s="580"/>
      <c r="QDQ276" s="580"/>
      <c r="QDR276" s="580"/>
      <c r="QDS276" s="580"/>
      <c r="QDT276" s="580"/>
      <c r="QDU276" s="580"/>
      <c r="QDV276" s="580"/>
      <c r="QDW276" s="580"/>
      <c r="QDX276" s="580"/>
      <c r="QDY276" s="580"/>
      <c r="QDZ276" s="580"/>
      <c r="QEA276" s="580"/>
      <c r="QEB276" s="580"/>
      <c r="QEC276" s="580"/>
      <c r="QED276" s="580"/>
      <c r="QEE276" s="580"/>
      <c r="QEF276" s="580"/>
      <c r="QEG276" s="580"/>
      <c r="QEH276" s="580"/>
      <c r="QEI276" s="580"/>
      <c r="QEJ276" s="580"/>
      <c r="QEK276" s="580"/>
      <c r="QEL276" s="580"/>
      <c r="QEM276" s="580"/>
      <c r="QEN276" s="580"/>
      <c r="QEO276" s="580"/>
      <c r="QEP276" s="580"/>
      <c r="QEQ276" s="580"/>
      <c r="QER276" s="580"/>
      <c r="QES276" s="580"/>
      <c r="QET276" s="580"/>
      <c r="QEU276" s="580"/>
      <c r="QEV276" s="580"/>
      <c r="QEW276" s="580"/>
      <c r="QEX276" s="580"/>
      <c r="QEY276" s="580"/>
      <c r="QEZ276" s="580"/>
      <c r="QFA276" s="580"/>
      <c r="QFB276" s="580"/>
      <c r="QFC276" s="580"/>
      <c r="QFD276" s="580"/>
      <c r="QFE276" s="580"/>
      <c r="QFF276" s="580"/>
      <c r="QFG276" s="580"/>
      <c r="QFH276" s="580"/>
      <c r="QFI276" s="580"/>
      <c r="QFJ276" s="580"/>
      <c r="QFK276" s="580"/>
      <c r="QFL276" s="580"/>
      <c r="QFM276" s="580"/>
      <c r="QFN276" s="580"/>
      <c r="QFO276" s="580"/>
      <c r="QFP276" s="580"/>
      <c r="QFQ276" s="580"/>
      <c r="QFR276" s="580"/>
      <c r="QFS276" s="580"/>
      <c r="QFT276" s="580"/>
      <c r="QFU276" s="580"/>
      <c r="QFV276" s="580"/>
      <c r="QFW276" s="580"/>
      <c r="QFX276" s="580"/>
      <c r="QFY276" s="580"/>
      <c r="QFZ276" s="580"/>
      <c r="QGA276" s="580"/>
      <c r="QGB276" s="580"/>
      <c r="QGC276" s="580"/>
      <c r="QGD276" s="580"/>
      <c r="QGE276" s="580"/>
      <c r="QGF276" s="580"/>
      <c r="QGG276" s="580"/>
      <c r="QGH276" s="580"/>
      <c r="QGI276" s="580"/>
      <c r="QGJ276" s="580"/>
      <c r="QGK276" s="580"/>
      <c r="QGL276" s="580"/>
      <c r="QGM276" s="580"/>
      <c r="QGN276" s="580"/>
      <c r="QGO276" s="580"/>
      <c r="QGP276" s="580"/>
      <c r="QGQ276" s="580"/>
      <c r="QGR276" s="580"/>
      <c r="QGS276" s="580"/>
      <c r="QGT276" s="580"/>
      <c r="QGU276" s="580"/>
      <c r="QGV276" s="580"/>
      <c r="QGW276" s="580"/>
      <c r="QGX276" s="580"/>
      <c r="QGY276" s="580"/>
      <c r="QGZ276" s="580"/>
      <c r="QHA276" s="580"/>
      <c r="QHB276" s="580"/>
      <c r="QHC276" s="580"/>
      <c r="QHD276" s="580"/>
      <c r="QHE276" s="580"/>
      <c r="QHF276" s="580"/>
      <c r="QHG276" s="580"/>
      <c r="QHH276" s="580"/>
      <c r="QHI276" s="580"/>
      <c r="QHJ276" s="580"/>
      <c r="QHK276" s="580"/>
      <c r="QHL276" s="580"/>
      <c r="QHM276" s="580"/>
      <c r="QHN276" s="580"/>
      <c r="QHO276" s="580"/>
      <c r="QHP276" s="580"/>
      <c r="QHQ276" s="580"/>
      <c r="QHR276" s="580"/>
      <c r="QHS276" s="580"/>
      <c r="QHT276" s="580"/>
      <c r="QHU276" s="580"/>
      <c r="QHV276" s="580"/>
      <c r="QHW276" s="580"/>
      <c r="QHX276" s="580"/>
      <c r="QHY276" s="580"/>
      <c r="QHZ276" s="580"/>
      <c r="QIA276" s="580"/>
      <c r="QIB276" s="580"/>
      <c r="QIC276" s="580"/>
      <c r="QID276" s="580"/>
      <c r="QIE276" s="580"/>
      <c r="QIF276" s="580"/>
      <c r="QIG276" s="580"/>
      <c r="QIH276" s="580"/>
      <c r="QII276" s="580"/>
      <c r="QIJ276" s="580"/>
      <c r="QIK276" s="580"/>
      <c r="QIL276" s="580"/>
      <c r="QIM276" s="580"/>
      <c r="QIN276" s="580"/>
      <c r="QIO276" s="580"/>
      <c r="QIP276" s="580"/>
      <c r="QIQ276" s="580"/>
      <c r="QIR276" s="580"/>
      <c r="QIS276" s="580"/>
      <c r="QIT276" s="580"/>
      <c r="QIU276" s="580"/>
      <c r="QIV276" s="580"/>
      <c r="QIW276" s="580"/>
      <c r="QIX276" s="580"/>
      <c r="QIY276" s="580"/>
      <c r="QIZ276" s="580"/>
      <c r="QJA276" s="580"/>
      <c r="QJB276" s="580"/>
      <c r="QJC276" s="580"/>
      <c r="QJD276" s="580"/>
      <c r="QJE276" s="580"/>
      <c r="QJF276" s="580"/>
      <c r="QJG276" s="580"/>
      <c r="QJH276" s="580"/>
      <c r="QJI276" s="580"/>
      <c r="QJJ276" s="580"/>
      <c r="QJK276" s="580"/>
      <c r="QJL276" s="580"/>
      <c r="QJM276" s="580"/>
      <c r="QJN276" s="580"/>
      <c r="QJO276" s="580"/>
      <c r="QJP276" s="580"/>
      <c r="QJQ276" s="580"/>
      <c r="QJR276" s="580"/>
      <c r="QJS276" s="580"/>
      <c r="QJT276" s="580"/>
      <c r="QJU276" s="580"/>
      <c r="QJV276" s="580"/>
      <c r="QJW276" s="580"/>
      <c r="QJX276" s="580"/>
      <c r="QJY276" s="580"/>
      <c r="QJZ276" s="580"/>
      <c r="QKA276" s="580"/>
      <c r="QKB276" s="580"/>
      <c r="QKC276" s="580"/>
      <c r="QKD276" s="580"/>
      <c r="QKE276" s="580"/>
      <c r="QKF276" s="580"/>
      <c r="QKG276" s="580"/>
      <c r="QKH276" s="580"/>
      <c r="QKI276" s="580"/>
      <c r="QKJ276" s="580"/>
      <c r="QKK276" s="580"/>
      <c r="QKL276" s="580"/>
      <c r="QKM276" s="580"/>
      <c r="QKN276" s="580"/>
      <c r="QKO276" s="580"/>
      <c r="QKP276" s="580"/>
      <c r="QKQ276" s="580"/>
      <c r="QKR276" s="580"/>
      <c r="QKS276" s="580"/>
      <c r="QKT276" s="580"/>
      <c r="QKU276" s="580"/>
      <c r="QKV276" s="580"/>
      <c r="QKW276" s="580"/>
      <c r="QKX276" s="580"/>
      <c r="QKY276" s="580"/>
      <c r="QKZ276" s="580"/>
      <c r="QLA276" s="580"/>
      <c r="QLB276" s="580"/>
      <c r="QLC276" s="580"/>
      <c r="QLD276" s="580"/>
      <c r="QLE276" s="580"/>
      <c r="QLF276" s="580"/>
      <c r="QLG276" s="580"/>
      <c r="QLH276" s="580"/>
      <c r="QLI276" s="580"/>
      <c r="QLJ276" s="580"/>
      <c r="QLK276" s="580"/>
      <c r="QLL276" s="580"/>
      <c r="QLM276" s="580"/>
      <c r="QLN276" s="580"/>
      <c r="QLO276" s="580"/>
      <c r="QLP276" s="580"/>
      <c r="QLQ276" s="580"/>
      <c r="QLR276" s="580"/>
      <c r="QLS276" s="580"/>
      <c r="QLT276" s="580"/>
      <c r="QLU276" s="580"/>
      <c r="QLV276" s="580"/>
      <c r="QLW276" s="580"/>
      <c r="QLX276" s="580"/>
      <c r="QLY276" s="580"/>
      <c r="QLZ276" s="580"/>
      <c r="QMA276" s="580"/>
      <c r="QMB276" s="580"/>
      <c r="QMC276" s="580"/>
      <c r="QMD276" s="580"/>
      <c r="QME276" s="580"/>
      <c r="QMF276" s="580"/>
      <c r="QMG276" s="580"/>
      <c r="QMH276" s="580"/>
      <c r="QMI276" s="580"/>
      <c r="QMJ276" s="580"/>
      <c r="QMK276" s="580"/>
      <c r="QML276" s="580"/>
      <c r="QMM276" s="580"/>
      <c r="QMN276" s="580"/>
      <c r="QMO276" s="580"/>
      <c r="QMP276" s="580"/>
      <c r="QMQ276" s="580"/>
      <c r="QMR276" s="580"/>
      <c r="QMS276" s="580"/>
      <c r="QMT276" s="580"/>
      <c r="QMU276" s="580"/>
      <c r="QMV276" s="580"/>
      <c r="QMW276" s="580"/>
      <c r="QMX276" s="580"/>
      <c r="QMY276" s="580"/>
      <c r="QMZ276" s="580"/>
      <c r="QNA276" s="580"/>
      <c r="QNB276" s="580"/>
      <c r="QNC276" s="580"/>
      <c r="QND276" s="580"/>
      <c r="QNE276" s="580"/>
      <c r="QNF276" s="580"/>
      <c r="QNG276" s="580"/>
      <c r="QNH276" s="580"/>
      <c r="QNI276" s="580"/>
      <c r="QNJ276" s="580"/>
      <c r="QNK276" s="580"/>
      <c r="QNL276" s="580"/>
      <c r="QNM276" s="580"/>
      <c r="QNN276" s="580"/>
      <c r="QNO276" s="580"/>
      <c r="QNP276" s="580"/>
      <c r="QNQ276" s="580"/>
      <c r="QNR276" s="580"/>
      <c r="QNS276" s="580"/>
      <c r="QNT276" s="580"/>
      <c r="QNU276" s="580"/>
      <c r="QNV276" s="580"/>
      <c r="QNW276" s="580"/>
      <c r="QNX276" s="580"/>
      <c r="QNY276" s="580"/>
      <c r="QNZ276" s="580"/>
      <c r="QOA276" s="580"/>
      <c r="QOB276" s="580"/>
      <c r="QOC276" s="580"/>
      <c r="QOD276" s="580"/>
      <c r="QOE276" s="580"/>
      <c r="QOF276" s="580"/>
      <c r="QOG276" s="580"/>
      <c r="QOH276" s="580"/>
      <c r="QOI276" s="580"/>
      <c r="QOJ276" s="580"/>
      <c r="QOK276" s="580"/>
      <c r="QOL276" s="580"/>
      <c r="QOM276" s="580"/>
      <c r="QON276" s="580"/>
      <c r="QOO276" s="580"/>
      <c r="QOP276" s="580"/>
      <c r="QOQ276" s="580"/>
      <c r="QOR276" s="580"/>
      <c r="QOS276" s="580"/>
      <c r="QOT276" s="580"/>
      <c r="QOU276" s="580"/>
      <c r="QOV276" s="580"/>
      <c r="QOW276" s="580"/>
      <c r="QOX276" s="580"/>
      <c r="QOY276" s="580"/>
      <c r="QOZ276" s="580"/>
      <c r="QPA276" s="580"/>
      <c r="QPB276" s="580"/>
      <c r="QPC276" s="580"/>
      <c r="QPD276" s="580"/>
      <c r="QPE276" s="580"/>
      <c r="QPF276" s="580"/>
      <c r="QPG276" s="580"/>
      <c r="QPH276" s="580"/>
      <c r="QPI276" s="580"/>
      <c r="QPJ276" s="580"/>
      <c r="QPK276" s="580"/>
      <c r="QPL276" s="580"/>
      <c r="QPM276" s="580"/>
      <c r="QPN276" s="580"/>
      <c r="QPO276" s="580"/>
      <c r="QPP276" s="580"/>
      <c r="QPQ276" s="580"/>
      <c r="QPR276" s="580"/>
      <c r="QPS276" s="580"/>
      <c r="QPT276" s="580"/>
      <c r="QPU276" s="580"/>
      <c r="QPV276" s="580"/>
      <c r="QPW276" s="580"/>
      <c r="QPX276" s="580"/>
      <c r="QPY276" s="580"/>
      <c r="QPZ276" s="580"/>
      <c r="QQA276" s="580"/>
      <c r="QQB276" s="580"/>
      <c r="QQC276" s="580"/>
      <c r="QQD276" s="580"/>
      <c r="QQE276" s="580"/>
      <c r="QQF276" s="580"/>
      <c r="QQG276" s="580"/>
      <c r="QQH276" s="580"/>
      <c r="QQI276" s="580"/>
      <c r="QQJ276" s="580"/>
      <c r="QQK276" s="580"/>
      <c r="QQL276" s="580"/>
      <c r="QQM276" s="580"/>
      <c r="QQN276" s="580"/>
      <c r="QQO276" s="580"/>
      <c r="QQP276" s="580"/>
      <c r="QQQ276" s="580"/>
      <c r="QQR276" s="580"/>
      <c r="QQS276" s="580"/>
      <c r="QQT276" s="580"/>
      <c r="QQU276" s="580"/>
      <c r="QQV276" s="580"/>
      <c r="QQW276" s="580"/>
      <c r="QQX276" s="580"/>
      <c r="QQY276" s="580"/>
      <c r="QQZ276" s="580"/>
      <c r="QRA276" s="580"/>
      <c r="QRB276" s="580"/>
      <c r="QRC276" s="580"/>
      <c r="QRD276" s="580"/>
      <c r="QRE276" s="580"/>
      <c r="QRF276" s="580"/>
      <c r="QRG276" s="580"/>
      <c r="QRH276" s="580"/>
      <c r="QRI276" s="580"/>
      <c r="QRJ276" s="580"/>
      <c r="QRK276" s="580"/>
      <c r="QRL276" s="580"/>
      <c r="QRM276" s="580"/>
      <c r="QRN276" s="580"/>
      <c r="QRO276" s="580"/>
      <c r="QRP276" s="580"/>
      <c r="QRQ276" s="580"/>
      <c r="QRR276" s="580"/>
      <c r="QRS276" s="580"/>
      <c r="QRT276" s="580"/>
      <c r="QRU276" s="580"/>
      <c r="QRV276" s="580"/>
      <c r="QRW276" s="580"/>
      <c r="QRX276" s="580"/>
      <c r="QRY276" s="580"/>
      <c r="QRZ276" s="580"/>
      <c r="QSA276" s="580"/>
      <c r="QSB276" s="580"/>
      <c r="QSC276" s="580"/>
      <c r="QSD276" s="580"/>
      <c r="QSE276" s="580"/>
      <c r="QSF276" s="580"/>
      <c r="QSG276" s="580"/>
      <c r="QSH276" s="580"/>
      <c r="QSI276" s="580"/>
      <c r="QSJ276" s="580"/>
      <c r="QSK276" s="580"/>
      <c r="QSL276" s="580"/>
      <c r="QSM276" s="580"/>
      <c r="QSN276" s="580"/>
      <c r="QSO276" s="580"/>
      <c r="QSP276" s="580"/>
      <c r="QSQ276" s="580"/>
      <c r="QSR276" s="580"/>
      <c r="QSS276" s="580"/>
      <c r="QST276" s="580"/>
      <c r="QSU276" s="580"/>
      <c r="QSV276" s="580"/>
      <c r="QSW276" s="580"/>
      <c r="QSX276" s="580"/>
      <c r="QSY276" s="580"/>
      <c r="QSZ276" s="580"/>
      <c r="QTA276" s="580"/>
      <c r="QTB276" s="580"/>
      <c r="QTC276" s="580"/>
      <c r="QTD276" s="580"/>
      <c r="QTE276" s="580"/>
      <c r="QTF276" s="580"/>
      <c r="QTG276" s="580"/>
      <c r="QTH276" s="580"/>
      <c r="QTI276" s="580"/>
      <c r="QTJ276" s="580"/>
      <c r="QTK276" s="580"/>
      <c r="QTL276" s="580"/>
      <c r="QTM276" s="580"/>
      <c r="QTN276" s="580"/>
      <c r="QTO276" s="580"/>
      <c r="QTP276" s="580"/>
      <c r="QTQ276" s="580"/>
      <c r="QTR276" s="580"/>
      <c r="QTS276" s="580"/>
      <c r="QTT276" s="580"/>
      <c r="QTU276" s="580"/>
      <c r="QTV276" s="580"/>
      <c r="QTW276" s="580"/>
      <c r="QTX276" s="580"/>
      <c r="QTY276" s="580"/>
      <c r="QTZ276" s="580"/>
      <c r="QUA276" s="580"/>
      <c r="QUB276" s="580"/>
      <c r="QUC276" s="580"/>
      <c r="QUD276" s="580"/>
      <c r="QUE276" s="580"/>
      <c r="QUF276" s="580"/>
      <c r="QUG276" s="580"/>
      <c r="QUH276" s="580"/>
      <c r="QUI276" s="580"/>
      <c r="QUJ276" s="580"/>
      <c r="QUK276" s="580"/>
      <c r="QUL276" s="580"/>
      <c r="QUM276" s="580"/>
      <c r="QUN276" s="580"/>
      <c r="QUO276" s="580"/>
      <c r="QUP276" s="580"/>
      <c r="QUQ276" s="580"/>
      <c r="QUR276" s="580"/>
      <c r="QUS276" s="580"/>
      <c r="QUT276" s="580"/>
      <c r="QUU276" s="580"/>
      <c r="QUV276" s="580"/>
      <c r="QUW276" s="580"/>
      <c r="QUX276" s="580"/>
      <c r="QUY276" s="580"/>
      <c r="QUZ276" s="580"/>
      <c r="QVA276" s="580"/>
      <c r="QVB276" s="580"/>
      <c r="QVC276" s="580"/>
      <c r="QVD276" s="580"/>
      <c r="QVE276" s="580"/>
      <c r="QVF276" s="580"/>
      <c r="QVG276" s="580"/>
      <c r="QVH276" s="580"/>
      <c r="QVI276" s="580"/>
      <c r="QVJ276" s="580"/>
      <c r="QVK276" s="580"/>
      <c r="QVL276" s="580"/>
      <c r="QVM276" s="580"/>
      <c r="QVN276" s="580"/>
      <c r="QVO276" s="580"/>
      <c r="QVP276" s="580"/>
      <c r="QVQ276" s="580"/>
      <c r="QVR276" s="580"/>
      <c r="QVS276" s="580"/>
      <c r="QVT276" s="580"/>
      <c r="QVU276" s="580"/>
      <c r="QVV276" s="580"/>
      <c r="QVW276" s="580"/>
      <c r="QVX276" s="580"/>
      <c r="QVY276" s="580"/>
      <c r="QVZ276" s="580"/>
      <c r="QWA276" s="580"/>
      <c r="QWB276" s="580"/>
      <c r="QWC276" s="580"/>
      <c r="QWD276" s="580"/>
      <c r="QWE276" s="580"/>
      <c r="QWF276" s="580"/>
      <c r="QWG276" s="580"/>
      <c r="QWH276" s="580"/>
      <c r="QWI276" s="580"/>
      <c r="QWJ276" s="580"/>
      <c r="QWK276" s="580"/>
      <c r="QWL276" s="580"/>
      <c r="QWM276" s="580"/>
      <c r="QWN276" s="580"/>
      <c r="QWO276" s="580"/>
      <c r="QWP276" s="580"/>
      <c r="QWQ276" s="580"/>
      <c r="QWR276" s="580"/>
      <c r="QWS276" s="580"/>
      <c r="QWT276" s="580"/>
      <c r="QWU276" s="580"/>
      <c r="QWV276" s="580"/>
      <c r="QWW276" s="580"/>
      <c r="QWX276" s="580"/>
      <c r="QWY276" s="580"/>
      <c r="QWZ276" s="580"/>
      <c r="QXA276" s="580"/>
      <c r="QXB276" s="580"/>
      <c r="QXC276" s="580"/>
      <c r="QXD276" s="580"/>
      <c r="QXE276" s="580"/>
      <c r="QXF276" s="580"/>
      <c r="QXG276" s="580"/>
      <c r="QXH276" s="580"/>
      <c r="QXI276" s="580"/>
      <c r="QXJ276" s="580"/>
      <c r="QXK276" s="580"/>
      <c r="QXL276" s="580"/>
      <c r="QXM276" s="580"/>
      <c r="QXN276" s="580"/>
      <c r="QXO276" s="580"/>
      <c r="QXP276" s="580"/>
      <c r="QXQ276" s="580"/>
      <c r="QXR276" s="580"/>
      <c r="QXS276" s="580"/>
      <c r="QXT276" s="580"/>
      <c r="QXU276" s="580"/>
      <c r="QXV276" s="580"/>
      <c r="QXW276" s="580"/>
      <c r="QXX276" s="580"/>
      <c r="QXY276" s="580"/>
      <c r="QXZ276" s="580"/>
      <c r="QYA276" s="580"/>
      <c r="QYB276" s="580"/>
      <c r="QYC276" s="580"/>
      <c r="QYD276" s="580"/>
      <c r="QYE276" s="580"/>
      <c r="QYF276" s="580"/>
      <c r="QYG276" s="580"/>
      <c r="QYH276" s="580"/>
      <c r="QYI276" s="580"/>
      <c r="QYJ276" s="580"/>
      <c r="QYK276" s="580"/>
      <c r="QYL276" s="580"/>
      <c r="QYM276" s="580"/>
      <c r="QYN276" s="580"/>
      <c r="QYO276" s="580"/>
      <c r="QYP276" s="580"/>
      <c r="QYQ276" s="580"/>
      <c r="QYR276" s="580"/>
      <c r="QYS276" s="580"/>
      <c r="QYT276" s="580"/>
      <c r="QYU276" s="580"/>
      <c r="QYV276" s="580"/>
      <c r="QYW276" s="580"/>
      <c r="QYX276" s="580"/>
      <c r="QYY276" s="580"/>
      <c r="QYZ276" s="580"/>
      <c r="QZA276" s="580"/>
      <c r="QZB276" s="580"/>
      <c r="QZC276" s="580"/>
      <c r="QZD276" s="580"/>
      <c r="QZE276" s="580"/>
      <c r="QZF276" s="580"/>
      <c r="QZG276" s="580"/>
      <c r="QZH276" s="580"/>
      <c r="QZI276" s="580"/>
      <c r="QZJ276" s="580"/>
      <c r="QZK276" s="580"/>
      <c r="QZL276" s="580"/>
      <c r="QZM276" s="580"/>
      <c r="QZN276" s="580"/>
      <c r="QZO276" s="580"/>
      <c r="QZP276" s="580"/>
      <c r="QZQ276" s="580"/>
      <c r="QZR276" s="580"/>
      <c r="QZS276" s="580"/>
      <c r="QZT276" s="580"/>
      <c r="QZU276" s="580"/>
      <c r="QZV276" s="580"/>
      <c r="QZW276" s="580"/>
      <c r="QZX276" s="580"/>
      <c r="QZY276" s="580"/>
      <c r="QZZ276" s="580"/>
      <c r="RAA276" s="580"/>
      <c r="RAB276" s="580"/>
      <c r="RAC276" s="580"/>
      <c r="RAD276" s="580"/>
      <c r="RAE276" s="580"/>
      <c r="RAF276" s="580"/>
      <c r="RAG276" s="580"/>
      <c r="RAH276" s="580"/>
      <c r="RAI276" s="580"/>
      <c r="RAJ276" s="580"/>
      <c r="RAK276" s="580"/>
      <c r="RAL276" s="580"/>
      <c r="RAM276" s="580"/>
      <c r="RAN276" s="580"/>
      <c r="RAO276" s="580"/>
      <c r="RAP276" s="580"/>
      <c r="RAQ276" s="580"/>
      <c r="RAR276" s="580"/>
      <c r="RAS276" s="580"/>
      <c r="RAT276" s="580"/>
      <c r="RAU276" s="580"/>
      <c r="RAV276" s="580"/>
      <c r="RAW276" s="580"/>
      <c r="RAX276" s="580"/>
      <c r="RAY276" s="580"/>
      <c r="RAZ276" s="580"/>
      <c r="RBA276" s="580"/>
      <c r="RBB276" s="580"/>
      <c r="RBC276" s="580"/>
      <c r="RBD276" s="580"/>
      <c r="RBE276" s="580"/>
      <c r="RBF276" s="580"/>
      <c r="RBG276" s="580"/>
      <c r="RBH276" s="580"/>
      <c r="RBI276" s="580"/>
      <c r="RBJ276" s="580"/>
      <c r="RBK276" s="580"/>
      <c r="RBL276" s="580"/>
      <c r="RBM276" s="580"/>
      <c r="RBN276" s="580"/>
      <c r="RBO276" s="580"/>
      <c r="RBP276" s="580"/>
      <c r="RBQ276" s="580"/>
      <c r="RBR276" s="580"/>
      <c r="RBS276" s="580"/>
      <c r="RBT276" s="580"/>
      <c r="RBU276" s="580"/>
      <c r="RBV276" s="580"/>
      <c r="RBW276" s="580"/>
      <c r="RBX276" s="580"/>
      <c r="RBY276" s="580"/>
      <c r="RBZ276" s="580"/>
      <c r="RCA276" s="580"/>
      <c r="RCB276" s="580"/>
      <c r="RCC276" s="580"/>
      <c r="RCD276" s="580"/>
      <c r="RCE276" s="580"/>
      <c r="RCF276" s="580"/>
      <c r="RCG276" s="580"/>
      <c r="RCH276" s="580"/>
      <c r="RCI276" s="580"/>
      <c r="RCJ276" s="580"/>
      <c r="RCK276" s="580"/>
      <c r="RCL276" s="580"/>
      <c r="RCM276" s="580"/>
      <c r="RCN276" s="580"/>
      <c r="RCO276" s="580"/>
      <c r="RCP276" s="580"/>
      <c r="RCQ276" s="580"/>
      <c r="RCR276" s="580"/>
      <c r="RCS276" s="580"/>
      <c r="RCT276" s="580"/>
      <c r="RCU276" s="580"/>
      <c r="RCV276" s="580"/>
      <c r="RCW276" s="580"/>
      <c r="RCX276" s="580"/>
      <c r="RCY276" s="580"/>
      <c r="RCZ276" s="580"/>
      <c r="RDA276" s="580"/>
      <c r="RDB276" s="580"/>
      <c r="RDC276" s="580"/>
      <c r="RDD276" s="580"/>
      <c r="RDE276" s="580"/>
      <c r="RDF276" s="580"/>
      <c r="RDG276" s="580"/>
      <c r="RDH276" s="580"/>
      <c r="RDI276" s="580"/>
      <c r="RDJ276" s="580"/>
      <c r="RDK276" s="580"/>
      <c r="RDL276" s="580"/>
      <c r="RDM276" s="580"/>
      <c r="RDN276" s="580"/>
      <c r="RDO276" s="580"/>
      <c r="RDP276" s="580"/>
      <c r="RDQ276" s="580"/>
      <c r="RDR276" s="580"/>
      <c r="RDS276" s="580"/>
      <c r="RDT276" s="580"/>
      <c r="RDU276" s="580"/>
      <c r="RDV276" s="580"/>
      <c r="RDW276" s="580"/>
      <c r="RDX276" s="580"/>
      <c r="RDY276" s="580"/>
      <c r="RDZ276" s="580"/>
      <c r="REA276" s="580"/>
      <c r="REB276" s="580"/>
      <c r="REC276" s="580"/>
      <c r="RED276" s="580"/>
      <c r="REE276" s="580"/>
      <c r="REF276" s="580"/>
      <c r="REG276" s="580"/>
      <c r="REH276" s="580"/>
      <c r="REI276" s="580"/>
      <c r="REJ276" s="580"/>
      <c r="REK276" s="580"/>
      <c r="REL276" s="580"/>
      <c r="REM276" s="580"/>
      <c r="REN276" s="580"/>
      <c r="REO276" s="580"/>
      <c r="REP276" s="580"/>
      <c r="REQ276" s="580"/>
      <c r="RER276" s="580"/>
      <c r="RES276" s="580"/>
      <c r="RET276" s="580"/>
      <c r="REU276" s="580"/>
      <c r="REV276" s="580"/>
      <c r="REW276" s="580"/>
      <c r="REX276" s="580"/>
      <c r="REY276" s="580"/>
      <c r="REZ276" s="580"/>
      <c r="RFA276" s="580"/>
      <c r="RFB276" s="580"/>
      <c r="RFC276" s="580"/>
      <c r="RFD276" s="580"/>
      <c r="RFE276" s="580"/>
      <c r="RFF276" s="580"/>
      <c r="RFG276" s="580"/>
      <c r="RFH276" s="580"/>
      <c r="RFI276" s="580"/>
      <c r="RFJ276" s="580"/>
      <c r="RFK276" s="580"/>
      <c r="RFL276" s="580"/>
      <c r="RFM276" s="580"/>
      <c r="RFN276" s="580"/>
      <c r="RFO276" s="580"/>
      <c r="RFP276" s="580"/>
      <c r="RFQ276" s="580"/>
      <c r="RFR276" s="580"/>
      <c r="RFS276" s="580"/>
      <c r="RFT276" s="580"/>
      <c r="RFU276" s="580"/>
      <c r="RFV276" s="580"/>
      <c r="RFW276" s="580"/>
      <c r="RFX276" s="580"/>
      <c r="RFY276" s="580"/>
      <c r="RFZ276" s="580"/>
      <c r="RGA276" s="580"/>
      <c r="RGB276" s="580"/>
      <c r="RGC276" s="580"/>
      <c r="RGD276" s="580"/>
      <c r="RGE276" s="580"/>
      <c r="RGF276" s="580"/>
      <c r="RGG276" s="580"/>
      <c r="RGH276" s="580"/>
      <c r="RGI276" s="580"/>
      <c r="RGJ276" s="580"/>
      <c r="RGK276" s="580"/>
      <c r="RGL276" s="580"/>
      <c r="RGM276" s="580"/>
      <c r="RGN276" s="580"/>
      <c r="RGO276" s="580"/>
      <c r="RGP276" s="580"/>
      <c r="RGQ276" s="580"/>
      <c r="RGR276" s="580"/>
      <c r="RGS276" s="580"/>
      <c r="RGT276" s="580"/>
      <c r="RGU276" s="580"/>
      <c r="RGV276" s="580"/>
      <c r="RGW276" s="580"/>
      <c r="RGX276" s="580"/>
      <c r="RGY276" s="580"/>
      <c r="RGZ276" s="580"/>
      <c r="RHA276" s="580"/>
      <c r="RHB276" s="580"/>
      <c r="RHC276" s="580"/>
      <c r="RHD276" s="580"/>
      <c r="RHE276" s="580"/>
      <c r="RHF276" s="580"/>
      <c r="RHG276" s="580"/>
      <c r="RHH276" s="580"/>
      <c r="RHI276" s="580"/>
      <c r="RHJ276" s="580"/>
      <c r="RHK276" s="580"/>
      <c r="RHL276" s="580"/>
      <c r="RHM276" s="580"/>
      <c r="RHN276" s="580"/>
      <c r="RHO276" s="580"/>
      <c r="RHP276" s="580"/>
      <c r="RHQ276" s="580"/>
      <c r="RHR276" s="580"/>
      <c r="RHS276" s="580"/>
      <c r="RHT276" s="580"/>
      <c r="RHU276" s="580"/>
      <c r="RHV276" s="580"/>
      <c r="RHW276" s="580"/>
      <c r="RHX276" s="580"/>
      <c r="RHY276" s="580"/>
      <c r="RHZ276" s="580"/>
      <c r="RIA276" s="580"/>
      <c r="RIB276" s="580"/>
      <c r="RIC276" s="580"/>
      <c r="RID276" s="580"/>
      <c r="RIE276" s="580"/>
      <c r="RIF276" s="580"/>
      <c r="RIG276" s="580"/>
      <c r="RIH276" s="580"/>
      <c r="RII276" s="580"/>
      <c r="RIJ276" s="580"/>
      <c r="RIK276" s="580"/>
      <c r="RIL276" s="580"/>
      <c r="RIM276" s="580"/>
      <c r="RIN276" s="580"/>
      <c r="RIO276" s="580"/>
      <c r="RIP276" s="580"/>
      <c r="RIQ276" s="580"/>
      <c r="RIR276" s="580"/>
      <c r="RIS276" s="580"/>
      <c r="RIT276" s="580"/>
      <c r="RIU276" s="580"/>
      <c r="RIV276" s="580"/>
      <c r="RIW276" s="580"/>
      <c r="RIX276" s="580"/>
      <c r="RIY276" s="580"/>
      <c r="RIZ276" s="580"/>
      <c r="RJA276" s="580"/>
      <c r="RJB276" s="580"/>
      <c r="RJC276" s="580"/>
      <c r="RJD276" s="580"/>
      <c r="RJE276" s="580"/>
      <c r="RJF276" s="580"/>
      <c r="RJG276" s="580"/>
      <c r="RJH276" s="580"/>
      <c r="RJI276" s="580"/>
      <c r="RJJ276" s="580"/>
      <c r="RJK276" s="580"/>
      <c r="RJL276" s="580"/>
      <c r="RJM276" s="580"/>
      <c r="RJN276" s="580"/>
      <c r="RJO276" s="580"/>
      <c r="RJP276" s="580"/>
      <c r="RJQ276" s="580"/>
      <c r="RJR276" s="580"/>
      <c r="RJS276" s="580"/>
      <c r="RJT276" s="580"/>
      <c r="RJU276" s="580"/>
      <c r="RJV276" s="580"/>
      <c r="RJW276" s="580"/>
      <c r="RJX276" s="580"/>
      <c r="RJY276" s="580"/>
      <c r="RJZ276" s="580"/>
      <c r="RKA276" s="580"/>
      <c r="RKB276" s="580"/>
      <c r="RKC276" s="580"/>
      <c r="RKD276" s="580"/>
      <c r="RKE276" s="580"/>
      <c r="RKF276" s="580"/>
      <c r="RKG276" s="580"/>
      <c r="RKH276" s="580"/>
      <c r="RKI276" s="580"/>
      <c r="RKJ276" s="580"/>
      <c r="RKK276" s="580"/>
      <c r="RKL276" s="580"/>
      <c r="RKM276" s="580"/>
      <c r="RKN276" s="580"/>
      <c r="RKO276" s="580"/>
      <c r="RKP276" s="580"/>
      <c r="RKQ276" s="580"/>
      <c r="RKR276" s="580"/>
      <c r="RKS276" s="580"/>
      <c r="RKT276" s="580"/>
      <c r="RKU276" s="580"/>
      <c r="RKV276" s="580"/>
      <c r="RKW276" s="580"/>
      <c r="RKX276" s="580"/>
      <c r="RKY276" s="580"/>
      <c r="RKZ276" s="580"/>
      <c r="RLA276" s="580"/>
      <c r="RLB276" s="580"/>
      <c r="RLC276" s="580"/>
      <c r="RLD276" s="580"/>
      <c r="RLE276" s="580"/>
      <c r="RLF276" s="580"/>
      <c r="RLG276" s="580"/>
      <c r="RLH276" s="580"/>
      <c r="RLI276" s="580"/>
      <c r="RLJ276" s="580"/>
      <c r="RLK276" s="580"/>
      <c r="RLL276" s="580"/>
      <c r="RLM276" s="580"/>
      <c r="RLN276" s="580"/>
      <c r="RLO276" s="580"/>
      <c r="RLP276" s="580"/>
      <c r="RLQ276" s="580"/>
      <c r="RLR276" s="580"/>
      <c r="RLS276" s="580"/>
      <c r="RLT276" s="580"/>
      <c r="RLU276" s="580"/>
      <c r="RLV276" s="580"/>
      <c r="RLW276" s="580"/>
      <c r="RLX276" s="580"/>
      <c r="RLY276" s="580"/>
      <c r="RLZ276" s="580"/>
      <c r="RMA276" s="580"/>
      <c r="RMB276" s="580"/>
      <c r="RMC276" s="580"/>
      <c r="RMD276" s="580"/>
      <c r="RME276" s="580"/>
      <c r="RMF276" s="580"/>
      <c r="RMG276" s="580"/>
      <c r="RMH276" s="580"/>
      <c r="RMI276" s="580"/>
      <c r="RMJ276" s="580"/>
      <c r="RMK276" s="580"/>
      <c r="RML276" s="580"/>
      <c r="RMM276" s="580"/>
      <c r="RMN276" s="580"/>
      <c r="RMO276" s="580"/>
      <c r="RMP276" s="580"/>
      <c r="RMQ276" s="580"/>
      <c r="RMR276" s="580"/>
      <c r="RMS276" s="580"/>
      <c r="RMT276" s="580"/>
      <c r="RMU276" s="580"/>
      <c r="RMV276" s="580"/>
      <c r="RMW276" s="580"/>
      <c r="RMX276" s="580"/>
      <c r="RMY276" s="580"/>
      <c r="RMZ276" s="580"/>
      <c r="RNA276" s="580"/>
      <c r="RNB276" s="580"/>
      <c r="RNC276" s="580"/>
      <c r="RND276" s="580"/>
      <c r="RNE276" s="580"/>
      <c r="RNF276" s="580"/>
      <c r="RNG276" s="580"/>
      <c r="RNH276" s="580"/>
      <c r="RNI276" s="580"/>
      <c r="RNJ276" s="580"/>
      <c r="RNK276" s="580"/>
      <c r="RNL276" s="580"/>
      <c r="RNM276" s="580"/>
      <c r="RNN276" s="580"/>
      <c r="RNO276" s="580"/>
      <c r="RNP276" s="580"/>
      <c r="RNQ276" s="580"/>
      <c r="RNR276" s="580"/>
      <c r="RNS276" s="580"/>
      <c r="RNT276" s="580"/>
      <c r="RNU276" s="580"/>
      <c r="RNV276" s="580"/>
      <c r="RNW276" s="580"/>
      <c r="RNX276" s="580"/>
      <c r="RNY276" s="580"/>
      <c r="RNZ276" s="580"/>
      <c r="ROA276" s="580"/>
      <c r="ROB276" s="580"/>
      <c r="ROC276" s="580"/>
      <c r="ROD276" s="580"/>
      <c r="ROE276" s="580"/>
      <c r="ROF276" s="580"/>
      <c r="ROG276" s="580"/>
      <c r="ROH276" s="580"/>
      <c r="ROI276" s="580"/>
      <c r="ROJ276" s="580"/>
      <c r="ROK276" s="580"/>
      <c r="ROL276" s="580"/>
      <c r="ROM276" s="580"/>
      <c r="RON276" s="580"/>
      <c r="ROO276" s="580"/>
      <c r="ROP276" s="580"/>
      <c r="ROQ276" s="580"/>
      <c r="ROR276" s="580"/>
      <c r="ROS276" s="580"/>
      <c r="ROT276" s="580"/>
      <c r="ROU276" s="580"/>
      <c r="ROV276" s="580"/>
      <c r="ROW276" s="580"/>
      <c r="ROX276" s="580"/>
      <c r="ROY276" s="580"/>
      <c r="ROZ276" s="580"/>
      <c r="RPA276" s="580"/>
      <c r="RPB276" s="580"/>
      <c r="RPC276" s="580"/>
      <c r="RPD276" s="580"/>
      <c r="RPE276" s="580"/>
      <c r="RPF276" s="580"/>
      <c r="RPG276" s="580"/>
      <c r="RPH276" s="580"/>
      <c r="RPI276" s="580"/>
      <c r="RPJ276" s="580"/>
      <c r="RPK276" s="580"/>
      <c r="RPL276" s="580"/>
      <c r="RPM276" s="580"/>
      <c r="RPN276" s="580"/>
      <c r="RPO276" s="580"/>
      <c r="RPP276" s="580"/>
      <c r="RPQ276" s="580"/>
      <c r="RPR276" s="580"/>
      <c r="RPS276" s="580"/>
      <c r="RPT276" s="580"/>
      <c r="RPU276" s="580"/>
      <c r="RPV276" s="580"/>
      <c r="RPW276" s="580"/>
      <c r="RPX276" s="580"/>
      <c r="RPY276" s="580"/>
      <c r="RPZ276" s="580"/>
      <c r="RQA276" s="580"/>
      <c r="RQB276" s="580"/>
      <c r="RQC276" s="580"/>
      <c r="RQD276" s="580"/>
      <c r="RQE276" s="580"/>
      <c r="RQF276" s="580"/>
      <c r="RQG276" s="580"/>
      <c r="RQH276" s="580"/>
      <c r="RQI276" s="580"/>
      <c r="RQJ276" s="580"/>
      <c r="RQK276" s="580"/>
      <c r="RQL276" s="580"/>
      <c r="RQM276" s="580"/>
      <c r="RQN276" s="580"/>
      <c r="RQO276" s="580"/>
      <c r="RQP276" s="580"/>
      <c r="RQQ276" s="580"/>
      <c r="RQR276" s="580"/>
      <c r="RQS276" s="580"/>
      <c r="RQT276" s="580"/>
      <c r="RQU276" s="580"/>
      <c r="RQV276" s="580"/>
      <c r="RQW276" s="580"/>
      <c r="RQX276" s="580"/>
      <c r="RQY276" s="580"/>
      <c r="RQZ276" s="580"/>
      <c r="RRA276" s="580"/>
      <c r="RRB276" s="580"/>
      <c r="RRC276" s="580"/>
      <c r="RRD276" s="580"/>
      <c r="RRE276" s="580"/>
      <c r="RRF276" s="580"/>
      <c r="RRG276" s="580"/>
      <c r="RRH276" s="580"/>
      <c r="RRI276" s="580"/>
      <c r="RRJ276" s="580"/>
      <c r="RRK276" s="580"/>
      <c r="RRL276" s="580"/>
      <c r="RRM276" s="580"/>
      <c r="RRN276" s="580"/>
      <c r="RRO276" s="580"/>
      <c r="RRP276" s="580"/>
      <c r="RRQ276" s="580"/>
      <c r="RRR276" s="580"/>
      <c r="RRS276" s="580"/>
      <c r="RRT276" s="580"/>
      <c r="RRU276" s="580"/>
      <c r="RRV276" s="580"/>
      <c r="RRW276" s="580"/>
      <c r="RRX276" s="580"/>
      <c r="RRY276" s="580"/>
      <c r="RRZ276" s="580"/>
      <c r="RSA276" s="580"/>
      <c r="RSB276" s="580"/>
      <c r="RSC276" s="580"/>
      <c r="RSD276" s="580"/>
      <c r="RSE276" s="580"/>
      <c r="RSF276" s="580"/>
      <c r="RSG276" s="580"/>
      <c r="RSH276" s="580"/>
      <c r="RSI276" s="580"/>
      <c r="RSJ276" s="580"/>
      <c r="RSK276" s="580"/>
      <c r="RSL276" s="580"/>
      <c r="RSM276" s="580"/>
      <c r="RSN276" s="580"/>
      <c r="RSO276" s="580"/>
      <c r="RSP276" s="580"/>
      <c r="RSQ276" s="580"/>
      <c r="RSR276" s="580"/>
      <c r="RSS276" s="580"/>
      <c r="RST276" s="580"/>
      <c r="RSU276" s="580"/>
      <c r="RSV276" s="580"/>
      <c r="RSW276" s="580"/>
      <c r="RSX276" s="580"/>
      <c r="RSY276" s="580"/>
      <c r="RSZ276" s="580"/>
      <c r="RTA276" s="580"/>
      <c r="RTB276" s="580"/>
      <c r="RTC276" s="580"/>
      <c r="RTD276" s="580"/>
      <c r="RTE276" s="580"/>
      <c r="RTF276" s="580"/>
      <c r="RTG276" s="580"/>
      <c r="RTH276" s="580"/>
      <c r="RTI276" s="580"/>
      <c r="RTJ276" s="580"/>
      <c r="RTK276" s="580"/>
      <c r="RTL276" s="580"/>
      <c r="RTM276" s="580"/>
      <c r="RTN276" s="580"/>
      <c r="RTO276" s="580"/>
      <c r="RTP276" s="580"/>
      <c r="RTQ276" s="580"/>
      <c r="RTR276" s="580"/>
      <c r="RTS276" s="580"/>
      <c r="RTT276" s="580"/>
      <c r="RTU276" s="580"/>
      <c r="RTV276" s="580"/>
      <c r="RTW276" s="580"/>
      <c r="RTX276" s="580"/>
      <c r="RTY276" s="580"/>
      <c r="RTZ276" s="580"/>
      <c r="RUA276" s="580"/>
      <c r="RUB276" s="580"/>
      <c r="RUC276" s="580"/>
      <c r="RUD276" s="580"/>
      <c r="RUE276" s="580"/>
      <c r="RUF276" s="580"/>
      <c r="RUG276" s="580"/>
      <c r="RUH276" s="580"/>
      <c r="RUI276" s="580"/>
      <c r="RUJ276" s="580"/>
      <c r="RUK276" s="580"/>
      <c r="RUL276" s="580"/>
      <c r="RUM276" s="580"/>
      <c r="RUN276" s="580"/>
      <c r="RUO276" s="580"/>
      <c r="RUP276" s="580"/>
      <c r="RUQ276" s="580"/>
      <c r="RUR276" s="580"/>
      <c r="RUS276" s="580"/>
      <c r="RUT276" s="580"/>
      <c r="RUU276" s="580"/>
      <c r="RUV276" s="580"/>
      <c r="RUW276" s="580"/>
      <c r="RUX276" s="580"/>
      <c r="RUY276" s="580"/>
      <c r="RUZ276" s="580"/>
      <c r="RVA276" s="580"/>
      <c r="RVB276" s="580"/>
      <c r="RVC276" s="580"/>
      <c r="RVD276" s="580"/>
      <c r="RVE276" s="580"/>
      <c r="RVF276" s="580"/>
      <c r="RVG276" s="580"/>
      <c r="RVH276" s="580"/>
      <c r="RVI276" s="580"/>
      <c r="RVJ276" s="580"/>
      <c r="RVK276" s="580"/>
      <c r="RVL276" s="580"/>
      <c r="RVM276" s="580"/>
      <c r="RVN276" s="580"/>
      <c r="RVO276" s="580"/>
      <c r="RVP276" s="580"/>
      <c r="RVQ276" s="580"/>
      <c r="RVR276" s="580"/>
      <c r="RVS276" s="580"/>
      <c r="RVT276" s="580"/>
      <c r="RVU276" s="580"/>
      <c r="RVV276" s="580"/>
      <c r="RVW276" s="580"/>
      <c r="RVX276" s="580"/>
      <c r="RVY276" s="580"/>
      <c r="RVZ276" s="580"/>
      <c r="RWA276" s="580"/>
      <c r="RWB276" s="580"/>
      <c r="RWC276" s="580"/>
      <c r="RWD276" s="580"/>
      <c r="RWE276" s="580"/>
      <c r="RWF276" s="580"/>
      <c r="RWG276" s="580"/>
      <c r="RWH276" s="580"/>
      <c r="RWI276" s="580"/>
      <c r="RWJ276" s="580"/>
      <c r="RWK276" s="580"/>
      <c r="RWL276" s="580"/>
      <c r="RWM276" s="580"/>
      <c r="RWN276" s="580"/>
      <c r="RWO276" s="580"/>
      <c r="RWP276" s="580"/>
      <c r="RWQ276" s="580"/>
      <c r="RWR276" s="580"/>
      <c r="RWS276" s="580"/>
      <c r="RWT276" s="580"/>
      <c r="RWU276" s="580"/>
      <c r="RWV276" s="580"/>
      <c r="RWW276" s="580"/>
      <c r="RWX276" s="580"/>
      <c r="RWY276" s="580"/>
      <c r="RWZ276" s="580"/>
      <c r="RXA276" s="580"/>
      <c r="RXB276" s="580"/>
      <c r="RXC276" s="580"/>
      <c r="RXD276" s="580"/>
      <c r="RXE276" s="580"/>
      <c r="RXF276" s="580"/>
      <c r="RXG276" s="580"/>
      <c r="RXH276" s="580"/>
      <c r="RXI276" s="580"/>
      <c r="RXJ276" s="580"/>
      <c r="RXK276" s="580"/>
      <c r="RXL276" s="580"/>
      <c r="RXM276" s="580"/>
      <c r="RXN276" s="580"/>
      <c r="RXO276" s="580"/>
      <c r="RXP276" s="580"/>
      <c r="RXQ276" s="580"/>
      <c r="RXR276" s="580"/>
      <c r="RXS276" s="580"/>
      <c r="RXT276" s="580"/>
      <c r="RXU276" s="580"/>
      <c r="RXV276" s="580"/>
      <c r="RXW276" s="580"/>
      <c r="RXX276" s="580"/>
      <c r="RXY276" s="580"/>
      <c r="RXZ276" s="580"/>
      <c r="RYA276" s="580"/>
      <c r="RYB276" s="580"/>
      <c r="RYC276" s="580"/>
      <c r="RYD276" s="580"/>
      <c r="RYE276" s="580"/>
      <c r="RYF276" s="580"/>
      <c r="RYG276" s="580"/>
      <c r="RYH276" s="580"/>
      <c r="RYI276" s="580"/>
      <c r="RYJ276" s="580"/>
      <c r="RYK276" s="580"/>
      <c r="RYL276" s="580"/>
      <c r="RYM276" s="580"/>
      <c r="RYN276" s="580"/>
      <c r="RYO276" s="580"/>
      <c r="RYP276" s="580"/>
      <c r="RYQ276" s="580"/>
      <c r="RYR276" s="580"/>
      <c r="RYS276" s="580"/>
      <c r="RYT276" s="580"/>
      <c r="RYU276" s="580"/>
      <c r="RYV276" s="580"/>
      <c r="RYW276" s="580"/>
      <c r="RYX276" s="580"/>
      <c r="RYY276" s="580"/>
      <c r="RYZ276" s="580"/>
      <c r="RZA276" s="580"/>
      <c r="RZB276" s="580"/>
      <c r="RZC276" s="580"/>
      <c r="RZD276" s="580"/>
      <c r="RZE276" s="580"/>
      <c r="RZF276" s="580"/>
      <c r="RZG276" s="580"/>
      <c r="RZH276" s="580"/>
      <c r="RZI276" s="580"/>
      <c r="RZJ276" s="580"/>
      <c r="RZK276" s="580"/>
      <c r="RZL276" s="580"/>
      <c r="RZM276" s="580"/>
      <c r="RZN276" s="580"/>
      <c r="RZO276" s="580"/>
      <c r="RZP276" s="580"/>
      <c r="RZQ276" s="580"/>
      <c r="RZR276" s="580"/>
      <c r="RZS276" s="580"/>
      <c r="RZT276" s="580"/>
      <c r="RZU276" s="580"/>
      <c r="RZV276" s="580"/>
      <c r="RZW276" s="580"/>
      <c r="RZX276" s="580"/>
      <c r="RZY276" s="580"/>
      <c r="RZZ276" s="580"/>
      <c r="SAA276" s="580"/>
      <c r="SAB276" s="580"/>
      <c r="SAC276" s="580"/>
      <c r="SAD276" s="580"/>
      <c r="SAE276" s="580"/>
      <c r="SAF276" s="580"/>
      <c r="SAG276" s="580"/>
      <c r="SAH276" s="580"/>
      <c r="SAI276" s="580"/>
      <c r="SAJ276" s="580"/>
      <c r="SAK276" s="580"/>
      <c r="SAL276" s="580"/>
      <c r="SAM276" s="580"/>
      <c r="SAN276" s="580"/>
      <c r="SAO276" s="580"/>
      <c r="SAP276" s="580"/>
      <c r="SAQ276" s="580"/>
      <c r="SAR276" s="580"/>
      <c r="SAS276" s="580"/>
      <c r="SAT276" s="580"/>
      <c r="SAU276" s="580"/>
      <c r="SAV276" s="580"/>
      <c r="SAW276" s="580"/>
      <c r="SAX276" s="580"/>
      <c r="SAY276" s="580"/>
      <c r="SAZ276" s="580"/>
      <c r="SBA276" s="580"/>
      <c r="SBB276" s="580"/>
      <c r="SBC276" s="580"/>
      <c r="SBD276" s="580"/>
      <c r="SBE276" s="580"/>
      <c r="SBF276" s="580"/>
      <c r="SBG276" s="580"/>
      <c r="SBH276" s="580"/>
      <c r="SBI276" s="580"/>
      <c r="SBJ276" s="580"/>
      <c r="SBK276" s="580"/>
      <c r="SBL276" s="580"/>
      <c r="SBM276" s="580"/>
      <c r="SBN276" s="580"/>
      <c r="SBO276" s="580"/>
      <c r="SBP276" s="580"/>
      <c r="SBQ276" s="580"/>
      <c r="SBR276" s="580"/>
      <c r="SBS276" s="580"/>
      <c r="SBT276" s="580"/>
      <c r="SBU276" s="580"/>
      <c r="SBV276" s="580"/>
      <c r="SBW276" s="580"/>
      <c r="SBX276" s="580"/>
      <c r="SBY276" s="580"/>
      <c r="SBZ276" s="580"/>
      <c r="SCA276" s="580"/>
      <c r="SCB276" s="580"/>
      <c r="SCC276" s="580"/>
      <c r="SCD276" s="580"/>
      <c r="SCE276" s="580"/>
      <c r="SCF276" s="580"/>
      <c r="SCG276" s="580"/>
      <c r="SCH276" s="580"/>
      <c r="SCI276" s="580"/>
      <c r="SCJ276" s="580"/>
      <c r="SCK276" s="580"/>
      <c r="SCL276" s="580"/>
      <c r="SCM276" s="580"/>
      <c r="SCN276" s="580"/>
      <c r="SCO276" s="580"/>
      <c r="SCP276" s="580"/>
      <c r="SCQ276" s="580"/>
      <c r="SCR276" s="580"/>
      <c r="SCS276" s="580"/>
      <c r="SCT276" s="580"/>
      <c r="SCU276" s="580"/>
      <c r="SCV276" s="580"/>
      <c r="SCW276" s="580"/>
      <c r="SCX276" s="580"/>
      <c r="SCY276" s="580"/>
      <c r="SCZ276" s="580"/>
      <c r="SDA276" s="580"/>
      <c r="SDB276" s="580"/>
      <c r="SDC276" s="580"/>
      <c r="SDD276" s="580"/>
      <c r="SDE276" s="580"/>
      <c r="SDF276" s="580"/>
      <c r="SDG276" s="580"/>
      <c r="SDH276" s="580"/>
      <c r="SDI276" s="580"/>
      <c r="SDJ276" s="580"/>
      <c r="SDK276" s="580"/>
      <c r="SDL276" s="580"/>
      <c r="SDM276" s="580"/>
      <c r="SDN276" s="580"/>
      <c r="SDO276" s="580"/>
      <c r="SDP276" s="580"/>
      <c r="SDQ276" s="580"/>
      <c r="SDR276" s="580"/>
      <c r="SDS276" s="580"/>
      <c r="SDT276" s="580"/>
      <c r="SDU276" s="580"/>
      <c r="SDV276" s="580"/>
      <c r="SDW276" s="580"/>
      <c r="SDX276" s="580"/>
      <c r="SDY276" s="580"/>
      <c r="SDZ276" s="580"/>
      <c r="SEA276" s="580"/>
      <c r="SEB276" s="580"/>
      <c r="SEC276" s="580"/>
      <c r="SED276" s="580"/>
      <c r="SEE276" s="580"/>
      <c r="SEF276" s="580"/>
      <c r="SEG276" s="580"/>
      <c r="SEH276" s="580"/>
      <c r="SEI276" s="580"/>
      <c r="SEJ276" s="580"/>
      <c r="SEK276" s="580"/>
      <c r="SEL276" s="580"/>
      <c r="SEM276" s="580"/>
      <c r="SEN276" s="580"/>
      <c r="SEO276" s="580"/>
      <c r="SEP276" s="580"/>
      <c r="SEQ276" s="580"/>
      <c r="SER276" s="580"/>
      <c r="SES276" s="580"/>
      <c r="SET276" s="580"/>
      <c r="SEU276" s="580"/>
      <c r="SEV276" s="580"/>
      <c r="SEW276" s="580"/>
      <c r="SEX276" s="580"/>
      <c r="SEY276" s="580"/>
      <c r="SEZ276" s="580"/>
      <c r="SFA276" s="580"/>
      <c r="SFB276" s="580"/>
      <c r="SFC276" s="580"/>
      <c r="SFD276" s="580"/>
      <c r="SFE276" s="580"/>
      <c r="SFF276" s="580"/>
      <c r="SFG276" s="580"/>
      <c r="SFH276" s="580"/>
      <c r="SFI276" s="580"/>
      <c r="SFJ276" s="580"/>
      <c r="SFK276" s="580"/>
      <c r="SFL276" s="580"/>
      <c r="SFM276" s="580"/>
      <c r="SFN276" s="580"/>
      <c r="SFO276" s="580"/>
      <c r="SFP276" s="580"/>
      <c r="SFQ276" s="580"/>
      <c r="SFR276" s="580"/>
      <c r="SFS276" s="580"/>
      <c r="SFT276" s="580"/>
      <c r="SFU276" s="580"/>
      <c r="SFV276" s="580"/>
      <c r="SFW276" s="580"/>
      <c r="SFX276" s="580"/>
      <c r="SFY276" s="580"/>
      <c r="SFZ276" s="580"/>
      <c r="SGA276" s="580"/>
      <c r="SGB276" s="580"/>
      <c r="SGC276" s="580"/>
      <c r="SGD276" s="580"/>
      <c r="SGE276" s="580"/>
      <c r="SGF276" s="580"/>
      <c r="SGG276" s="580"/>
      <c r="SGH276" s="580"/>
      <c r="SGI276" s="580"/>
      <c r="SGJ276" s="580"/>
      <c r="SGK276" s="580"/>
      <c r="SGL276" s="580"/>
      <c r="SGM276" s="580"/>
      <c r="SGN276" s="580"/>
      <c r="SGO276" s="580"/>
      <c r="SGP276" s="580"/>
      <c r="SGQ276" s="580"/>
      <c r="SGR276" s="580"/>
      <c r="SGS276" s="580"/>
      <c r="SGT276" s="580"/>
      <c r="SGU276" s="580"/>
      <c r="SGV276" s="580"/>
      <c r="SGW276" s="580"/>
      <c r="SGX276" s="580"/>
      <c r="SGY276" s="580"/>
      <c r="SGZ276" s="580"/>
      <c r="SHA276" s="580"/>
      <c r="SHB276" s="580"/>
      <c r="SHC276" s="580"/>
      <c r="SHD276" s="580"/>
      <c r="SHE276" s="580"/>
      <c r="SHF276" s="580"/>
      <c r="SHG276" s="580"/>
      <c r="SHH276" s="580"/>
      <c r="SHI276" s="580"/>
      <c r="SHJ276" s="580"/>
      <c r="SHK276" s="580"/>
      <c r="SHL276" s="580"/>
      <c r="SHM276" s="580"/>
      <c r="SHN276" s="580"/>
      <c r="SHO276" s="580"/>
      <c r="SHP276" s="580"/>
      <c r="SHQ276" s="580"/>
      <c r="SHR276" s="580"/>
      <c r="SHS276" s="580"/>
      <c r="SHT276" s="580"/>
      <c r="SHU276" s="580"/>
      <c r="SHV276" s="580"/>
      <c r="SHW276" s="580"/>
      <c r="SHX276" s="580"/>
      <c r="SHY276" s="580"/>
      <c r="SHZ276" s="580"/>
      <c r="SIA276" s="580"/>
      <c r="SIB276" s="580"/>
      <c r="SIC276" s="580"/>
      <c r="SID276" s="580"/>
      <c r="SIE276" s="580"/>
      <c r="SIF276" s="580"/>
      <c r="SIG276" s="580"/>
      <c r="SIH276" s="580"/>
      <c r="SII276" s="580"/>
      <c r="SIJ276" s="580"/>
      <c r="SIK276" s="580"/>
      <c r="SIL276" s="580"/>
      <c r="SIM276" s="580"/>
      <c r="SIN276" s="580"/>
      <c r="SIO276" s="580"/>
      <c r="SIP276" s="580"/>
      <c r="SIQ276" s="580"/>
      <c r="SIR276" s="580"/>
      <c r="SIS276" s="580"/>
      <c r="SIT276" s="580"/>
      <c r="SIU276" s="580"/>
      <c r="SIV276" s="580"/>
      <c r="SIW276" s="580"/>
      <c r="SIX276" s="580"/>
      <c r="SIY276" s="580"/>
      <c r="SIZ276" s="580"/>
      <c r="SJA276" s="580"/>
      <c r="SJB276" s="580"/>
      <c r="SJC276" s="580"/>
      <c r="SJD276" s="580"/>
      <c r="SJE276" s="580"/>
      <c r="SJF276" s="580"/>
      <c r="SJG276" s="580"/>
      <c r="SJH276" s="580"/>
      <c r="SJI276" s="580"/>
      <c r="SJJ276" s="580"/>
      <c r="SJK276" s="580"/>
      <c r="SJL276" s="580"/>
      <c r="SJM276" s="580"/>
      <c r="SJN276" s="580"/>
      <c r="SJO276" s="580"/>
      <c r="SJP276" s="580"/>
      <c r="SJQ276" s="580"/>
      <c r="SJR276" s="580"/>
      <c r="SJS276" s="580"/>
      <c r="SJT276" s="580"/>
      <c r="SJU276" s="580"/>
      <c r="SJV276" s="580"/>
      <c r="SJW276" s="580"/>
      <c r="SJX276" s="580"/>
      <c r="SJY276" s="580"/>
      <c r="SJZ276" s="580"/>
      <c r="SKA276" s="580"/>
      <c r="SKB276" s="580"/>
      <c r="SKC276" s="580"/>
      <c r="SKD276" s="580"/>
      <c r="SKE276" s="580"/>
      <c r="SKF276" s="580"/>
      <c r="SKG276" s="580"/>
      <c r="SKH276" s="580"/>
      <c r="SKI276" s="580"/>
      <c r="SKJ276" s="580"/>
      <c r="SKK276" s="580"/>
      <c r="SKL276" s="580"/>
      <c r="SKM276" s="580"/>
      <c r="SKN276" s="580"/>
      <c r="SKO276" s="580"/>
      <c r="SKP276" s="580"/>
      <c r="SKQ276" s="580"/>
      <c r="SKR276" s="580"/>
      <c r="SKS276" s="580"/>
      <c r="SKT276" s="580"/>
      <c r="SKU276" s="580"/>
      <c r="SKV276" s="580"/>
      <c r="SKW276" s="580"/>
      <c r="SKX276" s="580"/>
      <c r="SKY276" s="580"/>
      <c r="SKZ276" s="580"/>
      <c r="SLA276" s="580"/>
      <c r="SLB276" s="580"/>
      <c r="SLC276" s="580"/>
      <c r="SLD276" s="580"/>
      <c r="SLE276" s="580"/>
      <c r="SLF276" s="580"/>
      <c r="SLG276" s="580"/>
      <c r="SLH276" s="580"/>
      <c r="SLI276" s="580"/>
      <c r="SLJ276" s="580"/>
      <c r="SLK276" s="580"/>
      <c r="SLL276" s="580"/>
      <c r="SLM276" s="580"/>
      <c r="SLN276" s="580"/>
      <c r="SLO276" s="580"/>
      <c r="SLP276" s="580"/>
      <c r="SLQ276" s="580"/>
      <c r="SLR276" s="580"/>
      <c r="SLS276" s="580"/>
      <c r="SLT276" s="580"/>
      <c r="SLU276" s="580"/>
      <c r="SLV276" s="580"/>
      <c r="SLW276" s="580"/>
      <c r="SLX276" s="580"/>
      <c r="SLY276" s="580"/>
      <c r="SLZ276" s="580"/>
      <c r="SMA276" s="580"/>
      <c r="SMB276" s="580"/>
      <c r="SMC276" s="580"/>
      <c r="SMD276" s="580"/>
      <c r="SME276" s="580"/>
      <c r="SMF276" s="580"/>
      <c r="SMG276" s="580"/>
      <c r="SMH276" s="580"/>
      <c r="SMI276" s="580"/>
      <c r="SMJ276" s="580"/>
      <c r="SMK276" s="580"/>
      <c r="SML276" s="580"/>
      <c r="SMM276" s="580"/>
      <c r="SMN276" s="580"/>
      <c r="SMO276" s="580"/>
      <c r="SMP276" s="580"/>
      <c r="SMQ276" s="580"/>
      <c r="SMR276" s="580"/>
      <c r="SMS276" s="580"/>
      <c r="SMT276" s="580"/>
      <c r="SMU276" s="580"/>
      <c r="SMV276" s="580"/>
      <c r="SMW276" s="580"/>
      <c r="SMX276" s="580"/>
      <c r="SMY276" s="580"/>
      <c r="SMZ276" s="580"/>
      <c r="SNA276" s="580"/>
      <c r="SNB276" s="580"/>
      <c r="SNC276" s="580"/>
      <c r="SND276" s="580"/>
      <c r="SNE276" s="580"/>
      <c r="SNF276" s="580"/>
      <c r="SNG276" s="580"/>
      <c r="SNH276" s="580"/>
      <c r="SNI276" s="580"/>
      <c r="SNJ276" s="580"/>
      <c r="SNK276" s="580"/>
      <c r="SNL276" s="580"/>
      <c r="SNM276" s="580"/>
      <c r="SNN276" s="580"/>
      <c r="SNO276" s="580"/>
      <c r="SNP276" s="580"/>
      <c r="SNQ276" s="580"/>
      <c r="SNR276" s="580"/>
      <c r="SNS276" s="580"/>
      <c r="SNT276" s="580"/>
      <c r="SNU276" s="580"/>
      <c r="SNV276" s="580"/>
      <c r="SNW276" s="580"/>
      <c r="SNX276" s="580"/>
      <c r="SNY276" s="580"/>
      <c r="SNZ276" s="580"/>
      <c r="SOA276" s="580"/>
      <c r="SOB276" s="580"/>
      <c r="SOC276" s="580"/>
      <c r="SOD276" s="580"/>
      <c r="SOE276" s="580"/>
      <c r="SOF276" s="580"/>
      <c r="SOG276" s="580"/>
      <c r="SOH276" s="580"/>
      <c r="SOI276" s="580"/>
      <c r="SOJ276" s="580"/>
      <c r="SOK276" s="580"/>
      <c r="SOL276" s="580"/>
      <c r="SOM276" s="580"/>
      <c r="SON276" s="580"/>
      <c r="SOO276" s="580"/>
      <c r="SOP276" s="580"/>
      <c r="SOQ276" s="580"/>
      <c r="SOR276" s="580"/>
      <c r="SOS276" s="580"/>
      <c r="SOT276" s="580"/>
      <c r="SOU276" s="580"/>
      <c r="SOV276" s="580"/>
      <c r="SOW276" s="580"/>
      <c r="SOX276" s="580"/>
      <c r="SOY276" s="580"/>
      <c r="SOZ276" s="580"/>
      <c r="SPA276" s="580"/>
      <c r="SPB276" s="580"/>
      <c r="SPC276" s="580"/>
      <c r="SPD276" s="580"/>
      <c r="SPE276" s="580"/>
      <c r="SPF276" s="580"/>
      <c r="SPG276" s="580"/>
      <c r="SPH276" s="580"/>
      <c r="SPI276" s="580"/>
      <c r="SPJ276" s="580"/>
      <c r="SPK276" s="580"/>
      <c r="SPL276" s="580"/>
      <c r="SPM276" s="580"/>
      <c r="SPN276" s="580"/>
      <c r="SPO276" s="580"/>
      <c r="SPP276" s="580"/>
      <c r="SPQ276" s="580"/>
      <c r="SPR276" s="580"/>
      <c r="SPS276" s="580"/>
      <c r="SPT276" s="580"/>
      <c r="SPU276" s="580"/>
      <c r="SPV276" s="580"/>
      <c r="SPW276" s="580"/>
      <c r="SPX276" s="580"/>
      <c r="SPY276" s="580"/>
      <c r="SPZ276" s="580"/>
      <c r="SQA276" s="580"/>
      <c r="SQB276" s="580"/>
      <c r="SQC276" s="580"/>
      <c r="SQD276" s="580"/>
      <c r="SQE276" s="580"/>
      <c r="SQF276" s="580"/>
      <c r="SQG276" s="580"/>
      <c r="SQH276" s="580"/>
      <c r="SQI276" s="580"/>
      <c r="SQJ276" s="580"/>
      <c r="SQK276" s="580"/>
      <c r="SQL276" s="580"/>
      <c r="SQM276" s="580"/>
      <c r="SQN276" s="580"/>
      <c r="SQO276" s="580"/>
      <c r="SQP276" s="580"/>
      <c r="SQQ276" s="580"/>
      <c r="SQR276" s="580"/>
      <c r="SQS276" s="580"/>
      <c r="SQT276" s="580"/>
      <c r="SQU276" s="580"/>
      <c r="SQV276" s="580"/>
      <c r="SQW276" s="580"/>
      <c r="SQX276" s="580"/>
      <c r="SQY276" s="580"/>
      <c r="SQZ276" s="580"/>
      <c r="SRA276" s="580"/>
      <c r="SRB276" s="580"/>
      <c r="SRC276" s="580"/>
      <c r="SRD276" s="580"/>
      <c r="SRE276" s="580"/>
      <c r="SRF276" s="580"/>
      <c r="SRG276" s="580"/>
      <c r="SRH276" s="580"/>
      <c r="SRI276" s="580"/>
      <c r="SRJ276" s="580"/>
      <c r="SRK276" s="580"/>
      <c r="SRL276" s="580"/>
      <c r="SRM276" s="580"/>
      <c r="SRN276" s="580"/>
      <c r="SRO276" s="580"/>
      <c r="SRP276" s="580"/>
      <c r="SRQ276" s="580"/>
      <c r="SRR276" s="580"/>
      <c r="SRS276" s="580"/>
      <c r="SRT276" s="580"/>
      <c r="SRU276" s="580"/>
      <c r="SRV276" s="580"/>
      <c r="SRW276" s="580"/>
      <c r="SRX276" s="580"/>
      <c r="SRY276" s="580"/>
      <c r="SRZ276" s="580"/>
      <c r="SSA276" s="580"/>
      <c r="SSB276" s="580"/>
      <c r="SSC276" s="580"/>
      <c r="SSD276" s="580"/>
      <c r="SSE276" s="580"/>
      <c r="SSF276" s="580"/>
      <c r="SSG276" s="580"/>
      <c r="SSH276" s="580"/>
      <c r="SSI276" s="580"/>
      <c r="SSJ276" s="580"/>
      <c r="SSK276" s="580"/>
      <c r="SSL276" s="580"/>
      <c r="SSM276" s="580"/>
      <c r="SSN276" s="580"/>
      <c r="SSO276" s="580"/>
      <c r="SSP276" s="580"/>
      <c r="SSQ276" s="580"/>
      <c r="SSR276" s="580"/>
      <c r="SSS276" s="580"/>
      <c r="SST276" s="580"/>
      <c r="SSU276" s="580"/>
      <c r="SSV276" s="580"/>
      <c r="SSW276" s="580"/>
      <c r="SSX276" s="580"/>
      <c r="SSY276" s="580"/>
      <c r="SSZ276" s="580"/>
      <c r="STA276" s="580"/>
      <c r="STB276" s="580"/>
      <c r="STC276" s="580"/>
      <c r="STD276" s="580"/>
      <c r="STE276" s="580"/>
      <c r="STF276" s="580"/>
      <c r="STG276" s="580"/>
      <c r="STH276" s="580"/>
      <c r="STI276" s="580"/>
      <c r="STJ276" s="580"/>
      <c r="STK276" s="580"/>
      <c r="STL276" s="580"/>
      <c r="STM276" s="580"/>
      <c r="STN276" s="580"/>
      <c r="STO276" s="580"/>
      <c r="STP276" s="580"/>
      <c r="STQ276" s="580"/>
      <c r="STR276" s="580"/>
      <c r="STS276" s="580"/>
      <c r="STT276" s="580"/>
      <c r="STU276" s="580"/>
      <c r="STV276" s="580"/>
      <c r="STW276" s="580"/>
      <c r="STX276" s="580"/>
      <c r="STY276" s="580"/>
      <c r="STZ276" s="580"/>
      <c r="SUA276" s="580"/>
      <c r="SUB276" s="580"/>
      <c r="SUC276" s="580"/>
      <c r="SUD276" s="580"/>
      <c r="SUE276" s="580"/>
      <c r="SUF276" s="580"/>
      <c r="SUG276" s="580"/>
      <c r="SUH276" s="580"/>
      <c r="SUI276" s="580"/>
      <c r="SUJ276" s="580"/>
      <c r="SUK276" s="580"/>
      <c r="SUL276" s="580"/>
      <c r="SUM276" s="580"/>
      <c r="SUN276" s="580"/>
      <c r="SUO276" s="580"/>
      <c r="SUP276" s="580"/>
      <c r="SUQ276" s="580"/>
      <c r="SUR276" s="580"/>
      <c r="SUS276" s="580"/>
      <c r="SUT276" s="580"/>
      <c r="SUU276" s="580"/>
      <c r="SUV276" s="580"/>
      <c r="SUW276" s="580"/>
      <c r="SUX276" s="580"/>
      <c r="SUY276" s="580"/>
      <c r="SUZ276" s="580"/>
      <c r="SVA276" s="580"/>
      <c r="SVB276" s="580"/>
      <c r="SVC276" s="580"/>
      <c r="SVD276" s="580"/>
      <c r="SVE276" s="580"/>
      <c r="SVF276" s="580"/>
      <c r="SVG276" s="580"/>
      <c r="SVH276" s="580"/>
      <c r="SVI276" s="580"/>
      <c r="SVJ276" s="580"/>
      <c r="SVK276" s="580"/>
      <c r="SVL276" s="580"/>
      <c r="SVM276" s="580"/>
      <c r="SVN276" s="580"/>
      <c r="SVO276" s="580"/>
      <c r="SVP276" s="580"/>
      <c r="SVQ276" s="580"/>
      <c r="SVR276" s="580"/>
      <c r="SVS276" s="580"/>
      <c r="SVT276" s="580"/>
      <c r="SVU276" s="580"/>
      <c r="SVV276" s="580"/>
      <c r="SVW276" s="580"/>
      <c r="SVX276" s="580"/>
      <c r="SVY276" s="580"/>
      <c r="SVZ276" s="580"/>
      <c r="SWA276" s="580"/>
      <c r="SWB276" s="580"/>
      <c r="SWC276" s="580"/>
      <c r="SWD276" s="580"/>
      <c r="SWE276" s="580"/>
      <c r="SWF276" s="580"/>
      <c r="SWG276" s="580"/>
      <c r="SWH276" s="580"/>
      <c r="SWI276" s="580"/>
      <c r="SWJ276" s="580"/>
      <c r="SWK276" s="580"/>
      <c r="SWL276" s="580"/>
      <c r="SWM276" s="580"/>
      <c r="SWN276" s="580"/>
      <c r="SWO276" s="580"/>
      <c r="SWP276" s="580"/>
      <c r="SWQ276" s="580"/>
      <c r="SWR276" s="580"/>
      <c r="SWS276" s="580"/>
      <c r="SWT276" s="580"/>
      <c r="SWU276" s="580"/>
      <c r="SWV276" s="580"/>
      <c r="SWW276" s="580"/>
      <c r="SWX276" s="580"/>
      <c r="SWY276" s="580"/>
      <c r="SWZ276" s="580"/>
      <c r="SXA276" s="580"/>
      <c r="SXB276" s="580"/>
      <c r="SXC276" s="580"/>
      <c r="SXD276" s="580"/>
      <c r="SXE276" s="580"/>
      <c r="SXF276" s="580"/>
      <c r="SXG276" s="580"/>
      <c r="SXH276" s="580"/>
      <c r="SXI276" s="580"/>
      <c r="SXJ276" s="580"/>
      <c r="SXK276" s="580"/>
      <c r="SXL276" s="580"/>
      <c r="SXM276" s="580"/>
      <c r="SXN276" s="580"/>
      <c r="SXO276" s="580"/>
      <c r="SXP276" s="580"/>
      <c r="SXQ276" s="580"/>
      <c r="SXR276" s="580"/>
      <c r="SXS276" s="580"/>
      <c r="SXT276" s="580"/>
      <c r="SXU276" s="580"/>
      <c r="SXV276" s="580"/>
      <c r="SXW276" s="580"/>
      <c r="SXX276" s="580"/>
      <c r="SXY276" s="580"/>
      <c r="SXZ276" s="580"/>
      <c r="SYA276" s="580"/>
      <c r="SYB276" s="580"/>
      <c r="SYC276" s="580"/>
      <c r="SYD276" s="580"/>
      <c r="SYE276" s="580"/>
      <c r="SYF276" s="580"/>
      <c r="SYG276" s="580"/>
      <c r="SYH276" s="580"/>
      <c r="SYI276" s="580"/>
      <c r="SYJ276" s="580"/>
      <c r="SYK276" s="580"/>
      <c r="SYL276" s="580"/>
      <c r="SYM276" s="580"/>
      <c r="SYN276" s="580"/>
      <c r="SYO276" s="580"/>
      <c r="SYP276" s="580"/>
      <c r="SYQ276" s="580"/>
      <c r="SYR276" s="580"/>
      <c r="SYS276" s="580"/>
      <c r="SYT276" s="580"/>
      <c r="SYU276" s="580"/>
      <c r="SYV276" s="580"/>
      <c r="SYW276" s="580"/>
      <c r="SYX276" s="580"/>
      <c r="SYY276" s="580"/>
      <c r="SYZ276" s="580"/>
      <c r="SZA276" s="580"/>
      <c r="SZB276" s="580"/>
      <c r="SZC276" s="580"/>
      <c r="SZD276" s="580"/>
      <c r="SZE276" s="580"/>
      <c r="SZF276" s="580"/>
      <c r="SZG276" s="580"/>
      <c r="SZH276" s="580"/>
      <c r="SZI276" s="580"/>
      <c r="SZJ276" s="580"/>
      <c r="SZK276" s="580"/>
      <c r="SZL276" s="580"/>
      <c r="SZM276" s="580"/>
      <c r="SZN276" s="580"/>
      <c r="SZO276" s="580"/>
      <c r="SZP276" s="580"/>
      <c r="SZQ276" s="580"/>
      <c r="SZR276" s="580"/>
      <c r="SZS276" s="580"/>
      <c r="SZT276" s="580"/>
      <c r="SZU276" s="580"/>
      <c r="SZV276" s="580"/>
      <c r="SZW276" s="580"/>
      <c r="SZX276" s="580"/>
      <c r="SZY276" s="580"/>
      <c r="SZZ276" s="580"/>
      <c r="TAA276" s="580"/>
      <c r="TAB276" s="580"/>
      <c r="TAC276" s="580"/>
      <c r="TAD276" s="580"/>
      <c r="TAE276" s="580"/>
      <c r="TAF276" s="580"/>
      <c r="TAG276" s="580"/>
      <c r="TAH276" s="580"/>
      <c r="TAI276" s="580"/>
      <c r="TAJ276" s="580"/>
      <c r="TAK276" s="580"/>
      <c r="TAL276" s="580"/>
      <c r="TAM276" s="580"/>
      <c r="TAN276" s="580"/>
      <c r="TAO276" s="580"/>
      <c r="TAP276" s="580"/>
      <c r="TAQ276" s="580"/>
      <c r="TAR276" s="580"/>
      <c r="TAS276" s="580"/>
      <c r="TAT276" s="580"/>
      <c r="TAU276" s="580"/>
      <c r="TAV276" s="580"/>
      <c r="TAW276" s="580"/>
      <c r="TAX276" s="580"/>
      <c r="TAY276" s="580"/>
      <c r="TAZ276" s="580"/>
      <c r="TBA276" s="580"/>
      <c r="TBB276" s="580"/>
      <c r="TBC276" s="580"/>
      <c r="TBD276" s="580"/>
      <c r="TBE276" s="580"/>
      <c r="TBF276" s="580"/>
      <c r="TBG276" s="580"/>
      <c r="TBH276" s="580"/>
      <c r="TBI276" s="580"/>
      <c r="TBJ276" s="580"/>
      <c r="TBK276" s="580"/>
      <c r="TBL276" s="580"/>
      <c r="TBM276" s="580"/>
      <c r="TBN276" s="580"/>
      <c r="TBO276" s="580"/>
      <c r="TBP276" s="580"/>
      <c r="TBQ276" s="580"/>
      <c r="TBR276" s="580"/>
      <c r="TBS276" s="580"/>
      <c r="TBT276" s="580"/>
      <c r="TBU276" s="580"/>
      <c r="TBV276" s="580"/>
      <c r="TBW276" s="580"/>
      <c r="TBX276" s="580"/>
      <c r="TBY276" s="580"/>
      <c r="TBZ276" s="580"/>
      <c r="TCA276" s="580"/>
      <c r="TCB276" s="580"/>
      <c r="TCC276" s="580"/>
      <c r="TCD276" s="580"/>
      <c r="TCE276" s="580"/>
      <c r="TCF276" s="580"/>
      <c r="TCG276" s="580"/>
      <c r="TCH276" s="580"/>
      <c r="TCI276" s="580"/>
      <c r="TCJ276" s="580"/>
      <c r="TCK276" s="580"/>
      <c r="TCL276" s="580"/>
      <c r="TCM276" s="580"/>
      <c r="TCN276" s="580"/>
      <c r="TCO276" s="580"/>
      <c r="TCP276" s="580"/>
      <c r="TCQ276" s="580"/>
      <c r="TCR276" s="580"/>
      <c r="TCS276" s="580"/>
      <c r="TCT276" s="580"/>
      <c r="TCU276" s="580"/>
      <c r="TCV276" s="580"/>
      <c r="TCW276" s="580"/>
      <c r="TCX276" s="580"/>
      <c r="TCY276" s="580"/>
      <c r="TCZ276" s="580"/>
      <c r="TDA276" s="580"/>
      <c r="TDB276" s="580"/>
      <c r="TDC276" s="580"/>
      <c r="TDD276" s="580"/>
      <c r="TDE276" s="580"/>
      <c r="TDF276" s="580"/>
      <c r="TDG276" s="580"/>
      <c r="TDH276" s="580"/>
      <c r="TDI276" s="580"/>
      <c r="TDJ276" s="580"/>
      <c r="TDK276" s="580"/>
      <c r="TDL276" s="580"/>
      <c r="TDM276" s="580"/>
      <c r="TDN276" s="580"/>
      <c r="TDO276" s="580"/>
      <c r="TDP276" s="580"/>
      <c r="TDQ276" s="580"/>
      <c r="TDR276" s="580"/>
      <c r="TDS276" s="580"/>
      <c r="TDT276" s="580"/>
      <c r="TDU276" s="580"/>
      <c r="TDV276" s="580"/>
      <c r="TDW276" s="580"/>
      <c r="TDX276" s="580"/>
      <c r="TDY276" s="580"/>
      <c r="TDZ276" s="580"/>
      <c r="TEA276" s="580"/>
      <c r="TEB276" s="580"/>
      <c r="TEC276" s="580"/>
      <c r="TED276" s="580"/>
      <c r="TEE276" s="580"/>
      <c r="TEF276" s="580"/>
      <c r="TEG276" s="580"/>
      <c r="TEH276" s="580"/>
      <c r="TEI276" s="580"/>
      <c r="TEJ276" s="580"/>
      <c r="TEK276" s="580"/>
      <c r="TEL276" s="580"/>
      <c r="TEM276" s="580"/>
      <c r="TEN276" s="580"/>
      <c r="TEO276" s="580"/>
      <c r="TEP276" s="580"/>
      <c r="TEQ276" s="580"/>
      <c r="TER276" s="580"/>
      <c r="TES276" s="580"/>
      <c r="TET276" s="580"/>
      <c r="TEU276" s="580"/>
      <c r="TEV276" s="580"/>
      <c r="TEW276" s="580"/>
      <c r="TEX276" s="580"/>
      <c r="TEY276" s="580"/>
      <c r="TEZ276" s="580"/>
      <c r="TFA276" s="580"/>
      <c r="TFB276" s="580"/>
      <c r="TFC276" s="580"/>
      <c r="TFD276" s="580"/>
      <c r="TFE276" s="580"/>
      <c r="TFF276" s="580"/>
      <c r="TFG276" s="580"/>
      <c r="TFH276" s="580"/>
      <c r="TFI276" s="580"/>
      <c r="TFJ276" s="580"/>
      <c r="TFK276" s="580"/>
      <c r="TFL276" s="580"/>
      <c r="TFM276" s="580"/>
      <c r="TFN276" s="580"/>
      <c r="TFO276" s="580"/>
      <c r="TFP276" s="580"/>
      <c r="TFQ276" s="580"/>
      <c r="TFR276" s="580"/>
      <c r="TFS276" s="580"/>
      <c r="TFT276" s="580"/>
      <c r="TFU276" s="580"/>
      <c r="TFV276" s="580"/>
      <c r="TFW276" s="580"/>
      <c r="TFX276" s="580"/>
      <c r="TFY276" s="580"/>
      <c r="TFZ276" s="580"/>
      <c r="TGA276" s="580"/>
      <c r="TGB276" s="580"/>
      <c r="TGC276" s="580"/>
      <c r="TGD276" s="580"/>
      <c r="TGE276" s="580"/>
      <c r="TGF276" s="580"/>
      <c r="TGG276" s="580"/>
      <c r="TGH276" s="580"/>
      <c r="TGI276" s="580"/>
      <c r="TGJ276" s="580"/>
      <c r="TGK276" s="580"/>
      <c r="TGL276" s="580"/>
      <c r="TGM276" s="580"/>
      <c r="TGN276" s="580"/>
      <c r="TGO276" s="580"/>
      <c r="TGP276" s="580"/>
      <c r="TGQ276" s="580"/>
      <c r="TGR276" s="580"/>
      <c r="TGS276" s="580"/>
      <c r="TGT276" s="580"/>
      <c r="TGU276" s="580"/>
      <c r="TGV276" s="580"/>
      <c r="TGW276" s="580"/>
      <c r="TGX276" s="580"/>
      <c r="TGY276" s="580"/>
      <c r="TGZ276" s="580"/>
      <c r="THA276" s="580"/>
      <c r="THB276" s="580"/>
      <c r="THC276" s="580"/>
      <c r="THD276" s="580"/>
      <c r="THE276" s="580"/>
      <c r="THF276" s="580"/>
      <c r="THG276" s="580"/>
      <c r="THH276" s="580"/>
      <c r="THI276" s="580"/>
      <c r="THJ276" s="580"/>
      <c r="THK276" s="580"/>
      <c r="THL276" s="580"/>
      <c r="THM276" s="580"/>
      <c r="THN276" s="580"/>
      <c r="THO276" s="580"/>
      <c r="THP276" s="580"/>
      <c r="THQ276" s="580"/>
      <c r="THR276" s="580"/>
      <c r="THS276" s="580"/>
      <c r="THT276" s="580"/>
      <c r="THU276" s="580"/>
      <c r="THV276" s="580"/>
      <c r="THW276" s="580"/>
      <c r="THX276" s="580"/>
      <c r="THY276" s="580"/>
      <c r="THZ276" s="580"/>
      <c r="TIA276" s="580"/>
      <c r="TIB276" s="580"/>
      <c r="TIC276" s="580"/>
      <c r="TID276" s="580"/>
      <c r="TIE276" s="580"/>
      <c r="TIF276" s="580"/>
      <c r="TIG276" s="580"/>
      <c r="TIH276" s="580"/>
      <c r="TII276" s="580"/>
      <c r="TIJ276" s="580"/>
      <c r="TIK276" s="580"/>
      <c r="TIL276" s="580"/>
      <c r="TIM276" s="580"/>
      <c r="TIN276" s="580"/>
      <c r="TIO276" s="580"/>
      <c r="TIP276" s="580"/>
      <c r="TIQ276" s="580"/>
      <c r="TIR276" s="580"/>
      <c r="TIS276" s="580"/>
      <c r="TIT276" s="580"/>
      <c r="TIU276" s="580"/>
      <c r="TIV276" s="580"/>
      <c r="TIW276" s="580"/>
      <c r="TIX276" s="580"/>
      <c r="TIY276" s="580"/>
      <c r="TIZ276" s="580"/>
      <c r="TJA276" s="580"/>
      <c r="TJB276" s="580"/>
      <c r="TJC276" s="580"/>
      <c r="TJD276" s="580"/>
      <c r="TJE276" s="580"/>
      <c r="TJF276" s="580"/>
      <c r="TJG276" s="580"/>
      <c r="TJH276" s="580"/>
      <c r="TJI276" s="580"/>
      <c r="TJJ276" s="580"/>
      <c r="TJK276" s="580"/>
      <c r="TJL276" s="580"/>
      <c r="TJM276" s="580"/>
      <c r="TJN276" s="580"/>
      <c r="TJO276" s="580"/>
      <c r="TJP276" s="580"/>
      <c r="TJQ276" s="580"/>
      <c r="TJR276" s="580"/>
      <c r="TJS276" s="580"/>
      <c r="TJT276" s="580"/>
      <c r="TJU276" s="580"/>
      <c r="TJV276" s="580"/>
      <c r="TJW276" s="580"/>
      <c r="TJX276" s="580"/>
      <c r="TJY276" s="580"/>
      <c r="TJZ276" s="580"/>
      <c r="TKA276" s="580"/>
      <c r="TKB276" s="580"/>
      <c r="TKC276" s="580"/>
      <c r="TKD276" s="580"/>
      <c r="TKE276" s="580"/>
      <c r="TKF276" s="580"/>
      <c r="TKG276" s="580"/>
      <c r="TKH276" s="580"/>
      <c r="TKI276" s="580"/>
      <c r="TKJ276" s="580"/>
      <c r="TKK276" s="580"/>
      <c r="TKL276" s="580"/>
      <c r="TKM276" s="580"/>
      <c r="TKN276" s="580"/>
      <c r="TKO276" s="580"/>
      <c r="TKP276" s="580"/>
      <c r="TKQ276" s="580"/>
      <c r="TKR276" s="580"/>
      <c r="TKS276" s="580"/>
      <c r="TKT276" s="580"/>
      <c r="TKU276" s="580"/>
      <c r="TKV276" s="580"/>
      <c r="TKW276" s="580"/>
      <c r="TKX276" s="580"/>
      <c r="TKY276" s="580"/>
      <c r="TKZ276" s="580"/>
      <c r="TLA276" s="580"/>
      <c r="TLB276" s="580"/>
      <c r="TLC276" s="580"/>
      <c r="TLD276" s="580"/>
      <c r="TLE276" s="580"/>
      <c r="TLF276" s="580"/>
      <c r="TLG276" s="580"/>
      <c r="TLH276" s="580"/>
      <c r="TLI276" s="580"/>
      <c r="TLJ276" s="580"/>
      <c r="TLK276" s="580"/>
      <c r="TLL276" s="580"/>
      <c r="TLM276" s="580"/>
      <c r="TLN276" s="580"/>
      <c r="TLO276" s="580"/>
      <c r="TLP276" s="580"/>
      <c r="TLQ276" s="580"/>
      <c r="TLR276" s="580"/>
      <c r="TLS276" s="580"/>
      <c r="TLT276" s="580"/>
      <c r="TLU276" s="580"/>
      <c r="TLV276" s="580"/>
      <c r="TLW276" s="580"/>
      <c r="TLX276" s="580"/>
      <c r="TLY276" s="580"/>
      <c r="TLZ276" s="580"/>
      <c r="TMA276" s="580"/>
      <c r="TMB276" s="580"/>
      <c r="TMC276" s="580"/>
      <c r="TMD276" s="580"/>
      <c r="TME276" s="580"/>
      <c r="TMF276" s="580"/>
      <c r="TMG276" s="580"/>
      <c r="TMH276" s="580"/>
      <c r="TMI276" s="580"/>
      <c r="TMJ276" s="580"/>
      <c r="TMK276" s="580"/>
      <c r="TML276" s="580"/>
      <c r="TMM276" s="580"/>
      <c r="TMN276" s="580"/>
      <c r="TMO276" s="580"/>
      <c r="TMP276" s="580"/>
      <c r="TMQ276" s="580"/>
      <c r="TMR276" s="580"/>
      <c r="TMS276" s="580"/>
      <c r="TMT276" s="580"/>
      <c r="TMU276" s="580"/>
      <c r="TMV276" s="580"/>
      <c r="TMW276" s="580"/>
      <c r="TMX276" s="580"/>
      <c r="TMY276" s="580"/>
      <c r="TMZ276" s="580"/>
      <c r="TNA276" s="580"/>
      <c r="TNB276" s="580"/>
      <c r="TNC276" s="580"/>
      <c r="TND276" s="580"/>
      <c r="TNE276" s="580"/>
      <c r="TNF276" s="580"/>
      <c r="TNG276" s="580"/>
      <c r="TNH276" s="580"/>
      <c r="TNI276" s="580"/>
      <c r="TNJ276" s="580"/>
      <c r="TNK276" s="580"/>
      <c r="TNL276" s="580"/>
      <c r="TNM276" s="580"/>
      <c r="TNN276" s="580"/>
      <c r="TNO276" s="580"/>
      <c r="TNP276" s="580"/>
      <c r="TNQ276" s="580"/>
      <c r="TNR276" s="580"/>
      <c r="TNS276" s="580"/>
      <c r="TNT276" s="580"/>
      <c r="TNU276" s="580"/>
      <c r="TNV276" s="580"/>
      <c r="TNW276" s="580"/>
      <c r="TNX276" s="580"/>
      <c r="TNY276" s="580"/>
      <c r="TNZ276" s="580"/>
      <c r="TOA276" s="580"/>
      <c r="TOB276" s="580"/>
      <c r="TOC276" s="580"/>
      <c r="TOD276" s="580"/>
      <c r="TOE276" s="580"/>
      <c r="TOF276" s="580"/>
      <c r="TOG276" s="580"/>
      <c r="TOH276" s="580"/>
      <c r="TOI276" s="580"/>
      <c r="TOJ276" s="580"/>
      <c r="TOK276" s="580"/>
      <c r="TOL276" s="580"/>
      <c r="TOM276" s="580"/>
      <c r="TON276" s="580"/>
      <c r="TOO276" s="580"/>
      <c r="TOP276" s="580"/>
      <c r="TOQ276" s="580"/>
      <c r="TOR276" s="580"/>
      <c r="TOS276" s="580"/>
      <c r="TOT276" s="580"/>
      <c r="TOU276" s="580"/>
      <c r="TOV276" s="580"/>
      <c r="TOW276" s="580"/>
      <c r="TOX276" s="580"/>
      <c r="TOY276" s="580"/>
      <c r="TOZ276" s="580"/>
      <c r="TPA276" s="580"/>
      <c r="TPB276" s="580"/>
      <c r="TPC276" s="580"/>
      <c r="TPD276" s="580"/>
      <c r="TPE276" s="580"/>
      <c r="TPF276" s="580"/>
      <c r="TPG276" s="580"/>
      <c r="TPH276" s="580"/>
      <c r="TPI276" s="580"/>
      <c r="TPJ276" s="580"/>
      <c r="TPK276" s="580"/>
      <c r="TPL276" s="580"/>
      <c r="TPM276" s="580"/>
      <c r="TPN276" s="580"/>
      <c r="TPO276" s="580"/>
      <c r="TPP276" s="580"/>
      <c r="TPQ276" s="580"/>
      <c r="TPR276" s="580"/>
      <c r="TPS276" s="580"/>
      <c r="TPT276" s="580"/>
      <c r="TPU276" s="580"/>
      <c r="TPV276" s="580"/>
      <c r="TPW276" s="580"/>
      <c r="TPX276" s="580"/>
      <c r="TPY276" s="580"/>
      <c r="TPZ276" s="580"/>
      <c r="TQA276" s="580"/>
      <c r="TQB276" s="580"/>
      <c r="TQC276" s="580"/>
      <c r="TQD276" s="580"/>
      <c r="TQE276" s="580"/>
      <c r="TQF276" s="580"/>
      <c r="TQG276" s="580"/>
      <c r="TQH276" s="580"/>
      <c r="TQI276" s="580"/>
      <c r="TQJ276" s="580"/>
      <c r="TQK276" s="580"/>
      <c r="TQL276" s="580"/>
      <c r="TQM276" s="580"/>
      <c r="TQN276" s="580"/>
      <c r="TQO276" s="580"/>
      <c r="TQP276" s="580"/>
      <c r="TQQ276" s="580"/>
      <c r="TQR276" s="580"/>
      <c r="TQS276" s="580"/>
      <c r="TQT276" s="580"/>
      <c r="TQU276" s="580"/>
      <c r="TQV276" s="580"/>
      <c r="TQW276" s="580"/>
      <c r="TQX276" s="580"/>
      <c r="TQY276" s="580"/>
      <c r="TQZ276" s="580"/>
      <c r="TRA276" s="580"/>
      <c r="TRB276" s="580"/>
      <c r="TRC276" s="580"/>
      <c r="TRD276" s="580"/>
      <c r="TRE276" s="580"/>
      <c r="TRF276" s="580"/>
      <c r="TRG276" s="580"/>
      <c r="TRH276" s="580"/>
      <c r="TRI276" s="580"/>
      <c r="TRJ276" s="580"/>
      <c r="TRK276" s="580"/>
      <c r="TRL276" s="580"/>
      <c r="TRM276" s="580"/>
      <c r="TRN276" s="580"/>
      <c r="TRO276" s="580"/>
      <c r="TRP276" s="580"/>
      <c r="TRQ276" s="580"/>
      <c r="TRR276" s="580"/>
      <c r="TRS276" s="580"/>
      <c r="TRT276" s="580"/>
      <c r="TRU276" s="580"/>
      <c r="TRV276" s="580"/>
      <c r="TRW276" s="580"/>
      <c r="TRX276" s="580"/>
      <c r="TRY276" s="580"/>
      <c r="TRZ276" s="580"/>
      <c r="TSA276" s="580"/>
      <c r="TSB276" s="580"/>
      <c r="TSC276" s="580"/>
      <c r="TSD276" s="580"/>
      <c r="TSE276" s="580"/>
      <c r="TSF276" s="580"/>
      <c r="TSG276" s="580"/>
      <c r="TSH276" s="580"/>
      <c r="TSI276" s="580"/>
      <c r="TSJ276" s="580"/>
      <c r="TSK276" s="580"/>
      <c r="TSL276" s="580"/>
      <c r="TSM276" s="580"/>
      <c r="TSN276" s="580"/>
      <c r="TSO276" s="580"/>
      <c r="TSP276" s="580"/>
      <c r="TSQ276" s="580"/>
      <c r="TSR276" s="580"/>
      <c r="TSS276" s="580"/>
      <c r="TST276" s="580"/>
      <c r="TSU276" s="580"/>
      <c r="TSV276" s="580"/>
      <c r="TSW276" s="580"/>
      <c r="TSX276" s="580"/>
      <c r="TSY276" s="580"/>
      <c r="TSZ276" s="580"/>
      <c r="TTA276" s="580"/>
      <c r="TTB276" s="580"/>
      <c r="TTC276" s="580"/>
      <c r="TTD276" s="580"/>
      <c r="TTE276" s="580"/>
      <c r="TTF276" s="580"/>
      <c r="TTG276" s="580"/>
      <c r="TTH276" s="580"/>
      <c r="TTI276" s="580"/>
      <c r="TTJ276" s="580"/>
      <c r="TTK276" s="580"/>
      <c r="TTL276" s="580"/>
      <c r="TTM276" s="580"/>
      <c r="TTN276" s="580"/>
      <c r="TTO276" s="580"/>
      <c r="TTP276" s="580"/>
      <c r="TTQ276" s="580"/>
      <c r="TTR276" s="580"/>
      <c r="TTS276" s="580"/>
      <c r="TTT276" s="580"/>
      <c r="TTU276" s="580"/>
      <c r="TTV276" s="580"/>
      <c r="TTW276" s="580"/>
      <c r="TTX276" s="580"/>
      <c r="TTY276" s="580"/>
      <c r="TTZ276" s="580"/>
      <c r="TUA276" s="580"/>
      <c r="TUB276" s="580"/>
      <c r="TUC276" s="580"/>
      <c r="TUD276" s="580"/>
      <c r="TUE276" s="580"/>
      <c r="TUF276" s="580"/>
      <c r="TUG276" s="580"/>
      <c r="TUH276" s="580"/>
      <c r="TUI276" s="580"/>
      <c r="TUJ276" s="580"/>
      <c r="TUK276" s="580"/>
      <c r="TUL276" s="580"/>
      <c r="TUM276" s="580"/>
      <c r="TUN276" s="580"/>
      <c r="TUO276" s="580"/>
      <c r="TUP276" s="580"/>
      <c r="TUQ276" s="580"/>
      <c r="TUR276" s="580"/>
      <c r="TUS276" s="580"/>
      <c r="TUT276" s="580"/>
      <c r="TUU276" s="580"/>
      <c r="TUV276" s="580"/>
      <c r="TUW276" s="580"/>
      <c r="TUX276" s="580"/>
      <c r="TUY276" s="580"/>
      <c r="TUZ276" s="580"/>
      <c r="TVA276" s="580"/>
      <c r="TVB276" s="580"/>
      <c r="TVC276" s="580"/>
      <c r="TVD276" s="580"/>
      <c r="TVE276" s="580"/>
      <c r="TVF276" s="580"/>
      <c r="TVG276" s="580"/>
      <c r="TVH276" s="580"/>
      <c r="TVI276" s="580"/>
      <c r="TVJ276" s="580"/>
      <c r="TVK276" s="580"/>
      <c r="TVL276" s="580"/>
      <c r="TVM276" s="580"/>
      <c r="TVN276" s="580"/>
      <c r="TVO276" s="580"/>
      <c r="TVP276" s="580"/>
      <c r="TVQ276" s="580"/>
      <c r="TVR276" s="580"/>
      <c r="TVS276" s="580"/>
      <c r="TVT276" s="580"/>
      <c r="TVU276" s="580"/>
      <c r="TVV276" s="580"/>
      <c r="TVW276" s="580"/>
      <c r="TVX276" s="580"/>
      <c r="TVY276" s="580"/>
      <c r="TVZ276" s="580"/>
      <c r="TWA276" s="580"/>
      <c r="TWB276" s="580"/>
      <c r="TWC276" s="580"/>
      <c r="TWD276" s="580"/>
      <c r="TWE276" s="580"/>
      <c r="TWF276" s="580"/>
      <c r="TWG276" s="580"/>
      <c r="TWH276" s="580"/>
      <c r="TWI276" s="580"/>
      <c r="TWJ276" s="580"/>
      <c r="TWK276" s="580"/>
      <c r="TWL276" s="580"/>
      <c r="TWM276" s="580"/>
      <c r="TWN276" s="580"/>
      <c r="TWO276" s="580"/>
      <c r="TWP276" s="580"/>
      <c r="TWQ276" s="580"/>
      <c r="TWR276" s="580"/>
      <c r="TWS276" s="580"/>
      <c r="TWT276" s="580"/>
      <c r="TWU276" s="580"/>
      <c r="TWV276" s="580"/>
      <c r="TWW276" s="580"/>
      <c r="TWX276" s="580"/>
      <c r="TWY276" s="580"/>
      <c r="TWZ276" s="580"/>
      <c r="TXA276" s="580"/>
      <c r="TXB276" s="580"/>
      <c r="TXC276" s="580"/>
      <c r="TXD276" s="580"/>
      <c r="TXE276" s="580"/>
      <c r="TXF276" s="580"/>
      <c r="TXG276" s="580"/>
      <c r="TXH276" s="580"/>
      <c r="TXI276" s="580"/>
      <c r="TXJ276" s="580"/>
      <c r="TXK276" s="580"/>
      <c r="TXL276" s="580"/>
      <c r="TXM276" s="580"/>
      <c r="TXN276" s="580"/>
      <c r="TXO276" s="580"/>
      <c r="TXP276" s="580"/>
      <c r="TXQ276" s="580"/>
      <c r="TXR276" s="580"/>
      <c r="TXS276" s="580"/>
      <c r="TXT276" s="580"/>
      <c r="TXU276" s="580"/>
      <c r="TXV276" s="580"/>
      <c r="TXW276" s="580"/>
      <c r="TXX276" s="580"/>
      <c r="TXY276" s="580"/>
      <c r="TXZ276" s="580"/>
      <c r="TYA276" s="580"/>
      <c r="TYB276" s="580"/>
      <c r="TYC276" s="580"/>
      <c r="TYD276" s="580"/>
      <c r="TYE276" s="580"/>
      <c r="TYF276" s="580"/>
      <c r="TYG276" s="580"/>
      <c r="TYH276" s="580"/>
      <c r="TYI276" s="580"/>
      <c r="TYJ276" s="580"/>
      <c r="TYK276" s="580"/>
      <c r="TYL276" s="580"/>
      <c r="TYM276" s="580"/>
      <c r="TYN276" s="580"/>
      <c r="TYO276" s="580"/>
      <c r="TYP276" s="580"/>
      <c r="TYQ276" s="580"/>
      <c r="TYR276" s="580"/>
      <c r="TYS276" s="580"/>
      <c r="TYT276" s="580"/>
      <c r="TYU276" s="580"/>
      <c r="TYV276" s="580"/>
      <c r="TYW276" s="580"/>
      <c r="TYX276" s="580"/>
      <c r="TYY276" s="580"/>
      <c r="TYZ276" s="580"/>
      <c r="TZA276" s="580"/>
      <c r="TZB276" s="580"/>
      <c r="TZC276" s="580"/>
      <c r="TZD276" s="580"/>
      <c r="TZE276" s="580"/>
      <c r="TZF276" s="580"/>
      <c r="TZG276" s="580"/>
      <c r="TZH276" s="580"/>
      <c r="TZI276" s="580"/>
      <c r="TZJ276" s="580"/>
      <c r="TZK276" s="580"/>
      <c r="TZL276" s="580"/>
      <c r="TZM276" s="580"/>
      <c r="TZN276" s="580"/>
      <c r="TZO276" s="580"/>
      <c r="TZP276" s="580"/>
      <c r="TZQ276" s="580"/>
      <c r="TZR276" s="580"/>
      <c r="TZS276" s="580"/>
      <c r="TZT276" s="580"/>
      <c r="TZU276" s="580"/>
      <c r="TZV276" s="580"/>
      <c r="TZW276" s="580"/>
      <c r="TZX276" s="580"/>
      <c r="TZY276" s="580"/>
      <c r="TZZ276" s="580"/>
      <c r="UAA276" s="580"/>
      <c r="UAB276" s="580"/>
      <c r="UAC276" s="580"/>
      <c r="UAD276" s="580"/>
      <c r="UAE276" s="580"/>
      <c r="UAF276" s="580"/>
      <c r="UAG276" s="580"/>
      <c r="UAH276" s="580"/>
      <c r="UAI276" s="580"/>
      <c r="UAJ276" s="580"/>
      <c r="UAK276" s="580"/>
      <c r="UAL276" s="580"/>
      <c r="UAM276" s="580"/>
      <c r="UAN276" s="580"/>
      <c r="UAO276" s="580"/>
      <c r="UAP276" s="580"/>
      <c r="UAQ276" s="580"/>
      <c r="UAR276" s="580"/>
      <c r="UAS276" s="580"/>
      <c r="UAT276" s="580"/>
      <c r="UAU276" s="580"/>
      <c r="UAV276" s="580"/>
      <c r="UAW276" s="580"/>
      <c r="UAX276" s="580"/>
      <c r="UAY276" s="580"/>
      <c r="UAZ276" s="580"/>
      <c r="UBA276" s="580"/>
      <c r="UBB276" s="580"/>
      <c r="UBC276" s="580"/>
      <c r="UBD276" s="580"/>
      <c r="UBE276" s="580"/>
      <c r="UBF276" s="580"/>
      <c r="UBG276" s="580"/>
      <c r="UBH276" s="580"/>
      <c r="UBI276" s="580"/>
      <c r="UBJ276" s="580"/>
      <c r="UBK276" s="580"/>
      <c r="UBL276" s="580"/>
      <c r="UBM276" s="580"/>
      <c r="UBN276" s="580"/>
      <c r="UBO276" s="580"/>
      <c r="UBP276" s="580"/>
      <c r="UBQ276" s="580"/>
      <c r="UBR276" s="580"/>
      <c r="UBS276" s="580"/>
      <c r="UBT276" s="580"/>
      <c r="UBU276" s="580"/>
      <c r="UBV276" s="580"/>
      <c r="UBW276" s="580"/>
      <c r="UBX276" s="580"/>
      <c r="UBY276" s="580"/>
      <c r="UBZ276" s="580"/>
      <c r="UCA276" s="580"/>
      <c r="UCB276" s="580"/>
      <c r="UCC276" s="580"/>
      <c r="UCD276" s="580"/>
      <c r="UCE276" s="580"/>
      <c r="UCF276" s="580"/>
      <c r="UCG276" s="580"/>
      <c r="UCH276" s="580"/>
      <c r="UCI276" s="580"/>
      <c r="UCJ276" s="580"/>
      <c r="UCK276" s="580"/>
      <c r="UCL276" s="580"/>
      <c r="UCM276" s="580"/>
      <c r="UCN276" s="580"/>
      <c r="UCO276" s="580"/>
      <c r="UCP276" s="580"/>
      <c r="UCQ276" s="580"/>
      <c r="UCR276" s="580"/>
      <c r="UCS276" s="580"/>
      <c r="UCT276" s="580"/>
      <c r="UCU276" s="580"/>
      <c r="UCV276" s="580"/>
      <c r="UCW276" s="580"/>
      <c r="UCX276" s="580"/>
      <c r="UCY276" s="580"/>
      <c r="UCZ276" s="580"/>
      <c r="UDA276" s="580"/>
      <c r="UDB276" s="580"/>
      <c r="UDC276" s="580"/>
      <c r="UDD276" s="580"/>
      <c r="UDE276" s="580"/>
      <c r="UDF276" s="580"/>
      <c r="UDG276" s="580"/>
      <c r="UDH276" s="580"/>
      <c r="UDI276" s="580"/>
      <c r="UDJ276" s="580"/>
      <c r="UDK276" s="580"/>
      <c r="UDL276" s="580"/>
      <c r="UDM276" s="580"/>
      <c r="UDN276" s="580"/>
      <c r="UDO276" s="580"/>
      <c r="UDP276" s="580"/>
      <c r="UDQ276" s="580"/>
      <c r="UDR276" s="580"/>
      <c r="UDS276" s="580"/>
      <c r="UDT276" s="580"/>
      <c r="UDU276" s="580"/>
      <c r="UDV276" s="580"/>
      <c r="UDW276" s="580"/>
      <c r="UDX276" s="580"/>
      <c r="UDY276" s="580"/>
      <c r="UDZ276" s="580"/>
      <c r="UEA276" s="580"/>
      <c r="UEB276" s="580"/>
      <c r="UEC276" s="580"/>
      <c r="UED276" s="580"/>
      <c r="UEE276" s="580"/>
      <c r="UEF276" s="580"/>
      <c r="UEG276" s="580"/>
      <c r="UEH276" s="580"/>
      <c r="UEI276" s="580"/>
      <c r="UEJ276" s="580"/>
      <c r="UEK276" s="580"/>
      <c r="UEL276" s="580"/>
      <c r="UEM276" s="580"/>
      <c r="UEN276" s="580"/>
      <c r="UEO276" s="580"/>
      <c r="UEP276" s="580"/>
      <c r="UEQ276" s="580"/>
      <c r="UER276" s="580"/>
      <c r="UES276" s="580"/>
      <c r="UET276" s="580"/>
      <c r="UEU276" s="580"/>
      <c r="UEV276" s="580"/>
      <c r="UEW276" s="580"/>
      <c r="UEX276" s="580"/>
      <c r="UEY276" s="580"/>
      <c r="UEZ276" s="580"/>
      <c r="UFA276" s="580"/>
      <c r="UFB276" s="580"/>
      <c r="UFC276" s="580"/>
      <c r="UFD276" s="580"/>
      <c r="UFE276" s="580"/>
      <c r="UFF276" s="580"/>
      <c r="UFG276" s="580"/>
      <c r="UFH276" s="580"/>
      <c r="UFI276" s="580"/>
      <c r="UFJ276" s="580"/>
      <c r="UFK276" s="580"/>
      <c r="UFL276" s="580"/>
      <c r="UFM276" s="580"/>
      <c r="UFN276" s="580"/>
      <c r="UFO276" s="580"/>
      <c r="UFP276" s="580"/>
      <c r="UFQ276" s="580"/>
      <c r="UFR276" s="580"/>
      <c r="UFS276" s="580"/>
      <c r="UFT276" s="580"/>
      <c r="UFU276" s="580"/>
      <c r="UFV276" s="580"/>
      <c r="UFW276" s="580"/>
      <c r="UFX276" s="580"/>
      <c r="UFY276" s="580"/>
      <c r="UFZ276" s="580"/>
      <c r="UGA276" s="580"/>
      <c r="UGB276" s="580"/>
      <c r="UGC276" s="580"/>
      <c r="UGD276" s="580"/>
      <c r="UGE276" s="580"/>
      <c r="UGF276" s="580"/>
      <c r="UGG276" s="580"/>
      <c r="UGH276" s="580"/>
      <c r="UGI276" s="580"/>
      <c r="UGJ276" s="580"/>
      <c r="UGK276" s="580"/>
      <c r="UGL276" s="580"/>
      <c r="UGM276" s="580"/>
      <c r="UGN276" s="580"/>
      <c r="UGO276" s="580"/>
      <c r="UGP276" s="580"/>
      <c r="UGQ276" s="580"/>
      <c r="UGR276" s="580"/>
      <c r="UGS276" s="580"/>
      <c r="UGT276" s="580"/>
      <c r="UGU276" s="580"/>
      <c r="UGV276" s="580"/>
      <c r="UGW276" s="580"/>
      <c r="UGX276" s="580"/>
      <c r="UGY276" s="580"/>
      <c r="UGZ276" s="580"/>
      <c r="UHA276" s="580"/>
      <c r="UHB276" s="580"/>
      <c r="UHC276" s="580"/>
      <c r="UHD276" s="580"/>
      <c r="UHE276" s="580"/>
      <c r="UHF276" s="580"/>
      <c r="UHG276" s="580"/>
      <c r="UHH276" s="580"/>
      <c r="UHI276" s="580"/>
      <c r="UHJ276" s="580"/>
      <c r="UHK276" s="580"/>
      <c r="UHL276" s="580"/>
      <c r="UHM276" s="580"/>
      <c r="UHN276" s="580"/>
      <c r="UHO276" s="580"/>
      <c r="UHP276" s="580"/>
      <c r="UHQ276" s="580"/>
      <c r="UHR276" s="580"/>
      <c r="UHS276" s="580"/>
      <c r="UHT276" s="580"/>
      <c r="UHU276" s="580"/>
      <c r="UHV276" s="580"/>
      <c r="UHW276" s="580"/>
      <c r="UHX276" s="580"/>
      <c r="UHY276" s="580"/>
      <c r="UHZ276" s="580"/>
      <c r="UIA276" s="580"/>
      <c r="UIB276" s="580"/>
      <c r="UIC276" s="580"/>
      <c r="UID276" s="580"/>
      <c r="UIE276" s="580"/>
      <c r="UIF276" s="580"/>
      <c r="UIG276" s="580"/>
      <c r="UIH276" s="580"/>
      <c r="UII276" s="580"/>
      <c r="UIJ276" s="580"/>
      <c r="UIK276" s="580"/>
      <c r="UIL276" s="580"/>
      <c r="UIM276" s="580"/>
      <c r="UIN276" s="580"/>
      <c r="UIO276" s="580"/>
      <c r="UIP276" s="580"/>
      <c r="UIQ276" s="580"/>
      <c r="UIR276" s="580"/>
      <c r="UIS276" s="580"/>
      <c r="UIT276" s="580"/>
      <c r="UIU276" s="580"/>
      <c r="UIV276" s="580"/>
      <c r="UIW276" s="580"/>
      <c r="UIX276" s="580"/>
      <c r="UIY276" s="580"/>
      <c r="UIZ276" s="580"/>
      <c r="UJA276" s="580"/>
      <c r="UJB276" s="580"/>
      <c r="UJC276" s="580"/>
      <c r="UJD276" s="580"/>
      <c r="UJE276" s="580"/>
      <c r="UJF276" s="580"/>
      <c r="UJG276" s="580"/>
      <c r="UJH276" s="580"/>
      <c r="UJI276" s="580"/>
      <c r="UJJ276" s="580"/>
      <c r="UJK276" s="580"/>
      <c r="UJL276" s="580"/>
      <c r="UJM276" s="580"/>
      <c r="UJN276" s="580"/>
      <c r="UJO276" s="580"/>
      <c r="UJP276" s="580"/>
      <c r="UJQ276" s="580"/>
      <c r="UJR276" s="580"/>
      <c r="UJS276" s="580"/>
      <c r="UJT276" s="580"/>
      <c r="UJU276" s="580"/>
      <c r="UJV276" s="580"/>
      <c r="UJW276" s="580"/>
      <c r="UJX276" s="580"/>
      <c r="UJY276" s="580"/>
      <c r="UJZ276" s="580"/>
      <c r="UKA276" s="580"/>
      <c r="UKB276" s="580"/>
      <c r="UKC276" s="580"/>
      <c r="UKD276" s="580"/>
      <c r="UKE276" s="580"/>
      <c r="UKF276" s="580"/>
      <c r="UKG276" s="580"/>
      <c r="UKH276" s="580"/>
      <c r="UKI276" s="580"/>
      <c r="UKJ276" s="580"/>
      <c r="UKK276" s="580"/>
      <c r="UKL276" s="580"/>
      <c r="UKM276" s="580"/>
      <c r="UKN276" s="580"/>
      <c r="UKO276" s="580"/>
      <c r="UKP276" s="580"/>
      <c r="UKQ276" s="580"/>
      <c r="UKR276" s="580"/>
      <c r="UKS276" s="580"/>
      <c r="UKT276" s="580"/>
      <c r="UKU276" s="580"/>
      <c r="UKV276" s="580"/>
      <c r="UKW276" s="580"/>
      <c r="UKX276" s="580"/>
      <c r="UKY276" s="580"/>
      <c r="UKZ276" s="580"/>
      <c r="ULA276" s="580"/>
      <c r="ULB276" s="580"/>
      <c r="ULC276" s="580"/>
      <c r="ULD276" s="580"/>
      <c r="ULE276" s="580"/>
      <c r="ULF276" s="580"/>
      <c r="ULG276" s="580"/>
      <c r="ULH276" s="580"/>
      <c r="ULI276" s="580"/>
      <c r="ULJ276" s="580"/>
      <c r="ULK276" s="580"/>
      <c r="ULL276" s="580"/>
      <c r="ULM276" s="580"/>
      <c r="ULN276" s="580"/>
      <c r="ULO276" s="580"/>
      <c r="ULP276" s="580"/>
      <c r="ULQ276" s="580"/>
      <c r="ULR276" s="580"/>
      <c r="ULS276" s="580"/>
      <c r="ULT276" s="580"/>
      <c r="ULU276" s="580"/>
      <c r="ULV276" s="580"/>
      <c r="ULW276" s="580"/>
      <c r="ULX276" s="580"/>
      <c r="ULY276" s="580"/>
      <c r="ULZ276" s="580"/>
      <c r="UMA276" s="580"/>
      <c r="UMB276" s="580"/>
      <c r="UMC276" s="580"/>
      <c r="UMD276" s="580"/>
      <c r="UME276" s="580"/>
      <c r="UMF276" s="580"/>
      <c r="UMG276" s="580"/>
      <c r="UMH276" s="580"/>
      <c r="UMI276" s="580"/>
      <c r="UMJ276" s="580"/>
      <c r="UMK276" s="580"/>
      <c r="UML276" s="580"/>
      <c r="UMM276" s="580"/>
      <c r="UMN276" s="580"/>
      <c r="UMO276" s="580"/>
      <c r="UMP276" s="580"/>
      <c r="UMQ276" s="580"/>
      <c r="UMR276" s="580"/>
      <c r="UMS276" s="580"/>
      <c r="UMT276" s="580"/>
      <c r="UMU276" s="580"/>
      <c r="UMV276" s="580"/>
      <c r="UMW276" s="580"/>
      <c r="UMX276" s="580"/>
      <c r="UMY276" s="580"/>
      <c r="UMZ276" s="580"/>
      <c r="UNA276" s="580"/>
      <c r="UNB276" s="580"/>
      <c r="UNC276" s="580"/>
      <c r="UND276" s="580"/>
      <c r="UNE276" s="580"/>
      <c r="UNF276" s="580"/>
      <c r="UNG276" s="580"/>
      <c r="UNH276" s="580"/>
      <c r="UNI276" s="580"/>
      <c r="UNJ276" s="580"/>
      <c r="UNK276" s="580"/>
      <c r="UNL276" s="580"/>
      <c r="UNM276" s="580"/>
      <c r="UNN276" s="580"/>
      <c r="UNO276" s="580"/>
      <c r="UNP276" s="580"/>
      <c r="UNQ276" s="580"/>
      <c r="UNR276" s="580"/>
      <c r="UNS276" s="580"/>
      <c r="UNT276" s="580"/>
      <c r="UNU276" s="580"/>
      <c r="UNV276" s="580"/>
      <c r="UNW276" s="580"/>
      <c r="UNX276" s="580"/>
      <c r="UNY276" s="580"/>
      <c r="UNZ276" s="580"/>
      <c r="UOA276" s="580"/>
      <c r="UOB276" s="580"/>
      <c r="UOC276" s="580"/>
      <c r="UOD276" s="580"/>
      <c r="UOE276" s="580"/>
      <c r="UOF276" s="580"/>
      <c r="UOG276" s="580"/>
      <c r="UOH276" s="580"/>
      <c r="UOI276" s="580"/>
      <c r="UOJ276" s="580"/>
      <c r="UOK276" s="580"/>
      <c r="UOL276" s="580"/>
      <c r="UOM276" s="580"/>
      <c r="UON276" s="580"/>
      <c r="UOO276" s="580"/>
      <c r="UOP276" s="580"/>
      <c r="UOQ276" s="580"/>
      <c r="UOR276" s="580"/>
      <c r="UOS276" s="580"/>
      <c r="UOT276" s="580"/>
      <c r="UOU276" s="580"/>
      <c r="UOV276" s="580"/>
      <c r="UOW276" s="580"/>
      <c r="UOX276" s="580"/>
      <c r="UOY276" s="580"/>
      <c r="UOZ276" s="580"/>
      <c r="UPA276" s="580"/>
      <c r="UPB276" s="580"/>
      <c r="UPC276" s="580"/>
      <c r="UPD276" s="580"/>
      <c r="UPE276" s="580"/>
      <c r="UPF276" s="580"/>
      <c r="UPG276" s="580"/>
      <c r="UPH276" s="580"/>
      <c r="UPI276" s="580"/>
      <c r="UPJ276" s="580"/>
      <c r="UPK276" s="580"/>
      <c r="UPL276" s="580"/>
      <c r="UPM276" s="580"/>
      <c r="UPN276" s="580"/>
      <c r="UPO276" s="580"/>
      <c r="UPP276" s="580"/>
      <c r="UPQ276" s="580"/>
      <c r="UPR276" s="580"/>
      <c r="UPS276" s="580"/>
      <c r="UPT276" s="580"/>
      <c r="UPU276" s="580"/>
      <c r="UPV276" s="580"/>
      <c r="UPW276" s="580"/>
      <c r="UPX276" s="580"/>
      <c r="UPY276" s="580"/>
      <c r="UPZ276" s="580"/>
      <c r="UQA276" s="580"/>
      <c r="UQB276" s="580"/>
      <c r="UQC276" s="580"/>
      <c r="UQD276" s="580"/>
      <c r="UQE276" s="580"/>
      <c r="UQF276" s="580"/>
      <c r="UQG276" s="580"/>
      <c r="UQH276" s="580"/>
      <c r="UQI276" s="580"/>
      <c r="UQJ276" s="580"/>
      <c r="UQK276" s="580"/>
      <c r="UQL276" s="580"/>
      <c r="UQM276" s="580"/>
      <c r="UQN276" s="580"/>
      <c r="UQO276" s="580"/>
      <c r="UQP276" s="580"/>
      <c r="UQQ276" s="580"/>
      <c r="UQR276" s="580"/>
      <c r="UQS276" s="580"/>
      <c r="UQT276" s="580"/>
      <c r="UQU276" s="580"/>
      <c r="UQV276" s="580"/>
      <c r="UQW276" s="580"/>
      <c r="UQX276" s="580"/>
      <c r="UQY276" s="580"/>
      <c r="UQZ276" s="580"/>
      <c r="URA276" s="580"/>
      <c r="URB276" s="580"/>
      <c r="URC276" s="580"/>
      <c r="URD276" s="580"/>
      <c r="URE276" s="580"/>
      <c r="URF276" s="580"/>
      <c r="URG276" s="580"/>
      <c r="URH276" s="580"/>
      <c r="URI276" s="580"/>
      <c r="URJ276" s="580"/>
      <c r="URK276" s="580"/>
      <c r="URL276" s="580"/>
      <c r="URM276" s="580"/>
      <c r="URN276" s="580"/>
      <c r="URO276" s="580"/>
      <c r="URP276" s="580"/>
      <c r="URQ276" s="580"/>
      <c r="URR276" s="580"/>
      <c r="URS276" s="580"/>
      <c r="URT276" s="580"/>
      <c r="URU276" s="580"/>
      <c r="URV276" s="580"/>
      <c r="URW276" s="580"/>
      <c r="URX276" s="580"/>
      <c r="URY276" s="580"/>
      <c r="URZ276" s="580"/>
      <c r="USA276" s="580"/>
      <c r="USB276" s="580"/>
      <c r="USC276" s="580"/>
      <c r="USD276" s="580"/>
      <c r="USE276" s="580"/>
      <c r="USF276" s="580"/>
      <c r="USG276" s="580"/>
      <c r="USH276" s="580"/>
      <c r="USI276" s="580"/>
      <c r="USJ276" s="580"/>
      <c r="USK276" s="580"/>
      <c r="USL276" s="580"/>
      <c r="USM276" s="580"/>
      <c r="USN276" s="580"/>
      <c r="USO276" s="580"/>
      <c r="USP276" s="580"/>
      <c r="USQ276" s="580"/>
      <c r="USR276" s="580"/>
      <c r="USS276" s="580"/>
      <c r="UST276" s="580"/>
      <c r="USU276" s="580"/>
      <c r="USV276" s="580"/>
      <c r="USW276" s="580"/>
      <c r="USX276" s="580"/>
      <c r="USY276" s="580"/>
      <c r="USZ276" s="580"/>
      <c r="UTA276" s="580"/>
      <c r="UTB276" s="580"/>
      <c r="UTC276" s="580"/>
      <c r="UTD276" s="580"/>
      <c r="UTE276" s="580"/>
      <c r="UTF276" s="580"/>
      <c r="UTG276" s="580"/>
      <c r="UTH276" s="580"/>
      <c r="UTI276" s="580"/>
      <c r="UTJ276" s="580"/>
      <c r="UTK276" s="580"/>
      <c r="UTL276" s="580"/>
      <c r="UTM276" s="580"/>
      <c r="UTN276" s="580"/>
      <c r="UTO276" s="580"/>
      <c r="UTP276" s="580"/>
      <c r="UTQ276" s="580"/>
      <c r="UTR276" s="580"/>
      <c r="UTS276" s="580"/>
      <c r="UTT276" s="580"/>
      <c r="UTU276" s="580"/>
      <c r="UTV276" s="580"/>
      <c r="UTW276" s="580"/>
      <c r="UTX276" s="580"/>
      <c r="UTY276" s="580"/>
      <c r="UTZ276" s="580"/>
      <c r="UUA276" s="580"/>
      <c r="UUB276" s="580"/>
      <c r="UUC276" s="580"/>
      <c r="UUD276" s="580"/>
      <c r="UUE276" s="580"/>
      <c r="UUF276" s="580"/>
      <c r="UUG276" s="580"/>
      <c r="UUH276" s="580"/>
      <c r="UUI276" s="580"/>
      <c r="UUJ276" s="580"/>
      <c r="UUK276" s="580"/>
      <c r="UUL276" s="580"/>
      <c r="UUM276" s="580"/>
      <c r="UUN276" s="580"/>
      <c r="UUO276" s="580"/>
      <c r="UUP276" s="580"/>
      <c r="UUQ276" s="580"/>
      <c r="UUR276" s="580"/>
      <c r="UUS276" s="580"/>
      <c r="UUT276" s="580"/>
      <c r="UUU276" s="580"/>
      <c r="UUV276" s="580"/>
      <c r="UUW276" s="580"/>
      <c r="UUX276" s="580"/>
      <c r="UUY276" s="580"/>
      <c r="UUZ276" s="580"/>
      <c r="UVA276" s="580"/>
      <c r="UVB276" s="580"/>
      <c r="UVC276" s="580"/>
      <c r="UVD276" s="580"/>
      <c r="UVE276" s="580"/>
      <c r="UVF276" s="580"/>
      <c r="UVG276" s="580"/>
      <c r="UVH276" s="580"/>
      <c r="UVI276" s="580"/>
      <c r="UVJ276" s="580"/>
      <c r="UVK276" s="580"/>
      <c r="UVL276" s="580"/>
      <c r="UVM276" s="580"/>
      <c r="UVN276" s="580"/>
      <c r="UVO276" s="580"/>
      <c r="UVP276" s="580"/>
      <c r="UVQ276" s="580"/>
      <c r="UVR276" s="580"/>
      <c r="UVS276" s="580"/>
      <c r="UVT276" s="580"/>
      <c r="UVU276" s="580"/>
      <c r="UVV276" s="580"/>
      <c r="UVW276" s="580"/>
      <c r="UVX276" s="580"/>
      <c r="UVY276" s="580"/>
      <c r="UVZ276" s="580"/>
      <c r="UWA276" s="580"/>
      <c r="UWB276" s="580"/>
      <c r="UWC276" s="580"/>
      <c r="UWD276" s="580"/>
      <c r="UWE276" s="580"/>
      <c r="UWF276" s="580"/>
      <c r="UWG276" s="580"/>
      <c r="UWH276" s="580"/>
      <c r="UWI276" s="580"/>
      <c r="UWJ276" s="580"/>
      <c r="UWK276" s="580"/>
      <c r="UWL276" s="580"/>
      <c r="UWM276" s="580"/>
      <c r="UWN276" s="580"/>
      <c r="UWO276" s="580"/>
      <c r="UWP276" s="580"/>
      <c r="UWQ276" s="580"/>
      <c r="UWR276" s="580"/>
      <c r="UWS276" s="580"/>
      <c r="UWT276" s="580"/>
      <c r="UWU276" s="580"/>
      <c r="UWV276" s="580"/>
      <c r="UWW276" s="580"/>
      <c r="UWX276" s="580"/>
      <c r="UWY276" s="580"/>
      <c r="UWZ276" s="580"/>
      <c r="UXA276" s="580"/>
      <c r="UXB276" s="580"/>
      <c r="UXC276" s="580"/>
      <c r="UXD276" s="580"/>
      <c r="UXE276" s="580"/>
      <c r="UXF276" s="580"/>
      <c r="UXG276" s="580"/>
      <c r="UXH276" s="580"/>
      <c r="UXI276" s="580"/>
      <c r="UXJ276" s="580"/>
      <c r="UXK276" s="580"/>
      <c r="UXL276" s="580"/>
      <c r="UXM276" s="580"/>
      <c r="UXN276" s="580"/>
      <c r="UXO276" s="580"/>
      <c r="UXP276" s="580"/>
      <c r="UXQ276" s="580"/>
      <c r="UXR276" s="580"/>
      <c r="UXS276" s="580"/>
      <c r="UXT276" s="580"/>
      <c r="UXU276" s="580"/>
      <c r="UXV276" s="580"/>
      <c r="UXW276" s="580"/>
      <c r="UXX276" s="580"/>
      <c r="UXY276" s="580"/>
      <c r="UXZ276" s="580"/>
      <c r="UYA276" s="580"/>
      <c r="UYB276" s="580"/>
      <c r="UYC276" s="580"/>
      <c r="UYD276" s="580"/>
      <c r="UYE276" s="580"/>
      <c r="UYF276" s="580"/>
      <c r="UYG276" s="580"/>
      <c r="UYH276" s="580"/>
      <c r="UYI276" s="580"/>
      <c r="UYJ276" s="580"/>
      <c r="UYK276" s="580"/>
      <c r="UYL276" s="580"/>
      <c r="UYM276" s="580"/>
      <c r="UYN276" s="580"/>
      <c r="UYO276" s="580"/>
      <c r="UYP276" s="580"/>
      <c r="UYQ276" s="580"/>
      <c r="UYR276" s="580"/>
      <c r="UYS276" s="580"/>
      <c r="UYT276" s="580"/>
      <c r="UYU276" s="580"/>
      <c r="UYV276" s="580"/>
      <c r="UYW276" s="580"/>
      <c r="UYX276" s="580"/>
      <c r="UYY276" s="580"/>
      <c r="UYZ276" s="580"/>
      <c r="UZA276" s="580"/>
      <c r="UZB276" s="580"/>
      <c r="UZC276" s="580"/>
      <c r="UZD276" s="580"/>
      <c r="UZE276" s="580"/>
      <c r="UZF276" s="580"/>
      <c r="UZG276" s="580"/>
      <c r="UZH276" s="580"/>
      <c r="UZI276" s="580"/>
      <c r="UZJ276" s="580"/>
      <c r="UZK276" s="580"/>
      <c r="UZL276" s="580"/>
      <c r="UZM276" s="580"/>
      <c r="UZN276" s="580"/>
      <c r="UZO276" s="580"/>
      <c r="UZP276" s="580"/>
      <c r="UZQ276" s="580"/>
      <c r="UZR276" s="580"/>
      <c r="UZS276" s="580"/>
      <c r="UZT276" s="580"/>
      <c r="UZU276" s="580"/>
      <c r="UZV276" s="580"/>
      <c r="UZW276" s="580"/>
      <c r="UZX276" s="580"/>
      <c r="UZY276" s="580"/>
      <c r="UZZ276" s="580"/>
      <c r="VAA276" s="580"/>
      <c r="VAB276" s="580"/>
      <c r="VAC276" s="580"/>
      <c r="VAD276" s="580"/>
      <c r="VAE276" s="580"/>
      <c r="VAF276" s="580"/>
      <c r="VAG276" s="580"/>
      <c r="VAH276" s="580"/>
      <c r="VAI276" s="580"/>
      <c r="VAJ276" s="580"/>
      <c r="VAK276" s="580"/>
      <c r="VAL276" s="580"/>
      <c r="VAM276" s="580"/>
      <c r="VAN276" s="580"/>
      <c r="VAO276" s="580"/>
      <c r="VAP276" s="580"/>
      <c r="VAQ276" s="580"/>
      <c r="VAR276" s="580"/>
      <c r="VAS276" s="580"/>
      <c r="VAT276" s="580"/>
      <c r="VAU276" s="580"/>
      <c r="VAV276" s="580"/>
      <c r="VAW276" s="580"/>
      <c r="VAX276" s="580"/>
      <c r="VAY276" s="580"/>
      <c r="VAZ276" s="580"/>
      <c r="VBA276" s="580"/>
      <c r="VBB276" s="580"/>
      <c r="VBC276" s="580"/>
      <c r="VBD276" s="580"/>
      <c r="VBE276" s="580"/>
      <c r="VBF276" s="580"/>
      <c r="VBG276" s="580"/>
      <c r="VBH276" s="580"/>
      <c r="VBI276" s="580"/>
      <c r="VBJ276" s="580"/>
      <c r="VBK276" s="580"/>
      <c r="VBL276" s="580"/>
      <c r="VBM276" s="580"/>
      <c r="VBN276" s="580"/>
      <c r="VBO276" s="580"/>
      <c r="VBP276" s="580"/>
      <c r="VBQ276" s="580"/>
      <c r="VBR276" s="580"/>
      <c r="VBS276" s="580"/>
      <c r="VBT276" s="580"/>
      <c r="VBU276" s="580"/>
      <c r="VBV276" s="580"/>
      <c r="VBW276" s="580"/>
      <c r="VBX276" s="580"/>
      <c r="VBY276" s="580"/>
      <c r="VBZ276" s="580"/>
      <c r="VCA276" s="580"/>
      <c r="VCB276" s="580"/>
      <c r="VCC276" s="580"/>
      <c r="VCD276" s="580"/>
      <c r="VCE276" s="580"/>
      <c r="VCF276" s="580"/>
      <c r="VCG276" s="580"/>
      <c r="VCH276" s="580"/>
      <c r="VCI276" s="580"/>
      <c r="VCJ276" s="580"/>
      <c r="VCK276" s="580"/>
      <c r="VCL276" s="580"/>
      <c r="VCM276" s="580"/>
      <c r="VCN276" s="580"/>
      <c r="VCO276" s="580"/>
      <c r="VCP276" s="580"/>
      <c r="VCQ276" s="580"/>
      <c r="VCR276" s="580"/>
      <c r="VCS276" s="580"/>
      <c r="VCT276" s="580"/>
      <c r="VCU276" s="580"/>
      <c r="VCV276" s="580"/>
      <c r="VCW276" s="580"/>
      <c r="VCX276" s="580"/>
      <c r="VCY276" s="580"/>
      <c r="VCZ276" s="580"/>
      <c r="VDA276" s="580"/>
      <c r="VDB276" s="580"/>
      <c r="VDC276" s="580"/>
      <c r="VDD276" s="580"/>
      <c r="VDE276" s="580"/>
      <c r="VDF276" s="580"/>
      <c r="VDG276" s="580"/>
      <c r="VDH276" s="580"/>
      <c r="VDI276" s="580"/>
      <c r="VDJ276" s="580"/>
      <c r="VDK276" s="580"/>
      <c r="VDL276" s="580"/>
      <c r="VDM276" s="580"/>
      <c r="VDN276" s="580"/>
      <c r="VDO276" s="580"/>
      <c r="VDP276" s="580"/>
      <c r="VDQ276" s="580"/>
      <c r="VDR276" s="580"/>
      <c r="VDS276" s="580"/>
      <c r="VDT276" s="580"/>
      <c r="VDU276" s="580"/>
      <c r="VDV276" s="580"/>
      <c r="VDW276" s="580"/>
      <c r="VDX276" s="580"/>
      <c r="VDY276" s="580"/>
      <c r="VDZ276" s="580"/>
      <c r="VEA276" s="580"/>
      <c r="VEB276" s="580"/>
      <c r="VEC276" s="580"/>
      <c r="VED276" s="580"/>
      <c r="VEE276" s="580"/>
      <c r="VEF276" s="580"/>
      <c r="VEG276" s="580"/>
      <c r="VEH276" s="580"/>
      <c r="VEI276" s="580"/>
      <c r="VEJ276" s="580"/>
      <c r="VEK276" s="580"/>
      <c r="VEL276" s="580"/>
      <c r="VEM276" s="580"/>
      <c r="VEN276" s="580"/>
      <c r="VEO276" s="580"/>
      <c r="VEP276" s="580"/>
      <c r="VEQ276" s="580"/>
      <c r="VER276" s="580"/>
      <c r="VES276" s="580"/>
      <c r="VET276" s="580"/>
      <c r="VEU276" s="580"/>
      <c r="VEV276" s="580"/>
      <c r="VEW276" s="580"/>
      <c r="VEX276" s="580"/>
      <c r="VEY276" s="580"/>
      <c r="VEZ276" s="580"/>
      <c r="VFA276" s="580"/>
      <c r="VFB276" s="580"/>
      <c r="VFC276" s="580"/>
      <c r="VFD276" s="580"/>
      <c r="VFE276" s="580"/>
      <c r="VFF276" s="580"/>
      <c r="VFG276" s="580"/>
      <c r="VFH276" s="580"/>
      <c r="VFI276" s="580"/>
      <c r="VFJ276" s="580"/>
      <c r="VFK276" s="580"/>
      <c r="VFL276" s="580"/>
      <c r="VFM276" s="580"/>
      <c r="VFN276" s="580"/>
      <c r="VFO276" s="580"/>
      <c r="VFP276" s="580"/>
      <c r="VFQ276" s="580"/>
      <c r="VFR276" s="580"/>
      <c r="VFS276" s="580"/>
      <c r="VFT276" s="580"/>
      <c r="VFU276" s="580"/>
      <c r="VFV276" s="580"/>
      <c r="VFW276" s="580"/>
      <c r="VFX276" s="580"/>
      <c r="VFY276" s="580"/>
      <c r="VFZ276" s="580"/>
      <c r="VGA276" s="580"/>
      <c r="VGB276" s="580"/>
      <c r="VGC276" s="580"/>
      <c r="VGD276" s="580"/>
      <c r="VGE276" s="580"/>
      <c r="VGF276" s="580"/>
      <c r="VGG276" s="580"/>
      <c r="VGH276" s="580"/>
      <c r="VGI276" s="580"/>
      <c r="VGJ276" s="580"/>
      <c r="VGK276" s="580"/>
      <c r="VGL276" s="580"/>
      <c r="VGM276" s="580"/>
      <c r="VGN276" s="580"/>
      <c r="VGO276" s="580"/>
      <c r="VGP276" s="580"/>
      <c r="VGQ276" s="580"/>
      <c r="VGR276" s="580"/>
      <c r="VGS276" s="580"/>
      <c r="VGT276" s="580"/>
      <c r="VGU276" s="580"/>
      <c r="VGV276" s="580"/>
      <c r="VGW276" s="580"/>
      <c r="VGX276" s="580"/>
      <c r="VGY276" s="580"/>
      <c r="VGZ276" s="580"/>
      <c r="VHA276" s="580"/>
      <c r="VHB276" s="580"/>
      <c r="VHC276" s="580"/>
      <c r="VHD276" s="580"/>
      <c r="VHE276" s="580"/>
      <c r="VHF276" s="580"/>
      <c r="VHG276" s="580"/>
      <c r="VHH276" s="580"/>
      <c r="VHI276" s="580"/>
      <c r="VHJ276" s="580"/>
      <c r="VHK276" s="580"/>
      <c r="VHL276" s="580"/>
      <c r="VHM276" s="580"/>
      <c r="VHN276" s="580"/>
      <c r="VHO276" s="580"/>
      <c r="VHP276" s="580"/>
      <c r="VHQ276" s="580"/>
      <c r="VHR276" s="580"/>
      <c r="VHS276" s="580"/>
      <c r="VHT276" s="580"/>
      <c r="VHU276" s="580"/>
      <c r="VHV276" s="580"/>
      <c r="VHW276" s="580"/>
      <c r="VHX276" s="580"/>
      <c r="VHY276" s="580"/>
      <c r="VHZ276" s="580"/>
      <c r="VIA276" s="580"/>
      <c r="VIB276" s="580"/>
      <c r="VIC276" s="580"/>
      <c r="VID276" s="580"/>
      <c r="VIE276" s="580"/>
      <c r="VIF276" s="580"/>
      <c r="VIG276" s="580"/>
      <c r="VIH276" s="580"/>
      <c r="VII276" s="580"/>
      <c r="VIJ276" s="580"/>
      <c r="VIK276" s="580"/>
      <c r="VIL276" s="580"/>
      <c r="VIM276" s="580"/>
      <c r="VIN276" s="580"/>
      <c r="VIO276" s="580"/>
      <c r="VIP276" s="580"/>
      <c r="VIQ276" s="580"/>
      <c r="VIR276" s="580"/>
      <c r="VIS276" s="580"/>
      <c r="VIT276" s="580"/>
      <c r="VIU276" s="580"/>
      <c r="VIV276" s="580"/>
      <c r="VIW276" s="580"/>
      <c r="VIX276" s="580"/>
      <c r="VIY276" s="580"/>
      <c r="VIZ276" s="580"/>
      <c r="VJA276" s="580"/>
      <c r="VJB276" s="580"/>
      <c r="VJC276" s="580"/>
      <c r="VJD276" s="580"/>
      <c r="VJE276" s="580"/>
      <c r="VJF276" s="580"/>
      <c r="VJG276" s="580"/>
      <c r="VJH276" s="580"/>
      <c r="VJI276" s="580"/>
      <c r="VJJ276" s="580"/>
      <c r="VJK276" s="580"/>
      <c r="VJL276" s="580"/>
      <c r="VJM276" s="580"/>
      <c r="VJN276" s="580"/>
      <c r="VJO276" s="580"/>
      <c r="VJP276" s="580"/>
      <c r="VJQ276" s="580"/>
      <c r="VJR276" s="580"/>
      <c r="VJS276" s="580"/>
      <c r="VJT276" s="580"/>
      <c r="VJU276" s="580"/>
      <c r="VJV276" s="580"/>
      <c r="VJW276" s="580"/>
      <c r="VJX276" s="580"/>
      <c r="VJY276" s="580"/>
      <c r="VJZ276" s="580"/>
      <c r="VKA276" s="580"/>
      <c r="VKB276" s="580"/>
      <c r="VKC276" s="580"/>
      <c r="VKD276" s="580"/>
      <c r="VKE276" s="580"/>
      <c r="VKF276" s="580"/>
      <c r="VKG276" s="580"/>
      <c r="VKH276" s="580"/>
      <c r="VKI276" s="580"/>
      <c r="VKJ276" s="580"/>
      <c r="VKK276" s="580"/>
      <c r="VKL276" s="580"/>
      <c r="VKM276" s="580"/>
      <c r="VKN276" s="580"/>
      <c r="VKO276" s="580"/>
      <c r="VKP276" s="580"/>
      <c r="VKQ276" s="580"/>
      <c r="VKR276" s="580"/>
      <c r="VKS276" s="580"/>
      <c r="VKT276" s="580"/>
      <c r="VKU276" s="580"/>
      <c r="VKV276" s="580"/>
      <c r="VKW276" s="580"/>
      <c r="VKX276" s="580"/>
      <c r="VKY276" s="580"/>
      <c r="VKZ276" s="580"/>
      <c r="VLA276" s="580"/>
      <c r="VLB276" s="580"/>
      <c r="VLC276" s="580"/>
      <c r="VLD276" s="580"/>
      <c r="VLE276" s="580"/>
      <c r="VLF276" s="580"/>
      <c r="VLG276" s="580"/>
      <c r="VLH276" s="580"/>
      <c r="VLI276" s="580"/>
      <c r="VLJ276" s="580"/>
      <c r="VLK276" s="580"/>
      <c r="VLL276" s="580"/>
      <c r="VLM276" s="580"/>
      <c r="VLN276" s="580"/>
      <c r="VLO276" s="580"/>
      <c r="VLP276" s="580"/>
      <c r="VLQ276" s="580"/>
      <c r="VLR276" s="580"/>
      <c r="VLS276" s="580"/>
      <c r="VLT276" s="580"/>
      <c r="VLU276" s="580"/>
      <c r="VLV276" s="580"/>
      <c r="VLW276" s="580"/>
      <c r="VLX276" s="580"/>
      <c r="VLY276" s="580"/>
      <c r="VLZ276" s="580"/>
      <c r="VMA276" s="580"/>
      <c r="VMB276" s="580"/>
      <c r="VMC276" s="580"/>
      <c r="VMD276" s="580"/>
      <c r="VME276" s="580"/>
      <c r="VMF276" s="580"/>
      <c r="VMG276" s="580"/>
      <c r="VMH276" s="580"/>
      <c r="VMI276" s="580"/>
      <c r="VMJ276" s="580"/>
      <c r="VMK276" s="580"/>
      <c r="VML276" s="580"/>
      <c r="VMM276" s="580"/>
      <c r="VMN276" s="580"/>
      <c r="VMO276" s="580"/>
      <c r="VMP276" s="580"/>
      <c r="VMQ276" s="580"/>
      <c r="VMR276" s="580"/>
      <c r="VMS276" s="580"/>
      <c r="VMT276" s="580"/>
      <c r="VMU276" s="580"/>
      <c r="VMV276" s="580"/>
      <c r="VMW276" s="580"/>
      <c r="VMX276" s="580"/>
      <c r="VMY276" s="580"/>
      <c r="VMZ276" s="580"/>
      <c r="VNA276" s="580"/>
      <c r="VNB276" s="580"/>
      <c r="VNC276" s="580"/>
      <c r="VND276" s="580"/>
      <c r="VNE276" s="580"/>
      <c r="VNF276" s="580"/>
      <c r="VNG276" s="580"/>
      <c r="VNH276" s="580"/>
      <c r="VNI276" s="580"/>
      <c r="VNJ276" s="580"/>
      <c r="VNK276" s="580"/>
      <c r="VNL276" s="580"/>
      <c r="VNM276" s="580"/>
      <c r="VNN276" s="580"/>
      <c r="VNO276" s="580"/>
      <c r="VNP276" s="580"/>
      <c r="VNQ276" s="580"/>
      <c r="VNR276" s="580"/>
      <c r="VNS276" s="580"/>
      <c r="VNT276" s="580"/>
      <c r="VNU276" s="580"/>
      <c r="VNV276" s="580"/>
      <c r="VNW276" s="580"/>
      <c r="VNX276" s="580"/>
      <c r="VNY276" s="580"/>
      <c r="VNZ276" s="580"/>
      <c r="VOA276" s="580"/>
      <c r="VOB276" s="580"/>
      <c r="VOC276" s="580"/>
      <c r="VOD276" s="580"/>
      <c r="VOE276" s="580"/>
      <c r="VOF276" s="580"/>
      <c r="VOG276" s="580"/>
      <c r="VOH276" s="580"/>
      <c r="VOI276" s="580"/>
      <c r="VOJ276" s="580"/>
      <c r="VOK276" s="580"/>
      <c r="VOL276" s="580"/>
      <c r="VOM276" s="580"/>
      <c r="VON276" s="580"/>
      <c r="VOO276" s="580"/>
      <c r="VOP276" s="580"/>
      <c r="VOQ276" s="580"/>
      <c r="VOR276" s="580"/>
      <c r="VOS276" s="580"/>
      <c r="VOT276" s="580"/>
      <c r="VOU276" s="580"/>
      <c r="VOV276" s="580"/>
      <c r="VOW276" s="580"/>
      <c r="VOX276" s="580"/>
      <c r="VOY276" s="580"/>
      <c r="VOZ276" s="580"/>
      <c r="VPA276" s="580"/>
      <c r="VPB276" s="580"/>
      <c r="VPC276" s="580"/>
      <c r="VPD276" s="580"/>
      <c r="VPE276" s="580"/>
      <c r="VPF276" s="580"/>
      <c r="VPG276" s="580"/>
      <c r="VPH276" s="580"/>
      <c r="VPI276" s="580"/>
      <c r="VPJ276" s="580"/>
      <c r="VPK276" s="580"/>
      <c r="VPL276" s="580"/>
      <c r="VPM276" s="580"/>
      <c r="VPN276" s="580"/>
      <c r="VPO276" s="580"/>
      <c r="VPP276" s="580"/>
      <c r="VPQ276" s="580"/>
      <c r="VPR276" s="580"/>
      <c r="VPS276" s="580"/>
      <c r="VPT276" s="580"/>
      <c r="VPU276" s="580"/>
      <c r="VPV276" s="580"/>
      <c r="VPW276" s="580"/>
      <c r="VPX276" s="580"/>
      <c r="VPY276" s="580"/>
      <c r="VPZ276" s="580"/>
      <c r="VQA276" s="580"/>
      <c r="VQB276" s="580"/>
      <c r="VQC276" s="580"/>
      <c r="VQD276" s="580"/>
      <c r="VQE276" s="580"/>
      <c r="VQF276" s="580"/>
      <c r="VQG276" s="580"/>
      <c r="VQH276" s="580"/>
      <c r="VQI276" s="580"/>
      <c r="VQJ276" s="580"/>
      <c r="VQK276" s="580"/>
      <c r="VQL276" s="580"/>
      <c r="VQM276" s="580"/>
      <c r="VQN276" s="580"/>
      <c r="VQO276" s="580"/>
      <c r="VQP276" s="580"/>
      <c r="VQQ276" s="580"/>
      <c r="VQR276" s="580"/>
      <c r="VQS276" s="580"/>
      <c r="VQT276" s="580"/>
      <c r="VQU276" s="580"/>
      <c r="VQV276" s="580"/>
      <c r="VQW276" s="580"/>
      <c r="VQX276" s="580"/>
      <c r="VQY276" s="580"/>
      <c r="VQZ276" s="580"/>
      <c r="VRA276" s="580"/>
      <c r="VRB276" s="580"/>
      <c r="VRC276" s="580"/>
      <c r="VRD276" s="580"/>
      <c r="VRE276" s="580"/>
      <c r="VRF276" s="580"/>
      <c r="VRG276" s="580"/>
      <c r="VRH276" s="580"/>
      <c r="VRI276" s="580"/>
      <c r="VRJ276" s="580"/>
      <c r="VRK276" s="580"/>
      <c r="VRL276" s="580"/>
      <c r="VRM276" s="580"/>
      <c r="VRN276" s="580"/>
      <c r="VRO276" s="580"/>
      <c r="VRP276" s="580"/>
      <c r="VRQ276" s="580"/>
      <c r="VRR276" s="580"/>
      <c r="VRS276" s="580"/>
      <c r="VRT276" s="580"/>
      <c r="VRU276" s="580"/>
      <c r="VRV276" s="580"/>
      <c r="VRW276" s="580"/>
      <c r="VRX276" s="580"/>
      <c r="VRY276" s="580"/>
      <c r="VRZ276" s="580"/>
      <c r="VSA276" s="580"/>
      <c r="VSB276" s="580"/>
      <c r="VSC276" s="580"/>
      <c r="VSD276" s="580"/>
      <c r="VSE276" s="580"/>
      <c r="VSF276" s="580"/>
      <c r="VSG276" s="580"/>
      <c r="VSH276" s="580"/>
      <c r="VSI276" s="580"/>
      <c r="VSJ276" s="580"/>
      <c r="VSK276" s="580"/>
      <c r="VSL276" s="580"/>
      <c r="VSM276" s="580"/>
      <c r="VSN276" s="580"/>
      <c r="VSO276" s="580"/>
      <c r="VSP276" s="580"/>
      <c r="VSQ276" s="580"/>
      <c r="VSR276" s="580"/>
      <c r="VSS276" s="580"/>
      <c r="VST276" s="580"/>
      <c r="VSU276" s="580"/>
      <c r="VSV276" s="580"/>
      <c r="VSW276" s="580"/>
      <c r="VSX276" s="580"/>
      <c r="VSY276" s="580"/>
      <c r="VSZ276" s="580"/>
      <c r="VTA276" s="580"/>
      <c r="VTB276" s="580"/>
      <c r="VTC276" s="580"/>
      <c r="VTD276" s="580"/>
      <c r="VTE276" s="580"/>
      <c r="VTF276" s="580"/>
      <c r="VTG276" s="580"/>
      <c r="VTH276" s="580"/>
      <c r="VTI276" s="580"/>
      <c r="VTJ276" s="580"/>
      <c r="VTK276" s="580"/>
      <c r="VTL276" s="580"/>
      <c r="VTM276" s="580"/>
      <c r="VTN276" s="580"/>
      <c r="VTO276" s="580"/>
      <c r="VTP276" s="580"/>
      <c r="VTQ276" s="580"/>
      <c r="VTR276" s="580"/>
      <c r="VTS276" s="580"/>
      <c r="VTT276" s="580"/>
      <c r="VTU276" s="580"/>
      <c r="VTV276" s="580"/>
      <c r="VTW276" s="580"/>
      <c r="VTX276" s="580"/>
      <c r="VTY276" s="580"/>
      <c r="VTZ276" s="580"/>
      <c r="VUA276" s="580"/>
      <c r="VUB276" s="580"/>
      <c r="VUC276" s="580"/>
      <c r="VUD276" s="580"/>
      <c r="VUE276" s="580"/>
      <c r="VUF276" s="580"/>
      <c r="VUG276" s="580"/>
      <c r="VUH276" s="580"/>
      <c r="VUI276" s="580"/>
      <c r="VUJ276" s="580"/>
      <c r="VUK276" s="580"/>
      <c r="VUL276" s="580"/>
      <c r="VUM276" s="580"/>
      <c r="VUN276" s="580"/>
      <c r="VUO276" s="580"/>
      <c r="VUP276" s="580"/>
      <c r="VUQ276" s="580"/>
      <c r="VUR276" s="580"/>
      <c r="VUS276" s="580"/>
      <c r="VUT276" s="580"/>
      <c r="VUU276" s="580"/>
      <c r="VUV276" s="580"/>
      <c r="VUW276" s="580"/>
      <c r="VUX276" s="580"/>
      <c r="VUY276" s="580"/>
      <c r="VUZ276" s="580"/>
      <c r="VVA276" s="580"/>
      <c r="VVB276" s="580"/>
      <c r="VVC276" s="580"/>
      <c r="VVD276" s="580"/>
      <c r="VVE276" s="580"/>
      <c r="VVF276" s="580"/>
      <c r="VVG276" s="580"/>
      <c r="VVH276" s="580"/>
      <c r="VVI276" s="580"/>
      <c r="VVJ276" s="580"/>
      <c r="VVK276" s="580"/>
      <c r="VVL276" s="580"/>
      <c r="VVM276" s="580"/>
      <c r="VVN276" s="580"/>
      <c r="VVO276" s="580"/>
      <c r="VVP276" s="580"/>
      <c r="VVQ276" s="580"/>
      <c r="VVR276" s="580"/>
      <c r="VVS276" s="580"/>
      <c r="VVT276" s="580"/>
      <c r="VVU276" s="580"/>
      <c r="VVV276" s="580"/>
      <c r="VVW276" s="580"/>
      <c r="VVX276" s="580"/>
      <c r="VVY276" s="580"/>
      <c r="VVZ276" s="580"/>
      <c r="VWA276" s="580"/>
      <c r="VWB276" s="580"/>
      <c r="VWC276" s="580"/>
      <c r="VWD276" s="580"/>
      <c r="VWE276" s="580"/>
      <c r="VWF276" s="580"/>
      <c r="VWG276" s="580"/>
      <c r="VWH276" s="580"/>
      <c r="VWI276" s="580"/>
      <c r="VWJ276" s="580"/>
      <c r="VWK276" s="580"/>
      <c r="VWL276" s="580"/>
      <c r="VWM276" s="580"/>
      <c r="VWN276" s="580"/>
      <c r="VWO276" s="580"/>
      <c r="VWP276" s="580"/>
      <c r="VWQ276" s="580"/>
      <c r="VWR276" s="580"/>
      <c r="VWS276" s="580"/>
      <c r="VWT276" s="580"/>
      <c r="VWU276" s="580"/>
      <c r="VWV276" s="580"/>
      <c r="VWW276" s="580"/>
      <c r="VWX276" s="580"/>
      <c r="VWY276" s="580"/>
      <c r="VWZ276" s="580"/>
      <c r="VXA276" s="580"/>
      <c r="VXB276" s="580"/>
      <c r="VXC276" s="580"/>
      <c r="VXD276" s="580"/>
      <c r="VXE276" s="580"/>
      <c r="VXF276" s="580"/>
      <c r="VXG276" s="580"/>
      <c r="VXH276" s="580"/>
      <c r="VXI276" s="580"/>
      <c r="VXJ276" s="580"/>
      <c r="VXK276" s="580"/>
      <c r="VXL276" s="580"/>
      <c r="VXM276" s="580"/>
      <c r="VXN276" s="580"/>
      <c r="VXO276" s="580"/>
      <c r="VXP276" s="580"/>
      <c r="VXQ276" s="580"/>
      <c r="VXR276" s="580"/>
      <c r="VXS276" s="580"/>
      <c r="VXT276" s="580"/>
      <c r="VXU276" s="580"/>
      <c r="VXV276" s="580"/>
      <c r="VXW276" s="580"/>
      <c r="VXX276" s="580"/>
      <c r="VXY276" s="580"/>
      <c r="VXZ276" s="580"/>
      <c r="VYA276" s="580"/>
      <c r="VYB276" s="580"/>
      <c r="VYC276" s="580"/>
      <c r="VYD276" s="580"/>
      <c r="VYE276" s="580"/>
      <c r="VYF276" s="580"/>
      <c r="VYG276" s="580"/>
      <c r="VYH276" s="580"/>
      <c r="VYI276" s="580"/>
      <c r="VYJ276" s="580"/>
      <c r="VYK276" s="580"/>
      <c r="VYL276" s="580"/>
      <c r="VYM276" s="580"/>
      <c r="VYN276" s="580"/>
      <c r="VYO276" s="580"/>
      <c r="VYP276" s="580"/>
      <c r="VYQ276" s="580"/>
      <c r="VYR276" s="580"/>
      <c r="VYS276" s="580"/>
      <c r="VYT276" s="580"/>
      <c r="VYU276" s="580"/>
      <c r="VYV276" s="580"/>
      <c r="VYW276" s="580"/>
      <c r="VYX276" s="580"/>
      <c r="VYY276" s="580"/>
      <c r="VYZ276" s="580"/>
      <c r="VZA276" s="580"/>
      <c r="VZB276" s="580"/>
      <c r="VZC276" s="580"/>
      <c r="VZD276" s="580"/>
      <c r="VZE276" s="580"/>
      <c r="VZF276" s="580"/>
      <c r="VZG276" s="580"/>
      <c r="VZH276" s="580"/>
      <c r="VZI276" s="580"/>
      <c r="VZJ276" s="580"/>
      <c r="VZK276" s="580"/>
      <c r="VZL276" s="580"/>
      <c r="VZM276" s="580"/>
      <c r="VZN276" s="580"/>
      <c r="VZO276" s="580"/>
      <c r="VZP276" s="580"/>
      <c r="VZQ276" s="580"/>
      <c r="VZR276" s="580"/>
      <c r="VZS276" s="580"/>
      <c r="VZT276" s="580"/>
      <c r="VZU276" s="580"/>
      <c r="VZV276" s="580"/>
      <c r="VZW276" s="580"/>
      <c r="VZX276" s="580"/>
      <c r="VZY276" s="580"/>
      <c r="VZZ276" s="580"/>
      <c r="WAA276" s="580"/>
      <c r="WAB276" s="580"/>
      <c r="WAC276" s="580"/>
      <c r="WAD276" s="580"/>
      <c r="WAE276" s="580"/>
      <c r="WAF276" s="580"/>
      <c r="WAG276" s="580"/>
      <c r="WAH276" s="580"/>
      <c r="WAI276" s="580"/>
      <c r="WAJ276" s="580"/>
      <c r="WAK276" s="580"/>
      <c r="WAL276" s="580"/>
      <c r="WAM276" s="580"/>
      <c r="WAN276" s="580"/>
      <c r="WAO276" s="580"/>
      <c r="WAP276" s="580"/>
      <c r="WAQ276" s="580"/>
      <c r="WAR276" s="580"/>
      <c r="WAS276" s="580"/>
      <c r="WAT276" s="580"/>
      <c r="WAU276" s="580"/>
      <c r="WAV276" s="580"/>
      <c r="WAW276" s="580"/>
      <c r="WAX276" s="580"/>
      <c r="WAY276" s="580"/>
      <c r="WAZ276" s="580"/>
      <c r="WBA276" s="580"/>
      <c r="WBB276" s="580"/>
      <c r="WBC276" s="580"/>
      <c r="WBD276" s="580"/>
      <c r="WBE276" s="580"/>
      <c r="WBF276" s="580"/>
      <c r="WBG276" s="580"/>
      <c r="WBH276" s="580"/>
      <c r="WBI276" s="580"/>
      <c r="WBJ276" s="580"/>
      <c r="WBK276" s="580"/>
      <c r="WBL276" s="580"/>
      <c r="WBM276" s="580"/>
      <c r="WBN276" s="580"/>
      <c r="WBO276" s="580"/>
      <c r="WBP276" s="580"/>
      <c r="WBQ276" s="580"/>
      <c r="WBR276" s="580"/>
      <c r="WBS276" s="580"/>
      <c r="WBT276" s="580"/>
      <c r="WBU276" s="580"/>
      <c r="WBV276" s="580"/>
      <c r="WBW276" s="580"/>
      <c r="WBX276" s="580"/>
      <c r="WBY276" s="580"/>
      <c r="WBZ276" s="580"/>
      <c r="WCA276" s="580"/>
      <c r="WCB276" s="580"/>
      <c r="WCC276" s="580"/>
      <c r="WCD276" s="580"/>
      <c r="WCE276" s="580"/>
      <c r="WCF276" s="580"/>
      <c r="WCG276" s="580"/>
      <c r="WCH276" s="580"/>
      <c r="WCI276" s="580"/>
      <c r="WCJ276" s="580"/>
      <c r="WCK276" s="580"/>
      <c r="WCL276" s="580"/>
      <c r="WCM276" s="580"/>
      <c r="WCN276" s="580"/>
      <c r="WCO276" s="580"/>
      <c r="WCP276" s="580"/>
      <c r="WCQ276" s="580"/>
      <c r="WCR276" s="580"/>
      <c r="WCS276" s="580"/>
      <c r="WCT276" s="580"/>
      <c r="WCU276" s="580"/>
      <c r="WCV276" s="580"/>
      <c r="WCW276" s="580"/>
      <c r="WCX276" s="580"/>
      <c r="WCY276" s="580"/>
      <c r="WCZ276" s="580"/>
      <c r="WDA276" s="580"/>
      <c r="WDB276" s="580"/>
      <c r="WDC276" s="580"/>
      <c r="WDD276" s="580"/>
      <c r="WDE276" s="580"/>
      <c r="WDF276" s="580"/>
      <c r="WDG276" s="580"/>
      <c r="WDH276" s="580"/>
      <c r="WDI276" s="580"/>
      <c r="WDJ276" s="580"/>
      <c r="WDK276" s="580"/>
      <c r="WDL276" s="580"/>
      <c r="WDM276" s="580"/>
      <c r="WDN276" s="580"/>
      <c r="WDO276" s="580"/>
      <c r="WDP276" s="580"/>
      <c r="WDQ276" s="580"/>
      <c r="WDR276" s="580"/>
      <c r="WDS276" s="580"/>
      <c r="WDT276" s="580"/>
      <c r="WDU276" s="580"/>
      <c r="WDV276" s="580"/>
      <c r="WDW276" s="580"/>
      <c r="WDX276" s="580"/>
      <c r="WDY276" s="580"/>
      <c r="WDZ276" s="580"/>
      <c r="WEA276" s="580"/>
      <c r="WEB276" s="580"/>
      <c r="WEC276" s="580"/>
      <c r="WED276" s="580"/>
      <c r="WEE276" s="580"/>
      <c r="WEF276" s="580"/>
      <c r="WEG276" s="580"/>
      <c r="WEH276" s="580"/>
      <c r="WEI276" s="580"/>
      <c r="WEJ276" s="580"/>
      <c r="WEK276" s="580"/>
      <c r="WEL276" s="580"/>
      <c r="WEM276" s="580"/>
      <c r="WEN276" s="580"/>
      <c r="WEO276" s="580"/>
      <c r="WEP276" s="580"/>
      <c r="WEQ276" s="580"/>
      <c r="WER276" s="580"/>
      <c r="WES276" s="580"/>
      <c r="WET276" s="580"/>
      <c r="WEU276" s="580"/>
      <c r="WEV276" s="580"/>
      <c r="WEW276" s="580"/>
      <c r="WEX276" s="580"/>
      <c r="WEY276" s="580"/>
      <c r="WEZ276" s="580"/>
      <c r="WFA276" s="580"/>
      <c r="WFB276" s="580"/>
      <c r="WFC276" s="580"/>
      <c r="WFD276" s="580"/>
      <c r="WFE276" s="580"/>
      <c r="WFF276" s="580"/>
      <c r="WFG276" s="580"/>
      <c r="WFH276" s="580"/>
      <c r="WFI276" s="580"/>
      <c r="WFJ276" s="580"/>
      <c r="WFK276" s="580"/>
      <c r="WFL276" s="580"/>
      <c r="WFM276" s="580"/>
      <c r="WFN276" s="580"/>
      <c r="WFO276" s="580"/>
      <c r="WFP276" s="580"/>
      <c r="WFQ276" s="580"/>
      <c r="WFR276" s="580"/>
      <c r="WFS276" s="580"/>
      <c r="WFT276" s="580"/>
      <c r="WFU276" s="580"/>
      <c r="WFV276" s="580"/>
      <c r="WFW276" s="580"/>
      <c r="WFX276" s="580"/>
      <c r="WFY276" s="580"/>
      <c r="WFZ276" s="580"/>
      <c r="WGA276" s="580"/>
      <c r="WGB276" s="580"/>
      <c r="WGC276" s="580"/>
      <c r="WGD276" s="580"/>
      <c r="WGE276" s="580"/>
      <c r="WGF276" s="580"/>
      <c r="WGG276" s="580"/>
      <c r="WGH276" s="580"/>
      <c r="WGI276" s="580"/>
      <c r="WGJ276" s="580"/>
      <c r="WGK276" s="580"/>
      <c r="WGL276" s="580"/>
      <c r="WGM276" s="580"/>
      <c r="WGN276" s="580"/>
      <c r="WGO276" s="580"/>
      <c r="WGP276" s="580"/>
      <c r="WGQ276" s="580"/>
      <c r="WGR276" s="580"/>
      <c r="WGS276" s="580"/>
      <c r="WGT276" s="580"/>
      <c r="WGU276" s="580"/>
      <c r="WGV276" s="580"/>
      <c r="WGW276" s="580"/>
      <c r="WGX276" s="580"/>
      <c r="WGY276" s="580"/>
      <c r="WGZ276" s="580"/>
      <c r="WHA276" s="580"/>
      <c r="WHB276" s="580"/>
      <c r="WHC276" s="580"/>
      <c r="WHD276" s="580"/>
      <c r="WHE276" s="580"/>
      <c r="WHF276" s="580"/>
      <c r="WHG276" s="580"/>
      <c r="WHH276" s="580"/>
      <c r="WHI276" s="580"/>
      <c r="WHJ276" s="580"/>
      <c r="WHK276" s="580"/>
      <c r="WHL276" s="580"/>
      <c r="WHM276" s="580"/>
      <c r="WHN276" s="580"/>
      <c r="WHO276" s="580"/>
      <c r="WHP276" s="580"/>
      <c r="WHQ276" s="580"/>
      <c r="WHR276" s="580"/>
      <c r="WHS276" s="580"/>
      <c r="WHT276" s="580"/>
      <c r="WHU276" s="580"/>
      <c r="WHV276" s="580"/>
      <c r="WHW276" s="580"/>
      <c r="WHX276" s="580"/>
      <c r="WHY276" s="580"/>
      <c r="WHZ276" s="580"/>
      <c r="WIA276" s="580"/>
      <c r="WIB276" s="580"/>
      <c r="WIC276" s="580"/>
      <c r="WID276" s="580"/>
      <c r="WIE276" s="580"/>
      <c r="WIF276" s="580"/>
      <c r="WIG276" s="580"/>
      <c r="WIH276" s="580"/>
      <c r="WII276" s="580"/>
      <c r="WIJ276" s="580"/>
      <c r="WIK276" s="580"/>
      <c r="WIL276" s="580"/>
      <c r="WIM276" s="580"/>
      <c r="WIN276" s="580"/>
      <c r="WIO276" s="580"/>
      <c r="WIP276" s="580"/>
      <c r="WIQ276" s="580"/>
      <c r="WIR276" s="580"/>
      <c r="WIS276" s="580"/>
      <c r="WIT276" s="580"/>
      <c r="WIU276" s="580"/>
      <c r="WIV276" s="580"/>
      <c r="WIW276" s="580"/>
      <c r="WIX276" s="580"/>
      <c r="WIY276" s="580"/>
      <c r="WIZ276" s="580"/>
      <c r="WJA276" s="580"/>
      <c r="WJB276" s="580"/>
      <c r="WJC276" s="580"/>
      <c r="WJD276" s="580"/>
      <c r="WJE276" s="580"/>
      <c r="WJF276" s="580"/>
      <c r="WJG276" s="580"/>
      <c r="WJH276" s="580"/>
      <c r="WJI276" s="580"/>
      <c r="WJJ276" s="580"/>
      <c r="WJK276" s="580"/>
      <c r="WJL276" s="580"/>
      <c r="WJM276" s="580"/>
      <c r="WJN276" s="580"/>
      <c r="WJO276" s="580"/>
      <c r="WJP276" s="580"/>
      <c r="WJQ276" s="580"/>
      <c r="WJR276" s="580"/>
      <c r="WJS276" s="580"/>
      <c r="WJT276" s="580"/>
      <c r="WJU276" s="580"/>
      <c r="WJV276" s="580"/>
      <c r="WJW276" s="580"/>
      <c r="WJX276" s="580"/>
      <c r="WJY276" s="580"/>
      <c r="WJZ276" s="580"/>
      <c r="WKA276" s="580"/>
      <c r="WKB276" s="580"/>
      <c r="WKC276" s="580"/>
      <c r="WKD276" s="580"/>
      <c r="WKE276" s="580"/>
      <c r="WKF276" s="580"/>
      <c r="WKG276" s="580"/>
      <c r="WKH276" s="580"/>
      <c r="WKI276" s="580"/>
      <c r="WKJ276" s="580"/>
      <c r="WKK276" s="580"/>
      <c r="WKL276" s="580"/>
      <c r="WKM276" s="580"/>
      <c r="WKN276" s="580"/>
      <c r="WKO276" s="580"/>
      <c r="WKP276" s="580"/>
      <c r="WKQ276" s="580"/>
      <c r="WKR276" s="580"/>
      <c r="WKS276" s="580"/>
      <c r="WKT276" s="580"/>
      <c r="WKU276" s="580"/>
      <c r="WKV276" s="580"/>
      <c r="WKW276" s="580"/>
      <c r="WKX276" s="580"/>
      <c r="WKY276" s="580"/>
      <c r="WKZ276" s="580"/>
      <c r="WLA276" s="580"/>
      <c r="WLB276" s="580"/>
      <c r="WLC276" s="580"/>
      <c r="WLD276" s="580"/>
      <c r="WLE276" s="580"/>
      <c r="WLF276" s="580"/>
      <c r="WLG276" s="580"/>
      <c r="WLH276" s="580"/>
      <c r="WLI276" s="580"/>
      <c r="WLJ276" s="580"/>
      <c r="WLK276" s="580"/>
      <c r="WLL276" s="580"/>
      <c r="WLM276" s="580"/>
      <c r="WLN276" s="580"/>
      <c r="WLO276" s="580"/>
      <c r="WLP276" s="580"/>
      <c r="WLQ276" s="580"/>
      <c r="WLR276" s="580"/>
      <c r="WLS276" s="580"/>
      <c r="WLT276" s="580"/>
      <c r="WLU276" s="580"/>
      <c r="WLV276" s="580"/>
      <c r="WLW276" s="580"/>
      <c r="WLX276" s="580"/>
      <c r="WLY276" s="580"/>
      <c r="WLZ276" s="580"/>
      <c r="WMA276" s="580"/>
      <c r="WMB276" s="580"/>
      <c r="WMC276" s="580"/>
      <c r="WMD276" s="580"/>
      <c r="WME276" s="580"/>
      <c r="WMF276" s="580"/>
      <c r="WMG276" s="580"/>
      <c r="WMH276" s="580"/>
      <c r="WMI276" s="580"/>
      <c r="WMJ276" s="580"/>
      <c r="WMK276" s="580"/>
      <c r="WML276" s="580"/>
      <c r="WMM276" s="580"/>
      <c r="WMN276" s="580"/>
      <c r="WMO276" s="580"/>
      <c r="WMP276" s="580"/>
      <c r="WMQ276" s="580"/>
      <c r="WMR276" s="580"/>
      <c r="WMS276" s="580"/>
      <c r="WMT276" s="580"/>
      <c r="WMU276" s="580"/>
      <c r="WMV276" s="580"/>
      <c r="WMW276" s="580"/>
      <c r="WMX276" s="580"/>
      <c r="WMY276" s="580"/>
      <c r="WMZ276" s="580"/>
      <c r="WNA276" s="580"/>
      <c r="WNB276" s="580"/>
      <c r="WNC276" s="580"/>
      <c r="WND276" s="580"/>
      <c r="WNE276" s="580"/>
      <c r="WNF276" s="580"/>
      <c r="WNG276" s="580"/>
      <c r="WNH276" s="580"/>
      <c r="WNI276" s="580"/>
      <c r="WNJ276" s="580"/>
      <c r="WNK276" s="580"/>
      <c r="WNL276" s="580"/>
      <c r="WNM276" s="580"/>
      <c r="WNN276" s="580"/>
      <c r="WNO276" s="580"/>
      <c r="WNP276" s="580"/>
      <c r="WNQ276" s="580"/>
      <c r="WNR276" s="580"/>
      <c r="WNS276" s="580"/>
      <c r="WNT276" s="580"/>
      <c r="WNU276" s="580"/>
      <c r="WNV276" s="580"/>
      <c r="WNW276" s="580"/>
      <c r="WNX276" s="580"/>
      <c r="WNY276" s="580"/>
      <c r="WNZ276" s="580"/>
      <c r="WOA276" s="580"/>
      <c r="WOB276" s="580"/>
      <c r="WOC276" s="580"/>
      <c r="WOD276" s="580"/>
      <c r="WOE276" s="580"/>
      <c r="WOF276" s="580"/>
      <c r="WOG276" s="580"/>
      <c r="WOH276" s="580"/>
      <c r="WOI276" s="580"/>
      <c r="WOJ276" s="580"/>
      <c r="WOK276" s="580"/>
      <c r="WOL276" s="580"/>
      <c r="WOM276" s="580"/>
      <c r="WON276" s="580"/>
      <c r="WOO276" s="580"/>
      <c r="WOP276" s="580"/>
      <c r="WOQ276" s="580"/>
      <c r="WOR276" s="580"/>
      <c r="WOS276" s="580"/>
      <c r="WOT276" s="580"/>
      <c r="WOU276" s="580"/>
      <c r="WOV276" s="580"/>
      <c r="WOW276" s="580"/>
      <c r="WOX276" s="580"/>
      <c r="WOY276" s="580"/>
      <c r="WOZ276" s="580"/>
      <c r="WPA276" s="580"/>
      <c r="WPB276" s="580"/>
      <c r="WPC276" s="580"/>
      <c r="WPD276" s="580"/>
      <c r="WPE276" s="580"/>
      <c r="WPF276" s="580"/>
      <c r="WPG276" s="580"/>
      <c r="WPH276" s="580"/>
      <c r="WPI276" s="580"/>
      <c r="WPJ276" s="580"/>
      <c r="WPK276" s="580"/>
      <c r="WPL276" s="580"/>
      <c r="WPM276" s="580"/>
      <c r="WPN276" s="580"/>
      <c r="WPO276" s="580"/>
      <c r="WPP276" s="580"/>
      <c r="WPQ276" s="580"/>
      <c r="WPR276" s="580"/>
      <c r="WPS276" s="580"/>
      <c r="WPT276" s="580"/>
      <c r="WPU276" s="580"/>
      <c r="WPV276" s="580"/>
      <c r="WPW276" s="580"/>
      <c r="WPX276" s="580"/>
      <c r="WPY276" s="580"/>
      <c r="WPZ276" s="580"/>
      <c r="WQA276" s="580"/>
      <c r="WQB276" s="580"/>
      <c r="WQC276" s="580"/>
      <c r="WQD276" s="580"/>
      <c r="WQE276" s="580"/>
      <c r="WQF276" s="580"/>
      <c r="WQG276" s="580"/>
      <c r="WQH276" s="580"/>
      <c r="WQI276" s="580"/>
      <c r="WQJ276" s="580"/>
      <c r="WQK276" s="580"/>
      <c r="WQL276" s="580"/>
      <c r="WQM276" s="580"/>
      <c r="WQN276" s="580"/>
      <c r="WQO276" s="580"/>
      <c r="WQP276" s="580"/>
      <c r="WQQ276" s="580"/>
      <c r="WQR276" s="580"/>
      <c r="WQS276" s="580"/>
      <c r="WQT276" s="580"/>
      <c r="WQU276" s="580"/>
      <c r="WQV276" s="580"/>
      <c r="WQW276" s="580"/>
      <c r="WQX276" s="580"/>
      <c r="WQY276" s="580"/>
      <c r="WQZ276" s="580"/>
      <c r="WRA276" s="580"/>
      <c r="WRB276" s="580"/>
      <c r="WRC276" s="580"/>
      <c r="WRD276" s="580"/>
      <c r="WRE276" s="580"/>
      <c r="WRF276" s="580"/>
      <c r="WRG276" s="580"/>
      <c r="WRH276" s="580"/>
      <c r="WRI276" s="580"/>
      <c r="WRJ276" s="580"/>
      <c r="WRK276" s="580"/>
      <c r="WRL276" s="580"/>
      <c r="WRM276" s="580"/>
      <c r="WRN276" s="580"/>
      <c r="WRO276" s="580"/>
      <c r="WRP276" s="580"/>
      <c r="WRQ276" s="580"/>
      <c r="WRR276" s="580"/>
      <c r="WRS276" s="580"/>
      <c r="WRT276" s="580"/>
      <c r="WRU276" s="580"/>
      <c r="WRV276" s="580"/>
      <c r="WRW276" s="580"/>
      <c r="WRX276" s="580"/>
      <c r="WRY276" s="580"/>
      <c r="WRZ276" s="580"/>
      <c r="WSA276" s="580"/>
      <c r="WSB276" s="580"/>
      <c r="WSC276" s="580"/>
      <c r="WSD276" s="580"/>
      <c r="WSE276" s="580"/>
      <c r="WSF276" s="580"/>
      <c r="WSG276" s="580"/>
      <c r="WSH276" s="580"/>
      <c r="WSI276" s="580"/>
      <c r="WSJ276" s="580"/>
      <c r="WSK276" s="580"/>
      <c r="WSL276" s="580"/>
      <c r="WSM276" s="580"/>
      <c r="WSN276" s="580"/>
      <c r="WSO276" s="580"/>
      <c r="WSP276" s="580"/>
      <c r="WSQ276" s="580"/>
      <c r="WSR276" s="580"/>
      <c r="WSS276" s="580"/>
      <c r="WST276" s="580"/>
      <c r="WSU276" s="580"/>
      <c r="WSV276" s="580"/>
      <c r="WSW276" s="580"/>
      <c r="WSX276" s="580"/>
      <c r="WSY276" s="580"/>
      <c r="WSZ276" s="580"/>
      <c r="WTA276" s="580"/>
      <c r="WTB276" s="580"/>
      <c r="WTC276" s="580"/>
      <c r="WTD276" s="580"/>
      <c r="WTE276" s="580"/>
      <c r="WTF276" s="580"/>
      <c r="WTG276" s="580"/>
      <c r="WTH276" s="580"/>
      <c r="WTI276" s="580"/>
      <c r="WTJ276" s="580"/>
      <c r="WTK276" s="580"/>
      <c r="WTL276" s="580"/>
      <c r="WTM276" s="580"/>
      <c r="WTN276" s="580"/>
      <c r="WTO276" s="580"/>
      <c r="WTP276" s="580"/>
      <c r="WTQ276" s="580"/>
      <c r="WTR276" s="580"/>
      <c r="WTS276" s="580"/>
      <c r="WTT276" s="580"/>
      <c r="WTU276" s="580"/>
      <c r="WTV276" s="580"/>
      <c r="WTW276" s="580"/>
      <c r="WTX276" s="580"/>
      <c r="WTY276" s="580"/>
      <c r="WTZ276" s="580"/>
      <c r="WUA276" s="580"/>
      <c r="WUB276" s="580"/>
      <c r="WUC276" s="580"/>
      <c r="WUD276" s="580"/>
      <c r="WUE276" s="580"/>
      <c r="WUF276" s="580"/>
      <c r="WUG276" s="580"/>
      <c r="WUH276" s="580"/>
      <c r="WUI276" s="580"/>
      <c r="WUJ276" s="580"/>
      <c r="WUK276" s="580"/>
      <c r="WUL276" s="580"/>
      <c r="WUM276" s="580"/>
      <c r="WUN276" s="580"/>
      <c r="WUO276" s="580"/>
      <c r="WUP276" s="580"/>
      <c r="WUQ276" s="580"/>
      <c r="WUR276" s="580"/>
      <c r="WUS276" s="580"/>
      <c r="WUT276" s="580"/>
      <c r="WUU276" s="580"/>
      <c r="WUV276" s="580"/>
      <c r="WUW276" s="580"/>
      <c r="WUX276" s="580"/>
      <c r="WUY276" s="580"/>
      <c r="WUZ276" s="580"/>
      <c r="WVA276" s="580"/>
      <c r="WVB276" s="580"/>
      <c r="WVC276" s="580"/>
      <c r="WVD276" s="580"/>
      <c r="WVE276" s="580"/>
      <c r="WVF276" s="580"/>
      <c r="WVG276" s="580"/>
      <c r="WVH276" s="580"/>
      <c r="WVI276" s="580"/>
      <c r="WVJ276" s="580"/>
      <c r="WVK276" s="580"/>
      <c r="WVL276" s="580"/>
      <c r="WVM276" s="580"/>
      <c r="WVN276" s="580"/>
      <c r="WVO276" s="580"/>
      <c r="WVP276" s="580"/>
      <c r="WVQ276" s="580"/>
      <c r="WVR276" s="580"/>
      <c r="WVS276" s="580"/>
      <c r="WVT276" s="580"/>
      <c r="WVU276" s="580"/>
      <c r="WVV276" s="580"/>
      <c r="WVW276" s="580"/>
      <c r="WVX276" s="580"/>
      <c r="WVY276" s="580"/>
      <c r="WVZ276" s="580"/>
      <c r="WWA276" s="580"/>
      <c r="WWB276" s="580"/>
      <c r="WWC276" s="580"/>
      <c r="WWD276" s="580"/>
      <c r="WWE276" s="580"/>
      <c r="WWF276" s="580"/>
      <c r="WWG276" s="580"/>
      <c r="WWH276" s="580"/>
      <c r="WWI276" s="580"/>
      <c r="WWJ276" s="580"/>
      <c r="WWK276" s="580"/>
      <c r="WWL276" s="580"/>
      <c r="WWM276" s="580"/>
      <c r="WWN276" s="580"/>
      <c r="WWO276" s="580"/>
      <c r="WWP276" s="580"/>
      <c r="WWQ276" s="580"/>
      <c r="WWR276" s="580"/>
      <c r="WWS276" s="580"/>
      <c r="WWT276" s="580"/>
      <c r="WWU276" s="580"/>
      <c r="WWV276" s="580"/>
      <c r="WWW276" s="580"/>
      <c r="WWX276" s="580"/>
      <c r="WWY276" s="580"/>
      <c r="WWZ276" s="580"/>
      <c r="WXA276" s="580"/>
      <c r="WXB276" s="580"/>
      <c r="WXC276" s="580"/>
      <c r="WXD276" s="580"/>
      <c r="WXE276" s="580"/>
      <c r="WXF276" s="580"/>
      <c r="WXG276" s="580"/>
      <c r="WXH276" s="580"/>
      <c r="WXI276" s="580"/>
      <c r="WXJ276" s="580"/>
      <c r="WXK276" s="580"/>
      <c r="WXL276" s="580"/>
      <c r="WXM276" s="580"/>
      <c r="WXN276" s="580"/>
      <c r="WXO276" s="580"/>
      <c r="WXP276" s="580"/>
      <c r="WXQ276" s="580"/>
      <c r="WXR276" s="580"/>
      <c r="WXS276" s="580"/>
      <c r="WXT276" s="580"/>
      <c r="WXU276" s="580"/>
      <c r="WXV276" s="580"/>
      <c r="WXW276" s="580"/>
      <c r="WXX276" s="580"/>
      <c r="WXY276" s="580"/>
      <c r="WXZ276" s="580"/>
      <c r="WYA276" s="580"/>
      <c r="WYB276" s="580"/>
      <c r="WYC276" s="580"/>
      <c r="WYD276" s="580"/>
      <c r="WYE276" s="580"/>
      <c r="WYF276" s="580"/>
      <c r="WYG276" s="580"/>
      <c r="WYH276" s="580"/>
      <c r="WYI276" s="580"/>
      <c r="WYJ276" s="580"/>
      <c r="WYK276" s="580"/>
      <c r="WYL276" s="580"/>
      <c r="WYM276" s="580"/>
      <c r="WYN276" s="580"/>
      <c r="WYO276" s="580"/>
      <c r="WYP276" s="580"/>
      <c r="WYQ276" s="580"/>
      <c r="WYR276" s="580"/>
      <c r="WYS276" s="580"/>
      <c r="WYT276" s="580"/>
      <c r="WYU276" s="580"/>
      <c r="WYV276" s="580"/>
      <c r="WYW276" s="580"/>
      <c r="WYX276" s="580"/>
      <c r="WYY276" s="580"/>
      <c r="WYZ276" s="580"/>
      <c r="WZA276" s="580"/>
      <c r="WZB276" s="580"/>
      <c r="WZC276" s="580"/>
      <c r="WZD276" s="580"/>
      <c r="WZE276" s="580"/>
      <c r="WZF276" s="580"/>
      <c r="WZG276" s="580"/>
      <c r="WZH276" s="580"/>
      <c r="WZI276" s="580"/>
      <c r="WZJ276" s="580"/>
      <c r="WZK276" s="580"/>
      <c r="WZL276" s="580"/>
      <c r="WZM276" s="580"/>
      <c r="WZN276" s="580"/>
      <c r="WZO276" s="580"/>
      <c r="WZP276" s="580"/>
      <c r="WZQ276" s="580"/>
      <c r="WZR276" s="580"/>
      <c r="WZS276" s="580"/>
      <c r="WZT276" s="580"/>
      <c r="WZU276" s="580"/>
      <c r="WZV276" s="580"/>
      <c r="WZW276" s="580"/>
      <c r="WZX276" s="580"/>
      <c r="WZY276" s="580"/>
      <c r="WZZ276" s="580"/>
      <c r="XAA276" s="580"/>
      <c r="XAB276" s="580"/>
      <c r="XAC276" s="580"/>
      <c r="XAD276" s="580"/>
      <c r="XAE276" s="580"/>
      <c r="XAF276" s="580"/>
      <c r="XAG276" s="580"/>
      <c r="XAH276" s="580"/>
      <c r="XAI276" s="580"/>
      <c r="XAJ276" s="580"/>
      <c r="XAK276" s="580"/>
      <c r="XAL276" s="580"/>
      <c r="XAM276" s="580"/>
      <c r="XAN276" s="580"/>
      <c r="XAO276" s="580"/>
      <c r="XAP276" s="580"/>
      <c r="XAQ276" s="580"/>
      <c r="XAR276" s="580"/>
      <c r="XAS276" s="580"/>
      <c r="XAT276" s="580"/>
      <c r="XAU276" s="580"/>
      <c r="XAV276" s="580"/>
      <c r="XAW276" s="580"/>
      <c r="XAX276" s="580"/>
      <c r="XAY276" s="580"/>
      <c r="XAZ276" s="580"/>
      <c r="XBA276" s="580"/>
      <c r="XBB276" s="580"/>
      <c r="XBC276" s="580"/>
      <c r="XBD276" s="580"/>
      <c r="XBE276" s="580"/>
      <c r="XBF276" s="580"/>
      <c r="XBG276" s="580"/>
      <c r="XBH276" s="580"/>
      <c r="XBI276" s="580"/>
      <c r="XBJ276" s="580"/>
      <c r="XBK276" s="580"/>
      <c r="XBL276" s="580"/>
      <c r="XBM276" s="580"/>
      <c r="XBN276" s="580"/>
      <c r="XBO276" s="580"/>
      <c r="XBP276" s="580"/>
      <c r="XBQ276" s="580"/>
      <c r="XBR276" s="580"/>
      <c r="XBS276" s="580"/>
      <c r="XBT276" s="580"/>
      <c r="XBU276" s="580"/>
      <c r="XBV276" s="580"/>
      <c r="XBW276" s="580"/>
      <c r="XBX276" s="580"/>
      <c r="XBY276" s="580"/>
      <c r="XBZ276" s="580"/>
      <c r="XCA276" s="580"/>
      <c r="XCB276" s="580"/>
      <c r="XCC276" s="580"/>
      <c r="XCD276" s="580"/>
      <c r="XCE276" s="580"/>
      <c r="XCF276" s="580"/>
      <c r="XCG276" s="580"/>
      <c r="XCH276" s="580"/>
      <c r="XCI276" s="580"/>
      <c r="XCJ276" s="580"/>
      <c r="XCK276" s="580"/>
      <c r="XCL276" s="580"/>
      <c r="XCM276" s="580"/>
      <c r="XCN276" s="580"/>
      <c r="XCO276" s="580"/>
      <c r="XCP276" s="580"/>
      <c r="XCQ276" s="580"/>
      <c r="XCR276" s="580"/>
      <c r="XCS276" s="580"/>
      <c r="XCT276" s="580"/>
      <c r="XCU276" s="580"/>
      <c r="XCV276" s="580"/>
      <c r="XCW276" s="580"/>
      <c r="XCX276" s="580"/>
      <c r="XCY276" s="580"/>
      <c r="XCZ276" s="580"/>
      <c r="XDA276" s="580"/>
      <c r="XDB276" s="580"/>
      <c r="XDC276" s="580"/>
      <c r="XDD276" s="580"/>
      <c r="XDE276" s="580"/>
      <c r="XDF276" s="580"/>
      <c r="XDG276" s="580"/>
      <c r="XDH276" s="580"/>
      <c r="XDI276" s="580"/>
      <c r="XDJ276" s="580"/>
      <c r="XDK276" s="580"/>
      <c r="XDL276" s="580"/>
      <c r="XDM276" s="580"/>
      <c r="XDN276" s="580"/>
      <c r="XDO276" s="580"/>
      <c r="XDP276" s="580"/>
      <c r="XDQ276" s="580"/>
      <c r="XDR276" s="580"/>
      <c r="XDS276" s="580"/>
      <c r="XDT276" s="580"/>
      <c r="XDU276" s="580"/>
      <c r="XDV276" s="580"/>
      <c r="XDW276" s="580"/>
      <c r="XDX276" s="580"/>
      <c r="XDY276" s="580"/>
      <c r="XDZ276" s="580"/>
      <c r="XEA276" s="580"/>
      <c r="XEB276" s="580"/>
      <c r="XEC276" s="580"/>
      <c r="XED276" s="580"/>
      <c r="XEE276" s="580"/>
      <c r="XEF276" s="580"/>
      <c r="XEG276" s="580"/>
      <c r="XEH276" s="580"/>
      <c r="XEI276" s="580"/>
      <c r="XEJ276" s="580"/>
      <c r="XEK276" s="580"/>
      <c r="XEL276" s="580"/>
      <c r="XEM276" s="580"/>
      <c r="XEN276" s="580"/>
    </row>
    <row r="277" spans="1:16368">
      <c r="A277" s="2496">
        <f t="shared" si="4"/>
        <v>2013.04</v>
      </c>
      <c r="B277" s="2490">
        <v>659211</v>
      </c>
      <c r="C277" s="2711"/>
      <c r="D277" s="2712"/>
      <c r="E277" s="2491">
        <v>4005</v>
      </c>
      <c r="F277" s="2492">
        <v>10318</v>
      </c>
      <c r="G277" s="2493">
        <v>12196</v>
      </c>
      <c r="H277" s="2492">
        <v>12196</v>
      </c>
      <c r="I277" s="2493">
        <v>7205</v>
      </c>
      <c r="J277" s="2492">
        <v>11766</v>
      </c>
      <c r="K277" s="2493">
        <v>5875</v>
      </c>
      <c r="L277" s="2492">
        <v>6825</v>
      </c>
      <c r="M277" s="2494">
        <v>1602</v>
      </c>
      <c r="N277" s="2495">
        <f t="shared" si="5"/>
        <v>71988</v>
      </c>
      <c r="O277" s="2499">
        <v>67164</v>
      </c>
      <c r="P277" s="2494">
        <v>804</v>
      </c>
      <c r="Q277" s="2500">
        <v>179981</v>
      </c>
    </row>
    <row r="278" spans="1:16368">
      <c r="A278" s="2496">
        <f t="shared" ref="A278:A341" si="6">A266+1</f>
        <v>2013.05</v>
      </c>
      <c r="B278" s="2490">
        <v>723533</v>
      </c>
      <c r="C278" s="2711"/>
      <c r="D278" s="2712"/>
      <c r="E278" s="2491">
        <v>6053</v>
      </c>
      <c r="F278" s="2492">
        <v>11466</v>
      </c>
      <c r="G278" s="2493">
        <v>9395</v>
      </c>
      <c r="H278" s="2492">
        <v>14012</v>
      </c>
      <c r="I278" s="2493">
        <v>10518</v>
      </c>
      <c r="J278" s="2492">
        <v>2877</v>
      </c>
      <c r="K278" s="2493">
        <v>5098</v>
      </c>
      <c r="L278" s="2492">
        <v>10025</v>
      </c>
      <c r="M278" s="2494">
        <v>1619</v>
      </c>
      <c r="N278" s="2495">
        <f t="shared" si="5"/>
        <v>71063</v>
      </c>
      <c r="O278" s="2499">
        <v>77410</v>
      </c>
      <c r="P278" s="2494">
        <v>1463</v>
      </c>
      <c r="Q278" s="2500">
        <v>236160</v>
      </c>
    </row>
    <row r="279" spans="1:16368">
      <c r="A279" s="2496">
        <f t="shared" si="6"/>
        <v>2013.06</v>
      </c>
      <c r="B279" s="2490">
        <v>611867</v>
      </c>
      <c r="C279" s="2711"/>
      <c r="D279" s="2712"/>
      <c r="E279" s="2491">
        <v>4202</v>
      </c>
      <c r="F279" s="2492">
        <v>10419</v>
      </c>
      <c r="G279" s="2493">
        <v>6107</v>
      </c>
      <c r="H279" s="2492">
        <v>18594</v>
      </c>
      <c r="I279" s="2493">
        <v>7507</v>
      </c>
      <c r="J279" s="2492">
        <v>3346</v>
      </c>
      <c r="K279" s="2493">
        <v>3610</v>
      </c>
      <c r="L279" s="2492">
        <v>5178</v>
      </c>
      <c r="M279" s="2494">
        <v>5102</v>
      </c>
      <c r="N279" s="2495">
        <f t="shared" si="5"/>
        <v>64065</v>
      </c>
      <c r="O279" s="2499">
        <v>64232</v>
      </c>
      <c r="P279" s="2494">
        <v>1226</v>
      </c>
      <c r="Q279" s="2500">
        <v>168132</v>
      </c>
    </row>
    <row r="280" spans="1:16368">
      <c r="A280" s="2496">
        <f t="shared" si="6"/>
        <v>2013.07</v>
      </c>
      <c r="B280" s="2490">
        <v>690411</v>
      </c>
      <c r="C280" s="2711"/>
      <c r="D280" s="2712"/>
      <c r="E280" s="2491">
        <v>2103</v>
      </c>
      <c r="F280" s="2492">
        <v>16133</v>
      </c>
      <c r="G280" s="2493">
        <v>7228</v>
      </c>
      <c r="H280" s="2492">
        <v>19447</v>
      </c>
      <c r="I280" s="2493">
        <v>7243</v>
      </c>
      <c r="J280" s="2492">
        <v>2562</v>
      </c>
      <c r="K280" s="2493">
        <v>5588</v>
      </c>
      <c r="L280" s="2492">
        <v>7587</v>
      </c>
      <c r="M280" s="2494">
        <v>3892</v>
      </c>
      <c r="N280" s="2495">
        <f t="shared" si="5"/>
        <v>71783</v>
      </c>
      <c r="O280" s="2499">
        <v>95109</v>
      </c>
      <c r="P280" s="2494">
        <v>984</v>
      </c>
      <c r="Q280" s="2500">
        <v>211493</v>
      </c>
    </row>
    <row r="281" spans="1:16368">
      <c r="A281" s="2496">
        <f t="shared" si="6"/>
        <v>2013.08</v>
      </c>
      <c r="B281" s="2490">
        <v>682262</v>
      </c>
      <c r="C281" s="2711"/>
      <c r="D281" s="2712"/>
      <c r="E281" s="2491">
        <v>1186</v>
      </c>
      <c r="F281" s="2492">
        <v>24028</v>
      </c>
      <c r="G281" s="2493">
        <v>6020</v>
      </c>
      <c r="H281" s="2492">
        <v>15059</v>
      </c>
      <c r="I281" s="2493">
        <v>7401</v>
      </c>
      <c r="J281" s="2492">
        <v>4162</v>
      </c>
      <c r="K281" s="2493">
        <v>4176</v>
      </c>
      <c r="L281" s="2492">
        <v>7134</v>
      </c>
      <c r="M281" s="2494">
        <v>4681</v>
      </c>
      <c r="N281" s="2495">
        <f t="shared" si="5"/>
        <v>73847</v>
      </c>
      <c r="O281" s="2499">
        <v>58581</v>
      </c>
      <c r="P281" s="2494">
        <v>1083</v>
      </c>
      <c r="Q281" s="2500">
        <v>174413</v>
      </c>
    </row>
    <row r="282" spans="1:16368">
      <c r="A282" s="2496">
        <f t="shared" si="6"/>
        <v>2013.09</v>
      </c>
      <c r="B282" s="2490">
        <v>633669</v>
      </c>
      <c r="C282" s="2711"/>
      <c r="D282" s="2712"/>
      <c r="E282" s="2491">
        <v>2633</v>
      </c>
      <c r="F282" s="2492">
        <v>16751</v>
      </c>
      <c r="G282" s="2493">
        <v>7132</v>
      </c>
      <c r="H282" s="2492">
        <v>14129</v>
      </c>
      <c r="I282" s="2493">
        <v>4739</v>
      </c>
      <c r="J282" s="2492">
        <v>3370</v>
      </c>
      <c r="K282" s="2493">
        <v>4034</v>
      </c>
      <c r="L282" s="2492">
        <v>24035</v>
      </c>
      <c r="M282" s="2494">
        <v>2355</v>
      </c>
      <c r="N282" s="2495">
        <f t="shared" si="5"/>
        <v>79178</v>
      </c>
      <c r="O282" s="2499">
        <v>47769</v>
      </c>
      <c r="P282" s="2494">
        <v>378</v>
      </c>
      <c r="Q282" s="2500">
        <v>170252</v>
      </c>
    </row>
    <row r="283" spans="1:16368">
      <c r="A283" s="2496">
        <f t="shared" si="6"/>
        <v>2013.1</v>
      </c>
      <c r="B283" s="2490">
        <v>758061</v>
      </c>
      <c r="C283" s="2711"/>
      <c r="D283" s="2712"/>
      <c r="E283" s="2491">
        <v>2571</v>
      </c>
      <c r="F283" s="2492">
        <v>8809</v>
      </c>
      <c r="G283" s="2493">
        <v>6787</v>
      </c>
      <c r="H283" s="2492">
        <v>18115</v>
      </c>
      <c r="I283" s="2493">
        <v>5859</v>
      </c>
      <c r="J283" s="2492">
        <v>1581</v>
      </c>
      <c r="K283" s="2493">
        <v>11051</v>
      </c>
      <c r="L283" s="2492">
        <v>17779</v>
      </c>
      <c r="M283" s="2494">
        <v>2535</v>
      </c>
      <c r="N283" s="2495">
        <f t="shared" si="5"/>
        <v>75087</v>
      </c>
      <c r="O283" s="2499">
        <v>56268</v>
      </c>
      <c r="P283" s="2494">
        <v>9382</v>
      </c>
      <c r="Q283" s="2500">
        <v>188387</v>
      </c>
    </row>
    <row r="284" spans="1:16368">
      <c r="A284" s="2496">
        <f t="shared" si="6"/>
        <v>2013.11</v>
      </c>
      <c r="B284" s="2490">
        <v>736174</v>
      </c>
      <c r="C284" s="2711"/>
      <c r="D284" s="2712"/>
      <c r="E284" s="2491">
        <v>4781</v>
      </c>
      <c r="F284" s="2492">
        <v>11052</v>
      </c>
      <c r="G284" s="2493">
        <v>14179</v>
      </c>
      <c r="H284" s="2492">
        <v>7338</v>
      </c>
      <c r="I284" s="2493">
        <v>10672</v>
      </c>
      <c r="J284" s="2492">
        <v>1797</v>
      </c>
      <c r="K284" s="2493">
        <v>3034</v>
      </c>
      <c r="L284" s="2492">
        <v>8460</v>
      </c>
      <c r="M284" s="2494">
        <v>3759</v>
      </c>
      <c r="N284" s="2495">
        <f t="shared" si="5"/>
        <v>65072</v>
      </c>
      <c r="O284" s="2499">
        <v>85514</v>
      </c>
      <c r="P284" s="2494">
        <v>202</v>
      </c>
      <c r="Q284" s="2500">
        <v>181598</v>
      </c>
    </row>
    <row r="285" spans="1:16368">
      <c r="A285" s="2496">
        <f t="shared" si="6"/>
        <v>2013.12</v>
      </c>
      <c r="B285" s="2490">
        <v>711977</v>
      </c>
      <c r="C285" s="2711"/>
      <c r="D285" s="2712"/>
      <c r="E285" s="2491">
        <v>3220</v>
      </c>
      <c r="F285" s="2492">
        <v>13522</v>
      </c>
      <c r="G285" s="2493">
        <v>8762</v>
      </c>
      <c r="H285" s="2492">
        <v>12848</v>
      </c>
      <c r="I285" s="2493">
        <v>7144</v>
      </c>
      <c r="J285" s="2492">
        <v>4389</v>
      </c>
      <c r="K285" s="2493">
        <v>6907</v>
      </c>
      <c r="L285" s="2492">
        <v>6870</v>
      </c>
      <c r="M285" s="2494">
        <v>2839</v>
      </c>
      <c r="N285" s="2495">
        <f t="shared" si="5"/>
        <v>66501</v>
      </c>
      <c r="O285" s="2499">
        <v>58576</v>
      </c>
      <c r="P285" s="2494">
        <v>830</v>
      </c>
      <c r="Q285" s="2500">
        <v>169577</v>
      </c>
    </row>
    <row r="286" spans="1:16368">
      <c r="A286" s="2496">
        <f t="shared" si="6"/>
        <v>2014.01</v>
      </c>
      <c r="B286" s="2490">
        <v>575339</v>
      </c>
      <c r="C286" s="2711"/>
      <c r="D286" s="2712"/>
      <c r="E286" s="2491">
        <v>1392</v>
      </c>
      <c r="F286" s="2492">
        <v>9499</v>
      </c>
      <c r="G286" s="2493">
        <v>7486</v>
      </c>
      <c r="H286" s="2492">
        <v>12611</v>
      </c>
      <c r="I286" s="2493">
        <v>5864</v>
      </c>
      <c r="J286" s="2492">
        <v>1376</v>
      </c>
      <c r="K286" s="2493">
        <v>3803</v>
      </c>
      <c r="L286" s="2492">
        <v>4202</v>
      </c>
      <c r="M286" s="2494">
        <v>1657</v>
      </c>
      <c r="N286" s="2495">
        <f t="shared" si="5"/>
        <v>47890</v>
      </c>
      <c r="O286" s="2499">
        <v>52133</v>
      </c>
      <c r="P286" s="2494">
        <v>1184</v>
      </c>
      <c r="Q286" s="2500">
        <v>131562</v>
      </c>
    </row>
    <row r="287" spans="1:16368">
      <c r="A287" s="2496">
        <f t="shared" si="6"/>
        <v>2014.02</v>
      </c>
      <c r="B287" s="2490">
        <v>500332</v>
      </c>
      <c r="C287" s="2711"/>
      <c r="D287" s="2712"/>
      <c r="E287" s="2491">
        <v>1598</v>
      </c>
      <c r="F287" s="2492">
        <v>7654</v>
      </c>
      <c r="G287" s="2493">
        <v>4575</v>
      </c>
      <c r="H287" s="2492">
        <v>6272</v>
      </c>
      <c r="I287" s="2493">
        <v>5452</v>
      </c>
      <c r="J287" s="2492">
        <v>2958</v>
      </c>
      <c r="K287" s="2493">
        <v>3850</v>
      </c>
      <c r="L287" s="2492">
        <v>5044</v>
      </c>
      <c r="M287" s="2494">
        <v>828</v>
      </c>
      <c r="N287" s="2495">
        <f t="shared" si="5"/>
        <v>38231</v>
      </c>
      <c r="O287" s="2499">
        <v>50739</v>
      </c>
      <c r="P287" s="2494">
        <v>249</v>
      </c>
      <c r="Q287" s="2500">
        <v>135388</v>
      </c>
    </row>
    <row r="288" spans="1:16368">
      <c r="A288" s="2496">
        <f t="shared" si="6"/>
        <v>2014.03</v>
      </c>
      <c r="B288" s="2490">
        <v>648959</v>
      </c>
      <c r="C288" s="2711"/>
      <c r="D288" s="2712"/>
      <c r="E288" s="2491">
        <v>2148</v>
      </c>
      <c r="F288" s="2492">
        <v>10538</v>
      </c>
      <c r="G288" s="2493">
        <v>6770</v>
      </c>
      <c r="H288" s="2492">
        <v>17226</v>
      </c>
      <c r="I288" s="2493">
        <v>7425</v>
      </c>
      <c r="J288" s="2492">
        <v>1818</v>
      </c>
      <c r="K288" s="2493">
        <v>6288</v>
      </c>
      <c r="L288" s="2492">
        <v>9858</v>
      </c>
      <c r="M288" s="2494">
        <v>3845</v>
      </c>
      <c r="N288" s="2495">
        <f t="shared" si="5"/>
        <v>65916</v>
      </c>
      <c r="O288" s="2499">
        <v>50866</v>
      </c>
      <c r="P288" s="2494">
        <v>988</v>
      </c>
      <c r="Q288" s="2500">
        <v>164243</v>
      </c>
    </row>
    <row r="289" spans="1:17">
      <c r="A289" s="2496">
        <f t="shared" si="6"/>
        <v>2014.04</v>
      </c>
      <c r="B289" s="2490">
        <v>639812</v>
      </c>
      <c r="C289" s="2711"/>
      <c r="D289" s="2712"/>
      <c r="E289" s="2491">
        <v>3284</v>
      </c>
      <c r="F289" s="2492">
        <v>14103</v>
      </c>
      <c r="G289" s="2493">
        <v>7827</v>
      </c>
      <c r="H289" s="2492">
        <v>11264</v>
      </c>
      <c r="I289" s="2493">
        <v>6080</v>
      </c>
      <c r="J289" s="2492">
        <v>3131</v>
      </c>
      <c r="K289" s="2493">
        <v>6130</v>
      </c>
      <c r="L289" s="2492">
        <v>6320</v>
      </c>
      <c r="M289" s="2494">
        <v>2219</v>
      </c>
      <c r="N289" s="2495">
        <f t="shared" si="5"/>
        <v>60358</v>
      </c>
      <c r="O289" s="2499">
        <v>59910</v>
      </c>
      <c r="P289" s="2494">
        <v>2974</v>
      </c>
      <c r="Q289" s="2500">
        <v>169864</v>
      </c>
    </row>
    <row r="290" spans="1:17">
      <c r="A290" s="2496">
        <f t="shared" si="6"/>
        <v>2014.05</v>
      </c>
      <c r="B290" s="2490">
        <v>759726</v>
      </c>
      <c r="C290" s="2711"/>
      <c r="D290" s="2712"/>
      <c r="E290" s="2491">
        <v>2246</v>
      </c>
      <c r="F290" s="2492">
        <v>15998</v>
      </c>
      <c r="G290" s="2493">
        <v>13328</v>
      </c>
      <c r="H290" s="2492">
        <v>9816</v>
      </c>
      <c r="I290" s="2493">
        <v>10043</v>
      </c>
      <c r="J290" s="2492">
        <v>5758</v>
      </c>
      <c r="K290" s="2493">
        <v>4547</v>
      </c>
      <c r="L290" s="2492">
        <v>11851</v>
      </c>
      <c r="M290" s="2494">
        <v>1653</v>
      </c>
      <c r="N290" s="2495">
        <f t="shared" si="5"/>
        <v>75240</v>
      </c>
      <c r="O290" s="2499">
        <v>58053</v>
      </c>
      <c r="P290" s="2494">
        <v>2465</v>
      </c>
      <c r="Q290" s="2500">
        <v>191431</v>
      </c>
    </row>
    <row r="291" spans="1:17">
      <c r="A291" s="2496">
        <f t="shared" si="6"/>
        <v>2014.06</v>
      </c>
      <c r="B291" s="2490">
        <v>698100</v>
      </c>
      <c r="C291" s="2711"/>
      <c r="D291" s="2712"/>
      <c r="E291" s="2491">
        <v>3666</v>
      </c>
      <c r="F291" s="2492">
        <v>17666</v>
      </c>
      <c r="G291" s="2493">
        <v>9140</v>
      </c>
      <c r="H291" s="2492">
        <v>8859</v>
      </c>
      <c r="I291" s="2493">
        <v>7708</v>
      </c>
      <c r="J291" s="2492">
        <v>3022</v>
      </c>
      <c r="K291" s="2493">
        <v>3118</v>
      </c>
      <c r="L291" s="2492">
        <v>6991</v>
      </c>
      <c r="M291" s="2494">
        <v>2151</v>
      </c>
      <c r="N291" s="2495">
        <f t="shared" si="5"/>
        <v>62321</v>
      </c>
      <c r="O291" s="2499">
        <v>41620</v>
      </c>
      <c r="P291" s="2494">
        <v>489</v>
      </c>
      <c r="Q291" s="2500">
        <v>144590</v>
      </c>
    </row>
    <row r="292" spans="1:17">
      <c r="A292" s="2496">
        <f t="shared" si="6"/>
        <v>2014.07</v>
      </c>
      <c r="B292" s="2490">
        <v>742250</v>
      </c>
      <c r="C292" s="2711"/>
      <c r="D292" s="2712"/>
      <c r="E292" s="2491">
        <v>3775</v>
      </c>
      <c r="F292" s="2492">
        <v>13691</v>
      </c>
      <c r="G292" s="2493">
        <v>5163</v>
      </c>
      <c r="H292" s="2492">
        <v>19269</v>
      </c>
      <c r="I292" s="2493">
        <v>7218</v>
      </c>
      <c r="J292" s="2492">
        <v>9316</v>
      </c>
      <c r="K292" s="2493">
        <v>15571</v>
      </c>
      <c r="L292" s="2492">
        <v>16258</v>
      </c>
      <c r="M292" s="2494">
        <v>4005</v>
      </c>
      <c r="N292" s="2495">
        <f t="shared" si="5"/>
        <v>94266</v>
      </c>
      <c r="O292" s="2499">
        <v>52148</v>
      </c>
      <c r="P292" s="2494">
        <v>5898</v>
      </c>
      <c r="Q292" s="2500">
        <v>201408</v>
      </c>
    </row>
    <row r="293" spans="1:17">
      <c r="A293" s="2496">
        <f t="shared" si="6"/>
        <v>2014.08</v>
      </c>
      <c r="B293" s="2490">
        <v>622859</v>
      </c>
      <c r="C293" s="2711"/>
      <c r="D293" s="2712"/>
      <c r="E293" s="2491">
        <v>773</v>
      </c>
      <c r="F293" s="2492">
        <v>11162</v>
      </c>
      <c r="G293" s="2493">
        <v>4864</v>
      </c>
      <c r="H293" s="2492">
        <v>12600</v>
      </c>
      <c r="I293" s="2493">
        <v>10116</v>
      </c>
      <c r="J293" s="2492">
        <v>5480</v>
      </c>
      <c r="K293" s="2493">
        <v>3961</v>
      </c>
      <c r="L293" s="2492">
        <v>9262</v>
      </c>
      <c r="M293" s="2494">
        <v>2144</v>
      </c>
      <c r="N293" s="2495">
        <f t="shared" si="5"/>
        <v>60362</v>
      </c>
      <c r="O293" s="2499">
        <v>36381</v>
      </c>
      <c r="P293" s="2494">
        <v>468</v>
      </c>
      <c r="Q293" s="2500">
        <v>140873</v>
      </c>
    </row>
    <row r="294" spans="1:17">
      <c r="A294" s="2496">
        <f t="shared" si="6"/>
        <v>2014.09</v>
      </c>
      <c r="B294" s="2490">
        <v>830391</v>
      </c>
      <c r="C294" s="2711"/>
      <c r="D294" s="2712"/>
      <c r="E294" s="2491">
        <v>2832</v>
      </c>
      <c r="F294" s="2492">
        <v>21652</v>
      </c>
      <c r="G294" s="2493">
        <v>8232</v>
      </c>
      <c r="H294" s="2492">
        <v>12374</v>
      </c>
      <c r="I294" s="2493">
        <v>6501</v>
      </c>
      <c r="J294" s="2492">
        <v>4436</v>
      </c>
      <c r="K294" s="2493">
        <v>4369</v>
      </c>
      <c r="L294" s="2492">
        <v>6427</v>
      </c>
      <c r="M294" s="2494">
        <v>5436</v>
      </c>
      <c r="N294" s="2495">
        <f t="shared" si="5"/>
        <v>72259</v>
      </c>
      <c r="O294" s="2499">
        <v>53041</v>
      </c>
      <c r="P294" s="2494">
        <v>1390</v>
      </c>
      <c r="Q294" s="2500">
        <v>162092</v>
      </c>
    </row>
    <row r="295" spans="1:17">
      <c r="A295" s="2496">
        <f t="shared" si="6"/>
        <v>2014.1</v>
      </c>
      <c r="B295" s="2490">
        <v>710762</v>
      </c>
      <c r="C295" s="2711"/>
      <c r="D295" s="2712"/>
      <c r="E295" s="2491">
        <v>3839</v>
      </c>
      <c r="F295" s="2492">
        <v>34999</v>
      </c>
      <c r="G295" s="2493">
        <v>9742</v>
      </c>
      <c r="H295" s="2492">
        <v>13966</v>
      </c>
      <c r="I295" s="2493">
        <v>9113</v>
      </c>
      <c r="J295" s="2492">
        <v>6607</v>
      </c>
      <c r="K295" s="2493">
        <v>5868</v>
      </c>
      <c r="L295" s="2492">
        <v>10808</v>
      </c>
      <c r="M295" s="2494">
        <v>3808</v>
      </c>
      <c r="N295" s="2495">
        <f t="shared" si="5"/>
        <v>98750</v>
      </c>
      <c r="O295" s="2499">
        <v>56022</v>
      </c>
      <c r="P295" s="2494">
        <v>863</v>
      </c>
      <c r="Q295" s="2500">
        <v>200378</v>
      </c>
    </row>
    <row r="296" spans="1:17">
      <c r="A296" s="2496">
        <f t="shared" si="6"/>
        <v>2014.11</v>
      </c>
      <c r="B296" s="2490">
        <v>675855</v>
      </c>
      <c r="C296" s="2711"/>
      <c r="D296" s="2712"/>
      <c r="E296" s="2491">
        <v>1616</v>
      </c>
      <c r="F296" s="2492">
        <v>8136</v>
      </c>
      <c r="G296" s="2493">
        <v>7597</v>
      </c>
      <c r="H296" s="2492">
        <v>8814</v>
      </c>
      <c r="I296" s="2493">
        <v>6368</v>
      </c>
      <c r="J296" s="2492">
        <v>6220</v>
      </c>
      <c r="K296" s="2493">
        <v>2493</v>
      </c>
      <c r="L296" s="2492">
        <v>9042</v>
      </c>
      <c r="M296" s="2494">
        <v>4439</v>
      </c>
      <c r="N296" s="2495">
        <f t="shared" si="5"/>
        <v>54725</v>
      </c>
      <c r="O296" s="2499">
        <v>63019</v>
      </c>
      <c r="P296" s="2494">
        <v>881</v>
      </c>
      <c r="Q296" s="2500">
        <v>150052</v>
      </c>
    </row>
    <row r="297" spans="1:17">
      <c r="A297" s="2496">
        <f t="shared" si="6"/>
        <v>2014.12</v>
      </c>
      <c r="B297" s="2490">
        <v>633966</v>
      </c>
      <c r="C297" s="2711"/>
      <c r="D297" s="2712"/>
      <c r="E297" s="2491">
        <v>2526</v>
      </c>
      <c r="F297" s="2492">
        <v>25409</v>
      </c>
      <c r="G297" s="2493">
        <v>4039</v>
      </c>
      <c r="H297" s="2492">
        <v>11760</v>
      </c>
      <c r="I297" s="2493">
        <v>6155</v>
      </c>
      <c r="J297" s="2492">
        <v>8539</v>
      </c>
      <c r="K297" s="2493">
        <v>3020</v>
      </c>
      <c r="L297" s="2492">
        <v>4637</v>
      </c>
      <c r="M297" s="2494">
        <v>4691</v>
      </c>
      <c r="N297" s="2495">
        <f t="shared" si="5"/>
        <v>70776</v>
      </c>
      <c r="O297" s="2499">
        <v>52996</v>
      </c>
      <c r="P297" s="2494">
        <v>2213</v>
      </c>
      <c r="Q297" s="2500">
        <v>165738</v>
      </c>
    </row>
    <row r="298" spans="1:17">
      <c r="A298" s="2496">
        <f t="shared" si="6"/>
        <v>2015.01</v>
      </c>
      <c r="B298" s="2490">
        <v>557686</v>
      </c>
      <c r="C298" s="2711"/>
      <c r="D298" s="2712"/>
      <c r="E298" s="2491">
        <v>10484</v>
      </c>
      <c r="F298" s="2492">
        <v>9213</v>
      </c>
      <c r="G298" s="2493">
        <v>1693</v>
      </c>
      <c r="H298" s="2492">
        <v>12353</v>
      </c>
      <c r="I298" s="2493">
        <v>8145</v>
      </c>
      <c r="J298" s="2492">
        <v>6529</v>
      </c>
      <c r="K298" s="2493">
        <v>4891</v>
      </c>
      <c r="L298" s="2492">
        <v>12076</v>
      </c>
      <c r="M298" s="2494">
        <v>3069</v>
      </c>
      <c r="N298" s="2495">
        <f t="shared" si="5"/>
        <v>68453</v>
      </c>
      <c r="O298" s="2499">
        <v>39087</v>
      </c>
      <c r="P298" s="2494">
        <v>1270</v>
      </c>
      <c r="Q298" s="2500">
        <v>148733</v>
      </c>
    </row>
    <row r="299" spans="1:17">
      <c r="A299" s="2496">
        <f t="shared" si="6"/>
        <v>2015.02</v>
      </c>
      <c r="B299" s="2490">
        <v>424985</v>
      </c>
      <c r="C299" s="2711"/>
      <c r="D299" s="2712"/>
      <c r="E299" s="2491">
        <v>3292</v>
      </c>
      <c r="F299" s="2492">
        <v>20808</v>
      </c>
      <c r="G299" s="2493">
        <v>6832</v>
      </c>
      <c r="H299" s="2492">
        <v>3380</v>
      </c>
      <c r="I299" s="2493">
        <v>4711</v>
      </c>
      <c r="J299" s="2492">
        <v>4375</v>
      </c>
      <c r="K299" s="2493">
        <v>3457</v>
      </c>
      <c r="L299" s="2492">
        <v>4418</v>
      </c>
      <c r="M299" s="2494">
        <v>2420</v>
      </c>
      <c r="N299" s="2495">
        <f t="shared" si="5"/>
        <v>53693</v>
      </c>
      <c r="O299" s="2499">
        <v>59845</v>
      </c>
      <c r="P299" s="2494">
        <v>1784</v>
      </c>
      <c r="Q299" s="2500">
        <v>151610</v>
      </c>
    </row>
    <row r="300" spans="1:17">
      <c r="A300" s="2496">
        <f t="shared" si="6"/>
        <v>2015.03</v>
      </c>
      <c r="B300" s="2490">
        <v>635100</v>
      </c>
      <c r="C300" s="2711"/>
      <c r="D300" s="2712"/>
      <c r="E300" s="2491">
        <v>1834</v>
      </c>
      <c r="F300" s="2492">
        <v>35009</v>
      </c>
      <c r="G300" s="2493">
        <v>4542</v>
      </c>
      <c r="H300" s="2492">
        <v>9182</v>
      </c>
      <c r="I300" s="2493">
        <v>4604</v>
      </c>
      <c r="J300" s="2492">
        <v>5604</v>
      </c>
      <c r="K300" s="2493">
        <v>14295</v>
      </c>
      <c r="L300" s="2492">
        <v>6824</v>
      </c>
      <c r="M300" s="2494">
        <v>1785</v>
      </c>
      <c r="N300" s="2495">
        <f t="shared" si="5"/>
        <v>83679</v>
      </c>
      <c r="O300" s="2499">
        <v>31077</v>
      </c>
      <c r="P300" s="2494">
        <v>579</v>
      </c>
      <c r="Q300" s="2500">
        <v>146369</v>
      </c>
    </row>
    <row r="301" spans="1:17">
      <c r="A301" s="2496">
        <f t="shared" si="6"/>
        <v>2015.04</v>
      </c>
      <c r="B301" s="2490">
        <v>573534</v>
      </c>
      <c r="C301" s="2711"/>
      <c r="D301" s="2712"/>
      <c r="E301" s="2491">
        <v>692</v>
      </c>
      <c r="F301" s="2492">
        <v>9019</v>
      </c>
      <c r="G301" s="2493">
        <v>8454</v>
      </c>
      <c r="H301" s="2492">
        <v>4931</v>
      </c>
      <c r="I301" s="2493">
        <v>5654</v>
      </c>
      <c r="J301" s="2492">
        <v>5489</v>
      </c>
      <c r="K301" s="2493">
        <v>3980</v>
      </c>
      <c r="L301" s="2492">
        <v>5660</v>
      </c>
      <c r="M301" s="2494">
        <v>4017</v>
      </c>
      <c r="N301" s="2495">
        <f t="shared" si="5"/>
        <v>47896</v>
      </c>
      <c r="O301" s="2499">
        <v>50730</v>
      </c>
      <c r="P301" s="2494">
        <v>982</v>
      </c>
      <c r="Q301" s="2500">
        <v>144377</v>
      </c>
    </row>
    <row r="302" spans="1:17">
      <c r="A302" s="2496">
        <f t="shared" si="6"/>
        <v>2015.05</v>
      </c>
      <c r="B302" s="2490">
        <v>569571</v>
      </c>
      <c r="C302" s="2711"/>
      <c r="D302" s="2712"/>
      <c r="E302" s="2491">
        <v>3289</v>
      </c>
      <c r="F302" s="2492">
        <v>13040</v>
      </c>
      <c r="G302" s="2493">
        <v>7346</v>
      </c>
      <c r="H302" s="2492">
        <v>12920</v>
      </c>
      <c r="I302" s="2493">
        <v>4114</v>
      </c>
      <c r="J302" s="2492">
        <v>7923</v>
      </c>
      <c r="K302" s="2493">
        <v>4527</v>
      </c>
      <c r="L302" s="2492">
        <v>6517</v>
      </c>
      <c r="M302" s="2494">
        <v>1380</v>
      </c>
      <c r="N302" s="2495">
        <f t="shared" si="5"/>
        <v>61056</v>
      </c>
      <c r="O302" s="2499">
        <v>142445</v>
      </c>
      <c r="P302" s="2494">
        <v>1426</v>
      </c>
      <c r="Q302" s="2500">
        <v>235468</v>
      </c>
    </row>
    <row r="303" spans="1:17">
      <c r="A303" s="2496">
        <f t="shared" si="6"/>
        <v>2015.06</v>
      </c>
      <c r="B303" s="2490">
        <v>570899</v>
      </c>
      <c r="C303" s="2711"/>
      <c r="D303" s="2712"/>
      <c r="E303" s="2491">
        <v>1465</v>
      </c>
      <c r="F303" s="2492">
        <v>10989</v>
      </c>
      <c r="G303" s="2493">
        <v>12635</v>
      </c>
      <c r="H303" s="2492">
        <v>15257</v>
      </c>
      <c r="I303" s="2493">
        <v>6264</v>
      </c>
      <c r="J303" s="2492">
        <v>7948</v>
      </c>
      <c r="K303" s="2493">
        <v>7290</v>
      </c>
      <c r="L303" s="2492">
        <v>4354</v>
      </c>
      <c r="M303" s="2494">
        <v>4244</v>
      </c>
      <c r="N303" s="2495">
        <f t="shared" si="5"/>
        <v>70446</v>
      </c>
      <c r="O303" s="2499">
        <v>52072</v>
      </c>
      <c r="P303" s="2494">
        <v>1137</v>
      </c>
      <c r="Q303" s="2500">
        <v>167592</v>
      </c>
    </row>
    <row r="304" spans="1:17">
      <c r="A304" s="2496">
        <f t="shared" si="6"/>
        <v>2015.07</v>
      </c>
      <c r="B304" s="2490">
        <v>712303</v>
      </c>
      <c r="C304" s="2711"/>
      <c r="D304" s="2712"/>
      <c r="E304" s="2491">
        <v>1676</v>
      </c>
      <c r="F304" s="2492">
        <v>14576</v>
      </c>
      <c r="G304" s="2493">
        <v>6652</v>
      </c>
      <c r="H304" s="2492">
        <v>11598</v>
      </c>
      <c r="I304" s="2493">
        <v>19504</v>
      </c>
      <c r="J304" s="2492">
        <v>9472</v>
      </c>
      <c r="K304" s="2493">
        <v>4963</v>
      </c>
      <c r="L304" s="2492">
        <v>7042</v>
      </c>
      <c r="M304" s="2494">
        <v>1811</v>
      </c>
      <c r="N304" s="2495">
        <f t="shared" si="5"/>
        <v>77294</v>
      </c>
      <c r="O304" s="2499">
        <v>46625</v>
      </c>
      <c r="P304" s="2494">
        <v>801</v>
      </c>
      <c r="Q304" s="2500">
        <v>180213</v>
      </c>
    </row>
    <row r="305" spans="1:17">
      <c r="A305" s="2496">
        <f t="shared" si="6"/>
        <v>2015.08</v>
      </c>
      <c r="B305" s="2490">
        <v>606585</v>
      </c>
      <c r="C305" s="2711"/>
      <c r="D305" s="2712"/>
      <c r="E305" s="2491">
        <v>3016</v>
      </c>
      <c r="F305" s="2492">
        <v>22353</v>
      </c>
      <c r="G305" s="2493">
        <v>5170</v>
      </c>
      <c r="H305" s="2492">
        <v>13165</v>
      </c>
      <c r="I305" s="2493">
        <v>9089</v>
      </c>
      <c r="J305" s="2492">
        <v>4605</v>
      </c>
      <c r="K305" s="2493">
        <v>3893</v>
      </c>
      <c r="L305" s="2492">
        <v>11873</v>
      </c>
      <c r="M305" s="2494">
        <v>2969</v>
      </c>
      <c r="N305" s="2495">
        <f t="shared" si="5"/>
        <v>76133</v>
      </c>
      <c r="O305" s="2499">
        <v>37806</v>
      </c>
      <c r="P305" s="2494">
        <v>1781</v>
      </c>
      <c r="Q305" s="2500">
        <v>166706</v>
      </c>
    </row>
    <row r="306" spans="1:17">
      <c r="A306" s="2496">
        <f t="shared" si="6"/>
        <v>2015.09</v>
      </c>
      <c r="B306" s="2490">
        <v>715250</v>
      </c>
      <c r="C306" s="2711"/>
      <c r="D306" s="2712"/>
      <c r="E306" s="2491">
        <v>5474</v>
      </c>
      <c r="F306" s="2492">
        <v>21086</v>
      </c>
      <c r="G306" s="2493">
        <v>7976</v>
      </c>
      <c r="H306" s="2492">
        <v>15365</v>
      </c>
      <c r="I306" s="2493">
        <v>8228</v>
      </c>
      <c r="J306" s="2492">
        <v>6366</v>
      </c>
      <c r="K306" s="2493">
        <v>4628</v>
      </c>
      <c r="L306" s="2492">
        <v>4255</v>
      </c>
      <c r="M306" s="2494">
        <v>2338</v>
      </c>
      <c r="N306" s="2495">
        <f t="shared" si="5"/>
        <v>75716</v>
      </c>
      <c r="O306" s="2499">
        <v>56648</v>
      </c>
      <c r="P306" s="2494">
        <v>514</v>
      </c>
      <c r="Q306" s="2500">
        <v>165325</v>
      </c>
    </row>
    <row r="307" spans="1:17">
      <c r="A307" s="2496">
        <f t="shared" si="6"/>
        <v>2015.1</v>
      </c>
      <c r="B307" s="2490">
        <v>691207</v>
      </c>
      <c r="C307" s="2711"/>
      <c r="D307" s="2712"/>
      <c r="E307" s="2491">
        <v>2252</v>
      </c>
      <c r="F307" s="2492">
        <v>39521</v>
      </c>
      <c r="G307" s="2493">
        <v>5864</v>
      </c>
      <c r="H307" s="2492">
        <v>10360</v>
      </c>
      <c r="I307" s="2493">
        <v>5796</v>
      </c>
      <c r="J307" s="2492">
        <v>9595</v>
      </c>
      <c r="K307" s="2493">
        <v>4780</v>
      </c>
      <c r="L307" s="2492">
        <v>4295</v>
      </c>
      <c r="M307" s="2494">
        <v>9667</v>
      </c>
      <c r="N307" s="2495">
        <f t="shared" si="5"/>
        <v>92130</v>
      </c>
      <c r="O307" s="2499">
        <v>59524</v>
      </c>
      <c r="P307" s="2494">
        <v>4458</v>
      </c>
      <c r="Q307" s="2500">
        <v>201002</v>
      </c>
    </row>
    <row r="308" spans="1:17">
      <c r="A308" s="2496">
        <f t="shared" si="6"/>
        <v>2015.11</v>
      </c>
      <c r="B308" s="2490">
        <v>656371</v>
      </c>
      <c r="C308" s="2711"/>
      <c r="D308" s="2712"/>
      <c r="E308" s="2491">
        <v>1516</v>
      </c>
      <c r="F308" s="2492">
        <v>18350</v>
      </c>
      <c r="G308" s="2493">
        <v>3219</v>
      </c>
      <c r="H308" s="2492">
        <v>18365</v>
      </c>
      <c r="I308" s="2493">
        <v>9302</v>
      </c>
      <c r="J308" s="2492">
        <v>5398</v>
      </c>
      <c r="K308" s="2493">
        <v>3921</v>
      </c>
      <c r="L308" s="2492">
        <v>2483</v>
      </c>
      <c r="M308" s="2494">
        <v>1460</v>
      </c>
      <c r="N308" s="2495">
        <f t="shared" si="5"/>
        <v>64014</v>
      </c>
      <c r="O308" s="2499">
        <v>46774</v>
      </c>
      <c r="P308" s="2494">
        <v>716</v>
      </c>
      <c r="Q308" s="2500">
        <v>144715</v>
      </c>
    </row>
    <row r="309" spans="1:17">
      <c r="A309" s="2496">
        <f t="shared" si="6"/>
        <v>2015.12</v>
      </c>
      <c r="B309" s="2490">
        <v>537079</v>
      </c>
      <c r="C309" s="2711"/>
      <c r="D309" s="2712"/>
      <c r="E309" s="2491">
        <v>1636</v>
      </c>
      <c r="F309" s="2492">
        <v>13382</v>
      </c>
      <c r="G309" s="2493">
        <v>7618</v>
      </c>
      <c r="H309" s="2492">
        <v>4252</v>
      </c>
      <c r="I309" s="2493">
        <v>6388</v>
      </c>
      <c r="J309" s="2492">
        <v>4197</v>
      </c>
      <c r="K309" s="2493">
        <v>2796</v>
      </c>
      <c r="L309" s="2492">
        <v>4130</v>
      </c>
      <c r="M309" s="2494">
        <v>1298</v>
      </c>
      <c r="N309" s="2495">
        <f t="shared" si="5"/>
        <v>45697</v>
      </c>
      <c r="O309" s="2499">
        <v>46654</v>
      </c>
      <c r="P309" s="2494">
        <v>1536</v>
      </c>
      <c r="Q309" s="2500">
        <v>131797</v>
      </c>
    </row>
    <row r="310" spans="1:17">
      <c r="A310" s="2496">
        <f t="shared" si="6"/>
        <v>2016.01</v>
      </c>
      <c r="B310" s="2490">
        <v>523028</v>
      </c>
      <c r="C310" s="2713">
        <v>602223.80994375388</v>
      </c>
      <c r="D310" s="2714"/>
      <c r="E310" s="2491">
        <v>1925</v>
      </c>
      <c r="F310" s="2492">
        <v>10462</v>
      </c>
      <c r="G310" s="2493">
        <v>0</v>
      </c>
      <c r="H310" s="2492">
        <v>5264</v>
      </c>
      <c r="I310" s="2493">
        <v>6046</v>
      </c>
      <c r="J310" s="2492">
        <v>5453</v>
      </c>
      <c r="K310" s="2493">
        <v>2429</v>
      </c>
      <c r="L310" s="2492">
        <v>2115</v>
      </c>
      <c r="M310" s="2494">
        <v>803</v>
      </c>
      <c r="N310" s="2495">
        <f t="shared" si="5"/>
        <v>34497</v>
      </c>
      <c r="O310" s="2499">
        <v>85463</v>
      </c>
      <c r="P310" s="2494">
        <v>0</v>
      </c>
      <c r="Q310" s="2500">
        <v>145070</v>
      </c>
    </row>
    <row r="311" spans="1:17">
      <c r="A311" s="2496">
        <f t="shared" si="6"/>
        <v>2016.02</v>
      </c>
      <c r="B311" s="2490">
        <v>505458</v>
      </c>
      <c r="C311" s="2715">
        <v>595119.93187973055</v>
      </c>
      <c r="D311" s="2712"/>
      <c r="E311" s="2491">
        <v>3129</v>
      </c>
      <c r="F311" s="2492">
        <v>29286</v>
      </c>
      <c r="G311" s="2493">
        <v>8761</v>
      </c>
      <c r="H311" s="2492">
        <v>4991</v>
      </c>
      <c r="I311" s="2493">
        <v>4646</v>
      </c>
      <c r="J311" s="2492">
        <v>3551</v>
      </c>
      <c r="K311" s="2493">
        <v>1818</v>
      </c>
      <c r="L311" s="2492">
        <v>3810</v>
      </c>
      <c r="M311" s="2494">
        <v>1153</v>
      </c>
      <c r="N311" s="2495">
        <f t="shared" si="5"/>
        <v>61145</v>
      </c>
      <c r="O311" s="2499">
        <v>32310</v>
      </c>
      <c r="P311" s="2494">
        <v>396</v>
      </c>
      <c r="Q311" s="2500">
        <v>113210</v>
      </c>
    </row>
    <row r="312" spans="1:17">
      <c r="A312" s="2496">
        <f t="shared" si="6"/>
        <v>2016.03</v>
      </c>
      <c r="B312" s="2490">
        <v>562223</v>
      </c>
      <c r="C312" s="2715">
        <v>649998.92163738632</v>
      </c>
      <c r="D312" s="2712"/>
      <c r="E312" s="2491">
        <v>1385</v>
      </c>
      <c r="F312" s="2492">
        <v>18080</v>
      </c>
      <c r="G312" s="2493">
        <v>8844</v>
      </c>
      <c r="H312" s="2492">
        <v>10464</v>
      </c>
      <c r="I312" s="2493">
        <v>3413</v>
      </c>
      <c r="J312" s="2492">
        <v>9318</v>
      </c>
      <c r="K312" s="2493">
        <v>4104</v>
      </c>
      <c r="L312" s="2492">
        <v>2353</v>
      </c>
      <c r="M312" s="2494">
        <v>3041</v>
      </c>
      <c r="N312" s="2495">
        <f t="shared" si="5"/>
        <v>61002</v>
      </c>
      <c r="O312" s="2499">
        <v>57336</v>
      </c>
      <c r="P312" s="2494">
        <v>484</v>
      </c>
      <c r="Q312" s="2500">
        <v>213115</v>
      </c>
    </row>
    <row r="313" spans="1:17">
      <c r="A313" s="2496">
        <f t="shared" si="6"/>
        <v>2016.04</v>
      </c>
      <c r="B313" s="2490">
        <v>593770</v>
      </c>
      <c r="C313" s="2715">
        <v>669579.6991875564</v>
      </c>
      <c r="D313" s="2712"/>
      <c r="E313" s="2491">
        <v>1901</v>
      </c>
      <c r="F313" s="2492">
        <v>7288</v>
      </c>
      <c r="G313" s="2493">
        <v>15661</v>
      </c>
      <c r="H313" s="2492">
        <v>10785</v>
      </c>
      <c r="I313" s="2493">
        <v>6046</v>
      </c>
      <c r="J313" s="2492">
        <v>6026</v>
      </c>
      <c r="K313" s="2493">
        <v>7420</v>
      </c>
      <c r="L313" s="2492">
        <v>5660</v>
      </c>
      <c r="M313" s="2494">
        <v>3798</v>
      </c>
      <c r="N313" s="2495">
        <f t="shared" si="5"/>
        <v>64585</v>
      </c>
      <c r="O313" s="2499">
        <v>27351</v>
      </c>
      <c r="P313" s="2494">
        <v>4452</v>
      </c>
      <c r="Q313" s="2500">
        <v>135498</v>
      </c>
    </row>
    <row r="314" spans="1:17">
      <c r="A314" s="2496">
        <f t="shared" si="6"/>
        <v>2016.05</v>
      </c>
      <c r="B314" s="2490">
        <v>626842</v>
      </c>
      <c r="C314" s="2715">
        <v>721921.42469272972</v>
      </c>
      <c r="D314" s="2712"/>
      <c r="E314" s="2491">
        <v>4562</v>
      </c>
      <c r="F314" s="2492">
        <v>15643</v>
      </c>
      <c r="G314" s="2493">
        <v>11899</v>
      </c>
      <c r="H314" s="2492">
        <v>10181</v>
      </c>
      <c r="I314" s="2493">
        <v>8202</v>
      </c>
      <c r="J314" s="2492">
        <v>7306</v>
      </c>
      <c r="K314" s="2493">
        <v>5995</v>
      </c>
      <c r="L314" s="2492">
        <v>2230</v>
      </c>
      <c r="M314" s="2494">
        <v>1177</v>
      </c>
      <c r="N314" s="2495">
        <f t="shared" si="5"/>
        <v>67195</v>
      </c>
      <c r="O314" s="2499">
        <v>45014</v>
      </c>
      <c r="P314" s="2494">
        <v>556</v>
      </c>
      <c r="Q314" s="2500">
        <v>150144</v>
      </c>
    </row>
    <row r="315" spans="1:17">
      <c r="A315" s="2496">
        <f t="shared" si="6"/>
        <v>2016.06</v>
      </c>
      <c r="B315" s="2490">
        <v>604387</v>
      </c>
      <c r="C315" s="2715">
        <v>697648.63933060202</v>
      </c>
      <c r="D315" s="2712"/>
      <c r="E315" s="2491">
        <v>1647</v>
      </c>
      <c r="F315" s="2492">
        <v>20866</v>
      </c>
      <c r="G315" s="2493">
        <v>11469</v>
      </c>
      <c r="H315" s="2492">
        <v>13623</v>
      </c>
      <c r="I315" s="2493">
        <v>9241</v>
      </c>
      <c r="J315" s="2492">
        <v>4727</v>
      </c>
      <c r="K315" s="2493">
        <v>6083</v>
      </c>
      <c r="L315" s="2492">
        <v>5640</v>
      </c>
      <c r="M315" s="2494">
        <v>4053</v>
      </c>
      <c r="N315" s="2495">
        <f t="shared" si="5"/>
        <v>77349</v>
      </c>
      <c r="O315" s="2499">
        <v>84108</v>
      </c>
      <c r="P315" s="2494">
        <v>1628</v>
      </c>
      <c r="Q315" s="2500">
        <v>209170</v>
      </c>
    </row>
    <row r="316" spans="1:17">
      <c r="A316" s="2496">
        <f t="shared" si="6"/>
        <v>2016.07</v>
      </c>
      <c r="B316" s="2502">
        <v>520073</v>
      </c>
      <c r="C316" s="2716">
        <v>598065.7826539824</v>
      </c>
      <c r="D316" s="2717"/>
      <c r="E316" s="2491">
        <v>1048</v>
      </c>
      <c r="F316" s="2492">
        <v>11994</v>
      </c>
      <c r="G316" s="2493">
        <v>8009</v>
      </c>
      <c r="H316" s="2492">
        <v>5023</v>
      </c>
      <c r="I316" s="2493">
        <v>5130</v>
      </c>
      <c r="J316" s="2492">
        <v>6344</v>
      </c>
      <c r="K316" s="2493">
        <v>3178</v>
      </c>
      <c r="L316" s="2492">
        <v>2619</v>
      </c>
      <c r="M316" s="2494">
        <v>2504</v>
      </c>
      <c r="N316" s="2495">
        <f t="shared" si="5"/>
        <v>45849</v>
      </c>
      <c r="O316" s="2499">
        <v>41717</v>
      </c>
      <c r="P316" s="2494">
        <v>1905</v>
      </c>
      <c r="Q316" s="2500">
        <v>126981</v>
      </c>
    </row>
    <row r="317" spans="1:17">
      <c r="A317" s="2496">
        <f t="shared" si="6"/>
        <v>2016.08</v>
      </c>
      <c r="B317" s="2502">
        <v>617452</v>
      </c>
      <c r="C317" s="2716">
        <v>701478.7137698771</v>
      </c>
      <c r="D317" s="2717"/>
      <c r="E317" s="2491">
        <v>3067</v>
      </c>
      <c r="F317" s="2492">
        <v>5381</v>
      </c>
      <c r="G317" s="2493">
        <v>7197</v>
      </c>
      <c r="H317" s="2492">
        <v>6912</v>
      </c>
      <c r="I317" s="2493">
        <v>2924</v>
      </c>
      <c r="J317" s="2492">
        <v>6967</v>
      </c>
      <c r="K317" s="2493">
        <v>3320</v>
      </c>
      <c r="L317" s="2492">
        <v>4771</v>
      </c>
      <c r="M317" s="2494">
        <v>1669</v>
      </c>
      <c r="N317" s="2495">
        <f>SUM(E317:M317)</f>
        <v>42208</v>
      </c>
      <c r="O317" s="2499">
        <v>73696</v>
      </c>
      <c r="P317" s="2494">
        <v>4424</v>
      </c>
      <c r="Q317" s="2500">
        <v>167156</v>
      </c>
    </row>
    <row r="318" spans="1:17">
      <c r="A318" s="2496">
        <f t="shared" si="6"/>
        <v>2016.09</v>
      </c>
      <c r="B318" s="2502">
        <v>546611</v>
      </c>
      <c r="C318" s="2716">
        <v>611463.87264773273</v>
      </c>
      <c r="D318" s="2717"/>
      <c r="E318" s="2491">
        <v>3302</v>
      </c>
      <c r="F318" s="2492">
        <v>7090</v>
      </c>
      <c r="G318" s="2493">
        <v>9863</v>
      </c>
      <c r="H318" s="2492">
        <v>7803</v>
      </c>
      <c r="I318" s="2493">
        <v>6747</v>
      </c>
      <c r="J318" s="2492">
        <v>7632</v>
      </c>
      <c r="K318" s="2493">
        <v>2090</v>
      </c>
      <c r="L318" s="2492">
        <v>2620</v>
      </c>
      <c r="M318" s="2494">
        <v>2781</v>
      </c>
      <c r="N318" s="2495">
        <f t="shared" si="5"/>
        <v>49928</v>
      </c>
      <c r="O318" s="2499">
        <v>32767</v>
      </c>
      <c r="P318" s="2494">
        <v>3428</v>
      </c>
      <c r="Q318" s="2500">
        <v>125343</v>
      </c>
    </row>
    <row r="319" spans="1:17">
      <c r="A319" s="2496">
        <f t="shared" si="6"/>
        <v>2016.1</v>
      </c>
      <c r="B319" s="2502">
        <v>637897</v>
      </c>
      <c r="C319" s="2716">
        <v>694960.76446080138</v>
      </c>
      <c r="D319" s="2717"/>
      <c r="E319" s="2491">
        <v>3190</v>
      </c>
      <c r="F319" s="2492">
        <v>11352</v>
      </c>
      <c r="G319" s="2493">
        <v>9201</v>
      </c>
      <c r="H319" s="2492">
        <v>6864</v>
      </c>
      <c r="I319" s="2493">
        <v>4284</v>
      </c>
      <c r="J319" s="2492">
        <v>5328</v>
      </c>
      <c r="K319" s="2493">
        <v>5747</v>
      </c>
      <c r="L319" s="2492">
        <v>3200</v>
      </c>
      <c r="M319" s="2494">
        <v>3938</v>
      </c>
      <c r="N319" s="2495">
        <f t="shared" si="5"/>
        <v>53104</v>
      </c>
      <c r="O319" s="2499">
        <v>30080</v>
      </c>
      <c r="P319" s="2494">
        <v>4993</v>
      </c>
      <c r="Q319" s="2500">
        <v>128517</v>
      </c>
    </row>
    <row r="320" spans="1:17">
      <c r="A320" s="2496">
        <f t="shared" si="6"/>
        <v>2016.11</v>
      </c>
      <c r="B320" s="2502">
        <v>549738</v>
      </c>
      <c r="C320" s="2716">
        <v>635725.77598777856</v>
      </c>
      <c r="D320" s="2717"/>
      <c r="E320" s="2491">
        <v>2102</v>
      </c>
      <c r="F320" s="2492">
        <v>13143</v>
      </c>
      <c r="G320" s="2493">
        <v>4694</v>
      </c>
      <c r="H320" s="2492">
        <v>7110</v>
      </c>
      <c r="I320" s="2493">
        <v>5492</v>
      </c>
      <c r="J320" s="2492">
        <v>3979</v>
      </c>
      <c r="K320" s="2493">
        <v>1702</v>
      </c>
      <c r="L320" s="2492">
        <v>3521</v>
      </c>
      <c r="M320" s="2494">
        <v>1237</v>
      </c>
      <c r="N320" s="2495">
        <f t="shared" si="5"/>
        <v>42980</v>
      </c>
      <c r="O320" s="2499">
        <v>67734</v>
      </c>
      <c r="P320" s="2494">
        <v>452</v>
      </c>
      <c r="Q320" s="2500">
        <v>147469</v>
      </c>
    </row>
    <row r="321" spans="1:17">
      <c r="A321" s="2496">
        <f t="shared" si="6"/>
        <v>2016.12</v>
      </c>
      <c r="B321" s="2502">
        <v>614505</v>
      </c>
      <c r="C321" s="2716">
        <v>707605</v>
      </c>
      <c r="D321" s="2717"/>
      <c r="E321" s="2491">
        <v>1662</v>
      </c>
      <c r="F321" s="2492">
        <v>15074</v>
      </c>
      <c r="G321" s="2493">
        <v>8224</v>
      </c>
      <c r="H321" s="2492">
        <v>10673</v>
      </c>
      <c r="I321" s="2493">
        <v>8649</v>
      </c>
      <c r="J321" s="2492">
        <v>4747</v>
      </c>
      <c r="K321" s="2493">
        <v>3712</v>
      </c>
      <c r="L321" s="2492">
        <v>2699</v>
      </c>
      <c r="M321" s="2494">
        <v>2100</v>
      </c>
      <c r="N321" s="2495">
        <f t="shared" si="5"/>
        <v>57540</v>
      </c>
      <c r="O321" s="2499">
        <v>70679</v>
      </c>
      <c r="P321" s="2494">
        <v>12106</v>
      </c>
      <c r="Q321" s="2500">
        <v>193647</v>
      </c>
    </row>
    <row r="322" spans="1:17">
      <c r="A322" s="2496">
        <f t="shared" si="6"/>
        <v>2017.01</v>
      </c>
      <c r="B322" s="2502">
        <v>590799</v>
      </c>
      <c r="C322" s="2716">
        <v>668332</v>
      </c>
      <c r="D322" s="2717"/>
      <c r="E322" s="2491">
        <v>2157</v>
      </c>
      <c r="F322" s="2492">
        <v>31091</v>
      </c>
      <c r="G322" s="2493">
        <v>0</v>
      </c>
      <c r="H322" s="2492">
        <v>7899</v>
      </c>
      <c r="I322" s="2493">
        <v>1207</v>
      </c>
      <c r="J322" s="2492">
        <v>4052</v>
      </c>
      <c r="K322" s="2493">
        <v>3603</v>
      </c>
      <c r="L322" s="2492">
        <v>2903</v>
      </c>
      <c r="M322" s="2494">
        <v>2400</v>
      </c>
      <c r="N322" s="2495">
        <f t="shared" si="5"/>
        <v>55312</v>
      </c>
      <c r="O322" s="2499">
        <v>56510</v>
      </c>
      <c r="P322" s="2494">
        <v>6521</v>
      </c>
      <c r="Q322" s="2500">
        <v>165361</v>
      </c>
    </row>
    <row r="323" spans="1:17">
      <c r="A323" s="2496">
        <f t="shared" si="6"/>
        <v>2017.02</v>
      </c>
      <c r="B323" s="2502">
        <v>409336</v>
      </c>
      <c r="C323" s="2716">
        <v>503078</v>
      </c>
      <c r="D323" s="2717"/>
      <c r="E323" s="2491">
        <v>854</v>
      </c>
      <c r="F323" s="2492">
        <v>3875</v>
      </c>
      <c r="G323" s="2493">
        <v>5643</v>
      </c>
      <c r="H323" s="2492">
        <v>9901</v>
      </c>
      <c r="I323" s="2493">
        <v>3535</v>
      </c>
      <c r="J323" s="2492">
        <v>3228</v>
      </c>
      <c r="K323" s="2493">
        <v>2729</v>
      </c>
      <c r="L323" s="2492">
        <v>3468</v>
      </c>
      <c r="M323" s="2494">
        <v>13046</v>
      </c>
      <c r="N323" s="2495">
        <f t="shared" si="5"/>
        <v>46279</v>
      </c>
      <c r="O323" s="2499">
        <v>29836</v>
      </c>
      <c r="P323" s="2494">
        <v>2402</v>
      </c>
      <c r="Q323" s="2500">
        <v>124194</v>
      </c>
    </row>
    <row r="324" spans="1:17">
      <c r="A324" s="2496">
        <f t="shared" si="6"/>
        <v>2017.03</v>
      </c>
      <c r="B324" s="2502">
        <v>550349</v>
      </c>
      <c r="C324" s="2716">
        <v>631494</v>
      </c>
      <c r="D324" s="2717"/>
      <c r="E324" s="2491">
        <v>1565</v>
      </c>
      <c r="F324" s="2492">
        <v>16602</v>
      </c>
      <c r="G324" s="2493">
        <v>5086</v>
      </c>
      <c r="H324" s="2492">
        <v>5029</v>
      </c>
      <c r="I324" s="2493">
        <v>5471</v>
      </c>
      <c r="J324" s="2492">
        <v>8114</v>
      </c>
      <c r="K324" s="2493">
        <v>671</v>
      </c>
      <c r="L324" s="2492">
        <v>1624</v>
      </c>
      <c r="M324" s="2494">
        <v>2949</v>
      </c>
      <c r="N324" s="2495">
        <f t="shared" si="5"/>
        <v>47111</v>
      </c>
      <c r="O324" s="2499">
        <v>41925</v>
      </c>
      <c r="P324" s="2494">
        <v>13173</v>
      </c>
      <c r="Q324" s="2500">
        <v>222618</v>
      </c>
    </row>
    <row r="325" spans="1:17">
      <c r="A325" s="2496">
        <f t="shared" si="6"/>
        <v>2017.04</v>
      </c>
      <c r="B325" s="2502">
        <v>655231</v>
      </c>
      <c r="C325" s="2716">
        <v>742920.67</v>
      </c>
      <c r="D325" s="2717"/>
      <c r="E325" s="2491">
        <v>1850</v>
      </c>
      <c r="F325" s="2492">
        <v>31791</v>
      </c>
      <c r="G325" s="2493">
        <v>3735</v>
      </c>
      <c r="H325" s="2492">
        <v>4587</v>
      </c>
      <c r="I325" s="2493">
        <v>3850</v>
      </c>
      <c r="J325" s="2492">
        <v>16978</v>
      </c>
      <c r="K325" s="2493">
        <v>1558</v>
      </c>
      <c r="L325" s="2492">
        <v>4604</v>
      </c>
      <c r="M325" s="2494">
        <v>2015</v>
      </c>
      <c r="N325" s="2495">
        <f t="shared" si="5"/>
        <v>70968</v>
      </c>
      <c r="O325" s="2499">
        <v>23785</v>
      </c>
      <c r="P325" s="2494">
        <v>720</v>
      </c>
      <c r="Q325" s="2500">
        <v>172570</v>
      </c>
    </row>
    <row r="326" spans="1:17">
      <c r="A326" s="2496">
        <f t="shared" si="6"/>
        <v>2017.05</v>
      </c>
      <c r="B326" s="2502">
        <v>809104</v>
      </c>
      <c r="C326" s="2716">
        <v>923002</v>
      </c>
      <c r="D326" s="2717"/>
      <c r="E326" s="2491">
        <v>4205</v>
      </c>
      <c r="F326" s="2492">
        <v>15677</v>
      </c>
      <c r="G326" s="2493">
        <v>5164</v>
      </c>
      <c r="H326" s="2492">
        <v>11269</v>
      </c>
      <c r="I326" s="2493">
        <v>4219</v>
      </c>
      <c r="J326" s="2492">
        <v>6534</v>
      </c>
      <c r="K326" s="2493">
        <v>1848</v>
      </c>
      <c r="L326" s="2492">
        <v>5299</v>
      </c>
      <c r="M326" s="2494">
        <v>1151</v>
      </c>
      <c r="N326" s="2495">
        <f t="shared" si="5"/>
        <v>55366</v>
      </c>
      <c r="O326" s="2499">
        <v>53136</v>
      </c>
      <c r="P326" s="2494">
        <v>680</v>
      </c>
      <c r="Q326" s="2500">
        <v>170245</v>
      </c>
    </row>
    <row r="327" spans="1:17">
      <c r="A327" s="2496">
        <f t="shared" si="6"/>
        <v>2017.06</v>
      </c>
      <c r="B327" s="2502">
        <v>614234</v>
      </c>
      <c r="C327" s="2716">
        <v>744776</v>
      </c>
      <c r="D327" s="2717"/>
      <c r="E327" s="2491">
        <v>3396</v>
      </c>
      <c r="F327" s="2492">
        <v>12328</v>
      </c>
      <c r="G327" s="2493">
        <v>4898</v>
      </c>
      <c r="H327" s="2492">
        <v>8405</v>
      </c>
      <c r="I327" s="2493">
        <v>4798</v>
      </c>
      <c r="J327" s="2492">
        <v>9872</v>
      </c>
      <c r="K327" s="2493">
        <v>4405</v>
      </c>
      <c r="L327" s="2492">
        <v>1586</v>
      </c>
      <c r="M327" s="2494">
        <v>2894</v>
      </c>
      <c r="N327" s="2495">
        <f t="shared" si="5"/>
        <v>52582</v>
      </c>
      <c r="O327" s="2499">
        <v>48962</v>
      </c>
      <c r="P327" s="2494">
        <v>1315</v>
      </c>
      <c r="Q327" s="2500">
        <v>162832</v>
      </c>
    </row>
    <row r="328" spans="1:17">
      <c r="A328" s="2496">
        <f t="shared" si="6"/>
        <v>2017.07</v>
      </c>
      <c r="B328" s="2502">
        <v>672648</v>
      </c>
      <c r="C328" s="2716">
        <v>812534.0166666666</v>
      </c>
      <c r="D328" s="2717"/>
      <c r="E328" s="2491">
        <v>1293</v>
      </c>
      <c r="F328" s="2492">
        <v>15159</v>
      </c>
      <c r="G328" s="2493">
        <v>5005</v>
      </c>
      <c r="H328" s="2492">
        <v>5420</v>
      </c>
      <c r="I328" s="2493">
        <v>6728</v>
      </c>
      <c r="J328" s="2492">
        <v>6235</v>
      </c>
      <c r="K328" s="2493">
        <v>934</v>
      </c>
      <c r="L328" s="2492">
        <v>1191</v>
      </c>
      <c r="M328" s="2494">
        <v>1194</v>
      </c>
      <c r="N328" s="2495">
        <f t="shared" si="5"/>
        <v>43159</v>
      </c>
      <c r="O328" s="2499">
        <v>68192</v>
      </c>
      <c r="P328" s="2494">
        <v>1898</v>
      </c>
      <c r="Q328" s="2500">
        <v>197038</v>
      </c>
    </row>
    <row r="329" spans="1:17">
      <c r="A329" s="2496">
        <f t="shared" si="6"/>
        <v>2017.08</v>
      </c>
      <c r="B329" s="2502">
        <v>752429</v>
      </c>
      <c r="C329" s="2716">
        <v>842784.55</v>
      </c>
      <c r="D329" s="2717"/>
      <c r="E329" s="2491">
        <v>2953</v>
      </c>
      <c r="F329" s="2492">
        <v>7458</v>
      </c>
      <c r="G329" s="2493">
        <v>6902</v>
      </c>
      <c r="H329" s="2492">
        <v>11444</v>
      </c>
      <c r="I329" s="2493">
        <v>9688</v>
      </c>
      <c r="J329" s="2492">
        <v>6595</v>
      </c>
      <c r="K329" s="2493">
        <v>1401</v>
      </c>
      <c r="L329" s="2492">
        <v>2873</v>
      </c>
      <c r="M329" s="2494">
        <v>3757</v>
      </c>
      <c r="N329" s="2495">
        <f t="shared" si="5"/>
        <v>53071</v>
      </c>
      <c r="O329" s="2499">
        <v>60977</v>
      </c>
      <c r="P329" s="2494">
        <v>4441</v>
      </c>
      <c r="Q329" s="2500">
        <v>186336</v>
      </c>
    </row>
    <row r="330" spans="1:17">
      <c r="A330" s="2496">
        <f t="shared" si="6"/>
        <v>2017.09</v>
      </c>
      <c r="B330" s="2502">
        <v>601104</v>
      </c>
      <c r="C330" s="2716">
        <v>697827</v>
      </c>
      <c r="D330" s="2717"/>
      <c r="E330" s="2491">
        <v>2958</v>
      </c>
      <c r="F330" s="2492">
        <v>16594</v>
      </c>
      <c r="G330" s="2493">
        <v>8848</v>
      </c>
      <c r="H330" s="2492">
        <v>13725</v>
      </c>
      <c r="I330" s="2493">
        <v>3658</v>
      </c>
      <c r="J330" s="2492">
        <v>4607</v>
      </c>
      <c r="K330" s="2493">
        <v>3247</v>
      </c>
      <c r="L330" s="2492">
        <v>2069</v>
      </c>
      <c r="M330" s="2494">
        <v>1617</v>
      </c>
      <c r="N330" s="2495">
        <f t="shared" si="5"/>
        <v>57323</v>
      </c>
      <c r="O330" s="2499">
        <v>70781</v>
      </c>
      <c r="P330" s="2494">
        <v>419</v>
      </c>
      <c r="Q330" s="2500">
        <v>204215</v>
      </c>
    </row>
    <row r="331" spans="1:17">
      <c r="A331" s="2496">
        <f t="shared" si="6"/>
        <v>2017.1</v>
      </c>
      <c r="B331" s="2502">
        <v>673808</v>
      </c>
      <c r="C331" s="2716">
        <v>776999.8833333333</v>
      </c>
      <c r="D331" s="2717"/>
      <c r="E331" s="2491">
        <v>1814</v>
      </c>
      <c r="F331" s="2492">
        <v>13532</v>
      </c>
      <c r="G331" s="2493">
        <v>5118</v>
      </c>
      <c r="H331" s="2492">
        <v>10930</v>
      </c>
      <c r="I331" s="2493">
        <v>6181</v>
      </c>
      <c r="J331" s="2492">
        <v>4698</v>
      </c>
      <c r="K331" s="2493">
        <v>1781</v>
      </c>
      <c r="L331" s="2492">
        <v>1953</v>
      </c>
      <c r="M331" s="2494">
        <v>4851</v>
      </c>
      <c r="N331" s="2495">
        <f t="shared" ref="N331:N394" si="7">SUM(E331:M331)</f>
        <v>50858</v>
      </c>
      <c r="O331" s="2499">
        <v>59239</v>
      </c>
      <c r="P331" s="2494">
        <v>1364</v>
      </c>
      <c r="Q331" s="2500">
        <v>156854</v>
      </c>
    </row>
    <row r="332" spans="1:17">
      <c r="A332" s="2496">
        <f t="shared" si="6"/>
        <v>2017.11</v>
      </c>
      <c r="B332" s="2502">
        <v>610857</v>
      </c>
      <c r="C332" s="2716">
        <v>706975.69</v>
      </c>
      <c r="D332" s="2717"/>
      <c r="E332" s="2491">
        <v>5875</v>
      </c>
      <c r="F332" s="2492">
        <v>9650</v>
      </c>
      <c r="G332" s="2493">
        <v>3367</v>
      </c>
      <c r="H332" s="2492">
        <v>4202</v>
      </c>
      <c r="I332" s="2909">
        <v>6807</v>
      </c>
      <c r="J332" s="2492">
        <v>9935</v>
      </c>
      <c r="K332" s="2493">
        <v>1697</v>
      </c>
      <c r="L332" s="2492">
        <v>4096</v>
      </c>
      <c r="M332" s="2494">
        <v>2973</v>
      </c>
      <c r="N332" s="2495">
        <f t="shared" si="7"/>
        <v>48602</v>
      </c>
      <c r="O332" s="2499">
        <v>74702</v>
      </c>
      <c r="P332" s="2494">
        <v>316</v>
      </c>
      <c r="Q332" s="2500">
        <v>184547</v>
      </c>
    </row>
    <row r="333" spans="1:17">
      <c r="A333" s="2496">
        <f t="shared" si="6"/>
        <v>2017.12</v>
      </c>
      <c r="B333" s="2502">
        <v>631016</v>
      </c>
      <c r="C333" s="2716">
        <v>709852</v>
      </c>
      <c r="D333" s="2717"/>
      <c r="E333" s="2491">
        <v>1081</v>
      </c>
      <c r="F333" s="2492">
        <v>10297</v>
      </c>
      <c r="G333" s="2493">
        <v>7705</v>
      </c>
      <c r="H333" s="2492">
        <v>7201</v>
      </c>
      <c r="I333" s="2493">
        <v>5061</v>
      </c>
      <c r="J333" s="2492">
        <v>2740</v>
      </c>
      <c r="K333" s="2493">
        <v>4274</v>
      </c>
      <c r="L333" s="2492">
        <v>2756</v>
      </c>
      <c r="M333" s="2494">
        <v>2793</v>
      </c>
      <c r="N333" s="2495">
        <f t="shared" si="7"/>
        <v>43908</v>
      </c>
      <c r="O333" s="2499">
        <v>49861</v>
      </c>
      <c r="P333" s="2494">
        <v>539</v>
      </c>
      <c r="Q333" s="2500">
        <v>151292</v>
      </c>
    </row>
    <row r="334" spans="1:17">
      <c r="A334" s="2496">
        <f t="shared" si="6"/>
        <v>2018.01</v>
      </c>
      <c r="B334" s="2502">
        <v>499443</v>
      </c>
      <c r="C334" s="2716">
        <v>573034</v>
      </c>
      <c r="D334" s="2717"/>
      <c r="E334" s="2491">
        <v>1613</v>
      </c>
      <c r="F334" s="2492">
        <v>6374</v>
      </c>
      <c r="G334" s="2493">
        <v>0</v>
      </c>
      <c r="H334" s="2492">
        <v>12934</v>
      </c>
      <c r="I334" s="2493">
        <v>2954</v>
      </c>
      <c r="J334" s="2492">
        <v>5130</v>
      </c>
      <c r="K334" s="2493">
        <v>3257</v>
      </c>
      <c r="L334" s="2492">
        <v>4888</v>
      </c>
      <c r="M334" s="2494">
        <v>3497</v>
      </c>
      <c r="N334" s="2495">
        <f t="shared" si="7"/>
        <v>40647</v>
      </c>
      <c r="O334" s="2499">
        <v>74424</v>
      </c>
      <c r="P334" s="2494">
        <v>693</v>
      </c>
      <c r="Q334" s="2500">
        <v>162799</v>
      </c>
    </row>
    <row r="335" spans="1:17">
      <c r="A335" s="2496">
        <f t="shared" si="6"/>
        <v>2018.02</v>
      </c>
      <c r="B335" s="2502">
        <v>460775</v>
      </c>
      <c r="C335" s="2716">
        <v>514589</v>
      </c>
      <c r="D335" s="2717"/>
      <c r="E335" s="2491">
        <v>1526</v>
      </c>
      <c r="F335" s="2492">
        <v>11872</v>
      </c>
      <c r="G335" s="2493">
        <v>6162</v>
      </c>
      <c r="H335" s="2492">
        <v>3806</v>
      </c>
      <c r="I335" s="2493">
        <v>4439</v>
      </c>
      <c r="J335" s="2492">
        <v>4665</v>
      </c>
      <c r="K335" s="2493">
        <v>3129</v>
      </c>
      <c r="L335" s="2492">
        <v>5990</v>
      </c>
      <c r="M335" s="2494">
        <v>2976</v>
      </c>
      <c r="N335" s="2495">
        <f t="shared" si="7"/>
        <v>44565</v>
      </c>
      <c r="O335" s="2499">
        <v>105563</v>
      </c>
      <c r="P335" s="2494">
        <v>1994</v>
      </c>
      <c r="Q335" s="2500">
        <v>201706</v>
      </c>
    </row>
    <row r="336" spans="1:17">
      <c r="A336" s="2496">
        <f t="shared" si="6"/>
        <v>2018.03</v>
      </c>
      <c r="B336" s="2502">
        <v>689600</v>
      </c>
      <c r="C336" s="2716">
        <v>798641</v>
      </c>
      <c r="D336" s="2717"/>
      <c r="E336" s="2491">
        <v>772</v>
      </c>
      <c r="F336" s="2492">
        <v>11100</v>
      </c>
      <c r="G336" s="2493">
        <v>8785</v>
      </c>
      <c r="H336" s="2492">
        <v>8014</v>
      </c>
      <c r="I336" s="2493">
        <v>3084</v>
      </c>
      <c r="J336" s="2492">
        <v>6563</v>
      </c>
      <c r="K336" s="2493">
        <v>3075</v>
      </c>
      <c r="L336" s="2492">
        <v>1834</v>
      </c>
      <c r="M336" s="2494">
        <v>1426</v>
      </c>
      <c r="N336" s="2495">
        <f t="shared" si="7"/>
        <v>44653</v>
      </c>
      <c r="O336" s="2499">
        <v>32027</v>
      </c>
      <c r="P336" s="2494">
        <v>1998</v>
      </c>
      <c r="Q336" s="2500">
        <v>181407</v>
      </c>
    </row>
    <row r="337" spans="1:17">
      <c r="A337" s="2496">
        <f t="shared" si="6"/>
        <v>2018.04</v>
      </c>
      <c r="B337" s="2502">
        <v>526810</v>
      </c>
      <c r="C337" s="2716">
        <v>632767</v>
      </c>
      <c r="D337" s="2717"/>
      <c r="E337" s="2491">
        <v>1461</v>
      </c>
      <c r="F337" s="2492">
        <v>5914</v>
      </c>
      <c r="G337" s="2493">
        <v>6486</v>
      </c>
      <c r="H337" s="2492">
        <v>6538</v>
      </c>
      <c r="I337" s="2493">
        <v>11291</v>
      </c>
      <c r="J337" s="2492">
        <v>4694</v>
      </c>
      <c r="K337" s="2493">
        <v>2933</v>
      </c>
      <c r="L337" s="2492">
        <v>3453</v>
      </c>
      <c r="M337" s="2494">
        <v>1961</v>
      </c>
      <c r="N337" s="2495">
        <f t="shared" si="7"/>
        <v>44731</v>
      </c>
      <c r="O337" s="2499">
        <v>53909</v>
      </c>
      <c r="P337" s="2494">
        <v>14896</v>
      </c>
      <c r="Q337" s="2500">
        <v>158041</v>
      </c>
    </row>
    <row r="338" spans="1:17">
      <c r="A338" s="2496">
        <f t="shared" si="6"/>
        <v>2018.05</v>
      </c>
      <c r="B338" s="2502">
        <v>626181</v>
      </c>
      <c r="C338" s="2716">
        <v>733828</v>
      </c>
      <c r="D338" s="2717"/>
      <c r="E338" s="2491">
        <v>824</v>
      </c>
      <c r="F338" s="2492">
        <v>13692</v>
      </c>
      <c r="G338" s="2493">
        <v>9293</v>
      </c>
      <c r="H338" s="2492">
        <v>11328</v>
      </c>
      <c r="I338" s="2493">
        <v>4968</v>
      </c>
      <c r="J338" s="2492">
        <v>3732</v>
      </c>
      <c r="K338" s="2493">
        <v>2308</v>
      </c>
      <c r="L338" s="2492">
        <v>2778</v>
      </c>
      <c r="M338" s="2494">
        <v>1212</v>
      </c>
      <c r="N338" s="2495">
        <f t="shared" si="7"/>
        <v>50135</v>
      </c>
      <c r="O338" s="2499">
        <v>74387</v>
      </c>
      <c r="P338" s="2494">
        <v>17356</v>
      </c>
      <c r="Q338" s="2500">
        <v>190207</v>
      </c>
    </row>
    <row r="339" spans="1:17">
      <c r="A339" s="2496">
        <f t="shared" si="6"/>
        <v>2018.06</v>
      </c>
      <c r="B339" s="2503" t="s">
        <v>230</v>
      </c>
      <c r="C339" s="2716">
        <v>637513</v>
      </c>
      <c r="D339" s="2717"/>
      <c r="E339" s="2491">
        <v>4640</v>
      </c>
      <c r="F339" s="2492">
        <v>16029</v>
      </c>
      <c r="G339" s="2493">
        <v>8451</v>
      </c>
      <c r="H339" s="2492">
        <v>9818</v>
      </c>
      <c r="I339" s="2493">
        <v>5219</v>
      </c>
      <c r="J339" s="2492">
        <v>7559</v>
      </c>
      <c r="K339" s="2493">
        <v>1692</v>
      </c>
      <c r="L339" s="2492">
        <v>1890</v>
      </c>
      <c r="M339" s="2494">
        <v>803</v>
      </c>
      <c r="N339" s="2495">
        <f t="shared" si="7"/>
        <v>56101</v>
      </c>
      <c r="O339" s="2499">
        <v>72505</v>
      </c>
      <c r="P339" s="2494">
        <v>4133</v>
      </c>
      <c r="Q339" s="2500">
        <v>173199</v>
      </c>
    </row>
    <row r="340" spans="1:17">
      <c r="A340" s="2496">
        <f t="shared" si="6"/>
        <v>2018.07</v>
      </c>
      <c r="B340" s="2504"/>
      <c r="C340" s="2716">
        <v>708198</v>
      </c>
      <c r="D340" s="2717"/>
      <c r="E340" s="2491">
        <v>1733</v>
      </c>
      <c r="F340" s="2492">
        <v>19303</v>
      </c>
      <c r="G340" s="2493">
        <v>6904</v>
      </c>
      <c r="H340" s="2492">
        <v>7031</v>
      </c>
      <c r="I340" s="2493">
        <v>2703</v>
      </c>
      <c r="J340" s="2492">
        <v>6702</v>
      </c>
      <c r="K340" s="2493">
        <v>1433</v>
      </c>
      <c r="L340" s="2492">
        <v>2797</v>
      </c>
      <c r="M340" s="2494">
        <v>3754</v>
      </c>
      <c r="N340" s="2495">
        <f t="shared" si="7"/>
        <v>52360</v>
      </c>
      <c r="O340" s="2499">
        <v>54672</v>
      </c>
      <c r="P340" s="2494">
        <v>8436</v>
      </c>
      <c r="Q340" s="2500">
        <v>162015</v>
      </c>
    </row>
    <row r="341" spans="1:17">
      <c r="A341" s="2496">
        <f t="shared" si="6"/>
        <v>2018.08</v>
      </c>
      <c r="B341" s="2504"/>
      <c r="C341" s="2716">
        <v>750110</v>
      </c>
      <c r="D341" s="2717"/>
      <c r="E341" s="2491">
        <v>2348</v>
      </c>
      <c r="F341" s="2492">
        <v>11608</v>
      </c>
      <c r="G341" s="2493">
        <v>3724</v>
      </c>
      <c r="H341" s="2492">
        <v>5606</v>
      </c>
      <c r="I341" s="2493">
        <v>5323</v>
      </c>
      <c r="J341" s="2492">
        <v>5554</v>
      </c>
      <c r="K341" s="2493">
        <v>835</v>
      </c>
      <c r="L341" s="2492">
        <v>3847</v>
      </c>
      <c r="M341" s="2494">
        <v>3238</v>
      </c>
      <c r="N341" s="2495">
        <f t="shared" si="7"/>
        <v>42083</v>
      </c>
      <c r="O341" s="2499">
        <v>57077</v>
      </c>
      <c r="P341" s="2494">
        <v>1458</v>
      </c>
      <c r="Q341" s="2500">
        <v>159531</v>
      </c>
    </row>
    <row r="342" spans="1:17">
      <c r="A342" s="2496">
        <f t="shared" ref="A342:A405" si="8">A330+1</f>
        <v>2018.09</v>
      </c>
      <c r="B342" s="2504"/>
      <c r="C342" s="2716">
        <v>754995</v>
      </c>
      <c r="D342" s="2717"/>
      <c r="E342" s="2491">
        <v>4611</v>
      </c>
      <c r="F342" s="2492">
        <v>6711</v>
      </c>
      <c r="G342" s="2493">
        <v>6008</v>
      </c>
      <c r="H342" s="2492">
        <v>7834</v>
      </c>
      <c r="I342" s="2493">
        <v>6388</v>
      </c>
      <c r="J342" s="2492">
        <v>3806</v>
      </c>
      <c r="K342" s="2493">
        <v>2683</v>
      </c>
      <c r="L342" s="2492">
        <v>2682</v>
      </c>
      <c r="M342" s="2494">
        <v>4834</v>
      </c>
      <c r="N342" s="2495">
        <f t="shared" si="7"/>
        <v>45557</v>
      </c>
      <c r="O342" s="2499">
        <v>66403</v>
      </c>
      <c r="P342" s="2494">
        <v>2391</v>
      </c>
      <c r="Q342" s="2500">
        <v>159501</v>
      </c>
    </row>
    <row r="343" spans="1:17">
      <c r="A343" s="2496">
        <f t="shared" si="8"/>
        <v>2018.1</v>
      </c>
      <c r="B343" s="2504"/>
      <c r="C343" s="2716">
        <v>721943</v>
      </c>
      <c r="D343" s="2717"/>
      <c r="E343" s="2491">
        <v>3975</v>
      </c>
      <c r="F343" s="2492">
        <v>9010</v>
      </c>
      <c r="G343" s="2493">
        <v>7789</v>
      </c>
      <c r="H343" s="2492">
        <v>8900</v>
      </c>
      <c r="I343" s="2493">
        <v>5274</v>
      </c>
      <c r="J343" s="2492">
        <v>9448</v>
      </c>
      <c r="K343" s="2493">
        <v>4207</v>
      </c>
      <c r="L343" s="2492">
        <v>2927</v>
      </c>
      <c r="M343" s="2494">
        <v>4461</v>
      </c>
      <c r="N343" s="2495">
        <f t="shared" si="7"/>
        <v>55991</v>
      </c>
      <c r="O343" s="2499">
        <v>51090</v>
      </c>
      <c r="P343" s="2494">
        <v>2172</v>
      </c>
      <c r="Q343" s="2500">
        <v>154404</v>
      </c>
    </row>
    <row r="344" spans="1:17">
      <c r="A344" s="2496">
        <f t="shared" si="8"/>
        <v>2018.11</v>
      </c>
      <c r="B344" s="2504"/>
      <c r="C344" s="2716">
        <v>625563</v>
      </c>
      <c r="D344" s="2717"/>
      <c r="E344" s="2491">
        <v>1429</v>
      </c>
      <c r="F344" s="2492">
        <v>6214</v>
      </c>
      <c r="G344" s="2493">
        <v>8183</v>
      </c>
      <c r="H344" s="2492">
        <v>6825</v>
      </c>
      <c r="I344" s="2493">
        <v>4445</v>
      </c>
      <c r="J344" s="2492">
        <v>3831</v>
      </c>
      <c r="K344" s="2493">
        <v>1501</v>
      </c>
      <c r="L344" s="2492">
        <v>4412</v>
      </c>
      <c r="M344" s="2494">
        <v>6947</v>
      </c>
      <c r="N344" s="2495">
        <f t="shared" si="7"/>
        <v>43787</v>
      </c>
      <c r="O344" s="2499">
        <v>70727</v>
      </c>
      <c r="P344" s="2494">
        <v>1099</v>
      </c>
      <c r="Q344" s="2500">
        <v>151088</v>
      </c>
    </row>
    <row r="345" spans="1:17">
      <c r="A345" s="2496">
        <f t="shared" si="8"/>
        <v>2018.12</v>
      </c>
      <c r="B345" s="2504"/>
      <c r="C345" s="2716">
        <v>604294</v>
      </c>
      <c r="D345" s="2717"/>
      <c r="E345" s="2491">
        <v>1460</v>
      </c>
      <c r="F345" s="2492">
        <v>15803</v>
      </c>
      <c r="G345" s="2493">
        <v>8391</v>
      </c>
      <c r="H345" s="2492">
        <v>5968</v>
      </c>
      <c r="I345" s="2493">
        <v>3584</v>
      </c>
      <c r="J345" s="2492">
        <v>3161</v>
      </c>
      <c r="K345" s="2493">
        <v>1551</v>
      </c>
      <c r="L345" s="2492">
        <v>4876</v>
      </c>
      <c r="M345" s="2494">
        <v>10392</v>
      </c>
      <c r="N345" s="2495">
        <f t="shared" si="7"/>
        <v>55186</v>
      </c>
      <c r="O345" s="2499">
        <v>58436</v>
      </c>
      <c r="P345" s="2494">
        <v>206</v>
      </c>
      <c r="Q345" s="2500">
        <v>195927</v>
      </c>
    </row>
    <row r="346" spans="1:17">
      <c r="A346" s="2496">
        <f t="shared" si="8"/>
        <v>2019.01</v>
      </c>
      <c r="B346" s="2504"/>
      <c r="C346" s="2716">
        <v>585890</v>
      </c>
      <c r="D346" s="2717"/>
      <c r="E346" s="2491">
        <v>2681</v>
      </c>
      <c r="F346" s="2492">
        <v>11606</v>
      </c>
      <c r="G346" s="2493">
        <v>1923</v>
      </c>
      <c r="H346" s="2492">
        <v>4945</v>
      </c>
      <c r="I346" s="2493">
        <v>3154</v>
      </c>
      <c r="J346" s="2492">
        <v>5668</v>
      </c>
      <c r="K346" s="2493">
        <v>622</v>
      </c>
      <c r="L346" s="2492">
        <v>3148</v>
      </c>
      <c r="M346" s="2494">
        <v>3848</v>
      </c>
      <c r="N346" s="2495">
        <f t="shared" si="7"/>
        <v>37595</v>
      </c>
      <c r="O346" s="2499">
        <v>65560</v>
      </c>
      <c r="P346" s="2494">
        <v>1112</v>
      </c>
      <c r="Q346" s="2500">
        <v>137500</v>
      </c>
    </row>
    <row r="347" spans="1:17">
      <c r="A347" s="2496">
        <f t="shared" si="8"/>
        <v>2019.02</v>
      </c>
      <c r="B347" s="2504"/>
      <c r="C347" s="2716">
        <v>685867</v>
      </c>
      <c r="D347" s="2717"/>
      <c r="E347" s="2491">
        <v>787</v>
      </c>
      <c r="F347" s="2492">
        <v>7560</v>
      </c>
      <c r="G347" s="2493">
        <v>5829</v>
      </c>
      <c r="H347" s="2492">
        <v>4632</v>
      </c>
      <c r="I347" s="2493">
        <v>3362</v>
      </c>
      <c r="J347" s="2492">
        <v>3600</v>
      </c>
      <c r="K347" s="2493">
        <v>2898</v>
      </c>
      <c r="L347" s="2492">
        <v>2943</v>
      </c>
      <c r="M347" s="2494">
        <v>2327</v>
      </c>
      <c r="N347" s="2495">
        <f t="shared" si="7"/>
        <v>33938</v>
      </c>
      <c r="O347" s="2499">
        <v>71815</v>
      </c>
      <c r="P347" s="2494">
        <v>2096</v>
      </c>
      <c r="Q347" s="2500">
        <v>147884</v>
      </c>
    </row>
    <row r="348" spans="1:17">
      <c r="A348" s="2496">
        <f t="shared" si="8"/>
        <v>2019.03</v>
      </c>
      <c r="B348" s="2504"/>
      <c r="C348" s="2716">
        <v>539533</v>
      </c>
      <c r="D348" s="2717"/>
      <c r="E348" s="2491">
        <v>659</v>
      </c>
      <c r="F348" s="2492">
        <v>7997</v>
      </c>
      <c r="G348" s="2493">
        <v>5412</v>
      </c>
      <c r="H348" s="2492">
        <v>7654</v>
      </c>
      <c r="I348" s="2493">
        <v>4357</v>
      </c>
      <c r="J348" s="2492">
        <v>4161</v>
      </c>
      <c r="K348" s="2493">
        <v>2364</v>
      </c>
      <c r="L348" s="2492">
        <v>3154</v>
      </c>
      <c r="M348" s="2494">
        <v>2908</v>
      </c>
      <c r="N348" s="2495">
        <f t="shared" si="7"/>
        <v>38666</v>
      </c>
      <c r="O348" s="2499">
        <v>77804</v>
      </c>
      <c r="P348" s="2494">
        <v>804</v>
      </c>
      <c r="Q348" s="2500">
        <v>165367</v>
      </c>
    </row>
    <row r="349" spans="1:17">
      <c r="A349" s="2496">
        <f t="shared" si="8"/>
        <v>2019.04</v>
      </c>
      <c r="B349" s="2504"/>
      <c r="C349" s="2716">
        <v>731295</v>
      </c>
      <c r="D349" s="2717"/>
      <c r="E349" s="2491">
        <v>6443</v>
      </c>
      <c r="F349" s="2492">
        <v>8640</v>
      </c>
      <c r="G349" s="2493">
        <v>4705</v>
      </c>
      <c r="H349" s="2492">
        <v>6048</v>
      </c>
      <c r="I349" s="2493">
        <v>4405</v>
      </c>
      <c r="J349" s="2492">
        <v>16131</v>
      </c>
      <c r="K349" s="2493">
        <v>1381</v>
      </c>
      <c r="L349" s="2492">
        <v>3767</v>
      </c>
      <c r="M349" s="2494">
        <v>5503</v>
      </c>
      <c r="N349" s="2495">
        <f t="shared" si="7"/>
        <v>57023</v>
      </c>
      <c r="O349" s="2499">
        <v>58582</v>
      </c>
      <c r="P349" s="2494">
        <v>2828</v>
      </c>
      <c r="Q349" s="2500">
        <v>162335</v>
      </c>
    </row>
    <row r="350" spans="1:17">
      <c r="A350" s="2496">
        <f t="shared" si="8"/>
        <v>2019.05</v>
      </c>
      <c r="B350" s="2504"/>
      <c r="C350" s="2716">
        <v>899183</v>
      </c>
      <c r="D350" s="2717"/>
      <c r="E350" s="2491">
        <v>4239</v>
      </c>
      <c r="F350" s="2492">
        <v>8713</v>
      </c>
      <c r="G350" s="2493">
        <v>7454</v>
      </c>
      <c r="H350" s="2492">
        <v>5262</v>
      </c>
      <c r="I350" s="2493">
        <v>6238</v>
      </c>
      <c r="J350" s="2492">
        <v>4179</v>
      </c>
      <c r="K350" s="2493">
        <v>828</v>
      </c>
      <c r="L350" s="2492">
        <v>2826</v>
      </c>
      <c r="M350" s="2494">
        <v>3226</v>
      </c>
      <c r="N350" s="2495">
        <f t="shared" si="7"/>
        <v>42965</v>
      </c>
      <c r="O350" s="2499">
        <v>53868</v>
      </c>
      <c r="P350" s="2494">
        <v>4078</v>
      </c>
      <c r="Q350" s="2500">
        <v>141117</v>
      </c>
    </row>
    <row r="351" spans="1:17">
      <c r="A351" s="2496">
        <f t="shared" si="8"/>
        <v>2019.06</v>
      </c>
      <c r="B351" s="2504"/>
      <c r="C351" s="2716">
        <v>798834</v>
      </c>
      <c r="D351" s="2717"/>
      <c r="E351" s="2491">
        <v>1610</v>
      </c>
      <c r="F351" s="2492">
        <v>7989</v>
      </c>
      <c r="G351" s="2493">
        <v>11496</v>
      </c>
      <c r="H351" s="2492">
        <v>6269</v>
      </c>
      <c r="I351" s="2493">
        <v>2681</v>
      </c>
      <c r="J351" s="2492">
        <v>3231</v>
      </c>
      <c r="K351" s="2493">
        <v>1723</v>
      </c>
      <c r="L351" s="2492">
        <v>1560</v>
      </c>
      <c r="M351" s="2494">
        <v>3884</v>
      </c>
      <c r="N351" s="2495">
        <f t="shared" si="7"/>
        <v>40443</v>
      </c>
      <c r="O351" s="2499">
        <v>76792</v>
      </c>
      <c r="P351" s="2494">
        <v>1757</v>
      </c>
      <c r="Q351" s="2500">
        <v>177058</v>
      </c>
    </row>
    <row r="352" spans="1:17">
      <c r="A352" s="2496">
        <f t="shared" si="8"/>
        <v>2019.07</v>
      </c>
      <c r="B352" s="2504"/>
      <c r="C352" s="2716">
        <v>846330</v>
      </c>
      <c r="D352" s="2717"/>
      <c r="E352" s="2491">
        <v>1493</v>
      </c>
      <c r="F352" s="2492">
        <v>60303</v>
      </c>
      <c r="G352" s="2493">
        <v>5760</v>
      </c>
      <c r="H352" s="2492">
        <v>3797</v>
      </c>
      <c r="I352" s="2493">
        <v>3473</v>
      </c>
      <c r="J352" s="2492">
        <v>3200</v>
      </c>
      <c r="K352" s="2493">
        <v>1829</v>
      </c>
      <c r="L352" s="2492">
        <v>1769</v>
      </c>
      <c r="M352" s="2494">
        <v>2324</v>
      </c>
      <c r="N352" s="2495">
        <f t="shared" si="7"/>
        <v>83948</v>
      </c>
      <c r="O352" s="2499">
        <v>52798</v>
      </c>
      <c r="P352" s="2494">
        <v>1079</v>
      </c>
      <c r="Q352" s="2500">
        <v>176840</v>
      </c>
    </row>
    <row r="353" spans="1:17">
      <c r="A353" s="2496">
        <f t="shared" si="8"/>
        <v>2019.08</v>
      </c>
      <c r="B353" s="2504"/>
      <c r="C353" s="2716">
        <v>768609</v>
      </c>
      <c r="D353" s="2717"/>
      <c r="E353" s="2491">
        <v>1772</v>
      </c>
      <c r="F353" s="2492">
        <v>16081</v>
      </c>
      <c r="G353" s="2493">
        <v>7036</v>
      </c>
      <c r="H353" s="2492">
        <v>9274</v>
      </c>
      <c r="I353" s="2493">
        <v>3936</v>
      </c>
      <c r="J353" s="2492">
        <v>3574</v>
      </c>
      <c r="K353" s="2493">
        <v>702</v>
      </c>
      <c r="L353" s="2492">
        <v>5667</v>
      </c>
      <c r="M353" s="2494">
        <v>4562</v>
      </c>
      <c r="N353" s="2495">
        <f t="shared" si="7"/>
        <v>52604</v>
      </c>
      <c r="O353" s="2499">
        <v>68500</v>
      </c>
      <c r="P353" s="2494">
        <v>2593</v>
      </c>
      <c r="Q353" s="2500">
        <v>172897</v>
      </c>
    </row>
    <row r="354" spans="1:17">
      <c r="A354" s="2496">
        <f t="shared" si="8"/>
        <v>2019.09</v>
      </c>
      <c r="B354" s="2504"/>
      <c r="C354" s="2716">
        <v>623911</v>
      </c>
      <c r="D354" s="2717"/>
      <c r="E354" s="2491">
        <v>1895</v>
      </c>
      <c r="F354" s="2492">
        <v>20636</v>
      </c>
      <c r="G354" s="2493">
        <v>3243</v>
      </c>
      <c r="H354" s="2492">
        <v>8476</v>
      </c>
      <c r="I354" s="2493">
        <v>5387</v>
      </c>
      <c r="J354" s="2492">
        <v>5571</v>
      </c>
      <c r="K354" s="2493">
        <v>1207</v>
      </c>
      <c r="L354" s="2492">
        <v>1759</v>
      </c>
      <c r="M354" s="2494">
        <v>9621</v>
      </c>
      <c r="N354" s="2495">
        <f t="shared" si="7"/>
        <v>57795</v>
      </c>
      <c r="O354" s="2499">
        <v>39451</v>
      </c>
      <c r="P354" s="2494">
        <v>7196</v>
      </c>
      <c r="Q354" s="2500">
        <v>147548</v>
      </c>
    </row>
    <row r="355" spans="1:17">
      <c r="A355" s="2496">
        <f t="shared" si="8"/>
        <v>2019.1</v>
      </c>
      <c r="B355" s="2504"/>
      <c r="C355" s="2716">
        <v>772131</v>
      </c>
      <c r="D355" s="2717"/>
      <c r="E355" s="2491">
        <v>2678</v>
      </c>
      <c r="F355" s="2492">
        <v>17091</v>
      </c>
      <c r="G355" s="2915">
        <v>14083</v>
      </c>
      <c r="H355" s="2492">
        <v>6469</v>
      </c>
      <c r="I355" s="2493">
        <v>6905</v>
      </c>
      <c r="J355" s="2492">
        <v>3600</v>
      </c>
      <c r="K355" s="2493">
        <v>2067</v>
      </c>
      <c r="L355" s="2492">
        <v>4710</v>
      </c>
      <c r="M355" s="2494">
        <v>2590</v>
      </c>
      <c r="N355" s="2495">
        <f t="shared" si="7"/>
        <v>60193</v>
      </c>
      <c r="O355" s="2499">
        <v>36567</v>
      </c>
      <c r="P355" s="2494">
        <v>3587</v>
      </c>
      <c r="Q355" s="2500">
        <v>130463</v>
      </c>
    </row>
    <row r="356" spans="1:17">
      <c r="A356" s="2496">
        <f t="shared" si="8"/>
        <v>2019.11</v>
      </c>
      <c r="B356" s="2504"/>
      <c r="C356" s="2716">
        <v>792843</v>
      </c>
      <c r="D356" s="2717"/>
      <c r="E356" s="2491">
        <v>3407</v>
      </c>
      <c r="F356" s="2492">
        <v>9928</v>
      </c>
      <c r="G356" s="2493">
        <v>6081</v>
      </c>
      <c r="H356" s="2492">
        <v>7621</v>
      </c>
      <c r="I356" s="2493">
        <v>1935</v>
      </c>
      <c r="J356" s="2492">
        <v>4238</v>
      </c>
      <c r="K356" s="2493">
        <v>2064</v>
      </c>
      <c r="L356" s="2492">
        <v>3394</v>
      </c>
      <c r="M356" s="2494">
        <v>2699</v>
      </c>
      <c r="N356" s="2495">
        <f t="shared" si="7"/>
        <v>41367</v>
      </c>
      <c r="O356" s="2499">
        <v>64024</v>
      </c>
      <c r="P356" s="2494">
        <v>817</v>
      </c>
      <c r="Q356" s="2500">
        <v>155540</v>
      </c>
    </row>
    <row r="357" spans="1:17">
      <c r="A357" s="2496">
        <f t="shared" si="8"/>
        <v>2019.12</v>
      </c>
      <c r="B357" s="2504"/>
      <c r="C357" s="2716">
        <v>910350</v>
      </c>
      <c r="D357" s="2717"/>
      <c r="E357" s="2491">
        <v>3188</v>
      </c>
      <c r="F357" s="2492">
        <v>15165</v>
      </c>
      <c r="G357" s="2493">
        <v>16402</v>
      </c>
      <c r="H357" s="2492">
        <v>6597</v>
      </c>
      <c r="I357" s="2493">
        <v>10515</v>
      </c>
      <c r="J357" s="2492">
        <v>3981</v>
      </c>
      <c r="K357" s="2493">
        <v>1155</v>
      </c>
      <c r="L357" s="2492">
        <v>2155</v>
      </c>
      <c r="M357" s="2494">
        <v>2506</v>
      </c>
      <c r="N357" s="2495">
        <f t="shared" si="7"/>
        <v>61664</v>
      </c>
      <c r="O357" s="2499">
        <v>44128</v>
      </c>
      <c r="P357" s="2494">
        <v>516</v>
      </c>
      <c r="Q357" s="2500">
        <v>141833</v>
      </c>
    </row>
    <row r="358" spans="1:17">
      <c r="A358" s="2496">
        <f t="shared" si="8"/>
        <v>2020.01</v>
      </c>
      <c r="B358" s="2504"/>
      <c r="C358" s="2716">
        <v>656283</v>
      </c>
      <c r="D358" s="2717"/>
      <c r="E358" s="2491">
        <v>1974</v>
      </c>
      <c r="F358" s="2492">
        <v>23348</v>
      </c>
      <c r="G358" s="2493">
        <v>759</v>
      </c>
      <c r="H358" s="2492">
        <v>2812</v>
      </c>
      <c r="I358" s="2909">
        <v>13675</v>
      </c>
      <c r="J358" s="2492">
        <v>4289</v>
      </c>
      <c r="K358" s="2493">
        <v>969</v>
      </c>
      <c r="L358" s="2492">
        <v>6033</v>
      </c>
      <c r="M358" s="2494">
        <v>1574</v>
      </c>
      <c r="N358" s="2495">
        <f t="shared" si="7"/>
        <v>55433</v>
      </c>
      <c r="O358" s="2499">
        <v>35048</v>
      </c>
      <c r="P358" s="2494">
        <v>1322</v>
      </c>
      <c r="Q358" s="2500">
        <v>116669</v>
      </c>
    </row>
    <row r="359" spans="1:17">
      <c r="A359" s="2496">
        <f t="shared" si="8"/>
        <v>2020.02</v>
      </c>
      <c r="B359" s="2504"/>
      <c r="C359" s="2716">
        <v>557055</v>
      </c>
      <c r="D359" s="2717"/>
      <c r="E359" s="2491">
        <v>3873</v>
      </c>
      <c r="F359" s="2492">
        <v>5750</v>
      </c>
      <c r="G359" s="2493">
        <v>3037</v>
      </c>
      <c r="H359" s="2492">
        <v>3275</v>
      </c>
      <c r="I359" s="2493">
        <v>15274</v>
      </c>
      <c r="J359" s="2492">
        <v>4275</v>
      </c>
      <c r="K359" s="2493">
        <v>647</v>
      </c>
      <c r="L359" s="2492">
        <v>977</v>
      </c>
      <c r="M359" s="2494">
        <v>1967</v>
      </c>
      <c r="N359" s="2495">
        <f t="shared" si="7"/>
        <v>39075</v>
      </c>
      <c r="O359" s="2499">
        <v>31641</v>
      </c>
      <c r="P359" s="2494">
        <v>9331</v>
      </c>
      <c r="Q359" s="2500">
        <v>108482</v>
      </c>
    </row>
    <row r="360" spans="1:17">
      <c r="A360" s="2496">
        <f t="shared" si="8"/>
        <v>2020.03</v>
      </c>
      <c r="B360" s="2504"/>
      <c r="C360" s="2716">
        <v>472081</v>
      </c>
      <c r="D360" s="2717"/>
      <c r="E360" s="2491">
        <v>383</v>
      </c>
      <c r="F360" s="2492">
        <v>8187</v>
      </c>
      <c r="G360" s="2493">
        <v>4403</v>
      </c>
      <c r="H360" s="2492">
        <v>8613</v>
      </c>
      <c r="I360" s="2493">
        <v>3436</v>
      </c>
      <c r="J360" s="2492">
        <v>2466</v>
      </c>
      <c r="K360" s="2493">
        <v>1579</v>
      </c>
      <c r="L360" s="2492">
        <v>796</v>
      </c>
      <c r="M360" s="2494">
        <v>1407</v>
      </c>
      <c r="N360" s="2495">
        <f t="shared" si="7"/>
        <v>31270</v>
      </c>
      <c r="O360" s="2499">
        <v>19405</v>
      </c>
      <c r="P360" s="2494">
        <v>599</v>
      </c>
      <c r="Q360" s="2500">
        <v>70196</v>
      </c>
    </row>
    <row r="361" spans="1:17">
      <c r="A361" s="2496">
        <f t="shared" si="8"/>
        <v>2020.04</v>
      </c>
      <c r="B361" s="2504"/>
      <c r="C361" s="2716">
        <v>74557</v>
      </c>
      <c r="D361" s="2717"/>
      <c r="E361" s="2911">
        <v>0</v>
      </c>
      <c r="F361" s="2492">
        <v>256</v>
      </c>
      <c r="G361" s="2493">
        <v>2006</v>
      </c>
      <c r="H361" s="2912">
        <v>0</v>
      </c>
      <c r="I361" s="2913">
        <v>0</v>
      </c>
      <c r="J361" s="2912">
        <v>0</v>
      </c>
      <c r="K361" s="2493">
        <v>928</v>
      </c>
      <c r="L361" s="2912">
        <v>0</v>
      </c>
      <c r="M361" s="2914">
        <v>0</v>
      </c>
      <c r="N361" s="2495">
        <f t="shared" si="7"/>
        <v>3190</v>
      </c>
      <c r="O361" s="2499">
        <v>0</v>
      </c>
      <c r="P361" s="2494">
        <v>0</v>
      </c>
      <c r="Q361" s="2500">
        <v>12585</v>
      </c>
    </row>
    <row r="362" spans="1:17">
      <c r="A362" s="2496">
        <f t="shared" si="8"/>
        <v>2020.05</v>
      </c>
      <c r="B362" s="2504"/>
      <c r="C362" s="2716">
        <v>250568</v>
      </c>
      <c r="D362" s="2717"/>
      <c r="E362" s="2491">
        <v>1789</v>
      </c>
      <c r="F362" s="2492">
        <v>85</v>
      </c>
      <c r="G362" s="2493">
        <v>5161</v>
      </c>
      <c r="H362" s="2492">
        <v>11683</v>
      </c>
      <c r="I362" s="2493">
        <v>2751</v>
      </c>
      <c r="J362" s="2492">
        <v>538</v>
      </c>
      <c r="K362" s="2493">
        <v>4891</v>
      </c>
      <c r="L362" s="2492">
        <v>435</v>
      </c>
      <c r="M362" s="2494">
        <v>1679</v>
      </c>
      <c r="N362" s="2495">
        <f t="shared" si="7"/>
        <v>29012</v>
      </c>
      <c r="O362" s="2499">
        <v>31078</v>
      </c>
      <c r="P362" s="2494">
        <v>291</v>
      </c>
      <c r="Q362" s="2500">
        <v>82176</v>
      </c>
    </row>
    <row r="363" spans="1:17">
      <c r="A363" s="2496">
        <f t="shared" si="8"/>
        <v>2020.06</v>
      </c>
      <c r="B363" s="2504"/>
      <c r="C363" s="2716">
        <v>423864</v>
      </c>
      <c r="D363" s="2717"/>
      <c r="E363" s="2491">
        <v>1922</v>
      </c>
      <c r="F363" s="2492">
        <v>360</v>
      </c>
      <c r="G363" s="2493">
        <v>6927</v>
      </c>
      <c r="H363" s="2492">
        <v>7302</v>
      </c>
      <c r="I363" s="2493">
        <v>2374</v>
      </c>
      <c r="J363" s="2492">
        <v>1758</v>
      </c>
      <c r="K363" s="2493">
        <v>2467</v>
      </c>
      <c r="L363" s="2492">
        <v>981</v>
      </c>
      <c r="M363" s="2494">
        <v>3980</v>
      </c>
      <c r="N363" s="2495">
        <f t="shared" si="7"/>
        <v>28071</v>
      </c>
      <c r="O363" s="2499">
        <v>21548</v>
      </c>
      <c r="P363" s="2494">
        <v>403</v>
      </c>
      <c r="Q363" s="2500">
        <v>90948</v>
      </c>
    </row>
    <row r="364" spans="1:17">
      <c r="A364" s="2496">
        <f t="shared" si="8"/>
        <v>2020.07</v>
      </c>
      <c r="B364" s="2504"/>
      <c r="C364" s="2716">
        <v>418453</v>
      </c>
      <c r="D364" s="2717"/>
      <c r="E364" s="2491">
        <v>244</v>
      </c>
      <c r="F364" s="2492">
        <v>601</v>
      </c>
      <c r="G364" s="2493">
        <v>5980</v>
      </c>
      <c r="H364" s="2492">
        <v>7473</v>
      </c>
      <c r="I364" s="2493">
        <v>3212</v>
      </c>
      <c r="J364" s="2492">
        <v>5617</v>
      </c>
      <c r="K364" s="2493">
        <v>2894</v>
      </c>
      <c r="L364" s="2492">
        <v>5468</v>
      </c>
      <c r="M364" s="2494">
        <v>8388</v>
      </c>
      <c r="N364" s="2495">
        <f t="shared" si="7"/>
        <v>39877</v>
      </c>
      <c r="O364" s="2499">
        <v>39157</v>
      </c>
      <c r="P364" s="2494">
        <v>342</v>
      </c>
      <c r="Q364" s="2500">
        <v>115216</v>
      </c>
    </row>
    <row r="365" spans="1:17">
      <c r="A365" s="2496">
        <f t="shared" si="8"/>
        <v>2020.08</v>
      </c>
      <c r="B365" s="2504"/>
      <c r="C365" s="2716">
        <v>565776</v>
      </c>
      <c r="D365" s="2717"/>
      <c r="E365" s="2491">
        <v>232</v>
      </c>
      <c r="F365" s="2492">
        <v>1433</v>
      </c>
      <c r="G365" s="2493">
        <v>6065</v>
      </c>
      <c r="H365" s="2492">
        <v>8696</v>
      </c>
      <c r="I365" s="2493">
        <v>8212</v>
      </c>
      <c r="J365" s="2492">
        <v>4401</v>
      </c>
      <c r="K365" s="2493">
        <v>2223</v>
      </c>
      <c r="L365" s="2492">
        <v>1019</v>
      </c>
      <c r="M365" s="2494">
        <v>2397</v>
      </c>
      <c r="N365" s="2495">
        <f t="shared" si="7"/>
        <v>34678</v>
      </c>
      <c r="O365" s="2499">
        <v>26357</v>
      </c>
      <c r="P365" s="2494">
        <v>2553</v>
      </c>
      <c r="Q365" s="2500">
        <v>102731</v>
      </c>
    </row>
    <row r="366" spans="1:17">
      <c r="A366" s="2496">
        <f t="shared" si="8"/>
        <v>2020.09</v>
      </c>
      <c r="B366" s="2504"/>
      <c r="C366" s="2716">
        <v>432109</v>
      </c>
      <c r="D366" s="2717"/>
      <c r="E366" s="2491">
        <v>800</v>
      </c>
      <c r="F366" s="2492">
        <v>2646</v>
      </c>
      <c r="G366" s="2493">
        <v>3056</v>
      </c>
      <c r="H366" s="2492">
        <v>10369</v>
      </c>
      <c r="I366" s="2493">
        <v>3934</v>
      </c>
      <c r="J366" s="2492">
        <v>5032</v>
      </c>
      <c r="K366" s="2493">
        <v>1452</v>
      </c>
      <c r="L366" s="2492">
        <v>2200</v>
      </c>
      <c r="M366" s="2494">
        <v>2937</v>
      </c>
      <c r="N366" s="2495">
        <f t="shared" si="7"/>
        <v>32426</v>
      </c>
      <c r="O366" s="2499">
        <v>18922</v>
      </c>
      <c r="P366" s="2494">
        <v>0</v>
      </c>
      <c r="Q366" s="2500">
        <v>97709</v>
      </c>
    </row>
    <row r="367" spans="1:17">
      <c r="A367" s="2496">
        <f t="shared" si="8"/>
        <v>2020.1</v>
      </c>
      <c r="B367" s="2504"/>
      <c r="C367" s="2716">
        <v>528512</v>
      </c>
      <c r="D367" s="2717"/>
      <c r="E367" s="2491">
        <v>377</v>
      </c>
      <c r="F367" s="2492">
        <v>2289</v>
      </c>
      <c r="G367" s="2493">
        <v>16478</v>
      </c>
      <c r="H367" s="2492">
        <v>12274</v>
      </c>
      <c r="I367" s="2493">
        <v>7298</v>
      </c>
      <c r="J367" s="2492">
        <v>2950</v>
      </c>
      <c r="K367" s="2493">
        <v>1746</v>
      </c>
      <c r="L367" s="2492">
        <v>4989</v>
      </c>
      <c r="M367" s="2494">
        <v>2288</v>
      </c>
      <c r="N367" s="2495">
        <f t="shared" si="7"/>
        <v>50689</v>
      </c>
      <c r="O367" s="2499">
        <v>28951</v>
      </c>
      <c r="P367" s="2494">
        <v>595</v>
      </c>
      <c r="Q367" s="2500">
        <v>145100</v>
      </c>
    </row>
    <row r="368" spans="1:17">
      <c r="A368" s="2496">
        <f t="shared" si="8"/>
        <v>2020.11</v>
      </c>
      <c r="B368" s="2504"/>
      <c r="C368" s="2716">
        <v>571702</v>
      </c>
      <c r="D368" s="2717"/>
      <c r="E368" s="2491">
        <v>1575</v>
      </c>
      <c r="F368" s="2492">
        <v>4895</v>
      </c>
      <c r="G368" s="2493">
        <v>7391</v>
      </c>
      <c r="H368" s="2492">
        <v>15956</v>
      </c>
      <c r="I368" s="2493">
        <v>9592</v>
      </c>
      <c r="J368" s="2492">
        <v>3517</v>
      </c>
      <c r="K368" s="2493">
        <v>3709</v>
      </c>
      <c r="L368" s="2492">
        <v>1901</v>
      </c>
      <c r="M368" s="2494">
        <v>2798</v>
      </c>
      <c r="N368" s="2495">
        <f t="shared" si="7"/>
        <v>51334</v>
      </c>
      <c r="O368" s="2499">
        <v>28894</v>
      </c>
      <c r="P368" s="2494">
        <v>1784</v>
      </c>
      <c r="Q368" s="2500">
        <v>146632</v>
      </c>
    </row>
    <row r="369" spans="1:17">
      <c r="A369" s="2496">
        <f t="shared" si="8"/>
        <v>2020.12</v>
      </c>
      <c r="B369" s="2504"/>
      <c r="C369" s="2716">
        <v>685586</v>
      </c>
      <c r="D369" s="2717"/>
      <c r="E369" s="2491">
        <v>1315</v>
      </c>
      <c r="F369" s="2492">
        <v>8260</v>
      </c>
      <c r="G369" s="2493">
        <v>7460</v>
      </c>
      <c r="H369" s="2492">
        <v>11254</v>
      </c>
      <c r="I369" s="2493">
        <v>4274</v>
      </c>
      <c r="J369" s="2492">
        <v>4016</v>
      </c>
      <c r="K369" s="2493">
        <v>1572</v>
      </c>
      <c r="L369" s="2492">
        <v>2947</v>
      </c>
      <c r="M369" s="2494">
        <v>3102</v>
      </c>
      <c r="N369" s="2495">
        <f t="shared" si="7"/>
        <v>44200</v>
      </c>
      <c r="O369" s="2499">
        <v>24261</v>
      </c>
      <c r="P369" s="2494">
        <v>2840</v>
      </c>
      <c r="Q369" s="2500">
        <v>130831</v>
      </c>
    </row>
    <row r="370" spans="1:17">
      <c r="A370" s="2496">
        <f t="shared" si="8"/>
        <v>2021.01</v>
      </c>
      <c r="B370" s="2504"/>
      <c r="C370" s="2716">
        <v>814680</v>
      </c>
      <c r="D370" s="2718">
        <v>1154822</v>
      </c>
      <c r="E370" s="2491">
        <v>983</v>
      </c>
      <c r="F370" s="2492">
        <v>3589</v>
      </c>
      <c r="G370" s="2493">
        <v>4159</v>
      </c>
      <c r="H370" s="2492">
        <v>15434</v>
      </c>
      <c r="I370" s="2493">
        <v>0</v>
      </c>
      <c r="J370" s="2492">
        <v>34680</v>
      </c>
      <c r="K370" s="2493">
        <v>1316</v>
      </c>
      <c r="L370" s="2492">
        <v>3677</v>
      </c>
      <c r="M370" s="2494">
        <v>2923</v>
      </c>
      <c r="N370" s="2495">
        <f t="shared" si="7"/>
        <v>66761</v>
      </c>
      <c r="O370" s="2499">
        <v>38764</v>
      </c>
      <c r="P370" s="2494">
        <v>1765</v>
      </c>
      <c r="Q370" s="2500">
        <v>124937</v>
      </c>
    </row>
    <row r="371" spans="1:17">
      <c r="A371" s="2496">
        <f t="shared" si="8"/>
        <v>2021.02</v>
      </c>
      <c r="B371" s="2504"/>
      <c r="C371" s="2716">
        <v>666632</v>
      </c>
      <c r="D371" s="2719">
        <v>1052141</v>
      </c>
      <c r="E371" s="2491">
        <v>3156</v>
      </c>
      <c r="F371" s="2492">
        <v>4405</v>
      </c>
      <c r="G371" s="2493">
        <v>4992</v>
      </c>
      <c r="H371" s="2492">
        <v>7584</v>
      </c>
      <c r="I371" s="2493">
        <v>6558</v>
      </c>
      <c r="J371" s="2492">
        <v>2546</v>
      </c>
      <c r="K371" s="2493">
        <v>2087</v>
      </c>
      <c r="L371" s="2492">
        <v>2334</v>
      </c>
      <c r="M371" s="2494">
        <v>1771</v>
      </c>
      <c r="N371" s="2495">
        <f t="shared" si="7"/>
        <v>35433</v>
      </c>
      <c r="O371" s="2499">
        <v>30572</v>
      </c>
      <c r="P371" s="2494">
        <v>2522</v>
      </c>
      <c r="Q371" s="2500">
        <v>107334</v>
      </c>
    </row>
    <row r="372" spans="1:17">
      <c r="A372" s="2496">
        <f t="shared" si="8"/>
        <v>2021.03</v>
      </c>
      <c r="B372" s="2504"/>
      <c r="C372" s="2716">
        <v>770373</v>
      </c>
      <c r="D372" s="2719">
        <v>1256144</v>
      </c>
      <c r="E372" s="2491">
        <v>0</v>
      </c>
      <c r="F372" s="2492">
        <v>7151</v>
      </c>
      <c r="G372" s="2493">
        <v>4992</v>
      </c>
      <c r="H372" s="2505">
        <v>10969</v>
      </c>
      <c r="I372" s="2506">
        <v>5009</v>
      </c>
      <c r="J372" s="2505">
        <v>5145</v>
      </c>
      <c r="K372" s="2493">
        <v>4557</v>
      </c>
      <c r="L372" s="2505">
        <v>3532</v>
      </c>
      <c r="M372" s="2494">
        <v>4005</v>
      </c>
      <c r="N372" s="2495">
        <f t="shared" si="7"/>
        <v>45360</v>
      </c>
      <c r="O372" s="2499">
        <v>36876</v>
      </c>
      <c r="P372" s="2494">
        <v>1876</v>
      </c>
      <c r="Q372" s="2500">
        <v>130274</v>
      </c>
    </row>
    <row r="373" spans="1:17">
      <c r="A373" s="2496">
        <f t="shared" si="8"/>
        <v>2021.04</v>
      </c>
      <c r="B373" s="2504"/>
      <c r="C373" s="2716">
        <v>819230</v>
      </c>
      <c r="D373" s="2719">
        <v>1399502</v>
      </c>
      <c r="E373" s="2491">
        <v>1294</v>
      </c>
      <c r="F373" s="2492">
        <v>1827</v>
      </c>
      <c r="G373" s="2493">
        <v>8811</v>
      </c>
      <c r="H373" s="2505">
        <v>7442</v>
      </c>
      <c r="I373" s="2506">
        <v>6282</v>
      </c>
      <c r="J373" s="2505">
        <v>3899</v>
      </c>
      <c r="K373" s="2493">
        <v>2269</v>
      </c>
      <c r="L373" s="2505">
        <v>3025</v>
      </c>
      <c r="M373" s="2494">
        <v>3494</v>
      </c>
      <c r="N373" s="2495">
        <f t="shared" si="7"/>
        <v>38343</v>
      </c>
      <c r="O373" s="2499">
        <v>62676</v>
      </c>
      <c r="P373" s="2494">
        <v>1613</v>
      </c>
      <c r="Q373" s="2500">
        <v>148013</v>
      </c>
    </row>
    <row r="374" spans="1:17">
      <c r="A374" s="2496">
        <f t="shared" si="8"/>
        <v>2021.05</v>
      </c>
      <c r="B374" s="2504"/>
      <c r="C374" s="2716">
        <v>744546</v>
      </c>
      <c r="D374" s="2719">
        <v>1126635</v>
      </c>
      <c r="E374" s="2491">
        <v>1830</v>
      </c>
      <c r="F374" s="2492">
        <v>12950</v>
      </c>
      <c r="G374" s="2493">
        <v>4342</v>
      </c>
      <c r="H374" s="2505">
        <v>9654</v>
      </c>
      <c r="I374" s="2506">
        <v>4931</v>
      </c>
      <c r="J374" s="2505">
        <v>5340</v>
      </c>
      <c r="K374" s="2493">
        <v>1185</v>
      </c>
      <c r="L374" s="2492">
        <v>6297</v>
      </c>
      <c r="M374" s="2494">
        <v>2778</v>
      </c>
      <c r="N374" s="2495">
        <f t="shared" si="7"/>
        <v>49307</v>
      </c>
      <c r="O374" s="2499">
        <v>55925</v>
      </c>
      <c r="P374" s="2494">
        <v>833</v>
      </c>
      <c r="Q374" s="2500">
        <v>152032</v>
      </c>
    </row>
    <row r="375" spans="1:17">
      <c r="A375" s="2496">
        <f t="shared" si="8"/>
        <v>2021.06</v>
      </c>
      <c r="B375" s="2504"/>
      <c r="C375" s="2716">
        <v>705085</v>
      </c>
      <c r="D375" s="2719">
        <v>1177177</v>
      </c>
      <c r="E375" s="2491">
        <v>550</v>
      </c>
      <c r="F375" s="2492">
        <v>7673</v>
      </c>
      <c r="G375" s="2493">
        <v>10208</v>
      </c>
      <c r="H375" s="2492">
        <v>14942</v>
      </c>
      <c r="I375" s="2493">
        <v>5243</v>
      </c>
      <c r="J375" s="2492">
        <v>5525</v>
      </c>
      <c r="K375" s="2493">
        <v>3023</v>
      </c>
      <c r="L375" s="2492">
        <v>9449</v>
      </c>
      <c r="M375" s="2494">
        <v>10177</v>
      </c>
      <c r="N375" s="2495">
        <f t="shared" si="7"/>
        <v>66790</v>
      </c>
      <c r="O375" s="2499">
        <v>76767</v>
      </c>
      <c r="P375" s="2494">
        <v>3723</v>
      </c>
      <c r="Q375" s="2500">
        <v>190652</v>
      </c>
    </row>
    <row r="376" spans="1:17">
      <c r="A376" s="2496">
        <f t="shared" si="8"/>
        <v>2021.07</v>
      </c>
      <c r="B376" s="2504"/>
      <c r="C376" s="2716">
        <v>710186</v>
      </c>
      <c r="D376" s="2719">
        <v>1211394</v>
      </c>
      <c r="E376" s="2491">
        <v>1501</v>
      </c>
      <c r="F376" s="2492">
        <v>4626</v>
      </c>
      <c r="G376" s="2493">
        <v>9824</v>
      </c>
      <c r="H376" s="2492">
        <v>8281</v>
      </c>
      <c r="I376" s="2493">
        <v>4366</v>
      </c>
      <c r="J376" s="2492">
        <v>5336</v>
      </c>
      <c r="K376" s="2493">
        <v>3130</v>
      </c>
      <c r="L376" s="2492">
        <v>7711</v>
      </c>
      <c r="M376" s="2494">
        <v>3306</v>
      </c>
      <c r="N376" s="2495">
        <f t="shared" si="7"/>
        <v>48081</v>
      </c>
      <c r="O376" s="2499">
        <v>47916</v>
      </c>
      <c r="P376" s="2494">
        <v>4466</v>
      </c>
      <c r="Q376" s="2500">
        <v>150607</v>
      </c>
    </row>
    <row r="377" spans="1:17">
      <c r="A377" s="2496">
        <f t="shared" si="8"/>
        <v>2021.08</v>
      </c>
      <c r="B377" s="2504"/>
      <c r="C377" s="2716">
        <v>905408</v>
      </c>
      <c r="D377" s="2719">
        <v>1503301</v>
      </c>
      <c r="E377" s="2491">
        <v>1796</v>
      </c>
      <c r="F377" s="2492">
        <v>9987</v>
      </c>
      <c r="G377" s="2493">
        <v>5710</v>
      </c>
      <c r="H377" s="2492">
        <v>7230</v>
      </c>
      <c r="I377" s="2493">
        <v>8044</v>
      </c>
      <c r="J377" s="2492">
        <v>7412</v>
      </c>
      <c r="K377" s="2493">
        <v>3147</v>
      </c>
      <c r="L377" s="2492">
        <v>4431</v>
      </c>
      <c r="M377" s="2494">
        <v>3239</v>
      </c>
      <c r="N377" s="2495">
        <f t="shared" si="7"/>
        <v>50996</v>
      </c>
      <c r="O377" s="2499">
        <v>41605</v>
      </c>
      <c r="P377" s="2494">
        <v>1353</v>
      </c>
      <c r="Q377" s="2500">
        <v>147473</v>
      </c>
    </row>
    <row r="378" spans="1:17">
      <c r="A378" s="2496">
        <f t="shared" si="8"/>
        <v>2021.09</v>
      </c>
      <c r="B378" s="2504"/>
      <c r="C378" s="2716">
        <v>1029521</v>
      </c>
      <c r="D378" s="2719">
        <v>1603732</v>
      </c>
      <c r="E378" s="2491">
        <v>3090</v>
      </c>
      <c r="F378" s="2492">
        <v>4492</v>
      </c>
      <c r="G378" s="2493">
        <v>3243</v>
      </c>
      <c r="H378" s="2492">
        <v>7763</v>
      </c>
      <c r="I378" s="2493">
        <v>4545</v>
      </c>
      <c r="J378" s="2492">
        <v>5906</v>
      </c>
      <c r="K378" s="2493">
        <v>1366</v>
      </c>
      <c r="L378" s="2492">
        <v>5130</v>
      </c>
      <c r="M378" s="2494">
        <v>3188</v>
      </c>
      <c r="N378" s="2495">
        <f t="shared" si="7"/>
        <v>38723</v>
      </c>
      <c r="O378" s="2499">
        <v>44049</v>
      </c>
      <c r="P378" s="2494">
        <v>12390</v>
      </c>
      <c r="Q378" s="2500">
        <v>167818</v>
      </c>
    </row>
    <row r="379" spans="1:17">
      <c r="A379" s="2496">
        <f t="shared" si="8"/>
        <v>2021.1</v>
      </c>
      <c r="B379" s="2504"/>
      <c r="C379" s="2716">
        <v>1026404</v>
      </c>
      <c r="D379" s="2719">
        <v>1684995</v>
      </c>
      <c r="E379" s="2491">
        <v>1981</v>
      </c>
      <c r="F379" s="2492">
        <v>5156</v>
      </c>
      <c r="G379" s="2493">
        <v>5864</v>
      </c>
      <c r="H379" s="2492">
        <v>324</v>
      </c>
      <c r="I379" s="2493">
        <v>6727</v>
      </c>
      <c r="J379" s="2492">
        <v>4587</v>
      </c>
      <c r="K379" s="2493">
        <v>3405</v>
      </c>
      <c r="L379" s="2492">
        <v>3096</v>
      </c>
      <c r="M379" s="2494">
        <v>5190</v>
      </c>
      <c r="N379" s="2495">
        <f t="shared" si="7"/>
        <v>36330</v>
      </c>
      <c r="O379" s="2499">
        <v>23925</v>
      </c>
      <c r="P379" s="2494">
        <v>759</v>
      </c>
      <c r="Q379" s="2500">
        <v>116992</v>
      </c>
    </row>
    <row r="380" spans="1:17">
      <c r="A380" s="2496">
        <f t="shared" si="8"/>
        <v>2021.11</v>
      </c>
      <c r="B380" s="2504"/>
      <c r="C380" s="2716">
        <v>925377</v>
      </c>
      <c r="D380" s="2719">
        <v>1641683</v>
      </c>
      <c r="E380" s="2491">
        <v>1106</v>
      </c>
      <c r="F380" s="2492">
        <v>2381</v>
      </c>
      <c r="G380" s="2493">
        <v>4987</v>
      </c>
      <c r="H380" s="2492">
        <v>7027</v>
      </c>
      <c r="I380" s="2493">
        <v>4327</v>
      </c>
      <c r="J380" s="2492">
        <v>5879</v>
      </c>
      <c r="K380" s="2493">
        <v>2943</v>
      </c>
      <c r="L380" s="2492">
        <v>1654</v>
      </c>
      <c r="M380" s="2494">
        <v>2078</v>
      </c>
      <c r="N380" s="2495">
        <f t="shared" si="7"/>
        <v>32382</v>
      </c>
      <c r="O380" s="2499">
        <v>60914</v>
      </c>
      <c r="P380" s="2494">
        <v>0</v>
      </c>
      <c r="Q380" s="2783">
        <v>149271</v>
      </c>
    </row>
    <row r="381" spans="1:17">
      <c r="A381" s="2496">
        <f t="shared" si="8"/>
        <v>2021.12</v>
      </c>
      <c r="B381" s="2504"/>
      <c r="C381" s="2716">
        <v>1006586</v>
      </c>
      <c r="D381" s="2719">
        <v>1615045</v>
      </c>
      <c r="E381" s="2491">
        <v>11790</v>
      </c>
      <c r="F381" s="2492">
        <v>11187</v>
      </c>
      <c r="G381" s="2493">
        <v>4318</v>
      </c>
      <c r="H381" s="2492">
        <v>6575</v>
      </c>
      <c r="I381" s="2493">
        <v>7161</v>
      </c>
      <c r="J381" s="2492">
        <v>4777</v>
      </c>
      <c r="K381" s="2493">
        <v>2557</v>
      </c>
      <c r="L381" s="2492">
        <v>5850</v>
      </c>
      <c r="M381" s="2494">
        <v>1343</v>
      </c>
      <c r="N381" s="2495">
        <f t="shared" si="7"/>
        <v>55558</v>
      </c>
      <c r="O381" s="2499">
        <v>73094</v>
      </c>
      <c r="P381" s="2494">
        <v>773</v>
      </c>
      <c r="Q381" s="2783">
        <v>175795</v>
      </c>
    </row>
    <row r="382" spans="1:17">
      <c r="A382" s="2496">
        <f t="shared" si="8"/>
        <v>2022.01</v>
      </c>
      <c r="B382" s="2720"/>
      <c r="C382" s="2721" t="s">
        <v>230</v>
      </c>
      <c r="D382" s="2719">
        <v>929002</v>
      </c>
      <c r="E382" s="2491">
        <v>1788</v>
      </c>
      <c r="F382" s="2492">
        <v>3105</v>
      </c>
      <c r="G382" s="2493">
        <v>5670</v>
      </c>
      <c r="H382" s="2492">
        <v>5945</v>
      </c>
      <c r="I382" s="2493">
        <v>2802</v>
      </c>
      <c r="J382" s="2492">
        <v>7083</v>
      </c>
      <c r="K382" s="2493">
        <v>1337</v>
      </c>
      <c r="L382" s="2492">
        <v>3623</v>
      </c>
      <c r="M382" s="2494">
        <v>1515</v>
      </c>
      <c r="N382" s="2495">
        <f t="shared" si="7"/>
        <v>32868</v>
      </c>
      <c r="O382" s="2499">
        <v>25729</v>
      </c>
      <c r="P382" s="2494">
        <v>227</v>
      </c>
      <c r="Q382" s="2500">
        <v>93974</v>
      </c>
    </row>
    <row r="383" spans="1:17">
      <c r="A383" s="2496">
        <f t="shared" si="8"/>
        <v>2022.02</v>
      </c>
      <c r="B383" s="2504"/>
      <c r="C383" s="2722"/>
      <c r="D383" s="2719">
        <v>1252402</v>
      </c>
      <c r="E383" s="2491">
        <v>1013</v>
      </c>
      <c r="F383" s="2492">
        <v>7032</v>
      </c>
      <c r="G383" s="2493">
        <v>4025</v>
      </c>
      <c r="H383" s="2492">
        <v>9778</v>
      </c>
      <c r="I383" s="2493">
        <v>5600</v>
      </c>
      <c r="J383" s="2492">
        <v>12818</v>
      </c>
      <c r="K383" s="2493">
        <v>1468</v>
      </c>
      <c r="L383" s="2492">
        <v>6663</v>
      </c>
      <c r="M383" s="2494">
        <v>2518</v>
      </c>
      <c r="N383" s="2495">
        <f t="shared" si="7"/>
        <v>50915</v>
      </c>
      <c r="O383" s="2499">
        <v>57945</v>
      </c>
      <c r="P383" s="2494">
        <v>0</v>
      </c>
      <c r="Q383" s="2500">
        <v>155567</v>
      </c>
    </row>
    <row r="384" spans="1:17">
      <c r="A384" s="2496">
        <f t="shared" si="8"/>
        <v>2022.03</v>
      </c>
      <c r="B384" s="2504"/>
      <c r="C384" s="2722"/>
      <c r="D384" s="2719">
        <v>1320296</v>
      </c>
      <c r="E384" s="2491">
        <v>750</v>
      </c>
      <c r="F384" s="2492">
        <v>6305</v>
      </c>
      <c r="G384" s="2493">
        <v>6233</v>
      </c>
      <c r="H384" s="2492">
        <v>5549</v>
      </c>
      <c r="I384" s="2493">
        <v>4335</v>
      </c>
      <c r="J384" s="2493">
        <v>4714</v>
      </c>
      <c r="K384" s="2493">
        <v>3512</v>
      </c>
      <c r="L384" s="2492">
        <v>3108</v>
      </c>
      <c r="M384" s="2494">
        <v>2851</v>
      </c>
      <c r="N384" s="2495">
        <f t="shared" si="7"/>
        <v>37357</v>
      </c>
      <c r="O384" s="2499">
        <v>43571</v>
      </c>
      <c r="P384" s="2494">
        <v>1358</v>
      </c>
      <c r="Q384" s="2500">
        <v>139789</v>
      </c>
    </row>
    <row r="385" spans="1:17">
      <c r="A385" s="2496">
        <f t="shared" si="8"/>
        <v>2022.04</v>
      </c>
      <c r="B385" s="2504"/>
      <c r="C385" s="2722"/>
      <c r="D385" s="2719">
        <v>1392658</v>
      </c>
      <c r="E385" s="2491">
        <v>1569</v>
      </c>
      <c r="F385" s="2492">
        <v>12696</v>
      </c>
      <c r="G385" s="2493">
        <v>8786</v>
      </c>
      <c r="H385" s="2492">
        <v>9628</v>
      </c>
      <c r="I385" s="2493">
        <v>11254</v>
      </c>
      <c r="J385" s="2492">
        <v>2694</v>
      </c>
      <c r="K385" s="2493">
        <v>2023</v>
      </c>
      <c r="L385" s="2492">
        <v>1767</v>
      </c>
      <c r="M385" s="2494">
        <v>4819</v>
      </c>
      <c r="N385" s="2495">
        <f t="shared" si="7"/>
        <v>55236</v>
      </c>
      <c r="O385" s="2499">
        <v>48555</v>
      </c>
      <c r="P385" s="2494">
        <v>160</v>
      </c>
      <c r="Q385" s="2500">
        <v>170022</v>
      </c>
    </row>
    <row r="386" spans="1:17">
      <c r="A386" s="2496">
        <f t="shared" si="8"/>
        <v>2022.05</v>
      </c>
      <c r="B386" s="2504"/>
      <c r="C386" s="2722"/>
      <c r="D386" s="2719">
        <v>1246013</v>
      </c>
      <c r="E386" s="2491">
        <v>1621</v>
      </c>
      <c r="F386" s="2492">
        <v>15100</v>
      </c>
      <c r="G386" s="2493">
        <v>2770</v>
      </c>
      <c r="H386" s="2492">
        <v>7116</v>
      </c>
      <c r="I386" s="2493">
        <v>22428</v>
      </c>
      <c r="J386" s="2492">
        <v>9513</v>
      </c>
      <c r="K386" s="2493">
        <v>2688</v>
      </c>
      <c r="L386" s="2492">
        <v>3218</v>
      </c>
      <c r="M386" s="2494">
        <v>3274</v>
      </c>
      <c r="N386" s="2495">
        <f t="shared" si="7"/>
        <v>67728</v>
      </c>
      <c r="O386" s="2499">
        <v>68599</v>
      </c>
      <c r="P386" s="2494">
        <v>3239</v>
      </c>
      <c r="Q386" s="2500">
        <v>188160</v>
      </c>
    </row>
    <row r="387" spans="1:17">
      <c r="A387" s="2496">
        <f t="shared" si="8"/>
        <v>2022.06</v>
      </c>
      <c r="B387" s="2504"/>
      <c r="C387" s="2722"/>
      <c r="D387" s="2719">
        <v>1237591</v>
      </c>
      <c r="E387" s="2491">
        <v>1694</v>
      </c>
      <c r="F387" s="2492">
        <v>7792</v>
      </c>
      <c r="G387" s="2493">
        <v>7462</v>
      </c>
      <c r="H387" s="2492">
        <v>10899</v>
      </c>
      <c r="I387" s="2493">
        <v>4630</v>
      </c>
      <c r="J387" s="2492">
        <v>6024</v>
      </c>
      <c r="K387" s="2493">
        <v>2566</v>
      </c>
      <c r="L387" s="2492">
        <v>2979</v>
      </c>
      <c r="M387" s="2494">
        <v>3659</v>
      </c>
      <c r="N387" s="2495">
        <f t="shared" si="7"/>
        <v>47705</v>
      </c>
      <c r="O387" s="2499">
        <v>43226</v>
      </c>
      <c r="P387" s="2494">
        <v>2272</v>
      </c>
      <c r="Q387" s="2500">
        <v>146259</v>
      </c>
    </row>
    <row r="388" spans="1:17">
      <c r="A388" s="2496">
        <f t="shared" si="8"/>
        <v>2022.07</v>
      </c>
      <c r="B388" s="2504"/>
      <c r="C388" s="2722"/>
      <c r="D388" s="2719">
        <v>1385272</v>
      </c>
      <c r="E388" s="2491">
        <v>1419</v>
      </c>
      <c r="F388" s="2492">
        <v>7827</v>
      </c>
      <c r="G388" s="2493">
        <v>4560</v>
      </c>
      <c r="H388" s="2492">
        <v>7517</v>
      </c>
      <c r="I388" s="2493">
        <v>5933</v>
      </c>
      <c r="J388" s="2492">
        <v>4147</v>
      </c>
      <c r="K388" s="2493">
        <v>3941</v>
      </c>
      <c r="L388" s="2492">
        <v>2936</v>
      </c>
      <c r="M388" s="2494">
        <v>2832</v>
      </c>
      <c r="N388" s="2495">
        <f t="shared" si="7"/>
        <v>41112</v>
      </c>
      <c r="O388" s="2499">
        <v>43347</v>
      </c>
      <c r="P388" s="2494">
        <v>1988</v>
      </c>
      <c r="Q388" s="2500">
        <v>141609</v>
      </c>
    </row>
    <row r="389" spans="1:17">
      <c r="A389" s="2496">
        <f t="shared" si="8"/>
        <v>2022.08</v>
      </c>
      <c r="B389" s="2504"/>
      <c r="C389" s="2722"/>
      <c r="D389" s="2719">
        <v>1294841</v>
      </c>
      <c r="E389" s="2491">
        <v>2329</v>
      </c>
      <c r="F389" s="2492">
        <v>7679</v>
      </c>
      <c r="G389" s="2493">
        <v>5396</v>
      </c>
      <c r="H389" s="2492">
        <v>4620</v>
      </c>
      <c r="I389" s="2493">
        <v>8478</v>
      </c>
      <c r="J389" s="2492">
        <v>5865</v>
      </c>
      <c r="K389" s="2493">
        <v>1239</v>
      </c>
      <c r="L389" s="2492">
        <v>2604</v>
      </c>
      <c r="M389" s="2494">
        <v>5464</v>
      </c>
      <c r="N389" s="2495">
        <f t="shared" si="7"/>
        <v>43674</v>
      </c>
      <c r="O389" s="2499">
        <v>39898</v>
      </c>
      <c r="P389" s="2494">
        <v>6400</v>
      </c>
      <c r="Q389" s="2500">
        <v>154726</v>
      </c>
    </row>
    <row r="390" spans="1:17">
      <c r="A390" s="2496">
        <f t="shared" si="8"/>
        <v>2022.09</v>
      </c>
      <c r="B390" s="2504"/>
      <c r="C390" s="2722"/>
      <c r="D390" s="2719">
        <v>1247112</v>
      </c>
      <c r="E390" s="2491">
        <v>1462</v>
      </c>
      <c r="F390" s="2492">
        <v>4354</v>
      </c>
      <c r="G390" s="2493">
        <v>10042</v>
      </c>
      <c r="H390" s="2492">
        <v>9090</v>
      </c>
      <c r="I390" s="2493">
        <v>10533</v>
      </c>
      <c r="J390" s="2492">
        <v>4641</v>
      </c>
      <c r="K390" s="2493">
        <v>1899</v>
      </c>
      <c r="L390" s="2492">
        <v>1994</v>
      </c>
      <c r="M390" s="2494">
        <v>16054</v>
      </c>
      <c r="N390" s="2495">
        <f t="shared" si="7"/>
        <v>60069</v>
      </c>
      <c r="O390" s="2499">
        <v>34484</v>
      </c>
      <c r="P390" s="2494">
        <v>626</v>
      </c>
      <c r="Q390" s="2500">
        <v>166859</v>
      </c>
    </row>
    <row r="391" spans="1:17">
      <c r="A391" s="2496">
        <f t="shared" si="8"/>
        <v>2022.1</v>
      </c>
      <c r="B391" s="2504"/>
      <c r="C391" s="2722"/>
      <c r="D391" s="2719">
        <v>1134709.3999999999</v>
      </c>
      <c r="E391" s="2491">
        <v>1514</v>
      </c>
      <c r="F391" s="2492">
        <v>8389</v>
      </c>
      <c r="G391" s="2493">
        <v>3412</v>
      </c>
      <c r="H391" s="2492">
        <v>8741</v>
      </c>
      <c r="I391" s="2493">
        <v>6471</v>
      </c>
      <c r="J391" s="2492">
        <v>10005</v>
      </c>
      <c r="K391" s="2493">
        <v>1346</v>
      </c>
      <c r="L391" s="2492">
        <v>1640</v>
      </c>
      <c r="M391" s="2494">
        <v>2369</v>
      </c>
      <c r="N391" s="2495">
        <f t="shared" si="7"/>
        <v>43887</v>
      </c>
      <c r="O391" s="2499">
        <v>36756</v>
      </c>
      <c r="P391" s="2494">
        <v>291</v>
      </c>
      <c r="Q391" s="2500">
        <v>151186</v>
      </c>
    </row>
    <row r="392" spans="1:17">
      <c r="A392" s="2496">
        <f t="shared" si="8"/>
        <v>2022.11</v>
      </c>
      <c r="B392" s="2504"/>
      <c r="C392" s="2722"/>
      <c r="D392" s="2719">
        <v>1344596</v>
      </c>
      <c r="E392" s="2491">
        <v>2901</v>
      </c>
      <c r="F392" s="2492">
        <v>30027</v>
      </c>
      <c r="G392" s="2493">
        <v>8342</v>
      </c>
      <c r="H392" s="2492">
        <v>7755</v>
      </c>
      <c r="I392" s="2493">
        <v>9282</v>
      </c>
      <c r="J392" s="2492">
        <v>4340</v>
      </c>
      <c r="K392" s="2493">
        <v>1942</v>
      </c>
      <c r="L392" s="2492">
        <v>2959</v>
      </c>
      <c r="M392" s="2494">
        <v>3057</v>
      </c>
      <c r="N392" s="2495">
        <f t="shared" si="7"/>
        <v>70605</v>
      </c>
      <c r="O392" s="2499">
        <v>31298</v>
      </c>
      <c r="P392" s="2494">
        <v>0</v>
      </c>
      <c r="Q392" s="2500">
        <v>183115</v>
      </c>
    </row>
    <row r="393" spans="1:17">
      <c r="A393" s="2496">
        <f t="shared" si="8"/>
        <v>2022.12</v>
      </c>
      <c r="B393" s="2504"/>
      <c r="C393" s="2722"/>
      <c r="D393" s="2719">
        <v>1100975</v>
      </c>
      <c r="E393" s="2491">
        <v>1245</v>
      </c>
      <c r="F393" s="2492">
        <v>7801</v>
      </c>
      <c r="G393" s="2493">
        <v>3043</v>
      </c>
      <c r="H393" s="2492">
        <v>5199</v>
      </c>
      <c r="I393" s="2493">
        <v>7042</v>
      </c>
      <c r="J393" s="2492">
        <v>4419</v>
      </c>
      <c r="K393" s="2493">
        <v>3146</v>
      </c>
      <c r="L393" s="2492">
        <v>3807</v>
      </c>
      <c r="M393" s="2494">
        <v>5605</v>
      </c>
      <c r="N393" s="2495">
        <f>SUM(E393:M393)</f>
        <v>41307</v>
      </c>
      <c r="O393" s="2499">
        <v>54177</v>
      </c>
      <c r="P393" s="2494">
        <v>2427</v>
      </c>
      <c r="Q393" s="2500">
        <v>149612</v>
      </c>
    </row>
    <row r="394" spans="1:17">
      <c r="A394" s="2496">
        <f t="shared" si="8"/>
        <v>2023.01</v>
      </c>
      <c r="B394" s="2504"/>
      <c r="C394" s="2722"/>
      <c r="D394" s="2719">
        <v>1068335</v>
      </c>
      <c r="E394" s="2491">
        <v>7706</v>
      </c>
      <c r="F394" s="2492">
        <v>19991</v>
      </c>
      <c r="G394" s="2493">
        <v>4670</v>
      </c>
      <c r="H394" s="2492">
        <v>2357</v>
      </c>
      <c r="I394" s="2493">
        <v>5400</v>
      </c>
      <c r="J394" s="2492">
        <v>2757</v>
      </c>
      <c r="K394" s="2493">
        <v>2122</v>
      </c>
      <c r="L394" s="2492">
        <v>2599</v>
      </c>
      <c r="M394" s="2494">
        <v>4200</v>
      </c>
      <c r="N394" s="2495">
        <f t="shared" si="7"/>
        <v>51802</v>
      </c>
      <c r="O394" s="2499">
        <v>74219</v>
      </c>
      <c r="P394" s="2910">
        <v>0</v>
      </c>
      <c r="Q394" s="2500">
        <v>210371</v>
      </c>
    </row>
    <row r="395" spans="1:17">
      <c r="A395" s="2496">
        <f t="shared" si="8"/>
        <v>2023.02</v>
      </c>
      <c r="B395" s="2504"/>
      <c r="C395" s="2722"/>
      <c r="D395" s="2719">
        <v>907228</v>
      </c>
      <c r="E395" s="2491">
        <v>3338</v>
      </c>
      <c r="F395" s="2492">
        <v>4960</v>
      </c>
      <c r="G395" s="2493">
        <v>4036</v>
      </c>
      <c r="H395" s="2492">
        <v>480</v>
      </c>
      <c r="I395" s="2493">
        <v>4831</v>
      </c>
      <c r="J395" s="2492">
        <v>27377</v>
      </c>
      <c r="K395" s="2493">
        <v>1816</v>
      </c>
      <c r="L395" s="2492">
        <v>3082</v>
      </c>
      <c r="M395" s="2494">
        <v>3321</v>
      </c>
      <c r="N395" s="2495">
        <f t="shared" ref="N395:N429" si="9">SUM(E395:M395)</f>
        <v>53241</v>
      </c>
      <c r="O395" s="2499">
        <v>40389</v>
      </c>
      <c r="P395" s="2910">
        <v>0</v>
      </c>
      <c r="Q395" s="2500">
        <v>138999</v>
      </c>
    </row>
    <row r="396" spans="1:17">
      <c r="A396" s="2496">
        <f t="shared" si="8"/>
        <v>2023.03</v>
      </c>
      <c r="B396" s="2504"/>
      <c r="C396" s="2722"/>
      <c r="D396" s="2719">
        <v>1467213</v>
      </c>
      <c r="E396" s="2491">
        <v>4602</v>
      </c>
      <c r="F396" s="2492">
        <v>10393</v>
      </c>
      <c r="G396" s="2493">
        <v>11870</v>
      </c>
      <c r="H396" s="2492">
        <v>8751</v>
      </c>
      <c r="I396" s="2493">
        <v>8471</v>
      </c>
      <c r="J396" s="2492">
        <v>4095</v>
      </c>
      <c r="K396" s="2493">
        <v>2300</v>
      </c>
      <c r="L396" s="2492">
        <v>3488</v>
      </c>
      <c r="M396" s="2494">
        <v>9932</v>
      </c>
      <c r="N396" s="2784">
        <f t="shared" si="9"/>
        <v>63902</v>
      </c>
      <c r="O396" s="2499">
        <v>35444</v>
      </c>
      <c r="P396" s="2494">
        <v>3533</v>
      </c>
      <c r="Q396" s="2500">
        <v>170199</v>
      </c>
    </row>
    <row r="397" spans="1:17">
      <c r="A397" s="2496">
        <f t="shared" si="8"/>
        <v>2023.04</v>
      </c>
      <c r="B397" s="2504"/>
      <c r="C397" s="2722"/>
      <c r="D397" s="2719">
        <v>1060888</v>
      </c>
      <c r="E397" s="2491">
        <v>1160</v>
      </c>
      <c r="F397" s="2917" t="s">
        <v>1563</v>
      </c>
      <c r="G397" s="2493">
        <v>6945</v>
      </c>
      <c r="H397" s="2492">
        <v>4146</v>
      </c>
      <c r="I397" s="2493">
        <v>9974</v>
      </c>
      <c r="J397" s="2916" t="s">
        <v>1599</v>
      </c>
      <c r="K397" s="2493">
        <v>743</v>
      </c>
      <c r="L397" s="2492">
        <v>3581</v>
      </c>
      <c r="M397" s="2494">
        <v>6483</v>
      </c>
      <c r="N397" s="2495">
        <f>SUM(E397:M397)</f>
        <v>33032</v>
      </c>
      <c r="O397" s="2499">
        <v>55037</v>
      </c>
      <c r="P397" s="2494">
        <v>1023</v>
      </c>
      <c r="Q397" s="2500">
        <v>145096</v>
      </c>
    </row>
    <row r="398" spans="1:17">
      <c r="A398" s="2496">
        <f t="shared" si="8"/>
        <v>2023.05</v>
      </c>
      <c r="B398" s="2504"/>
      <c r="C398" s="2722"/>
      <c r="D398" s="2719">
        <v>1064185</v>
      </c>
      <c r="E398" s="2491">
        <v>2642</v>
      </c>
      <c r="F398" s="2492">
        <v>9788</v>
      </c>
      <c r="G398" s="2493">
        <v>5739</v>
      </c>
      <c r="H398" s="2492">
        <v>7908</v>
      </c>
      <c r="I398" s="2493">
        <v>5116</v>
      </c>
      <c r="J398" s="2917" t="s">
        <v>1599</v>
      </c>
      <c r="K398" s="3274" t="s">
        <v>1563</v>
      </c>
      <c r="L398" s="2492">
        <v>3929</v>
      </c>
      <c r="M398" s="2494">
        <v>2140</v>
      </c>
      <c r="N398" s="2495">
        <f t="shared" si="9"/>
        <v>37262</v>
      </c>
      <c r="O398" s="2499">
        <v>29485</v>
      </c>
      <c r="P398" s="2494">
        <v>1467</v>
      </c>
      <c r="Q398" s="2500">
        <v>125404</v>
      </c>
    </row>
    <row r="399" spans="1:17">
      <c r="A399" s="2496">
        <f t="shared" si="8"/>
        <v>2023.06</v>
      </c>
      <c r="B399" s="2504"/>
      <c r="C399" s="2722"/>
      <c r="D399" s="2719">
        <v>1071492</v>
      </c>
      <c r="E399" s="2491">
        <v>1637</v>
      </c>
      <c r="F399" s="2492">
        <v>10908</v>
      </c>
      <c r="G399" s="2493">
        <v>8292</v>
      </c>
      <c r="H399" s="2492">
        <v>7033</v>
      </c>
      <c r="I399" s="2493">
        <v>8147</v>
      </c>
      <c r="J399" s="2492">
        <v>5362</v>
      </c>
      <c r="K399" s="2493">
        <v>989</v>
      </c>
      <c r="L399" s="2492">
        <v>6204</v>
      </c>
      <c r="M399" s="2494">
        <v>2775</v>
      </c>
      <c r="N399" s="2495">
        <f t="shared" si="9"/>
        <v>51347</v>
      </c>
      <c r="O399" s="2499">
        <v>47571</v>
      </c>
      <c r="P399" s="2494">
        <v>3304</v>
      </c>
      <c r="Q399" s="2500">
        <v>182956</v>
      </c>
    </row>
    <row r="400" spans="1:17">
      <c r="A400" s="2496">
        <f t="shared" si="8"/>
        <v>2023.07</v>
      </c>
      <c r="B400" s="2504"/>
      <c r="C400" s="2722"/>
      <c r="D400" s="2719">
        <v>1127792</v>
      </c>
      <c r="E400" s="2491">
        <v>2180</v>
      </c>
      <c r="F400" s="2492">
        <v>27193</v>
      </c>
      <c r="G400" s="2493">
        <v>4045</v>
      </c>
      <c r="H400" s="2492">
        <v>8130</v>
      </c>
      <c r="I400" s="2493">
        <v>4805</v>
      </c>
      <c r="J400" s="2492">
        <v>2679</v>
      </c>
      <c r="K400" s="2493">
        <v>1329</v>
      </c>
      <c r="L400" s="2492">
        <v>3139</v>
      </c>
      <c r="M400" s="2494">
        <v>874</v>
      </c>
      <c r="N400" s="2495">
        <f t="shared" si="9"/>
        <v>54374</v>
      </c>
      <c r="O400" s="2499">
        <v>24062</v>
      </c>
      <c r="P400" s="2494">
        <v>210</v>
      </c>
      <c r="Q400" s="2500">
        <v>144350</v>
      </c>
    </row>
    <row r="401" spans="1:17">
      <c r="A401" s="2496">
        <f t="shared" si="8"/>
        <v>2023.08</v>
      </c>
      <c r="B401" s="2504"/>
      <c r="C401" s="2722"/>
      <c r="D401" s="2719">
        <v>1134710</v>
      </c>
      <c r="E401" s="2491">
        <v>1752</v>
      </c>
      <c r="F401" s="2492">
        <v>27193</v>
      </c>
      <c r="G401" s="2493">
        <v>8749</v>
      </c>
      <c r="H401" s="2492">
        <v>9919</v>
      </c>
      <c r="I401" s="2493">
        <v>5617</v>
      </c>
      <c r="J401" s="2492">
        <v>2252</v>
      </c>
      <c r="K401" s="2493">
        <v>4354</v>
      </c>
      <c r="L401" s="2492">
        <v>2953</v>
      </c>
      <c r="M401" s="2494">
        <v>3874</v>
      </c>
      <c r="N401" s="2495">
        <f t="shared" si="9"/>
        <v>66663</v>
      </c>
      <c r="O401" s="2499">
        <v>34076</v>
      </c>
      <c r="P401" s="2494">
        <v>619</v>
      </c>
      <c r="Q401" s="2500">
        <v>186728</v>
      </c>
    </row>
    <row r="402" spans="1:17">
      <c r="A402" s="2496">
        <f t="shared" si="8"/>
        <v>2023.09</v>
      </c>
      <c r="B402" s="2504"/>
      <c r="C402" s="2722"/>
      <c r="D402" s="2719">
        <v>1187920</v>
      </c>
      <c r="E402" s="2491">
        <v>1243</v>
      </c>
      <c r="F402" s="2492">
        <v>12637</v>
      </c>
      <c r="G402" s="2493">
        <v>4675</v>
      </c>
      <c r="H402" s="2492">
        <v>7132</v>
      </c>
      <c r="I402" s="2493">
        <v>5157</v>
      </c>
      <c r="J402" s="2492">
        <v>4265</v>
      </c>
      <c r="K402" s="2493">
        <v>2061</v>
      </c>
      <c r="L402" s="2492">
        <v>2812</v>
      </c>
      <c r="M402" s="2494">
        <v>18506</v>
      </c>
      <c r="N402" s="2495">
        <f t="shared" si="9"/>
        <v>58488</v>
      </c>
      <c r="O402" s="2499">
        <v>60584</v>
      </c>
      <c r="P402" s="2494">
        <v>5707</v>
      </c>
      <c r="Q402" s="2500">
        <v>195217</v>
      </c>
    </row>
    <row r="403" spans="1:17">
      <c r="A403" s="2496">
        <f t="shared" si="8"/>
        <v>2023.1</v>
      </c>
      <c r="B403" s="2504"/>
      <c r="C403" s="2722"/>
      <c r="D403" s="2719">
        <v>1203050</v>
      </c>
      <c r="E403" s="2491">
        <v>751</v>
      </c>
      <c r="F403" s="2492">
        <v>4790</v>
      </c>
      <c r="G403" s="2493">
        <v>3519</v>
      </c>
      <c r="H403" s="2492">
        <v>3077</v>
      </c>
      <c r="I403" s="2493">
        <v>3476</v>
      </c>
      <c r="J403" s="2492">
        <v>3651</v>
      </c>
      <c r="K403" s="2493">
        <v>893</v>
      </c>
      <c r="L403" s="2492">
        <v>3052</v>
      </c>
      <c r="M403" s="2494">
        <v>6762</v>
      </c>
      <c r="N403" s="2495">
        <f t="shared" si="9"/>
        <v>29971</v>
      </c>
      <c r="O403" s="2499">
        <v>36476</v>
      </c>
      <c r="P403" s="2494">
        <v>519</v>
      </c>
      <c r="Q403" s="2500">
        <v>140332</v>
      </c>
    </row>
    <row r="404" spans="1:17">
      <c r="A404" s="2496">
        <f t="shared" si="8"/>
        <v>2023.11</v>
      </c>
      <c r="B404" s="2504"/>
      <c r="C404" s="2722"/>
      <c r="D404" s="2719">
        <v>1437424</v>
      </c>
      <c r="E404" s="2491">
        <v>2196</v>
      </c>
      <c r="F404" s="2492">
        <v>8745</v>
      </c>
      <c r="G404" s="2493">
        <v>5449</v>
      </c>
      <c r="H404" s="2492">
        <v>5145</v>
      </c>
      <c r="I404" s="2493">
        <v>4036</v>
      </c>
      <c r="J404" s="2492">
        <v>2995</v>
      </c>
      <c r="K404" s="2493">
        <v>851</v>
      </c>
      <c r="L404" s="2492">
        <v>2817</v>
      </c>
      <c r="M404" s="2494">
        <v>3010</v>
      </c>
      <c r="N404" s="2495">
        <f t="shared" si="9"/>
        <v>35244</v>
      </c>
      <c r="O404" s="2499">
        <v>48845</v>
      </c>
      <c r="P404" s="2494">
        <v>5707</v>
      </c>
      <c r="Q404" s="2500">
        <v>171765</v>
      </c>
    </row>
    <row r="405" spans="1:17">
      <c r="A405" s="2496">
        <f t="shared" si="8"/>
        <v>2023.12</v>
      </c>
      <c r="B405" s="2504"/>
      <c r="C405" s="2722"/>
      <c r="D405" s="2719">
        <v>991144</v>
      </c>
      <c r="E405" s="2491">
        <v>3820</v>
      </c>
      <c r="F405" s="2492">
        <v>5579</v>
      </c>
      <c r="G405" s="2493">
        <v>8486</v>
      </c>
      <c r="H405" s="2492">
        <v>3735</v>
      </c>
      <c r="I405" s="2493">
        <v>9532</v>
      </c>
      <c r="J405" s="2492">
        <v>16211</v>
      </c>
      <c r="K405" s="2493">
        <v>1698</v>
      </c>
      <c r="L405" s="2492">
        <v>5290</v>
      </c>
      <c r="M405" s="2494">
        <v>1918</v>
      </c>
      <c r="N405" s="2495">
        <f t="shared" si="9"/>
        <v>56269</v>
      </c>
      <c r="O405" s="2499">
        <v>20173</v>
      </c>
      <c r="P405" s="2494">
        <v>4528</v>
      </c>
      <c r="Q405" s="2500">
        <v>133409</v>
      </c>
    </row>
    <row r="406" spans="1:17">
      <c r="A406" s="2496">
        <f t="shared" ref="A406:A469" si="10">A394+1</f>
        <v>2024.01</v>
      </c>
      <c r="B406" s="2504"/>
      <c r="C406" s="2722"/>
      <c r="D406" s="2719">
        <v>1075710</v>
      </c>
      <c r="E406" s="2491">
        <v>1719</v>
      </c>
      <c r="F406" s="2492">
        <v>2573</v>
      </c>
      <c r="G406" s="2493">
        <v>1131</v>
      </c>
      <c r="H406" s="2492">
        <v>10104</v>
      </c>
      <c r="I406" s="2493">
        <v>0</v>
      </c>
      <c r="J406" s="2492">
        <v>4144</v>
      </c>
      <c r="K406" s="2493">
        <v>1780</v>
      </c>
      <c r="L406" s="2492">
        <v>2462</v>
      </c>
      <c r="M406" s="2494">
        <v>882</v>
      </c>
      <c r="N406" s="2495">
        <f t="shared" si="9"/>
        <v>24795</v>
      </c>
      <c r="O406" s="2499">
        <v>42937</v>
      </c>
      <c r="P406" s="2494">
        <v>66</v>
      </c>
      <c r="Q406" s="2500">
        <v>95821</v>
      </c>
    </row>
    <row r="407" spans="1:17">
      <c r="A407" s="2496">
        <f t="shared" si="10"/>
        <v>2024.02</v>
      </c>
      <c r="B407" s="2504"/>
      <c r="C407" s="2722"/>
      <c r="D407" s="2719">
        <v>797413</v>
      </c>
      <c r="E407" s="2491" t="e">
        <v>#N/A</v>
      </c>
      <c r="F407" s="2492" t="e">
        <v>#N/A</v>
      </c>
      <c r="G407" s="2493" t="e">
        <v>#N/A</v>
      </c>
      <c r="H407" s="2492" t="e">
        <v>#N/A</v>
      </c>
      <c r="I407" s="2493" t="e">
        <v>#N/A</v>
      </c>
      <c r="J407" s="2492" t="e">
        <v>#N/A</v>
      </c>
      <c r="K407" s="2493" t="e">
        <v>#N/A</v>
      </c>
      <c r="L407" s="2492" t="e">
        <v>#N/A</v>
      </c>
      <c r="M407" s="2494" t="e">
        <v>#N/A</v>
      </c>
      <c r="N407" s="2495" t="e">
        <f t="shared" si="9"/>
        <v>#N/A</v>
      </c>
      <c r="O407" s="2499" t="e">
        <v>#N/A</v>
      </c>
      <c r="P407" s="2494" t="e">
        <v>#N/A</v>
      </c>
      <c r="Q407" s="2500" t="e">
        <v>#N/A</v>
      </c>
    </row>
    <row r="408" spans="1:17">
      <c r="A408" s="2496">
        <f t="shared" si="10"/>
        <v>2024.03</v>
      </c>
      <c r="B408" s="2504"/>
      <c r="C408" s="2722"/>
      <c r="D408" s="2719" t="e">
        <v>#N/A</v>
      </c>
      <c r="E408" s="2491" t="e">
        <v>#N/A</v>
      </c>
      <c r="F408" s="2492" t="e">
        <v>#N/A</v>
      </c>
      <c r="G408" s="2493" t="e">
        <v>#N/A</v>
      </c>
      <c r="H408" s="2492" t="e">
        <v>#N/A</v>
      </c>
      <c r="I408" s="2493" t="e">
        <v>#N/A</v>
      </c>
      <c r="J408" s="2492" t="e">
        <v>#N/A</v>
      </c>
      <c r="K408" s="2493" t="e">
        <v>#N/A</v>
      </c>
      <c r="L408" s="2492" t="e">
        <v>#N/A</v>
      </c>
      <c r="M408" s="2494" t="e">
        <v>#N/A</v>
      </c>
      <c r="N408" s="2495" t="e">
        <f t="shared" si="9"/>
        <v>#N/A</v>
      </c>
      <c r="O408" s="2499" t="e">
        <v>#N/A</v>
      </c>
      <c r="P408" s="2494" t="e">
        <v>#N/A</v>
      </c>
      <c r="Q408" s="2500" t="e">
        <v>#N/A</v>
      </c>
    </row>
    <row r="409" spans="1:17">
      <c r="A409" s="2496">
        <f t="shared" si="10"/>
        <v>2024.04</v>
      </c>
      <c r="B409" s="2504"/>
      <c r="C409" s="2722"/>
      <c r="D409" s="2719" t="e">
        <v>#N/A</v>
      </c>
      <c r="E409" s="2491" t="e">
        <v>#N/A</v>
      </c>
      <c r="F409" s="2492" t="e">
        <v>#N/A</v>
      </c>
      <c r="G409" s="2493" t="e">
        <v>#N/A</v>
      </c>
      <c r="H409" s="2492" t="e">
        <v>#N/A</v>
      </c>
      <c r="I409" s="2493" t="e">
        <v>#N/A</v>
      </c>
      <c r="J409" s="2492" t="e">
        <v>#N/A</v>
      </c>
      <c r="K409" s="2493" t="e">
        <v>#N/A</v>
      </c>
      <c r="L409" s="2492" t="e">
        <v>#N/A</v>
      </c>
      <c r="M409" s="2494" t="e">
        <v>#N/A</v>
      </c>
      <c r="N409" s="2495" t="e">
        <f t="shared" si="9"/>
        <v>#N/A</v>
      </c>
      <c r="O409" s="2499" t="e">
        <v>#N/A</v>
      </c>
      <c r="P409" s="2494" t="e">
        <v>#N/A</v>
      </c>
      <c r="Q409" s="2500" t="e">
        <v>#N/A</v>
      </c>
    </row>
    <row r="410" spans="1:17">
      <c r="A410" s="2496">
        <f t="shared" si="10"/>
        <v>2024.05</v>
      </c>
      <c r="B410" s="2504"/>
      <c r="C410" s="2722"/>
      <c r="D410" s="2719" t="e">
        <v>#N/A</v>
      </c>
      <c r="E410" s="2491" t="e">
        <v>#N/A</v>
      </c>
      <c r="F410" s="2492" t="e">
        <v>#N/A</v>
      </c>
      <c r="G410" s="2493" t="e">
        <v>#N/A</v>
      </c>
      <c r="H410" s="2492" t="e">
        <v>#N/A</v>
      </c>
      <c r="I410" s="2493" t="e">
        <v>#N/A</v>
      </c>
      <c r="J410" s="2492" t="e">
        <v>#N/A</v>
      </c>
      <c r="K410" s="2493" t="e">
        <v>#N/A</v>
      </c>
      <c r="L410" s="2492" t="e">
        <v>#N/A</v>
      </c>
      <c r="M410" s="2494" t="e">
        <v>#N/A</v>
      </c>
      <c r="N410" s="2495" t="e">
        <f t="shared" si="9"/>
        <v>#N/A</v>
      </c>
      <c r="O410" s="2499" t="e">
        <v>#N/A</v>
      </c>
      <c r="P410" s="2494" t="e">
        <v>#N/A</v>
      </c>
      <c r="Q410" s="2500" t="e">
        <v>#N/A</v>
      </c>
    </row>
    <row r="411" spans="1:17">
      <c r="A411" s="2496">
        <f t="shared" si="10"/>
        <v>2024.06</v>
      </c>
      <c r="B411" s="2504"/>
      <c r="C411" s="2722"/>
      <c r="D411" s="2719" t="e">
        <v>#N/A</v>
      </c>
      <c r="E411" s="2491" t="e">
        <v>#N/A</v>
      </c>
      <c r="F411" s="2492" t="e">
        <v>#N/A</v>
      </c>
      <c r="G411" s="2493" t="e">
        <v>#N/A</v>
      </c>
      <c r="H411" s="2492" t="e">
        <v>#N/A</v>
      </c>
      <c r="I411" s="2493" t="e">
        <v>#N/A</v>
      </c>
      <c r="J411" s="2492" t="e">
        <v>#N/A</v>
      </c>
      <c r="K411" s="2493" t="e">
        <v>#N/A</v>
      </c>
      <c r="L411" s="2492" t="e">
        <v>#N/A</v>
      </c>
      <c r="M411" s="2494" t="e">
        <v>#N/A</v>
      </c>
      <c r="N411" s="2495" t="e">
        <f t="shared" si="9"/>
        <v>#N/A</v>
      </c>
      <c r="O411" s="2499" t="e">
        <v>#N/A</v>
      </c>
      <c r="P411" s="2494" t="e">
        <v>#N/A</v>
      </c>
      <c r="Q411" s="2500" t="e">
        <v>#N/A</v>
      </c>
    </row>
    <row r="412" spans="1:17">
      <c r="A412" s="2496">
        <f t="shared" si="10"/>
        <v>2024.07</v>
      </c>
      <c r="B412" s="2504"/>
      <c r="C412" s="2722"/>
      <c r="D412" s="2719" t="e">
        <v>#N/A</v>
      </c>
      <c r="E412" s="2491" t="e">
        <v>#N/A</v>
      </c>
      <c r="F412" s="2492" t="e">
        <v>#N/A</v>
      </c>
      <c r="G412" s="2493" t="e">
        <v>#N/A</v>
      </c>
      <c r="H412" s="2492" t="e">
        <v>#N/A</v>
      </c>
      <c r="I412" s="2493" t="e">
        <v>#N/A</v>
      </c>
      <c r="J412" s="2492" t="e">
        <v>#N/A</v>
      </c>
      <c r="K412" s="2493" t="e">
        <v>#N/A</v>
      </c>
      <c r="L412" s="2492" t="e">
        <v>#N/A</v>
      </c>
      <c r="M412" s="2494" t="e">
        <v>#N/A</v>
      </c>
      <c r="N412" s="2495" t="e">
        <f t="shared" si="9"/>
        <v>#N/A</v>
      </c>
      <c r="O412" s="2499" t="e">
        <v>#N/A</v>
      </c>
      <c r="P412" s="2494" t="e">
        <v>#N/A</v>
      </c>
      <c r="Q412" s="2500" t="e">
        <v>#N/A</v>
      </c>
    </row>
    <row r="413" spans="1:17">
      <c r="A413" s="2496">
        <f t="shared" si="10"/>
        <v>2024.08</v>
      </c>
      <c r="B413" s="2504"/>
      <c r="C413" s="2722"/>
      <c r="D413" s="2719" t="e">
        <v>#N/A</v>
      </c>
      <c r="E413" s="2491" t="e">
        <v>#N/A</v>
      </c>
      <c r="F413" s="2492" t="e">
        <v>#N/A</v>
      </c>
      <c r="G413" s="2493" t="e">
        <v>#N/A</v>
      </c>
      <c r="H413" s="2492" t="e">
        <v>#N/A</v>
      </c>
      <c r="I413" s="2493" t="e">
        <v>#N/A</v>
      </c>
      <c r="J413" s="2492" t="e">
        <v>#N/A</v>
      </c>
      <c r="K413" s="2493" t="e">
        <v>#N/A</v>
      </c>
      <c r="L413" s="2492" t="e">
        <v>#N/A</v>
      </c>
      <c r="M413" s="2494" t="e">
        <v>#N/A</v>
      </c>
      <c r="N413" s="2495" t="e">
        <f t="shared" si="9"/>
        <v>#N/A</v>
      </c>
      <c r="O413" s="2499" t="e">
        <v>#N/A</v>
      </c>
      <c r="P413" s="2494" t="e">
        <v>#N/A</v>
      </c>
      <c r="Q413" s="2500" t="e">
        <v>#N/A</v>
      </c>
    </row>
    <row r="414" spans="1:17">
      <c r="A414" s="2496">
        <f t="shared" si="10"/>
        <v>2024.09</v>
      </c>
      <c r="B414" s="2504"/>
      <c r="C414" s="2722"/>
      <c r="D414" s="2719" t="e">
        <v>#N/A</v>
      </c>
      <c r="E414" s="2491" t="e">
        <v>#N/A</v>
      </c>
      <c r="F414" s="2492" t="e">
        <v>#N/A</v>
      </c>
      <c r="G414" s="2493" t="e">
        <v>#N/A</v>
      </c>
      <c r="H414" s="2492" t="e">
        <v>#N/A</v>
      </c>
      <c r="I414" s="2493" t="e">
        <v>#N/A</v>
      </c>
      <c r="J414" s="2492" t="e">
        <v>#N/A</v>
      </c>
      <c r="K414" s="2493" t="e">
        <v>#N/A</v>
      </c>
      <c r="L414" s="2492" t="e">
        <v>#N/A</v>
      </c>
      <c r="M414" s="2494" t="e">
        <v>#N/A</v>
      </c>
      <c r="N414" s="2495" t="e">
        <f t="shared" si="9"/>
        <v>#N/A</v>
      </c>
      <c r="O414" s="2499" t="e">
        <v>#N/A</v>
      </c>
      <c r="P414" s="2494" t="e">
        <v>#N/A</v>
      </c>
      <c r="Q414" s="2500" t="e">
        <v>#N/A</v>
      </c>
    </row>
    <row r="415" spans="1:17">
      <c r="A415" s="2496">
        <f t="shared" si="10"/>
        <v>2024.1</v>
      </c>
      <c r="B415" s="2504"/>
      <c r="C415" s="2722"/>
      <c r="D415" s="2719" t="e">
        <v>#N/A</v>
      </c>
      <c r="E415" s="2491" t="e">
        <v>#N/A</v>
      </c>
      <c r="F415" s="2492" t="e">
        <v>#N/A</v>
      </c>
      <c r="G415" s="2493" t="e">
        <v>#N/A</v>
      </c>
      <c r="H415" s="2492" t="e">
        <v>#N/A</v>
      </c>
      <c r="I415" s="2493" t="e">
        <v>#N/A</v>
      </c>
      <c r="J415" s="2492" t="e">
        <v>#N/A</v>
      </c>
      <c r="K415" s="2493" t="e">
        <v>#N/A</v>
      </c>
      <c r="L415" s="2492" t="e">
        <v>#N/A</v>
      </c>
      <c r="M415" s="2494" t="e">
        <v>#N/A</v>
      </c>
      <c r="N415" s="2495" t="e">
        <f t="shared" si="9"/>
        <v>#N/A</v>
      </c>
      <c r="O415" s="2499" t="e">
        <v>#N/A</v>
      </c>
      <c r="P415" s="2494" t="e">
        <v>#N/A</v>
      </c>
      <c r="Q415" s="2500" t="e">
        <v>#N/A</v>
      </c>
    </row>
    <row r="416" spans="1:17">
      <c r="A416" s="2496">
        <f t="shared" si="10"/>
        <v>2024.11</v>
      </c>
      <c r="B416" s="2504"/>
      <c r="C416" s="2722"/>
      <c r="D416" s="2719" t="e">
        <v>#N/A</v>
      </c>
      <c r="E416" s="2491" t="e">
        <v>#N/A</v>
      </c>
      <c r="F416" s="2492" t="e">
        <v>#N/A</v>
      </c>
      <c r="G416" s="2493" t="e">
        <v>#N/A</v>
      </c>
      <c r="H416" s="2492" t="e">
        <v>#N/A</v>
      </c>
      <c r="I416" s="2493" t="e">
        <v>#N/A</v>
      </c>
      <c r="J416" s="2492" t="e">
        <v>#N/A</v>
      </c>
      <c r="K416" s="2493" t="e">
        <v>#N/A</v>
      </c>
      <c r="L416" s="2492" t="e">
        <v>#N/A</v>
      </c>
      <c r="M416" s="2494" t="e">
        <v>#N/A</v>
      </c>
      <c r="N416" s="2495" t="e">
        <f t="shared" si="9"/>
        <v>#N/A</v>
      </c>
      <c r="O416" s="2499" t="e">
        <v>#N/A</v>
      </c>
      <c r="P416" s="2494" t="e">
        <v>#N/A</v>
      </c>
      <c r="Q416" s="2500" t="e">
        <v>#N/A</v>
      </c>
    </row>
    <row r="417" spans="1:17">
      <c r="A417" s="2496">
        <f t="shared" si="10"/>
        <v>2024.12</v>
      </c>
      <c r="B417" s="2504"/>
      <c r="C417" s="2722"/>
      <c r="D417" s="2719" t="e">
        <v>#N/A</v>
      </c>
      <c r="E417" s="2491" t="e">
        <v>#N/A</v>
      </c>
      <c r="F417" s="2492" t="e">
        <v>#N/A</v>
      </c>
      <c r="G417" s="2493" t="e">
        <v>#N/A</v>
      </c>
      <c r="H417" s="2492" t="e">
        <v>#N/A</v>
      </c>
      <c r="I417" s="2493" t="e">
        <v>#N/A</v>
      </c>
      <c r="J417" s="2492" t="e">
        <v>#N/A</v>
      </c>
      <c r="K417" s="2493" t="e">
        <v>#N/A</v>
      </c>
      <c r="L417" s="2492" t="e">
        <v>#N/A</v>
      </c>
      <c r="M417" s="2494" t="e">
        <v>#N/A</v>
      </c>
      <c r="N417" s="2495" t="e">
        <f t="shared" si="9"/>
        <v>#N/A</v>
      </c>
      <c r="O417" s="2499" t="e">
        <v>#N/A</v>
      </c>
      <c r="P417" s="2494" t="e">
        <v>#N/A</v>
      </c>
      <c r="Q417" s="2500" t="e">
        <v>#N/A</v>
      </c>
    </row>
    <row r="418" spans="1:17">
      <c r="A418" s="2496">
        <f t="shared" si="10"/>
        <v>2025.01</v>
      </c>
      <c r="B418" s="2504"/>
      <c r="C418" s="2722"/>
      <c r="D418" s="2719" t="e">
        <v>#N/A</v>
      </c>
      <c r="E418" s="2491" t="e">
        <v>#N/A</v>
      </c>
      <c r="F418" s="2492" t="e">
        <v>#N/A</v>
      </c>
      <c r="G418" s="2493" t="e">
        <v>#N/A</v>
      </c>
      <c r="H418" s="2492" t="e">
        <v>#N/A</v>
      </c>
      <c r="I418" s="2493" t="e">
        <v>#N/A</v>
      </c>
      <c r="J418" s="2492" t="e">
        <v>#N/A</v>
      </c>
      <c r="K418" s="2493" t="e">
        <v>#N/A</v>
      </c>
      <c r="L418" s="2492" t="e">
        <v>#N/A</v>
      </c>
      <c r="M418" s="2494" t="e">
        <v>#N/A</v>
      </c>
      <c r="N418" s="2495" t="e">
        <f t="shared" si="9"/>
        <v>#N/A</v>
      </c>
      <c r="O418" s="2499" t="e">
        <v>#N/A</v>
      </c>
      <c r="P418" s="2494" t="e">
        <v>#N/A</v>
      </c>
      <c r="Q418" s="2500" t="e">
        <v>#N/A</v>
      </c>
    </row>
    <row r="419" spans="1:17">
      <c r="A419" s="2496">
        <f t="shared" si="10"/>
        <v>2025.02</v>
      </c>
      <c r="B419" s="2504"/>
      <c r="C419" s="2722"/>
      <c r="D419" s="2719" t="e">
        <v>#N/A</v>
      </c>
      <c r="E419" s="2491" t="e">
        <v>#N/A</v>
      </c>
      <c r="F419" s="2492" t="e">
        <v>#N/A</v>
      </c>
      <c r="G419" s="2493" t="e">
        <v>#N/A</v>
      </c>
      <c r="H419" s="2492" t="e">
        <v>#N/A</v>
      </c>
      <c r="I419" s="2493" t="e">
        <v>#N/A</v>
      </c>
      <c r="J419" s="2492" t="e">
        <v>#N/A</v>
      </c>
      <c r="K419" s="2493" t="e">
        <v>#N/A</v>
      </c>
      <c r="L419" s="2492" t="e">
        <v>#N/A</v>
      </c>
      <c r="M419" s="2494" t="e">
        <v>#N/A</v>
      </c>
      <c r="N419" s="2495" t="e">
        <f t="shared" si="9"/>
        <v>#N/A</v>
      </c>
      <c r="O419" s="2499" t="e">
        <v>#N/A</v>
      </c>
      <c r="P419" s="2494" t="e">
        <v>#N/A</v>
      </c>
      <c r="Q419" s="2500" t="e">
        <v>#N/A</v>
      </c>
    </row>
    <row r="420" spans="1:17">
      <c r="A420" s="2496">
        <f t="shared" si="10"/>
        <v>2025.03</v>
      </c>
      <c r="B420" s="2504"/>
      <c r="C420" s="2722"/>
      <c r="D420" s="2719" t="e">
        <v>#N/A</v>
      </c>
      <c r="E420" s="2491" t="e">
        <v>#N/A</v>
      </c>
      <c r="F420" s="2492" t="e">
        <v>#N/A</v>
      </c>
      <c r="G420" s="2493" t="e">
        <v>#N/A</v>
      </c>
      <c r="H420" s="2492" t="e">
        <v>#N/A</v>
      </c>
      <c r="I420" s="2493" t="e">
        <v>#N/A</v>
      </c>
      <c r="J420" s="2492" t="e">
        <v>#N/A</v>
      </c>
      <c r="K420" s="2493" t="e">
        <v>#N/A</v>
      </c>
      <c r="L420" s="2492" t="e">
        <v>#N/A</v>
      </c>
      <c r="M420" s="2494" t="e">
        <v>#N/A</v>
      </c>
      <c r="N420" s="2495" t="e">
        <f t="shared" si="9"/>
        <v>#N/A</v>
      </c>
      <c r="O420" s="2499" t="e">
        <v>#N/A</v>
      </c>
      <c r="P420" s="2494" t="e">
        <v>#N/A</v>
      </c>
      <c r="Q420" s="2500" t="e">
        <v>#N/A</v>
      </c>
    </row>
    <row r="421" spans="1:17">
      <c r="A421" s="2496">
        <f t="shared" si="10"/>
        <v>2025.04</v>
      </c>
      <c r="B421" s="2504"/>
      <c r="C421" s="2722"/>
      <c r="D421" s="2719" t="e">
        <v>#N/A</v>
      </c>
      <c r="E421" s="2491" t="e">
        <v>#N/A</v>
      </c>
      <c r="F421" s="2492" t="e">
        <v>#N/A</v>
      </c>
      <c r="G421" s="2493" t="e">
        <v>#N/A</v>
      </c>
      <c r="H421" s="2492" t="e">
        <v>#N/A</v>
      </c>
      <c r="I421" s="2493" t="e">
        <v>#N/A</v>
      </c>
      <c r="J421" s="2492" t="e">
        <v>#N/A</v>
      </c>
      <c r="K421" s="2493" t="e">
        <v>#N/A</v>
      </c>
      <c r="L421" s="2492" t="e">
        <v>#N/A</v>
      </c>
      <c r="M421" s="2494" t="e">
        <v>#N/A</v>
      </c>
      <c r="N421" s="2495" t="e">
        <f t="shared" si="9"/>
        <v>#N/A</v>
      </c>
      <c r="O421" s="2499" t="e">
        <v>#N/A</v>
      </c>
      <c r="P421" s="2494" t="e">
        <v>#N/A</v>
      </c>
      <c r="Q421" s="2500" t="e">
        <v>#N/A</v>
      </c>
    </row>
    <row r="422" spans="1:17">
      <c r="A422" s="2496">
        <f t="shared" si="10"/>
        <v>2025.05</v>
      </c>
      <c r="B422" s="2504"/>
      <c r="C422" s="2722"/>
      <c r="D422" s="2719" t="e">
        <v>#N/A</v>
      </c>
      <c r="E422" s="2491" t="e">
        <v>#N/A</v>
      </c>
      <c r="F422" s="2492" t="e">
        <v>#N/A</v>
      </c>
      <c r="G422" s="2493" t="e">
        <v>#N/A</v>
      </c>
      <c r="H422" s="2492" t="e">
        <v>#N/A</v>
      </c>
      <c r="I422" s="2493" t="e">
        <v>#N/A</v>
      </c>
      <c r="J422" s="2492" t="e">
        <v>#N/A</v>
      </c>
      <c r="K422" s="2493" t="e">
        <v>#N/A</v>
      </c>
      <c r="L422" s="2492" t="e">
        <v>#N/A</v>
      </c>
      <c r="M422" s="2494" t="e">
        <v>#N/A</v>
      </c>
      <c r="N422" s="2495" t="e">
        <f t="shared" si="9"/>
        <v>#N/A</v>
      </c>
      <c r="O422" s="2499" t="e">
        <v>#N/A</v>
      </c>
      <c r="P422" s="2494" t="e">
        <v>#N/A</v>
      </c>
      <c r="Q422" s="2500" t="e">
        <v>#N/A</v>
      </c>
    </row>
    <row r="423" spans="1:17">
      <c r="A423" s="2496">
        <f t="shared" si="10"/>
        <v>2025.06</v>
      </c>
      <c r="B423" s="2504"/>
      <c r="C423" s="2722"/>
      <c r="D423" s="2719" t="e">
        <v>#N/A</v>
      </c>
      <c r="E423" s="2491" t="e">
        <v>#N/A</v>
      </c>
      <c r="F423" s="2492" t="e">
        <v>#N/A</v>
      </c>
      <c r="G423" s="2493" t="e">
        <v>#N/A</v>
      </c>
      <c r="H423" s="2492" t="e">
        <v>#N/A</v>
      </c>
      <c r="I423" s="2493" t="e">
        <v>#N/A</v>
      </c>
      <c r="J423" s="2492" t="e">
        <v>#N/A</v>
      </c>
      <c r="K423" s="2493" t="e">
        <v>#N/A</v>
      </c>
      <c r="L423" s="2492" t="e">
        <v>#N/A</v>
      </c>
      <c r="M423" s="2494" t="e">
        <v>#N/A</v>
      </c>
      <c r="N423" s="2495" t="e">
        <f t="shared" si="9"/>
        <v>#N/A</v>
      </c>
      <c r="O423" s="2499" t="e">
        <v>#N/A</v>
      </c>
      <c r="P423" s="2494" t="e">
        <v>#N/A</v>
      </c>
      <c r="Q423" s="2500" t="e">
        <v>#N/A</v>
      </c>
    </row>
    <row r="424" spans="1:17">
      <c r="A424" s="2496">
        <f t="shared" si="10"/>
        <v>2025.07</v>
      </c>
      <c r="B424" s="2504"/>
      <c r="C424" s="2722"/>
      <c r="D424" s="2719" t="e">
        <v>#N/A</v>
      </c>
      <c r="E424" s="2491" t="e">
        <v>#N/A</v>
      </c>
      <c r="F424" s="2492" t="e">
        <v>#N/A</v>
      </c>
      <c r="G424" s="2493" t="e">
        <v>#N/A</v>
      </c>
      <c r="H424" s="2492" t="e">
        <v>#N/A</v>
      </c>
      <c r="I424" s="2493" t="e">
        <v>#N/A</v>
      </c>
      <c r="J424" s="2492" t="e">
        <v>#N/A</v>
      </c>
      <c r="K424" s="2493" t="e">
        <v>#N/A</v>
      </c>
      <c r="L424" s="2492" t="e">
        <v>#N/A</v>
      </c>
      <c r="M424" s="2494" t="e">
        <v>#N/A</v>
      </c>
      <c r="N424" s="2495" t="e">
        <f t="shared" si="9"/>
        <v>#N/A</v>
      </c>
      <c r="O424" s="2499" t="e">
        <v>#N/A</v>
      </c>
      <c r="P424" s="2494" t="e">
        <v>#N/A</v>
      </c>
      <c r="Q424" s="2500" t="e">
        <v>#N/A</v>
      </c>
    </row>
    <row r="425" spans="1:17">
      <c r="A425" s="2496">
        <f t="shared" si="10"/>
        <v>2025.08</v>
      </c>
      <c r="B425" s="2504"/>
      <c r="C425" s="2722"/>
      <c r="D425" s="2719" t="e">
        <v>#N/A</v>
      </c>
      <c r="E425" s="2491" t="e">
        <v>#N/A</v>
      </c>
      <c r="F425" s="2492" t="e">
        <v>#N/A</v>
      </c>
      <c r="G425" s="2493" t="e">
        <v>#N/A</v>
      </c>
      <c r="H425" s="2492" t="e">
        <v>#N/A</v>
      </c>
      <c r="I425" s="2493" t="e">
        <v>#N/A</v>
      </c>
      <c r="J425" s="2492" t="e">
        <v>#N/A</v>
      </c>
      <c r="K425" s="2493" t="e">
        <v>#N/A</v>
      </c>
      <c r="L425" s="2492" t="e">
        <v>#N/A</v>
      </c>
      <c r="M425" s="2494" t="e">
        <v>#N/A</v>
      </c>
      <c r="N425" s="2495" t="e">
        <f t="shared" si="9"/>
        <v>#N/A</v>
      </c>
      <c r="O425" s="2499" t="e">
        <v>#N/A</v>
      </c>
      <c r="P425" s="2494" t="e">
        <v>#N/A</v>
      </c>
      <c r="Q425" s="2500" t="e">
        <v>#N/A</v>
      </c>
    </row>
    <row r="426" spans="1:17">
      <c r="A426" s="2496">
        <f t="shared" si="10"/>
        <v>2025.09</v>
      </c>
      <c r="B426" s="2504"/>
      <c r="C426" s="2722"/>
      <c r="D426" s="2719" t="e">
        <v>#N/A</v>
      </c>
      <c r="E426" s="2491" t="e">
        <v>#N/A</v>
      </c>
      <c r="F426" s="2492" t="e">
        <v>#N/A</v>
      </c>
      <c r="G426" s="2493" t="e">
        <v>#N/A</v>
      </c>
      <c r="H426" s="2492" t="e">
        <v>#N/A</v>
      </c>
      <c r="I426" s="2493" t="e">
        <v>#N/A</v>
      </c>
      <c r="J426" s="2492" t="e">
        <v>#N/A</v>
      </c>
      <c r="K426" s="2493" t="e">
        <v>#N/A</v>
      </c>
      <c r="L426" s="2492" t="e">
        <v>#N/A</v>
      </c>
      <c r="M426" s="2494" t="e">
        <v>#N/A</v>
      </c>
      <c r="N426" s="2495" t="e">
        <f t="shared" si="9"/>
        <v>#N/A</v>
      </c>
      <c r="O426" s="2499" t="e">
        <v>#N/A</v>
      </c>
      <c r="P426" s="2494" t="e">
        <v>#N/A</v>
      </c>
      <c r="Q426" s="2500" t="e">
        <v>#N/A</v>
      </c>
    </row>
    <row r="427" spans="1:17">
      <c r="A427" s="2496">
        <f t="shared" si="10"/>
        <v>2025.1</v>
      </c>
      <c r="B427" s="2504"/>
      <c r="C427" s="2722"/>
      <c r="D427" s="2719" t="e">
        <v>#N/A</v>
      </c>
      <c r="E427" s="2491" t="e">
        <v>#N/A</v>
      </c>
      <c r="F427" s="2492" t="e">
        <v>#N/A</v>
      </c>
      <c r="G427" s="2493" t="e">
        <v>#N/A</v>
      </c>
      <c r="H427" s="2492" t="e">
        <v>#N/A</v>
      </c>
      <c r="I427" s="2493" t="e">
        <v>#N/A</v>
      </c>
      <c r="J427" s="2492" t="e">
        <v>#N/A</v>
      </c>
      <c r="K427" s="2493" t="e">
        <v>#N/A</v>
      </c>
      <c r="L427" s="2492" t="e">
        <v>#N/A</v>
      </c>
      <c r="M427" s="2494" t="e">
        <v>#N/A</v>
      </c>
      <c r="N427" s="2495" t="e">
        <f t="shared" si="9"/>
        <v>#N/A</v>
      </c>
      <c r="O427" s="2499" t="e">
        <v>#N/A</v>
      </c>
      <c r="P427" s="2494" t="e">
        <v>#N/A</v>
      </c>
      <c r="Q427" s="2500" t="e">
        <v>#N/A</v>
      </c>
    </row>
    <row r="428" spans="1:17">
      <c r="A428" s="2496">
        <f t="shared" si="10"/>
        <v>2025.11</v>
      </c>
      <c r="B428" s="2504"/>
      <c r="C428" s="2722"/>
      <c r="D428" s="2719" t="e">
        <v>#N/A</v>
      </c>
      <c r="E428" s="2491" t="e">
        <v>#N/A</v>
      </c>
      <c r="F428" s="2492" t="e">
        <v>#N/A</v>
      </c>
      <c r="G428" s="2493" t="e">
        <v>#N/A</v>
      </c>
      <c r="H428" s="2492" t="e">
        <v>#N/A</v>
      </c>
      <c r="I428" s="2493" t="e">
        <v>#N/A</v>
      </c>
      <c r="J428" s="2492" t="e">
        <v>#N/A</v>
      </c>
      <c r="K428" s="2493" t="e">
        <v>#N/A</v>
      </c>
      <c r="L428" s="2492" t="e">
        <v>#N/A</v>
      </c>
      <c r="M428" s="2494" t="e">
        <v>#N/A</v>
      </c>
      <c r="N428" s="2495" t="e">
        <f t="shared" si="9"/>
        <v>#N/A</v>
      </c>
      <c r="O428" s="2499" t="e">
        <v>#N/A</v>
      </c>
      <c r="P428" s="2494" t="e">
        <v>#N/A</v>
      </c>
      <c r="Q428" s="2500" t="e">
        <v>#N/A</v>
      </c>
    </row>
    <row r="429" spans="1:17">
      <c r="A429" s="2496">
        <f t="shared" si="10"/>
        <v>2025.12</v>
      </c>
      <c r="B429" s="2504"/>
      <c r="C429" s="2722"/>
      <c r="D429" s="2719" t="e">
        <v>#N/A</v>
      </c>
      <c r="E429" s="2491" t="e">
        <v>#N/A</v>
      </c>
      <c r="F429" s="2492" t="e">
        <v>#N/A</v>
      </c>
      <c r="G429" s="2493" t="e">
        <v>#N/A</v>
      </c>
      <c r="H429" s="2492" t="e">
        <v>#N/A</v>
      </c>
      <c r="I429" s="2493" t="e">
        <v>#N/A</v>
      </c>
      <c r="J429" s="2492" t="e">
        <v>#N/A</v>
      </c>
      <c r="K429" s="2493" t="e">
        <v>#N/A</v>
      </c>
      <c r="L429" s="2492" t="e">
        <v>#N/A</v>
      </c>
      <c r="M429" s="2494" t="e">
        <v>#N/A</v>
      </c>
      <c r="N429" s="2495" t="e">
        <f t="shared" si="9"/>
        <v>#N/A</v>
      </c>
      <c r="O429" s="2499" t="e">
        <v>#N/A</v>
      </c>
      <c r="P429" s="2494" t="e">
        <v>#N/A</v>
      </c>
      <c r="Q429" s="2500" t="e">
        <v>#N/A</v>
      </c>
    </row>
    <row r="430" spans="1:17">
      <c r="A430" s="2496">
        <f t="shared" si="10"/>
        <v>2026.01</v>
      </c>
      <c r="B430" s="2504"/>
      <c r="C430" s="2722"/>
      <c r="D430" s="2719" t="e">
        <v>#N/A</v>
      </c>
      <c r="E430" s="2491" t="e">
        <v>#N/A</v>
      </c>
      <c r="F430" s="2492" t="e">
        <v>#N/A</v>
      </c>
      <c r="G430" s="2493" t="e">
        <v>#N/A</v>
      </c>
      <c r="H430" s="2492" t="e">
        <v>#N/A</v>
      </c>
      <c r="I430" s="2493" t="e">
        <v>#N/A</v>
      </c>
      <c r="J430" s="2492" t="e">
        <v>#N/A</v>
      </c>
      <c r="K430" s="2493" t="e">
        <v>#N/A</v>
      </c>
      <c r="L430" s="2492" t="e">
        <v>#N/A</v>
      </c>
      <c r="M430" s="2494" t="e">
        <v>#N/A</v>
      </c>
      <c r="N430" s="2495" t="e">
        <f t="shared" ref="N430:N445" si="11">SUM(E430:M430)</f>
        <v>#N/A</v>
      </c>
      <c r="O430" s="2499" t="e">
        <v>#N/A</v>
      </c>
      <c r="P430" s="2494" t="e">
        <v>#N/A</v>
      </c>
      <c r="Q430" s="2500" t="e">
        <v>#N/A</v>
      </c>
    </row>
    <row r="431" spans="1:17">
      <c r="A431" s="2496">
        <f t="shared" si="10"/>
        <v>2026.02</v>
      </c>
      <c r="B431" s="2504"/>
      <c r="C431" s="2722"/>
      <c r="D431" s="2719" t="e">
        <v>#N/A</v>
      </c>
      <c r="E431" s="2491" t="e">
        <v>#N/A</v>
      </c>
      <c r="F431" s="2492" t="e">
        <v>#N/A</v>
      </c>
      <c r="G431" s="2493" t="e">
        <v>#N/A</v>
      </c>
      <c r="H431" s="2492" t="e">
        <v>#N/A</v>
      </c>
      <c r="I431" s="2493" t="e">
        <v>#N/A</v>
      </c>
      <c r="J431" s="2492" t="e">
        <v>#N/A</v>
      </c>
      <c r="K431" s="2493" t="e">
        <v>#N/A</v>
      </c>
      <c r="L431" s="2492" t="e">
        <v>#N/A</v>
      </c>
      <c r="M431" s="2494" t="e">
        <v>#N/A</v>
      </c>
      <c r="N431" s="2495" t="e">
        <f t="shared" si="11"/>
        <v>#N/A</v>
      </c>
      <c r="O431" s="2499" t="e">
        <v>#N/A</v>
      </c>
      <c r="P431" s="2494" t="e">
        <v>#N/A</v>
      </c>
      <c r="Q431" s="2500" t="e">
        <v>#N/A</v>
      </c>
    </row>
    <row r="432" spans="1:17">
      <c r="A432" s="2496">
        <f t="shared" si="10"/>
        <v>2026.03</v>
      </c>
      <c r="B432" s="2504"/>
      <c r="C432" s="2722"/>
      <c r="D432" s="2719" t="e">
        <v>#N/A</v>
      </c>
      <c r="E432" s="2491" t="e">
        <v>#N/A</v>
      </c>
      <c r="F432" s="2492" t="e">
        <v>#N/A</v>
      </c>
      <c r="G432" s="2493" t="e">
        <v>#N/A</v>
      </c>
      <c r="H432" s="2492" t="e">
        <v>#N/A</v>
      </c>
      <c r="I432" s="2493" t="e">
        <v>#N/A</v>
      </c>
      <c r="J432" s="2492" t="e">
        <v>#N/A</v>
      </c>
      <c r="K432" s="2493" t="e">
        <v>#N/A</v>
      </c>
      <c r="L432" s="2492" t="e">
        <v>#N/A</v>
      </c>
      <c r="M432" s="2494" t="e">
        <v>#N/A</v>
      </c>
      <c r="N432" s="2495" t="e">
        <f t="shared" si="11"/>
        <v>#N/A</v>
      </c>
      <c r="O432" s="2499" t="e">
        <v>#N/A</v>
      </c>
      <c r="P432" s="2494" t="e">
        <v>#N/A</v>
      </c>
      <c r="Q432" s="2500" t="e">
        <v>#N/A</v>
      </c>
    </row>
    <row r="433" spans="1:17">
      <c r="A433" s="2496">
        <f t="shared" si="10"/>
        <v>2026.04</v>
      </c>
      <c r="B433" s="2504"/>
      <c r="C433" s="2722"/>
      <c r="D433" s="2719" t="e">
        <v>#N/A</v>
      </c>
      <c r="E433" s="2491" t="e">
        <v>#N/A</v>
      </c>
      <c r="F433" s="2492" t="e">
        <v>#N/A</v>
      </c>
      <c r="G433" s="2493" t="e">
        <v>#N/A</v>
      </c>
      <c r="H433" s="2492" t="e">
        <v>#N/A</v>
      </c>
      <c r="I433" s="2493" t="e">
        <v>#N/A</v>
      </c>
      <c r="J433" s="2492" t="e">
        <v>#N/A</v>
      </c>
      <c r="K433" s="2493" t="e">
        <v>#N/A</v>
      </c>
      <c r="L433" s="2492" t="e">
        <v>#N/A</v>
      </c>
      <c r="M433" s="2494" t="e">
        <v>#N/A</v>
      </c>
      <c r="N433" s="2495" t="e">
        <f t="shared" si="11"/>
        <v>#N/A</v>
      </c>
      <c r="O433" s="2499" t="e">
        <v>#N/A</v>
      </c>
      <c r="P433" s="2494" t="e">
        <v>#N/A</v>
      </c>
      <c r="Q433" s="2500" t="e">
        <v>#N/A</v>
      </c>
    </row>
    <row r="434" spans="1:17">
      <c r="A434" s="2496">
        <f t="shared" si="10"/>
        <v>2026.05</v>
      </c>
      <c r="B434" s="2504"/>
      <c r="C434" s="2722"/>
      <c r="D434" s="2719" t="e">
        <v>#N/A</v>
      </c>
      <c r="E434" s="2491" t="e">
        <v>#N/A</v>
      </c>
      <c r="F434" s="2492" t="e">
        <v>#N/A</v>
      </c>
      <c r="G434" s="2493" t="e">
        <v>#N/A</v>
      </c>
      <c r="H434" s="2492" t="e">
        <v>#N/A</v>
      </c>
      <c r="I434" s="2493" t="e">
        <v>#N/A</v>
      </c>
      <c r="J434" s="2492" t="e">
        <v>#N/A</v>
      </c>
      <c r="K434" s="2493" t="e">
        <v>#N/A</v>
      </c>
      <c r="L434" s="2492" t="e">
        <v>#N/A</v>
      </c>
      <c r="M434" s="2494" t="e">
        <v>#N/A</v>
      </c>
      <c r="N434" s="2495" t="e">
        <f t="shared" si="11"/>
        <v>#N/A</v>
      </c>
      <c r="O434" s="2499" t="e">
        <v>#N/A</v>
      </c>
      <c r="P434" s="2494" t="e">
        <v>#N/A</v>
      </c>
      <c r="Q434" s="2500" t="e">
        <v>#N/A</v>
      </c>
    </row>
    <row r="435" spans="1:17">
      <c r="A435" s="2496">
        <f t="shared" si="10"/>
        <v>2026.06</v>
      </c>
      <c r="B435" s="2504"/>
      <c r="C435" s="2722"/>
      <c r="D435" s="2719" t="e">
        <v>#N/A</v>
      </c>
      <c r="E435" s="2491" t="e">
        <v>#N/A</v>
      </c>
      <c r="F435" s="2492" t="e">
        <v>#N/A</v>
      </c>
      <c r="G435" s="2493" t="e">
        <v>#N/A</v>
      </c>
      <c r="H435" s="2492" t="e">
        <v>#N/A</v>
      </c>
      <c r="I435" s="2493" t="e">
        <v>#N/A</v>
      </c>
      <c r="J435" s="2492" t="e">
        <v>#N/A</v>
      </c>
      <c r="K435" s="2493" t="e">
        <v>#N/A</v>
      </c>
      <c r="L435" s="2492" t="e">
        <v>#N/A</v>
      </c>
      <c r="M435" s="2494" t="e">
        <v>#N/A</v>
      </c>
      <c r="N435" s="2495" t="e">
        <f t="shared" si="11"/>
        <v>#N/A</v>
      </c>
      <c r="O435" s="2499" t="e">
        <v>#N/A</v>
      </c>
      <c r="P435" s="2494" t="e">
        <v>#N/A</v>
      </c>
      <c r="Q435" s="2500" t="e">
        <v>#N/A</v>
      </c>
    </row>
    <row r="436" spans="1:17">
      <c r="A436" s="2496">
        <f t="shared" si="10"/>
        <v>2026.07</v>
      </c>
      <c r="B436" s="2504"/>
      <c r="C436" s="2722"/>
      <c r="D436" s="2719" t="e">
        <v>#N/A</v>
      </c>
      <c r="E436" s="2491" t="e">
        <v>#N/A</v>
      </c>
      <c r="F436" s="2492" t="e">
        <v>#N/A</v>
      </c>
      <c r="G436" s="2493" t="e">
        <v>#N/A</v>
      </c>
      <c r="H436" s="2492" t="e">
        <v>#N/A</v>
      </c>
      <c r="I436" s="2493" t="e">
        <v>#N/A</v>
      </c>
      <c r="J436" s="2492" t="e">
        <v>#N/A</v>
      </c>
      <c r="K436" s="2493" t="e">
        <v>#N/A</v>
      </c>
      <c r="L436" s="2492" t="e">
        <v>#N/A</v>
      </c>
      <c r="M436" s="2494" t="e">
        <v>#N/A</v>
      </c>
      <c r="N436" s="2495" t="e">
        <f t="shared" si="11"/>
        <v>#N/A</v>
      </c>
      <c r="O436" s="2499" t="e">
        <v>#N/A</v>
      </c>
      <c r="P436" s="2494" t="e">
        <v>#N/A</v>
      </c>
      <c r="Q436" s="2500" t="e">
        <v>#N/A</v>
      </c>
    </row>
    <row r="437" spans="1:17">
      <c r="A437" s="2496">
        <f t="shared" si="10"/>
        <v>2026.08</v>
      </c>
      <c r="B437" s="2504"/>
      <c r="C437" s="2722"/>
      <c r="D437" s="2719" t="e">
        <v>#N/A</v>
      </c>
      <c r="E437" s="2491" t="e">
        <v>#N/A</v>
      </c>
      <c r="F437" s="2492" t="e">
        <v>#N/A</v>
      </c>
      <c r="G437" s="2493" t="e">
        <v>#N/A</v>
      </c>
      <c r="H437" s="2492" t="e">
        <v>#N/A</v>
      </c>
      <c r="I437" s="2493" t="e">
        <v>#N/A</v>
      </c>
      <c r="J437" s="2492" t="e">
        <v>#N/A</v>
      </c>
      <c r="K437" s="2493" t="e">
        <v>#N/A</v>
      </c>
      <c r="L437" s="2492" t="e">
        <v>#N/A</v>
      </c>
      <c r="M437" s="2494" t="e">
        <v>#N/A</v>
      </c>
      <c r="N437" s="2495" t="e">
        <f t="shared" si="11"/>
        <v>#N/A</v>
      </c>
      <c r="O437" s="2499" t="e">
        <v>#N/A</v>
      </c>
      <c r="P437" s="2494" t="e">
        <v>#N/A</v>
      </c>
      <c r="Q437" s="2500" t="e">
        <v>#N/A</v>
      </c>
    </row>
    <row r="438" spans="1:17">
      <c r="A438" s="2496">
        <f t="shared" si="10"/>
        <v>2026.09</v>
      </c>
      <c r="B438" s="2504"/>
      <c r="C438" s="2722"/>
      <c r="D438" s="2719" t="e">
        <v>#N/A</v>
      </c>
      <c r="E438" s="2491" t="e">
        <v>#N/A</v>
      </c>
      <c r="F438" s="2492" t="e">
        <v>#N/A</v>
      </c>
      <c r="G438" s="2493" t="e">
        <v>#N/A</v>
      </c>
      <c r="H438" s="2492" t="e">
        <v>#N/A</v>
      </c>
      <c r="I438" s="2493" t="e">
        <v>#N/A</v>
      </c>
      <c r="J438" s="2492" t="e">
        <v>#N/A</v>
      </c>
      <c r="K438" s="2493" t="e">
        <v>#N/A</v>
      </c>
      <c r="L438" s="2492" t="e">
        <v>#N/A</v>
      </c>
      <c r="M438" s="2494" t="e">
        <v>#N/A</v>
      </c>
      <c r="N438" s="2495" t="e">
        <f t="shared" si="11"/>
        <v>#N/A</v>
      </c>
      <c r="O438" s="2499" t="e">
        <v>#N/A</v>
      </c>
      <c r="P438" s="2494" t="e">
        <v>#N/A</v>
      </c>
      <c r="Q438" s="2500" t="e">
        <v>#N/A</v>
      </c>
    </row>
    <row r="439" spans="1:17">
      <c r="A439" s="2496">
        <f t="shared" si="10"/>
        <v>2026.1</v>
      </c>
      <c r="B439" s="2504"/>
      <c r="C439" s="2722"/>
      <c r="D439" s="2719" t="e">
        <v>#N/A</v>
      </c>
      <c r="E439" s="2491" t="e">
        <v>#N/A</v>
      </c>
      <c r="F439" s="2492" t="e">
        <v>#N/A</v>
      </c>
      <c r="G439" s="2493" t="e">
        <v>#N/A</v>
      </c>
      <c r="H439" s="2492" t="e">
        <v>#N/A</v>
      </c>
      <c r="I439" s="2493" t="e">
        <v>#N/A</v>
      </c>
      <c r="J439" s="2492" t="e">
        <v>#N/A</v>
      </c>
      <c r="K439" s="2493" t="e">
        <v>#N/A</v>
      </c>
      <c r="L439" s="2492" t="e">
        <v>#N/A</v>
      </c>
      <c r="M439" s="2494" t="e">
        <v>#N/A</v>
      </c>
      <c r="N439" s="2495" t="e">
        <f t="shared" si="11"/>
        <v>#N/A</v>
      </c>
      <c r="O439" s="2499" t="e">
        <v>#N/A</v>
      </c>
      <c r="P439" s="2494" t="e">
        <v>#N/A</v>
      </c>
      <c r="Q439" s="2500" t="e">
        <v>#N/A</v>
      </c>
    </row>
    <row r="440" spans="1:17">
      <c r="A440" s="2496">
        <f t="shared" si="10"/>
        <v>2026.11</v>
      </c>
      <c r="B440" s="2504"/>
      <c r="C440" s="2722"/>
      <c r="D440" s="2719" t="e">
        <v>#N/A</v>
      </c>
      <c r="E440" s="2491" t="e">
        <v>#N/A</v>
      </c>
      <c r="F440" s="2492" t="e">
        <v>#N/A</v>
      </c>
      <c r="G440" s="2493" t="e">
        <v>#N/A</v>
      </c>
      <c r="H440" s="2492" t="e">
        <v>#N/A</v>
      </c>
      <c r="I440" s="2493" t="e">
        <v>#N/A</v>
      </c>
      <c r="J440" s="2492" t="e">
        <v>#N/A</v>
      </c>
      <c r="K440" s="2493" t="e">
        <v>#N/A</v>
      </c>
      <c r="L440" s="2492" t="e">
        <v>#N/A</v>
      </c>
      <c r="M440" s="2494" t="e">
        <v>#N/A</v>
      </c>
      <c r="N440" s="2495" t="e">
        <f t="shared" si="11"/>
        <v>#N/A</v>
      </c>
      <c r="O440" s="2499" t="e">
        <v>#N/A</v>
      </c>
      <c r="P440" s="2494" t="e">
        <v>#N/A</v>
      </c>
      <c r="Q440" s="2500" t="e">
        <v>#N/A</v>
      </c>
    </row>
    <row r="441" spans="1:17">
      <c r="A441" s="2496">
        <f t="shared" si="10"/>
        <v>2026.12</v>
      </c>
      <c r="B441" s="2504"/>
      <c r="C441" s="2722"/>
      <c r="D441" s="2719" t="e">
        <v>#N/A</v>
      </c>
      <c r="E441" s="2491" t="e">
        <v>#N/A</v>
      </c>
      <c r="F441" s="2492" t="e">
        <v>#N/A</v>
      </c>
      <c r="G441" s="2493" t="e">
        <v>#N/A</v>
      </c>
      <c r="H441" s="2492" t="e">
        <v>#N/A</v>
      </c>
      <c r="I441" s="2493" t="e">
        <v>#N/A</v>
      </c>
      <c r="J441" s="2492" t="e">
        <v>#N/A</v>
      </c>
      <c r="K441" s="2493" t="e">
        <v>#N/A</v>
      </c>
      <c r="L441" s="2492" t="e">
        <v>#N/A</v>
      </c>
      <c r="M441" s="2494" t="e">
        <v>#N/A</v>
      </c>
      <c r="N441" s="2495" t="e">
        <f t="shared" si="11"/>
        <v>#N/A</v>
      </c>
      <c r="O441" s="2499" t="e">
        <v>#N/A</v>
      </c>
      <c r="P441" s="2494" t="e">
        <v>#N/A</v>
      </c>
      <c r="Q441" s="2500" t="e">
        <v>#N/A</v>
      </c>
    </row>
    <row r="442" spans="1:17">
      <c r="A442" s="2496">
        <f t="shared" si="10"/>
        <v>2027.01</v>
      </c>
      <c r="B442" s="2504"/>
      <c r="C442" s="2722"/>
      <c r="D442" s="2719" t="e">
        <v>#N/A</v>
      </c>
      <c r="E442" s="2491" t="e">
        <v>#N/A</v>
      </c>
      <c r="F442" s="2492" t="e">
        <v>#N/A</v>
      </c>
      <c r="G442" s="2493" t="e">
        <v>#N/A</v>
      </c>
      <c r="H442" s="2492" t="e">
        <v>#N/A</v>
      </c>
      <c r="I442" s="2493" t="e">
        <v>#N/A</v>
      </c>
      <c r="J442" s="2492" t="e">
        <v>#N/A</v>
      </c>
      <c r="K442" s="2493" t="e">
        <v>#N/A</v>
      </c>
      <c r="L442" s="2492" t="e">
        <v>#N/A</v>
      </c>
      <c r="M442" s="2494" t="e">
        <v>#N/A</v>
      </c>
      <c r="N442" s="2495" t="e">
        <f t="shared" si="11"/>
        <v>#N/A</v>
      </c>
      <c r="O442" s="2499" t="e">
        <v>#N/A</v>
      </c>
      <c r="P442" s="2494" t="e">
        <v>#N/A</v>
      </c>
      <c r="Q442" s="2500" t="e">
        <v>#N/A</v>
      </c>
    </row>
    <row r="443" spans="1:17">
      <c r="A443" s="2496">
        <f t="shared" si="10"/>
        <v>2027.02</v>
      </c>
      <c r="B443" s="2504"/>
      <c r="C443" s="2722"/>
      <c r="D443" s="2719" t="e">
        <v>#N/A</v>
      </c>
      <c r="E443" s="2491" t="e">
        <v>#N/A</v>
      </c>
      <c r="F443" s="2492" t="e">
        <v>#N/A</v>
      </c>
      <c r="G443" s="2493" t="e">
        <v>#N/A</v>
      </c>
      <c r="H443" s="2492" t="e">
        <v>#N/A</v>
      </c>
      <c r="I443" s="2493" t="e">
        <v>#N/A</v>
      </c>
      <c r="J443" s="2492" t="e">
        <v>#N/A</v>
      </c>
      <c r="K443" s="2493" t="e">
        <v>#N/A</v>
      </c>
      <c r="L443" s="2492" t="e">
        <v>#N/A</v>
      </c>
      <c r="M443" s="2494" t="e">
        <v>#N/A</v>
      </c>
      <c r="N443" s="2495" t="e">
        <f t="shared" si="11"/>
        <v>#N/A</v>
      </c>
      <c r="O443" s="2499" t="e">
        <v>#N/A</v>
      </c>
      <c r="P443" s="2494" t="e">
        <v>#N/A</v>
      </c>
      <c r="Q443" s="2500" t="e">
        <v>#N/A</v>
      </c>
    </row>
    <row r="444" spans="1:17">
      <c r="A444" s="2496">
        <f t="shared" si="10"/>
        <v>2027.03</v>
      </c>
      <c r="B444" s="2504"/>
      <c r="C444" s="2722"/>
      <c r="D444" s="2719" t="e">
        <v>#N/A</v>
      </c>
      <c r="E444" s="2491" t="e">
        <v>#N/A</v>
      </c>
      <c r="F444" s="2492" t="e">
        <v>#N/A</v>
      </c>
      <c r="G444" s="2493" t="e">
        <v>#N/A</v>
      </c>
      <c r="H444" s="2492" t="e">
        <v>#N/A</v>
      </c>
      <c r="I444" s="2493" t="e">
        <v>#N/A</v>
      </c>
      <c r="J444" s="2492" t="e">
        <v>#N/A</v>
      </c>
      <c r="K444" s="2493" t="e">
        <v>#N/A</v>
      </c>
      <c r="L444" s="2492" t="e">
        <v>#N/A</v>
      </c>
      <c r="M444" s="2494" t="e">
        <v>#N/A</v>
      </c>
      <c r="N444" s="2495" t="e">
        <f t="shared" si="11"/>
        <v>#N/A</v>
      </c>
      <c r="O444" s="2499" t="e">
        <v>#N/A</v>
      </c>
      <c r="P444" s="2494" t="e">
        <v>#N/A</v>
      </c>
      <c r="Q444" s="2500" t="e">
        <v>#N/A</v>
      </c>
    </row>
    <row r="445" spans="1:17">
      <c r="A445" s="2496">
        <f t="shared" si="10"/>
        <v>2027.04</v>
      </c>
      <c r="B445" s="2504"/>
      <c r="C445" s="2722"/>
      <c r="D445" s="2719" t="e">
        <v>#N/A</v>
      </c>
      <c r="E445" s="2491" t="e">
        <v>#N/A</v>
      </c>
      <c r="F445" s="2492" t="e">
        <v>#N/A</v>
      </c>
      <c r="G445" s="2493" t="e">
        <v>#N/A</v>
      </c>
      <c r="H445" s="2492" t="e">
        <v>#N/A</v>
      </c>
      <c r="I445" s="2493" t="e">
        <v>#N/A</v>
      </c>
      <c r="J445" s="2492" t="e">
        <v>#N/A</v>
      </c>
      <c r="K445" s="2493" t="e">
        <v>#N/A</v>
      </c>
      <c r="L445" s="2492" t="e">
        <v>#N/A</v>
      </c>
      <c r="M445" s="2494" t="e">
        <v>#N/A</v>
      </c>
      <c r="N445" s="2495" t="e">
        <f t="shared" si="11"/>
        <v>#N/A</v>
      </c>
      <c r="O445" s="2499" t="e">
        <v>#N/A</v>
      </c>
      <c r="P445" s="2494" t="e">
        <v>#N/A</v>
      </c>
      <c r="Q445" s="2500" t="e">
        <v>#N/A</v>
      </c>
    </row>
    <row r="446" spans="1:17">
      <c r="A446" s="2496">
        <f t="shared" si="10"/>
        <v>2027.05</v>
      </c>
      <c r="B446" s="2504"/>
      <c r="C446" s="2722"/>
      <c r="D446" s="2719" t="e">
        <v>#N/A</v>
      </c>
      <c r="E446" s="2491" t="e">
        <v>#N/A</v>
      </c>
      <c r="F446" s="2492" t="e">
        <v>#N/A</v>
      </c>
      <c r="G446" s="2493" t="e">
        <v>#N/A</v>
      </c>
      <c r="H446" s="2492" t="e">
        <v>#N/A</v>
      </c>
      <c r="I446" s="2493" t="e">
        <v>#N/A</v>
      </c>
      <c r="J446" s="2492" t="e">
        <v>#N/A</v>
      </c>
      <c r="K446" s="2493" t="e">
        <v>#N/A</v>
      </c>
      <c r="L446" s="2492" t="e">
        <v>#N/A</v>
      </c>
      <c r="M446" s="2494" t="e">
        <v>#N/A</v>
      </c>
      <c r="N446" s="2495" t="e">
        <f t="shared" ref="N446:N489" si="12">SUM(E446:M446)</f>
        <v>#N/A</v>
      </c>
      <c r="O446" s="2499" t="e">
        <v>#N/A</v>
      </c>
      <c r="P446" s="2494" t="e">
        <v>#N/A</v>
      </c>
      <c r="Q446" s="2500" t="e">
        <v>#N/A</v>
      </c>
    </row>
    <row r="447" spans="1:17">
      <c r="A447" s="2496">
        <f t="shared" si="10"/>
        <v>2027.06</v>
      </c>
      <c r="B447" s="2504"/>
      <c r="C447" s="2722"/>
      <c r="D447" s="2719" t="e">
        <v>#N/A</v>
      </c>
      <c r="E447" s="2491" t="e">
        <v>#N/A</v>
      </c>
      <c r="F447" s="2492" t="e">
        <v>#N/A</v>
      </c>
      <c r="G447" s="2493" t="e">
        <v>#N/A</v>
      </c>
      <c r="H447" s="2492" t="e">
        <v>#N/A</v>
      </c>
      <c r="I447" s="2493" t="e">
        <v>#N/A</v>
      </c>
      <c r="J447" s="2492" t="e">
        <v>#N/A</v>
      </c>
      <c r="K447" s="2493" t="e">
        <v>#N/A</v>
      </c>
      <c r="L447" s="2492" t="e">
        <v>#N/A</v>
      </c>
      <c r="M447" s="2494" t="e">
        <v>#N/A</v>
      </c>
      <c r="N447" s="2495" t="e">
        <f t="shared" si="12"/>
        <v>#N/A</v>
      </c>
      <c r="O447" s="2499" t="e">
        <v>#N/A</v>
      </c>
      <c r="P447" s="2494" t="e">
        <v>#N/A</v>
      </c>
      <c r="Q447" s="2500" t="e">
        <v>#N/A</v>
      </c>
    </row>
    <row r="448" spans="1:17">
      <c r="A448" s="2496">
        <f t="shared" si="10"/>
        <v>2027.07</v>
      </c>
      <c r="B448" s="2504"/>
      <c r="C448" s="2722"/>
      <c r="D448" s="2719" t="e">
        <v>#N/A</v>
      </c>
      <c r="E448" s="2491" t="e">
        <v>#N/A</v>
      </c>
      <c r="F448" s="2492" t="e">
        <v>#N/A</v>
      </c>
      <c r="G448" s="2493" t="e">
        <v>#N/A</v>
      </c>
      <c r="H448" s="2492" t="e">
        <v>#N/A</v>
      </c>
      <c r="I448" s="2493" t="e">
        <v>#N/A</v>
      </c>
      <c r="J448" s="2492" t="e">
        <v>#N/A</v>
      </c>
      <c r="K448" s="2493" t="e">
        <v>#N/A</v>
      </c>
      <c r="L448" s="2492" t="e">
        <v>#N/A</v>
      </c>
      <c r="M448" s="2494" t="e">
        <v>#N/A</v>
      </c>
      <c r="N448" s="2495" t="e">
        <f t="shared" si="12"/>
        <v>#N/A</v>
      </c>
      <c r="O448" s="2499" t="e">
        <v>#N/A</v>
      </c>
      <c r="P448" s="2494" t="e">
        <v>#N/A</v>
      </c>
      <c r="Q448" s="2500" t="e">
        <v>#N/A</v>
      </c>
    </row>
    <row r="449" spans="1:17">
      <c r="A449" s="2496">
        <f t="shared" si="10"/>
        <v>2027.08</v>
      </c>
      <c r="B449" s="2504"/>
      <c r="C449" s="2722"/>
      <c r="D449" s="2719" t="e">
        <v>#N/A</v>
      </c>
      <c r="E449" s="2491" t="e">
        <v>#N/A</v>
      </c>
      <c r="F449" s="2492" t="e">
        <v>#N/A</v>
      </c>
      <c r="G449" s="2493" t="e">
        <v>#N/A</v>
      </c>
      <c r="H449" s="2492" t="e">
        <v>#N/A</v>
      </c>
      <c r="I449" s="2493" t="e">
        <v>#N/A</v>
      </c>
      <c r="J449" s="2492" t="e">
        <v>#N/A</v>
      </c>
      <c r="K449" s="2493" t="e">
        <v>#N/A</v>
      </c>
      <c r="L449" s="2492" t="e">
        <v>#N/A</v>
      </c>
      <c r="M449" s="2494" t="e">
        <v>#N/A</v>
      </c>
      <c r="N449" s="2495" t="e">
        <f t="shared" si="12"/>
        <v>#N/A</v>
      </c>
      <c r="O449" s="2499" t="e">
        <v>#N/A</v>
      </c>
      <c r="P449" s="2494" t="e">
        <v>#N/A</v>
      </c>
      <c r="Q449" s="2500" t="e">
        <v>#N/A</v>
      </c>
    </row>
    <row r="450" spans="1:17">
      <c r="A450" s="2496">
        <f t="shared" si="10"/>
        <v>2027.09</v>
      </c>
      <c r="B450" s="2504"/>
      <c r="C450" s="2722"/>
      <c r="D450" s="2719" t="e">
        <v>#N/A</v>
      </c>
      <c r="E450" s="2491" t="e">
        <v>#N/A</v>
      </c>
      <c r="F450" s="2492" t="e">
        <v>#N/A</v>
      </c>
      <c r="G450" s="2493" t="e">
        <v>#N/A</v>
      </c>
      <c r="H450" s="2492" t="e">
        <v>#N/A</v>
      </c>
      <c r="I450" s="2493" t="e">
        <v>#N/A</v>
      </c>
      <c r="J450" s="2492" t="e">
        <v>#N/A</v>
      </c>
      <c r="K450" s="2493" t="e">
        <v>#N/A</v>
      </c>
      <c r="L450" s="2492" t="e">
        <v>#N/A</v>
      </c>
      <c r="M450" s="2494" t="e">
        <v>#N/A</v>
      </c>
      <c r="N450" s="2495" t="e">
        <f t="shared" si="12"/>
        <v>#N/A</v>
      </c>
      <c r="O450" s="2499" t="e">
        <v>#N/A</v>
      </c>
      <c r="P450" s="2494" t="e">
        <v>#N/A</v>
      </c>
      <c r="Q450" s="2500" t="e">
        <v>#N/A</v>
      </c>
    </row>
    <row r="451" spans="1:17">
      <c r="A451" s="2496">
        <f t="shared" si="10"/>
        <v>2027.1</v>
      </c>
      <c r="B451" s="2504"/>
      <c r="C451" s="2722"/>
      <c r="D451" s="2719" t="e">
        <v>#N/A</v>
      </c>
      <c r="E451" s="2491" t="e">
        <v>#N/A</v>
      </c>
      <c r="F451" s="2492" t="e">
        <v>#N/A</v>
      </c>
      <c r="G451" s="2493" t="e">
        <v>#N/A</v>
      </c>
      <c r="H451" s="2492" t="e">
        <v>#N/A</v>
      </c>
      <c r="I451" s="2493" t="e">
        <v>#N/A</v>
      </c>
      <c r="J451" s="2492" t="e">
        <v>#N/A</v>
      </c>
      <c r="K451" s="2493" t="e">
        <v>#N/A</v>
      </c>
      <c r="L451" s="2492" t="e">
        <v>#N/A</v>
      </c>
      <c r="M451" s="2494" t="e">
        <v>#N/A</v>
      </c>
      <c r="N451" s="2495" t="e">
        <f t="shared" si="12"/>
        <v>#N/A</v>
      </c>
      <c r="O451" s="2499" t="e">
        <v>#N/A</v>
      </c>
      <c r="P451" s="2494" t="e">
        <v>#N/A</v>
      </c>
      <c r="Q451" s="2500" t="e">
        <v>#N/A</v>
      </c>
    </row>
    <row r="452" spans="1:17">
      <c r="A452" s="2496">
        <f t="shared" si="10"/>
        <v>2027.11</v>
      </c>
      <c r="B452" s="2504"/>
      <c r="C452" s="2722"/>
      <c r="D452" s="2719" t="e">
        <v>#N/A</v>
      </c>
      <c r="E452" s="2491" t="e">
        <v>#N/A</v>
      </c>
      <c r="F452" s="2492" t="e">
        <v>#N/A</v>
      </c>
      <c r="G452" s="2493" t="e">
        <v>#N/A</v>
      </c>
      <c r="H452" s="2492" t="e">
        <v>#N/A</v>
      </c>
      <c r="I452" s="2493" t="e">
        <v>#N/A</v>
      </c>
      <c r="J452" s="2492" t="e">
        <v>#N/A</v>
      </c>
      <c r="K452" s="2493" t="e">
        <v>#N/A</v>
      </c>
      <c r="L452" s="2492" t="e">
        <v>#N/A</v>
      </c>
      <c r="M452" s="2494" t="e">
        <v>#N/A</v>
      </c>
      <c r="N452" s="2495" t="e">
        <f t="shared" si="12"/>
        <v>#N/A</v>
      </c>
      <c r="O452" s="2499" t="e">
        <v>#N/A</v>
      </c>
      <c r="P452" s="2494" t="e">
        <v>#N/A</v>
      </c>
      <c r="Q452" s="2500" t="e">
        <v>#N/A</v>
      </c>
    </row>
    <row r="453" spans="1:17">
      <c r="A453" s="2496">
        <f t="shared" si="10"/>
        <v>2027.12</v>
      </c>
      <c r="B453" s="2504"/>
      <c r="C453" s="2722"/>
      <c r="D453" s="2719" t="e">
        <v>#N/A</v>
      </c>
      <c r="E453" s="2491" t="e">
        <v>#N/A</v>
      </c>
      <c r="F453" s="2492" t="e">
        <v>#N/A</v>
      </c>
      <c r="G453" s="2493" t="e">
        <v>#N/A</v>
      </c>
      <c r="H453" s="2492" t="e">
        <v>#N/A</v>
      </c>
      <c r="I453" s="2493" t="e">
        <v>#N/A</v>
      </c>
      <c r="J453" s="2492" t="e">
        <v>#N/A</v>
      </c>
      <c r="K453" s="2493" t="e">
        <v>#N/A</v>
      </c>
      <c r="L453" s="2492" t="e">
        <v>#N/A</v>
      </c>
      <c r="M453" s="2494" t="e">
        <v>#N/A</v>
      </c>
      <c r="N453" s="2495" t="e">
        <f t="shared" si="12"/>
        <v>#N/A</v>
      </c>
      <c r="O453" s="2499" t="e">
        <v>#N/A</v>
      </c>
      <c r="P453" s="2494" t="e">
        <v>#N/A</v>
      </c>
      <c r="Q453" s="2500" t="e">
        <v>#N/A</v>
      </c>
    </row>
    <row r="454" spans="1:17">
      <c r="A454" s="2496">
        <f t="shared" si="10"/>
        <v>2028.01</v>
      </c>
      <c r="B454" s="2504"/>
      <c r="C454" s="2722"/>
      <c r="D454" s="2719" t="e">
        <v>#N/A</v>
      </c>
      <c r="E454" s="2491" t="e">
        <v>#N/A</v>
      </c>
      <c r="F454" s="2492" t="e">
        <v>#N/A</v>
      </c>
      <c r="G454" s="2493" t="e">
        <v>#N/A</v>
      </c>
      <c r="H454" s="2492" t="e">
        <v>#N/A</v>
      </c>
      <c r="I454" s="2493" t="e">
        <v>#N/A</v>
      </c>
      <c r="J454" s="2492" t="e">
        <v>#N/A</v>
      </c>
      <c r="K454" s="2493" t="e">
        <v>#N/A</v>
      </c>
      <c r="L454" s="2492" t="e">
        <v>#N/A</v>
      </c>
      <c r="M454" s="2494" t="e">
        <v>#N/A</v>
      </c>
      <c r="N454" s="2495" t="e">
        <f t="shared" si="12"/>
        <v>#N/A</v>
      </c>
      <c r="O454" s="2499" t="e">
        <v>#N/A</v>
      </c>
      <c r="P454" s="2494" t="e">
        <v>#N/A</v>
      </c>
      <c r="Q454" s="2500" t="e">
        <v>#N/A</v>
      </c>
    </row>
    <row r="455" spans="1:17">
      <c r="A455" s="2496">
        <f t="shared" si="10"/>
        <v>2028.02</v>
      </c>
      <c r="B455" s="2504"/>
      <c r="C455" s="2722"/>
      <c r="D455" s="2719" t="e">
        <v>#N/A</v>
      </c>
      <c r="E455" s="2491" t="e">
        <v>#N/A</v>
      </c>
      <c r="F455" s="2492" t="e">
        <v>#N/A</v>
      </c>
      <c r="G455" s="2493" t="e">
        <v>#N/A</v>
      </c>
      <c r="H455" s="2492" t="e">
        <v>#N/A</v>
      </c>
      <c r="I455" s="2493" t="e">
        <v>#N/A</v>
      </c>
      <c r="J455" s="2492" t="e">
        <v>#N/A</v>
      </c>
      <c r="K455" s="2493" t="e">
        <v>#N/A</v>
      </c>
      <c r="L455" s="2492" t="e">
        <v>#N/A</v>
      </c>
      <c r="M455" s="2494" t="e">
        <v>#N/A</v>
      </c>
      <c r="N455" s="2495" t="e">
        <f t="shared" si="12"/>
        <v>#N/A</v>
      </c>
      <c r="O455" s="2499" t="e">
        <v>#N/A</v>
      </c>
      <c r="P455" s="2494" t="e">
        <v>#N/A</v>
      </c>
      <c r="Q455" s="2500" t="e">
        <v>#N/A</v>
      </c>
    </row>
    <row r="456" spans="1:17">
      <c r="A456" s="2496">
        <f t="shared" si="10"/>
        <v>2028.03</v>
      </c>
      <c r="B456" s="2504"/>
      <c r="C456" s="2722"/>
      <c r="D456" s="2719" t="e">
        <v>#N/A</v>
      </c>
      <c r="E456" s="2491" t="e">
        <v>#N/A</v>
      </c>
      <c r="F456" s="2492" t="e">
        <v>#N/A</v>
      </c>
      <c r="G456" s="2493" t="e">
        <v>#N/A</v>
      </c>
      <c r="H456" s="2492" t="e">
        <v>#N/A</v>
      </c>
      <c r="I456" s="2493" t="e">
        <v>#N/A</v>
      </c>
      <c r="J456" s="2492" t="e">
        <v>#N/A</v>
      </c>
      <c r="K456" s="2493" t="e">
        <v>#N/A</v>
      </c>
      <c r="L456" s="2492" t="e">
        <v>#N/A</v>
      </c>
      <c r="M456" s="2494" t="e">
        <v>#N/A</v>
      </c>
      <c r="N456" s="2495" t="e">
        <f t="shared" si="12"/>
        <v>#N/A</v>
      </c>
      <c r="O456" s="2499" t="e">
        <v>#N/A</v>
      </c>
      <c r="P456" s="2494" t="e">
        <v>#N/A</v>
      </c>
      <c r="Q456" s="2500" t="e">
        <v>#N/A</v>
      </c>
    </row>
    <row r="457" spans="1:17">
      <c r="A457" s="2496">
        <f t="shared" si="10"/>
        <v>2028.04</v>
      </c>
      <c r="B457" s="2504"/>
      <c r="C457" s="2722"/>
      <c r="D457" s="2719" t="e">
        <v>#N/A</v>
      </c>
      <c r="E457" s="2491" t="e">
        <v>#N/A</v>
      </c>
      <c r="F457" s="2492" t="e">
        <v>#N/A</v>
      </c>
      <c r="G457" s="2493" t="e">
        <v>#N/A</v>
      </c>
      <c r="H457" s="2492" t="e">
        <v>#N/A</v>
      </c>
      <c r="I457" s="2493" t="e">
        <v>#N/A</v>
      </c>
      <c r="J457" s="2492" t="e">
        <v>#N/A</v>
      </c>
      <c r="K457" s="2493" t="e">
        <v>#N/A</v>
      </c>
      <c r="L457" s="2492" t="e">
        <v>#N/A</v>
      </c>
      <c r="M457" s="2494" t="e">
        <v>#N/A</v>
      </c>
      <c r="N457" s="2495" t="e">
        <f t="shared" si="12"/>
        <v>#N/A</v>
      </c>
      <c r="O457" s="2499" t="e">
        <v>#N/A</v>
      </c>
      <c r="P457" s="2494" t="e">
        <v>#N/A</v>
      </c>
      <c r="Q457" s="2500" t="e">
        <v>#N/A</v>
      </c>
    </row>
    <row r="458" spans="1:17">
      <c r="A458" s="2496">
        <f t="shared" si="10"/>
        <v>2028.05</v>
      </c>
      <c r="B458" s="2504"/>
      <c r="C458" s="2722"/>
      <c r="D458" s="2719" t="e">
        <v>#N/A</v>
      </c>
      <c r="E458" s="2491" t="e">
        <v>#N/A</v>
      </c>
      <c r="F458" s="2492" t="e">
        <v>#N/A</v>
      </c>
      <c r="G458" s="2493" t="e">
        <v>#N/A</v>
      </c>
      <c r="H458" s="2492" t="e">
        <v>#N/A</v>
      </c>
      <c r="I458" s="2493" t="e">
        <v>#N/A</v>
      </c>
      <c r="J458" s="2492" t="e">
        <v>#N/A</v>
      </c>
      <c r="K458" s="2493" t="e">
        <v>#N/A</v>
      </c>
      <c r="L458" s="2492" t="e">
        <v>#N/A</v>
      </c>
      <c r="M458" s="2494" t="e">
        <v>#N/A</v>
      </c>
      <c r="N458" s="2495" t="e">
        <f t="shared" si="12"/>
        <v>#N/A</v>
      </c>
      <c r="O458" s="2499" t="e">
        <v>#N/A</v>
      </c>
      <c r="P458" s="2494" t="e">
        <v>#N/A</v>
      </c>
      <c r="Q458" s="2500" t="e">
        <v>#N/A</v>
      </c>
    </row>
    <row r="459" spans="1:17">
      <c r="A459" s="2496">
        <f t="shared" si="10"/>
        <v>2028.06</v>
      </c>
      <c r="B459" s="2504"/>
      <c r="C459" s="2722"/>
      <c r="D459" s="2719" t="e">
        <v>#N/A</v>
      </c>
      <c r="E459" s="2491" t="e">
        <v>#N/A</v>
      </c>
      <c r="F459" s="2492" t="e">
        <v>#N/A</v>
      </c>
      <c r="G459" s="2493" t="e">
        <v>#N/A</v>
      </c>
      <c r="H459" s="2492" t="e">
        <v>#N/A</v>
      </c>
      <c r="I459" s="2493" t="e">
        <v>#N/A</v>
      </c>
      <c r="J459" s="2492" t="e">
        <v>#N/A</v>
      </c>
      <c r="K459" s="2493" t="e">
        <v>#N/A</v>
      </c>
      <c r="L459" s="2492" t="e">
        <v>#N/A</v>
      </c>
      <c r="M459" s="2494" t="e">
        <v>#N/A</v>
      </c>
      <c r="N459" s="2495" t="e">
        <f t="shared" si="12"/>
        <v>#N/A</v>
      </c>
      <c r="O459" s="2499" t="e">
        <v>#N/A</v>
      </c>
      <c r="P459" s="2494" t="e">
        <v>#N/A</v>
      </c>
      <c r="Q459" s="2500" t="e">
        <v>#N/A</v>
      </c>
    </row>
    <row r="460" spans="1:17">
      <c r="A460" s="2496">
        <f t="shared" si="10"/>
        <v>2028.07</v>
      </c>
      <c r="B460" s="2504"/>
      <c r="C460" s="2722"/>
      <c r="D460" s="2719" t="e">
        <v>#N/A</v>
      </c>
      <c r="E460" s="2491" t="e">
        <v>#N/A</v>
      </c>
      <c r="F460" s="2492" t="e">
        <v>#N/A</v>
      </c>
      <c r="G460" s="2493" t="e">
        <v>#N/A</v>
      </c>
      <c r="H460" s="2492" t="e">
        <v>#N/A</v>
      </c>
      <c r="I460" s="2493" t="e">
        <v>#N/A</v>
      </c>
      <c r="J460" s="2492" t="e">
        <v>#N/A</v>
      </c>
      <c r="K460" s="2493" t="e">
        <v>#N/A</v>
      </c>
      <c r="L460" s="2492" t="e">
        <v>#N/A</v>
      </c>
      <c r="M460" s="2494" t="e">
        <v>#N/A</v>
      </c>
      <c r="N460" s="2495" t="e">
        <f t="shared" si="12"/>
        <v>#N/A</v>
      </c>
      <c r="O460" s="2499" t="e">
        <v>#N/A</v>
      </c>
      <c r="P460" s="2494" t="e">
        <v>#N/A</v>
      </c>
      <c r="Q460" s="2500" t="e">
        <v>#N/A</v>
      </c>
    </row>
    <row r="461" spans="1:17">
      <c r="A461" s="2496">
        <f t="shared" si="10"/>
        <v>2028.08</v>
      </c>
      <c r="B461" s="2504"/>
      <c r="C461" s="2722"/>
      <c r="D461" s="2719" t="e">
        <v>#N/A</v>
      </c>
      <c r="E461" s="2491" t="e">
        <v>#N/A</v>
      </c>
      <c r="F461" s="2492" t="e">
        <v>#N/A</v>
      </c>
      <c r="G461" s="2493" t="e">
        <v>#N/A</v>
      </c>
      <c r="H461" s="2492" t="e">
        <v>#N/A</v>
      </c>
      <c r="I461" s="2493" t="e">
        <v>#N/A</v>
      </c>
      <c r="J461" s="2492" t="e">
        <v>#N/A</v>
      </c>
      <c r="K461" s="2493" t="e">
        <v>#N/A</v>
      </c>
      <c r="L461" s="2492" t="e">
        <v>#N/A</v>
      </c>
      <c r="M461" s="2494" t="e">
        <v>#N/A</v>
      </c>
      <c r="N461" s="2495" t="e">
        <f t="shared" si="12"/>
        <v>#N/A</v>
      </c>
      <c r="O461" s="2499" t="e">
        <v>#N/A</v>
      </c>
      <c r="P461" s="2494" t="e">
        <v>#N/A</v>
      </c>
      <c r="Q461" s="2500" t="e">
        <v>#N/A</v>
      </c>
    </row>
    <row r="462" spans="1:17">
      <c r="A462" s="2496">
        <f t="shared" si="10"/>
        <v>2028.09</v>
      </c>
      <c r="B462" s="2504"/>
      <c r="C462" s="2722"/>
      <c r="D462" s="2719" t="e">
        <v>#N/A</v>
      </c>
      <c r="E462" s="2491" t="e">
        <v>#N/A</v>
      </c>
      <c r="F462" s="2492" t="e">
        <v>#N/A</v>
      </c>
      <c r="G462" s="2493" t="e">
        <v>#N/A</v>
      </c>
      <c r="H462" s="2492" t="e">
        <v>#N/A</v>
      </c>
      <c r="I462" s="2493" t="e">
        <v>#N/A</v>
      </c>
      <c r="J462" s="2492" t="e">
        <v>#N/A</v>
      </c>
      <c r="K462" s="2493" t="e">
        <v>#N/A</v>
      </c>
      <c r="L462" s="2492" t="e">
        <v>#N/A</v>
      </c>
      <c r="M462" s="2494" t="e">
        <v>#N/A</v>
      </c>
      <c r="N462" s="2495" t="e">
        <f t="shared" si="12"/>
        <v>#N/A</v>
      </c>
      <c r="O462" s="2499" t="e">
        <v>#N/A</v>
      </c>
      <c r="P462" s="2494" t="e">
        <v>#N/A</v>
      </c>
      <c r="Q462" s="2500" t="e">
        <v>#N/A</v>
      </c>
    </row>
    <row r="463" spans="1:17">
      <c r="A463" s="2496">
        <f t="shared" si="10"/>
        <v>2028.1</v>
      </c>
      <c r="B463" s="2504"/>
      <c r="C463" s="2722"/>
      <c r="D463" s="2719" t="e">
        <v>#N/A</v>
      </c>
      <c r="E463" s="2491" t="e">
        <v>#N/A</v>
      </c>
      <c r="F463" s="2492" t="e">
        <v>#N/A</v>
      </c>
      <c r="G463" s="2493" t="e">
        <v>#N/A</v>
      </c>
      <c r="H463" s="2492" t="e">
        <v>#N/A</v>
      </c>
      <c r="I463" s="2493" t="e">
        <v>#N/A</v>
      </c>
      <c r="J463" s="2492" t="e">
        <v>#N/A</v>
      </c>
      <c r="K463" s="2493" t="e">
        <v>#N/A</v>
      </c>
      <c r="L463" s="2492" t="e">
        <v>#N/A</v>
      </c>
      <c r="M463" s="2494" t="e">
        <v>#N/A</v>
      </c>
      <c r="N463" s="2495" t="e">
        <f t="shared" si="12"/>
        <v>#N/A</v>
      </c>
      <c r="O463" s="2499" t="e">
        <v>#N/A</v>
      </c>
      <c r="P463" s="2494" t="e">
        <v>#N/A</v>
      </c>
      <c r="Q463" s="2500" t="e">
        <v>#N/A</v>
      </c>
    </row>
    <row r="464" spans="1:17">
      <c r="A464" s="2496">
        <f t="shared" si="10"/>
        <v>2028.11</v>
      </c>
      <c r="B464" s="2504"/>
      <c r="C464" s="2722"/>
      <c r="D464" s="2719" t="e">
        <v>#N/A</v>
      </c>
      <c r="E464" s="2491" t="e">
        <v>#N/A</v>
      </c>
      <c r="F464" s="2492" t="e">
        <v>#N/A</v>
      </c>
      <c r="G464" s="2493" t="e">
        <v>#N/A</v>
      </c>
      <c r="H464" s="2492" t="e">
        <v>#N/A</v>
      </c>
      <c r="I464" s="2493" t="e">
        <v>#N/A</v>
      </c>
      <c r="J464" s="2492" t="e">
        <v>#N/A</v>
      </c>
      <c r="K464" s="2493" t="e">
        <v>#N/A</v>
      </c>
      <c r="L464" s="2492" t="e">
        <v>#N/A</v>
      </c>
      <c r="M464" s="2494" t="e">
        <v>#N/A</v>
      </c>
      <c r="N464" s="2495" t="e">
        <f t="shared" si="12"/>
        <v>#N/A</v>
      </c>
      <c r="O464" s="2499" t="e">
        <v>#N/A</v>
      </c>
      <c r="P464" s="2494" t="e">
        <v>#N/A</v>
      </c>
      <c r="Q464" s="2500" t="e">
        <v>#N/A</v>
      </c>
    </row>
    <row r="465" spans="1:17">
      <c r="A465" s="2496">
        <f t="shared" si="10"/>
        <v>2028.12</v>
      </c>
      <c r="B465" s="2504"/>
      <c r="C465" s="2722"/>
      <c r="D465" s="2719" t="e">
        <v>#N/A</v>
      </c>
      <c r="E465" s="2491" t="e">
        <v>#N/A</v>
      </c>
      <c r="F465" s="2492" t="e">
        <v>#N/A</v>
      </c>
      <c r="G465" s="2493" t="e">
        <v>#N/A</v>
      </c>
      <c r="H465" s="2492" t="e">
        <v>#N/A</v>
      </c>
      <c r="I465" s="2493" t="e">
        <v>#N/A</v>
      </c>
      <c r="J465" s="2492" t="e">
        <v>#N/A</v>
      </c>
      <c r="K465" s="2493" t="e">
        <v>#N/A</v>
      </c>
      <c r="L465" s="2492" t="e">
        <v>#N/A</v>
      </c>
      <c r="M465" s="2494" t="e">
        <v>#N/A</v>
      </c>
      <c r="N465" s="2495" t="e">
        <f t="shared" si="12"/>
        <v>#N/A</v>
      </c>
      <c r="O465" s="2499" t="e">
        <v>#N/A</v>
      </c>
      <c r="P465" s="2494" t="e">
        <v>#N/A</v>
      </c>
      <c r="Q465" s="2500" t="e">
        <v>#N/A</v>
      </c>
    </row>
    <row r="466" spans="1:17">
      <c r="A466" s="2496">
        <f t="shared" si="10"/>
        <v>2029.01</v>
      </c>
      <c r="B466" s="2504"/>
      <c r="C466" s="2722"/>
      <c r="D466" s="2719" t="e">
        <v>#N/A</v>
      </c>
      <c r="E466" s="2491" t="e">
        <v>#N/A</v>
      </c>
      <c r="F466" s="2492" t="e">
        <v>#N/A</v>
      </c>
      <c r="G466" s="2493" t="e">
        <v>#N/A</v>
      </c>
      <c r="H466" s="2492" t="e">
        <v>#N/A</v>
      </c>
      <c r="I466" s="2493" t="e">
        <v>#N/A</v>
      </c>
      <c r="J466" s="2492" t="e">
        <v>#N/A</v>
      </c>
      <c r="K466" s="2493" t="e">
        <v>#N/A</v>
      </c>
      <c r="L466" s="2492" t="e">
        <v>#N/A</v>
      </c>
      <c r="M466" s="2494" t="e">
        <v>#N/A</v>
      </c>
      <c r="N466" s="2495" t="e">
        <f t="shared" si="12"/>
        <v>#N/A</v>
      </c>
      <c r="O466" s="2499" t="e">
        <v>#N/A</v>
      </c>
      <c r="P466" s="2494" t="e">
        <v>#N/A</v>
      </c>
      <c r="Q466" s="2500" t="e">
        <v>#N/A</v>
      </c>
    </row>
    <row r="467" spans="1:17">
      <c r="A467" s="2496">
        <f t="shared" si="10"/>
        <v>2029.02</v>
      </c>
      <c r="B467" s="2504"/>
      <c r="C467" s="2722"/>
      <c r="D467" s="2719" t="e">
        <v>#N/A</v>
      </c>
      <c r="E467" s="2491" t="e">
        <v>#N/A</v>
      </c>
      <c r="F467" s="2492" t="e">
        <v>#N/A</v>
      </c>
      <c r="G467" s="2493" t="e">
        <v>#N/A</v>
      </c>
      <c r="H467" s="2492" t="e">
        <v>#N/A</v>
      </c>
      <c r="I467" s="2493" t="e">
        <v>#N/A</v>
      </c>
      <c r="J467" s="2492" t="e">
        <v>#N/A</v>
      </c>
      <c r="K467" s="2493" t="e">
        <v>#N/A</v>
      </c>
      <c r="L467" s="2492" t="e">
        <v>#N/A</v>
      </c>
      <c r="M467" s="2494" t="e">
        <v>#N/A</v>
      </c>
      <c r="N467" s="2495" t="e">
        <f t="shared" si="12"/>
        <v>#N/A</v>
      </c>
      <c r="O467" s="2499" t="e">
        <v>#N/A</v>
      </c>
      <c r="P467" s="2494" t="e">
        <v>#N/A</v>
      </c>
      <c r="Q467" s="2500" t="e">
        <v>#N/A</v>
      </c>
    </row>
    <row r="468" spans="1:17">
      <c r="A468" s="2496">
        <f t="shared" si="10"/>
        <v>2029.03</v>
      </c>
      <c r="B468" s="2504"/>
      <c r="C468" s="2722"/>
      <c r="D468" s="2719" t="e">
        <v>#N/A</v>
      </c>
      <c r="E468" s="2491" t="e">
        <v>#N/A</v>
      </c>
      <c r="F468" s="2492" t="e">
        <v>#N/A</v>
      </c>
      <c r="G468" s="2493" t="e">
        <v>#N/A</v>
      </c>
      <c r="H468" s="2492" t="e">
        <v>#N/A</v>
      </c>
      <c r="I468" s="2493" t="e">
        <v>#N/A</v>
      </c>
      <c r="J468" s="2492" t="e">
        <v>#N/A</v>
      </c>
      <c r="K468" s="2493" t="e">
        <v>#N/A</v>
      </c>
      <c r="L468" s="2492" t="e">
        <v>#N/A</v>
      </c>
      <c r="M468" s="2494" t="e">
        <v>#N/A</v>
      </c>
      <c r="N468" s="2495" t="e">
        <f t="shared" si="12"/>
        <v>#N/A</v>
      </c>
      <c r="O468" s="2499" t="e">
        <v>#N/A</v>
      </c>
      <c r="P468" s="2494" t="e">
        <v>#N/A</v>
      </c>
      <c r="Q468" s="2500" t="e">
        <v>#N/A</v>
      </c>
    </row>
    <row r="469" spans="1:17">
      <c r="A469" s="2496">
        <f t="shared" si="10"/>
        <v>2029.04</v>
      </c>
      <c r="B469" s="2504"/>
      <c r="C469" s="2722"/>
      <c r="D469" s="2719" t="e">
        <v>#N/A</v>
      </c>
      <c r="E469" s="2491" t="e">
        <v>#N/A</v>
      </c>
      <c r="F469" s="2492" t="e">
        <v>#N/A</v>
      </c>
      <c r="G469" s="2493" t="e">
        <v>#N/A</v>
      </c>
      <c r="H469" s="2492" t="e">
        <v>#N/A</v>
      </c>
      <c r="I469" s="2493" t="e">
        <v>#N/A</v>
      </c>
      <c r="J469" s="2492" t="e">
        <v>#N/A</v>
      </c>
      <c r="K469" s="2493" t="e">
        <v>#N/A</v>
      </c>
      <c r="L469" s="2492" t="e">
        <v>#N/A</v>
      </c>
      <c r="M469" s="2494" t="e">
        <v>#N/A</v>
      </c>
      <c r="N469" s="2495" t="e">
        <f t="shared" si="12"/>
        <v>#N/A</v>
      </c>
      <c r="O469" s="2499" t="e">
        <v>#N/A</v>
      </c>
      <c r="P469" s="2494" t="e">
        <v>#N/A</v>
      </c>
      <c r="Q469" s="2500" t="e">
        <v>#N/A</v>
      </c>
    </row>
    <row r="470" spans="1:17">
      <c r="A470" s="2496">
        <f t="shared" ref="A470:A489" si="13">A458+1</f>
        <v>2029.05</v>
      </c>
      <c r="B470" s="2504"/>
      <c r="C470" s="2722"/>
      <c r="D470" s="2719" t="e">
        <v>#N/A</v>
      </c>
      <c r="E470" s="2491" t="e">
        <v>#N/A</v>
      </c>
      <c r="F470" s="2492" t="e">
        <v>#N/A</v>
      </c>
      <c r="G470" s="2493" t="e">
        <v>#N/A</v>
      </c>
      <c r="H470" s="2492" t="e">
        <v>#N/A</v>
      </c>
      <c r="I470" s="2493" t="e">
        <v>#N/A</v>
      </c>
      <c r="J470" s="2492" t="e">
        <v>#N/A</v>
      </c>
      <c r="K470" s="2493" t="e">
        <v>#N/A</v>
      </c>
      <c r="L470" s="2492" t="e">
        <v>#N/A</v>
      </c>
      <c r="M470" s="2494" t="e">
        <v>#N/A</v>
      </c>
      <c r="N470" s="2495" t="e">
        <f t="shared" si="12"/>
        <v>#N/A</v>
      </c>
      <c r="O470" s="2499" t="e">
        <v>#N/A</v>
      </c>
      <c r="P470" s="2494" t="e">
        <v>#N/A</v>
      </c>
      <c r="Q470" s="2500" t="e">
        <v>#N/A</v>
      </c>
    </row>
    <row r="471" spans="1:17">
      <c r="A471" s="2496">
        <f t="shared" si="13"/>
        <v>2029.06</v>
      </c>
      <c r="B471" s="2504"/>
      <c r="C471" s="2722"/>
      <c r="D471" s="2719" t="e">
        <v>#N/A</v>
      </c>
      <c r="E471" s="2491" t="e">
        <v>#N/A</v>
      </c>
      <c r="F471" s="2492" t="e">
        <v>#N/A</v>
      </c>
      <c r="G471" s="2493" t="e">
        <v>#N/A</v>
      </c>
      <c r="H471" s="2492" t="e">
        <v>#N/A</v>
      </c>
      <c r="I471" s="2493" t="e">
        <v>#N/A</v>
      </c>
      <c r="J471" s="2492" t="e">
        <v>#N/A</v>
      </c>
      <c r="K471" s="2493" t="e">
        <v>#N/A</v>
      </c>
      <c r="L471" s="2492" t="e">
        <v>#N/A</v>
      </c>
      <c r="M471" s="2494" t="e">
        <v>#N/A</v>
      </c>
      <c r="N471" s="2495" t="e">
        <f t="shared" si="12"/>
        <v>#N/A</v>
      </c>
      <c r="O471" s="2499" t="e">
        <v>#N/A</v>
      </c>
      <c r="P471" s="2494" t="e">
        <v>#N/A</v>
      </c>
      <c r="Q471" s="2500" t="e">
        <v>#N/A</v>
      </c>
    </row>
    <row r="472" spans="1:17">
      <c r="A472" s="2496">
        <f t="shared" si="13"/>
        <v>2029.07</v>
      </c>
      <c r="B472" s="2504"/>
      <c r="C472" s="2722"/>
      <c r="D472" s="2719" t="e">
        <v>#N/A</v>
      </c>
      <c r="E472" s="2491" t="e">
        <v>#N/A</v>
      </c>
      <c r="F472" s="2492" t="e">
        <v>#N/A</v>
      </c>
      <c r="G472" s="2493" t="e">
        <v>#N/A</v>
      </c>
      <c r="H472" s="2492" t="e">
        <v>#N/A</v>
      </c>
      <c r="I472" s="2493" t="e">
        <v>#N/A</v>
      </c>
      <c r="J472" s="2492" t="e">
        <v>#N/A</v>
      </c>
      <c r="K472" s="2493" t="e">
        <v>#N/A</v>
      </c>
      <c r="L472" s="2492" t="e">
        <v>#N/A</v>
      </c>
      <c r="M472" s="2494" t="e">
        <v>#N/A</v>
      </c>
      <c r="N472" s="2495" t="e">
        <f t="shared" si="12"/>
        <v>#N/A</v>
      </c>
      <c r="O472" s="2499" t="e">
        <v>#N/A</v>
      </c>
      <c r="P472" s="2494" t="e">
        <v>#N/A</v>
      </c>
      <c r="Q472" s="2500" t="e">
        <v>#N/A</v>
      </c>
    </row>
    <row r="473" spans="1:17">
      <c r="A473" s="2496">
        <f t="shared" si="13"/>
        <v>2029.08</v>
      </c>
      <c r="B473" s="2504"/>
      <c r="C473" s="2722"/>
      <c r="D473" s="2719" t="e">
        <v>#N/A</v>
      </c>
      <c r="E473" s="2491" t="e">
        <v>#N/A</v>
      </c>
      <c r="F473" s="2492" t="e">
        <v>#N/A</v>
      </c>
      <c r="G473" s="2493" t="e">
        <v>#N/A</v>
      </c>
      <c r="H473" s="2492" t="e">
        <v>#N/A</v>
      </c>
      <c r="I473" s="2493" t="e">
        <v>#N/A</v>
      </c>
      <c r="J473" s="2492" t="e">
        <v>#N/A</v>
      </c>
      <c r="K473" s="2493" t="e">
        <v>#N/A</v>
      </c>
      <c r="L473" s="2492" t="e">
        <v>#N/A</v>
      </c>
      <c r="M473" s="2494" t="e">
        <v>#N/A</v>
      </c>
      <c r="N473" s="2495" t="e">
        <f t="shared" si="12"/>
        <v>#N/A</v>
      </c>
      <c r="O473" s="2499" t="e">
        <v>#N/A</v>
      </c>
      <c r="P473" s="2494" t="e">
        <v>#N/A</v>
      </c>
      <c r="Q473" s="2500" t="e">
        <v>#N/A</v>
      </c>
    </row>
    <row r="474" spans="1:17">
      <c r="A474" s="2496">
        <f t="shared" si="13"/>
        <v>2029.09</v>
      </c>
      <c r="B474" s="2504"/>
      <c r="C474" s="2722"/>
      <c r="D474" s="2719" t="e">
        <v>#N/A</v>
      </c>
      <c r="E474" s="2491" t="e">
        <v>#N/A</v>
      </c>
      <c r="F474" s="2492" t="e">
        <v>#N/A</v>
      </c>
      <c r="G474" s="2493" t="e">
        <v>#N/A</v>
      </c>
      <c r="H474" s="2492" t="e">
        <v>#N/A</v>
      </c>
      <c r="I474" s="2493" t="e">
        <v>#N/A</v>
      </c>
      <c r="J474" s="2492" t="e">
        <v>#N/A</v>
      </c>
      <c r="K474" s="2493" t="e">
        <v>#N/A</v>
      </c>
      <c r="L474" s="2492" t="e">
        <v>#N/A</v>
      </c>
      <c r="M474" s="2494" t="e">
        <v>#N/A</v>
      </c>
      <c r="N474" s="2495" t="e">
        <f t="shared" si="12"/>
        <v>#N/A</v>
      </c>
      <c r="O474" s="2499" t="e">
        <v>#N/A</v>
      </c>
      <c r="P474" s="2494" t="e">
        <v>#N/A</v>
      </c>
      <c r="Q474" s="2500" t="e">
        <v>#N/A</v>
      </c>
    </row>
    <row r="475" spans="1:17">
      <c r="A475" s="2496">
        <f t="shared" si="13"/>
        <v>2029.1</v>
      </c>
      <c r="B475" s="2504"/>
      <c r="C475" s="2722"/>
      <c r="D475" s="2719" t="e">
        <v>#N/A</v>
      </c>
      <c r="E475" s="2491" t="e">
        <v>#N/A</v>
      </c>
      <c r="F475" s="2492" t="e">
        <v>#N/A</v>
      </c>
      <c r="G475" s="2493" t="e">
        <v>#N/A</v>
      </c>
      <c r="H475" s="2492" t="e">
        <v>#N/A</v>
      </c>
      <c r="I475" s="2493" t="e">
        <v>#N/A</v>
      </c>
      <c r="J475" s="2492" t="e">
        <v>#N/A</v>
      </c>
      <c r="K475" s="2493" t="e">
        <v>#N/A</v>
      </c>
      <c r="L475" s="2492" t="e">
        <v>#N/A</v>
      </c>
      <c r="M475" s="2494" t="e">
        <v>#N/A</v>
      </c>
      <c r="N475" s="2495" t="e">
        <f t="shared" si="12"/>
        <v>#N/A</v>
      </c>
      <c r="O475" s="2499" t="e">
        <v>#N/A</v>
      </c>
      <c r="P475" s="2494" t="e">
        <v>#N/A</v>
      </c>
      <c r="Q475" s="2500" t="e">
        <v>#N/A</v>
      </c>
    </row>
    <row r="476" spans="1:17">
      <c r="A476" s="2496">
        <f t="shared" si="13"/>
        <v>2029.11</v>
      </c>
      <c r="B476" s="2504"/>
      <c r="C476" s="2722"/>
      <c r="D476" s="2719" t="e">
        <v>#N/A</v>
      </c>
      <c r="E476" s="2491" t="e">
        <v>#N/A</v>
      </c>
      <c r="F476" s="2492" t="e">
        <v>#N/A</v>
      </c>
      <c r="G476" s="2493" t="e">
        <v>#N/A</v>
      </c>
      <c r="H476" s="2492" t="e">
        <v>#N/A</v>
      </c>
      <c r="I476" s="2493" t="e">
        <v>#N/A</v>
      </c>
      <c r="J476" s="2492" t="e">
        <v>#N/A</v>
      </c>
      <c r="K476" s="2493" t="e">
        <v>#N/A</v>
      </c>
      <c r="L476" s="2492" t="e">
        <v>#N/A</v>
      </c>
      <c r="M476" s="2494" t="e">
        <v>#N/A</v>
      </c>
      <c r="N476" s="2495" t="e">
        <f t="shared" si="12"/>
        <v>#N/A</v>
      </c>
      <c r="O476" s="2499" t="e">
        <v>#N/A</v>
      </c>
      <c r="P476" s="2494" t="e">
        <v>#N/A</v>
      </c>
      <c r="Q476" s="2500" t="e">
        <v>#N/A</v>
      </c>
    </row>
    <row r="477" spans="1:17">
      <c r="A477" s="2496">
        <f t="shared" si="13"/>
        <v>2029.12</v>
      </c>
      <c r="B477" s="2504"/>
      <c r="C477" s="2722"/>
      <c r="D477" s="2719" t="e">
        <v>#N/A</v>
      </c>
      <c r="E477" s="2491" t="e">
        <v>#N/A</v>
      </c>
      <c r="F477" s="2492" t="e">
        <v>#N/A</v>
      </c>
      <c r="G477" s="2493" t="e">
        <v>#N/A</v>
      </c>
      <c r="H477" s="2492" t="e">
        <v>#N/A</v>
      </c>
      <c r="I477" s="2493" t="e">
        <v>#N/A</v>
      </c>
      <c r="J477" s="2492" t="e">
        <v>#N/A</v>
      </c>
      <c r="K477" s="2493" t="e">
        <v>#N/A</v>
      </c>
      <c r="L477" s="2492" t="e">
        <v>#N/A</v>
      </c>
      <c r="M477" s="2494" t="e">
        <v>#N/A</v>
      </c>
      <c r="N477" s="2495" t="e">
        <f t="shared" si="12"/>
        <v>#N/A</v>
      </c>
      <c r="O477" s="2499" t="e">
        <v>#N/A</v>
      </c>
      <c r="P477" s="2494" t="e">
        <v>#N/A</v>
      </c>
      <c r="Q477" s="2500" t="e">
        <v>#N/A</v>
      </c>
    </row>
    <row r="478" spans="1:17">
      <c r="A478" s="2496">
        <f t="shared" si="13"/>
        <v>2030.01</v>
      </c>
      <c r="B478" s="2504"/>
      <c r="C478" s="2722"/>
      <c r="D478" s="2719" t="e">
        <v>#N/A</v>
      </c>
      <c r="E478" s="2491" t="e">
        <v>#N/A</v>
      </c>
      <c r="F478" s="2492" t="e">
        <v>#N/A</v>
      </c>
      <c r="G478" s="2493" t="e">
        <v>#N/A</v>
      </c>
      <c r="H478" s="2492" t="e">
        <v>#N/A</v>
      </c>
      <c r="I478" s="2493" t="e">
        <v>#N/A</v>
      </c>
      <c r="J478" s="2492" t="e">
        <v>#N/A</v>
      </c>
      <c r="K478" s="2493" t="e">
        <v>#N/A</v>
      </c>
      <c r="L478" s="2492" t="e">
        <v>#N/A</v>
      </c>
      <c r="M478" s="2494" t="e">
        <v>#N/A</v>
      </c>
      <c r="N478" s="2495" t="e">
        <f t="shared" si="12"/>
        <v>#N/A</v>
      </c>
      <c r="O478" s="2499" t="e">
        <v>#N/A</v>
      </c>
      <c r="P478" s="2494" t="e">
        <v>#N/A</v>
      </c>
      <c r="Q478" s="2500" t="e">
        <v>#N/A</v>
      </c>
    </row>
    <row r="479" spans="1:17">
      <c r="A479" s="2496">
        <f t="shared" si="13"/>
        <v>2030.02</v>
      </c>
      <c r="B479" s="2504"/>
      <c r="C479" s="2722"/>
      <c r="D479" s="2719" t="e">
        <v>#N/A</v>
      </c>
      <c r="E479" s="2491" t="e">
        <v>#N/A</v>
      </c>
      <c r="F479" s="2492" t="e">
        <v>#N/A</v>
      </c>
      <c r="G479" s="2493" t="e">
        <v>#N/A</v>
      </c>
      <c r="H479" s="2492" t="e">
        <v>#N/A</v>
      </c>
      <c r="I479" s="2493" t="e">
        <v>#N/A</v>
      </c>
      <c r="J479" s="2492" t="e">
        <v>#N/A</v>
      </c>
      <c r="K479" s="2493" t="e">
        <v>#N/A</v>
      </c>
      <c r="L479" s="2492" t="e">
        <v>#N/A</v>
      </c>
      <c r="M479" s="2494" t="e">
        <v>#N/A</v>
      </c>
      <c r="N479" s="2495" t="e">
        <f t="shared" si="12"/>
        <v>#N/A</v>
      </c>
      <c r="O479" s="2499" t="e">
        <v>#N/A</v>
      </c>
      <c r="P479" s="2494" t="e">
        <v>#N/A</v>
      </c>
      <c r="Q479" s="2500" t="e">
        <v>#N/A</v>
      </c>
    </row>
    <row r="480" spans="1:17">
      <c r="A480" s="2496">
        <f t="shared" si="13"/>
        <v>2030.03</v>
      </c>
      <c r="B480" s="2504"/>
      <c r="C480" s="2722"/>
      <c r="D480" s="2719" t="e">
        <v>#N/A</v>
      </c>
      <c r="E480" s="2491" t="e">
        <v>#N/A</v>
      </c>
      <c r="F480" s="2492" t="e">
        <v>#N/A</v>
      </c>
      <c r="G480" s="2493" t="e">
        <v>#N/A</v>
      </c>
      <c r="H480" s="2492" t="e">
        <v>#N/A</v>
      </c>
      <c r="I480" s="2493" t="e">
        <v>#N/A</v>
      </c>
      <c r="J480" s="2492" t="e">
        <v>#N/A</v>
      </c>
      <c r="K480" s="2493" t="e">
        <v>#N/A</v>
      </c>
      <c r="L480" s="2492" t="e">
        <v>#N/A</v>
      </c>
      <c r="M480" s="2494" t="e">
        <v>#N/A</v>
      </c>
      <c r="N480" s="2495" t="e">
        <f t="shared" si="12"/>
        <v>#N/A</v>
      </c>
      <c r="O480" s="2499" t="e">
        <v>#N/A</v>
      </c>
      <c r="P480" s="2494" t="e">
        <v>#N/A</v>
      </c>
      <c r="Q480" s="2500" t="e">
        <v>#N/A</v>
      </c>
    </row>
    <row r="481" spans="1:30">
      <c r="A481" s="2496">
        <f t="shared" si="13"/>
        <v>2030.04</v>
      </c>
      <c r="B481" s="2504"/>
      <c r="C481" s="2722"/>
      <c r="D481" s="2719" t="e">
        <v>#N/A</v>
      </c>
      <c r="E481" s="2491" t="e">
        <v>#N/A</v>
      </c>
      <c r="F481" s="2492" t="e">
        <v>#N/A</v>
      </c>
      <c r="G481" s="2493" t="e">
        <v>#N/A</v>
      </c>
      <c r="H481" s="2492" t="e">
        <v>#N/A</v>
      </c>
      <c r="I481" s="2493" t="e">
        <v>#N/A</v>
      </c>
      <c r="J481" s="2492" t="e">
        <v>#N/A</v>
      </c>
      <c r="K481" s="2493" t="e">
        <v>#N/A</v>
      </c>
      <c r="L481" s="2492" t="e">
        <v>#N/A</v>
      </c>
      <c r="M481" s="2494" t="e">
        <v>#N/A</v>
      </c>
      <c r="N481" s="2495" t="e">
        <f t="shared" si="12"/>
        <v>#N/A</v>
      </c>
      <c r="O481" s="2499" t="e">
        <v>#N/A</v>
      </c>
      <c r="P481" s="2494" t="e">
        <v>#N/A</v>
      </c>
      <c r="Q481" s="2500" t="e">
        <v>#N/A</v>
      </c>
    </row>
    <row r="482" spans="1:30">
      <c r="A482" s="2496">
        <f t="shared" si="13"/>
        <v>2030.05</v>
      </c>
      <c r="B482" s="2504"/>
      <c r="C482" s="2722"/>
      <c r="D482" s="2719" t="e">
        <v>#N/A</v>
      </c>
      <c r="E482" s="2491" t="e">
        <v>#N/A</v>
      </c>
      <c r="F482" s="2492" t="e">
        <v>#N/A</v>
      </c>
      <c r="G482" s="2493" t="e">
        <v>#N/A</v>
      </c>
      <c r="H482" s="2492" t="e">
        <v>#N/A</v>
      </c>
      <c r="I482" s="2493" t="e">
        <v>#N/A</v>
      </c>
      <c r="J482" s="2492" t="e">
        <v>#N/A</v>
      </c>
      <c r="K482" s="2493" t="e">
        <v>#N/A</v>
      </c>
      <c r="L482" s="2492" t="e">
        <v>#N/A</v>
      </c>
      <c r="M482" s="2494" t="e">
        <v>#N/A</v>
      </c>
      <c r="N482" s="2495" t="e">
        <f t="shared" si="12"/>
        <v>#N/A</v>
      </c>
      <c r="O482" s="2499" t="e">
        <v>#N/A</v>
      </c>
      <c r="P482" s="2494" t="e">
        <v>#N/A</v>
      </c>
      <c r="Q482" s="2500" t="e">
        <v>#N/A</v>
      </c>
    </row>
    <row r="483" spans="1:30">
      <c r="A483" s="2496">
        <f t="shared" si="13"/>
        <v>2030.06</v>
      </c>
      <c r="B483" s="2504"/>
      <c r="C483" s="2722"/>
      <c r="D483" s="2719" t="e">
        <v>#N/A</v>
      </c>
      <c r="E483" s="2491" t="e">
        <v>#N/A</v>
      </c>
      <c r="F483" s="2492" t="e">
        <v>#N/A</v>
      </c>
      <c r="G483" s="2493" t="e">
        <v>#N/A</v>
      </c>
      <c r="H483" s="2492" t="e">
        <v>#N/A</v>
      </c>
      <c r="I483" s="2493" t="e">
        <v>#N/A</v>
      </c>
      <c r="J483" s="2492" t="e">
        <v>#N/A</v>
      </c>
      <c r="K483" s="2493" t="e">
        <v>#N/A</v>
      </c>
      <c r="L483" s="2492" t="e">
        <v>#N/A</v>
      </c>
      <c r="M483" s="2494" t="e">
        <v>#N/A</v>
      </c>
      <c r="N483" s="2495" t="e">
        <f t="shared" si="12"/>
        <v>#N/A</v>
      </c>
      <c r="O483" s="2499" t="e">
        <v>#N/A</v>
      </c>
      <c r="P483" s="2494" t="e">
        <v>#N/A</v>
      </c>
      <c r="Q483" s="2500" t="e">
        <v>#N/A</v>
      </c>
    </row>
    <row r="484" spans="1:30">
      <c r="A484" s="2496">
        <f t="shared" si="13"/>
        <v>2030.07</v>
      </c>
      <c r="B484" s="2504"/>
      <c r="C484" s="2722"/>
      <c r="D484" s="2719" t="e">
        <v>#N/A</v>
      </c>
      <c r="E484" s="2491" t="e">
        <v>#N/A</v>
      </c>
      <c r="F484" s="2492" t="e">
        <v>#N/A</v>
      </c>
      <c r="G484" s="2493" t="e">
        <v>#N/A</v>
      </c>
      <c r="H484" s="2492" t="e">
        <v>#N/A</v>
      </c>
      <c r="I484" s="2493" t="e">
        <v>#N/A</v>
      </c>
      <c r="J484" s="2492" t="e">
        <v>#N/A</v>
      </c>
      <c r="K484" s="2493" t="e">
        <v>#N/A</v>
      </c>
      <c r="L484" s="2492" t="e">
        <v>#N/A</v>
      </c>
      <c r="M484" s="2494" t="e">
        <v>#N/A</v>
      </c>
      <c r="N484" s="2495" t="e">
        <f t="shared" si="12"/>
        <v>#N/A</v>
      </c>
      <c r="O484" s="2499" t="e">
        <v>#N/A</v>
      </c>
      <c r="P484" s="2494" t="e">
        <v>#N/A</v>
      </c>
      <c r="Q484" s="2500" t="e">
        <v>#N/A</v>
      </c>
    </row>
    <row r="485" spans="1:30">
      <c r="A485" s="2496">
        <f t="shared" si="13"/>
        <v>2030.08</v>
      </c>
      <c r="B485" s="2504"/>
      <c r="C485" s="2722"/>
      <c r="D485" s="2719" t="e">
        <v>#N/A</v>
      </c>
      <c r="E485" s="2491" t="e">
        <v>#N/A</v>
      </c>
      <c r="F485" s="2492" t="e">
        <v>#N/A</v>
      </c>
      <c r="G485" s="2493" t="e">
        <v>#N/A</v>
      </c>
      <c r="H485" s="2492" t="e">
        <v>#N/A</v>
      </c>
      <c r="I485" s="2493" t="e">
        <v>#N/A</v>
      </c>
      <c r="J485" s="2492" t="e">
        <v>#N/A</v>
      </c>
      <c r="K485" s="2493" t="e">
        <v>#N/A</v>
      </c>
      <c r="L485" s="2492" t="e">
        <v>#N/A</v>
      </c>
      <c r="M485" s="2494" t="e">
        <v>#N/A</v>
      </c>
      <c r="N485" s="2495" t="e">
        <f t="shared" si="12"/>
        <v>#N/A</v>
      </c>
      <c r="O485" s="2499" t="e">
        <v>#N/A</v>
      </c>
      <c r="P485" s="2494" t="e">
        <v>#N/A</v>
      </c>
      <c r="Q485" s="2500" t="e">
        <v>#N/A</v>
      </c>
    </row>
    <row r="486" spans="1:30">
      <c r="A486" s="2496">
        <f t="shared" si="13"/>
        <v>2030.09</v>
      </c>
      <c r="B486" s="2504"/>
      <c r="C486" s="2722"/>
      <c r="D486" s="2719" t="e">
        <v>#N/A</v>
      </c>
      <c r="E486" s="2491" t="e">
        <v>#N/A</v>
      </c>
      <c r="F486" s="2492" t="e">
        <v>#N/A</v>
      </c>
      <c r="G486" s="2493" t="e">
        <v>#N/A</v>
      </c>
      <c r="H486" s="2492" t="e">
        <v>#N/A</v>
      </c>
      <c r="I486" s="2493" t="e">
        <v>#N/A</v>
      </c>
      <c r="J486" s="2492" t="e">
        <v>#N/A</v>
      </c>
      <c r="K486" s="2493" t="e">
        <v>#N/A</v>
      </c>
      <c r="L486" s="2492" t="e">
        <v>#N/A</v>
      </c>
      <c r="M486" s="2494" t="e">
        <v>#N/A</v>
      </c>
      <c r="N486" s="2495" t="e">
        <f t="shared" si="12"/>
        <v>#N/A</v>
      </c>
      <c r="O486" s="2499" t="e">
        <v>#N/A</v>
      </c>
      <c r="P486" s="2494" t="e">
        <v>#N/A</v>
      </c>
      <c r="Q486" s="2500" t="e">
        <v>#N/A</v>
      </c>
    </row>
    <row r="487" spans="1:30">
      <c r="A487" s="2496">
        <f t="shared" si="13"/>
        <v>2030.1</v>
      </c>
      <c r="B487" s="2504"/>
      <c r="C487" s="2722"/>
      <c r="D487" s="2719" t="e">
        <v>#N/A</v>
      </c>
      <c r="E487" s="2491" t="e">
        <v>#N/A</v>
      </c>
      <c r="F487" s="2492" t="e">
        <v>#N/A</v>
      </c>
      <c r="G487" s="2493" t="e">
        <v>#N/A</v>
      </c>
      <c r="H487" s="2492" t="e">
        <v>#N/A</v>
      </c>
      <c r="I487" s="2493" t="e">
        <v>#N/A</v>
      </c>
      <c r="J487" s="2492" t="e">
        <v>#N/A</v>
      </c>
      <c r="K487" s="2493" t="e">
        <v>#N/A</v>
      </c>
      <c r="L487" s="2492" t="e">
        <v>#N/A</v>
      </c>
      <c r="M487" s="2494" t="e">
        <v>#N/A</v>
      </c>
      <c r="N487" s="2495" t="e">
        <f t="shared" si="12"/>
        <v>#N/A</v>
      </c>
      <c r="O487" s="2499" t="e">
        <v>#N/A</v>
      </c>
      <c r="P487" s="2494" t="e">
        <v>#N/A</v>
      </c>
      <c r="Q487" s="2500" t="e">
        <v>#N/A</v>
      </c>
    </row>
    <row r="488" spans="1:30">
      <c r="A488" s="2496">
        <f t="shared" si="13"/>
        <v>2030.11</v>
      </c>
      <c r="B488" s="2504"/>
      <c r="C488" s="2722"/>
      <c r="D488" s="2719" t="e">
        <v>#N/A</v>
      </c>
      <c r="E488" s="2491" t="e">
        <v>#N/A</v>
      </c>
      <c r="F488" s="2492" t="e">
        <v>#N/A</v>
      </c>
      <c r="G488" s="2493" t="e">
        <v>#N/A</v>
      </c>
      <c r="H488" s="2492" t="e">
        <v>#N/A</v>
      </c>
      <c r="I488" s="2493" t="e">
        <v>#N/A</v>
      </c>
      <c r="J488" s="2492" t="e">
        <v>#N/A</v>
      </c>
      <c r="K488" s="2493" t="e">
        <v>#N/A</v>
      </c>
      <c r="L488" s="2492" t="e">
        <v>#N/A</v>
      </c>
      <c r="M488" s="2494" t="e">
        <v>#N/A</v>
      </c>
      <c r="N488" s="2495" t="e">
        <f t="shared" si="12"/>
        <v>#N/A</v>
      </c>
      <c r="O488" s="2499" t="e">
        <v>#N/A</v>
      </c>
      <c r="P488" s="2494" t="e">
        <v>#N/A</v>
      </c>
      <c r="Q488" s="2500" t="e">
        <v>#N/A</v>
      </c>
    </row>
    <row r="489" spans="1:30">
      <c r="A489" s="2496">
        <f t="shared" si="13"/>
        <v>2030.12</v>
      </c>
      <c r="B489" s="2504"/>
      <c r="C489" s="2722"/>
      <c r="D489" s="2719" t="e">
        <v>#N/A</v>
      </c>
      <c r="E489" s="2491" t="e">
        <v>#N/A</v>
      </c>
      <c r="F489" s="2492" t="e">
        <v>#N/A</v>
      </c>
      <c r="G489" s="2493" t="e">
        <v>#N/A</v>
      </c>
      <c r="H489" s="2492" t="e">
        <v>#N/A</v>
      </c>
      <c r="I489" s="2493" t="e">
        <v>#N/A</v>
      </c>
      <c r="J489" s="2492" t="e">
        <v>#N/A</v>
      </c>
      <c r="K489" s="2493" t="e">
        <v>#N/A</v>
      </c>
      <c r="L489" s="2492" t="e">
        <v>#N/A</v>
      </c>
      <c r="M489" s="2494" t="e">
        <v>#N/A</v>
      </c>
      <c r="N489" s="2495" t="e">
        <f t="shared" si="12"/>
        <v>#N/A</v>
      </c>
      <c r="O489" s="2499" t="e">
        <v>#N/A</v>
      </c>
      <c r="P489" s="2494" t="e">
        <v>#N/A</v>
      </c>
      <c r="Q489" s="2500" t="e">
        <v>#N/A</v>
      </c>
    </row>
    <row r="490" spans="1:30">
      <c r="R490" s="581"/>
      <c r="S490" s="581"/>
      <c r="T490" s="581"/>
      <c r="U490" s="581"/>
      <c r="V490" s="581"/>
      <c r="W490" s="581"/>
      <c r="X490" s="581"/>
      <c r="Y490" s="581"/>
      <c r="Z490" s="581"/>
      <c r="AA490" s="581"/>
      <c r="AB490" s="581"/>
      <c r="AC490" s="581"/>
      <c r="AD490" s="581"/>
    </row>
  </sheetData>
  <mergeCells count="1">
    <mergeCell ref="B4:C4"/>
  </mergeCells>
  <conditionalFormatting sqref="E10:M489">
    <cfRule type="cellIs" dxfId="3" priority="12" stopIfTrue="1" operator="equal">
      <formula>0</formula>
    </cfRule>
  </conditionalFormatting>
  <conditionalFormatting sqref="O238:Q489">
    <cfRule type="cellIs" dxfId="2" priority="1" stopIfTrue="1" operator="equal">
      <formula>0</formula>
    </cfRule>
  </conditionalFormatting>
  <hyperlinks>
    <hyperlink ref="A5" location="INDICE!A13" display="VOLVER AL INDICE" xr:uid="{00000000-0004-0000-1900-000000000000}"/>
  </hyperlinks>
  <pageMargins left="0.75" right="0.75" top="1" bottom="1" header="0" footer="0"/>
  <pageSetup paperSize="9" orientation="portrait" horizontalDpi="4294967294" verticalDpi="30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pageSetUpPr autoPageBreaks="0"/>
  </sheetPr>
  <dimension ref="A1:Z453"/>
  <sheetViews>
    <sheetView zoomScaleNormal="100" workbookViewId="0">
      <pane xSplit="1" ySplit="9" topLeftCell="B421" activePane="bottomRight" state="frozen"/>
      <selection activeCell="A5" sqref="A5"/>
      <selection pane="topRight" activeCell="A5" sqref="A5"/>
      <selection pane="bottomLeft" activeCell="A5" sqref="A5"/>
      <selection pane="bottomRight" activeCell="S442" sqref="S442"/>
    </sheetView>
  </sheetViews>
  <sheetFormatPr baseColWidth="10" defaultColWidth="11.42578125" defaultRowHeight="12.75"/>
  <cols>
    <col min="1" max="1" width="10.42578125" style="133" bestFit="1" customWidth="1"/>
    <col min="2" max="17" width="11.7109375" style="133" customWidth="1"/>
    <col min="18" max="16384" width="11.42578125" style="516"/>
  </cols>
  <sheetData>
    <row r="1" spans="1:17">
      <c r="A1" s="47"/>
      <c r="B1" s="10"/>
      <c r="C1" s="10"/>
      <c r="D1" s="10"/>
      <c r="E1" s="10"/>
      <c r="F1" s="10"/>
      <c r="G1" s="10"/>
      <c r="H1" s="2781"/>
      <c r="I1" s="10"/>
      <c r="J1" s="10"/>
      <c r="K1" s="10"/>
      <c r="L1" s="10"/>
      <c r="M1" s="10"/>
      <c r="N1" s="2781"/>
      <c r="O1" s="10"/>
      <c r="P1" s="10"/>
      <c r="Q1" s="2903"/>
    </row>
    <row r="2" spans="1:17" ht="85.5" customHeight="1">
      <c r="A2" s="47" t="s">
        <v>212</v>
      </c>
      <c r="B2" s="849" t="s">
        <v>1490</v>
      </c>
      <c r="C2" s="848"/>
      <c r="D2" s="848"/>
      <c r="E2" s="176"/>
      <c r="F2" s="176"/>
      <c r="G2" s="176"/>
      <c r="H2" s="803" t="s">
        <v>1491</v>
      </c>
      <c r="I2" s="848"/>
      <c r="J2" s="848"/>
      <c r="K2" s="176"/>
      <c r="L2" s="176"/>
      <c r="M2" s="176"/>
      <c r="N2" s="803" t="s">
        <v>1556</v>
      </c>
      <c r="O2" s="176"/>
      <c r="P2" s="176"/>
      <c r="Q2" s="421"/>
    </row>
    <row r="3" spans="1:17" ht="25.9" customHeight="1">
      <c r="A3" s="47" t="s">
        <v>211</v>
      </c>
      <c r="B3" s="849" t="s">
        <v>265</v>
      </c>
      <c r="C3" s="848"/>
      <c r="D3" s="848"/>
      <c r="E3" s="176"/>
      <c r="F3" s="176"/>
      <c r="G3" s="176"/>
      <c r="H3" s="803" t="s">
        <v>265</v>
      </c>
      <c r="I3" s="848"/>
      <c r="J3" s="848"/>
      <c r="K3" s="176"/>
      <c r="L3" s="176"/>
      <c r="M3" s="176"/>
      <c r="N3" s="803" t="s">
        <v>219</v>
      </c>
      <c r="O3" s="176"/>
      <c r="P3" s="176"/>
      <c r="Q3" s="421"/>
    </row>
    <row r="4" spans="1:17" ht="3.75" customHeight="1">
      <c r="A4" s="224"/>
      <c r="B4" s="473"/>
      <c r="C4" s="176"/>
      <c r="D4" s="176"/>
      <c r="E4" s="176"/>
      <c r="F4" s="176"/>
      <c r="G4" s="176"/>
      <c r="H4" s="420"/>
      <c r="I4" s="176"/>
      <c r="J4" s="176"/>
      <c r="K4" s="176"/>
      <c r="L4" s="176"/>
      <c r="M4" s="176"/>
      <c r="N4" s="420"/>
      <c r="O4" s="176"/>
      <c r="P4" s="176"/>
      <c r="Q4" s="421"/>
    </row>
    <row r="5" spans="1:17" ht="22.5">
      <c r="A5" s="45" t="s">
        <v>213</v>
      </c>
      <c r="B5" s="472" t="s">
        <v>10</v>
      </c>
      <c r="C5" s="420"/>
      <c r="D5" s="420"/>
      <c r="E5" s="420" t="s">
        <v>11</v>
      </c>
      <c r="F5" s="420"/>
      <c r="G5" s="420"/>
      <c r="H5" s="138" t="s">
        <v>10</v>
      </c>
      <c r="I5" s="420"/>
      <c r="J5" s="420"/>
      <c r="K5" s="420" t="s">
        <v>11</v>
      </c>
      <c r="L5" s="420"/>
      <c r="M5" s="420"/>
      <c r="N5" s="138" t="s">
        <v>1557</v>
      </c>
      <c r="O5" s="420"/>
      <c r="P5" s="420"/>
      <c r="Q5" s="3420"/>
    </row>
    <row r="6" spans="1:17" ht="3.75" customHeight="1">
      <c r="A6" s="224"/>
      <c r="B6" s="473"/>
      <c r="C6" s="176"/>
      <c r="D6" s="176"/>
      <c r="E6" s="176"/>
      <c r="F6" s="176"/>
      <c r="G6" s="176"/>
      <c r="H6" s="420"/>
      <c r="I6" s="176"/>
      <c r="J6" s="176"/>
      <c r="K6" s="176"/>
      <c r="L6" s="176"/>
      <c r="M6" s="176"/>
      <c r="N6" s="420"/>
      <c r="O6" s="176"/>
      <c r="P6" s="176"/>
      <c r="Q6" s="421"/>
    </row>
    <row r="7" spans="1:17" ht="22.5">
      <c r="A7" s="47" t="s">
        <v>210</v>
      </c>
      <c r="B7" s="1676" t="s">
        <v>1312</v>
      </c>
      <c r="C7" s="1680" t="s">
        <v>358</v>
      </c>
      <c r="D7" s="1678" t="s">
        <v>1065</v>
      </c>
      <c r="E7" s="1685" t="s">
        <v>1312</v>
      </c>
      <c r="F7" s="1680" t="s">
        <v>358</v>
      </c>
      <c r="G7" s="1678" t="s">
        <v>1065</v>
      </c>
      <c r="H7" s="1685" t="s">
        <v>1312</v>
      </c>
      <c r="I7" s="1680" t="s">
        <v>358</v>
      </c>
      <c r="J7" s="1678" t="s">
        <v>1065</v>
      </c>
      <c r="K7" s="1685" t="str">
        <f>$B7</f>
        <v>Nº de automotores</v>
      </c>
      <c r="L7" s="1680" t="s">
        <v>358</v>
      </c>
      <c r="M7" s="2759" t="s">
        <v>1065</v>
      </c>
      <c r="N7" s="2882" t="s">
        <v>12</v>
      </c>
      <c r="O7" s="2883" t="s">
        <v>1558</v>
      </c>
      <c r="P7" s="2883" t="s">
        <v>1559</v>
      </c>
      <c r="Q7" s="2884" t="s">
        <v>1560</v>
      </c>
    </row>
    <row r="8" spans="1:17">
      <c r="A8" s="225" t="s">
        <v>412</v>
      </c>
      <c r="B8" s="397" t="s">
        <v>543</v>
      </c>
      <c r="C8" s="1290" t="s">
        <v>544</v>
      </c>
      <c r="D8" s="396" t="s">
        <v>545</v>
      </c>
      <c r="E8" s="398" t="s">
        <v>546</v>
      </c>
      <c r="F8" s="1290" t="s">
        <v>547</v>
      </c>
      <c r="G8" s="396" t="s">
        <v>548</v>
      </c>
      <c r="H8" s="397" t="s">
        <v>549</v>
      </c>
      <c r="I8" s="1290" t="s">
        <v>550</v>
      </c>
      <c r="J8" s="396" t="s">
        <v>551</v>
      </c>
      <c r="K8" s="398" t="s">
        <v>552</v>
      </c>
      <c r="L8" s="1290" t="s">
        <v>553</v>
      </c>
      <c r="M8" s="397" t="s">
        <v>1064</v>
      </c>
      <c r="N8" s="2413" t="s">
        <v>1473</v>
      </c>
      <c r="O8" s="2414" t="s">
        <v>1474</v>
      </c>
      <c r="P8" s="2414" t="s">
        <v>1475</v>
      </c>
      <c r="Q8" s="2415" t="s">
        <v>1561</v>
      </c>
    </row>
    <row r="9" spans="1:17" ht="13.5" thickBot="1">
      <c r="A9" s="194"/>
      <c r="B9" s="1677"/>
      <c r="C9" s="1681"/>
      <c r="D9" s="847"/>
      <c r="E9" s="845"/>
      <c r="F9" s="1690"/>
      <c r="G9" s="1687"/>
      <c r="H9" s="1192"/>
      <c r="I9" s="1681"/>
      <c r="J9" s="847"/>
      <c r="K9" s="845"/>
      <c r="L9" s="1690"/>
      <c r="M9" s="1687"/>
      <c r="N9" s="2885"/>
      <c r="O9" s="2886"/>
      <c r="P9" s="2886"/>
      <c r="Q9" s="2887"/>
    </row>
    <row r="10" spans="1:17">
      <c r="A10" s="134">
        <v>1994.01</v>
      </c>
      <c r="B10" s="54">
        <v>6206.22888725129</v>
      </c>
      <c r="C10" s="1461"/>
      <c r="D10" s="355"/>
      <c r="E10" s="107">
        <v>6811.1466810337452</v>
      </c>
      <c r="F10" s="1691"/>
      <c r="G10" s="1688"/>
      <c r="H10" s="107">
        <v>64045.02346638772</v>
      </c>
      <c r="I10" s="1461"/>
      <c r="J10" s="355"/>
      <c r="K10" s="107">
        <v>65946.470126120184</v>
      </c>
      <c r="L10" s="1691"/>
      <c r="M10" s="2778"/>
      <c r="N10" s="2888"/>
      <c r="O10" s="1691"/>
      <c r="P10" s="1691"/>
      <c r="Q10" s="1688"/>
    </row>
    <row r="11" spans="1:17">
      <c r="A11" s="134">
        <v>1994.02</v>
      </c>
      <c r="B11" s="120">
        <v>3035.309358879882</v>
      </c>
      <c r="C11" s="1682"/>
      <c r="D11" s="345"/>
      <c r="E11" s="1686">
        <v>5827.1701814698881</v>
      </c>
      <c r="F11" s="1692"/>
      <c r="G11" s="1679"/>
      <c r="H11" s="1686">
        <v>34202.994125157304</v>
      </c>
      <c r="I11" s="1682"/>
      <c r="J11" s="345"/>
      <c r="K11" s="1686">
        <v>53811.394568509626</v>
      </c>
      <c r="L11" s="1692"/>
      <c r="M11" s="2779"/>
      <c r="N11" s="2889"/>
      <c r="O11" s="1692"/>
      <c r="P11" s="1692"/>
      <c r="Q11" s="1679"/>
    </row>
    <row r="12" spans="1:17">
      <c r="A12" s="134">
        <v>1994.03</v>
      </c>
      <c r="B12" s="120">
        <v>3003.4704495210021</v>
      </c>
      <c r="C12" s="1682"/>
      <c r="D12" s="345"/>
      <c r="E12" s="1686">
        <v>6179.9387346708399</v>
      </c>
      <c r="F12" s="1692"/>
      <c r="G12" s="1679"/>
      <c r="H12" s="1686">
        <v>33899.655641538069</v>
      </c>
      <c r="I12" s="1682"/>
      <c r="J12" s="345"/>
      <c r="K12" s="1686">
        <v>57710.663784921104</v>
      </c>
      <c r="L12" s="1692"/>
      <c r="M12" s="2779"/>
      <c r="N12" s="2889"/>
      <c r="O12" s="1692"/>
      <c r="P12" s="1692"/>
      <c r="Q12" s="1679"/>
    </row>
    <row r="13" spans="1:17">
      <c r="A13" s="134">
        <v>1994.04</v>
      </c>
      <c r="B13" s="120">
        <v>3341.9062638172441</v>
      </c>
      <c r="C13" s="1682"/>
      <c r="D13" s="345"/>
      <c r="E13" s="1686">
        <v>4464.4689140882892</v>
      </c>
      <c r="F13" s="1692"/>
      <c r="G13" s="1679"/>
      <c r="H13" s="1686">
        <v>40106.550081615424</v>
      </c>
      <c r="I13" s="1682"/>
      <c r="J13" s="345"/>
      <c r="K13" s="1686">
        <v>45845.192728897469</v>
      </c>
      <c r="L13" s="1692"/>
      <c r="M13" s="2779"/>
      <c r="N13" s="2889"/>
      <c r="O13" s="1692"/>
      <c r="P13" s="1692"/>
      <c r="Q13" s="1679"/>
    </row>
    <row r="14" spans="1:17">
      <c r="A14" s="134">
        <v>1994.05</v>
      </c>
      <c r="B14" s="120">
        <v>3366.6698599852616</v>
      </c>
      <c r="C14" s="1682"/>
      <c r="D14" s="345"/>
      <c r="E14" s="1686">
        <v>5489.7393914515878</v>
      </c>
      <c r="F14" s="1692"/>
      <c r="G14" s="1679"/>
      <c r="H14" s="1686">
        <v>41118.573940913077</v>
      </c>
      <c r="I14" s="1682"/>
      <c r="J14" s="345"/>
      <c r="K14" s="1686">
        <v>52533.723616592841</v>
      </c>
      <c r="L14" s="1692"/>
      <c r="M14" s="2779"/>
      <c r="N14" s="2889"/>
      <c r="O14" s="1692"/>
      <c r="P14" s="1692"/>
      <c r="Q14" s="1679"/>
    </row>
    <row r="15" spans="1:17">
      <c r="A15" s="134">
        <v>1994.06</v>
      </c>
      <c r="B15" s="120">
        <v>3161.485777450258</v>
      </c>
      <c r="C15" s="1682"/>
      <c r="D15" s="345"/>
      <c r="E15" s="1686">
        <v>5061.4618502745134</v>
      </c>
      <c r="F15" s="1692"/>
      <c r="G15" s="1679"/>
      <c r="H15" s="1686">
        <v>37089.629010750148</v>
      </c>
      <c r="I15" s="1682"/>
      <c r="J15" s="1679"/>
      <c r="K15" s="1686">
        <v>48030.099173401803</v>
      </c>
      <c r="L15" s="1692"/>
      <c r="M15" s="2779"/>
      <c r="N15" s="2889"/>
      <c r="O15" s="1692"/>
      <c r="P15" s="1692"/>
      <c r="Q15" s="1679"/>
    </row>
    <row r="16" spans="1:17">
      <c r="A16" s="134">
        <v>1994.07</v>
      </c>
      <c r="B16" s="120">
        <v>3871.375534266765</v>
      </c>
      <c r="C16" s="1682"/>
      <c r="D16" s="345"/>
      <c r="E16" s="1686">
        <v>5568.7878632390921</v>
      </c>
      <c r="F16" s="1692"/>
      <c r="G16" s="1679"/>
      <c r="H16" s="1686">
        <v>46790.141230891815</v>
      </c>
      <c r="I16" s="1682"/>
      <c r="J16" s="1679"/>
      <c r="K16" s="1686">
        <v>51053.269280076907</v>
      </c>
      <c r="L16" s="1692"/>
      <c r="M16" s="2779"/>
      <c r="N16" s="2889"/>
      <c r="O16" s="1692"/>
      <c r="P16" s="1692"/>
      <c r="Q16" s="1679"/>
    </row>
    <row r="17" spans="1:17">
      <c r="A17" s="134">
        <v>1994.08</v>
      </c>
      <c r="B17" s="120">
        <v>3407.942520265291</v>
      </c>
      <c r="C17" s="1682"/>
      <c r="D17" s="345"/>
      <c r="E17" s="1686">
        <v>6208.2546051618856</v>
      </c>
      <c r="F17" s="1692"/>
      <c r="G17" s="1679"/>
      <c r="H17" s="1686">
        <v>43764.073520604943</v>
      </c>
      <c r="I17" s="1682"/>
      <c r="J17" s="1679"/>
      <c r="K17" s="1686">
        <v>57708.447658174009</v>
      </c>
      <c r="L17" s="1692"/>
      <c r="M17" s="2779"/>
      <c r="N17" s="2889"/>
      <c r="O17" s="1692"/>
      <c r="P17" s="1692"/>
      <c r="Q17" s="1679"/>
    </row>
    <row r="18" spans="1:17">
      <c r="A18" s="134">
        <v>1994.09</v>
      </c>
      <c r="B18" s="120">
        <v>3722.7939572586588</v>
      </c>
      <c r="C18" s="1682"/>
      <c r="D18" s="345"/>
      <c r="E18" s="1686">
        <v>5671.4328937691344</v>
      </c>
      <c r="F18" s="1692"/>
      <c r="G18" s="1679"/>
      <c r="H18" s="1686">
        <v>46987.126662609655</v>
      </c>
      <c r="I18" s="1682"/>
      <c r="J18" s="1679"/>
      <c r="K18" s="1686">
        <v>54978.944776587268</v>
      </c>
      <c r="L18" s="1692"/>
      <c r="M18" s="2779"/>
      <c r="N18" s="2889"/>
      <c r="O18" s="1692"/>
      <c r="P18" s="1692"/>
      <c r="Q18" s="1679"/>
    </row>
    <row r="19" spans="1:17">
      <c r="A19" s="134">
        <v>1994.1</v>
      </c>
      <c r="B19" s="120">
        <v>3521.1475313190863</v>
      </c>
      <c r="C19" s="1682"/>
      <c r="D19" s="345"/>
      <c r="E19" s="1686">
        <v>5717.4461833170844</v>
      </c>
      <c r="F19" s="1692"/>
      <c r="G19" s="1679"/>
      <c r="H19" s="1686">
        <v>45744.372309635226</v>
      </c>
      <c r="I19" s="1682"/>
      <c r="J19" s="1679"/>
      <c r="K19" s="1686">
        <v>55504.376118879016</v>
      </c>
      <c r="L19" s="1692"/>
      <c r="M19" s="2779"/>
      <c r="N19" s="2889"/>
      <c r="O19" s="1692"/>
      <c r="P19" s="1692"/>
      <c r="Q19" s="1679"/>
    </row>
    <row r="20" spans="1:17">
      <c r="A20" s="134">
        <v>1994.11</v>
      </c>
      <c r="B20" s="120">
        <v>2163.8666175386884</v>
      </c>
      <c r="C20" s="1682"/>
      <c r="D20" s="345"/>
      <c r="E20" s="1686">
        <v>5665.5337540834998</v>
      </c>
      <c r="F20" s="1692"/>
      <c r="G20" s="1679"/>
      <c r="H20" s="1686">
        <v>31748.762819710428</v>
      </c>
      <c r="I20" s="1682"/>
      <c r="J20" s="1679"/>
      <c r="K20" s="1686">
        <v>58347.318265692687</v>
      </c>
      <c r="L20" s="1692"/>
      <c r="M20" s="2779"/>
      <c r="N20" s="2889"/>
      <c r="O20" s="1692"/>
      <c r="P20" s="1692"/>
      <c r="Q20" s="1679"/>
    </row>
    <row r="21" spans="1:17">
      <c r="A21" s="134">
        <v>1994.12</v>
      </c>
      <c r="B21" s="120">
        <v>1202.8032424465734</v>
      </c>
      <c r="C21" s="1682"/>
      <c r="D21" s="345"/>
      <c r="E21" s="1686">
        <v>6315.6189474404364</v>
      </c>
      <c r="F21" s="1692"/>
      <c r="G21" s="1679"/>
      <c r="H21" s="1686">
        <v>20838.097190186229</v>
      </c>
      <c r="I21" s="1682"/>
      <c r="J21" s="1679"/>
      <c r="K21" s="1686">
        <v>61890.099902147093</v>
      </c>
      <c r="L21" s="1692"/>
      <c r="M21" s="2779"/>
      <c r="N21" s="2889"/>
      <c r="O21" s="1692"/>
      <c r="P21" s="1692"/>
      <c r="Q21" s="1679"/>
    </row>
    <row r="22" spans="1:17">
      <c r="A22" s="134">
        <v>1995.01</v>
      </c>
      <c r="B22" s="120">
        <v>7052</v>
      </c>
      <c r="C22" s="1682"/>
      <c r="D22" s="345"/>
      <c r="E22" s="1686">
        <v>5773</v>
      </c>
      <c r="F22" s="1692"/>
      <c r="G22" s="1679"/>
      <c r="H22" s="1686">
        <v>73615</v>
      </c>
      <c r="I22" s="1682"/>
      <c r="J22" s="1679"/>
      <c r="K22" s="1686">
        <v>58528</v>
      </c>
      <c r="L22" s="1692"/>
      <c r="M22" s="2779"/>
      <c r="N22" s="2889"/>
      <c r="O22" s="1692"/>
      <c r="P22" s="1692"/>
      <c r="Q22" s="1679"/>
    </row>
    <row r="23" spans="1:17">
      <c r="A23" s="134">
        <v>1995.02</v>
      </c>
      <c r="B23" s="120">
        <v>2963</v>
      </c>
      <c r="C23" s="1682"/>
      <c r="D23" s="345"/>
      <c r="E23" s="1686">
        <v>4939</v>
      </c>
      <c r="F23" s="1692"/>
      <c r="G23" s="1679"/>
      <c r="H23" s="1686">
        <v>36138</v>
      </c>
      <c r="I23" s="1682"/>
      <c r="J23" s="1679"/>
      <c r="K23" s="1686">
        <v>47662</v>
      </c>
      <c r="L23" s="1692"/>
      <c r="M23" s="2779"/>
      <c r="N23" s="2889"/>
      <c r="O23" s="1692"/>
      <c r="P23" s="1692"/>
      <c r="Q23" s="1679"/>
    </row>
    <row r="24" spans="1:17">
      <c r="A24" s="134">
        <v>1995.03</v>
      </c>
      <c r="B24" s="120">
        <v>3293</v>
      </c>
      <c r="C24" s="1682"/>
      <c r="D24" s="345"/>
      <c r="E24" s="1686">
        <v>5238</v>
      </c>
      <c r="F24" s="1692"/>
      <c r="G24" s="1679"/>
      <c r="H24" s="631">
        <v>41110</v>
      </c>
      <c r="I24" s="1682"/>
      <c r="J24" s="1679"/>
      <c r="K24" s="631">
        <v>50983</v>
      </c>
      <c r="L24" s="1693"/>
      <c r="M24" s="1694"/>
      <c r="N24" s="2890"/>
      <c r="O24" s="1693"/>
      <c r="P24" s="1693"/>
      <c r="Q24" s="1689"/>
    </row>
    <row r="25" spans="1:17">
      <c r="A25" s="134">
        <v>1995.04</v>
      </c>
      <c r="B25" s="120">
        <v>2304</v>
      </c>
      <c r="C25" s="1682"/>
      <c r="D25" s="345"/>
      <c r="E25" s="631">
        <v>3784</v>
      </c>
      <c r="F25" s="1693"/>
      <c r="G25" s="1689"/>
      <c r="H25" s="631">
        <v>30375</v>
      </c>
      <c r="I25" s="1682"/>
      <c r="J25" s="1679"/>
      <c r="K25" s="631">
        <v>40659</v>
      </c>
      <c r="L25" s="1693"/>
      <c r="M25" s="1694"/>
      <c r="N25" s="2890"/>
      <c r="O25" s="1693"/>
      <c r="P25" s="1693"/>
      <c r="Q25" s="1689"/>
    </row>
    <row r="26" spans="1:17">
      <c r="A26" s="134">
        <v>1995.05</v>
      </c>
      <c r="B26" s="120">
        <v>2121</v>
      </c>
      <c r="C26" s="1682"/>
      <c r="D26" s="345"/>
      <c r="E26" s="631">
        <v>4653</v>
      </c>
      <c r="F26" s="1693"/>
      <c r="G26" s="1689"/>
      <c r="H26" s="631">
        <v>28833</v>
      </c>
      <c r="I26" s="1682"/>
      <c r="J26" s="1679"/>
      <c r="K26" s="631">
        <v>46585</v>
      </c>
      <c r="L26" s="1693"/>
      <c r="M26" s="1694"/>
      <c r="N26" s="2890"/>
      <c r="O26" s="1693"/>
      <c r="P26" s="1693"/>
      <c r="Q26" s="1689"/>
    </row>
    <row r="27" spans="1:17">
      <c r="A27" s="134">
        <v>1995.06</v>
      </c>
      <c r="B27" s="120">
        <v>2000</v>
      </c>
      <c r="C27" s="1682"/>
      <c r="D27" s="345"/>
      <c r="E27" s="631">
        <v>4290</v>
      </c>
      <c r="F27" s="1693"/>
      <c r="G27" s="1689"/>
      <c r="H27" s="631">
        <v>27888</v>
      </c>
      <c r="I27" s="1682"/>
      <c r="J27" s="1679"/>
      <c r="K27" s="631">
        <v>42668</v>
      </c>
      <c r="L27" s="1693"/>
      <c r="M27" s="1694"/>
      <c r="N27" s="2890"/>
      <c r="O27" s="1693"/>
      <c r="P27" s="1693"/>
      <c r="Q27" s="1689"/>
    </row>
    <row r="28" spans="1:17">
      <c r="A28" s="134">
        <v>1995.07</v>
      </c>
      <c r="B28" s="120">
        <v>2108</v>
      </c>
      <c r="C28" s="1682"/>
      <c r="D28" s="345"/>
      <c r="E28" s="631">
        <v>4720</v>
      </c>
      <c r="F28" s="1693"/>
      <c r="G28" s="1689"/>
      <c r="H28" s="631">
        <v>27662</v>
      </c>
      <c r="I28" s="1682"/>
      <c r="J28" s="1679"/>
      <c r="K28" s="631">
        <v>45475</v>
      </c>
      <c r="L28" s="1693"/>
      <c r="M28" s="1694"/>
      <c r="N28" s="2890"/>
      <c r="O28" s="1693"/>
      <c r="P28" s="1693"/>
      <c r="Q28" s="1689"/>
    </row>
    <row r="29" spans="1:17">
      <c r="A29" s="134">
        <v>1995.08</v>
      </c>
      <c r="B29" s="120">
        <v>2196</v>
      </c>
      <c r="C29" s="1682"/>
      <c r="D29" s="345"/>
      <c r="E29" s="631">
        <v>5262</v>
      </c>
      <c r="F29" s="1693"/>
      <c r="G29" s="1689"/>
      <c r="H29" s="631">
        <v>29343</v>
      </c>
      <c r="I29" s="1682"/>
      <c r="J29" s="1679"/>
      <c r="K29" s="631">
        <v>51374</v>
      </c>
      <c r="L29" s="1693"/>
      <c r="M29" s="1694"/>
      <c r="N29" s="2890"/>
      <c r="O29" s="1693"/>
      <c r="P29" s="1693"/>
      <c r="Q29" s="1689"/>
    </row>
    <row r="30" spans="1:17">
      <c r="A30" s="134">
        <v>1995.09</v>
      </c>
      <c r="B30" s="120">
        <v>2123</v>
      </c>
      <c r="C30" s="1682"/>
      <c r="D30" s="345"/>
      <c r="E30" s="631">
        <v>4807</v>
      </c>
      <c r="F30" s="1693"/>
      <c r="G30" s="1689"/>
      <c r="H30" s="631">
        <v>29210</v>
      </c>
      <c r="I30" s="1682"/>
      <c r="J30" s="1679"/>
      <c r="K30" s="631">
        <v>48898</v>
      </c>
      <c r="L30" s="1693"/>
      <c r="M30" s="1694"/>
      <c r="N30" s="2890"/>
      <c r="O30" s="1693"/>
      <c r="P30" s="1693"/>
      <c r="Q30" s="1689"/>
    </row>
    <row r="31" spans="1:17">
      <c r="A31" s="134">
        <v>1995.1</v>
      </c>
      <c r="B31" s="120">
        <v>1897</v>
      </c>
      <c r="C31" s="1682"/>
      <c r="D31" s="345"/>
      <c r="E31" s="631">
        <v>4846</v>
      </c>
      <c r="F31" s="1693"/>
      <c r="G31" s="1689"/>
      <c r="H31" s="631">
        <v>26796</v>
      </c>
      <c r="I31" s="1682"/>
      <c r="J31" s="1679"/>
      <c r="K31" s="631">
        <v>49392</v>
      </c>
      <c r="L31" s="1693"/>
      <c r="M31" s="1694"/>
      <c r="N31" s="2890"/>
      <c r="O31" s="1693"/>
      <c r="P31" s="1693"/>
      <c r="Q31" s="1689"/>
    </row>
    <row r="32" spans="1:17">
      <c r="A32" s="134">
        <v>1995.11</v>
      </c>
      <c r="B32" s="120">
        <v>1448</v>
      </c>
      <c r="C32" s="1682"/>
      <c r="D32" s="345"/>
      <c r="E32" s="631">
        <v>4802</v>
      </c>
      <c r="F32" s="1693"/>
      <c r="G32" s="1689"/>
      <c r="H32" s="631">
        <v>21743</v>
      </c>
      <c r="I32" s="1682"/>
      <c r="J32" s="1679"/>
      <c r="K32" s="631">
        <v>51947</v>
      </c>
      <c r="L32" s="1693"/>
      <c r="M32" s="1694"/>
      <c r="N32" s="2890"/>
      <c r="O32" s="1693"/>
      <c r="P32" s="1693"/>
      <c r="Q32" s="1689"/>
    </row>
    <row r="33" spans="1:17">
      <c r="A33" s="134">
        <v>1995.12</v>
      </c>
      <c r="B33" s="120">
        <v>614</v>
      </c>
      <c r="C33" s="1682"/>
      <c r="D33" s="345"/>
      <c r="E33" s="631">
        <v>5353</v>
      </c>
      <c r="F33" s="1693"/>
      <c r="G33" s="1689"/>
      <c r="H33" s="631">
        <v>11494</v>
      </c>
      <c r="I33" s="1682"/>
      <c r="J33" s="1679"/>
      <c r="K33" s="631">
        <v>55297</v>
      </c>
      <c r="L33" s="1693"/>
      <c r="M33" s="1694"/>
      <c r="N33" s="2890"/>
      <c r="O33" s="1693"/>
      <c r="P33" s="1693"/>
      <c r="Q33" s="1689"/>
    </row>
    <row r="34" spans="1:17">
      <c r="A34" s="134">
        <v>1996.01</v>
      </c>
      <c r="B34" s="120">
        <v>4351</v>
      </c>
      <c r="C34" s="1682"/>
      <c r="D34" s="345"/>
      <c r="E34" s="631">
        <v>5748</v>
      </c>
      <c r="F34" s="1693"/>
      <c r="G34" s="1689"/>
      <c r="H34" s="631">
        <v>48642</v>
      </c>
      <c r="I34" s="1682"/>
      <c r="J34" s="1679"/>
      <c r="K34" s="631">
        <v>62671</v>
      </c>
      <c r="L34" s="1693"/>
      <c r="M34" s="1694"/>
      <c r="N34" s="2890"/>
      <c r="O34" s="1693"/>
      <c r="P34" s="1693"/>
      <c r="Q34" s="1689"/>
    </row>
    <row r="35" spans="1:17">
      <c r="A35" s="134">
        <v>1996.02</v>
      </c>
      <c r="B35" s="120">
        <v>2303</v>
      </c>
      <c r="C35" s="1682"/>
      <c r="D35" s="345"/>
      <c r="E35" s="631">
        <v>5550</v>
      </c>
      <c r="F35" s="1693"/>
      <c r="G35" s="1689"/>
      <c r="H35" s="631">
        <v>28317</v>
      </c>
      <c r="I35" s="1682"/>
      <c r="J35" s="1679"/>
      <c r="K35" s="631">
        <v>56335</v>
      </c>
      <c r="L35" s="1693"/>
      <c r="M35" s="1694"/>
      <c r="N35" s="2890"/>
      <c r="O35" s="1693"/>
      <c r="P35" s="1693"/>
      <c r="Q35" s="1689"/>
    </row>
    <row r="36" spans="1:17">
      <c r="A36" s="134">
        <v>1996.03</v>
      </c>
      <c r="B36" s="120">
        <v>2407</v>
      </c>
      <c r="C36" s="1682"/>
      <c r="D36" s="345"/>
      <c r="E36" s="631">
        <v>5274</v>
      </c>
      <c r="F36" s="1693"/>
      <c r="G36" s="1689"/>
      <c r="H36" s="631">
        <v>29717</v>
      </c>
      <c r="I36" s="1682"/>
      <c r="J36" s="1679"/>
      <c r="K36" s="631">
        <v>56369</v>
      </c>
      <c r="L36" s="1693"/>
      <c r="M36" s="1694"/>
      <c r="N36" s="2890"/>
      <c r="O36" s="1693"/>
      <c r="P36" s="1693"/>
      <c r="Q36" s="1689"/>
    </row>
    <row r="37" spans="1:17">
      <c r="A37" s="134">
        <v>1996.04</v>
      </c>
      <c r="B37" s="120">
        <v>2503</v>
      </c>
      <c r="C37" s="1682"/>
      <c r="D37" s="345"/>
      <c r="E37" s="631">
        <v>5285</v>
      </c>
      <c r="F37" s="1693"/>
      <c r="G37" s="1689"/>
      <c r="H37" s="631">
        <v>30345</v>
      </c>
      <c r="I37" s="1682"/>
      <c r="J37" s="1679"/>
      <c r="K37" s="631">
        <v>53649</v>
      </c>
      <c r="L37" s="1693"/>
      <c r="M37" s="1694"/>
      <c r="N37" s="2890"/>
      <c r="O37" s="1693"/>
      <c r="P37" s="1693"/>
      <c r="Q37" s="1689"/>
    </row>
    <row r="38" spans="1:17">
      <c r="A38" s="134">
        <v>1996.05</v>
      </c>
      <c r="B38" s="120">
        <v>2894</v>
      </c>
      <c r="C38" s="1682"/>
      <c r="D38" s="345"/>
      <c r="E38" s="631">
        <v>5974</v>
      </c>
      <c r="F38" s="1693"/>
      <c r="G38" s="1689"/>
      <c r="H38" s="1686">
        <v>34056</v>
      </c>
      <c r="I38" s="1682"/>
      <c r="J38" s="1679"/>
      <c r="K38" s="1686">
        <v>61319</v>
      </c>
      <c r="L38" s="1692"/>
      <c r="M38" s="2779"/>
      <c r="N38" s="2889"/>
      <c r="O38" s="1692"/>
      <c r="P38" s="1692"/>
      <c r="Q38" s="1679"/>
    </row>
    <row r="39" spans="1:17">
      <c r="A39" s="134">
        <v>1996.06</v>
      </c>
      <c r="B39" s="120">
        <v>2366</v>
      </c>
      <c r="C39" s="1682"/>
      <c r="D39" s="345"/>
      <c r="E39" s="1686">
        <v>4848</v>
      </c>
      <c r="F39" s="1692"/>
      <c r="G39" s="1679"/>
      <c r="H39" s="1686">
        <v>26644</v>
      </c>
      <c r="I39" s="1682"/>
      <c r="J39" s="1679"/>
      <c r="K39" s="1686">
        <v>46310</v>
      </c>
      <c r="L39" s="1692"/>
      <c r="M39" s="2779"/>
      <c r="N39" s="2889"/>
      <c r="O39" s="1692"/>
      <c r="P39" s="1692"/>
      <c r="Q39" s="1679"/>
    </row>
    <row r="40" spans="1:17">
      <c r="A40" s="134">
        <v>1996.07</v>
      </c>
      <c r="B40" s="120">
        <v>2940</v>
      </c>
      <c r="C40" s="1682"/>
      <c r="D40" s="345"/>
      <c r="E40" s="1686">
        <v>6151</v>
      </c>
      <c r="F40" s="1692"/>
      <c r="G40" s="1679"/>
      <c r="H40" s="1686">
        <v>32396</v>
      </c>
      <c r="I40" s="1682"/>
      <c r="J40" s="1679"/>
      <c r="K40" s="1686">
        <v>60204</v>
      </c>
      <c r="L40" s="1692"/>
      <c r="M40" s="2779"/>
      <c r="N40" s="2889"/>
      <c r="O40" s="1692"/>
      <c r="P40" s="1692"/>
      <c r="Q40" s="1679"/>
    </row>
    <row r="41" spans="1:17">
      <c r="A41" s="134">
        <v>1996.08</v>
      </c>
      <c r="B41" s="120">
        <v>3085</v>
      </c>
      <c r="C41" s="1682"/>
      <c r="D41" s="345"/>
      <c r="E41" s="1686">
        <v>5869</v>
      </c>
      <c r="F41" s="1692"/>
      <c r="G41" s="1679"/>
      <c r="H41" s="1686">
        <v>31686</v>
      </c>
      <c r="I41" s="1682"/>
      <c r="J41" s="1679"/>
      <c r="K41" s="1686">
        <v>55739</v>
      </c>
      <c r="L41" s="1692"/>
      <c r="M41" s="2779"/>
      <c r="N41" s="2889"/>
      <c r="O41" s="1692"/>
      <c r="P41" s="1692"/>
      <c r="Q41" s="1679"/>
    </row>
    <row r="42" spans="1:17">
      <c r="A42" s="134">
        <v>1996.09</v>
      </c>
      <c r="B42" s="120">
        <v>2834</v>
      </c>
      <c r="C42" s="1682"/>
      <c r="D42" s="345"/>
      <c r="E42" s="1686">
        <v>5752</v>
      </c>
      <c r="F42" s="1692"/>
      <c r="G42" s="1679"/>
      <c r="H42" s="1686">
        <v>30322</v>
      </c>
      <c r="I42" s="1682"/>
      <c r="J42" s="1679"/>
      <c r="K42" s="1686">
        <v>54996</v>
      </c>
      <c r="L42" s="1692"/>
      <c r="M42" s="2779"/>
      <c r="N42" s="2889"/>
      <c r="O42" s="1692"/>
      <c r="P42" s="1692"/>
      <c r="Q42" s="1679"/>
    </row>
    <row r="43" spans="1:17">
      <c r="A43" s="134">
        <v>1996.1</v>
      </c>
      <c r="B43" s="120">
        <v>2571</v>
      </c>
      <c r="C43" s="1682"/>
      <c r="D43" s="345"/>
      <c r="E43" s="1686">
        <v>6119</v>
      </c>
      <c r="F43" s="1692"/>
      <c r="G43" s="1679"/>
      <c r="H43" s="1686">
        <v>30862</v>
      </c>
      <c r="I43" s="1682"/>
      <c r="J43" s="1679"/>
      <c r="K43" s="1686">
        <v>60088</v>
      </c>
      <c r="L43" s="1692"/>
      <c r="M43" s="2779"/>
      <c r="N43" s="2889"/>
      <c r="O43" s="1692"/>
      <c r="P43" s="1692"/>
      <c r="Q43" s="1679"/>
    </row>
    <row r="44" spans="1:17">
      <c r="A44" s="134">
        <v>1996.11</v>
      </c>
      <c r="B44" s="120">
        <v>2044</v>
      </c>
      <c r="C44" s="1682"/>
      <c r="D44" s="345"/>
      <c r="E44" s="1686">
        <v>5648</v>
      </c>
      <c r="F44" s="1692"/>
      <c r="G44" s="1679"/>
      <c r="H44" s="1686">
        <v>25002</v>
      </c>
      <c r="I44" s="1682"/>
      <c r="J44" s="1679"/>
      <c r="K44" s="1686">
        <v>54829</v>
      </c>
      <c r="L44" s="1692"/>
      <c r="M44" s="2779"/>
      <c r="N44" s="2889"/>
      <c r="O44" s="1692"/>
      <c r="P44" s="1692"/>
      <c r="Q44" s="1679"/>
    </row>
    <row r="45" spans="1:17">
      <c r="A45" s="134">
        <v>1996.12</v>
      </c>
      <c r="B45" s="120">
        <v>1623</v>
      </c>
      <c r="C45" s="1682"/>
      <c r="D45" s="345"/>
      <c r="E45" s="1686">
        <v>6227</v>
      </c>
      <c r="F45" s="1692"/>
      <c r="G45" s="1679"/>
      <c r="H45" s="1686">
        <v>20346</v>
      </c>
      <c r="I45" s="1682"/>
      <c r="J45" s="1679"/>
      <c r="K45" s="1686">
        <v>58966</v>
      </c>
      <c r="L45" s="1692"/>
      <c r="M45" s="2779"/>
      <c r="N45" s="2889"/>
      <c r="O45" s="1692"/>
      <c r="P45" s="1692"/>
      <c r="Q45" s="1679"/>
    </row>
    <row r="46" spans="1:17">
      <c r="A46" s="134">
        <v>1997.01</v>
      </c>
      <c r="B46" s="120">
        <v>5267</v>
      </c>
      <c r="C46" s="1682"/>
      <c r="D46" s="345"/>
      <c r="E46" s="1686">
        <v>6517</v>
      </c>
      <c r="F46" s="1692"/>
      <c r="G46" s="1679"/>
      <c r="H46" s="1686">
        <v>55725</v>
      </c>
      <c r="I46" s="1682"/>
      <c r="J46" s="1679"/>
      <c r="K46" s="1686">
        <v>66716</v>
      </c>
      <c r="L46" s="1692"/>
      <c r="M46" s="2779"/>
      <c r="N46" s="2889"/>
      <c r="O46" s="1692"/>
      <c r="P46" s="1692"/>
      <c r="Q46" s="1679"/>
    </row>
    <row r="47" spans="1:17">
      <c r="A47" s="134">
        <v>1997.02</v>
      </c>
      <c r="B47" s="120">
        <v>2575</v>
      </c>
      <c r="C47" s="1682"/>
      <c r="D47" s="345"/>
      <c r="E47" s="1686">
        <v>5644</v>
      </c>
      <c r="F47" s="1692"/>
      <c r="G47" s="1679"/>
      <c r="H47" s="1686">
        <v>29760</v>
      </c>
      <c r="I47" s="1682"/>
      <c r="J47" s="1679"/>
      <c r="K47" s="1686">
        <v>55374</v>
      </c>
      <c r="L47" s="1692"/>
      <c r="M47" s="2779"/>
      <c r="N47" s="2889"/>
      <c r="O47" s="1692"/>
      <c r="P47" s="1692"/>
      <c r="Q47" s="1679"/>
    </row>
    <row r="48" spans="1:17">
      <c r="A48" s="134">
        <v>1997.03</v>
      </c>
      <c r="B48" s="120">
        <v>2547</v>
      </c>
      <c r="C48" s="1682"/>
      <c r="D48" s="345"/>
      <c r="E48" s="1686">
        <v>5623</v>
      </c>
      <c r="F48" s="1692"/>
      <c r="G48" s="1679"/>
      <c r="H48" s="1686">
        <v>29430</v>
      </c>
      <c r="I48" s="1682"/>
      <c r="J48" s="1679"/>
      <c r="K48" s="1686">
        <v>54519</v>
      </c>
      <c r="L48" s="1692"/>
      <c r="M48" s="2779"/>
      <c r="N48" s="2889"/>
      <c r="O48" s="1692"/>
      <c r="P48" s="1692"/>
      <c r="Q48" s="1679"/>
    </row>
    <row r="49" spans="1:17">
      <c r="A49" s="134">
        <v>1997.04</v>
      </c>
      <c r="B49" s="120">
        <v>2833</v>
      </c>
      <c r="C49" s="1682"/>
      <c r="D49" s="345"/>
      <c r="E49" s="1686">
        <v>6684</v>
      </c>
      <c r="F49" s="1692"/>
      <c r="G49" s="1679"/>
      <c r="H49" s="1686">
        <v>34734</v>
      </c>
      <c r="I49" s="1682"/>
      <c r="J49" s="1679"/>
      <c r="K49" s="1686">
        <v>65287</v>
      </c>
      <c r="L49" s="1692"/>
      <c r="M49" s="2779"/>
      <c r="N49" s="2889"/>
      <c r="O49" s="1692"/>
      <c r="P49" s="1692"/>
      <c r="Q49" s="1679"/>
    </row>
    <row r="50" spans="1:17">
      <c r="A50" s="134">
        <v>1997.05</v>
      </c>
      <c r="B50" s="120">
        <v>2856</v>
      </c>
      <c r="C50" s="1682"/>
      <c r="D50" s="345"/>
      <c r="E50" s="1686">
        <v>6300</v>
      </c>
      <c r="F50" s="1692"/>
      <c r="G50" s="1679"/>
      <c r="H50" s="1686">
        <v>35477</v>
      </c>
      <c r="I50" s="1682"/>
      <c r="J50" s="1679"/>
      <c r="K50" s="1686">
        <v>62037</v>
      </c>
      <c r="L50" s="1692"/>
      <c r="M50" s="2779"/>
      <c r="N50" s="2889"/>
      <c r="O50" s="1692"/>
      <c r="P50" s="1692"/>
      <c r="Q50" s="1679"/>
    </row>
    <row r="51" spans="1:17">
      <c r="A51" s="134">
        <v>1997.06</v>
      </c>
      <c r="B51" s="120">
        <v>2682</v>
      </c>
      <c r="C51" s="1682"/>
      <c r="D51" s="345"/>
      <c r="E51" s="1686">
        <v>5631</v>
      </c>
      <c r="F51" s="1692"/>
      <c r="G51" s="1679"/>
      <c r="H51" s="1686">
        <v>32074</v>
      </c>
      <c r="I51" s="1682"/>
      <c r="J51" s="1679"/>
      <c r="K51" s="1686">
        <v>54376</v>
      </c>
      <c r="L51" s="1692"/>
      <c r="M51" s="2779"/>
      <c r="N51" s="2889"/>
      <c r="O51" s="1692"/>
      <c r="P51" s="1692"/>
      <c r="Q51" s="1679"/>
    </row>
    <row r="52" spans="1:17">
      <c r="A52" s="134">
        <v>1997.07</v>
      </c>
      <c r="B52" s="120">
        <v>3284</v>
      </c>
      <c r="C52" s="1682"/>
      <c r="D52" s="345"/>
      <c r="E52" s="1686">
        <v>7148</v>
      </c>
      <c r="F52" s="1692"/>
      <c r="G52" s="1679"/>
      <c r="H52" s="1686">
        <v>40458</v>
      </c>
      <c r="I52" s="1682"/>
      <c r="J52" s="1679"/>
      <c r="K52" s="1686">
        <v>68994</v>
      </c>
      <c r="L52" s="1692"/>
      <c r="M52" s="2779"/>
      <c r="N52" s="2889"/>
      <c r="O52" s="1692"/>
      <c r="P52" s="1692"/>
      <c r="Q52" s="1679"/>
    </row>
    <row r="53" spans="1:17">
      <c r="A53" s="134">
        <v>1997.08</v>
      </c>
      <c r="B53" s="120">
        <v>2890</v>
      </c>
      <c r="C53" s="1682"/>
      <c r="D53" s="345"/>
      <c r="E53" s="1686">
        <v>6612</v>
      </c>
      <c r="F53" s="1692"/>
      <c r="G53" s="1679"/>
      <c r="H53" s="1686">
        <v>37904</v>
      </c>
      <c r="I53" s="1682"/>
      <c r="J53" s="1679"/>
      <c r="K53" s="1686">
        <v>62771</v>
      </c>
      <c r="L53" s="1692"/>
      <c r="M53" s="2779"/>
      <c r="N53" s="2889"/>
      <c r="O53" s="1692"/>
      <c r="P53" s="1692"/>
      <c r="Q53" s="1679"/>
    </row>
    <row r="54" spans="1:17">
      <c r="A54" s="134">
        <v>1997.09</v>
      </c>
      <c r="B54" s="120">
        <v>3158</v>
      </c>
      <c r="C54" s="1682"/>
      <c r="D54" s="345"/>
      <c r="E54" s="1686">
        <v>8083</v>
      </c>
      <c r="F54" s="1692"/>
      <c r="G54" s="1679"/>
      <c r="H54" s="1686">
        <v>40726</v>
      </c>
      <c r="I54" s="1682"/>
      <c r="J54" s="1679"/>
      <c r="K54" s="1686">
        <v>72994</v>
      </c>
      <c r="L54" s="1692"/>
      <c r="M54" s="2779"/>
      <c r="N54" s="2889"/>
      <c r="O54" s="1692"/>
      <c r="P54" s="1692"/>
      <c r="Q54" s="1679"/>
    </row>
    <row r="55" spans="1:17">
      <c r="A55" s="134">
        <v>1997.1</v>
      </c>
      <c r="B55" s="120">
        <v>2991</v>
      </c>
      <c r="C55" s="1682"/>
      <c r="D55" s="345"/>
      <c r="E55" s="1686">
        <v>9066</v>
      </c>
      <c r="F55" s="1692"/>
      <c r="G55" s="1679"/>
      <c r="H55" s="1686">
        <v>39673</v>
      </c>
      <c r="I55" s="1682"/>
      <c r="J55" s="1679"/>
      <c r="K55" s="1686">
        <v>79858</v>
      </c>
      <c r="L55" s="1692"/>
      <c r="M55" s="2779"/>
      <c r="N55" s="2889"/>
      <c r="O55" s="1692"/>
      <c r="P55" s="1692"/>
      <c r="Q55" s="1679"/>
    </row>
    <row r="56" spans="1:17">
      <c r="A56" s="134">
        <v>1997.11</v>
      </c>
      <c r="B56" s="120">
        <v>1838</v>
      </c>
      <c r="C56" s="1682"/>
      <c r="D56" s="345"/>
      <c r="E56" s="1686">
        <v>7171</v>
      </c>
      <c r="F56" s="1692"/>
      <c r="G56" s="1679"/>
      <c r="H56" s="1686">
        <v>27450</v>
      </c>
      <c r="I56" s="1682"/>
      <c r="J56" s="1679"/>
      <c r="K56" s="1686">
        <v>67579</v>
      </c>
      <c r="L56" s="1692"/>
      <c r="M56" s="2779"/>
      <c r="N56" s="2889"/>
      <c r="O56" s="1692"/>
      <c r="P56" s="1692"/>
      <c r="Q56" s="1679"/>
    </row>
    <row r="57" spans="1:17">
      <c r="A57" s="134">
        <v>1997.12</v>
      </c>
      <c r="B57" s="120">
        <v>1078</v>
      </c>
      <c r="C57" s="1682"/>
      <c r="D57" s="345"/>
      <c r="E57" s="1686">
        <v>7643</v>
      </c>
      <c r="F57" s="1692"/>
      <c r="G57" s="1679"/>
      <c r="H57" s="1686">
        <v>18826</v>
      </c>
      <c r="I57" s="1682"/>
      <c r="J57" s="1679"/>
      <c r="K57" s="1686">
        <v>75053</v>
      </c>
      <c r="L57" s="1692"/>
      <c r="M57" s="2779"/>
      <c r="N57" s="2889"/>
      <c r="O57" s="1692"/>
      <c r="P57" s="1692"/>
      <c r="Q57" s="1679"/>
    </row>
    <row r="58" spans="1:17">
      <c r="A58" s="134">
        <v>1998.01</v>
      </c>
      <c r="B58" s="120">
        <v>5874</v>
      </c>
      <c r="C58" s="1682"/>
      <c r="D58" s="345"/>
      <c r="E58" s="1686">
        <v>7343</v>
      </c>
      <c r="F58" s="1692"/>
      <c r="G58" s="1679"/>
      <c r="H58" s="1686">
        <v>68045</v>
      </c>
      <c r="I58" s="1682"/>
      <c r="J58" s="1679"/>
      <c r="K58" s="1686">
        <v>76361</v>
      </c>
      <c r="L58" s="1692"/>
      <c r="M58" s="2779"/>
      <c r="N58" s="2889"/>
      <c r="O58" s="1692"/>
      <c r="P58" s="1692"/>
      <c r="Q58" s="1679"/>
    </row>
    <row r="59" spans="1:17">
      <c r="A59" s="134">
        <v>1998.02</v>
      </c>
      <c r="B59" s="120">
        <v>3215</v>
      </c>
      <c r="C59" s="1682"/>
      <c r="D59" s="345"/>
      <c r="E59" s="1686">
        <v>6665</v>
      </c>
      <c r="F59" s="1692"/>
      <c r="G59" s="1679"/>
      <c r="H59" s="1686">
        <v>40990</v>
      </c>
      <c r="I59" s="1682"/>
      <c r="J59" s="1679"/>
      <c r="K59" s="1686">
        <v>64566</v>
      </c>
      <c r="L59" s="1692"/>
      <c r="M59" s="2779"/>
      <c r="N59" s="2889"/>
      <c r="O59" s="1692"/>
      <c r="P59" s="1692"/>
      <c r="Q59" s="1679"/>
    </row>
    <row r="60" spans="1:17">
      <c r="A60" s="134">
        <v>1998.03</v>
      </c>
      <c r="B60" s="120">
        <v>3325</v>
      </c>
      <c r="C60" s="1682"/>
      <c r="D60" s="345"/>
      <c r="E60" s="1686">
        <v>6991</v>
      </c>
      <c r="F60" s="1692"/>
      <c r="G60" s="1679"/>
      <c r="H60" s="1686">
        <v>42969</v>
      </c>
      <c r="I60" s="1682"/>
      <c r="J60" s="1679"/>
      <c r="K60" s="1686">
        <v>72125</v>
      </c>
      <c r="L60" s="1692"/>
      <c r="M60" s="2779"/>
      <c r="N60" s="2889"/>
      <c r="O60" s="1692"/>
      <c r="P60" s="1692"/>
      <c r="Q60" s="1679"/>
    </row>
    <row r="61" spans="1:17">
      <c r="A61" s="134">
        <v>1998.04</v>
      </c>
      <c r="B61" s="120">
        <v>3289</v>
      </c>
      <c r="C61" s="1682"/>
      <c r="D61" s="345"/>
      <c r="E61" s="1686">
        <v>6736</v>
      </c>
      <c r="F61" s="1692"/>
      <c r="G61" s="1679"/>
      <c r="H61" s="1686">
        <v>42361</v>
      </c>
      <c r="I61" s="1682"/>
      <c r="J61" s="1679"/>
      <c r="K61" s="1686">
        <v>71326</v>
      </c>
      <c r="L61" s="1692"/>
      <c r="M61" s="2779"/>
      <c r="N61" s="2889"/>
      <c r="O61" s="1692"/>
      <c r="P61" s="1692"/>
      <c r="Q61" s="1679"/>
    </row>
    <row r="62" spans="1:17">
      <c r="A62" s="134">
        <v>1998.05</v>
      </c>
      <c r="B62" s="120">
        <v>3099</v>
      </c>
      <c r="C62" s="1682"/>
      <c r="D62" s="345"/>
      <c r="E62" s="1686">
        <v>6144</v>
      </c>
      <c r="F62" s="1692"/>
      <c r="G62" s="1679"/>
      <c r="H62" s="1686">
        <v>38561</v>
      </c>
      <c r="I62" s="1682"/>
      <c r="J62" s="1679"/>
      <c r="K62" s="1686">
        <v>64367</v>
      </c>
      <c r="L62" s="1692"/>
      <c r="M62" s="2779"/>
      <c r="N62" s="2889"/>
      <c r="O62" s="1692"/>
      <c r="P62" s="1692"/>
      <c r="Q62" s="1679"/>
    </row>
    <row r="63" spans="1:17">
      <c r="A63" s="134">
        <v>1998.06</v>
      </c>
      <c r="B63" s="120">
        <v>3325</v>
      </c>
      <c r="C63" s="1682"/>
      <c r="D63" s="345"/>
      <c r="E63" s="1686">
        <v>6510</v>
      </c>
      <c r="F63" s="1692"/>
      <c r="G63" s="1679"/>
      <c r="H63" s="1686">
        <v>40587</v>
      </c>
      <c r="I63" s="1682"/>
      <c r="J63" s="1679"/>
      <c r="K63" s="1686">
        <v>65204</v>
      </c>
      <c r="L63" s="1692"/>
      <c r="M63" s="2779"/>
      <c r="N63" s="2889"/>
      <c r="O63" s="1692"/>
      <c r="P63" s="1692"/>
      <c r="Q63" s="1679"/>
    </row>
    <row r="64" spans="1:17">
      <c r="A64" s="134">
        <v>1998.07</v>
      </c>
      <c r="B64" s="120">
        <v>3691</v>
      </c>
      <c r="C64" s="1682"/>
      <c r="D64" s="345"/>
      <c r="E64" s="1686">
        <v>7476</v>
      </c>
      <c r="F64" s="1692"/>
      <c r="G64" s="1679"/>
      <c r="H64" s="1686">
        <v>45730</v>
      </c>
      <c r="I64" s="1682"/>
      <c r="J64" s="1679"/>
      <c r="K64" s="1686">
        <v>73999</v>
      </c>
      <c r="L64" s="1692"/>
      <c r="M64" s="2779"/>
      <c r="N64" s="2889"/>
      <c r="O64" s="1692"/>
      <c r="P64" s="1692"/>
      <c r="Q64" s="1679"/>
    </row>
    <row r="65" spans="1:17">
      <c r="A65" s="134">
        <v>1998.08</v>
      </c>
      <c r="B65" s="120">
        <v>3419</v>
      </c>
      <c r="C65" s="1682"/>
      <c r="D65" s="345"/>
      <c r="E65" s="1686">
        <v>6874</v>
      </c>
      <c r="F65" s="1692"/>
      <c r="G65" s="1679"/>
      <c r="H65" s="1686">
        <v>41705</v>
      </c>
      <c r="I65" s="1682"/>
      <c r="J65" s="1679"/>
      <c r="K65" s="1686">
        <v>68180</v>
      </c>
      <c r="L65" s="1692"/>
      <c r="M65" s="2779"/>
      <c r="N65" s="2889"/>
      <c r="O65" s="1692"/>
      <c r="P65" s="1692"/>
      <c r="Q65" s="1679"/>
    </row>
    <row r="66" spans="1:17">
      <c r="A66" s="134">
        <v>1998.09</v>
      </c>
      <c r="B66" s="120">
        <v>3220</v>
      </c>
      <c r="C66" s="1682"/>
      <c r="D66" s="345"/>
      <c r="E66" s="1686">
        <v>7470</v>
      </c>
      <c r="F66" s="1692"/>
      <c r="G66" s="1679"/>
      <c r="H66" s="1686">
        <v>40921</v>
      </c>
      <c r="I66" s="1682"/>
      <c r="J66" s="1679"/>
      <c r="K66" s="1686">
        <v>72033</v>
      </c>
      <c r="L66" s="1692"/>
      <c r="M66" s="2779"/>
      <c r="N66" s="2889"/>
      <c r="O66" s="1692"/>
      <c r="P66" s="1692"/>
      <c r="Q66" s="1679"/>
    </row>
    <row r="67" spans="1:17">
      <c r="A67" s="134">
        <v>1998.1</v>
      </c>
      <c r="B67" s="120">
        <v>2574</v>
      </c>
      <c r="C67" s="1682"/>
      <c r="D67" s="345"/>
      <c r="E67" s="1686">
        <v>6618</v>
      </c>
      <c r="F67" s="1692"/>
      <c r="G67" s="1679"/>
      <c r="H67" s="1686">
        <v>34047</v>
      </c>
      <c r="I67" s="1682"/>
      <c r="J67" s="1679"/>
      <c r="K67" s="1686">
        <v>63365</v>
      </c>
      <c r="L67" s="1692"/>
      <c r="M67" s="2779"/>
      <c r="N67" s="2889"/>
      <c r="O67" s="1692"/>
      <c r="P67" s="1692"/>
      <c r="Q67" s="1679"/>
    </row>
    <row r="68" spans="1:17">
      <c r="A68" s="134">
        <v>1998.11</v>
      </c>
      <c r="B68" s="120">
        <v>1976</v>
      </c>
      <c r="C68" s="1682"/>
      <c r="D68" s="345"/>
      <c r="E68" s="1686">
        <v>7333</v>
      </c>
      <c r="F68" s="1692"/>
      <c r="G68" s="1679"/>
      <c r="H68" s="1686">
        <v>28544</v>
      </c>
      <c r="I68" s="1682"/>
      <c r="J68" s="1679"/>
      <c r="K68" s="1686">
        <v>63437</v>
      </c>
      <c r="L68" s="1692"/>
      <c r="M68" s="2779"/>
      <c r="N68" s="2889"/>
      <c r="O68" s="1692"/>
      <c r="P68" s="1692"/>
      <c r="Q68" s="1679"/>
    </row>
    <row r="69" spans="1:17">
      <c r="A69" s="134">
        <v>1998.12</v>
      </c>
      <c r="B69" s="120">
        <v>1247</v>
      </c>
      <c r="C69" s="1682"/>
      <c r="D69" s="345"/>
      <c r="E69" s="1686">
        <v>7758</v>
      </c>
      <c r="F69" s="1692"/>
      <c r="G69" s="1679"/>
      <c r="H69" s="1686">
        <v>19940</v>
      </c>
      <c r="I69" s="1682"/>
      <c r="J69" s="1679"/>
      <c r="K69" s="1686">
        <v>67988</v>
      </c>
      <c r="L69" s="1692"/>
      <c r="M69" s="2779"/>
      <c r="N69" s="2889"/>
      <c r="O69" s="1692"/>
      <c r="P69" s="1692"/>
      <c r="Q69" s="1679"/>
    </row>
    <row r="70" spans="1:17">
      <c r="A70" s="134">
        <v>1999.01</v>
      </c>
      <c r="B70" s="120">
        <v>5089</v>
      </c>
      <c r="C70" s="1682"/>
      <c r="D70" s="345"/>
      <c r="E70" s="1686">
        <v>6420</v>
      </c>
      <c r="F70" s="1692"/>
      <c r="G70" s="1679"/>
      <c r="H70" s="1686">
        <v>52973</v>
      </c>
      <c r="I70" s="1682"/>
      <c r="J70" s="1679"/>
      <c r="K70" s="1686">
        <v>59896</v>
      </c>
      <c r="L70" s="1692"/>
      <c r="M70" s="2779"/>
      <c r="N70" s="2889"/>
      <c r="O70" s="1692"/>
      <c r="P70" s="1692"/>
      <c r="Q70" s="1679"/>
    </row>
    <row r="71" spans="1:17">
      <c r="A71" s="134">
        <v>1999.02</v>
      </c>
      <c r="B71" s="120">
        <v>2539</v>
      </c>
      <c r="C71" s="1682"/>
      <c r="D71" s="345"/>
      <c r="E71" s="1686">
        <v>5846</v>
      </c>
      <c r="F71" s="1692"/>
      <c r="G71" s="1679"/>
      <c r="H71" s="1686">
        <v>29937</v>
      </c>
      <c r="I71" s="1682"/>
      <c r="J71" s="1679"/>
      <c r="K71" s="1686">
        <v>56641</v>
      </c>
      <c r="L71" s="1692"/>
      <c r="M71" s="2779"/>
      <c r="N71" s="2889"/>
      <c r="O71" s="1692"/>
      <c r="P71" s="1692"/>
      <c r="Q71" s="1679"/>
    </row>
    <row r="72" spans="1:17">
      <c r="A72" s="134">
        <v>1999.03</v>
      </c>
      <c r="B72" s="120">
        <v>2588</v>
      </c>
      <c r="C72" s="1682"/>
      <c r="D72" s="345"/>
      <c r="E72" s="1686">
        <v>6432</v>
      </c>
      <c r="F72" s="1692"/>
      <c r="G72" s="1679"/>
      <c r="H72" s="1686">
        <v>32631</v>
      </c>
      <c r="I72" s="1682"/>
      <c r="J72" s="1679"/>
      <c r="K72" s="1686">
        <v>62961</v>
      </c>
      <c r="L72" s="1692"/>
      <c r="M72" s="2779"/>
      <c r="N72" s="2889"/>
      <c r="O72" s="1692"/>
      <c r="P72" s="1692"/>
      <c r="Q72" s="1679"/>
    </row>
    <row r="73" spans="1:17">
      <c r="A73" s="134">
        <v>1999.04</v>
      </c>
      <c r="B73" s="120">
        <v>2041</v>
      </c>
      <c r="C73" s="1682"/>
      <c r="D73" s="345"/>
      <c r="E73" s="1686">
        <v>6087</v>
      </c>
      <c r="F73" s="1692"/>
      <c r="G73" s="1679"/>
      <c r="H73" s="1686">
        <v>26621</v>
      </c>
      <c r="I73" s="1682"/>
      <c r="J73" s="1679"/>
      <c r="K73" s="1686">
        <v>56901</v>
      </c>
      <c r="L73" s="1692"/>
      <c r="M73" s="2779"/>
      <c r="N73" s="2889"/>
      <c r="O73" s="1692"/>
      <c r="P73" s="1692"/>
      <c r="Q73" s="1679"/>
    </row>
    <row r="74" spans="1:17">
      <c r="A74" s="134">
        <v>1999.05</v>
      </c>
      <c r="B74" s="120">
        <v>1781</v>
      </c>
      <c r="C74" s="1682"/>
      <c r="D74" s="345"/>
      <c r="E74" s="1686">
        <v>6469</v>
      </c>
      <c r="F74" s="1692"/>
      <c r="G74" s="1679"/>
      <c r="H74" s="1686">
        <v>24237</v>
      </c>
      <c r="I74" s="1682"/>
      <c r="J74" s="1679"/>
      <c r="K74" s="1686">
        <v>63063</v>
      </c>
      <c r="L74" s="1692"/>
      <c r="M74" s="2779"/>
      <c r="N74" s="2889"/>
      <c r="O74" s="1692"/>
      <c r="P74" s="1692"/>
      <c r="Q74" s="1679"/>
    </row>
    <row r="75" spans="1:17">
      <c r="A75" s="134">
        <v>1999.06</v>
      </c>
      <c r="B75" s="120">
        <v>2379</v>
      </c>
      <c r="C75" s="1682"/>
      <c r="D75" s="345"/>
      <c r="E75" s="1686">
        <v>7587</v>
      </c>
      <c r="F75" s="1692"/>
      <c r="G75" s="1679"/>
      <c r="H75" s="1686">
        <v>28334</v>
      </c>
      <c r="I75" s="1682"/>
      <c r="J75" s="1679"/>
      <c r="K75" s="1686">
        <v>78618</v>
      </c>
      <c r="L75" s="1692"/>
      <c r="M75" s="2779"/>
      <c r="N75" s="2889"/>
      <c r="O75" s="1692"/>
      <c r="P75" s="1692"/>
      <c r="Q75" s="1679"/>
    </row>
    <row r="76" spans="1:17">
      <c r="A76" s="134">
        <v>1999.07</v>
      </c>
      <c r="B76" s="120">
        <v>2939</v>
      </c>
      <c r="C76" s="1682"/>
      <c r="D76" s="345"/>
      <c r="E76" s="1686">
        <v>8550</v>
      </c>
      <c r="F76" s="1692"/>
      <c r="G76" s="1679"/>
      <c r="H76" s="1686">
        <v>34183</v>
      </c>
      <c r="I76" s="1682"/>
      <c r="J76" s="1679"/>
      <c r="K76" s="1686">
        <v>89589</v>
      </c>
      <c r="L76" s="1692"/>
      <c r="M76" s="2779"/>
      <c r="N76" s="2889"/>
      <c r="O76" s="1692"/>
      <c r="P76" s="1692"/>
      <c r="Q76" s="1679"/>
    </row>
    <row r="77" spans="1:17">
      <c r="A77" s="134">
        <v>1999.08</v>
      </c>
      <c r="B77" s="120">
        <v>3358</v>
      </c>
      <c r="C77" s="1682"/>
      <c r="D77" s="345"/>
      <c r="E77" s="1686">
        <v>8436</v>
      </c>
      <c r="F77" s="1692"/>
      <c r="G77" s="1679"/>
      <c r="H77" s="1686">
        <v>37205</v>
      </c>
      <c r="I77" s="1682"/>
      <c r="J77" s="1679"/>
      <c r="K77" s="1686">
        <v>83799</v>
      </c>
      <c r="L77" s="1692"/>
      <c r="M77" s="2779"/>
      <c r="N77" s="2889"/>
      <c r="O77" s="1692"/>
      <c r="P77" s="1692"/>
      <c r="Q77" s="1679"/>
    </row>
    <row r="78" spans="1:17">
      <c r="A78" s="134">
        <v>1999.09</v>
      </c>
      <c r="B78" s="120">
        <v>3645</v>
      </c>
      <c r="C78" s="1682"/>
      <c r="D78" s="345"/>
      <c r="E78" s="1686">
        <v>8914</v>
      </c>
      <c r="F78" s="1692"/>
      <c r="G78" s="1679"/>
      <c r="H78" s="1686">
        <v>41471</v>
      </c>
      <c r="I78" s="1682"/>
      <c r="J78" s="1679"/>
      <c r="K78" s="1686">
        <v>88991</v>
      </c>
      <c r="L78" s="1692"/>
      <c r="M78" s="2779"/>
      <c r="N78" s="2889"/>
      <c r="O78" s="1692"/>
      <c r="P78" s="1692"/>
      <c r="Q78" s="1679"/>
    </row>
    <row r="79" spans="1:17">
      <c r="A79" s="134">
        <v>1999.1</v>
      </c>
      <c r="B79" s="120">
        <v>3051</v>
      </c>
      <c r="C79" s="1682"/>
      <c r="D79" s="345"/>
      <c r="E79" s="1686">
        <v>11133</v>
      </c>
      <c r="F79" s="1692"/>
      <c r="G79" s="1679"/>
      <c r="H79" s="1686">
        <v>36238</v>
      </c>
      <c r="I79" s="1682"/>
      <c r="J79" s="1679"/>
      <c r="K79" s="1686">
        <v>110669</v>
      </c>
      <c r="L79" s="1692"/>
      <c r="M79" s="2779"/>
      <c r="N79" s="2889"/>
      <c r="O79" s="1692"/>
      <c r="P79" s="1692"/>
      <c r="Q79" s="1679"/>
    </row>
    <row r="80" spans="1:17">
      <c r="A80" s="134">
        <v>1999.11</v>
      </c>
      <c r="B80" s="120">
        <v>2950</v>
      </c>
      <c r="C80" s="1682"/>
      <c r="D80" s="345"/>
      <c r="E80" s="1686">
        <v>7021</v>
      </c>
      <c r="F80" s="1692"/>
      <c r="G80" s="1679"/>
      <c r="H80" s="1686">
        <v>35223</v>
      </c>
      <c r="I80" s="1682"/>
      <c r="J80" s="1679"/>
      <c r="K80" s="1686">
        <v>74636</v>
      </c>
      <c r="L80" s="1692"/>
      <c r="M80" s="2779"/>
      <c r="N80" s="2889"/>
      <c r="O80" s="1692"/>
      <c r="P80" s="1692"/>
      <c r="Q80" s="1679"/>
    </row>
    <row r="81" spans="1:17">
      <c r="A81" s="134">
        <v>1999.12</v>
      </c>
      <c r="B81" s="120">
        <v>2023</v>
      </c>
      <c r="C81" s="1682"/>
      <c r="D81" s="345"/>
      <c r="E81" s="1686">
        <v>7622</v>
      </c>
      <c r="F81" s="1692"/>
      <c r="G81" s="1679"/>
      <c r="H81" s="1686">
        <v>27583</v>
      </c>
      <c r="I81" s="1682"/>
      <c r="J81" s="1679"/>
      <c r="K81" s="1686">
        <v>79954</v>
      </c>
      <c r="L81" s="1692"/>
      <c r="M81" s="2779"/>
      <c r="N81" s="2889"/>
      <c r="O81" s="1692"/>
      <c r="P81" s="1692"/>
      <c r="Q81" s="1679"/>
    </row>
    <row r="82" spans="1:17">
      <c r="A82" s="134">
        <v>2000.01</v>
      </c>
      <c r="B82" s="120">
        <v>4520</v>
      </c>
      <c r="C82" s="1682"/>
      <c r="D82" s="345"/>
      <c r="E82" s="1686">
        <v>10113</v>
      </c>
      <c r="F82" s="1692"/>
      <c r="G82" s="1679"/>
      <c r="H82" s="1686">
        <v>46926</v>
      </c>
      <c r="I82" s="1682"/>
      <c r="J82" s="1679"/>
      <c r="K82" s="1686">
        <v>107603</v>
      </c>
      <c r="L82" s="1692"/>
      <c r="M82" s="2779"/>
      <c r="N82" s="2889"/>
      <c r="O82" s="1692"/>
      <c r="P82" s="1692"/>
      <c r="Q82" s="1679"/>
    </row>
    <row r="83" spans="1:17">
      <c r="A83" s="134">
        <v>2000.02</v>
      </c>
      <c r="B83" s="120">
        <v>2716</v>
      </c>
      <c r="C83" s="1682"/>
      <c r="D83" s="345"/>
      <c r="E83" s="1686">
        <v>6071</v>
      </c>
      <c r="F83" s="1692"/>
      <c r="G83" s="1679"/>
      <c r="H83" s="1686">
        <v>32798</v>
      </c>
      <c r="I83" s="1682"/>
      <c r="J83" s="1679"/>
      <c r="K83" s="1686">
        <v>64306</v>
      </c>
      <c r="L83" s="1692"/>
      <c r="M83" s="2779"/>
      <c r="N83" s="2889"/>
      <c r="O83" s="1692"/>
      <c r="P83" s="1692"/>
      <c r="Q83" s="1679"/>
    </row>
    <row r="84" spans="1:17">
      <c r="A84" s="134">
        <v>2000.03</v>
      </c>
      <c r="B84" s="120">
        <v>2779</v>
      </c>
      <c r="C84" s="1682"/>
      <c r="D84" s="345"/>
      <c r="E84" s="1686">
        <v>6551</v>
      </c>
      <c r="F84" s="1692"/>
      <c r="G84" s="1679"/>
      <c r="H84" s="1686">
        <v>32504</v>
      </c>
      <c r="I84" s="1682"/>
      <c r="J84" s="1679"/>
      <c r="K84" s="1686">
        <v>70942</v>
      </c>
      <c r="L84" s="1692"/>
      <c r="M84" s="2779"/>
      <c r="N84" s="2889"/>
      <c r="O84" s="1692"/>
      <c r="P84" s="1692"/>
      <c r="Q84" s="1679"/>
    </row>
    <row r="85" spans="1:17">
      <c r="A85" s="134">
        <v>2000.04</v>
      </c>
      <c r="B85" s="120">
        <v>2268</v>
      </c>
      <c r="C85" s="1682"/>
      <c r="D85" s="345"/>
      <c r="E85" s="1686">
        <v>4929</v>
      </c>
      <c r="F85" s="1692"/>
      <c r="G85" s="1679"/>
      <c r="H85" s="1686">
        <v>26641</v>
      </c>
      <c r="I85" s="1682"/>
      <c r="J85" s="1679"/>
      <c r="K85" s="1686">
        <v>54093</v>
      </c>
      <c r="L85" s="1692"/>
      <c r="M85" s="2779"/>
      <c r="N85" s="2889"/>
      <c r="O85" s="1692"/>
      <c r="P85" s="1692"/>
      <c r="Q85" s="1679"/>
    </row>
    <row r="86" spans="1:17">
      <c r="A86" s="134">
        <v>2000.05</v>
      </c>
      <c r="B86" s="120">
        <v>2349</v>
      </c>
      <c r="C86" s="1682"/>
      <c r="D86" s="345"/>
      <c r="E86" s="1686">
        <v>5500</v>
      </c>
      <c r="F86" s="1692"/>
      <c r="G86" s="1679"/>
      <c r="H86" s="1686">
        <v>27580</v>
      </c>
      <c r="I86" s="1682"/>
      <c r="J86" s="1679"/>
      <c r="K86" s="1686">
        <v>60031</v>
      </c>
      <c r="L86" s="1692"/>
      <c r="M86" s="2779"/>
      <c r="N86" s="2889"/>
      <c r="O86" s="1692"/>
      <c r="P86" s="1692"/>
      <c r="Q86" s="1679"/>
    </row>
    <row r="87" spans="1:17">
      <c r="A87" s="134">
        <v>2000.06</v>
      </c>
      <c r="B87" s="120">
        <v>2456</v>
      </c>
      <c r="C87" s="1682"/>
      <c r="D87" s="345"/>
      <c r="E87" s="1686">
        <v>5620</v>
      </c>
      <c r="F87" s="1692"/>
      <c r="G87" s="1679"/>
      <c r="H87" s="1686">
        <v>28428</v>
      </c>
      <c r="I87" s="1682"/>
      <c r="J87" s="1679"/>
      <c r="K87" s="1686">
        <v>59005</v>
      </c>
      <c r="L87" s="1692"/>
      <c r="M87" s="2779"/>
      <c r="N87" s="2889"/>
      <c r="O87" s="1692"/>
      <c r="P87" s="1692"/>
      <c r="Q87" s="1679"/>
    </row>
    <row r="88" spans="1:17">
      <c r="A88" s="134">
        <v>2000.07</v>
      </c>
      <c r="B88" s="120">
        <v>2405</v>
      </c>
      <c r="C88" s="1682"/>
      <c r="D88" s="345"/>
      <c r="E88" s="1686">
        <v>6220</v>
      </c>
      <c r="F88" s="1692"/>
      <c r="G88" s="1679"/>
      <c r="H88" s="1686">
        <v>27415</v>
      </c>
      <c r="I88" s="1682"/>
      <c r="J88" s="1679"/>
      <c r="K88" s="1686">
        <v>65169</v>
      </c>
      <c r="L88" s="1692"/>
      <c r="M88" s="2779"/>
      <c r="N88" s="2889"/>
      <c r="O88" s="1692"/>
      <c r="P88" s="1692"/>
      <c r="Q88" s="1679"/>
    </row>
    <row r="89" spans="1:17">
      <c r="A89" s="134">
        <v>2000.08</v>
      </c>
      <c r="B89" s="120">
        <v>2375</v>
      </c>
      <c r="C89" s="1682"/>
      <c r="D89" s="345"/>
      <c r="E89" s="1686">
        <v>6788</v>
      </c>
      <c r="F89" s="1692"/>
      <c r="G89" s="1679"/>
      <c r="H89" s="1686">
        <v>28868</v>
      </c>
      <c r="I89" s="1682"/>
      <c r="J89" s="1679"/>
      <c r="K89" s="1686">
        <v>71729</v>
      </c>
      <c r="L89" s="1692"/>
      <c r="M89" s="2779"/>
      <c r="N89" s="2889"/>
      <c r="O89" s="1692"/>
      <c r="P89" s="1692"/>
      <c r="Q89" s="1679"/>
    </row>
    <row r="90" spans="1:17">
      <c r="A90" s="134">
        <v>2000.09</v>
      </c>
      <c r="B90" s="120">
        <v>2224</v>
      </c>
      <c r="C90" s="1682"/>
      <c r="D90" s="345"/>
      <c r="E90" s="1686">
        <v>5741</v>
      </c>
      <c r="F90" s="1692"/>
      <c r="G90" s="1679"/>
      <c r="H90" s="1686">
        <v>28157</v>
      </c>
      <c r="I90" s="1682"/>
      <c r="J90" s="1679"/>
      <c r="K90" s="1686">
        <v>60886</v>
      </c>
      <c r="L90" s="1692"/>
      <c r="M90" s="2779"/>
      <c r="N90" s="2889"/>
      <c r="O90" s="1692"/>
      <c r="P90" s="1692"/>
      <c r="Q90" s="1679"/>
    </row>
    <row r="91" spans="1:17">
      <c r="A91" s="134">
        <v>2000.1</v>
      </c>
      <c r="B91" s="120">
        <v>2782</v>
      </c>
      <c r="C91" s="1682"/>
      <c r="D91" s="345"/>
      <c r="E91" s="1686">
        <v>5622</v>
      </c>
      <c r="F91" s="1692"/>
      <c r="G91" s="1679"/>
      <c r="H91" s="1686">
        <v>33588</v>
      </c>
      <c r="I91" s="1682"/>
      <c r="J91" s="1679"/>
      <c r="K91" s="1686">
        <v>57814</v>
      </c>
      <c r="L91" s="1692"/>
      <c r="M91" s="2779"/>
      <c r="N91" s="2889"/>
      <c r="O91" s="1692"/>
      <c r="P91" s="1692"/>
      <c r="Q91" s="1679"/>
    </row>
    <row r="92" spans="1:17">
      <c r="A92" s="134">
        <v>2000.11</v>
      </c>
      <c r="B92" s="120">
        <v>1797</v>
      </c>
      <c r="C92" s="1682"/>
      <c r="D92" s="345"/>
      <c r="E92" s="1686">
        <v>5264</v>
      </c>
      <c r="F92" s="1692"/>
      <c r="G92" s="1679"/>
      <c r="H92" s="1686">
        <v>23625</v>
      </c>
      <c r="I92" s="1682"/>
      <c r="J92" s="1679"/>
      <c r="K92" s="1686">
        <v>57331</v>
      </c>
      <c r="L92" s="1692"/>
      <c r="M92" s="2779"/>
      <c r="N92" s="2889"/>
      <c r="O92" s="1692"/>
      <c r="P92" s="1692"/>
      <c r="Q92" s="1679"/>
    </row>
    <row r="93" spans="1:17">
      <c r="A93" s="134">
        <v>2000.12</v>
      </c>
      <c r="B93" s="120">
        <v>977</v>
      </c>
      <c r="C93" s="1682"/>
      <c r="D93" s="345"/>
      <c r="E93" s="1686">
        <v>5858</v>
      </c>
      <c r="F93" s="1692"/>
      <c r="G93" s="1679"/>
      <c r="H93" s="1686">
        <v>16281</v>
      </c>
      <c r="I93" s="1682"/>
      <c r="J93" s="1679"/>
      <c r="K93" s="1686">
        <v>59760</v>
      </c>
      <c r="L93" s="1692"/>
      <c r="M93" s="2779"/>
      <c r="N93" s="2889"/>
      <c r="O93" s="1692"/>
      <c r="P93" s="1692"/>
      <c r="Q93" s="1679"/>
    </row>
    <row r="94" spans="1:17">
      <c r="A94" s="134">
        <v>2001.01</v>
      </c>
      <c r="B94" s="120">
        <v>3281</v>
      </c>
      <c r="C94" s="1682"/>
      <c r="D94" s="345"/>
      <c r="E94" s="1686">
        <v>6172</v>
      </c>
      <c r="F94" s="1692"/>
      <c r="G94" s="1679"/>
      <c r="H94" s="1686">
        <v>36451</v>
      </c>
      <c r="I94" s="1682"/>
      <c r="J94" s="1679"/>
      <c r="K94" s="1686">
        <v>65600</v>
      </c>
      <c r="L94" s="1692"/>
      <c r="M94" s="2779"/>
      <c r="N94" s="2889"/>
      <c r="O94" s="1692"/>
      <c r="P94" s="1692"/>
      <c r="Q94" s="1679"/>
    </row>
    <row r="95" spans="1:17">
      <c r="A95" s="134">
        <v>2001.02</v>
      </c>
      <c r="B95" s="120">
        <v>1370</v>
      </c>
      <c r="C95" s="1682"/>
      <c r="D95" s="345"/>
      <c r="E95" s="1686">
        <v>5258</v>
      </c>
      <c r="F95" s="1692"/>
      <c r="G95" s="1679"/>
      <c r="H95" s="1686">
        <v>16107</v>
      </c>
      <c r="I95" s="1682"/>
      <c r="J95" s="1679"/>
      <c r="K95" s="1686">
        <v>55785</v>
      </c>
      <c r="L95" s="1692"/>
      <c r="M95" s="2779"/>
      <c r="N95" s="2889"/>
      <c r="O95" s="1692"/>
      <c r="P95" s="1692"/>
      <c r="Q95" s="1679"/>
    </row>
    <row r="96" spans="1:17">
      <c r="A96" s="134">
        <v>2001.03</v>
      </c>
      <c r="B96" s="120">
        <v>1435</v>
      </c>
      <c r="C96" s="1682"/>
      <c r="D96" s="345"/>
      <c r="E96" s="1686">
        <v>5266</v>
      </c>
      <c r="F96" s="1692"/>
      <c r="G96" s="1679"/>
      <c r="H96" s="1686">
        <v>17594</v>
      </c>
      <c r="I96" s="1682"/>
      <c r="J96" s="1679"/>
      <c r="K96" s="1686">
        <v>55036</v>
      </c>
      <c r="L96" s="1692"/>
      <c r="M96" s="2779"/>
      <c r="N96" s="2889"/>
      <c r="O96" s="1692"/>
      <c r="P96" s="1692"/>
      <c r="Q96" s="1679"/>
    </row>
    <row r="97" spans="1:17">
      <c r="A97" s="134">
        <v>2001.04</v>
      </c>
      <c r="B97" s="120">
        <v>1444</v>
      </c>
      <c r="C97" s="1682"/>
      <c r="D97" s="345"/>
      <c r="E97" s="1686">
        <v>4838</v>
      </c>
      <c r="F97" s="1692"/>
      <c r="G97" s="1679"/>
      <c r="H97" s="1686">
        <v>17129</v>
      </c>
      <c r="I97" s="1682"/>
      <c r="J97" s="1679"/>
      <c r="K97" s="1686">
        <v>52744</v>
      </c>
      <c r="L97" s="1692"/>
      <c r="M97" s="2779"/>
      <c r="N97" s="2889"/>
      <c r="O97" s="1692"/>
      <c r="P97" s="1692"/>
      <c r="Q97" s="1679"/>
    </row>
    <row r="98" spans="1:17">
      <c r="A98" s="134">
        <v>2001.05</v>
      </c>
      <c r="B98" s="120">
        <v>1381</v>
      </c>
      <c r="C98" s="1682"/>
      <c r="D98" s="345"/>
      <c r="E98" s="1686">
        <v>5236</v>
      </c>
      <c r="F98" s="1692"/>
      <c r="G98" s="1679"/>
      <c r="H98" s="1686">
        <v>17606</v>
      </c>
      <c r="I98" s="1682"/>
      <c r="J98" s="1679"/>
      <c r="K98" s="1686">
        <v>54053</v>
      </c>
      <c r="L98" s="1692"/>
      <c r="M98" s="2779"/>
      <c r="N98" s="2889"/>
      <c r="O98" s="1692"/>
      <c r="P98" s="1692"/>
      <c r="Q98" s="1679"/>
    </row>
    <row r="99" spans="1:17">
      <c r="A99" s="134">
        <v>2001.06</v>
      </c>
      <c r="B99" s="120">
        <v>1240</v>
      </c>
      <c r="C99" s="1682"/>
      <c r="D99" s="345"/>
      <c r="E99" s="1686">
        <v>4734</v>
      </c>
      <c r="F99" s="1692"/>
      <c r="G99" s="1679"/>
      <c r="H99" s="1686">
        <v>15780</v>
      </c>
      <c r="I99" s="1682"/>
      <c r="J99" s="1679"/>
      <c r="K99" s="1686">
        <v>49348</v>
      </c>
      <c r="L99" s="1692"/>
      <c r="M99" s="2779"/>
      <c r="N99" s="2889"/>
      <c r="O99" s="1692"/>
      <c r="P99" s="1692"/>
      <c r="Q99" s="1679"/>
    </row>
    <row r="100" spans="1:17">
      <c r="A100" s="134">
        <v>2001.07</v>
      </c>
      <c r="B100" s="120">
        <v>1644</v>
      </c>
      <c r="C100" s="1682"/>
      <c r="D100" s="345"/>
      <c r="E100" s="1686">
        <v>5415</v>
      </c>
      <c r="F100" s="1692"/>
      <c r="G100" s="1679"/>
      <c r="H100" s="1686">
        <v>18749</v>
      </c>
      <c r="I100" s="1682"/>
      <c r="J100" s="1679"/>
      <c r="K100" s="1686">
        <v>53854</v>
      </c>
      <c r="L100" s="1692"/>
      <c r="M100" s="2779"/>
      <c r="N100" s="2889"/>
      <c r="O100" s="1692"/>
      <c r="P100" s="1692"/>
      <c r="Q100" s="1679"/>
    </row>
    <row r="101" spans="1:17">
      <c r="A101" s="134">
        <v>2001.08</v>
      </c>
      <c r="B101" s="120">
        <v>1535</v>
      </c>
      <c r="C101" s="1682"/>
      <c r="D101" s="345"/>
      <c r="E101" s="1686">
        <v>5801</v>
      </c>
      <c r="F101" s="1692"/>
      <c r="G101" s="1679"/>
      <c r="H101" s="1686">
        <v>17566</v>
      </c>
      <c r="I101" s="1682"/>
      <c r="J101" s="1679"/>
      <c r="K101" s="1686">
        <v>56510</v>
      </c>
      <c r="L101" s="1692"/>
      <c r="M101" s="2779"/>
      <c r="N101" s="2889"/>
      <c r="O101" s="1692"/>
      <c r="P101" s="1692"/>
      <c r="Q101" s="1679"/>
    </row>
    <row r="102" spans="1:17">
      <c r="A102" s="134">
        <v>2001.09</v>
      </c>
      <c r="B102" s="120">
        <v>1333</v>
      </c>
      <c r="C102" s="1682"/>
      <c r="D102" s="345"/>
      <c r="E102" s="1686">
        <v>5221</v>
      </c>
      <c r="F102" s="1692"/>
      <c r="G102" s="1679"/>
      <c r="H102" s="1686">
        <v>15180</v>
      </c>
      <c r="I102" s="1682"/>
      <c r="J102" s="1679"/>
      <c r="K102" s="1686">
        <v>49511</v>
      </c>
      <c r="L102" s="1692"/>
      <c r="M102" s="2779"/>
      <c r="N102" s="2889"/>
      <c r="O102" s="1692"/>
      <c r="P102" s="1692"/>
      <c r="Q102" s="1679"/>
    </row>
    <row r="103" spans="1:17">
      <c r="A103" s="134">
        <v>2001.1</v>
      </c>
      <c r="B103" s="120">
        <v>1276</v>
      </c>
      <c r="C103" s="1682"/>
      <c r="D103" s="345"/>
      <c r="E103" s="1686">
        <v>5113</v>
      </c>
      <c r="F103" s="1692"/>
      <c r="G103" s="1679"/>
      <c r="H103" s="1686">
        <v>14763</v>
      </c>
      <c r="I103" s="1682"/>
      <c r="J103" s="1679"/>
      <c r="K103" s="1686">
        <v>51010</v>
      </c>
      <c r="L103" s="1692"/>
      <c r="M103" s="2779"/>
      <c r="N103" s="2889"/>
      <c r="O103" s="1692"/>
      <c r="P103" s="1692"/>
      <c r="Q103" s="1679"/>
    </row>
    <row r="104" spans="1:17">
      <c r="A104" s="134">
        <v>2001.11</v>
      </c>
      <c r="B104" s="120">
        <v>1013</v>
      </c>
      <c r="C104" s="1682"/>
      <c r="D104" s="345"/>
      <c r="E104" s="1686">
        <v>4725</v>
      </c>
      <c r="F104" s="1692"/>
      <c r="G104" s="1679"/>
      <c r="H104" s="1686">
        <v>12547</v>
      </c>
      <c r="I104" s="1682"/>
      <c r="J104" s="1679"/>
      <c r="K104" s="1686">
        <v>47396</v>
      </c>
      <c r="L104" s="1692"/>
      <c r="M104" s="2779"/>
      <c r="N104" s="2889"/>
      <c r="O104" s="1692"/>
      <c r="P104" s="1692"/>
      <c r="Q104" s="1679"/>
    </row>
    <row r="105" spans="1:17">
      <c r="A105" s="134">
        <v>2001.12</v>
      </c>
      <c r="B105" s="120">
        <v>487</v>
      </c>
      <c r="C105" s="1682"/>
      <c r="D105" s="345"/>
      <c r="E105" s="1686">
        <v>3405</v>
      </c>
      <c r="F105" s="1692"/>
      <c r="G105" s="1679"/>
      <c r="H105" s="1686">
        <v>7181</v>
      </c>
      <c r="I105" s="1682"/>
      <c r="J105" s="1679"/>
      <c r="K105" s="1686">
        <v>33874</v>
      </c>
      <c r="L105" s="1692"/>
      <c r="M105" s="2779"/>
      <c r="N105" s="2889"/>
      <c r="O105" s="1692"/>
      <c r="P105" s="1692"/>
      <c r="Q105" s="1679"/>
    </row>
    <row r="106" spans="1:17">
      <c r="A106" s="134">
        <v>2002.01</v>
      </c>
      <c r="B106" s="120">
        <v>1472</v>
      </c>
      <c r="C106" s="1682"/>
      <c r="D106" s="345"/>
      <c r="E106" s="1686">
        <v>3304</v>
      </c>
      <c r="F106" s="1692"/>
      <c r="G106" s="1679"/>
      <c r="H106" s="1686">
        <v>16382</v>
      </c>
      <c r="I106" s="1682"/>
      <c r="J106" s="1679"/>
      <c r="K106" s="1686">
        <v>36613</v>
      </c>
      <c r="L106" s="1692"/>
      <c r="M106" s="2779"/>
      <c r="N106" s="2889"/>
      <c r="O106" s="1692"/>
      <c r="P106" s="1692"/>
      <c r="Q106" s="1679"/>
    </row>
    <row r="107" spans="1:17">
      <c r="A107" s="134">
        <v>2002.02</v>
      </c>
      <c r="B107" s="120">
        <v>756</v>
      </c>
      <c r="C107" s="1682"/>
      <c r="D107" s="345"/>
      <c r="E107" s="1686">
        <v>3230</v>
      </c>
      <c r="F107" s="1692"/>
      <c r="G107" s="1679"/>
      <c r="H107" s="1686">
        <v>8812</v>
      </c>
      <c r="I107" s="1682"/>
      <c r="J107" s="1679"/>
      <c r="K107" s="1686">
        <v>34038</v>
      </c>
      <c r="L107" s="1692"/>
      <c r="M107" s="2779"/>
      <c r="N107" s="2889"/>
      <c r="O107" s="1692"/>
      <c r="P107" s="1692"/>
      <c r="Q107" s="1679"/>
    </row>
    <row r="108" spans="1:17">
      <c r="A108" s="134">
        <v>2002.03</v>
      </c>
      <c r="B108" s="120">
        <v>1273</v>
      </c>
      <c r="C108" s="1682"/>
      <c r="D108" s="345"/>
      <c r="E108" s="1686">
        <v>3727</v>
      </c>
      <c r="F108" s="1692"/>
      <c r="G108" s="1679"/>
      <c r="H108" s="1686">
        <v>13497</v>
      </c>
      <c r="I108" s="1682"/>
      <c r="J108" s="1679"/>
      <c r="K108" s="1686">
        <v>39399</v>
      </c>
      <c r="L108" s="1692"/>
      <c r="M108" s="2779"/>
      <c r="N108" s="2889"/>
      <c r="O108" s="1692"/>
      <c r="P108" s="1692"/>
      <c r="Q108" s="1679"/>
    </row>
    <row r="109" spans="1:17">
      <c r="A109" s="134">
        <v>2002.04</v>
      </c>
      <c r="B109" s="120">
        <v>1236</v>
      </c>
      <c r="C109" s="1682"/>
      <c r="D109" s="345"/>
      <c r="E109" s="1686">
        <v>4168</v>
      </c>
      <c r="F109" s="1692"/>
      <c r="G109" s="1679"/>
      <c r="H109" s="1686">
        <v>13641</v>
      </c>
      <c r="I109" s="1682"/>
      <c r="J109" s="1679"/>
      <c r="K109" s="1686">
        <v>46068</v>
      </c>
      <c r="L109" s="1692"/>
      <c r="M109" s="2779"/>
      <c r="N109" s="2889"/>
      <c r="O109" s="1692"/>
      <c r="P109" s="1692"/>
      <c r="Q109" s="1679"/>
    </row>
    <row r="110" spans="1:17">
      <c r="A110" s="134">
        <v>2002.05</v>
      </c>
      <c r="B110" s="120">
        <v>853</v>
      </c>
      <c r="C110" s="1682"/>
      <c r="D110" s="345"/>
      <c r="E110" s="1686">
        <v>5231</v>
      </c>
      <c r="F110" s="1692"/>
      <c r="G110" s="1679"/>
      <c r="H110" s="1686">
        <v>10255</v>
      </c>
      <c r="I110" s="1682"/>
      <c r="J110" s="1679"/>
      <c r="K110" s="1686">
        <v>54093</v>
      </c>
      <c r="L110" s="1692"/>
      <c r="M110" s="2779"/>
      <c r="N110" s="2889"/>
      <c r="O110" s="1692"/>
      <c r="P110" s="1692"/>
      <c r="Q110" s="1679"/>
    </row>
    <row r="111" spans="1:17">
      <c r="A111" s="134">
        <v>2002.06</v>
      </c>
      <c r="B111" s="120">
        <v>410</v>
      </c>
      <c r="C111" s="1682"/>
      <c r="D111" s="345"/>
      <c r="E111" s="1686">
        <v>4437</v>
      </c>
      <c r="F111" s="1692"/>
      <c r="G111" s="1679"/>
      <c r="H111" s="1686">
        <v>4412</v>
      </c>
      <c r="I111" s="1682"/>
      <c r="J111" s="1679"/>
      <c r="K111" s="1686">
        <v>45095</v>
      </c>
      <c r="L111" s="1692"/>
      <c r="M111" s="2779"/>
      <c r="N111" s="2889"/>
      <c r="O111" s="1692"/>
      <c r="P111" s="1692"/>
      <c r="Q111" s="1679"/>
    </row>
    <row r="112" spans="1:17">
      <c r="A112" s="134">
        <v>2002.07</v>
      </c>
      <c r="B112" s="120">
        <v>641</v>
      </c>
      <c r="C112" s="1682"/>
      <c r="D112" s="345"/>
      <c r="E112" s="1686">
        <v>5711</v>
      </c>
      <c r="F112" s="1692"/>
      <c r="G112" s="1679"/>
      <c r="H112" s="1686">
        <v>5597</v>
      </c>
      <c r="I112" s="1682"/>
      <c r="J112" s="1679"/>
      <c r="K112" s="1686">
        <v>57367</v>
      </c>
      <c r="L112" s="1692"/>
      <c r="M112" s="2779"/>
      <c r="N112" s="2889"/>
      <c r="O112" s="1692"/>
      <c r="P112" s="1692"/>
      <c r="Q112" s="1679"/>
    </row>
    <row r="113" spans="1:17">
      <c r="A113" s="134">
        <v>2002.08</v>
      </c>
      <c r="B113" s="120">
        <v>737</v>
      </c>
      <c r="C113" s="1682"/>
      <c r="D113" s="345"/>
      <c r="E113" s="1686">
        <v>6070</v>
      </c>
      <c r="F113" s="1692"/>
      <c r="G113" s="1679"/>
      <c r="H113" s="1686">
        <v>5993</v>
      </c>
      <c r="I113" s="1682"/>
      <c r="J113" s="1679"/>
      <c r="K113" s="1686">
        <v>57719</v>
      </c>
      <c r="L113" s="1692"/>
      <c r="M113" s="2779"/>
      <c r="N113" s="2889"/>
      <c r="O113" s="1692"/>
      <c r="P113" s="1692"/>
      <c r="Q113" s="1679"/>
    </row>
    <row r="114" spans="1:17">
      <c r="A114" s="134">
        <v>2002.09</v>
      </c>
      <c r="B114" s="120">
        <v>632</v>
      </c>
      <c r="C114" s="1682"/>
      <c r="D114" s="345"/>
      <c r="E114" s="1686">
        <v>6195</v>
      </c>
      <c r="F114" s="1692"/>
      <c r="G114" s="1679"/>
      <c r="H114" s="1686">
        <v>5898</v>
      </c>
      <c r="I114" s="1682"/>
      <c r="J114" s="1679"/>
      <c r="K114" s="1686">
        <v>59192</v>
      </c>
      <c r="L114" s="1692"/>
      <c r="M114" s="2779"/>
      <c r="N114" s="2889"/>
      <c r="O114" s="1692"/>
      <c r="P114" s="1692"/>
      <c r="Q114" s="1679"/>
    </row>
    <row r="115" spans="1:17">
      <c r="A115" s="134">
        <v>2002.1</v>
      </c>
      <c r="B115" s="120">
        <v>724</v>
      </c>
      <c r="C115" s="1682"/>
      <c r="D115" s="345"/>
      <c r="E115" s="1686">
        <v>6587</v>
      </c>
      <c r="F115" s="1692"/>
      <c r="G115" s="1679"/>
      <c r="H115" s="1686">
        <v>6226</v>
      </c>
      <c r="I115" s="1682"/>
      <c r="J115" s="1679"/>
      <c r="K115" s="1686">
        <v>61473</v>
      </c>
      <c r="L115" s="1692"/>
      <c r="M115" s="2779"/>
      <c r="N115" s="2889"/>
      <c r="O115" s="1692"/>
      <c r="P115" s="1692"/>
      <c r="Q115" s="1679"/>
    </row>
    <row r="116" spans="1:17">
      <c r="A116" s="134">
        <v>2002.11</v>
      </c>
      <c r="B116" s="120">
        <v>511</v>
      </c>
      <c r="C116" s="1682"/>
      <c r="D116" s="345"/>
      <c r="E116" s="1686">
        <v>6019</v>
      </c>
      <c r="F116" s="1692"/>
      <c r="G116" s="1679"/>
      <c r="H116" s="1686">
        <v>5095</v>
      </c>
      <c r="I116" s="1682"/>
      <c r="J116" s="1679"/>
      <c r="K116" s="1686">
        <v>58352</v>
      </c>
      <c r="L116" s="1692"/>
      <c r="M116" s="2779"/>
      <c r="N116" s="2889"/>
      <c r="O116" s="1692"/>
      <c r="P116" s="1692"/>
      <c r="Q116" s="1679"/>
    </row>
    <row r="117" spans="1:17">
      <c r="A117" s="134">
        <v>2002.12</v>
      </c>
      <c r="B117" s="120">
        <v>623</v>
      </c>
      <c r="C117" s="1682"/>
      <c r="D117" s="345"/>
      <c r="E117" s="1686">
        <v>6467</v>
      </c>
      <c r="F117" s="1692"/>
      <c r="G117" s="1679"/>
      <c r="H117" s="1686">
        <v>5423</v>
      </c>
      <c r="I117" s="1682"/>
      <c r="J117" s="1679"/>
      <c r="K117" s="1686">
        <v>60745</v>
      </c>
      <c r="L117" s="1692"/>
      <c r="M117" s="2779"/>
      <c r="N117" s="2889"/>
      <c r="O117" s="1692"/>
      <c r="P117" s="1692"/>
      <c r="Q117" s="1679"/>
    </row>
    <row r="118" spans="1:17">
      <c r="A118" s="134">
        <v>2003.01</v>
      </c>
      <c r="B118" s="120">
        <v>1842</v>
      </c>
      <c r="C118" s="1682"/>
      <c r="D118" s="345"/>
      <c r="E118" s="1686">
        <v>7525</v>
      </c>
      <c r="F118" s="1692"/>
      <c r="G118" s="1679"/>
      <c r="H118" s="1686">
        <v>14503</v>
      </c>
      <c r="I118" s="1682"/>
      <c r="J118" s="1679"/>
      <c r="K118" s="1686">
        <v>68690</v>
      </c>
      <c r="L118" s="1692"/>
      <c r="M118" s="2779"/>
      <c r="N118" s="2889"/>
      <c r="O118" s="1692"/>
      <c r="P118" s="1692"/>
      <c r="Q118" s="1679"/>
    </row>
    <row r="119" spans="1:17">
      <c r="A119" s="134">
        <v>2003.02</v>
      </c>
      <c r="B119" s="120">
        <v>750</v>
      </c>
      <c r="C119" s="1682"/>
      <c r="D119" s="345"/>
      <c r="E119" s="1686">
        <v>5454</v>
      </c>
      <c r="F119" s="1692"/>
      <c r="G119" s="1679"/>
      <c r="H119" s="1686">
        <v>6749</v>
      </c>
      <c r="I119" s="1682"/>
      <c r="J119" s="1679"/>
      <c r="K119" s="1686">
        <v>54266</v>
      </c>
      <c r="L119" s="1692"/>
      <c r="M119" s="2779"/>
      <c r="N119" s="2889"/>
      <c r="O119" s="1692"/>
      <c r="P119" s="1692"/>
      <c r="Q119" s="1679"/>
    </row>
    <row r="120" spans="1:17">
      <c r="A120" s="134">
        <v>2003.03</v>
      </c>
      <c r="B120" s="120">
        <v>790</v>
      </c>
      <c r="C120" s="1682"/>
      <c r="D120" s="345"/>
      <c r="E120" s="1686">
        <v>6137</v>
      </c>
      <c r="F120" s="1692"/>
      <c r="G120" s="1679"/>
      <c r="H120" s="1686">
        <v>7503</v>
      </c>
      <c r="I120" s="1682"/>
      <c r="J120" s="1679"/>
      <c r="K120" s="1686">
        <v>59109</v>
      </c>
      <c r="L120" s="1692"/>
      <c r="M120" s="2779"/>
      <c r="N120" s="2889"/>
      <c r="O120" s="1692"/>
      <c r="P120" s="1692"/>
      <c r="Q120" s="1679"/>
    </row>
    <row r="121" spans="1:17">
      <c r="A121" s="134">
        <v>2003.04</v>
      </c>
      <c r="B121" s="120">
        <v>1016</v>
      </c>
      <c r="C121" s="1682"/>
      <c r="D121" s="345"/>
      <c r="E121" s="1686">
        <v>6187</v>
      </c>
      <c r="F121" s="1692"/>
      <c r="G121" s="1679"/>
      <c r="H121" s="1686">
        <v>9271</v>
      </c>
      <c r="I121" s="1682"/>
      <c r="J121" s="1679"/>
      <c r="K121" s="1686">
        <v>63573</v>
      </c>
      <c r="L121" s="1692"/>
      <c r="M121" s="2779"/>
      <c r="N121" s="2889"/>
      <c r="O121" s="1692"/>
      <c r="P121" s="1692"/>
      <c r="Q121" s="1679"/>
    </row>
    <row r="122" spans="1:17">
      <c r="A122" s="134">
        <v>2003.05</v>
      </c>
      <c r="B122" s="120">
        <v>1175</v>
      </c>
      <c r="C122" s="1682"/>
      <c r="D122" s="345"/>
      <c r="E122" s="1686">
        <v>6149</v>
      </c>
      <c r="F122" s="1692"/>
      <c r="G122" s="1679"/>
      <c r="H122" s="1686">
        <v>10842</v>
      </c>
      <c r="I122" s="1682"/>
      <c r="J122" s="1679"/>
      <c r="K122" s="1686">
        <v>62734</v>
      </c>
      <c r="L122" s="1692"/>
      <c r="M122" s="2779"/>
      <c r="N122" s="2889"/>
      <c r="O122" s="1692"/>
      <c r="P122" s="1692"/>
      <c r="Q122" s="1679"/>
    </row>
    <row r="123" spans="1:17">
      <c r="A123" s="134">
        <v>2003.06</v>
      </c>
      <c r="B123" s="120">
        <v>1397</v>
      </c>
      <c r="C123" s="1682"/>
      <c r="D123" s="345"/>
      <c r="E123" s="1686">
        <v>6322</v>
      </c>
      <c r="F123" s="1692"/>
      <c r="G123" s="1679"/>
      <c r="H123" s="1686">
        <v>11380</v>
      </c>
      <c r="I123" s="1682"/>
      <c r="J123" s="1679"/>
      <c r="K123" s="1686">
        <v>61478</v>
      </c>
      <c r="L123" s="1692"/>
      <c r="M123" s="2779"/>
      <c r="N123" s="2889"/>
      <c r="O123" s="1692"/>
      <c r="P123" s="1692"/>
      <c r="Q123" s="1679"/>
    </row>
    <row r="124" spans="1:17">
      <c r="A124" s="134">
        <v>2003.07</v>
      </c>
      <c r="B124" s="120">
        <v>1677</v>
      </c>
      <c r="C124" s="1682"/>
      <c r="D124" s="345"/>
      <c r="E124" s="1686">
        <v>8161</v>
      </c>
      <c r="F124" s="1692"/>
      <c r="G124" s="1679"/>
      <c r="H124" s="1686">
        <v>13759</v>
      </c>
      <c r="I124" s="1682"/>
      <c r="J124" s="1679"/>
      <c r="K124" s="1686">
        <v>77197</v>
      </c>
      <c r="L124" s="1692"/>
      <c r="M124" s="2779"/>
      <c r="N124" s="2889"/>
      <c r="O124" s="1692"/>
      <c r="P124" s="1692"/>
      <c r="Q124" s="1679"/>
    </row>
    <row r="125" spans="1:17">
      <c r="A125" s="134">
        <v>2003.08</v>
      </c>
      <c r="B125" s="120">
        <v>1610</v>
      </c>
      <c r="C125" s="1682"/>
      <c r="D125" s="345"/>
      <c r="E125" s="1686">
        <v>7561</v>
      </c>
      <c r="F125" s="1692"/>
      <c r="G125" s="1679"/>
      <c r="H125" s="1686">
        <v>13429</v>
      </c>
      <c r="I125" s="1682"/>
      <c r="J125" s="1679"/>
      <c r="K125" s="1686">
        <v>71338</v>
      </c>
      <c r="L125" s="1692"/>
      <c r="M125" s="2779"/>
      <c r="N125" s="2889"/>
      <c r="O125" s="1692"/>
      <c r="P125" s="1692"/>
      <c r="Q125" s="1679"/>
    </row>
    <row r="126" spans="1:17">
      <c r="A126" s="134">
        <v>2003.09</v>
      </c>
      <c r="B126" s="120">
        <v>1842</v>
      </c>
      <c r="C126" s="1682"/>
      <c r="D126" s="345"/>
      <c r="E126" s="1686">
        <v>7990</v>
      </c>
      <c r="F126" s="1692"/>
      <c r="G126" s="1679"/>
      <c r="H126" s="1686">
        <v>15537</v>
      </c>
      <c r="I126" s="1682"/>
      <c r="J126" s="1679"/>
      <c r="K126" s="1686">
        <v>75489</v>
      </c>
      <c r="L126" s="1692"/>
      <c r="M126" s="2779"/>
      <c r="N126" s="2889"/>
      <c r="O126" s="1692"/>
      <c r="P126" s="1692"/>
      <c r="Q126" s="1679"/>
    </row>
    <row r="127" spans="1:17">
      <c r="A127" s="134">
        <v>2003.1</v>
      </c>
      <c r="B127" s="120">
        <v>2034</v>
      </c>
      <c r="C127" s="1682"/>
      <c r="D127" s="345"/>
      <c r="E127" s="1686">
        <v>8143</v>
      </c>
      <c r="F127" s="1692"/>
      <c r="G127" s="1679"/>
      <c r="H127" s="1686">
        <v>17340</v>
      </c>
      <c r="I127" s="1682"/>
      <c r="J127" s="1679"/>
      <c r="K127" s="1686">
        <v>76204</v>
      </c>
      <c r="L127" s="1692"/>
      <c r="M127" s="2779"/>
      <c r="N127" s="2889"/>
      <c r="O127" s="1692"/>
      <c r="P127" s="1692"/>
      <c r="Q127" s="1679"/>
    </row>
    <row r="128" spans="1:17">
      <c r="A128" s="134">
        <v>2003.11</v>
      </c>
      <c r="B128" s="120">
        <v>1639</v>
      </c>
      <c r="C128" s="1682"/>
      <c r="D128" s="345"/>
      <c r="E128" s="1686">
        <v>7186</v>
      </c>
      <c r="F128" s="1692"/>
      <c r="G128" s="1679"/>
      <c r="H128" s="1686">
        <v>13859</v>
      </c>
      <c r="I128" s="1682"/>
      <c r="J128" s="1679"/>
      <c r="K128" s="1686">
        <v>67080</v>
      </c>
      <c r="L128" s="1692"/>
      <c r="M128" s="2779"/>
      <c r="N128" s="2889"/>
      <c r="O128" s="1692"/>
      <c r="P128" s="1692"/>
      <c r="Q128" s="1679"/>
    </row>
    <row r="129" spans="1:18">
      <c r="A129" s="134">
        <v>2003.12</v>
      </c>
      <c r="B129" s="120">
        <v>1329</v>
      </c>
      <c r="C129" s="1682"/>
      <c r="D129" s="345"/>
      <c r="E129" s="1686">
        <v>7408</v>
      </c>
      <c r="F129" s="1692"/>
      <c r="G129" s="1679"/>
      <c r="H129" s="1686">
        <v>11875</v>
      </c>
      <c r="I129" s="1682"/>
      <c r="J129" s="1679"/>
      <c r="K129" s="1686">
        <v>68164</v>
      </c>
      <c r="L129" s="1692"/>
      <c r="M129" s="2779"/>
      <c r="N129" s="2889"/>
      <c r="O129" s="1692"/>
      <c r="P129" s="1692"/>
      <c r="Q129" s="1679"/>
    </row>
    <row r="130" spans="1:18">
      <c r="A130" s="134">
        <v>2004.01</v>
      </c>
      <c r="B130" s="120">
        <v>4123</v>
      </c>
      <c r="C130" s="1682"/>
      <c r="D130" s="345"/>
      <c r="E130" s="1686">
        <v>8211</v>
      </c>
      <c r="F130" s="1692"/>
      <c r="G130" s="1679"/>
      <c r="H130" s="1686">
        <v>32743</v>
      </c>
      <c r="I130" s="1682"/>
      <c r="J130" s="1679"/>
      <c r="K130" s="1686">
        <v>74149</v>
      </c>
      <c r="L130" s="1692"/>
      <c r="M130" s="2779"/>
      <c r="N130" s="2889"/>
      <c r="O130" s="1692"/>
      <c r="P130" s="1692"/>
      <c r="Q130" s="1679"/>
    </row>
    <row r="131" spans="1:18">
      <c r="A131" s="134">
        <v>2004.02</v>
      </c>
      <c r="B131" s="120">
        <v>2346</v>
      </c>
      <c r="C131" s="1682"/>
      <c r="D131" s="345"/>
      <c r="E131" s="1686">
        <v>7508</v>
      </c>
      <c r="F131" s="1692"/>
      <c r="G131" s="1679"/>
      <c r="H131" s="1686">
        <v>19075</v>
      </c>
      <c r="I131" s="1682"/>
      <c r="J131" s="1679"/>
      <c r="K131" s="1686">
        <v>67065</v>
      </c>
      <c r="L131" s="1692"/>
      <c r="M131" s="2779"/>
      <c r="N131" s="2889"/>
      <c r="O131" s="1692"/>
      <c r="P131" s="1692"/>
      <c r="Q131" s="1679"/>
    </row>
    <row r="132" spans="1:18">
      <c r="A132" s="134">
        <v>2004.03</v>
      </c>
      <c r="B132" s="120">
        <v>2818</v>
      </c>
      <c r="C132" s="1682"/>
      <c r="D132" s="345"/>
      <c r="E132" s="1686">
        <v>8724</v>
      </c>
      <c r="F132" s="1692"/>
      <c r="G132" s="1679"/>
      <c r="H132" s="1686">
        <v>23929</v>
      </c>
      <c r="I132" s="1682"/>
      <c r="J132" s="1679"/>
      <c r="K132" s="1686">
        <v>81298</v>
      </c>
      <c r="L132" s="1692"/>
      <c r="M132" s="2779"/>
      <c r="N132" s="2889"/>
      <c r="O132" s="1692"/>
      <c r="P132" s="1692"/>
      <c r="Q132" s="1679"/>
    </row>
    <row r="133" spans="1:18">
      <c r="A133" s="134">
        <v>2004.04</v>
      </c>
      <c r="B133" s="120">
        <v>2827</v>
      </c>
      <c r="C133" s="1682"/>
      <c r="D133" s="345"/>
      <c r="E133" s="1686">
        <v>7305</v>
      </c>
      <c r="F133" s="1692"/>
      <c r="G133" s="1679"/>
      <c r="H133" s="1686">
        <v>22806</v>
      </c>
      <c r="I133" s="1682"/>
      <c r="J133" s="1679"/>
      <c r="K133" s="1686">
        <v>70834</v>
      </c>
      <c r="L133" s="1692"/>
      <c r="M133" s="2779"/>
      <c r="N133" s="2889"/>
      <c r="O133" s="1692"/>
      <c r="P133" s="1692"/>
      <c r="Q133" s="1679"/>
    </row>
    <row r="134" spans="1:18">
      <c r="A134" s="134">
        <v>2004.05</v>
      </c>
      <c r="B134" s="120">
        <v>2944</v>
      </c>
      <c r="C134" s="1682"/>
      <c r="D134" s="345"/>
      <c r="E134" s="1686">
        <v>7593</v>
      </c>
      <c r="F134" s="1692"/>
      <c r="G134" s="1679"/>
      <c r="H134" s="1686">
        <v>23503</v>
      </c>
      <c r="I134" s="1682"/>
      <c r="J134" s="1679"/>
      <c r="K134" s="1686">
        <v>71157</v>
      </c>
      <c r="L134" s="1692"/>
      <c r="M134" s="2779"/>
      <c r="N134" s="2889"/>
      <c r="O134" s="1692"/>
      <c r="P134" s="1692"/>
      <c r="Q134" s="1679"/>
    </row>
    <row r="135" spans="1:18">
      <c r="A135" s="134">
        <v>2004.06</v>
      </c>
      <c r="B135" s="120">
        <v>2811</v>
      </c>
      <c r="C135" s="1682"/>
      <c r="D135" s="345"/>
      <c r="E135" s="1686">
        <v>8356</v>
      </c>
      <c r="F135" s="1692"/>
      <c r="G135" s="1679"/>
      <c r="H135" s="1686">
        <v>24901</v>
      </c>
      <c r="I135" s="1682"/>
      <c r="J135" s="1679"/>
      <c r="K135" s="1686">
        <v>75146</v>
      </c>
      <c r="L135" s="1692"/>
      <c r="M135" s="2779"/>
      <c r="N135" s="2889"/>
      <c r="O135" s="1692"/>
      <c r="P135" s="1692"/>
      <c r="Q135" s="1679"/>
    </row>
    <row r="136" spans="1:18">
      <c r="A136" s="134">
        <v>2004.07</v>
      </c>
      <c r="B136" s="120">
        <v>3224</v>
      </c>
      <c r="C136" s="1682"/>
      <c r="D136" s="345"/>
      <c r="E136" s="1686">
        <v>8662</v>
      </c>
      <c r="F136" s="1692"/>
      <c r="G136" s="1679"/>
      <c r="H136" s="1686">
        <v>28193</v>
      </c>
      <c r="I136" s="1682"/>
      <c r="J136" s="1679"/>
      <c r="K136" s="1686">
        <v>80172</v>
      </c>
      <c r="L136" s="1692"/>
      <c r="M136" s="2779"/>
      <c r="N136" s="2889"/>
      <c r="O136" s="1692"/>
      <c r="P136" s="1692"/>
      <c r="Q136" s="1679"/>
    </row>
    <row r="137" spans="1:18">
      <c r="A137" s="134">
        <v>2004.08</v>
      </c>
      <c r="B137" s="120">
        <v>2924</v>
      </c>
      <c r="C137" s="1682"/>
      <c r="D137" s="345"/>
      <c r="E137" s="1686">
        <v>8888</v>
      </c>
      <c r="F137" s="1692"/>
      <c r="G137" s="1679"/>
      <c r="H137" s="1686">
        <v>28226</v>
      </c>
      <c r="I137" s="1682"/>
      <c r="J137" s="1679"/>
      <c r="K137" s="1686">
        <v>82810</v>
      </c>
      <c r="L137" s="1692"/>
      <c r="M137" s="2779"/>
      <c r="N137" s="2889"/>
      <c r="O137" s="1692"/>
      <c r="P137" s="1692"/>
      <c r="Q137" s="1679"/>
    </row>
    <row r="138" spans="1:18">
      <c r="A138" s="134">
        <v>2004.09</v>
      </c>
      <c r="B138" s="120">
        <v>3067</v>
      </c>
      <c r="C138" s="1682"/>
      <c r="D138" s="345"/>
      <c r="E138" s="1686">
        <v>8889</v>
      </c>
      <c r="F138" s="1692"/>
      <c r="G138" s="1679"/>
      <c r="H138" s="1686">
        <v>28411</v>
      </c>
      <c r="I138" s="1682"/>
      <c r="J138" s="1679"/>
      <c r="K138" s="1686">
        <v>83761</v>
      </c>
      <c r="L138" s="1692"/>
      <c r="M138" s="2779"/>
      <c r="N138" s="2889"/>
      <c r="O138" s="1692"/>
      <c r="P138" s="1692"/>
      <c r="Q138" s="1679"/>
    </row>
    <row r="139" spans="1:18">
      <c r="A139" s="134">
        <v>2004.1</v>
      </c>
      <c r="B139" s="120">
        <v>2483</v>
      </c>
      <c r="C139" s="1682"/>
      <c r="D139" s="345"/>
      <c r="E139" s="1686">
        <v>7705</v>
      </c>
      <c r="F139" s="1692"/>
      <c r="G139" s="1679"/>
      <c r="H139" s="1686">
        <v>24790</v>
      </c>
      <c r="I139" s="1682"/>
      <c r="J139" s="1679"/>
      <c r="K139" s="1686">
        <v>75972</v>
      </c>
      <c r="L139" s="1692"/>
      <c r="M139" s="2779"/>
      <c r="N139" s="2889"/>
      <c r="O139" s="1692"/>
      <c r="P139" s="1692"/>
      <c r="Q139" s="1679"/>
      <c r="R139" s="2751"/>
    </row>
    <row r="140" spans="1:18">
      <c r="A140" s="134">
        <v>2004.11</v>
      </c>
      <c r="B140" s="120">
        <v>2198</v>
      </c>
      <c r="C140" s="1682"/>
      <c r="D140" s="345"/>
      <c r="E140" s="1686">
        <v>8360</v>
      </c>
      <c r="F140" s="1692"/>
      <c r="G140" s="1679"/>
      <c r="H140" s="1686">
        <v>23267</v>
      </c>
      <c r="I140" s="1682"/>
      <c r="J140" s="1679"/>
      <c r="K140" s="1686">
        <v>83529</v>
      </c>
      <c r="L140" s="1692"/>
      <c r="M140" s="2779"/>
      <c r="N140" s="2889"/>
      <c r="O140" s="1692"/>
      <c r="P140" s="1692"/>
      <c r="Q140" s="1679"/>
      <c r="R140" s="2751"/>
    </row>
    <row r="141" spans="1:18">
      <c r="A141" s="134">
        <v>2004.12</v>
      </c>
      <c r="B141" s="120">
        <v>909</v>
      </c>
      <c r="C141" s="1682"/>
      <c r="D141" s="345"/>
      <c r="E141" s="1686">
        <v>8325</v>
      </c>
      <c r="F141" s="1692"/>
      <c r="G141" s="1679"/>
      <c r="H141" s="1686">
        <v>12635</v>
      </c>
      <c r="I141" s="1682"/>
      <c r="J141" s="1679"/>
      <c r="K141" s="1686">
        <v>82984</v>
      </c>
      <c r="L141" s="1692"/>
      <c r="M141" s="2779"/>
      <c r="N141" s="2889"/>
      <c r="O141" s="1692"/>
      <c r="P141" s="1692"/>
      <c r="Q141" s="1679"/>
      <c r="R141" s="2751"/>
    </row>
    <row r="142" spans="1:18">
      <c r="A142" s="134">
        <v>2005.01</v>
      </c>
      <c r="B142" s="120">
        <v>5828</v>
      </c>
      <c r="C142" s="1682"/>
      <c r="D142" s="345"/>
      <c r="E142" s="1686">
        <v>7653</v>
      </c>
      <c r="F142" s="1692"/>
      <c r="G142" s="1679"/>
      <c r="H142" s="1686">
        <v>53721</v>
      </c>
      <c r="I142" s="1682"/>
      <c r="J142" s="1679"/>
      <c r="K142" s="1686">
        <v>77883</v>
      </c>
      <c r="L142" s="1692"/>
      <c r="M142" s="2779"/>
      <c r="N142" s="2889"/>
      <c r="O142" s="1692"/>
      <c r="P142" s="1692"/>
      <c r="Q142" s="1679"/>
      <c r="R142" s="2751"/>
    </row>
    <row r="143" spans="1:18">
      <c r="A143" s="134">
        <v>2005.02</v>
      </c>
      <c r="B143" s="120">
        <v>2768</v>
      </c>
      <c r="C143" s="1682"/>
      <c r="D143" s="345"/>
      <c r="E143" s="1686">
        <v>7413</v>
      </c>
      <c r="F143" s="1692"/>
      <c r="G143" s="1679"/>
      <c r="H143" s="1686">
        <v>27129</v>
      </c>
      <c r="I143" s="1682"/>
      <c r="J143" s="1679"/>
      <c r="K143" s="1686">
        <v>74863</v>
      </c>
      <c r="L143" s="1692"/>
      <c r="M143" s="2779"/>
      <c r="N143" s="2889"/>
      <c r="O143" s="1692"/>
      <c r="P143" s="1692"/>
      <c r="Q143" s="1679"/>
      <c r="R143" s="2751"/>
    </row>
    <row r="144" spans="1:18">
      <c r="A144" s="134">
        <v>2005.03</v>
      </c>
      <c r="B144" s="120">
        <v>3085</v>
      </c>
      <c r="C144" s="1682"/>
      <c r="D144" s="345"/>
      <c r="E144" s="1686">
        <v>7912</v>
      </c>
      <c r="F144" s="1692"/>
      <c r="G144" s="1679"/>
      <c r="H144" s="1686">
        <v>31050</v>
      </c>
      <c r="I144" s="1682"/>
      <c r="J144" s="1679"/>
      <c r="K144" s="1686">
        <v>81414</v>
      </c>
      <c r="L144" s="1692"/>
      <c r="M144" s="2779"/>
      <c r="N144" s="2889"/>
      <c r="O144" s="1692"/>
      <c r="P144" s="1692"/>
      <c r="Q144" s="1679"/>
      <c r="R144" s="2751"/>
    </row>
    <row r="145" spans="1:18">
      <c r="A145" s="134">
        <v>2005.04</v>
      </c>
      <c r="B145" s="120">
        <v>3175</v>
      </c>
      <c r="C145" s="1682"/>
      <c r="D145" s="345"/>
      <c r="E145" s="1686">
        <v>7991</v>
      </c>
      <c r="F145" s="1692"/>
      <c r="G145" s="1679"/>
      <c r="H145" s="1686">
        <v>33139</v>
      </c>
      <c r="I145" s="1682"/>
      <c r="J145" s="1679"/>
      <c r="K145" s="1686">
        <v>83175</v>
      </c>
      <c r="L145" s="1692"/>
      <c r="M145" s="2779"/>
      <c r="N145" s="2889"/>
      <c r="O145" s="1692"/>
      <c r="P145" s="1692"/>
      <c r="Q145" s="1679"/>
      <c r="R145" s="2751"/>
    </row>
    <row r="146" spans="1:18">
      <c r="A146" s="134">
        <v>2005.05</v>
      </c>
      <c r="B146" s="120">
        <v>3334</v>
      </c>
      <c r="C146" s="1682"/>
      <c r="D146" s="345"/>
      <c r="E146" s="1686">
        <v>8841</v>
      </c>
      <c r="F146" s="1692"/>
      <c r="G146" s="1679"/>
      <c r="H146" s="1686">
        <v>33596</v>
      </c>
      <c r="I146" s="1682"/>
      <c r="J146" s="1679"/>
      <c r="K146" s="1686">
        <v>88210</v>
      </c>
      <c r="L146" s="1692"/>
      <c r="M146" s="2779"/>
      <c r="N146" s="2889"/>
      <c r="O146" s="1692"/>
      <c r="P146" s="1692"/>
      <c r="Q146" s="1679"/>
      <c r="R146" s="2751"/>
    </row>
    <row r="147" spans="1:18">
      <c r="A147" s="134">
        <v>2005.06</v>
      </c>
      <c r="B147" s="120">
        <v>3255</v>
      </c>
      <c r="C147" s="1682"/>
      <c r="D147" s="345"/>
      <c r="E147" s="1686">
        <v>9082</v>
      </c>
      <c r="F147" s="1692"/>
      <c r="G147" s="1679"/>
      <c r="H147" s="1686">
        <v>32899</v>
      </c>
      <c r="I147" s="1682"/>
      <c r="J147" s="1679"/>
      <c r="K147" s="1686">
        <v>86489</v>
      </c>
      <c r="L147" s="1692"/>
      <c r="M147" s="2779"/>
      <c r="N147" s="2889"/>
      <c r="O147" s="1692"/>
      <c r="P147" s="1692"/>
      <c r="Q147" s="1679"/>
      <c r="R147" s="2751"/>
    </row>
    <row r="148" spans="1:18">
      <c r="A148" s="134">
        <v>2005.07</v>
      </c>
      <c r="B148" s="120">
        <v>3477</v>
      </c>
      <c r="C148" s="1682"/>
      <c r="D148" s="345"/>
      <c r="E148" s="1686">
        <v>9304</v>
      </c>
      <c r="F148" s="1692"/>
      <c r="G148" s="1679"/>
      <c r="H148" s="1686">
        <v>34385</v>
      </c>
      <c r="I148" s="1682"/>
      <c r="J148" s="1679"/>
      <c r="K148" s="1686">
        <v>88926</v>
      </c>
      <c r="L148" s="1692"/>
      <c r="M148" s="2779"/>
      <c r="N148" s="2889"/>
      <c r="O148" s="1692"/>
      <c r="P148" s="1692"/>
      <c r="Q148" s="1679"/>
      <c r="R148" s="2751"/>
    </row>
    <row r="149" spans="1:18">
      <c r="A149" s="134">
        <v>2005.08</v>
      </c>
      <c r="B149" s="120">
        <v>3269</v>
      </c>
      <c r="C149" s="1682"/>
      <c r="D149" s="345"/>
      <c r="E149" s="1686">
        <v>10113</v>
      </c>
      <c r="F149" s="1692"/>
      <c r="G149" s="1679"/>
      <c r="H149" s="1686">
        <v>32009</v>
      </c>
      <c r="I149" s="1682"/>
      <c r="J149" s="1679"/>
      <c r="K149" s="1686">
        <v>95352</v>
      </c>
      <c r="L149" s="1692"/>
      <c r="M149" s="2779"/>
      <c r="N149" s="2889"/>
      <c r="O149" s="1692"/>
      <c r="P149" s="1692"/>
      <c r="Q149" s="1679"/>
      <c r="R149" s="2751"/>
    </row>
    <row r="150" spans="1:18">
      <c r="A150" s="134">
        <v>2005.09</v>
      </c>
      <c r="B150" s="120">
        <v>3617</v>
      </c>
      <c r="C150" s="1682"/>
      <c r="D150" s="345"/>
      <c r="E150" s="1686">
        <v>10045</v>
      </c>
      <c r="F150" s="1692"/>
      <c r="G150" s="1679"/>
      <c r="H150" s="1686">
        <v>36248</v>
      </c>
      <c r="I150" s="1682"/>
      <c r="J150" s="1679"/>
      <c r="K150" s="1686">
        <v>95630</v>
      </c>
      <c r="L150" s="1692"/>
      <c r="M150" s="2779"/>
      <c r="N150" s="2889"/>
      <c r="O150" s="1692"/>
      <c r="P150" s="1692"/>
      <c r="Q150" s="1679"/>
      <c r="R150" s="2751"/>
    </row>
    <row r="151" spans="1:18">
      <c r="A151" s="134">
        <v>2005.1</v>
      </c>
      <c r="B151" s="120">
        <v>2864</v>
      </c>
      <c r="C151" s="1682"/>
      <c r="D151" s="345"/>
      <c r="E151" s="1686">
        <v>8789</v>
      </c>
      <c r="F151" s="1692"/>
      <c r="G151" s="1679"/>
      <c r="H151" s="1686">
        <v>30759</v>
      </c>
      <c r="I151" s="1682"/>
      <c r="J151" s="1679"/>
      <c r="K151" s="1686">
        <v>86703</v>
      </c>
      <c r="L151" s="1692"/>
      <c r="M151" s="2779"/>
      <c r="N151" s="2889"/>
      <c r="O151" s="1692"/>
      <c r="P151" s="1692"/>
      <c r="Q151" s="1679"/>
      <c r="R151" s="2751"/>
    </row>
    <row r="152" spans="1:18">
      <c r="A152" s="134">
        <v>2005.11</v>
      </c>
      <c r="B152" s="120">
        <v>2450</v>
      </c>
      <c r="C152" s="1682"/>
      <c r="D152" s="345"/>
      <c r="E152" s="1686">
        <v>9487</v>
      </c>
      <c r="F152" s="1692"/>
      <c r="G152" s="1679"/>
      <c r="H152" s="1686">
        <v>29545</v>
      </c>
      <c r="I152" s="1682"/>
      <c r="J152" s="1679"/>
      <c r="K152" s="1686">
        <v>95176</v>
      </c>
      <c r="L152" s="1692"/>
      <c r="M152" s="2779"/>
      <c r="N152" s="2889"/>
      <c r="O152" s="1692"/>
      <c r="P152" s="1692"/>
      <c r="Q152" s="1679"/>
      <c r="R152" s="2751"/>
    </row>
    <row r="153" spans="1:18">
      <c r="A153" s="134">
        <v>2005.12</v>
      </c>
      <c r="B153" s="120">
        <v>952</v>
      </c>
      <c r="C153" s="1682"/>
      <c r="D153" s="345"/>
      <c r="E153" s="1686">
        <v>7923</v>
      </c>
      <c r="F153" s="1692"/>
      <c r="G153" s="1679"/>
      <c r="H153" s="1686">
        <v>14754</v>
      </c>
      <c r="I153" s="1682"/>
      <c r="J153" s="1679"/>
      <c r="K153" s="1686">
        <v>80491</v>
      </c>
      <c r="L153" s="1692"/>
      <c r="M153" s="2779"/>
      <c r="N153" s="2889"/>
      <c r="O153" s="1692"/>
      <c r="P153" s="1692"/>
      <c r="Q153" s="1679"/>
      <c r="R153" s="2751"/>
    </row>
    <row r="154" spans="1:18">
      <c r="A154" s="134">
        <v>2006.01</v>
      </c>
      <c r="B154" s="120">
        <v>6745</v>
      </c>
      <c r="C154" s="1682"/>
      <c r="D154" s="345"/>
      <c r="E154" s="1686">
        <v>9838</v>
      </c>
      <c r="F154" s="1692"/>
      <c r="G154" s="1679"/>
      <c r="H154" s="1686">
        <v>66276</v>
      </c>
      <c r="I154" s="1682"/>
      <c r="J154" s="1679"/>
      <c r="K154" s="1686">
        <v>105347</v>
      </c>
      <c r="L154" s="1692"/>
      <c r="M154" s="2779"/>
      <c r="N154" s="2889"/>
      <c r="O154" s="1692"/>
      <c r="P154" s="1692"/>
      <c r="Q154" s="1679"/>
      <c r="R154" s="2751"/>
    </row>
    <row r="155" spans="1:18">
      <c r="A155" s="134">
        <v>2006.02</v>
      </c>
      <c r="B155" s="120">
        <v>3047</v>
      </c>
      <c r="C155" s="1682"/>
      <c r="D155" s="345"/>
      <c r="E155" s="1686">
        <v>8382</v>
      </c>
      <c r="F155" s="1692"/>
      <c r="G155" s="1679"/>
      <c r="H155" s="1686">
        <v>32754</v>
      </c>
      <c r="I155" s="1682"/>
      <c r="J155" s="1679"/>
      <c r="K155" s="1686">
        <v>87601</v>
      </c>
      <c r="L155" s="1692"/>
      <c r="M155" s="2779"/>
      <c r="N155" s="2889"/>
      <c r="O155" s="1692"/>
      <c r="P155" s="1692"/>
      <c r="Q155" s="1679"/>
      <c r="R155" s="2751"/>
    </row>
    <row r="156" spans="1:18">
      <c r="A156" s="134">
        <v>2006.03</v>
      </c>
      <c r="B156" s="120">
        <v>3562</v>
      </c>
      <c r="C156" s="1682"/>
      <c r="D156" s="345"/>
      <c r="E156" s="1686">
        <v>9331</v>
      </c>
      <c r="F156" s="1692"/>
      <c r="G156" s="1679"/>
      <c r="H156" s="1686">
        <v>40837</v>
      </c>
      <c r="I156" s="1682"/>
      <c r="J156" s="1679"/>
      <c r="K156" s="1686">
        <v>99397</v>
      </c>
      <c r="L156" s="1692"/>
      <c r="M156" s="2779"/>
      <c r="N156" s="2889"/>
      <c r="O156" s="1692"/>
      <c r="P156" s="1692"/>
      <c r="Q156" s="1679"/>
      <c r="R156" s="2751"/>
    </row>
    <row r="157" spans="1:18">
      <c r="A157" s="134">
        <v>2006.04</v>
      </c>
      <c r="B157" s="120">
        <v>3222</v>
      </c>
      <c r="C157" s="1682"/>
      <c r="D157" s="345"/>
      <c r="E157" s="1686">
        <v>8581</v>
      </c>
      <c r="F157" s="1692"/>
      <c r="G157" s="1679"/>
      <c r="H157" s="1686">
        <v>34671</v>
      </c>
      <c r="I157" s="1682"/>
      <c r="J157" s="1679"/>
      <c r="K157" s="1686">
        <v>90044</v>
      </c>
      <c r="L157" s="1692"/>
      <c r="M157" s="2779"/>
      <c r="N157" s="2889"/>
      <c r="O157" s="1692"/>
      <c r="P157" s="1692"/>
      <c r="Q157" s="1679"/>
      <c r="R157" s="2751"/>
    </row>
    <row r="158" spans="1:18">
      <c r="A158" s="134">
        <v>2006.05</v>
      </c>
      <c r="B158" s="120">
        <v>3517</v>
      </c>
      <c r="C158" s="1682"/>
      <c r="D158" s="345"/>
      <c r="E158" s="1686">
        <v>9913</v>
      </c>
      <c r="F158" s="1692"/>
      <c r="G158" s="1679"/>
      <c r="H158" s="1686">
        <v>38660</v>
      </c>
      <c r="I158" s="1682"/>
      <c r="J158" s="1679"/>
      <c r="K158" s="1686">
        <v>104729</v>
      </c>
      <c r="L158" s="1692"/>
      <c r="M158" s="2779"/>
      <c r="N158" s="2889"/>
      <c r="O158" s="1692"/>
      <c r="P158" s="1692"/>
      <c r="Q158" s="1679"/>
      <c r="R158" s="2751"/>
    </row>
    <row r="159" spans="1:18">
      <c r="A159" s="134">
        <v>2006.06</v>
      </c>
      <c r="B159" s="120">
        <v>3289</v>
      </c>
      <c r="C159" s="1682"/>
      <c r="D159" s="345"/>
      <c r="E159" s="1686">
        <v>9697</v>
      </c>
      <c r="F159" s="1692"/>
      <c r="G159" s="1679"/>
      <c r="H159" s="1686">
        <v>36832</v>
      </c>
      <c r="I159" s="1682"/>
      <c r="J159" s="1679"/>
      <c r="K159" s="1686">
        <v>99445</v>
      </c>
      <c r="L159" s="1692"/>
      <c r="M159" s="2779"/>
      <c r="N159" s="2889"/>
      <c r="O159" s="1692"/>
      <c r="P159" s="1692"/>
      <c r="Q159" s="1679"/>
      <c r="R159" s="2751"/>
    </row>
    <row r="160" spans="1:18">
      <c r="A160" s="134">
        <v>2006.07</v>
      </c>
      <c r="B160" s="120">
        <v>3343</v>
      </c>
      <c r="C160" s="1682"/>
      <c r="D160" s="345"/>
      <c r="E160" s="1686">
        <v>10587</v>
      </c>
      <c r="F160" s="1692"/>
      <c r="G160" s="1679"/>
      <c r="H160" s="1686">
        <v>37141</v>
      </c>
      <c r="I160" s="1682"/>
      <c r="J160" s="1679"/>
      <c r="K160" s="1686">
        <v>109664</v>
      </c>
      <c r="L160" s="1692"/>
      <c r="M160" s="2779"/>
      <c r="N160" s="2889"/>
      <c r="O160" s="1692"/>
      <c r="P160" s="1692"/>
      <c r="Q160" s="1679"/>
      <c r="R160" s="2751"/>
    </row>
    <row r="161" spans="1:18">
      <c r="A161" s="134">
        <v>2006.08</v>
      </c>
      <c r="B161" s="120">
        <v>3760</v>
      </c>
      <c r="C161" s="1682"/>
      <c r="D161" s="345"/>
      <c r="E161" s="1686">
        <v>11227</v>
      </c>
      <c r="F161" s="1692"/>
      <c r="G161" s="1679"/>
      <c r="H161" s="1686">
        <v>39587</v>
      </c>
      <c r="I161" s="1682"/>
      <c r="J161" s="1679"/>
      <c r="K161" s="1686">
        <v>115339</v>
      </c>
      <c r="L161" s="1692"/>
      <c r="M161" s="2779"/>
      <c r="N161" s="2889"/>
      <c r="O161" s="1692"/>
      <c r="P161" s="1692"/>
      <c r="Q161" s="1679"/>
      <c r="R161" s="2751"/>
    </row>
    <row r="162" spans="1:18">
      <c r="A162" s="134">
        <v>2006.09</v>
      </c>
      <c r="B162" s="120">
        <v>3582</v>
      </c>
      <c r="C162" s="1682"/>
      <c r="D162" s="345"/>
      <c r="E162" s="1686">
        <v>10937</v>
      </c>
      <c r="F162" s="1692"/>
      <c r="G162" s="1679"/>
      <c r="H162" s="1686">
        <v>39809</v>
      </c>
      <c r="I162" s="1682"/>
      <c r="J162" s="1679"/>
      <c r="K162" s="1686">
        <v>109209</v>
      </c>
      <c r="L162" s="1692"/>
      <c r="M162" s="2779"/>
      <c r="N162" s="2889"/>
      <c r="O162" s="1692"/>
      <c r="P162" s="1692"/>
      <c r="Q162" s="1679"/>
      <c r="R162" s="2751"/>
    </row>
    <row r="163" spans="1:18">
      <c r="A163" s="134">
        <v>2006.1</v>
      </c>
      <c r="B163" s="120">
        <v>3333</v>
      </c>
      <c r="C163" s="1682"/>
      <c r="D163" s="345"/>
      <c r="E163" s="1686">
        <v>10018</v>
      </c>
      <c r="F163" s="1692"/>
      <c r="G163" s="1679"/>
      <c r="H163" s="1686">
        <v>36157</v>
      </c>
      <c r="I163" s="1682"/>
      <c r="J163" s="1679"/>
      <c r="K163" s="1686">
        <v>106340</v>
      </c>
      <c r="L163" s="1692"/>
      <c r="M163" s="2779"/>
      <c r="N163" s="2889"/>
      <c r="O163" s="1692"/>
      <c r="P163" s="1692"/>
      <c r="Q163" s="1679"/>
      <c r="R163" s="2751"/>
    </row>
    <row r="164" spans="1:18">
      <c r="A164" s="134">
        <v>2006.11</v>
      </c>
      <c r="B164" s="120">
        <v>2569</v>
      </c>
      <c r="C164" s="1682"/>
      <c r="D164" s="345"/>
      <c r="E164" s="1686">
        <v>10626</v>
      </c>
      <c r="F164" s="1692"/>
      <c r="G164" s="1679"/>
      <c r="H164" s="1686">
        <v>33403</v>
      </c>
      <c r="I164" s="1682"/>
      <c r="J164" s="1679"/>
      <c r="K164" s="1686">
        <v>112074</v>
      </c>
      <c r="L164" s="1692"/>
      <c r="M164" s="2779"/>
      <c r="N164" s="2889"/>
      <c r="O164" s="1692"/>
      <c r="P164" s="1692"/>
      <c r="Q164" s="1679"/>
      <c r="R164" s="2751"/>
    </row>
    <row r="165" spans="1:18">
      <c r="A165" s="134">
        <v>2006.12</v>
      </c>
      <c r="B165" s="120">
        <v>1155</v>
      </c>
      <c r="C165" s="1682"/>
      <c r="D165" s="345"/>
      <c r="E165" s="1686">
        <v>8082</v>
      </c>
      <c r="F165" s="1692"/>
      <c r="G165" s="1679"/>
      <c r="H165" s="1686">
        <v>16455</v>
      </c>
      <c r="I165" s="1682"/>
      <c r="J165" s="1679"/>
      <c r="K165" s="1686">
        <v>84999</v>
      </c>
      <c r="L165" s="1692"/>
      <c r="M165" s="2779"/>
      <c r="N165" s="2889"/>
      <c r="O165" s="1692"/>
      <c r="P165" s="1692"/>
      <c r="Q165" s="1679"/>
      <c r="R165" s="2751"/>
    </row>
    <row r="166" spans="1:18">
      <c r="A166" s="134">
        <v>2007.01</v>
      </c>
      <c r="B166" s="120">
        <v>7698</v>
      </c>
      <c r="C166" s="1683">
        <v>3883</v>
      </c>
      <c r="D166" s="345"/>
      <c r="E166" s="1686">
        <v>10808</v>
      </c>
      <c r="F166" s="1683">
        <v>1497</v>
      </c>
      <c r="G166" s="1679"/>
      <c r="H166" s="1686">
        <v>82813</v>
      </c>
      <c r="I166" s="1683">
        <v>28659</v>
      </c>
      <c r="J166" s="1679"/>
      <c r="K166" s="1686">
        <v>120143</v>
      </c>
      <c r="L166" s="1683">
        <v>8293</v>
      </c>
      <c r="M166" s="2779"/>
      <c r="N166" s="2889"/>
      <c r="O166" s="1692"/>
      <c r="P166" s="1692"/>
      <c r="Q166" s="1679"/>
      <c r="R166" s="2751"/>
    </row>
    <row r="167" spans="1:18">
      <c r="A167" s="134">
        <v>2007.02</v>
      </c>
      <c r="B167" s="120">
        <v>3515</v>
      </c>
      <c r="C167" s="1684">
        <v>3302</v>
      </c>
      <c r="D167" s="345"/>
      <c r="E167" s="1686">
        <v>9372</v>
      </c>
      <c r="F167" s="1684">
        <v>1299</v>
      </c>
      <c r="G167" s="1679"/>
      <c r="H167" s="1686">
        <v>39156</v>
      </c>
      <c r="I167" s="1684">
        <v>25073</v>
      </c>
      <c r="J167" s="1679"/>
      <c r="K167" s="1686">
        <v>98349</v>
      </c>
      <c r="L167" s="1684">
        <v>7430</v>
      </c>
      <c r="M167" s="2779"/>
      <c r="N167" s="2889"/>
      <c r="O167" s="1692"/>
      <c r="P167" s="1692"/>
      <c r="Q167" s="1679"/>
      <c r="R167" s="2751"/>
    </row>
    <row r="168" spans="1:18">
      <c r="A168" s="134">
        <v>2007.03</v>
      </c>
      <c r="B168" s="120">
        <v>4023</v>
      </c>
      <c r="C168" s="1684">
        <v>3647</v>
      </c>
      <c r="D168" s="345"/>
      <c r="E168" s="1686">
        <v>10283</v>
      </c>
      <c r="F168" s="1684">
        <v>1502</v>
      </c>
      <c r="G168" s="1679"/>
      <c r="H168" s="1686">
        <v>47511</v>
      </c>
      <c r="I168" s="1684">
        <v>29057</v>
      </c>
      <c r="J168" s="1679"/>
      <c r="K168" s="1686">
        <v>109595</v>
      </c>
      <c r="L168" s="1684">
        <v>8467</v>
      </c>
      <c r="M168" s="2779"/>
      <c r="N168" s="2889"/>
      <c r="O168" s="1692"/>
      <c r="P168" s="1692"/>
      <c r="Q168" s="1679"/>
      <c r="R168" s="2751"/>
    </row>
    <row r="169" spans="1:18">
      <c r="A169" s="134">
        <v>2007.04</v>
      </c>
      <c r="B169" s="120">
        <v>3628</v>
      </c>
      <c r="C169" s="1684">
        <v>3241</v>
      </c>
      <c r="D169" s="345"/>
      <c r="E169" s="1686">
        <v>8573</v>
      </c>
      <c r="F169" s="1684">
        <v>1237</v>
      </c>
      <c r="G169" s="1679"/>
      <c r="H169" s="1686">
        <v>42184</v>
      </c>
      <c r="I169" s="1684">
        <v>25838</v>
      </c>
      <c r="J169" s="1679"/>
      <c r="K169" s="1686">
        <v>94881</v>
      </c>
      <c r="L169" s="1684">
        <v>7151</v>
      </c>
      <c r="M169" s="2779"/>
      <c r="N169" s="2889"/>
      <c r="O169" s="1692"/>
      <c r="P169" s="1692"/>
      <c r="Q169" s="1679"/>
      <c r="R169" s="2751"/>
    </row>
    <row r="170" spans="1:18">
      <c r="A170" s="134">
        <v>2007.05</v>
      </c>
      <c r="B170" s="120">
        <v>4200</v>
      </c>
      <c r="C170" s="1684">
        <v>3179</v>
      </c>
      <c r="D170" s="345"/>
      <c r="E170" s="1686">
        <v>10288</v>
      </c>
      <c r="F170" s="1684">
        <v>1358</v>
      </c>
      <c r="G170" s="1679"/>
      <c r="H170" s="1686">
        <v>47516</v>
      </c>
      <c r="I170" s="1684">
        <v>27905</v>
      </c>
      <c r="J170" s="1679"/>
      <c r="K170" s="1686">
        <v>111293</v>
      </c>
      <c r="L170" s="1684">
        <v>7948</v>
      </c>
      <c r="M170" s="2779"/>
      <c r="N170" s="2889"/>
      <c r="O170" s="1692"/>
      <c r="P170" s="1692"/>
      <c r="Q170" s="1679"/>
      <c r="R170" s="2751"/>
    </row>
    <row r="171" spans="1:18">
      <c r="A171" s="134">
        <v>2007.06</v>
      </c>
      <c r="B171" s="120">
        <v>3958</v>
      </c>
      <c r="C171" s="1684">
        <v>2881</v>
      </c>
      <c r="D171" s="345"/>
      <c r="E171" s="1686">
        <v>9952</v>
      </c>
      <c r="F171" s="1684">
        <v>1197</v>
      </c>
      <c r="G171" s="1679"/>
      <c r="H171" s="1686">
        <v>42677</v>
      </c>
      <c r="I171" s="1684">
        <v>24493</v>
      </c>
      <c r="J171" s="1679"/>
      <c r="K171" s="1686">
        <v>105110</v>
      </c>
      <c r="L171" s="1684">
        <v>7221</v>
      </c>
      <c r="M171" s="2779"/>
      <c r="N171" s="2889"/>
      <c r="O171" s="1692"/>
      <c r="P171" s="1692"/>
      <c r="Q171" s="1679"/>
      <c r="R171" s="2751"/>
    </row>
    <row r="172" spans="1:18">
      <c r="A172" s="134">
        <v>2007.07</v>
      </c>
      <c r="B172" s="120">
        <v>4505</v>
      </c>
      <c r="C172" s="1684">
        <v>3538</v>
      </c>
      <c r="D172" s="345"/>
      <c r="E172" s="1686">
        <v>11723</v>
      </c>
      <c r="F172" s="1684">
        <v>1311</v>
      </c>
      <c r="G172" s="1679"/>
      <c r="H172" s="1686">
        <v>50448</v>
      </c>
      <c r="I172" s="1684">
        <v>28960</v>
      </c>
      <c r="J172" s="1679"/>
      <c r="K172" s="1686">
        <v>119477</v>
      </c>
      <c r="L172" s="1684">
        <v>7933</v>
      </c>
      <c r="M172" s="2779"/>
      <c r="N172" s="2889"/>
      <c r="O172" s="1692"/>
      <c r="P172" s="1692"/>
      <c r="Q172" s="1679"/>
      <c r="R172" s="2751"/>
    </row>
    <row r="173" spans="1:18">
      <c r="A173" s="134">
        <v>2007.08</v>
      </c>
      <c r="B173" s="120">
        <v>5436</v>
      </c>
      <c r="C173" s="1684">
        <v>3954</v>
      </c>
      <c r="D173" s="345"/>
      <c r="E173" s="1686">
        <v>13207</v>
      </c>
      <c r="F173" s="1684">
        <v>1439</v>
      </c>
      <c r="G173" s="1679"/>
      <c r="H173" s="1686">
        <v>54708</v>
      </c>
      <c r="I173" s="1684">
        <v>31198</v>
      </c>
      <c r="J173" s="1679"/>
      <c r="K173" s="1686">
        <v>131239</v>
      </c>
      <c r="L173" s="1684">
        <v>8925</v>
      </c>
      <c r="M173" s="2779"/>
      <c r="N173" s="2889"/>
      <c r="O173" s="1692"/>
      <c r="P173" s="1692"/>
      <c r="Q173" s="1679"/>
      <c r="R173" s="2751"/>
    </row>
    <row r="174" spans="1:18">
      <c r="A174" s="134">
        <v>2007.09</v>
      </c>
      <c r="B174" s="120">
        <v>4882</v>
      </c>
      <c r="C174" s="1684">
        <v>3759</v>
      </c>
      <c r="D174" s="345"/>
      <c r="E174" s="1686">
        <v>11571</v>
      </c>
      <c r="F174" s="1684">
        <v>1504</v>
      </c>
      <c r="G174" s="1679"/>
      <c r="H174" s="1686">
        <v>49467</v>
      </c>
      <c r="I174" s="1684">
        <v>29808</v>
      </c>
      <c r="J174" s="1679"/>
      <c r="K174" s="1686">
        <v>118393</v>
      </c>
      <c r="L174" s="1684">
        <v>8664</v>
      </c>
      <c r="M174" s="2779"/>
      <c r="N174" s="2889"/>
      <c r="O174" s="1692"/>
      <c r="P174" s="1692"/>
      <c r="Q174" s="1679"/>
      <c r="R174" s="2751"/>
    </row>
    <row r="175" spans="1:18">
      <c r="A175" s="134">
        <v>2007.1</v>
      </c>
      <c r="B175" s="120">
        <v>4797</v>
      </c>
      <c r="C175" s="1684">
        <v>4436</v>
      </c>
      <c r="D175" s="345"/>
      <c r="E175" s="1686">
        <v>12740</v>
      </c>
      <c r="F175" s="1684">
        <v>1642</v>
      </c>
      <c r="G175" s="1679"/>
      <c r="H175" s="1686">
        <v>49749</v>
      </c>
      <c r="I175" s="1684">
        <v>33602</v>
      </c>
      <c r="J175" s="1679"/>
      <c r="K175" s="1686">
        <v>126606</v>
      </c>
      <c r="L175" s="1684">
        <v>9881</v>
      </c>
      <c r="M175" s="2779"/>
      <c r="N175" s="2889"/>
      <c r="O175" s="1692"/>
      <c r="P175" s="1692"/>
      <c r="Q175" s="1679"/>
      <c r="R175" s="2751"/>
    </row>
    <row r="176" spans="1:18">
      <c r="A176" s="134">
        <v>2007.11</v>
      </c>
      <c r="B176" s="120">
        <v>3678</v>
      </c>
      <c r="C176" s="1684">
        <v>4628</v>
      </c>
      <c r="D176" s="345"/>
      <c r="E176" s="1686">
        <v>12207</v>
      </c>
      <c r="F176" s="1684">
        <v>1776</v>
      </c>
      <c r="G176" s="1679"/>
      <c r="H176" s="1686">
        <v>41823</v>
      </c>
      <c r="I176" s="1684">
        <v>35021</v>
      </c>
      <c r="J176" s="1679"/>
      <c r="K176" s="1686">
        <v>125458</v>
      </c>
      <c r="L176" s="1684">
        <v>10575</v>
      </c>
      <c r="M176" s="2779"/>
      <c r="N176" s="2889"/>
      <c r="O176" s="1692"/>
      <c r="P176" s="1692"/>
      <c r="Q176" s="1679"/>
      <c r="R176" s="2751"/>
    </row>
    <row r="177" spans="1:18">
      <c r="A177" s="134">
        <v>2007.12</v>
      </c>
      <c r="B177" s="120">
        <v>1986</v>
      </c>
      <c r="C177" s="1684">
        <v>3601</v>
      </c>
      <c r="D177" s="345"/>
      <c r="E177" s="1686">
        <v>10940</v>
      </c>
      <c r="F177" s="1684">
        <v>1536</v>
      </c>
      <c r="G177" s="1679"/>
      <c r="H177" s="1686">
        <v>24789</v>
      </c>
      <c r="I177" s="1684">
        <v>29635</v>
      </c>
      <c r="J177" s="1679"/>
      <c r="K177" s="1686">
        <v>109629</v>
      </c>
      <c r="L177" s="1684">
        <v>8926</v>
      </c>
      <c r="M177" s="2779"/>
      <c r="N177" s="2889"/>
      <c r="O177" s="1692"/>
      <c r="P177" s="1692"/>
      <c r="Q177" s="1679"/>
      <c r="R177" s="2751"/>
    </row>
    <row r="178" spans="1:18">
      <c r="A178" s="134">
        <v>2008.01</v>
      </c>
      <c r="B178" s="120">
        <v>8184</v>
      </c>
      <c r="C178" s="1684">
        <v>6273</v>
      </c>
      <c r="D178" s="345"/>
      <c r="E178" s="1686">
        <v>12588</v>
      </c>
      <c r="F178" s="1684">
        <v>1841</v>
      </c>
      <c r="G178" s="1679"/>
      <c r="H178" s="1686">
        <v>86214</v>
      </c>
      <c r="I178" s="1684">
        <v>47721</v>
      </c>
      <c r="J178" s="1679"/>
      <c r="K178" s="1686">
        <v>133191</v>
      </c>
      <c r="L178" s="1684">
        <v>11273</v>
      </c>
      <c r="M178" s="2779"/>
      <c r="N178" s="2889"/>
      <c r="O178" s="1692"/>
      <c r="P178" s="1692"/>
      <c r="Q178" s="1679"/>
      <c r="R178" s="2751"/>
    </row>
    <row r="179" spans="1:18">
      <c r="A179" s="134">
        <v>2008.02</v>
      </c>
      <c r="B179" s="120">
        <v>4381</v>
      </c>
      <c r="C179" s="1684">
        <v>6110</v>
      </c>
      <c r="D179" s="345"/>
      <c r="E179" s="1686">
        <v>11586</v>
      </c>
      <c r="F179" s="1684">
        <v>2033</v>
      </c>
      <c r="G179" s="1679"/>
      <c r="H179" s="1686">
        <v>46811</v>
      </c>
      <c r="I179" s="1684">
        <v>46233</v>
      </c>
      <c r="J179" s="1679"/>
      <c r="K179" s="1686">
        <v>117991</v>
      </c>
      <c r="L179" s="1684">
        <v>11620</v>
      </c>
      <c r="M179" s="1694"/>
      <c r="N179" s="2890"/>
      <c r="O179" s="1693"/>
      <c r="P179" s="1693"/>
      <c r="Q179" s="1689"/>
      <c r="R179" s="2751"/>
    </row>
    <row r="180" spans="1:18">
      <c r="A180" s="134">
        <v>2008.03</v>
      </c>
      <c r="B180" s="120">
        <v>4184</v>
      </c>
      <c r="C180" s="1684">
        <v>5799</v>
      </c>
      <c r="D180" s="345"/>
      <c r="E180" s="1686">
        <v>10492</v>
      </c>
      <c r="F180" s="1684">
        <v>1897</v>
      </c>
      <c r="G180" s="1679"/>
      <c r="H180" s="1686">
        <v>44559</v>
      </c>
      <c r="I180" s="1684">
        <v>41465</v>
      </c>
      <c r="J180" s="1679"/>
      <c r="K180" s="1686">
        <v>105590</v>
      </c>
      <c r="L180" s="1684">
        <v>10913</v>
      </c>
      <c r="M180" s="1694"/>
      <c r="N180" s="2890"/>
      <c r="O180" s="1693"/>
      <c r="P180" s="1693"/>
      <c r="Q180" s="1689"/>
      <c r="R180" s="2751"/>
    </row>
    <row r="181" spans="1:18">
      <c r="A181" s="134">
        <v>2008.04</v>
      </c>
      <c r="B181" s="120">
        <v>5226</v>
      </c>
      <c r="C181" s="1684">
        <v>6290</v>
      </c>
      <c r="D181" s="345"/>
      <c r="E181" s="1686">
        <v>12220</v>
      </c>
      <c r="F181" s="1684">
        <v>2352</v>
      </c>
      <c r="G181" s="1679"/>
      <c r="H181" s="1686">
        <v>56732</v>
      </c>
      <c r="I181" s="1684">
        <v>46408</v>
      </c>
      <c r="J181" s="1679"/>
      <c r="K181" s="1686">
        <v>126105</v>
      </c>
      <c r="L181" s="1684">
        <v>12630</v>
      </c>
      <c r="M181" s="1694"/>
      <c r="N181" s="2890"/>
      <c r="O181" s="1693"/>
      <c r="P181" s="1693"/>
      <c r="Q181" s="1689"/>
      <c r="R181" s="2751"/>
    </row>
    <row r="182" spans="1:18">
      <c r="A182" s="134">
        <v>2008.05</v>
      </c>
      <c r="B182" s="120">
        <v>5227</v>
      </c>
      <c r="C182" s="1684">
        <v>6175</v>
      </c>
      <c r="D182" s="345"/>
      <c r="E182" s="1686">
        <v>12571</v>
      </c>
      <c r="F182" s="1684">
        <v>2239</v>
      </c>
      <c r="G182" s="1679"/>
      <c r="H182" s="1686">
        <v>57664</v>
      </c>
      <c r="I182" s="1684">
        <v>43300</v>
      </c>
      <c r="J182" s="1679"/>
      <c r="K182" s="1686">
        <v>125863</v>
      </c>
      <c r="L182" s="1684">
        <v>12513</v>
      </c>
      <c r="M182" s="1694"/>
      <c r="N182" s="2890"/>
      <c r="O182" s="1693"/>
      <c r="P182" s="1693"/>
      <c r="Q182" s="1689"/>
      <c r="R182" s="2751"/>
    </row>
    <row r="183" spans="1:18">
      <c r="A183" s="134">
        <v>2008.06</v>
      </c>
      <c r="B183" s="120">
        <v>4256</v>
      </c>
      <c r="C183" s="1684">
        <v>4651</v>
      </c>
      <c r="D183" s="345"/>
      <c r="E183" s="1686">
        <v>10511</v>
      </c>
      <c r="F183" s="1684">
        <v>1839</v>
      </c>
      <c r="G183" s="1679"/>
      <c r="H183" s="1686">
        <v>49576</v>
      </c>
      <c r="I183" s="1684">
        <v>34632</v>
      </c>
      <c r="J183" s="1679"/>
      <c r="K183" s="1686">
        <v>111064</v>
      </c>
      <c r="L183" s="1684">
        <v>10118</v>
      </c>
      <c r="M183" s="1694"/>
      <c r="N183" s="2890"/>
      <c r="O183" s="1693"/>
      <c r="P183" s="1693"/>
      <c r="Q183" s="1689"/>
      <c r="R183" s="2751"/>
    </row>
    <row r="184" spans="1:18">
      <c r="A184" s="134">
        <v>2008.07</v>
      </c>
      <c r="B184" s="120">
        <v>5235</v>
      </c>
      <c r="C184" s="1684">
        <v>5361</v>
      </c>
      <c r="D184" s="345"/>
      <c r="E184" s="1686">
        <v>11488</v>
      </c>
      <c r="F184" s="1684">
        <v>2106</v>
      </c>
      <c r="G184" s="1679"/>
      <c r="H184" s="1686">
        <v>58769</v>
      </c>
      <c r="I184" s="1684">
        <v>40708</v>
      </c>
      <c r="J184" s="1679"/>
      <c r="K184" s="1686">
        <v>127650</v>
      </c>
      <c r="L184" s="1684">
        <v>11956</v>
      </c>
      <c r="M184" s="1694"/>
      <c r="N184" s="2890"/>
      <c r="O184" s="1693"/>
      <c r="P184" s="1693"/>
      <c r="Q184" s="1689"/>
      <c r="R184" s="2751"/>
    </row>
    <row r="185" spans="1:18">
      <c r="A185" s="134">
        <v>2008.08</v>
      </c>
      <c r="B185" s="120">
        <v>5022</v>
      </c>
      <c r="C185" s="1684">
        <v>4939</v>
      </c>
      <c r="D185" s="345"/>
      <c r="E185" s="1686">
        <v>11061</v>
      </c>
      <c r="F185" s="1684">
        <v>2077</v>
      </c>
      <c r="G185" s="1679"/>
      <c r="H185" s="1686">
        <v>51707</v>
      </c>
      <c r="I185" s="1684">
        <v>36333</v>
      </c>
      <c r="J185" s="1679"/>
      <c r="K185" s="1686">
        <v>115068</v>
      </c>
      <c r="L185" s="1684">
        <v>11388</v>
      </c>
      <c r="M185" s="1694"/>
      <c r="N185" s="2890"/>
      <c r="O185" s="1693"/>
      <c r="P185" s="1693"/>
      <c r="Q185" s="1689"/>
      <c r="R185" s="2751"/>
    </row>
    <row r="186" spans="1:18">
      <c r="A186" s="134">
        <v>2008.09</v>
      </c>
      <c r="B186" s="120">
        <v>5187</v>
      </c>
      <c r="C186" s="1684">
        <v>5361</v>
      </c>
      <c r="D186" s="345"/>
      <c r="E186" s="1686">
        <v>12118</v>
      </c>
      <c r="F186" s="1684">
        <v>2231</v>
      </c>
      <c r="G186" s="1679"/>
      <c r="H186" s="1686">
        <v>56348</v>
      </c>
      <c r="I186" s="1684">
        <v>41305</v>
      </c>
      <c r="J186" s="1679"/>
      <c r="K186" s="1686">
        <v>126646</v>
      </c>
      <c r="L186" s="1684">
        <v>13407</v>
      </c>
      <c r="M186" s="1694"/>
      <c r="N186" s="2890"/>
      <c r="O186" s="1693"/>
      <c r="P186" s="1693"/>
      <c r="Q186" s="1689"/>
      <c r="R186" s="2751"/>
    </row>
    <row r="187" spans="1:18">
      <c r="A187" s="134">
        <v>2008.1</v>
      </c>
      <c r="B187" s="120">
        <v>4561</v>
      </c>
      <c r="C187" s="1684">
        <v>5152</v>
      </c>
      <c r="D187" s="345"/>
      <c r="E187" s="1686">
        <v>11132</v>
      </c>
      <c r="F187" s="1684">
        <v>2279</v>
      </c>
      <c r="G187" s="1679"/>
      <c r="H187" s="1686">
        <v>51197</v>
      </c>
      <c r="I187" s="1684">
        <v>41132</v>
      </c>
      <c r="J187" s="1679"/>
      <c r="K187" s="1686">
        <v>121572</v>
      </c>
      <c r="L187" s="1684">
        <v>13521</v>
      </c>
      <c r="M187" s="1694"/>
      <c r="N187" s="2890"/>
      <c r="O187" s="1693"/>
      <c r="P187" s="1693"/>
      <c r="Q187" s="1689"/>
      <c r="R187" s="2751"/>
    </row>
    <row r="188" spans="1:18">
      <c r="A188" s="134">
        <v>2008.11</v>
      </c>
      <c r="B188" s="120">
        <v>2787</v>
      </c>
      <c r="C188" s="1684">
        <v>4303</v>
      </c>
      <c r="D188" s="345"/>
      <c r="E188" s="1686">
        <v>8710</v>
      </c>
      <c r="F188" s="1684">
        <v>1968</v>
      </c>
      <c r="G188" s="1679"/>
      <c r="H188" s="1686">
        <v>35645</v>
      </c>
      <c r="I188" s="1684">
        <v>36348</v>
      </c>
      <c r="J188" s="1679"/>
      <c r="K188" s="1686">
        <v>100297</v>
      </c>
      <c r="L188" s="1684">
        <v>12422</v>
      </c>
      <c r="M188" s="1694"/>
      <c r="N188" s="2890"/>
      <c r="O188" s="1693"/>
      <c r="P188" s="1693"/>
      <c r="Q188" s="1689"/>
      <c r="R188" s="2751"/>
    </row>
    <row r="189" spans="1:18">
      <c r="A189" s="134">
        <v>2008.12</v>
      </c>
      <c r="B189" s="120">
        <v>1340</v>
      </c>
      <c r="C189" s="1684">
        <v>3505</v>
      </c>
      <c r="D189" s="345"/>
      <c r="E189" s="1686">
        <v>8550</v>
      </c>
      <c r="F189" s="1684">
        <v>1809</v>
      </c>
      <c r="G189" s="1679"/>
      <c r="H189" s="1686">
        <v>20034</v>
      </c>
      <c r="I189" s="1684">
        <v>31061</v>
      </c>
      <c r="J189" s="1679"/>
      <c r="K189" s="1686">
        <v>98449</v>
      </c>
      <c r="L189" s="1684">
        <v>11280</v>
      </c>
      <c r="M189" s="1694"/>
      <c r="N189" s="2890"/>
      <c r="O189" s="1693"/>
      <c r="P189" s="1693"/>
      <c r="Q189" s="1689"/>
      <c r="R189" s="2751"/>
    </row>
    <row r="190" spans="1:18">
      <c r="A190" s="134">
        <f>A178+1</f>
        <v>2009.01</v>
      </c>
      <c r="B190" s="120">
        <v>6481</v>
      </c>
      <c r="C190" s="1684">
        <v>4995</v>
      </c>
      <c r="D190" s="345"/>
      <c r="E190" s="1686">
        <v>9447</v>
      </c>
      <c r="F190" s="1684">
        <v>2011</v>
      </c>
      <c r="G190" s="1679"/>
      <c r="H190" s="1686">
        <v>74053</v>
      </c>
      <c r="I190" s="1684">
        <v>42918</v>
      </c>
      <c r="J190" s="1679"/>
      <c r="K190" s="1686">
        <v>109370</v>
      </c>
      <c r="L190" s="1684">
        <v>13373</v>
      </c>
      <c r="M190" s="1694"/>
      <c r="N190" s="2890"/>
      <c r="O190" s="1693"/>
      <c r="P190" s="1693"/>
      <c r="Q190" s="1689"/>
      <c r="R190" s="2751"/>
    </row>
    <row r="191" spans="1:18">
      <c r="A191" s="134">
        <f t="shared" ref="A191:A254" si="0">A179+1</f>
        <v>2009.02</v>
      </c>
      <c r="B191" s="120">
        <v>3184</v>
      </c>
      <c r="C191" s="1684">
        <v>4118</v>
      </c>
      <c r="D191" s="345"/>
      <c r="E191" s="1686">
        <v>8131</v>
      </c>
      <c r="F191" s="1684">
        <v>1914</v>
      </c>
      <c r="G191" s="1679"/>
      <c r="H191" s="1686">
        <v>39196</v>
      </c>
      <c r="I191" s="1684">
        <v>36606</v>
      </c>
      <c r="J191" s="1679"/>
      <c r="K191" s="1686">
        <v>96965</v>
      </c>
      <c r="L191" s="1684">
        <v>13046</v>
      </c>
      <c r="M191" s="1694"/>
      <c r="N191" s="2890"/>
      <c r="O191" s="1693"/>
      <c r="P191" s="1693"/>
      <c r="Q191" s="1689"/>
      <c r="R191" s="2751"/>
    </row>
    <row r="192" spans="1:18">
      <c r="A192" s="134">
        <f t="shared" si="0"/>
        <v>2009.03</v>
      </c>
      <c r="B192" s="120">
        <v>3305</v>
      </c>
      <c r="C192" s="1684">
        <v>4371</v>
      </c>
      <c r="D192" s="345"/>
      <c r="E192" s="1686">
        <v>8952</v>
      </c>
      <c r="F192" s="1684">
        <v>2042</v>
      </c>
      <c r="G192" s="1679"/>
      <c r="H192" s="1686">
        <v>41507</v>
      </c>
      <c r="I192" s="1684">
        <v>39634</v>
      </c>
      <c r="J192" s="1679"/>
      <c r="K192" s="1686">
        <v>102341</v>
      </c>
      <c r="L192" s="1684">
        <v>14766</v>
      </c>
      <c r="M192" s="1694"/>
      <c r="N192" s="2890"/>
      <c r="O192" s="1693"/>
      <c r="P192" s="1693"/>
      <c r="Q192" s="1689"/>
      <c r="R192" s="2751"/>
    </row>
    <row r="193" spans="1:18">
      <c r="A193" s="134">
        <f t="shared" si="0"/>
        <v>2009.04</v>
      </c>
      <c r="B193" s="120">
        <v>3375</v>
      </c>
      <c r="C193" s="1684">
        <v>3625</v>
      </c>
      <c r="D193" s="345"/>
      <c r="E193" s="1686">
        <v>8603</v>
      </c>
      <c r="F193" s="1684">
        <v>2018</v>
      </c>
      <c r="G193" s="1679"/>
      <c r="H193" s="1686">
        <v>40653</v>
      </c>
      <c r="I193" s="1684">
        <v>34210</v>
      </c>
      <c r="J193" s="1679"/>
      <c r="K193" s="1686">
        <v>100675</v>
      </c>
      <c r="L193" s="1684">
        <v>14051</v>
      </c>
      <c r="M193" s="2779"/>
      <c r="N193" s="2889"/>
      <c r="O193" s="1692"/>
      <c r="P193" s="1692"/>
      <c r="Q193" s="1679"/>
      <c r="R193" s="2751"/>
    </row>
    <row r="194" spans="1:18">
      <c r="A194" s="134">
        <f t="shared" si="0"/>
        <v>2009.05</v>
      </c>
      <c r="B194" s="120">
        <v>3428</v>
      </c>
      <c r="C194" s="1684">
        <v>3191</v>
      </c>
      <c r="D194" s="345"/>
      <c r="E194" s="1686">
        <v>8755</v>
      </c>
      <c r="F194" s="1684">
        <v>1910</v>
      </c>
      <c r="G194" s="1679"/>
      <c r="H194" s="1686">
        <v>40257</v>
      </c>
      <c r="I194" s="1684">
        <v>29596</v>
      </c>
      <c r="J194" s="1679"/>
      <c r="K194" s="1686">
        <v>98977</v>
      </c>
      <c r="L194" s="1684">
        <v>12728</v>
      </c>
      <c r="M194" s="2779"/>
      <c r="N194" s="2889"/>
      <c r="O194" s="1692"/>
      <c r="P194" s="1692"/>
      <c r="Q194" s="1679"/>
      <c r="R194" s="2751"/>
    </row>
    <row r="195" spans="1:18">
      <c r="A195" s="134">
        <f t="shared" si="0"/>
        <v>2009.06</v>
      </c>
      <c r="B195" s="120">
        <v>3852</v>
      </c>
      <c r="C195" s="1684">
        <v>3063</v>
      </c>
      <c r="D195" s="345"/>
      <c r="E195" s="1686">
        <v>9542</v>
      </c>
      <c r="F195" s="1684">
        <v>1905</v>
      </c>
      <c r="G195" s="1679"/>
      <c r="H195" s="1686">
        <v>44167</v>
      </c>
      <c r="I195" s="1684">
        <v>28159</v>
      </c>
      <c r="J195" s="1679"/>
      <c r="K195" s="1686">
        <v>107020</v>
      </c>
      <c r="L195" s="1684">
        <v>12738</v>
      </c>
      <c r="M195" s="2779"/>
      <c r="N195" s="2889"/>
      <c r="O195" s="1692"/>
      <c r="P195" s="1692"/>
      <c r="Q195" s="1679"/>
      <c r="R195" s="2751"/>
    </row>
    <row r="196" spans="1:18">
      <c r="A196" s="134">
        <f t="shared" si="0"/>
        <v>2009.07</v>
      </c>
      <c r="B196" s="120">
        <v>3946</v>
      </c>
      <c r="C196" s="1684">
        <v>3250</v>
      </c>
      <c r="D196" s="345"/>
      <c r="E196" s="1686">
        <v>10893</v>
      </c>
      <c r="F196" s="1684">
        <v>2042</v>
      </c>
      <c r="G196" s="1679"/>
      <c r="H196" s="1686">
        <v>46733</v>
      </c>
      <c r="I196" s="1684">
        <v>29522</v>
      </c>
      <c r="J196" s="1679"/>
      <c r="K196" s="1686">
        <v>116489</v>
      </c>
      <c r="L196" s="1684">
        <v>13047</v>
      </c>
      <c r="M196" s="2779"/>
      <c r="N196" s="2889"/>
      <c r="O196" s="1692"/>
      <c r="P196" s="1692"/>
      <c r="Q196" s="1679"/>
      <c r="R196" s="2751"/>
    </row>
    <row r="197" spans="1:18">
      <c r="A197" s="134">
        <f t="shared" si="0"/>
        <v>2009.08</v>
      </c>
      <c r="B197" s="120">
        <v>3617</v>
      </c>
      <c r="C197" s="1684">
        <v>2994</v>
      </c>
      <c r="D197" s="345"/>
      <c r="E197" s="1686">
        <v>10598</v>
      </c>
      <c r="F197" s="1684">
        <v>1986</v>
      </c>
      <c r="G197" s="1679"/>
      <c r="H197" s="1686">
        <v>42564</v>
      </c>
      <c r="I197" s="1684">
        <v>29867</v>
      </c>
      <c r="J197" s="1679"/>
      <c r="K197" s="1686">
        <v>116785</v>
      </c>
      <c r="L197" s="1684">
        <v>14149</v>
      </c>
      <c r="M197" s="2779"/>
      <c r="N197" s="2889"/>
      <c r="O197" s="1692"/>
      <c r="P197" s="1692"/>
      <c r="Q197" s="1679"/>
      <c r="R197" s="2751"/>
    </row>
    <row r="198" spans="1:18">
      <c r="A198" s="134">
        <f t="shared" si="0"/>
        <v>2009.09</v>
      </c>
      <c r="B198" s="120">
        <v>3902</v>
      </c>
      <c r="C198" s="1684">
        <v>3304</v>
      </c>
      <c r="D198" s="345"/>
      <c r="E198" s="1686">
        <v>10982</v>
      </c>
      <c r="F198" s="1684">
        <v>2235</v>
      </c>
      <c r="G198" s="1679"/>
      <c r="H198" s="1686">
        <v>46274</v>
      </c>
      <c r="I198" s="1684">
        <v>32068</v>
      </c>
      <c r="J198" s="1679"/>
      <c r="K198" s="1686">
        <v>128342</v>
      </c>
      <c r="L198" s="1684">
        <v>15704</v>
      </c>
      <c r="M198" s="2779"/>
      <c r="N198" s="2889"/>
      <c r="O198" s="1692"/>
      <c r="P198" s="1692"/>
      <c r="Q198" s="1679"/>
      <c r="R198" s="2751"/>
    </row>
    <row r="199" spans="1:18">
      <c r="A199" s="134">
        <f t="shared" si="0"/>
        <v>2009.1</v>
      </c>
      <c r="B199" s="120">
        <v>3229</v>
      </c>
      <c r="C199" s="1684">
        <v>3108</v>
      </c>
      <c r="D199" s="345"/>
      <c r="E199" s="1686">
        <v>10574</v>
      </c>
      <c r="F199" s="1684">
        <v>2199</v>
      </c>
      <c r="G199" s="1679"/>
      <c r="H199" s="1686">
        <v>40255</v>
      </c>
      <c r="I199" s="1684">
        <v>31915</v>
      </c>
      <c r="J199" s="1679"/>
      <c r="K199" s="1686">
        <v>118816</v>
      </c>
      <c r="L199" s="1684">
        <v>15238</v>
      </c>
      <c r="M199" s="2779"/>
      <c r="N199" s="2889"/>
      <c r="O199" s="1692"/>
      <c r="P199" s="1692"/>
      <c r="Q199" s="1679"/>
      <c r="R199" s="2751"/>
    </row>
    <row r="200" spans="1:18">
      <c r="A200" s="134">
        <f t="shared" si="0"/>
        <v>2009.11</v>
      </c>
      <c r="B200" s="120">
        <v>2966</v>
      </c>
      <c r="C200" s="1684">
        <v>3213</v>
      </c>
      <c r="D200" s="345"/>
      <c r="E200" s="1686">
        <v>10085</v>
      </c>
      <c r="F200" s="1684">
        <v>2104</v>
      </c>
      <c r="G200" s="1679"/>
      <c r="H200" s="1686">
        <v>37653</v>
      </c>
      <c r="I200" s="1684">
        <v>30505</v>
      </c>
      <c r="J200" s="1679"/>
      <c r="K200" s="1686">
        <v>113403</v>
      </c>
      <c r="L200" s="1684">
        <v>14870</v>
      </c>
      <c r="M200" s="2779"/>
      <c r="N200" s="2889"/>
      <c r="O200" s="1692"/>
      <c r="P200" s="1692"/>
      <c r="Q200" s="1679"/>
      <c r="R200" s="2751"/>
    </row>
    <row r="201" spans="1:18">
      <c r="A201" s="134">
        <f t="shared" si="0"/>
        <v>2009.12</v>
      </c>
      <c r="B201" s="120">
        <v>1470</v>
      </c>
      <c r="C201" s="1684">
        <v>2848</v>
      </c>
      <c r="D201" s="345"/>
      <c r="E201" s="1686">
        <v>10458</v>
      </c>
      <c r="F201" s="1684">
        <v>2055</v>
      </c>
      <c r="G201" s="1679"/>
      <c r="H201" s="1686">
        <v>23487</v>
      </c>
      <c r="I201" s="1684">
        <v>28015</v>
      </c>
      <c r="J201" s="1679"/>
      <c r="K201" s="1686">
        <v>119035</v>
      </c>
      <c r="L201" s="1684">
        <v>14014</v>
      </c>
      <c r="M201" s="2779"/>
      <c r="N201" s="2889"/>
      <c r="O201" s="1692"/>
      <c r="P201" s="1692"/>
      <c r="Q201" s="1679"/>
      <c r="R201" s="2751"/>
    </row>
    <row r="202" spans="1:18">
      <c r="A202" s="134">
        <f>A190+1</f>
        <v>2010.01</v>
      </c>
      <c r="B202" s="120">
        <v>6974</v>
      </c>
      <c r="C202" s="1684">
        <v>4177</v>
      </c>
      <c r="D202" s="345"/>
      <c r="E202" s="1686">
        <v>10584</v>
      </c>
      <c r="F202" s="1684">
        <v>2253</v>
      </c>
      <c r="G202" s="1679"/>
      <c r="H202" s="1686">
        <v>79051</v>
      </c>
      <c r="I202" s="1684">
        <v>37514</v>
      </c>
      <c r="J202" s="1679"/>
      <c r="K202" s="1686">
        <v>121507</v>
      </c>
      <c r="L202" s="1684">
        <v>15320</v>
      </c>
      <c r="M202" s="2779"/>
      <c r="N202" s="2889"/>
      <c r="O202" s="1692"/>
      <c r="P202" s="1692"/>
      <c r="Q202" s="1679"/>
      <c r="R202" s="2751"/>
    </row>
    <row r="203" spans="1:18">
      <c r="A203" s="134">
        <f t="shared" si="0"/>
        <v>2010.02</v>
      </c>
      <c r="B203" s="120">
        <v>3634</v>
      </c>
      <c r="C203" s="1684">
        <v>4207</v>
      </c>
      <c r="D203" s="345"/>
      <c r="E203" s="1686">
        <v>9518</v>
      </c>
      <c r="F203" s="1684">
        <v>2186</v>
      </c>
      <c r="G203" s="1679"/>
      <c r="H203" s="1686">
        <v>44906</v>
      </c>
      <c r="I203" s="1684">
        <v>36627</v>
      </c>
      <c r="J203" s="1679"/>
      <c r="K203" s="1686">
        <v>107713</v>
      </c>
      <c r="L203" s="1684">
        <v>15330</v>
      </c>
      <c r="M203" s="2779"/>
      <c r="N203" s="2889"/>
      <c r="O203" s="1692"/>
      <c r="P203" s="1692"/>
      <c r="Q203" s="1679"/>
      <c r="R203" s="2751"/>
    </row>
    <row r="204" spans="1:18">
      <c r="A204" s="134">
        <f t="shared" si="0"/>
        <v>2010.03</v>
      </c>
      <c r="B204" s="120">
        <v>4465</v>
      </c>
      <c r="C204" s="1684">
        <v>4975</v>
      </c>
      <c r="D204" s="345"/>
      <c r="E204" s="1686">
        <v>11792</v>
      </c>
      <c r="F204" s="1684">
        <v>2505</v>
      </c>
      <c r="G204" s="1679"/>
      <c r="H204" s="1686">
        <v>57489</v>
      </c>
      <c r="I204" s="1684">
        <v>47510</v>
      </c>
      <c r="J204" s="1679"/>
      <c r="K204" s="1686">
        <v>131633</v>
      </c>
      <c r="L204" s="1684">
        <v>18570</v>
      </c>
      <c r="M204" s="2779"/>
      <c r="N204" s="2889"/>
      <c r="O204" s="1692"/>
      <c r="P204" s="1692"/>
      <c r="Q204" s="1679"/>
      <c r="R204" s="2751"/>
    </row>
    <row r="205" spans="1:18">
      <c r="A205" s="134">
        <f t="shared" si="0"/>
        <v>2010.04</v>
      </c>
      <c r="B205" s="120">
        <v>3995</v>
      </c>
      <c r="C205" s="1684">
        <v>5985</v>
      </c>
      <c r="D205" s="345"/>
      <c r="E205" s="1686">
        <v>10700</v>
      </c>
      <c r="F205" s="1684">
        <v>2445</v>
      </c>
      <c r="G205" s="1679"/>
      <c r="H205" s="1686">
        <v>51281</v>
      </c>
      <c r="I205" s="1684">
        <v>51433</v>
      </c>
      <c r="J205" s="1679"/>
      <c r="K205" s="1686">
        <v>122379</v>
      </c>
      <c r="L205" s="1684">
        <v>16651</v>
      </c>
      <c r="M205" s="2779"/>
      <c r="N205" s="2889"/>
      <c r="O205" s="1692"/>
      <c r="P205" s="1692"/>
      <c r="Q205" s="1679"/>
      <c r="R205" s="2751"/>
    </row>
    <row r="206" spans="1:18">
      <c r="A206" s="134">
        <f t="shared" si="0"/>
        <v>2010.05</v>
      </c>
      <c r="B206" s="120">
        <v>3939</v>
      </c>
      <c r="C206" s="1684">
        <v>6149</v>
      </c>
      <c r="D206" s="345"/>
      <c r="E206" s="1686">
        <v>10423</v>
      </c>
      <c r="F206" s="1684">
        <v>2169</v>
      </c>
      <c r="G206" s="1679"/>
      <c r="H206" s="1686">
        <v>50941</v>
      </c>
      <c r="I206" s="1684">
        <v>49734</v>
      </c>
      <c r="J206" s="1679"/>
      <c r="K206" s="1686">
        <v>113119</v>
      </c>
      <c r="L206" s="1684">
        <v>14677</v>
      </c>
      <c r="M206" s="2779"/>
      <c r="N206" s="2889"/>
      <c r="O206" s="1692"/>
      <c r="P206" s="1692"/>
      <c r="Q206" s="1679"/>
      <c r="R206" s="2751"/>
    </row>
    <row r="207" spans="1:18">
      <c r="A207" s="134">
        <f t="shared" si="0"/>
        <v>2010.06</v>
      </c>
      <c r="B207" s="120">
        <v>4416</v>
      </c>
      <c r="C207" s="1684">
        <v>5621</v>
      </c>
      <c r="D207" s="345"/>
      <c r="E207" s="1686">
        <v>11584</v>
      </c>
      <c r="F207" s="1684">
        <v>2282</v>
      </c>
      <c r="G207" s="1679"/>
      <c r="H207" s="1686">
        <v>55061</v>
      </c>
      <c r="I207" s="1684">
        <v>49304</v>
      </c>
      <c r="J207" s="1679"/>
      <c r="K207" s="1686">
        <v>123846</v>
      </c>
      <c r="L207" s="1684">
        <v>15503</v>
      </c>
      <c r="M207" s="2779"/>
      <c r="N207" s="2889"/>
      <c r="O207" s="1692"/>
      <c r="P207" s="1692"/>
      <c r="Q207" s="1679"/>
      <c r="R207" s="2751"/>
    </row>
    <row r="208" spans="1:18">
      <c r="A208" s="134">
        <f t="shared" si="0"/>
        <v>2010.07</v>
      </c>
      <c r="B208" s="120">
        <v>4915</v>
      </c>
      <c r="C208" s="1684">
        <v>6052</v>
      </c>
      <c r="D208" s="345"/>
      <c r="E208" s="1686">
        <v>12213</v>
      </c>
      <c r="F208" s="1684">
        <v>2331</v>
      </c>
      <c r="G208" s="1679"/>
      <c r="H208" s="1686">
        <v>57693</v>
      </c>
      <c r="I208" s="1684">
        <v>52346</v>
      </c>
      <c r="J208" s="1679"/>
      <c r="K208" s="1686">
        <v>128955</v>
      </c>
      <c r="L208" s="1684">
        <v>15434</v>
      </c>
      <c r="M208" s="2779"/>
      <c r="N208" s="2889"/>
      <c r="O208" s="1692"/>
      <c r="P208" s="1692"/>
      <c r="Q208" s="1679"/>
      <c r="R208" s="2751"/>
    </row>
    <row r="209" spans="1:18">
      <c r="A209" s="134">
        <f t="shared" si="0"/>
        <v>2010.08</v>
      </c>
      <c r="B209" s="120">
        <v>4926</v>
      </c>
      <c r="C209" s="1684">
        <v>7046</v>
      </c>
      <c r="D209" s="345"/>
      <c r="E209" s="1686">
        <v>13280</v>
      </c>
      <c r="F209" s="1684">
        <v>2617</v>
      </c>
      <c r="G209" s="1679"/>
      <c r="H209" s="1686">
        <v>57623</v>
      </c>
      <c r="I209" s="1684">
        <v>59517</v>
      </c>
      <c r="J209" s="1679"/>
      <c r="K209" s="1686">
        <v>135798</v>
      </c>
      <c r="L209" s="1684">
        <v>16505</v>
      </c>
      <c r="M209" s="2779"/>
      <c r="N209" s="2889"/>
      <c r="O209" s="1692"/>
      <c r="P209" s="1692"/>
      <c r="Q209" s="1679"/>
      <c r="R209" s="2751"/>
    </row>
    <row r="210" spans="1:18">
      <c r="A210" s="134">
        <f t="shared" si="0"/>
        <v>2010.09</v>
      </c>
      <c r="B210" s="120">
        <v>5471</v>
      </c>
      <c r="C210" s="1684">
        <v>6989</v>
      </c>
      <c r="D210" s="345"/>
      <c r="E210" s="1686">
        <v>13842</v>
      </c>
      <c r="F210" s="1684">
        <v>2809</v>
      </c>
      <c r="G210" s="1679"/>
      <c r="H210" s="1686">
        <v>64235</v>
      </c>
      <c r="I210" s="1684">
        <v>62885</v>
      </c>
      <c r="J210" s="1679"/>
      <c r="K210" s="1686">
        <v>145247</v>
      </c>
      <c r="L210" s="1684">
        <v>19093</v>
      </c>
      <c r="M210" s="2779"/>
      <c r="N210" s="2889"/>
      <c r="O210" s="1692"/>
      <c r="P210" s="1692"/>
      <c r="Q210" s="1679"/>
      <c r="R210" s="2751"/>
    </row>
    <row r="211" spans="1:18">
      <c r="A211" s="134">
        <f t="shared" si="0"/>
        <v>2010.1</v>
      </c>
      <c r="B211" s="120">
        <v>4634</v>
      </c>
      <c r="C211" s="1684">
        <v>6070</v>
      </c>
      <c r="D211" s="345"/>
      <c r="E211" s="1686">
        <v>11893</v>
      </c>
      <c r="F211" s="1684">
        <v>2420</v>
      </c>
      <c r="G211" s="1679"/>
      <c r="H211" s="1686">
        <v>53970</v>
      </c>
      <c r="I211" s="1684">
        <v>55370</v>
      </c>
      <c r="J211" s="1679"/>
      <c r="K211" s="1686">
        <v>126775</v>
      </c>
      <c r="L211" s="1684">
        <v>17361</v>
      </c>
      <c r="M211" s="2779"/>
      <c r="N211" s="2889"/>
      <c r="O211" s="1692"/>
      <c r="P211" s="1692"/>
      <c r="Q211" s="1679"/>
      <c r="R211" s="2751"/>
    </row>
    <row r="212" spans="1:18">
      <c r="A212" s="134">
        <f t="shared" si="0"/>
        <v>2010.11</v>
      </c>
      <c r="B212" s="120">
        <v>4375</v>
      </c>
      <c r="C212" s="1684">
        <v>7415</v>
      </c>
      <c r="D212" s="345"/>
      <c r="E212" s="1686">
        <v>13346</v>
      </c>
      <c r="F212" s="1684">
        <v>2930</v>
      </c>
      <c r="G212" s="1679"/>
      <c r="H212" s="1686">
        <v>54348</v>
      </c>
      <c r="I212" s="1684">
        <v>62804</v>
      </c>
      <c r="J212" s="1679"/>
      <c r="K212" s="1686">
        <v>141297</v>
      </c>
      <c r="L212" s="1684">
        <v>20500</v>
      </c>
      <c r="M212" s="2779"/>
      <c r="N212" s="2889"/>
      <c r="O212" s="1692"/>
      <c r="P212" s="1692"/>
      <c r="Q212" s="1679"/>
      <c r="R212" s="2751"/>
    </row>
    <row r="213" spans="1:18">
      <c r="A213" s="134">
        <f t="shared" si="0"/>
        <v>2010.12</v>
      </c>
      <c r="B213" s="120">
        <v>3065</v>
      </c>
      <c r="C213" s="1684">
        <v>7060</v>
      </c>
      <c r="D213" s="345"/>
      <c r="E213" s="1686">
        <v>13808</v>
      </c>
      <c r="F213" s="1684">
        <v>2791</v>
      </c>
      <c r="G213" s="1679"/>
      <c r="H213" s="1686">
        <v>38954</v>
      </c>
      <c r="I213" s="1684">
        <v>61402</v>
      </c>
      <c r="J213" s="1679"/>
      <c r="K213" s="1686">
        <v>145907</v>
      </c>
      <c r="L213" s="1684">
        <v>19287</v>
      </c>
      <c r="M213" s="2779"/>
      <c r="N213" s="2889"/>
      <c r="O213" s="1692"/>
      <c r="P213" s="1692"/>
      <c r="Q213" s="1679"/>
      <c r="R213" s="2751"/>
    </row>
    <row r="214" spans="1:18">
      <c r="A214" s="134">
        <f>A202+1</f>
        <v>2011.01</v>
      </c>
      <c r="B214" s="120">
        <v>9051</v>
      </c>
      <c r="C214" s="1684">
        <v>8978</v>
      </c>
      <c r="D214" s="345"/>
      <c r="E214" s="1686">
        <v>13279</v>
      </c>
      <c r="F214" s="1684">
        <v>2836</v>
      </c>
      <c r="G214" s="1679"/>
      <c r="H214" s="1686">
        <v>104339</v>
      </c>
      <c r="I214" s="1684">
        <v>76553</v>
      </c>
      <c r="J214" s="1679"/>
      <c r="K214" s="1686">
        <v>145332</v>
      </c>
      <c r="L214" s="1684">
        <v>20097</v>
      </c>
      <c r="M214" s="2779"/>
      <c r="N214" s="2889"/>
      <c r="O214" s="1692"/>
      <c r="P214" s="1692"/>
      <c r="Q214" s="1679"/>
      <c r="R214" s="2751"/>
    </row>
    <row r="215" spans="1:18">
      <c r="A215" s="134">
        <f t="shared" si="0"/>
        <v>2011.02</v>
      </c>
      <c r="B215" s="120">
        <v>4930</v>
      </c>
      <c r="C215" s="1684">
        <v>8665</v>
      </c>
      <c r="D215" s="1679"/>
      <c r="E215" s="1686">
        <v>12378</v>
      </c>
      <c r="F215" s="1684">
        <v>2755</v>
      </c>
      <c r="G215" s="1679"/>
      <c r="H215" s="1686">
        <v>60398</v>
      </c>
      <c r="I215" s="1684">
        <v>73082</v>
      </c>
      <c r="J215" s="1679"/>
      <c r="K215" s="1686">
        <v>138912</v>
      </c>
      <c r="L215" s="1684">
        <v>20163</v>
      </c>
      <c r="M215" s="2779"/>
      <c r="N215" s="2889"/>
      <c r="O215" s="1692"/>
      <c r="P215" s="1692"/>
      <c r="Q215" s="1679"/>
      <c r="R215" s="2751"/>
    </row>
    <row r="216" spans="1:18">
      <c r="A216" s="134">
        <f t="shared" si="0"/>
        <v>2011.03</v>
      </c>
      <c r="B216" s="120">
        <v>5899</v>
      </c>
      <c r="C216" s="1684">
        <v>7939</v>
      </c>
      <c r="D216" s="1679"/>
      <c r="E216" s="1686">
        <v>12793</v>
      </c>
      <c r="F216" s="1684">
        <v>2997</v>
      </c>
      <c r="G216" s="1679"/>
      <c r="H216" s="1686">
        <v>67829</v>
      </c>
      <c r="I216" s="1684">
        <v>73733</v>
      </c>
      <c r="J216" s="1679"/>
      <c r="K216" s="1686">
        <v>138738</v>
      </c>
      <c r="L216" s="1684">
        <v>21499</v>
      </c>
      <c r="M216" s="2779"/>
      <c r="N216" s="2889"/>
      <c r="O216" s="1692"/>
      <c r="P216" s="1692"/>
      <c r="Q216" s="1679"/>
      <c r="R216" s="2751"/>
    </row>
    <row r="217" spans="1:18">
      <c r="A217" s="134">
        <f t="shared" si="0"/>
        <v>2011.04</v>
      </c>
      <c r="B217" s="120">
        <v>5862</v>
      </c>
      <c r="C217" s="1684">
        <v>6815</v>
      </c>
      <c r="D217" s="1679"/>
      <c r="E217" s="1686">
        <v>11823</v>
      </c>
      <c r="F217" s="1684">
        <v>2655</v>
      </c>
      <c r="G217" s="1679"/>
      <c r="H217" s="1686">
        <v>65595</v>
      </c>
      <c r="I217" s="1684">
        <v>59295</v>
      </c>
      <c r="J217" s="1679"/>
      <c r="K217" s="1686">
        <v>134708</v>
      </c>
      <c r="L217" s="1684">
        <v>20001</v>
      </c>
      <c r="M217" s="2779"/>
      <c r="N217" s="2889"/>
      <c r="O217" s="1692"/>
      <c r="P217" s="1692"/>
      <c r="Q217" s="1679"/>
      <c r="R217" s="2751"/>
    </row>
    <row r="218" spans="1:18">
      <c r="A218" s="134">
        <f t="shared" si="0"/>
        <v>2011.05</v>
      </c>
      <c r="B218" s="120">
        <v>5660</v>
      </c>
      <c r="C218" s="1684">
        <v>6622</v>
      </c>
      <c r="D218" s="1679"/>
      <c r="E218" s="1686">
        <v>14939</v>
      </c>
      <c r="F218" s="1684">
        <v>3205</v>
      </c>
      <c r="G218" s="1679"/>
      <c r="H218" s="1686">
        <v>68218</v>
      </c>
      <c r="I218" s="1684">
        <v>64175</v>
      </c>
      <c r="J218" s="1679"/>
      <c r="K218" s="1686">
        <v>156998</v>
      </c>
      <c r="L218" s="1684">
        <v>22609</v>
      </c>
      <c r="M218" s="2779"/>
      <c r="N218" s="2889"/>
      <c r="O218" s="1692"/>
      <c r="P218" s="1692"/>
      <c r="Q218" s="1679"/>
      <c r="R218" s="2751"/>
    </row>
    <row r="219" spans="1:18">
      <c r="A219" s="134">
        <f t="shared" si="0"/>
        <v>2011.06</v>
      </c>
      <c r="B219" s="120">
        <v>7115</v>
      </c>
      <c r="C219" s="1684">
        <v>6084</v>
      </c>
      <c r="D219" s="1679"/>
      <c r="E219" s="1686">
        <v>15100</v>
      </c>
      <c r="F219" s="1684">
        <v>2708</v>
      </c>
      <c r="G219" s="1679"/>
      <c r="H219" s="1686">
        <v>78720</v>
      </c>
      <c r="I219" s="1684">
        <v>56681</v>
      </c>
      <c r="J219" s="1679"/>
      <c r="K219" s="1686">
        <v>155070</v>
      </c>
      <c r="L219" s="1684">
        <v>19837</v>
      </c>
      <c r="M219" s="2779"/>
      <c r="N219" s="2889"/>
      <c r="O219" s="1692"/>
      <c r="P219" s="1692"/>
      <c r="Q219" s="1679"/>
      <c r="R219" s="2751"/>
    </row>
    <row r="220" spans="1:18">
      <c r="A220" s="134">
        <f t="shared" si="0"/>
        <v>2011.07</v>
      </c>
      <c r="B220" s="120">
        <v>6360</v>
      </c>
      <c r="C220" s="1684">
        <v>6386</v>
      </c>
      <c r="D220" s="1679"/>
      <c r="E220" s="1686">
        <v>15252</v>
      </c>
      <c r="F220" s="1684">
        <v>2780</v>
      </c>
      <c r="G220" s="1679"/>
      <c r="H220" s="1686">
        <v>73223</v>
      </c>
      <c r="I220" s="1684">
        <v>55307</v>
      </c>
      <c r="J220" s="1679"/>
      <c r="K220" s="1686">
        <v>158818</v>
      </c>
      <c r="L220" s="1684">
        <v>19881</v>
      </c>
      <c r="M220" s="2779"/>
      <c r="N220" s="2889"/>
      <c r="O220" s="1692"/>
      <c r="P220" s="1692"/>
      <c r="Q220" s="1679"/>
      <c r="R220" s="2751"/>
    </row>
    <row r="221" spans="1:18">
      <c r="A221" s="134">
        <f t="shared" si="0"/>
        <v>2011.08</v>
      </c>
      <c r="B221" s="120">
        <v>7105</v>
      </c>
      <c r="C221" s="1684">
        <v>7205</v>
      </c>
      <c r="D221" s="1679"/>
      <c r="E221" s="1686">
        <v>16723</v>
      </c>
      <c r="F221" s="1684">
        <v>3266</v>
      </c>
      <c r="G221" s="1679"/>
      <c r="H221" s="1686">
        <v>80246</v>
      </c>
      <c r="I221" s="1684">
        <v>62530</v>
      </c>
      <c r="J221" s="1679"/>
      <c r="K221" s="1686">
        <v>172342</v>
      </c>
      <c r="L221" s="1684">
        <v>22232</v>
      </c>
      <c r="M221" s="2779"/>
      <c r="N221" s="2889"/>
      <c r="O221" s="1692"/>
      <c r="P221" s="1692"/>
      <c r="Q221" s="1679"/>
      <c r="R221" s="2751"/>
    </row>
    <row r="222" spans="1:18">
      <c r="A222" s="134">
        <f t="shared" si="0"/>
        <v>2011.09</v>
      </c>
      <c r="B222" s="120">
        <v>7287</v>
      </c>
      <c r="C222" s="1684">
        <v>7432</v>
      </c>
      <c r="D222" s="1679"/>
      <c r="E222" s="1686">
        <v>16520</v>
      </c>
      <c r="F222" s="1684">
        <v>3500</v>
      </c>
      <c r="G222" s="1679"/>
      <c r="H222" s="1686">
        <v>84583</v>
      </c>
      <c r="I222" s="1684">
        <v>66351</v>
      </c>
      <c r="J222" s="1679"/>
      <c r="K222" s="1686">
        <v>170710</v>
      </c>
      <c r="L222" s="1684">
        <v>23863</v>
      </c>
      <c r="M222" s="2779"/>
      <c r="N222" s="2889"/>
      <c r="O222" s="1692"/>
      <c r="P222" s="1692"/>
      <c r="Q222" s="1679"/>
      <c r="R222" s="2751"/>
    </row>
    <row r="223" spans="1:18">
      <c r="A223" s="134">
        <f t="shared" si="0"/>
        <v>2011.1</v>
      </c>
      <c r="B223" s="120">
        <v>6177</v>
      </c>
      <c r="C223" s="1684">
        <v>6940</v>
      </c>
      <c r="D223" s="1679"/>
      <c r="E223" s="1686">
        <v>14858</v>
      </c>
      <c r="F223" s="1684">
        <v>3310</v>
      </c>
      <c r="G223" s="1679"/>
      <c r="H223" s="1686">
        <v>72659</v>
      </c>
      <c r="I223" s="1684">
        <v>64378</v>
      </c>
      <c r="J223" s="1679"/>
      <c r="K223" s="1686">
        <v>154189</v>
      </c>
      <c r="L223" s="1684">
        <v>22846</v>
      </c>
      <c r="M223" s="2779"/>
      <c r="N223" s="2889"/>
      <c r="O223" s="1692"/>
      <c r="P223" s="1692"/>
      <c r="Q223" s="1679"/>
      <c r="R223" s="2751"/>
    </row>
    <row r="224" spans="1:18">
      <c r="A224" s="134">
        <f t="shared" si="0"/>
        <v>2011.11</v>
      </c>
      <c r="B224" s="120">
        <v>5364</v>
      </c>
      <c r="C224" s="1684">
        <v>6848</v>
      </c>
      <c r="D224" s="1679"/>
      <c r="E224" s="1686">
        <v>14289</v>
      </c>
      <c r="F224" s="1684">
        <v>3333</v>
      </c>
      <c r="G224" s="1679"/>
      <c r="H224" s="1686">
        <v>65996</v>
      </c>
      <c r="I224" s="1684">
        <v>67626</v>
      </c>
      <c r="J224" s="1679"/>
      <c r="K224" s="1686">
        <v>157069</v>
      </c>
      <c r="L224" s="1684">
        <v>23668</v>
      </c>
      <c r="M224" s="2779"/>
      <c r="N224" s="2889"/>
      <c r="O224" s="1692"/>
      <c r="P224" s="1692"/>
      <c r="Q224" s="1679"/>
      <c r="R224" s="2751"/>
    </row>
    <row r="225" spans="1:18">
      <c r="A225" s="134">
        <f t="shared" si="0"/>
        <v>2011.12</v>
      </c>
      <c r="B225" s="120">
        <v>2868</v>
      </c>
      <c r="C225" s="1684">
        <v>6343</v>
      </c>
      <c r="D225" s="1679"/>
      <c r="E225" s="1686">
        <v>13981</v>
      </c>
      <c r="F225" s="1684">
        <v>3236</v>
      </c>
      <c r="G225" s="1679"/>
      <c r="H225" s="1686">
        <v>39014</v>
      </c>
      <c r="I225" s="1684">
        <v>61544</v>
      </c>
      <c r="J225" s="1679"/>
      <c r="K225" s="1686">
        <v>150779</v>
      </c>
      <c r="L225" s="1684">
        <v>21552</v>
      </c>
      <c r="M225" s="2779"/>
      <c r="N225" s="2889"/>
      <c r="O225" s="1692"/>
      <c r="P225" s="1692"/>
      <c r="Q225" s="1679"/>
      <c r="R225" s="2751"/>
    </row>
    <row r="226" spans="1:18">
      <c r="A226" s="134">
        <f>A214+1</f>
        <v>2012.01</v>
      </c>
      <c r="B226" s="120">
        <v>9422</v>
      </c>
      <c r="C226" s="1684">
        <v>8372</v>
      </c>
      <c r="D226" s="1679"/>
      <c r="E226" s="1686">
        <v>13329</v>
      </c>
      <c r="F226" s="1684">
        <v>3156</v>
      </c>
      <c r="G226" s="1679"/>
      <c r="H226" s="1686">
        <v>113121</v>
      </c>
      <c r="I226" s="1684">
        <v>80228</v>
      </c>
      <c r="J226" s="1679"/>
      <c r="K226" s="1686">
        <v>152245</v>
      </c>
      <c r="L226" s="1684">
        <v>23708</v>
      </c>
      <c r="M226" s="2779"/>
      <c r="N226" s="2889"/>
      <c r="O226" s="1692"/>
      <c r="P226" s="1692"/>
      <c r="Q226" s="1679"/>
      <c r="R226" s="2751"/>
    </row>
    <row r="227" spans="1:18">
      <c r="A227" s="134">
        <f t="shared" si="0"/>
        <v>2012.02</v>
      </c>
      <c r="B227" s="120">
        <v>4739</v>
      </c>
      <c r="C227" s="1684">
        <v>6402</v>
      </c>
      <c r="D227" s="1679"/>
      <c r="E227" s="1686">
        <v>10767</v>
      </c>
      <c r="F227" s="1684">
        <v>2763</v>
      </c>
      <c r="G227" s="1679"/>
      <c r="H227" s="1686">
        <v>58424</v>
      </c>
      <c r="I227" s="1684">
        <v>62884</v>
      </c>
      <c r="J227" s="1679"/>
      <c r="K227" s="1686">
        <v>123120</v>
      </c>
      <c r="L227" s="1684">
        <v>21332</v>
      </c>
      <c r="M227" s="2779"/>
      <c r="N227" s="2889"/>
      <c r="O227" s="1692"/>
      <c r="P227" s="1692"/>
      <c r="Q227" s="1679"/>
      <c r="R227" s="2751"/>
    </row>
    <row r="228" spans="1:18">
      <c r="A228" s="134">
        <f t="shared" si="0"/>
        <v>2012.03</v>
      </c>
      <c r="B228" s="120">
        <v>6671</v>
      </c>
      <c r="C228" s="1684">
        <v>6700</v>
      </c>
      <c r="D228" s="1679"/>
      <c r="E228" s="1686">
        <v>13837</v>
      </c>
      <c r="F228" s="1684">
        <v>3596</v>
      </c>
      <c r="G228" s="1679"/>
      <c r="H228" s="1686">
        <v>82570</v>
      </c>
      <c r="I228" s="1684">
        <v>71775</v>
      </c>
      <c r="J228" s="1679"/>
      <c r="K228" s="1686">
        <v>155668</v>
      </c>
      <c r="L228" s="1684">
        <v>27749</v>
      </c>
      <c r="M228" s="2779"/>
      <c r="N228" s="2889"/>
      <c r="O228" s="1692"/>
      <c r="P228" s="1692"/>
      <c r="Q228" s="1679"/>
      <c r="R228" s="2751"/>
    </row>
    <row r="229" spans="1:18">
      <c r="A229" s="134">
        <f t="shared" si="0"/>
        <v>2012.04</v>
      </c>
      <c r="B229" s="120">
        <v>5011</v>
      </c>
      <c r="C229" s="1684">
        <v>4739</v>
      </c>
      <c r="D229" s="1679"/>
      <c r="E229" s="1686">
        <v>10596</v>
      </c>
      <c r="F229" s="1684">
        <v>2919</v>
      </c>
      <c r="G229" s="1679"/>
      <c r="H229" s="1686">
        <v>61103</v>
      </c>
      <c r="I229" s="1684">
        <v>51107</v>
      </c>
      <c r="J229" s="1679"/>
      <c r="K229" s="1686">
        <v>120690</v>
      </c>
      <c r="L229" s="1684">
        <v>21343</v>
      </c>
      <c r="M229" s="2779"/>
      <c r="N229" s="2889"/>
      <c r="O229" s="1692"/>
      <c r="P229" s="1692"/>
      <c r="Q229" s="1679"/>
      <c r="R229" s="2751"/>
    </row>
    <row r="230" spans="1:18">
      <c r="A230" s="134">
        <f t="shared" si="0"/>
        <v>2012.05</v>
      </c>
      <c r="B230" s="120">
        <v>6371</v>
      </c>
      <c r="C230" s="1684">
        <v>5246</v>
      </c>
      <c r="D230" s="1679"/>
      <c r="E230" s="1686">
        <v>13794</v>
      </c>
      <c r="F230" s="1684">
        <v>3564</v>
      </c>
      <c r="G230" s="1679"/>
      <c r="H230" s="1686">
        <v>76728</v>
      </c>
      <c r="I230" s="1684">
        <v>55696</v>
      </c>
      <c r="J230" s="1679"/>
      <c r="K230" s="1686">
        <v>153412</v>
      </c>
      <c r="L230" s="1684">
        <v>25379</v>
      </c>
      <c r="M230" s="2779"/>
      <c r="N230" s="2889"/>
      <c r="O230" s="1692"/>
      <c r="P230" s="1692"/>
      <c r="Q230" s="1679"/>
      <c r="R230" s="2751"/>
    </row>
    <row r="231" spans="1:18">
      <c r="A231" s="134">
        <f t="shared" si="0"/>
        <v>2012.06</v>
      </c>
      <c r="B231" s="120">
        <v>5937</v>
      </c>
      <c r="C231" s="1684">
        <v>4427</v>
      </c>
      <c r="D231" s="1679"/>
      <c r="E231" s="1686">
        <v>12560</v>
      </c>
      <c r="F231" s="1684">
        <v>3019</v>
      </c>
      <c r="G231" s="1679"/>
      <c r="H231" s="1686">
        <v>69983</v>
      </c>
      <c r="I231" s="1684">
        <v>45898</v>
      </c>
      <c r="J231" s="1679"/>
      <c r="K231" s="1686">
        <v>140629</v>
      </c>
      <c r="L231" s="1684">
        <v>21740</v>
      </c>
      <c r="M231" s="2779"/>
      <c r="N231" s="2889"/>
      <c r="O231" s="1692"/>
      <c r="P231" s="1692"/>
      <c r="Q231" s="1679"/>
      <c r="R231" s="2751"/>
    </row>
    <row r="232" spans="1:18">
      <c r="A232" s="134">
        <f t="shared" si="0"/>
        <v>2012.07</v>
      </c>
      <c r="B232" s="120">
        <v>6219</v>
      </c>
      <c r="C232" s="1684">
        <v>4826</v>
      </c>
      <c r="D232" s="1679"/>
      <c r="E232" s="1686">
        <v>14831</v>
      </c>
      <c r="F232" s="1684">
        <v>3100</v>
      </c>
      <c r="G232" s="1679"/>
      <c r="H232" s="1686">
        <v>74401</v>
      </c>
      <c r="I232" s="1684">
        <v>50312</v>
      </c>
      <c r="J232" s="1679"/>
      <c r="K232" s="1686">
        <v>158828</v>
      </c>
      <c r="L232" s="1684">
        <v>22776</v>
      </c>
      <c r="M232" s="2779"/>
      <c r="N232" s="2889"/>
      <c r="O232" s="1692"/>
      <c r="P232" s="1692"/>
      <c r="Q232" s="1679"/>
      <c r="R232" s="2751"/>
    </row>
    <row r="233" spans="1:18">
      <c r="A233" s="134">
        <f t="shared" si="0"/>
        <v>2012.08</v>
      </c>
      <c r="B233" s="120">
        <v>6383</v>
      </c>
      <c r="C233" s="1684">
        <v>5101</v>
      </c>
      <c r="D233" s="1679"/>
      <c r="E233" s="1686">
        <v>15888</v>
      </c>
      <c r="F233" s="1684">
        <v>3518</v>
      </c>
      <c r="G233" s="1679"/>
      <c r="H233" s="1686">
        <v>76771</v>
      </c>
      <c r="I233" s="1684">
        <v>52854</v>
      </c>
      <c r="J233" s="1679"/>
      <c r="K233" s="1686">
        <v>169470</v>
      </c>
      <c r="L233" s="1684">
        <v>23984</v>
      </c>
      <c r="M233" s="2779"/>
      <c r="N233" s="2889"/>
      <c r="O233" s="1692"/>
      <c r="P233" s="1692"/>
      <c r="Q233" s="1679"/>
      <c r="R233" s="2751"/>
    </row>
    <row r="234" spans="1:18">
      <c r="A234" s="134">
        <f t="shared" si="0"/>
        <v>2012.09</v>
      </c>
      <c r="B234" s="120">
        <v>5401</v>
      </c>
      <c r="C234" s="1684">
        <v>4571</v>
      </c>
      <c r="D234" s="1679"/>
      <c r="E234" s="1686">
        <v>13310</v>
      </c>
      <c r="F234" s="1684">
        <v>2981</v>
      </c>
      <c r="G234" s="1679"/>
      <c r="H234" s="1686">
        <v>64776</v>
      </c>
      <c r="I234" s="1684">
        <v>50135</v>
      </c>
      <c r="J234" s="1679"/>
      <c r="K234" s="1686">
        <v>144694</v>
      </c>
      <c r="L234" s="1684">
        <v>21871</v>
      </c>
      <c r="M234" s="2779"/>
      <c r="N234" s="2889"/>
      <c r="O234" s="1692"/>
      <c r="P234" s="1692"/>
      <c r="Q234" s="1679"/>
      <c r="R234" s="2751"/>
    </row>
    <row r="235" spans="1:18">
      <c r="A235" s="134">
        <f t="shared" si="0"/>
        <v>2012.1</v>
      </c>
      <c r="B235" s="120">
        <v>5686</v>
      </c>
      <c r="C235" s="1684">
        <v>5563</v>
      </c>
      <c r="D235" s="1679"/>
      <c r="E235" s="1686">
        <v>14729</v>
      </c>
      <c r="F235" s="1684">
        <v>3277</v>
      </c>
      <c r="G235" s="1679"/>
      <c r="H235" s="1686">
        <v>70572</v>
      </c>
      <c r="I235" s="1684">
        <v>59722</v>
      </c>
      <c r="J235" s="1679"/>
      <c r="K235" s="1686">
        <v>160496</v>
      </c>
      <c r="L235" s="1684">
        <v>23286</v>
      </c>
      <c r="M235" s="2779"/>
      <c r="N235" s="2889"/>
      <c r="O235" s="1692"/>
      <c r="P235" s="1692"/>
      <c r="Q235" s="1679"/>
      <c r="R235" s="2751"/>
    </row>
    <row r="236" spans="1:18">
      <c r="A236" s="134">
        <f t="shared" si="0"/>
        <v>2012.11</v>
      </c>
      <c r="B236" s="120">
        <v>4542</v>
      </c>
      <c r="C236" s="1684">
        <v>5210</v>
      </c>
      <c r="D236" s="1679"/>
      <c r="E236" s="1686">
        <v>12519</v>
      </c>
      <c r="F236" s="1684">
        <v>3075</v>
      </c>
      <c r="G236" s="1679"/>
      <c r="H236" s="1686">
        <v>58877</v>
      </c>
      <c r="I236" s="1684">
        <v>56552</v>
      </c>
      <c r="J236" s="1679"/>
      <c r="K236" s="1686">
        <v>142928</v>
      </c>
      <c r="L236" s="1684">
        <v>22074</v>
      </c>
      <c r="M236" s="2779"/>
      <c r="N236" s="2889"/>
      <c r="O236" s="1692"/>
      <c r="P236" s="1692"/>
      <c r="Q236" s="1679"/>
      <c r="R236" s="2751"/>
    </row>
    <row r="237" spans="1:18">
      <c r="A237" s="134">
        <f t="shared" si="0"/>
        <v>2012.12</v>
      </c>
      <c r="B237" s="120">
        <v>2943</v>
      </c>
      <c r="C237" s="1684">
        <v>4402</v>
      </c>
      <c r="D237" s="1679"/>
      <c r="E237" s="1686">
        <v>11648</v>
      </c>
      <c r="F237" s="1684">
        <v>2505</v>
      </c>
      <c r="G237" s="1679"/>
      <c r="H237" s="1686">
        <v>38236</v>
      </c>
      <c r="I237" s="1684">
        <v>49226</v>
      </c>
      <c r="J237" s="1679"/>
      <c r="K237" s="1686">
        <v>134128</v>
      </c>
      <c r="L237" s="1684">
        <v>19417</v>
      </c>
      <c r="M237" s="2779"/>
      <c r="N237" s="2889"/>
      <c r="O237" s="1692"/>
      <c r="P237" s="1692"/>
      <c r="Q237" s="1679"/>
      <c r="R237" s="2751"/>
    </row>
    <row r="238" spans="1:18">
      <c r="A238" s="134">
        <f>A226+1</f>
        <v>2013.01</v>
      </c>
      <c r="B238" s="120">
        <v>9484</v>
      </c>
      <c r="C238" s="1684">
        <v>7374</v>
      </c>
      <c r="D238" s="461">
        <v>107</v>
      </c>
      <c r="E238" s="1686">
        <v>13437</v>
      </c>
      <c r="F238" s="1684">
        <v>3176</v>
      </c>
      <c r="G238" s="1679"/>
      <c r="H238" s="1686">
        <v>110953</v>
      </c>
      <c r="I238" s="1684">
        <v>74079</v>
      </c>
      <c r="J238" s="461">
        <v>832</v>
      </c>
      <c r="K238" s="1686">
        <v>153807</v>
      </c>
      <c r="L238" s="1684">
        <v>23495</v>
      </c>
      <c r="M238" s="2779"/>
      <c r="N238" s="2889"/>
      <c r="O238" s="1692"/>
      <c r="P238" s="1692"/>
      <c r="Q238" s="1679"/>
      <c r="R238" s="2751"/>
    </row>
    <row r="239" spans="1:18">
      <c r="A239" s="134">
        <f t="shared" si="0"/>
        <v>2013.02</v>
      </c>
      <c r="B239" s="120">
        <v>5414</v>
      </c>
      <c r="C239" s="1684">
        <v>5672</v>
      </c>
      <c r="D239" s="255">
        <v>97</v>
      </c>
      <c r="E239" s="1686">
        <v>11032</v>
      </c>
      <c r="F239" s="1684">
        <v>2687</v>
      </c>
      <c r="G239" s="1679"/>
      <c r="H239" s="1686">
        <v>64242</v>
      </c>
      <c r="I239" s="1684">
        <v>57129</v>
      </c>
      <c r="J239" s="255">
        <v>704</v>
      </c>
      <c r="K239" s="1686">
        <v>124156</v>
      </c>
      <c r="L239" s="1684">
        <v>20017</v>
      </c>
      <c r="M239" s="2779"/>
      <c r="N239" s="2889"/>
      <c r="O239" s="1692"/>
      <c r="P239" s="1692"/>
      <c r="Q239" s="1679"/>
      <c r="R239" s="2751"/>
    </row>
    <row r="240" spans="1:18">
      <c r="A240" s="134">
        <f t="shared" si="0"/>
        <v>2013.03</v>
      </c>
      <c r="B240" s="120">
        <v>6610</v>
      </c>
      <c r="C240" s="1684">
        <v>6146</v>
      </c>
      <c r="D240" s="255">
        <v>99</v>
      </c>
      <c r="E240" s="1686">
        <v>12979</v>
      </c>
      <c r="F240" s="1684">
        <v>3226</v>
      </c>
      <c r="G240" s="1679"/>
      <c r="H240" s="1686">
        <v>78123</v>
      </c>
      <c r="I240" s="1684">
        <v>63841</v>
      </c>
      <c r="J240" s="255">
        <v>947</v>
      </c>
      <c r="K240" s="1686">
        <v>143980</v>
      </c>
      <c r="L240" s="1684">
        <v>23559</v>
      </c>
      <c r="M240" s="2779"/>
      <c r="N240" s="2889"/>
      <c r="O240" s="1692"/>
      <c r="P240" s="1692"/>
      <c r="Q240" s="1679"/>
      <c r="R240" s="2751"/>
    </row>
    <row r="241" spans="1:18">
      <c r="A241" s="134">
        <f t="shared" si="0"/>
        <v>2013.04</v>
      </c>
      <c r="B241" s="120">
        <v>6920</v>
      </c>
      <c r="C241" s="1684">
        <v>6001</v>
      </c>
      <c r="D241" s="255">
        <v>144</v>
      </c>
      <c r="E241" s="1686">
        <v>14074</v>
      </c>
      <c r="F241" s="1684">
        <v>3380</v>
      </c>
      <c r="G241" s="1679"/>
      <c r="H241" s="1686">
        <v>82649</v>
      </c>
      <c r="I241" s="1684">
        <v>64697</v>
      </c>
      <c r="J241" s="255">
        <v>1126</v>
      </c>
      <c r="K241" s="1686">
        <v>151653</v>
      </c>
      <c r="L241" s="1684">
        <v>23883</v>
      </c>
      <c r="M241" s="2779"/>
      <c r="N241" s="2889"/>
      <c r="O241" s="1692"/>
      <c r="P241" s="1692"/>
      <c r="Q241" s="1679"/>
      <c r="R241" s="2751"/>
    </row>
    <row r="242" spans="1:18">
      <c r="A242" s="134">
        <f t="shared" si="0"/>
        <v>2013.05</v>
      </c>
      <c r="B242" s="120">
        <v>7689</v>
      </c>
      <c r="C242" s="1684">
        <v>5992</v>
      </c>
      <c r="D242" s="255">
        <v>189</v>
      </c>
      <c r="E242" s="1686">
        <v>15364</v>
      </c>
      <c r="F242" s="1684">
        <v>3614</v>
      </c>
      <c r="G242" s="1679"/>
      <c r="H242" s="1686">
        <v>92892</v>
      </c>
      <c r="I242" s="1684">
        <v>63669</v>
      </c>
      <c r="J242" s="255">
        <v>1218</v>
      </c>
      <c r="K242" s="1686">
        <v>166352</v>
      </c>
      <c r="L242" s="1684">
        <v>25052</v>
      </c>
      <c r="M242" s="2779"/>
      <c r="N242" s="2889"/>
      <c r="O242" s="1692"/>
      <c r="P242" s="1692"/>
      <c r="Q242" s="1679"/>
      <c r="R242" s="2751"/>
    </row>
    <row r="243" spans="1:18">
      <c r="A243" s="134">
        <f t="shared" si="0"/>
        <v>2013.06</v>
      </c>
      <c r="B243" s="120">
        <v>6263</v>
      </c>
      <c r="C243" s="1684">
        <v>4723</v>
      </c>
      <c r="D243" s="255">
        <v>154</v>
      </c>
      <c r="E243" s="1686">
        <v>13200</v>
      </c>
      <c r="F243" s="1684">
        <v>2808</v>
      </c>
      <c r="G243" s="1679"/>
      <c r="H243" s="1686">
        <v>75190</v>
      </c>
      <c r="I243" s="1684">
        <v>49500</v>
      </c>
      <c r="J243" s="255">
        <v>1036</v>
      </c>
      <c r="K243" s="1686">
        <v>137838</v>
      </c>
      <c r="L243" s="1684">
        <v>19209</v>
      </c>
      <c r="M243" s="2779"/>
      <c r="N243" s="2889"/>
      <c r="O243" s="1692"/>
      <c r="P243" s="1692"/>
      <c r="Q243" s="1679"/>
      <c r="R243" s="2751"/>
    </row>
    <row r="244" spans="1:18">
      <c r="A244" s="134">
        <f t="shared" si="0"/>
        <v>2013.07</v>
      </c>
      <c r="B244" s="120">
        <v>7375</v>
      </c>
      <c r="C244" s="1684">
        <v>5770</v>
      </c>
      <c r="D244" s="255">
        <v>189</v>
      </c>
      <c r="E244" s="1686">
        <v>16698</v>
      </c>
      <c r="F244" s="1684">
        <v>3277</v>
      </c>
      <c r="G244" s="1679"/>
      <c r="H244" s="1686">
        <v>88447</v>
      </c>
      <c r="I244" s="1684">
        <v>59044</v>
      </c>
      <c r="J244" s="255">
        <v>1178</v>
      </c>
      <c r="K244" s="1686">
        <v>177573</v>
      </c>
      <c r="L244" s="1684">
        <v>23473</v>
      </c>
      <c r="M244" s="2779"/>
      <c r="N244" s="2889"/>
      <c r="O244" s="1692"/>
      <c r="P244" s="1692"/>
      <c r="Q244" s="1679"/>
      <c r="R244" s="2751"/>
    </row>
    <row r="245" spans="1:18">
      <c r="A245" s="134">
        <f t="shared" si="0"/>
        <v>2013.08</v>
      </c>
      <c r="B245" s="120">
        <v>6765</v>
      </c>
      <c r="C245" s="1684">
        <v>5621</v>
      </c>
      <c r="D245" s="255">
        <v>206</v>
      </c>
      <c r="E245" s="1686">
        <v>16253</v>
      </c>
      <c r="F245" s="1684">
        <v>3392</v>
      </c>
      <c r="G245" s="1679"/>
      <c r="H245" s="1686">
        <v>82777</v>
      </c>
      <c r="I245" s="1684">
        <v>58261</v>
      </c>
      <c r="J245" s="255">
        <v>1273</v>
      </c>
      <c r="K245" s="1686">
        <v>169991</v>
      </c>
      <c r="L245" s="1684">
        <v>22829</v>
      </c>
      <c r="M245" s="2779"/>
      <c r="N245" s="2889"/>
      <c r="O245" s="1692"/>
      <c r="P245" s="1692"/>
      <c r="Q245" s="1679"/>
      <c r="R245" s="2751"/>
    </row>
    <row r="246" spans="1:18">
      <c r="A246" s="134">
        <f t="shared" si="0"/>
        <v>2013.09</v>
      </c>
      <c r="B246" s="120">
        <v>7224</v>
      </c>
      <c r="C246" s="1684">
        <v>5993</v>
      </c>
      <c r="D246" s="255">
        <v>189</v>
      </c>
      <c r="E246" s="1686">
        <v>15698</v>
      </c>
      <c r="F246" s="1684">
        <v>3517</v>
      </c>
      <c r="G246" s="1679"/>
      <c r="H246" s="1686">
        <v>85490</v>
      </c>
      <c r="I246" s="1684">
        <v>59617</v>
      </c>
      <c r="J246" s="255">
        <v>1265</v>
      </c>
      <c r="K246" s="1686">
        <v>165592</v>
      </c>
      <c r="L246" s="1684">
        <v>23681</v>
      </c>
      <c r="M246" s="2779"/>
      <c r="N246" s="2889"/>
      <c r="O246" s="1692"/>
      <c r="P246" s="1692"/>
      <c r="Q246" s="1679"/>
      <c r="R246" s="2751"/>
    </row>
    <row r="247" spans="1:18">
      <c r="A247" s="134">
        <f t="shared" si="0"/>
        <v>2013.1</v>
      </c>
      <c r="B247" s="120">
        <v>7642</v>
      </c>
      <c r="C247" s="1684">
        <v>6382</v>
      </c>
      <c r="D247" s="255">
        <v>226</v>
      </c>
      <c r="E247" s="1686">
        <v>15740</v>
      </c>
      <c r="F247" s="1684">
        <v>3550</v>
      </c>
      <c r="G247" s="1679"/>
      <c r="H247" s="1686">
        <v>89816</v>
      </c>
      <c r="I247" s="1684">
        <v>64521</v>
      </c>
      <c r="J247" s="255">
        <v>1321</v>
      </c>
      <c r="K247" s="1686">
        <v>171689</v>
      </c>
      <c r="L247" s="1684">
        <v>25627</v>
      </c>
      <c r="M247" s="2779"/>
      <c r="N247" s="2889"/>
      <c r="O247" s="1692"/>
      <c r="P247" s="1692"/>
      <c r="Q247" s="1679"/>
      <c r="R247" s="2751"/>
    </row>
    <row r="248" spans="1:18">
      <c r="A248" s="134">
        <f t="shared" si="0"/>
        <v>2013.11</v>
      </c>
      <c r="B248" s="120">
        <v>4850</v>
      </c>
      <c r="C248" s="1684">
        <v>5586</v>
      </c>
      <c r="D248" s="255">
        <v>154</v>
      </c>
      <c r="E248" s="1686">
        <v>12886</v>
      </c>
      <c r="F248" s="1684">
        <v>3092</v>
      </c>
      <c r="G248" s="1679"/>
      <c r="H248" s="1686">
        <v>62352</v>
      </c>
      <c r="I248" s="1684">
        <v>57839</v>
      </c>
      <c r="J248" s="255">
        <v>1190</v>
      </c>
      <c r="K248" s="1686">
        <v>148352</v>
      </c>
      <c r="L248" s="1684">
        <v>23408</v>
      </c>
      <c r="M248" s="2779"/>
      <c r="N248" s="2889"/>
      <c r="O248" s="1692"/>
      <c r="P248" s="1692"/>
      <c r="Q248" s="1679"/>
      <c r="R248" s="2751"/>
    </row>
    <row r="249" spans="1:18">
      <c r="A249" s="134">
        <f t="shared" si="0"/>
        <v>2013.12</v>
      </c>
      <c r="B249" s="120">
        <v>3826</v>
      </c>
      <c r="C249" s="1684">
        <v>4659</v>
      </c>
      <c r="D249" s="255">
        <v>166</v>
      </c>
      <c r="E249" s="1686">
        <v>12961</v>
      </c>
      <c r="F249" s="1684">
        <v>2944</v>
      </c>
      <c r="G249" s="1679"/>
      <c r="H249" s="1686">
        <v>51360</v>
      </c>
      <c r="I249" s="1684">
        <v>53049</v>
      </c>
      <c r="J249" s="255">
        <v>1074</v>
      </c>
      <c r="K249" s="1686">
        <v>144049</v>
      </c>
      <c r="L249" s="1684">
        <v>21637</v>
      </c>
      <c r="M249" s="2779"/>
      <c r="N249" s="2889"/>
      <c r="O249" s="1692"/>
      <c r="P249" s="1692"/>
      <c r="Q249" s="1679"/>
      <c r="R249" s="2751"/>
    </row>
    <row r="250" spans="1:18">
      <c r="A250" s="134">
        <f>A238+1</f>
        <v>2014.01</v>
      </c>
      <c r="B250" s="120">
        <v>9830</v>
      </c>
      <c r="C250" s="1684">
        <v>7208</v>
      </c>
      <c r="D250" s="255">
        <v>118</v>
      </c>
      <c r="E250" s="1686">
        <v>14776</v>
      </c>
      <c r="F250" s="1684">
        <v>3356</v>
      </c>
      <c r="G250" s="461">
        <v>55</v>
      </c>
      <c r="H250" s="1686">
        <v>109484</v>
      </c>
      <c r="I250" s="1684">
        <v>72164</v>
      </c>
      <c r="J250" s="255">
        <v>1017</v>
      </c>
      <c r="K250" s="1686">
        <v>163033</v>
      </c>
      <c r="L250" s="1684">
        <v>25213</v>
      </c>
      <c r="M250" s="2780">
        <v>333</v>
      </c>
      <c r="N250" s="2895">
        <f>SUM(O250:Q250)</f>
        <v>9712</v>
      </c>
      <c r="O250" s="1683">
        <v>7860</v>
      </c>
      <c r="P250" s="1683">
        <v>1765</v>
      </c>
      <c r="Q250" s="461">
        <v>87</v>
      </c>
      <c r="R250" s="2751"/>
    </row>
    <row r="251" spans="1:18">
      <c r="A251" s="134">
        <f t="shared" si="0"/>
        <v>2014.02</v>
      </c>
      <c r="B251" s="120">
        <v>4829</v>
      </c>
      <c r="C251" s="1684">
        <v>3962</v>
      </c>
      <c r="D251" s="255">
        <v>126</v>
      </c>
      <c r="E251" s="1686">
        <v>12526</v>
      </c>
      <c r="F251" s="1684">
        <v>3060</v>
      </c>
      <c r="G251" s="255">
        <v>83</v>
      </c>
      <c r="H251" s="1686">
        <v>58908</v>
      </c>
      <c r="I251" s="1684">
        <v>41971</v>
      </c>
      <c r="J251" s="255">
        <v>783</v>
      </c>
      <c r="K251" s="1686">
        <v>138348</v>
      </c>
      <c r="L251" s="1684">
        <v>24156</v>
      </c>
      <c r="M251" s="1895">
        <v>497</v>
      </c>
      <c r="N251" s="2893">
        <f t="shared" ref="N251:N314" si="1">SUM(O251:Q251)</f>
        <v>4677</v>
      </c>
      <c r="O251" s="1684">
        <v>3667</v>
      </c>
      <c r="P251" s="1684">
        <v>901</v>
      </c>
      <c r="Q251" s="255">
        <v>109</v>
      </c>
      <c r="R251" s="2751"/>
    </row>
    <row r="252" spans="1:18">
      <c r="A252" s="134">
        <f t="shared" si="0"/>
        <v>2014.03</v>
      </c>
      <c r="B252" s="120">
        <v>4053</v>
      </c>
      <c r="C252" s="1684">
        <v>3072</v>
      </c>
      <c r="D252" s="255">
        <v>84</v>
      </c>
      <c r="E252" s="1686">
        <v>10984</v>
      </c>
      <c r="F252" s="1684">
        <v>2843</v>
      </c>
      <c r="G252" s="255">
        <v>95</v>
      </c>
      <c r="H252" s="1686">
        <v>51857</v>
      </c>
      <c r="I252" s="1684">
        <v>35349</v>
      </c>
      <c r="J252" s="255">
        <v>659</v>
      </c>
      <c r="K252" s="1686">
        <v>122493</v>
      </c>
      <c r="L252" s="1684">
        <v>21576</v>
      </c>
      <c r="M252" s="1895">
        <v>500</v>
      </c>
      <c r="N252" s="2893">
        <f t="shared" si="1"/>
        <v>3910</v>
      </c>
      <c r="O252" s="1684">
        <v>3024</v>
      </c>
      <c r="P252" s="1684">
        <v>788</v>
      </c>
      <c r="Q252" s="255">
        <v>98</v>
      </c>
      <c r="R252" s="2751"/>
    </row>
    <row r="253" spans="1:18">
      <c r="A253" s="134">
        <f t="shared" si="0"/>
        <v>2014.04</v>
      </c>
      <c r="B253" s="120">
        <v>4361</v>
      </c>
      <c r="C253" s="1684">
        <v>3163</v>
      </c>
      <c r="D253" s="255">
        <v>111</v>
      </c>
      <c r="E253" s="1686">
        <v>11622</v>
      </c>
      <c r="F253" s="1684">
        <v>2892</v>
      </c>
      <c r="G253" s="255">
        <v>80</v>
      </c>
      <c r="H253" s="1686">
        <v>53765</v>
      </c>
      <c r="I253" s="1684">
        <v>35643</v>
      </c>
      <c r="J253" s="255">
        <v>738</v>
      </c>
      <c r="K253" s="1686">
        <v>126811</v>
      </c>
      <c r="L253" s="1684">
        <v>21251</v>
      </c>
      <c r="M253" s="1895">
        <v>529</v>
      </c>
      <c r="N253" s="2893">
        <f t="shared" si="1"/>
        <v>4222</v>
      </c>
      <c r="O253" s="1684">
        <v>3281</v>
      </c>
      <c r="P253" s="1684">
        <v>859</v>
      </c>
      <c r="Q253" s="255">
        <v>82</v>
      </c>
      <c r="R253" s="2751"/>
    </row>
    <row r="254" spans="1:18">
      <c r="A254" s="134">
        <f t="shared" si="0"/>
        <v>2014.05</v>
      </c>
      <c r="B254" s="120">
        <v>4621</v>
      </c>
      <c r="C254" s="1684">
        <v>3291</v>
      </c>
      <c r="D254" s="255">
        <v>123</v>
      </c>
      <c r="E254" s="1686">
        <v>12583</v>
      </c>
      <c r="F254" s="1684">
        <v>3297</v>
      </c>
      <c r="G254" s="255">
        <v>101</v>
      </c>
      <c r="H254" s="1686">
        <v>56813</v>
      </c>
      <c r="I254" s="1684">
        <v>34709</v>
      </c>
      <c r="J254" s="255">
        <v>854</v>
      </c>
      <c r="K254" s="1686">
        <v>128217</v>
      </c>
      <c r="L254" s="1684">
        <v>21297</v>
      </c>
      <c r="M254" s="1895">
        <v>553</v>
      </c>
      <c r="N254" s="2893">
        <f t="shared" si="1"/>
        <v>4587</v>
      </c>
      <c r="O254" s="1684">
        <v>3524</v>
      </c>
      <c r="P254" s="1684">
        <v>979</v>
      </c>
      <c r="Q254" s="255">
        <v>84</v>
      </c>
      <c r="R254" s="2751"/>
    </row>
    <row r="255" spans="1:18">
      <c r="A255" s="134">
        <f t="shared" ref="A255:A261" si="2">A243+1</f>
        <v>2014.06</v>
      </c>
      <c r="B255" s="120">
        <v>4456</v>
      </c>
      <c r="C255" s="1684">
        <v>2980</v>
      </c>
      <c r="D255" s="255">
        <v>109</v>
      </c>
      <c r="E255" s="1686">
        <v>11761</v>
      </c>
      <c r="F255" s="1684">
        <v>2936</v>
      </c>
      <c r="G255" s="255">
        <v>92</v>
      </c>
      <c r="H255" s="1686">
        <v>53503</v>
      </c>
      <c r="I255" s="1684">
        <v>31609</v>
      </c>
      <c r="J255" s="255">
        <v>852</v>
      </c>
      <c r="K255" s="1686">
        <v>118327</v>
      </c>
      <c r="L255" s="1684">
        <v>18828</v>
      </c>
      <c r="M255" s="1895">
        <v>536</v>
      </c>
      <c r="N255" s="2893">
        <f t="shared" si="1"/>
        <v>4429</v>
      </c>
      <c r="O255" s="1684">
        <v>3431</v>
      </c>
      <c r="P255" s="1684">
        <v>936</v>
      </c>
      <c r="Q255" s="255">
        <v>62</v>
      </c>
      <c r="R255" s="2751"/>
    </row>
    <row r="256" spans="1:18">
      <c r="A256" s="134">
        <f t="shared" si="2"/>
        <v>2014.07</v>
      </c>
      <c r="B256" s="120">
        <v>5226</v>
      </c>
      <c r="C256" s="1684">
        <v>3807</v>
      </c>
      <c r="D256" s="255">
        <v>123</v>
      </c>
      <c r="E256" s="1686">
        <v>14336</v>
      </c>
      <c r="F256" s="1684">
        <v>3591</v>
      </c>
      <c r="G256" s="255">
        <v>83</v>
      </c>
      <c r="H256" s="1686">
        <v>61646</v>
      </c>
      <c r="I256" s="1684">
        <v>38825</v>
      </c>
      <c r="J256" s="255">
        <v>838</v>
      </c>
      <c r="K256" s="1686">
        <v>142168</v>
      </c>
      <c r="L256" s="1684">
        <v>21802</v>
      </c>
      <c r="M256" s="1895">
        <v>569</v>
      </c>
      <c r="N256" s="2893">
        <f t="shared" si="1"/>
        <v>5085</v>
      </c>
      <c r="O256" s="1684">
        <v>4054</v>
      </c>
      <c r="P256" s="1684">
        <v>962</v>
      </c>
      <c r="Q256" s="255">
        <v>69</v>
      </c>
      <c r="R256" s="2751"/>
    </row>
    <row r="257" spans="1:18">
      <c r="A257" s="134">
        <f t="shared" si="2"/>
        <v>2014.08</v>
      </c>
      <c r="B257" s="120">
        <v>5133</v>
      </c>
      <c r="C257" s="1684">
        <v>4012</v>
      </c>
      <c r="D257" s="255">
        <v>121</v>
      </c>
      <c r="E257" s="1686">
        <v>13768</v>
      </c>
      <c r="F257" s="1684">
        <v>3215</v>
      </c>
      <c r="G257" s="255">
        <v>99</v>
      </c>
      <c r="H257" s="1686">
        <v>58535</v>
      </c>
      <c r="I257" s="1684">
        <v>40332</v>
      </c>
      <c r="J257" s="255">
        <v>814</v>
      </c>
      <c r="K257" s="1686">
        <v>135054</v>
      </c>
      <c r="L257" s="1684">
        <v>20775</v>
      </c>
      <c r="M257" s="1895">
        <v>564</v>
      </c>
      <c r="N257" s="2893">
        <f t="shared" si="1"/>
        <v>5057</v>
      </c>
      <c r="O257" s="1684">
        <v>4021</v>
      </c>
      <c r="P257" s="1684">
        <v>972</v>
      </c>
      <c r="Q257" s="255">
        <v>64</v>
      </c>
      <c r="R257" s="2751"/>
    </row>
    <row r="258" spans="1:18">
      <c r="A258" s="134">
        <f t="shared" si="2"/>
        <v>2014.09</v>
      </c>
      <c r="B258" s="120">
        <v>5285</v>
      </c>
      <c r="C258" s="1684">
        <v>4541</v>
      </c>
      <c r="D258" s="255">
        <v>148</v>
      </c>
      <c r="E258" s="1686">
        <v>15093</v>
      </c>
      <c r="F258" s="1684">
        <v>3810</v>
      </c>
      <c r="G258" s="255">
        <v>84</v>
      </c>
      <c r="H258" s="1686">
        <v>59681</v>
      </c>
      <c r="I258" s="1684">
        <v>46188</v>
      </c>
      <c r="J258" s="255">
        <v>911</v>
      </c>
      <c r="K258" s="1686">
        <v>154575</v>
      </c>
      <c r="L258" s="1684">
        <v>25047</v>
      </c>
      <c r="M258" s="1895">
        <v>622</v>
      </c>
      <c r="N258" s="2893">
        <f t="shared" si="1"/>
        <v>5173</v>
      </c>
      <c r="O258" s="1684">
        <v>4061</v>
      </c>
      <c r="P258" s="1684">
        <v>1022</v>
      </c>
      <c r="Q258" s="255">
        <v>90</v>
      </c>
      <c r="R258" s="2751"/>
    </row>
    <row r="259" spans="1:18">
      <c r="A259" s="134">
        <f t="shared" si="2"/>
        <v>2014.1</v>
      </c>
      <c r="B259" s="120">
        <v>4707</v>
      </c>
      <c r="C259" s="1684">
        <v>4154</v>
      </c>
      <c r="D259" s="255">
        <v>144</v>
      </c>
      <c r="E259" s="1686">
        <v>15177</v>
      </c>
      <c r="F259" s="1684">
        <v>3820</v>
      </c>
      <c r="G259" s="255">
        <v>100</v>
      </c>
      <c r="H259" s="1686">
        <v>54688</v>
      </c>
      <c r="I259" s="1684">
        <v>44280</v>
      </c>
      <c r="J259" s="255">
        <v>1076</v>
      </c>
      <c r="K259" s="1686">
        <v>155181</v>
      </c>
      <c r="L259" s="1684">
        <v>25929</v>
      </c>
      <c r="M259" s="1895">
        <v>596</v>
      </c>
      <c r="N259" s="2893">
        <f t="shared" si="1"/>
        <v>4627</v>
      </c>
      <c r="O259" s="1684">
        <v>3580</v>
      </c>
      <c r="P259" s="1684">
        <v>958</v>
      </c>
      <c r="Q259" s="255">
        <v>89</v>
      </c>
      <c r="R259" s="2751"/>
    </row>
    <row r="260" spans="1:18">
      <c r="A260" s="134">
        <f t="shared" si="2"/>
        <v>2014.11</v>
      </c>
      <c r="B260" s="120">
        <v>3348</v>
      </c>
      <c r="C260" s="1684">
        <v>3140</v>
      </c>
      <c r="D260" s="255">
        <v>106</v>
      </c>
      <c r="E260" s="1686">
        <v>12534</v>
      </c>
      <c r="F260" s="1684">
        <v>3207</v>
      </c>
      <c r="G260" s="255">
        <v>87</v>
      </c>
      <c r="H260" s="1686">
        <v>40059</v>
      </c>
      <c r="I260" s="1684">
        <v>33296</v>
      </c>
      <c r="J260" s="255">
        <v>878</v>
      </c>
      <c r="K260" s="1686">
        <v>127110</v>
      </c>
      <c r="L260" s="1684">
        <v>22189</v>
      </c>
      <c r="M260" s="1895">
        <v>579</v>
      </c>
      <c r="N260" s="2893">
        <f t="shared" si="1"/>
        <v>3307</v>
      </c>
      <c r="O260" s="1684">
        <v>2453</v>
      </c>
      <c r="P260" s="1684">
        <v>765</v>
      </c>
      <c r="Q260" s="255">
        <v>89</v>
      </c>
      <c r="R260" s="2751"/>
    </row>
    <row r="261" spans="1:18">
      <c r="A261" s="134">
        <f t="shared" si="2"/>
        <v>2014.12</v>
      </c>
      <c r="B261" s="120">
        <v>2391</v>
      </c>
      <c r="C261" s="1684">
        <v>3007</v>
      </c>
      <c r="D261" s="255">
        <v>131</v>
      </c>
      <c r="E261" s="1686">
        <v>13171</v>
      </c>
      <c r="F261" s="1684">
        <v>3353</v>
      </c>
      <c r="G261" s="255">
        <v>88</v>
      </c>
      <c r="H261" s="1686">
        <v>30460</v>
      </c>
      <c r="I261" s="1684">
        <v>31689</v>
      </c>
      <c r="J261" s="255">
        <v>889</v>
      </c>
      <c r="K261" s="1686">
        <v>139576</v>
      </c>
      <c r="L261" s="1684">
        <v>22669</v>
      </c>
      <c r="M261" s="1895">
        <v>557</v>
      </c>
      <c r="N261" s="2893">
        <f t="shared" si="1"/>
        <v>2343</v>
      </c>
      <c r="O261" s="1684">
        <v>1826</v>
      </c>
      <c r="P261" s="1684">
        <v>450</v>
      </c>
      <c r="Q261" s="255">
        <v>67</v>
      </c>
      <c r="R261" s="2751"/>
    </row>
    <row r="262" spans="1:18">
      <c r="A262" s="134">
        <f>A250+1</f>
        <v>2015.01</v>
      </c>
      <c r="B262" s="120">
        <v>5871</v>
      </c>
      <c r="C262" s="1684">
        <v>4146</v>
      </c>
      <c r="D262" s="255">
        <v>104</v>
      </c>
      <c r="E262" s="1686">
        <v>13349</v>
      </c>
      <c r="F262" s="1684">
        <v>3358</v>
      </c>
      <c r="G262" s="255">
        <v>64</v>
      </c>
      <c r="H262" s="1686">
        <v>67619</v>
      </c>
      <c r="I262" s="1684">
        <v>41749</v>
      </c>
      <c r="J262" s="255">
        <v>779</v>
      </c>
      <c r="K262" s="1686">
        <v>145059</v>
      </c>
      <c r="L262" s="1684">
        <v>24229</v>
      </c>
      <c r="M262" s="1895">
        <v>541</v>
      </c>
      <c r="N262" s="2893">
        <f t="shared" si="1"/>
        <v>5763</v>
      </c>
      <c r="O262" s="1684">
        <v>4504</v>
      </c>
      <c r="P262" s="1684">
        <v>1152</v>
      </c>
      <c r="Q262" s="255">
        <v>107</v>
      </c>
      <c r="R262" s="2751"/>
    </row>
    <row r="263" spans="1:18">
      <c r="A263" s="134">
        <f t="shared" ref="A263:A326" si="3">A251+1</f>
        <v>2015.02</v>
      </c>
      <c r="B263" s="120">
        <v>3806</v>
      </c>
      <c r="C263" s="1684">
        <v>3477</v>
      </c>
      <c r="D263" s="255">
        <v>76</v>
      </c>
      <c r="E263" s="1686">
        <v>11262</v>
      </c>
      <c r="F263" s="1684">
        <v>2915</v>
      </c>
      <c r="G263" s="255">
        <v>76</v>
      </c>
      <c r="H263" s="1686">
        <v>43970</v>
      </c>
      <c r="I263" s="1684">
        <v>35092</v>
      </c>
      <c r="J263" s="255">
        <v>615</v>
      </c>
      <c r="K263" s="1686">
        <v>123308</v>
      </c>
      <c r="L263" s="1684">
        <v>21788</v>
      </c>
      <c r="M263" s="1895">
        <v>425</v>
      </c>
      <c r="N263" s="2893">
        <f t="shared" si="1"/>
        <v>3699</v>
      </c>
      <c r="O263" s="1684">
        <v>2694</v>
      </c>
      <c r="P263" s="1684">
        <v>905</v>
      </c>
      <c r="Q263" s="255">
        <v>100</v>
      </c>
      <c r="R263" s="2751"/>
    </row>
    <row r="264" spans="1:18">
      <c r="A264" s="134">
        <f t="shared" si="3"/>
        <v>2015.03</v>
      </c>
      <c r="B264" s="120">
        <v>4271</v>
      </c>
      <c r="C264" s="1684">
        <v>4045</v>
      </c>
      <c r="D264" s="255">
        <v>103</v>
      </c>
      <c r="E264" s="1686">
        <v>12929</v>
      </c>
      <c r="F264" s="1684">
        <v>3452</v>
      </c>
      <c r="G264" s="255">
        <v>100</v>
      </c>
      <c r="H264" s="1686">
        <v>50502</v>
      </c>
      <c r="I264" s="1684">
        <v>43192</v>
      </c>
      <c r="J264" s="255">
        <v>711</v>
      </c>
      <c r="K264" s="1686">
        <v>139063</v>
      </c>
      <c r="L264" s="1684">
        <v>25292</v>
      </c>
      <c r="M264" s="1895">
        <v>603</v>
      </c>
      <c r="N264" s="2893">
        <f t="shared" si="1"/>
        <v>4176</v>
      </c>
      <c r="O264" s="1684">
        <v>3133</v>
      </c>
      <c r="P264" s="1684">
        <v>931</v>
      </c>
      <c r="Q264" s="255">
        <v>112</v>
      </c>
      <c r="R264" s="2751"/>
    </row>
    <row r="265" spans="1:18">
      <c r="A265" s="134">
        <f t="shared" si="3"/>
        <v>2015.04</v>
      </c>
      <c r="B265" s="120">
        <v>4346</v>
      </c>
      <c r="C265" s="1684">
        <v>3992</v>
      </c>
      <c r="D265" s="255">
        <v>129</v>
      </c>
      <c r="E265" s="1686">
        <v>12889</v>
      </c>
      <c r="F265" s="1684">
        <v>3640</v>
      </c>
      <c r="G265" s="255">
        <v>144</v>
      </c>
      <c r="H265" s="1686">
        <v>53407</v>
      </c>
      <c r="I265" s="1684">
        <v>42028</v>
      </c>
      <c r="J265" s="255">
        <v>818</v>
      </c>
      <c r="K265" s="1686">
        <v>144437</v>
      </c>
      <c r="L265" s="1684">
        <v>25772</v>
      </c>
      <c r="M265" s="1895">
        <v>715</v>
      </c>
      <c r="N265" s="2893">
        <f t="shared" si="1"/>
        <v>4248</v>
      </c>
      <c r="O265" s="1684">
        <v>3247</v>
      </c>
      <c r="P265" s="1684">
        <v>879</v>
      </c>
      <c r="Q265" s="255">
        <v>122</v>
      </c>
      <c r="R265" s="2751"/>
    </row>
    <row r="266" spans="1:18">
      <c r="A266" s="134">
        <f t="shared" si="3"/>
        <v>2015.05</v>
      </c>
      <c r="B266" s="120">
        <v>4030</v>
      </c>
      <c r="C266" s="1684">
        <v>3297</v>
      </c>
      <c r="D266" s="255">
        <v>101</v>
      </c>
      <c r="E266" s="1686">
        <v>12530</v>
      </c>
      <c r="F266" s="1684">
        <v>3192</v>
      </c>
      <c r="G266" s="255">
        <v>68</v>
      </c>
      <c r="H266" s="1686">
        <v>49054</v>
      </c>
      <c r="I266" s="1684">
        <v>35729</v>
      </c>
      <c r="J266" s="255">
        <v>777</v>
      </c>
      <c r="K266" s="1686">
        <v>135325</v>
      </c>
      <c r="L266" s="1684">
        <v>22823</v>
      </c>
      <c r="M266" s="1895">
        <v>539</v>
      </c>
      <c r="N266" s="2893">
        <f t="shared" si="1"/>
        <v>3971</v>
      </c>
      <c r="O266" s="1684">
        <v>2976</v>
      </c>
      <c r="P266" s="1684">
        <v>924</v>
      </c>
      <c r="Q266" s="255">
        <v>71</v>
      </c>
      <c r="R266" s="2751"/>
    </row>
    <row r="267" spans="1:18">
      <c r="A267" s="134">
        <f t="shared" si="3"/>
        <v>2015.06</v>
      </c>
      <c r="B267" s="120">
        <v>4937</v>
      </c>
      <c r="C267" s="1684">
        <v>3830</v>
      </c>
      <c r="D267" s="255">
        <v>133</v>
      </c>
      <c r="E267" s="1686">
        <v>14450</v>
      </c>
      <c r="F267" s="1684">
        <v>3519</v>
      </c>
      <c r="G267" s="255">
        <v>72</v>
      </c>
      <c r="H267" s="1686">
        <v>59016</v>
      </c>
      <c r="I267" s="1684">
        <v>37647</v>
      </c>
      <c r="J267" s="255">
        <v>999</v>
      </c>
      <c r="K267" s="1686">
        <v>152151</v>
      </c>
      <c r="L267" s="1684">
        <v>24555</v>
      </c>
      <c r="M267" s="1895">
        <v>607</v>
      </c>
      <c r="N267" s="2893">
        <f t="shared" si="1"/>
        <v>4856</v>
      </c>
      <c r="O267" s="1684">
        <v>3643</v>
      </c>
      <c r="P267" s="1684">
        <v>1112</v>
      </c>
      <c r="Q267" s="255">
        <v>101</v>
      </c>
      <c r="R267" s="2751"/>
    </row>
    <row r="268" spans="1:18">
      <c r="A268" s="134">
        <f t="shared" si="3"/>
        <v>2015.07</v>
      </c>
      <c r="B268" s="120">
        <v>5170</v>
      </c>
      <c r="C268" s="1684">
        <v>3897</v>
      </c>
      <c r="D268" s="255">
        <v>107</v>
      </c>
      <c r="E268" s="1686">
        <v>16150</v>
      </c>
      <c r="F268" s="1684">
        <v>3775</v>
      </c>
      <c r="G268" s="255">
        <v>87</v>
      </c>
      <c r="H268" s="1686">
        <v>62029</v>
      </c>
      <c r="I268" s="1684">
        <v>38798</v>
      </c>
      <c r="J268" s="255">
        <v>889</v>
      </c>
      <c r="K268" s="1686">
        <v>167217</v>
      </c>
      <c r="L268" s="1684">
        <v>24880</v>
      </c>
      <c r="M268" s="1895">
        <v>627</v>
      </c>
      <c r="N268" s="2893">
        <f t="shared" si="1"/>
        <v>5073</v>
      </c>
      <c r="O268" s="1684">
        <v>3880</v>
      </c>
      <c r="P268" s="1684">
        <v>1085</v>
      </c>
      <c r="Q268" s="255">
        <v>108</v>
      </c>
      <c r="R268" s="2751"/>
    </row>
    <row r="269" spans="1:18">
      <c r="A269" s="134">
        <f t="shared" si="3"/>
        <v>2015.08</v>
      </c>
      <c r="B269" s="120">
        <v>4993</v>
      </c>
      <c r="C269" s="1684">
        <v>3530</v>
      </c>
      <c r="D269" s="255">
        <v>70</v>
      </c>
      <c r="E269" s="1686">
        <v>14914</v>
      </c>
      <c r="F269" s="1684">
        <v>3347</v>
      </c>
      <c r="G269" s="255">
        <v>62</v>
      </c>
      <c r="H269" s="1686">
        <v>59109</v>
      </c>
      <c r="I269" s="1684">
        <v>38075</v>
      </c>
      <c r="J269" s="255">
        <v>726</v>
      </c>
      <c r="K269" s="1686">
        <v>153098</v>
      </c>
      <c r="L269" s="1684">
        <v>22747</v>
      </c>
      <c r="M269" s="1895">
        <v>615</v>
      </c>
      <c r="N269" s="2893">
        <f t="shared" si="1"/>
        <v>4910</v>
      </c>
      <c r="O269" s="1684">
        <v>3754</v>
      </c>
      <c r="P269" s="1684">
        <v>1064</v>
      </c>
      <c r="Q269" s="255">
        <v>92</v>
      </c>
      <c r="R269" s="2751"/>
    </row>
    <row r="270" spans="1:18">
      <c r="A270" s="134">
        <f t="shared" si="3"/>
        <v>2015.09</v>
      </c>
      <c r="B270" s="120">
        <v>5555</v>
      </c>
      <c r="C270" s="1684">
        <v>4167</v>
      </c>
      <c r="D270" s="255">
        <v>104</v>
      </c>
      <c r="E270" s="1686">
        <v>16114</v>
      </c>
      <c r="F270" s="1684">
        <v>3903</v>
      </c>
      <c r="G270" s="255">
        <v>88</v>
      </c>
      <c r="H270" s="1686">
        <v>68031</v>
      </c>
      <c r="I270" s="1684">
        <v>45410</v>
      </c>
      <c r="J270" s="255">
        <v>880</v>
      </c>
      <c r="K270" s="1686">
        <v>169296</v>
      </c>
      <c r="L270" s="1684">
        <v>27546</v>
      </c>
      <c r="M270" s="1895">
        <v>648</v>
      </c>
      <c r="N270" s="2893">
        <f t="shared" si="1"/>
        <v>5460</v>
      </c>
      <c r="O270" s="1684">
        <v>4196</v>
      </c>
      <c r="P270" s="1684">
        <v>1152</v>
      </c>
      <c r="Q270" s="255">
        <v>112</v>
      </c>
      <c r="R270" s="2751"/>
    </row>
    <row r="271" spans="1:18">
      <c r="A271" s="134">
        <f t="shared" si="3"/>
        <v>2015.1</v>
      </c>
      <c r="B271" s="120">
        <v>4856</v>
      </c>
      <c r="C271" s="1684">
        <v>4144</v>
      </c>
      <c r="D271" s="255">
        <v>140</v>
      </c>
      <c r="E271" s="1686">
        <v>15241</v>
      </c>
      <c r="F271" s="1684">
        <v>3781</v>
      </c>
      <c r="G271" s="255">
        <v>111</v>
      </c>
      <c r="H271" s="1686">
        <v>60933</v>
      </c>
      <c r="I271" s="1684">
        <v>44744</v>
      </c>
      <c r="J271" s="255">
        <v>917</v>
      </c>
      <c r="K271" s="1686">
        <v>162934</v>
      </c>
      <c r="L271" s="1684">
        <v>26043</v>
      </c>
      <c r="M271" s="1895">
        <v>705</v>
      </c>
      <c r="N271" s="2893">
        <f t="shared" si="1"/>
        <v>4787</v>
      </c>
      <c r="O271" s="1684">
        <v>3610</v>
      </c>
      <c r="P271" s="1684">
        <v>1059</v>
      </c>
      <c r="Q271" s="255">
        <v>118</v>
      </c>
      <c r="R271" s="2751"/>
    </row>
    <row r="272" spans="1:18">
      <c r="A272" s="134">
        <f t="shared" si="3"/>
        <v>2015.11</v>
      </c>
      <c r="B272" s="120">
        <v>4211</v>
      </c>
      <c r="C272" s="1684">
        <v>3825</v>
      </c>
      <c r="D272" s="255">
        <v>133</v>
      </c>
      <c r="E272" s="1686">
        <v>13908</v>
      </c>
      <c r="F272" s="1684">
        <v>3431</v>
      </c>
      <c r="G272" s="255">
        <v>99</v>
      </c>
      <c r="H272" s="1686">
        <v>52268</v>
      </c>
      <c r="I272" s="1684">
        <v>42694</v>
      </c>
      <c r="J272" s="255">
        <v>973</v>
      </c>
      <c r="K272" s="1686">
        <v>148863</v>
      </c>
      <c r="L272" s="1684">
        <v>23978</v>
      </c>
      <c r="M272" s="1895">
        <v>584</v>
      </c>
      <c r="N272" s="2893">
        <f t="shared" si="1"/>
        <v>4128</v>
      </c>
      <c r="O272" s="1684">
        <v>3102</v>
      </c>
      <c r="P272" s="1684">
        <v>935</v>
      </c>
      <c r="Q272" s="255">
        <v>91</v>
      </c>
      <c r="R272" s="2751"/>
    </row>
    <row r="273" spans="1:26">
      <c r="A273" s="134">
        <f t="shared" si="3"/>
        <v>2015.12</v>
      </c>
      <c r="B273" s="120">
        <v>2510</v>
      </c>
      <c r="C273" s="1684">
        <v>3141</v>
      </c>
      <c r="D273" s="255">
        <v>132</v>
      </c>
      <c r="E273" s="1686">
        <v>12710</v>
      </c>
      <c r="F273" s="1684">
        <v>3082</v>
      </c>
      <c r="G273" s="255">
        <v>78</v>
      </c>
      <c r="H273" s="1686">
        <v>32419</v>
      </c>
      <c r="I273" s="1684">
        <v>37360</v>
      </c>
      <c r="J273" s="255">
        <v>924</v>
      </c>
      <c r="K273" s="1686">
        <v>145150</v>
      </c>
      <c r="L273" s="1684">
        <v>23203</v>
      </c>
      <c r="M273" s="1895">
        <v>550</v>
      </c>
      <c r="N273" s="2893">
        <f t="shared" si="1"/>
        <v>2489</v>
      </c>
      <c r="O273" s="1684">
        <v>1804</v>
      </c>
      <c r="P273" s="1684">
        <v>613</v>
      </c>
      <c r="Q273" s="255">
        <v>72</v>
      </c>
      <c r="R273" s="2751"/>
    </row>
    <row r="274" spans="1:26">
      <c r="A274" s="134">
        <f t="shared" si="3"/>
        <v>2016.01</v>
      </c>
      <c r="B274" s="120">
        <v>4936</v>
      </c>
      <c r="C274" s="1684">
        <v>3754</v>
      </c>
      <c r="D274" s="255">
        <v>68</v>
      </c>
      <c r="E274" s="1686">
        <v>11178</v>
      </c>
      <c r="F274" s="1684">
        <v>3137</v>
      </c>
      <c r="G274" s="255">
        <v>50</v>
      </c>
      <c r="H274" s="1686">
        <v>57962</v>
      </c>
      <c r="I274" s="1684">
        <v>40039</v>
      </c>
      <c r="J274" s="255">
        <v>606</v>
      </c>
      <c r="K274" s="1686">
        <v>128152</v>
      </c>
      <c r="L274" s="1684">
        <v>24889</v>
      </c>
      <c r="M274" s="1895">
        <v>487</v>
      </c>
      <c r="N274" s="2893">
        <f t="shared" si="1"/>
        <v>4808</v>
      </c>
      <c r="O274" s="1684">
        <v>3752</v>
      </c>
      <c r="P274" s="1684">
        <v>975</v>
      </c>
      <c r="Q274" s="255">
        <v>81</v>
      </c>
      <c r="R274" s="2751"/>
    </row>
    <row r="275" spans="1:26">
      <c r="A275" s="134">
        <f t="shared" si="3"/>
        <v>2016.02</v>
      </c>
      <c r="B275" s="120">
        <v>3999</v>
      </c>
      <c r="C275" s="1684">
        <v>3246</v>
      </c>
      <c r="D275" s="255">
        <v>82</v>
      </c>
      <c r="E275" s="1686">
        <v>9472</v>
      </c>
      <c r="F275" s="1684">
        <v>2886</v>
      </c>
      <c r="G275" s="255">
        <v>54</v>
      </c>
      <c r="H275" s="1686">
        <v>48151</v>
      </c>
      <c r="I275" s="1684">
        <v>35307</v>
      </c>
      <c r="J275" s="255">
        <v>518</v>
      </c>
      <c r="K275" s="1686">
        <v>109362</v>
      </c>
      <c r="L275" s="1684">
        <v>22357</v>
      </c>
      <c r="M275" s="1895">
        <v>467</v>
      </c>
      <c r="N275" s="2893">
        <f t="shared" si="1"/>
        <v>3917</v>
      </c>
      <c r="O275" s="1684">
        <v>3127</v>
      </c>
      <c r="P275" s="1684">
        <v>724</v>
      </c>
      <c r="Q275" s="255">
        <v>66</v>
      </c>
      <c r="R275" s="2751"/>
    </row>
    <row r="276" spans="1:26">
      <c r="A276" s="134">
        <f t="shared" si="3"/>
        <v>2016.03</v>
      </c>
      <c r="B276" s="120">
        <v>4507</v>
      </c>
      <c r="C276" s="1684">
        <v>3681</v>
      </c>
      <c r="D276" s="255">
        <v>74</v>
      </c>
      <c r="E276" s="1686">
        <v>11709</v>
      </c>
      <c r="F276" s="1684">
        <v>3424</v>
      </c>
      <c r="G276" s="255">
        <v>94</v>
      </c>
      <c r="H276" s="1686">
        <v>56435</v>
      </c>
      <c r="I276" s="1684">
        <v>41985</v>
      </c>
      <c r="J276" s="255">
        <v>602</v>
      </c>
      <c r="K276" s="1686">
        <v>129943</v>
      </c>
      <c r="L276" s="1684">
        <v>26794</v>
      </c>
      <c r="M276" s="1895">
        <v>653</v>
      </c>
      <c r="N276" s="2893">
        <f t="shared" si="1"/>
        <v>4418</v>
      </c>
      <c r="O276" s="1684">
        <v>3523</v>
      </c>
      <c r="P276" s="1684">
        <v>783</v>
      </c>
      <c r="Q276" s="255">
        <v>112</v>
      </c>
      <c r="R276" s="2751"/>
    </row>
    <row r="277" spans="1:26">
      <c r="A277" s="134">
        <f t="shared" si="3"/>
        <v>2016.04</v>
      </c>
      <c r="B277" s="120">
        <v>4955</v>
      </c>
      <c r="C277" s="1684">
        <v>3021</v>
      </c>
      <c r="D277" s="255">
        <v>112</v>
      </c>
      <c r="E277" s="1686">
        <v>10533</v>
      </c>
      <c r="F277" s="1684">
        <v>2858</v>
      </c>
      <c r="G277" s="255">
        <v>112</v>
      </c>
      <c r="H277" s="1686">
        <v>61138</v>
      </c>
      <c r="I277" s="1684">
        <v>38075</v>
      </c>
      <c r="J277" s="255">
        <v>695</v>
      </c>
      <c r="K277" s="1686">
        <v>123983</v>
      </c>
      <c r="L277" s="1684">
        <v>22514</v>
      </c>
      <c r="M277" s="1895">
        <v>628</v>
      </c>
      <c r="N277" s="2893">
        <f t="shared" si="1"/>
        <v>4868</v>
      </c>
      <c r="O277" s="1684">
        <v>3648</v>
      </c>
      <c r="P277" s="1684">
        <v>1102</v>
      </c>
      <c r="Q277" s="255">
        <v>118</v>
      </c>
      <c r="R277" s="2751"/>
    </row>
    <row r="278" spans="1:26">
      <c r="A278" s="134">
        <f t="shared" si="3"/>
        <v>2016.05</v>
      </c>
      <c r="B278" s="120">
        <v>4897</v>
      </c>
      <c r="C278" s="1684">
        <v>3116</v>
      </c>
      <c r="D278" s="255">
        <v>122</v>
      </c>
      <c r="E278" s="1686">
        <v>10776</v>
      </c>
      <c r="F278" s="1684">
        <v>2860</v>
      </c>
      <c r="G278" s="255">
        <v>81</v>
      </c>
      <c r="H278" s="1686">
        <v>60901</v>
      </c>
      <c r="I278" s="1684">
        <v>36086</v>
      </c>
      <c r="J278" s="255">
        <v>817</v>
      </c>
      <c r="K278" s="1686">
        <v>120715</v>
      </c>
      <c r="L278" s="1684">
        <v>21492</v>
      </c>
      <c r="M278" s="1895">
        <v>590</v>
      </c>
      <c r="N278" s="2893">
        <f t="shared" si="1"/>
        <v>4797</v>
      </c>
      <c r="O278" s="1684">
        <v>3648</v>
      </c>
      <c r="P278" s="1684">
        <v>1068</v>
      </c>
      <c r="Q278" s="255">
        <v>81</v>
      </c>
      <c r="R278" s="2751"/>
    </row>
    <row r="279" spans="1:26">
      <c r="A279" s="134">
        <f t="shared" si="3"/>
        <v>2016.06</v>
      </c>
      <c r="B279" s="120">
        <v>4700</v>
      </c>
      <c r="C279" s="1684">
        <v>2671</v>
      </c>
      <c r="D279" s="255">
        <v>114</v>
      </c>
      <c r="E279" s="1686">
        <v>9552</v>
      </c>
      <c r="F279" s="1684">
        <v>2164</v>
      </c>
      <c r="G279" s="255">
        <v>90</v>
      </c>
      <c r="H279" s="1686">
        <v>54637</v>
      </c>
      <c r="I279" s="1684">
        <v>29225</v>
      </c>
      <c r="J279" s="255">
        <v>983</v>
      </c>
      <c r="K279" s="1686">
        <v>106747</v>
      </c>
      <c r="L279" s="1684">
        <v>16554</v>
      </c>
      <c r="M279" s="1895">
        <v>524</v>
      </c>
      <c r="N279" s="2893">
        <f t="shared" si="1"/>
        <v>4593</v>
      </c>
      <c r="O279" s="1684">
        <v>3362</v>
      </c>
      <c r="P279" s="1684">
        <v>1163</v>
      </c>
      <c r="Q279" s="255">
        <v>68</v>
      </c>
      <c r="R279" s="2751"/>
    </row>
    <row r="280" spans="1:26">
      <c r="A280" s="134">
        <f t="shared" si="3"/>
        <v>2016.07</v>
      </c>
      <c r="B280" s="120">
        <v>5080</v>
      </c>
      <c r="C280" s="1684">
        <v>3113</v>
      </c>
      <c r="D280" s="255">
        <v>91</v>
      </c>
      <c r="E280" s="1686">
        <v>11799</v>
      </c>
      <c r="F280" s="1684">
        <v>2446</v>
      </c>
      <c r="G280" s="255">
        <v>84</v>
      </c>
      <c r="H280" s="1686">
        <v>63788</v>
      </c>
      <c r="I280" s="1684">
        <v>34797</v>
      </c>
      <c r="J280" s="255">
        <v>770</v>
      </c>
      <c r="K280" s="1686">
        <v>126383</v>
      </c>
      <c r="L280" s="1684">
        <v>18336</v>
      </c>
      <c r="M280" s="1895">
        <v>515</v>
      </c>
      <c r="N280" s="2893">
        <f t="shared" si="1"/>
        <v>4928</v>
      </c>
      <c r="O280" s="1684">
        <v>3661</v>
      </c>
      <c r="P280" s="1684">
        <v>1186</v>
      </c>
      <c r="Q280" s="255">
        <v>81</v>
      </c>
      <c r="R280" s="2751"/>
    </row>
    <row r="281" spans="1:26">
      <c r="A281" s="134">
        <f t="shared" si="3"/>
        <v>2016.08</v>
      </c>
      <c r="B281" s="120">
        <v>6269</v>
      </c>
      <c r="C281" s="1684">
        <v>3948</v>
      </c>
      <c r="D281" s="255">
        <v>138</v>
      </c>
      <c r="E281" s="1686">
        <v>13405</v>
      </c>
      <c r="F281" s="1684">
        <v>2986</v>
      </c>
      <c r="G281" s="255">
        <v>88</v>
      </c>
      <c r="H281" s="1686">
        <v>73053</v>
      </c>
      <c r="I281" s="1684">
        <v>43651</v>
      </c>
      <c r="J281" s="255">
        <v>919</v>
      </c>
      <c r="K281" s="1686">
        <v>140016</v>
      </c>
      <c r="L281" s="1684">
        <v>21806</v>
      </c>
      <c r="M281" s="1895">
        <v>609</v>
      </c>
      <c r="N281" s="2893">
        <f t="shared" si="1"/>
        <v>6106</v>
      </c>
      <c r="O281" s="1684">
        <v>4531</v>
      </c>
      <c r="P281" s="1684">
        <v>1452</v>
      </c>
      <c r="Q281" s="255">
        <v>123</v>
      </c>
      <c r="R281" s="2751"/>
    </row>
    <row r="282" spans="1:26">
      <c r="A282" s="134">
        <f t="shared" si="3"/>
        <v>2016.09</v>
      </c>
      <c r="B282" s="120">
        <v>6082</v>
      </c>
      <c r="C282" s="1684">
        <v>4283</v>
      </c>
      <c r="D282" s="255">
        <v>131</v>
      </c>
      <c r="E282" s="1686">
        <v>13378</v>
      </c>
      <c r="F282" s="1684">
        <v>3185</v>
      </c>
      <c r="G282" s="255">
        <v>113</v>
      </c>
      <c r="H282" s="1686">
        <v>71263</v>
      </c>
      <c r="I282" s="1684">
        <v>44318</v>
      </c>
      <c r="J282" s="255">
        <v>1040</v>
      </c>
      <c r="K282" s="1686">
        <v>136727</v>
      </c>
      <c r="L282" s="1684">
        <v>21944</v>
      </c>
      <c r="M282" s="1895">
        <v>650</v>
      </c>
      <c r="N282" s="2893">
        <f t="shared" si="1"/>
        <v>5925</v>
      </c>
      <c r="O282" s="1684">
        <v>4287</v>
      </c>
      <c r="P282" s="1684">
        <v>1516</v>
      </c>
      <c r="Q282" s="255">
        <v>122</v>
      </c>
      <c r="R282" s="2751"/>
    </row>
    <row r="283" spans="1:26">
      <c r="A283" s="134">
        <f t="shared" si="3"/>
        <v>2016.1</v>
      </c>
      <c r="B283" s="120">
        <v>5213</v>
      </c>
      <c r="C283" s="1684">
        <v>4044</v>
      </c>
      <c r="D283" s="255">
        <v>171</v>
      </c>
      <c r="E283" s="1686">
        <v>12298</v>
      </c>
      <c r="F283" s="1684">
        <v>2924</v>
      </c>
      <c r="G283" s="255">
        <v>92</v>
      </c>
      <c r="H283" s="1686">
        <v>63718</v>
      </c>
      <c r="I283" s="1684">
        <v>43454</v>
      </c>
      <c r="J283" s="255">
        <v>1132</v>
      </c>
      <c r="K283" s="1686">
        <v>125944</v>
      </c>
      <c r="L283" s="1684">
        <v>20007</v>
      </c>
      <c r="M283" s="1895">
        <v>642</v>
      </c>
      <c r="N283" s="2893">
        <f t="shared" si="1"/>
        <v>5049</v>
      </c>
      <c r="O283" s="1684">
        <v>3580</v>
      </c>
      <c r="P283" s="1684">
        <v>1350</v>
      </c>
      <c r="Q283" s="255">
        <v>119</v>
      </c>
      <c r="R283" s="2751"/>
    </row>
    <row r="284" spans="1:26">
      <c r="A284" s="134">
        <f t="shared" si="3"/>
        <v>2016.11</v>
      </c>
      <c r="B284" s="120">
        <v>4906</v>
      </c>
      <c r="C284" s="1684">
        <v>4187</v>
      </c>
      <c r="D284" s="255">
        <v>160</v>
      </c>
      <c r="E284" s="1686">
        <v>11991</v>
      </c>
      <c r="F284" s="1684">
        <v>2921</v>
      </c>
      <c r="G284" s="255">
        <v>103</v>
      </c>
      <c r="H284" s="1686">
        <v>60124</v>
      </c>
      <c r="I284" s="1684">
        <v>48669</v>
      </c>
      <c r="J284" s="255">
        <v>1265</v>
      </c>
      <c r="K284" s="1686">
        <v>130586</v>
      </c>
      <c r="L284" s="1684">
        <v>21226</v>
      </c>
      <c r="M284" s="1895">
        <v>675</v>
      </c>
      <c r="N284" s="2893">
        <f t="shared" si="1"/>
        <v>4694</v>
      </c>
      <c r="O284" s="1684">
        <v>3298</v>
      </c>
      <c r="P284" s="1684">
        <v>1291</v>
      </c>
      <c r="Q284" s="255">
        <v>105</v>
      </c>
      <c r="R284" s="2751"/>
    </row>
    <row r="285" spans="1:26">
      <c r="A285" s="134">
        <f t="shared" si="3"/>
        <v>2016.12</v>
      </c>
      <c r="B285" s="120">
        <v>3147</v>
      </c>
      <c r="C285" s="1684">
        <v>4464</v>
      </c>
      <c r="D285" s="255">
        <v>198</v>
      </c>
      <c r="E285" s="1686">
        <v>13272</v>
      </c>
      <c r="F285" s="1684">
        <v>3049</v>
      </c>
      <c r="G285" s="255">
        <v>114</v>
      </c>
      <c r="H285" s="1686">
        <v>40863</v>
      </c>
      <c r="I285" s="1684">
        <v>48812</v>
      </c>
      <c r="J285" s="255">
        <v>1402</v>
      </c>
      <c r="K285" s="1686">
        <v>143338</v>
      </c>
      <c r="L285" s="1684">
        <v>21833</v>
      </c>
      <c r="M285" s="1895">
        <v>638</v>
      </c>
      <c r="N285" s="2893">
        <f t="shared" si="1"/>
        <v>3033</v>
      </c>
      <c r="O285" s="1684">
        <v>2183</v>
      </c>
      <c r="P285" s="1684">
        <v>759</v>
      </c>
      <c r="Q285" s="255">
        <v>91</v>
      </c>
      <c r="R285" s="2751"/>
      <c r="S285" s="2891"/>
      <c r="T285" s="2891"/>
      <c r="U285" s="2891"/>
      <c r="V285" s="2891"/>
      <c r="W285" s="2891"/>
      <c r="X285" s="2891"/>
      <c r="Y285" s="2891"/>
      <c r="Z285" s="2891"/>
    </row>
    <row r="286" spans="1:26">
      <c r="A286" s="134">
        <f t="shared" si="3"/>
        <v>2017.01</v>
      </c>
      <c r="B286" s="120">
        <v>8257</v>
      </c>
      <c r="C286" s="1684">
        <v>6418</v>
      </c>
      <c r="D286" s="255">
        <v>163</v>
      </c>
      <c r="E286" s="1686">
        <v>12826</v>
      </c>
      <c r="F286" s="1684">
        <v>3011</v>
      </c>
      <c r="G286" s="255">
        <v>83</v>
      </c>
      <c r="H286" s="1686">
        <v>95415</v>
      </c>
      <c r="I286" s="1684">
        <v>64552</v>
      </c>
      <c r="J286" s="255">
        <v>1286</v>
      </c>
      <c r="K286" s="1686">
        <v>144910</v>
      </c>
      <c r="L286" s="1684">
        <v>23134</v>
      </c>
      <c r="M286" s="1895">
        <v>643</v>
      </c>
      <c r="N286" s="2893">
        <f t="shared" si="1"/>
        <v>8067</v>
      </c>
      <c r="O286" s="1684">
        <v>6062</v>
      </c>
      <c r="P286" s="1684">
        <v>1890</v>
      </c>
      <c r="Q286" s="255">
        <v>115</v>
      </c>
      <c r="R286" s="2751"/>
    </row>
    <row r="287" spans="1:26">
      <c r="A287" s="134">
        <f t="shared" si="3"/>
        <v>2017.02</v>
      </c>
      <c r="B287" s="120">
        <v>5045</v>
      </c>
      <c r="C287" s="1684">
        <v>4522</v>
      </c>
      <c r="D287" s="255">
        <v>94</v>
      </c>
      <c r="E287" s="1686">
        <v>10747</v>
      </c>
      <c r="F287" s="1684">
        <v>2660</v>
      </c>
      <c r="G287" s="255">
        <v>57</v>
      </c>
      <c r="H287" s="1686">
        <v>59103</v>
      </c>
      <c r="I287" s="1684">
        <v>49500</v>
      </c>
      <c r="J287" s="255">
        <v>784</v>
      </c>
      <c r="K287" s="1686">
        <v>116337</v>
      </c>
      <c r="L287" s="1684">
        <v>19355</v>
      </c>
      <c r="M287" s="1895">
        <v>464</v>
      </c>
      <c r="N287" s="2893">
        <f t="shared" si="1"/>
        <v>4917</v>
      </c>
      <c r="O287" s="1684">
        <v>3701</v>
      </c>
      <c r="P287" s="1684">
        <v>1108</v>
      </c>
      <c r="Q287" s="255">
        <v>108</v>
      </c>
      <c r="R287" s="2751"/>
    </row>
    <row r="288" spans="1:26">
      <c r="A288" s="134">
        <f t="shared" si="3"/>
        <v>2017.03</v>
      </c>
      <c r="B288" s="120">
        <v>6568</v>
      </c>
      <c r="C288" s="1684">
        <v>5886</v>
      </c>
      <c r="D288" s="255">
        <v>148</v>
      </c>
      <c r="E288" s="1686">
        <v>13929</v>
      </c>
      <c r="F288" s="1684">
        <v>3610</v>
      </c>
      <c r="G288" s="255">
        <v>105</v>
      </c>
      <c r="H288" s="1686">
        <v>78478</v>
      </c>
      <c r="I288" s="1684">
        <v>66414</v>
      </c>
      <c r="J288" s="255">
        <v>1049</v>
      </c>
      <c r="K288" s="1686">
        <v>152222</v>
      </c>
      <c r="L288" s="1684">
        <v>27092</v>
      </c>
      <c r="M288" s="1895">
        <v>616</v>
      </c>
      <c r="N288" s="2893">
        <f t="shared" si="1"/>
        <v>6394</v>
      </c>
      <c r="O288" s="1684">
        <v>4804</v>
      </c>
      <c r="P288" s="1684">
        <v>1434</v>
      </c>
      <c r="Q288" s="255">
        <v>156</v>
      </c>
      <c r="R288" s="2751"/>
    </row>
    <row r="289" spans="1:18">
      <c r="A289" s="134">
        <f t="shared" si="3"/>
        <v>2017.04</v>
      </c>
      <c r="B289" s="120">
        <v>5635</v>
      </c>
      <c r="C289" s="1684">
        <v>4527</v>
      </c>
      <c r="D289" s="255">
        <v>134</v>
      </c>
      <c r="E289" s="1686">
        <v>11447</v>
      </c>
      <c r="F289" s="1684">
        <v>2727</v>
      </c>
      <c r="G289" s="255">
        <v>79</v>
      </c>
      <c r="H289" s="1686">
        <v>65133</v>
      </c>
      <c r="I289" s="1684">
        <v>50448</v>
      </c>
      <c r="J289" s="255">
        <v>956</v>
      </c>
      <c r="K289" s="1686">
        <v>125075</v>
      </c>
      <c r="L289" s="1684">
        <v>20418</v>
      </c>
      <c r="M289" s="1895">
        <v>527</v>
      </c>
      <c r="N289" s="2893">
        <f t="shared" si="1"/>
        <v>5494</v>
      </c>
      <c r="O289" s="1684">
        <v>4045</v>
      </c>
      <c r="P289" s="1684">
        <v>1338</v>
      </c>
      <c r="Q289" s="255">
        <v>111</v>
      </c>
      <c r="R289" s="2751"/>
    </row>
    <row r="290" spans="1:18">
      <c r="A290" s="134">
        <f t="shared" si="3"/>
        <v>2017.05</v>
      </c>
      <c r="B290" s="120">
        <v>6370</v>
      </c>
      <c r="C290" s="1684">
        <v>4782</v>
      </c>
      <c r="D290" s="255">
        <v>159</v>
      </c>
      <c r="E290" s="1686">
        <v>13501</v>
      </c>
      <c r="F290" s="1684">
        <v>2894</v>
      </c>
      <c r="G290" s="255">
        <v>100</v>
      </c>
      <c r="H290" s="1686">
        <v>77850</v>
      </c>
      <c r="I290" s="1684">
        <v>53497</v>
      </c>
      <c r="J290" s="255">
        <v>1358</v>
      </c>
      <c r="K290" s="1686">
        <v>143853</v>
      </c>
      <c r="L290" s="1684">
        <v>21772</v>
      </c>
      <c r="M290" s="1895">
        <v>591</v>
      </c>
      <c r="N290" s="2893">
        <f t="shared" si="1"/>
        <v>6164</v>
      </c>
      <c r="O290" s="1684">
        <v>4541</v>
      </c>
      <c r="P290" s="1684">
        <v>1463</v>
      </c>
      <c r="Q290" s="255">
        <v>160</v>
      </c>
      <c r="R290" s="2751"/>
    </row>
    <row r="291" spans="1:18">
      <c r="A291" s="134">
        <f t="shared" si="3"/>
        <v>2017.06</v>
      </c>
      <c r="B291" s="120">
        <v>6807</v>
      </c>
      <c r="C291" s="1684">
        <v>4441</v>
      </c>
      <c r="D291" s="255">
        <v>192</v>
      </c>
      <c r="E291" s="1686">
        <v>13054</v>
      </c>
      <c r="F291" s="1684">
        <v>2637</v>
      </c>
      <c r="G291" s="255">
        <v>85</v>
      </c>
      <c r="H291" s="1686">
        <v>78572</v>
      </c>
      <c r="I291" s="1684">
        <v>46341</v>
      </c>
      <c r="J291" s="255">
        <v>1417</v>
      </c>
      <c r="K291" s="1686">
        <v>137306</v>
      </c>
      <c r="L291" s="1684">
        <v>18940</v>
      </c>
      <c r="M291" s="1895">
        <v>654</v>
      </c>
      <c r="N291" s="2893">
        <f t="shared" si="1"/>
        <v>6584</v>
      </c>
      <c r="O291" s="1684">
        <v>4848</v>
      </c>
      <c r="P291" s="1684">
        <v>1621</v>
      </c>
      <c r="Q291" s="255">
        <v>115</v>
      </c>
      <c r="R291" s="2751"/>
    </row>
    <row r="292" spans="1:18">
      <c r="A292" s="134">
        <f t="shared" si="3"/>
        <v>2017.07</v>
      </c>
      <c r="B292" s="120">
        <v>6834</v>
      </c>
      <c r="C292" s="1684">
        <v>5273</v>
      </c>
      <c r="D292" s="255">
        <v>145</v>
      </c>
      <c r="E292" s="1686">
        <v>14868</v>
      </c>
      <c r="F292" s="1684">
        <v>3110</v>
      </c>
      <c r="G292" s="255">
        <v>118</v>
      </c>
      <c r="H292" s="1686">
        <v>80966</v>
      </c>
      <c r="I292" s="1684">
        <v>52219</v>
      </c>
      <c r="J292" s="255">
        <v>1442</v>
      </c>
      <c r="K292" s="1686">
        <v>157755</v>
      </c>
      <c r="L292" s="1684">
        <v>21847</v>
      </c>
      <c r="M292" s="1895">
        <v>678</v>
      </c>
      <c r="N292" s="2893">
        <f t="shared" si="1"/>
        <v>6611</v>
      </c>
      <c r="O292" s="1684">
        <v>4947</v>
      </c>
      <c r="P292" s="1684">
        <v>1551</v>
      </c>
      <c r="Q292" s="255">
        <v>113</v>
      </c>
      <c r="R292" s="2751"/>
    </row>
    <row r="293" spans="1:18">
      <c r="A293" s="134">
        <f t="shared" si="3"/>
        <v>2017.08</v>
      </c>
      <c r="B293" s="120">
        <v>7589</v>
      </c>
      <c r="C293" s="1684">
        <v>5714</v>
      </c>
      <c r="D293" s="255">
        <v>177</v>
      </c>
      <c r="E293" s="1686">
        <v>15906</v>
      </c>
      <c r="F293" s="1684">
        <v>3405</v>
      </c>
      <c r="G293" s="255">
        <v>80</v>
      </c>
      <c r="H293" s="1686">
        <v>87371</v>
      </c>
      <c r="I293" s="1684">
        <v>59740</v>
      </c>
      <c r="J293" s="255">
        <v>1394</v>
      </c>
      <c r="K293" s="1686">
        <v>164997</v>
      </c>
      <c r="L293" s="1684">
        <v>23430</v>
      </c>
      <c r="M293" s="1895">
        <v>646</v>
      </c>
      <c r="N293" s="2893">
        <f t="shared" si="1"/>
        <v>7376</v>
      </c>
      <c r="O293" s="1684">
        <v>5494</v>
      </c>
      <c r="P293" s="1684">
        <v>1736</v>
      </c>
      <c r="Q293" s="255">
        <v>146</v>
      </c>
      <c r="R293" s="2751"/>
    </row>
    <row r="294" spans="1:18">
      <c r="A294" s="134">
        <f t="shared" si="3"/>
        <v>2017.09</v>
      </c>
      <c r="B294" s="120">
        <v>6820</v>
      </c>
      <c r="C294" s="1684">
        <v>5963</v>
      </c>
      <c r="D294" s="255">
        <v>175</v>
      </c>
      <c r="E294" s="1686">
        <v>15438</v>
      </c>
      <c r="F294" s="1684">
        <v>3472</v>
      </c>
      <c r="G294" s="255">
        <v>103</v>
      </c>
      <c r="H294" s="1686">
        <v>80419</v>
      </c>
      <c r="I294" s="1684">
        <v>62718</v>
      </c>
      <c r="J294" s="255">
        <v>1354</v>
      </c>
      <c r="K294" s="1686">
        <v>161110</v>
      </c>
      <c r="L294" s="1684">
        <v>24659</v>
      </c>
      <c r="M294" s="1895">
        <v>783</v>
      </c>
      <c r="N294" s="2893">
        <f t="shared" si="1"/>
        <v>6583</v>
      </c>
      <c r="O294" s="1684">
        <v>4914</v>
      </c>
      <c r="P294" s="1684">
        <v>1547</v>
      </c>
      <c r="Q294" s="255">
        <v>122</v>
      </c>
      <c r="R294" s="2751"/>
    </row>
    <row r="295" spans="1:18">
      <c r="A295" s="134">
        <f t="shared" si="3"/>
        <v>2017.1</v>
      </c>
      <c r="B295" s="120">
        <v>6518</v>
      </c>
      <c r="C295" s="1684">
        <v>6546</v>
      </c>
      <c r="D295" s="255">
        <v>192</v>
      </c>
      <c r="E295" s="1686">
        <v>14798</v>
      </c>
      <c r="F295" s="1684">
        <v>3261</v>
      </c>
      <c r="G295" s="255">
        <v>83</v>
      </c>
      <c r="H295" s="1686">
        <v>78761</v>
      </c>
      <c r="I295" s="1684">
        <v>68992</v>
      </c>
      <c r="J295" s="255">
        <v>1447</v>
      </c>
      <c r="K295" s="1686">
        <v>159213</v>
      </c>
      <c r="L295" s="1684">
        <v>24305</v>
      </c>
      <c r="M295" s="1895">
        <v>722</v>
      </c>
      <c r="N295" s="2893">
        <f t="shared" si="1"/>
        <v>6301</v>
      </c>
      <c r="O295" s="1684">
        <v>4677</v>
      </c>
      <c r="P295" s="1684">
        <v>1468</v>
      </c>
      <c r="Q295" s="255">
        <v>156</v>
      </c>
      <c r="R295" s="2751"/>
    </row>
    <row r="296" spans="1:18">
      <c r="A296" s="134">
        <f t="shared" si="3"/>
        <v>2017.11</v>
      </c>
      <c r="B296" s="120">
        <v>6043</v>
      </c>
      <c r="C296" s="1684">
        <v>6195</v>
      </c>
      <c r="D296" s="255">
        <v>214</v>
      </c>
      <c r="E296" s="1686">
        <v>14277</v>
      </c>
      <c r="F296" s="1684">
        <v>3289</v>
      </c>
      <c r="G296" s="255">
        <v>111</v>
      </c>
      <c r="H296" s="1686">
        <v>73392</v>
      </c>
      <c r="I296" s="1684">
        <v>67434</v>
      </c>
      <c r="J296" s="255">
        <v>1677</v>
      </c>
      <c r="K296" s="1686">
        <v>159061</v>
      </c>
      <c r="L296" s="1684">
        <v>24763</v>
      </c>
      <c r="M296" s="1895">
        <v>735</v>
      </c>
      <c r="N296" s="2893">
        <f t="shared" si="1"/>
        <v>5783</v>
      </c>
      <c r="O296" s="1684">
        <v>4279</v>
      </c>
      <c r="P296" s="1684">
        <v>1369</v>
      </c>
      <c r="Q296" s="255">
        <v>135</v>
      </c>
      <c r="R296" s="2751"/>
    </row>
    <row r="297" spans="1:18">
      <c r="A297" s="134">
        <f t="shared" si="3"/>
        <v>2017.12</v>
      </c>
      <c r="B297" s="120">
        <v>4064</v>
      </c>
      <c r="C297" s="1684">
        <v>5534</v>
      </c>
      <c r="D297" s="255">
        <v>217</v>
      </c>
      <c r="E297" s="1686">
        <v>13882</v>
      </c>
      <c r="F297" s="1684">
        <v>3001</v>
      </c>
      <c r="G297" s="255">
        <v>107</v>
      </c>
      <c r="H297" s="1686">
        <v>47834</v>
      </c>
      <c r="I297" s="1684">
        <v>58456</v>
      </c>
      <c r="J297" s="255">
        <v>1431</v>
      </c>
      <c r="K297" s="1686">
        <v>157294</v>
      </c>
      <c r="L297" s="1684">
        <v>23409</v>
      </c>
      <c r="M297" s="1895">
        <v>658</v>
      </c>
      <c r="N297" s="2893">
        <f t="shared" si="1"/>
        <v>3925</v>
      </c>
      <c r="O297" s="1684">
        <v>2899</v>
      </c>
      <c r="P297" s="1684">
        <v>984</v>
      </c>
      <c r="Q297" s="255">
        <v>42</v>
      </c>
      <c r="R297" s="2751"/>
    </row>
    <row r="298" spans="1:18">
      <c r="A298" s="134">
        <f t="shared" si="3"/>
        <v>2018.01</v>
      </c>
      <c r="B298" s="120">
        <v>10383</v>
      </c>
      <c r="C298" s="1684">
        <v>7982</v>
      </c>
      <c r="D298" s="255">
        <v>151</v>
      </c>
      <c r="E298" s="1686">
        <v>14627</v>
      </c>
      <c r="F298" s="1684">
        <v>3441</v>
      </c>
      <c r="G298" s="255">
        <v>77</v>
      </c>
      <c r="H298" s="1686">
        <v>120805</v>
      </c>
      <c r="I298" s="1684">
        <v>77802</v>
      </c>
      <c r="J298" s="255">
        <v>1233</v>
      </c>
      <c r="K298" s="1686">
        <v>165054</v>
      </c>
      <c r="L298" s="1684">
        <v>26745</v>
      </c>
      <c r="M298" s="1895">
        <v>679</v>
      </c>
      <c r="N298" s="2893">
        <f t="shared" si="1"/>
        <v>10149</v>
      </c>
      <c r="O298" s="1684">
        <v>7806</v>
      </c>
      <c r="P298" s="1684">
        <v>2208</v>
      </c>
      <c r="Q298" s="255">
        <v>135</v>
      </c>
      <c r="R298" s="2751"/>
    </row>
    <row r="299" spans="1:18">
      <c r="A299" s="134">
        <f t="shared" si="3"/>
        <v>2018.02</v>
      </c>
      <c r="B299" s="120">
        <v>5990</v>
      </c>
      <c r="C299" s="1684">
        <v>5903</v>
      </c>
      <c r="D299" s="255">
        <v>100</v>
      </c>
      <c r="E299" s="1686">
        <v>12329</v>
      </c>
      <c r="F299" s="1684">
        <v>2931</v>
      </c>
      <c r="G299" s="255">
        <v>84</v>
      </c>
      <c r="H299" s="1686">
        <v>69812</v>
      </c>
      <c r="I299" s="1684">
        <v>58639</v>
      </c>
      <c r="J299" s="255">
        <v>883</v>
      </c>
      <c r="K299" s="1686">
        <v>130844</v>
      </c>
      <c r="L299" s="1684">
        <v>22674</v>
      </c>
      <c r="M299" s="1895">
        <v>542</v>
      </c>
      <c r="N299" s="2893">
        <f t="shared" si="1"/>
        <v>5813</v>
      </c>
      <c r="O299" s="1684">
        <v>4506</v>
      </c>
      <c r="P299" s="1684">
        <v>1174</v>
      </c>
      <c r="Q299" s="255">
        <v>133</v>
      </c>
      <c r="R299" s="2751"/>
    </row>
    <row r="300" spans="1:18">
      <c r="A300" s="134">
        <f t="shared" si="3"/>
        <v>2018.03</v>
      </c>
      <c r="B300" s="120">
        <v>7436</v>
      </c>
      <c r="C300" s="1684">
        <v>7087</v>
      </c>
      <c r="D300" s="255">
        <v>139</v>
      </c>
      <c r="E300" s="1686">
        <v>14163</v>
      </c>
      <c r="F300" s="1684">
        <v>3497</v>
      </c>
      <c r="G300" s="255">
        <v>102</v>
      </c>
      <c r="H300" s="1686">
        <v>85634</v>
      </c>
      <c r="I300" s="1684">
        <v>70282</v>
      </c>
      <c r="J300" s="255">
        <v>1037</v>
      </c>
      <c r="K300" s="1686">
        <v>150893</v>
      </c>
      <c r="L300" s="1684">
        <v>27868</v>
      </c>
      <c r="M300" s="1895">
        <v>634</v>
      </c>
      <c r="N300" s="2893">
        <f t="shared" si="1"/>
        <v>7204</v>
      </c>
      <c r="O300" s="1684">
        <v>5752</v>
      </c>
      <c r="P300" s="1684">
        <v>1326</v>
      </c>
      <c r="Q300" s="255">
        <v>126</v>
      </c>
      <c r="R300" s="2751"/>
    </row>
    <row r="301" spans="1:18">
      <c r="A301" s="134">
        <f t="shared" si="3"/>
        <v>2018.04</v>
      </c>
      <c r="B301" s="120">
        <v>6405</v>
      </c>
      <c r="C301" s="1684">
        <v>6142</v>
      </c>
      <c r="D301" s="255">
        <v>129</v>
      </c>
      <c r="E301" s="1686">
        <v>13168</v>
      </c>
      <c r="F301" s="1684">
        <v>3282</v>
      </c>
      <c r="G301" s="255">
        <v>93</v>
      </c>
      <c r="H301" s="1686">
        <v>77804</v>
      </c>
      <c r="I301" s="1684">
        <v>63389</v>
      </c>
      <c r="J301" s="255">
        <v>1035</v>
      </c>
      <c r="K301" s="1686">
        <v>142896</v>
      </c>
      <c r="L301" s="1684">
        <v>24634</v>
      </c>
      <c r="M301" s="1895">
        <v>606</v>
      </c>
      <c r="N301" s="2893">
        <f t="shared" si="1"/>
        <v>6256</v>
      </c>
      <c r="O301" s="1684">
        <v>4938</v>
      </c>
      <c r="P301" s="1684">
        <v>1198</v>
      </c>
      <c r="Q301" s="255">
        <v>120</v>
      </c>
      <c r="R301" s="2751"/>
    </row>
    <row r="302" spans="1:18">
      <c r="A302" s="134">
        <f t="shared" si="3"/>
        <v>2018.05</v>
      </c>
      <c r="B302" s="120">
        <v>7094</v>
      </c>
      <c r="C302" s="1684">
        <v>5392</v>
      </c>
      <c r="D302" s="255">
        <v>162</v>
      </c>
      <c r="E302" s="1686">
        <v>14132</v>
      </c>
      <c r="F302" s="1684">
        <v>3111</v>
      </c>
      <c r="G302" s="255">
        <v>99</v>
      </c>
      <c r="H302" s="1686">
        <v>83424</v>
      </c>
      <c r="I302" s="1684">
        <v>59114</v>
      </c>
      <c r="J302" s="255">
        <v>1240</v>
      </c>
      <c r="K302" s="1686">
        <v>155698</v>
      </c>
      <c r="L302" s="1684">
        <v>24054</v>
      </c>
      <c r="M302" s="1895">
        <v>645</v>
      </c>
      <c r="N302" s="2893">
        <f t="shared" si="1"/>
        <v>6879</v>
      </c>
      <c r="O302" s="1684">
        <v>5288</v>
      </c>
      <c r="P302" s="1684">
        <v>1472</v>
      </c>
      <c r="Q302" s="255">
        <v>119</v>
      </c>
      <c r="R302" s="2751"/>
    </row>
    <row r="303" spans="1:18">
      <c r="A303" s="134">
        <f t="shared" si="3"/>
        <v>2018.06</v>
      </c>
      <c r="B303" s="120">
        <v>5438</v>
      </c>
      <c r="C303" s="1684">
        <v>3485</v>
      </c>
      <c r="D303" s="255">
        <v>122</v>
      </c>
      <c r="E303" s="1686">
        <v>12809</v>
      </c>
      <c r="F303" s="1684">
        <v>2701</v>
      </c>
      <c r="G303" s="255">
        <v>70</v>
      </c>
      <c r="H303" s="1686">
        <v>64801</v>
      </c>
      <c r="I303" s="1684">
        <v>39481</v>
      </c>
      <c r="J303" s="255">
        <v>963</v>
      </c>
      <c r="K303" s="1686">
        <v>131626</v>
      </c>
      <c r="L303" s="1684">
        <v>19681</v>
      </c>
      <c r="M303" s="1895">
        <v>550</v>
      </c>
      <c r="N303" s="2893">
        <f t="shared" si="1"/>
        <v>5261</v>
      </c>
      <c r="O303" s="1684">
        <v>4080</v>
      </c>
      <c r="P303" s="1684">
        <v>1074</v>
      </c>
      <c r="Q303" s="255">
        <v>107</v>
      </c>
      <c r="R303" s="2751"/>
    </row>
    <row r="304" spans="1:18">
      <c r="A304" s="134">
        <f t="shared" si="3"/>
        <v>2018.07</v>
      </c>
      <c r="B304" s="120">
        <v>5572</v>
      </c>
      <c r="C304" s="1684">
        <v>3953</v>
      </c>
      <c r="D304" s="255">
        <v>121</v>
      </c>
      <c r="E304" s="1686">
        <v>15239</v>
      </c>
      <c r="F304" s="1684">
        <v>3311</v>
      </c>
      <c r="G304" s="255">
        <v>100</v>
      </c>
      <c r="H304" s="1686">
        <v>67366</v>
      </c>
      <c r="I304" s="1684">
        <v>40159</v>
      </c>
      <c r="J304" s="255">
        <v>1010</v>
      </c>
      <c r="K304" s="1686">
        <v>153775</v>
      </c>
      <c r="L304" s="1684">
        <v>22709</v>
      </c>
      <c r="M304" s="1895">
        <v>682</v>
      </c>
      <c r="N304" s="2893">
        <f t="shared" si="1"/>
        <v>5353</v>
      </c>
      <c r="O304" s="1684">
        <v>4191</v>
      </c>
      <c r="P304" s="1684">
        <v>1085</v>
      </c>
      <c r="Q304" s="255">
        <v>77</v>
      </c>
      <c r="R304" s="2751"/>
    </row>
    <row r="305" spans="1:18">
      <c r="A305" s="134">
        <f t="shared" si="3"/>
        <v>2018.08</v>
      </c>
      <c r="B305" s="120">
        <v>5392</v>
      </c>
      <c r="C305" s="1684">
        <v>4011</v>
      </c>
      <c r="D305" s="255">
        <v>138</v>
      </c>
      <c r="E305" s="1686">
        <v>15510</v>
      </c>
      <c r="F305" s="1684">
        <v>3555</v>
      </c>
      <c r="G305" s="255">
        <v>99</v>
      </c>
      <c r="H305" s="1686">
        <v>65658</v>
      </c>
      <c r="I305" s="1684">
        <v>41800</v>
      </c>
      <c r="J305" s="255">
        <v>974</v>
      </c>
      <c r="K305" s="1686">
        <v>162126</v>
      </c>
      <c r="L305" s="1684">
        <v>25444</v>
      </c>
      <c r="M305" s="1895">
        <v>656</v>
      </c>
      <c r="N305" s="2893">
        <f t="shared" si="1"/>
        <v>5202</v>
      </c>
      <c r="O305" s="1684">
        <v>3934</v>
      </c>
      <c r="P305" s="1684">
        <v>1181</v>
      </c>
      <c r="Q305" s="255">
        <v>87</v>
      </c>
      <c r="R305" s="2751"/>
    </row>
    <row r="306" spans="1:18">
      <c r="A306" s="134">
        <f t="shared" si="3"/>
        <v>2018.09</v>
      </c>
      <c r="B306" s="120">
        <v>4298</v>
      </c>
      <c r="C306" s="1684">
        <v>3623</v>
      </c>
      <c r="D306" s="255">
        <v>117</v>
      </c>
      <c r="E306" s="1686">
        <v>12886</v>
      </c>
      <c r="F306" s="1684">
        <v>3606</v>
      </c>
      <c r="G306" s="255">
        <v>95</v>
      </c>
      <c r="H306" s="1686">
        <v>52897</v>
      </c>
      <c r="I306" s="1684">
        <v>36929</v>
      </c>
      <c r="J306" s="255">
        <v>837</v>
      </c>
      <c r="K306" s="1686">
        <v>141693</v>
      </c>
      <c r="L306" s="1684">
        <v>26415</v>
      </c>
      <c r="M306" s="1895">
        <v>626</v>
      </c>
      <c r="N306" s="2893">
        <f t="shared" si="1"/>
        <v>4150</v>
      </c>
      <c r="O306" s="1684">
        <v>3216</v>
      </c>
      <c r="P306" s="1684">
        <v>879</v>
      </c>
      <c r="Q306" s="255">
        <v>55</v>
      </c>
      <c r="R306" s="2751"/>
    </row>
    <row r="307" spans="1:18">
      <c r="A307" s="134">
        <f t="shared" si="3"/>
        <v>2018.1</v>
      </c>
      <c r="B307" s="120">
        <v>3870</v>
      </c>
      <c r="C307" s="1684">
        <v>3770</v>
      </c>
      <c r="D307" s="255">
        <v>144</v>
      </c>
      <c r="E307" s="1686">
        <v>13005</v>
      </c>
      <c r="F307" s="1684">
        <v>3928</v>
      </c>
      <c r="G307" s="255">
        <v>123</v>
      </c>
      <c r="H307" s="1686">
        <v>48777</v>
      </c>
      <c r="I307" s="1684">
        <v>37892</v>
      </c>
      <c r="J307" s="255">
        <v>914</v>
      </c>
      <c r="K307" s="1686">
        <v>143461</v>
      </c>
      <c r="L307" s="1684">
        <v>29501</v>
      </c>
      <c r="M307" s="1895">
        <v>687</v>
      </c>
      <c r="N307" s="2893">
        <f t="shared" si="1"/>
        <v>3714</v>
      </c>
      <c r="O307" s="1684">
        <v>2726</v>
      </c>
      <c r="P307" s="1684">
        <v>928</v>
      </c>
      <c r="Q307" s="255">
        <v>60</v>
      </c>
      <c r="R307" s="2751"/>
    </row>
    <row r="308" spans="1:18">
      <c r="A308" s="134">
        <f t="shared" si="3"/>
        <v>2018.11</v>
      </c>
      <c r="B308" s="120">
        <v>3118</v>
      </c>
      <c r="C308" s="1684">
        <v>2990</v>
      </c>
      <c r="D308" s="255">
        <v>108</v>
      </c>
      <c r="E308" s="1686">
        <v>11183</v>
      </c>
      <c r="F308" s="1684">
        <v>3192</v>
      </c>
      <c r="G308" s="255">
        <v>110</v>
      </c>
      <c r="H308" s="1686">
        <v>39914</v>
      </c>
      <c r="I308" s="1684">
        <v>31178</v>
      </c>
      <c r="J308" s="255">
        <v>803</v>
      </c>
      <c r="K308" s="1686">
        <v>127108</v>
      </c>
      <c r="L308" s="1684">
        <v>26257</v>
      </c>
      <c r="M308" s="1895">
        <v>656</v>
      </c>
      <c r="N308" s="2893">
        <f t="shared" si="1"/>
        <v>2983</v>
      </c>
      <c r="O308" s="1684">
        <v>2167</v>
      </c>
      <c r="P308" s="1684">
        <v>752</v>
      </c>
      <c r="Q308" s="255">
        <v>64</v>
      </c>
      <c r="R308" s="2751"/>
    </row>
    <row r="309" spans="1:18">
      <c r="A309" s="134">
        <f t="shared" si="3"/>
        <v>2018.12</v>
      </c>
      <c r="B309" s="120">
        <v>1969</v>
      </c>
      <c r="C309" s="1684">
        <v>2617</v>
      </c>
      <c r="D309" s="255">
        <v>130</v>
      </c>
      <c r="E309" s="1686">
        <v>10745</v>
      </c>
      <c r="F309" s="1684">
        <v>2903</v>
      </c>
      <c r="G309" s="255">
        <v>105</v>
      </c>
      <c r="H309" s="1686">
        <v>28545</v>
      </c>
      <c r="I309" s="1684">
        <v>26817</v>
      </c>
      <c r="J309" s="255">
        <v>677</v>
      </c>
      <c r="K309" s="1686">
        <v>122881</v>
      </c>
      <c r="L309" s="1684">
        <v>23394</v>
      </c>
      <c r="M309" s="1895">
        <v>569</v>
      </c>
      <c r="N309" s="2893">
        <f t="shared" si="1"/>
        <v>1885</v>
      </c>
      <c r="O309" s="1684">
        <v>1373</v>
      </c>
      <c r="P309" s="1684">
        <v>483</v>
      </c>
      <c r="Q309" s="255">
        <v>29</v>
      </c>
      <c r="R309" s="2751"/>
    </row>
    <row r="310" spans="1:18">
      <c r="A310" s="134">
        <f t="shared" si="3"/>
        <v>2019.01</v>
      </c>
      <c r="B310" s="120">
        <v>5172</v>
      </c>
      <c r="C310" s="1684">
        <v>4851</v>
      </c>
      <c r="D310" s="255">
        <v>88</v>
      </c>
      <c r="E310" s="1686">
        <v>12784</v>
      </c>
      <c r="F310" s="1684">
        <v>3739</v>
      </c>
      <c r="G310" s="255">
        <v>104</v>
      </c>
      <c r="H310" s="1686">
        <v>60351</v>
      </c>
      <c r="I310" s="1684">
        <v>42853</v>
      </c>
      <c r="J310" s="255">
        <v>578</v>
      </c>
      <c r="K310" s="1686">
        <v>148616</v>
      </c>
      <c r="L310" s="1684">
        <v>29924</v>
      </c>
      <c r="M310" s="1895">
        <v>619</v>
      </c>
      <c r="N310" s="2893">
        <f t="shared" si="1"/>
        <v>5172</v>
      </c>
      <c r="O310" s="1684">
        <v>4085</v>
      </c>
      <c r="P310" s="1684">
        <v>1032</v>
      </c>
      <c r="Q310" s="255">
        <v>55</v>
      </c>
      <c r="R310" s="2751"/>
    </row>
    <row r="311" spans="1:18">
      <c r="A311" s="134">
        <f t="shared" si="3"/>
        <v>2019.02</v>
      </c>
      <c r="B311" s="120">
        <v>3278</v>
      </c>
      <c r="C311" s="1684">
        <v>3870</v>
      </c>
      <c r="D311" s="255">
        <v>90</v>
      </c>
      <c r="E311" s="1686">
        <v>12573</v>
      </c>
      <c r="F311" s="1684">
        <v>3679</v>
      </c>
      <c r="G311" s="255">
        <v>126</v>
      </c>
      <c r="H311" s="1686">
        <v>40294</v>
      </c>
      <c r="I311" s="1684">
        <v>33876</v>
      </c>
      <c r="J311" s="255">
        <v>597</v>
      </c>
      <c r="K311" s="1686">
        <v>133863</v>
      </c>
      <c r="L311" s="1684">
        <v>28827</v>
      </c>
      <c r="M311" s="1895">
        <v>560</v>
      </c>
      <c r="N311" s="2893">
        <f t="shared" si="1"/>
        <v>3278</v>
      </c>
      <c r="O311" s="1684">
        <v>2471</v>
      </c>
      <c r="P311" s="1684">
        <v>739</v>
      </c>
      <c r="Q311" s="255">
        <v>68</v>
      </c>
      <c r="R311" s="2751"/>
    </row>
    <row r="312" spans="1:18">
      <c r="A312" s="134">
        <f t="shared" si="3"/>
        <v>2019.03</v>
      </c>
      <c r="B312" s="120">
        <v>3224</v>
      </c>
      <c r="C312" s="1684">
        <v>3495</v>
      </c>
      <c r="D312" s="255">
        <v>92</v>
      </c>
      <c r="E312" s="1686">
        <v>11438</v>
      </c>
      <c r="F312" s="1684">
        <v>3516</v>
      </c>
      <c r="G312" s="255">
        <v>119</v>
      </c>
      <c r="H312" s="1686">
        <v>39282</v>
      </c>
      <c r="I312" s="1684">
        <v>32206</v>
      </c>
      <c r="J312" s="255">
        <v>641</v>
      </c>
      <c r="K312" s="1686">
        <v>125880</v>
      </c>
      <c r="L312" s="1684">
        <v>27437</v>
      </c>
      <c r="M312" s="1895">
        <v>673</v>
      </c>
      <c r="N312" s="2893">
        <f t="shared" si="1"/>
        <v>3224</v>
      </c>
      <c r="O312" s="1684">
        <v>2372</v>
      </c>
      <c r="P312" s="1684">
        <v>765</v>
      </c>
      <c r="Q312" s="255">
        <v>87</v>
      </c>
      <c r="R312" s="2751"/>
    </row>
    <row r="313" spans="1:18">
      <c r="A313" s="134">
        <f t="shared" si="3"/>
        <v>2019.04</v>
      </c>
      <c r="B313" s="120">
        <v>3193</v>
      </c>
      <c r="C313" s="1684">
        <v>3168</v>
      </c>
      <c r="D313" s="255">
        <v>91</v>
      </c>
      <c r="E313" s="1686">
        <v>12061</v>
      </c>
      <c r="F313" s="1684">
        <v>3654</v>
      </c>
      <c r="G313" s="255">
        <v>118</v>
      </c>
      <c r="H313" s="1686">
        <v>37498</v>
      </c>
      <c r="I313" s="1684">
        <v>30487</v>
      </c>
      <c r="J313" s="255">
        <v>606</v>
      </c>
      <c r="K313" s="1686">
        <v>132340</v>
      </c>
      <c r="L313" s="1684">
        <v>28305</v>
      </c>
      <c r="M313" s="1895">
        <v>680</v>
      </c>
      <c r="N313" s="2893">
        <f t="shared" si="1"/>
        <v>3193</v>
      </c>
      <c r="O313" s="1684">
        <v>2150</v>
      </c>
      <c r="P313" s="1684">
        <v>971</v>
      </c>
      <c r="Q313" s="255">
        <v>72</v>
      </c>
      <c r="R313" s="2751"/>
    </row>
    <row r="314" spans="1:18">
      <c r="A314" s="134">
        <f t="shared" si="3"/>
        <v>2019.05</v>
      </c>
      <c r="B314" s="120">
        <v>3327</v>
      </c>
      <c r="C314" s="1684">
        <v>2858</v>
      </c>
      <c r="D314" s="255">
        <v>115</v>
      </c>
      <c r="E314" s="1686">
        <v>14285</v>
      </c>
      <c r="F314" s="1684">
        <v>4138</v>
      </c>
      <c r="G314" s="255">
        <v>134</v>
      </c>
      <c r="H314" s="1686">
        <v>36959</v>
      </c>
      <c r="I314" s="1684">
        <v>26976</v>
      </c>
      <c r="J314" s="255">
        <v>844</v>
      </c>
      <c r="K314" s="1686">
        <v>152015</v>
      </c>
      <c r="L314" s="1684">
        <v>30736</v>
      </c>
      <c r="M314" s="1895">
        <v>779</v>
      </c>
      <c r="N314" s="2893">
        <f t="shared" si="1"/>
        <v>3327</v>
      </c>
      <c r="O314" s="1684">
        <v>2171</v>
      </c>
      <c r="P314" s="1684">
        <v>1068</v>
      </c>
      <c r="Q314" s="255">
        <v>88</v>
      </c>
      <c r="R314" s="2751"/>
    </row>
    <row r="315" spans="1:18">
      <c r="A315" s="134">
        <f t="shared" si="3"/>
        <v>2019.06</v>
      </c>
      <c r="B315" s="120">
        <v>3302</v>
      </c>
      <c r="C315" s="1684">
        <v>2367</v>
      </c>
      <c r="D315" s="255">
        <v>107</v>
      </c>
      <c r="E315" s="1686">
        <v>11421</v>
      </c>
      <c r="F315" s="1684">
        <v>3155</v>
      </c>
      <c r="G315" s="255">
        <v>108</v>
      </c>
      <c r="H315" s="1686">
        <v>36320</v>
      </c>
      <c r="I315" s="1684">
        <v>21574</v>
      </c>
      <c r="J315" s="255">
        <v>667</v>
      </c>
      <c r="K315" s="1686">
        <v>121609</v>
      </c>
      <c r="L315" s="1684">
        <v>23190</v>
      </c>
      <c r="M315" s="1895">
        <v>698</v>
      </c>
      <c r="N315" s="2893">
        <f t="shared" ref="N315:N378" si="4">SUM(O315:Q315)</f>
        <v>3302</v>
      </c>
      <c r="O315" s="1684">
        <v>2511</v>
      </c>
      <c r="P315" s="1684">
        <v>721</v>
      </c>
      <c r="Q315" s="255">
        <v>70</v>
      </c>
      <c r="R315" s="2751"/>
    </row>
    <row r="316" spans="1:18">
      <c r="A316" s="134">
        <f t="shared" si="3"/>
        <v>2019.07</v>
      </c>
      <c r="B316" s="120">
        <v>4337</v>
      </c>
      <c r="C316" s="1684">
        <v>3715</v>
      </c>
      <c r="D316" s="255">
        <v>111</v>
      </c>
      <c r="E316" s="1686">
        <v>15966</v>
      </c>
      <c r="F316" s="1684">
        <v>3777</v>
      </c>
      <c r="G316" s="255">
        <v>114</v>
      </c>
      <c r="H316" s="1686">
        <v>50055</v>
      </c>
      <c r="I316" s="1684">
        <v>31158</v>
      </c>
      <c r="J316" s="255">
        <v>808</v>
      </c>
      <c r="K316" s="1686">
        <v>166432</v>
      </c>
      <c r="L316" s="1684">
        <v>28546</v>
      </c>
      <c r="M316" s="1895">
        <v>805</v>
      </c>
      <c r="N316" s="2893">
        <f t="shared" si="4"/>
        <v>4337</v>
      </c>
      <c r="O316" s="1684">
        <v>3354</v>
      </c>
      <c r="P316" s="1684">
        <v>901</v>
      </c>
      <c r="Q316" s="255">
        <v>82</v>
      </c>
      <c r="R316" s="2751"/>
    </row>
    <row r="317" spans="1:18">
      <c r="A317" s="134">
        <f t="shared" si="3"/>
        <v>2019.08</v>
      </c>
      <c r="B317" s="120">
        <v>4299</v>
      </c>
      <c r="C317" s="1684">
        <v>3110</v>
      </c>
      <c r="D317" s="255">
        <v>133</v>
      </c>
      <c r="E317" s="1686">
        <v>15925</v>
      </c>
      <c r="F317" s="1684">
        <v>3838</v>
      </c>
      <c r="G317" s="255">
        <v>159</v>
      </c>
      <c r="H317" s="1686">
        <v>44574</v>
      </c>
      <c r="I317" s="1684">
        <v>28574</v>
      </c>
      <c r="J317" s="255">
        <v>866</v>
      </c>
      <c r="K317" s="1686">
        <v>161709</v>
      </c>
      <c r="L317" s="1684">
        <v>28935</v>
      </c>
      <c r="M317" s="1895">
        <v>802</v>
      </c>
      <c r="N317" s="2893">
        <f t="shared" si="4"/>
        <v>4299</v>
      </c>
      <c r="O317" s="1684">
        <v>3090</v>
      </c>
      <c r="P317" s="1684">
        <v>1118</v>
      </c>
      <c r="Q317" s="255">
        <v>91</v>
      </c>
      <c r="R317" s="2751"/>
    </row>
    <row r="318" spans="1:18">
      <c r="A318" s="134">
        <f t="shared" si="3"/>
        <v>2019.09</v>
      </c>
      <c r="B318" s="120">
        <v>3364</v>
      </c>
      <c r="C318" s="1684">
        <v>2326</v>
      </c>
      <c r="D318" s="255">
        <v>145</v>
      </c>
      <c r="E318" s="1686">
        <v>14829</v>
      </c>
      <c r="F318" s="1684">
        <v>3858</v>
      </c>
      <c r="G318" s="255">
        <v>127</v>
      </c>
      <c r="H318" s="1686">
        <v>36296</v>
      </c>
      <c r="I318" s="1684">
        <v>19884</v>
      </c>
      <c r="J318" s="255">
        <v>861</v>
      </c>
      <c r="K318" s="1686">
        <v>152715</v>
      </c>
      <c r="L318" s="1684">
        <v>29683</v>
      </c>
      <c r="M318" s="1895">
        <v>827</v>
      </c>
      <c r="N318" s="2893">
        <f t="shared" si="4"/>
        <v>3364</v>
      </c>
      <c r="O318" s="1684">
        <v>2310</v>
      </c>
      <c r="P318" s="1684">
        <v>949</v>
      </c>
      <c r="Q318" s="255">
        <v>105</v>
      </c>
      <c r="R318" s="2751"/>
    </row>
    <row r="319" spans="1:18">
      <c r="A319" s="134">
        <f t="shared" si="3"/>
        <v>2019.1</v>
      </c>
      <c r="B319" s="120">
        <v>2975</v>
      </c>
      <c r="C319" s="1684">
        <v>2888</v>
      </c>
      <c r="D319" s="255">
        <v>144</v>
      </c>
      <c r="E319" s="1686">
        <v>14498</v>
      </c>
      <c r="F319" s="1684">
        <v>3952</v>
      </c>
      <c r="G319" s="255">
        <v>119</v>
      </c>
      <c r="H319" s="1686">
        <v>32781</v>
      </c>
      <c r="I319" s="1684">
        <v>24047</v>
      </c>
      <c r="J319" s="255">
        <v>974</v>
      </c>
      <c r="K319" s="1686">
        <v>153040</v>
      </c>
      <c r="L319" s="1684">
        <v>30233</v>
      </c>
      <c r="M319" s="1895">
        <v>866</v>
      </c>
      <c r="N319" s="2893">
        <f t="shared" si="4"/>
        <v>2975</v>
      </c>
      <c r="O319" s="1684">
        <v>1938</v>
      </c>
      <c r="P319" s="1684">
        <v>922</v>
      </c>
      <c r="Q319" s="255">
        <v>115</v>
      </c>
      <c r="R319" s="2751"/>
    </row>
    <row r="320" spans="1:18">
      <c r="A320" s="134">
        <f t="shared" si="3"/>
        <v>2019.11</v>
      </c>
      <c r="B320" s="120">
        <v>2311</v>
      </c>
      <c r="C320" s="1684">
        <v>2036</v>
      </c>
      <c r="D320" s="255">
        <v>109</v>
      </c>
      <c r="E320" s="1686">
        <v>11616</v>
      </c>
      <c r="F320" s="1684">
        <v>3381</v>
      </c>
      <c r="G320" s="255">
        <v>129</v>
      </c>
      <c r="H320" s="1686">
        <v>26004</v>
      </c>
      <c r="I320" s="1684">
        <v>18845</v>
      </c>
      <c r="J320" s="255">
        <v>801</v>
      </c>
      <c r="K320" s="1686">
        <v>128996</v>
      </c>
      <c r="L320" s="1684">
        <v>27194</v>
      </c>
      <c r="M320" s="1895">
        <v>707</v>
      </c>
      <c r="N320" s="2893">
        <f t="shared" si="4"/>
        <v>2311</v>
      </c>
      <c r="O320" s="1684">
        <v>1539</v>
      </c>
      <c r="P320" s="1684">
        <v>695</v>
      </c>
      <c r="Q320" s="255">
        <v>77</v>
      </c>
      <c r="R320" s="2751"/>
    </row>
    <row r="321" spans="1:18">
      <c r="A321" s="134">
        <f t="shared" si="3"/>
        <v>2019.12</v>
      </c>
      <c r="B321" s="120">
        <v>1897</v>
      </c>
      <c r="C321" s="1684">
        <v>1981</v>
      </c>
      <c r="D321" s="255">
        <v>107</v>
      </c>
      <c r="E321" s="1686">
        <v>12833</v>
      </c>
      <c r="F321" s="1684">
        <v>3281</v>
      </c>
      <c r="G321" s="255">
        <v>170</v>
      </c>
      <c r="H321" s="1686">
        <v>21502</v>
      </c>
      <c r="I321" s="1684">
        <v>17432</v>
      </c>
      <c r="J321" s="255">
        <v>701</v>
      </c>
      <c r="K321" s="1686">
        <v>140901</v>
      </c>
      <c r="L321" s="1684">
        <v>26953</v>
      </c>
      <c r="M321" s="1895">
        <v>729</v>
      </c>
      <c r="N321" s="2893">
        <f t="shared" si="4"/>
        <v>1898</v>
      </c>
      <c r="O321" s="1684">
        <v>1354</v>
      </c>
      <c r="P321" s="1684">
        <v>502</v>
      </c>
      <c r="Q321" s="255">
        <v>42</v>
      </c>
      <c r="R321" s="2751"/>
    </row>
    <row r="322" spans="1:18">
      <c r="A322" s="134">
        <f t="shared" si="3"/>
        <v>2020.01</v>
      </c>
      <c r="B322" s="120">
        <v>4135</v>
      </c>
      <c r="C322" s="1684">
        <v>3249</v>
      </c>
      <c r="D322" s="255">
        <v>124</v>
      </c>
      <c r="E322" s="1686">
        <v>13630</v>
      </c>
      <c r="F322" s="1684">
        <v>3726</v>
      </c>
      <c r="G322" s="255">
        <v>126</v>
      </c>
      <c r="H322" s="1686">
        <v>45170</v>
      </c>
      <c r="I322" s="1684">
        <v>27287</v>
      </c>
      <c r="J322" s="255">
        <v>603</v>
      </c>
      <c r="K322" s="1686">
        <v>153478</v>
      </c>
      <c r="L322" s="1684">
        <v>29790</v>
      </c>
      <c r="M322" s="1895">
        <v>625</v>
      </c>
      <c r="N322" s="2893">
        <f t="shared" si="4"/>
        <v>4135</v>
      </c>
      <c r="O322" s="1684">
        <v>2924</v>
      </c>
      <c r="P322" s="1684">
        <v>1116</v>
      </c>
      <c r="Q322" s="255">
        <v>95</v>
      </c>
      <c r="R322" s="2751"/>
    </row>
    <row r="323" spans="1:18">
      <c r="A323" s="134">
        <f t="shared" si="3"/>
        <v>2020.02</v>
      </c>
      <c r="B323" s="120">
        <v>2503</v>
      </c>
      <c r="C323" s="1684">
        <v>2604</v>
      </c>
      <c r="D323" s="255">
        <v>81</v>
      </c>
      <c r="E323" s="1686">
        <v>12042</v>
      </c>
      <c r="F323" s="1684">
        <v>3272</v>
      </c>
      <c r="G323" s="255">
        <v>105</v>
      </c>
      <c r="H323" s="1686">
        <v>27804</v>
      </c>
      <c r="I323" s="1684">
        <v>22065</v>
      </c>
      <c r="J323" s="255">
        <v>487</v>
      </c>
      <c r="K323" s="1686">
        <v>125060</v>
      </c>
      <c r="L323" s="1684">
        <v>24912</v>
      </c>
      <c r="M323" s="1895">
        <v>600</v>
      </c>
      <c r="N323" s="2893">
        <f t="shared" si="4"/>
        <v>2503</v>
      </c>
      <c r="O323" s="1684">
        <v>1793</v>
      </c>
      <c r="P323" s="1684">
        <v>604</v>
      </c>
      <c r="Q323" s="255">
        <v>106</v>
      </c>
      <c r="R323" s="2751"/>
    </row>
    <row r="324" spans="1:18">
      <c r="A324" s="134">
        <f t="shared" si="3"/>
        <v>2020.03</v>
      </c>
      <c r="B324" s="120">
        <v>1633</v>
      </c>
      <c r="C324" s="1684">
        <v>2416</v>
      </c>
      <c r="D324" s="255">
        <v>63</v>
      </c>
      <c r="E324" s="1686">
        <v>9158</v>
      </c>
      <c r="F324" s="1684">
        <v>2523</v>
      </c>
      <c r="G324" s="255">
        <v>63</v>
      </c>
      <c r="H324" s="1686">
        <v>17924</v>
      </c>
      <c r="I324" s="1684">
        <v>19889</v>
      </c>
      <c r="J324" s="255">
        <v>427</v>
      </c>
      <c r="K324" s="1686">
        <v>95030</v>
      </c>
      <c r="L324" s="1684">
        <v>19415</v>
      </c>
      <c r="M324" s="1895">
        <v>462</v>
      </c>
      <c r="N324" s="2893">
        <f t="shared" si="4"/>
        <v>1633</v>
      </c>
      <c r="O324" s="1684">
        <v>1160</v>
      </c>
      <c r="P324" s="1684">
        <v>397</v>
      </c>
      <c r="Q324" s="255">
        <v>76</v>
      </c>
      <c r="R324" s="2751"/>
    </row>
    <row r="325" spans="1:18">
      <c r="A325" s="134">
        <f t="shared" si="3"/>
        <v>2020.04</v>
      </c>
      <c r="B325" s="120">
        <v>381</v>
      </c>
      <c r="C325" s="1684">
        <v>514</v>
      </c>
      <c r="D325" s="255">
        <v>20</v>
      </c>
      <c r="E325" s="1686">
        <v>2196</v>
      </c>
      <c r="F325" s="1684">
        <v>540</v>
      </c>
      <c r="G325" s="255">
        <v>5</v>
      </c>
      <c r="H325" s="1686">
        <v>4428</v>
      </c>
      <c r="I325" s="1684">
        <v>4433</v>
      </c>
      <c r="J325" s="255">
        <v>122</v>
      </c>
      <c r="K325" s="1686">
        <v>18027</v>
      </c>
      <c r="L325" s="1684">
        <v>3273</v>
      </c>
      <c r="M325" s="1895">
        <v>74</v>
      </c>
      <c r="N325" s="2893">
        <f t="shared" si="4"/>
        <v>381</v>
      </c>
      <c r="O325" s="1684">
        <v>204</v>
      </c>
      <c r="P325" s="1684">
        <v>128</v>
      </c>
      <c r="Q325" s="255">
        <v>49</v>
      </c>
      <c r="R325" s="2751"/>
    </row>
    <row r="326" spans="1:18">
      <c r="A326" s="134">
        <f t="shared" si="3"/>
        <v>2020.05</v>
      </c>
      <c r="B326" s="120">
        <v>2307</v>
      </c>
      <c r="C326" s="1684">
        <v>2208</v>
      </c>
      <c r="D326" s="255">
        <v>113</v>
      </c>
      <c r="E326" s="1686">
        <v>8599</v>
      </c>
      <c r="F326" s="1684">
        <v>2586</v>
      </c>
      <c r="G326" s="255">
        <v>111</v>
      </c>
      <c r="H326" s="1686">
        <v>21274</v>
      </c>
      <c r="I326" s="1684">
        <v>16685</v>
      </c>
      <c r="J326" s="255">
        <v>525</v>
      </c>
      <c r="K326" s="1686">
        <v>77842</v>
      </c>
      <c r="L326" s="1684">
        <v>17839</v>
      </c>
      <c r="M326" s="1895">
        <v>344</v>
      </c>
      <c r="N326" s="2893">
        <f t="shared" si="4"/>
        <v>2307</v>
      </c>
      <c r="O326" s="1684">
        <v>1435</v>
      </c>
      <c r="P326" s="1684">
        <v>758</v>
      </c>
      <c r="Q326" s="255">
        <v>114</v>
      </c>
      <c r="R326" s="2751"/>
    </row>
    <row r="327" spans="1:18">
      <c r="A327" s="134">
        <f t="shared" ref="A327:A390" si="5">A315+1</f>
        <v>2020.06</v>
      </c>
      <c r="B327" s="120">
        <v>4136</v>
      </c>
      <c r="C327" s="1684">
        <v>2952</v>
      </c>
      <c r="D327" s="255">
        <v>126</v>
      </c>
      <c r="E327" s="1686">
        <v>14702</v>
      </c>
      <c r="F327" s="1684">
        <v>4032</v>
      </c>
      <c r="G327" s="255">
        <v>105</v>
      </c>
      <c r="H327" s="1686">
        <v>37398</v>
      </c>
      <c r="I327" s="1684">
        <v>23791</v>
      </c>
      <c r="J327" s="255">
        <v>837</v>
      </c>
      <c r="K327" s="1686">
        <v>128406</v>
      </c>
      <c r="L327" s="1684">
        <v>26831</v>
      </c>
      <c r="M327" s="1895">
        <v>485</v>
      </c>
      <c r="N327" s="2893">
        <f t="shared" si="4"/>
        <v>4136</v>
      </c>
      <c r="O327" s="1684">
        <v>2934</v>
      </c>
      <c r="P327" s="1684">
        <v>1065</v>
      </c>
      <c r="Q327" s="255">
        <v>137</v>
      </c>
      <c r="R327" s="2751"/>
    </row>
    <row r="328" spans="1:18">
      <c r="A328" s="134">
        <f t="shared" si="5"/>
        <v>2020.07</v>
      </c>
      <c r="B328" s="120">
        <v>3526</v>
      </c>
      <c r="C328" s="1684">
        <v>3257</v>
      </c>
      <c r="D328" s="255">
        <v>173</v>
      </c>
      <c r="E328" s="1686">
        <v>18124</v>
      </c>
      <c r="F328" s="1684">
        <v>4820</v>
      </c>
      <c r="G328" s="255">
        <v>127</v>
      </c>
      <c r="H328" s="1686">
        <v>30596</v>
      </c>
      <c r="I328" s="1684">
        <v>24057</v>
      </c>
      <c r="J328" s="255">
        <v>951</v>
      </c>
      <c r="K328" s="1686">
        <v>147668</v>
      </c>
      <c r="L328" s="1684">
        <v>30087</v>
      </c>
      <c r="M328" s="1895">
        <v>615</v>
      </c>
      <c r="N328" s="2893">
        <f t="shared" si="4"/>
        <v>3526</v>
      </c>
      <c r="O328" s="1684">
        <v>2396</v>
      </c>
      <c r="P328" s="1684">
        <v>961</v>
      </c>
      <c r="Q328" s="255">
        <v>169</v>
      </c>
      <c r="R328" s="2751"/>
    </row>
    <row r="329" spans="1:18">
      <c r="A329" s="134">
        <f t="shared" si="5"/>
        <v>2020.08</v>
      </c>
      <c r="B329" s="120">
        <v>3325</v>
      </c>
      <c r="C329" s="1684">
        <v>3321</v>
      </c>
      <c r="D329" s="255">
        <v>151</v>
      </c>
      <c r="E329" s="1686">
        <v>17753</v>
      </c>
      <c r="F329" s="1684">
        <v>4940</v>
      </c>
      <c r="G329" s="255">
        <v>130</v>
      </c>
      <c r="H329" s="1686">
        <v>30723</v>
      </c>
      <c r="I329" s="1684">
        <v>27234</v>
      </c>
      <c r="J329" s="255">
        <v>893</v>
      </c>
      <c r="K329" s="1686">
        <v>154745</v>
      </c>
      <c r="L329" s="1684">
        <v>31552</v>
      </c>
      <c r="M329" s="1895">
        <v>725</v>
      </c>
      <c r="N329" s="2893">
        <f t="shared" si="4"/>
        <v>3325</v>
      </c>
      <c r="O329" s="1684">
        <v>2214</v>
      </c>
      <c r="P329" s="1684">
        <v>965</v>
      </c>
      <c r="Q329" s="255">
        <v>146</v>
      </c>
      <c r="R329" s="2751"/>
    </row>
    <row r="330" spans="1:18">
      <c r="A330" s="134">
        <f t="shared" si="5"/>
        <v>2020.09</v>
      </c>
      <c r="B330" s="120">
        <v>3380</v>
      </c>
      <c r="C330" s="1684">
        <v>3503</v>
      </c>
      <c r="D330" s="255">
        <v>161</v>
      </c>
      <c r="E330" s="1686">
        <v>16297</v>
      </c>
      <c r="F330" s="1684">
        <v>4790</v>
      </c>
      <c r="G330" s="255">
        <v>141</v>
      </c>
      <c r="H330" s="1686">
        <v>35125</v>
      </c>
      <c r="I330" s="1684">
        <v>29658</v>
      </c>
      <c r="J330" s="255">
        <v>863</v>
      </c>
      <c r="K330" s="1686">
        <v>159588</v>
      </c>
      <c r="L330" s="1684">
        <v>34497</v>
      </c>
      <c r="M330" s="1895">
        <v>922</v>
      </c>
      <c r="N330" s="2893">
        <f t="shared" si="4"/>
        <v>3380</v>
      </c>
      <c r="O330" s="1684">
        <v>2202</v>
      </c>
      <c r="P330" s="1684">
        <v>1023</v>
      </c>
      <c r="Q330" s="255">
        <v>155</v>
      </c>
      <c r="R330" s="2751"/>
    </row>
    <row r="331" spans="1:18">
      <c r="A331" s="134">
        <f t="shared" si="5"/>
        <v>2020.1</v>
      </c>
      <c r="B331" s="120">
        <v>3870</v>
      </c>
      <c r="C331" s="1684">
        <v>3601</v>
      </c>
      <c r="D331" s="255">
        <v>149</v>
      </c>
      <c r="E331" s="1686">
        <v>14865</v>
      </c>
      <c r="F331" s="1684">
        <v>4904</v>
      </c>
      <c r="G331" s="255">
        <v>120</v>
      </c>
      <c r="H331" s="1686">
        <v>37638</v>
      </c>
      <c r="I331" s="1684">
        <v>29782</v>
      </c>
      <c r="J331" s="255">
        <v>877</v>
      </c>
      <c r="K331" s="1686">
        <v>154415</v>
      </c>
      <c r="L331" s="1684">
        <v>34769</v>
      </c>
      <c r="M331" s="1895">
        <v>830</v>
      </c>
      <c r="N331" s="2893">
        <f t="shared" si="4"/>
        <v>3870</v>
      </c>
      <c r="O331" s="1684">
        <v>2505</v>
      </c>
      <c r="P331" s="1684">
        <v>1213</v>
      </c>
      <c r="Q331" s="255">
        <v>152</v>
      </c>
      <c r="R331" s="2751"/>
    </row>
    <row r="332" spans="1:18">
      <c r="A332" s="134">
        <f t="shared" si="5"/>
        <v>2020.11</v>
      </c>
      <c r="B332" s="120">
        <v>3511</v>
      </c>
      <c r="C332" s="1684">
        <v>2884</v>
      </c>
      <c r="D332" s="255">
        <v>156</v>
      </c>
      <c r="E332" s="1686">
        <v>13577</v>
      </c>
      <c r="F332" s="1684">
        <v>4524</v>
      </c>
      <c r="G332" s="255">
        <v>136</v>
      </c>
      <c r="H332" s="1686">
        <v>34975</v>
      </c>
      <c r="I332" s="1684">
        <v>25289</v>
      </c>
      <c r="J332" s="255">
        <v>800</v>
      </c>
      <c r="K332" s="1686">
        <v>144616</v>
      </c>
      <c r="L332" s="1684">
        <v>33901</v>
      </c>
      <c r="M332" s="1895">
        <v>837</v>
      </c>
      <c r="N332" s="2893">
        <f t="shared" si="4"/>
        <v>3512</v>
      </c>
      <c r="O332" s="1684">
        <v>2376</v>
      </c>
      <c r="P332" s="1684">
        <v>1023</v>
      </c>
      <c r="Q332" s="255">
        <v>113</v>
      </c>
      <c r="R332" s="2751"/>
    </row>
    <row r="333" spans="1:18">
      <c r="A333" s="134">
        <f t="shared" si="5"/>
        <v>2020.12</v>
      </c>
      <c r="B333" s="120">
        <v>1918</v>
      </c>
      <c r="C333" s="1684">
        <v>2582</v>
      </c>
      <c r="D333" s="255">
        <v>167</v>
      </c>
      <c r="E333" s="1686">
        <v>13461</v>
      </c>
      <c r="F333" s="1684">
        <v>3924</v>
      </c>
      <c r="G333" s="255">
        <v>158</v>
      </c>
      <c r="H333" s="1686">
        <v>20792</v>
      </c>
      <c r="I333" s="1684">
        <v>22245</v>
      </c>
      <c r="J333" s="255">
        <v>859</v>
      </c>
      <c r="K333" s="1686">
        <v>142099</v>
      </c>
      <c r="L333" s="1684">
        <v>31540</v>
      </c>
      <c r="M333" s="1895">
        <v>874</v>
      </c>
      <c r="N333" s="2893">
        <f t="shared" si="4"/>
        <v>1918</v>
      </c>
      <c r="O333" s="1684">
        <v>1231</v>
      </c>
      <c r="P333" s="1684">
        <v>614</v>
      </c>
      <c r="Q333" s="255">
        <v>73</v>
      </c>
      <c r="R333" s="2751"/>
    </row>
    <row r="334" spans="1:18">
      <c r="A334" s="134">
        <f t="shared" si="5"/>
        <v>2021.01</v>
      </c>
      <c r="B334" s="120">
        <v>4830</v>
      </c>
      <c r="C334" s="1684">
        <v>3535</v>
      </c>
      <c r="D334" s="255">
        <v>106</v>
      </c>
      <c r="E334" s="1686">
        <v>11984</v>
      </c>
      <c r="F334" s="1684">
        <v>3917</v>
      </c>
      <c r="G334" s="255">
        <v>140</v>
      </c>
      <c r="H334" s="1686">
        <v>49882</v>
      </c>
      <c r="I334" s="1684">
        <v>29480</v>
      </c>
      <c r="J334" s="255">
        <v>663</v>
      </c>
      <c r="K334" s="1686">
        <v>132640</v>
      </c>
      <c r="L334" s="1684">
        <v>30201</v>
      </c>
      <c r="M334" s="1895">
        <v>860</v>
      </c>
      <c r="N334" s="2893">
        <f t="shared" si="4"/>
        <v>4830</v>
      </c>
      <c r="O334" s="1684">
        <v>3387</v>
      </c>
      <c r="P334" s="1684">
        <v>1295</v>
      </c>
      <c r="Q334" s="255">
        <v>148</v>
      </c>
      <c r="R334" s="2751"/>
    </row>
    <row r="335" spans="1:18">
      <c r="A335" s="134">
        <f t="shared" si="5"/>
        <v>2021.02</v>
      </c>
      <c r="B335" s="120">
        <v>2938</v>
      </c>
      <c r="C335" s="1684">
        <v>3038</v>
      </c>
      <c r="D335" s="255">
        <v>120</v>
      </c>
      <c r="E335" s="1686">
        <v>11837</v>
      </c>
      <c r="F335" s="1684">
        <v>3812</v>
      </c>
      <c r="G335" s="255">
        <v>127</v>
      </c>
      <c r="H335" s="1686">
        <v>30632</v>
      </c>
      <c r="I335" s="1684">
        <v>25561</v>
      </c>
      <c r="J335" s="255">
        <v>649</v>
      </c>
      <c r="K335" s="1686">
        <v>125698</v>
      </c>
      <c r="L335" s="1684">
        <v>38371</v>
      </c>
      <c r="M335" s="1895">
        <v>683</v>
      </c>
      <c r="N335" s="2893">
        <f t="shared" si="4"/>
        <v>2938</v>
      </c>
      <c r="O335" s="1684">
        <v>2043</v>
      </c>
      <c r="P335" s="1684">
        <v>772</v>
      </c>
      <c r="Q335" s="255">
        <v>123</v>
      </c>
      <c r="R335" s="2751"/>
    </row>
    <row r="336" spans="1:18">
      <c r="A336" s="134">
        <f t="shared" si="5"/>
        <v>2021.03</v>
      </c>
      <c r="B336" s="120">
        <v>3399</v>
      </c>
      <c r="C336" s="1684">
        <v>4177</v>
      </c>
      <c r="D336" s="255">
        <v>183</v>
      </c>
      <c r="E336" s="1686">
        <v>14613</v>
      </c>
      <c r="F336" s="1684">
        <v>4704</v>
      </c>
      <c r="G336" s="255">
        <v>136</v>
      </c>
      <c r="H336" s="1686">
        <v>37075</v>
      </c>
      <c r="I336" s="1684">
        <v>35349</v>
      </c>
      <c r="J336" s="255">
        <v>975</v>
      </c>
      <c r="K336" s="1686">
        <v>157156</v>
      </c>
      <c r="L336" s="1684">
        <v>36317</v>
      </c>
      <c r="M336" s="1895">
        <v>879</v>
      </c>
      <c r="N336" s="2893">
        <f t="shared" si="4"/>
        <v>3399</v>
      </c>
      <c r="O336" s="1684">
        <v>2281</v>
      </c>
      <c r="P336" s="1684">
        <v>931</v>
      </c>
      <c r="Q336" s="255">
        <v>187</v>
      </c>
      <c r="R336" s="2751"/>
    </row>
    <row r="337" spans="1:18">
      <c r="A337" s="134">
        <f t="shared" si="5"/>
        <v>2021.04</v>
      </c>
      <c r="B337" s="120">
        <v>3094</v>
      </c>
      <c r="C337" s="1684">
        <v>3834</v>
      </c>
      <c r="D337" s="255">
        <v>119</v>
      </c>
      <c r="E337" s="1686">
        <v>12224</v>
      </c>
      <c r="F337" s="1684">
        <v>3833</v>
      </c>
      <c r="G337" s="255">
        <v>169</v>
      </c>
      <c r="H337" s="1686">
        <v>32643</v>
      </c>
      <c r="I337" s="1684">
        <v>30718</v>
      </c>
      <c r="J337" s="255">
        <v>893</v>
      </c>
      <c r="K337" s="1686">
        <v>128481</v>
      </c>
      <c r="L337" s="1684">
        <v>28645</v>
      </c>
      <c r="M337" s="1895">
        <v>847</v>
      </c>
      <c r="N337" s="2893">
        <f t="shared" si="4"/>
        <v>3094</v>
      </c>
      <c r="O337" s="1684">
        <v>1961</v>
      </c>
      <c r="P337" s="1684">
        <v>997</v>
      </c>
      <c r="Q337" s="255">
        <v>136</v>
      </c>
      <c r="R337" s="2751"/>
    </row>
    <row r="338" spans="1:18">
      <c r="A338" s="134">
        <f t="shared" si="5"/>
        <v>2021.05</v>
      </c>
      <c r="B338" s="120">
        <v>2212</v>
      </c>
      <c r="C338" s="1684">
        <v>2715</v>
      </c>
      <c r="D338" s="255">
        <v>115</v>
      </c>
      <c r="E338" s="1686">
        <v>9676</v>
      </c>
      <c r="F338" s="1684">
        <v>3139</v>
      </c>
      <c r="G338" s="255">
        <v>105</v>
      </c>
      <c r="H338" s="1686">
        <v>23083</v>
      </c>
      <c r="I338" s="1684">
        <v>21790</v>
      </c>
      <c r="J338" s="255">
        <v>746</v>
      </c>
      <c r="K338" s="1686">
        <v>97672</v>
      </c>
      <c r="L338" s="1684">
        <v>22353</v>
      </c>
      <c r="M338" s="1895">
        <v>652</v>
      </c>
      <c r="N338" s="2893">
        <f t="shared" si="4"/>
        <v>2212</v>
      </c>
      <c r="O338" s="1684">
        <v>1388</v>
      </c>
      <c r="P338" s="1684">
        <v>710</v>
      </c>
      <c r="Q338" s="255">
        <v>114</v>
      </c>
      <c r="R338" s="2751"/>
    </row>
    <row r="339" spans="1:18">
      <c r="A339" s="134">
        <f t="shared" si="5"/>
        <v>2021.06</v>
      </c>
      <c r="B339" s="120">
        <v>3791</v>
      </c>
      <c r="C339" s="1684">
        <v>3971</v>
      </c>
      <c r="D339" s="255">
        <v>154</v>
      </c>
      <c r="E339" s="1686">
        <v>14112</v>
      </c>
      <c r="F339" s="1684">
        <v>4323</v>
      </c>
      <c r="G339" s="255">
        <v>147</v>
      </c>
      <c r="H339" s="1686">
        <v>38430</v>
      </c>
      <c r="I339" s="1684">
        <v>31395</v>
      </c>
      <c r="J339" s="255">
        <v>1164</v>
      </c>
      <c r="K339" s="1686">
        <v>142214</v>
      </c>
      <c r="L339" s="1684">
        <v>31676</v>
      </c>
      <c r="M339" s="1895">
        <v>941</v>
      </c>
      <c r="N339" s="2893">
        <f t="shared" si="4"/>
        <v>3791</v>
      </c>
      <c r="O339" s="1684">
        <v>2311</v>
      </c>
      <c r="P339" s="1684">
        <v>1327</v>
      </c>
      <c r="Q339" s="255">
        <v>153</v>
      </c>
      <c r="R339" s="2751"/>
    </row>
    <row r="340" spans="1:18">
      <c r="A340" s="134">
        <f t="shared" si="5"/>
        <v>2021.07</v>
      </c>
      <c r="B340" s="120">
        <v>3312</v>
      </c>
      <c r="C340" s="1684">
        <v>4069</v>
      </c>
      <c r="D340" s="255">
        <v>187</v>
      </c>
      <c r="E340" s="1686">
        <v>14823</v>
      </c>
      <c r="F340" s="1684">
        <v>4448</v>
      </c>
      <c r="G340" s="255">
        <v>165</v>
      </c>
      <c r="H340" s="1686">
        <v>33169</v>
      </c>
      <c r="I340" s="1684">
        <v>32481</v>
      </c>
      <c r="J340" s="255">
        <v>1223</v>
      </c>
      <c r="K340" s="1686">
        <v>148330</v>
      </c>
      <c r="L340" s="1684">
        <v>30803</v>
      </c>
      <c r="M340" s="1895">
        <v>860</v>
      </c>
      <c r="N340" s="2893">
        <f t="shared" si="4"/>
        <v>3312</v>
      </c>
      <c r="O340" s="1684">
        <v>2085</v>
      </c>
      <c r="P340" s="1684">
        <v>1108</v>
      </c>
      <c r="Q340" s="255">
        <v>119</v>
      </c>
      <c r="R340" s="2751"/>
    </row>
    <row r="341" spans="1:18">
      <c r="A341" s="134">
        <f t="shared" si="5"/>
        <v>2021.08</v>
      </c>
      <c r="B341" s="120">
        <v>3124</v>
      </c>
      <c r="C341" s="1684">
        <v>4467</v>
      </c>
      <c r="D341" s="255">
        <v>187</v>
      </c>
      <c r="E341" s="1686">
        <v>15142</v>
      </c>
      <c r="F341" s="1684">
        <v>4474</v>
      </c>
      <c r="G341" s="255">
        <v>142</v>
      </c>
      <c r="H341" s="1686">
        <v>31989</v>
      </c>
      <c r="I341" s="1684">
        <v>36724</v>
      </c>
      <c r="J341" s="255">
        <v>1244</v>
      </c>
      <c r="K341" s="1686">
        <v>153347</v>
      </c>
      <c r="L341" s="1684">
        <v>31768</v>
      </c>
      <c r="M341" s="1895">
        <v>843</v>
      </c>
      <c r="N341" s="2893">
        <f t="shared" si="4"/>
        <v>3124</v>
      </c>
      <c r="O341" s="1684">
        <v>2038</v>
      </c>
      <c r="P341" s="1684">
        <v>918</v>
      </c>
      <c r="Q341" s="255">
        <v>168</v>
      </c>
      <c r="R341" s="2751"/>
    </row>
    <row r="342" spans="1:18">
      <c r="A342" s="134">
        <f t="shared" si="5"/>
        <v>2021.09</v>
      </c>
      <c r="B342" s="120">
        <v>3070</v>
      </c>
      <c r="C342" s="1684">
        <v>4946</v>
      </c>
      <c r="D342" s="255">
        <v>187</v>
      </c>
      <c r="E342" s="1686">
        <v>15958</v>
      </c>
      <c r="F342" s="1684">
        <v>5033</v>
      </c>
      <c r="G342" s="255">
        <v>157</v>
      </c>
      <c r="H342" s="1686">
        <v>32137</v>
      </c>
      <c r="I342" s="1684">
        <v>40467</v>
      </c>
      <c r="J342" s="255">
        <v>1393</v>
      </c>
      <c r="K342" s="1686">
        <v>161232</v>
      </c>
      <c r="L342" s="1684">
        <v>34501</v>
      </c>
      <c r="M342" s="1895">
        <v>973</v>
      </c>
      <c r="N342" s="2893">
        <f t="shared" si="4"/>
        <v>3070</v>
      </c>
      <c r="O342" s="1684">
        <v>1788</v>
      </c>
      <c r="P342" s="1684">
        <v>1125</v>
      </c>
      <c r="Q342" s="255">
        <v>157</v>
      </c>
      <c r="R342" s="2751"/>
    </row>
    <row r="343" spans="1:18">
      <c r="A343" s="134">
        <f t="shared" si="5"/>
        <v>2021.1</v>
      </c>
      <c r="B343" s="120">
        <v>2798</v>
      </c>
      <c r="C343" s="1684">
        <v>4474</v>
      </c>
      <c r="D343" s="255">
        <v>228</v>
      </c>
      <c r="E343" s="1686">
        <v>13535</v>
      </c>
      <c r="F343" s="1684">
        <v>4270</v>
      </c>
      <c r="G343" s="255">
        <v>126</v>
      </c>
      <c r="H343" s="1686">
        <v>28240</v>
      </c>
      <c r="I343" s="1684">
        <v>37795</v>
      </c>
      <c r="J343" s="255">
        <v>1259</v>
      </c>
      <c r="K343" s="1686">
        <v>140882</v>
      </c>
      <c r="L343" s="1684">
        <v>31056</v>
      </c>
      <c r="M343" s="1895">
        <v>899</v>
      </c>
      <c r="N343" s="2893">
        <f t="shared" si="4"/>
        <v>2798</v>
      </c>
      <c r="O343" s="1684">
        <v>1607</v>
      </c>
      <c r="P343" s="1684">
        <v>1054</v>
      </c>
      <c r="Q343" s="255">
        <v>137</v>
      </c>
      <c r="R343" s="2751"/>
    </row>
    <row r="344" spans="1:18">
      <c r="A344" s="134">
        <f t="shared" si="5"/>
        <v>2021.11</v>
      </c>
      <c r="B344" s="120">
        <v>2833</v>
      </c>
      <c r="C344" s="1684">
        <v>4530</v>
      </c>
      <c r="D344" s="255">
        <v>230</v>
      </c>
      <c r="E344" s="1686">
        <v>14026</v>
      </c>
      <c r="F344" s="1684">
        <v>4572</v>
      </c>
      <c r="G344" s="255">
        <v>159</v>
      </c>
      <c r="H344" s="1686">
        <v>28735</v>
      </c>
      <c r="I344" s="1684">
        <v>38542</v>
      </c>
      <c r="J344" s="255">
        <v>1482</v>
      </c>
      <c r="K344" s="1686">
        <v>152903</v>
      </c>
      <c r="L344" s="1684">
        <v>35227</v>
      </c>
      <c r="M344" s="1895">
        <v>921</v>
      </c>
      <c r="N344" s="2893">
        <f t="shared" si="4"/>
        <v>2833</v>
      </c>
      <c r="O344" s="1684">
        <v>1613</v>
      </c>
      <c r="P344" s="1684">
        <v>1081</v>
      </c>
      <c r="Q344" s="255">
        <v>139</v>
      </c>
      <c r="R344" s="2751"/>
    </row>
    <row r="345" spans="1:18">
      <c r="A345" s="134">
        <f t="shared" si="5"/>
        <v>2021.12</v>
      </c>
      <c r="B345" s="120">
        <v>1707</v>
      </c>
      <c r="C345" s="1684">
        <v>3874</v>
      </c>
      <c r="D345" s="255">
        <v>179</v>
      </c>
      <c r="E345" s="1686">
        <v>14153</v>
      </c>
      <c r="F345" s="1684">
        <v>4504</v>
      </c>
      <c r="G345" s="255">
        <v>161</v>
      </c>
      <c r="H345" s="1686">
        <v>17949</v>
      </c>
      <c r="I345" s="1684">
        <v>34838</v>
      </c>
      <c r="J345" s="255">
        <v>1268</v>
      </c>
      <c r="K345" s="1686">
        <v>150741</v>
      </c>
      <c r="L345" s="1684">
        <v>34166</v>
      </c>
      <c r="M345" s="1895">
        <v>850</v>
      </c>
      <c r="N345" s="2893">
        <f t="shared" si="4"/>
        <v>1707</v>
      </c>
      <c r="O345" s="1684">
        <v>986</v>
      </c>
      <c r="P345" s="1684">
        <v>615</v>
      </c>
      <c r="Q345" s="255">
        <v>106</v>
      </c>
      <c r="R345" s="2751"/>
    </row>
    <row r="346" spans="1:18">
      <c r="A346" s="134">
        <f t="shared" si="5"/>
        <v>2022.01</v>
      </c>
      <c r="B346" s="120">
        <v>4399</v>
      </c>
      <c r="C346" s="1684">
        <v>4538</v>
      </c>
      <c r="D346" s="255">
        <v>146</v>
      </c>
      <c r="E346" s="1686">
        <v>10356</v>
      </c>
      <c r="F346" s="1684">
        <v>3795</v>
      </c>
      <c r="G346" s="255">
        <v>111</v>
      </c>
      <c r="H346" s="1686">
        <v>43794</v>
      </c>
      <c r="I346" s="1684">
        <v>36516</v>
      </c>
      <c r="J346" s="255">
        <v>842</v>
      </c>
      <c r="K346" s="1686">
        <v>117878</v>
      </c>
      <c r="L346" s="1684">
        <v>28226</v>
      </c>
      <c r="M346" s="1895">
        <v>745</v>
      </c>
      <c r="N346" s="2893">
        <f t="shared" si="4"/>
        <v>4399</v>
      </c>
      <c r="O346" s="1684">
        <v>2998</v>
      </c>
      <c r="P346" s="1684">
        <v>1268</v>
      </c>
      <c r="Q346" s="255">
        <v>133</v>
      </c>
      <c r="R346" s="2751"/>
    </row>
    <row r="347" spans="1:18">
      <c r="A347" s="134">
        <f t="shared" si="5"/>
        <v>2022.02</v>
      </c>
      <c r="B347" s="120">
        <v>2848</v>
      </c>
      <c r="C347" s="1684">
        <v>4430</v>
      </c>
      <c r="D347" s="255">
        <v>128</v>
      </c>
      <c r="E347" s="1686">
        <v>11473</v>
      </c>
      <c r="F347" s="1684">
        <v>4067</v>
      </c>
      <c r="G347" s="255">
        <v>111</v>
      </c>
      <c r="H347" s="1686">
        <v>29321</v>
      </c>
      <c r="I347" s="1684">
        <v>36287</v>
      </c>
      <c r="J347" s="255">
        <v>885</v>
      </c>
      <c r="K347" s="1686">
        <v>212658</v>
      </c>
      <c r="L347" s="1684">
        <v>30479</v>
      </c>
      <c r="M347" s="1895">
        <v>588</v>
      </c>
      <c r="N347" s="2893">
        <f t="shared" si="4"/>
        <v>2848</v>
      </c>
      <c r="O347" s="1684">
        <v>1896</v>
      </c>
      <c r="P347" s="1684">
        <v>823</v>
      </c>
      <c r="Q347" s="255">
        <v>129</v>
      </c>
      <c r="R347" s="2751"/>
    </row>
    <row r="348" spans="1:18">
      <c r="A348" s="134">
        <f t="shared" si="5"/>
        <v>2022.03</v>
      </c>
      <c r="B348" s="120">
        <v>3443</v>
      </c>
      <c r="C348" s="1684">
        <v>5044</v>
      </c>
      <c r="D348" s="255">
        <v>122</v>
      </c>
      <c r="E348" s="1686">
        <v>12875</v>
      </c>
      <c r="F348" s="1684">
        <v>4807</v>
      </c>
      <c r="G348" s="255">
        <v>155</v>
      </c>
      <c r="H348" s="1686">
        <v>34782</v>
      </c>
      <c r="I348" s="1684">
        <v>45825</v>
      </c>
      <c r="J348" s="255">
        <v>1071</v>
      </c>
      <c r="K348" s="1686">
        <v>140255</v>
      </c>
      <c r="L348" s="1684">
        <v>36345</v>
      </c>
      <c r="M348" s="1895">
        <v>808</v>
      </c>
      <c r="N348" s="2893">
        <f t="shared" si="4"/>
        <v>3443</v>
      </c>
      <c r="O348" s="1684">
        <v>2171</v>
      </c>
      <c r="P348" s="1684">
        <v>1097</v>
      </c>
      <c r="Q348" s="255">
        <v>175</v>
      </c>
      <c r="R348" s="2751"/>
    </row>
    <row r="349" spans="1:18">
      <c r="A349" s="134">
        <f t="shared" si="5"/>
        <v>2022.04</v>
      </c>
      <c r="B349" s="120">
        <v>2990</v>
      </c>
      <c r="C349" s="1684">
        <v>4634</v>
      </c>
      <c r="D349" s="255">
        <v>192</v>
      </c>
      <c r="E349" s="1686">
        <v>12087</v>
      </c>
      <c r="F349" s="1684">
        <v>4459</v>
      </c>
      <c r="G349" s="255">
        <v>166</v>
      </c>
      <c r="H349" s="1686">
        <v>32119</v>
      </c>
      <c r="I349" s="1684">
        <v>41474</v>
      </c>
      <c r="J349" s="255">
        <v>1109</v>
      </c>
      <c r="K349" s="1686">
        <v>130411</v>
      </c>
      <c r="L349" s="1684">
        <v>32998</v>
      </c>
      <c r="M349" s="1895">
        <v>830</v>
      </c>
      <c r="N349" s="2893">
        <f t="shared" si="4"/>
        <v>2990</v>
      </c>
      <c r="O349" s="1684">
        <v>1930</v>
      </c>
      <c r="P349" s="1684">
        <v>927</v>
      </c>
      <c r="Q349" s="255">
        <v>133</v>
      </c>
      <c r="R349" s="2751"/>
    </row>
    <row r="350" spans="1:18">
      <c r="A350" s="134">
        <f t="shared" si="5"/>
        <v>2022.05</v>
      </c>
      <c r="B350" s="120">
        <v>3615</v>
      </c>
      <c r="C350" s="1684">
        <v>4841</v>
      </c>
      <c r="D350" s="255">
        <v>224</v>
      </c>
      <c r="E350" s="1686">
        <v>13271</v>
      </c>
      <c r="F350" s="1684">
        <v>4833</v>
      </c>
      <c r="G350" s="255">
        <v>149</v>
      </c>
      <c r="H350" s="1686">
        <v>35553</v>
      </c>
      <c r="I350" s="1684">
        <v>42368</v>
      </c>
      <c r="J350" s="255">
        <v>1460</v>
      </c>
      <c r="K350" s="1686">
        <v>138591</v>
      </c>
      <c r="L350" s="1684">
        <v>35587</v>
      </c>
      <c r="M350" s="1895">
        <v>758</v>
      </c>
      <c r="N350" s="2893">
        <f t="shared" si="4"/>
        <v>3615</v>
      </c>
      <c r="O350" s="1684">
        <v>2416</v>
      </c>
      <c r="P350" s="1684">
        <v>1059</v>
      </c>
      <c r="Q350" s="255">
        <v>140</v>
      </c>
      <c r="R350" s="2751"/>
    </row>
    <row r="351" spans="1:18">
      <c r="A351" s="134">
        <f t="shared" si="5"/>
        <v>2022.06</v>
      </c>
      <c r="B351" s="120">
        <v>3788</v>
      </c>
      <c r="C351" s="1684">
        <v>4248</v>
      </c>
      <c r="D351" s="255">
        <v>184</v>
      </c>
      <c r="E351" s="1686">
        <v>13127</v>
      </c>
      <c r="F351" s="1684">
        <v>4611</v>
      </c>
      <c r="G351" s="255">
        <v>141</v>
      </c>
      <c r="H351" s="1686">
        <v>35656</v>
      </c>
      <c r="I351" s="1684">
        <v>37363</v>
      </c>
      <c r="J351" s="255">
        <v>1302</v>
      </c>
      <c r="K351" s="1686">
        <v>134134</v>
      </c>
      <c r="L351" s="1684">
        <v>32570</v>
      </c>
      <c r="M351" s="1895">
        <v>781</v>
      </c>
      <c r="N351" s="2893">
        <f t="shared" si="4"/>
        <v>3788</v>
      </c>
      <c r="O351" s="1684">
        <v>2486</v>
      </c>
      <c r="P351" s="1684">
        <v>1158</v>
      </c>
      <c r="Q351" s="255">
        <v>144</v>
      </c>
      <c r="R351" s="2751"/>
    </row>
    <row r="352" spans="1:18">
      <c r="A352" s="134">
        <f t="shared" si="5"/>
        <v>2022.07</v>
      </c>
      <c r="B352" s="120">
        <v>3889</v>
      </c>
      <c r="C352" s="1684">
        <v>4385</v>
      </c>
      <c r="D352" s="255">
        <v>224</v>
      </c>
      <c r="E352" s="1686">
        <v>14027</v>
      </c>
      <c r="F352" s="1684">
        <v>5009</v>
      </c>
      <c r="G352" s="255">
        <v>139</v>
      </c>
      <c r="H352" s="1686">
        <v>39107</v>
      </c>
      <c r="I352" s="1684">
        <v>36599</v>
      </c>
      <c r="J352" s="255">
        <v>1431</v>
      </c>
      <c r="K352" s="1686">
        <v>146183</v>
      </c>
      <c r="L352" s="1684">
        <v>35452</v>
      </c>
      <c r="M352" s="1895">
        <v>819</v>
      </c>
      <c r="N352" s="2893">
        <f t="shared" si="4"/>
        <v>3889</v>
      </c>
      <c r="O352" s="1684">
        <v>2624</v>
      </c>
      <c r="P352" s="1684">
        <v>1126</v>
      </c>
      <c r="Q352" s="255">
        <v>139</v>
      </c>
      <c r="R352" s="2751"/>
    </row>
    <row r="353" spans="1:18">
      <c r="A353" s="134">
        <f t="shared" si="5"/>
        <v>2022.08</v>
      </c>
      <c r="B353" s="120">
        <v>3582</v>
      </c>
      <c r="C353" s="1684">
        <v>3972</v>
      </c>
      <c r="D353" s="255">
        <v>229</v>
      </c>
      <c r="E353" s="1686">
        <v>13709</v>
      </c>
      <c r="F353" s="1684">
        <v>5275</v>
      </c>
      <c r="G353" s="255">
        <v>117</v>
      </c>
      <c r="H353" s="1686">
        <v>38595</v>
      </c>
      <c r="I353" s="1684">
        <v>35384</v>
      </c>
      <c r="J353" s="255">
        <v>1564</v>
      </c>
      <c r="K353" s="1686">
        <v>143753</v>
      </c>
      <c r="L353" s="1684">
        <v>37143</v>
      </c>
      <c r="M353" s="1895">
        <v>964</v>
      </c>
      <c r="N353" s="2893">
        <f t="shared" si="4"/>
        <v>3582</v>
      </c>
      <c r="O353" s="1684">
        <v>2342</v>
      </c>
      <c r="P353" s="1684">
        <v>1112</v>
      </c>
      <c r="Q353" s="255">
        <v>128</v>
      </c>
      <c r="R353" s="2751"/>
    </row>
    <row r="354" spans="1:18">
      <c r="A354" s="134">
        <f t="shared" si="5"/>
        <v>2022.09</v>
      </c>
      <c r="B354" s="120">
        <v>3351</v>
      </c>
      <c r="C354" s="1684">
        <v>3802</v>
      </c>
      <c r="D354" s="255">
        <v>194</v>
      </c>
      <c r="E354" s="1686">
        <v>12710</v>
      </c>
      <c r="F354" s="1684">
        <v>5519</v>
      </c>
      <c r="G354" s="255">
        <v>154</v>
      </c>
      <c r="H354" s="1686">
        <v>35020</v>
      </c>
      <c r="I354" s="1684">
        <v>34476</v>
      </c>
      <c r="J354" s="255">
        <v>1476</v>
      </c>
      <c r="K354" s="1686">
        <v>136967</v>
      </c>
      <c r="L354" s="1684">
        <v>38090</v>
      </c>
      <c r="M354" s="1895">
        <v>957</v>
      </c>
      <c r="N354" s="2893">
        <f t="shared" si="4"/>
        <v>3351</v>
      </c>
      <c r="O354" s="1684">
        <v>2179</v>
      </c>
      <c r="P354" s="1684">
        <v>1029</v>
      </c>
      <c r="Q354" s="255">
        <v>143</v>
      </c>
      <c r="R354" s="2751"/>
    </row>
    <row r="355" spans="1:18">
      <c r="A355" s="134">
        <f t="shared" si="5"/>
        <v>2022.1</v>
      </c>
      <c r="B355" s="120">
        <v>3315</v>
      </c>
      <c r="C355" s="1684">
        <v>3539</v>
      </c>
      <c r="D355" s="255">
        <v>158</v>
      </c>
      <c r="E355" s="1686">
        <v>10605</v>
      </c>
      <c r="F355" s="1684">
        <v>4580</v>
      </c>
      <c r="G355" s="255">
        <v>161</v>
      </c>
      <c r="H355" s="1686">
        <v>32646</v>
      </c>
      <c r="I355" s="1684">
        <v>33026</v>
      </c>
      <c r="J355" s="255">
        <v>1233</v>
      </c>
      <c r="K355" s="1686">
        <v>118223</v>
      </c>
      <c r="L355" s="1684">
        <v>32997</v>
      </c>
      <c r="M355" s="1895">
        <v>840</v>
      </c>
      <c r="N355" s="2893">
        <f t="shared" si="4"/>
        <v>3315</v>
      </c>
      <c r="O355" s="1684">
        <v>2102</v>
      </c>
      <c r="P355" s="1684">
        <v>1087</v>
      </c>
      <c r="Q355" s="255">
        <v>126</v>
      </c>
      <c r="R355" s="2751"/>
    </row>
    <row r="356" spans="1:18">
      <c r="A356" s="134">
        <f t="shared" si="5"/>
        <v>2022.11</v>
      </c>
      <c r="B356" s="120">
        <v>3208</v>
      </c>
      <c r="C356" s="1684">
        <v>3703</v>
      </c>
      <c r="D356" s="255">
        <v>153</v>
      </c>
      <c r="E356" s="1686">
        <v>11246</v>
      </c>
      <c r="F356" s="1684">
        <v>4892</v>
      </c>
      <c r="G356" s="255">
        <v>195</v>
      </c>
      <c r="H356" s="1686">
        <v>33907</v>
      </c>
      <c r="I356" s="1684">
        <v>35362</v>
      </c>
      <c r="J356" s="255">
        <v>1249</v>
      </c>
      <c r="K356" s="1686">
        <v>127187</v>
      </c>
      <c r="L356" s="1684">
        <v>35589</v>
      </c>
      <c r="M356" s="1895">
        <v>861</v>
      </c>
      <c r="N356" s="2893">
        <f t="shared" si="4"/>
        <v>3208</v>
      </c>
      <c r="O356" s="1684">
        <v>2071</v>
      </c>
      <c r="P356" s="1684">
        <v>1041</v>
      </c>
      <c r="Q356" s="255">
        <v>96</v>
      </c>
      <c r="R356" s="2751"/>
    </row>
    <row r="357" spans="1:18">
      <c r="A357" s="134">
        <f t="shared" si="5"/>
        <v>2022.12</v>
      </c>
      <c r="B357" s="120">
        <v>1793</v>
      </c>
      <c r="C357" s="1684">
        <v>3154</v>
      </c>
      <c r="D357" s="255">
        <v>146</v>
      </c>
      <c r="E357" s="1686">
        <v>10434</v>
      </c>
      <c r="F357" s="1684">
        <v>4227</v>
      </c>
      <c r="G357" s="255">
        <v>162</v>
      </c>
      <c r="H357" s="1686">
        <v>19890</v>
      </c>
      <c r="I357" s="1684">
        <v>29578</v>
      </c>
      <c r="J357" s="255">
        <v>1001</v>
      </c>
      <c r="K357" s="1686">
        <v>116258</v>
      </c>
      <c r="L357" s="1684">
        <v>29845</v>
      </c>
      <c r="M357" s="1895">
        <v>722</v>
      </c>
      <c r="N357" s="2893">
        <f t="shared" si="4"/>
        <v>1793</v>
      </c>
      <c r="O357" s="1684">
        <v>1056</v>
      </c>
      <c r="P357" s="1684">
        <v>636</v>
      </c>
      <c r="Q357" s="255">
        <v>101</v>
      </c>
      <c r="R357" s="2751"/>
    </row>
    <row r="358" spans="1:18">
      <c r="A358" s="134">
        <f t="shared" si="5"/>
        <v>2023.01</v>
      </c>
      <c r="B358" s="120">
        <v>4615</v>
      </c>
      <c r="C358" s="1684">
        <v>4801</v>
      </c>
      <c r="D358" s="255">
        <v>137</v>
      </c>
      <c r="E358" s="1686">
        <v>11445</v>
      </c>
      <c r="F358" s="1684">
        <v>4916</v>
      </c>
      <c r="G358" s="255">
        <v>143</v>
      </c>
      <c r="H358" s="1686">
        <v>50616</v>
      </c>
      <c r="I358" s="1684">
        <v>42824</v>
      </c>
      <c r="J358" s="255">
        <v>1122</v>
      </c>
      <c r="K358" s="1686">
        <v>133101</v>
      </c>
      <c r="L358" s="1684">
        <v>35878</v>
      </c>
      <c r="M358" s="1895">
        <v>700</v>
      </c>
      <c r="N358" s="2893">
        <f t="shared" si="4"/>
        <v>4615</v>
      </c>
      <c r="O358" s="1684">
        <v>3141</v>
      </c>
      <c r="P358" s="1684">
        <v>1370</v>
      </c>
      <c r="Q358" s="255">
        <v>104</v>
      </c>
      <c r="R358" s="2751"/>
    </row>
    <row r="359" spans="1:18">
      <c r="A359" s="134">
        <f t="shared" si="5"/>
        <v>2023.02</v>
      </c>
      <c r="B359" s="120">
        <v>2678</v>
      </c>
      <c r="C359" s="1684">
        <v>3998</v>
      </c>
      <c r="D359" s="255">
        <v>112</v>
      </c>
      <c r="E359" s="1686">
        <v>9937</v>
      </c>
      <c r="F359" s="1684">
        <v>4065</v>
      </c>
      <c r="G359" s="255">
        <v>90</v>
      </c>
      <c r="H359" s="1686">
        <v>30705</v>
      </c>
      <c r="I359" s="1684">
        <v>36643</v>
      </c>
      <c r="J359" s="255">
        <v>782</v>
      </c>
      <c r="K359" s="1686">
        <v>111686</v>
      </c>
      <c r="L359" s="1684">
        <v>30853</v>
      </c>
      <c r="M359" s="1895">
        <v>505</v>
      </c>
      <c r="N359" s="2893">
        <f t="shared" si="4"/>
        <v>2678</v>
      </c>
      <c r="O359" s="1684">
        <v>1825</v>
      </c>
      <c r="P359" s="1684">
        <v>764</v>
      </c>
      <c r="Q359" s="255">
        <v>89</v>
      </c>
      <c r="R359" s="2751"/>
    </row>
    <row r="360" spans="1:18">
      <c r="A360" s="134">
        <f t="shared" si="5"/>
        <v>2023.03</v>
      </c>
      <c r="B360" s="120">
        <v>3486</v>
      </c>
      <c r="C360" s="1684">
        <v>4956</v>
      </c>
      <c r="D360" s="255">
        <v>157</v>
      </c>
      <c r="E360" s="1686">
        <v>12937</v>
      </c>
      <c r="F360" s="1684">
        <v>5424</v>
      </c>
      <c r="G360" s="255">
        <v>87</v>
      </c>
      <c r="H360" s="1686">
        <v>40131</v>
      </c>
      <c r="I360" s="1684">
        <v>49664</v>
      </c>
      <c r="J360" s="255">
        <v>1052</v>
      </c>
      <c r="K360" s="1686">
        <v>146852</v>
      </c>
      <c r="L360" s="1684">
        <v>41983</v>
      </c>
      <c r="M360" s="1895">
        <v>664</v>
      </c>
      <c r="N360" s="2893">
        <f t="shared" si="4"/>
        <v>3486</v>
      </c>
      <c r="O360" s="1684">
        <v>2265</v>
      </c>
      <c r="P360" s="1684">
        <v>1068</v>
      </c>
      <c r="Q360" s="255">
        <v>153</v>
      </c>
      <c r="R360" s="2751"/>
    </row>
    <row r="361" spans="1:18">
      <c r="A361" s="134">
        <f t="shared" si="5"/>
        <v>2023.04</v>
      </c>
      <c r="B361" s="120">
        <v>2928</v>
      </c>
      <c r="C361" s="1684">
        <v>4137</v>
      </c>
      <c r="D361" s="255">
        <v>156</v>
      </c>
      <c r="E361" s="1686">
        <v>11290</v>
      </c>
      <c r="F361" s="1684">
        <v>4601</v>
      </c>
      <c r="G361" s="255">
        <v>126</v>
      </c>
      <c r="H361" s="1686">
        <v>34963</v>
      </c>
      <c r="I361" s="1684">
        <v>40889</v>
      </c>
      <c r="J361" s="255">
        <v>1078</v>
      </c>
      <c r="K361" s="1686">
        <v>130209</v>
      </c>
      <c r="L361" s="1684">
        <v>35412</v>
      </c>
      <c r="M361" s="1895">
        <v>595</v>
      </c>
      <c r="N361" s="2893">
        <f t="shared" si="4"/>
        <v>2928</v>
      </c>
      <c r="O361" s="1684">
        <v>1892</v>
      </c>
      <c r="P361" s="1684">
        <v>937</v>
      </c>
      <c r="Q361" s="255">
        <v>99</v>
      </c>
    </row>
    <row r="362" spans="1:18">
      <c r="A362" s="134">
        <f t="shared" si="5"/>
        <v>2023.05</v>
      </c>
      <c r="B362" s="120">
        <v>3696</v>
      </c>
      <c r="C362" s="1684">
        <v>4284</v>
      </c>
      <c r="D362" s="255">
        <v>160</v>
      </c>
      <c r="E362" s="1686">
        <v>12339</v>
      </c>
      <c r="F362" s="1684">
        <v>5077</v>
      </c>
      <c r="G362" s="255">
        <v>134</v>
      </c>
      <c r="H362" s="1686">
        <v>40361</v>
      </c>
      <c r="I362" s="1684">
        <v>41051</v>
      </c>
      <c r="J362" s="255">
        <v>1291</v>
      </c>
      <c r="K362" s="1686">
        <v>142232</v>
      </c>
      <c r="L362" s="1684">
        <v>37509</v>
      </c>
      <c r="M362" s="1895">
        <v>652</v>
      </c>
      <c r="N362" s="2893">
        <f t="shared" si="4"/>
        <v>3696</v>
      </c>
      <c r="O362" s="1684">
        <v>2366</v>
      </c>
      <c r="P362" s="1684">
        <v>1227</v>
      </c>
      <c r="Q362" s="255">
        <v>103</v>
      </c>
    </row>
    <row r="363" spans="1:18">
      <c r="A363" s="134">
        <f t="shared" si="5"/>
        <v>2023.06</v>
      </c>
      <c r="B363" s="120">
        <v>3514</v>
      </c>
      <c r="C363" s="1684">
        <v>3290</v>
      </c>
      <c r="D363" s="255">
        <v>120</v>
      </c>
      <c r="E363" s="1686">
        <v>11654</v>
      </c>
      <c r="F363" s="1684">
        <v>4324</v>
      </c>
      <c r="G363" s="255">
        <v>113</v>
      </c>
      <c r="H363" s="1686">
        <v>40301</v>
      </c>
      <c r="I363" s="1684">
        <v>34563</v>
      </c>
      <c r="J363" s="255">
        <v>1079</v>
      </c>
      <c r="K363" s="1686">
        <v>134148</v>
      </c>
      <c r="L363" s="1684">
        <v>34067</v>
      </c>
      <c r="M363" s="1895">
        <v>695</v>
      </c>
      <c r="N363" s="2893">
        <f t="shared" si="4"/>
        <v>3514</v>
      </c>
      <c r="O363" s="2892">
        <v>2332</v>
      </c>
      <c r="P363" s="1684">
        <v>1076</v>
      </c>
      <c r="Q363" s="255">
        <v>106</v>
      </c>
    </row>
    <row r="364" spans="1:18">
      <c r="A364" s="134">
        <f t="shared" si="5"/>
        <v>2023.07</v>
      </c>
      <c r="B364" s="120">
        <v>3959</v>
      </c>
      <c r="C364" s="1684">
        <v>3675</v>
      </c>
      <c r="D364" s="255">
        <v>153</v>
      </c>
      <c r="E364" s="1686">
        <v>13476</v>
      </c>
      <c r="F364" s="1684">
        <v>5110</v>
      </c>
      <c r="G364" s="255">
        <v>141</v>
      </c>
      <c r="H364" s="1686">
        <v>44325</v>
      </c>
      <c r="I364" s="1684">
        <v>38304</v>
      </c>
      <c r="J364" s="255">
        <v>1144</v>
      </c>
      <c r="K364" s="1686">
        <v>154444</v>
      </c>
      <c r="L364" s="1684">
        <v>37289</v>
      </c>
      <c r="M364" s="1895">
        <v>640</v>
      </c>
      <c r="N364" s="2893">
        <f t="shared" si="4"/>
        <v>3959</v>
      </c>
      <c r="O364" s="1684">
        <v>2725</v>
      </c>
      <c r="P364" s="1684">
        <v>1150</v>
      </c>
      <c r="Q364" s="255">
        <v>84</v>
      </c>
    </row>
    <row r="365" spans="1:18">
      <c r="A365" s="134">
        <f t="shared" si="5"/>
        <v>2023.08</v>
      </c>
      <c r="B365" s="120">
        <v>3371</v>
      </c>
      <c r="C365" s="1684">
        <v>4554</v>
      </c>
      <c r="D365" s="255">
        <v>153</v>
      </c>
      <c r="E365" s="1686">
        <v>14447</v>
      </c>
      <c r="F365" s="1684">
        <v>5564</v>
      </c>
      <c r="G365" s="255">
        <v>141</v>
      </c>
      <c r="H365" s="1686">
        <v>39701</v>
      </c>
      <c r="I365" s="1684">
        <v>43494</v>
      </c>
      <c r="J365" s="255">
        <v>1252</v>
      </c>
      <c r="K365" s="1686">
        <v>162509</v>
      </c>
      <c r="L365" s="1684">
        <v>41059</v>
      </c>
      <c r="M365" s="1895">
        <v>741</v>
      </c>
      <c r="N365" s="2893">
        <f t="shared" si="4"/>
        <v>3371</v>
      </c>
      <c r="O365" s="1684">
        <v>2081</v>
      </c>
      <c r="P365" s="1684">
        <v>1179</v>
      </c>
      <c r="Q365" s="255">
        <v>111</v>
      </c>
    </row>
    <row r="366" spans="1:18">
      <c r="A366" s="134">
        <f t="shared" si="5"/>
        <v>2023.09</v>
      </c>
      <c r="B366" s="120">
        <v>2802</v>
      </c>
      <c r="C366" s="1684">
        <v>3650</v>
      </c>
      <c r="D366" s="255">
        <v>137</v>
      </c>
      <c r="E366" s="1686">
        <v>12514</v>
      </c>
      <c r="F366" s="1684">
        <v>5354</v>
      </c>
      <c r="G366" s="255">
        <v>121</v>
      </c>
      <c r="H366" s="1686">
        <v>33844</v>
      </c>
      <c r="I366" s="1684">
        <v>35497</v>
      </c>
      <c r="J366" s="255">
        <v>1092</v>
      </c>
      <c r="K366" s="1686">
        <v>143838</v>
      </c>
      <c r="L366" s="1684">
        <v>39434</v>
      </c>
      <c r="M366" s="1895">
        <v>681</v>
      </c>
      <c r="N366" s="2893">
        <f t="shared" si="4"/>
        <v>2802</v>
      </c>
      <c r="O366" s="1684">
        <v>1659</v>
      </c>
      <c r="P366" s="1684">
        <v>1057</v>
      </c>
      <c r="Q366" s="255">
        <v>86</v>
      </c>
    </row>
    <row r="367" spans="1:18">
      <c r="A367" s="134">
        <f t="shared" si="5"/>
        <v>2023.1</v>
      </c>
      <c r="B367" s="120">
        <v>3529</v>
      </c>
      <c r="C367" s="1684">
        <v>4802</v>
      </c>
      <c r="D367" s="255">
        <v>138</v>
      </c>
      <c r="E367" s="1686">
        <v>12137</v>
      </c>
      <c r="F367" s="1684">
        <v>5388</v>
      </c>
      <c r="G367" s="255">
        <v>153</v>
      </c>
      <c r="H367" s="1686">
        <v>42151</v>
      </c>
      <c r="I367" s="1684">
        <v>43770</v>
      </c>
      <c r="J367" s="255">
        <v>1190</v>
      </c>
      <c r="K367" s="1686">
        <v>141592</v>
      </c>
      <c r="L367" s="1684">
        <v>39195</v>
      </c>
      <c r="M367" s="1895">
        <v>726</v>
      </c>
      <c r="N367" s="2893">
        <f t="shared" si="4"/>
        <v>3529</v>
      </c>
      <c r="O367" s="1684">
        <v>2230</v>
      </c>
      <c r="P367" s="1684">
        <v>1221</v>
      </c>
      <c r="Q367" s="255">
        <v>78</v>
      </c>
    </row>
    <row r="368" spans="1:18">
      <c r="A368" s="134">
        <f t="shared" si="5"/>
        <v>2023.11</v>
      </c>
      <c r="B368" s="120">
        <v>2958</v>
      </c>
      <c r="C368" s="1684">
        <v>4327</v>
      </c>
      <c r="D368" s="255">
        <v>136</v>
      </c>
      <c r="E368" s="1686">
        <v>10977</v>
      </c>
      <c r="F368" s="1684">
        <v>5352</v>
      </c>
      <c r="G368" s="255">
        <v>153</v>
      </c>
      <c r="H368" s="1686">
        <v>36211</v>
      </c>
      <c r="I368" s="1684">
        <v>41107</v>
      </c>
      <c r="J368" s="255">
        <v>1197</v>
      </c>
      <c r="K368" s="1686">
        <v>132344</v>
      </c>
      <c r="L368" s="1684">
        <v>40204</v>
      </c>
      <c r="M368" s="1895">
        <v>708</v>
      </c>
      <c r="N368" s="2893">
        <f t="shared" si="4"/>
        <v>2958</v>
      </c>
      <c r="O368" s="1684">
        <v>1868</v>
      </c>
      <c r="P368" s="1684">
        <v>1027</v>
      </c>
      <c r="Q368" s="255">
        <v>63</v>
      </c>
    </row>
    <row r="369" spans="1:17">
      <c r="A369" s="134">
        <f t="shared" si="5"/>
        <v>2023.12</v>
      </c>
      <c r="B369" s="120">
        <v>1326</v>
      </c>
      <c r="C369" s="1684">
        <v>3636</v>
      </c>
      <c r="D369" s="255">
        <v>117</v>
      </c>
      <c r="E369" s="1686">
        <v>10057</v>
      </c>
      <c r="F369" s="1684">
        <v>4743</v>
      </c>
      <c r="G369" s="255">
        <v>169</v>
      </c>
      <c r="H369" s="1686">
        <v>18798</v>
      </c>
      <c r="I369" s="1684">
        <v>33584</v>
      </c>
      <c r="J369" s="255">
        <v>910</v>
      </c>
      <c r="K369" s="1686">
        <v>122031</v>
      </c>
      <c r="L369" s="1684">
        <v>36656</v>
      </c>
      <c r="M369" s="1895">
        <v>746</v>
      </c>
      <c r="N369" s="2893">
        <f t="shared" si="4"/>
        <v>1326</v>
      </c>
      <c r="O369" s="1684">
        <v>700</v>
      </c>
      <c r="P369" s="1684">
        <v>586</v>
      </c>
      <c r="Q369" s="255">
        <v>40</v>
      </c>
    </row>
    <row r="370" spans="1:17">
      <c r="A370" s="134">
        <f t="shared" si="5"/>
        <v>2024.01</v>
      </c>
      <c r="B370" s="120">
        <v>2517</v>
      </c>
      <c r="C370" s="1684">
        <v>3889</v>
      </c>
      <c r="D370" s="255">
        <v>88</v>
      </c>
      <c r="E370" s="1686">
        <v>9407</v>
      </c>
      <c r="F370" s="1684">
        <v>4927</v>
      </c>
      <c r="G370" s="255">
        <v>118</v>
      </c>
      <c r="H370" s="1686">
        <v>34165</v>
      </c>
      <c r="I370" s="1684">
        <v>34116</v>
      </c>
      <c r="J370" s="255">
        <v>600</v>
      </c>
      <c r="K370" s="1686">
        <v>116149</v>
      </c>
      <c r="L370" s="1684">
        <v>38353</v>
      </c>
      <c r="M370" s="1895">
        <v>557</v>
      </c>
      <c r="N370" s="2893">
        <f t="shared" si="4"/>
        <v>2517</v>
      </c>
      <c r="O370" s="1684">
        <v>1744</v>
      </c>
      <c r="P370" s="1684">
        <v>726</v>
      </c>
      <c r="Q370" s="255">
        <v>47</v>
      </c>
    </row>
    <row r="371" spans="1:17">
      <c r="A371" s="134">
        <f t="shared" si="5"/>
        <v>2024.02</v>
      </c>
      <c r="B371" s="120">
        <v>2175</v>
      </c>
      <c r="C371" s="1684">
        <v>3272</v>
      </c>
      <c r="D371" s="255">
        <v>74</v>
      </c>
      <c r="E371" s="1686">
        <v>8959</v>
      </c>
      <c r="F371" s="1684">
        <v>4444</v>
      </c>
      <c r="G371" s="255">
        <v>105</v>
      </c>
      <c r="H371" s="1686">
        <v>25213</v>
      </c>
      <c r="I371" s="1684">
        <v>31492</v>
      </c>
      <c r="J371" s="255">
        <v>469</v>
      </c>
      <c r="K371" s="1686">
        <v>106238</v>
      </c>
      <c r="L371" s="1684">
        <v>34603</v>
      </c>
      <c r="M371" s="1895">
        <v>432</v>
      </c>
      <c r="N371" s="2893">
        <f t="shared" si="4"/>
        <v>2175</v>
      </c>
      <c r="O371" s="1684">
        <v>1465</v>
      </c>
      <c r="P371" s="1684">
        <v>638</v>
      </c>
      <c r="Q371" s="255">
        <v>72</v>
      </c>
    </row>
    <row r="372" spans="1:17">
      <c r="A372" s="134">
        <f t="shared" si="5"/>
        <v>2024.03</v>
      </c>
      <c r="B372" s="120">
        <v>2217</v>
      </c>
      <c r="C372" s="1684">
        <v>3177</v>
      </c>
      <c r="D372" s="255">
        <v>71</v>
      </c>
      <c r="E372" s="1686">
        <v>8940</v>
      </c>
      <c r="F372" s="1684">
        <v>4413</v>
      </c>
      <c r="G372" s="255">
        <v>111</v>
      </c>
      <c r="H372" s="1686">
        <v>25975</v>
      </c>
      <c r="I372" s="1684">
        <v>29381</v>
      </c>
      <c r="J372" s="255">
        <v>466</v>
      </c>
      <c r="K372" s="1686">
        <v>105990</v>
      </c>
      <c r="L372" s="1684">
        <v>34683</v>
      </c>
      <c r="M372" s="1895">
        <v>503</v>
      </c>
      <c r="N372" s="2893">
        <f t="shared" si="4"/>
        <v>2217</v>
      </c>
      <c r="O372" s="1684">
        <v>1487</v>
      </c>
      <c r="P372" s="1684">
        <v>667</v>
      </c>
      <c r="Q372" s="255">
        <v>63</v>
      </c>
    </row>
    <row r="373" spans="1:17">
      <c r="A373" s="134">
        <f t="shared" si="5"/>
        <v>2024.04</v>
      </c>
      <c r="B373" s="120">
        <v>2654</v>
      </c>
      <c r="C373" s="1684">
        <v>3850</v>
      </c>
      <c r="D373" s="255">
        <v>106</v>
      </c>
      <c r="E373" s="1686">
        <v>11366</v>
      </c>
      <c r="F373" s="1684">
        <v>5320</v>
      </c>
      <c r="G373" s="255">
        <v>129</v>
      </c>
      <c r="H373" s="1686">
        <v>33121</v>
      </c>
      <c r="I373" s="1684">
        <v>39181</v>
      </c>
      <c r="J373" s="255">
        <v>777</v>
      </c>
      <c r="K373" s="1686">
        <v>136230</v>
      </c>
      <c r="L373" s="1684">
        <v>41302</v>
      </c>
      <c r="M373" s="1895">
        <v>598</v>
      </c>
      <c r="N373" s="2894" t="e">
        <f t="shared" si="4"/>
        <v>#N/A</v>
      </c>
      <c r="O373" s="1684" t="e">
        <v>#N/A</v>
      </c>
      <c r="P373" s="1684" t="e">
        <v>#N/A</v>
      </c>
      <c r="Q373" s="255" t="e">
        <v>#N/A</v>
      </c>
    </row>
    <row r="374" spans="1:17">
      <c r="A374" s="134">
        <f t="shared" si="5"/>
        <v>2024.05</v>
      </c>
      <c r="B374" s="120" t="e">
        <v>#N/A</v>
      </c>
      <c r="C374" s="1684" t="e">
        <v>#N/A</v>
      </c>
      <c r="D374" s="255" t="e">
        <v>#N/A</v>
      </c>
      <c r="E374" s="1686" t="e">
        <v>#N/A</v>
      </c>
      <c r="F374" s="1684" t="e">
        <v>#N/A</v>
      </c>
      <c r="G374" s="255" t="e">
        <v>#N/A</v>
      </c>
      <c r="H374" s="1686" t="e">
        <v>#N/A</v>
      </c>
      <c r="I374" s="1684" t="e">
        <v>#N/A</v>
      </c>
      <c r="J374" s="255" t="e">
        <v>#N/A</v>
      </c>
      <c r="K374" s="1686" t="e">
        <v>#N/A</v>
      </c>
      <c r="L374" s="1684" t="e">
        <v>#N/A</v>
      </c>
      <c r="M374" s="1895" t="e">
        <v>#N/A</v>
      </c>
      <c r="N374" s="2894" t="e">
        <f t="shared" si="4"/>
        <v>#N/A</v>
      </c>
      <c r="O374" s="1684" t="e">
        <v>#N/A</v>
      </c>
      <c r="P374" s="1684" t="e">
        <v>#N/A</v>
      </c>
      <c r="Q374" s="255" t="e">
        <v>#N/A</v>
      </c>
    </row>
    <row r="375" spans="1:17">
      <c r="A375" s="134">
        <f t="shared" si="5"/>
        <v>2024.06</v>
      </c>
      <c r="B375" s="120" t="e">
        <v>#N/A</v>
      </c>
      <c r="C375" s="1684" t="e">
        <v>#N/A</v>
      </c>
      <c r="D375" s="255" t="e">
        <v>#N/A</v>
      </c>
      <c r="E375" s="1686" t="e">
        <v>#N/A</v>
      </c>
      <c r="F375" s="1684" t="e">
        <v>#N/A</v>
      </c>
      <c r="G375" s="255" t="e">
        <v>#N/A</v>
      </c>
      <c r="H375" s="1686" t="e">
        <v>#N/A</v>
      </c>
      <c r="I375" s="1684" t="e">
        <v>#N/A</v>
      </c>
      <c r="J375" s="255" t="e">
        <v>#N/A</v>
      </c>
      <c r="K375" s="1686" t="e">
        <v>#N/A</v>
      </c>
      <c r="L375" s="1684" t="e">
        <v>#N/A</v>
      </c>
      <c r="M375" s="1895" t="e">
        <v>#N/A</v>
      </c>
      <c r="N375" s="2894" t="e">
        <f t="shared" si="4"/>
        <v>#N/A</v>
      </c>
      <c r="O375" s="1684" t="e">
        <v>#N/A</v>
      </c>
      <c r="P375" s="1684" t="e">
        <v>#N/A</v>
      </c>
      <c r="Q375" s="255" t="e">
        <v>#N/A</v>
      </c>
    </row>
    <row r="376" spans="1:17">
      <c r="A376" s="134">
        <f t="shared" si="5"/>
        <v>2024.07</v>
      </c>
      <c r="B376" s="120" t="e">
        <v>#N/A</v>
      </c>
      <c r="C376" s="1684" t="e">
        <v>#N/A</v>
      </c>
      <c r="D376" s="255" t="e">
        <v>#N/A</v>
      </c>
      <c r="E376" s="1686" t="e">
        <v>#N/A</v>
      </c>
      <c r="F376" s="1684" t="e">
        <v>#N/A</v>
      </c>
      <c r="G376" s="255" t="e">
        <v>#N/A</v>
      </c>
      <c r="H376" s="1686" t="e">
        <v>#N/A</v>
      </c>
      <c r="I376" s="1684" t="e">
        <v>#N/A</v>
      </c>
      <c r="J376" s="255" t="e">
        <v>#N/A</v>
      </c>
      <c r="K376" s="1686" t="e">
        <v>#N/A</v>
      </c>
      <c r="L376" s="1684" t="e">
        <v>#N/A</v>
      </c>
      <c r="M376" s="1895" t="e">
        <v>#N/A</v>
      </c>
      <c r="N376" s="2894" t="e">
        <f t="shared" si="4"/>
        <v>#N/A</v>
      </c>
      <c r="O376" s="1684" t="e">
        <v>#N/A</v>
      </c>
      <c r="P376" s="1684" t="e">
        <v>#N/A</v>
      </c>
      <c r="Q376" s="255" t="e">
        <v>#N/A</v>
      </c>
    </row>
    <row r="377" spans="1:17">
      <c r="A377" s="134">
        <f t="shared" si="5"/>
        <v>2024.08</v>
      </c>
      <c r="B377" s="120" t="e">
        <v>#N/A</v>
      </c>
      <c r="C377" s="1684" t="e">
        <v>#N/A</v>
      </c>
      <c r="D377" s="255" t="e">
        <v>#N/A</v>
      </c>
      <c r="E377" s="1686" t="e">
        <v>#N/A</v>
      </c>
      <c r="F377" s="1684" t="e">
        <v>#N/A</v>
      </c>
      <c r="G377" s="255" t="e">
        <v>#N/A</v>
      </c>
      <c r="H377" s="1686" t="e">
        <v>#N/A</v>
      </c>
      <c r="I377" s="1684" t="e">
        <v>#N/A</v>
      </c>
      <c r="J377" s="255" t="e">
        <v>#N/A</v>
      </c>
      <c r="K377" s="1686" t="e">
        <v>#N/A</v>
      </c>
      <c r="L377" s="1684" t="e">
        <v>#N/A</v>
      </c>
      <c r="M377" s="1895" t="e">
        <v>#N/A</v>
      </c>
      <c r="N377" s="2894" t="e">
        <f t="shared" si="4"/>
        <v>#N/A</v>
      </c>
      <c r="O377" s="1684" t="e">
        <v>#N/A</v>
      </c>
      <c r="P377" s="1684" t="e">
        <v>#N/A</v>
      </c>
      <c r="Q377" s="255" t="e">
        <v>#N/A</v>
      </c>
    </row>
    <row r="378" spans="1:17">
      <c r="A378" s="134">
        <f t="shared" si="5"/>
        <v>2024.09</v>
      </c>
      <c r="B378" s="120" t="e">
        <v>#N/A</v>
      </c>
      <c r="C378" s="1684" t="e">
        <v>#N/A</v>
      </c>
      <c r="D378" s="255" t="e">
        <v>#N/A</v>
      </c>
      <c r="E378" s="1686" t="e">
        <v>#N/A</v>
      </c>
      <c r="F378" s="1684" t="e">
        <v>#N/A</v>
      </c>
      <c r="G378" s="255" t="e">
        <v>#N/A</v>
      </c>
      <c r="H378" s="1686" t="e">
        <v>#N/A</v>
      </c>
      <c r="I378" s="1684" t="e">
        <v>#N/A</v>
      </c>
      <c r="J378" s="255" t="e">
        <v>#N/A</v>
      </c>
      <c r="K378" s="1686" t="e">
        <v>#N/A</v>
      </c>
      <c r="L378" s="1684" t="e">
        <v>#N/A</v>
      </c>
      <c r="M378" s="1895" t="e">
        <v>#N/A</v>
      </c>
      <c r="N378" s="2894" t="e">
        <f t="shared" si="4"/>
        <v>#N/A</v>
      </c>
      <c r="O378" s="1684" t="e">
        <v>#N/A</v>
      </c>
      <c r="P378" s="1684" t="e">
        <v>#N/A</v>
      </c>
      <c r="Q378" s="255" t="e">
        <v>#N/A</v>
      </c>
    </row>
    <row r="379" spans="1:17">
      <c r="A379" s="134">
        <f t="shared" si="5"/>
        <v>2024.1</v>
      </c>
      <c r="B379" s="120" t="e">
        <v>#N/A</v>
      </c>
      <c r="C379" s="1684" t="e">
        <v>#N/A</v>
      </c>
      <c r="D379" s="255" t="e">
        <v>#N/A</v>
      </c>
      <c r="E379" s="1686" t="e">
        <v>#N/A</v>
      </c>
      <c r="F379" s="1684" t="e">
        <v>#N/A</v>
      </c>
      <c r="G379" s="255" t="e">
        <v>#N/A</v>
      </c>
      <c r="H379" s="1686" t="e">
        <v>#N/A</v>
      </c>
      <c r="I379" s="1684" t="e">
        <v>#N/A</v>
      </c>
      <c r="J379" s="255" t="e">
        <v>#N/A</v>
      </c>
      <c r="K379" s="1686" t="e">
        <v>#N/A</v>
      </c>
      <c r="L379" s="1684" t="e">
        <v>#N/A</v>
      </c>
      <c r="M379" s="1895" t="e">
        <v>#N/A</v>
      </c>
      <c r="N379" s="2894" t="e">
        <f t="shared" ref="N379:N442" si="6">SUM(O379:Q379)</f>
        <v>#N/A</v>
      </c>
      <c r="O379" s="1684" t="e">
        <v>#N/A</v>
      </c>
      <c r="P379" s="1684" t="e">
        <v>#N/A</v>
      </c>
      <c r="Q379" s="255" t="e">
        <v>#N/A</v>
      </c>
    </row>
    <row r="380" spans="1:17">
      <c r="A380" s="134">
        <f t="shared" si="5"/>
        <v>2024.11</v>
      </c>
      <c r="B380" s="120" t="e">
        <v>#N/A</v>
      </c>
      <c r="C380" s="1684" t="e">
        <v>#N/A</v>
      </c>
      <c r="D380" s="255" t="e">
        <v>#N/A</v>
      </c>
      <c r="E380" s="1686" t="e">
        <v>#N/A</v>
      </c>
      <c r="F380" s="1684" t="e">
        <v>#N/A</v>
      </c>
      <c r="G380" s="255" t="e">
        <v>#N/A</v>
      </c>
      <c r="H380" s="1686" t="e">
        <v>#N/A</v>
      </c>
      <c r="I380" s="1684" t="e">
        <v>#N/A</v>
      </c>
      <c r="J380" s="255" t="e">
        <v>#N/A</v>
      </c>
      <c r="K380" s="1686" t="e">
        <v>#N/A</v>
      </c>
      <c r="L380" s="1684" t="e">
        <v>#N/A</v>
      </c>
      <c r="M380" s="1895" t="e">
        <v>#N/A</v>
      </c>
      <c r="N380" s="2894" t="e">
        <f t="shared" si="6"/>
        <v>#N/A</v>
      </c>
      <c r="O380" s="1684" t="e">
        <v>#N/A</v>
      </c>
      <c r="P380" s="1684" t="e">
        <v>#N/A</v>
      </c>
      <c r="Q380" s="255" t="e">
        <v>#N/A</v>
      </c>
    </row>
    <row r="381" spans="1:17">
      <c r="A381" s="134">
        <f t="shared" si="5"/>
        <v>2024.12</v>
      </c>
      <c r="B381" s="120" t="e">
        <v>#N/A</v>
      </c>
      <c r="C381" s="1684" t="e">
        <v>#N/A</v>
      </c>
      <c r="D381" s="255" t="e">
        <v>#N/A</v>
      </c>
      <c r="E381" s="1686" t="e">
        <v>#N/A</v>
      </c>
      <c r="F381" s="1684" t="e">
        <v>#N/A</v>
      </c>
      <c r="G381" s="255" t="e">
        <v>#N/A</v>
      </c>
      <c r="H381" s="1686" t="e">
        <v>#N/A</v>
      </c>
      <c r="I381" s="1684" t="e">
        <v>#N/A</v>
      </c>
      <c r="J381" s="255" t="e">
        <v>#N/A</v>
      </c>
      <c r="K381" s="1686" t="e">
        <v>#N/A</v>
      </c>
      <c r="L381" s="1684" t="e">
        <v>#N/A</v>
      </c>
      <c r="M381" s="1895" t="e">
        <v>#N/A</v>
      </c>
      <c r="N381" s="2894" t="e">
        <f t="shared" si="6"/>
        <v>#N/A</v>
      </c>
      <c r="O381" s="1684" t="e">
        <v>#N/A</v>
      </c>
      <c r="P381" s="1684" t="e">
        <v>#N/A</v>
      </c>
      <c r="Q381" s="255" t="e">
        <v>#N/A</v>
      </c>
    </row>
    <row r="382" spans="1:17">
      <c r="A382" s="134">
        <f t="shared" si="5"/>
        <v>2025.01</v>
      </c>
      <c r="B382" s="120" t="e">
        <v>#N/A</v>
      </c>
      <c r="C382" s="1684" t="e">
        <v>#N/A</v>
      </c>
      <c r="D382" s="255" t="e">
        <v>#N/A</v>
      </c>
      <c r="E382" s="1686" t="e">
        <v>#N/A</v>
      </c>
      <c r="F382" s="1684" t="e">
        <v>#N/A</v>
      </c>
      <c r="G382" s="255" t="e">
        <v>#N/A</v>
      </c>
      <c r="H382" s="1686" t="e">
        <v>#N/A</v>
      </c>
      <c r="I382" s="1684" t="e">
        <v>#N/A</v>
      </c>
      <c r="J382" s="255" t="e">
        <v>#N/A</v>
      </c>
      <c r="K382" s="1686" t="e">
        <v>#N/A</v>
      </c>
      <c r="L382" s="1684" t="e">
        <v>#N/A</v>
      </c>
      <c r="M382" s="1895" t="e">
        <v>#N/A</v>
      </c>
      <c r="N382" s="2894" t="e">
        <f t="shared" si="6"/>
        <v>#N/A</v>
      </c>
      <c r="O382" s="1684" t="e">
        <v>#N/A</v>
      </c>
      <c r="P382" s="1684" t="e">
        <v>#N/A</v>
      </c>
      <c r="Q382" s="255" t="e">
        <v>#N/A</v>
      </c>
    </row>
    <row r="383" spans="1:17">
      <c r="A383" s="134">
        <f t="shared" si="5"/>
        <v>2025.02</v>
      </c>
      <c r="B383" s="120" t="e">
        <v>#N/A</v>
      </c>
      <c r="C383" s="1684" t="e">
        <v>#N/A</v>
      </c>
      <c r="D383" s="255" t="e">
        <v>#N/A</v>
      </c>
      <c r="E383" s="1686" t="e">
        <v>#N/A</v>
      </c>
      <c r="F383" s="1684" t="e">
        <v>#N/A</v>
      </c>
      <c r="G383" s="255" t="e">
        <v>#N/A</v>
      </c>
      <c r="H383" s="1686" t="e">
        <v>#N/A</v>
      </c>
      <c r="I383" s="1684" t="e">
        <v>#N/A</v>
      </c>
      <c r="J383" s="255" t="e">
        <v>#N/A</v>
      </c>
      <c r="K383" s="1686" t="e">
        <v>#N/A</v>
      </c>
      <c r="L383" s="1684" t="e">
        <v>#N/A</v>
      </c>
      <c r="M383" s="1895" t="e">
        <v>#N/A</v>
      </c>
      <c r="N383" s="2894" t="e">
        <f t="shared" si="6"/>
        <v>#N/A</v>
      </c>
      <c r="O383" s="1684" t="e">
        <v>#N/A</v>
      </c>
      <c r="P383" s="1684" t="e">
        <v>#N/A</v>
      </c>
      <c r="Q383" s="255" t="e">
        <v>#N/A</v>
      </c>
    </row>
    <row r="384" spans="1:17">
      <c r="A384" s="134">
        <f t="shared" si="5"/>
        <v>2025.03</v>
      </c>
      <c r="B384" s="120" t="e">
        <v>#N/A</v>
      </c>
      <c r="C384" s="1684" t="e">
        <v>#N/A</v>
      </c>
      <c r="D384" s="255" t="e">
        <v>#N/A</v>
      </c>
      <c r="E384" s="1686" t="e">
        <v>#N/A</v>
      </c>
      <c r="F384" s="1684" t="e">
        <v>#N/A</v>
      </c>
      <c r="G384" s="255" t="e">
        <v>#N/A</v>
      </c>
      <c r="H384" s="1686" t="e">
        <v>#N/A</v>
      </c>
      <c r="I384" s="1684" t="e">
        <v>#N/A</v>
      </c>
      <c r="J384" s="255" t="e">
        <v>#N/A</v>
      </c>
      <c r="K384" s="1686" t="e">
        <v>#N/A</v>
      </c>
      <c r="L384" s="1684" t="e">
        <v>#N/A</v>
      </c>
      <c r="M384" s="1895" t="e">
        <v>#N/A</v>
      </c>
      <c r="N384" s="2894" t="e">
        <f t="shared" si="6"/>
        <v>#N/A</v>
      </c>
      <c r="O384" s="1684" t="e">
        <v>#N/A</v>
      </c>
      <c r="P384" s="1684" t="e">
        <v>#N/A</v>
      </c>
      <c r="Q384" s="255" t="e">
        <v>#N/A</v>
      </c>
    </row>
    <row r="385" spans="1:17">
      <c r="A385" s="134">
        <f t="shared" si="5"/>
        <v>2025.04</v>
      </c>
      <c r="B385" s="120" t="e">
        <v>#N/A</v>
      </c>
      <c r="C385" s="1684" t="e">
        <v>#N/A</v>
      </c>
      <c r="D385" s="255" t="e">
        <v>#N/A</v>
      </c>
      <c r="E385" s="1686" t="e">
        <v>#N/A</v>
      </c>
      <c r="F385" s="1684" t="e">
        <v>#N/A</v>
      </c>
      <c r="G385" s="255" t="e">
        <v>#N/A</v>
      </c>
      <c r="H385" s="1686" t="e">
        <v>#N/A</v>
      </c>
      <c r="I385" s="1684" t="e">
        <v>#N/A</v>
      </c>
      <c r="J385" s="255" t="e">
        <v>#N/A</v>
      </c>
      <c r="K385" s="1686" t="e">
        <v>#N/A</v>
      </c>
      <c r="L385" s="1684" t="e">
        <v>#N/A</v>
      </c>
      <c r="M385" s="1895" t="e">
        <v>#N/A</v>
      </c>
      <c r="N385" s="2894" t="e">
        <f t="shared" si="6"/>
        <v>#N/A</v>
      </c>
      <c r="O385" s="1684" t="e">
        <v>#N/A</v>
      </c>
      <c r="P385" s="1684" t="e">
        <v>#N/A</v>
      </c>
      <c r="Q385" s="255" t="e">
        <v>#N/A</v>
      </c>
    </row>
    <row r="386" spans="1:17">
      <c r="A386" s="134">
        <f t="shared" si="5"/>
        <v>2025.05</v>
      </c>
      <c r="B386" s="120" t="e">
        <v>#N/A</v>
      </c>
      <c r="C386" s="1684" t="e">
        <v>#N/A</v>
      </c>
      <c r="D386" s="255" t="e">
        <v>#N/A</v>
      </c>
      <c r="E386" s="1686" t="e">
        <v>#N/A</v>
      </c>
      <c r="F386" s="1684" t="e">
        <v>#N/A</v>
      </c>
      <c r="G386" s="255" t="e">
        <v>#N/A</v>
      </c>
      <c r="H386" s="1686" t="e">
        <v>#N/A</v>
      </c>
      <c r="I386" s="1684" t="e">
        <v>#N/A</v>
      </c>
      <c r="J386" s="255" t="e">
        <v>#N/A</v>
      </c>
      <c r="K386" s="1686" t="e">
        <v>#N/A</v>
      </c>
      <c r="L386" s="1684" t="e">
        <v>#N/A</v>
      </c>
      <c r="M386" s="1895" t="e">
        <v>#N/A</v>
      </c>
      <c r="N386" s="2894" t="e">
        <f t="shared" si="6"/>
        <v>#N/A</v>
      </c>
      <c r="O386" s="1684" t="e">
        <v>#N/A</v>
      </c>
      <c r="P386" s="1684" t="e">
        <v>#N/A</v>
      </c>
      <c r="Q386" s="255" t="e">
        <v>#N/A</v>
      </c>
    </row>
    <row r="387" spans="1:17">
      <c r="A387" s="134">
        <f t="shared" si="5"/>
        <v>2025.06</v>
      </c>
      <c r="B387" s="120" t="e">
        <v>#N/A</v>
      </c>
      <c r="C387" s="1684" t="e">
        <v>#N/A</v>
      </c>
      <c r="D387" s="255" t="e">
        <v>#N/A</v>
      </c>
      <c r="E387" s="1686" t="e">
        <v>#N/A</v>
      </c>
      <c r="F387" s="1684" t="e">
        <v>#N/A</v>
      </c>
      <c r="G387" s="255" t="e">
        <v>#N/A</v>
      </c>
      <c r="H387" s="1686" t="e">
        <v>#N/A</v>
      </c>
      <c r="I387" s="1684" t="e">
        <v>#N/A</v>
      </c>
      <c r="J387" s="255" t="e">
        <v>#N/A</v>
      </c>
      <c r="K387" s="1686" t="e">
        <v>#N/A</v>
      </c>
      <c r="L387" s="1684" t="e">
        <v>#N/A</v>
      </c>
      <c r="M387" s="1895" t="e">
        <v>#N/A</v>
      </c>
      <c r="N387" s="2894" t="e">
        <f t="shared" si="6"/>
        <v>#N/A</v>
      </c>
      <c r="O387" s="1684" t="e">
        <v>#N/A</v>
      </c>
      <c r="P387" s="1684" t="e">
        <v>#N/A</v>
      </c>
      <c r="Q387" s="255" t="e">
        <v>#N/A</v>
      </c>
    </row>
    <row r="388" spans="1:17">
      <c r="A388" s="134">
        <f t="shared" si="5"/>
        <v>2025.07</v>
      </c>
      <c r="B388" s="120" t="e">
        <v>#N/A</v>
      </c>
      <c r="C388" s="1684" t="e">
        <v>#N/A</v>
      </c>
      <c r="D388" s="255" t="e">
        <v>#N/A</v>
      </c>
      <c r="E388" s="1686" t="e">
        <v>#N/A</v>
      </c>
      <c r="F388" s="1684" t="e">
        <v>#N/A</v>
      </c>
      <c r="G388" s="255" t="e">
        <v>#N/A</v>
      </c>
      <c r="H388" s="1686" t="e">
        <v>#N/A</v>
      </c>
      <c r="I388" s="1684" t="e">
        <v>#N/A</v>
      </c>
      <c r="J388" s="255" t="e">
        <v>#N/A</v>
      </c>
      <c r="K388" s="1686" t="e">
        <v>#N/A</v>
      </c>
      <c r="L388" s="1684" t="e">
        <v>#N/A</v>
      </c>
      <c r="M388" s="1895" t="e">
        <v>#N/A</v>
      </c>
      <c r="N388" s="2894" t="e">
        <f t="shared" si="6"/>
        <v>#N/A</v>
      </c>
      <c r="O388" s="1684" t="e">
        <v>#N/A</v>
      </c>
      <c r="P388" s="1684" t="e">
        <v>#N/A</v>
      </c>
      <c r="Q388" s="255" t="e">
        <v>#N/A</v>
      </c>
    </row>
    <row r="389" spans="1:17">
      <c r="A389" s="134">
        <f t="shared" si="5"/>
        <v>2025.08</v>
      </c>
      <c r="B389" s="120" t="e">
        <v>#N/A</v>
      </c>
      <c r="C389" s="1684" t="e">
        <v>#N/A</v>
      </c>
      <c r="D389" s="255" t="e">
        <v>#N/A</v>
      </c>
      <c r="E389" s="1686" t="e">
        <v>#N/A</v>
      </c>
      <c r="F389" s="1684" t="e">
        <v>#N/A</v>
      </c>
      <c r="G389" s="255" t="e">
        <v>#N/A</v>
      </c>
      <c r="H389" s="1686" t="e">
        <v>#N/A</v>
      </c>
      <c r="I389" s="1684" t="e">
        <v>#N/A</v>
      </c>
      <c r="J389" s="255" t="e">
        <v>#N/A</v>
      </c>
      <c r="K389" s="1686" t="e">
        <v>#N/A</v>
      </c>
      <c r="L389" s="1684" t="e">
        <v>#N/A</v>
      </c>
      <c r="M389" s="1895" t="e">
        <v>#N/A</v>
      </c>
      <c r="N389" s="2894" t="e">
        <f t="shared" si="6"/>
        <v>#N/A</v>
      </c>
      <c r="O389" s="1684" t="e">
        <v>#N/A</v>
      </c>
      <c r="P389" s="1684" t="e">
        <v>#N/A</v>
      </c>
      <c r="Q389" s="255" t="e">
        <v>#N/A</v>
      </c>
    </row>
    <row r="390" spans="1:17">
      <c r="A390" s="134">
        <f t="shared" si="5"/>
        <v>2025.09</v>
      </c>
      <c r="B390" s="120" t="e">
        <v>#N/A</v>
      </c>
      <c r="C390" s="1684" t="e">
        <v>#N/A</v>
      </c>
      <c r="D390" s="255" t="e">
        <v>#N/A</v>
      </c>
      <c r="E390" s="1686" t="e">
        <v>#N/A</v>
      </c>
      <c r="F390" s="1684" t="e">
        <v>#N/A</v>
      </c>
      <c r="G390" s="255" t="e">
        <v>#N/A</v>
      </c>
      <c r="H390" s="1686" t="e">
        <v>#N/A</v>
      </c>
      <c r="I390" s="1684" t="e">
        <v>#N/A</v>
      </c>
      <c r="J390" s="255" t="e">
        <v>#N/A</v>
      </c>
      <c r="K390" s="1686" t="e">
        <v>#N/A</v>
      </c>
      <c r="L390" s="1684" t="e">
        <v>#N/A</v>
      </c>
      <c r="M390" s="1895" t="e">
        <v>#N/A</v>
      </c>
      <c r="N390" s="2894" t="e">
        <f t="shared" si="6"/>
        <v>#N/A</v>
      </c>
      <c r="O390" s="1684" t="e">
        <v>#N/A</v>
      </c>
      <c r="P390" s="1684" t="e">
        <v>#N/A</v>
      </c>
      <c r="Q390" s="255" t="e">
        <v>#N/A</v>
      </c>
    </row>
    <row r="391" spans="1:17">
      <c r="A391" s="134">
        <f t="shared" ref="A391:A453" si="7">A379+1</f>
        <v>2025.1</v>
      </c>
      <c r="B391" s="120" t="e">
        <v>#N/A</v>
      </c>
      <c r="C391" s="1684" t="e">
        <v>#N/A</v>
      </c>
      <c r="D391" s="255" t="e">
        <v>#N/A</v>
      </c>
      <c r="E391" s="1686" t="e">
        <v>#N/A</v>
      </c>
      <c r="F391" s="1684" t="e">
        <v>#N/A</v>
      </c>
      <c r="G391" s="255" t="e">
        <v>#N/A</v>
      </c>
      <c r="H391" s="1686" t="e">
        <v>#N/A</v>
      </c>
      <c r="I391" s="1684" t="e">
        <v>#N/A</v>
      </c>
      <c r="J391" s="255" t="e">
        <v>#N/A</v>
      </c>
      <c r="K391" s="1686" t="e">
        <v>#N/A</v>
      </c>
      <c r="L391" s="1684" t="e">
        <v>#N/A</v>
      </c>
      <c r="M391" s="1895" t="e">
        <v>#N/A</v>
      </c>
      <c r="N391" s="2894" t="e">
        <f t="shared" si="6"/>
        <v>#N/A</v>
      </c>
      <c r="O391" s="1684" t="e">
        <v>#N/A</v>
      </c>
      <c r="P391" s="1684" t="e">
        <v>#N/A</v>
      </c>
      <c r="Q391" s="255" t="e">
        <v>#N/A</v>
      </c>
    </row>
    <row r="392" spans="1:17">
      <c r="A392" s="134">
        <f t="shared" si="7"/>
        <v>2025.11</v>
      </c>
      <c r="B392" s="120" t="e">
        <v>#N/A</v>
      </c>
      <c r="C392" s="1684" t="e">
        <v>#N/A</v>
      </c>
      <c r="D392" s="255" t="e">
        <v>#N/A</v>
      </c>
      <c r="E392" s="1686" t="e">
        <v>#N/A</v>
      </c>
      <c r="F392" s="1684" t="e">
        <v>#N/A</v>
      </c>
      <c r="G392" s="255" t="e">
        <v>#N/A</v>
      </c>
      <c r="H392" s="1686" t="e">
        <v>#N/A</v>
      </c>
      <c r="I392" s="1684" t="e">
        <v>#N/A</v>
      </c>
      <c r="J392" s="255" t="e">
        <v>#N/A</v>
      </c>
      <c r="K392" s="1686" t="e">
        <v>#N/A</v>
      </c>
      <c r="L392" s="1684" t="e">
        <v>#N/A</v>
      </c>
      <c r="M392" s="1895" t="e">
        <v>#N/A</v>
      </c>
      <c r="N392" s="2894" t="e">
        <f t="shared" si="6"/>
        <v>#N/A</v>
      </c>
      <c r="O392" s="1684" t="e">
        <v>#N/A</v>
      </c>
      <c r="P392" s="1684" t="e">
        <v>#N/A</v>
      </c>
      <c r="Q392" s="255" t="e">
        <v>#N/A</v>
      </c>
    </row>
    <row r="393" spans="1:17">
      <c r="A393" s="134">
        <f t="shared" si="7"/>
        <v>2025.12</v>
      </c>
      <c r="B393" s="120" t="e">
        <v>#N/A</v>
      </c>
      <c r="C393" s="1684" t="e">
        <v>#N/A</v>
      </c>
      <c r="D393" s="255" t="e">
        <v>#N/A</v>
      </c>
      <c r="E393" s="1686" t="e">
        <v>#N/A</v>
      </c>
      <c r="F393" s="1684" t="e">
        <v>#N/A</v>
      </c>
      <c r="G393" s="255" t="e">
        <v>#N/A</v>
      </c>
      <c r="H393" s="1686" t="e">
        <v>#N/A</v>
      </c>
      <c r="I393" s="1684" t="e">
        <v>#N/A</v>
      </c>
      <c r="J393" s="255" t="e">
        <v>#N/A</v>
      </c>
      <c r="K393" s="1686" t="e">
        <v>#N/A</v>
      </c>
      <c r="L393" s="1684" t="e">
        <v>#N/A</v>
      </c>
      <c r="M393" s="1895" t="e">
        <v>#N/A</v>
      </c>
      <c r="N393" s="2894" t="e">
        <f t="shared" si="6"/>
        <v>#N/A</v>
      </c>
      <c r="O393" s="1684" t="e">
        <v>#N/A</v>
      </c>
      <c r="P393" s="1684" t="e">
        <v>#N/A</v>
      </c>
      <c r="Q393" s="255" t="e">
        <v>#N/A</v>
      </c>
    </row>
    <row r="394" spans="1:17">
      <c r="A394" s="134">
        <f t="shared" si="7"/>
        <v>2026.01</v>
      </c>
      <c r="B394" s="120" t="e">
        <v>#N/A</v>
      </c>
      <c r="C394" s="1684" t="e">
        <v>#N/A</v>
      </c>
      <c r="D394" s="255" t="e">
        <v>#N/A</v>
      </c>
      <c r="E394" s="1686" t="e">
        <v>#N/A</v>
      </c>
      <c r="F394" s="1684" t="e">
        <v>#N/A</v>
      </c>
      <c r="G394" s="255" t="e">
        <v>#N/A</v>
      </c>
      <c r="H394" s="1686" t="e">
        <v>#N/A</v>
      </c>
      <c r="I394" s="1684" t="e">
        <v>#N/A</v>
      </c>
      <c r="J394" s="255" t="e">
        <v>#N/A</v>
      </c>
      <c r="K394" s="1686" t="e">
        <v>#N/A</v>
      </c>
      <c r="L394" s="1684" t="e">
        <v>#N/A</v>
      </c>
      <c r="M394" s="1895" t="e">
        <v>#N/A</v>
      </c>
      <c r="N394" s="2894" t="e">
        <f t="shared" si="6"/>
        <v>#N/A</v>
      </c>
      <c r="O394" s="1684" t="e">
        <v>#N/A</v>
      </c>
      <c r="P394" s="1684" t="e">
        <v>#N/A</v>
      </c>
      <c r="Q394" s="255" t="e">
        <v>#N/A</v>
      </c>
    </row>
    <row r="395" spans="1:17">
      <c r="A395" s="134">
        <f t="shared" si="7"/>
        <v>2026.02</v>
      </c>
      <c r="B395" s="120" t="e">
        <v>#N/A</v>
      </c>
      <c r="C395" s="1684" t="e">
        <v>#N/A</v>
      </c>
      <c r="D395" s="255" t="e">
        <v>#N/A</v>
      </c>
      <c r="E395" s="1686" t="e">
        <v>#N/A</v>
      </c>
      <c r="F395" s="1684" t="e">
        <v>#N/A</v>
      </c>
      <c r="G395" s="255" t="e">
        <v>#N/A</v>
      </c>
      <c r="H395" s="1686" t="e">
        <v>#N/A</v>
      </c>
      <c r="I395" s="1684" t="e">
        <v>#N/A</v>
      </c>
      <c r="J395" s="255" t="e">
        <v>#N/A</v>
      </c>
      <c r="K395" s="1686" t="e">
        <v>#N/A</v>
      </c>
      <c r="L395" s="1684" t="e">
        <v>#N/A</v>
      </c>
      <c r="M395" s="1895" t="e">
        <v>#N/A</v>
      </c>
      <c r="N395" s="2894" t="e">
        <f t="shared" si="6"/>
        <v>#N/A</v>
      </c>
      <c r="O395" s="1684" t="e">
        <v>#N/A</v>
      </c>
      <c r="P395" s="1684" t="e">
        <v>#N/A</v>
      </c>
      <c r="Q395" s="255" t="e">
        <v>#N/A</v>
      </c>
    </row>
    <row r="396" spans="1:17">
      <c r="A396" s="134">
        <f t="shared" si="7"/>
        <v>2026.03</v>
      </c>
      <c r="B396" s="120" t="e">
        <v>#N/A</v>
      </c>
      <c r="C396" s="1684" t="e">
        <v>#N/A</v>
      </c>
      <c r="D396" s="255" t="e">
        <v>#N/A</v>
      </c>
      <c r="E396" s="1686" t="e">
        <v>#N/A</v>
      </c>
      <c r="F396" s="1684" t="e">
        <v>#N/A</v>
      </c>
      <c r="G396" s="255" t="e">
        <v>#N/A</v>
      </c>
      <c r="H396" s="1686" t="e">
        <v>#N/A</v>
      </c>
      <c r="I396" s="1684" t="e">
        <v>#N/A</v>
      </c>
      <c r="J396" s="255" t="e">
        <v>#N/A</v>
      </c>
      <c r="K396" s="1686" t="e">
        <v>#N/A</v>
      </c>
      <c r="L396" s="1684" t="e">
        <v>#N/A</v>
      </c>
      <c r="M396" s="1895" t="e">
        <v>#N/A</v>
      </c>
      <c r="N396" s="2894" t="e">
        <f t="shared" si="6"/>
        <v>#N/A</v>
      </c>
      <c r="O396" s="1684" t="e">
        <v>#N/A</v>
      </c>
      <c r="P396" s="1684" t="e">
        <v>#N/A</v>
      </c>
      <c r="Q396" s="255" t="e">
        <v>#N/A</v>
      </c>
    </row>
    <row r="397" spans="1:17">
      <c r="A397" s="134">
        <f t="shared" si="7"/>
        <v>2026.04</v>
      </c>
      <c r="B397" s="120" t="e">
        <v>#N/A</v>
      </c>
      <c r="C397" s="1684" t="e">
        <v>#N/A</v>
      </c>
      <c r="D397" s="255" t="e">
        <v>#N/A</v>
      </c>
      <c r="E397" s="1686" t="e">
        <v>#N/A</v>
      </c>
      <c r="F397" s="1684" t="e">
        <v>#N/A</v>
      </c>
      <c r="G397" s="255" t="e">
        <v>#N/A</v>
      </c>
      <c r="H397" s="1686" t="e">
        <v>#N/A</v>
      </c>
      <c r="I397" s="1684" t="e">
        <v>#N/A</v>
      </c>
      <c r="J397" s="255" t="e">
        <v>#N/A</v>
      </c>
      <c r="K397" s="1686" t="e">
        <v>#N/A</v>
      </c>
      <c r="L397" s="1684" t="e">
        <v>#N/A</v>
      </c>
      <c r="M397" s="1895" t="e">
        <v>#N/A</v>
      </c>
      <c r="N397" s="2894" t="e">
        <f t="shared" si="6"/>
        <v>#N/A</v>
      </c>
      <c r="O397" s="1684" t="e">
        <v>#N/A</v>
      </c>
      <c r="P397" s="1684" t="e">
        <v>#N/A</v>
      </c>
      <c r="Q397" s="255" t="e">
        <v>#N/A</v>
      </c>
    </row>
    <row r="398" spans="1:17">
      <c r="A398" s="134">
        <f t="shared" si="7"/>
        <v>2026.05</v>
      </c>
      <c r="B398" s="120" t="e">
        <v>#N/A</v>
      </c>
      <c r="C398" s="1684" t="e">
        <v>#N/A</v>
      </c>
      <c r="D398" s="255" t="e">
        <v>#N/A</v>
      </c>
      <c r="E398" s="1686" t="e">
        <v>#N/A</v>
      </c>
      <c r="F398" s="1684" t="e">
        <v>#N/A</v>
      </c>
      <c r="G398" s="255" t="e">
        <v>#N/A</v>
      </c>
      <c r="H398" s="1686" t="e">
        <v>#N/A</v>
      </c>
      <c r="I398" s="1684" t="e">
        <v>#N/A</v>
      </c>
      <c r="J398" s="255" t="e">
        <v>#N/A</v>
      </c>
      <c r="K398" s="1686" t="e">
        <v>#N/A</v>
      </c>
      <c r="L398" s="1684" t="e">
        <v>#N/A</v>
      </c>
      <c r="M398" s="1895" t="e">
        <v>#N/A</v>
      </c>
      <c r="N398" s="2894" t="e">
        <f t="shared" si="6"/>
        <v>#N/A</v>
      </c>
      <c r="O398" s="1684" t="e">
        <v>#N/A</v>
      </c>
      <c r="P398" s="1684" t="e">
        <v>#N/A</v>
      </c>
      <c r="Q398" s="255" t="e">
        <v>#N/A</v>
      </c>
    </row>
    <row r="399" spans="1:17">
      <c r="A399" s="134">
        <f t="shared" si="7"/>
        <v>2026.06</v>
      </c>
      <c r="B399" s="120" t="e">
        <v>#N/A</v>
      </c>
      <c r="C399" s="1684" t="e">
        <v>#N/A</v>
      </c>
      <c r="D399" s="255" t="e">
        <v>#N/A</v>
      </c>
      <c r="E399" s="1686" t="e">
        <v>#N/A</v>
      </c>
      <c r="F399" s="1684" t="e">
        <v>#N/A</v>
      </c>
      <c r="G399" s="255" t="e">
        <v>#N/A</v>
      </c>
      <c r="H399" s="1686" t="e">
        <v>#N/A</v>
      </c>
      <c r="I399" s="1684" t="e">
        <v>#N/A</v>
      </c>
      <c r="J399" s="255" t="e">
        <v>#N/A</v>
      </c>
      <c r="K399" s="1686" t="e">
        <v>#N/A</v>
      </c>
      <c r="L399" s="1684" t="e">
        <v>#N/A</v>
      </c>
      <c r="M399" s="1895" t="e">
        <v>#N/A</v>
      </c>
      <c r="N399" s="2894" t="e">
        <f t="shared" si="6"/>
        <v>#N/A</v>
      </c>
      <c r="O399" s="1684" t="e">
        <v>#N/A</v>
      </c>
      <c r="P399" s="1684" t="e">
        <v>#N/A</v>
      </c>
      <c r="Q399" s="255" t="e">
        <v>#N/A</v>
      </c>
    </row>
    <row r="400" spans="1:17">
      <c r="A400" s="134">
        <f t="shared" si="7"/>
        <v>2026.07</v>
      </c>
      <c r="B400" s="120" t="e">
        <v>#N/A</v>
      </c>
      <c r="C400" s="1684" t="e">
        <v>#N/A</v>
      </c>
      <c r="D400" s="255" t="e">
        <v>#N/A</v>
      </c>
      <c r="E400" s="1686" t="e">
        <v>#N/A</v>
      </c>
      <c r="F400" s="1684" t="e">
        <v>#N/A</v>
      </c>
      <c r="G400" s="255" t="e">
        <v>#N/A</v>
      </c>
      <c r="H400" s="1686" t="e">
        <v>#N/A</v>
      </c>
      <c r="I400" s="1684" t="e">
        <v>#N/A</v>
      </c>
      <c r="J400" s="255" t="e">
        <v>#N/A</v>
      </c>
      <c r="K400" s="1686" t="e">
        <v>#N/A</v>
      </c>
      <c r="L400" s="1684" t="e">
        <v>#N/A</v>
      </c>
      <c r="M400" s="1895" t="e">
        <v>#N/A</v>
      </c>
      <c r="N400" s="2894" t="e">
        <f t="shared" si="6"/>
        <v>#N/A</v>
      </c>
      <c r="O400" s="1684" t="e">
        <v>#N/A</v>
      </c>
      <c r="P400" s="1684" t="e">
        <v>#N/A</v>
      </c>
      <c r="Q400" s="255" t="e">
        <v>#N/A</v>
      </c>
    </row>
    <row r="401" spans="1:17">
      <c r="A401" s="134">
        <f t="shared" si="7"/>
        <v>2026.08</v>
      </c>
      <c r="B401" s="120" t="e">
        <v>#N/A</v>
      </c>
      <c r="C401" s="1684" t="e">
        <v>#N/A</v>
      </c>
      <c r="D401" s="255" t="e">
        <v>#N/A</v>
      </c>
      <c r="E401" s="1686" t="e">
        <v>#N/A</v>
      </c>
      <c r="F401" s="1684" t="e">
        <v>#N/A</v>
      </c>
      <c r="G401" s="255" t="e">
        <v>#N/A</v>
      </c>
      <c r="H401" s="1686" t="e">
        <v>#N/A</v>
      </c>
      <c r="I401" s="1684" t="e">
        <v>#N/A</v>
      </c>
      <c r="J401" s="255" t="e">
        <v>#N/A</v>
      </c>
      <c r="K401" s="1686" t="e">
        <v>#N/A</v>
      </c>
      <c r="L401" s="1684" t="e">
        <v>#N/A</v>
      </c>
      <c r="M401" s="1895" t="e">
        <v>#N/A</v>
      </c>
      <c r="N401" s="2894" t="e">
        <f t="shared" si="6"/>
        <v>#N/A</v>
      </c>
      <c r="O401" s="1684" t="e">
        <v>#N/A</v>
      </c>
      <c r="P401" s="1684" t="e">
        <v>#N/A</v>
      </c>
      <c r="Q401" s="255" t="e">
        <v>#N/A</v>
      </c>
    </row>
    <row r="402" spans="1:17">
      <c r="A402" s="134">
        <f t="shared" si="7"/>
        <v>2026.09</v>
      </c>
      <c r="B402" s="120" t="e">
        <v>#N/A</v>
      </c>
      <c r="C402" s="1684" t="e">
        <v>#N/A</v>
      </c>
      <c r="D402" s="255" t="e">
        <v>#N/A</v>
      </c>
      <c r="E402" s="1686" t="e">
        <v>#N/A</v>
      </c>
      <c r="F402" s="1684" t="e">
        <v>#N/A</v>
      </c>
      <c r="G402" s="255" t="e">
        <v>#N/A</v>
      </c>
      <c r="H402" s="1686" t="e">
        <v>#N/A</v>
      </c>
      <c r="I402" s="1684" t="e">
        <v>#N/A</v>
      </c>
      <c r="J402" s="255" t="e">
        <v>#N/A</v>
      </c>
      <c r="K402" s="1686" t="e">
        <v>#N/A</v>
      </c>
      <c r="L402" s="1684" t="e">
        <v>#N/A</v>
      </c>
      <c r="M402" s="1895" t="e">
        <v>#N/A</v>
      </c>
      <c r="N402" s="2894" t="e">
        <f>SUM(O402:Q402)</f>
        <v>#N/A</v>
      </c>
      <c r="O402" s="1684" t="e">
        <v>#N/A</v>
      </c>
      <c r="P402" s="1684" t="e">
        <v>#N/A</v>
      </c>
      <c r="Q402" s="255" t="e">
        <v>#N/A</v>
      </c>
    </row>
    <row r="403" spans="1:17">
      <c r="A403" s="134">
        <f t="shared" si="7"/>
        <v>2026.1</v>
      </c>
      <c r="B403" s="120" t="e">
        <v>#N/A</v>
      </c>
      <c r="C403" s="1684" t="e">
        <v>#N/A</v>
      </c>
      <c r="D403" s="255" t="e">
        <v>#N/A</v>
      </c>
      <c r="E403" s="1686" t="e">
        <v>#N/A</v>
      </c>
      <c r="F403" s="1684" t="e">
        <v>#N/A</v>
      </c>
      <c r="G403" s="255" t="e">
        <v>#N/A</v>
      </c>
      <c r="H403" s="1686" t="e">
        <v>#N/A</v>
      </c>
      <c r="I403" s="1684" t="e">
        <v>#N/A</v>
      </c>
      <c r="J403" s="255" t="e">
        <v>#N/A</v>
      </c>
      <c r="K403" s="1686" t="e">
        <v>#N/A</v>
      </c>
      <c r="L403" s="1684" t="e">
        <v>#N/A</v>
      </c>
      <c r="M403" s="1895" t="e">
        <v>#N/A</v>
      </c>
      <c r="N403" s="2894" t="e">
        <f t="shared" si="6"/>
        <v>#N/A</v>
      </c>
      <c r="O403" s="1684" t="e">
        <v>#N/A</v>
      </c>
      <c r="P403" s="1684" t="e">
        <v>#N/A</v>
      </c>
      <c r="Q403" s="255" t="e">
        <v>#N/A</v>
      </c>
    </row>
    <row r="404" spans="1:17">
      <c r="A404" s="134">
        <f t="shared" si="7"/>
        <v>2026.11</v>
      </c>
      <c r="B404" s="120" t="e">
        <v>#N/A</v>
      </c>
      <c r="C404" s="1684" t="e">
        <v>#N/A</v>
      </c>
      <c r="D404" s="255" t="e">
        <v>#N/A</v>
      </c>
      <c r="E404" s="1686" t="e">
        <v>#N/A</v>
      </c>
      <c r="F404" s="1684" t="e">
        <v>#N/A</v>
      </c>
      <c r="G404" s="255" t="e">
        <v>#N/A</v>
      </c>
      <c r="H404" s="1686" t="e">
        <v>#N/A</v>
      </c>
      <c r="I404" s="1684" t="e">
        <v>#N/A</v>
      </c>
      <c r="J404" s="255" t="e">
        <v>#N/A</v>
      </c>
      <c r="K404" s="1686" t="e">
        <v>#N/A</v>
      </c>
      <c r="L404" s="1684" t="e">
        <v>#N/A</v>
      </c>
      <c r="M404" s="1895" t="e">
        <v>#N/A</v>
      </c>
      <c r="N404" s="2894" t="e">
        <f t="shared" si="6"/>
        <v>#N/A</v>
      </c>
      <c r="O404" s="1684" t="e">
        <v>#N/A</v>
      </c>
      <c r="P404" s="1684" t="e">
        <v>#N/A</v>
      </c>
      <c r="Q404" s="255" t="e">
        <v>#N/A</v>
      </c>
    </row>
    <row r="405" spans="1:17">
      <c r="A405" s="134">
        <f t="shared" si="7"/>
        <v>2026.12</v>
      </c>
      <c r="B405" s="120" t="e">
        <v>#N/A</v>
      </c>
      <c r="C405" s="1684" t="e">
        <v>#N/A</v>
      </c>
      <c r="D405" s="255" t="e">
        <v>#N/A</v>
      </c>
      <c r="E405" s="1686" t="e">
        <v>#N/A</v>
      </c>
      <c r="F405" s="1684" t="e">
        <v>#N/A</v>
      </c>
      <c r="G405" s="255" t="e">
        <v>#N/A</v>
      </c>
      <c r="H405" s="1686" t="e">
        <v>#N/A</v>
      </c>
      <c r="I405" s="1684" t="e">
        <v>#N/A</v>
      </c>
      <c r="J405" s="255" t="e">
        <v>#N/A</v>
      </c>
      <c r="K405" s="1686" t="e">
        <v>#N/A</v>
      </c>
      <c r="L405" s="1684" t="e">
        <v>#N/A</v>
      </c>
      <c r="M405" s="1895" t="e">
        <v>#N/A</v>
      </c>
      <c r="N405" s="2894" t="e">
        <f t="shared" si="6"/>
        <v>#N/A</v>
      </c>
      <c r="O405" s="1684" t="e">
        <v>#N/A</v>
      </c>
      <c r="P405" s="1684" t="e">
        <v>#N/A</v>
      </c>
      <c r="Q405" s="255" t="e">
        <v>#N/A</v>
      </c>
    </row>
    <row r="406" spans="1:17">
      <c r="A406" s="134">
        <f t="shared" si="7"/>
        <v>2027.01</v>
      </c>
      <c r="B406" s="120" t="e">
        <v>#N/A</v>
      </c>
      <c r="C406" s="1684" t="e">
        <v>#N/A</v>
      </c>
      <c r="D406" s="255" t="e">
        <v>#N/A</v>
      </c>
      <c r="E406" s="1686" t="e">
        <v>#N/A</v>
      </c>
      <c r="F406" s="1684" t="e">
        <v>#N/A</v>
      </c>
      <c r="G406" s="255" t="e">
        <v>#N/A</v>
      </c>
      <c r="H406" s="1686" t="e">
        <v>#N/A</v>
      </c>
      <c r="I406" s="1684" t="e">
        <v>#N/A</v>
      </c>
      <c r="J406" s="255" t="e">
        <v>#N/A</v>
      </c>
      <c r="K406" s="1686" t="e">
        <v>#N/A</v>
      </c>
      <c r="L406" s="1684" t="e">
        <v>#N/A</v>
      </c>
      <c r="M406" s="1895" t="e">
        <v>#N/A</v>
      </c>
      <c r="N406" s="2894" t="e">
        <f t="shared" si="6"/>
        <v>#N/A</v>
      </c>
      <c r="O406" s="1684" t="e">
        <v>#N/A</v>
      </c>
      <c r="P406" s="1684" t="e">
        <v>#N/A</v>
      </c>
      <c r="Q406" s="255" t="e">
        <v>#N/A</v>
      </c>
    </row>
    <row r="407" spans="1:17">
      <c r="A407" s="134">
        <f t="shared" si="7"/>
        <v>2027.02</v>
      </c>
      <c r="B407" s="120" t="e">
        <v>#N/A</v>
      </c>
      <c r="C407" s="1684" t="e">
        <v>#N/A</v>
      </c>
      <c r="D407" s="255" t="e">
        <v>#N/A</v>
      </c>
      <c r="E407" s="1686" t="e">
        <v>#N/A</v>
      </c>
      <c r="F407" s="1684" t="e">
        <v>#N/A</v>
      </c>
      <c r="G407" s="255" t="e">
        <v>#N/A</v>
      </c>
      <c r="H407" s="1686" t="e">
        <v>#N/A</v>
      </c>
      <c r="I407" s="1684" t="e">
        <v>#N/A</v>
      </c>
      <c r="J407" s="255" t="e">
        <v>#N/A</v>
      </c>
      <c r="K407" s="1686" t="e">
        <v>#N/A</v>
      </c>
      <c r="L407" s="1684" t="e">
        <v>#N/A</v>
      </c>
      <c r="M407" s="1895" t="e">
        <v>#N/A</v>
      </c>
      <c r="N407" s="2894" t="e">
        <f t="shared" si="6"/>
        <v>#N/A</v>
      </c>
      <c r="O407" s="1684" t="e">
        <v>#N/A</v>
      </c>
      <c r="P407" s="1684" t="e">
        <v>#N/A</v>
      </c>
      <c r="Q407" s="255" t="e">
        <v>#N/A</v>
      </c>
    </row>
    <row r="408" spans="1:17">
      <c r="A408" s="134">
        <f t="shared" si="7"/>
        <v>2027.03</v>
      </c>
      <c r="B408" s="120" t="e">
        <v>#N/A</v>
      </c>
      <c r="C408" s="1684" t="e">
        <v>#N/A</v>
      </c>
      <c r="D408" s="255" t="e">
        <v>#N/A</v>
      </c>
      <c r="E408" s="1686" t="e">
        <v>#N/A</v>
      </c>
      <c r="F408" s="1684" t="e">
        <v>#N/A</v>
      </c>
      <c r="G408" s="255" t="e">
        <v>#N/A</v>
      </c>
      <c r="H408" s="1686" t="e">
        <v>#N/A</v>
      </c>
      <c r="I408" s="1684" t="e">
        <v>#N/A</v>
      </c>
      <c r="J408" s="255" t="e">
        <v>#N/A</v>
      </c>
      <c r="K408" s="1686" t="e">
        <v>#N/A</v>
      </c>
      <c r="L408" s="1684" t="e">
        <v>#N/A</v>
      </c>
      <c r="M408" s="1895" t="e">
        <v>#N/A</v>
      </c>
      <c r="N408" s="2894" t="e">
        <f t="shared" si="6"/>
        <v>#N/A</v>
      </c>
      <c r="O408" s="1684" t="e">
        <v>#N/A</v>
      </c>
      <c r="P408" s="1684" t="e">
        <v>#N/A</v>
      </c>
      <c r="Q408" s="255" t="e">
        <v>#N/A</v>
      </c>
    </row>
    <row r="409" spans="1:17">
      <c r="A409" s="134">
        <f t="shared" si="7"/>
        <v>2027.04</v>
      </c>
      <c r="B409" s="120" t="e">
        <v>#N/A</v>
      </c>
      <c r="C409" s="1684" t="e">
        <v>#N/A</v>
      </c>
      <c r="D409" s="255" t="e">
        <v>#N/A</v>
      </c>
      <c r="E409" s="1686" t="e">
        <v>#N/A</v>
      </c>
      <c r="F409" s="1684" t="e">
        <v>#N/A</v>
      </c>
      <c r="G409" s="255" t="e">
        <v>#N/A</v>
      </c>
      <c r="H409" s="1686" t="e">
        <v>#N/A</v>
      </c>
      <c r="I409" s="1684" t="e">
        <v>#N/A</v>
      </c>
      <c r="J409" s="255" t="e">
        <v>#N/A</v>
      </c>
      <c r="K409" s="1686" t="e">
        <v>#N/A</v>
      </c>
      <c r="L409" s="1684" t="e">
        <v>#N/A</v>
      </c>
      <c r="M409" s="1895" t="e">
        <v>#N/A</v>
      </c>
      <c r="N409" s="2894" t="e">
        <f t="shared" si="6"/>
        <v>#N/A</v>
      </c>
      <c r="O409" s="1684" t="e">
        <v>#N/A</v>
      </c>
      <c r="P409" s="1684" t="e">
        <v>#N/A</v>
      </c>
      <c r="Q409" s="255" t="e">
        <v>#N/A</v>
      </c>
    </row>
    <row r="410" spans="1:17">
      <c r="A410" s="134">
        <f t="shared" si="7"/>
        <v>2027.05</v>
      </c>
      <c r="B410" s="120" t="e">
        <v>#N/A</v>
      </c>
      <c r="C410" s="1684" t="e">
        <v>#N/A</v>
      </c>
      <c r="D410" s="255" t="e">
        <v>#N/A</v>
      </c>
      <c r="E410" s="1686" t="e">
        <v>#N/A</v>
      </c>
      <c r="F410" s="1684" t="e">
        <v>#N/A</v>
      </c>
      <c r="G410" s="255" t="e">
        <v>#N/A</v>
      </c>
      <c r="H410" s="1686" t="e">
        <v>#N/A</v>
      </c>
      <c r="I410" s="1684" t="e">
        <v>#N/A</v>
      </c>
      <c r="J410" s="255" t="e">
        <v>#N/A</v>
      </c>
      <c r="K410" s="1686" t="e">
        <v>#N/A</v>
      </c>
      <c r="L410" s="1684" t="e">
        <v>#N/A</v>
      </c>
      <c r="M410" s="1895" t="e">
        <v>#N/A</v>
      </c>
      <c r="N410" s="2894" t="e">
        <f t="shared" si="6"/>
        <v>#N/A</v>
      </c>
      <c r="O410" s="1684" t="e">
        <v>#N/A</v>
      </c>
      <c r="P410" s="1684" t="e">
        <v>#N/A</v>
      </c>
      <c r="Q410" s="255" t="e">
        <v>#N/A</v>
      </c>
    </row>
    <row r="411" spans="1:17">
      <c r="A411" s="134">
        <f t="shared" si="7"/>
        <v>2027.06</v>
      </c>
      <c r="B411" s="120" t="e">
        <v>#N/A</v>
      </c>
      <c r="C411" s="1684" t="e">
        <v>#N/A</v>
      </c>
      <c r="D411" s="255" t="e">
        <v>#N/A</v>
      </c>
      <c r="E411" s="1686" t="e">
        <v>#N/A</v>
      </c>
      <c r="F411" s="1684" t="e">
        <v>#N/A</v>
      </c>
      <c r="G411" s="255" t="e">
        <v>#N/A</v>
      </c>
      <c r="H411" s="1686" t="e">
        <v>#N/A</v>
      </c>
      <c r="I411" s="1684" t="e">
        <v>#N/A</v>
      </c>
      <c r="J411" s="255" t="e">
        <v>#N/A</v>
      </c>
      <c r="K411" s="1686" t="e">
        <v>#N/A</v>
      </c>
      <c r="L411" s="1684" t="e">
        <v>#N/A</v>
      </c>
      <c r="M411" s="1895" t="e">
        <v>#N/A</v>
      </c>
      <c r="N411" s="2894" t="e">
        <f t="shared" si="6"/>
        <v>#N/A</v>
      </c>
      <c r="O411" s="1684" t="e">
        <v>#N/A</v>
      </c>
      <c r="P411" s="1684" t="e">
        <v>#N/A</v>
      </c>
      <c r="Q411" s="255" t="e">
        <v>#N/A</v>
      </c>
    </row>
    <row r="412" spans="1:17">
      <c r="A412" s="134">
        <f t="shared" si="7"/>
        <v>2027.07</v>
      </c>
      <c r="B412" s="120" t="e">
        <v>#N/A</v>
      </c>
      <c r="C412" s="1684" t="e">
        <v>#N/A</v>
      </c>
      <c r="D412" s="255" t="e">
        <v>#N/A</v>
      </c>
      <c r="E412" s="1686" t="e">
        <v>#N/A</v>
      </c>
      <c r="F412" s="1684" t="e">
        <v>#N/A</v>
      </c>
      <c r="G412" s="255" t="e">
        <v>#N/A</v>
      </c>
      <c r="H412" s="1686" t="e">
        <v>#N/A</v>
      </c>
      <c r="I412" s="1684" t="e">
        <v>#N/A</v>
      </c>
      <c r="J412" s="255" t="e">
        <v>#N/A</v>
      </c>
      <c r="K412" s="1686" t="e">
        <v>#N/A</v>
      </c>
      <c r="L412" s="1684" t="e">
        <v>#N/A</v>
      </c>
      <c r="M412" s="1895" t="e">
        <v>#N/A</v>
      </c>
      <c r="N412" s="2894" t="e">
        <f t="shared" si="6"/>
        <v>#N/A</v>
      </c>
      <c r="O412" s="1684" t="e">
        <v>#N/A</v>
      </c>
      <c r="P412" s="1684" t="e">
        <v>#N/A</v>
      </c>
      <c r="Q412" s="255" t="e">
        <v>#N/A</v>
      </c>
    </row>
    <row r="413" spans="1:17">
      <c r="A413" s="134">
        <f t="shared" si="7"/>
        <v>2027.08</v>
      </c>
      <c r="B413" s="120" t="e">
        <v>#N/A</v>
      </c>
      <c r="C413" s="1684" t="e">
        <v>#N/A</v>
      </c>
      <c r="D413" s="255" t="e">
        <v>#N/A</v>
      </c>
      <c r="E413" s="1686" t="e">
        <v>#N/A</v>
      </c>
      <c r="F413" s="1684" t="e">
        <v>#N/A</v>
      </c>
      <c r="G413" s="255" t="e">
        <v>#N/A</v>
      </c>
      <c r="H413" s="1686" t="e">
        <v>#N/A</v>
      </c>
      <c r="I413" s="1684" t="e">
        <v>#N/A</v>
      </c>
      <c r="J413" s="255" t="e">
        <v>#N/A</v>
      </c>
      <c r="K413" s="1686" t="e">
        <v>#N/A</v>
      </c>
      <c r="L413" s="1684" t="e">
        <v>#N/A</v>
      </c>
      <c r="M413" s="1895" t="e">
        <v>#N/A</v>
      </c>
      <c r="N413" s="2894" t="e">
        <f t="shared" si="6"/>
        <v>#N/A</v>
      </c>
      <c r="O413" s="1684" t="e">
        <v>#N/A</v>
      </c>
      <c r="P413" s="1684" t="e">
        <v>#N/A</v>
      </c>
      <c r="Q413" s="255" t="e">
        <v>#N/A</v>
      </c>
    </row>
    <row r="414" spans="1:17">
      <c r="A414" s="134">
        <f t="shared" si="7"/>
        <v>2027.09</v>
      </c>
      <c r="B414" s="120" t="e">
        <v>#N/A</v>
      </c>
      <c r="C414" s="1684" t="e">
        <v>#N/A</v>
      </c>
      <c r="D414" s="255" t="e">
        <v>#N/A</v>
      </c>
      <c r="E414" s="1686" t="e">
        <v>#N/A</v>
      </c>
      <c r="F414" s="1684" t="e">
        <v>#N/A</v>
      </c>
      <c r="G414" s="255" t="e">
        <v>#N/A</v>
      </c>
      <c r="H414" s="1686" t="e">
        <v>#N/A</v>
      </c>
      <c r="I414" s="1684" t="e">
        <v>#N/A</v>
      </c>
      <c r="J414" s="255" t="e">
        <v>#N/A</v>
      </c>
      <c r="K414" s="1686" t="e">
        <v>#N/A</v>
      </c>
      <c r="L414" s="1684" t="e">
        <v>#N/A</v>
      </c>
      <c r="M414" s="1895" t="e">
        <v>#N/A</v>
      </c>
      <c r="N414" s="2894" t="e">
        <f t="shared" si="6"/>
        <v>#N/A</v>
      </c>
      <c r="O414" s="1684" t="e">
        <v>#N/A</v>
      </c>
      <c r="P414" s="1684" t="e">
        <v>#N/A</v>
      </c>
      <c r="Q414" s="255" t="e">
        <v>#N/A</v>
      </c>
    </row>
    <row r="415" spans="1:17">
      <c r="A415" s="134">
        <f t="shared" si="7"/>
        <v>2027.1</v>
      </c>
      <c r="B415" s="120" t="e">
        <v>#N/A</v>
      </c>
      <c r="C415" s="1684" t="e">
        <v>#N/A</v>
      </c>
      <c r="D415" s="255" t="e">
        <v>#N/A</v>
      </c>
      <c r="E415" s="1686" t="e">
        <v>#N/A</v>
      </c>
      <c r="F415" s="1684" t="e">
        <v>#N/A</v>
      </c>
      <c r="G415" s="255" t="e">
        <v>#N/A</v>
      </c>
      <c r="H415" s="1686" t="e">
        <v>#N/A</v>
      </c>
      <c r="I415" s="1684" t="e">
        <v>#N/A</v>
      </c>
      <c r="J415" s="255" t="e">
        <v>#N/A</v>
      </c>
      <c r="K415" s="1686" t="e">
        <v>#N/A</v>
      </c>
      <c r="L415" s="1684" t="e">
        <v>#N/A</v>
      </c>
      <c r="M415" s="1895" t="e">
        <v>#N/A</v>
      </c>
      <c r="N415" s="2894" t="e">
        <f t="shared" si="6"/>
        <v>#N/A</v>
      </c>
      <c r="O415" s="1684" t="e">
        <v>#N/A</v>
      </c>
      <c r="P415" s="1684" t="e">
        <v>#N/A</v>
      </c>
      <c r="Q415" s="255" t="e">
        <v>#N/A</v>
      </c>
    </row>
    <row r="416" spans="1:17">
      <c r="A416" s="134">
        <f t="shared" si="7"/>
        <v>2027.11</v>
      </c>
      <c r="B416" s="120" t="e">
        <v>#N/A</v>
      </c>
      <c r="C416" s="1684" t="e">
        <v>#N/A</v>
      </c>
      <c r="D416" s="255" t="e">
        <v>#N/A</v>
      </c>
      <c r="E416" s="1686" t="e">
        <v>#N/A</v>
      </c>
      <c r="F416" s="1684" t="e">
        <v>#N/A</v>
      </c>
      <c r="G416" s="255" t="e">
        <v>#N/A</v>
      </c>
      <c r="H416" s="1686" t="e">
        <v>#N/A</v>
      </c>
      <c r="I416" s="1684" t="e">
        <v>#N/A</v>
      </c>
      <c r="J416" s="255" t="e">
        <v>#N/A</v>
      </c>
      <c r="K416" s="1686" t="e">
        <v>#N/A</v>
      </c>
      <c r="L416" s="1684" t="e">
        <v>#N/A</v>
      </c>
      <c r="M416" s="1895" t="e">
        <v>#N/A</v>
      </c>
      <c r="N416" s="2894" t="e">
        <f t="shared" si="6"/>
        <v>#N/A</v>
      </c>
      <c r="O416" s="1684" t="e">
        <v>#N/A</v>
      </c>
      <c r="P416" s="1684" t="e">
        <v>#N/A</v>
      </c>
      <c r="Q416" s="255" t="e">
        <v>#N/A</v>
      </c>
    </row>
    <row r="417" spans="1:17">
      <c r="A417" s="134">
        <f t="shared" si="7"/>
        <v>2027.12</v>
      </c>
      <c r="B417" s="120" t="e">
        <v>#N/A</v>
      </c>
      <c r="C417" s="1684" t="e">
        <v>#N/A</v>
      </c>
      <c r="D417" s="255" t="e">
        <v>#N/A</v>
      </c>
      <c r="E417" s="1686" t="e">
        <v>#N/A</v>
      </c>
      <c r="F417" s="1684" t="e">
        <v>#N/A</v>
      </c>
      <c r="G417" s="255" t="e">
        <v>#N/A</v>
      </c>
      <c r="H417" s="1686" t="e">
        <v>#N/A</v>
      </c>
      <c r="I417" s="1684" t="e">
        <v>#N/A</v>
      </c>
      <c r="J417" s="255" t="e">
        <v>#N/A</v>
      </c>
      <c r="K417" s="1686" t="e">
        <v>#N/A</v>
      </c>
      <c r="L417" s="1684" t="e">
        <v>#N/A</v>
      </c>
      <c r="M417" s="1895" t="e">
        <v>#N/A</v>
      </c>
      <c r="N417" s="2894" t="e">
        <f t="shared" si="6"/>
        <v>#N/A</v>
      </c>
      <c r="O417" s="1684" t="e">
        <v>#N/A</v>
      </c>
      <c r="P417" s="1684" t="e">
        <v>#N/A</v>
      </c>
      <c r="Q417" s="255" t="e">
        <v>#N/A</v>
      </c>
    </row>
    <row r="418" spans="1:17">
      <c r="A418" s="134">
        <f t="shared" si="7"/>
        <v>2028.01</v>
      </c>
      <c r="B418" s="120" t="e">
        <v>#N/A</v>
      </c>
      <c r="C418" s="1684" t="e">
        <v>#N/A</v>
      </c>
      <c r="D418" s="255" t="e">
        <v>#N/A</v>
      </c>
      <c r="E418" s="1686" t="e">
        <v>#N/A</v>
      </c>
      <c r="F418" s="1684" t="e">
        <v>#N/A</v>
      </c>
      <c r="G418" s="255" t="e">
        <v>#N/A</v>
      </c>
      <c r="H418" s="1686" t="e">
        <v>#N/A</v>
      </c>
      <c r="I418" s="1684" t="e">
        <v>#N/A</v>
      </c>
      <c r="J418" s="255" t="e">
        <v>#N/A</v>
      </c>
      <c r="K418" s="1686" t="e">
        <v>#N/A</v>
      </c>
      <c r="L418" s="1684" t="e">
        <v>#N/A</v>
      </c>
      <c r="M418" s="1895" t="e">
        <v>#N/A</v>
      </c>
      <c r="N418" s="2894" t="e">
        <f t="shared" si="6"/>
        <v>#N/A</v>
      </c>
      <c r="O418" s="1684" t="e">
        <v>#N/A</v>
      </c>
      <c r="P418" s="1684" t="e">
        <v>#N/A</v>
      </c>
      <c r="Q418" s="255" t="e">
        <v>#N/A</v>
      </c>
    </row>
    <row r="419" spans="1:17">
      <c r="A419" s="134">
        <f t="shared" si="7"/>
        <v>2028.02</v>
      </c>
      <c r="B419" s="120" t="e">
        <v>#N/A</v>
      </c>
      <c r="C419" s="1684" t="e">
        <v>#N/A</v>
      </c>
      <c r="D419" s="255" t="e">
        <v>#N/A</v>
      </c>
      <c r="E419" s="1686" t="e">
        <v>#N/A</v>
      </c>
      <c r="F419" s="1684" t="e">
        <v>#N/A</v>
      </c>
      <c r="G419" s="255" t="e">
        <v>#N/A</v>
      </c>
      <c r="H419" s="1686" t="e">
        <v>#N/A</v>
      </c>
      <c r="I419" s="1684" t="e">
        <v>#N/A</v>
      </c>
      <c r="J419" s="255" t="e">
        <v>#N/A</v>
      </c>
      <c r="K419" s="1686" t="e">
        <v>#N/A</v>
      </c>
      <c r="L419" s="1684" t="e">
        <v>#N/A</v>
      </c>
      <c r="M419" s="1895" t="e">
        <v>#N/A</v>
      </c>
      <c r="N419" s="2894" t="e">
        <f t="shared" si="6"/>
        <v>#N/A</v>
      </c>
      <c r="O419" s="1684" t="e">
        <v>#N/A</v>
      </c>
      <c r="P419" s="1684" t="e">
        <v>#N/A</v>
      </c>
      <c r="Q419" s="255" t="e">
        <v>#N/A</v>
      </c>
    </row>
    <row r="420" spans="1:17">
      <c r="A420" s="134">
        <f t="shared" si="7"/>
        <v>2028.03</v>
      </c>
      <c r="B420" s="120" t="e">
        <v>#N/A</v>
      </c>
      <c r="C420" s="1684" t="e">
        <v>#N/A</v>
      </c>
      <c r="D420" s="255" t="e">
        <v>#N/A</v>
      </c>
      <c r="E420" s="1686" t="e">
        <v>#N/A</v>
      </c>
      <c r="F420" s="1684" t="e">
        <v>#N/A</v>
      </c>
      <c r="G420" s="255" t="e">
        <v>#N/A</v>
      </c>
      <c r="H420" s="1686" t="e">
        <v>#N/A</v>
      </c>
      <c r="I420" s="1684" t="e">
        <v>#N/A</v>
      </c>
      <c r="J420" s="255" t="e">
        <v>#N/A</v>
      </c>
      <c r="K420" s="1686" t="e">
        <v>#N/A</v>
      </c>
      <c r="L420" s="1684" t="e">
        <v>#N/A</v>
      </c>
      <c r="M420" s="1895" t="e">
        <v>#N/A</v>
      </c>
      <c r="N420" s="2894" t="e">
        <f t="shared" si="6"/>
        <v>#N/A</v>
      </c>
      <c r="O420" s="1684" t="e">
        <v>#N/A</v>
      </c>
      <c r="P420" s="1684" t="e">
        <v>#N/A</v>
      </c>
      <c r="Q420" s="255" t="e">
        <v>#N/A</v>
      </c>
    </row>
    <row r="421" spans="1:17">
      <c r="A421" s="134">
        <f t="shared" si="7"/>
        <v>2028.04</v>
      </c>
      <c r="B421" s="120" t="e">
        <v>#N/A</v>
      </c>
      <c r="C421" s="1684" t="e">
        <v>#N/A</v>
      </c>
      <c r="D421" s="255" t="e">
        <v>#N/A</v>
      </c>
      <c r="E421" s="1686" t="e">
        <v>#N/A</v>
      </c>
      <c r="F421" s="1684" t="e">
        <v>#N/A</v>
      </c>
      <c r="G421" s="255" t="e">
        <v>#N/A</v>
      </c>
      <c r="H421" s="1686" t="e">
        <v>#N/A</v>
      </c>
      <c r="I421" s="1684" t="e">
        <v>#N/A</v>
      </c>
      <c r="J421" s="255" t="e">
        <v>#N/A</v>
      </c>
      <c r="K421" s="1686" t="e">
        <v>#N/A</v>
      </c>
      <c r="L421" s="1684" t="e">
        <v>#N/A</v>
      </c>
      <c r="M421" s="1895" t="e">
        <v>#N/A</v>
      </c>
      <c r="N421" s="2894" t="e">
        <f t="shared" si="6"/>
        <v>#N/A</v>
      </c>
      <c r="O421" s="1684" t="e">
        <v>#N/A</v>
      </c>
      <c r="P421" s="1684" t="e">
        <v>#N/A</v>
      </c>
      <c r="Q421" s="255" t="e">
        <v>#N/A</v>
      </c>
    </row>
    <row r="422" spans="1:17">
      <c r="A422" s="134">
        <f t="shared" si="7"/>
        <v>2028.05</v>
      </c>
      <c r="B422" s="120" t="e">
        <v>#N/A</v>
      </c>
      <c r="C422" s="1684" t="e">
        <v>#N/A</v>
      </c>
      <c r="D422" s="255" t="e">
        <v>#N/A</v>
      </c>
      <c r="E422" s="1686" t="e">
        <v>#N/A</v>
      </c>
      <c r="F422" s="1684" t="e">
        <v>#N/A</v>
      </c>
      <c r="G422" s="255" t="e">
        <v>#N/A</v>
      </c>
      <c r="H422" s="1686" t="e">
        <v>#N/A</v>
      </c>
      <c r="I422" s="1684" t="e">
        <v>#N/A</v>
      </c>
      <c r="J422" s="255" t="e">
        <v>#N/A</v>
      </c>
      <c r="K422" s="1686" t="e">
        <v>#N/A</v>
      </c>
      <c r="L422" s="1684" t="e">
        <v>#N/A</v>
      </c>
      <c r="M422" s="1895" t="e">
        <v>#N/A</v>
      </c>
      <c r="N422" s="2894" t="e">
        <f t="shared" si="6"/>
        <v>#N/A</v>
      </c>
      <c r="O422" s="1684" t="e">
        <v>#N/A</v>
      </c>
      <c r="P422" s="1684" t="e">
        <v>#N/A</v>
      </c>
      <c r="Q422" s="255" t="e">
        <v>#N/A</v>
      </c>
    </row>
    <row r="423" spans="1:17">
      <c r="A423" s="134">
        <f t="shared" si="7"/>
        <v>2028.06</v>
      </c>
      <c r="B423" s="120" t="e">
        <v>#N/A</v>
      </c>
      <c r="C423" s="1684" t="e">
        <v>#N/A</v>
      </c>
      <c r="D423" s="255" t="e">
        <v>#N/A</v>
      </c>
      <c r="E423" s="1686" t="e">
        <v>#N/A</v>
      </c>
      <c r="F423" s="1684" t="e">
        <v>#N/A</v>
      </c>
      <c r="G423" s="255" t="e">
        <v>#N/A</v>
      </c>
      <c r="H423" s="1686" t="e">
        <v>#N/A</v>
      </c>
      <c r="I423" s="1684" t="e">
        <v>#N/A</v>
      </c>
      <c r="J423" s="255" t="e">
        <v>#N/A</v>
      </c>
      <c r="K423" s="1686" t="e">
        <v>#N/A</v>
      </c>
      <c r="L423" s="1684" t="e">
        <v>#N/A</v>
      </c>
      <c r="M423" s="1895" t="e">
        <v>#N/A</v>
      </c>
      <c r="N423" s="2894" t="e">
        <f t="shared" si="6"/>
        <v>#N/A</v>
      </c>
      <c r="O423" s="1684" t="e">
        <v>#N/A</v>
      </c>
      <c r="P423" s="1684" t="e">
        <v>#N/A</v>
      </c>
      <c r="Q423" s="255" t="e">
        <v>#N/A</v>
      </c>
    </row>
    <row r="424" spans="1:17">
      <c r="A424" s="134">
        <f t="shared" si="7"/>
        <v>2028.07</v>
      </c>
      <c r="B424" s="120" t="e">
        <v>#N/A</v>
      </c>
      <c r="C424" s="1684" t="e">
        <v>#N/A</v>
      </c>
      <c r="D424" s="255" t="e">
        <v>#N/A</v>
      </c>
      <c r="E424" s="1686" t="e">
        <v>#N/A</v>
      </c>
      <c r="F424" s="1684" t="e">
        <v>#N/A</v>
      </c>
      <c r="G424" s="255" t="e">
        <v>#N/A</v>
      </c>
      <c r="H424" s="1686" t="e">
        <v>#N/A</v>
      </c>
      <c r="I424" s="1684" t="e">
        <v>#N/A</v>
      </c>
      <c r="J424" s="255" t="e">
        <v>#N/A</v>
      </c>
      <c r="K424" s="1686" t="e">
        <v>#N/A</v>
      </c>
      <c r="L424" s="1684" t="e">
        <v>#N/A</v>
      </c>
      <c r="M424" s="1895" t="e">
        <v>#N/A</v>
      </c>
      <c r="N424" s="2894" t="e">
        <f t="shared" si="6"/>
        <v>#N/A</v>
      </c>
      <c r="O424" s="1684" t="e">
        <v>#N/A</v>
      </c>
      <c r="P424" s="1684" t="e">
        <v>#N/A</v>
      </c>
      <c r="Q424" s="255" t="e">
        <v>#N/A</v>
      </c>
    </row>
    <row r="425" spans="1:17">
      <c r="A425" s="134">
        <f t="shared" si="7"/>
        <v>2028.08</v>
      </c>
      <c r="B425" s="120" t="e">
        <v>#N/A</v>
      </c>
      <c r="C425" s="1684" t="e">
        <v>#N/A</v>
      </c>
      <c r="D425" s="255" t="e">
        <v>#N/A</v>
      </c>
      <c r="E425" s="1686" t="e">
        <v>#N/A</v>
      </c>
      <c r="F425" s="1684" t="e">
        <v>#N/A</v>
      </c>
      <c r="G425" s="255" t="e">
        <v>#N/A</v>
      </c>
      <c r="H425" s="1686" t="e">
        <v>#N/A</v>
      </c>
      <c r="I425" s="1684" t="e">
        <v>#N/A</v>
      </c>
      <c r="J425" s="255" t="e">
        <v>#N/A</v>
      </c>
      <c r="K425" s="1686" t="e">
        <v>#N/A</v>
      </c>
      <c r="L425" s="1684" t="e">
        <v>#N/A</v>
      </c>
      <c r="M425" s="1895" t="e">
        <v>#N/A</v>
      </c>
      <c r="N425" s="2894" t="e">
        <f t="shared" si="6"/>
        <v>#N/A</v>
      </c>
      <c r="O425" s="1684" t="e">
        <v>#N/A</v>
      </c>
      <c r="P425" s="1684" t="e">
        <v>#N/A</v>
      </c>
      <c r="Q425" s="255" t="e">
        <v>#N/A</v>
      </c>
    </row>
    <row r="426" spans="1:17">
      <c r="A426" s="134">
        <f t="shared" si="7"/>
        <v>2028.09</v>
      </c>
      <c r="B426" s="120" t="e">
        <v>#N/A</v>
      </c>
      <c r="C426" s="1684" t="e">
        <v>#N/A</v>
      </c>
      <c r="D426" s="255" t="e">
        <v>#N/A</v>
      </c>
      <c r="E426" s="1686" t="e">
        <v>#N/A</v>
      </c>
      <c r="F426" s="1684" t="e">
        <v>#N/A</v>
      </c>
      <c r="G426" s="255" t="e">
        <v>#N/A</v>
      </c>
      <c r="H426" s="1686" t="e">
        <v>#N/A</v>
      </c>
      <c r="I426" s="1684" t="e">
        <v>#N/A</v>
      </c>
      <c r="J426" s="255" t="e">
        <v>#N/A</v>
      </c>
      <c r="K426" s="1686" t="e">
        <v>#N/A</v>
      </c>
      <c r="L426" s="1684" t="e">
        <v>#N/A</v>
      </c>
      <c r="M426" s="1895" t="e">
        <v>#N/A</v>
      </c>
      <c r="N426" s="2894" t="e">
        <f t="shared" si="6"/>
        <v>#N/A</v>
      </c>
      <c r="O426" s="1684" t="e">
        <v>#N/A</v>
      </c>
      <c r="P426" s="1684" t="e">
        <v>#N/A</v>
      </c>
      <c r="Q426" s="255" t="e">
        <v>#N/A</v>
      </c>
    </row>
    <row r="427" spans="1:17">
      <c r="A427" s="134">
        <f t="shared" si="7"/>
        <v>2028.1</v>
      </c>
      <c r="B427" s="120" t="e">
        <v>#N/A</v>
      </c>
      <c r="C427" s="1684" t="e">
        <v>#N/A</v>
      </c>
      <c r="D427" s="255" t="e">
        <v>#N/A</v>
      </c>
      <c r="E427" s="1686" t="e">
        <v>#N/A</v>
      </c>
      <c r="F427" s="1684" t="e">
        <v>#N/A</v>
      </c>
      <c r="G427" s="255" t="e">
        <v>#N/A</v>
      </c>
      <c r="H427" s="1686" t="e">
        <v>#N/A</v>
      </c>
      <c r="I427" s="1684" t="e">
        <v>#N/A</v>
      </c>
      <c r="J427" s="255" t="e">
        <v>#N/A</v>
      </c>
      <c r="K427" s="1686" t="e">
        <v>#N/A</v>
      </c>
      <c r="L427" s="1684" t="e">
        <v>#N/A</v>
      </c>
      <c r="M427" s="1895" t="e">
        <v>#N/A</v>
      </c>
      <c r="N427" s="2894" t="e">
        <f t="shared" si="6"/>
        <v>#N/A</v>
      </c>
      <c r="O427" s="1684" t="e">
        <v>#N/A</v>
      </c>
      <c r="P427" s="1684" t="e">
        <v>#N/A</v>
      </c>
      <c r="Q427" s="255" t="e">
        <v>#N/A</v>
      </c>
    </row>
    <row r="428" spans="1:17">
      <c r="A428" s="134">
        <f t="shared" si="7"/>
        <v>2028.11</v>
      </c>
      <c r="B428" s="120" t="e">
        <v>#N/A</v>
      </c>
      <c r="C428" s="1684" t="e">
        <v>#N/A</v>
      </c>
      <c r="D428" s="255" t="e">
        <v>#N/A</v>
      </c>
      <c r="E428" s="1686" t="e">
        <v>#N/A</v>
      </c>
      <c r="F428" s="1684" t="e">
        <v>#N/A</v>
      </c>
      <c r="G428" s="255" t="e">
        <v>#N/A</v>
      </c>
      <c r="H428" s="1686" t="e">
        <v>#N/A</v>
      </c>
      <c r="I428" s="1684" t="e">
        <v>#N/A</v>
      </c>
      <c r="J428" s="255" t="e">
        <v>#N/A</v>
      </c>
      <c r="K428" s="1686" t="e">
        <v>#N/A</v>
      </c>
      <c r="L428" s="1684" t="e">
        <v>#N/A</v>
      </c>
      <c r="M428" s="1895" t="e">
        <v>#N/A</v>
      </c>
      <c r="N428" s="2894" t="e">
        <f t="shared" si="6"/>
        <v>#N/A</v>
      </c>
      <c r="O428" s="1684" t="e">
        <v>#N/A</v>
      </c>
      <c r="P428" s="1684" t="e">
        <v>#N/A</v>
      </c>
      <c r="Q428" s="255" t="e">
        <v>#N/A</v>
      </c>
    </row>
    <row r="429" spans="1:17">
      <c r="A429" s="134">
        <f t="shared" si="7"/>
        <v>2028.12</v>
      </c>
      <c r="B429" s="120" t="e">
        <v>#N/A</v>
      </c>
      <c r="C429" s="1684" t="e">
        <v>#N/A</v>
      </c>
      <c r="D429" s="255" t="e">
        <v>#N/A</v>
      </c>
      <c r="E429" s="1686" t="e">
        <v>#N/A</v>
      </c>
      <c r="F429" s="1684" t="e">
        <v>#N/A</v>
      </c>
      <c r="G429" s="255" t="e">
        <v>#N/A</v>
      </c>
      <c r="H429" s="1686" t="e">
        <v>#N/A</v>
      </c>
      <c r="I429" s="1684" t="e">
        <v>#N/A</v>
      </c>
      <c r="J429" s="255" t="e">
        <v>#N/A</v>
      </c>
      <c r="K429" s="1686" t="e">
        <v>#N/A</v>
      </c>
      <c r="L429" s="1684" t="e">
        <v>#N/A</v>
      </c>
      <c r="M429" s="1895" t="e">
        <v>#N/A</v>
      </c>
      <c r="N429" s="2894" t="e">
        <f t="shared" si="6"/>
        <v>#N/A</v>
      </c>
      <c r="O429" s="1684" t="e">
        <v>#N/A</v>
      </c>
      <c r="P429" s="1684" t="e">
        <v>#N/A</v>
      </c>
      <c r="Q429" s="255" t="e">
        <v>#N/A</v>
      </c>
    </row>
    <row r="430" spans="1:17">
      <c r="A430" s="134">
        <f t="shared" si="7"/>
        <v>2029.01</v>
      </c>
      <c r="B430" s="120" t="e">
        <v>#N/A</v>
      </c>
      <c r="C430" s="1684" t="e">
        <v>#N/A</v>
      </c>
      <c r="D430" s="255" t="e">
        <v>#N/A</v>
      </c>
      <c r="E430" s="1686" t="e">
        <v>#N/A</v>
      </c>
      <c r="F430" s="1684" t="e">
        <v>#N/A</v>
      </c>
      <c r="G430" s="255" t="e">
        <v>#N/A</v>
      </c>
      <c r="H430" s="1686" t="e">
        <v>#N/A</v>
      </c>
      <c r="I430" s="1684" t="e">
        <v>#N/A</v>
      </c>
      <c r="J430" s="255" t="e">
        <v>#N/A</v>
      </c>
      <c r="K430" s="1686" t="e">
        <v>#N/A</v>
      </c>
      <c r="L430" s="1684" t="e">
        <v>#N/A</v>
      </c>
      <c r="M430" s="1895" t="e">
        <v>#N/A</v>
      </c>
      <c r="N430" s="2894" t="e">
        <f t="shared" si="6"/>
        <v>#N/A</v>
      </c>
      <c r="O430" s="1684" t="e">
        <v>#N/A</v>
      </c>
      <c r="P430" s="1684" t="e">
        <v>#N/A</v>
      </c>
      <c r="Q430" s="255" t="e">
        <v>#N/A</v>
      </c>
    </row>
    <row r="431" spans="1:17">
      <c r="A431" s="134">
        <f t="shared" si="7"/>
        <v>2029.02</v>
      </c>
      <c r="B431" s="120" t="e">
        <v>#N/A</v>
      </c>
      <c r="C431" s="1684" t="e">
        <v>#N/A</v>
      </c>
      <c r="D431" s="255" t="e">
        <v>#N/A</v>
      </c>
      <c r="E431" s="1686" t="e">
        <v>#N/A</v>
      </c>
      <c r="F431" s="1684" t="e">
        <v>#N/A</v>
      </c>
      <c r="G431" s="255" t="e">
        <v>#N/A</v>
      </c>
      <c r="H431" s="1686" t="e">
        <v>#N/A</v>
      </c>
      <c r="I431" s="1684" t="e">
        <v>#N/A</v>
      </c>
      <c r="J431" s="255" t="e">
        <v>#N/A</v>
      </c>
      <c r="K431" s="1686" t="e">
        <v>#N/A</v>
      </c>
      <c r="L431" s="1684" t="e">
        <v>#N/A</v>
      </c>
      <c r="M431" s="1895" t="e">
        <v>#N/A</v>
      </c>
      <c r="N431" s="2894" t="e">
        <f t="shared" si="6"/>
        <v>#N/A</v>
      </c>
      <c r="O431" s="1684" t="e">
        <v>#N/A</v>
      </c>
      <c r="P431" s="1684" t="e">
        <v>#N/A</v>
      </c>
      <c r="Q431" s="255" t="e">
        <v>#N/A</v>
      </c>
    </row>
    <row r="432" spans="1:17">
      <c r="A432" s="134">
        <f t="shared" si="7"/>
        <v>2029.03</v>
      </c>
      <c r="B432" s="120" t="e">
        <v>#N/A</v>
      </c>
      <c r="C432" s="1684" t="e">
        <v>#N/A</v>
      </c>
      <c r="D432" s="255" t="e">
        <v>#N/A</v>
      </c>
      <c r="E432" s="1686" t="e">
        <v>#N/A</v>
      </c>
      <c r="F432" s="1684" t="e">
        <v>#N/A</v>
      </c>
      <c r="G432" s="255" t="e">
        <v>#N/A</v>
      </c>
      <c r="H432" s="1686" t="e">
        <v>#N/A</v>
      </c>
      <c r="I432" s="1684" t="e">
        <v>#N/A</v>
      </c>
      <c r="J432" s="255" t="e">
        <v>#N/A</v>
      </c>
      <c r="K432" s="1686" t="e">
        <v>#N/A</v>
      </c>
      <c r="L432" s="1684" t="e">
        <v>#N/A</v>
      </c>
      <c r="M432" s="1895" t="e">
        <v>#N/A</v>
      </c>
      <c r="N432" s="2894" t="e">
        <f t="shared" si="6"/>
        <v>#N/A</v>
      </c>
      <c r="O432" s="1684" t="e">
        <v>#N/A</v>
      </c>
      <c r="P432" s="1684" t="e">
        <v>#N/A</v>
      </c>
      <c r="Q432" s="255" t="e">
        <v>#N/A</v>
      </c>
    </row>
    <row r="433" spans="1:17">
      <c r="A433" s="134">
        <f t="shared" si="7"/>
        <v>2029.04</v>
      </c>
      <c r="B433" s="120" t="e">
        <v>#N/A</v>
      </c>
      <c r="C433" s="1684" t="e">
        <v>#N/A</v>
      </c>
      <c r="D433" s="255" t="e">
        <v>#N/A</v>
      </c>
      <c r="E433" s="1686" t="e">
        <v>#N/A</v>
      </c>
      <c r="F433" s="1684" t="e">
        <v>#N/A</v>
      </c>
      <c r="G433" s="255" t="e">
        <v>#N/A</v>
      </c>
      <c r="H433" s="1686" t="e">
        <v>#N/A</v>
      </c>
      <c r="I433" s="1684" t="e">
        <v>#N/A</v>
      </c>
      <c r="J433" s="255" t="e">
        <v>#N/A</v>
      </c>
      <c r="K433" s="1686" t="e">
        <v>#N/A</v>
      </c>
      <c r="L433" s="1684" t="e">
        <v>#N/A</v>
      </c>
      <c r="M433" s="1895" t="e">
        <v>#N/A</v>
      </c>
      <c r="N433" s="2894" t="e">
        <f t="shared" si="6"/>
        <v>#N/A</v>
      </c>
      <c r="O433" s="1684" t="e">
        <v>#N/A</v>
      </c>
      <c r="P433" s="1684" t="e">
        <v>#N/A</v>
      </c>
      <c r="Q433" s="255" t="e">
        <v>#N/A</v>
      </c>
    </row>
    <row r="434" spans="1:17">
      <c r="A434" s="134">
        <f t="shared" si="7"/>
        <v>2029.05</v>
      </c>
      <c r="B434" s="120" t="e">
        <v>#N/A</v>
      </c>
      <c r="C434" s="1684" t="e">
        <v>#N/A</v>
      </c>
      <c r="D434" s="255" t="e">
        <v>#N/A</v>
      </c>
      <c r="E434" s="1686" t="e">
        <v>#N/A</v>
      </c>
      <c r="F434" s="1684" t="e">
        <v>#N/A</v>
      </c>
      <c r="G434" s="255" t="e">
        <v>#N/A</v>
      </c>
      <c r="H434" s="1686" t="e">
        <v>#N/A</v>
      </c>
      <c r="I434" s="1684" t="e">
        <v>#N/A</v>
      </c>
      <c r="J434" s="255" t="e">
        <v>#N/A</v>
      </c>
      <c r="K434" s="1686" t="e">
        <v>#N/A</v>
      </c>
      <c r="L434" s="1684" t="e">
        <v>#N/A</v>
      </c>
      <c r="M434" s="1895" t="e">
        <v>#N/A</v>
      </c>
      <c r="N434" s="2894" t="e">
        <f t="shared" si="6"/>
        <v>#N/A</v>
      </c>
      <c r="O434" s="1684" t="e">
        <v>#N/A</v>
      </c>
      <c r="P434" s="1684" t="e">
        <v>#N/A</v>
      </c>
      <c r="Q434" s="255" t="e">
        <v>#N/A</v>
      </c>
    </row>
    <row r="435" spans="1:17">
      <c r="A435" s="134">
        <f t="shared" si="7"/>
        <v>2029.06</v>
      </c>
      <c r="B435" s="120" t="e">
        <v>#N/A</v>
      </c>
      <c r="C435" s="1684" t="e">
        <v>#N/A</v>
      </c>
      <c r="D435" s="255" t="e">
        <v>#N/A</v>
      </c>
      <c r="E435" s="1686" t="e">
        <v>#N/A</v>
      </c>
      <c r="F435" s="1684" t="e">
        <v>#N/A</v>
      </c>
      <c r="G435" s="255" t="e">
        <v>#N/A</v>
      </c>
      <c r="H435" s="1686" t="e">
        <v>#N/A</v>
      </c>
      <c r="I435" s="1684" t="e">
        <v>#N/A</v>
      </c>
      <c r="J435" s="255" t="e">
        <v>#N/A</v>
      </c>
      <c r="K435" s="1686" t="e">
        <v>#N/A</v>
      </c>
      <c r="L435" s="1684" t="e">
        <v>#N/A</v>
      </c>
      <c r="M435" s="1895" t="e">
        <v>#N/A</v>
      </c>
      <c r="N435" s="2894" t="e">
        <f t="shared" si="6"/>
        <v>#N/A</v>
      </c>
      <c r="O435" s="1684" t="e">
        <v>#N/A</v>
      </c>
      <c r="P435" s="1684" t="e">
        <v>#N/A</v>
      </c>
      <c r="Q435" s="255" t="e">
        <v>#N/A</v>
      </c>
    </row>
    <row r="436" spans="1:17">
      <c r="A436" s="134">
        <f t="shared" si="7"/>
        <v>2029.07</v>
      </c>
      <c r="B436" s="120" t="e">
        <v>#N/A</v>
      </c>
      <c r="C436" s="1684" t="e">
        <v>#N/A</v>
      </c>
      <c r="D436" s="255" t="e">
        <v>#N/A</v>
      </c>
      <c r="E436" s="1686" t="e">
        <v>#N/A</v>
      </c>
      <c r="F436" s="1684" t="e">
        <v>#N/A</v>
      </c>
      <c r="G436" s="255" t="e">
        <v>#N/A</v>
      </c>
      <c r="H436" s="1686" t="e">
        <v>#N/A</v>
      </c>
      <c r="I436" s="1684" t="e">
        <v>#N/A</v>
      </c>
      <c r="J436" s="255" t="e">
        <v>#N/A</v>
      </c>
      <c r="K436" s="1686" t="e">
        <v>#N/A</v>
      </c>
      <c r="L436" s="1684" t="e">
        <v>#N/A</v>
      </c>
      <c r="M436" s="1895" t="e">
        <v>#N/A</v>
      </c>
      <c r="N436" s="2894" t="e">
        <f t="shared" si="6"/>
        <v>#N/A</v>
      </c>
      <c r="O436" s="1684" t="e">
        <v>#N/A</v>
      </c>
      <c r="P436" s="1684" t="e">
        <v>#N/A</v>
      </c>
      <c r="Q436" s="255" t="e">
        <v>#N/A</v>
      </c>
    </row>
    <row r="437" spans="1:17">
      <c r="A437" s="134">
        <f t="shared" si="7"/>
        <v>2029.08</v>
      </c>
      <c r="B437" s="120" t="e">
        <v>#N/A</v>
      </c>
      <c r="C437" s="1684" t="e">
        <v>#N/A</v>
      </c>
      <c r="D437" s="255" t="e">
        <v>#N/A</v>
      </c>
      <c r="E437" s="1686" t="e">
        <v>#N/A</v>
      </c>
      <c r="F437" s="1684" t="e">
        <v>#N/A</v>
      </c>
      <c r="G437" s="255" t="e">
        <v>#N/A</v>
      </c>
      <c r="H437" s="1686" t="e">
        <v>#N/A</v>
      </c>
      <c r="I437" s="1684" t="e">
        <v>#N/A</v>
      </c>
      <c r="J437" s="255" t="e">
        <v>#N/A</v>
      </c>
      <c r="K437" s="1686" t="e">
        <v>#N/A</v>
      </c>
      <c r="L437" s="1684" t="e">
        <v>#N/A</v>
      </c>
      <c r="M437" s="1895" t="e">
        <v>#N/A</v>
      </c>
      <c r="N437" s="2894" t="e">
        <f t="shared" si="6"/>
        <v>#N/A</v>
      </c>
      <c r="O437" s="1684" t="e">
        <v>#N/A</v>
      </c>
      <c r="P437" s="1684" t="e">
        <v>#N/A</v>
      </c>
      <c r="Q437" s="255" t="e">
        <v>#N/A</v>
      </c>
    </row>
    <row r="438" spans="1:17">
      <c r="A438" s="134">
        <f t="shared" si="7"/>
        <v>2029.09</v>
      </c>
      <c r="B438" s="120" t="e">
        <v>#N/A</v>
      </c>
      <c r="C438" s="1684" t="e">
        <v>#N/A</v>
      </c>
      <c r="D438" s="255" t="e">
        <v>#N/A</v>
      </c>
      <c r="E438" s="1686" t="e">
        <v>#N/A</v>
      </c>
      <c r="F438" s="1684" t="e">
        <v>#N/A</v>
      </c>
      <c r="G438" s="255" t="e">
        <v>#N/A</v>
      </c>
      <c r="H438" s="1686" t="e">
        <v>#N/A</v>
      </c>
      <c r="I438" s="1684" t="e">
        <v>#N/A</v>
      </c>
      <c r="J438" s="255" t="e">
        <v>#N/A</v>
      </c>
      <c r="K438" s="1686" t="e">
        <v>#N/A</v>
      </c>
      <c r="L438" s="1684" t="e">
        <v>#N/A</v>
      </c>
      <c r="M438" s="1895" t="e">
        <v>#N/A</v>
      </c>
      <c r="N438" s="2894" t="e">
        <f t="shared" si="6"/>
        <v>#N/A</v>
      </c>
      <c r="O438" s="1684" t="e">
        <v>#N/A</v>
      </c>
      <c r="P438" s="1684" t="e">
        <v>#N/A</v>
      </c>
      <c r="Q438" s="255" t="e">
        <v>#N/A</v>
      </c>
    </row>
    <row r="439" spans="1:17">
      <c r="A439" s="134">
        <f t="shared" si="7"/>
        <v>2029.1</v>
      </c>
      <c r="B439" s="120" t="e">
        <v>#N/A</v>
      </c>
      <c r="C439" s="1684" t="e">
        <v>#N/A</v>
      </c>
      <c r="D439" s="255" t="e">
        <v>#N/A</v>
      </c>
      <c r="E439" s="1686" t="e">
        <v>#N/A</v>
      </c>
      <c r="F439" s="1684" t="e">
        <v>#N/A</v>
      </c>
      <c r="G439" s="255" t="e">
        <v>#N/A</v>
      </c>
      <c r="H439" s="1686" t="e">
        <v>#N/A</v>
      </c>
      <c r="I439" s="1684" t="e">
        <v>#N/A</v>
      </c>
      <c r="J439" s="255" t="e">
        <v>#N/A</v>
      </c>
      <c r="K439" s="1686" t="e">
        <v>#N/A</v>
      </c>
      <c r="L439" s="1684" t="e">
        <v>#N/A</v>
      </c>
      <c r="M439" s="1895" t="e">
        <v>#N/A</v>
      </c>
      <c r="N439" s="2894" t="e">
        <f t="shared" si="6"/>
        <v>#N/A</v>
      </c>
      <c r="O439" s="1684" t="e">
        <v>#N/A</v>
      </c>
      <c r="P439" s="1684" t="e">
        <v>#N/A</v>
      </c>
      <c r="Q439" s="255" t="e">
        <v>#N/A</v>
      </c>
    </row>
    <row r="440" spans="1:17">
      <c r="A440" s="134">
        <f t="shared" si="7"/>
        <v>2029.11</v>
      </c>
      <c r="B440" s="120" t="e">
        <v>#N/A</v>
      </c>
      <c r="C440" s="1684" t="e">
        <v>#N/A</v>
      </c>
      <c r="D440" s="255" t="e">
        <v>#N/A</v>
      </c>
      <c r="E440" s="1686" t="e">
        <v>#N/A</v>
      </c>
      <c r="F440" s="1684" t="e">
        <v>#N/A</v>
      </c>
      <c r="G440" s="255" t="e">
        <v>#N/A</v>
      </c>
      <c r="H440" s="1686" t="e">
        <v>#N/A</v>
      </c>
      <c r="I440" s="1684" t="e">
        <v>#N/A</v>
      </c>
      <c r="J440" s="255" t="e">
        <v>#N/A</v>
      </c>
      <c r="K440" s="1686" t="e">
        <v>#N/A</v>
      </c>
      <c r="L440" s="1684" t="e">
        <v>#N/A</v>
      </c>
      <c r="M440" s="1895" t="e">
        <v>#N/A</v>
      </c>
      <c r="N440" s="2894" t="e">
        <f t="shared" si="6"/>
        <v>#N/A</v>
      </c>
      <c r="O440" s="1684" t="e">
        <v>#N/A</v>
      </c>
      <c r="P440" s="1684" t="e">
        <v>#N/A</v>
      </c>
      <c r="Q440" s="255" t="e">
        <v>#N/A</v>
      </c>
    </row>
    <row r="441" spans="1:17">
      <c r="A441" s="134">
        <f t="shared" si="7"/>
        <v>2029.12</v>
      </c>
      <c r="B441" s="120" t="e">
        <v>#N/A</v>
      </c>
      <c r="C441" s="1684" t="e">
        <v>#N/A</v>
      </c>
      <c r="D441" s="255" t="e">
        <v>#N/A</v>
      </c>
      <c r="E441" s="1686" t="e">
        <v>#N/A</v>
      </c>
      <c r="F441" s="1684" t="e">
        <v>#N/A</v>
      </c>
      <c r="G441" s="255" t="e">
        <v>#N/A</v>
      </c>
      <c r="H441" s="1686" t="e">
        <v>#N/A</v>
      </c>
      <c r="I441" s="1684" t="e">
        <v>#N/A</v>
      </c>
      <c r="J441" s="255" t="e">
        <v>#N/A</v>
      </c>
      <c r="K441" s="1686" t="e">
        <v>#N/A</v>
      </c>
      <c r="L441" s="1684" t="e">
        <v>#N/A</v>
      </c>
      <c r="M441" s="1895" t="e">
        <v>#N/A</v>
      </c>
      <c r="N441" s="2894" t="e">
        <f t="shared" si="6"/>
        <v>#N/A</v>
      </c>
      <c r="O441" s="1684" t="e">
        <v>#N/A</v>
      </c>
      <c r="P441" s="1684" t="e">
        <v>#N/A</v>
      </c>
      <c r="Q441" s="255" t="e">
        <v>#N/A</v>
      </c>
    </row>
    <row r="442" spans="1:17">
      <c r="A442" s="134">
        <f t="shared" si="7"/>
        <v>2030.01</v>
      </c>
      <c r="B442" s="120" t="e">
        <v>#N/A</v>
      </c>
      <c r="C442" s="1684" t="e">
        <v>#N/A</v>
      </c>
      <c r="D442" s="255" t="e">
        <v>#N/A</v>
      </c>
      <c r="E442" s="1686" t="e">
        <v>#N/A</v>
      </c>
      <c r="F442" s="1684" t="e">
        <v>#N/A</v>
      </c>
      <c r="G442" s="255" t="e">
        <v>#N/A</v>
      </c>
      <c r="H442" s="1686" t="e">
        <v>#N/A</v>
      </c>
      <c r="I442" s="1684" t="e">
        <v>#N/A</v>
      </c>
      <c r="J442" s="255" t="e">
        <v>#N/A</v>
      </c>
      <c r="K442" s="1686" t="e">
        <v>#N/A</v>
      </c>
      <c r="L442" s="1684" t="e">
        <v>#N/A</v>
      </c>
      <c r="M442" s="1895" t="e">
        <v>#N/A</v>
      </c>
      <c r="N442" s="2894" t="e">
        <f t="shared" si="6"/>
        <v>#N/A</v>
      </c>
      <c r="O442" s="1684" t="e">
        <v>#N/A</v>
      </c>
      <c r="P442" s="1684" t="e">
        <v>#N/A</v>
      </c>
      <c r="Q442" s="255" t="e">
        <v>#N/A</v>
      </c>
    </row>
    <row r="443" spans="1:17">
      <c r="A443" s="134">
        <f t="shared" si="7"/>
        <v>2030.02</v>
      </c>
      <c r="B443" s="120" t="e">
        <v>#N/A</v>
      </c>
      <c r="C443" s="1684" t="e">
        <v>#N/A</v>
      </c>
      <c r="D443" s="255" t="e">
        <v>#N/A</v>
      </c>
      <c r="E443" s="1686" t="e">
        <v>#N/A</v>
      </c>
      <c r="F443" s="1684" t="e">
        <v>#N/A</v>
      </c>
      <c r="G443" s="255" t="e">
        <v>#N/A</v>
      </c>
      <c r="H443" s="1686" t="e">
        <v>#N/A</v>
      </c>
      <c r="I443" s="1684" t="e">
        <v>#N/A</v>
      </c>
      <c r="J443" s="255" t="e">
        <v>#N/A</v>
      </c>
      <c r="K443" s="1686" t="e">
        <v>#N/A</v>
      </c>
      <c r="L443" s="1684" t="e">
        <v>#N/A</v>
      </c>
      <c r="M443" s="1895" t="e">
        <v>#N/A</v>
      </c>
      <c r="N443" s="2894" t="e">
        <f t="shared" ref="N443:N453" si="8">SUM(O443:Q443)</f>
        <v>#N/A</v>
      </c>
      <c r="O443" s="1684" t="e">
        <v>#N/A</v>
      </c>
      <c r="P443" s="1684" t="e">
        <v>#N/A</v>
      </c>
      <c r="Q443" s="255" t="e">
        <v>#N/A</v>
      </c>
    </row>
    <row r="444" spans="1:17">
      <c r="A444" s="134">
        <f t="shared" si="7"/>
        <v>2030.03</v>
      </c>
      <c r="B444" s="120" t="e">
        <v>#N/A</v>
      </c>
      <c r="C444" s="1684" t="e">
        <v>#N/A</v>
      </c>
      <c r="D444" s="255" t="e">
        <v>#N/A</v>
      </c>
      <c r="E444" s="1686" t="e">
        <v>#N/A</v>
      </c>
      <c r="F444" s="1684" t="e">
        <v>#N/A</v>
      </c>
      <c r="G444" s="255" t="e">
        <v>#N/A</v>
      </c>
      <c r="H444" s="1686" t="e">
        <v>#N/A</v>
      </c>
      <c r="I444" s="1684" t="e">
        <v>#N/A</v>
      </c>
      <c r="J444" s="255" t="e">
        <v>#N/A</v>
      </c>
      <c r="K444" s="1686" t="e">
        <v>#N/A</v>
      </c>
      <c r="L444" s="1684" t="e">
        <v>#N/A</v>
      </c>
      <c r="M444" s="1895" t="e">
        <v>#N/A</v>
      </c>
      <c r="N444" s="2894" t="e">
        <f t="shared" si="8"/>
        <v>#N/A</v>
      </c>
      <c r="O444" s="1684" t="e">
        <v>#N/A</v>
      </c>
      <c r="P444" s="1684" t="e">
        <v>#N/A</v>
      </c>
      <c r="Q444" s="255" t="e">
        <v>#N/A</v>
      </c>
    </row>
    <row r="445" spans="1:17">
      <c r="A445" s="134">
        <f t="shared" si="7"/>
        <v>2030.04</v>
      </c>
      <c r="B445" s="120" t="e">
        <v>#N/A</v>
      </c>
      <c r="C445" s="1684" t="e">
        <v>#N/A</v>
      </c>
      <c r="D445" s="255" t="e">
        <v>#N/A</v>
      </c>
      <c r="E445" s="1686" t="e">
        <v>#N/A</v>
      </c>
      <c r="F445" s="1684" t="e">
        <v>#N/A</v>
      </c>
      <c r="G445" s="255" t="e">
        <v>#N/A</v>
      </c>
      <c r="H445" s="1686" t="e">
        <v>#N/A</v>
      </c>
      <c r="I445" s="1684" t="e">
        <v>#N/A</v>
      </c>
      <c r="J445" s="255" t="e">
        <v>#N/A</v>
      </c>
      <c r="K445" s="1686" t="e">
        <v>#N/A</v>
      </c>
      <c r="L445" s="1684" t="e">
        <v>#N/A</v>
      </c>
      <c r="M445" s="1895" t="e">
        <v>#N/A</v>
      </c>
      <c r="N445" s="2894" t="e">
        <f t="shared" si="8"/>
        <v>#N/A</v>
      </c>
      <c r="O445" s="1684" t="e">
        <v>#N/A</v>
      </c>
      <c r="P445" s="1684" t="e">
        <v>#N/A</v>
      </c>
      <c r="Q445" s="255" t="e">
        <v>#N/A</v>
      </c>
    </row>
    <row r="446" spans="1:17">
      <c r="A446" s="134">
        <f t="shared" si="7"/>
        <v>2030.05</v>
      </c>
      <c r="B446" s="120" t="e">
        <v>#N/A</v>
      </c>
      <c r="C446" s="1684" t="e">
        <v>#N/A</v>
      </c>
      <c r="D446" s="255" t="e">
        <v>#N/A</v>
      </c>
      <c r="E446" s="1686" t="e">
        <v>#N/A</v>
      </c>
      <c r="F446" s="1684" t="e">
        <v>#N/A</v>
      </c>
      <c r="G446" s="255" t="e">
        <v>#N/A</v>
      </c>
      <c r="H446" s="1686" t="e">
        <v>#N/A</v>
      </c>
      <c r="I446" s="1684" t="e">
        <v>#N/A</v>
      </c>
      <c r="J446" s="255" t="e">
        <v>#N/A</v>
      </c>
      <c r="K446" s="1686" t="e">
        <v>#N/A</v>
      </c>
      <c r="L446" s="1684" t="e">
        <v>#N/A</v>
      </c>
      <c r="M446" s="1895" t="e">
        <v>#N/A</v>
      </c>
      <c r="N446" s="2894" t="e">
        <f t="shared" si="8"/>
        <v>#N/A</v>
      </c>
      <c r="O446" s="1684" t="e">
        <v>#N/A</v>
      </c>
      <c r="P446" s="1684" t="e">
        <v>#N/A</v>
      </c>
      <c r="Q446" s="255" t="e">
        <v>#N/A</v>
      </c>
    </row>
    <row r="447" spans="1:17">
      <c r="A447" s="134">
        <f t="shared" si="7"/>
        <v>2030.06</v>
      </c>
      <c r="B447" s="120" t="e">
        <v>#N/A</v>
      </c>
      <c r="C447" s="1684" t="e">
        <v>#N/A</v>
      </c>
      <c r="D447" s="255" t="e">
        <v>#N/A</v>
      </c>
      <c r="E447" s="1686" t="e">
        <v>#N/A</v>
      </c>
      <c r="F447" s="1684" t="e">
        <v>#N/A</v>
      </c>
      <c r="G447" s="255" t="e">
        <v>#N/A</v>
      </c>
      <c r="H447" s="1686" t="e">
        <v>#N/A</v>
      </c>
      <c r="I447" s="1684" t="e">
        <v>#N/A</v>
      </c>
      <c r="J447" s="255" t="e">
        <v>#N/A</v>
      </c>
      <c r="K447" s="1686" t="e">
        <v>#N/A</v>
      </c>
      <c r="L447" s="1684" t="e">
        <v>#N/A</v>
      </c>
      <c r="M447" s="1895" t="e">
        <v>#N/A</v>
      </c>
      <c r="N447" s="2894" t="e">
        <f t="shared" si="8"/>
        <v>#N/A</v>
      </c>
      <c r="O447" s="1684" t="e">
        <v>#N/A</v>
      </c>
      <c r="P447" s="1684" t="e">
        <v>#N/A</v>
      </c>
      <c r="Q447" s="255" t="e">
        <v>#N/A</v>
      </c>
    </row>
    <row r="448" spans="1:17">
      <c r="A448" s="134">
        <f t="shared" si="7"/>
        <v>2030.07</v>
      </c>
      <c r="B448" s="120" t="e">
        <v>#N/A</v>
      </c>
      <c r="C448" s="1684" t="e">
        <v>#N/A</v>
      </c>
      <c r="D448" s="255" t="e">
        <v>#N/A</v>
      </c>
      <c r="E448" s="1686" t="e">
        <v>#N/A</v>
      </c>
      <c r="F448" s="1684" t="e">
        <v>#N/A</v>
      </c>
      <c r="G448" s="255" t="e">
        <v>#N/A</v>
      </c>
      <c r="H448" s="1686" t="e">
        <v>#N/A</v>
      </c>
      <c r="I448" s="1684" t="e">
        <v>#N/A</v>
      </c>
      <c r="J448" s="255" t="e">
        <v>#N/A</v>
      </c>
      <c r="K448" s="1686" t="e">
        <v>#N/A</v>
      </c>
      <c r="L448" s="1684" t="e">
        <v>#N/A</v>
      </c>
      <c r="M448" s="1895" t="e">
        <v>#N/A</v>
      </c>
      <c r="N448" s="2894" t="e">
        <f t="shared" si="8"/>
        <v>#N/A</v>
      </c>
      <c r="O448" s="1684" t="e">
        <v>#N/A</v>
      </c>
      <c r="P448" s="1684" t="e">
        <v>#N/A</v>
      </c>
      <c r="Q448" s="255" t="e">
        <v>#N/A</v>
      </c>
    </row>
    <row r="449" spans="1:17">
      <c r="A449" s="134">
        <f t="shared" si="7"/>
        <v>2030.08</v>
      </c>
      <c r="B449" s="120" t="e">
        <v>#N/A</v>
      </c>
      <c r="C449" s="1684" t="e">
        <v>#N/A</v>
      </c>
      <c r="D449" s="255" t="e">
        <v>#N/A</v>
      </c>
      <c r="E449" s="1686" t="e">
        <v>#N/A</v>
      </c>
      <c r="F449" s="1684" t="e">
        <v>#N/A</v>
      </c>
      <c r="G449" s="255" t="e">
        <v>#N/A</v>
      </c>
      <c r="H449" s="1686" t="e">
        <v>#N/A</v>
      </c>
      <c r="I449" s="1684" t="e">
        <v>#N/A</v>
      </c>
      <c r="J449" s="255" t="e">
        <v>#N/A</v>
      </c>
      <c r="K449" s="1686" t="e">
        <v>#N/A</v>
      </c>
      <c r="L449" s="1684" t="e">
        <v>#N/A</v>
      </c>
      <c r="M449" s="1895" t="e">
        <v>#N/A</v>
      </c>
      <c r="N449" s="2894" t="e">
        <f t="shared" si="8"/>
        <v>#N/A</v>
      </c>
      <c r="O449" s="1684" t="e">
        <v>#N/A</v>
      </c>
      <c r="P449" s="1684" t="e">
        <v>#N/A</v>
      </c>
      <c r="Q449" s="255" t="e">
        <v>#N/A</v>
      </c>
    </row>
    <row r="450" spans="1:17">
      <c r="A450" s="134">
        <f t="shared" si="7"/>
        <v>2030.09</v>
      </c>
      <c r="B450" s="120" t="e">
        <v>#N/A</v>
      </c>
      <c r="C450" s="1684" t="e">
        <v>#N/A</v>
      </c>
      <c r="D450" s="255" t="e">
        <v>#N/A</v>
      </c>
      <c r="E450" s="1686" t="e">
        <v>#N/A</v>
      </c>
      <c r="F450" s="1684" t="e">
        <v>#N/A</v>
      </c>
      <c r="G450" s="255" t="e">
        <v>#N/A</v>
      </c>
      <c r="H450" s="1686" t="e">
        <v>#N/A</v>
      </c>
      <c r="I450" s="1684" t="e">
        <v>#N/A</v>
      </c>
      <c r="J450" s="255" t="e">
        <v>#N/A</v>
      </c>
      <c r="K450" s="1686" t="e">
        <v>#N/A</v>
      </c>
      <c r="L450" s="1684" t="e">
        <v>#N/A</v>
      </c>
      <c r="M450" s="1895" t="e">
        <v>#N/A</v>
      </c>
      <c r="N450" s="2894" t="e">
        <f t="shared" si="8"/>
        <v>#N/A</v>
      </c>
      <c r="O450" s="1684" t="e">
        <v>#N/A</v>
      </c>
      <c r="P450" s="1684" t="e">
        <v>#N/A</v>
      </c>
      <c r="Q450" s="255" t="e">
        <v>#N/A</v>
      </c>
    </row>
    <row r="451" spans="1:17">
      <c r="A451" s="134">
        <f t="shared" si="7"/>
        <v>2030.1</v>
      </c>
      <c r="B451" s="120" t="e">
        <v>#N/A</v>
      </c>
      <c r="C451" s="1684" t="e">
        <v>#N/A</v>
      </c>
      <c r="D451" s="255" t="e">
        <v>#N/A</v>
      </c>
      <c r="E451" s="1686" t="e">
        <v>#N/A</v>
      </c>
      <c r="F451" s="1684" t="e">
        <v>#N/A</v>
      </c>
      <c r="G451" s="255" t="e">
        <v>#N/A</v>
      </c>
      <c r="H451" s="1686" t="e">
        <v>#N/A</v>
      </c>
      <c r="I451" s="1684" t="e">
        <v>#N/A</v>
      </c>
      <c r="J451" s="255" t="e">
        <v>#N/A</v>
      </c>
      <c r="K451" s="1686" t="e">
        <v>#N/A</v>
      </c>
      <c r="L451" s="1684" t="e">
        <v>#N/A</v>
      </c>
      <c r="M451" s="1895" t="e">
        <v>#N/A</v>
      </c>
      <c r="N451" s="2894" t="e">
        <f t="shared" si="8"/>
        <v>#N/A</v>
      </c>
      <c r="O451" s="1684" t="e">
        <v>#N/A</v>
      </c>
      <c r="P451" s="1684" t="e">
        <v>#N/A</v>
      </c>
      <c r="Q451" s="255" t="e">
        <v>#N/A</v>
      </c>
    </row>
    <row r="452" spans="1:17">
      <c r="A452" s="134">
        <f t="shared" si="7"/>
        <v>2030.11</v>
      </c>
      <c r="B452" s="120" t="e">
        <v>#N/A</v>
      </c>
      <c r="C452" s="1684" t="e">
        <v>#N/A</v>
      </c>
      <c r="D452" s="255" t="e">
        <v>#N/A</v>
      </c>
      <c r="E452" s="1686" t="e">
        <v>#N/A</v>
      </c>
      <c r="F452" s="1684" t="e">
        <v>#N/A</v>
      </c>
      <c r="G452" s="255" t="e">
        <v>#N/A</v>
      </c>
      <c r="H452" s="1686" t="e">
        <v>#N/A</v>
      </c>
      <c r="I452" s="1684" t="e">
        <v>#N/A</v>
      </c>
      <c r="J452" s="255" t="e">
        <v>#N/A</v>
      </c>
      <c r="K452" s="1686" t="e">
        <v>#N/A</v>
      </c>
      <c r="L452" s="1684" t="e">
        <v>#N/A</v>
      </c>
      <c r="M452" s="1895" t="e">
        <v>#N/A</v>
      </c>
      <c r="N452" s="2894" t="e">
        <f t="shared" si="8"/>
        <v>#N/A</v>
      </c>
      <c r="O452" s="1684" t="e">
        <v>#N/A</v>
      </c>
      <c r="P452" s="1684" t="e">
        <v>#N/A</v>
      </c>
      <c r="Q452" s="255" t="e">
        <v>#N/A</v>
      </c>
    </row>
    <row r="453" spans="1:17">
      <c r="A453" s="134">
        <f t="shared" si="7"/>
        <v>2030.12</v>
      </c>
      <c r="B453" s="120" t="e">
        <v>#N/A</v>
      </c>
      <c r="C453" s="1684" t="e">
        <v>#N/A</v>
      </c>
      <c r="D453" s="255" t="e">
        <v>#N/A</v>
      </c>
      <c r="E453" s="1686" t="e">
        <v>#N/A</v>
      </c>
      <c r="F453" s="1684" t="e">
        <v>#N/A</v>
      </c>
      <c r="G453" s="255" t="e">
        <v>#N/A</v>
      </c>
      <c r="H453" s="1686" t="e">
        <v>#N/A</v>
      </c>
      <c r="I453" s="1684" t="e">
        <v>#N/A</v>
      </c>
      <c r="J453" s="255" t="e">
        <v>#N/A</v>
      </c>
      <c r="K453" s="1686" t="e">
        <v>#N/A</v>
      </c>
      <c r="L453" s="1684" t="e">
        <v>#N/A</v>
      </c>
      <c r="M453" s="1895" t="e">
        <v>#N/A</v>
      </c>
      <c r="N453" s="2894" t="e">
        <f t="shared" si="8"/>
        <v>#N/A</v>
      </c>
      <c r="O453" s="1684" t="e">
        <v>#N/A</v>
      </c>
      <c r="P453" s="1684" t="e">
        <v>#N/A</v>
      </c>
      <c r="Q453" s="255" t="e">
        <v>#N/A</v>
      </c>
    </row>
  </sheetData>
  <phoneticPr fontId="0" type="noConversion"/>
  <hyperlinks>
    <hyperlink ref="A5" location="INDICE!A13" display="VOLVER AL INDICE" xr:uid="{00000000-0004-0000-1A00-000000000000}"/>
  </hyperlinks>
  <pageMargins left="0.75" right="0.75" top="1" bottom="1" header="0" footer="0"/>
  <pageSetup paperSize="9" orientation="portrait"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33"/>
  <sheetViews>
    <sheetView zoomScale="115" zoomScaleNormal="115" workbookViewId="0">
      <pane xSplit="1" ySplit="9" topLeftCell="B83"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42578125" style="19" bestFit="1" customWidth="1"/>
    <col min="2" max="9" width="13.42578125" style="2422" customWidth="1"/>
    <col min="10" max="13" width="11.42578125" style="2422"/>
    <col min="14" max="16384" width="11.42578125" style="784"/>
  </cols>
  <sheetData>
    <row r="1" spans="1:13" ht="5.25" customHeight="1">
      <c r="A1" s="897"/>
      <c r="B1" s="784"/>
      <c r="C1" s="784"/>
      <c r="D1" s="784"/>
      <c r="E1" s="813"/>
      <c r="F1" s="784"/>
      <c r="G1" s="784"/>
      <c r="H1" s="784"/>
      <c r="I1" s="814"/>
      <c r="J1" s="784"/>
      <c r="K1" s="784"/>
      <c r="L1" s="784"/>
      <c r="M1" s="804"/>
    </row>
    <row r="2" spans="1:13" ht="40.15" customHeight="1">
      <c r="A2" s="195" t="s">
        <v>212</v>
      </c>
      <c r="B2" s="820" t="s">
        <v>1053</v>
      </c>
      <c r="C2" s="788"/>
      <c r="D2" s="810"/>
      <c r="E2" s="805" t="s">
        <v>1054</v>
      </c>
      <c r="F2" s="805"/>
      <c r="G2" s="805"/>
      <c r="H2" s="789"/>
      <c r="I2" s="789"/>
      <c r="J2" s="795" t="s">
        <v>1039</v>
      </c>
      <c r="K2" s="787"/>
      <c r="L2" s="787"/>
      <c r="M2" s="790"/>
    </row>
    <row r="3" spans="1:13">
      <c r="A3" s="195" t="s">
        <v>211</v>
      </c>
      <c r="B3" s="795" t="s">
        <v>1055</v>
      </c>
      <c r="C3" s="788"/>
      <c r="D3" s="810"/>
      <c r="E3" s="788"/>
      <c r="F3" s="788"/>
      <c r="G3" s="788"/>
      <c r="H3" s="789"/>
      <c r="I3" s="789"/>
      <c r="J3" s="795" t="s">
        <v>1045</v>
      </c>
      <c r="K3" s="791"/>
      <c r="L3" s="791"/>
      <c r="M3" s="792"/>
    </row>
    <row r="4" spans="1:13" ht="5.25" customHeight="1">
      <c r="A4" s="196"/>
      <c r="B4" s="806"/>
      <c r="C4" s="807"/>
      <c r="D4" s="807"/>
      <c r="E4" s="815"/>
      <c r="F4" s="807"/>
      <c r="G4" s="807"/>
      <c r="H4" s="807"/>
      <c r="I4" s="816"/>
      <c r="J4" s="808"/>
      <c r="K4" s="807"/>
      <c r="L4" s="807"/>
      <c r="M4" s="809"/>
    </row>
    <row r="5" spans="1:13" ht="22.5">
      <c r="A5" s="45" t="s">
        <v>213</v>
      </c>
      <c r="B5" s="1695" t="s">
        <v>1040</v>
      </c>
      <c r="C5" s="1700" t="s">
        <v>1041</v>
      </c>
      <c r="D5" s="1695" t="s">
        <v>279</v>
      </c>
      <c r="E5" s="811" t="s">
        <v>53</v>
      </c>
      <c r="F5" s="1700" t="s">
        <v>54</v>
      </c>
      <c r="G5" s="1695" t="s">
        <v>1042</v>
      </c>
      <c r="H5" s="1700" t="s">
        <v>1043</v>
      </c>
      <c r="I5" s="796" t="s">
        <v>279</v>
      </c>
      <c r="J5" s="1711" t="s">
        <v>1042</v>
      </c>
      <c r="K5" s="1714" t="s">
        <v>53</v>
      </c>
      <c r="L5" s="1714" t="s">
        <v>54</v>
      </c>
      <c r="M5" s="1718" t="s">
        <v>1043</v>
      </c>
    </row>
    <row r="6" spans="1:13" ht="6.75" customHeight="1">
      <c r="A6" s="196"/>
      <c r="B6" s="793"/>
      <c r="C6" s="1701"/>
      <c r="D6" s="793"/>
      <c r="E6" s="817"/>
      <c r="F6" s="1701"/>
      <c r="G6" s="793"/>
      <c r="H6" s="1701"/>
      <c r="I6" s="818"/>
      <c r="J6" s="793"/>
      <c r="K6" s="1701"/>
      <c r="L6" s="1701"/>
      <c r="M6" s="794"/>
    </row>
    <row r="7" spans="1:13" ht="22.5">
      <c r="A7" s="195" t="s">
        <v>210</v>
      </c>
      <c r="B7" s="1695" t="s">
        <v>1044</v>
      </c>
      <c r="C7" s="1700" t="s">
        <v>1044</v>
      </c>
      <c r="D7" s="1695" t="s">
        <v>1044</v>
      </c>
      <c r="E7" s="811" t="s">
        <v>227</v>
      </c>
      <c r="F7" s="1700" t="s">
        <v>227</v>
      </c>
      <c r="G7" s="1695" t="s">
        <v>227</v>
      </c>
      <c r="H7" s="1700" t="s">
        <v>227</v>
      </c>
      <c r="I7" s="796" t="s">
        <v>227</v>
      </c>
      <c r="J7" s="1695" t="s">
        <v>1044</v>
      </c>
      <c r="K7" s="1700" t="s">
        <v>1044</v>
      </c>
      <c r="L7" s="1700" t="s">
        <v>1044</v>
      </c>
      <c r="M7" s="1719" t="s">
        <v>1044</v>
      </c>
    </row>
    <row r="8" spans="1:13">
      <c r="A8" s="210" t="s">
        <v>412</v>
      </c>
      <c r="B8" s="397" t="s">
        <v>1216</v>
      </c>
      <c r="C8" s="1290" t="s">
        <v>1217</v>
      </c>
      <c r="D8" s="397" t="s">
        <v>1218</v>
      </c>
      <c r="E8" s="398" t="s">
        <v>1219</v>
      </c>
      <c r="F8" s="1290" t="s">
        <v>1220</v>
      </c>
      <c r="G8" s="397" t="s">
        <v>1221</v>
      </c>
      <c r="H8" s="1290" t="s">
        <v>1222</v>
      </c>
      <c r="I8" s="396" t="s">
        <v>1223</v>
      </c>
      <c r="J8" s="398" t="s">
        <v>1224</v>
      </c>
      <c r="K8" s="1290" t="s">
        <v>1225</v>
      </c>
      <c r="L8" s="1290" t="s">
        <v>1226</v>
      </c>
      <c r="M8" s="391" t="s">
        <v>1227</v>
      </c>
    </row>
    <row r="9" spans="1:13">
      <c r="A9" s="195"/>
      <c r="B9" s="1696"/>
      <c r="C9" s="1702"/>
      <c r="D9" s="1696"/>
      <c r="E9" s="812"/>
      <c r="F9" s="1702"/>
      <c r="G9" s="1696"/>
      <c r="H9" s="1702"/>
      <c r="I9" s="797"/>
      <c r="J9" s="1696"/>
      <c r="K9" s="1702"/>
      <c r="L9" s="1702"/>
      <c r="M9" s="1720"/>
    </row>
    <row r="10" spans="1:13">
      <c r="A10" s="800">
        <v>2002.1</v>
      </c>
      <c r="B10" s="360">
        <v>858</v>
      </c>
      <c r="C10" s="1703">
        <v>101</v>
      </c>
      <c r="D10" s="1697">
        <f t="shared" ref="D10:D41" si="0">B10+C10</f>
        <v>959</v>
      </c>
      <c r="E10" s="1705">
        <v>11.3</v>
      </c>
      <c r="F10" s="1707">
        <v>5</v>
      </c>
      <c r="G10" s="1708">
        <v>10.5</v>
      </c>
      <c r="H10" s="1707">
        <v>14.4</v>
      </c>
      <c r="I10" s="821">
        <v>41.1</v>
      </c>
      <c r="J10" s="1712"/>
      <c r="K10" s="1715"/>
      <c r="L10" s="1715"/>
      <c r="M10" s="1721"/>
    </row>
    <row r="11" spans="1:13">
      <c r="A11" s="800">
        <v>2002.2</v>
      </c>
      <c r="B11" s="479">
        <v>1408</v>
      </c>
      <c r="C11" s="1704">
        <v>305</v>
      </c>
      <c r="D11" s="1698">
        <f t="shared" si="0"/>
        <v>1713</v>
      </c>
      <c r="E11" s="1173">
        <v>38.5</v>
      </c>
      <c r="F11" s="1178">
        <v>17.3</v>
      </c>
      <c r="G11" s="1173">
        <v>39.6</v>
      </c>
      <c r="H11" s="1178">
        <v>18.3</v>
      </c>
      <c r="I11" s="1709">
        <v>113.69999999999999</v>
      </c>
      <c r="J11" s="1712"/>
      <c r="K11" s="1715"/>
      <c r="L11" s="1715"/>
      <c r="M11" s="1721"/>
    </row>
    <row r="12" spans="1:13">
      <c r="A12" s="800">
        <v>2002.3</v>
      </c>
      <c r="B12" s="479">
        <v>2381</v>
      </c>
      <c r="C12" s="1704">
        <v>437</v>
      </c>
      <c r="D12" s="1698">
        <f t="shared" si="0"/>
        <v>2818</v>
      </c>
      <c r="E12" s="1175">
        <v>42.7</v>
      </c>
      <c r="F12" s="1178">
        <v>40</v>
      </c>
      <c r="G12" s="1173">
        <v>77.599999999999994</v>
      </c>
      <c r="H12" s="1178">
        <v>26.3</v>
      </c>
      <c r="I12" s="1709">
        <v>186.6</v>
      </c>
      <c r="J12" s="1712"/>
      <c r="K12" s="1715"/>
      <c r="L12" s="1715"/>
      <c r="M12" s="1721"/>
    </row>
    <row r="13" spans="1:13">
      <c r="A13" s="800">
        <v>2002.4</v>
      </c>
      <c r="B13" s="479">
        <v>3160</v>
      </c>
      <c r="C13" s="1704">
        <v>779</v>
      </c>
      <c r="D13" s="1698">
        <f t="shared" si="0"/>
        <v>3939</v>
      </c>
      <c r="E13" s="1175">
        <v>86.7</v>
      </c>
      <c r="F13" s="1178">
        <v>50.2</v>
      </c>
      <c r="G13" s="1173">
        <v>83.4</v>
      </c>
      <c r="H13" s="1178">
        <v>51.6</v>
      </c>
      <c r="I13" s="1709">
        <v>271.89999999999998</v>
      </c>
      <c r="J13" s="1712"/>
      <c r="K13" s="1715"/>
      <c r="L13" s="1715"/>
      <c r="M13" s="1721"/>
    </row>
    <row r="14" spans="1:13">
      <c r="A14" s="800">
        <f>A10+1</f>
        <v>2003.1</v>
      </c>
      <c r="B14" s="479">
        <v>1939</v>
      </c>
      <c r="C14" s="1704">
        <v>1025</v>
      </c>
      <c r="D14" s="1698">
        <f t="shared" si="0"/>
        <v>2964</v>
      </c>
      <c r="E14" s="1175">
        <v>146.19999999999999</v>
      </c>
      <c r="F14" s="1178">
        <v>32.4</v>
      </c>
      <c r="G14" s="1173">
        <v>48.1</v>
      </c>
      <c r="H14" s="1178">
        <v>42.8</v>
      </c>
      <c r="I14" s="1709">
        <v>269.5</v>
      </c>
      <c r="J14" s="1712"/>
      <c r="K14" s="1715"/>
      <c r="L14" s="1715"/>
      <c r="M14" s="1721"/>
    </row>
    <row r="15" spans="1:13">
      <c r="A15" s="800">
        <f t="shared" ref="A15:A78" si="1">A11+1</f>
        <v>2003.2</v>
      </c>
      <c r="B15" s="479">
        <v>2685</v>
      </c>
      <c r="C15" s="1704">
        <v>1296</v>
      </c>
      <c r="D15" s="1698">
        <f t="shared" si="0"/>
        <v>3981</v>
      </c>
      <c r="E15" s="1175">
        <v>133.5</v>
      </c>
      <c r="F15" s="1178">
        <v>72.8</v>
      </c>
      <c r="G15" s="1173">
        <v>97.6</v>
      </c>
      <c r="H15" s="1178">
        <v>43.5</v>
      </c>
      <c r="I15" s="1709">
        <v>347.4</v>
      </c>
      <c r="J15" s="1712"/>
      <c r="K15" s="1715"/>
      <c r="L15" s="1715"/>
      <c r="M15" s="1721"/>
    </row>
    <row r="16" spans="1:13">
      <c r="A16" s="800">
        <f t="shared" si="1"/>
        <v>2003.3</v>
      </c>
      <c r="B16" s="479">
        <v>3232</v>
      </c>
      <c r="C16" s="1704">
        <v>2002</v>
      </c>
      <c r="D16" s="1698">
        <f t="shared" si="0"/>
        <v>5234</v>
      </c>
      <c r="E16" s="1175">
        <v>143.5</v>
      </c>
      <c r="F16" s="1178">
        <v>140.6</v>
      </c>
      <c r="G16" s="1173">
        <v>124.1</v>
      </c>
      <c r="H16" s="1178">
        <v>51.3</v>
      </c>
      <c r="I16" s="1709">
        <v>459.5</v>
      </c>
      <c r="J16" s="1712"/>
      <c r="K16" s="1715"/>
      <c r="L16" s="1715"/>
      <c r="M16" s="1721"/>
    </row>
    <row r="17" spans="1:13">
      <c r="A17" s="800">
        <f t="shared" si="1"/>
        <v>2003.4</v>
      </c>
      <c r="B17" s="479">
        <v>4174</v>
      </c>
      <c r="C17" s="1704">
        <v>2555</v>
      </c>
      <c r="D17" s="1698">
        <f t="shared" si="0"/>
        <v>6729</v>
      </c>
      <c r="E17" s="1175">
        <v>230.3</v>
      </c>
      <c r="F17" s="1178">
        <v>154.69999999999999</v>
      </c>
      <c r="G17" s="1173">
        <v>96.7</v>
      </c>
      <c r="H17" s="1178">
        <v>99</v>
      </c>
      <c r="I17" s="1709">
        <v>580.79999999999995</v>
      </c>
      <c r="J17" s="1712"/>
      <c r="K17" s="1715"/>
      <c r="L17" s="1715"/>
      <c r="M17" s="1721"/>
    </row>
    <row r="18" spans="1:13">
      <c r="A18" s="800">
        <f t="shared" si="1"/>
        <v>2004.1</v>
      </c>
      <c r="B18" s="479">
        <v>2732</v>
      </c>
      <c r="C18" s="1704">
        <v>3223</v>
      </c>
      <c r="D18" s="1698">
        <f t="shared" si="0"/>
        <v>5955</v>
      </c>
      <c r="E18" s="1175">
        <v>347</v>
      </c>
      <c r="F18" s="1178">
        <v>99</v>
      </c>
      <c r="G18" s="1173">
        <v>48.3</v>
      </c>
      <c r="H18" s="1178">
        <v>90.6</v>
      </c>
      <c r="I18" s="1709">
        <v>584.9</v>
      </c>
      <c r="J18" s="1712"/>
      <c r="K18" s="1715"/>
      <c r="L18" s="1715"/>
      <c r="M18" s="1721"/>
    </row>
    <row r="19" spans="1:13">
      <c r="A19" s="800">
        <f t="shared" si="1"/>
        <v>2004.2</v>
      </c>
      <c r="B19" s="479">
        <v>3329</v>
      </c>
      <c r="C19" s="1704">
        <v>2755</v>
      </c>
      <c r="D19" s="1698">
        <f t="shared" si="0"/>
        <v>6084</v>
      </c>
      <c r="E19" s="1175">
        <v>195.5</v>
      </c>
      <c r="F19" s="1178">
        <v>184.9</v>
      </c>
      <c r="G19" s="1173">
        <v>116.9</v>
      </c>
      <c r="H19" s="1178">
        <v>65.7</v>
      </c>
      <c r="I19" s="1709">
        <v>563</v>
      </c>
      <c r="J19" s="1712"/>
      <c r="K19" s="1715"/>
      <c r="L19" s="1715"/>
      <c r="M19" s="1721"/>
    </row>
    <row r="20" spans="1:13">
      <c r="A20" s="800">
        <f t="shared" si="1"/>
        <v>2004.3</v>
      </c>
      <c r="B20" s="479">
        <v>3790</v>
      </c>
      <c r="C20" s="1704">
        <v>2750</v>
      </c>
      <c r="D20" s="1698">
        <f t="shared" si="0"/>
        <v>6540</v>
      </c>
      <c r="E20" s="1175">
        <v>173.6</v>
      </c>
      <c r="F20" s="1178">
        <v>173.4</v>
      </c>
      <c r="G20" s="1173">
        <v>138.4</v>
      </c>
      <c r="H20" s="1178">
        <v>98.7</v>
      </c>
      <c r="I20" s="1709">
        <v>580.5</v>
      </c>
      <c r="J20" s="1712"/>
      <c r="K20" s="1715"/>
      <c r="L20" s="1715"/>
      <c r="M20" s="1721"/>
    </row>
    <row r="21" spans="1:13">
      <c r="A21" s="800">
        <f t="shared" si="1"/>
        <v>2004.4</v>
      </c>
      <c r="B21" s="479">
        <v>3727</v>
      </c>
      <c r="C21" s="1704">
        <v>3277</v>
      </c>
      <c r="D21" s="1698">
        <f t="shared" si="0"/>
        <v>7004</v>
      </c>
      <c r="E21" s="1175">
        <v>274.8</v>
      </c>
      <c r="F21" s="1178">
        <v>155.5</v>
      </c>
      <c r="G21" s="1173">
        <v>85.5</v>
      </c>
      <c r="H21" s="1178">
        <v>146.5</v>
      </c>
      <c r="I21" s="1709">
        <v>662.3</v>
      </c>
      <c r="J21" s="1712"/>
      <c r="K21" s="1715"/>
      <c r="L21" s="1715"/>
      <c r="M21" s="1721"/>
    </row>
    <row r="22" spans="1:13">
      <c r="A22" s="800">
        <f t="shared" si="1"/>
        <v>2005.1</v>
      </c>
      <c r="B22" s="479">
        <v>2540</v>
      </c>
      <c r="C22" s="1704">
        <v>2118</v>
      </c>
      <c r="D22" s="1698">
        <f t="shared" si="0"/>
        <v>4658</v>
      </c>
      <c r="E22" s="1175">
        <v>268.39999999999998</v>
      </c>
      <c r="F22" s="1178">
        <v>89.5</v>
      </c>
      <c r="G22" s="1173">
        <v>40.6</v>
      </c>
      <c r="H22" s="1178">
        <v>101.2</v>
      </c>
      <c r="I22" s="1709">
        <v>499.7</v>
      </c>
      <c r="J22" s="1712"/>
      <c r="K22" s="1715"/>
      <c r="L22" s="1715"/>
      <c r="M22" s="1721"/>
    </row>
    <row r="23" spans="1:13">
      <c r="A23" s="800">
        <f t="shared" si="1"/>
        <v>2005.2</v>
      </c>
      <c r="B23" s="479">
        <v>3283</v>
      </c>
      <c r="C23" s="1704">
        <v>2075</v>
      </c>
      <c r="D23" s="1698">
        <f t="shared" si="0"/>
        <v>5358</v>
      </c>
      <c r="E23" s="1175">
        <v>136.19999999999999</v>
      </c>
      <c r="F23" s="1178">
        <v>170.4</v>
      </c>
      <c r="G23" s="1173">
        <v>107.7</v>
      </c>
      <c r="H23" s="1178">
        <v>85.3</v>
      </c>
      <c r="I23" s="1709">
        <v>499.6</v>
      </c>
      <c r="J23" s="1712"/>
      <c r="K23" s="1715"/>
      <c r="L23" s="1715"/>
      <c r="M23" s="1721"/>
    </row>
    <row r="24" spans="1:13">
      <c r="A24" s="800">
        <f t="shared" si="1"/>
        <v>2005.3</v>
      </c>
      <c r="B24" s="479">
        <v>3862</v>
      </c>
      <c r="C24" s="1704">
        <v>2726</v>
      </c>
      <c r="D24" s="1698">
        <f t="shared" si="0"/>
        <v>6588</v>
      </c>
      <c r="E24" s="1175">
        <v>125.9</v>
      </c>
      <c r="F24" s="1178">
        <v>228.6</v>
      </c>
      <c r="G24" s="1173">
        <v>139.6</v>
      </c>
      <c r="H24" s="1178">
        <v>98.4</v>
      </c>
      <c r="I24" s="1709">
        <v>592.5</v>
      </c>
      <c r="J24" s="1712"/>
      <c r="K24" s="1715"/>
      <c r="L24" s="1715"/>
      <c r="M24" s="1721"/>
    </row>
    <row r="25" spans="1:13">
      <c r="A25" s="800">
        <f t="shared" si="1"/>
        <v>2005.4</v>
      </c>
      <c r="B25" s="479">
        <v>3810</v>
      </c>
      <c r="C25" s="1704">
        <v>3461</v>
      </c>
      <c r="D25" s="1698">
        <f t="shared" si="0"/>
        <v>7271</v>
      </c>
      <c r="E25" s="1175">
        <v>309.8</v>
      </c>
      <c r="F25" s="1178">
        <v>178.7</v>
      </c>
      <c r="G25" s="1173">
        <v>101.9</v>
      </c>
      <c r="H25" s="1178">
        <v>145.1</v>
      </c>
      <c r="I25" s="1709">
        <v>735.6</v>
      </c>
      <c r="J25" s="1712"/>
      <c r="K25" s="1715"/>
      <c r="L25" s="1715"/>
      <c r="M25" s="1721"/>
    </row>
    <row r="26" spans="1:13">
      <c r="A26" s="800">
        <f t="shared" si="1"/>
        <v>2006.1</v>
      </c>
      <c r="B26" s="479">
        <v>2852</v>
      </c>
      <c r="C26" s="1704">
        <v>1727</v>
      </c>
      <c r="D26" s="1698">
        <f t="shared" si="0"/>
        <v>4579</v>
      </c>
      <c r="E26" s="1175">
        <v>278.10000000000002</v>
      </c>
      <c r="F26" s="1178">
        <v>89.3</v>
      </c>
      <c r="G26" s="1173">
        <v>54.5</v>
      </c>
      <c r="H26" s="1178">
        <v>98</v>
      </c>
      <c r="I26" s="1709">
        <v>519.90000000000009</v>
      </c>
      <c r="J26" s="1712"/>
      <c r="K26" s="1715"/>
      <c r="L26" s="1715"/>
      <c r="M26" s="1721"/>
    </row>
    <row r="27" spans="1:13">
      <c r="A27" s="800">
        <f t="shared" si="1"/>
        <v>2006.2</v>
      </c>
      <c r="B27" s="479">
        <v>3454</v>
      </c>
      <c r="C27" s="1704">
        <v>2076</v>
      </c>
      <c r="D27" s="1698">
        <f t="shared" si="0"/>
        <v>5530</v>
      </c>
      <c r="E27" s="1175">
        <v>108.1</v>
      </c>
      <c r="F27" s="1178">
        <v>164.3</v>
      </c>
      <c r="G27" s="1173">
        <v>135.1</v>
      </c>
      <c r="H27" s="1178">
        <v>90.8</v>
      </c>
      <c r="I27" s="1709">
        <v>498.3</v>
      </c>
      <c r="J27" s="1712"/>
      <c r="K27" s="1715"/>
      <c r="L27" s="1715"/>
      <c r="M27" s="1721"/>
    </row>
    <row r="28" spans="1:13">
      <c r="A28" s="800">
        <f t="shared" si="1"/>
        <v>2006.3</v>
      </c>
      <c r="B28" s="479">
        <v>3492</v>
      </c>
      <c r="C28" s="1704">
        <v>1933</v>
      </c>
      <c r="D28" s="1698">
        <f t="shared" si="0"/>
        <v>5425</v>
      </c>
      <c r="E28" s="1175">
        <v>90.6</v>
      </c>
      <c r="F28" s="1178">
        <v>193.7</v>
      </c>
      <c r="G28" s="1173">
        <v>144.4</v>
      </c>
      <c r="H28" s="1178">
        <v>97.3</v>
      </c>
      <c r="I28" s="1709">
        <v>526</v>
      </c>
      <c r="J28" s="1712"/>
      <c r="K28" s="1715"/>
      <c r="L28" s="1715"/>
      <c r="M28" s="1721"/>
    </row>
    <row r="29" spans="1:13">
      <c r="A29" s="800">
        <f t="shared" si="1"/>
        <v>2006.4</v>
      </c>
      <c r="B29" s="479">
        <v>3695</v>
      </c>
      <c r="C29" s="1704">
        <v>3045</v>
      </c>
      <c r="D29" s="1698">
        <f t="shared" si="0"/>
        <v>6740</v>
      </c>
      <c r="E29" s="1175">
        <v>275.5</v>
      </c>
      <c r="F29" s="1178">
        <v>185.9</v>
      </c>
      <c r="G29" s="1173">
        <v>107.6</v>
      </c>
      <c r="H29" s="1178">
        <v>135.6</v>
      </c>
      <c r="I29" s="1709">
        <v>704.5</v>
      </c>
      <c r="J29" s="1712"/>
      <c r="K29" s="1715"/>
      <c r="L29" s="1715"/>
      <c r="M29" s="1721"/>
    </row>
    <row r="30" spans="1:13">
      <c r="A30" s="800">
        <f t="shared" si="1"/>
        <v>2007.1</v>
      </c>
      <c r="B30" s="479">
        <v>3632</v>
      </c>
      <c r="C30" s="1704">
        <v>2029</v>
      </c>
      <c r="D30" s="1698">
        <f t="shared" si="0"/>
        <v>5661</v>
      </c>
      <c r="E30" s="1175">
        <v>355.9</v>
      </c>
      <c r="F30" s="1178">
        <v>117.3</v>
      </c>
      <c r="G30" s="1173">
        <v>79</v>
      </c>
      <c r="H30" s="1178">
        <v>140.30000000000001</v>
      </c>
      <c r="I30" s="1709">
        <v>692.5</v>
      </c>
      <c r="J30" s="1712"/>
      <c r="K30" s="1715"/>
      <c r="L30" s="1715"/>
      <c r="M30" s="1721"/>
    </row>
    <row r="31" spans="1:13">
      <c r="A31" s="800">
        <f t="shared" si="1"/>
        <v>2007.2</v>
      </c>
      <c r="B31" s="479">
        <v>4187</v>
      </c>
      <c r="C31" s="1704">
        <v>2341</v>
      </c>
      <c r="D31" s="1698">
        <f t="shared" si="0"/>
        <v>6528</v>
      </c>
      <c r="E31" s="1175">
        <v>149.80000000000001</v>
      </c>
      <c r="F31" s="1178">
        <v>260.3</v>
      </c>
      <c r="G31" s="1173">
        <v>134.19999999999999</v>
      </c>
      <c r="H31" s="1178">
        <v>123</v>
      </c>
      <c r="I31" s="1709">
        <v>667.3</v>
      </c>
      <c r="J31" s="1712"/>
      <c r="K31" s="1715"/>
      <c r="L31" s="1715"/>
      <c r="M31" s="1721"/>
    </row>
    <row r="32" spans="1:13">
      <c r="A32" s="800">
        <f t="shared" si="1"/>
        <v>2007.3</v>
      </c>
      <c r="B32" s="479">
        <v>4010</v>
      </c>
      <c r="C32" s="1704">
        <v>2999</v>
      </c>
      <c r="D32" s="1698">
        <f t="shared" si="0"/>
        <v>7009</v>
      </c>
      <c r="E32" s="1175">
        <v>198.5</v>
      </c>
      <c r="F32" s="1178">
        <v>297.7</v>
      </c>
      <c r="G32" s="1173">
        <v>178.9</v>
      </c>
      <c r="H32" s="1178">
        <v>131.4</v>
      </c>
      <c r="I32" s="1709">
        <v>806.5</v>
      </c>
      <c r="J32" s="1712"/>
      <c r="K32" s="1715"/>
      <c r="L32" s="1715"/>
      <c r="M32" s="1721"/>
    </row>
    <row r="33" spans="1:13">
      <c r="A33" s="800">
        <f t="shared" si="1"/>
        <v>2007.4</v>
      </c>
      <c r="B33" s="479">
        <v>4974</v>
      </c>
      <c r="C33" s="1704">
        <v>3876</v>
      </c>
      <c r="D33" s="1698">
        <f t="shared" si="0"/>
        <v>8850</v>
      </c>
      <c r="E33" s="1175">
        <v>422.1</v>
      </c>
      <c r="F33" s="1178">
        <v>332.2</v>
      </c>
      <c r="G33" s="1173">
        <v>162.5</v>
      </c>
      <c r="H33" s="1178">
        <v>225.5</v>
      </c>
      <c r="I33" s="1709">
        <v>1142.2</v>
      </c>
      <c r="J33" s="1712"/>
      <c r="K33" s="1715"/>
      <c r="L33" s="1715"/>
      <c r="M33" s="1721"/>
    </row>
    <row r="34" spans="1:13">
      <c r="A34" s="800">
        <f t="shared" si="1"/>
        <v>2008.1</v>
      </c>
      <c r="B34" s="479">
        <v>3310</v>
      </c>
      <c r="C34" s="1704">
        <v>3533</v>
      </c>
      <c r="D34" s="1698">
        <f t="shared" si="0"/>
        <v>6843</v>
      </c>
      <c r="E34" s="1175">
        <v>537.1</v>
      </c>
      <c r="F34" s="1178">
        <v>198</v>
      </c>
      <c r="G34" s="1173">
        <v>73.900000000000006</v>
      </c>
      <c r="H34" s="1178">
        <v>206.2</v>
      </c>
      <c r="I34" s="1709">
        <v>1015.2</v>
      </c>
      <c r="J34" s="1712"/>
      <c r="K34" s="1715"/>
      <c r="L34" s="1715"/>
      <c r="M34" s="1721"/>
    </row>
    <row r="35" spans="1:13">
      <c r="A35" s="800">
        <f t="shared" si="1"/>
        <v>2008.2</v>
      </c>
      <c r="B35" s="479">
        <v>3766</v>
      </c>
      <c r="C35" s="1704">
        <v>2794</v>
      </c>
      <c r="D35" s="1698">
        <f t="shared" si="0"/>
        <v>6560</v>
      </c>
      <c r="E35" s="1175">
        <v>264.2</v>
      </c>
      <c r="F35" s="1178">
        <v>245.6</v>
      </c>
      <c r="G35" s="1173">
        <v>173.4</v>
      </c>
      <c r="H35" s="1178">
        <v>175.1</v>
      </c>
      <c r="I35" s="1709">
        <v>858.3</v>
      </c>
      <c r="J35" s="1712"/>
      <c r="K35" s="1715"/>
      <c r="L35" s="1715"/>
      <c r="M35" s="1721"/>
    </row>
    <row r="36" spans="1:13">
      <c r="A36" s="800">
        <f t="shared" si="1"/>
        <v>2008.3</v>
      </c>
      <c r="B36" s="479">
        <v>3302</v>
      </c>
      <c r="C36" s="1704">
        <v>3697</v>
      </c>
      <c r="D36" s="1698">
        <f t="shared" si="0"/>
        <v>6999</v>
      </c>
      <c r="E36" s="1175">
        <v>234.2</v>
      </c>
      <c r="F36" s="1178">
        <v>400.4</v>
      </c>
      <c r="G36" s="1173">
        <v>220.7</v>
      </c>
      <c r="H36" s="1178">
        <v>139.19999999999999</v>
      </c>
      <c r="I36" s="1709">
        <v>994.5</v>
      </c>
      <c r="J36" s="1712"/>
      <c r="K36" s="1715"/>
      <c r="L36" s="1715"/>
      <c r="M36" s="1721"/>
    </row>
    <row r="37" spans="1:13">
      <c r="A37" s="800">
        <f t="shared" si="1"/>
        <v>2008.4</v>
      </c>
      <c r="B37" s="479">
        <v>3255</v>
      </c>
      <c r="C37" s="1704">
        <v>2985</v>
      </c>
      <c r="D37" s="1698">
        <f t="shared" si="0"/>
        <v>6240</v>
      </c>
      <c r="E37" s="1175">
        <v>324</v>
      </c>
      <c r="F37" s="1178">
        <v>267.7</v>
      </c>
      <c r="G37" s="1173">
        <v>147.4</v>
      </c>
      <c r="H37" s="1178">
        <v>170.5</v>
      </c>
      <c r="I37" s="1709">
        <v>909.6</v>
      </c>
      <c r="J37" s="1712"/>
      <c r="K37" s="1715"/>
      <c r="L37" s="1715"/>
      <c r="M37" s="1721"/>
    </row>
    <row r="38" spans="1:13">
      <c r="A38" s="800">
        <f t="shared" si="1"/>
        <v>2009.1</v>
      </c>
      <c r="B38" s="479">
        <v>1300</v>
      </c>
      <c r="C38" s="1704">
        <v>1353</v>
      </c>
      <c r="D38" s="1698">
        <f t="shared" si="0"/>
        <v>2653</v>
      </c>
      <c r="E38" s="1175">
        <v>152.4</v>
      </c>
      <c r="F38" s="1178">
        <v>55.7</v>
      </c>
      <c r="G38" s="1173">
        <v>25.1</v>
      </c>
      <c r="H38" s="1178">
        <v>73.2</v>
      </c>
      <c r="I38" s="1709">
        <v>306.39999999999998</v>
      </c>
      <c r="J38" s="1712"/>
      <c r="K38" s="1715"/>
      <c r="L38" s="1715"/>
      <c r="M38" s="1721"/>
    </row>
    <row r="39" spans="1:13">
      <c r="A39" s="800">
        <f t="shared" si="1"/>
        <v>2009.2</v>
      </c>
      <c r="B39" s="479">
        <v>2644</v>
      </c>
      <c r="C39" s="1704">
        <v>1125</v>
      </c>
      <c r="D39" s="1698">
        <f t="shared" si="0"/>
        <v>3769</v>
      </c>
      <c r="E39" s="1175">
        <v>93.2</v>
      </c>
      <c r="F39" s="1178">
        <v>260.8</v>
      </c>
      <c r="G39" s="1173">
        <v>93.1</v>
      </c>
      <c r="H39" s="1178">
        <v>113</v>
      </c>
      <c r="I39" s="1709">
        <v>560.1</v>
      </c>
      <c r="J39" s="1712"/>
      <c r="K39" s="1715"/>
      <c r="L39" s="1715"/>
      <c r="M39" s="1721"/>
    </row>
    <row r="40" spans="1:13">
      <c r="A40" s="800">
        <f t="shared" si="1"/>
        <v>2009.3</v>
      </c>
      <c r="B40" s="479">
        <v>2647</v>
      </c>
      <c r="C40" s="1704">
        <v>1431</v>
      </c>
      <c r="D40" s="1698">
        <f t="shared" si="0"/>
        <v>4078</v>
      </c>
      <c r="E40" s="1175">
        <v>101.6</v>
      </c>
      <c r="F40" s="1178">
        <v>236.1</v>
      </c>
      <c r="G40" s="1173">
        <v>204.5</v>
      </c>
      <c r="H40" s="1178">
        <v>152.69999999999999</v>
      </c>
      <c r="I40" s="1709">
        <v>694.9</v>
      </c>
      <c r="J40" s="1712"/>
      <c r="K40" s="1715"/>
      <c r="L40" s="1715"/>
      <c r="M40" s="1721"/>
    </row>
    <row r="41" spans="1:13">
      <c r="A41" s="800">
        <f t="shared" si="1"/>
        <v>2009.4</v>
      </c>
      <c r="B41" s="479">
        <v>3082</v>
      </c>
      <c r="C41" s="1704">
        <v>1869</v>
      </c>
      <c r="D41" s="1698">
        <f t="shared" si="0"/>
        <v>4951</v>
      </c>
      <c r="E41" s="1175">
        <v>133.30000000000001</v>
      </c>
      <c r="F41" s="1178">
        <v>198.3</v>
      </c>
      <c r="G41" s="1173">
        <v>181.5</v>
      </c>
      <c r="H41" s="1178">
        <v>180.1</v>
      </c>
      <c r="I41" s="1709">
        <v>693.4</v>
      </c>
      <c r="J41" s="1712"/>
      <c r="K41" s="1715"/>
      <c r="L41" s="1715"/>
      <c r="M41" s="1721"/>
    </row>
    <row r="42" spans="1:13">
      <c r="A42" s="800">
        <f t="shared" si="1"/>
        <v>2010.1</v>
      </c>
      <c r="B42" s="479">
        <v>2166</v>
      </c>
      <c r="C42" s="1704">
        <v>1897</v>
      </c>
      <c r="D42" s="1698">
        <f t="shared" ref="D42:D61" si="2">B42+C42</f>
        <v>4063</v>
      </c>
      <c r="E42" s="1175">
        <v>359.5</v>
      </c>
      <c r="F42" s="1178">
        <v>174.1</v>
      </c>
      <c r="G42" s="1173">
        <v>57.4</v>
      </c>
      <c r="H42" s="1178">
        <v>168.6</v>
      </c>
      <c r="I42" s="1709">
        <v>759.7</v>
      </c>
      <c r="J42" s="1712"/>
      <c r="K42" s="1715"/>
      <c r="L42" s="1715"/>
      <c r="M42" s="1721"/>
    </row>
    <row r="43" spans="1:13">
      <c r="A43" s="800">
        <f t="shared" si="1"/>
        <v>2010.2</v>
      </c>
      <c r="B43" s="479">
        <v>3454</v>
      </c>
      <c r="C43" s="1704">
        <v>1839</v>
      </c>
      <c r="D43" s="1698">
        <f t="shared" si="2"/>
        <v>5293</v>
      </c>
      <c r="E43" s="1175">
        <v>143.19999999999999</v>
      </c>
      <c r="F43" s="1178">
        <v>269.7</v>
      </c>
      <c r="G43" s="1173">
        <v>202.1</v>
      </c>
      <c r="H43" s="1178">
        <v>173</v>
      </c>
      <c r="I43" s="1709">
        <v>787.9</v>
      </c>
      <c r="J43" s="1712"/>
      <c r="K43" s="1715"/>
      <c r="L43" s="1715"/>
      <c r="M43" s="1721"/>
    </row>
    <row r="44" spans="1:13">
      <c r="A44" s="800">
        <f t="shared" si="1"/>
        <v>2010.3</v>
      </c>
      <c r="B44" s="479">
        <v>4855</v>
      </c>
      <c r="C44" s="1704">
        <v>2219</v>
      </c>
      <c r="D44" s="1698">
        <f t="shared" si="2"/>
        <v>7074</v>
      </c>
      <c r="E44" s="1175">
        <v>166.2</v>
      </c>
      <c r="F44" s="1178">
        <v>342.7</v>
      </c>
      <c r="G44" s="1173">
        <v>278.10000000000002</v>
      </c>
      <c r="H44" s="1178">
        <v>198.9</v>
      </c>
      <c r="I44" s="1709">
        <v>985.9</v>
      </c>
      <c r="J44" s="1712"/>
      <c r="K44" s="1715"/>
      <c r="L44" s="1715"/>
      <c r="M44" s="1721"/>
    </row>
    <row r="45" spans="1:13">
      <c r="A45" s="800">
        <f t="shared" si="1"/>
        <v>2010.4</v>
      </c>
      <c r="B45" s="479">
        <v>3750</v>
      </c>
      <c r="C45" s="1704">
        <v>3256</v>
      </c>
      <c r="D45" s="1698">
        <f t="shared" si="2"/>
        <v>7006</v>
      </c>
      <c r="E45" s="1175">
        <v>555.9</v>
      </c>
      <c r="F45" s="1178">
        <v>485.1</v>
      </c>
      <c r="G45" s="1173">
        <v>285.39999999999998</v>
      </c>
      <c r="H45" s="1178">
        <v>293.39999999999998</v>
      </c>
      <c r="I45" s="1709">
        <v>1619.8</v>
      </c>
      <c r="J45" s="1712"/>
      <c r="K45" s="1715"/>
      <c r="L45" s="1715"/>
      <c r="M45" s="1721"/>
    </row>
    <row r="46" spans="1:13">
      <c r="A46" s="800">
        <f t="shared" si="1"/>
        <v>2011.1</v>
      </c>
      <c r="B46" s="479">
        <v>2673</v>
      </c>
      <c r="C46" s="1704">
        <v>1656</v>
      </c>
      <c r="D46" s="1698">
        <f t="shared" si="2"/>
        <v>4329</v>
      </c>
      <c r="E46" s="1175">
        <v>350.8</v>
      </c>
      <c r="F46" s="1178">
        <v>211.9</v>
      </c>
      <c r="G46" s="1173">
        <v>139.80000000000001</v>
      </c>
      <c r="H46" s="1178">
        <v>298.5</v>
      </c>
      <c r="I46" s="1709">
        <v>1001.1</v>
      </c>
      <c r="J46" s="1712"/>
      <c r="K46" s="1715"/>
      <c r="L46" s="1715"/>
      <c r="M46" s="1721"/>
    </row>
    <row r="47" spans="1:13">
      <c r="A47" s="800">
        <f t="shared" si="1"/>
        <v>2011.2</v>
      </c>
      <c r="B47" s="479">
        <v>3811</v>
      </c>
      <c r="C47" s="1704">
        <v>1189</v>
      </c>
      <c r="D47" s="1698">
        <f t="shared" si="2"/>
        <v>5000</v>
      </c>
      <c r="E47" s="1175">
        <v>228.9</v>
      </c>
      <c r="F47" s="1178">
        <v>230.9</v>
      </c>
      <c r="G47" s="1173">
        <v>294.10000000000002</v>
      </c>
      <c r="H47" s="1178">
        <v>327.60000000000002</v>
      </c>
      <c r="I47" s="1709">
        <v>1081.5</v>
      </c>
      <c r="J47" s="1712"/>
      <c r="K47" s="1715"/>
      <c r="L47" s="1715"/>
      <c r="M47" s="1721"/>
    </row>
    <row r="48" spans="1:13">
      <c r="A48" s="800">
        <f t="shared" si="1"/>
        <v>2011.3</v>
      </c>
      <c r="B48" s="479">
        <v>3832</v>
      </c>
      <c r="C48" s="1704">
        <v>1465</v>
      </c>
      <c r="D48" s="1698">
        <f t="shared" si="2"/>
        <v>5297</v>
      </c>
      <c r="E48" s="1175">
        <v>277.5</v>
      </c>
      <c r="F48" s="1178">
        <v>280.3</v>
      </c>
      <c r="G48" s="1173">
        <v>466.1</v>
      </c>
      <c r="H48" s="1178">
        <v>344.6</v>
      </c>
      <c r="I48" s="1709">
        <v>1368.5</v>
      </c>
      <c r="J48" s="1712"/>
      <c r="K48" s="1715"/>
      <c r="L48" s="1715"/>
      <c r="M48" s="1721"/>
    </row>
    <row r="49" spans="1:13">
      <c r="A49" s="800">
        <f t="shared" si="1"/>
        <v>2011.4</v>
      </c>
      <c r="B49" s="479">
        <v>4252</v>
      </c>
      <c r="C49" s="1704">
        <v>2140</v>
      </c>
      <c r="D49" s="1698">
        <f t="shared" si="2"/>
        <v>6392</v>
      </c>
      <c r="E49" s="1175">
        <v>344.7</v>
      </c>
      <c r="F49" s="1178">
        <v>447.2</v>
      </c>
      <c r="G49" s="1173">
        <v>327.10000000000002</v>
      </c>
      <c r="H49" s="1178">
        <v>437.3</v>
      </c>
      <c r="I49" s="1709">
        <v>1556.3000000000002</v>
      </c>
      <c r="J49" s="1712"/>
      <c r="K49" s="1715"/>
      <c r="L49" s="1715"/>
      <c r="M49" s="1721"/>
    </row>
    <row r="50" spans="1:13">
      <c r="A50" s="800">
        <f t="shared" si="1"/>
        <v>2012.1</v>
      </c>
      <c r="B50" s="479">
        <v>2270</v>
      </c>
      <c r="C50" s="1704">
        <v>865</v>
      </c>
      <c r="D50" s="1698">
        <f t="shared" si="2"/>
        <v>3135</v>
      </c>
      <c r="E50" s="1175">
        <v>276</v>
      </c>
      <c r="F50" s="1178">
        <v>192.8</v>
      </c>
      <c r="G50" s="1173">
        <v>85.6</v>
      </c>
      <c r="H50" s="1178">
        <v>274.60000000000002</v>
      </c>
      <c r="I50" s="1709">
        <v>828.8</v>
      </c>
      <c r="J50" s="1712"/>
      <c r="K50" s="1715"/>
      <c r="L50" s="1715"/>
      <c r="M50" s="1721"/>
    </row>
    <row r="51" spans="1:13">
      <c r="A51" s="800">
        <f t="shared" si="1"/>
        <v>2012.2</v>
      </c>
      <c r="B51" s="479">
        <v>2977</v>
      </c>
      <c r="C51" s="1704">
        <v>988</v>
      </c>
      <c r="D51" s="1698">
        <f t="shared" si="2"/>
        <v>3965</v>
      </c>
      <c r="E51" s="1175">
        <v>312.39999999999998</v>
      </c>
      <c r="F51" s="1178">
        <v>314.10000000000002</v>
      </c>
      <c r="G51" s="1173">
        <v>186.2</v>
      </c>
      <c r="H51" s="1178">
        <v>375.9</v>
      </c>
      <c r="I51" s="1709">
        <v>1188.5999999999999</v>
      </c>
      <c r="J51" s="1712"/>
      <c r="K51" s="1715"/>
      <c r="L51" s="1715"/>
      <c r="M51" s="1721"/>
    </row>
    <row r="52" spans="1:13">
      <c r="A52" s="800">
        <f t="shared" si="1"/>
        <v>2012.3</v>
      </c>
      <c r="B52" s="479">
        <v>2766</v>
      </c>
      <c r="C52" s="1704">
        <v>1621</v>
      </c>
      <c r="D52" s="1698">
        <f t="shared" si="2"/>
        <v>4387</v>
      </c>
      <c r="E52" s="1175">
        <v>345.2</v>
      </c>
      <c r="F52" s="1178">
        <v>509</v>
      </c>
      <c r="G52" s="1173">
        <v>316.7</v>
      </c>
      <c r="H52" s="1178">
        <v>294.10000000000002</v>
      </c>
      <c r="I52" s="1709">
        <v>1465</v>
      </c>
      <c r="J52" s="1712"/>
      <c r="K52" s="1715"/>
      <c r="L52" s="1715"/>
      <c r="M52" s="1721"/>
    </row>
    <row r="53" spans="1:13">
      <c r="A53" s="800">
        <f t="shared" si="1"/>
        <v>2012.4</v>
      </c>
      <c r="B53" s="479">
        <v>3817</v>
      </c>
      <c r="C53" s="1704">
        <v>1893</v>
      </c>
      <c r="D53" s="1698">
        <f t="shared" si="2"/>
        <v>5710</v>
      </c>
      <c r="E53" s="1175">
        <v>497.9</v>
      </c>
      <c r="F53" s="1178">
        <v>764.7</v>
      </c>
      <c r="G53" s="1173">
        <v>379</v>
      </c>
      <c r="H53" s="1178">
        <v>489.6</v>
      </c>
      <c r="I53" s="1709">
        <v>2131.1999999999998</v>
      </c>
      <c r="J53" s="1712"/>
      <c r="K53" s="1715"/>
      <c r="L53" s="1715"/>
      <c r="M53" s="1721"/>
    </row>
    <row r="54" spans="1:13">
      <c r="A54" s="800">
        <f t="shared" si="1"/>
        <v>2013.1</v>
      </c>
      <c r="B54" s="479">
        <v>2537</v>
      </c>
      <c r="C54" s="1704">
        <v>1356</v>
      </c>
      <c r="D54" s="1698">
        <f t="shared" si="2"/>
        <v>3893</v>
      </c>
      <c r="E54" s="1175">
        <v>700.4</v>
      </c>
      <c r="F54" s="1178">
        <v>616.79999999999995</v>
      </c>
      <c r="G54" s="1173">
        <v>90</v>
      </c>
      <c r="H54" s="1178">
        <v>445.9</v>
      </c>
      <c r="I54" s="1709">
        <v>1853.1</v>
      </c>
      <c r="J54" s="1712"/>
      <c r="K54" s="1715"/>
      <c r="L54" s="1715"/>
      <c r="M54" s="1721"/>
    </row>
    <row r="55" spans="1:13">
      <c r="A55" s="800">
        <f t="shared" si="1"/>
        <v>2013.2</v>
      </c>
      <c r="B55" s="479">
        <v>4313</v>
      </c>
      <c r="C55" s="1704">
        <v>1367</v>
      </c>
      <c r="D55" s="1698">
        <f t="shared" si="2"/>
        <v>5680</v>
      </c>
      <c r="E55" s="1175">
        <v>314.10000000000002</v>
      </c>
      <c r="F55" s="1178">
        <v>520.29999999999995</v>
      </c>
      <c r="G55" s="1173">
        <v>724.6</v>
      </c>
      <c r="H55" s="1178">
        <v>659.6</v>
      </c>
      <c r="I55" s="1709">
        <v>2345.8000000000002</v>
      </c>
      <c r="J55" s="1712"/>
      <c r="K55" s="1715"/>
      <c r="L55" s="1715"/>
      <c r="M55" s="1721"/>
    </row>
    <row r="56" spans="1:13">
      <c r="A56" s="800">
        <f t="shared" si="1"/>
        <v>2013.3</v>
      </c>
      <c r="B56" s="479">
        <v>3021</v>
      </c>
      <c r="C56" s="1704">
        <v>1559</v>
      </c>
      <c r="D56" s="1698">
        <f t="shared" si="2"/>
        <v>4580</v>
      </c>
      <c r="E56" s="1175">
        <v>477.6</v>
      </c>
      <c r="F56" s="1178">
        <v>1072.4000000000001</v>
      </c>
      <c r="G56" s="1173">
        <v>292</v>
      </c>
      <c r="H56" s="1178">
        <v>522.9</v>
      </c>
      <c r="I56" s="1709">
        <v>2364.9</v>
      </c>
      <c r="J56" s="1712"/>
      <c r="K56" s="1715"/>
      <c r="L56" s="1715"/>
      <c r="M56" s="1721"/>
    </row>
    <row r="57" spans="1:13">
      <c r="A57" s="800">
        <f t="shared" si="1"/>
        <v>2013.4</v>
      </c>
      <c r="B57" s="479">
        <v>4651</v>
      </c>
      <c r="C57" s="1704">
        <v>1579</v>
      </c>
      <c r="D57" s="1698">
        <f t="shared" si="2"/>
        <v>6230</v>
      </c>
      <c r="E57" s="1175">
        <v>787.6</v>
      </c>
      <c r="F57" s="1178">
        <v>1172.7</v>
      </c>
      <c r="G57" s="1173">
        <v>415.9</v>
      </c>
      <c r="H57" s="1178">
        <v>758.8</v>
      </c>
      <c r="I57" s="1709">
        <v>3135</v>
      </c>
      <c r="J57" s="1712"/>
      <c r="K57" s="1715"/>
      <c r="L57" s="1715"/>
      <c r="M57" s="1721"/>
    </row>
    <row r="58" spans="1:13">
      <c r="A58" s="800">
        <f t="shared" si="1"/>
        <v>2014.1</v>
      </c>
      <c r="B58" s="479">
        <v>1764</v>
      </c>
      <c r="C58" s="1704">
        <v>658</v>
      </c>
      <c r="D58" s="1698">
        <f t="shared" si="2"/>
        <v>2422</v>
      </c>
      <c r="E58" s="1175">
        <v>453.7</v>
      </c>
      <c r="F58" s="1178">
        <v>572.70000000000005</v>
      </c>
      <c r="G58" s="1173">
        <v>82.2</v>
      </c>
      <c r="H58" s="1178">
        <v>417.2</v>
      </c>
      <c r="I58" s="1709">
        <v>1525.8000000000002</v>
      </c>
      <c r="J58" s="1712"/>
      <c r="K58" s="1715"/>
      <c r="L58" s="1715"/>
      <c r="M58" s="1721"/>
    </row>
    <row r="59" spans="1:13">
      <c r="A59" s="800">
        <f t="shared" si="1"/>
        <v>2014.2</v>
      </c>
      <c r="B59" s="479">
        <v>3548</v>
      </c>
      <c r="C59" s="1704">
        <v>763</v>
      </c>
      <c r="D59" s="1698">
        <f t="shared" si="2"/>
        <v>4311</v>
      </c>
      <c r="E59" s="1175">
        <v>692</v>
      </c>
      <c r="F59" s="1178">
        <v>880.5</v>
      </c>
      <c r="G59" s="1173">
        <v>352.4</v>
      </c>
      <c r="H59" s="1178">
        <v>696.1</v>
      </c>
      <c r="I59" s="1709">
        <v>2621</v>
      </c>
      <c r="J59" s="1712"/>
      <c r="K59" s="1715"/>
      <c r="L59" s="1715"/>
      <c r="M59" s="1721"/>
    </row>
    <row r="60" spans="1:13">
      <c r="A60" s="800">
        <f t="shared" si="1"/>
        <v>2014.3</v>
      </c>
      <c r="B60" s="479">
        <v>3292</v>
      </c>
      <c r="C60" s="1704">
        <v>546</v>
      </c>
      <c r="D60" s="1698">
        <f t="shared" si="2"/>
        <v>3838</v>
      </c>
      <c r="E60" s="1175">
        <v>480.1</v>
      </c>
      <c r="F60" s="1178">
        <v>885.3</v>
      </c>
      <c r="G60" s="1173">
        <v>389.3</v>
      </c>
      <c r="H60" s="1178">
        <v>517.29999999999995</v>
      </c>
      <c r="I60" s="1709">
        <v>2271.9</v>
      </c>
      <c r="J60" s="1712"/>
      <c r="K60" s="1715"/>
      <c r="L60" s="1715"/>
      <c r="M60" s="1721"/>
    </row>
    <row r="61" spans="1:13">
      <c r="A61" s="800">
        <f t="shared" si="1"/>
        <v>2014.4</v>
      </c>
      <c r="B61" s="479">
        <v>3565</v>
      </c>
      <c r="C61" s="1704">
        <v>616</v>
      </c>
      <c r="D61" s="1698">
        <f t="shared" si="2"/>
        <v>4181</v>
      </c>
      <c r="E61" s="1175">
        <v>547.20000000000005</v>
      </c>
      <c r="F61" s="1178">
        <v>904.8</v>
      </c>
      <c r="G61" s="1173">
        <v>374.5</v>
      </c>
      <c r="H61" s="1178">
        <v>718.3</v>
      </c>
      <c r="I61" s="1709">
        <v>2544.8000000000002</v>
      </c>
      <c r="J61" s="1712"/>
      <c r="K61" s="1715"/>
      <c r="L61" s="1715"/>
      <c r="M61" s="1721"/>
    </row>
    <row r="62" spans="1:13">
      <c r="A62" s="800">
        <f t="shared" si="1"/>
        <v>2015.1</v>
      </c>
      <c r="B62" s="479">
        <f>SUM(J62:M62)</f>
        <v>2378</v>
      </c>
      <c r="C62" s="1704">
        <v>369</v>
      </c>
      <c r="D62" s="1699">
        <v>2747</v>
      </c>
      <c r="E62" s="1175">
        <v>822</v>
      </c>
      <c r="F62" s="1178">
        <v>569.70000000000005</v>
      </c>
      <c r="G62" s="1173">
        <v>115.3</v>
      </c>
      <c r="H62" s="1178">
        <v>427.8</v>
      </c>
      <c r="I62" s="1709">
        <v>1934.8</v>
      </c>
      <c r="J62" s="360">
        <v>174</v>
      </c>
      <c r="K62" s="1716">
        <v>141</v>
      </c>
      <c r="L62" s="1716">
        <v>849</v>
      </c>
      <c r="M62" s="819">
        <v>1214</v>
      </c>
    </row>
    <row r="63" spans="1:13">
      <c r="A63" s="800">
        <f t="shared" si="1"/>
        <v>2015.2</v>
      </c>
      <c r="B63" s="479">
        <v>3312</v>
      </c>
      <c r="C63" s="1704">
        <v>421</v>
      </c>
      <c r="D63" s="1699">
        <v>3733</v>
      </c>
      <c r="E63" s="1175">
        <v>647.9</v>
      </c>
      <c r="F63" s="1178">
        <v>836</v>
      </c>
      <c r="G63" s="1173">
        <v>288</v>
      </c>
      <c r="H63" s="1178">
        <v>650.1</v>
      </c>
      <c r="I63" s="1709">
        <v>2422</v>
      </c>
      <c r="J63" s="1713">
        <v>290</v>
      </c>
      <c r="K63" s="1717">
        <v>130</v>
      </c>
      <c r="L63" s="1717">
        <v>1166</v>
      </c>
      <c r="M63" s="1722">
        <v>1764</v>
      </c>
    </row>
    <row r="64" spans="1:13">
      <c r="A64" s="800">
        <f t="shared" si="1"/>
        <v>2015.3</v>
      </c>
      <c r="B64" s="479">
        <v>2666</v>
      </c>
      <c r="C64" s="1704">
        <v>391</v>
      </c>
      <c r="D64" s="1699">
        <v>3057</v>
      </c>
      <c r="E64" s="1175">
        <v>510.6</v>
      </c>
      <c r="F64" s="1178">
        <v>846.3</v>
      </c>
      <c r="G64" s="1173">
        <v>264.2</v>
      </c>
      <c r="H64" s="1178">
        <v>453.3</v>
      </c>
      <c r="I64" s="1709">
        <v>2074.4</v>
      </c>
      <c r="J64" s="1713">
        <v>319</v>
      </c>
      <c r="K64" s="1717">
        <v>96</v>
      </c>
      <c r="L64" s="1717">
        <v>1225</v>
      </c>
      <c r="M64" s="1722">
        <v>1322</v>
      </c>
    </row>
    <row r="65" spans="1:16">
      <c r="A65" s="800">
        <f t="shared" si="1"/>
        <v>2015.4</v>
      </c>
      <c r="B65" s="479">
        <v>4008</v>
      </c>
      <c r="C65" s="1704">
        <v>241</v>
      </c>
      <c r="D65" s="1699">
        <v>4249</v>
      </c>
      <c r="E65" s="1175">
        <v>652.6</v>
      </c>
      <c r="F65" s="1178">
        <v>1258.5</v>
      </c>
      <c r="G65" s="1173">
        <v>437.6</v>
      </c>
      <c r="H65" s="1178">
        <v>639.79999999999995</v>
      </c>
      <c r="I65" s="1709">
        <v>2988.4</v>
      </c>
      <c r="J65" s="1713">
        <v>365</v>
      </c>
      <c r="K65" s="1717">
        <v>182</v>
      </c>
      <c r="L65" s="1717">
        <v>1758</v>
      </c>
      <c r="M65" s="1722">
        <v>1434</v>
      </c>
    </row>
    <row r="66" spans="1:16">
      <c r="A66" s="800">
        <f t="shared" si="1"/>
        <v>2016.1</v>
      </c>
      <c r="B66" s="479">
        <v>2583</v>
      </c>
      <c r="C66" s="1704">
        <v>421</v>
      </c>
      <c r="D66" s="1699">
        <v>3004</v>
      </c>
      <c r="E66" s="1175">
        <v>1225.7</v>
      </c>
      <c r="F66" s="1178">
        <v>873.5</v>
      </c>
      <c r="G66" s="1173">
        <v>193.8</v>
      </c>
      <c r="H66" s="1178">
        <v>747.6</v>
      </c>
      <c r="I66" s="1709">
        <v>3040.6</v>
      </c>
      <c r="J66" s="479">
        <v>186</v>
      </c>
      <c r="K66" s="1704">
        <v>113</v>
      </c>
      <c r="L66" s="1704">
        <v>1224</v>
      </c>
      <c r="M66" s="1723">
        <f>218+532+677</f>
        <v>1427</v>
      </c>
    </row>
    <row r="67" spans="1:16">
      <c r="A67" s="800">
        <f t="shared" si="1"/>
        <v>2016.2</v>
      </c>
      <c r="B67" s="479">
        <v>3834</v>
      </c>
      <c r="C67" s="1704">
        <v>381</v>
      </c>
      <c r="D67" s="1699">
        <v>4215</v>
      </c>
      <c r="E67" s="1175">
        <v>1039.4000000000001</v>
      </c>
      <c r="F67" s="1178">
        <v>1672.4</v>
      </c>
      <c r="G67" s="1173">
        <v>609</v>
      </c>
      <c r="H67" s="1178">
        <v>960.80000000000007</v>
      </c>
      <c r="I67" s="1709">
        <v>4281.6000000000004</v>
      </c>
      <c r="J67" s="479">
        <v>473</v>
      </c>
      <c r="K67" s="1704">
        <v>97</v>
      </c>
      <c r="L67" s="1704">
        <v>1439</v>
      </c>
      <c r="M67" s="1723">
        <f>209+641+971</f>
        <v>1821</v>
      </c>
    </row>
    <row r="68" spans="1:16">
      <c r="A68" s="800">
        <f t="shared" si="1"/>
        <v>2016.3</v>
      </c>
      <c r="B68" s="479">
        <v>4234</v>
      </c>
      <c r="C68" s="1704">
        <v>723</v>
      </c>
      <c r="D68" s="1699">
        <v>4957</v>
      </c>
      <c r="E68" s="1175">
        <v>1001.748007</v>
      </c>
      <c r="F68" s="1178">
        <v>2208.7948139999999</v>
      </c>
      <c r="G68" s="1173">
        <v>975.79066</v>
      </c>
      <c r="H68" s="1178">
        <v>966.89053045090998</v>
      </c>
      <c r="I68" s="1709">
        <v>5153.2240114509095</v>
      </c>
      <c r="J68" s="479">
        <v>686</v>
      </c>
      <c r="K68" s="1704">
        <v>188</v>
      </c>
      <c r="L68" s="1704">
        <v>1439</v>
      </c>
      <c r="M68" s="1723">
        <f>352+471+1074</f>
        <v>1897</v>
      </c>
    </row>
    <row r="69" spans="1:16">
      <c r="A69" s="800">
        <f t="shared" si="1"/>
        <v>2016.4</v>
      </c>
      <c r="B69" s="479">
        <v>4513</v>
      </c>
      <c r="C69" s="1704">
        <v>1001</v>
      </c>
      <c r="D69" s="1699">
        <v>5514</v>
      </c>
      <c r="E69" s="1175">
        <v>2148.1999807070179</v>
      </c>
      <c r="F69" s="1178">
        <v>2369.8211518177523</v>
      </c>
      <c r="G69" s="1173">
        <v>1025.69905404</v>
      </c>
      <c r="H69" s="1178">
        <v>1870.4556993888248</v>
      </c>
      <c r="I69" s="1709">
        <v>7414.1758859535948</v>
      </c>
      <c r="J69" s="479">
        <v>674</v>
      </c>
      <c r="K69" s="1704">
        <v>251</v>
      </c>
      <c r="L69" s="1704">
        <v>1268</v>
      </c>
      <c r="M69" s="1723">
        <f>363+529+1282</f>
        <v>2174</v>
      </c>
    </row>
    <row r="70" spans="1:16">
      <c r="A70" s="800">
        <f t="shared" si="1"/>
        <v>2017.1</v>
      </c>
      <c r="B70" s="479">
        <v>3517</v>
      </c>
      <c r="C70" s="1704">
        <v>716</v>
      </c>
      <c r="D70" s="1699">
        <v>4233</v>
      </c>
      <c r="E70" s="1175">
        <v>2043.6622342700175</v>
      </c>
      <c r="F70" s="1178">
        <v>1903.7863937849572</v>
      </c>
      <c r="G70" s="1173">
        <v>338.51572748099994</v>
      </c>
      <c r="H70" s="1178">
        <v>1451.2602802185536</v>
      </c>
      <c r="I70" s="1709">
        <v>5737.2246357545282</v>
      </c>
      <c r="J70" s="479">
        <v>340</v>
      </c>
      <c r="K70" s="1704">
        <v>201</v>
      </c>
      <c r="L70" s="1704">
        <v>1169</v>
      </c>
      <c r="M70" s="1723">
        <f>220+688+923</f>
        <v>1831</v>
      </c>
    </row>
    <row r="71" spans="1:16">
      <c r="A71" s="800">
        <f t="shared" si="1"/>
        <v>2017.2</v>
      </c>
      <c r="B71" s="479">
        <v>4810.0000021569658</v>
      </c>
      <c r="C71" s="1704">
        <v>1418</v>
      </c>
      <c r="D71" s="1699">
        <v>6228.0000021569658</v>
      </c>
      <c r="E71" s="1175">
        <v>2349.8022346754019</v>
      </c>
      <c r="F71" s="1178">
        <v>2976.4252142264613</v>
      </c>
      <c r="G71" s="1173">
        <v>1065.2166509838</v>
      </c>
      <c r="H71" s="1178">
        <v>1886.3622380782499</v>
      </c>
      <c r="I71" s="1709">
        <v>8277.8063379639134</v>
      </c>
      <c r="J71" s="479">
        <v>630</v>
      </c>
      <c r="K71" s="1704">
        <v>263</v>
      </c>
      <c r="L71" s="1704">
        <v>1766</v>
      </c>
      <c r="M71" s="1723">
        <v>2305</v>
      </c>
    </row>
    <row r="72" spans="1:16">
      <c r="A72" s="800">
        <f t="shared" si="1"/>
        <v>2017.3</v>
      </c>
      <c r="B72" s="479">
        <v>4663</v>
      </c>
      <c r="C72" s="1704">
        <v>1413</v>
      </c>
      <c r="D72" s="1699">
        <v>6076</v>
      </c>
      <c r="E72" s="1175">
        <v>1831.8521721829252</v>
      </c>
      <c r="F72" s="1178">
        <v>3745.3296014273874</v>
      </c>
      <c r="G72" s="1173">
        <v>1314.2989624684783</v>
      </c>
      <c r="H72" s="1178">
        <v>1410.0437061462324</v>
      </c>
      <c r="I72" s="1709">
        <v>8301.5244422250234</v>
      </c>
      <c r="J72" s="479">
        <v>715</v>
      </c>
      <c r="K72" s="1704">
        <v>254</v>
      </c>
      <c r="L72" s="1704">
        <v>2080</v>
      </c>
      <c r="M72" s="1723">
        <v>2348</v>
      </c>
    </row>
    <row r="73" spans="1:16">
      <c r="A73" s="800">
        <f t="shared" si="1"/>
        <v>2017.4</v>
      </c>
      <c r="B73" s="479">
        <v>4728</v>
      </c>
      <c r="C73" s="1704">
        <v>1507</v>
      </c>
      <c r="D73" s="1699">
        <v>6235</v>
      </c>
      <c r="E73" s="1175">
        <v>2225.6299501865597</v>
      </c>
      <c r="F73" s="1178">
        <v>3536.1048356240408</v>
      </c>
      <c r="G73" s="1173">
        <v>1194.7781401908001</v>
      </c>
      <c r="H73" s="1178">
        <v>1925.0835041014257</v>
      </c>
      <c r="I73" s="1710">
        <v>8881.5964301028253</v>
      </c>
      <c r="J73" s="479">
        <v>563</v>
      </c>
      <c r="K73" s="1704">
        <v>271</v>
      </c>
      <c r="L73" s="1704">
        <v>2022</v>
      </c>
      <c r="M73" s="1723">
        <v>2096</v>
      </c>
      <c r="P73" s="850"/>
    </row>
    <row r="74" spans="1:16">
      <c r="A74" s="800">
        <f t="shared" si="1"/>
        <v>2018.1</v>
      </c>
      <c r="B74" s="479">
        <v>2776</v>
      </c>
      <c r="C74" s="1704">
        <v>960</v>
      </c>
      <c r="D74" s="1699">
        <v>3736</v>
      </c>
      <c r="E74" s="1175">
        <v>2120.1271073081398</v>
      </c>
      <c r="F74" s="1178">
        <v>2220.4795152007773</v>
      </c>
      <c r="G74" s="1173">
        <v>310.40746167653327</v>
      </c>
      <c r="H74" s="1178">
        <v>1297.51180282473</v>
      </c>
      <c r="I74" s="1710">
        <f t="shared" ref="I74:I97" si="3">E74+F74+G74+H74</f>
        <v>5948.5258870101798</v>
      </c>
      <c r="J74" s="479">
        <v>262</v>
      </c>
      <c r="K74" s="1704">
        <v>248</v>
      </c>
      <c r="L74" s="1704">
        <v>1575</v>
      </c>
      <c r="M74" s="1723">
        <f>187+677+753</f>
        <v>1617</v>
      </c>
    </row>
    <row r="75" spans="1:16">
      <c r="A75" s="800">
        <f t="shared" si="1"/>
        <v>2018.2</v>
      </c>
      <c r="B75" s="479">
        <v>3727</v>
      </c>
      <c r="C75" s="1704">
        <v>846</v>
      </c>
      <c r="D75" s="1699">
        <v>4573</v>
      </c>
      <c r="E75" s="1175">
        <v>1454.31628098136</v>
      </c>
      <c r="F75" s="1178">
        <v>3246.9782679053396</v>
      </c>
      <c r="G75" s="1173">
        <v>1119.5625841076512</v>
      </c>
      <c r="H75" s="1178">
        <v>1893.276966460154</v>
      </c>
      <c r="I75" s="1710">
        <f t="shared" si="3"/>
        <v>7714.1340994545053</v>
      </c>
      <c r="J75" s="479">
        <v>461</v>
      </c>
      <c r="K75" s="1704">
        <v>170</v>
      </c>
      <c r="L75" s="1704">
        <v>1432</v>
      </c>
      <c r="M75" s="1723">
        <f>285+754+1065</f>
        <v>2104</v>
      </c>
    </row>
    <row r="76" spans="1:16">
      <c r="A76" s="800">
        <f t="shared" si="1"/>
        <v>2018.3</v>
      </c>
      <c r="B76" s="479">
        <v>2745</v>
      </c>
      <c r="C76" s="1704">
        <v>668</v>
      </c>
      <c r="D76" s="1699">
        <v>3413</v>
      </c>
      <c r="E76" s="1175">
        <v>1126.9065197831301</v>
      </c>
      <c r="F76" s="1178">
        <v>3381.5464686675841</v>
      </c>
      <c r="G76" s="1173">
        <v>1628.0936305119189</v>
      </c>
      <c r="H76" s="1178">
        <v>1419.2062290658796</v>
      </c>
      <c r="I76" s="1710">
        <f t="shared" si="3"/>
        <v>7555.7528480285127</v>
      </c>
      <c r="J76" s="479">
        <v>507</v>
      </c>
      <c r="K76" s="1704">
        <v>105</v>
      </c>
      <c r="L76" s="1704">
        <v>1218</v>
      </c>
      <c r="M76" s="1723">
        <f>180+511+672</f>
        <v>1363</v>
      </c>
    </row>
    <row r="77" spans="1:16">
      <c r="A77" s="800">
        <f t="shared" si="1"/>
        <v>2018.4</v>
      </c>
      <c r="B77" s="479">
        <v>3382</v>
      </c>
      <c r="C77" s="1704">
        <v>836</v>
      </c>
      <c r="D77" s="1699">
        <v>4218</v>
      </c>
      <c r="E77" s="1175">
        <v>1775.9117233903498</v>
      </c>
      <c r="F77" s="1178">
        <v>4019.4896664183912</v>
      </c>
      <c r="G77" s="1173">
        <v>1376.4664654246808</v>
      </c>
      <c r="H77" s="1178">
        <v>2474.0895418718392</v>
      </c>
      <c r="I77" s="1710">
        <f t="shared" si="3"/>
        <v>9645.9573971052614</v>
      </c>
      <c r="J77" s="1706">
        <v>426</v>
      </c>
      <c r="K77" s="1295">
        <v>53</v>
      </c>
      <c r="L77" s="1295">
        <v>745</v>
      </c>
      <c r="M77" s="1723">
        <f>156+430+734</f>
        <v>1320</v>
      </c>
    </row>
    <row r="78" spans="1:16">
      <c r="A78" s="800">
        <f t="shared" si="1"/>
        <v>2019.1</v>
      </c>
      <c r="B78" s="479">
        <v>2665</v>
      </c>
      <c r="C78" s="1704">
        <v>681</v>
      </c>
      <c r="D78" s="1699">
        <v>3346</v>
      </c>
      <c r="E78" s="1175">
        <v>3768.1450031118275</v>
      </c>
      <c r="F78" s="1178">
        <v>3188.5850364330472</v>
      </c>
      <c r="G78" s="1173">
        <v>734.39568868769993</v>
      </c>
      <c r="H78" s="1178">
        <v>2094.2778623615268</v>
      </c>
      <c r="I78" s="1710">
        <f t="shared" si="3"/>
        <v>9785.4035905941018</v>
      </c>
      <c r="J78" s="1706">
        <v>239</v>
      </c>
      <c r="K78" s="1295">
        <v>71</v>
      </c>
      <c r="L78" s="1295">
        <v>488</v>
      </c>
      <c r="M78" s="1723">
        <f>65+520+497</f>
        <v>1082</v>
      </c>
    </row>
    <row r="79" spans="1:16">
      <c r="A79" s="800">
        <f t="shared" ref="A79:A104" si="4">A75+1</f>
        <v>2019.2</v>
      </c>
      <c r="B79" s="479">
        <v>3609</v>
      </c>
      <c r="C79" s="1704">
        <v>819</v>
      </c>
      <c r="D79" s="1699">
        <v>4428</v>
      </c>
      <c r="E79" s="1175">
        <v>2937.9246546843706</v>
      </c>
      <c r="F79" s="1178">
        <v>5969.8932912600239</v>
      </c>
      <c r="G79" s="1173">
        <v>2204.8020134559001</v>
      </c>
      <c r="H79" s="1178">
        <v>2947.7669668885219</v>
      </c>
      <c r="I79" s="1710">
        <f t="shared" si="3"/>
        <v>14060.386926288815</v>
      </c>
      <c r="J79" s="1706">
        <v>551</v>
      </c>
      <c r="K79" s="1295">
        <v>107</v>
      </c>
      <c r="L79" s="1295">
        <v>760</v>
      </c>
      <c r="M79" s="1723">
        <f>130+769+881</f>
        <v>1780</v>
      </c>
    </row>
    <row r="80" spans="1:16">
      <c r="A80" s="800">
        <f t="shared" si="4"/>
        <v>2019.3</v>
      </c>
      <c r="B80" s="479">
        <v>3384</v>
      </c>
      <c r="C80" s="1704">
        <v>960</v>
      </c>
      <c r="D80" s="1699">
        <v>4344</v>
      </c>
      <c r="E80" s="1175">
        <v>2172.9316986771923</v>
      </c>
      <c r="F80" s="1178">
        <v>7037.9381615612047</v>
      </c>
      <c r="G80" s="1173">
        <v>2814.6810113190841</v>
      </c>
      <c r="H80" s="1178">
        <v>2969.5095792784796</v>
      </c>
      <c r="I80" s="1710">
        <f t="shared" si="3"/>
        <v>14995.060450835961</v>
      </c>
      <c r="J80" s="1706">
        <v>630</v>
      </c>
      <c r="K80" s="1295">
        <v>74</v>
      </c>
      <c r="L80" s="1295">
        <v>911</v>
      </c>
      <c r="M80" s="1723">
        <f>212+685+681</f>
        <v>1578</v>
      </c>
    </row>
    <row r="81" spans="1:13">
      <c r="A81" s="800">
        <f t="shared" si="4"/>
        <v>2019.4</v>
      </c>
      <c r="B81" s="479">
        <v>3508</v>
      </c>
      <c r="C81" s="1704">
        <v>1144</v>
      </c>
      <c r="D81" s="1699">
        <v>4652</v>
      </c>
      <c r="E81" s="1175">
        <v>3084.9582990938206</v>
      </c>
      <c r="F81" s="1178">
        <v>6668.6744121213778</v>
      </c>
      <c r="G81" s="1173">
        <v>2383.9526333994395</v>
      </c>
      <c r="H81" s="1178">
        <v>4770.6308375651897</v>
      </c>
      <c r="I81" s="1710">
        <f t="shared" si="3"/>
        <v>16908.216182179829</v>
      </c>
      <c r="J81" s="1706">
        <v>502</v>
      </c>
      <c r="K81" s="1295">
        <v>70</v>
      </c>
      <c r="L81" s="1295">
        <v>698</v>
      </c>
      <c r="M81" s="1723">
        <f>317+794+737</f>
        <v>1848</v>
      </c>
    </row>
    <row r="82" spans="1:13">
      <c r="A82" s="800">
        <f t="shared" si="4"/>
        <v>2020.1</v>
      </c>
      <c r="B82" s="479">
        <v>2232</v>
      </c>
      <c r="C82" s="1704">
        <v>825</v>
      </c>
      <c r="D82" s="1699">
        <v>3057</v>
      </c>
      <c r="E82" s="1175">
        <v>4062.2807536668838</v>
      </c>
      <c r="F82" s="1178">
        <v>4317.9728413232897</v>
      </c>
      <c r="G82" s="1173">
        <v>1202.6816706880004</v>
      </c>
      <c r="H82" s="1178">
        <v>3488.7366647662329</v>
      </c>
      <c r="I82" s="1710">
        <f t="shared" si="3"/>
        <v>13071.671930444407</v>
      </c>
      <c r="J82" s="1706">
        <v>191</v>
      </c>
      <c r="K82" s="1295">
        <v>122</v>
      </c>
      <c r="L82" s="1295">
        <v>581</v>
      </c>
      <c r="M82" s="1724">
        <v>1219</v>
      </c>
    </row>
    <row r="83" spans="1:13">
      <c r="A83" s="800">
        <f t="shared" si="4"/>
        <v>2020.2</v>
      </c>
      <c r="B83" s="479">
        <v>5039</v>
      </c>
      <c r="C83" s="1704">
        <v>996</v>
      </c>
      <c r="D83" s="1699">
        <v>6035</v>
      </c>
      <c r="E83" s="1175">
        <v>5889.4281122487691</v>
      </c>
      <c r="F83" s="1178">
        <v>10006.011168056721</v>
      </c>
      <c r="G83" s="1173">
        <v>5928.0660543042004</v>
      </c>
      <c r="H83" s="1178">
        <v>7112.8175673167625</v>
      </c>
      <c r="I83" s="1710">
        <f t="shared" si="3"/>
        <v>28936.322901926455</v>
      </c>
      <c r="J83" s="1706">
        <v>632</v>
      </c>
      <c r="K83" s="1295">
        <v>70</v>
      </c>
      <c r="L83" s="1295">
        <v>761</v>
      </c>
      <c r="M83" s="1724">
        <v>2024</v>
      </c>
    </row>
    <row r="84" spans="1:13">
      <c r="A84" s="800">
        <f t="shared" si="4"/>
        <v>2020.3</v>
      </c>
      <c r="B84" s="479">
        <v>4833</v>
      </c>
      <c r="C84" s="1704">
        <v>497</v>
      </c>
      <c r="D84" s="1699">
        <v>5330</v>
      </c>
      <c r="E84" s="1175">
        <v>3459.7623597757738</v>
      </c>
      <c r="F84" s="1178">
        <v>10203.991618295529</v>
      </c>
      <c r="G84" s="1173">
        <v>5712.888150910002</v>
      </c>
      <c r="H84" s="1178">
        <v>7422.7878526755057</v>
      </c>
      <c r="I84" s="1710">
        <f t="shared" si="3"/>
        <v>26799.429981656809</v>
      </c>
      <c r="J84" s="1706">
        <v>619</v>
      </c>
      <c r="K84" s="1295">
        <v>139</v>
      </c>
      <c r="L84" s="1295">
        <v>1275</v>
      </c>
      <c r="M84" s="1724">
        <v>1956</v>
      </c>
    </row>
    <row r="85" spans="1:13">
      <c r="A85" s="800">
        <f t="shared" si="4"/>
        <v>2020.4</v>
      </c>
      <c r="B85" s="479">
        <v>5113</v>
      </c>
      <c r="C85" s="1704">
        <v>365</v>
      </c>
      <c r="D85" s="1699">
        <v>5478</v>
      </c>
      <c r="E85" s="1175">
        <v>5063.2327219198987</v>
      </c>
      <c r="F85" s="1178">
        <v>11114.475612357413</v>
      </c>
      <c r="G85" s="1173">
        <v>5915.2423241639972</v>
      </c>
      <c r="H85" s="1178">
        <v>9917.46973158316</v>
      </c>
      <c r="I85" s="1710">
        <f t="shared" si="3"/>
        <v>32010.420390024468</v>
      </c>
      <c r="J85" s="1706">
        <v>618</v>
      </c>
      <c r="K85" s="1295">
        <v>141</v>
      </c>
      <c r="L85" s="1295">
        <v>1368</v>
      </c>
      <c r="M85" s="1724">
        <v>2183</v>
      </c>
    </row>
    <row r="86" spans="1:13">
      <c r="A86" s="800">
        <f t="shared" si="4"/>
        <v>2021.1</v>
      </c>
      <c r="B86" s="479">
        <v>3654</v>
      </c>
      <c r="C86" s="1704">
        <v>263</v>
      </c>
      <c r="D86" s="1699">
        <v>3917</v>
      </c>
      <c r="E86" s="1175">
        <v>4877.7843783641993</v>
      </c>
      <c r="F86" s="1178">
        <v>9738.4071827974985</v>
      </c>
      <c r="G86" s="1173">
        <v>3961.836959703001</v>
      </c>
      <c r="H86" s="1178">
        <v>6700.15307276778</v>
      </c>
      <c r="I86" s="1710">
        <f t="shared" si="3"/>
        <v>25278.181593632478</v>
      </c>
      <c r="J86" s="1706">
        <v>414</v>
      </c>
      <c r="K86" s="1295">
        <v>148</v>
      </c>
      <c r="L86" s="1295">
        <v>1437</v>
      </c>
      <c r="M86" s="1724">
        <v>2117</v>
      </c>
    </row>
    <row r="87" spans="1:13">
      <c r="A87" s="800">
        <f t="shared" si="4"/>
        <v>2021.2</v>
      </c>
      <c r="B87" s="479">
        <v>5293</v>
      </c>
      <c r="C87" s="1704">
        <v>338</v>
      </c>
      <c r="D87" s="1699">
        <v>5631</v>
      </c>
      <c r="E87" s="1175">
        <v>8295.8561708154994</v>
      </c>
      <c r="F87" s="1178">
        <v>14787.142309134098</v>
      </c>
      <c r="G87" s="1173">
        <v>10715.30173796999</v>
      </c>
      <c r="H87" s="1178">
        <v>9981.717728378233</v>
      </c>
      <c r="I87" s="1710">
        <f t="shared" si="3"/>
        <v>43780.017946297827</v>
      </c>
      <c r="J87" s="1706">
        <v>727</v>
      </c>
      <c r="K87" s="1295">
        <v>202</v>
      </c>
      <c r="L87" s="1295">
        <v>1741</v>
      </c>
      <c r="M87" s="1724">
        <v>2593</v>
      </c>
    </row>
    <row r="88" spans="1:13">
      <c r="A88" s="800">
        <f t="shared" si="4"/>
        <v>2021.3</v>
      </c>
      <c r="B88" s="479">
        <v>5707</v>
      </c>
      <c r="C88" s="1704">
        <v>449</v>
      </c>
      <c r="D88" s="1699">
        <v>6156</v>
      </c>
      <c r="E88" s="1175">
        <v>6856.376267451672</v>
      </c>
      <c r="F88" s="1178">
        <v>17843.817197806693</v>
      </c>
      <c r="G88" s="1173">
        <v>10817.203675789993</v>
      </c>
      <c r="H88" s="1178">
        <v>13482.100382548109</v>
      </c>
      <c r="I88" s="1710">
        <f t="shared" si="3"/>
        <v>48999.497523596467</v>
      </c>
      <c r="J88" s="1706">
        <v>765</v>
      </c>
      <c r="K88" s="1295">
        <v>199</v>
      </c>
      <c r="L88" s="1295">
        <v>2023</v>
      </c>
      <c r="M88" s="1724">
        <v>2520</v>
      </c>
    </row>
    <row r="89" spans="1:13">
      <c r="A89" s="800">
        <f t="shared" si="4"/>
        <v>2021.4</v>
      </c>
      <c r="B89" s="479">
        <v>5908</v>
      </c>
      <c r="C89" s="1704">
        <v>306</v>
      </c>
      <c r="D89" s="1699">
        <v>6214</v>
      </c>
      <c r="E89" s="1175">
        <v>7078.5811836077073</v>
      </c>
      <c r="F89" s="1178">
        <v>17477.928404104401</v>
      </c>
      <c r="G89" s="1173">
        <v>11237.883113299995</v>
      </c>
      <c r="H89" s="1178">
        <v>17125.642768179692</v>
      </c>
      <c r="I89" s="1710">
        <f t="shared" si="3"/>
        <v>52920.035469191796</v>
      </c>
      <c r="J89" s="1706">
        <v>730</v>
      </c>
      <c r="K89" s="1295">
        <v>179</v>
      </c>
      <c r="L89" s="1295">
        <v>1862</v>
      </c>
      <c r="M89" s="1724">
        <v>2622</v>
      </c>
    </row>
    <row r="90" spans="1:13">
      <c r="A90" s="800">
        <f t="shared" si="4"/>
        <v>2022.1</v>
      </c>
      <c r="B90" s="479">
        <v>2429</v>
      </c>
      <c r="C90" s="1704">
        <v>171</v>
      </c>
      <c r="D90" s="1699">
        <v>2600</v>
      </c>
      <c r="E90" s="1175">
        <v>8861.0295312261169</v>
      </c>
      <c r="F90" s="1178">
        <v>16310.0651503843</v>
      </c>
      <c r="G90" s="1173">
        <v>7575.5532434660036</v>
      </c>
      <c r="H90" s="1178">
        <v>11438.909453824201</v>
      </c>
      <c r="I90" s="1710">
        <f t="shared" si="3"/>
        <v>44185.557378900623</v>
      </c>
      <c r="J90" s="1706">
        <v>483</v>
      </c>
      <c r="K90" s="1295">
        <v>236</v>
      </c>
      <c r="L90" s="1295">
        <v>1722</v>
      </c>
      <c r="M90" s="1724">
        <v>1974</v>
      </c>
    </row>
    <row r="91" spans="1:13">
      <c r="A91" s="800">
        <f t="shared" si="4"/>
        <v>2022.2</v>
      </c>
      <c r="B91" s="479">
        <v>5922</v>
      </c>
      <c r="C91" s="1704">
        <v>430</v>
      </c>
      <c r="D91" s="1699">
        <v>6352</v>
      </c>
      <c r="E91" s="1175">
        <v>14702.698712180954</v>
      </c>
      <c r="F91" s="1178">
        <v>25347.703396010744</v>
      </c>
      <c r="G91" s="1173">
        <v>19533.217044650013</v>
      </c>
      <c r="H91" s="1178">
        <v>19187.995994100056</v>
      </c>
      <c r="I91" s="1710">
        <f t="shared" si="3"/>
        <v>78771.615146941767</v>
      </c>
      <c r="J91" s="1706">
        <v>772</v>
      </c>
      <c r="K91" s="1295">
        <v>292</v>
      </c>
      <c r="L91" s="1295">
        <v>2030</v>
      </c>
      <c r="M91" s="1724">
        <v>2943</v>
      </c>
    </row>
    <row r="92" spans="1:13">
      <c r="A92" s="800">
        <f t="shared" si="4"/>
        <v>2022.3</v>
      </c>
      <c r="B92" s="479">
        <v>5851</v>
      </c>
      <c r="C92" s="1704">
        <v>318</v>
      </c>
      <c r="D92" s="1699">
        <v>6169</v>
      </c>
      <c r="E92" s="1175">
        <v>14167.889045345875</v>
      </c>
      <c r="F92" s="1178">
        <v>34164.830038552391</v>
      </c>
      <c r="G92" s="1173">
        <v>14219.528447646006</v>
      </c>
      <c r="H92" s="1178">
        <v>20843.421958742583</v>
      </c>
      <c r="I92" s="1710">
        <f t="shared" si="3"/>
        <v>83395.669490286848</v>
      </c>
      <c r="J92" s="1706">
        <v>775</v>
      </c>
      <c r="K92" s="1295">
        <v>232</v>
      </c>
      <c r="L92" s="1295">
        <v>2437</v>
      </c>
      <c r="M92" s="1724">
        <v>2917</v>
      </c>
    </row>
    <row r="93" spans="1:13">
      <c r="A93" s="800">
        <f t="shared" si="4"/>
        <v>2022.4</v>
      </c>
      <c r="B93" s="479">
        <v>4570</v>
      </c>
      <c r="C93" s="1704">
        <v>272</v>
      </c>
      <c r="D93" s="1699">
        <v>4842</v>
      </c>
      <c r="E93" s="1175">
        <v>10653.244742979034</v>
      </c>
      <c r="F93" s="1178">
        <v>30950.054602172109</v>
      </c>
      <c r="G93" s="1178">
        <v>13145.350266390002</v>
      </c>
      <c r="H93" s="1178">
        <v>20026.204236005196</v>
      </c>
      <c r="I93" s="1710">
        <f t="shared" si="3"/>
        <v>74774.853847546343</v>
      </c>
      <c r="J93" s="1706">
        <v>686</v>
      </c>
      <c r="K93" s="1295">
        <v>140</v>
      </c>
      <c r="L93" s="1295">
        <v>1934</v>
      </c>
      <c r="M93" s="1724">
        <v>2344</v>
      </c>
    </row>
    <row r="94" spans="1:13">
      <c r="A94" s="800">
        <f t="shared" si="4"/>
        <v>2023.1</v>
      </c>
      <c r="B94" s="479">
        <v>1585</v>
      </c>
      <c r="C94" s="1704">
        <v>106</v>
      </c>
      <c r="D94" s="1699">
        <v>1691</v>
      </c>
      <c r="E94" s="1175">
        <v>16850.492343752601</v>
      </c>
      <c r="F94" s="1178">
        <v>33623.074913130331</v>
      </c>
      <c r="G94" s="1178">
        <v>7039.5810130199989</v>
      </c>
      <c r="H94" s="1178">
        <v>21028.84790931164</v>
      </c>
      <c r="I94" s="1710">
        <f t="shared" si="3"/>
        <v>78541.996179214562</v>
      </c>
      <c r="J94" s="1706">
        <v>346</v>
      </c>
      <c r="K94" s="1295">
        <v>231</v>
      </c>
      <c r="L94" s="1295">
        <v>1865</v>
      </c>
      <c r="M94" s="1724">
        <v>1748</v>
      </c>
    </row>
    <row r="95" spans="1:13">
      <c r="A95" s="800">
        <f t="shared" si="4"/>
        <v>2023.2</v>
      </c>
      <c r="B95" s="479">
        <v>4587</v>
      </c>
      <c r="C95" s="1704">
        <v>174</v>
      </c>
      <c r="D95" s="1699">
        <v>4761</v>
      </c>
      <c r="E95" s="1175">
        <v>19862.464843382404</v>
      </c>
      <c r="F95" s="1178">
        <v>57537.977984828787</v>
      </c>
      <c r="G95" s="1178">
        <v>18927.161213739997</v>
      </c>
      <c r="H95" s="1178">
        <v>30273.848508139774</v>
      </c>
      <c r="I95" s="1710">
        <f t="shared" si="3"/>
        <v>126601.45255009097</v>
      </c>
      <c r="J95" s="1706">
        <v>510</v>
      </c>
      <c r="K95" s="1295">
        <v>252</v>
      </c>
      <c r="L95" s="1295">
        <v>2410</v>
      </c>
      <c r="M95" s="1724">
        <v>1989</v>
      </c>
    </row>
    <row r="96" spans="1:13">
      <c r="A96" s="800">
        <f t="shared" si="4"/>
        <v>2023.3</v>
      </c>
      <c r="B96" s="479">
        <v>4093</v>
      </c>
      <c r="C96" s="1704">
        <v>317</v>
      </c>
      <c r="D96" s="1699">
        <v>4410</v>
      </c>
      <c r="E96" s="1175">
        <v>22356.185153013939</v>
      </c>
      <c r="F96" s="1178">
        <v>76452.853677458843</v>
      </c>
      <c r="G96" s="1178">
        <v>25079.457814042984</v>
      </c>
      <c r="H96" s="1178">
        <v>35977.908623174168</v>
      </c>
      <c r="I96" s="1710">
        <f t="shared" si="3"/>
        <v>159866.40526768993</v>
      </c>
      <c r="J96" s="1706">
        <v>503</v>
      </c>
      <c r="K96" s="1295">
        <v>173</v>
      </c>
      <c r="L96" s="1295">
        <v>2296</v>
      </c>
      <c r="M96" s="1724">
        <v>1768</v>
      </c>
    </row>
    <row r="97" spans="1:13">
      <c r="A97" s="800">
        <f t="shared" si="4"/>
        <v>2023.4</v>
      </c>
      <c r="B97" s="479">
        <v>1777</v>
      </c>
      <c r="C97" s="1704">
        <v>52</v>
      </c>
      <c r="D97" s="1699">
        <v>1829</v>
      </c>
      <c r="E97" s="1175">
        <v>21162.768046268757</v>
      </c>
      <c r="F97" s="1178">
        <v>73353.845812399129</v>
      </c>
      <c r="G97" s="1178">
        <v>27762.920028422592</v>
      </c>
      <c r="H97" s="1178">
        <v>30006.460496071359</v>
      </c>
      <c r="I97" s="1710">
        <f t="shared" si="3"/>
        <v>152285.99438316183</v>
      </c>
      <c r="J97" s="1706">
        <v>321</v>
      </c>
      <c r="K97" s="1295">
        <v>141</v>
      </c>
      <c r="L97" s="1295">
        <v>1745</v>
      </c>
      <c r="M97" s="1724">
        <v>1419</v>
      </c>
    </row>
    <row r="98" spans="1:13">
      <c r="A98" s="800">
        <f t="shared" si="4"/>
        <v>2024.1</v>
      </c>
      <c r="B98" s="479" t="e">
        <f t="shared" ref="B98:B104" si="5">SUM(J98:M98)</f>
        <v>#N/A</v>
      </c>
      <c r="C98" s="1704" t="e">
        <f t="shared" ref="C98:C104" si="6">D98-B98</f>
        <v>#N/A</v>
      </c>
      <c r="D98" s="798" t="e">
        <v>#N/A</v>
      </c>
      <c r="E98" s="1706" t="e">
        <v>#N/A</v>
      </c>
      <c r="F98" s="1295" t="e">
        <v>#N/A</v>
      </c>
      <c r="G98" s="1706" t="e">
        <v>#N/A</v>
      </c>
      <c r="H98" s="1295" t="e">
        <v>#N/A</v>
      </c>
      <c r="I98" s="1710" t="e">
        <f t="shared" ref="I98:I104" si="7">E98+F98+G98+H98</f>
        <v>#N/A</v>
      </c>
      <c r="J98" s="1706" t="e">
        <v>#N/A</v>
      </c>
      <c r="K98" s="1295" t="e">
        <v>#N/A</v>
      </c>
      <c r="L98" s="1295" t="e">
        <v>#N/A</v>
      </c>
      <c r="M98" s="1724" t="e">
        <v>#N/A</v>
      </c>
    </row>
    <row r="99" spans="1:13">
      <c r="A99" s="800">
        <f t="shared" si="4"/>
        <v>2024.2</v>
      </c>
      <c r="B99" s="479" t="e">
        <f t="shared" si="5"/>
        <v>#N/A</v>
      </c>
      <c r="C99" s="1704" t="e">
        <f t="shared" si="6"/>
        <v>#N/A</v>
      </c>
      <c r="D99" s="798" t="e">
        <v>#N/A</v>
      </c>
      <c r="E99" s="1706" t="e">
        <v>#N/A</v>
      </c>
      <c r="F99" s="1295" t="e">
        <v>#N/A</v>
      </c>
      <c r="G99" s="1706" t="e">
        <v>#N/A</v>
      </c>
      <c r="H99" s="1295" t="e">
        <v>#N/A</v>
      </c>
      <c r="I99" s="1710" t="e">
        <f t="shared" si="7"/>
        <v>#N/A</v>
      </c>
      <c r="J99" s="1706" t="e">
        <v>#N/A</v>
      </c>
      <c r="K99" s="1295" t="e">
        <v>#N/A</v>
      </c>
      <c r="L99" s="1295" t="e">
        <v>#N/A</v>
      </c>
      <c r="M99" s="1724" t="e">
        <v>#N/A</v>
      </c>
    </row>
    <row r="100" spans="1:13">
      <c r="A100" s="800">
        <f t="shared" si="4"/>
        <v>2024.3</v>
      </c>
      <c r="B100" s="479" t="e">
        <f t="shared" si="5"/>
        <v>#N/A</v>
      </c>
      <c r="C100" s="1704" t="e">
        <f t="shared" si="6"/>
        <v>#N/A</v>
      </c>
      <c r="D100" s="798" t="e">
        <v>#N/A</v>
      </c>
      <c r="E100" s="1706" t="e">
        <v>#N/A</v>
      </c>
      <c r="F100" s="1295" t="e">
        <v>#N/A</v>
      </c>
      <c r="G100" s="1706" t="e">
        <v>#N/A</v>
      </c>
      <c r="H100" s="1295" t="e">
        <v>#N/A</v>
      </c>
      <c r="I100" s="1710" t="e">
        <f t="shared" si="7"/>
        <v>#N/A</v>
      </c>
      <c r="J100" s="1706" t="e">
        <v>#N/A</v>
      </c>
      <c r="K100" s="1295" t="e">
        <v>#N/A</v>
      </c>
      <c r="L100" s="1295" t="e">
        <v>#N/A</v>
      </c>
      <c r="M100" s="1724" t="e">
        <v>#N/A</v>
      </c>
    </row>
    <row r="101" spans="1:13">
      <c r="A101" s="800">
        <f t="shared" si="4"/>
        <v>2024.4</v>
      </c>
      <c r="B101" s="479" t="e">
        <f t="shared" si="5"/>
        <v>#N/A</v>
      </c>
      <c r="C101" s="1704" t="e">
        <f t="shared" si="6"/>
        <v>#N/A</v>
      </c>
      <c r="D101" s="798" t="e">
        <v>#N/A</v>
      </c>
      <c r="E101" s="1706" t="e">
        <v>#N/A</v>
      </c>
      <c r="F101" s="1295" t="e">
        <v>#N/A</v>
      </c>
      <c r="G101" s="1706" t="e">
        <v>#N/A</v>
      </c>
      <c r="H101" s="1295" t="e">
        <v>#N/A</v>
      </c>
      <c r="I101" s="1710" t="e">
        <f t="shared" si="7"/>
        <v>#N/A</v>
      </c>
      <c r="J101" s="1706" t="e">
        <v>#N/A</v>
      </c>
      <c r="K101" s="1295" t="e">
        <v>#N/A</v>
      </c>
      <c r="L101" s="1295" t="e">
        <v>#N/A</v>
      </c>
      <c r="M101" s="1724" t="e">
        <v>#N/A</v>
      </c>
    </row>
    <row r="102" spans="1:13">
      <c r="A102" s="800">
        <f t="shared" si="4"/>
        <v>2025.1</v>
      </c>
      <c r="B102" s="479" t="e">
        <f t="shared" si="5"/>
        <v>#N/A</v>
      </c>
      <c r="C102" s="1704" t="e">
        <f t="shared" si="6"/>
        <v>#N/A</v>
      </c>
      <c r="D102" s="798" t="e">
        <v>#N/A</v>
      </c>
      <c r="E102" s="1706" t="e">
        <v>#N/A</v>
      </c>
      <c r="F102" s="1295" t="e">
        <v>#N/A</v>
      </c>
      <c r="G102" s="1706" t="e">
        <v>#N/A</v>
      </c>
      <c r="H102" s="1295" t="e">
        <v>#N/A</v>
      </c>
      <c r="I102" s="1710" t="e">
        <f t="shared" si="7"/>
        <v>#N/A</v>
      </c>
      <c r="J102" s="1706" t="e">
        <v>#N/A</v>
      </c>
      <c r="K102" s="1295" t="e">
        <v>#N/A</v>
      </c>
      <c r="L102" s="1295" t="e">
        <v>#N/A</v>
      </c>
      <c r="M102" s="1724" t="e">
        <v>#N/A</v>
      </c>
    </row>
    <row r="103" spans="1:13">
      <c r="A103" s="800">
        <f t="shared" si="4"/>
        <v>2025.2</v>
      </c>
      <c r="B103" s="479" t="e">
        <f t="shared" si="5"/>
        <v>#N/A</v>
      </c>
      <c r="C103" s="1704" t="e">
        <f t="shared" si="6"/>
        <v>#N/A</v>
      </c>
      <c r="D103" s="798" t="e">
        <v>#N/A</v>
      </c>
      <c r="E103" s="1706" t="e">
        <v>#N/A</v>
      </c>
      <c r="F103" s="1295" t="e">
        <v>#N/A</v>
      </c>
      <c r="G103" s="1706" t="e">
        <v>#N/A</v>
      </c>
      <c r="H103" s="1295" t="e">
        <v>#N/A</v>
      </c>
      <c r="I103" s="1710" t="e">
        <f t="shared" si="7"/>
        <v>#N/A</v>
      </c>
      <c r="J103" s="1706" t="e">
        <v>#N/A</v>
      </c>
      <c r="K103" s="1295" t="e">
        <v>#N/A</v>
      </c>
      <c r="L103" s="1295" t="e">
        <v>#N/A</v>
      </c>
      <c r="M103" s="1724" t="e">
        <v>#N/A</v>
      </c>
    </row>
    <row r="104" spans="1:13">
      <c r="A104" s="800">
        <f t="shared" si="4"/>
        <v>2025.3</v>
      </c>
      <c r="B104" s="479" t="e">
        <f t="shared" si="5"/>
        <v>#N/A</v>
      </c>
      <c r="C104" s="1704" t="e">
        <f t="shared" si="6"/>
        <v>#N/A</v>
      </c>
      <c r="D104" s="798" t="e">
        <v>#N/A</v>
      </c>
      <c r="E104" s="1706" t="e">
        <v>#N/A</v>
      </c>
      <c r="F104" s="1295" t="e">
        <v>#N/A</v>
      </c>
      <c r="G104" s="1706" t="e">
        <v>#N/A</v>
      </c>
      <c r="H104" s="1295" t="e">
        <v>#N/A</v>
      </c>
      <c r="I104" s="1710" t="e">
        <f t="shared" si="7"/>
        <v>#N/A</v>
      </c>
      <c r="J104" s="1706" t="e">
        <v>#N/A</v>
      </c>
      <c r="K104" s="1295" t="e">
        <v>#N/A</v>
      </c>
      <c r="L104" s="1295" t="e">
        <v>#N/A</v>
      </c>
      <c r="M104" s="1724" t="e">
        <v>#N/A</v>
      </c>
    </row>
    <row r="105" spans="1:13">
      <c r="A105" s="800">
        <f t="shared" ref="A105:A118" si="8">A101+1</f>
        <v>2025.4</v>
      </c>
      <c r="B105" s="479" t="e">
        <f>SUM(J105:M105)</f>
        <v>#N/A</v>
      </c>
      <c r="C105" s="1704" t="e">
        <f>D105-B105</f>
        <v>#N/A</v>
      </c>
      <c r="D105" s="798" t="e">
        <v>#N/A</v>
      </c>
      <c r="E105" s="1706" t="e">
        <v>#N/A</v>
      </c>
      <c r="F105" s="1295" t="e">
        <v>#N/A</v>
      </c>
      <c r="G105" s="1706" t="e">
        <v>#N/A</v>
      </c>
      <c r="H105" s="1295" t="e">
        <v>#N/A</v>
      </c>
      <c r="I105" s="1710" t="e">
        <f>E105+F105+G105+H105</f>
        <v>#N/A</v>
      </c>
      <c r="J105" s="1706" t="e">
        <v>#N/A</v>
      </c>
      <c r="K105" s="1295" t="e">
        <v>#N/A</v>
      </c>
      <c r="L105" s="1295" t="e">
        <v>#N/A</v>
      </c>
      <c r="M105" s="1724" t="e">
        <v>#N/A</v>
      </c>
    </row>
    <row r="106" spans="1:13">
      <c r="A106" s="800">
        <f t="shared" si="8"/>
        <v>2026.1</v>
      </c>
      <c r="B106" s="479" t="e">
        <f t="shared" ref="B106:B118" si="9">SUM(J106:M106)</f>
        <v>#N/A</v>
      </c>
      <c r="C106" s="1704" t="e">
        <f t="shared" ref="C106:C118" si="10">D106-B106</f>
        <v>#N/A</v>
      </c>
      <c r="D106" s="798" t="e">
        <v>#N/A</v>
      </c>
      <c r="E106" s="1706" t="e">
        <v>#N/A</v>
      </c>
      <c r="F106" s="1295" t="e">
        <v>#N/A</v>
      </c>
      <c r="G106" s="1706" t="e">
        <v>#N/A</v>
      </c>
      <c r="H106" s="1295" t="e">
        <v>#N/A</v>
      </c>
      <c r="I106" s="1710" t="e">
        <f t="shared" ref="I106:I118" si="11">E106+F106+G106+H106</f>
        <v>#N/A</v>
      </c>
      <c r="J106" s="1706" t="e">
        <v>#N/A</v>
      </c>
      <c r="K106" s="1295" t="e">
        <v>#N/A</v>
      </c>
      <c r="L106" s="1295" t="e">
        <v>#N/A</v>
      </c>
      <c r="M106" s="1724" t="e">
        <v>#N/A</v>
      </c>
    </row>
    <row r="107" spans="1:13">
      <c r="A107" s="800">
        <f t="shared" si="8"/>
        <v>2026.2</v>
      </c>
      <c r="B107" s="479" t="e">
        <f t="shared" si="9"/>
        <v>#N/A</v>
      </c>
      <c r="C107" s="1704" t="e">
        <f t="shared" si="10"/>
        <v>#N/A</v>
      </c>
      <c r="D107" s="798" t="e">
        <v>#N/A</v>
      </c>
      <c r="E107" s="1706" t="e">
        <v>#N/A</v>
      </c>
      <c r="F107" s="1295" t="e">
        <v>#N/A</v>
      </c>
      <c r="G107" s="1706" t="e">
        <v>#N/A</v>
      </c>
      <c r="H107" s="1295" t="e">
        <v>#N/A</v>
      </c>
      <c r="I107" s="1710" t="e">
        <f t="shared" si="11"/>
        <v>#N/A</v>
      </c>
      <c r="J107" s="1706" t="e">
        <v>#N/A</v>
      </c>
      <c r="K107" s="1295" t="e">
        <v>#N/A</v>
      </c>
      <c r="L107" s="1295" t="e">
        <v>#N/A</v>
      </c>
      <c r="M107" s="1724" t="e">
        <v>#N/A</v>
      </c>
    </row>
    <row r="108" spans="1:13">
      <c r="A108" s="800">
        <f t="shared" si="8"/>
        <v>2026.3</v>
      </c>
      <c r="B108" s="479" t="e">
        <f t="shared" si="9"/>
        <v>#N/A</v>
      </c>
      <c r="C108" s="1704" t="e">
        <f t="shared" si="10"/>
        <v>#N/A</v>
      </c>
      <c r="D108" s="798" t="e">
        <v>#N/A</v>
      </c>
      <c r="E108" s="1706" t="e">
        <v>#N/A</v>
      </c>
      <c r="F108" s="1295" t="e">
        <v>#N/A</v>
      </c>
      <c r="G108" s="1706" t="e">
        <v>#N/A</v>
      </c>
      <c r="H108" s="1295" t="e">
        <v>#N/A</v>
      </c>
      <c r="I108" s="1710" t="e">
        <f t="shared" si="11"/>
        <v>#N/A</v>
      </c>
      <c r="J108" s="1706" t="e">
        <v>#N/A</v>
      </c>
      <c r="K108" s="1295" t="e">
        <v>#N/A</v>
      </c>
      <c r="L108" s="1295" t="e">
        <v>#N/A</v>
      </c>
      <c r="M108" s="1724" t="e">
        <v>#N/A</v>
      </c>
    </row>
    <row r="109" spans="1:13">
      <c r="A109" s="800">
        <f t="shared" si="8"/>
        <v>2026.4</v>
      </c>
      <c r="B109" s="479" t="e">
        <f t="shared" si="9"/>
        <v>#N/A</v>
      </c>
      <c r="C109" s="1704" t="e">
        <f t="shared" si="10"/>
        <v>#N/A</v>
      </c>
      <c r="D109" s="798" t="e">
        <v>#N/A</v>
      </c>
      <c r="E109" s="1706" t="e">
        <v>#N/A</v>
      </c>
      <c r="F109" s="1295" t="e">
        <v>#N/A</v>
      </c>
      <c r="G109" s="1706" t="e">
        <v>#N/A</v>
      </c>
      <c r="H109" s="1295" t="e">
        <v>#N/A</v>
      </c>
      <c r="I109" s="1710" t="e">
        <f t="shared" si="11"/>
        <v>#N/A</v>
      </c>
      <c r="J109" s="1706" t="e">
        <v>#N/A</v>
      </c>
      <c r="K109" s="1295" t="e">
        <v>#N/A</v>
      </c>
      <c r="L109" s="1295" t="e">
        <v>#N/A</v>
      </c>
      <c r="M109" s="1724" t="e">
        <v>#N/A</v>
      </c>
    </row>
    <row r="110" spans="1:13">
      <c r="A110" s="800">
        <f t="shared" si="8"/>
        <v>2027.1</v>
      </c>
      <c r="B110" s="479" t="e">
        <f t="shared" si="9"/>
        <v>#N/A</v>
      </c>
      <c r="C110" s="1704" t="e">
        <f t="shared" si="10"/>
        <v>#N/A</v>
      </c>
      <c r="D110" s="798" t="e">
        <v>#N/A</v>
      </c>
      <c r="E110" s="1706" t="e">
        <v>#N/A</v>
      </c>
      <c r="F110" s="1295" t="e">
        <v>#N/A</v>
      </c>
      <c r="G110" s="1706" t="e">
        <v>#N/A</v>
      </c>
      <c r="H110" s="1295" t="e">
        <v>#N/A</v>
      </c>
      <c r="I110" s="1710" t="e">
        <f t="shared" si="11"/>
        <v>#N/A</v>
      </c>
      <c r="J110" s="1706" t="e">
        <v>#N/A</v>
      </c>
      <c r="K110" s="1295" t="e">
        <v>#N/A</v>
      </c>
      <c r="L110" s="1295" t="e">
        <v>#N/A</v>
      </c>
      <c r="M110" s="1724" t="e">
        <v>#N/A</v>
      </c>
    </row>
    <row r="111" spans="1:13">
      <c r="A111" s="800">
        <f t="shared" si="8"/>
        <v>2027.2</v>
      </c>
      <c r="B111" s="479" t="e">
        <f t="shared" si="9"/>
        <v>#N/A</v>
      </c>
      <c r="C111" s="1704" t="e">
        <f t="shared" si="10"/>
        <v>#N/A</v>
      </c>
      <c r="D111" s="798" t="e">
        <v>#N/A</v>
      </c>
      <c r="E111" s="1706" t="e">
        <v>#N/A</v>
      </c>
      <c r="F111" s="1295" t="e">
        <v>#N/A</v>
      </c>
      <c r="G111" s="1706" t="e">
        <v>#N/A</v>
      </c>
      <c r="H111" s="1295" t="e">
        <v>#N/A</v>
      </c>
      <c r="I111" s="1710" t="e">
        <f t="shared" si="11"/>
        <v>#N/A</v>
      </c>
      <c r="J111" s="1706" t="e">
        <v>#N/A</v>
      </c>
      <c r="K111" s="1295" t="e">
        <v>#N/A</v>
      </c>
      <c r="L111" s="1295" t="e">
        <v>#N/A</v>
      </c>
      <c r="M111" s="1724" t="e">
        <v>#N/A</v>
      </c>
    </row>
    <row r="112" spans="1:13">
      <c r="A112" s="800">
        <f t="shared" si="8"/>
        <v>2027.3</v>
      </c>
      <c r="B112" s="479" t="e">
        <f t="shared" si="9"/>
        <v>#N/A</v>
      </c>
      <c r="C112" s="1704" t="e">
        <f t="shared" si="10"/>
        <v>#N/A</v>
      </c>
      <c r="D112" s="798" t="e">
        <v>#N/A</v>
      </c>
      <c r="E112" s="1706" t="e">
        <v>#N/A</v>
      </c>
      <c r="F112" s="1295" t="e">
        <v>#N/A</v>
      </c>
      <c r="G112" s="1706" t="e">
        <v>#N/A</v>
      </c>
      <c r="H112" s="1295" t="e">
        <v>#N/A</v>
      </c>
      <c r="I112" s="1710" t="e">
        <f t="shared" si="11"/>
        <v>#N/A</v>
      </c>
      <c r="J112" s="1706" t="e">
        <v>#N/A</v>
      </c>
      <c r="K112" s="1295" t="e">
        <v>#N/A</v>
      </c>
      <c r="L112" s="1295" t="e">
        <v>#N/A</v>
      </c>
      <c r="M112" s="1724" t="e">
        <v>#N/A</v>
      </c>
    </row>
    <row r="113" spans="1:13">
      <c r="A113" s="800">
        <f t="shared" si="8"/>
        <v>2027.4</v>
      </c>
      <c r="B113" s="479" t="e">
        <f t="shared" si="9"/>
        <v>#N/A</v>
      </c>
      <c r="C113" s="1704" t="e">
        <f t="shared" si="10"/>
        <v>#N/A</v>
      </c>
      <c r="D113" s="798" t="e">
        <v>#N/A</v>
      </c>
      <c r="E113" s="1706" t="e">
        <v>#N/A</v>
      </c>
      <c r="F113" s="1295" t="e">
        <v>#N/A</v>
      </c>
      <c r="G113" s="1706" t="e">
        <v>#N/A</v>
      </c>
      <c r="H113" s="1295" t="e">
        <v>#N/A</v>
      </c>
      <c r="I113" s="1710" t="e">
        <f t="shared" si="11"/>
        <v>#N/A</v>
      </c>
      <c r="J113" s="1706" t="e">
        <v>#N/A</v>
      </c>
      <c r="K113" s="1295" t="e">
        <v>#N/A</v>
      </c>
      <c r="L113" s="1295" t="e">
        <v>#N/A</v>
      </c>
      <c r="M113" s="1724" t="e">
        <v>#N/A</v>
      </c>
    </row>
    <row r="114" spans="1:13">
      <c r="A114" s="800">
        <f t="shared" si="8"/>
        <v>2028.1</v>
      </c>
      <c r="B114" s="479" t="e">
        <f t="shared" si="9"/>
        <v>#N/A</v>
      </c>
      <c r="C114" s="1704" t="e">
        <f t="shared" si="10"/>
        <v>#N/A</v>
      </c>
      <c r="D114" s="798" t="e">
        <v>#N/A</v>
      </c>
      <c r="E114" s="1706" t="e">
        <v>#N/A</v>
      </c>
      <c r="F114" s="1295" t="e">
        <v>#N/A</v>
      </c>
      <c r="G114" s="1706" t="e">
        <v>#N/A</v>
      </c>
      <c r="H114" s="1295" t="e">
        <v>#N/A</v>
      </c>
      <c r="I114" s="1710" t="e">
        <f t="shared" si="11"/>
        <v>#N/A</v>
      </c>
      <c r="J114" s="1706" t="e">
        <v>#N/A</v>
      </c>
      <c r="K114" s="1295" t="e">
        <v>#N/A</v>
      </c>
      <c r="L114" s="1295" t="e">
        <v>#N/A</v>
      </c>
      <c r="M114" s="1724" t="e">
        <v>#N/A</v>
      </c>
    </row>
    <row r="115" spans="1:13">
      <c r="A115" s="800">
        <f t="shared" si="8"/>
        <v>2028.2</v>
      </c>
      <c r="B115" s="479" t="e">
        <f t="shared" si="9"/>
        <v>#N/A</v>
      </c>
      <c r="C115" s="1704" t="e">
        <f t="shared" si="10"/>
        <v>#N/A</v>
      </c>
      <c r="D115" s="798" t="e">
        <v>#N/A</v>
      </c>
      <c r="E115" s="1706" t="e">
        <v>#N/A</v>
      </c>
      <c r="F115" s="1295" t="e">
        <v>#N/A</v>
      </c>
      <c r="G115" s="1706" t="e">
        <v>#N/A</v>
      </c>
      <c r="H115" s="1295" t="e">
        <v>#N/A</v>
      </c>
      <c r="I115" s="1710" t="e">
        <f t="shared" si="11"/>
        <v>#N/A</v>
      </c>
      <c r="J115" s="1706" t="e">
        <v>#N/A</v>
      </c>
      <c r="K115" s="1295" t="e">
        <v>#N/A</v>
      </c>
      <c r="L115" s="1295" t="e">
        <v>#N/A</v>
      </c>
      <c r="M115" s="1724" t="e">
        <v>#N/A</v>
      </c>
    </row>
    <row r="116" spans="1:13">
      <c r="A116" s="800">
        <f t="shared" si="8"/>
        <v>2028.3</v>
      </c>
      <c r="B116" s="479" t="e">
        <f t="shared" si="9"/>
        <v>#N/A</v>
      </c>
      <c r="C116" s="1704" t="e">
        <f t="shared" si="10"/>
        <v>#N/A</v>
      </c>
      <c r="D116" s="798" t="e">
        <v>#N/A</v>
      </c>
      <c r="E116" s="1706" t="e">
        <v>#N/A</v>
      </c>
      <c r="F116" s="1295" t="e">
        <v>#N/A</v>
      </c>
      <c r="G116" s="1706" t="e">
        <v>#N/A</v>
      </c>
      <c r="H116" s="1295" t="e">
        <v>#N/A</v>
      </c>
      <c r="I116" s="1710" t="e">
        <f t="shared" si="11"/>
        <v>#N/A</v>
      </c>
      <c r="J116" s="1706" t="e">
        <v>#N/A</v>
      </c>
      <c r="K116" s="1295" t="e">
        <v>#N/A</v>
      </c>
      <c r="L116" s="1295" t="e">
        <v>#N/A</v>
      </c>
      <c r="M116" s="1724" t="e">
        <v>#N/A</v>
      </c>
    </row>
    <row r="117" spans="1:13">
      <c r="A117" s="800">
        <f t="shared" si="8"/>
        <v>2028.4</v>
      </c>
      <c r="B117" s="479" t="e">
        <f t="shared" si="9"/>
        <v>#N/A</v>
      </c>
      <c r="C117" s="1704" t="e">
        <f t="shared" si="10"/>
        <v>#N/A</v>
      </c>
      <c r="D117" s="798" t="e">
        <v>#N/A</v>
      </c>
      <c r="E117" s="1706" t="e">
        <v>#N/A</v>
      </c>
      <c r="F117" s="1295" t="e">
        <v>#N/A</v>
      </c>
      <c r="G117" s="1706" t="e">
        <v>#N/A</v>
      </c>
      <c r="H117" s="1295" t="e">
        <v>#N/A</v>
      </c>
      <c r="I117" s="1710" t="e">
        <f t="shared" si="11"/>
        <v>#N/A</v>
      </c>
      <c r="J117" s="1706" t="e">
        <v>#N/A</v>
      </c>
      <c r="K117" s="1295" t="e">
        <v>#N/A</v>
      </c>
      <c r="L117" s="1295" t="e">
        <v>#N/A</v>
      </c>
      <c r="M117" s="1724" t="e">
        <v>#N/A</v>
      </c>
    </row>
    <row r="118" spans="1:13">
      <c r="A118" s="800">
        <f t="shared" si="8"/>
        <v>2029.1</v>
      </c>
      <c r="B118" s="479" t="e">
        <f t="shared" si="9"/>
        <v>#N/A</v>
      </c>
      <c r="C118" s="1704" t="e">
        <f t="shared" si="10"/>
        <v>#N/A</v>
      </c>
      <c r="D118" s="798" t="e">
        <v>#N/A</v>
      </c>
      <c r="E118" s="1706" t="e">
        <v>#N/A</v>
      </c>
      <c r="F118" s="1295" t="e">
        <v>#N/A</v>
      </c>
      <c r="G118" s="1706" t="e">
        <v>#N/A</v>
      </c>
      <c r="H118" s="1295" t="e">
        <v>#N/A</v>
      </c>
      <c r="I118" s="1710" t="e">
        <f t="shared" si="11"/>
        <v>#N/A</v>
      </c>
      <c r="J118" s="1706" t="e">
        <v>#N/A</v>
      </c>
      <c r="K118" s="1295" t="e">
        <v>#N/A</v>
      </c>
      <c r="L118" s="1295" t="e">
        <v>#N/A</v>
      </c>
      <c r="M118" s="1724" t="e">
        <v>#N/A</v>
      </c>
    </row>
    <row r="119" spans="1:13">
      <c r="A119" s="800">
        <f t="shared" ref="A119:A125" si="12">A115+1</f>
        <v>2029.2</v>
      </c>
      <c r="B119" s="479" t="e">
        <f t="shared" ref="B119:B122" si="13">SUM(J119:M119)</f>
        <v>#N/A</v>
      </c>
      <c r="C119" s="1704" t="e">
        <f t="shared" ref="C119:C122" si="14">D119-B119</f>
        <v>#N/A</v>
      </c>
      <c r="D119" s="798" t="e">
        <v>#N/A</v>
      </c>
      <c r="E119" s="1706" t="e">
        <v>#N/A</v>
      </c>
      <c r="F119" s="1295" t="e">
        <v>#N/A</v>
      </c>
      <c r="G119" s="1706" t="e">
        <v>#N/A</v>
      </c>
      <c r="H119" s="1295" t="e">
        <v>#N/A</v>
      </c>
      <c r="I119" s="1710" t="e">
        <f t="shared" ref="I119:I122" si="15">E119+F119+G119+H119</f>
        <v>#N/A</v>
      </c>
      <c r="J119" s="1706" t="e">
        <v>#N/A</v>
      </c>
      <c r="K119" s="1295" t="e">
        <v>#N/A</v>
      </c>
      <c r="L119" s="1295" t="e">
        <v>#N/A</v>
      </c>
      <c r="M119" s="1724" t="e">
        <v>#N/A</v>
      </c>
    </row>
    <row r="120" spans="1:13">
      <c r="A120" s="800">
        <f t="shared" si="12"/>
        <v>2029.3</v>
      </c>
      <c r="B120" s="479" t="e">
        <f t="shared" si="13"/>
        <v>#N/A</v>
      </c>
      <c r="C120" s="1704" t="e">
        <f t="shared" si="14"/>
        <v>#N/A</v>
      </c>
      <c r="D120" s="798" t="e">
        <v>#N/A</v>
      </c>
      <c r="E120" s="1706" t="e">
        <v>#N/A</v>
      </c>
      <c r="F120" s="1295" t="e">
        <v>#N/A</v>
      </c>
      <c r="G120" s="1706" t="e">
        <v>#N/A</v>
      </c>
      <c r="H120" s="1295" t="e">
        <v>#N/A</v>
      </c>
      <c r="I120" s="1710" t="e">
        <f t="shared" si="15"/>
        <v>#N/A</v>
      </c>
      <c r="J120" s="1706" t="e">
        <v>#N/A</v>
      </c>
      <c r="K120" s="1295" t="e">
        <v>#N/A</v>
      </c>
      <c r="L120" s="1295" t="e">
        <v>#N/A</v>
      </c>
      <c r="M120" s="1724" t="e">
        <v>#N/A</v>
      </c>
    </row>
    <row r="121" spans="1:13">
      <c r="A121" s="800">
        <f t="shared" si="12"/>
        <v>2029.4</v>
      </c>
      <c r="B121" s="479" t="e">
        <f t="shared" si="13"/>
        <v>#N/A</v>
      </c>
      <c r="C121" s="1704" t="e">
        <f t="shared" si="14"/>
        <v>#N/A</v>
      </c>
      <c r="D121" s="798" t="e">
        <v>#N/A</v>
      </c>
      <c r="E121" s="1706" t="e">
        <v>#N/A</v>
      </c>
      <c r="F121" s="1295" t="e">
        <v>#N/A</v>
      </c>
      <c r="G121" s="1706" t="e">
        <v>#N/A</v>
      </c>
      <c r="H121" s="1295" t="e">
        <v>#N/A</v>
      </c>
      <c r="I121" s="1710" t="e">
        <f t="shared" si="15"/>
        <v>#N/A</v>
      </c>
      <c r="J121" s="1706" t="e">
        <v>#N/A</v>
      </c>
      <c r="K121" s="1295" t="e">
        <v>#N/A</v>
      </c>
      <c r="L121" s="1295" t="e">
        <v>#N/A</v>
      </c>
      <c r="M121" s="1724" t="e">
        <v>#N/A</v>
      </c>
    </row>
    <row r="122" spans="1:13">
      <c r="A122" s="800">
        <f>A118+1</f>
        <v>2030.1</v>
      </c>
      <c r="B122" s="479" t="e">
        <f t="shared" si="13"/>
        <v>#N/A</v>
      </c>
      <c r="C122" s="1704" t="e">
        <f t="shared" si="14"/>
        <v>#N/A</v>
      </c>
      <c r="D122" s="798" t="e">
        <v>#N/A</v>
      </c>
      <c r="E122" s="1706" t="e">
        <v>#N/A</v>
      </c>
      <c r="F122" s="1295" t="e">
        <v>#N/A</v>
      </c>
      <c r="G122" s="1706" t="e">
        <v>#N/A</v>
      </c>
      <c r="H122" s="1295" t="e">
        <v>#N/A</v>
      </c>
      <c r="I122" s="1710" t="e">
        <f t="shared" si="15"/>
        <v>#N/A</v>
      </c>
      <c r="J122" s="1706" t="e">
        <v>#N/A</v>
      </c>
      <c r="K122" s="1295" t="e">
        <v>#N/A</v>
      </c>
      <c r="L122" s="1295" t="e">
        <v>#N/A</v>
      </c>
      <c r="M122" s="1724" t="e">
        <v>#N/A</v>
      </c>
    </row>
    <row r="123" spans="1:13">
      <c r="A123" s="800">
        <f t="shared" si="12"/>
        <v>2030.2</v>
      </c>
      <c r="B123" s="479" t="e">
        <f t="shared" ref="B123:B125" si="16">SUM(J123:M123)</f>
        <v>#N/A</v>
      </c>
      <c r="C123" s="1704" t="e">
        <f t="shared" ref="C123:C125" si="17">D123-B123</f>
        <v>#N/A</v>
      </c>
      <c r="D123" s="798" t="e">
        <v>#N/A</v>
      </c>
      <c r="E123" s="1706" t="e">
        <v>#N/A</v>
      </c>
      <c r="F123" s="1295" t="e">
        <v>#N/A</v>
      </c>
      <c r="G123" s="1706" t="e">
        <v>#N/A</v>
      </c>
      <c r="H123" s="1295" t="e">
        <v>#N/A</v>
      </c>
      <c r="I123" s="1710" t="e">
        <f t="shared" ref="I123:I125" si="18">E123+F123+G123+H123</f>
        <v>#N/A</v>
      </c>
      <c r="J123" s="1706" t="e">
        <v>#N/A</v>
      </c>
      <c r="K123" s="1295" t="e">
        <v>#N/A</v>
      </c>
      <c r="L123" s="1295" t="e">
        <v>#N/A</v>
      </c>
      <c r="M123" s="1724" t="e">
        <v>#N/A</v>
      </c>
    </row>
    <row r="124" spans="1:13">
      <c r="A124" s="800">
        <f t="shared" si="12"/>
        <v>2030.3</v>
      </c>
      <c r="B124" s="479" t="e">
        <f t="shared" si="16"/>
        <v>#N/A</v>
      </c>
      <c r="C124" s="1704" t="e">
        <f t="shared" si="17"/>
        <v>#N/A</v>
      </c>
      <c r="D124" s="798" t="e">
        <v>#N/A</v>
      </c>
      <c r="E124" s="1706" t="e">
        <v>#N/A</v>
      </c>
      <c r="F124" s="1295" t="e">
        <v>#N/A</v>
      </c>
      <c r="G124" s="1706" t="e">
        <v>#N/A</v>
      </c>
      <c r="H124" s="1295" t="e">
        <v>#N/A</v>
      </c>
      <c r="I124" s="1710" t="e">
        <f t="shared" si="18"/>
        <v>#N/A</v>
      </c>
      <c r="J124" s="1706" t="e">
        <v>#N/A</v>
      </c>
      <c r="K124" s="1295" t="e">
        <v>#N/A</v>
      </c>
      <c r="L124" s="1295" t="e">
        <v>#N/A</v>
      </c>
      <c r="M124" s="1724" t="e">
        <v>#N/A</v>
      </c>
    </row>
    <row r="125" spans="1:13">
      <c r="A125" s="800">
        <f t="shared" si="12"/>
        <v>2030.4</v>
      </c>
      <c r="B125" s="479" t="e">
        <f t="shared" si="16"/>
        <v>#N/A</v>
      </c>
      <c r="C125" s="1704" t="e">
        <f t="shared" si="17"/>
        <v>#N/A</v>
      </c>
      <c r="D125" s="798" t="e">
        <v>#N/A</v>
      </c>
      <c r="E125" s="1706" t="e">
        <v>#N/A</v>
      </c>
      <c r="F125" s="1295" t="e">
        <v>#N/A</v>
      </c>
      <c r="G125" s="1706" t="e">
        <v>#N/A</v>
      </c>
      <c r="H125" s="1295" t="e">
        <v>#N/A</v>
      </c>
      <c r="I125" s="1710" t="e">
        <f t="shared" si="18"/>
        <v>#N/A</v>
      </c>
      <c r="J125" s="1706" t="e">
        <v>#N/A</v>
      </c>
      <c r="K125" s="1295" t="e">
        <v>#N/A</v>
      </c>
      <c r="L125" s="1295" t="e">
        <v>#N/A</v>
      </c>
      <c r="M125" s="1724" t="e">
        <v>#N/A</v>
      </c>
    </row>
    <row r="126" spans="1:13">
      <c r="A126" s="799"/>
    </row>
    <row r="127" spans="1:13">
      <c r="A127" s="799"/>
    </row>
    <row r="128" spans="1:13">
      <c r="A128" s="799"/>
    </row>
    <row r="129" spans="1:1">
      <c r="A129" s="799"/>
    </row>
    <row r="130" spans="1:1">
      <c r="A130" s="799"/>
    </row>
    <row r="131" spans="1:1">
      <c r="A131" s="799"/>
    </row>
    <row r="132" spans="1:1">
      <c r="A132" s="799"/>
    </row>
    <row r="133" spans="1:1">
      <c r="A133" s="799"/>
    </row>
    <row r="134" spans="1:1">
      <c r="A134" s="799"/>
    </row>
    <row r="135" spans="1:1">
      <c r="A135" s="799"/>
    </row>
    <row r="136" spans="1:1">
      <c r="A136" s="799"/>
    </row>
    <row r="137" spans="1:1">
      <c r="A137" s="799"/>
    </row>
    <row r="138" spans="1:1">
      <c r="A138" s="799"/>
    </row>
    <row r="139" spans="1:1">
      <c r="A139" s="799"/>
    </row>
    <row r="140" spans="1:1">
      <c r="A140" s="799"/>
    </row>
    <row r="141" spans="1:1">
      <c r="A141" s="799"/>
    </row>
    <row r="142" spans="1:1">
      <c r="A142" s="799"/>
    </row>
    <row r="143" spans="1:1">
      <c r="A143" s="799"/>
    </row>
    <row r="144" spans="1:1">
      <c r="A144" s="799"/>
    </row>
    <row r="145" spans="1:1">
      <c r="A145" s="799"/>
    </row>
    <row r="146" spans="1:1">
      <c r="A146" s="799"/>
    </row>
    <row r="147" spans="1:1">
      <c r="A147" s="799"/>
    </row>
    <row r="148" spans="1:1">
      <c r="A148" s="799"/>
    </row>
    <row r="149" spans="1:1">
      <c r="A149" s="799"/>
    </row>
    <row r="150" spans="1:1">
      <c r="A150" s="799"/>
    </row>
    <row r="151" spans="1:1">
      <c r="A151" s="799"/>
    </row>
    <row r="152" spans="1:1">
      <c r="A152" s="799"/>
    </row>
    <row r="153" spans="1:1">
      <c r="A153" s="799"/>
    </row>
    <row r="154" spans="1:1">
      <c r="A154" s="799"/>
    </row>
    <row r="155" spans="1:1">
      <c r="A155" s="799"/>
    </row>
    <row r="156" spans="1:1">
      <c r="A156" s="799"/>
    </row>
    <row r="157" spans="1:1">
      <c r="A157" s="799"/>
    </row>
    <row r="158" spans="1:1">
      <c r="A158" s="799"/>
    </row>
    <row r="159" spans="1:1">
      <c r="A159" s="799"/>
    </row>
    <row r="160" spans="1:1">
      <c r="A160" s="799"/>
    </row>
    <row r="161" spans="1:1">
      <c r="A161" s="799"/>
    </row>
    <row r="162" spans="1:1">
      <c r="A162" s="799"/>
    </row>
    <row r="163" spans="1:1">
      <c r="A163" s="799"/>
    </row>
    <row r="164" spans="1:1">
      <c r="A164" s="799"/>
    </row>
    <row r="165" spans="1:1">
      <c r="A165" s="799"/>
    </row>
    <row r="166" spans="1:1">
      <c r="A166" s="799"/>
    </row>
    <row r="167" spans="1:1">
      <c r="A167" s="799"/>
    </row>
    <row r="168" spans="1:1">
      <c r="A168" s="799"/>
    </row>
    <row r="169" spans="1:1">
      <c r="A169" s="799"/>
    </row>
    <row r="170" spans="1:1">
      <c r="A170" s="799"/>
    </row>
    <row r="171" spans="1:1">
      <c r="A171" s="799"/>
    </row>
    <row r="172" spans="1:1">
      <c r="A172" s="799"/>
    </row>
    <row r="173" spans="1:1">
      <c r="A173" s="799"/>
    </row>
    <row r="174" spans="1:1">
      <c r="A174" s="799"/>
    </row>
    <row r="175" spans="1:1">
      <c r="A175" s="799"/>
    </row>
    <row r="176" spans="1:1">
      <c r="A176" s="799"/>
    </row>
    <row r="177" spans="1:1">
      <c r="A177" s="799"/>
    </row>
    <row r="178" spans="1:1">
      <c r="A178" s="799"/>
    </row>
    <row r="179" spans="1:1">
      <c r="A179" s="799"/>
    </row>
    <row r="180" spans="1:1">
      <c r="A180" s="799"/>
    </row>
    <row r="181" spans="1:1">
      <c r="A181" s="799"/>
    </row>
    <row r="182" spans="1:1">
      <c r="A182" s="799"/>
    </row>
    <row r="183" spans="1:1">
      <c r="A183" s="799"/>
    </row>
    <row r="184" spans="1:1">
      <c r="A184" s="799"/>
    </row>
    <row r="185" spans="1:1">
      <c r="A185" s="799"/>
    </row>
    <row r="186" spans="1:1">
      <c r="A186" s="799"/>
    </row>
    <row r="187" spans="1:1">
      <c r="A187" s="799"/>
    </row>
    <row r="188" spans="1:1">
      <c r="A188" s="799"/>
    </row>
    <row r="189" spans="1:1">
      <c r="A189" s="799"/>
    </row>
    <row r="190" spans="1:1">
      <c r="A190" s="799"/>
    </row>
    <row r="191" spans="1:1">
      <c r="A191" s="799"/>
    </row>
    <row r="192" spans="1:1">
      <c r="A192" s="799"/>
    </row>
    <row r="193" spans="1:1">
      <c r="A193" s="799"/>
    </row>
    <row r="194" spans="1:1">
      <c r="A194" s="799"/>
    </row>
    <row r="195" spans="1:1">
      <c r="A195" s="799"/>
    </row>
    <row r="196" spans="1:1">
      <c r="A196" s="799"/>
    </row>
    <row r="197" spans="1:1">
      <c r="A197" s="799"/>
    </row>
    <row r="198" spans="1:1">
      <c r="A198" s="799"/>
    </row>
    <row r="199" spans="1:1">
      <c r="A199" s="799"/>
    </row>
    <row r="200" spans="1:1">
      <c r="A200" s="799"/>
    </row>
    <row r="201" spans="1:1">
      <c r="A201" s="799"/>
    </row>
    <row r="202" spans="1:1">
      <c r="A202" s="799"/>
    </row>
    <row r="203" spans="1:1">
      <c r="A203" s="799"/>
    </row>
    <row r="204" spans="1:1">
      <c r="A204" s="799"/>
    </row>
    <row r="205" spans="1:1">
      <c r="A205" s="799"/>
    </row>
    <row r="206" spans="1:1">
      <c r="A206" s="799"/>
    </row>
    <row r="207" spans="1:1">
      <c r="A207" s="799"/>
    </row>
    <row r="208" spans="1:1">
      <c r="A208" s="799"/>
    </row>
    <row r="209" spans="1:1">
      <c r="A209" s="799"/>
    </row>
    <row r="210" spans="1:1">
      <c r="A210" s="799"/>
    </row>
    <row r="211" spans="1:1">
      <c r="A211" s="799"/>
    </row>
    <row r="212" spans="1:1">
      <c r="A212" s="799"/>
    </row>
    <row r="213" spans="1:1">
      <c r="A213" s="799"/>
    </row>
    <row r="214" spans="1:1">
      <c r="A214" s="799"/>
    </row>
    <row r="215" spans="1:1">
      <c r="A215" s="799"/>
    </row>
    <row r="216" spans="1:1">
      <c r="A216" s="799"/>
    </row>
    <row r="217" spans="1:1">
      <c r="A217" s="799"/>
    </row>
    <row r="218" spans="1:1">
      <c r="A218" s="799"/>
    </row>
    <row r="219" spans="1:1">
      <c r="A219" s="799"/>
    </row>
    <row r="220" spans="1:1">
      <c r="A220" s="799"/>
    </row>
    <row r="221" spans="1:1">
      <c r="A221" s="799"/>
    </row>
    <row r="222" spans="1:1">
      <c r="A222" s="799"/>
    </row>
    <row r="223" spans="1:1">
      <c r="A223" s="799"/>
    </row>
    <row r="224" spans="1:1">
      <c r="A224" s="799"/>
    </row>
    <row r="225" spans="1:1">
      <c r="A225" s="799"/>
    </row>
    <row r="226" spans="1:1">
      <c r="A226" s="799"/>
    </row>
    <row r="227" spans="1:1">
      <c r="A227" s="799"/>
    </row>
    <row r="228" spans="1:1">
      <c r="A228" s="799"/>
    </row>
    <row r="229" spans="1:1">
      <c r="A229" s="799"/>
    </row>
    <row r="230" spans="1:1">
      <c r="A230" s="799"/>
    </row>
    <row r="231" spans="1:1">
      <c r="A231" s="799"/>
    </row>
    <row r="232" spans="1:1">
      <c r="A232" s="799"/>
    </row>
    <row r="233" spans="1:1">
      <c r="A233" s="799"/>
    </row>
    <row r="234" spans="1:1">
      <c r="A234" s="799"/>
    </row>
    <row r="235" spans="1:1">
      <c r="A235" s="799"/>
    </row>
    <row r="236" spans="1:1">
      <c r="A236" s="799"/>
    </row>
    <row r="237" spans="1:1">
      <c r="A237" s="799"/>
    </row>
    <row r="238" spans="1:1">
      <c r="A238" s="799"/>
    </row>
    <row r="239" spans="1:1">
      <c r="A239" s="799"/>
    </row>
    <row r="240" spans="1:1">
      <c r="A240" s="799"/>
    </row>
    <row r="241" spans="1:1">
      <c r="A241" s="799"/>
    </row>
    <row r="242" spans="1:1">
      <c r="A242" s="799"/>
    </row>
    <row r="243" spans="1:1">
      <c r="A243" s="799"/>
    </row>
    <row r="244" spans="1:1">
      <c r="A244" s="799"/>
    </row>
    <row r="245" spans="1:1">
      <c r="A245" s="799"/>
    </row>
    <row r="246" spans="1:1">
      <c r="A246" s="799"/>
    </row>
    <row r="247" spans="1:1">
      <c r="A247" s="799"/>
    </row>
    <row r="248" spans="1:1">
      <c r="A248" s="799"/>
    </row>
    <row r="249" spans="1:1">
      <c r="A249" s="799"/>
    </row>
    <row r="250" spans="1:1">
      <c r="A250" s="799"/>
    </row>
    <row r="251" spans="1:1">
      <c r="A251" s="799"/>
    </row>
    <row r="252" spans="1:1">
      <c r="A252" s="799"/>
    </row>
    <row r="253" spans="1:1">
      <c r="A253" s="799"/>
    </row>
    <row r="254" spans="1:1">
      <c r="A254" s="799"/>
    </row>
    <row r="255" spans="1:1">
      <c r="A255" s="799"/>
    </row>
    <row r="256" spans="1:1">
      <c r="A256" s="799"/>
    </row>
    <row r="257" spans="1:1">
      <c r="A257" s="329"/>
    </row>
    <row r="258" spans="1:1">
      <c r="A258" s="329"/>
    </row>
    <row r="259" spans="1:1">
      <c r="A259" s="329"/>
    </row>
    <row r="260" spans="1:1">
      <c r="A260" s="329"/>
    </row>
    <row r="261" spans="1:1">
      <c r="A261" s="329"/>
    </row>
    <row r="262" spans="1:1">
      <c r="A262" s="329"/>
    </row>
    <row r="263" spans="1:1">
      <c r="A263" s="329"/>
    </row>
    <row r="264" spans="1:1">
      <c r="A264" s="329"/>
    </row>
    <row r="265" spans="1:1">
      <c r="A265" s="329"/>
    </row>
    <row r="266" spans="1:1">
      <c r="A266" s="329"/>
    </row>
    <row r="267" spans="1:1">
      <c r="A267" s="329"/>
    </row>
    <row r="268" spans="1:1">
      <c r="A268" s="329"/>
    </row>
    <row r="269" spans="1:1">
      <c r="A269" s="329"/>
    </row>
    <row r="270" spans="1:1">
      <c r="A270" s="329"/>
    </row>
    <row r="271" spans="1:1">
      <c r="A271" s="329"/>
    </row>
    <row r="272" spans="1:1">
      <c r="A272" s="329"/>
    </row>
    <row r="273" spans="1:1">
      <c r="A273" s="329"/>
    </row>
    <row r="274" spans="1:1">
      <c r="A274" s="329"/>
    </row>
    <row r="275" spans="1:1">
      <c r="A275" s="329"/>
    </row>
    <row r="276" spans="1:1">
      <c r="A276" s="329"/>
    </row>
    <row r="277" spans="1:1">
      <c r="A277" s="329"/>
    </row>
    <row r="278" spans="1:1">
      <c r="A278" s="329"/>
    </row>
    <row r="279" spans="1:1">
      <c r="A279" s="329"/>
    </row>
    <row r="280" spans="1:1">
      <c r="A280" s="329"/>
    </row>
    <row r="281" spans="1:1">
      <c r="A281" s="329"/>
    </row>
    <row r="282" spans="1:1">
      <c r="A282" s="329"/>
    </row>
    <row r="283" spans="1:1">
      <c r="A283" s="329"/>
    </row>
    <row r="284" spans="1:1">
      <c r="A284" s="329"/>
    </row>
    <row r="285" spans="1:1">
      <c r="A285" s="329"/>
    </row>
    <row r="286" spans="1:1">
      <c r="A286" s="329"/>
    </row>
    <row r="287" spans="1:1">
      <c r="A287" s="329"/>
    </row>
    <row r="288" spans="1:1">
      <c r="A288" s="329"/>
    </row>
    <row r="289" spans="1:1">
      <c r="A289" s="329"/>
    </row>
    <row r="290" spans="1:1">
      <c r="A290" s="329"/>
    </row>
    <row r="291" spans="1:1">
      <c r="A291" s="329"/>
    </row>
    <row r="292" spans="1:1">
      <c r="A292" s="329"/>
    </row>
    <row r="293" spans="1:1">
      <c r="A293" s="329"/>
    </row>
    <row r="294" spans="1:1">
      <c r="A294" s="329"/>
    </row>
    <row r="295" spans="1:1">
      <c r="A295" s="329"/>
    </row>
    <row r="296" spans="1:1">
      <c r="A296" s="329"/>
    </row>
    <row r="297" spans="1:1">
      <c r="A297" s="329"/>
    </row>
    <row r="298" spans="1:1">
      <c r="A298" s="329"/>
    </row>
    <row r="299" spans="1:1">
      <c r="A299" s="329"/>
    </row>
    <row r="300" spans="1:1">
      <c r="A300" s="329"/>
    </row>
    <row r="301" spans="1:1">
      <c r="A301" s="329"/>
    </row>
    <row r="302" spans="1:1">
      <c r="A302" s="329"/>
    </row>
    <row r="303" spans="1:1">
      <c r="A303" s="329"/>
    </row>
    <row r="304" spans="1:1">
      <c r="A304" s="329"/>
    </row>
    <row r="305" spans="1:1">
      <c r="A305" s="329"/>
    </row>
    <row r="306" spans="1:1">
      <c r="A306" s="329"/>
    </row>
    <row r="307" spans="1:1">
      <c r="A307" s="329"/>
    </row>
    <row r="308" spans="1:1">
      <c r="A308" s="329"/>
    </row>
    <row r="309" spans="1:1">
      <c r="A309" s="329"/>
    </row>
    <row r="310" spans="1:1">
      <c r="A310" s="329"/>
    </row>
    <row r="311" spans="1:1">
      <c r="A311" s="329"/>
    </row>
    <row r="312" spans="1:1">
      <c r="A312" s="329"/>
    </row>
    <row r="313" spans="1:1">
      <c r="A313" s="329"/>
    </row>
    <row r="314" spans="1:1">
      <c r="A314" s="329"/>
    </row>
    <row r="315" spans="1:1">
      <c r="A315" s="329"/>
    </row>
    <row r="316" spans="1:1">
      <c r="A316" s="329"/>
    </row>
    <row r="317" spans="1:1">
      <c r="A317" s="329"/>
    </row>
    <row r="318" spans="1:1">
      <c r="A318" s="329"/>
    </row>
    <row r="319" spans="1:1">
      <c r="A319" s="329"/>
    </row>
    <row r="320" spans="1:1">
      <c r="A320" s="329"/>
    </row>
    <row r="321" spans="1:1">
      <c r="A321" s="329"/>
    </row>
    <row r="322" spans="1:1">
      <c r="A322" s="329"/>
    </row>
    <row r="323" spans="1:1">
      <c r="A323" s="329"/>
    </row>
    <row r="324" spans="1:1">
      <c r="A324" s="329"/>
    </row>
    <row r="325" spans="1:1">
      <c r="A325" s="329"/>
    </row>
    <row r="326" spans="1:1">
      <c r="A326" s="329"/>
    </row>
    <row r="327" spans="1:1">
      <c r="A327" s="329"/>
    </row>
    <row r="328" spans="1:1">
      <c r="A328" s="329"/>
    </row>
    <row r="329" spans="1:1">
      <c r="A329" s="329"/>
    </row>
    <row r="330" spans="1:1">
      <c r="A330" s="329"/>
    </row>
    <row r="331" spans="1:1">
      <c r="A331" s="329"/>
    </row>
    <row r="332" spans="1:1">
      <c r="A332" s="329"/>
    </row>
    <row r="333" spans="1:1">
      <c r="A333" s="329"/>
    </row>
  </sheetData>
  <hyperlinks>
    <hyperlink ref="A5" location="INDICE!A13" display="VOLVER AL INDICE" xr:uid="{00000000-0004-0000-1B00-000000000000}"/>
  </hyperlink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autoPageBreaks="0" fitToPage="1"/>
  </sheetPr>
  <dimension ref="A1:Q465"/>
  <sheetViews>
    <sheetView zoomScaleNormal="100" workbookViewId="0">
      <pane xSplit="1" ySplit="9" topLeftCell="B365"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5703125" style="19" customWidth="1"/>
    <col min="2" max="3" width="11.140625" style="19" customWidth="1"/>
    <col min="4" max="13" width="13" style="19" customWidth="1"/>
    <col min="14" max="14" width="13.28515625" style="19" customWidth="1"/>
    <col min="15" max="16" width="13" style="19" customWidth="1"/>
    <col min="17" max="17" width="15" style="19" customWidth="1"/>
    <col min="18" max="16384" width="11.42578125" style="1"/>
  </cols>
  <sheetData>
    <row r="1" spans="1:17" s="8" customFormat="1" ht="3" customHeight="1">
      <c r="A1" s="37"/>
      <c r="B1" s="168"/>
      <c r="C1" s="169"/>
      <c r="D1" s="579"/>
      <c r="E1" s="370"/>
      <c r="F1" s="370"/>
      <c r="G1" s="370"/>
      <c r="H1" s="370"/>
      <c r="I1" s="370"/>
      <c r="J1" s="370"/>
      <c r="K1" s="370"/>
      <c r="L1" s="370"/>
      <c r="M1" s="370"/>
      <c r="N1" s="372"/>
      <c r="O1" s="370"/>
      <c r="P1" s="370"/>
      <c r="Q1" s="371"/>
    </row>
    <row r="2" spans="1:17" s="8" customFormat="1" ht="41.25" customHeight="1">
      <c r="A2" s="121" t="s">
        <v>212</v>
      </c>
      <c r="B2" s="156" t="s">
        <v>1467</v>
      </c>
      <c r="C2" s="115"/>
      <c r="D2" s="131" t="s">
        <v>1471</v>
      </c>
      <c r="E2" s="115"/>
      <c r="F2" s="115"/>
      <c r="G2" s="115"/>
      <c r="H2" s="115"/>
      <c r="I2" s="115"/>
      <c r="J2" s="115"/>
      <c r="K2" s="115"/>
      <c r="L2" s="115"/>
      <c r="M2" s="115"/>
      <c r="N2" s="131" t="s">
        <v>801</v>
      </c>
      <c r="O2" s="115"/>
      <c r="P2" s="115"/>
      <c r="Q2" s="41"/>
    </row>
    <row r="3" spans="1:17" s="8" customFormat="1" ht="45">
      <c r="A3" s="39" t="s">
        <v>211</v>
      </c>
      <c r="B3" s="156" t="s">
        <v>323</v>
      </c>
      <c r="C3" s="115"/>
      <c r="D3" s="131" t="s">
        <v>323</v>
      </c>
      <c r="E3" s="115"/>
      <c r="F3" s="115"/>
      <c r="G3" s="115"/>
      <c r="H3" s="115"/>
      <c r="I3" s="115"/>
      <c r="J3" s="115"/>
      <c r="K3" s="115"/>
      <c r="L3" s="115"/>
      <c r="M3" s="115"/>
      <c r="N3" s="94" t="s">
        <v>323</v>
      </c>
      <c r="O3" s="115"/>
      <c r="P3" s="115"/>
      <c r="Q3" s="41"/>
    </row>
    <row r="4" spans="1:17" s="8" customFormat="1" ht="3" customHeight="1">
      <c r="A4" s="37"/>
      <c r="B4" s="168"/>
      <c r="C4" s="169"/>
      <c r="D4" s="579"/>
      <c r="E4" s="370"/>
      <c r="F4" s="370"/>
      <c r="G4" s="370"/>
      <c r="H4" s="370"/>
      <c r="I4" s="370"/>
      <c r="J4" s="370"/>
      <c r="K4" s="370"/>
      <c r="L4" s="370"/>
      <c r="M4" s="370"/>
      <c r="N4" s="368"/>
      <c r="O4" s="370"/>
      <c r="P4" s="370"/>
      <c r="Q4" s="170"/>
    </row>
    <row r="5" spans="1:17" s="8" customFormat="1" ht="33.75">
      <c r="A5" s="45" t="s">
        <v>213</v>
      </c>
      <c r="B5" s="1725" t="s">
        <v>1116</v>
      </c>
      <c r="C5" s="106" t="s">
        <v>319</v>
      </c>
      <c r="D5" s="104" t="s">
        <v>242</v>
      </c>
      <c r="E5" s="1339" t="s">
        <v>859</v>
      </c>
      <c r="F5" s="106" t="s">
        <v>860</v>
      </c>
      <c r="G5" s="1339" t="s">
        <v>861</v>
      </c>
      <c r="H5" s="106" t="s">
        <v>862</v>
      </c>
      <c r="I5" s="1339" t="s">
        <v>863</v>
      </c>
      <c r="J5" s="106" t="s">
        <v>375</v>
      </c>
      <c r="K5" s="1339" t="s">
        <v>865</v>
      </c>
      <c r="L5" s="106" t="s">
        <v>864</v>
      </c>
      <c r="M5" s="1586" t="s">
        <v>866</v>
      </c>
      <c r="N5" s="104" t="s">
        <v>802</v>
      </c>
      <c r="O5" s="1339" t="s">
        <v>803</v>
      </c>
      <c r="P5" s="1339" t="s">
        <v>804</v>
      </c>
      <c r="Q5" s="866" t="s">
        <v>805</v>
      </c>
    </row>
    <row r="6" spans="1:17" s="8" customFormat="1" ht="3" customHeight="1">
      <c r="A6" s="37"/>
      <c r="B6" s="1726"/>
      <c r="C6" s="169"/>
      <c r="D6" s="459" t="s">
        <v>378</v>
      </c>
      <c r="E6" s="1729"/>
      <c r="F6" s="459"/>
      <c r="G6" s="1729"/>
      <c r="H6" s="459"/>
      <c r="I6" s="1729" t="s">
        <v>379</v>
      </c>
      <c r="J6" s="459" t="s">
        <v>380</v>
      </c>
      <c r="K6" s="1729"/>
      <c r="L6" s="459"/>
      <c r="M6" s="1730"/>
      <c r="N6" s="368"/>
      <c r="O6" s="1735"/>
      <c r="P6" s="1735"/>
      <c r="Q6" s="170"/>
    </row>
    <row r="7" spans="1:17" s="8" customFormat="1" ht="22.5">
      <c r="A7" s="47" t="s">
        <v>210</v>
      </c>
      <c r="B7" s="1725" t="s">
        <v>316</v>
      </c>
      <c r="C7" s="106" t="s">
        <v>316</v>
      </c>
      <c r="D7" s="104" t="s">
        <v>316</v>
      </c>
      <c r="E7" s="1339" t="s">
        <v>316</v>
      </c>
      <c r="F7" s="106" t="s">
        <v>316</v>
      </c>
      <c r="G7" s="1339" t="s">
        <v>316</v>
      </c>
      <c r="H7" s="106" t="s">
        <v>316</v>
      </c>
      <c r="I7" s="1339" t="s">
        <v>316</v>
      </c>
      <c r="J7" s="106" t="s">
        <v>316</v>
      </c>
      <c r="K7" s="1339" t="s">
        <v>316</v>
      </c>
      <c r="L7" s="106" t="s">
        <v>316</v>
      </c>
      <c r="M7" s="1586" t="s">
        <v>316</v>
      </c>
      <c r="N7" s="104" t="s">
        <v>316</v>
      </c>
      <c r="O7" s="1339" t="s">
        <v>316</v>
      </c>
      <c r="P7" s="1339" t="s">
        <v>316</v>
      </c>
      <c r="Q7" s="866" t="s">
        <v>316</v>
      </c>
    </row>
    <row r="8" spans="1:17" s="8" customFormat="1">
      <c r="A8" s="390" t="s">
        <v>412</v>
      </c>
      <c r="B8" s="1588" t="s">
        <v>554</v>
      </c>
      <c r="C8" s="396" t="s">
        <v>555</v>
      </c>
      <c r="D8" s="398" t="s">
        <v>556</v>
      </c>
      <c r="E8" s="1290" t="s">
        <v>557</v>
      </c>
      <c r="F8" s="397" t="s">
        <v>558</v>
      </c>
      <c r="G8" s="1290" t="s">
        <v>559</v>
      </c>
      <c r="H8" s="397" t="s">
        <v>560</v>
      </c>
      <c r="I8" s="1290" t="s">
        <v>561</v>
      </c>
      <c r="J8" s="397" t="s">
        <v>562</v>
      </c>
      <c r="K8" s="1290" t="s">
        <v>563</v>
      </c>
      <c r="L8" s="397" t="s">
        <v>564</v>
      </c>
      <c r="M8" s="1156" t="s">
        <v>565</v>
      </c>
      <c r="N8" s="398" t="s">
        <v>566</v>
      </c>
      <c r="O8" s="1290" t="s">
        <v>567</v>
      </c>
      <c r="P8" s="1290" t="s">
        <v>568</v>
      </c>
      <c r="Q8" s="391" t="s">
        <v>569</v>
      </c>
    </row>
    <row r="9" spans="1:17" s="9" customFormat="1" ht="13.5" thickBot="1">
      <c r="A9" s="152"/>
      <c r="B9" s="1727"/>
      <c r="C9" s="308"/>
      <c r="D9" s="117"/>
      <c r="E9" s="1571"/>
      <c r="F9" s="308"/>
      <c r="G9" s="1571"/>
      <c r="H9" s="308"/>
      <c r="I9" s="1571"/>
      <c r="J9" s="308"/>
      <c r="K9" s="1571"/>
      <c r="L9" s="308"/>
      <c r="M9" s="1731"/>
      <c r="N9" s="330"/>
      <c r="O9" s="1337"/>
      <c r="P9" s="1337"/>
      <c r="Q9" s="465"/>
    </row>
    <row r="10" spans="1:17" s="9" customFormat="1">
      <c r="A10" s="49">
        <v>1993.01</v>
      </c>
      <c r="B10" s="1728">
        <v>89.949200799362714</v>
      </c>
      <c r="C10" s="1585">
        <v>94.315820963404406</v>
      </c>
      <c r="D10" s="541">
        <v>95.887407385408309</v>
      </c>
      <c r="E10" s="1352">
        <v>91.852542577412223</v>
      </c>
      <c r="F10" s="1583">
        <v>61.891483761232791</v>
      </c>
      <c r="G10" s="1352">
        <v>98.162618368687205</v>
      </c>
      <c r="H10" s="1583">
        <v>100.6113537117904</v>
      </c>
      <c r="I10" s="1352">
        <v>94.351180434936765</v>
      </c>
      <c r="J10" s="1583">
        <v>88.533291643130283</v>
      </c>
      <c r="K10" s="1352">
        <v>90.424484352908223</v>
      </c>
      <c r="L10" s="1583">
        <v>77.084698830988145</v>
      </c>
      <c r="M10" s="1732">
        <v>90.631010136943871</v>
      </c>
      <c r="N10" s="1733"/>
      <c r="O10" s="1736"/>
      <c r="P10" s="1736"/>
      <c r="Q10" s="540"/>
    </row>
    <row r="11" spans="1:17" s="9" customFormat="1">
      <c r="A11" s="49">
        <v>1993.02</v>
      </c>
      <c r="B11" s="1595">
        <v>72.419346746197675</v>
      </c>
      <c r="C11" s="311">
        <v>95.597170805912</v>
      </c>
      <c r="D11" s="1350">
        <v>85.994966614957633</v>
      </c>
      <c r="E11" s="1347">
        <v>92.641242546423825</v>
      </c>
      <c r="F11" s="311">
        <v>88.210894686912184</v>
      </c>
      <c r="G11" s="1347">
        <v>86.521400176134193</v>
      </c>
      <c r="H11" s="311">
        <v>89.078743484997887</v>
      </c>
      <c r="I11" s="1347">
        <v>76.412389119145715</v>
      </c>
      <c r="J11" s="311">
        <v>89.429594007681231</v>
      </c>
      <c r="K11" s="1347">
        <v>73.914308036243966</v>
      </c>
      <c r="L11" s="311">
        <v>42.831168955865529</v>
      </c>
      <c r="M11" s="1587">
        <v>17.526321096383143</v>
      </c>
      <c r="N11" s="1734"/>
      <c r="O11" s="1737"/>
      <c r="P11" s="1737"/>
      <c r="Q11" s="1738"/>
    </row>
    <row r="12" spans="1:17" s="9" customFormat="1">
      <c r="A12" s="49">
        <v>1993.03</v>
      </c>
      <c r="B12" s="1595">
        <v>98.852640647497836</v>
      </c>
      <c r="C12" s="311">
        <v>96.110081546769578</v>
      </c>
      <c r="D12" s="1350">
        <v>100.34639102762318</v>
      </c>
      <c r="E12" s="1347">
        <v>104.05558145490762</v>
      </c>
      <c r="F12" s="311">
        <v>103.91218681157127</v>
      </c>
      <c r="G12" s="1347">
        <v>101.10836186051199</v>
      </c>
      <c r="H12" s="311">
        <v>95.992393294830251</v>
      </c>
      <c r="I12" s="1347">
        <v>100.07853515921551</v>
      </c>
      <c r="J12" s="311">
        <v>103.84903866970726</v>
      </c>
      <c r="K12" s="1347">
        <v>100.30556834926637</v>
      </c>
      <c r="L12" s="311">
        <v>96.368668408306235</v>
      </c>
      <c r="M12" s="1587">
        <v>91.865500940404999</v>
      </c>
      <c r="N12" s="1734"/>
      <c r="O12" s="1737"/>
      <c r="P12" s="1737"/>
      <c r="Q12" s="1738"/>
    </row>
    <row r="13" spans="1:17" s="9" customFormat="1">
      <c r="A13" s="49">
        <v>1993.04</v>
      </c>
      <c r="B13" s="1595">
        <v>99.758386948579258</v>
      </c>
      <c r="C13" s="311">
        <v>98.689813539924913</v>
      </c>
      <c r="D13" s="1350">
        <v>88.687076412509285</v>
      </c>
      <c r="E13" s="1347">
        <v>101.61846585012324</v>
      </c>
      <c r="F13" s="311">
        <v>110.5917575762245</v>
      </c>
      <c r="G13" s="1347">
        <v>103.79285037868109</v>
      </c>
      <c r="H13" s="311">
        <v>95.016199464713338</v>
      </c>
      <c r="I13" s="1347">
        <v>109.3986587604351</v>
      </c>
      <c r="J13" s="311">
        <v>94.40154353554361</v>
      </c>
      <c r="K13" s="1347">
        <v>102.84554056129944</v>
      </c>
      <c r="L13" s="311">
        <v>108.66777033830169</v>
      </c>
      <c r="M13" s="1587">
        <v>91.235320230176328</v>
      </c>
      <c r="N13" s="1734"/>
      <c r="O13" s="1737"/>
      <c r="P13" s="1737"/>
      <c r="Q13" s="1738"/>
    </row>
    <row r="14" spans="1:17" s="9" customFormat="1">
      <c r="A14" s="49">
        <v>1993.05</v>
      </c>
      <c r="B14" s="1595">
        <v>100.55983054662174</v>
      </c>
      <c r="C14" s="311">
        <v>100.63440817855816</v>
      </c>
      <c r="D14" s="1350">
        <v>89.483956926180255</v>
      </c>
      <c r="E14" s="1347">
        <v>93.690127743419637</v>
      </c>
      <c r="F14" s="311">
        <v>108.17085022556118</v>
      </c>
      <c r="G14" s="1347">
        <v>105.69575257950537</v>
      </c>
      <c r="H14" s="311">
        <v>106.59106916467107</v>
      </c>
      <c r="I14" s="1347">
        <v>98.404856265110027</v>
      </c>
      <c r="J14" s="311">
        <v>93.298301517556752</v>
      </c>
      <c r="K14" s="1347">
        <v>106.57704407403705</v>
      </c>
      <c r="L14" s="311">
        <v>115.82320146039633</v>
      </c>
      <c r="M14" s="1587">
        <v>97.665692916395273</v>
      </c>
      <c r="N14" s="1734"/>
      <c r="O14" s="1737"/>
      <c r="P14" s="1737"/>
      <c r="Q14" s="1738"/>
    </row>
    <row r="15" spans="1:17" s="9" customFormat="1">
      <c r="A15" s="49">
        <v>1993.06</v>
      </c>
      <c r="B15" s="1595">
        <v>101.66780605557591</v>
      </c>
      <c r="C15" s="311">
        <v>103.17786525310834</v>
      </c>
      <c r="D15" s="1350">
        <v>96.004678626925198</v>
      </c>
      <c r="E15" s="1347">
        <v>92.394446029483646</v>
      </c>
      <c r="F15" s="311">
        <v>112.70000507231242</v>
      </c>
      <c r="G15" s="1347">
        <v>95.098088007019498</v>
      </c>
      <c r="H15" s="311">
        <v>104.56684040005635</v>
      </c>
      <c r="I15" s="1347">
        <v>98.553857923671927</v>
      </c>
      <c r="J15" s="311">
        <v>85.924290865466929</v>
      </c>
      <c r="K15" s="1347">
        <v>102.93817583041167</v>
      </c>
      <c r="L15" s="311">
        <v>112.42870862912497</v>
      </c>
      <c r="M15" s="1587">
        <v>106.55071952331588</v>
      </c>
      <c r="N15" s="1734"/>
      <c r="O15" s="1737"/>
      <c r="P15" s="1737"/>
      <c r="Q15" s="1738"/>
    </row>
    <row r="16" spans="1:17" s="9" customFormat="1">
      <c r="A16" s="49">
        <v>1993.07</v>
      </c>
      <c r="B16" s="1595">
        <v>105.85058067149227</v>
      </c>
      <c r="C16" s="311">
        <v>100.94473609941328</v>
      </c>
      <c r="D16" s="1350">
        <v>104.52887558031782</v>
      </c>
      <c r="E16" s="1347">
        <v>101.58761628550572</v>
      </c>
      <c r="F16" s="311">
        <v>110.97581807313068</v>
      </c>
      <c r="G16" s="1347">
        <v>107.46990877260453</v>
      </c>
      <c r="H16" s="311">
        <v>104.35131708691365</v>
      </c>
      <c r="I16" s="1347">
        <v>103.11201710669229</v>
      </c>
      <c r="J16" s="311">
        <v>109.0803747531906</v>
      </c>
      <c r="K16" s="1347">
        <v>104.08625419386107</v>
      </c>
      <c r="L16" s="311">
        <v>108.13629376119259</v>
      </c>
      <c r="M16" s="1587">
        <v>112.19341100704972</v>
      </c>
      <c r="N16" s="1734"/>
      <c r="O16" s="1737"/>
      <c r="P16" s="1737"/>
      <c r="Q16" s="1738"/>
    </row>
    <row r="17" spans="1:17" s="9" customFormat="1">
      <c r="A17" s="49">
        <v>1993.08</v>
      </c>
      <c r="B17" s="1595">
        <v>104.94994158404991</v>
      </c>
      <c r="C17" s="311">
        <v>101.01405529868198</v>
      </c>
      <c r="D17" s="1350">
        <v>107.42450473057669</v>
      </c>
      <c r="E17" s="1347">
        <v>97.515473755992588</v>
      </c>
      <c r="F17" s="311">
        <v>109.72574273052871</v>
      </c>
      <c r="G17" s="1347">
        <v>91.057239330754442</v>
      </c>
      <c r="H17" s="311">
        <v>97.754613325820529</v>
      </c>
      <c r="I17" s="1347">
        <v>100.24319108018021</v>
      </c>
      <c r="J17" s="311">
        <v>105.57999098971803</v>
      </c>
      <c r="K17" s="1347">
        <v>108.45602872947377</v>
      </c>
      <c r="L17" s="311">
        <v>108.55742923592769</v>
      </c>
      <c r="M17" s="1587">
        <v>115.22387965720949</v>
      </c>
      <c r="N17" s="1734"/>
      <c r="O17" s="1737"/>
      <c r="P17" s="1737"/>
      <c r="Q17" s="1738"/>
    </row>
    <row r="18" spans="1:17" s="9" customFormat="1">
      <c r="A18" s="49">
        <v>1993.09</v>
      </c>
      <c r="B18" s="1595">
        <v>107.965175000052</v>
      </c>
      <c r="C18" s="311">
        <v>102.93973261541748</v>
      </c>
      <c r="D18" s="1350">
        <v>107.31973928542453</v>
      </c>
      <c r="E18" s="1347">
        <v>100.47703195927487</v>
      </c>
      <c r="F18" s="311">
        <v>107.27410069291288</v>
      </c>
      <c r="G18" s="1347">
        <v>104.0248324457593</v>
      </c>
      <c r="H18" s="311">
        <v>100.1464995069728</v>
      </c>
      <c r="I18" s="1347">
        <v>109.02126359475773</v>
      </c>
      <c r="J18" s="311">
        <v>109.99603305572732</v>
      </c>
      <c r="K18" s="1347">
        <v>105.98841544550834</v>
      </c>
      <c r="L18" s="311">
        <v>110.91869408195117</v>
      </c>
      <c r="M18" s="1587">
        <v>120.66922634096554</v>
      </c>
      <c r="N18" s="1734"/>
      <c r="O18" s="1737"/>
      <c r="P18" s="1737"/>
      <c r="Q18" s="1738"/>
    </row>
    <row r="19" spans="1:17" s="9" customFormat="1">
      <c r="A19" s="49">
        <v>1993.1</v>
      </c>
      <c r="B19" s="1595">
        <v>107.09023949851979</v>
      </c>
      <c r="C19" s="311">
        <v>102.03557869319117</v>
      </c>
      <c r="D19" s="1350">
        <v>106.83708278524199</v>
      </c>
      <c r="E19" s="1347">
        <v>101.8035632378284</v>
      </c>
      <c r="F19" s="311">
        <v>104.05713905605656</v>
      </c>
      <c r="G19" s="1347">
        <v>108.37015170565793</v>
      </c>
      <c r="H19" s="311">
        <v>104.03437103817438</v>
      </c>
      <c r="I19" s="1347">
        <v>109.40922663746933</v>
      </c>
      <c r="J19" s="311">
        <v>100.25019397503307</v>
      </c>
      <c r="K19" s="1347">
        <v>110.08799361547055</v>
      </c>
      <c r="L19" s="311">
        <v>109.39149991445021</v>
      </c>
      <c r="M19" s="1587">
        <v>113.2909808426913</v>
      </c>
      <c r="N19" s="1734"/>
      <c r="O19" s="1737"/>
      <c r="P19" s="1737"/>
      <c r="Q19" s="1738"/>
    </row>
    <row r="20" spans="1:17" s="9" customFormat="1">
      <c r="A20" s="49">
        <v>1993.11</v>
      </c>
      <c r="B20" s="1595">
        <v>105.62397746192727</v>
      </c>
      <c r="C20" s="311">
        <v>102.3733869002543</v>
      </c>
      <c r="D20" s="1350">
        <v>105.97959877260091</v>
      </c>
      <c r="E20" s="1347">
        <v>102.805279450524</v>
      </c>
      <c r="F20" s="311">
        <v>104.72443040149281</v>
      </c>
      <c r="G20" s="1347">
        <v>99.837951776479045</v>
      </c>
      <c r="H20" s="311">
        <v>97.019298492745449</v>
      </c>
      <c r="I20" s="1347">
        <v>99.624006761397553</v>
      </c>
      <c r="J20" s="311">
        <v>109.87728972481163</v>
      </c>
      <c r="K20" s="1347">
        <v>103.24083389665438</v>
      </c>
      <c r="L20" s="311">
        <v>111.24222086934091</v>
      </c>
      <c r="M20" s="1587">
        <v>123.34514695025322</v>
      </c>
      <c r="N20" s="1734"/>
      <c r="O20" s="1737"/>
      <c r="P20" s="1737"/>
      <c r="Q20" s="1738"/>
    </row>
    <row r="21" spans="1:17" s="9" customFormat="1">
      <c r="A21" s="49">
        <v>1993.12</v>
      </c>
      <c r="B21" s="1595">
        <v>105.31287404012357</v>
      </c>
      <c r="C21" s="311">
        <v>102.87272938263017</v>
      </c>
      <c r="D21" s="1350">
        <v>111.50572185223425</v>
      </c>
      <c r="E21" s="1347">
        <v>119.55862910910415</v>
      </c>
      <c r="F21" s="311">
        <v>77.765590912064056</v>
      </c>
      <c r="G21" s="1347">
        <v>98.860844598205432</v>
      </c>
      <c r="H21" s="311">
        <v>104.83730102831386</v>
      </c>
      <c r="I21" s="1347">
        <v>101.39081715698785</v>
      </c>
      <c r="J21" s="311">
        <v>109.78005726243342</v>
      </c>
      <c r="K21" s="1347">
        <v>91.135352914865052</v>
      </c>
      <c r="L21" s="311">
        <v>98.54964551415469</v>
      </c>
      <c r="M21" s="1587">
        <v>119.80279035821124</v>
      </c>
      <c r="N21" s="1734"/>
      <c r="O21" s="1737"/>
      <c r="P21" s="1737"/>
      <c r="Q21" s="1738"/>
    </row>
    <row r="22" spans="1:17">
      <c r="A22" s="49">
        <v>1994.01</v>
      </c>
      <c r="B22" s="1595">
        <v>92.580863413314702</v>
      </c>
      <c r="C22" s="311">
        <v>101.67152161974001</v>
      </c>
      <c r="D22" s="1350">
        <v>99.823377082073307</v>
      </c>
      <c r="E22" s="1347">
        <v>99.55154502074916</v>
      </c>
      <c r="F22" s="311">
        <v>61.160459734395687</v>
      </c>
      <c r="G22" s="1347">
        <v>96.432502452678392</v>
      </c>
      <c r="H22" s="311">
        <v>98.40329623890689</v>
      </c>
      <c r="I22" s="1347">
        <v>101.22737760067803</v>
      </c>
      <c r="J22" s="311">
        <v>91.807205126857113</v>
      </c>
      <c r="K22" s="1347">
        <v>96.544033939354549</v>
      </c>
      <c r="L22" s="311">
        <v>58.218489180181606</v>
      </c>
      <c r="M22" s="1587">
        <v>117.78082799986854</v>
      </c>
      <c r="N22" s="1734"/>
      <c r="O22" s="1737"/>
      <c r="P22" s="1737"/>
      <c r="Q22" s="1738"/>
    </row>
    <row r="23" spans="1:17">
      <c r="A23" s="49">
        <v>1994.02</v>
      </c>
      <c r="B23" s="1591">
        <v>80.396418030792546</v>
      </c>
      <c r="C23" s="311">
        <v>101.711362765126</v>
      </c>
      <c r="D23" s="1350">
        <v>91.251410324965875</v>
      </c>
      <c r="E23" s="1347">
        <v>97.793119837550307</v>
      </c>
      <c r="F23" s="311">
        <v>75.102039968839449</v>
      </c>
      <c r="G23" s="1347">
        <v>92.652231674584925</v>
      </c>
      <c r="H23" s="311">
        <v>85.080786026200869</v>
      </c>
      <c r="I23" s="1347">
        <v>91.205972778576992</v>
      </c>
      <c r="J23" s="311">
        <v>106.83550018527202</v>
      </c>
      <c r="K23" s="1347">
        <v>81.406673651647864</v>
      </c>
      <c r="L23" s="311">
        <v>57.977880167412778</v>
      </c>
      <c r="M23" s="1587">
        <v>30.308757042446782</v>
      </c>
      <c r="N23" s="1734"/>
      <c r="O23" s="1737"/>
      <c r="P23" s="1737"/>
      <c r="Q23" s="1738"/>
    </row>
    <row r="24" spans="1:17">
      <c r="A24" s="49">
        <v>1994.03</v>
      </c>
      <c r="B24" s="1591">
        <v>104.60853981525115</v>
      </c>
      <c r="C24" s="311">
        <v>101.14230008110907</v>
      </c>
      <c r="D24" s="1350">
        <v>104.29362596931691</v>
      </c>
      <c r="E24" s="1347">
        <v>114.39018560177807</v>
      </c>
      <c r="F24" s="311">
        <v>98.359464479537294</v>
      </c>
      <c r="G24" s="1347">
        <v>112.24769473751829</v>
      </c>
      <c r="H24" s="311">
        <v>87.70733906183969</v>
      </c>
      <c r="I24" s="1347">
        <v>107.50878170033644</v>
      </c>
      <c r="J24" s="311">
        <v>103.30896560427956</v>
      </c>
      <c r="K24" s="1347">
        <v>114.55125119647218</v>
      </c>
      <c r="L24" s="311">
        <v>98.165983727745214</v>
      </c>
      <c r="M24" s="1587">
        <v>120.02347310793297</v>
      </c>
      <c r="N24" s="1734"/>
      <c r="O24" s="1737"/>
      <c r="P24" s="1737"/>
      <c r="Q24" s="1738"/>
    </row>
    <row r="25" spans="1:17">
      <c r="A25" s="49">
        <v>1994.04</v>
      </c>
      <c r="B25" s="1591">
        <v>102.64081913072607</v>
      </c>
      <c r="C25" s="311">
        <v>102.83784930241322</v>
      </c>
      <c r="D25" s="1350">
        <v>94.236401052289736</v>
      </c>
      <c r="E25" s="1347">
        <v>92.456145158718698</v>
      </c>
      <c r="F25" s="311">
        <v>94.144648401396807</v>
      </c>
      <c r="G25" s="1347">
        <v>106.81260250613944</v>
      </c>
      <c r="H25" s="311">
        <v>81.139498520918423</v>
      </c>
      <c r="I25" s="1347">
        <v>117.01534673300245</v>
      </c>
      <c r="J25" s="311">
        <v>101.9328791177721</v>
      </c>
      <c r="K25" s="1347">
        <v>118.16911885204246</v>
      </c>
      <c r="L25" s="311">
        <v>100.73170338529543</v>
      </c>
      <c r="M25" s="1587">
        <v>123.80765958451303</v>
      </c>
      <c r="N25" s="1734"/>
      <c r="O25" s="1737"/>
      <c r="P25" s="1737"/>
      <c r="Q25" s="1738"/>
    </row>
    <row r="26" spans="1:17">
      <c r="A26" s="49">
        <v>1994.05</v>
      </c>
      <c r="B26" s="1591">
        <v>105.34602661002764</v>
      </c>
      <c r="C26" s="311">
        <v>104.58123089770449</v>
      </c>
      <c r="D26" s="1350">
        <v>98.09031202481313</v>
      </c>
      <c r="E26" s="1347">
        <v>100.26108500695221</v>
      </c>
      <c r="F26" s="311">
        <v>108.02518114576924</v>
      </c>
      <c r="G26" s="1347">
        <v>107.66709119989076</v>
      </c>
      <c r="H26" s="311">
        <v>90.645217636286787</v>
      </c>
      <c r="I26" s="1347">
        <v>115.02525113484073</v>
      </c>
      <c r="J26" s="311">
        <v>111.3395526898604</v>
      </c>
      <c r="K26" s="1347">
        <v>114.68801716376458</v>
      </c>
      <c r="L26" s="311">
        <v>102.97263549971755</v>
      </c>
      <c r="M26" s="1587">
        <v>120.89242365656357</v>
      </c>
      <c r="N26" s="1734"/>
      <c r="O26" s="1737"/>
      <c r="P26" s="1737"/>
      <c r="Q26" s="1738"/>
    </row>
    <row r="27" spans="1:17">
      <c r="A27" s="49">
        <v>1994.06</v>
      </c>
      <c r="B27" s="1591">
        <v>102.57321323873435</v>
      </c>
      <c r="C27" s="311">
        <v>103.66914621055577</v>
      </c>
      <c r="D27" s="1350">
        <v>100.73624289681126</v>
      </c>
      <c r="E27" s="1347">
        <v>98.749456340693541</v>
      </c>
      <c r="F27" s="311">
        <v>97.735112566712132</v>
      </c>
      <c r="G27" s="1347">
        <v>97.601122425576378</v>
      </c>
      <c r="H27" s="311">
        <v>88.747640512748276</v>
      </c>
      <c r="I27" s="1347">
        <v>110.04495813515486</v>
      </c>
      <c r="J27" s="311">
        <v>99.161129581685344</v>
      </c>
      <c r="K27" s="1347">
        <v>110.53356764201877</v>
      </c>
      <c r="L27" s="311">
        <v>97.343780150076242</v>
      </c>
      <c r="M27" s="1587">
        <v>121.62590394296272</v>
      </c>
      <c r="N27" s="1734"/>
      <c r="O27" s="1737"/>
      <c r="P27" s="1737"/>
      <c r="Q27" s="1738"/>
    </row>
    <row r="28" spans="1:17">
      <c r="A28" s="49">
        <v>1994.07</v>
      </c>
      <c r="B28" s="1591">
        <v>103.85214918742872</v>
      </c>
      <c r="C28" s="311">
        <v>103.86127912398572</v>
      </c>
      <c r="D28" s="1350">
        <v>110.2731469699828</v>
      </c>
      <c r="E28" s="1347">
        <v>97.206978109817356</v>
      </c>
      <c r="F28" s="311">
        <v>104.51651184853156</v>
      </c>
      <c r="G28" s="1347">
        <v>111.77328368829595</v>
      </c>
      <c r="H28" s="311">
        <v>91.047358782927162</v>
      </c>
      <c r="I28" s="1347">
        <v>110.11100538166508</v>
      </c>
      <c r="J28" s="311">
        <v>105.06146186953734</v>
      </c>
      <c r="K28" s="1347">
        <v>117.27576192189771</v>
      </c>
      <c r="L28" s="311">
        <v>82.0693941169542</v>
      </c>
      <c r="M28" s="1587">
        <v>127.76669957495879</v>
      </c>
      <c r="N28" s="1734"/>
      <c r="O28" s="1737"/>
      <c r="P28" s="1737"/>
      <c r="Q28" s="1738"/>
    </row>
    <row r="29" spans="1:17">
      <c r="A29" s="49">
        <v>1994.08</v>
      </c>
      <c r="B29" s="1591">
        <v>110.01054997328163</v>
      </c>
      <c r="C29" s="311">
        <v>104.13490581101281</v>
      </c>
      <c r="D29" s="1350">
        <v>117.89666058579107</v>
      </c>
      <c r="E29" s="1347">
        <v>102.4822536594139</v>
      </c>
      <c r="F29" s="311">
        <v>97.603481972243941</v>
      </c>
      <c r="G29" s="1347">
        <v>91.18461078862012</v>
      </c>
      <c r="H29" s="311">
        <v>85.216016340329617</v>
      </c>
      <c r="I29" s="1347">
        <v>109.97726236277238</v>
      </c>
      <c r="J29" s="311">
        <v>113.1663717422759</v>
      </c>
      <c r="K29" s="1347">
        <v>127.31841660581929</v>
      </c>
      <c r="L29" s="311">
        <v>96.862717417036137</v>
      </c>
      <c r="M29" s="1587">
        <v>146.60185777402489</v>
      </c>
      <c r="N29" s="1734"/>
      <c r="O29" s="1737"/>
      <c r="P29" s="1737"/>
      <c r="Q29" s="1738"/>
    </row>
    <row r="30" spans="1:17">
      <c r="A30" s="49">
        <v>1994.09</v>
      </c>
      <c r="B30" s="1591">
        <v>111.40154568946824</v>
      </c>
      <c r="C30" s="311">
        <v>105.80688550346984</v>
      </c>
      <c r="D30" s="1350">
        <v>118.35632473724279</v>
      </c>
      <c r="E30" s="1347">
        <v>106.15335184889925</v>
      </c>
      <c r="F30" s="311">
        <v>99.91552056180906</v>
      </c>
      <c r="G30" s="1347">
        <v>106.55869963347328</v>
      </c>
      <c r="H30" s="311">
        <v>92.710222500528232</v>
      </c>
      <c r="I30" s="1347">
        <v>108.75611181796998</v>
      </c>
      <c r="J30" s="311">
        <v>125.07948699878415</v>
      </c>
      <c r="K30" s="1347">
        <v>121.13109680832099</v>
      </c>
      <c r="L30" s="311">
        <v>91.681481699133471</v>
      </c>
      <c r="M30" s="1587">
        <v>148.25910821011152</v>
      </c>
      <c r="N30" s="1734"/>
      <c r="O30" s="1737"/>
      <c r="P30" s="1737"/>
      <c r="Q30" s="1738"/>
    </row>
    <row r="31" spans="1:17">
      <c r="A31" s="49">
        <v>1994.1</v>
      </c>
      <c r="B31" s="1591">
        <v>109.09400189634394</v>
      </c>
      <c r="C31" s="311">
        <v>104.3793837686303</v>
      </c>
      <c r="D31" s="1350">
        <v>113.36972725019081</v>
      </c>
      <c r="E31" s="1347">
        <v>97.546323320610099</v>
      </c>
      <c r="F31" s="311">
        <v>94.229704580760583</v>
      </c>
      <c r="G31" s="1347">
        <v>112.25287355147918</v>
      </c>
      <c r="H31" s="311">
        <v>92.865885269932377</v>
      </c>
      <c r="I31" s="1347">
        <v>118.91138910411851</v>
      </c>
      <c r="J31" s="311">
        <v>111.91950956631237</v>
      </c>
      <c r="K31" s="1347">
        <v>132.4279031982179</v>
      </c>
      <c r="L31" s="311">
        <v>90.672639008833144</v>
      </c>
      <c r="M31" s="1587">
        <v>133.57079041212248</v>
      </c>
      <c r="N31" s="1734"/>
      <c r="O31" s="1737"/>
      <c r="P31" s="1737"/>
      <c r="Q31" s="1738"/>
    </row>
    <row r="32" spans="1:17">
      <c r="A32" s="49">
        <v>1994.11</v>
      </c>
      <c r="B32" s="1591">
        <v>108.31823565311845</v>
      </c>
      <c r="C32" s="311">
        <v>104.97744098025184</v>
      </c>
      <c r="D32" s="1350">
        <v>110.87623449615018</v>
      </c>
      <c r="E32" s="1347">
        <v>105.56721012116628</v>
      </c>
      <c r="F32" s="311">
        <v>94.291443569396193</v>
      </c>
      <c r="G32" s="1347">
        <v>104.22718561926186</v>
      </c>
      <c r="H32" s="311">
        <v>91.638991407240439</v>
      </c>
      <c r="I32" s="1347">
        <v>115.45919241969617</v>
      </c>
      <c r="J32" s="311">
        <v>116.43063823204085</v>
      </c>
      <c r="K32" s="1347">
        <v>120.86505569239455</v>
      </c>
      <c r="L32" s="311">
        <v>86.230847484776504</v>
      </c>
      <c r="M32" s="1587">
        <v>139.16545492379558</v>
      </c>
      <c r="N32" s="1734"/>
      <c r="O32" s="1737"/>
      <c r="P32" s="1737"/>
      <c r="Q32" s="1738"/>
    </row>
    <row r="33" spans="1:17">
      <c r="A33" s="49">
        <v>1994.12</v>
      </c>
      <c r="B33" s="1591">
        <v>106.92547624693927</v>
      </c>
      <c r="C33" s="311">
        <v>106.8009836452573</v>
      </c>
      <c r="D33" s="1350">
        <v>115.91794862304137</v>
      </c>
      <c r="E33" s="1347">
        <v>116.67305338347485</v>
      </c>
      <c r="F33" s="311">
        <v>90.301241698767981</v>
      </c>
      <c r="G33" s="1347">
        <v>104.96832313722661</v>
      </c>
      <c r="H33" s="311">
        <v>88.729764755599376</v>
      </c>
      <c r="I33" s="1347">
        <v>115.03916205474727</v>
      </c>
      <c r="J33" s="311">
        <v>109.3921675928908</v>
      </c>
      <c r="K33" s="1347">
        <v>116.318172070336</v>
      </c>
      <c r="L33" s="311">
        <v>81.740287850030839</v>
      </c>
      <c r="M33" s="1587">
        <v>113.79743188581841</v>
      </c>
      <c r="N33" s="1734"/>
      <c r="O33" s="1737"/>
      <c r="P33" s="1737"/>
      <c r="Q33" s="1738"/>
    </row>
    <row r="34" spans="1:17">
      <c r="A34" s="49">
        <v>1995.01</v>
      </c>
      <c r="B34" s="1591">
        <v>91.587397697081542</v>
      </c>
      <c r="C34" s="311">
        <v>104.09142002353884</v>
      </c>
      <c r="D34" s="1350">
        <v>104.47071803126533</v>
      </c>
      <c r="E34" s="1347">
        <v>103.09020602933145</v>
      </c>
      <c r="F34" s="311">
        <v>68.40271983100773</v>
      </c>
      <c r="G34" s="1347">
        <v>109.06038193485119</v>
      </c>
      <c r="H34" s="311">
        <v>94.362382025637402</v>
      </c>
      <c r="I34" s="1347">
        <v>119.03825623210574</v>
      </c>
      <c r="J34" s="311">
        <v>118.20627345299094</v>
      </c>
      <c r="K34" s="1347">
        <v>110.53805412941615</v>
      </c>
      <c r="L34" s="311">
        <v>55.675489783160238</v>
      </c>
      <c r="M34" s="1587">
        <v>32.640007288071182</v>
      </c>
      <c r="N34" s="1734"/>
      <c r="O34" s="1737"/>
      <c r="P34" s="1737"/>
      <c r="Q34" s="1738"/>
    </row>
    <row r="35" spans="1:17">
      <c r="A35" s="49">
        <v>1995.02</v>
      </c>
      <c r="B35" s="1591">
        <v>90.441316500714493</v>
      </c>
      <c r="C35" s="311">
        <v>104.67838708240384</v>
      </c>
      <c r="D35" s="1350">
        <v>92.627997927807286</v>
      </c>
      <c r="E35" s="1347">
        <v>96.034694654351455</v>
      </c>
      <c r="F35" s="311">
        <v>86.128171336312704</v>
      </c>
      <c r="G35" s="1347">
        <v>99.773925820943305</v>
      </c>
      <c r="H35" s="311">
        <v>82.379822642273552</v>
      </c>
      <c r="I35" s="1347">
        <v>99.619773908969833</v>
      </c>
      <c r="J35" s="311">
        <v>113.15676823331114</v>
      </c>
      <c r="K35" s="1347">
        <v>96.863747093420216</v>
      </c>
      <c r="L35" s="311">
        <v>51.571955223161112</v>
      </c>
      <c r="M35" s="1587">
        <v>114.10813163613162</v>
      </c>
      <c r="N35" s="1734"/>
      <c r="O35" s="1737"/>
      <c r="P35" s="1737"/>
      <c r="Q35" s="1738"/>
    </row>
    <row r="36" spans="1:17">
      <c r="A36" s="49">
        <v>1995.03</v>
      </c>
      <c r="B36" s="1591">
        <v>105.62542280217194</v>
      </c>
      <c r="C36" s="311">
        <v>101.55395954239992</v>
      </c>
      <c r="D36" s="1350">
        <v>104.29430591923308</v>
      </c>
      <c r="E36" s="1347">
        <v>111.89137086775867</v>
      </c>
      <c r="F36" s="311">
        <v>99.134854771686918</v>
      </c>
      <c r="G36" s="1347">
        <v>112.00899953351767</v>
      </c>
      <c r="H36" s="311">
        <v>89.804672423052551</v>
      </c>
      <c r="I36" s="1347">
        <v>113.50257587200912</v>
      </c>
      <c r="J36" s="311">
        <v>120.18905498627967</v>
      </c>
      <c r="K36" s="1347">
        <v>125.55632670959055</v>
      </c>
      <c r="L36" s="311">
        <v>79.271243920153651</v>
      </c>
      <c r="M36" s="1587">
        <v>125.38436279980475</v>
      </c>
      <c r="N36" s="1734"/>
      <c r="O36" s="1737"/>
      <c r="P36" s="1737"/>
      <c r="Q36" s="1738"/>
    </row>
    <row r="37" spans="1:17">
      <c r="A37" s="49">
        <v>1995.04</v>
      </c>
      <c r="B37" s="1591">
        <v>92.616021876134624</v>
      </c>
      <c r="C37" s="311">
        <v>99.184539275231401</v>
      </c>
      <c r="D37" s="1350">
        <v>91.648182083889864</v>
      </c>
      <c r="E37" s="1347">
        <v>96.158092912821544</v>
      </c>
      <c r="F37" s="311">
        <v>95.976502696431552</v>
      </c>
      <c r="G37" s="1347">
        <v>106.53164292364599</v>
      </c>
      <c r="H37" s="311">
        <v>87.609977857796864</v>
      </c>
      <c r="I37" s="1347">
        <v>106.79023118728665</v>
      </c>
      <c r="J37" s="311">
        <v>91.438170920089291</v>
      </c>
      <c r="K37" s="1347">
        <v>125.66740060547872</v>
      </c>
      <c r="L37" s="311">
        <v>65.003601349510092</v>
      </c>
      <c r="M37" s="1587">
        <v>86.828171837691599</v>
      </c>
      <c r="N37" s="1734"/>
      <c r="O37" s="1737"/>
      <c r="P37" s="1737"/>
      <c r="Q37" s="1738"/>
    </row>
    <row r="38" spans="1:17">
      <c r="A38" s="49">
        <v>1995.05</v>
      </c>
      <c r="B38" s="1591">
        <v>98.356177614234113</v>
      </c>
      <c r="C38" s="311">
        <v>96.399344725994212</v>
      </c>
      <c r="D38" s="1350">
        <v>101.32521323257286</v>
      </c>
      <c r="E38" s="1347">
        <v>101.27912063933049</v>
      </c>
      <c r="F38" s="311">
        <v>90.948626096849935</v>
      </c>
      <c r="G38" s="1347">
        <v>118.50623920676435</v>
      </c>
      <c r="H38" s="311">
        <v>90.811452165908037</v>
      </c>
      <c r="I38" s="1347">
        <v>109.02662964778399</v>
      </c>
      <c r="J38" s="311">
        <v>102.48050684213329</v>
      </c>
      <c r="K38" s="1347">
        <v>128.00313090240149</v>
      </c>
      <c r="L38" s="311">
        <v>63.326343044664952</v>
      </c>
      <c r="M38" s="1587">
        <v>108.77356133890645</v>
      </c>
      <c r="N38" s="1734"/>
      <c r="O38" s="1737"/>
      <c r="P38" s="1737"/>
      <c r="Q38" s="1738"/>
    </row>
    <row r="39" spans="1:17">
      <c r="A39" s="49">
        <v>1995.06</v>
      </c>
      <c r="B39" s="1591">
        <v>94.391973016544569</v>
      </c>
      <c r="C39" s="311">
        <v>94.937605621381408</v>
      </c>
      <c r="D39" s="1350">
        <v>105.63202814746766</v>
      </c>
      <c r="E39" s="1347">
        <v>97.885668531402871</v>
      </c>
      <c r="F39" s="311">
        <v>90.891064522243553</v>
      </c>
      <c r="G39" s="1347">
        <v>115.32523108392263</v>
      </c>
      <c r="H39" s="311">
        <v>87.694645661470787</v>
      </c>
      <c r="I39" s="1347">
        <v>104.95141477191136</v>
      </c>
      <c r="J39" s="311">
        <v>91.749594117012094</v>
      </c>
      <c r="K39" s="1347">
        <v>125.57531083301031</v>
      </c>
      <c r="L39" s="311">
        <v>62.434282240209527</v>
      </c>
      <c r="M39" s="1587">
        <v>76.153556890825399</v>
      </c>
      <c r="N39" s="1734"/>
      <c r="O39" s="1737"/>
      <c r="P39" s="1737"/>
      <c r="Q39" s="1738"/>
    </row>
    <row r="40" spans="1:17">
      <c r="A40" s="49">
        <v>1995.07</v>
      </c>
      <c r="B40" s="1591">
        <v>98.530208283345573</v>
      </c>
      <c r="C40" s="311">
        <v>95.6551987337958</v>
      </c>
      <c r="D40" s="1350">
        <v>112.62555817975094</v>
      </c>
      <c r="E40" s="1347">
        <v>92.918888627981545</v>
      </c>
      <c r="F40" s="311">
        <v>86.331639745507147</v>
      </c>
      <c r="G40" s="1347">
        <v>121.28339663717801</v>
      </c>
      <c r="H40" s="311">
        <v>93.821989012536974</v>
      </c>
      <c r="I40" s="1347">
        <v>109.04423084649444</v>
      </c>
      <c r="J40" s="311">
        <v>99.371771570991513</v>
      </c>
      <c r="K40" s="1347">
        <v>133.97149417919155</v>
      </c>
      <c r="L40" s="311">
        <v>68.915278492545809</v>
      </c>
      <c r="M40" s="1587">
        <v>81.691377448672341</v>
      </c>
      <c r="N40" s="1734"/>
      <c r="O40" s="1737"/>
      <c r="P40" s="1737"/>
      <c r="Q40" s="1738"/>
    </row>
    <row r="41" spans="1:17">
      <c r="A41" s="49">
        <v>1995.08</v>
      </c>
      <c r="B41" s="1591">
        <v>101.75926664864568</v>
      </c>
      <c r="C41" s="311">
        <v>95.557299684605823</v>
      </c>
      <c r="D41" s="1350">
        <v>117.7747113533843</v>
      </c>
      <c r="E41" s="1347">
        <v>102.94499712867677</v>
      </c>
      <c r="F41" s="311">
        <v>81.497635942415727</v>
      </c>
      <c r="G41" s="1347">
        <v>109.80893604196318</v>
      </c>
      <c r="H41" s="311">
        <v>94.823623045499346</v>
      </c>
      <c r="I41" s="1347">
        <v>105.54819893091046</v>
      </c>
      <c r="J41" s="311">
        <v>97.018272782048868</v>
      </c>
      <c r="K41" s="1347">
        <v>132.07892662075346</v>
      </c>
      <c r="L41" s="311">
        <v>79.471982723340361</v>
      </c>
      <c r="M41" s="1587">
        <v>85.143149775873709</v>
      </c>
      <c r="N41" s="1734"/>
      <c r="O41" s="1737"/>
      <c r="P41" s="1737"/>
      <c r="Q41" s="1738"/>
    </row>
    <row r="42" spans="1:17">
      <c r="A42" s="49">
        <v>1995.09</v>
      </c>
      <c r="B42" s="1591">
        <v>98.750635614736922</v>
      </c>
      <c r="C42" s="311">
        <v>94.915579856338596</v>
      </c>
      <c r="D42" s="1350">
        <v>116.82478645920352</v>
      </c>
      <c r="E42" s="1347">
        <v>97.361225932904972</v>
      </c>
      <c r="F42" s="311">
        <v>83.455607315723682</v>
      </c>
      <c r="G42" s="1347">
        <v>110.04104697041413</v>
      </c>
      <c r="H42" s="311">
        <v>82.709437949006897</v>
      </c>
      <c r="I42" s="1347">
        <v>111.10484064160302</v>
      </c>
      <c r="J42" s="311">
        <v>103.62516429873685</v>
      </c>
      <c r="K42" s="1347">
        <v>126.61903882406023</v>
      </c>
      <c r="L42" s="311">
        <v>72.897799771185134</v>
      </c>
      <c r="M42" s="1587">
        <v>75.410592279318877</v>
      </c>
      <c r="N42" s="1734"/>
      <c r="O42" s="1737"/>
      <c r="P42" s="1737"/>
      <c r="Q42" s="1738"/>
    </row>
    <row r="43" spans="1:17">
      <c r="A43" s="49">
        <v>1995.1</v>
      </c>
      <c r="B43" s="1591">
        <v>101.69962772433527</v>
      </c>
      <c r="C43" s="311">
        <v>96.351362492707437</v>
      </c>
      <c r="D43" s="1350">
        <v>115.93689516891359</v>
      </c>
      <c r="E43" s="1347">
        <v>101.6801649793583</v>
      </c>
      <c r="F43" s="311">
        <v>85.382479613877962</v>
      </c>
      <c r="G43" s="1347">
        <v>119.09896857180007</v>
      </c>
      <c r="H43" s="311">
        <v>89.017551767854627</v>
      </c>
      <c r="I43" s="1347">
        <v>117.99279632796325</v>
      </c>
      <c r="J43" s="311">
        <v>90.230185407656109</v>
      </c>
      <c r="K43" s="1347">
        <v>136.98432520945676</v>
      </c>
      <c r="L43" s="311">
        <v>72.680004688706873</v>
      </c>
      <c r="M43" s="1587">
        <v>79.285532260465047</v>
      </c>
      <c r="N43" s="1734"/>
      <c r="O43" s="1737"/>
      <c r="P43" s="1737"/>
      <c r="Q43" s="1738"/>
    </row>
    <row r="44" spans="1:17">
      <c r="A44" s="49">
        <v>1995.11</v>
      </c>
      <c r="B44" s="1591">
        <v>100.78358348181963</v>
      </c>
      <c r="C44" s="311">
        <v>97.475369929010597</v>
      </c>
      <c r="D44" s="1350">
        <v>113.44961645218558</v>
      </c>
      <c r="E44" s="1347">
        <v>103.87048406720247</v>
      </c>
      <c r="F44" s="311">
        <v>79.771780006724029</v>
      </c>
      <c r="G44" s="1347">
        <v>124.10780599009544</v>
      </c>
      <c r="H44" s="311">
        <v>86.667164389350603</v>
      </c>
      <c r="I44" s="1347">
        <v>112.43929785167062</v>
      </c>
      <c r="J44" s="311">
        <v>90.070898696425317</v>
      </c>
      <c r="K44" s="1347">
        <v>134.74505959747475</v>
      </c>
      <c r="L44" s="311">
        <v>78.86141933688846</v>
      </c>
      <c r="M44" s="1587">
        <v>79.349613473710761</v>
      </c>
      <c r="N44" s="1734"/>
      <c r="O44" s="1737"/>
      <c r="P44" s="1737"/>
      <c r="Q44" s="1738"/>
    </row>
    <row r="45" spans="1:17">
      <c r="A45" s="49">
        <v>1995.12</v>
      </c>
      <c r="B45" s="1591">
        <v>96.845575698365366</v>
      </c>
      <c r="C45" s="311">
        <v>99.307532388096249</v>
      </c>
      <c r="D45" s="1350">
        <v>115.19572622541412</v>
      </c>
      <c r="E45" s="1347">
        <v>119.11016898825922</v>
      </c>
      <c r="F45" s="311">
        <v>72.566620111659205</v>
      </c>
      <c r="G45" s="1347">
        <v>106.70763998156966</v>
      </c>
      <c r="H45" s="311">
        <v>90.710550781800251</v>
      </c>
      <c r="I45" s="1347">
        <v>104.9880701765177</v>
      </c>
      <c r="J45" s="311">
        <v>86.49192304073631</v>
      </c>
      <c r="K45" s="1347">
        <v>113.30906572417668</v>
      </c>
      <c r="L45" s="311">
        <v>67.104500852613398</v>
      </c>
      <c r="M45" s="1587">
        <v>63.245550830870172</v>
      </c>
      <c r="N45" s="1734"/>
      <c r="O45" s="1737"/>
      <c r="P45" s="1737"/>
      <c r="Q45" s="1738"/>
    </row>
    <row r="46" spans="1:17">
      <c r="A46" s="49">
        <v>1996.01</v>
      </c>
      <c r="B46" s="1591">
        <v>88.691675856887272</v>
      </c>
      <c r="C46" s="311">
        <v>100.69394845954835</v>
      </c>
      <c r="D46" s="1350">
        <v>103.3118257149325</v>
      </c>
      <c r="E46" s="1347">
        <v>107.50117734792563</v>
      </c>
      <c r="F46" s="311">
        <v>75.140358652674763</v>
      </c>
      <c r="G46" s="1347">
        <v>112.71367251012393</v>
      </c>
      <c r="H46" s="311">
        <v>90.08126496689674</v>
      </c>
      <c r="I46" s="1347">
        <v>120.96322079749497</v>
      </c>
      <c r="J46" s="311">
        <v>87.614492545031865</v>
      </c>
      <c r="K46" s="1347">
        <v>110.16048299110849</v>
      </c>
      <c r="L46" s="311">
        <v>48.779400060116338</v>
      </c>
      <c r="M46" s="1587">
        <v>17.519604353480918</v>
      </c>
      <c r="N46" s="1734"/>
      <c r="O46" s="1737"/>
      <c r="P46" s="1737"/>
      <c r="Q46" s="1738"/>
    </row>
    <row r="47" spans="1:17">
      <c r="A47" s="49">
        <v>1996.02</v>
      </c>
      <c r="B47" s="1591">
        <v>91.834256613594022</v>
      </c>
      <c r="C47" s="311">
        <v>100.67406448616737</v>
      </c>
      <c r="D47" s="1350">
        <v>97.591029435877473</v>
      </c>
      <c r="E47" s="1347">
        <v>91.84957793425248</v>
      </c>
      <c r="F47" s="311">
        <v>90.592849642255857</v>
      </c>
      <c r="G47" s="1347">
        <v>114.19008791153574</v>
      </c>
      <c r="H47" s="311">
        <v>82.754021693196222</v>
      </c>
      <c r="I47" s="1347">
        <v>107.90520154638756</v>
      </c>
      <c r="J47" s="311">
        <v>85.201605828809306</v>
      </c>
      <c r="K47" s="1347">
        <v>121.07452046659935</v>
      </c>
      <c r="L47" s="311">
        <v>70.199913411736858</v>
      </c>
      <c r="M47" s="1587">
        <v>71.902711904144269</v>
      </c>
      <c r="N47" s="1734"/>
      <c r="O47" s="1737"/>
      <c r="P47" s="1737"/>
      <c r="Q47" s="1738"/>
    </row>
    <row r="48" spans="1:17">
      <c r="A48" s="49">
        <v>1996.03</v>
      </c>
      <c r="B48" s="1591">
        <v>105.52892224875734</v>
      </c>
      <c r="C48" s="311">
        <v>104.04848070430066</v>
      </c>
      <c r="D48" s="1350">
        <v>105.31277315598594</v>
      </c>
      <c r="E48" s="1347">
        <v>99.529378374588887</v>
      </c>
      <c r="F48" s="311">
        <v>98.602715756321444</v>
      </c>
      <c r="G48" s="1347">
        <v>125.29756225984323</v>
      </c>
      <c r="H48" s="311">
        <v>92.701394562614439</v>
      </c>
      <c r="I48" s="1347">
        <v>120.92972055930269</v>
      </c>
      <c r="J48" s="311">
        <v>95.481263446927414</v>
      </c>
      <c r="K48" s="1347">
        <v>144.13218598813575</v>
      </c>
      <c r="L48" s="311">
        <v>95.155761378705009</v>
      </c>
      <c r="M48" s="1587">
        <v>85.343177278376487</v>
      </c>
      <c r="N48" s="1734"/>
      <c r="O48" s="1737"/>
      <c r="P48" s="1737"/>
      <c r="Q48" s="1738"/>
    </row>
    <row r="49" spans="1:17">
      <c r="A49" s="49">
        <v>1996.04</v>
      </c>
      <c r="B49" s="1591">
        <v>105.044783505643</v>
      </c>
      <c r="C49" s="311">
        <v>104.8639040135817</v>
      </c>
      <c r="D49" s="1350">
        <v>99.279118486212852</v>
      </c>
      <c r="E49" s="1347">
        <v>101.09442306198278</v>
      </c>
      <c r="F49" s="311">
        <v>97.297788278342694</v>
      </c>
      <c r="G49" s="1347">
        <v>121.39254591126712</v>
      </c>
      <c r="H49" s="311">
        <v>89.921650936751647</v>
      </c>
      <c r="I49" s="1347">
        <v>127.77551640385826</v>
      </c>
      <c r="J49" s="311">
        <v>93.694302296710063</v>
      </c>
      <c r="K49" s="1347">
        <v>135.52777764816017</v>
      </c>
      <c r="L49" s="311">
        <v>99.782954991247621</v>
      </c>
      <c r="M49" s="1587">
        <v>92.871566666753267</v>
      </c>
      <c r="N49" s="1734"/>
      <c r="O49" s="1737"/>
      <c r="P49" s="1737"/>
      <c r="Q49" s="1738"/>
    </row>
    <row r="50" spans="1:17">
      <c r="A50" s="49">
        <v>1996.05</v>
      </c>
      <c r="B50" s="1591">
        <v>109.04842970680301</v>
      </c>
      <c r="C50" s="311">
        <v>106.37706197075235</v>
      </c>
      <c r="D50" s="1350">
        <v>103.80479719469889</v>
      </c>
      <c r="E50" s="1347">
        <v>102.57029399789329</v>
      </c>
      <c r="F50" s="311">
        <v>101.51851742319333</v>
      </c>
      <c r="G50" s="1347">
        <v>118.66450569130069</v>
      </c>
      <c r="H50" s="311">
        <v>93.998168756162841</v>
      </c>
      <c r="I50" s="1347">
        <v>125.29453967691563</v>
      </c>
      <c r="J50" s="311">
        <v>86.824047040880544</v>
      </c>
      <c r="K50" s="1347">
        <v>139.96156727412466</v>
      </c>
      <c r="L50" s="311">
        <v>106.50006838892546</v>
      </c>
      <c r="M50" s="1587">
        <v>104.66844898229492</v>
      </c>
      <c r="N50" s="1734"/>
      <c r="O50" s="1737"/>
      <c r="P50" s="1737"/>
      <c r="Q50" s="1738"/>
    </row>
    <row r="51" spans="1:17">
      <c r="A51" s="49">
        <v>1996.06</v>
      </c>
      <c r="B51" s="1591">
        <v>101.40631393094799</v>
      </c>
      <c r="C51" s="311">
        <v>104.75746139493597</v>
      </c>
      <c r="D51" s="1350">
        <v>99.432400645177623</v>
      </c>
      <c r="E51" s="1347">
        <v>88.881366096873492</v>
      </c>
      <c r="F51" s="311">
        <v>97.192230668569707</v>
      </c>
      <c r="G51" s="1347">
        <v>117.20559243185613</v>
      </c>
      <c r="H51" s="311">
        <v>96.072179180166202</v>
      </c>
      <c r="I51" s="1347">
        <v>122.19926039626458</v>
      </c>
      <c r="J51" s="311">
        <v>77.846530258123209</v>
      </c>
      <c r="K51" s="1347">
        <v>140.42391673176058</v>
      </c>
      <c r="L51" s="311">
        <v>91.095892081313806</v>
      </c>
      <c r="M51" s="1587">
        <v>91.843862439641157</v>
      </c>
      <c r="N51" s="1734"/>
      <c r="O51" s="1737"/>
      <c r="P51" s="1737"/>
      <c r="Q51" s="1738"/>
    </row>
    <row r="52" spans="1:17">
      <c r="A52" s="49">
        <v>1996.07</v>
      </c>
      <c r="B52" s="1591">
        <v>113.32600625495351</v>
      </c>
      <c r="C52" s="311">
        <v>107.27084149934922</v>
      </c>
      <c r="D52" s="1350">
        <v>117.23316407289299</v>
      </c>
      <c r="E52" s="1347">
        <v>101.69824220723287</v>
      </c>
      <c r="F52" s="311">
        <v>100.37431075514299</v>
      </c>
      <c r="G52" s="1347">
        <v>129.5905915318489</v>
      </c>
      <c r="H52" s="311">
        <v>103.92783490632482</v>
      </c>
      <c r="I52" s="1347">
        <v>123.63425889697221</v>
      </c>
      <c r="J52" s="311">
        <v>94.264021907407383</v>
      </c>
      <c r="K52" s="1347">
        <v>144.37130323513242</v>
      </c>
      <c r="L52" s="311">
        <v>106.31023145141424</v>
      </c>
      <c r="M52" s="1587">
        <v>110.29483382102045</v>
      </c>
      <c r="N52" s="1734"/>
      <c r="O52" s="1737"/>
      <c r="P52" s="1737"/>
      <c r="Q52" s="1738"/>
    </row>
    <row r="53" spans="1:17">
      <c r="A53" s="49">
        <v>1996.08</v>
      </c>
      <c r="B53" s="1591">
        <v>113.754363747159</v>
      </c>
      <c r="C53" s="311">
        <v>106.9664761392639</v>
      </c>
      <c r="D53" s="1350">
        <v>120.34783431342217</v>
      </c>
      <c r="E53" s="1347">
        <v>100.33084512742181</v>
      </c>
      <c r="F53" s="311">
        <v>92.80578720656375</v>
      </c>
      <c r="G53" s="1347">
        <v>125.51953772404178</v>
      </c>
      <c r="H53" s="311">
        <v>102.17427806733343</v>
      </c>
      <c r="I53" s="1347">
        <v>117.73734497247291</v>
      </c>
      <c r="J53" s="311">
        <v>94.842558370651972</v>
      </c>
      <c r="K53" s="1347">
        <v>143.0124058463669</v>
      </c>
      <c r="L53" s="311">
        <v>109.71205194900492</v>
      </c>
      <c r="M53" s="1587">
        <v>113.10159641306448</v>
      </c>
      <c r="N53" s="1734"/>
      <c r="O53" s="1737"/>
      <c r="P53" s="1737"/>
      <c r="Q53" s="1738"/>
    </row>
    <row r="54" spans="1:17">
      <c r="A54" s="49">
        <v>1996.09</v>
      </c>
      <c r="B54" s="1591">
        <v>106.25838275329519</v>
      </c>
      <c r="C54" s="311">
        <v>103.97495505980736</v>
      </c>
      <c r="D54" s="1350">
        <v>116.60763251092497</v>
      </c>
      <c r="E54" s="1347">
        <v>97.98949089014927</v>
      </c>
      <c r="F54" s="311">
        <v>91.470987399066757</v>
      </c>
      <c r="G54" s="1347">
        <v>121.83162778860617</v>
      </c>
      <c r="H54" s="311">
        <v>96.012973658261728</v>
      </c>
      <c r="I54" s="1347">
        <v>120.89290713390295</v>
      </c>
      <c r="J54" s="311">
        <v>98.277202666212972</v>
      </c>
      <c r="K54" s="1347">
        <v>138.45856029580537</v>
      </c>
      <c r="L54" s="311">
        <v>84.947683862336177</v>
      </c>
      <c r="M54" s="1587">
        <v>97.710912146478236</v>
      </c>
      <c r="N54" s="1734"/>
      <c r="O54" s="1737"/>
      <c r="P54" s="1737"/>
      <c r="Q54" s="1738"/>
    </row>
    <row r="55" spans="1:17">
      <c r="A55" s="49">
        <v>1996.1</v>
      </c>
      <c r="B55" s="1591">
        <v>115.25894046461646</v>
      </c>
      <c r="C55" s="311">
        <v>107.12160252908039</v>
      </c>
      <c r="D55" s="1350">
        <v>121.10000293753029</v>
      </c>
      <c r="E55" s="1347">
        <v>111.2345484685479</v>
      </c>
      <c r="F55" s="311">
        <v>93.386777510469898</v>
      </c>
      <c r="G55" s="1347">
        <v>114.90984059730178</v>
      </c>
      <c r="H55" s="311">
        <v>95.996957317932115</v>
      </c>
      <c r="I55" s="1347">
        <v>134.89310587581781</v>
      </c>
      <c r="J55" s="311">
        <v>101.19792027362548</v>
      </c>
      <c r="K55" s="1347">
        <v>149.89328932674675</v>
      </c>
      <c r="L55" s="311">
        <v>97.198600284114235</v>
      </c>
      <c r="M55" s="1587">
        <v>111.8580731098095</v>
      </c>
      <c r="N55" s="1734"/>
      <c r="O55" s="1737"/>
      <c r="P55" s="1737"/>
      <c r="Q55" s="1738"/>
    </row>
    <row r="56" spans="1:17">
      <c r="A56" s="49">
        <v>1996.11</v>
      </c>
      <c r="B56" s="1591">
        <v>109.03585959893007</v>
      </c>
      <c r="C56" s="311">
        <v>106.46830362244268</v>
      </c>
      <c r="D56" s="1350">
        <v>110.99482456999394</v>
      </c>
      <c r="E56" s="1347">
        <v>95.262890991880852</v>
      </c>
      <c r="F56" s="311">
        <v>89.732135209185984</v>
      </c>
      <c r="G56" s="1347">
        <v>110.76720164624633</v>
      </c>
      <c r="H56" s="311">
        <v>91.415142977884202</v>
      </c>
      <c r="I56" s="1347">
        <v>125.58589851801955</v>
      </c>
      <c r="J56" s="311">
        <v>114.28439835575988</v>
      </c>
      <c r="K56" s="1347">
        <v>146.26718682558848</v>
      </c>
      <c r="L56" s="311">
        <v>91.296608536256556</v>
      </c>
      <c r="M56" s="1587">
        <v>111.0546006002054</v>
      </c>
      <c r="N56" s="1734"/>
      <c r="O56" s="1737"/>
      <c r="P56" s="1737"/>
      <c r="Q56" s="1738"/>
    </row>
    <row r="57" spans="1:17">
      <c r="A57" s="49">
        <v>1996.12</v>
      </c>
      <c r="B57" s="1591">
        <v>103.01572818756804</v>
      </c>
      <c r="C57" s="311">
        <v>106.08901476000729</v>
      </c>
      <c r="D57" s="1350">
        <v>119.38095553816436</v>
      </c>
      <c r="E57" s="1347">
        <v>115.07050858232316</v>
      </c>
      <c r="F57" s="311">
        <v>80.302817208550351</v>
      </c>
      <c r="G57" s="1347">
        <v>115.80252978945728</v>
      </c>
      <c r="H57" s="311">
        <v>93.2298492745457</v>
      </c>
      <c r="I57" s="1347">
        <v>113.96609339511315</v>
      </c>
      <c r="J57" s="311">
        <v>100.52820467893818</v>
      </c>
      <c r="K57" s="1347">
        <v>134.92685240144667</v>
      </c>
      <c r="L57" s="311">
        <v>61.762165613307872</v>
      </c>
      <c r="M57" s="1587">
        <v>89.75054950383246</v>
      </c>
      <c r="N57" s="1734"/>
      <c r="O57" s="1737"/>
      <c r="P57" s="1737"/>
      <c r="Q57" s="1738"/>
    </row>
    <row r="58" spans="1:17">
      <c r="A58" s="49">
        <v>1997.01</v>
      </c>
      <c r="B58" s="1591">
        <v>96.224019946566045</v>
      </c>
      <c r="C58" s="311">
        <v>108.23504077920386</v>
      </c>
      <c r="D58" s="1350">
        <v>104.19525691895741</v>
      </c>
      <c r="E58" s="1347">
        <v>106.274541895534</v>
      </c>
      <c r="F58" s="311">
        <v>76.021455837314292</v>
      </c>
      <c r="G58" s="1347">
        <v>119.35996998197086</v>
      </c>
      <c r="H58" s="311">
        <v>100.061642484857</v>
      </c>
      <c r="I58" s="1347">
        <v>115.8754909693597</v>
      </c>
      <c r="J58" s="311">
        <v>105.02591688405511</v>
      </c>
      <c r="K58" s="1347">
        <v>113.34126357801739</v>
      </c>
      <c r="L58" s="311">
        <v>65.902023609849977</v>
      </c>
      <c r="M58" s="1587">
        <v>52.760833949888649</v>
      </c>
      <c r="N58" s="1734"/>
      <c r="O58" s="1737"/>
      <c r="P58" s="1737"/>
      <c r="Q58" s="1738"/>
    </row>
    <row r="59" spans="1:17">
      <c r="A59" s="49">
        <v>1997.02</v>
      </c>
      <c r="B59" s="1591">
        <v>95.063838135576447</v>
      </c>
      <c r="C59" s="311">
        <v>108.63295676702961</v>
      </c>
      <c r="D59" s="1350">
        <v>95.725406855863142</v>
      </c>
      <c r="E59" s="1347">
        <v>94.912990294058559</v>
      </c>
      <c r="F59" s="311">
        <v>91.024494286128061</v>
      </c>
      <c r="G59" s="1347">
        <v>111.12492835753849</v>
      </c>
      <c r="H59" s="311">
        <v>95.180419777433428</v>
      </c>
      <c r="I59" s="1347">
        <v>103.71252483121415</v>
      </c>
      <c r="J59" s="311">
        <v>100.57225391810302</v>
      </c>
      <c r="K59" s="1347">
        <v>115.84710629602371</v>
      </c>
      <c r="L59" s="311">
        <v>65.27626891091694</v>
      </c>
      <c r="M59" s="1587">
        <v>97.120405439912332</v>
      </c>
      <c r="N59" s="1734"/>
      <c r="O59" s="1737"/>
      <c r="P59" s="1737"/>
      <c r="Q59" s="1738"/>
    </row>
    <row r="60" spans="1:17">
      <c r="A60" s="49">
        <v>1997.03</v>
      </c>
      <c r="B60" s="1591">
        <v>110.07919825654734</v>
      </c>
      <c r="C60" s="311">
        <v>111.592891388564</v>
      </c>
      <c r="D60" s="1350">
        <v>106.40551003292296</v>
      </c>
      <c r="E60" s="1347">
        <v>98.455252680814297</v>
      </c>
      <c r="F60" s="311">
        <v>102.00847729935394</v>
      </c>
      <c r="G60" s="1347">
        <v>127.06618620374783</v>
      </c>
      <c r="H60" s="311">
        <v>105.38519509790109</v>
      </c>
      <c r="I60" s="1347">
        <v>126.54637642033057</v>
      </c>
      <c r="J60" s="311">
        <v>107.89191551922239</v>
      </c>
      <c r="K60" s="1347">
        <v>143.55574830945997</v>
      </c>
      <c r="L60" s="311">
        <v>89.552034223807084</v>
      </c>
      <c r="M60" s="1587">
        <v>116.63200966403292</v>
      </c>
      <c r="N60" s="1734"/>
      <c r="O60" s="1737"/>
      <c r="P60" s="1737"/>
      <c r="Q60" s="1738"/>
    </row>
    <row r="61" spans="1:17">
      <c r="A61" s="49">
        <v>1997.04</v>
      </c>
      <c r="B61" s="1591">
        <v>115.70217383410835</v>
      </c>
      <c r="C61" s="311">
        <v>112.60314168870804</v>
      </c>
      <c r="D61" s="1350">
        <v>107.73539209458214</v>
      </c>
      <c r="E61" s="1347">
        <v>101.7521104829854</v>
      </c>
      <c r="F61" s="311">
        <v>106.37045199344989</v>
      </c>
      <c r="G61" s="1347">
        <v>114.58033675149677</v>
      </c>
      <c r="H61" s="311">
        <v>100.60167629243554</v>
      </c>
      <c r="I61" s="1347">
        <v>128.64160332098422</v>
      </c>
      <c r="J61" s="311">
        <v>118.05426937308184</v>
      </c>
      <c r="K61" s="1347">
        <v>146.37197117059765</v>
      </c>
      <c r="L61" s="311">
        <v>105.51294112144389</v>
      </c>
      <c r="M61" s="1587">
        <v>131.68984949513182</v>
      </c>
      <c r="N61" s="1734"/>
      <c r="O61" s="1737"/>
      <c r="P61" s="1737"/>
      <c r="Q61" s="1738"/>
    </row>
    <row r="62" spans="1:17">
      <c r="A62" s="49">
        <v>1997.05</v>
      </c>
      <c r="B62" s="1591">
        <v>114.24661497521795</v>
      </c>
      <c r="C62" s="311">
        <v>112.81811233636725</v>
      </c>
      <c r="D62" s="1350">
        <v>108.01380118359317</v>
      </c>
      <c r="E62" s="1347">
        <v>100.46738591741024</v>
      </c>
      <c r="F62" s="311">
        <v>100.31953676415992</v>
      </c>
      <c r="G62" s="1347">
        <v>117.21645109585201</v>
      </c>
      <c r="H62" s="311">
        <v>103.87822228482884</v>
      </c>
      <c r="I62" s="1347">
        <v>126.27552384170394</v>
      </c>
      <c r="J62" s="311">
        <v>104.62503988973634</v>
      </c>
      <c r="K62" s="1347">
        <v>142.99977948397176</v>
      </c>
      <c r="L62" s="311">
        <v>101.02675417549617</v>
      </c>
      <c r="M62" s="1587">
        <v>141.72570690482075</v>
      </c>
      <c r="N62" s="1734"/>
      <c r="O62" s="1737"/>
      <c r="P62" s="1737"/>
      <c r="Q62" s="1738"/>
    </row>
    <row r="63" spans="1:17">
      <c r="A63" s="49">
        <v>1997.06</v>
      </c>
      <c r="B63" s="1591">
        <v>112.70782477502513</v>
      </c>
      <c r="C63" s="311">
        <v>114.88230745256347</v>
      </c>
      <c r="D63" s="1350">
        <v>113.48334408958434</v>
      </c>
      <c r="E63" s="1347">
        <v>89.229230106439729</v>
      </c>
      <c r="F63" s="311">
        <v>91.712651567921796</v>
      </c>
      <c r="G63" s="1347">
        <v>120.73428507477098</v>
      </c>
      <c r="H63" s="311">
        <v>98.81748133539935</v>
      </c>
      <c r="I63" s="1347">
        <v>124.72492789362953</v>
      </c>
      <c r="J63" s="311">
        <v>101.46519360745819</v>
      </c>
      <c r="K63" s="1347">
        <v>144.61010126676248</v>
      </c>
      <c r="L63" s="311">
        <v>99.112231935299292</v>
      </c>
      <c r="M63" s="1587">
        <v>137.72491446634021</v>
      </c>
      <c r="N63" s="1734"/>
      <c r="O63" s="1737"/>
      <c r="P63" s="1737"/>
      <c r="Q63" s="1738"/>
    </row>
    <row r="64" spans="1:17">
      <c r="A64" s="49">
        <v>1997.07</v>
      </c>
      <c r="B64" s="1591">
        <v>122.92625276417252</v>
      </c>
      <c r="C64" s="311">
        <v>115.93463284023579</v>
      </c>
      <c r="D64" s="1350">
        <v>123.77222949765867</v>
      </c>
      <c r="E64" s="1347">
        <v>93.55953043055041</v>
      </c>
      <c r="F64" s="311">
        <v>95.3135228198812</v>
      </c>
      <c r="G64" s="1347">
        <v>130.67819456393593</v>
      </c>
      <c r="H64" s="311">
        <v>105.97201014227355</v>
      </c>
      <c r="I64" s="1347">
        <v>135.73918126863703</v>
      </c>
      <c r="J64" s="311">
        <v>115.12706777502153</v>
      </c>
      <c r="K64" s="1347">
        <v>152.5335169821735</v>
      </c>
      <c r="L64" s="311">
        <v>111.61990406248479</v>
      </c>
      <c r="M64" s="1587">
        <v>159.46509253938848</v>
      </c>
      <c r="N64" s="1734"/>
      <c r="O64" s="1737"/>
      <c r="P64" s="1737"/>
      <c r="Q64" s="1738"/>
    </row>
    <row r="65" spans="1:17">
      <c r="A65" s="49">
        <v>1997.08</v>
      </c>
      <c r="B65" s="1591">
        <v>120.5583647529039</v>
      </c>
      <c r="C65" s="311">
        <v>114.94318550343658</v>
      </c>
      <c r="D65" s="1350">
        <v>126.60169962121189</v>
      </c>
      <c r="E65" s="1347">
        <v>97.360793422009024</v>
      </c>
      <c r="F65" s="311">
        <v>88.892154908870893</v>
      </c>
      <c r="G65" s="1347">
        <v>127.93046645436056</v>
      </c>
      <c r="H65" s="311">
        <v>107.19588674461191</v>
      </c>
      <c r="I65" s="1347">
        <v>123.86154337961914</v>
      </c>
      <c r="J65" s="311">
        <v>123.74026871485657</v>
      </c>
      <c r="K65" s="1347">
        <v>145.04835354207012</v>
      </c>
      <c r="L65" s="311">
        <v>106.96497971906295</v>
      </c>
      <c r="M65" s="1587">
        <v>154.64410970361246</v>
      </c>
      <c r="N65" s="1734"/>
      <c r="O65" s="1737"/>
      <c r="P65" s="1737"/>
      <c r="Q65" s="1738"/>
    </row>
    <row r="66" spans="1:17">
      <c r="A66" s="49">
        <v>1997.09</v>
      </c>
      <c r="B66" s="1591">
        <v>124.17853759163816</v>
      </c>
      <c r="C66" s="311">
        <v>118.04685462535218</v>
      </c>
      <c r="D66" s="1350">
        <v>132.07399771249786</v>
      </c>
      <c r="E66" s="1347">
        <v>98.722241471779242</v>
      </c>
      <c r="F66" s="311">
        <v>89.560625103830986</v>
      </c>
      <c r="G66" s="1347">
        <v>122.40987509383049</v>
      </c>
      <c r="H66" s="311">
        <v>105.4836596703761</v>
      </c>
      <c r="I66" s="1347">
        <v>124.89747484033617</v>
      </c>
      <c r="J66" s="311">
        <v>123.43172525378563</v>
      </c>
      <c r="K66" s="1347">
        <v>146.08050681200359</v>
      </c>
      <c r="L66" s="311">
        <v>113.06104787183732</v>
      </c>
      <c r="M66" s="1587">
        <v>170.10171852763247</v>
      </c>
      <c r="N66" s="1734"/>
      <c r="O66" s="1737"/>
      <c r="P66" s="1737"/>
      <c r="Q66" s="1738"/>
    </row>
    <row r="67" spans="1:17">
      <c r="A67" s="49">
        <v>1997.1</v>
      </c>
      <c r="B67" s="1591">
        <v>129.35624537728646</v>
      </c>
      <c r="C67" s="311">
        <v>115.752752233766</v>
      </c>
      <c r="D67" s="1350">
        <v>125.78479313755221</v>
      </c>
      <c r="E67" s="1347">
        <v>107.27242289035637</v>
      </c>
      <c r="F67" s="311">
        <v>89.06397422835893</v>
      </c>
      <c r="G67" s="1347">
        <v>122.27694954580684</v>
      </c>
      <c r="H67" s="311">
        <v>108.50669108325116</v>
      </c>
      <c r="I67" s="1347">
        <v>138.62272135108168</v>
      </c>
      <c r="J67" s="311">
        <v>143.16923176063014</v>
      </c>
      <c r="K67" s="1347">
        <v>155.26086435552506</v>
      </c>
      <c r="L67" s="311">
        <v>113.65407016326768</v>
      </c>
      <c r="M67" s="1587">
        <v>197.59280971707324</v>
      </c>
      <c r="N67" s="1734"/>
      <c r="O67" s="1737"/>
      <c r="P67" s="1737"/>
      <c r="Q67" s="1738"/>
    </row>
    <row r="68" spans="1:17">
      <c r="A68" s="49">
        <v>1997.11</v>
      </c>
      <c r="B68" s="1591">
        <v>114.93700357935721</v>
      </c>
      <c r="C68" s="311">
        <v>114.30354648153596</v>
      </c>
      <c r="D68" s="1350">
        <v>108.19394181546539</v>
      </c>
      <c r="E68" s="1347">
        <v>91.058748728290965</v>
      </c>
      <c r="F68" s="311">
        <v>81.905784980728257</v>
      </c>
      <c r="G68" s="1347">
        <v>126.08458227952758</v>
      </c>
      <c r="H68" s="311">
        <v>101.73456824904916</v>
      </c>
      <c r="I68" s="1347">
        <v>127.35489332022718</v>
      </c>
      <c r="J68" s="311">
        <v>125.16643436125595</v>
      </c>
      <c r="K68" s="1347">
        <v>147.89174750771366</v>
      </c>
      <c r="L68" s="311">
        <v>99.316196801370822</v>
      </c>
      <c r="M68" s="1587">
        <v>164.01700779348616</v>
      </c>
      <c r="N68" s="1734"/>
      <c r="O68" s="1737"/>
      <c r="P68" s="1737"/>
      <c r="Q68" s="1738"/>
    </row>
    <row r="69" spans="1:17">
      <c r="A69" s="49">
        <v>1997.12</v>
      </c>
      <c r="B69" s="1591">
        <v>111.86082195506154</v>
      </c>
      <c r="C69" s="311">
        <v>114.28709533302072</v>
      </c>
      <c r="D69" s="1350">
        <v>126.72410769881087</v>
      </c>
      <c r="E69" s="1347">
        <v>117.59865508238094</v>
      </c>
      <c r="F69" s="311">
        <v>63.408632141141197</v>
      </c>
      <c r="G69" s="1347">
        <v>118.68531055836053</v>
      </c>
      <c r="H69" s="311">
        <v>105.32586279757712</v>
      </c>
      <c r="I69" s="1347">
        <v>127.17654562594417</v>
      </c>
      <c r="J69" s="311">
        <v>118.65544524469576</v>
      </c>
      <c r="K69" s="1347">
        <v>139.02430795039902</v>
      </c>
      <c r="L69" s="311">
        <v>87.762085785381757</v>
      </c>
      <c r="M69" s="1587">
        <v>97.72678572944055</v>
      </c>
      <c r="N69" s="1734"/>
      <c r="O69" s="1737"/>
      <c r="P69" s="1737"/>
      <c r="Q69" s="1738"/>
    </row>
    <row r="70" spans="1:17">
      <c r="A70" s="49">
        <v>1998.01</v>
      </c>
      <c r="B70" s="1591">
        <v>98.928942124142878</v>
      </c>
      <c r="C70" s="311">
        <v>115.220465503849</v>
      </c>
      <c r="D70" s="1350">
        <v>105.10685734094497</v>
      </c>
      <c r="E70" s="1347">
        <v>103.9906054849189</v>
      </c>
      <c r="F70" s="311">
        <v>58.381202012797104</v>
      </c>
      <c r="G70" s="1347">
        <v>122.10757025303408</v>
      </c>
      <c r="H70" s="311">
        <v>100.03434286519229</v>
      </c>
      <c r="I70" s="1347">
        <v>129.2638899020981</v>
      </c>
      <c r="J70" s="311">
        <v>118.9519104057965</v>
      </c>
      <c r="K70" s="1347">
        <v>134.55155130573186</v>
      </c>
      <c r="L70" s="311">
        <v>61.493526900187206</v>
      </c>
      <c r="M70" s="1587">
        <v>74.48559350470353</v>
      </c>
      <c r="N70" s="1734"/>
      <c r="O70" s="1737"/>
      <c r="P70" s="1737"/>
      <c r="Q70" s="1738"/>
    </row>
    <row r="71" spans="1:17">
      <c r="A71" s="49">
        <v>1998.02</v>
      </c>
      <c r="B71" s="1591">
        <v>100.69271409514951</v>
      </c>
      <c r="C71" s="311">
        <v>113.73017621068055</v>
      </c>
      <c r="D71" s="1350">
        <v>93.732318270597005</v>
      </c>
      <c r="E71" s="1347">
        <v>93.502368038288012</v>
      </c>
      <c r="F71" s="311">
        <v>74.639608085225703</v>
      </c>
      <c r="G71" s="1347">
        <v>115.77056420265257</v>
      </c>
      <c r="H71" s="311">
        <v>99.69474573883646</v>
      </c>
      <c r="I71" s="1347">
        <v>113.40268965485164</v>
      </c>
      <c r="J71" s="311">
        <v>117.89309110614496</v>
      </c>
      <c r="K71" s="1347">
        <v>127.69463829376733</v>
      </c>
      <c r="L71" s="311">
        <v>75.178883195262742</v>
      </c>
      <c r="M71" s="1587">
        <v>129.69960788190079</v>
      </c>
      <c r="N71" s="1734"/>
      <c r="O71" s="1737"/>
      <c r="P71" s="1737"/>
      <c r="Q71" s="1738"/>
    </row>
    <row r="72" spans="1:17">
      <c r="A72" s="49">
        <v>1998.03</v>
      </c>
      <c r="B72" s="1591">
        <v>118.02492116344141</v>
      </c>
      <c r="C72" s="311">
        <v>115.51666542394587</v>
      </c>
      <c r="D72" s="1350">
        <v>108.85949964280496</v>
      </c>
      <c r="E72" s="1347">
        <v>99.696598439598162</v>
      </c>
      <c r="F72" s="311">
        <v>88.651178742735411</v>
      </c>
      <c r="G72" s="1347">
        <v>130.19515585819508</v>
      </c>
      <c r="H72" s="311">
        <v>112.98623749823918</v>
      </c>
      <c r="I72" s="1347">
        <v>132.98907477462913</v>
      </c>
      <c r="J72" s="311">
        <v>125.33187581205746</v>
      </c>
      <c r="K72" s="1347">
        <v>133.57581827116502</v>
      </c>
      <c r="L72" s="311">
        <v>104.69511538110891</v>
      </c>
      <c r="M72" s="1587">
        <v>152.72452277959576</v>
      </c>
      <c r="N72" s="1734"/>
      <c r="O72" s="1737"/>
      <c r="P72" s="1737"/>
      <c r="Q72" s="1738"/>
    </row>
    <row r="73" spans="1:17">
      <c r="A73" s="49">
        <v>1998.04</v>
      </c>
      <c r="B73" s="1591">
        <v>117.90317309861298</v>
      </c>
      <c r="C73" s="311">
        <v>117.5186466778802</v>
      </c>
      <c r="D73" s="1350">
        <v>102.95559328090837</v>
      </c>
      <c r="E73" s="1347">
        <v>106.56013420794591</v>
      </c>
      <c r="F73" s="311">
        <v>85.29276100867304</v>
      </c>
      <c r="G73" s="1347">
        <v>122.83334225919546</v>
      </c>
      <c r="H73" s="311">
        <v>109.04456965769826</v>
      </c>
      <c r="I73" s="1347">
        <v>134.68533162565012</v>
      </c>
      <c r="J73" s="311">
        <v>119.9412428367709</v>
      </c>
      <c r="K73" s="1347">
        <v>149.78977602297257</v>
      </c>
      <c r="L73" s="311">
        <v>113.62756815247795</v>
      </c>
      <c r="M73" s="1587">
        <v>157.27058805380966</v>
      </c>
      <c r="N73" s="1734"/>
      <c r="O73" s="1737"/>
      <c r="P73" s="1737"/>
      <c r="Q73" s="1738"/>
    </row>
    <row r="74" spans="1:17">
      <c r="A74" s="49">
        <v>1998.05</v>
      </c>
      <c r="B74" s="1591">
        <v>115.92366017787941</v>
      </c>
      <c r="C74" s="311">
        <v>116.78578543353244</v>
      </c>
      <c r="D74" s="1350">
        <v>104.59251008096628</v>
      </c>
      <c r="E74" s="1347">
        <v>94.139019758169226</v>
      </c>
      <c r="F74" s="311">
        <v>87.177161776522041</v>
      </c>
      <c r="G74" s="1347">
        <v>125.70301863695563</v>
      </c>
      <c r="H74" s="311">
        <v>112.47384138611069</v>
      </c>
      <c r="I74" s="1347">
        <v>133.35835021504604</v>
      </c>
      <c r="J74" s="311">
        <v>110.44458640245962</v>
      </c>
      <c r="K74" s="1347">
        <v>155.54547859877874</v>
      </c>
      <c r="L74" s="311">
        <v>104.02551168688265</v>
      </c>
      <c r="M74" s="1587">
        <v>154.86038518041389</v>
      </c>
      <c r="N74" s="1734"/>
      <c r="O74" s="1737"/>
      <c r="P74" s="1737"/>
      <c r="Q74" s="1738"/>
    </row>
    <row r="75" spans="1:17">
      <c r="A75" s="49">
        <v>1998.06</v>
      </c>
      <c r="B75" s="1591">
        <v>118.83663486826413</v>
      </c>
      <c r="C75" s="311">
        <v>118.57162770479833</v>
      </c>
      <c r="D75" s="1350">
        <v>116.00392904923777</v>
      </c>
      <c r="E75" s="1347">
        <v>94.220002333255408</v>
      </c>
      <c r="F75" s="311">
        <v>86.343227211850092</v>
      </c>
      <c r="G75" s="1347">
        <v>128.31511117140556</v>
      </c>
      <c r="H75" s="311">
        <v>106.43690660656431</v>
      </c>
      <c r="I75" s="1347">
        <v>118.39830729670911</v>
      </c>
      <c r="J75" s="311">
        <v>121.82119153922606</v>
      </c>
      <c r="K75" s="1347">
        <v>150.21922337557106</v>
      </c>
      <c r="L75" s="311">
        <v>117.6108397096487</v>
      </c>
      <c r="M75" s="1587">
        <v>166.90090188844394</v>
      </c>
      <c r="N75" s="1734"/>
      <c r="O75" s="1737"/>
      <c r="P75" s="1737"/>
      <c r="Q75" s="1738"/>
    </row>
    <row r="76" spans="1:17">
      <c r="A76" s="49">
        <v>1998.07</v>
      </c>
      <c r="B76" s="1591">
        <v>124.91465590002122</v>
      </c>
      <c r="C76" s="311">
        <v>117.69090464592304</v>
      </c>
      <c r="D76" s="1350">
        <v>128.61311338089908</v>
      </c>
      <c r="E76" s="1347">
        <v>105.73771566480734</v>
      </c>
      <c r="F76" s="311">
        <v>86.565179005521514</v>
      </c>
      <c r="G76" s="1347">
        <v>124.863803020148</v>
      </c>
      <c r="H76" s="311">
        <v>109.94993661079025</v>
      </c>
      <c r="I76" s="1347">
        <v>131.8569678530161</v>
      </c>
      <c r="J76" s="311">
        <v>114.00814967259872</v>
      </c>
      <c r="K76" s="1347">
        <v>143.88478801100447</v>
      </c>
      <c r="L76" s="311">
        <v>113.76552377075316</v>
      </c>
      <c r="M76" s="1587">
        <v>166.86394216417625</v>
      </c>
      <c r="N76" s="1734"/>
      <c r="O76" s="1737"/>
      <c r="P76" s="1737"/>
      <c r="Q76" s="1738"/>
    </row>
    <row r="77" spans="1:17">
      <c r="A77" s="49">
        <v>1998.08</v>
      </c>
      <c r="B77" s="1591">
        <v>122.56243428820976</v>
      </c>
      <c r="C77" s="311">
        <v>117.30351408450976</v>
      </c>
      <c r="D77" s="1350">
        <v>129.53112750292695</v>
      </c>
      <c r="E77" s="1347">
        <v>96.212418996113001</v>
      </c>
      <c r="F77" s="311">
        <v>82.153225504640787</v>
      </c>
      <c r="G77" s="1347">
        <v>130.14233192629149</v>
      </c>
      <c r="H77" s="311">
        <v>102.67437667277079</v>
      </c>
      <c r="I77" s="1347">
        <v>128.46968219477009</v>
      </c>
      <c r="J77" s="311">
        <v>125.50828973958187</v>
      </c>
      <c r="K77" s="1347">
        <v>154.43901452322186</v>
      </c>
      <c r="L77" s="311">
        <v>102.49416634377904</v>
      </c>
      <c r="M77" s="1587">
        <v>176.40503465476928</v>
      </c>
      <c r="N77" s="1734"/>
      <c r="O77" s="1737"/>
      <c r="P77" s="1737"/>
      <c r="Q77" s="1738"/>
    </row>
    <row r="78" spans="1:17">
      <c r="A78" s="49">
        <v>1998.09</v>
      </c>
      <c r="B78" s="1591">
        <v>121.8524545436585</v>
      </c>
      <c r="C78" s="311">
        <v>116.02069548441055</v>
      </c>
      <c r="D78" s="1350">
        <v>135.80790575886243</v>
      </c>
      <c r="E78" s="1347">
        <v>97.144446042337634</v>
      </c>
      <c r="F78" s="311">
        <v>80.969209481049816</v>
      </c>
      <c r="G78" s="1347">
        <v>122.47626532167284</v>
      </c>
      <c r="H78" s="311">
        <v>104.11035357092548</v>
      </c>
      <c r="I78" s="1347">
        <v>126.38929677426913</v>
      </c>
      <c r="J78" s="311">
        <v>125.39808938437459</v>
      </c>
      <c r="K78" s="1347">
        <v>142.2589885352935</v>
      </c>
      <c r="L78" s="311">
        <v>97.801174520984745</v>
      </c>
      <c r="M78" s="1587">
        <v>171.11169814628116</v>
      </c>
      <c r="N78" s="1734"/>
      <c r="O78" s="1737"/>
      <c r="P78" s="1737"/>
      <c r="Q78" s="1738"/>
    </row>
    <row r="79" spans="1:17">
      <c r="A79" s="49">
        <v>1998.1</v>
      </c>
      <c r="B79" s="1591">
        <v>122.54523298544591</v>
      </c>
      <c r="C79" s="311">
        <v>115.23807320099939</v>
      </c>
      <c r="D79" s="1350">
        <v>138.01363046357289</v>
      </c>
      <c r="E79" s="1347">
        <v>104.14351258592825</v>
      </c>
      <c r="F79" s="311">
        <v>77.300874454796215</v>
      </c>
      <c r="G79" s="1347">
        <v>121.46998266501363</v>
      </c>
      <c r="H79" s="311">
        <v>114.88347654599238</v>
      </c>
      <c r="I79" s="1347">
        <v>136.27749082159733</v>
      </c>
      <c r="J79" s="311">
        <v>125.7730150482634</v>
      </c>
      <c r="K79" s="1347">
        <v>144.19257352275511</v>
      </c>
      <c r="L79" s="311">
        <v>93.513378136417629</v>
      </c>
      <c r="M79" s="1587">
        <v>145.19107331239485</v>
      </c>
      <c r="N79" s="1734"/>
      <c r="O79" s="1737"/>
      <c r="P79" s="1737"/>
      <c r="Q79" s="1738"/>
    </row>
    <row r="80" spans="1:17">
      <c r="A80" s="49">
        <v>1998.11</v>
      </c>
      <c r="B80" s="1591">
        <v>114.94739414833322</v>
      </c>
      <c r="C80" s="311">
        <v>113.25969408950785</v>
      </c>
      <c r="D80" s="1350">
        <v>127.61788407071282</v>
      </c>
      <c r="E80" s="1347">
        <v>97.926974864443153</v>
      </c>
      <c r="F80" s="311">
        <v>77.266077057353939</v>
      </c>
      <c r="G80" s="1347">
        <v>121.34071548055746</v>
      </c>
      <c r="H80" s="311">
        <v>107.92798985772644</v>
      </c>
      <c r="I80" s="1347">
        <v>129.97200764196609</v>
      </c>
      <c r="J80" s="311">
        <v>127.70677596513096</v>
      </c>
      <c r="K80" s="1347">
        <v>142.20783490949509</v>
      </c>
      <c r="L80" s="311">
        <v>86.408037504616644</v>
      </c>
      <c r="M80" s="1587">
        <v>122.01499468431744</v>
      </c>
      <c r="N80" s="1734"/>
      <c r="O80" s="1737"/>
      <c r="P80" s="1737"/>
      <c r="Q80" s="1738"/>
    </row>
    <row r="81" spans="1:17">
      <c r="A81" s="49">
        <v>1998.12</v>
      </c>
      <c r="B81" s="1591">
        <v>106.58200592948</v>
      </c>
      <c r="C81" s="311">
        <v>108.76988350429059</v>
      </c>
      <c r="D81" s="1350">
        <v>135.9870287034318</v>
      </c>
      <c r="E81" s="1347">
        <v>122.27116407387216</v>
      </c>
      <c r="F81" s="311">
        <v>59.979333519048112</v>
      </c>
      <c r="G81" s="1347">
        <v>106.1528181569702</v>
      </c>
      <c r="H81" s="311">
        <v>113.14225947316523</v>
      </c>
      <c r="I81" s="1347">
        <v>108.82786075506471</v>
      </c>
      <c r="J81" s="311">
        <v>117.76669369875587</v>
      </c>
      <c r="K81" s="1347">
        <v>122.82978902010538</v>
      </c>
      <c r="L81" s="311">
        <v>77.128611553236524</v>
      </c>
      <c r="M81" s="1587">
        <v>52.138283808869076</v>
      </c>
      <c r="N81" s="1734"/>
      <c r="O81" s="1737"/>
      <c r="P81" s="1737"/>
      <c r="Q81" s="1738"/>
    </row>
    <row r="82" spans="1:17">
      <c r="A82" s="49">
        <v>1999.01</v>
      </c>
      <c r="B82" s="1591">
        <v>95.58763892239719</v>
      </c>
      <c r="C82" s="311">
        <v>108.25855920647103</v>
      </c>
      <c r="D82" s="1350">
        <v>115.57187314431106</v>
      </c>
      <c r="E82" s="1347">
        <v>95.521743518673574</v>
      </c>
      <c r="F82" s="311">
        <v>51.161638707974525</v>
      </c>
      <c r="G82" s="1347">
        <v>102.74504013372123</v>
      </c>
      <c r="H82" s="311">
        <v>117.24016058599803</v>
      </c>
      <c r="I82" s="1347">
        <v>123.78916720017409</v>
      </c>
      <c r="J82" s="311">
        <v>115.56263069844174</v>
      </c>
      <c r="K82" s="1347">
        <v>109.79298213351107</v>
      </c>
      <c r="L82" s="311">
        <v>50.746089263690138</v>
      </c>
      <c r="M82" s="1587">
        <v>39.390796944126443</v>
      </c>
      <c r="N82" s="1734"/>
      <c r="O82" s="1737"/>
      <c r="P82" s="1737"/>
      <c r="Q82" s="1738"/>
    </row>
    <row r="83" spans="1:17">
      <c r="A83" s="49">
        <v>1999.02</v>
      </c>
      <c r="B83" s="1591">
        <v>92.768668571430041</v>
      </c>
      <c r="C83" s="311">
        <v>107.17169676572445</v>
      </c>
      <c r="D83" s="1350">
        <v>109.50742005463977</v>
      </c>
      <c r="E83" s="1347">
        <v>93.597429737674332</v>
      </c>
      <c r="F83" s="311">
        <v>71.666092483389988</v>
      </c>
      <c r="G83" s="1347">
        <v>100.16336242356695</v>
      </c>
      <c r="H83" s="311">
        <v>97.103606141710102</v>
      </c>
      <c r="I83" s="1347">
        <v>100.52469756522076</v>
      </c>
      <c r="J83" s="311">
        <v>119.74562809231833</v>
      </c>
      <c r="K83" s="1347">
        <v>97.748019878398296</v>
      </c>
      <c r="L83" s="311">
        <v>64.769102998092976</v>
      </c>
      <c r="M83" s="1587">
        <v>68.171088237631182</v>
      </c>
      <c r="N83" s="1734"/>
      <c r="O83" s="1737"/>
      <c r="P83" s="1737"/>
      <c r="Q83" s="1738"/>
    </row>
    <row r="84" spans="1:17">
      <c r="A84" s="49">
        <v>1999.03</v>
      </c>
      <c r="B84" s="1591">
        <v>110.53238014451419</v>
      </c>
      <c r="C84" s="311">
        <v>106.67000277284276</v>
      </c>
      <c r="D84" s="1350">
        <v>121.81957167233794</v>
      </c>
      <c r="E84" s="1347">
        <v>112.54777556386448</v>
      </c>
      <c r="F84" s="311">
        <v>64.704459531522261</v>
      </c>
      <c r="G84" s="1347">
        <v>108.33732221561101</v>
      </c>
      <c r="H84" s="311">
        <v>112.0353993520214</v>
      </c>
      <c r="I84" s="1347">
        <v>132.10014744439115</v>
      </c>
      <c r="J84" s="311">
        <v>123.1566043686698</v>
      </c>
      <c r="K84" s="1347">
        <v>116.45018935116674</v>
      </c>
      <c r="L84" s="311">
        <v>94.857688637311057</v>
      </c>
      <c r="M84" s="1587">
        <v>67.537292346485586</v>
      </c>
      <c r="N84" s="1734"/>
      <c r="O84" s="1737"/>
      <c r="P84" s="1737"/>
      <c r="Q84" s="1738"/>
    </row>
    <row r="85" spans="1:17">
      <c r="A85" s="49">
        <v>1999.04</v>
      </c>
      <c r="B85" s="1591">
        <v>105.69990964933905</v>
      </c>
      <c r="C85" s="311">
        <v>105.13209819204592</v>
      </c>
      <c r="D85" s="1350">
        <v>109.63280402123954</v>
      </c>
      <c r="E85" s="1347">
        <v>95.805482389243252</v>
      </c>
      <c r="F85" s="311">
        <v>59.701733981518238</v>
      </c>
      <c r="G85" s="1347">
        <v>121.61517922318862</v>
      </c>
      <c r="H85" s="311">
        <v>111.47584166784053</v>
      </c>
      <c r="I85" s="1347">
        <v>136.60940379420293</v>
      </c>
      <c r="J85" s="311">
        <v>117.44236247295525</v>
      </c>
      <c r="K85" s="1347">
        <v>121.93690808624976</v>
      </c>
      <c r="L85" s="311">
        <v>86.477484571533978</v>
      </c>
      <c r="M85" s="1587">
        <v>79.095963116060716</v>
      </c>
      <c r="N85" s="1734"/>
      <c r="O85" s="1737"/>
      <c r="P85" s="1737"/>
      <c r="Q85" s="1738"/>
    </row>
    <row r="86" spans="1:17">
      <c r="A86" s="49">
        <v>1999.05</v>
      </c>
      <c r="B86" s="1591">
        <v>108.99934221331921</v>
      </c>
      <c r="C86" s="311">
        <v>105.928552005743</v>
      </c>
      <c r="D86" s="1350">
        <v>112.91796835160866</v>
      </c>
      <c r="E86" s="1347">
        <v>95.116889257415494</v>
      </c>
      <c r="F86" s="311">
        <v>69.30482158084736</v>
      </c>
      <c r="G86" s="1347">
        <v>117.46149324209325</v>
      </c>
      <c r="H86" s="311">
        <v>110.86067051697421</v>
      </c>
      <c r="I86" s="1347">
        <v>135.22968370978575</v>
      </c>
      <c r="J86" s="311">
        <v>126.51182510279352</v>
      </c>
      <c r="K86" s="1347">
        <v>130.78309386024185</v>
      </c>
      <c r="L86" s="311">
        <v>91.880186150678014</v>
      </c>
      <c r="M86" s="1587">
        <v>84.03612846062218</v>
      </c>
      <c r="N86" s="1734"/>
      <c r="O86" s="1737"/>
      <c r="P86" s="1737"/>
      <c r="Q86" s="1738"/>
    </row>
    <row r="87" spans="1:17">
      <c r="A87" s="49">
        <v>1999.06</v>
      </c>
      <c r="B87" s="1591">
        <v>107.82965565529251</v>
      </c>
      <c r="C87" s="311">
        <v>106.72371763345288</v>
      </c>
      <c r="D87" s="1350">
        <v>118.15127195147744</v>
      </c>
      <c r="E87" s="1347">
        <v>95.98487260749414</v>
      </c>
      <c r="F87" s="311">
        <v>69.351611126566283</v>
      </c>
      <c r="G87" s="1347">
        <v>116.55050728434347</v>
      </c>
      <c r="H87" s="311">
        <v>105.03714607691224</v>
      </c>
      <c r="I87" s="1347">
        <v>119.75038539237478</v>
      </c>
      <c r="J87" s="311">
        <v>122.30867489101783</v>
      </c>
      <c r="K87" s="1347">
        <v>128.42103467499254</v>
      </c>
      <c r="L87" s="311">
        <v>90.835829147555813</v>
      </c>
      <c r="M87" s="1587">
        <v>92.69920401158825</v>
      </c>
      <c r="N87" s="1734"/>
      <c r="O87" s="1737"/>
      <c r="P87" s="1737"/>
      <c r="Q87" s="1738"/>
    </row>
    <row r="88" spans="1:17">
      <c r="A88" s="49">
        <v>1999.07</v>
      </c>
      <c r="B88" s="1591">
        <v>110.37658134549899</v>
      </c>
      <c r="C88" s="311">
        <v>105.2774056819062</v>
      </c>
      <c r="D88" s="1350">
        <v>126.612049725308</v>
      </c>
      <c r="E88" s="1347">
        <v>98.660640444159682</v>
      </c>
      <c r="F88" s="311">
        <v>72.748379782405038</v>
      </c>
      <c r="G88" s="1347">
        <v>119.75156074458104</v>
      </c>
      <c r="H88" s="311">
        <v>113.01450908578674</v>
      </c>
      <c r="I88" s="1347">
        <v>136.35206854314416</v>
      </c>
      <c r="J88" s="311">
        <v>84.105437660756124</v>
      </c>
      <c r="K88" s="1347">
        <v>142.4067230373121</v>
      </c>
      <c r="L88" s="311">
        <v>83.634987141200412</v>
      </c>
      <c r="M88" s="1587">
        <v>92.130037131246866</v>
      </c>
      <c r="N88" s="1734"/>
      <c r="O88" s="1737"/>
      <c r="P88" s="1737"/>
      <c r="Q88" s="1738"/>
    </row>
    <row r="89" spans="1:17">
      <c r="A89" s="49">
        <v>1999.08</v>
      </c>
      <c r="B89" s="1591">
        <v>114.99037177947588</v>
      </c>
      <c r="C89" s="311">
        <v>109.40080847817626</v>
      </c>
      <c r="D89" s="1350">
        <v>136.451922300239</v>
      </c>
      <c r="E89" s="1347">
        <v>96.552843941667376</v>
      </c>
      <c r="F89" s="311">
        <v>70.380668000607514</v>
      </c>
      <c r="G89" s="1347">
        <v>127.00186373517133</v>
      </c>
      <c r="H89" s="311">
        <v>114.73577968727989</v>
      </c>
      <c r="I89" s="1347">
        <v>126.36613999848613</v>
      </c>
      <c r="J89" s="311">
        <v>95.402778244318213</v>
      </c>
      <c r="K89" s="1347">
        <v>145.32489303388141</v>
      </c>
      <c r="L89" s="311">
        <v>86.550984303250729</v>
      </c>
      <c r="M89" s="1587">
        <v>108.5706595338458</v>
      </c>
      <c r="N89" s="1734"/>
      <c r="O89" s="1737"/>
      <c r="P89" s="1737"/>
      <c r="Q89" s="1738"/>
    </row>
    <row r="90" spans="1:17">
      <c r="A90" s="49">
        <v>1999.09</v>
      </c>
      <c r="B90" s="1591">
        <v>114.53191045151223</v>
      </c>
      <c r="C90" s="311">
        <v>108.5425731484482</v>
      </c>
      <c r="D90" s="1350">
        <v>140.83407299961419</v>
      </c>
      <c r="E90" s="1347">
        <v>98.825068623571084</v>
      </c>
      <c r="F90" s="311">
        <v>69.704824749419075</v>
      </c>
      <c r="G90" s="1347">
        <v>123.54267794476304</v>
      </c>
      <c r="H90" s="311">
        <v>107.82834202000279</v>
      </c>
      <c r="I90" s="1347">
        <v>125.59099161632943</v>
      </c>
      <c r="J90" s="311">
        <v>96.331935168946401</v>
      </c>
      <c r="K90" s="1347">
        <v>146.07348307826877</v>
      </c>
      <c r="L90" s="311">
        <v>77.798032695431914</v>
      </c>
      <c r="M90" s="1587">
        <v>113.65165956359047</v>
      </c>
      <c r="N90" s="1734"/>
      <c r="O90" s="1737"/>
      <c r="P90" s="1737"/>
      <c r="Q90" s="1738"/>
    </row>
    <row r="91" spans="1:17">
      <c r="A91" s="49">
        <v>1999.1</v>
      </c>
      <c r="B91" s="1591">
        <v>114.19984147918146</v>
      </c>
      <c r="C91" s="311">
        <v>110.08316540415115</v>
      </c>
      <c r="D91" s="1350">
        <v>138.31187865644625</v>
      </c>
      <c r="E91" s="1347">
        <v>100.35613251553879</v>
      </c>
      <c r="F91" s="311">
        <v>65.691581426626428</v>
      </c>
      <c r="G91" s="1347">
        <v>124.67948954773931</v>
      </c>
      <c r="H91" s="311">
        <v>111.04044231581913</v>
      </c>
      <c r="I91" s="1347">
        <v>127.44430662688528</v>
      </c>
      <c r="J91" s="311">
        <v>116.66940189178111</v>
      </c>
      <c r="K91" s="1347">
        <v>154.75452583405419</v>
      </c>
      <c r="L91" s="311">
        <v>72.88861827117816</v>
      </c>
      <c r="M91" s="1587">
        <v>116.31980915655785</v>
      </c>
      <c r="N91" s="1734"/>
      <c r="O91" s="1737"/>
      <c r="P91" s="1737"/>
      <c r="Q91" s="1738"/>
    </row>
    <row r="92" spans="1:17">
      <c r="A92" s="49">
        <v>1999.11</v>
      </c>
      <c r="B92" s="1591">
        <v>115.54929791883515</v>
      </c>
      <c r="C92" s="311">
        <v>112.13555662521317</v>
      </c>
      <c r="D92" s="1350">
        <v>132.41688174395688</v>
      </c>
      <c r="E92" s="1347">
        <v>101.22673807860994</v>
      </c>
      <c r="F92" s="311">
        <v>67.557770052690401</v>
      </c>
      <c r="G92" s="1347">
        <v>113.81614370310008</v>
      </c>
      <c r="H92" s="311">
        <v>110.92794759825328</v>
      </c>
      <c r="I92" s="1347">
        <v>127.73736974833102</v>
      </c>
      <c r="J92" s="311">
        <v>124.67639604283501</v>
      </c>
      <c r="K92" s="1347">
        <v>152.54411341054717</v>
      </c>
      <c r="L92" s="311">
        <v>81.004483865391634</v>
      </c>
      <c r="M92" s="1587">
        <v>121.63924398997732</v>
      </c>
      <c r="N92" s="1734"/>
      <c r="O92" s="1737"/>
      <c r="P92" s="1737"/>
      <c r="Q92" s="1738"/>
    </row>
    <row r="93" spans="1:17">
      <c r="A93" s="49">
        <v>1999.12</v>
      </c>
      <c r="B93" s="1591">
        <v>118.32707521852338</v>
      </c>
      <c r="C93" s="311">
        <v>111.856932637516</v>
      </c>
      <c r="D93" s="1350">
        <v>135.85910362367909</v>
      </c>
      <c r="E93" s="1347">
        <v>146.88181084476341</v>
      </c>
      <c r="F93" s="311">
        <v>57.517189609685232</v>
      </c>
      <c r="G93" s="1347">
        <v>120.77520417764831</v>
      </c>
      <c r="H93" s="311">
        <v>110.04396393858289</v>
      </c>
      <c r="I93" s="1347">
        <v>130.42011940095213</v>
      </c>
      <c r="J93" s="311">
        <v>114.86051183910234</v>
      </c>
      <c r="K93" s="1347">
        <v>144.63420393807289</v>
      </c>
      <c r="L93" s="311">
        <v>79.577115018477457</v>
      </c>
      <c r="M93" s="1587">
        <v>116.85390245320731</v>
      </c>
      <c r="N93" s="1734"/>
      <c r="O93" s="1737"/>
      <c r="P93" s="1737"/>
      <c r="Q93" s="1738"/>
    </row>
    <row r="94" spans="1:17">
      <c r="A94" s="49">
        <v>2000.01</v>
      </c>
      <c r="B94" s="1591">
        <v>98.707994036595181</v>
      </c>
      <c r="C94" s="311">
        <v>111.77162457511346</v>
      </c>
      <c r="D94" s="1350">
        <v>112.41379219062451</v>
      </c>
      <c r="E94" s="1347">
        <v>70.523585494760937</v>
      </c>
      <c r="F94" s="311">
        <v>52.575572318200585</v>
      </c>
      <c r="G94" s="1347">
        <v>128.03399940537997</v>
      </c>
      <c r="H94" s="311">
        <v>106.25683899140724</v>
      </c>
      <c r="I94" s="1347">
        <v>128.1665053730955</v>
      </c>
      <c r="J94" s="311">
        <v>111.12857417327839</v>
      </c>
      <c r="K94" s="1347">
        <v>134.03237982348273</v>
      </c>
      <c r="L94" s="311">
        <v>54.590461787562504</v>
      </c>
      <c r="M94" s="1587">
        <v>78.831910187561633</v>
      </c>
      <c r="N94" s="1734"/>
      <c r="O94" s="1737"/>
      <c r="P94" s="1737"/>
      <c r="Q94" s="1738"/>
    </row>
    <row r="95" spans="1:17">
      <c r="A95" s="49">
        <v>2000.02</v>
      </c>
      <c r="B95" s="1591">
        <v>99.511587239953741</v>
      </c>
      <c r="C95" s="311">
        <v>110.22932351851846</v>
      </c>
      <c r="D95" s="1350">
        <v>111.0485398798746</v>
      </c>
      <c r="E95" s="1347">
        <v>97.949533917065366</v>
      </c>
      <c r="F95" s="311">
        <v>66.633691756187517</v>
      </c>
      <c r="G95" s="1347">
        <v>114.60450617489266</v>
      </c>
      <c r="H95" s="311">
        <v>105.60012677841951</v>
      </c>
      <c r="I95" s="1347">
        <v>115.10928491733844</v>
      </c>
      <c r="J95" s="311">
        <v>106.40827716184327</v>
      </c>
      <c r="K95" s="1347">
        <v>139.17754759300303</v>
      </c>
      <c r="L95" s="311">
        <v>69.289879211199519</v>
      </c>
      <c r="M95" s="1587">
        <v>70.098161724544994</v>
      </c>
      <c r="N95" s="1734"/>
      <c r="O95" s="1737"/>
      <c r="P95" s="1737"/>
      <c r="Q95" s="1738"/>
    </row>
    <row r="96" spans="1:17">
      <c r="A96" s="49">
        <v>2000.03</v>
      </c>
      <c r="B96" s="1591">
        <v>115.94745649039659</v>
      </c>
      <c r="C96" s="311">
        <v>111.16793898843598</v>
      </c>
      <c r="D96" s="1350">
        <v>121.49778626674085</v>
      </c>
      <c r="E96" s="1347">
        <v>107.88888665515188</v>
      </c>
      <c r="F96" s="311">
        <v>73.200484208210682</v>
      </c>
      <c r="G96" s="1347">
        <v>129.92202671170776</v>
      </c>
      <c r="H96" s="311">
        <v>105.61593182138328</v>
      </c>
      <c r="I96" s="1347">
        <v>130.43364919125577</v>
      </c>
      <c r="J96" s="311">
        <v>114.49322167865843</v>
      </c>
      <c r="K96" s="1347">
        <v>160.89191078716348</v>
      </c>
      <c r="L96" s="311">
        <v>95.144571808626466</v>
      </c>
      <c r="M96" s="1587">
        <v>120.64640166256581</v>
      </c>
      <c r="N96" s="1734"/>
      <c r="O96" s="1737"/>
      <c r="P96" s="1737"/>
      <c r="Q96" s="1738"/>
    </row>
    <row r="97" spans="1:17">
      <c r="A97" s="49">
        <v>2000.04</v>
      </c>
      <c r="B97" s="1591">
        <v>105.02767400756018</v>
      </c>
      <c r="C97" s="311">
        <v>107.7418093793159</v>
      </c>
      <c r="D97" s="1350">
        <v>107.57402575528205</v>
      </c>
      <c r="E97" s="1347">
        <v>96.399706702905988</v>
      </c>
      <c r="F97" s="311">
        <v>66.140185059176957</v>
      </c>
      <c r="G97" s="1347">
        <v>131.61917599803473</v>
      </c>
      <c r="H97" s="311">
        <v>103.23380757853219</v>
      </c>
      <c r="I97" s="1347">
        <v>128.98312527392397</v>
      </c>
      <c r="J97" s="311">
        <v>99.025794061354929</v>
      </c>
      <c r="K97" s="1347">
        <v>154.67327195944145</v>
      </c>
      <c r="L97" s="311">
        <v>77.125860984112109</v>
      </c>
      <c r="M97" s="1587">
        <v>103.06340218692291</v>
      </c>
      <c r="N97" s="1734"/>
      <c r="O97" s="1737"/>
      <c r="P97" s="1737"/>
      <c r="Q97" s="1738"/>
    </row>
    <row r="98" spans="1:17">
      <c r="A98" s="49">
        <v>2000.05</v>
      </c>
      <c r="B98" s="1591">
        <v>107.45071928614914</v>
      </c>
      <c r="C98" s="311">
        <v>106.12125080340343</v>
      </c>
      <c r="D98" s="1350">
        <v>111.46423718152143</v>
      </c>
      <c r="E98" s="1347">
        <v>97.16459080803287</v>
      </c>
      <c r="F98" s="311">
        <v>72.825790530157988</v>
      </c>
      <c r="G98" s="1347">
        <v>134.43072404777121</v>
      </c>
      <c r="H98" s="311">
        <v>110.09623890688829</v>
      </c>
      <c r="I98" s="1347">
        <v>126.3296199715452</v>
      </c>
      <c r="J98" s="311">
        <v>100.71468807589883</v>
      </c>
      <c r="K98" s="1347">
        <v>152.30445594482802</v>
      </c>
      <c r="L98" s="311">
        <v>74.363971151069919</v>
      </c>
      <c r="M98" s="1587">
        <v>109.23354017142339</v>
      </c>
      <c r="N98" s="1734"/>
      <c r="O98" s="1737"/>
      <c r="P98" s="1737"/>
      <c r="Q98" s="1738"/>
    </row>
    <row r="99" spans="1:17">
      <c r="A99" s="49">
        <v>2000.06</v>
      </c>
      <c r="B99" s="1591">
        <v>107.93748276641216</v>
      </c>
      <c r="C99" s="311">
        <v>105.66759552877573</v>
      </c>
      <c r="D99" s="1350">
        <v>118.13915247548331</v>
      </c>
      <c r="E99" s="1347">
        <v>97.035269433156216</v>
      </c>
      <c r="F99" s="311">
        <v>72.45652507961141</v>
      </c>
      <c r="G99" s="1347">
        <v>124.97679584816227</v>
      </c>
      <c r="H99" s="311">
        <v>105.27096774193548</v>
      </c>
      <c r="I99" s="1347">
        <v>127.71637244722932</v>
      </c>
      <c r="J99" s="311">
        <v>101.23106110730505</v>
      </c>
      <c r="K99" s="1347">
        <v>144.78996048120433</v>
      </c>
      <c r="L99" s="311">
        <v>73.249509806548105</v>
      </c>
      <c r="M99" s="1587">
        <v>105.58676861454586</v>
      </c>
      <c r="N99" s="1734"/>
      <c r="O99" s="1737"/>
      <c r="P99" s="1737"/>
      <c r="Q99" s="1738"/>
    </row>
    <row r="100" spans="1:17">
      <c r="A100" s="49">
        <v>2000.07</v>
      </c>
      <c r="B100" s="1591">
        <v>107.82302640586666</v>
      </c>
      <c r="C100" s="311">
        <v>105.48266191986781</v>
      </c>
      <c r="D100" s="1350">
        <v>123.18105117524695</v>
      </c>
      <c r="E100" s="1347">
        <v>87.327651837572304</v>
      </c>
      <c r="F100" s="311">
        <v>74.16456115305688</v>
      </c>
      <c r="G100" s="1347">
        <v>130.50315445593216</v>
      </c>
      <c r="H100" s="311">
        <v>102.94640090153541</v>
      </c>
      <c r="I100" s="1347">
        <v>136.46460104307602</v>
      </c>
      <c r="J100" s="311">
        <v>103.32404351999888</v>
      </c>
      <c r="K100" s="1347">
        <v>155.86808176335146</v>
      </c>
      <c r="L100" s="311">
        <v>65.086996505439629</v>
      </c>
      <c r="M100" s="1587">
        <v>105.20692058718419</v>
      </c>
      <c r="N100" s="1734"/>
      <c r="O100" s="1737"/>
      <c r="P100" s="1737"/>
      <c r="Q100" s="1738"/>
    </row>
    <row r="101" spans="1:17">
      <c r="A101" s="49">
        <v>2000.08</v>
      </c>
      <c r="B101" s="1591">
        <v>113.53771525965676</v>
      </c>
      <c r="C101" s="311">
        <v>106.6150801376789</v>
      </c>
      <c r="D101" s="1350">
        <v>135.13863379113579</v>
      </c>
      <c r="E101" s="1347">
        <v>95.179081979684426</v>
      </c>
      <c r="F101" s="311">
        <v>71.313662641733373</v>
      </c>
      <c r="G101" s="1347">
        <v>131.03278299456858</v>
      </c>
      <c r="H101" s="311">
        <v>115.08835047189743</v>
      </c>
      <c r="I101" s="1347">
        <v>125.40457674315793</v>
      </c>
      <c r="J101" s="311">
        <v>107.84020904413957</v>
      </c>
      <c r="K101" s="1347">
        <v>166.58741902119851</v>
      </c>
      <c r="L101" s="311">
        <v>73.203297381352925</v>
      </c>
      <c r="M101" s="1587">
        <v>111.01420870462616</v>
      </c>
      <c r="N101" s="1734"/>
      <c r="O101" s="1737"/>
      <c r="P101" s="1737"/>
      <c r="Q101" s="1738"/>
    </row>
    <row r="102" spans="1:17">
      <c r="A102" s="49">
        <v>2000.09</v>
      </c>
      <c r="B102" s="1591">
        <v>112.10328027255837</v>
      </c>
      <c r="C102" s="311">
        <v>107.29946744845215</v>
      </c>
      <c r="D102" s="1350">
        <v>136.04197220043224</v>
      </c>
      <c r="E102" s="1347">
        <v>90.911723405271601</v>
      </c>
      <c r="F102" s="311">
        <v>66.507334429819565</v>
      </c>
      <c r="G102" s="1347">
        <v>132.52264817576466</v>
      </c>
      <c r="H102" s="311">
        <v>96.350373292012961</v>
      </c>
      <c r="I102" s="1347">
        <v>125.9537596739525</v>
      </c>
      <c r="J102" s="311">
        <v>119.05571746316272</v>
      </c>
      <c r="K102" s="1347">
        <v>165.73372790902818</v>
      </c>
      <c r="L102" s="311">
        <v>70.785997814714761</v>
      </c>
      <c r="M102" s="1587">
        <v>111.99437116886153</v>
      </c>
      <c r="N102" s="1734"/>
      <c r="O102" s="1737"/>
      <c r="P102" s="1737"/>
      <c r="Q102" s="1738"/>
    </row>
    <row r="103" spans="1:17">
      <c r="A103" s="49">
        <v>2000.1</v>
      </c>
      <c r="B103" s="1591">
        <v>110.20641630773135</v>
      </c>
      <c r="C103" s="311">
        <v>106.42313091741669</v>
      </c>
      <c r="D103" s="1350">
        <v>132.08350098687353</v>
      </c>
      <c r="E103" s="1347">
        <v>94.451525847744747</v>
      </c>
      <c r="F103" s="311">
        <v>58.960050768635831</v>
      </c>
      <c r="G103" s="1347">
        <v>128.86465875708166</v>
      </c>
      <c r="H103" s="311">
        <v>105.34487956050147</v>
      </c>
      <c r="I103" s="1347">
        <v>130.93271377469421</v>
      </c>
      <c r="J103" s="311">
        <v>105.55309068788367</v>
      </c>
      <c r="K103" s="1347">
        <v>166.92926841887493</v>
      </c>
      <c r="L103" s="311">
        <v>64.816188804801101</v>
      </c>
      <c r="M103" s="1587">
        <v>105.30181841828615</v>
      </c>
      <c r="N103" s="1734"/>
      <c r="O103" s="1737"/>
      <c r="P103" s="1737"/>
      <c r="Q103" s="1738"/>
    </row>
    <row r="104" spans="1:17">
      <c r="A104" s="49">
        <v>2000.11</v>
      </c>
      <c r="B104" s="1591">
        <v>109.71917491223842</v>
      </c>
      <c r="C104" s="311">
        <v>106.6363634118064</v>
      </c>
      <c r="D104" s="1350">
        <v>120.91570481662943</v>
      </c>
      <c r="E104" s="1347">
        <v>93.859491853169857</v>
      </c>
      <c r="F104" s="311">
        <v>63.559930189641086</v>
      </c>
      <c r="G104" s="1347">
        <v>125.54586647148155</v>
      </c>
      <c r="H104" s="311">
        <v>108.90063389209747</v>
      </c>
      <c r="I104" s="1347">
        <v>137.63828548165463</v>
      </c>
      <c r="J104" s="311">
        <v>109.33269449537129</v>
      </c>
      <c r="K104" s="1347">
        <v>165.73055972929916</v>
      </c>
      <c r="L104" s="311">
        <v>64.592904730474288</v>
      </c>
      <c r="M104" s="1587">
        <v>109.73674597502141</v>
      </c>
      <c r="N104" s="1734"/>
      <c r="O104" s="1737"/>
      <c r="P104" s="1737"/>
      <c r="Q104" s="1738"/>
    </row>
    <row r="105" spans="1:17">
      <c r="A105" s="49">
        <v>2000.12</v>
      </c>
      <c r="B105" s="1591">
        <v>112.22560404384305</v>
      </c>
      <c r="C105" s="311">
        <v>109.13943485869</v>
      </c>
      <c r="D105" s="1350">
        <v>135.39503793668445</v>
      </c>
      <c r="E105" s="1347">
        <v>108.29357124380456</v>
      </c>
      <c r="F105" s="311">
        <v>59.392352543148476</v>
      </c>
      <c r="G105" s="1347">
        <v>130.40899771293937</v>
      </c>
      <c r="H105" s="311">
        <v>111.69352021411467</v>
      </c>
      <c r="I105" s="1347">
        <v>144.49382557558738</v>
      </c>
      <c r="J105" s="311">
        <v>102.84499450517842</v>
      </c>
      <c r="K105" s="1347">
        <v>161.84904028244623</v>
      </c>
      <c r="L105" s="311">
        <v>57.297309270739376</v>
      </c>
      <c r="M105" s="1587">
        <v>91.804841085539763</v>
      </c>
      <c r="N105" s="1734"/>
      <c r="O105" s="1737"/>
      <c r="P105" s="1737"/>
      <c r="Q105" s="1738"/>
    </row>
    <row r="106" spans="1:17">
      <c r="A106" s="49">
        <v>2001.01</v>
      </c>
      <c r="B106" s="1591">
        <v>100.31625572419127</v>
      </c>
      <c r="C106" s="311">
        <v>110.490023737809</v>
      </c>
      <c r="D106" s="1350">
        <v>115.02720251286378</v>
      </c>
      <c r="E106" s="1347">
        <v>95.135121350104455</v>
      </c>
      <c r="F106" s="311">
        <v>51.178041656798356</v>
      </c>
      <c r="G106" s="1347">
        <v>123.66898977782927</v>
      </c>
      <c r="H106" s="311">
        <v>110.91843921679107</v>
      </c>
      <c r="I106" s="1347">
        <v>145.85107717998417</v>
      </c>
      <c r="J106" s="311">
        <v>106.92662930667589</v>
      </c>
      <c r="K106" s="1347">
        <v>143.38413096307528</v>
      </c>
      <c r="L106" s="311">
        <v>45.545063594187425</v>
      </c>
      <c r="M106" s="1587">
        <v>51.087346861146173</v>
      </c>
      <c r="N106" s="1734"/>
      <c r="O106" s="1737"/>
      <c r="P106" s="1737"/>
      <c r="Q106" s="1738"/>
    </row>
    <row r="107" spans="1:17">
      <c r="A107" s="49">
        <v>2001.02</v>
      </c>
      <c r="B107" s="1591">
        <v>97.574190469274839</v>
      </c>
      <c r="C107" s="311">
        <v>111.72624043114993</v>
      </c>
      <c r="D107" s="1350">
        <v>105.34760525596889</v>
      </c>
      <c r="E107" s="1347">
        <v>87.612023124216648</v>
      </c>
      <c r="F107" s="311">
        <v>64.756062435282246</v>
      </c>
      <c r="G107" s="1347">
        <v>119.87478288594579</v>
      </c>
      <c r="H107" s="311">
        <v>102.29830962107339</v>
      </c>
      <c r="I107" s="1347">
        <v>139.34442604294793</v>
      </c>
      <c r="J107" s="311">
        <v>100.5678298640323</v>
      </c>
      <c r="K107" s="1347">
        <v>135.73551087502057</v>
      </c>
      <c r="L107" s="311">
        <v>56.489578898753663</v>
      </c>
      <c r="M107" s="1587">
        <v>51.521545335438141</v>
      </c>
      <c r="N107" s="1734"/>
      <c r="O107" s="1737"/>
      <c r="P107" s="1737"/>
      <c r="Q107" s="1738"/>
    </row>
    <row r="108" spans="1:17">
      <c r="A108" s="49">
        <v>2001.03</v>
      </c>
      <c r="B108" s="1591">
        <v>111.43994511221238</v>
      </c>
      <c r="C108" s="311">
        <v>107.92757175411326</v>
      </c>
      <c r="D108" s="1350">
        <v>117.39637035476733</v>
      </c>
      <c r="E108" s="1347">
        <v>99.718842209669987</v>
      </c>
      <c r="F108" s="311">
        <v>71.646759831274281</v>
      </c>
      <c r="G108" s="1347">
        <v>135.24507385557934</v>
      </c>
      <c r="H108" s="311">
        <v>107.14999295675447</v>
      </c>
      <c r="I108" s="1347">
        <v>160.57291580935532</v>
      </c>
      <c r="J108" s="311">
        <v>88.676781802855686</v>
      </c>
      <c r="K108" s="1347">
        <v>161.91781400219145</v>
      </c>
      <c r="L108" s="311">
        <v>74.275280497367532</v>
      </c>
      <c r="M108" s="1587">
        <v>86.060766915006582</v>
      </c>
      <c r="N108" s="1734"/>
      <c r="O108" s="1737"/>
      <c r="P108" s="1737"/>
      <c r="Q108" s="1738"/>
    </row>
    <row r="109" spans="1:17">
      <c r="A109" s="49">
        <v>2001.04</v>
      </c>
      <c r="B109" s="1591">
        <v>107.62834667909502</v>
      </c>
      <c r="C109" s="311">
        <v>109.59725317580963</v>
      </c>
      <c r="D109" s="1350">
        <v>105.67926636659179</v>
      </c>
      <c r="E109" s="1347">
        <v>89.616010841770986</v>
      </c>
      <c r="F109" s="311">
        <v>71.329738109992135</v>
      </c>
      <c r="G109" s="1347">
        <v>123.24524121318296</v>
      </c>
      <c r="H109" s="311">
        <v>108.4254261163544</v>
      </c>
      <c r="I109" s="1347">
        <v>154.66622174311144</v>
      </c>
      <c r="J109" s="311">
        <v>89.818618973741934</v>
      </c>
      <c r="K109" s="1347">
        <v>160.06359255100648</v>
      </c>
      <c r="L109" s="311">
        <v>72.301063159900821</v>
      </c>
      <c r="M109" s="1587">
        <v>97.398757083991967</v>
      </c>
      <c r="N109" s="1734"/>
      <c r="O109" s="1737"/>
      <c r="P109" s="1737"/>
      <c r="Q109" s="1738"/>
    </row>
    <row r="110" spans="1:17">
      <c r="A110" s="49">
        <v>2001.05</v>
      </c>
      <c r="B110" s="1591">
        <v>110.38535710982863</v>
      </c>
      <c r="C110" s="311">
        <v>108.4001248746324</v>
      </c>
      <c r="D110" s="1350">
        <v>109.46814262011026</v>
      </c>
      <c r="E110" s="1347">
        <v>89.639086316104894</v>
      </c>
      <c r="F110" s="311">
        <v>71.174879249303999</v>
      </c>
      <c r="G110" s="1347">
        <v>136.91657294597513</v>
      </c>
      <c r="H110" s="311">
        <v>111.5102831384702</v>
      </c>
      <c r="I110" s="1347">
        <v>143.79715147809929</v>
      </c>
      <c r="J110" s="311">
        <v>100.96232128032489</v>
      </c>
      <c r="K110" s="1347">
        <v>164.41662331093448</v>
      </c>
      <c r="L110" s="311">
        <v>83.589051404825057</v>
      </c>
      <c r="M110" s="1587">
        <v>103.50649593950162</v>
      </c>
      <c r="N110" s="1734"/>
      <c r="O110" s="1737"/>
      <c r="P110" s="1737"/>
      <c r="Q110" s="1738"/>
    </row>
    <row r="111" spans="1:17">
      <c r="A111" s="49">
        <v>2001.06</v>
      </c>
      <c r="B111" s="1591">
        <v>108.09451104531951</v>
      </c>
      <c r="C111" s="311">
        <v>106.87985903025108</v>
      </c>
      <c r="D111" s="1350">
        <v>117.22713214675539</v>
      </c>
      <c r="E111" s="1347">
        <v>85.521718324862476</v>
      </c>
      <c r="F111" s="311">
        <v>70.389840012810708</v>
      </c>
      <c r="G111" s="1347">
        <v>133.25257074003537</v>
      </c>
      <c r="H111" s="311">
        <v>108.68815326102268</v>
      </c>
      <c r="I111" s="1347">
        <v>138.1000969471115</v>
      </c>
      <c r="J111" s="311">
        <v>101.06030449844307</v>
      </c>
      <c r="K111" s="1347">
        <v>146.57892132062136</v>
      </c>
      <c r="L111" s="311">
        <v>78.535610700164597</v>
      </c>
      <c r="M111" s="1587">
        <v>90.838580549057681</v>
      </c>
      <c r="N111" s="1734"/>
      <c r="O111" s="1737"/>
      <c r="P111" s="1737"/>
      <c r="Q111" s="1738"/>
    </row>
    <row r="112" spans="1:17">
      <c r="A112" s="49">
        <v>2001.07</v>
      </c>
      <c r="B112" s="1591">
        <v>109.86577141437702</v>
      </c>
      <c r="C112" s="311">
        <v>106.66587912275621</v>
      </c>
      <c r="D112" s="1350">
        <v>126.89746941521113</v>
      </c>
      <c r="E112" s="1347">
        <v>83.43141352550829</v>
      </c>
      <c r="F112" s="311">
        <v>68.067458695587192</v>
      </c>
      <c r="G112" s="1347">
        <v>129.57441911025791</v>
      </c>
      <c r="H112" s="311">
        <v>113.35981124101986</v>
      </c>
      <c r="I112" s="1347">
        <v>159.00039389925254</v>
      </c>
      <c r="J112" s="311">
        <v>98.794323447219057</v>
      </c>
      <c r="K112" s="1347">
        <v>141.62864535296919</v>
      </c>
      <c r="L112" s="311">
        <v>64.7972918364066</v>
      </c>
      <c r="M112" s="1587">
        <v>81.152997515452043</v>
      </c>
      <c r="N112" s="1734"/>
      <c r="O112" s="1737"/>
      <c r="P112" s="1737"/>
      <c r="Q112" s="1738"/>
    </row>
    <row r="113" spans="1:17">
      <c r="A113" s="49">
        <v>2001.08</v>
      </c>
      <c r="B113" s="1591">
        <v>110.16956235703731</v>
      </c>
      <c r="C113" s="311">
        <v>103.74435692840527</v>
      </c>
      <c r="D113" s="1350">
        <v>133.13221008539955</v>
      </c>
      <c r="E113" s="1347">
        <v>93.595887876434745</v>
      </c>
      <c r="F113" s="311">
        <v>63.337126084440506</v>
      </c>
      <c r="G113" s="1347">
        <v>140.15919156495195</v>
      </c>
      <c r="H113" s="311">
        <v>111.72141146640371</v>
      </c>
      <c r="I113" s="1347">
        <v>159.36209748553694</v>
      </c>
      <c r="J113" s="311">
        <v>98.367477725851927</v>
      </c>
      <c r="K113" s="1347">
        <v>119.86237667716922</v>
      </c>
      <c r="L113" s="311">
        <v>65.557034244851849</v>
      </c>
      <c r="M113" s="1587">
        <v>69.484604860311208</v>
      </c>
      <c r="N113" s="1734"/>
      <c r="O113" s="1737"/>
      <c r="P113" s="1737"/>
      <c r="Q113" s="1738"/>
    </row>
    <row r="114" spans="1:17">
      <c r="A114" s="49">
        <v>2001.09</v>
      </c>
      <c r="B114" s="1591">
        <v>103.04449848070533</v>
      </c>
      <c r="C114" s="311">
        <v>100.60824002575499</v>
      </c>
      <c r="D114" s="1350">
        <v>126.08344893167147</v>
      </c>
      <c r="E114" s="1347">
        <v>76.046749018893848</v>
      </c>
      <c r="F114" s="311">
        <v>57.912837633935993</v>
      </c>
      <c r="G114" s="1347">
        <v>130.54512672226153</v>
      </c>
      <c r="H114" s="311">
        <v>104.86223411748132</v>
      </c>
      <c r="I114" s="1347">
        <v>154.74423076101417</v>
      </c>
      <c r="J114" s="311">
        <v>91.071556454129151</v>
      </c>
      <c r="K114" s="1347">
        <v>144.80398702393526</v>
      </c>
      <c r="L114" s="311">
        <v>44.792476229524468</v>
      </c>
      <c r="M114" s="1587">
        <v>57.715317816667756</v>
      </c>
      <c r="N114" s="1734"/>
      <c r="O114" s="1737"/>
      <c r="P114" s="1737"/>
      <c r="Q114" s="1738"/>
    </row>
    <row r="115" spans="1:17">
      <c r="A115" s="49">
        <v>2001.1</v>
      </c>
      <c r="B115" s="1591">
        <v>104.2560794812261</v>
      </c>
      <c r="C115" s="311">
        <v>99.559808712972156</v>
      </c>
      <c r="D115" s="1350">
        <v>129.57460354386282</v>
      </c>
      <c r="E115" s="1347">
        <v>90.18029935492018</v>
      </c>
      <c r="F115" s="311">
        <v>54.305656686153469</v>
      </c>
      <c r="G115" s="1347">
        <v>137.0377157894749</v>
      </c>
      <c r="H115" s="311">
        <v>98.286448795604997</v>
      </c>
      <c r="I115" s="1347">
        <v>163.35297270577965</v>
      </c>
      <c r="J115" s="311">
        <v>80.480434188109939</v>
      </c>
      <c r="K115" s="1347">
        <v>142.8022707378214</v>
      </c>
      <c r="L115" s="311">
        <v>42.132348683833712</v>
      </c>
      <c r="M115" s="1587">
        <v>62.617195599964894</v>
      </c>
      <c r="N115" s="1734"/>
      <c r="O115" s="1737"/>
      <c r="P115" s="1737"/>
      <c r="Q115" s="1738"/>
    </row>
    <row r="116" spans="1:17">
      <c r="A116" s="49">
        <v>2001.11</v>
      </c>
      <c r="B116" s="1591">
        <v>101.93590849664906</v>
      </c>
      <c r="C116" s="311">
        <v>98.091868274690441</v>
      </c>
      <c r="D116" s="1350">
        <v>118.61957333749925</v>
      </c>
      <c r="E116" s="1347">
        <v>93.418500411918814</v>
      </c>
      <c r="F116" s="311">
        <v>48.569591121030996</v>
      </c>
      <c r="G116" s="1347">
        <v>125.21941665894853</v>
      </c>
      <c r="H116" s="311">
        <v>98.751387519368919</v>
      </c>
      <c r="I116" s="1347">
        <v>165.0921009094798</v>
      </c>
      <c r="J116" s="311">
        <v>88.7385610179564</v>
      </c>
      <c r="K116" s="1347">
        <v>134.11846046048308</v>
      </c>
      <c r="L116" s="311">
        <v>43.559213519740808</v>
      </c>
      <c r="M116" s="1587">
        <v>60.024420599357605</v>
      </c>
      <c r="N116" s="1734"/>
      <c r="O116" s="1737"/>
      <c r="P116" s="1737"/>
      <c r="Q116" s="1738"/>
    </row>
    <row r="117" spans="1:17">
      <c r="A117" s="49">
        <v>2001.12</v>
      </c>
      <c r="B117" s="1591">
        <v>90.573230864873906</v>
      </c>
      <c r="C117" s="311">
        <v>94.061509524468335</v>
      </c>
      <c r="D117" s="1350">
        <v>122.7912827503618</v>
      </c>
      <c r="E117" s="1347">
        <v>89.23454610341463</v>
      </c>
      <c r="F117" s="311">
        <v>42.14560475933218</v>
      </c>
      <c r="G117" s="1347">
        <v>114.4894552077329</v>
      </c>
      <c r="H117" s="311">
        <v>100.1878292717284</v>
      </c>
      <c r="I117" s="1347">
        <v>132.55214414610211</v>
      </c>
      <c r="J117" s="311">
        <v>68.764911372811412</v>
      </c>
      <c r="K117" s="1347">
        <v>123.20806087493972</v>
      </c>
      <c r="L117" s="311">
        <v>29.717349625059114</v>
      </c>
      <c r="M117" s="1587">
        <v>26.725376188790083</v>
      </c>
      <c r="N117" s="1734"/>
      <c r="O117" s="1737"/>
      <c r="P117" s="1737"/>
      <c r="Q117" s="1738"/>
    </row>
    <row r="118" spans="1:17">
      <c r="A118" s="49">
        <v>2002.01</v>
      </c>
      <c r="B118" s="1591">
        <v>83.087778402925451</v>
      </c>
      <c r="C118" s="311">
        <v>93.267233994850173</v>
      </c>
      <c r="D118" s="1350">
        <v>101.42295862133079</v>
      </c>
      <c r="E118" s="1347">
        <v>90.658319528581615</v>
      </c>
      <c r="F118" s="311">
        <v>39.369159677295265</v>
      </c>
      <c r="G118" s="1347">
        <v>116.35219722353924</v>
      </c>
      <c r="H118" s="311">
        <v>105.42212987744752</v>
      </c>
      <c r="I118" s="1347">
        <v>125.97357550554389</v>
      </c>
      <c r="J118" s="311">
        <v>63.206584494711649</v>
      </c>
      <c r="K118" s="1347">
        <v>115.86002096010731</v>
      </c>
      <c r="L118" s="311">
        <v>21.593139113890039</v>
      </c>
      <c r="M118" s="1587">
        <v>15.413689800560068</v>
      </c>
      <c r="N118" s="1734"/>
      <c r="O118" s="1737"/>
      <c r="P118" s="1737"/>
      <c r="Q118" s="1738"/>
    </row>
    <row r="119" spans="1:17">
      <c r="A119" s="49">
        <v>2002.02</v>
      </c>
      <c r="B119" s="1591">
        <v>82.265516623225679</v>
      </c>
      <c r="C119" s="311">
        <v>91.439427083285452</v>
      </c>
      <c r="D119" s="1350">
        <v>93.004490344251721</v>
      </c>
      <c r="E119" s="1347">
        <v>84.398211733004629</v>
      </c>
      <c r="F119" s="311">
        <v>42.387211326386421</v>
      </c>
      <c r="G119" s="1347">
        <v>118.7534682905314</v>
      </c>
      <c r="H119" s="311">
        <v>91.290435272573589</v>
      </c>
      <c r="I119" s="1347">
        <v>138.57465069092379</v>
      </c>
      <c r="J119" s="311">
        <v>61.339302605878451</v>
      </c>
      <c r="K119" s="1347">
        <v>128.64334104899618</v>
      </c>
      <c r="L119" s="311">
        <v>23.411463931844853</v>
      </c>
      <c r="M119" s="1587">
        <v>28.653846865847861</v>
      </c>
      <c r="N119" s="1734"/>
      <c r="O119" s="1737"/>
      <c r="P119" s="1737"/>
      <c r="Q119" s="1738"/>
    </row>
    <row r="120" spans="1:17">
      <c r="A120" s="49">
        <v>2002.03</v>
      </c>
      <c r="B120" s="1591">
        <v>92.628124917443301</v>
      </c>
      <c r="C120" s="311">
        <v>93.808916180201692</v>
      </c>
      <c r="D120" s="1350">
        <v>100.61863871234313</v>
      </c>
      <c r="E120" s="1347">
        <v>96.99256438085618</v>
      </c>
      <c r="F120" s="311">
        <v>53.462400019211039</v>
      </c>
      <c r="G120" s="1347">
        <v>125.15620482745578</v>
      </c>
      <c r="H120" s="311">
        <v>101.1453444147063</v>
      </c>
      <c r="I120" s="1347">
        <v>149.73359579242387</v>
      </c>
      <c r="J120" s="311">
        <v>65.906676412229785</v>
      </c>
      <c r="K120" s="1347">
        <v>146.4632228932432</v>
      </c>
      <c r="L120" s="311">
        <v>33.518103795041355</v>
      </c>
      <c r="M120" s="1587">
        <v>39.173303369520582</v>
      </c>
      <c r="N120" s="1734"/>
      <c r="O120" s="1737"/>
      <c r="P120" s="1737"/>
      <c r="Q120" s="1738"/>
    </row>
    <row r="121" spans="1:17">
      <c r="A121" s="49">
        <v>2002.04</v>
      </c>
      <c r="B121" s="1591">
        <v>96.154520053729073</v>
      </c>
      <c r="C121" s="311">
        <v>94.120958181921779</v>
      </c>
      <c r="D121" s="1350">
        <v>94.510785966581111</v>
      </c>
      <c r="E121" s="1347">
        <v>85.892163598737454</v>
      </c>
      <c r="F121" s="311">
        <v>58.014645513977818</v>
      </c>
      <c r="G121" s="1347">
        <v>131.6103230215345</v>
      </c>
      <c r="H121" s="311">
        <v>101.90187350331033</v>
      </c>
      <c r="I121" s="1347">
        <v>166.95211748241644</v>
      </c>
      <c r="J121" s="311">
        <v>68.294296441956988</v>
      </c>
      <c r="K121" s="1347">
        <v>162.20759845142288</v>
      </c>
      <c r="L121" s="311">
        <v>35.927206812102185</v>
      </c>
      <c r="M121" s="1587">
        <v>58.674237763471901</v>
      </c>
      <c r="N121" s="1734"/>
      <c r="O121" s="1737"/>
      <c r="P121" s="1737"/>
      <c r="Q121" s="1738"/>
    </row>
    <row r="122" spans="1:17">
      <c r="A122" s="49">
        <v>2002.05</v>
      </c>
      <c r="B122" s="1591">
        <v>97.13354369455989</v>
      </c>
      <c r="C122" s="311">
        <v>94.911128198053731</v>
      </c>
      <c r="D122" s="1350">
        <v>99.559007271808511</v>
      </c>
      <c r="E122" s="1347">
        <v>92.762467144570977</v>
      </c>
      <c r="F122" s="311">
        <v>61.169271337518438</v>
      </c>
      <c r="G122" s="1347">
        <v>135.74519078817173</v>
      </c>
      <c r="H122" s="311">
        <v>104.57968727989856</v>
      </c>
      <c r="I122" s="1347">
        <v>154.70699215495475</v>
      </c>
      <c r="J122" s="311">
        <v>70.058633958911543</v>
      </c>
      <c r="K122" s="1347">
        <v>161.06600803420449</v>
      </c>
      <c r="L122" s="311">
        <v>41.286215018170807</v>
      </c>
      <c r="M122" s="1587">
        <v>55.186420345297115</v>
      </c>
      <c r="N122" s="1734"/>
      <c r="O122" s="1737"/>
      <c r="P122" s="1737"/>
      <c r="Q122" s="1738"/>
    </row>
    <row r="123" spans="1:17">
      <c r="A123" s="49">
        <v>2002.06</v>
      </c>
      <c r="B123" s="1591">
        <v>96.609339500936414</v>
      </c>
      <c r="C123" s="311">
        <v>97.278319466474812</v>
      </c>
      <c r="D123" s="1350">
        <v>110.71314617331596</v>
      </c>
      <c r="E123" s="1347">
        <v>100.3741585331361</v>
      </c>
      <c r="F123" s="311">
        <v>59.542606454246631</v>
      </c>
      <c r="G123" s="1347">
        <v>132.44251948563482</v>
      </c>
      <c r="H123" s="311">
        <v>99.858712494717551</v>
      </c>
      <c r="I123" s="1347">
        <v>146.53204626134914</v>
      </c>
      <c r="J123" s="311">
        <v>76.695820302146956</v>
      </c>
      <c r="K123" s="1347">
        <v>151.66645219440099</v>
      </c>
      <c r="L123" s="311">
        <v>37.558750126481861</v>
      </c>
      <c r="M123" s="1587">
        <v>50.333843442081772</v>
      </c>
      <c r="N123" s="1734"/>
      <c r="O123" s="1737"/>
      <c r="P123" s="1737"/>
      <c r="Q123" s="1738"/>
    </row>
    <row r="124" spans="1:17">
      <c r="A124" s="49">
        <v>2002.07</v>
      </c>
      <c r="B124" s="1591">
        <v>101.23735837683789</v>
      </c>
      <c r="C124" s="311">
        <v>96.95899252226549</v>
      </c>
      <c r="D124" s="1350">
        <v>121.37386995636899</v>
      </c>
      <c r="E124" s="1347">
        <v>72.333617680625863</v>
      </c>
      <c r="F124" s="311">
        <v>67.682644455813659</v>
      </c>
      <c r="G124" s="1347">
        <v>135.79434292148926</v>
      </c>
      <c r="H124" s="311">
        <v>101.37785603606142</v>
      </c>
      <c r="I124" s="1347">
        <v>152.31118775579887</v>
      </c>
      <c r="J124" s="311">
        <v>72.781002629042618</v>
      </c>
      <c r="K124" s="1347">
        <v>159.05535934880714</v>
      </c>
      <c r="L124" s="311">
        <v>46.864958720537224</v>
      </c>
      <c r="M124" s="1587">
        <v>57.553983240669858</v>
      </c>
      <c r="N124" s="1734"/>
      <c r="O124" s="1737"/>
      <c r="P124" s="1737"/>
      <c r="Q124" s="1738"/>
    </row>
    <row r="125" spans="1:17">
      <c r="A125" s="49">
        <v>2002.08</v>
      </c>
      <c r="B125" s="1591">
        <v>100.16968208424851</v>
      </c>
      <c r="C125" s="311">
        <v>95.692475969647518</v>
      </c>
      <c r="D125" s="1350">
        <v>121.84492732975716</v>
      </c>
      <c r="E125" s="1347">
        <v>92.995071010813234</v>
      </c>
      <c r="F125" s="311">
        <v>65.297006655239855</v>
      </c>
      <c r="G125" s="1347">
        <v>140.60070437096965</v>
      </c>
      <c r="H125" s="311">
        <v>95.780969150584568</v>
      </c>
      <c r="I125" s="1347">
        <v>138.0267340645419</v>
      </c>
      <c r="J125" s="311">
        <v>77.523680328455328</v>
      </c>
      <c r="K125" s="1347">
        <v>164.57033858259209</v>
      </c>
      <c r="L125" s="311">
        <v>45.973713108392097</v>
      </c>
      <c r="M125" s="1587">
        <v>54.498010411704641</v>
      </c>
      <c r="N125" s="1734"/>
      <c r="O125" s="1737"/>
      <c r="P125" s="1737"/>
      <c r="Q125" s="1738"/>
    </row>
    <row r="126" spans="1:17">
      <c r="A126" s="49">
        <v>2002.09</v>
      </c>
      <c r="B126" s="1591">
        <v>102.15968117537756</v>
      </c>
      <c r="C126" s="311">
        <v>99.108080888562242</v>
      </c>
      <c r="D126" s="1350">
        <v>120.25142761646234</v>
      </c>
      <c r="E126" s="1347">
        <v>88.319446830286921</v>
      </c>
      <c r="F126" s="311">
        <v>68.335718572643799</v>
      </c>
      <c r="G126" s="1347">
        <v>136.16643628924584</v>
      </c>
      <c r="H126" s="311">
        <v>102.59235103535708</v>
      </c>
      <c r="I126" s="1347">
        <v>149.99201255569102</v>
      </c>
      <c r="J126" s="311">
        <v>87.52743489213367</v>
      </c>
      <c r="K126" s="1347">
        <v>160.9786045745945</v>
      </c>
      <c r="L126" s="311">
        <v>45.601027155204662</v>
      </c>
      <c r="M126" s="1587">
        <v>56.4073200221031</v>
      </c>
      <c r="N126" s="1734"/>
      <c r="O126" s="1737"/>
      <c r="P126" s="1737"/>
      <c r="Q126" s="1738"/>
    </row>
    <row r="127" spans="1:17">
      <c r="A127" s="49">
        <v>2002.1</v>
      </c>
      <c r="B127" s="1591">
        <v>100.78590251505446</v>
      </c>
      <c r="C127" s="311">
        <v>96.796043049811686</v>
      </c>
      <c r="D127" s="1350">
        <v>114.64602448611012</v>
      </c>
      <c r="E127" s="1347">
        <v>100.10971051231306</v>
      </c>
      <c r="F127" s="311">
        <v>67.262784010938603</v>
      </c>
      <c r="G127" s="1347">
        <v>133.50459966549084</v>
      </c>
      <c r="H127" s="311">
        <v>107.85139287058476</v>
      </c>
      <c r="I127" s="1347">
        <v>138.23129826867046</v>
      </c>
      <c r="J127" s="311">
        <v>78.321173864800272</v>
      </c>
      <c r="K127" s="1347">
        <v>170.20234384214507</v>
      </c>
      <c r="L127" s="311">
        <v>45.858632133613092</v>
      </c>
      <c r="M127" s="1587">
        <v>57.636749769095772</v>
      </c>
      <c r="N127" s="1734"/>
      <c r="O127" s="1737"/>
      <c r="P127" s="1737"/>
      <c r="Q127" s="1738"/>
    </row>
    <row r="128" spans="1:17">
      <c r="A128" s="49">
        <v>2002.11</v>
      </c>
      <c r="B128" s="1591">
        <v>97.660455804756552</v>
      </c>
      <c r="C128" s="311">
        <v>99.977695647750195</v>
      </c>
      <c r="D128" s="1350">
        <v>106.62399276168986</v>
      </c>
      <c r="E128" s="1347">
        <v>99.998977851092334</v>
      </c>
      <c r="F128" s="311">
        <v>64.565500926173584</v>
      </c>
      <c r="G128" s="1347">
        <v>130.81400665722035</v>
      </c>
      <c r="H128" s="311">
        <v>104.01714607278534</v>
      </c>
      <c r="I128" s="1347">
        <v>141.14860341629978</v>
      </c>
      <c r="J128" s="311">
        <v>83.723251845246381</v>
      </c>
      <c r="K128" s="1347">
        <v>156.55836117370612</v>
      </c>
      <c r="L128" s="311">
        <v>43.697898978567565</v>
      </c>
      <c r="M128" s="1587">
        <v>55.284432734647723</v>
      </c>
      <c r="N128" s="1734"/>
      <c r="O128" s="1737"/>
      <c r="P128" s="1737"/>
      <c r="Q128" s="1738"/>
    </row>
    <row r="129" spans="1:17">
      <c r="A129" s="49">
        <v>2002.12</v>
      </c>
      <c r="B129" s="1591">
        <v>100.04375241572305</v>
      </c>
      <c r="C129" s="311">
        <v>102.61836692870209</v>
      </c>
      <c r="D129" s="1350">
        <v>118.16604249000943</v>
      </c>
      <c r="E129" s="1347">
        <v>113.01262605839071</v>
      </c>
      <c r="F129" s="311">
        <v>56.483577254475144</v>
      </c>
      <c r="G129" s="1347">
        <v>139.42428655970332</v>
      </c>
      <c r="H129" s="311">
        <v>110.87812367939148</v>
      </c>
      <c r="I129" s="1347">
        <v>146.7711256330912</v>
      </c>
      <c r="J129" s="311">
        <v>81.949353428528212</v>
      </c>
      <c r="K129" s="1347">
        <v>157.19185404062151</v>
      </c>
      <c r="L129" s="311">
        <v>37.315700366331058</v>
      </c>
      <c r="M129" s="1587">
        <v>42.224134560624186</v>
      </c>
      <c r="N129" s="1734"/>
      <c r="O129" s="1737"/>
      <c r="P129" s="1737"/>
      <c r="Q129" s="1738"/>
    </row>
    <row r="130" spans="1:17">
      <c r="A130" s="49">
        <v>2003.01</v>
      </c>
      <c r="B130" s="1591">
        <v>94.967368599386745</v>
      </c>
      <c r="C130" s="311">
        <v>103.71598803860552</v>
      </c>
      <c r="D130" s="1350">
        <v>104.39325337360442</v>
      </c>
      <c r="E130" s="1347">
        <v>107.66859485014851</v>
      </c>
      <c r="F130" s="311">
        <v>41.565464698092086</v>
      </c>
      <c r="G130" s="1347">
        <v>142.74952619986362</v>
      </c>
      <c r="H130" s="311">
        <v>107.92563600455527</v>
      </c>
      <c r="I130" s="1347">
        <v>145.21867592820837</v>
      </c>
      <c r="J130" s="311">
        <v>86.145175579742528</v>
      </c>
      <c r="K130" s="1347">
        <v>154.81653869100344</v>
      </c>
      <c r="L130" s="311">
        <v>39.258573250494251</v>
      </c>
      <c r="M130" s="1587">
        <v>30.338829894094548</v>
      </c>
      <c r="N130" s="1734"/>
      <c r="O130" s="1737"/>
      <c r="P130" s="1737"/>
      <c r="Q130" s="1738"/>
    </row>
    <row r="131" spans="1:17">
      <c r="A131" s="49">
        <v>2003.02</v>
      </c>
      <c r="B131" s="1591">
        <v>92.581762656792705</v>
      </c>
      <c r="C131" s="311">
        <v>104.5708047922234</v>
      </c>
      <c r="D131" s="1350">
        <v>96.387030783137831</v>
      </c>
      <c r="E131" s="1347">
        <v>93.953289337398132</v>
      </c>
      <c r="F131" s="311">
        <v>56.544309344871166</v>
      </c>
      <c r="G131" s="1347">
        <v>139.77211950396855</v>
      </c>
      <c r="H131" s="311">
        <v>95.860755035920548</v>
      </c>
      <c r="I131" s="1347">
        <v>142.38455117758494</v>
      </c>
      <c r="J131" s="311">
        <v>83.44648668012313</v>
      </c>
      <c r="K131" s="1347">
        <v>158.73922262487031</v>
      </c>
      <c r="L131" s="311">
        <v>48.067864128480323</v>
      </c>
      <c r="M131" s="1587">
        <v>37.410433772785744</v>
      </c>
      <c r="N131" s="1734"/>
      <c r="O131" s="1737"/>
      <c r="P131" s="1737"/>
      <c r="Q131" s="1738"/>
    </row>
    <row r="132" spans="1:17">
      <c r="A132" s="49">
        <v>2003.03</v>
      </c>
      <c r="B132" s="1591">
        <v>106.18105075853794</v>
      </c>
      <c r="C132" s="311">
        <v>105.48063735536151</v>
      </c>
      <c r="D132" s="1350">
        <v>101.55659934293911</v>
      </c>
      <c r="E132" s="1347">
        <v>99.92896723215803</v>
      </c>
      <c r="F132" s="311">
        <v>82.13947279843876</v>
      </c>
      <c r="G132" s="1347">
        <v>153.12426357918946</v>
      </c>
      <c r="H132" s="311">
        <v>106.34393576560079</v>
      </c>
      <c r="I132" s="1347">
        <v>165.06495136376199</v>
      </c>
      <c r="J132" s="311">
        <v>89.618637830485824</v>
      </c>
      <c r="K132" s="1347">
        <v>183.44780508701234</v>
      </c>
      <c r="L132" s="311">
        <v>66.461589141605003</v>
      </c>
      <c r="M132" s="1587">
        <v>51.686314416130898</v>
      </c>
      <c r="N132" s="1734"/>
      <c r="O132" s="1737"/>
      <c r="P132" s="1737"/>
      <c r="Q132" s="1738"/>
    </row>
    <row r="133" spans="1:17">
      <c r="A133" s="49">
        <v>2003.04</v>
      </c>
      <c r="B133" s="1591">
        <v>107.19642500838349</v>
      </c>
      <c r="C133" s="311">
        <v>107.68968613964645</v>
      </c>
      <c r="D133" s="1350">
        <v>96.067827797405826</v>
      </c>
      <c r="E133" s="1347">
        <v>103.1402020677332</v>
      </c>
      <c r="F133" s="311">
        <v>82.476246520462567</v>
      </c>
      <c r="G133" s="1347">
        <v>146.85404215976428</v>
      </c>
      <c r="H133" s="311">
        <v>105.201281870686</v>
      </c>
      <c r="I133" s="1347">
        <v>167.46820868730165</v>
      </c>
      <c r="J133" s="311">
        <v>82.45401053722324</v>
      </c>
      <c r="K133" s="1347">
        <v>176.19512336039537</v>
      </c>
      <c r="L133" s="311">
        <v>77.831454578292806</v>
      </c>
      <c r="M133" s="1587">
        <v>56.980006226063281</v>
      </c>
      <c r="N133" s="1734"/>
      <c r="O133" s="1737"/>
      <c r="P133" s="1737"/>
      <c r="Q133" s="1738"/>
    </row>
    <row r="134" spans="1:17">
      <c r="A134" s="49">
        <v>2003.05</v>
      </c>
      <c r="B134" s="1591">
        <v>108.46099571260396</v>
      </c>
      <c r="C134" s="311">
        <v>107.03031782791473</v>
      </c>
      <c r="D134" s="1350">
        <v>100.51668813055187</v>
      </c>
      <c r="E134" s="1347">
        <v>98.119645820261894</v>
      </c>
      <c r="F134" s="311">
        <v>84.116407450350891</v>
      </c>
      <c r="G134" s="1347">
        <v>151.50693966358028</v>
      </c>
      <c r="H134" s="311">
        <v>108.72525707846175</v>
      </c>
      <c r="I134" s="1347">
        <v>173.86604135323194</v>
      </c>
      <c r="J134" s="311">
        <v>74.113241769697069</v>
      </c>
      <c r="K134" s="1347">
        <v>181.35492024184285</v>
      </c>
      <c r="L134" s="311">
        <v>80.95299396349607</v>
      </c>
      <c r="M134" s="1587">
        <v>52.240860948224203</v>
      </c>
      <c r="N134" s="1734"/>
      <c r="O134" s="1737"/>
      <c r="P134" s="1737"/>
      <c r="Q134" s="1738"/>
    </row>
    <row r="135" spans="1:17">
      <c r="A135" s="49">
        <v>2003.06</v>
      </c>
      <c r="B135" s="1591">
        <v>106.44860503289502</v>
      </c>
      <c r="C135" s="311">
        <v>106.30506354092861</v>
      </c>
      <c r="D135" s="1350">
        <v>113.64567576078613</v>
      </c>
      <c r="E135" s="1347">
        <v>93.657315529501147</v>
      </c>
      <c r="F135" s="311">
        <v>77.524714577929885</v>
      </c>
      <c r="G135" s="1347">
        <v>150.731694443305</v>
      </c>
      <c r="H135" s="311">
        <v>107.79719678828003</v>
      </c>
      <c r="I135" s="1347">
        <v>147.61903159743204</v>
      </c>
      <c r="J135" s="311">
        <v>83.39712834465044</v>
      </c>
      <c r="K135" s="1347">
        <v>173.80825810462741</v>
      </c>
      <c r="L135" s="311">
        <v>78.13735567455808</v>
      </c>
      <c r="M135" s="1587">
        <v>49.819287817637075</v>
      </c>
      <c r="N135" s="1734"/>
      <c r="O135" s="1737"/>
      <c r="P135" s="1737"/>
      <c r="Q135" s="1738"/>
    </row>
    <row r="136" spans="1:17">
      <c r="A136" s="49">
        <v>2003.07</v>
      </c>
      <c r="B136" s="1591">
        <v>112.51190880703356</v>
      </c>
      <c r="C136" s="311">
        <v>107.3852498500366</v>
      </c>
      <c r="D136" s="1350">
        <v>122.52209656315105</v>
      </c>
      <c r="E136" s="1347">
        <v>97.7151969222829</v>
      </c>
      <c r="F136" s="311">
        <v>74.148724293182894</v>
      </c>
      <c r="G136" s="1347">
        <v>151.53361449235945</v>
      </c>
      <c r="H136" s="311">
        <v>109.43368093767607</v>
      </c>
      <c r="I136" s="1347">
        <v>156.1635751480905</v>
      </c>
      <c r="J136" s="311">
        <v>102.52419481147976</v>
      </c>
      <c r="K136" s="1347">
        <v>174.92423670662487</v>
      </c>
      <c r="L136" s="311">
        <v>87.814783653629931</v>
      </c>
      <c r="M136" s="1587">
        <v>45.391297990344235</v>
      </c>
      <c r="N136" s="1734"/>
      <c r="O136" s="1737"/>
      <c r="P136" s="1737"/>
      <c r="Q136" s="1738"/>
    </row>
    <row r="137" spans="1:17">
      <c r="A137" s="49">
        <v>2003.08</v>
      </c>
      <c r="B137" s="1591">
        <v>109.68690562510082</v>
      </c>
      <c r="C137" s="311">
        <v>106.83641666943971</v>
      </c>
      <c r="D137" s="1350">
        <v>125.19260702893152</v>
      </c>
      <c r="E137" s="1347">
        <v>93.915402370100054</v>
      </c>
      <c r="F137" s="311">
        <v>69.075313127104096</v>
      </c>
      <c r="G137" s="1347">
        <v>155.5200845601037</v>
      </c>
      <c r="H137" s="311">
        <v>109.89003931118881</v>
      </c>
      <c r="I137" s="1347">
        <v>160.33071309624415</v>
      </c>
      <c r="J137" s="311">
        <v>89.828471191196115</v>
      </c>
      <c r="K137" s="1347">
        <v>177.50662299986064</v>
      </c>
      <c r="L137" s="311">
        <v>62.482314005864829</v>
      </c>
      <c r="M137" s="1587">
        <v>56.694688844341663</v>
      </c>
      <c r="N137" s="1734"/>
      <c r="O137" s="1737"/>
      <c r="P137" s="1737"/>
      <c r="Q137" s="1738"/>
    </row>
    <row r="138" spans="1:17">
      <c r="A138" s="49">
        <v>2003.09</v>
      </c>
      <c r="B138" s="1591">
        <v>114.88817371883549</v>
      </c>
      <c r="C138" s="311">
        <v>109.77507172733175</v>
      </c>
      <c r="D138" s="1350">
        <v>131.69582169084231</v>
      </c>
      <c r="E138" s="1347">
        <v>100.95029698104618</v>
      </c>
      <c r="F138" s="311">
        <v>72.002173592240581</v>
      </c>
      <c r="G138" s="1347">
        <v>151.22671225325749</v>
      </c>
      <c r="H138" s="311">
        <v>102.92634034587358</v>
      </c>
      <c r="I138" s="1347">
        <v>177.92151046440154</v>
      </c>
      <c r="J138" s="311">
        <v>100.19352973727896</v>
      </c>
      <c r="K138" s="1347">
        <v>170.91383621146372</v>
      </c>
      <c r="L138" s="311">
        <v>66.408495223840106</v>
      </c>
      <c r="M138" s="1587">
        <v>59.557171369362308</v>
      </c>
      <c r="N138" s="1734"/>
      <c r="O138" s="1737"/>
      <c r="P138" s="1737"/>
      <c r="Q138" s="1738"/>
    </row>
    <row r="139" spans="1:17">
      <c r="A139" s="49">
        <v>2003.1</v>
      </c>
      <c r="B139" s="1591">
        <v>119.11606837961838</v>
      </c>
      <c r="C139" s="311">
        <v>112.42732558084575</v>
      </c>
      <c r="D139" s="1350">
        <v>130.23899534231231</v>
      </c>
      <c r="E139" s="1347">
        <v>108.09887223760785</v>
      </c>
      <c r="F139" s="311">
        <v>72.354952182257009</v>
      </c>
      <c r="G139" s="1347">
        <v>141.97004935727801</v>
      </c>
      <c r="H139" s="311">
        <v>108.11757092592093</v>
      </c>
      <c r="I139" s="1347">
        <v>154.99794559961413</v>
      </c>
      <c r="J139" s="311">
        <v>112.00796625753813</v>
      </c>
      <c r="K139" s="1347">
        <v>184.11668306264815</v>
      </c>
      <c r="L139" s="311">
        <v>101.97254271498173</v>
      </c>
      <c r="M139" s="1587">
        <v>60.896563233526429</v>
      </c>
      <c r="N139" s="1734"/>
      <c r="O139" s="1737"/>
      <c r="P139" s="1737"/>
      <c r="Q139" s="1738"/>
    </row>
    <row r="140" spans="1:17">
      <c r="A140" s="49">
        <v>2003.11</v>
      </c>
      <c r="B140" s="1591">
        <v>116.03320582857904</v>
      </c>
      <c r="C140" s="311">
        <v>115.41724687009516</v>
      </c>
      <c r="D140" s="1350">
        <v>115.1024524854206</v>
      </c>
      <c r="E140" s="1347">
        <v>106.09820269922379</v>
      </c>
      <c r="F140" s="311">
        <v>70.060878632094571</v>
      </c>
      <c r="G140" s="1347">
        <v>151.01833607559206</v>
      </c>
      <c r="H140" s="311">
        <v>109.54920079894495</v>
      </c>
      <c r="I140" s="1347">
        <v>169.68343058318365</v>
      </c>
      <c r="J140" s="311">
        <v>106.25425891007347</v>
      </c>
      <c r="K140" s="1347">
        <v>172.24661016630427</v>
      </c>
      <c r="L140" s="311">
        <v>90.861241768302762</v>
      </c>
      <c r="M140" s="1587">
        <v>70.793296647794477</v>
      </c>
      <c r="N140" s="1734"/>
      <c r="O140" s="1737"/>
      <c r="P140" s="1737"/>
      <c r="Q140" s="1738"/>
    </row>
    <row r="141" spans="1:17">
      <c r="A141" s="49">
        <v>2003.12</v>
      </c>
      <c r="B141" s="1591">
        <v>114.20774216894509</v>
      </c>
      <c r="C141" s="311">
        <v>115.13228191414728</v>
      </c>
      <c r="D141" s="1350">
        <v>129.09404961741251</v>
      </c>
      <c r="E141" s="1347">
        <v>124.34799563437528</v>
      </c>
      <c r="F141" s="311">
        <v>60.466123254680646</v>
      </c>
      <c r="G141" s="1347">
        <v>147.21948105407989</v>
      </c>
      <c r="H141" s="311">
        <v>107.94149429357829</v>
      </c>
      <c r="I141" s="1347">
        <v>163.89607683252706</v>
      </c>
      <c r="J141" s="311">
        <v>97.816334891266393</v>
      </c>
      <c r="K141" s="1347">
        <v>170.77282950000944</v>
      </c>
      <c r="L141" s="311">
        <v>77.929281220477975</v>
      </c>
      <c r="M141" s="1587">
        <v>49.621170008852857</v>
      </c>
      <c r="N141" s="1734"/>
      <c r="O141" s="1737"/>
      <c r="P141" s="1737"/>
      <c r="Q141" s="1738"/>
    </row>
    <row r="142" spans="1:17">
      <c r="A142" s="49">
        <v>2004.01</v>
      </c>
      <c r="B142" s="1591">
        <v>111.33825965421393</v>
      </c>
      <c r="C142" s="311">
        <v>115.862563359348</v>
      </c>
      <c r="D142" s="1350">
        <v>116.71186409278145</v>
      </c>
      <c r="E142" s="1347">
        <v>100.83144471441811</v>
      </c>
      <c r="F142" s="311">
        <v>55.099855910445974</v>
      </c>
      <c r="G142" s="1347">
        <v>157.04835358898686</v>
      </c>
      <c r="H142" s="311">
        <v>113.83443929266805</v>
      </c>
      <c r="I142" s="1347">
        <v>173.61196959534294</v>
      </c>
      <c r="J142" s="311">
        <v>102.14037605606761</v>
      </c>
      <c r="K142" s="1347">
        <v>162.91891159991343</v>
      </c>
      <c r="L142" s="311">
        <v>76.48640005855475</v>
      </c>
      <c r="M142" s="1587">
        <v>41.677380412871841</v>
      </c>
      <c r="N142" s="1734"/>
      <c r="O142" s="1737"/>
      <c r="P142" s="1737"/>
      <c r="Q142" s="1738"/>
    </row>
    <row r="143" spans="1:17">
      <c r="A143" s="49">
        <v>2004.02</v>
      </c>
      <c r="B143" s="1591">
        <v>105.59772566924002</v>
      </c>
      <c r="C143" s="311">
        <v>116.48013844874743</v>
      </c>
      <c r="D143" s="1350">
        <v>106.16843577235726</v>
      </c>
      <c r="E143" s="1347">
        <v>97.161214631681133</v>
      </c>
      <c r="F143" s="311">
        <v>72.967178949140973</v>
      </c>
      <c r="G143" s="1347">
        <v>153.44593504540728</v>
      </c>
      <c r="H143" s="311">
        <v>98.830312456280637</v>
      </c>
      <c r="I143" s="1347">
        <v>146.54136692875286</v>
      </c>
      <c r="J143" s="311">
        <v>100.86653712845596</v>
      </c>
      <c r="K143" s="1347">
        <v>168.21865148836537</v>
      </c>
      <c r="L143" s="311">
        <v>84.482764659058489</v>
      </c>
      <c r="M143" s="1587">
        <v>55.011666956176938</v>
      </c>
      <c r="N143" s="1734"/>
      <c r="O143" s="1737"/>
      <c r="P143" s="1737"/>
      <c r="Q143" s="1738"/>
    </row>
    <row r="144" spans="1:17">
      <c r="A144" s="49">
        <v>2004.03</v>
      </c>
      <c r="B144" s="1591">
        <v>120.18878574457055</v>
      </c>
      <c r="C144" s="311">
        <v>116.67481124361198</v>
      </c>
      <c r="D144" s="1350">
        <v>117.76437646823604</v>
      </c>
      <c r="E144" s="1347">
        <v>107.91949559316541</v>
      </c>
      <c r="F144" s="311">
        <v>87.986720312536292</v>
      </c>
      <c r="G144" s="1347">
        <v>164.4913371136771</v>
      </c>
      <c r="H144" s="311">
        <v>113.07729767573551</v>
      </c>
      <c r="I144" s="1347">
        <v>157.76013870663414</v>
      </c>
      <c r="J144" s="311">
        <v>119.43105618754436</v>
      </c>
      <c r="K144" s="1347">
        <v>174.40496076095312</v>
      </c>
      <c r="L144" s="311">
        <v>98.601792508006753</v>
      </c>
      <c r="M144" s="1587">
        <v>83.382422023923397</v>
      </c>
      <c r="N144" s="1734"/>
      <c r="O144" s="1737"/>
      <c r="P144" s="1737"/>
      <c r="Q144" s="1738"/>
    </row>
    <row r="145" spans="1:17">
      <c r="A145" s="49">
        <v>2004.04</v>
      </c>
      <c r="B145" s="1591">
        <v>114.25364967687896</v>
      </c>
      <c r="C145" s="311">
        <v>115.55440345670921</v>
      </c>
      <c r="D145" s="1350">
        <v>104.41236503979229</v>
      </c>
      <c r="E145" s="1347">
        <v>90.150829382832342</v>
      </c>
      <c r="F145" s="311">
        <v>88.996083283232636</v>
      </c>
      <c r="G145" s="1347">
        <v>156.78711983253871</v>
      </c>
      <c r="H145" s="311">
        <v>102.6680504291221</v>
      </c>
      <c r="I145" s="1347">
        <v>164.38760498681796</v>
      </c>
      <c r="J145" s="311">
        <v>89.292431149435856</v>
      </c>
      <c r="K145" s="1347">
        <v>168.54379746826623</v>
      </c>
      <c r="L145" s="311">
        <v>107.65214271436277</v>
      </c>
      <c r="M145" s="1587">
        <v>76.446217208162523</v>
      </c>
      <c r="N145" s="1734"/>
      <c r="O145" s="1737"/>
      <c r="P145" s="1737"/>
      <c r="Q145" s="1738"/>
    </row>
    <row r="146" spans="1:17">
      <c r="A146" s="49">
        <v>2004.05</v>
      </c>
      <c r="B146" s="1591">
        <v>118.00932710289152</v>
      </c>
      <c r="C146" s="311">
        <v>119.10692995775933</v>
      </c>
      <c r="D146" s="1350">
        <v>108.64448080922676</v>
      </c>
      <c r="E146" s="1347">
        <v>87.690079926594493</v>
      </c>
      <c r="F146" s="311">
        <v>91.082390746632257</v>
      </c>
      <c r="G146" s="1347">
        <v>156.58222167497516</v>
      </c>
      <c r="H146" s="311">
        <v>108.46781149226219</v>
      </c>
      <c r="I146" s="1347">
        <v>173.5929830611089</v>
      </c>
      <c r="J146" s="311">
        <v>107.13680602913441</v>
      </c>
      <c r="K146" s="1347">
        <v>176.02712670335004</v>
      </c>
      <c r="L146" s="311">
        <v>104.01236961218294</v>
      </c>
      <c r="M146" s="1587">
        <v>80.842780133267809</v>
      </c>
      <c r="N146" s="1734"/>
      <c r="O146" s="1737"/>
      <c r="P146" s="1737"/>
      <c r="Q146" s="1738"/>
    </row>
    <row r="147" spans="1:17">
      <c r="A147" s="49">
        <v>2004.06</v>
      </c>
      <c r="B147" s="1591">
        <v>122.26031768833275</v>
      </c>
      <c r="C147" s="311">
        <v>120.42339995309324</v>
      </c>
      <c r="D147" s="1350">
        <v>124.74520597645483</v>
      </c>
      <c r="E147" s="1347">
        <v>97.786186706398155</v>
      </c>
      <c r="F147" s="311">
        <v>84.304281734836565</v>
      </c>
      <c r="G147" s="1347">
        <v>159.80410362784238</v>
      </c>
      <c r="H147" s="311">
        <v>108.30888315069957</v>
      </c>
      <c r="I147" s="1347">
        <v>162.43833961203566</v>
      </c>
      <c r="J147" s="311">
        <v>106.68304527191708</v>
      </c>
      <c r="K147" s="1347">
        <v>168.79819179327802</v>
      </c>
      <c r="L147" s="311">
        <v>106.59075042055221</v>
      </c>
      <c r="M147" s="1587">
        <v>85.525225376903478</v>
      </c>
      <c r="N147" s="1734"/>
      <c r="O147" s="1737"/>
      <c r="P147" s="1737"/>
      <c r="Q147" s="1738"/>
    </row>
    <row r="148" spans="1:17">
      <c r="A148" s="49">
        <v>2004.07</v>
      </c>
      <c r="B148" s="1591">
        <v>120.05159675128318</v>
      </c>
      <c r="C148" s="311">
        <v>120.734799979756</v>
      </c>
      <c r="D148" s="1350">
        <v>131.14111057420973</v>
      </c>
      <c r="E148" s="1347">
        <v>82.411081451539886</v>
      </c>
      <c r="F148" s="311">
        <v>83.025310534460559</v>
      </c>
      <c r="G148" s="1347">
        <v>164.717575134264</v>
      </c>
      <c r="H148" s="311">
        <v>115.13525046157673</v>
      </c>
      <c r="I148" s="1347">
        <v>159.38559603174508</v>
      </c>
      <c r="J148" s="311">
        <v>108.18919601875245</v>
      </c>
      <c r="K148" s="1347">
        <v>177.06678136542723</v>
      </c>
      <c r="L148" s="311">
        <v>94.025359132576526</v>
      </c>
      <c r="M148" s="1587">
        <v>80.414247607881151</v>
      </c>
      <c r="N148" s="1734"/>
      <c r="O148" s="1737"/>
      <c r="P148" s="1737"/>
      <c r="Q148" s="1738"/>
    </row>
    <row r="149" spans="1:17">
      <c r="A149" s="49">
        <v>2004.08</v>
      </c>
      <c r="B149" s="1591">
        <v>126.75354589682587</v>
      </c>
      <c r="C149" s="311">
        <v>122.54777885461766</v>
      </c>
      <c r="D149" s="1350">
        <v>137.06359283358</v>
      </c>
      <c r="E149" s="1347">
        <v>91.38574115641957</v>
      </c>
      <c r="F149" s="311">
        <v>79.593854256571888</v>
      </c>
      <c r="G149" s="1347">
        <v>164.26454882900794</v>
      </c>
      <c r="H149" s="311">
        <v>111.95798377845637</v>
      </c>
      <c r="I149" s="1347">
        <v>182.90280569993996</v>
      </c>
      <c r="J149" s="311">
        <v>114.41135827557872</v>
      </c>
      <c r="K149" s="1347">
        <v>168.33062769845483</v>
      </c>
      <c r="L149" s="311">
        <v>103.54147659761971</v>
      </c>
      <c r="M149" s="1587">
        <v>88.340334928969767</v>
      </c>
      <c r="N149" s="1734"/>
      <c r="O149" s="1737"/>
      <c r="P149" s="1737"/>
      <c r="Q149" s="1738"/>
    </row>
    <row r="150" spans="1:17">
      <c r="A150" s="49">
        <v>2004.09</v>
      </c>
      <c r="B150" s="1591">
        <v>127.98013237368458</v>
      </c>
      <c r="C150" s="311">
        <v>121.58339679555996</v>
      </c>
      <c r="D150" s="1350">
        <v>140.17526582731412</v>
      </c>
      <c r="E150" s="1347">
        <v>96.122375903898671</v>
      </c>
      <c r="F150" s="311">
        <v>81.003598990805088</v>
      </c>
      <c r="G150" s="1347">
        <v>159.3496042162389</v>
      </c>
      <c r="H150" s="311">
        <v>112.99155420372394</v>
      </c>
      <c r="I150" s="1347">
        <v>173.43089817632216</v>
      </c>
      <c r="J150" s="311">
        <v>127.1218093589803</v>
      </c>
      <c r="K150" s="1347">
        <v>169.90351540335456</v>
      </c>
      <c r="L150" s="311">
        <v>101.84178385488357</v>
      </c>
      <c r="M150" s="1587">
        <v>94.137868737509223</v>
      </c>
      <c r="N150" s="1734"/>
      <c r="O150" s="1737"/>
      <c r="P150" s="1737"/>
      <c r="Q150" s="1738"/>
    </row>
    <row r="151" spans="1:17">
      <c r="A151" s="49">
        <v>2004.1</v>
      </c>
      <c r="B151" s="1591">
        <v>128.19514365914472</v>
      </c>
      <c r="C151" s="311">
        <v>123.60761915739533</v>
      </c>
      <c r="D151" s="1350">
        <v>134.83822777270979</v>
      </c>
      <c r="E151" s="1347">
        <v>96.222953505438596</v>
      </c>
      <c r="F151" s="311">
        <v>77.18536257484898</v>
      </c>
      <c r="G151" s="1347">
        <v>160.27451971890926</v>
      </c>
      <c r="H151" s="311">
        <v>117.46606663694379</v>
      </c>
      <c r="I151" s="1347">
        <v>180.78679577687055</v>
      </c>
      <c r="J151" s="311">
        <v>115.96529404636172</v>
      </c>
      <c r="K151" s="1347">
        <v>192.80609555738025</v>
      </c>
      <c r="L151" s="311">
        <v>103.70138629132039</v>
      </c>
      <c r="M151" s="1587">
        <v>93.906686356085032</v>
      </c>
      <c r="N151" s="1734"/>
      <c r="O151" s="1737"/>
      <c r="P151" s="1737"/>
      <c r="Q151" s="1738"/>
    </row>
    <row r="152" spans="1:17">
      <c r="A152" s="49">
        <v>2004.11</v>
      </c>
      <c r="B152" s="1591">
        <v>124.55956177908948</v>
      </c>
      <c r="C152" s="311">
        <v>121.07794835106202</v>
      </c>
      <c r="D152" s="1350">
        <v>124.98913925364715</v>
      </c>
      <c r="E152" s="1347">
        <v>102.57966054270244</v>
      </c>
      <c r="F152" s="311">
        <v>75.247319272411374</v>
      </c>
      <c r="G152" s="1347">
        <v>164.03208146790777</v>
      </c>
      <c r="H152" s="311">
        <v>100.46683824031113</v>
      </c>
      <c r="I152" s="1347">
        <v>180.2433698035654</v>
      </c>
      <c r="J152" s="311">
        <v>124.18396939457074</v>
      </c>
      <c r="K152" s="1347">
        <v>188.59568745981477</v>
      </c>
      <c r="L152" s="311">
        <v>95.269479373618566</v>
      </c>
      <c r="M152" s="1587">
        <v>106.81412718207449</v>
      </c>
      <c r="N152" s="1734"/>
      <c r="O152" s="1737"/>
      <c r="P152" s="1737"/>
      <c r="Q152" s="1738"/>
    </row>
    <row r="153" spans="1:17">
      <c r="A153" s="49">
        <v>2004.12</v>
      </c>
      <c r="B153" s="1591">
        <v>124.43344309464378</v>
      </c>
      <c r="C153" s="311">
        <v>124.32333487340695</v>
      </c>
      <c r="D153" s="1350">
        <v>135.31564118685139</v>
      </c>
      <c r="E153" s="1347">
        <v>115.99654032416002</v>
      </c>
      <c r="F153" s="311">
        <v>66.920321319202102</v>
      </c>
      <c r="G153" s="1347">
        <v>152.67821020582264</v>
      </c>
      <c r="H153" s="311">
        <v>114.71383297892417</v>
      </c>
      <c r="I153" s="1347">
        <v>177.13839553468844</v>
      </c>
      <c r="J153" s="311">
        <v>115.77950510301484</v>
      </c>
      <c r="K153" s="1347">
        <v>185.30809431284121</v>
      </c>
      <c r="L153" s="311">
        <v>85.005288469401066</v>
      </c>
      <c r="M153" s="1587">
        <v>83.773005062619816</v>
      </c>
      <c r="N153" s="1734"/>
      <c r="O153" s="1737"/>
      <c r="P153" s="1737"/>
      <c r="Q153" s="1738"/>
    </row>
    <row r="154" spans="1:17">
      <c r="A154" s="49">
        <v>2005.01</v>
      </c>
      <c r="B154" s="1591">
        <v>112.93065706355846</v>
      </c>
      <c r="C154" s="311">
        <v>127.82636246095088</v>
      </c>
      <c r="D154" s="1350">
        <v>121.03167875387024</v>
      </c>
      <c r="E154" s="1347">
        <v>90.993877646821943</v>
      </c>
      <c r="F154" s="311">
        <v>56.716445729411632</v>
      </c>
      <c r="G154" s="1347">
        <v>161.41630154638381</v>
      </c>
      <c r="H154" s="311">
        <v>107.50598506666871</v>
      </c>
      <c r="I154" s="1347">
        <v>175.02742165835224</v>
      </c>
      <c r="J154" s="311">
        <v>120.81871633837747</v>
      </c>
      <c r="K154" s="1347">
        <v>173.3940760905864</v>
      </c>
      <c r="L154" s="311">
        <v>62.079498856979583</v>
      </c>
      <c r="M154" s="1587">
        <v>73.323431231725337</v>
      </c>
      <c r="N154" s="1734"/>
      <c r="O154" s="1737"/>
      <c r="P154" s="1737"/>
      <c r="Q154" s="1738"/>
    </row>
    <row r="155" spans="1:17">
      <c r="A155" s="49">
        <v>2005.02</v>
      </c>
      <c r="B155" s="1591">
        <v>112.57051787873409</v>
      </c>
      <c r="C155" s="311">
        <v>127.44745931128446</v>
      </c>
      <c r="D155" s="1350">
        <v>114.08962943386956</v>
      </c>
      <c r="E155" s="1347">
        <v>91.125603436764891</v>
      </c>
      <c r="F155" s="311">
        <v>76.286043352377561</v>
      </c>
      <c r="G155" s="1347">
        <v>155.64568211573933</v>
      </c>
      <c r="H155" s="311">
        <v>105.34033650206014</v>
      </c>
      <c r="I155" s="1347">
        <v>162.23203684596393</v>
      </c>
      <c r="J155" s="311">
        <v>108.54579690096624</v>
      </c>
      <c r="K155" s="1347">
        <v>170.37128657486173</v>
      </c>
      <c r="L155" s="311">
        <v>91.56280832910636</v>
      </c>
      <c r="M155" s="1587">
        <v>51.776271956461812</v>
      </c>
      <c r="N155" s="1734"/>
      <c r="O155" s="1737"/>
      <c r="P155" s="1737"/>
      <c r="Q155" s="1738"/>
    </row>
    <row r="156" spans="1:17">
      <c r="A156" s="49">
        <v>2005.03</v>
      </c>
      <c r="B156" s="1591">
        <v>132.44175503909665</v>
      </c>
      <c r="C156" s="311">
        <v>128.68382432599699</v>
      </c>
      <c r="D156" s="1350">
        <v>123.57863496341781</v>
      </c>
      <c r="E156" s="1347">
        <v>103.64147232426429</v>
      </c>
      <c r="F156" s="311">
        <v>94.3034821678132</v>
      </c>
      <c r="G156" s="1347">
        <v>161.86853014052934</v>
      </c>
      <c r="H156" s="311">
        <v>114.84747222801516</v>
      </c>
      <c r="I156" s="1347">
        <v>179.76214874596153</v>
      </c>
      <c r="J156" s="311">
        <v>114.94089184175122</v>
      </c>
      <c r="K156" s="1347">
        <v>188.56354585451686</v>
      </c>
      <c r="L156" s="311">
        <v>129.66012400098327</v>
      </c>
      <c r="M156" s="1587">
        <v>103.07072577811894</v>
      </c>
      <c r="N156" s="1734"/>
      <c r="O156" s="1737"/>
      <c r="P156" s="1737"/>
      <c r="Q156" s="1738"/>
    </row>
    <row r="157" spans="1:17">
      <c r="A157" s="49">
        <v>2005.04</v>
      </c>
      <c r="B157" s="1591">
        <v>129.39076976960382</v>
      </c>
      <c r="C157" s="311">
        <v>127.9077920273579</v>
      </c>
      <c r="D157" s="1350">
        <v>114.86819510219357</v>
      </c>
      <c r="E157" s="1347">
        <v>91.931254624542532</v>
      </c>
      <c r="F157" s="311">
        <v>91.804530492943513</v>
      </c>
      <c r="G157" s="1347">
        <v>159.84076861262571</v>
      </c>
      <c r="H157" s="311">
        <v>101.9868498328639</v>
      </c>
      <c r="I157" s="1347">
        <v>176.64299338166308</v>
      </c>
      <c r="J157" s="311">
        <v>129.81251909017297</v>
      </c>
      <c r="K157" s="1347">
        <v>185.38109343435997</v>
      </c>
      <c r="L157" s="311">
        <v>142.20556122180278</v>
      </c>
      <c r="M157" s="1587">
        <v>101.36794140347578</v>
      </c>
      <c r="N157" s="1734"/>
      <c r="O157" s="1737"/>
      <c r="P157" s="1737"/>
      <c r="Q157" s="1738"/>
    </row>
    <row r="158" spans="1:17">
      <c r="A158" s="49">
        <v>2005.05</v>
      </c>
      <c r="B158" s="1591">
        <v>128.30712862885323</v>
      </c>
      <c r="C158" s="311">
        <v>128.22179903633983</v>
      </c>
      <c r="D158" s="1350">
        <v>118.86563527999347</v>
      </c>
      <c r="E158" s="1347">
        <v>90.237799858410781</v>
      </c>
      <c r="F158" s="311">
        <v>94.907080496333705</v>
      </c>
      <c r="G158" s="1347">
        <v>170.43775702197541</v>
      </c>
      <c r="H158" s="311">
        <v>103.66445903592687</v>
      </c>
      <c r="I158" s="1347">
        <v>171.2106217814916</v>
      </c>
      <c r="J158" s="311">
        <v>124.7255320380041</v>
      </c>
      <c r="K158" s="1347">
        <v>193.17295300547414</v>
      </c>
      <c r="L158" s="311">
        <v>129.84377881150129</v>
      </c>
      <c r="M158" s="1587">
        <v>98.634176317418579</v>
      </c>
      <c r="N158" s="1734"/>
      <c r="O158" s="1737"/>
      <c r="P158" s="1737"/>
      <c r="Q158" s="1738"/>
    </row>
    <row r="159" spans="1:17">
      <c r="A159" s="49">
        <v>2005.06</v>
      </c>
      <c r="B159" s="1591">
        <v>126.56000451354804</v>
      </c>
      <c r="C159" s="311">
        <v>128.24172210265505</v>
      </c>
      <c r="D159" s="1350">
        <v>128.9504358987711</v>
      </c>
      <c r="E159" s="1347">
        <v>91.003765549273155</v>
      </c>
      <c r="F159" s="311">
        <v>90.668309507796579</v>
      </c>
      <c r="G159" s="1347">
        <v>157.95630443877411</v>
      </c>
      <c r="H159" s="311">
        <v>103.72548866030161</v>
      </c>
      <c r="I159" s="1347">
        <v>167.21243749191567</v>
      </c>
      <c r="J159" s="311">
        <v>108.44578028519275</v>
      </c>
      <c r="K159" s="1347">
        <v>178.48813562267281</v>
      </c>
      <c r="L159" s="311">
        <v>123.31359463961977</v>
      </c>
      <c r="M159" s="1587">
        <v>98.44988808049979</v>
      </c>
      <c r="N159" s="1734"/>
      <c r="O159" s="1737"/>
      <c r="P159" s="1737"/>
      <c r="Q159" s="1738"/>
    </row>
    <row r="160" spans="1:17">
      <c r="A160" s="49">
        <v>2005.07</v>
      </c>
      <c r="B160" s="1591">
        <v>131.07875348957694</v>
      </c>
      <c r="C160" s="311">
        <v>128.59400976806839</v>
      </c>
      <c r="D160" s="1350">
        <v>141.09891888817401</v>
      </c>
      <c r="E160" s="1347">
        <v>88.965792717353551</v>
      </c>
      <c r="F160" s="311">
        <v>87.310517867686428</v>
      </c>
      <c r="G160" s="1347">
        <v>162.03431762523314</v>
      </c>
      <c r="H160" s="311">
        <v>104.35403333105894</v>
      </c>
      <c r="I160" s="1347">
        <v>171.36314194463327</v>
      </c>
      <c r="J160" s="311">
        <v>137.54818883902743</v>
      </c>
      <c r="K160" s="1347">
        <v>181.55554606774743</v>
      </c>
      <c r="L160" s="311">
        <v>120.74399774765325</v>
      </c>
      <c r="M160" s="1587">
        <v>104.77393332561547</v>
      </c>
      <c r="N160" s="1734"/>
      <c r="O160" s="1737"/>
      <c r="P160" s="1737"/>
      <c r="Q160" s="1738"/>
    </row>
    <row r="161" spans="1:17">
      <c r="A161" s="49">
        <v>2005.08</v>
      </c>
      <c r="B161" s="1591">
        <v>138.1130452954485</v>
      </c>
      <c r="C161" s="311">
        <v>130.7486867039124</v>
      </c>
      <c r="D161" s="1350">
        <v>151.07083815361364</v>
      </c>
      <c r="E161" s="1347">
        <v>95.366112401108509</v>
      </c>
      <c r="F161" s="311">
        <v>82.48381169881759</v>
      </c>
      <c r="G161" s="1347">
        <v>160.15073500002555</v>
      </c>
      <c r="H161" s="311">
        <v>113.82771110959177</v>
      </c>
      <c r="I161" s="1347">
        <v>171.9489778136294</v>
      </c>
      <c r="J161" s="311">
        <v>134.19447489080673</v>
      </c>
      <c r="K161" s="1347">
        <v>185.66514771294518</v>
      </c>
      <c r="L161" s="311">
        <v>130.19732730143039</v>
      </c>
      <c r="M161" s="1587">
        <v>114.1177156468399</v>
      </c>
      <c r="N161" s="1734"/>
      <c r="O161" s="1737"/>
      <c r="P161" s="1737"/>
      <c r="Q161" s="1738"/>
    </row>
    <row r="162" spans="1:17">
      <c r="A162" s="49">
        <v>2005.09</v>
      </c>
      <c r="B162" s="1591">
        <v>137.38422105162584</v>
      </c>
      <c r="C162" s="311">
        <v>129.56195046405733</v>
      </c>
      <c r="D162" s="1350">
        <v>152.57212680479671</v>
      </c>
      <c r="E162" s="1347">
        <v>95.674857928757135</v>
      </c>
      <c r="F162" s="311">
        <v>83.76102207700491</v>
      </c>
      <c r="G162" s="1347">
        <v>156.02601818360637</v>
      </c>
      <c r="H162" s="311">
        <v>113.52010231517808</v>
      </c>
      <c r="I162" s="1347">
        <v>178.9989068388096</v>
      </c>
      <c r="J162" s="311">
        <v>140.24711053540068</v>
      </c>
      <c r="K162" s="1347">
        <v>165.13384887729885</v>
      </c>
      <c r="L162" s="311">
        <v>123.15389033524336</v>
      </c>
      <c r="M162" s="1587">
        <v>112.95861088236408</v>
      </c>
      <c r="N162" s="1734"/>
      <c r="O162" s="1737"/>
      <c r="P162" s="1737"/>
      <c r="Q162" s="1738"/>
    </row>
    <row r="163" spans="1:17">
      <c r="A163" s="49">
        <v>2005.1</v>
      </c>
      <c r="B163" s="1591">
        <v>136.89793831664974</v>
      </c>
      <c r="C163" s="311">
        <v>131.59672835947154</v>
      </c>
      <c r="D163" s="1350">
        <v>150.23896889535865</v>
      </c>
      <c r="E163" s="1347">
        <v>95.386811841975572</v>
      </c>
      <c r="F163" s="311">
        <v>79.150739323991033</v>
      </c>
      <c r="G163" s="1347">
        <v>148.61570264230394</v>
      </c>
      <c r="H163" s="311">
        <v>113.46718247721674</v>
      </c>
      <c r="I163" s="1347">
        <v>189.46833284188131</v>
      </c>
      <c r="J163" s="311">
        <v>146.77244914357561</v>
      </c>
      <c r="K163" s="1347">
        <v>183.08761745043552</v>
      </c>
      <c r="L163" s="311">
        <v>113.64917845611387</v>
      </c>
      <c r="M163" s="1587">
        <v>115.30732957678799</v>
      </c>
      <c r="N163" s="1734"/>
      <c r="O163" s="1737"/>
      <c r="P163" s="1737"/>
      <c r="Q163" s="1738"/>
    </row>
    <row r="164" spans="1:17">
      <c r="A164" s="49">
        <v>2005.11</v>
      </c>
      <c r="B164" s="1591">
        <v>137.43534564058771</v>
      </c>
      <c r="C164" s="311">
        <v>134.01123265492527</v>
      </c>
      <c r="D164" s="1350">
        <v>135.92811876459172</v>
      </c>
      <c r="E164" s="1347">
        <v>100.38434752733798</v>
      </c>
      <c r="F164" s="311">
        <v>78.921487926073851</v>
      </c>
      <c r="G164" s="1347">
        <v>147.23508052538617</v>
      </c>
      <c r="H164" s="311">
        <v>111.1275794885111</v>
      </c>
      <c r="I164" s="1347">
        <v>190.58306025838624</v>
      </c>
      <c r="J164" s="311">
        <v>142.10561207359206</v>
      </c>
      <c r="K164" s="1347">
        <v>187.70339550722471</v>
      </c>
      <c r="L164" s="311">
        <v>119.60099375859731</v>
      </c>
      <c r="M164" s="1587">
        <v>133.6565580092533</v>
      </c>
      <c r="N164" s="1734"/>
      <c r="O164" s="1737"/>
      <c r="P164" s="1737"/>
      <c r="Q164" s="1738"/>
    </row>
    <row r="165" spans="1:17">
      <c r="A165" s="49">
        <v>2005.12</v>
      </c>
      <c r="B165" s="1591">
        <v>131.57617843820086</v>
      </c>
      <c r="C165" s="311">
        <v>132.80058824346045</v>
      </c>
      <c r="D165" s="1350">
        <v>143.48133432069591</v>
      </c>
      <c r="E165" s="1347">
        <v>113.94359249658379</v>
      </c>
      <c r="F165" s="311">
        <v>66.919726171474736</v>
      </c>
      <c r="G165" s="1347">
        <v>151.61027169864656</v>
      </c>
      <c r="H165" s="311">
        <v>116.5137290119537</v>
      </c>
      <c r="I165" s="1347">
        <v>172.08604009373764</v>
      </c>
      <c r="J165" s="311">
        <v>153.51195984167765</v>
      </c>
      <c r="K165" s="1347">
        <v>187.56844424421206</v>
      </c>
      <c r="L165" s="311">
        <v>106.16680769106644</v>
      </c>
      <c r="M165" s="1587">
        <v>87.094688410011315</v>
      </c>
      <c r="N165" s="1734"/>
      <c r="O165" s="1737"/>
      <c r="P165" s="1737"/>
      <c r="Q165" s="1738"/>
    </row>
    <row r="166" spans="1:17">
      <c r="A166" s="49">
        <v>2006.01</v>
      </c>
      <c r="B166" s="1591">
        <v>118.2371278929694</v>
      </c>
      <c r="C166" s="311">
        <v>133.31369335776924</v>
      </c>
      <c r="D166" s="1350">
        <v>126.53913758773169</v>
      </c>
      <c r="E166" s="1347">
        <v>100.64639668601636</v>
      </c>
      <c r="F166" s="311">
        <v>67.45918307276996</v>
      </c>
      <c r="G166" s="1347">
        <v>156.97883980493688</v>
      </c>
      <c r="H166" s="311">
        <v>115.25076805490357</v>
      </c>
      <c r="I166" s="1347">
        <v>179.41959495828073</v>
      </c>
      <c r="J166" s="311">
        <v>139.14836167144475</v>
      </c>
      <c r="K166" s="1347">
        <v>171.9481700132888</v>
      </c>
      <c r="L166" s="311">
        <v>75.881565941008574</v>
      </c>
      <c r="M166" s="1587">
        <v>44.274455489408851</v>
      </c>
      <c r="N166" s="1734"/>
      <c r="O166" s="1737"/>
      <c r="P166" s="1737"/>
      <c r="Q166" s="1738"/>
    </row>
    <row r="167" spans="1:17">
      <c r="A167" s="49">
        <v>2006.02</v>
      </c>
      <c r="B167" s="1591">
        <v>122.50472845695786</v>
      </c>
      <c r="C167" s="311">
        <v>136.11948046638383</v>
      </c>
      <c r="D167" s="1350">
        <v>119.11618768744989</v>
      </c>
      <c r="E167" s="1347">
        <v>97.611609637218876</v>
      </c>
      <c r="F167" s="311">
        <v>88.262556920161288</v>
      </c>
      <c r="G167" s="1347">
        <v>151.38171030585687</v>
      </c>
      <c r="H167" s="311">
        <v>107.18803148647144</v>
      </c>
      <c r="I167" s="1347">
        <v>158.30530203227588</v>
      </c>
      <c r="J167" s="311">
        <v>131.87204093130677</v>
      </c>
      <c r="K167" s="1347">
        <v>175.29658546807858</v>
      </c>
      <c r="L167" s="311">
        <v>103.56861629826378</v>
      </c>
      <c r="M167" s="1587">
        <v>110.07801015964294</v>
      </c>
      <c r="N167" s="1734"/>
      <c r="O167" s="1737"/>
      <c r="P167" s="1737"/>
      <c r="Q167" s="1738"/>
    </row>
    <row r="168" spans="1:17">
      <c r="A168" s="49">
        <v>2006.03</v>
      </c>
      <c r="B168" s="1591">
        <v>138.94082685937414</v>
      </c>
      <c r="C168" s="311">
        <v>134.4619067126502</v>
      </c>
      <c r="D168" s="1350">
        <v>133.20041960584965</v>
      </c>
      <c r="E168" s="1347">
        <v>110.18840271289014</v>
      </c>
      <c r="F168" s="311">
        <v>102.50838736065712</v>
      </c>
      <c r="G168" s="1347">
        <v>161.20638969679365</v>
      </c>
      <c r="H168" s="311">
        <v>116.30394523116566</v>
      </c>
      <c r="I168" s="1347">
        <v>183.27873080068383</v>
      </c>
      <c r="J168" s="311">
        <v>133.3878544029773</v>
      </c>
      <c r="K168" s="1347">
        <v>200.35151516756363</v>
      </c>
      <c r="L168" s="311">
        <v>122.98189067768533</v>
      </c>
      <c r="M168" s="1587">
        <v>133.87843029162801</v>
      </c>
      <c r="N168" s="1734"/>
      <c r="O168" s="1737"/>
      <c r="P168" s="1737"/>
      <c r="Q168" s="1738"/>
    </row>
    <row r="169" spans="1:17">
      <c r="A169" s="49">
        <v>2006.04</v>
      </c>
      <c r="B169" s="1591">
        <v>133.18857190815967</v>
      </c>
      <c r="C169" s="311">
        <v>137.60693971369383</v>
      </c>
      <c r="D169" s="1350">
        <v>121.40206294318898</v>
      </c>
      <c r="E169" s="1347">
        <v>95.93700457205972</v>
      </c>
      <c r="F169" s="311">
        <v>101.88736956532402</v>
      </c>
      <c r="G169" s="1347">
        <v>158.62828863540318</v>
      </c>
      <c r="H169" s="311">
        <v>113.46821856038606</v>
      </c>
      <c r="I169" s="1347">
        <v>177.71328903209962</v>
      </c>
      <c r="J169" s="311">
        <v>143.78428801668875</v>
      </c>
      <c r="K169" s="1347">
        <v>191.59029862909372</v>
      </c>
      <c r="L169" s="311">
        <v>125.01508337313727</v>
      </c>
      <c r="M169" s="1587">
        <v>124.54851222136018</v>
      </c>
      <c r="N169" s="1734"/>
      <c r="O169" s="1737"/>
      <c r="P169" s="1737"/>
      <c r="Q169" s="1738"/>
    </row>
    <row r="170" spans="1:17">
      <c r="A170" s="49">
        <v>2006.05</v>
      </c>
      <c r="B170" s="1591">
        <v>138.95982929823296</v>
      </c>
      <c r="C170" s="311">
        <v>136.54644825874055</v>
      </c>
      <c r="D170" s="1350">
        <v>133.86975385421474</v>
      </c>
      <c r="E170" s="1347">
        <v>99.884440821562976</v>
      </c>
      <c r="F170" s="311">
        <v>104.01789381392956</v>
      </c>
      <c r="G170" s="1347">
        <v>169.85350382411661</v>
      </c>
      <c r="H170" s="311">
        <v>116.33039562570862</v>
      </c>
      <c r="I170" s="1347">
        <v>182.32826057469725</v>
      </c>
      <c r="J170" s="311">
        <v>150.78589545049437</v>
      </c>
      <c r="K170" s="1347">
        <v>195.38282827345418</v>
      </c>
      <c r="L170" s="311">
        <v>133.33434496246093</v>
      </c>
      <c r="M170" s="1587">
        <v>119.36360043770307</v>
      </c>
      <c r="N170" s="1734"/>
      <c r="O170" s="1737"/>
      <c r="P170" s="1737"/>
      <c r="Q170" s="1738"/>
    </row>
    <row r="171" spans="1:17">
      <c r="A171" s="49">
        <v>2006.06</v>
      </c>
      <c r="B171" s="1591">
        <v>142.35273892685134</v>
      </c>
      <c r="C171" s="311">
        <v>139.7334833699573</v>
      </c>
      <c r="D171" s="1350">
        <v>146.56785587663398</v>
      </c>
      <c r="E171" s="1347">
        <v>104.59707213980447</v>
      </c>
      <c r="F171" s="311">
        <v>97.709692264339992</v>
      </c>
      <c r="G171" s="1347">
        <v>157.1011670588675</v>
      </c>
      <c r="H171" s="311">
        <v>115.42067821055066</v>
      </c>
      <c r="I171" s="1347">
        <v>184.07040527937662</v>
      </c>
      <c r="J171" s="311">
        <v>155.36821133145969</v>
      </c>
      <c r="K171" s="1347">
        <v>194.52394336387158</v>
      </c>
      <c r="L171" s="311">
        <v>128.96852297027328</v>
      </c>
      <c r="M171" s="1587">
        <v>132.64722892316601</v>
      </c>
      <c r="N171" s="1734"/>
      <c r="O171" s="1737"/>
      <c r="P171" s="1737"/>
      <c r="Q171" s="1738"/>
    </row>
    <row r="172" spans="1:17">
      <c r="A172" s="49">
        <v>2006.07</v>
      </c>
      <c r="B172" s="1591">
        <v>144.17367870510782</v>
      </c>
      <c r="C172" s="311">
        <v>142.09031124004139</v>
      </c>
      <c r="D172" s="1350">
        <v>152.568136110632</v>
      </c>
      <c r="E172" s="1347">
        <v>96.64632490936269</v>
      </c>
      <c r="F172" s="311">
        <v>94.602305272803818</v>
      </c>
      <c r="G172" s="1347">
        <v>176.56426158498277</v>
      </c>
      <c r="H172" s="311">
        <v>116.4175608797096</v>
      </c>
      <c r="I172" s="1347">
        <v>186.68150724890413</v>
      </c>
      <c r="J172" s="311">
        <v>142.82931000558224</v>
      </c>
      <c r="K172" s="1347">
        <v>194.29083494064122</v>
      </c>
      <c r="L172" s="311">
        <v>129.98318010555056</v>
      </c>
      <c r="M172" s="1587">
        <v>138.78101034664905</v>
      </c>
      <c r="N172" s="1734"/>
      <c r="O172" s="1737"/>
      <c r="P172" s="1737"/>
      <c r="Q172" s="1738"/>
    </row>
    <row r="173" spans="1:17">
      <c r="A173" s="49">
        <v>2006.08</v>
      </c>
      <c r="B173" s="1591">
        <v>150.92184609967137</v>
      </c>
      <c r="C173" s="311">
        <v>141.2962419089651</v>
      </c>
      <c r="D173" s="1350">
        <v>162.36738811256319</v>
      </c>
      <c r="E173" s="1347">
        <v>103.84552985438337</v>
      </c>
      <c r="F173" s="311">
        <v>94.149370651109663</v>
      </c>
      <c r="G173" s="1347">
        <v>172.166152332862</v>
      </c>
      <c r="H173" s="311">
        <v>122.97869700060913</v>
      </c>
      <c r="I173" s="1347">
        <v>188.65621474833787</v>
      </c>
      <c r="J173" s="311">
        <v>152.67934304266643</v>
      </c>
      <c r="K173" s="1347">
        <v>187.15472791423363</v>
      </c>
      <c r="L173" s="311">
        <v>136.35921221115592</v>
      </c>
      <c r="M173" s="1587">
        <v>151.51435182463081</v>
      </c>
      <c r="N173" s="1734"/>
      <c r="O173" s="1737"/>
      <c r="P173" s="1737"/>
      <c r="Q173" s="1738"/>
    </row>
    <row r="174" spans="1:17">
      <c r="A174" s="49">
        <v>2006.09</v>
      </c>
      <c r="B174" s="1591">
        <v>150.05466283244579</v>
      </c>
      <c r="C174" s="311">
        <v>142.65834806544811</v>
      </c>
      <c r="D174" s="1350">
        <v>165.75076149351571</v>
      </c>
      <c r="E174" s="1347">
        <v>98.145350294492516</v>
      </c>
      <c r="F174" s="311">
        <v>94.385527557525563</v>
      </c>
      <c r="G174" s="1347">
        <v>171.69043255882792</v>
      </c>
      <c r="H174" s="311">
        <v>105.12026385823042</v>
      </c>
      <c r="I174" s="1347">
        <v>192.40571409997693</v>
      </c>
      <c r="J174" s="311">
        <v>162.5762958834257</v>
      </c>
      <c r="K174" s="1347">
        <v>191.70899865697618</v>
      </c>
      <c r="L174" s="311">
        <v>134.46134267632655</v>
      </c>
      <c r="M174" s="1587">
        <v>159.87954620828521</v>
      </c>
      <c r="N174" s="1734"/>
      <c r="O174" s="1737"/>
      <c r="P174" s="1737"/>
      <c r="Q174" s="1738"/>
    </row>
    <row r="175" spans="1:17">
      <c r="A175" s="49">
        <v>2006.1</v>
      </c>
      <c r="B175" s="1591">
        <v>149.19233002380216</v>
      </c>
      <c r="C175" s="311">
        <v>141.07589218372181</v>
      </c>
      <c r="D175" s="1350">
        <v>158.37589812432171</v>
      </c>
      <c r="E175" s="1347">
        <v>101.97102763138946</v>
      </c>
      <c r="F175" s="311">
        <v>90.542981269958759</v>
      </c>
      <c r="G175" s="1347">
        <v>158.91125454002398</v>
      </c>
      <c r="H175" s="311">
        <v>110.49151031595161</v>
      </c>
      <c r="I175" s="1347">
        <v>198.6949310284233</v>
      </c>
      <c r="J175" s="311">
        <v>161.18549966401608</v>
      </c>
      <c r="K175" s="1347">
        <v>196.55976013189891</v>
      </c>
      <c r="L175" s="311">
        <v>134.78230676400031</v>
      </c>
      <c r="M175" s="1587">
        <v>152.34845530682827</v>
      </c>
      <c r="N175" s="1734"/>
      <c r="O175" s="1737"/>
      <c r="P175" s="1737"/>
      <c r="Q175" s="1738"/>
    </row>
    <row r="176" spans="1:17">
      <c r="A176" s="49">
        <v>2006.11</v>
      </c>
      <c r="B176" s="1591">
        <v>146.64759206854919</v>
      </c>
      <c r="C176" s="311">
        <v>142.91970908042478</v>
      </c>
      <c r="D176" s="1350">
        <v>143.1861817603255</v>
      </c>
      <c r="E176" s="1347">
        <v>104.07293927093532</v>
      </c>
      <c r="F176" s="311">
        <v>92.36028549645502</v>
      </c>
      <c r="G176" s="1347">
        <v>160.1741407773909</v>
      </c>
      <c r="H176" s="311">
        <v>118.0945414860058</v>
      </c>
      <c r="I176" s="1347">
        <v>192.64641206750244</v>
      </c>
      <c r="J176" s="311">
        <v>164.90010894440337</v>
      </c>
      <c r="K176" s="1347">
        <v>166.05880043667614</v>
      </c>
      <c r="L176" s="311">
        <v>135.83634862182495</v>
      </c>
      <c r="M176" s="1587">
        <v>175.8782495625762</v>
      </c>
      <c r="N176" s="1734"/>
      <c r="O176" s="1737"/>
      <c r="P176" s="1737"/>
      <c r="Q176" s="1738"/>
    </row>
    <row r="177" spans="1:17">
      <c r="A177" s="49">
        <v>2006.12</v>
      </c>
      <c r="B177" s="1591">
        <v>140.77007418062999</v>
      </c>
      <c r="C177" s="311">
        <v>145.19519639293651</v>
      </c>
      <c r="D177" s="1350">
        <v>147.37781429936916</v>
      </c>
      <c r="E177" s="1347">
        <v>116.14109398006222</v>
      </c>
      <c r="F177" s="311">
        <v>81.190458966754107</v>
      </c>
      <c r="G177" s="1347">
        <v>180.78641113022547</v>
      </c>
      <c r="H177" s="311">
        <v>123.69644520371746</v>
      </c>
      <c r="I177" s="1347">
        <v>185.36003722693943</v>
      </c>
      <c r="J177" s="311">
        <v>152.85598373855339</v>
      </c>
      <c r="K177" s="1347">
        <v>164.86432841841389</v>
      </c>
      <c r="L177" s="311">
        <v>110.34067237086711</v>
      </c>
      <c r="M177" s="1587">
        <v>141.21879187434698</v>
      </c>
      <c r="N177" s="1734"/>
      <c r="O177" s="1737"/>
      <c r="P177" s="1737"/>
      <c r="Q177" s="1738"/>
    </row>
    <row r="178" spans="1:17">
      <c r="A178" s="49">
        <v>2007.01</v>
      </c>
      <c r="B178" s="1591">
        <v>125.24999684825129</v>
      </c>
      <c r="C178" s="311">
        <v>143.15583754248604</v>
      </c>
      <c r="D178" s="1350">
        <v>136.21054436527766</v>
      </c>
      <c r="E178" s="1347">
        <v>104.48882410251802</v>
      </c>
      <c r="F178" s="311">
        <v>73.001993297327104</v>
      </c>
      <c r="G178" s="1347">
        <v>162.90365113122746</v>
      </c>
      <c r="H178" s="311">
        <v>119.55217656018549</v>
      </c>
      <c r="I178" s="1347">
        <v>186.46586372739225</v>
      </c>
      <c r="J178" s="311">
        <v>138.70199176765837</v>
      </c>
      <c r="K178" s="1347">
        <v>148.23418542167931</v>
      </c>
      <c r="L178" s="311">
        <v>91.149848197864301</v>
      </c>
      <c r="M178" s="1587">
        <v>61.586894324644391</v>
      </c>
      <c r="N178" s="1734"/>
      <c r="O178" s="1737"/>
      <c r="P178" s="1737"/>
      <c r="Q178" s="1738"/>
    </row>
    <row r="179" spans="1:17">
      <c r="A179" s="49">
        <v>2007.02</v>
      </c>
      <c r="B179" s="1591">
        <v>126.79172839066688</v>
      </c>
      <c r="C179" s="311">
        <v>145.67826885629481</v>
      </c>
      <c r="D179" s="1350">
        <v>125.20870133790594</v>
      </c>
      <c r="E179" s="1347">
        <v>98.489537652947647</v>
      </c>
      <c r="F179" s="311">
        <v>94.182119166726679</v>
      </c>
      <c r="G179" s="1347">
        <v>160.06823510781268</v>
      </c>
      <c r="H179" s="311">
        <v>111.9777078665349</v>
      </c>
      <c r="I179" s="1347">
        <v>158.26919014985143</v>
      </c>
      <c r="J179" s="311">
        <v>132.60759559885682</v>
      </c>
      <c r="K179" s="1347">
        <v>169.39004447359019</v>
      </c>
      <c r="L179" s="311">
        <v>106.74833057260783</v>
      </c>
      <c r="M179" s="1587">
        <v>128.30645597688959</v>
      </c>
      <c r="N179" s="1734"/>
      <c r="O179" s="1737"/>
      <c r="P179" s="1737"/>
      <c r="Q179" s="1738"/>
    </row>
    <row r="180" spans="1:17">
      <c r="A180" s="49">
        <v>2007.03</v>
      </c>
      <c r="B180" s="1591">
        <v>151.98676430912317</v>
      </c>
      <c r="C180" s="311">
        <v>149.00082561348503</v>
      </c>
      <c r="D180" s="1350">
        <v>139.6364832675302</v>
      </c>
      <c r="E180" s="1347">
        <v>113.60235990942773</v>
      </c>
      <c r="F180" s="311">
        <v>104.51323688410137</v>
      </c>
      <c r="G180" s="1347">
        <v>176.64626376785816</v>
      </c>
      <c r="H180" s="311">
        <v>127.67421142045066</v>
      </c>
      <c r="I180" s="1347">
        <v>189.75267935909082</v>
      </c>
      <c r="J180" s="311">
        <v>151.67132020467096</v>
      </c>
      <c r="K180" s="1347">
        <v>193.17578202099719</v>
      </c>
      <c r="L180" s="311">
        <v>158.44148858356226</v>
      </c>
      <c r="M180" s="1587">
        <v>161.7412373584682</v>
      </c>
      <c r="N180" s="1734"/>
      <c r="O180" s="1737"/>
      <c r="P180" s="1737"/>
      <c r="Q180" s="1738"/>
    </row>
    <row r="181" spans="1:17">
      <c r="A181" s="49">
        <v>2007.04</v>
      </c>
      <c r="B181" s="1591">
        <v>144.08077732530006</v>
      </c>
      <c r="C181" s="311">
        <v>147.72708880998678</v>
      </c>
      <c r="D181" s="1350">
        <v>128.54256688878539</v>
      </c>
      <c r="E181" s="1347">
        <v>98.777606568407023</v>
      </c>
      <c r="F181" s="311">
        <v>105.30324172702562</v>
      </c>
      <c r="G181" s="1347">
        <v>165.39789587936949</v>
      </c>
      <c r="H181" s="311">
        <v>118.99975804730458</v>
      </c>
      <c r="I181" s="1347">
        <v>196.12653207510849</v>
      </c>
      <c r="J181" s="311">
        <v>142.20984015321818</v>
      </c>
      <c r="K181" s="1347">
        <v>190.59850316379672</v>
      </c>
      <c r="L181" s="311">
        <v>145.19202783733681</v>
      </c>
      <c r="M181" s="1587">
        <v>155.64609392698591</v>
      </c>
      <c r="N181" s="1734"/>
      <c r="O181" s="1737"/>
      <c r="P181" s="1737"/>
      <c r="Q181" s="1738"/>
    </row>
    <row r="182" spans="1:17">
      <c r="A182" s="49">
        <v>2007.05</v>
      </c>
      <c r="B182" s="1591">
        <v>151.86034657323333</v>
      </c>
      <c r="C182" s="311">
        <v>148.06913285834315</v>
      </c>
      <c r="D182" s="1350">
        <v>138.84833523771971</v>
      </c>
      <c r="E182" s="1347">
        <v>105.4911159680894</v>
      </c>
      <c r="F182" s="311">
        <v>109.17623637310786</v>
      </c>
      <c r="G182" s="1347">
        <v>178.56761628628428</v>
      </c>
      <c r="H182" s="311">
        <v>122.76583031722734</v>
      </c>
      <c r="I182" s="1347">
        <v>186.16286572734651</v>
      </c>
      <c r="J182" s="311">
        <v>167.44790282645539</v>
      </c>
      <c r="K182" s="1347">
        <v>183.62736347335257</v>
      </c>
      <c r="L182" s="311">
        <v>160.66873993951202</v>
      </c>
      <c r="M182" s="1587">
        <v>166.53400399040677</v>
      </c>
      <c r="N182" s="1734"/>
      <c r="O182" s="1737"/>
      <c r="P182" s="1737"/>
      <c r="Q182" s="1738"/>
    </row>
    <row r="183" spans="1:17">
      <c r="A183" s="49">
        <v>2007.06</v>
      </c>
      <c r="B183" s="1591">
        <v>148.43002772490647</v>
      </c>
      <c r="C183" s="311">
        <v>147.25723948208906</v>
      </c>
      <c r="D183" s="1350">
        <v>149.56434419005581</v>
      </c>
      <c r="E183" s="1347">
        <v>94.113215948340539</v>
      </c>
      <c r="F183" s="311">
        <v>95.183932389055556</v>
      </c>
      <c r="G183" s="1347">
        <v>172.02933458163244</v>
      </c>
      <c r="H183" s="311">
        <v>123.4534138588288</v>
      </c>
      <c r="I183" s="1347">
        <v>169.57497305039243</v>
      </c>
      <c r="J183" s="311">
        <v>161.93808311369102</v>
      </c>
      <c r="K183" s="1347">
        <v>179.3564578993925</v>
      </c>
      <c r="L183" s="311">
        <v>150.68408293525155</v>
      </c>
      <c r="M183" s="1587">
        <v>172.95489113200375</v>
      </c>
      <c r="N183" s="1734"/>
      <c r="O183" s="1737"/>
      <c r="P183" s="1737"/>
      <c r="Q183" s="1738"/>
    </row>
    <row r="184" spans="1:17">
      <c r="A184" s="49">
        <v>2007.07</v>
      </c>
      <c r="B184" s="1591">
        <v>147.56599066018055</v>
      </c>
      <c r="C184" s="311">
        <v>146.62564547172994</v>
      </c>
      <c r="D184" s="1350">
        <v>156.35130489033006</v>
      </c>
      <c r="E184" s="1347">
        <v>98.449359179989784</v>
      </c>
      <c r="F184" s="311">
        <v>94.018794383716653</v>
      </c>
      <c r="G184" s="1347">
        <v>175.36428721296969</v>
      </c>
      <c r="H184" s="311">
        <v>128.71981261785743</v>
      </c>
      <c r="I184" s="1347">
        <v>159.25543303082816</v>
      </c>
      <c r="J184" s="311">
        <v>157.70753216103716</v>
      </c>
      <c r="K184" s="1347">
        <v>154.66155455042127</v>
      </c>
      <c r="L184" s="311">
        <v>153.19211809689074</v>
      </c>
      <c r="M184" s="1587">
        <v>164.71255260620427</v>
      </c>
      <c r="N184" s="1734"/>
      <c r="O184" s="1737"/>
      <c r="P184" s="1737"/>
      <c r="Q184" s="1738"/>
    </row>
    <row r="185" spans="1:17">
      <c r="A185" s="49">
        <v>2007.08</v>
      </c>
      <c r="B185" s="1591">
        <v>162.05566947852026</v>
      </c>
      <c r="C185" s="311">
        <v>150.33984251436351</v>
      </c>
      <c r="D185" s="1350">
        <v>164.57391656264738</v>
      </c>
      <c r="E185" s="1347">
        <v>107.05854224187179</v>
      </c>
      <c r="F185" s="311">
        <v>94.753512540366799</v>
      </c>
      <c r="G185" s="1347">
        <v>172.77503133684348</v>
      </c>
      <c r="H185" s="311">
        <v>125.32901551660005</v>
      </c>
      <c r="I185" s="1347">
        <v>187.7456473072358</v>
      </c>
      <c r="J185" s="311">
        <v>168.62700741962072</v>
      </c>
      <c r="K185" s="1347">
        <v>195.43697556992461</v>
      </c>
      <c r="L185" s="311">
        <v>166.70213639015748</v>
      </c>
      <c r="M185" s="1587">
        <v>201.11482776450748</v>
      </c>
      <c r="N185" s="1734"/>
      <c r="O185" s="1737"/>
      <c r="P185" s="1737"/>
      <c r="Q185" s="1738"/>
    </row>
    <row r="186" spans="1:17">
      <c r="A186" s="49">
        <v>2007.09</v>
      </c>
      <c r="B186" s="1591">
        <v>158.40477985139088</v>
      </c>
      <c r="C186" s="311">
        <v>152.39127072432163</v>
      </c>
      <c r="D186" s="1350">
        <v>166.26673783831194</v>
      </c>
      <c r="E186" s="1347">
        <v>97.832966986184175</v>
      </c>
      <c r="F186" s="311">
        <v>98.484485252730892</v>
      </c>
      <c r="G186" s="1347">
        <v>173.44423293027251</v>
      </c>
      <c r="H186" s="311">
        <v>120.55126368480596</v>
      </c>
      <c r="I186" s="1347">
        <v>203.38199470027078</v>
      </c>
      <c r="J186" s="311">
        <v>158.8826317830208</v>
      </c>
      <c r="K186" s="1347">
        <v>194.68420050888497</v>
      </c>
      <c r="L186" s="311">
        <v>152.76278152197156</v>
      </c>
      <c r="M186" s="1587">
        <v>182.85509598105921</v>
      </c>
      <c r="N186" s="1734"/>
      <c r="O186" s="1737"/>
      <c r="P186" s="1737"/>
      <c r="Q186" s="1738"/>
    </row>
    <row r="187" spans="1:17">
      <c r="A187" s="49">
        <v>2007.1</v>
      </c>
      <c r="B187" s="1591">
        <v>167.50847295658753</v>
      </c>
      <c r="C187" s="311">
        <v>155.41067615661507</v>
      </c>
      <c r="D187" s="1350">
        <v>166.55611726771954</v>
      </c>
      <c r="E187" s="1347">
        <v>113.29088419531044</v>
      </c>
      <c r="F187" s="311">
        <v>94.251235125521518</v>
      </c>
      <c r="G187" s="1347">
        <v>180.14103763180856</v>
      </c>
      <c r="H187" s="311">
        <v>120.74271685423892</v>
      </c>
      <c r="I187" s="1347">
        <v>222.0455569755562</v>
      </c>
      <c r="J187" s="311">
        <v>166.18295035811775</v>
      </c>
      <c r="K187" s="1347">
        <v>201.05242356403949</v>
      </c>
      <c r="L187" s="311">
        <v>166.99278611263188</v>
      </c>
      <c r="M187" s="1587">
        <v>206.32128800842412</v>
      </c>
      <c r="N187" s="1734"/>
      <c r="O187" s="1737"/>
      <c r="P187" s="1737"/>
      <c r="Q187" s="1738"/>
    </row>
    <row r="188" spans="1:17">
      <c r="A188" s="49">
        <v>2007.11</v>
      </c>
      <c r="B188" s="1591">
        <v>162.0750442156785</v>
      </c>
      <c r="C188" s="311">
        <v>158.23504190972071</v>
      </c>
      <c r="D188" s="1350">
        <v>152.53480401488068</v>
      </c>
      <c r="E188" s="1347">
        <v>115.1980585751995</v>
      </c>
      <c r="F188" s="311">
        <v>94.149448281399074</v>
      </c>
      <c r="G188" s="1347">
        <v>181.73601781987674</v>
      </c>
      <c r="H188" s="311">
        <v>118.66600793176745</v>
      </c>
      <c r="I188" s="1347">
        <v>217.10010718207732</v>
      </c>
      <c r="J188" s="311">
        <v>181.06903137761026</v>
      </c>
      <c r="K188" s="1347">
        <v>200.07498061577675</v>
      </c>
      <c r="L188" s="311">
        <v>150.0259940337902</v>
      </c>
      <c r="M188" s="1587">
        <v>222.42786783302998</v>
      </c>
      <c r="N188" s="1734"/>
      <c r="O188" s="1737"/>
      <c r="P188" s="1737"/>
      <c r="Q188" s="1738"/>
    </row>
    <row r="189" spans="1:17">
      <c r="A189" s="49">
        <v>2007.12</v>
      </c>
      <c r="B189" s="1591">
        <v>152.54211187383103</v>
      </c>
      <c r="C189" s="311">
        <v>158.78677949692798</v>
      </c>
      <c r="D189" s="1350">
        <v>158.55482921190054</v>
      </c>
      <c r="E189" s="1347">
        <v>118.67476193519524</v>
      </c>
      <c r="F189" s="311">
        <v>83.955732135827148</v>
      </c>
      <c r="G189" s="1347">
        <v>178.822138634276</v>
      </c>
      <c r="H189" s="311">
        <v>120.31457106841081</v>
      </c>
      <c r="I189" s="1347">
        <v>193.64453271264381</v>
      </c>
      <c r="J189" s="311">
        <v>166.33108816021652</v>
      </c>
      <c r="K189" s="1347">
        <v>205.53709504050587</v>
      </c>
      <c r="L189" s="311">
        <v>123.25335409113667</v>
      </c>
      <c r="M189" s="1587">
        <v>190.96271038308896</v>
      </c>
      <c r="N189" s="1734"/>
      <c r="O189" s="1737"/>
      <c r="P189" s="1737"/>
      <c r="Q189" s="1738"/>
    </row>
    <row r="190" spans="1:17">
      <c r="A190" s="49">
        <f t="shared" ref="A190:A221" si="0">A178+1</f>
        <v>2008.01</v>
      </c>
      <c r="B190" s="1591">
        <v>143.46600980177917</v>
      </c>
      <c r="C190" s="311">
        <v>161.11767547214194</v>
      </c>
      <c r="D190" s="1350">
        <v>142.22265436819356</v>
      </c>
      <c r="E190" s="1347">
        <v>115.27713588117487</v>
      </c>
      <c r="F190" s="311">
        <v>75.685316275717085</v>
      </c>
      <c r="G190" s="1347">
        <v>168.70730549288078</v>
      </c>
      <c r="H190" s="311">
        <v>122.86627316153171</v>
      </c>
      <c r="I190" s="1347">
        <v>199.72054570353049</v>
      </c>
      <c r="J190" s="311">
        <v>145.36979228174746</v>
      </c>
      <c r="K190" s="1347">
        <v>186.35929157202037</v>
      </c>
      <c r="L190" s="311">
        <v>119.03947718634478</v>
      </c>
      <c r="M190" s="1587">
        <v>145.8847441800684</v>
      </c>
      <c r="N190" s="1734"/>
      <c r="O190" s="1737"/>
      <c r="P190" s="1737"/>
      <c r="Q190" s="1738"/>
    </row>
    <row r="191" spans="1:17">
      <c r="A191" s="49">
        <f t="shared" si="0"/>
        <v>2008.02</v>
      </c>
      <c r="B191" s="1591">
        <v>137.02450078221719</v>
      </c>
      <c r="C191" s="311">
        <v>158.59538648860701</v>
      </c>
      <c r="D191" s="1350">
        <v>137.17303612841863</v>
      </c>
      <c r="E191" s="1347">
        <v>109.77223344832166</v>
      </c>
      <c r="F191" s="311">
        <v>92.034456723063315</v>
      </c>
      <c r="G191" s="1347">
        <v>168.01937614928056</v>
      </c>
      <c r="H191" s="311">
        <v>111.28185871412828</v>
      </c>
      <c r="I191" s="1347">
        <v>180.17280582299387</v>
      </c>
      <c r="J191" s="311">
        <v>147.78986378248158</v>
      </c>
      <c r="K191" s="1347">
        <v>189.96219228423357</v>
      </c>
      <c r="L191" s="311">
        <v>119.74374706275833</v>
      </c>
      <c r="M191" s="1587">
        <v>132.30286504203113</v>
      </c>
      <c r="N191" s="1734"/>
      <c r="O191" s="1737"/>
      <c r="P191" s="1737"/>
      <c r="Q191" s="1738"/>
    </row>
    <row r="192" spans="1:17">
      <c r="A192" s="49">
        <f t="shared" si="0"/>
        <v>2008.03</v>
      </c>
      <c r="B192" s="1591">
        <v>149.72476469583955</v>
      </c>
      <c r="C192" s="311">
        <v>154.47403777048524</v>
      </c>
      <c r="D192" s="1350">
        <v>124.09525091140145</v>
      </c>
      <c r="E192" s="1347">
        <v>111.55249271937421</v>
      </c>
      <c r="F192" s="311">
        <v>108.51588138258261</v>
      </c>
      <c r="G192" s="1347">
        <v>171.00492888163924</v>
      </c>
      <c r="H192" s="311">
        <v>116.75765200482067</v>
      </c>
      <c r="I192" s="1347">
        <v>192.08693584101732</v>
      </c>
      <c r="J192" s="311">
        <v>151.05436333419783</v>
      </c>
      <c r="K192" s="1347">
        <v>214.12558393192398</v>
      </c>
      <c r="L192" s="311">
        <v>156.68364659065162</v>
      </c>
      <c r="M192" s="1587">
        <v>186.94893277735824</v>
      </c>
      <c r="N192" s="1734"/>
      <c r="O192" s="1737"/>
      <c r="P192" s="1737"/>
      <c r="Q192" s="1738"/>
    </row>
    <row r="193" spans="1:17">
      <c r="A193" s="49">
        <f t="shared" si="0"/>
        <v>2008.04</v>
      </c>
      <c r="B193" s="1591">
        <v>160.13544902042406</v>
      </c>
      <c r="C193" s="311">
        <v>157.40740628235233</v>
      </c>
      <c r="D193" s="1350">
        <v>147.74122305839248</v>
      </c>
      <c r="E193" s="1347">
        <v>108.85364447244442</v>
      </c>
      <c r="F193" s="311">
        <v>103.66467098887293</v>
      </c>
      <c r="G193" s="1347">
        <v>163.8036223693268</v>
      </c>
      <c r="H193" s="311">
        <v>117.7144287487674</v>
      </c>
      <c r="I193" s="1347">
        <v>193.03388940486212</v>
      </c>
      <c r="J193" s="311">
        <v>164.0482400799882</v>
      </c>
      <c r="K193" s="1347">
        <v>211.12915038327839</v>
      </c>
      <c r="L193" s="311">
        <v>173.02464287206038</v>
      </c>
      <c r="M193" s="1587">
        <v>207.12955133664531</v>
      </c>
      <c r="N193" s="1734"/>
      <c r="O193" s="1737"/>
      <c r="P193" s="1737"/>
      <c r="Q193" s="1738"/>
    </row>
    <row r="194" spans="1:17">
      <c r="A194" s="49">
        <f t="shared" si="0"/>
        <v>2008.05</v>
      </c>
      <c r="B194" s="1591">
        <v>162.68130373157797</v>
      </c>
      <c r="C194" s="311">
        <v>158.38588246996434</v>
      </c>
      <c r="D194" s="1350">
        <v>147.40270338907823</v>
      </c>
      <c r="E194" s="1347">
        <v>107.444335174144</v>
      </c>
      <c r="F194" s="311">
        <v>109.54404906529393</v>
      </c>
      <c r="G194" s="1347">
        <v>169.89255474668005</v>
      </c>
      <c r="H194" s="311">
        <v>124.7911576901511</v>
      </c>
      <c r="I194" s="1347">
        <v>196.45046807862587</v>
      </c>
      <c r="J194" s="311">
        <v>163.19211247325887</v>
      </c>
      <c r="K194" s="1347">
        <v>210.87544727282045</v>
      </c>
      <c r="L194" s="311">
        <v>166.86410446916645</v>
      </c>
      <c r="M194" s="1587">
        <v>212.33459067617221</v>
      </c>
      <c r="N194" s="1734"/>
      <c r="O194" s="1737"/>
      <c r="P194" s="1737"/>
      <c r="Q194" s="1738"/>
    </row>
    <row r="195" spans="1:17">
      <c r="A195" s="49">
        <f t="shared" si="0"/>
        <v>2008.06</v>
      </c>
      <c r="B195" s="1591">
        <v>149.22923846916325</v>
      </c>
      <c r="C195" s="311">
        <v>153.73028353915893</v>
      </c>
      <c r="D195" s="1350">
        <v>142.36419672640704</v>
      </c>
      <c r="E195" s="1347">
        <v>98.669227728966618</v>
      </c>
      <c r="F195" s="311">
        <v>108.52453565639777</v>
      </c>
      <c r="G195" s="1347">
        <v>170.10021142020653</v>
      </c>
      <c r="H195" s="311">
        <v>114.0142903001363</v>
      </c>
      <c r="I195" s="1347">
        <v>173.23188409913584</v>
      </c>
      <c r="J195" s="311">
        <v>150.14735849326797</v>
      </c>
      <c r="K195" s="1347">
        <v>208.99617885595956</v>
      </c>
      <c r="L195" s="311">
        <v>148.34918660017075</v>
      </c>
      <c r="M195" s="1587">
        <v>194.93729326532386</v>
      </c>
      <c r="N195" s="1734"/>
      <c r="O195" s="1737"/>
      <c r="P195" s="1737"/>
      <c r="Q195" s="1738"/>
    </row>
    <row r="196" spans="1:17">
      <c r="A196" s="49">
        <f t="shared" si="0"/>
        <v>2008.07</v>
      </c>
      <c r="B196" s="1591">
        <v>162.26747919543234</v>
      </c>
      <c r="C196" s="311">
        <v>154.79564389494936</v>
      </c>
      <c r="D196" s="1350">
        <v>175.03608090038858</v>
      </c>
      <c r="E196" s="1347">
        <v>111.99279559834298</v>
      </c>
      <c r="F196" s="311">
        <v>102.82890187187449</v>
      </c>
      <c r="G196" s="1347">
        <v>174.0977268129262</v>
      </c>
      <c r="H196" s="311">
        <v>113.33919312546563</v>
      </c>
      <c r="I196" s="1347">
        <v>167.29346273854017</v>
      </c>
      <c r="J196" s="311">
        <v>174.10208598066748</v>
      </c>
      <c r="K196" s="1347">
        <v>223.25836031128648</v>
      </c>
      <c r="L196" s="311">
        <v>155.66165912096744</v>
      </c>
      <c r="M196" s="1587">
        <v>233.94945400787546</v>
      </c>
      <c r="N196" s="1734"/>
      <c r="O196" s="1737"/>
      <c r="P196" s="1737"/>
      <c r="Q196" s="1738"/>
    </row>
    <row r="197" spans="1:17">
      <c r="A197" s="49">
        <f t="shared" si="0"/>
        <v>2008.08</v>
      </c>
      <c r="B197" s="1591">
        <v>158.15838594536757</v>
      </c>
      <c r="C197" s="311">
        <v>150.34870576254067</v>
      </c>
      <c r="D197" s="1350">
        <v>170.76103479978519</v>
      </c>
      <c r="E197" s="1347">
        <v>103.37761229614286</v>
      </c>
      <c r="F197" s="311">
        <v>105.85210494920004</v>
      </c>
      <c r="G197" s="1347">
        <v>163.18712194073726</v>
      </c>
      <c r="H197" s="311">
        <v>123.90008921329698</v>
      </c>
      <c r="I197" s="1347">
        <v>166.32785134125251</v>
      </c>
      <c r="J197" s="311">
        <v>165.70359506800713</v>
      </c>
      <c r="K197" s="1347">
        <v>212.94849834402277</v>
      </c>
      <c r="L197" s="311">
        <v>144.14728039016913</v>
      </c>
      <c r="M197" s="1587">
        <v>219.26889439347025</v>
      </c>
      <c r="N197" s="1734"/>
      <c r="O197" s="1737"/>
      <c r="P197" s="1737"/>
      <c r="Q197" s="1738"/>
    </row>
    <row r="198" spans="1:17">
      <c r="A198" s="49">
        <f t="shared" si="0"/>
        <v>2008.09</v>
      </c>
      <c r="B198" s="1591">
        <v>167.80234044872461</v>
      </c>
      <c r="C198" s="311">
        <v>147.61699581184001</v>
      </c>
      <c r="D198" s="1350">
        <v>183.28004597227039</v>
      </c>
      <c r="E198" s="1347">
        <v>107.26606417809741</v>
      </c>
      <c r="F198" s="311">
        <v>102.03975427280707</v>
      </c>
      <c r="G198" s="1347">
        <v>159.36413162688834</v>
      </c>
      <c r="H198" s="311">
        <v>119.85324986284928</v>
      </c>
      <c r="I198" s="1347">
        <v>190.70803840890218</v>
      </c>
      <c r="J198" s="311">
        <v>167.21976703238093</v>
      </c>
      <c r="K198" s="1347">
        <v>209.95143138476936</v>
      </c>
      <c r="L198" s="311">
        <v>152.93501173665916</v>
      </c>
      <c r="M198" s="1587">
        <v>238.01023988300992</v>
      </c>
      <c r="N198" s="1734"/>
      <c r="O198" s="1737"/>
      <c r="P198" s="1737"/>
      <c r="Q198" s="1738"/>
    </row>
    <row r="199" spans="1:17">
      <c r="A199" s="49">
        <f t="shared" si="0"/>
        <v>2008.1</v>
      </c>
      <c r="B199" s="1591">
        <v>159.97902966247702</v>
      </c>
      <c r="C199" s="311">
        <v>146.98557843019262</v>
      </c>
      <c r="D199" s="1350">
        <v>167.35759505250797</v>
      </c>
      <c r="E199" s="1347">
        <v>119.11663690797694</v>
      </c>
      <c r="F199" s="311">
        <v>96.238475747871789</v>
      </c>
      <c r="G199" s="1347">
        <v>157.4533680177214</v>
      </c>
      <c r="H199" s="311">
        <v>119.32296654141979</v>
      </c>
      <c r="I199" s="1347">
        <v>196.39721826424102</v>
      </c>
      <c r="J199" s="311">
        <v>168.57984091055209</v>
      </c>
      <c r="K199" s="1347">
        <v>210.69889698420837</v>
      </c>
      <c r="L199" s="311">
        <v>136.35707319049015</v>
      </c>
      <c r="M199" s="1587">
        <v>220.67628545460431</v>
      </c>
      <c r="N199" s="1734"/>
      <c r="O199" s="1737"/>
      <c r="P199" s="1737"/>
      <c r="Q199" s="1738"/>
    </row>
    <row r="200" spans="1:17">
      <c r="A200" s="49">
        <f t="shared" si="0"/>
        <v>2008.11</v>
      </c>
      <c r="B200" s="1591">
        <v>136.14729134895035</v>
      </c>
      <c r="C200" s="311">
        <v>138.43865644456858</v>
      </c>
      <c r="D200" s="1350">
        <v>148.03196902681299</v>
      </c>
      <c r="E200" s="1347">
        <v>106.75568096017831</v>
      </c>
      <c r="F200" s="311">
        <v>99.09562695457258</v>
      </c>
      <c r="G200" s="1347">
        <v>153.29155388803963</v>
      </c>
      <c r="H200" s="311">
        <v>103.81280507432827</v>
      </c>
      <c r="I200" s="1347">
        <v>158.4082692693317</v>
      </c>
      <c r="J200" s="311">
        <v>165.26893318213891</v>
      </c>
      <c r="K200" s="1347">
        <v>172.88490476016884</v>
      </c>
      <c r="L200" s="311">
        <v>102.80717381966909</v>
      </c>
      <c r="M200" s="1587">
        <v>164.36805907367881</v>
      </c>
      <c r="N200" s="1734"/>
      <c r="O200" s="1737"/>
      <c r="P200" s="1737"/>
      <c r="Q200" s="1738"/>
    </row>
    <row r="201" spans="1:17">
      <c r="A201" s="49">
        <f t="shared" si="0"/>
        <v>2008.12</v>
      </c>
      <c r="B201" s="1591">
        <v>129.65355216195397</v>
      </c>
      <c r="C201" s="311">
        <v>138.31308317848999</v>
      </c>
      <c r="D201" s="1350">
        <v>159.41574252652055</v>
      </c>
      <c r="E201" s="1347">
        <v>137.37025457214972</v>
      </c>
      <c r="F201" s="311">
        <v>82.506460315303187</v>
      </c>
      <c r="G201" s="1347">
        <v>154.88962387663247</v>
      </c>
      <c r="H201" s="311">
        <v>116.27686101255456</v>
      </c>
      <c r="I201" s="1347">
        <v>143.87181253095528</v>
      </c>
      <c r="J201" s="311">
        <v>150.30561001370324</v>
      </c>
      <c r="K201" s="1347">
        <v>131.91002054662849</v>
      </c>
      <c r="L201" s="311">
        <v>98.774933025848838</v>
      </c>
      <c r="M201" s="1587">
        <v>93.254258196745269</v>
      </c>
      <c r="N201" s="1734"/>
      <c r="O201" s="1737"/>
      <c r="P201" s="1737"/>
      <c r="Q201" s="1738"/>
    </row>
    <row r="202" spans="1:17">
      <c r="A202" s="49">
        <f t="shared" si="0"/>
        <v>2009.01</v>
      </c>
      <c r="B202" s="1591">
        <v>118.82610980809662</v>
      </c>
      <c r="C202" s="311">
        <v>134.54645612526443</v>
      </c>
      <c r="D202" s="1350">
        <v>144.00853409652606</v>
      </c>
      <c r="E202" s="1347">
        <v>114.02912168050329</v>
      </c>
      <c r="F202" s="311">
        <v>64.301457949938651</v>
      </c>
      <c r="G202" s="1347">
        <v>151.16939687709234</v>
      </c>
      <c r="H202" s="311">
        <v>111.51516363431675</v>
      </c>
      <c r="I202" s="1347">
        <v>160.8722502287614</v>
      </c>
      <c r="J202" s="311">
        <v>140.96827323538849</v>
      </c>
      <c r="K202" s="1347">
        <v>138.68895381394753</v>
      </c>
      <c r="L202" s="311">
        <v>80.050127251705149</v>
      </c>
      <c r="M202" s="1587">
        <v>62.461900527891686</v>
      </c>
      <c r="N202" s="1734"/>
      <c r="O202" s="1737"/>
      <c r="P202" s="1737"/>
      <c r="Q202" s="1738"/>
    </row>
    <row r="203" spans="1:17">
      <c r="A203" s="49">
        <f t="shared" si="0"/>
        <v>2009.02</v>
      </c>
      <c r="B203" s="1591">
        <v>115.92543878166197</v>
      </c>
      <c r="C203" s="311">
        <v>134.64239759140483</v>
      </c>
      <c r="D203" s="1350">
        <v>133.19995477749586</v>
      </c>
      <c r="E203" s="1347">
        <v>100.65348344800032</v>
      </c>
      <c r="F203" s="311">
        <v>74.98445757705187</v>
      </c>
      <c r="G203" s="1347">
        <v>147.7074987149266</v>
      </c>
      <c r="H203" s="311">
        <v>98.836190912719829</v>
      </c>
      <c r="I203" s="1347">
        <v>155.53793710297626</v>
      </c>
      <c r="J203" s="311">
        <v>136.77751323481885</v>
      </c>
      <c r="K203" s="1347">
        <v>128.21768631783326</v>
      </c>
      <c r="L203" s="311">
        <v>102.42726471177582</v>
      </c>
      <c r="M203" s="1587">
        <v>54.612994948086595</v>
      </c>
      <c r="N203" s="1734"/>
      <c r="O203" s="1737"/>
      <c r="P203" s="1737"/>
      <c r="Q203" s="1738"/>
    </row>
    <row r="204" spans="1:17">
      <c r="A204" s="49">
        <f t="shared" si="0"/>
        <v>2009.03</v>
      </c>
      <c r="B204" s="1591">
        <v>142.00405776184323</v>
      </c>
      <c r="C204" s="311">
        <v>140.92806868009123</v>
      </c>
      <c r="D204" s="1350">
        <v>144.89091665928254</v>
      </c>
      <c r="E204" s="1347">
        <v>114.04252458234703</v>
      </c>
      <c r="F204" s="311">
        <v>88.16694204879056</v>
      </c>
      <c r="G204" s="1347">
        <v>153.41454371109376</v>
      </c>
      <c r="H204" s="311">
        <v>112.71115987809684</v>
      </c>
      <c r="I204" s="1347">
        <v>189.82186504113409</v>
      </c>
      <c r="J204" s="311">
        <v>155.15341020348072</v>
      </c>
      <c r="K204" s="1347">
        <v>132.51220543756219</v>
      </c>
      <c r="L204" s="311">
        <v>141.25975859166124</v>
      </c>
      <c r="M204" s="1587">
        <v>132.20969171347858</v>
      </c>
      <c r="N204" s="1734"/>
      <c r="O204" s="1737"/>
      <c r="P204" s="1737"/>
      <c r="Q204" s="1738"/>
    </row>
    <row r="205" spans="1:17">
      <c r="A205" s="49">
        <f t="shared" si="0"/>
        <v>2009.04</v>
      </c>
      <c r="B205" s="1591">
        <v>141.18902528185711</v>
      </c>
      <c r="C205" s="311">
        <v>141.6748491294147</v>
      </c>
      <c r="D205" s="1350">
        <v>144.36451147646068</v>
      </c>
      <c r="E205" s="1347">
        <v>114.34711529063297</v>
      </c>
      <c r="F205" s="311">
        <v>87.167633928325714</v>
      </c>
      <c r="G205" s="1347">
        <v>141.59386513976003</v>
      </c>
      <c r="H205" s="311">
        <v>110.64863137152349</v>
      </c>
      <c r="I205" s="1347">
        <v>195.80316291342209</v>
      </c>
      <c r="J205" s="311">
        <v>145.29736868670753</v>
      </c>
      <c r="K205" s="1347">
        <v>137.09944648313098</v>
      </c>
      <c r="L205" s="311">
        <v>141.22257368251979</v>
      </c>
      <c r="M205" s="1587">
        <v>127.48671339668051</v>
      </c>
      <c r="N205" s="1734"/>
      <c r="O205" s="1737"/>
      <c r="P205" s="1737"/>
      <c r="Q205" s="1738"/>
    </row>
    <row r="206" spans="1:17">
      <c r="A206" s="49">
        <f t="shared" si="0"/>
        <v>2009.05</v>
      </c>
      <c r="B206" s="1591">
        <v>143.18698346924958</v>
      </c>
      <c r="C206" s="311">
        <v>141.81307226267637</v>
      </c>
      <c r="D206" s="1350">
        <v>147.4786787264141</v>
      </c>
      <c r="E206" s="1347">
        <v>101.07034497679881</v>
      </c>
      <c r="F206" s="311">
        <v>94.583543791205102</v>
      </c>
      <c r="G206" s="1347">
        <v>146.085335274757</v>
      </c>
      <c r="H206" s="311">
        <v>112.08272624098427</v>
      </c>
      <c r="I206" s="1347">
        <v>184.382630907779</v>
      </c>
      <c r="J206" s="311">
        <v>156.34355840883887</v>
      </c>
      <c r="K206" s="1347">
        <v>135.78007557072488</v>
      </c>
      <c r="L206" s="311">
        <v>145.85979029735543</v>
      </c>
      <c r="M206" s="1587">
        <v>149.2173747583424</v>
      </c>
      <c r="N206" s="1734"/>
      <c r="O206" s="1737"/>
      <c r="P206" s="1737"/>
      <c r="Q206" s="1738"/>
    </row>
    <row r="207" spans="1:17">
      <c r="A207" s="49">
        <f t="shared" si="0"/>
        <v>2009.06</v>
      </c>
      <c r="B207" s="1591">
        <v>150.04324383199818</v>
      </c>
      <c r="C207" s="311">
        <v>146.34844085485992</v>
      </c>
      <c r="D207" s="1350">
        <v>165.21691256739959</v>
      </c>
      <c r="E207" s="1347">
        <v>99.255890814341598</v>
      </c>
      <c r="F207" s="311">
        <v>90.876472514836337</v>
      </c>
      <c r="G207" s="1347">
        <v>156.0536795560015</v>
      </c>
      <c r="H207" s="311">
        <v>110.86629598434583</v>
      </c>
      <c r="I207" s="1347">
        <v>186.87952540109632</v>
      </c>
      <c r="J207" s="311">
        <v>160.91598233135011</v>
      </c>
      <c r="K207" s="1347">
        <v>149.50159738133101</v>
      </c>
      <c r="L207" s="311">
        <v>147.59855020796368</v>
      </c>
      <c r="M207" s="1587">
        <v>155.52316883430959</v>
      </c>
      <c r="N207" s="1734"/>
      <c r="O207" s="1737"/>
      <c r="P207" s="1737"/>
      <c r="Q207" s="1738"/>
    </row>
    <row r="208" spans="1:17">
      <c r="A208" s="49">
        <f t="shared" si="0"/>
        <v>2009.07</v>
      </c>
      <c r="B208" s="1591">
        <v>153.4944896468854</v>
      </c>
      <c r="C208" s="311">
        <v>147.29396736684953</v>
      </c>
      <c r="D208" s="1350">
        <v>169.64506111525714</v>
      </c>
      <c r="E208" s="1347">
        <v>107.90886915213724</v>
      </c>
      <c r="F208" s="311">
        <v>88.067115320014253</v>
      </c>
      <c r="G208" s="1347">
        <v>159.77158641486994</v>
      </c>
      <c r="H208" s="311">
        <v>104.37581959369903</v>
      </c>
      <c r="I208" s="1347">
        <v>186.70844596684205</v>
      </c>
      <c r="J208" s="311">
        <v>157.07154907237515</v>
      </c>
      <c r="K208" s="1347">
        <v>163.72134226363065</v>
      </c>
      <c r="L208" s="311">
        <v>160.09127852673049</v>
      </c>
      <c r="M208" s="1587">
        <v>165.05554579062161</v>
      </c>
      <c r="N208" s="1734"/>
      <c r="O208" s="1737"/>
      <c r="P208" s="1737"/>
      <c r="Q208" s="1738"/>
    </row>
    <row r="209" spans="1:17">
      <c r="A209" s="49">
        <f t="shared" si="0"/>
        <v>2009.08</v>
      </c>
      <c r="B209" s="1591">
        <v>155.32974343747929</v>
      </c>
      <c r="C209" s="311">
        <v>148.53878503330424</v>
      </c>
      <c r="D209" s="1350">
        <v>164.36708177190445</v>
      </c>
      <c r="E209" s="1347">
        <v>100.21604402561933</v>
      </c>
      <c r="F209" s="311">
        <v>84.354034797005696</v>
      </c>
      <c r="G209" s="1347">
        <v>160.0222811869549</v>
      </c>
      <c r="H209" s="311">
        <v>108.84200346683815</v>
      </c>
      <c r="I209" s="1347">
        <v>198.08458527749528</v>
      </c>
      <c r="J209" s="311">
        <v>166.54141616809551</v>
      </c>
      <c r="K209" s="1347">
        <v>169.06990188273355</v>
      </c>
      <c r="L209" s="311">
        <v>160.65423975038061</v>
      </c>
      <c r="M209" s="1587">
        <v>166.09946871834754</v>
      </c>
      <c r="N209" s="1734"/>
      <c r="O209" s="1737"/>
      <c r="P209" s="1737"/>
      <c r="Q209" s="1738"/>
    </row>
    <row r="210" spans="1:17">
      <c r="A210" s="49">
        <f t="shared" si="0"/>
        <v>2009.09</v>
      </c>
      <c r="B210" s="1591">
        <v>159.95742487226141</v>
      </c>
      <c r="C210" s="311">
        <v>149.61228656403466</v>
      </c>
      <c r="D210" s="1350">
        <v>167.56603688931875</v>
      </c>
      <c r="E210" s="1347">
        <v>107.12153581883818</v>
      </c>
      <c r="F210" s="311">
        <v>87.371258674398902</v>
      </c>
      <c r="G210" s="1347">
        <v>162.96265197126891</v>
      </c>
      <c r="H210" s="311">
        <v>100.26547093449855</v>
      </c>
      <c r="I210" s="1347">
        <v>202.96232853929351</v>
      </c>
      <c r="J210" s="311">
        <v>167.68462869122311</v>
      </c>
      <c r="K210" s="1347">
        <v>175.29793389240928</v>
      </c>
      <c r="L210" s="311">
        <v>165.42008808743932</v>
      </c>
      <c r="M210" s="1587">
        <v>190.23787377176396</v>
      </c>
      <c r="N210" s="1734"/>
      <c r="O210" s="1737"/>
      <c r="P210" s="1737"/>
      <c r="Q210" s="1738"/>
    </row>
    <row r="211" spans="1:17">
      <c r="A211" s="49">
        <f t="shared" si="0"/>
        <v>2009.1</v>
      </c>
      <c r="B211" s="1591">
        <v>160.61326535231461</v>
      </c>
      <c r="C211" s="311">
        <v>149.47517739088318</v>
      </c>
      <c r="D211" s="1350">
        <v>163.45135845510461</v>
      </c>
      <c r="E211" s="1347">
        <v>112.92074124716871</v>
      </c>
      <c r="F211" s="311">
        <v>81.006883575722952</v>
      </c>
      <c r="G211" s="1347">
        <v>167.19191264216005</v>
      </c>
      <c r="H211" s="311">
        <v>97.499887820495161</v>
      </c>
      <c r="I211" s="1347">
        <v>196.00153200615082</v>
      </c>
      <c r="J211" s="311">
        <v>174.75821342318875</v>
      </c>
      <c r="K211" s="1347">
        <v>192.18431602581745</v>
      </c>
      <c r="L211" s="311">
        <v>170.04947819129526</v>
      </c>
      <c r="M211" s="1587">
        <v>207.17439627488653</v>
      </c>
      <c r="N211" s="1734"/>
      <c r="O211" s="1737"/>
      <c r="P211" s="1737"/>
      <c r="Q211" s="1738"/>
    </row>
    <row r="212" spans="1:17">
      <c r="A212" s="49">
        <f t="shared" si="0"/>
        <v>2009.11</v>
      </c>
      <c r="B212" s="1591">
        <v>150.50428028377297</v>
      </c>
      <c r="C212" s="311">
        <v>151.34431087298501</v>
      </c>
      <c r="D212" s="1350">
        <v>148.59912456160771</v>
      </c>
      <c r="E212" s="1347">
        <v>104.89840019813646</v>
      </c>
      <c r="F212" s="311">
        <v>82.206753819838639</v>
      </c>
      <c r="G212" s="1347">
        <v>166.82704513689652</v>
      </c>
      <c r="H212" s="311">
        <v>110.75738122501848</v>
      </c>
      <c r="I212" s="1347">
        <v>190.33254701239497</v>
      </c>
      <c r="J212" s="311">
        <v>154.14886232857583</v>
      </c>
      <c r="K212" s="1347">
        <v>185.7270045572123</v>
      </c>
      <c r="L212" s="311">
        <v>139.72375235947021</v>
      </c>
      <c r="M212" s="1587">
        <v>198.31654828087377</v>
      </c>
      <c r="N212" s="1734"/>
      <c r="O212" s="1737"/>
      <c r="P212" s="1737"/>
      <c r="Q212" s="1738"/>
    </row>
    <row r="213" spans="1:17">
      <c r="A213" s="49">
        <f t="shared" si="0"/>
        <v>2009.12</v>
      </c>
      <c r="B213" s="1591">
        <v>148.59222121572589</v>
      </c>
      <c r="C213" s="311">
        <v>150.91840385434992</v>
      </c>
      <c r="D213" s="1350">
        <v>152.39908688347961</v>
      </c>
      <c r="E213" s="1347">
        <v>130.43655270306201</v>
      </c>
      <c r="F213" s="311">
        <v>75.159136085971241</v>
      </c>
      <c r="G213" s="1347">
        <v>168.08885350163447</v>
      </c>
      <c r="H213" s="311">
        <v>112.13793380141912</v>
      </c>
      <c r="I213" s="1347">
        <v>183.99485000032905</v>
      </c>
      <c r="J213" s="311">
        <v>156.7231319782328</v>
      </c>
      <c r="K213" s="1347">
        <v>180.00732534943145</v>
      </c>
      <c r="L213" s="311">
        <v>123.05046822540731</v>
      </c>
      <c r="M213" s="1587">
        <v>186.27741340991523</v>
      </c>
      <c r="N213" s="1734"/>
      <c r="O213" s="1737"/>
      <c r="P213" s="1737"/>
      <c r="Q213" s="1738"/>
    </row>
    <row r="214" spans="1:17">
      <c r="A214" s="49">
        <f t="shared" si="0"/>
        <v>2010.01</v>
      </c>
      <c r="B214" s="1591">
        <v>133.50021343657789</v>
      </c>
      <c r="C214" s="311">
        <v>155.31870445033664</v>
      </c>
      <c r="D214" s="1350">
        <v>136.80366236838626</v>
      </c>
      <c r="E214" s="1347">
        <v>106.49111817897487</v>
      </c>
      <c r="F214" s="311">
        <v>78.840512609745346</v>
      </c>
      <c r="G214" s="1347">
        <v>160.2388765594778</v>
      </c>
      <c r="H214" s="311">
        <v>112.5972228201155</v>
      </c>
      <c r="I214" s="1347">
        <v>191.33254618330946</v>
      </c>
      <c r="J214" s="311">
        <v>159.61794146171513</v>
      </c>
      <c r="K214" s="1347">
        <v>165.39008280048171</v>
      </c>
      <c r="L214" s="311">
        <v>103.44282376229913</v>
      </c>
      <c r="M214" s="1587">
        <v>107.65088059094471</v>
      </c>
      <c r="N214" s="1579">
        <v>130.09632913441746</v>
      </c>
      <c r="O214" s="1584">
        <v>87.840758509818485</v>
      </c>
      <c r="P214" s="1584">
        <v>150.24596311277429</v>
      </c>
      <c r="Q214" s="434">
        <v>223.23467362291578</v>
      </c>
    </row>
    <row r="215" spans="1:17">
      <c r="A215" s="49">
        <f t="shared" si="0"/>
        <v>2010.02</v>
      </c>
      <c r="B215" s="1591">
        <v>134.13007687644034</v>
      </c>
      <c r="C215" s="311">
        <v>158.21411426734909</v>
      </c>
      <c r="D215" s="1350">
        <v>125.5537127205974</v>
      </c>
      <c r="E215" s="1347">
        <v>105.84859270199047</v>
      </c>
      <c r="F215" s="311">
        <v>88.603308247401827</v>
      </c>
      <c r="G215" s="1347">
        <v>154.22104286575532</v>
      </c>
      <c r="H215" s="311">
        <v>105.18109722496128</v>
      </c>
      <c r="I215" s="1347">
        <v>182.12471399681172</v>
      </c>
      <c r="J215" s="311">
        <v>149.56404250606488</v>
      </c>
      <c r="K215" s="1347">
        <v>162.9358954252632</v>
      </c>
      <c r="L215" s="311">
        <v>122.34121850192832</v>
      </c>
      <c r="M215" s="1587">
        <v>141.46804540440999</v>
      </c>
      <c r="N215" s="1350">
        <v>121.19351103134707</v>
      </c>
      <c r="O215" s="1347">
        <v>113.64156092983214</v>
      </c>
      <c r="P215" s="1347">
        <v>136.401178807669</v>
      </c>
      <c r="Q215" s="1136">
        <v>319.07921112629572</v>
      </c>
    </row>
    <row r="216" spans="1:17">
      <c r="A216" s="49">
        <f t="shared" si="0"/>
        <v>2010.03</v>
      </c>
      <c r="B216" s="1591">
        <v>160.63814618541346</v>
      </c>
      <c r="C216" s="311">
        <v>155.74923523382742</v>
      </c>
      <c r="D216" s="1350">
        <v>140.74738310021132</v>
      </c>
      <c r="E216" s="1347">
        <v>118.76276031826674</v>
      </c>
      <c r="F216" s="311">
        <v>99.281677959029309</v>
      </c>
      <c r="G216" s="1347">
        <v>165.0881364384241</v>
      </c>
      <c r="H216" s="311">
        <v>116.18232876461474</v>
      </c>
      <c r="I216" s="1347">
        <v>204.06237563486985</v>
      </c>
      <c r="J216" s="311">
        <v>163.38570029693523</v>
      </c>
      <c r="K216" s="1347">
        <v>196.94631626893124</v>
      </c>
      <c r="L216" s="311">
        <v>179.51174848785303</v>
      </c>
      <c r="M216" s="1587">
        <v>187.64249627667371</v>
      </c>
      <c r="N216" s="1350">
        <v>135.88279007561414</v>
      </c>
      <c r="O216" s="1347">
        <v>161.07394403163659</v>
      </c>
      <c r="P216" s="1347">
        <v>167.83539971284546</v>
      </c>
      <c r="Q216" s="1136">
        <v>425.32189731354629</v>
      </c>
    </row>
    <row r="217" spans="1:17">
      <c r="A217" s="49">
        <f t="shared" si="0"/>
        <v>2010.04</v>
      </c>
      <c r="B217" s="1591">
        <v>157.23179697534084</v>
      </c>
      <c r="C217" s="311">
        <v>157.45114133478776</v>
      </c>
      <c r="D217" s="1350">
        <v>141.70856902160457</v>
      </c>
      <c r="E217" s="1347">
        <v>99.449029449559958</v>
      </c>
      <c r="F217" s="311">
        <v>101.19719560558805</v>
      </c>
      <c r="G217" s="1347">
        <v>156.17624989781373</v>
      </c>
      <c r="H217" s="311">
        <v>108.21281435413439</v>
      </c>
      <c r="I217" s="1347">
        <v>194.00079059664208</v>
      </c>
      <c r="J217" s="311">
        <v>172.55981417156329</v>
      </c>
      <c r="K217" s="1347">
        <v>190.51938820214102</v>
      </c>
      <c r="L217" s="311">
        <v>179.67512737363316</v>
      </c>
      <c r="M217" s="1587">
        <v>201.84095602300476</v>
      </c>
      <c r="N217" s="1350">
        <v>132.35769393660235</v>
      </c>
      <c r="O217" s="1347">
        <v>167.56062879485557</v>
      </c>
      <c r="P217" s="1347">
        <v>155.1470879555375</v>
      </c>
      <c r="Q217" s="1136">
        <v>436.00150514909916</v>
      </c>
    </row>
    <row r="218" spans="1:17">
      <c r="A218" s="49">
        <f t="shared" si="0"/>
        <v>2010.05</v>
      </c>
      <c r="B218" s="1591">
        <v>159.17683012006455</v>
      </c>
      <c r="C218" s="311">
        <v>158.09258390510101</v>
      </c>
      <c r="D218" s="1350">
        <v>145.22481651486424</v>
      </c>
      <c r="E218" s="1347">
        <v>100.79114284320178</v>
      </c>
      <c r="F218" s="311">
        <v>107.77976738059849</v>
      </c>
      <c r="G218" s="1347">
        <v>154.39389755888911</v>
      </c>
      <c r="H218" s="311">
        <v>109.63911480490209</v>
      </c>
      <c r="I218" s="1347">
        <v>196.11254317352868</v>
      </c>
      <c r="J218" s="311">
        <v>164.48138765598858</v>
      </c>
      <c r="K218" s="1347">
        <v>195.71528643371764</v>
      </c>
      <c r="L218" s="311">
        <v>178.28203668337568</v>
      </c>
      <c r="M218" s="1587">
        <v>208.55220224638074</v>
      </c>
      <c r="N218" s="1350">
        <v>135.3928652849383</v>
      </c>
      <c r="O218" s="1347">
        <v>167.18290497267063</v>
      </c>
      <c r="P218" s="1347">
        <v>164.10241603624161</v>
      </c>
      <c r="Q218" s="1136">
        <v>454.97336160748722</v>
      </c>
    </row>
    <row r="219" spans="1:17">
      <c r="A219" s="49">
        <f t="shared" si="0"/>
        <v>2010.06</v>
      </c>
      <c r="B219" s="1591">
        <v>165.13318358868145</v>
      </c>
      <c r="C219" s="311">
        <v>160.16837606289366</v>
      </c>
      <c r="D219" s="1350">
        <v>158.79475128105469</v>
      </c>
      <c r="E219" s="1347">
        <v>100.15173070427859</v>
      </c>
      <c r="F219" s="311">
        <v>103.36992230809345</v>
      </c>
      <c r="G219" s="1347">
        <v>155.15404596336992</v>
      </c>
      <c r="H219" s="311">
        <v>105.86240161994647</v>
      </c>
      <c r="I219" s="1347">
        <v>196.28236080677183</v>
      </c>
      <c r="J219" s="311">
        <v>169.81643811293603</v>
      </c>
      <c r="K219" s="1347">
        <v>187.5155978030152</v>
      </c>
      <c r="L219" s="311">
        <v>175.49050917306874</v>
      </c>
      <c r="M219" s="1587">
        <v>230.93606939197218</v>
      </c>
      <c r="N219" s="1350">
        <v>145.81866196314363</v>
      </c>
      <c r="O219" s="1347">
        <v>170.06734366981155</v>
      </c>
      <c r="P219" s="1347">
        <v>148.62867464383035</v>
      </c>
      <c r="Q219" s="1136">
        <v>397.15420637380066</v>
      </c>
    </row>
    <row r="220" spans="1:17">
      <c r="A220" s="49">
        <f t="shared" si="0"/>
        <v>2010.07</v>
      </c>
      <c r="B220" s="1591">
        <v>161.74768710065013</v>
      </c>
      <c r="C220" s="311">
        <v>157.53032638372838</v>
      </c>
      <c r="D220" s="1350">
        <v>166.05441926506879</v>
      </c>
      <c r="E220" s="1347">
        <v>103.00555173906449</v>
      </c>
      <c r="F220" s="311">
        <v>96.243112381646412</v>
      </c>
      <c r="G220" s="1347">
        <v>160.74893948306513</v>
      </c>
      <c r="H220" s="311">
        <v>111.25897108043388</v>
      </c>
      <c r="I220" s="1347">
        <v>170.97051100177714</v>
      </c>
      <c r="J220" s="311">
        <v>173.76494756956868</v>
      </c>
      <c r="K220" s="1347">
        <v>193.44652153185822</v>
      </c>
      <c r="L220" s="311">
        <v>192.49912267254345</v>
      </c>
      <c r="M220" s="1587">
        <v>203.81907247616076</v>
      </c>
      <c r="N220" s="1350">
        <v>152.10343706183332</v>
      </c>
      <c r="O220" s="1347">
        <v>175.6775969064681</v>
      </c>
      <c r="P220" s="1347">
        <v>153.64145872812043</v>
      </c>
      <c r="Q220" s="1136">
        <v>422.99684218256391</v>
      </c>
    </row>
    <row r="221" spans="1:17">
      <c r="A221" s="49">
        <f t="shared" si="0"/>
        <v>2010.08</v>
      </c>
      <c r="B221" s="1591">
        <v>172.38374699499388</v>
      </c>
      <c r="C221" s="311">
        <v>161.86400060980188</v>
      </c>
      <c r="D221" s="1350">
        <v>174.48030981532455</v>
      </c>
      <c r="E221" s="1347">
        <v>104.56309751429119</v>
      </c>
      <c r="F221" s="311">
        <v>94.090524346209165</v>
      </c>
      <c r="G221" s="1347">
        <v>160.31700636930162</v>
      </c>
      <c r="H221" s="311">
        <v>116.3754209184392</v>
      </c>
      <c r="I221" s="1347">
        <v>188.01201453721961</v>
      </c>
      <c r="J221" s="311">
        <v>171.32765521694654</v>
      </c>
      <c r="K221" s="1347">
        <v>206.14226701286816</v>
      </c>
      <c r="L221" s="311">
        <v>193.45782356729001</v>
      </c>
      <c r="M221" s="1587">
        <v>249.29003003122091</v>
      </c>
      <c r="N221" s="1350">
        <v>159.00955161163046</v>
      </c>
      <c r="O221" s="1347">
        <v>188.23333411070405</v>
      </c>
      <c r="P221" s="1347">
        <v>163.25163163497356</v>
      </c>
      <c r="Q221" s="1136">
        <v>441.78653720153579</v>
      </c>
    </row>
    <row r="222" spans="1:17">
      <c r="A222" s="49">
        <f t="shared" ref="A222:A253" si="1">A210+1</f>
        <v>2010.09</v>
      </c>
      <c r="B222" s="1591">
        <v>172.95291423793341</v>
      </c>
      <c r="C222" s="311">
        <v>160.52675521721008</v>
      </c>
      <c r="D222" s="1350">
        <v>171.86181187015777</v>
      </c>
      <c r="E222" s="1347">
        <v>107.10729442582816</v>
      </c>
      <c r="F222" s="311">
        <v>95.91228410270763</v>
      </c>
      <c r="G222" s="1347">
        <v>159.46758071174401</v>
      </c>
      <c r="H222" s="311">
        <v>107.67630718411043</v>
      </c>
      <c r="I222" s="1347">
        <v>191.74485831510702</v>
      </c>
      <c r="J222" s="311">
        <v>183.90221005253082</v>
      </c>
      <c r="K222" s="1347">
        <v>197.48805222995537</v>
      </c>
      <c r="L222" s="311">
        <v>199.57826314254211</v>
      </c>
      <c r="M222" s="1587">
        <v>257.22601717358759</v>
      </c>
      <c r="N222" s="1350">
        <v>157.53341620036491</v>
      </c>
      <c r="O222" s="1347">
        <v>194.78233128905714</v>
      </c>
      <c r="P222" s="1347">
        <v>161.99908592835877</v>
      </c>
      <c r="Q222" s="1136">
        <v>435.46477839452939</v>
      </c>
    </row>
    <row r="223" spans="1:17">
      <c r="A223" s="49">
        <f t="shared" si="1"/>
        <v>2010.1</v>
      </c>
      <c r="B223" s="1591">
        <v>162.30978333539525</v>
      </c>
      <c r="C223" s="311">
        <v>162.28364233763801</v>
      </c>
      <c r="D223" s="1350">
        <v>154.71201023520086</v>
      </c>
      <c r="E223" s="1347">
        <v>103.4082576366426</v>
      </c>
      <c r="F223" s="311">
        <v>90.752744805650536</v>
      </c>
      <c r="G223" s="1347">
        <v>161.01562983256892</v>
      </c>
      <c r="H223" s="311">
        <v>101.10798906888296</v>
      </c>
      <c r="I223" s="1347">
        <v>194.723879397752</v>
      </c>
      <c r="J223" s="311">
        <v>190.99865308585677</v>
      </c>
      <c r="K223" s="1347">
        <v>206.81979411773412</v>
      </c>
      <c r="L223" s="311">
        <v>178.05441630492959</v>
      </c>
      <c r="M223" s="1587">
        <v>228.85688562123715</v>
      </c>
      <c r="N223" s="1350">
        <v>143.35989928465162</v>
      </c>
      <c r="O223" s="1347">
        <v>172.15294811222498</v>
      </c>
      <c r="P223" s="1347">
        <v>166.15754118527337</v>
      </c>
      <c r="Q223" s="1136">
        <v>451.23616162653497</v>
      </c>
    </row>
    <row r="224" spans="1:17">
      <c r="A224" s="49">
        <f t="shared" si="1"/>
        <v>2010.11</v>
      </c>
      <c r="B224" s="1591">
        <v>166.76795205309784</v>
      </c>
      <c r="C224" s="311">
        <v>164.03426019925703</v>
      </c>
      <c r="D224" s="1350">
        <v>153.37376359712056</v>
      </c>
      <c r="E224" s="1347">
        <v>109.13299036501256</v>
      </c>
      <c r="F224" s="311">
        <v>90.001733318604309</v>
      </c>
      <c r="G224" s="1347">
        <v>167.08294259280484</v>
      </c>
      <c r="H224" s="311">
        <v>107.35926943231442</v>
      </c>
      <c r="I224" s="1347">
        <v>207.78244169675872</v>
      </c>
      <c r="J224" s="311">
        <v>197.77369655278412</v>
      </c>
      <c r="K224" s="1347">
        <v>199.07385282936752</v>
      </c>
      <c r="L224" s="311">
        <v>163.67916721153358</v>
      </c>
      <c r="M224" s="1587">
        <v>263.05193077234503</v>
      </c>
      <c r="N224" s="1350">
        <v>143.58449593479574</v>
      </c>
      <c r="O224" s="1347">
        <v>174.84427633585665</v>
      </c>
      <c r="P224" s="1347">
        <v>163.45134969128222</v>
      </c>
      <c r="Q224" s="1136">
        <v>385.55053637471781</v>
      </c>
    </row>
    <row r="225" spans="1:17">
      <c r="A225" s="49">
        <f t="shared" si="1"/>
        <v>2010.12</v>
      </c>
      <c r="B225" s="1591">
        <v>160.45295607426175</v>
      </c>
      <c r="C225" s="311">
        <v>163.73044479899119</v>
      </c>
      <c r="D225" s="1350">
        <v>159.1385339272808</v>
      </c>
      <c r="E225" s="1347">
        <v>129.63107242187232</v>
      </c>
      <c r="F225" s="311">
        <v>77.605100395930762</v>
      </c>
      <c r="G225" s="1347">
        <v>181.27593439443521</v>
      </c>
      <c r="H225" s="311">
        <v>100.72602128468795</v>
      </c>
      <c r="I225" s="1347">
        <v>186.15973126317593</v>
      </c>
      <c r="J225" s="311">
        <v>191.55034703616053</v>
      </c>
      <c r="K225" s="1347">
        <v>187.02975461747647</v>
      </c>
      <c r="L225" s="311">
        <v>163.84786345586602</v>
      </c>
      <c r="M225" s="1587">
        <v>228.84617175567544</v>
      </c>
      <c r="N225" s="1350">
        <v>152.60934337275069</v>
      </c>
      <c r="O225" s="1347">
        <v>162.84162331013715</v>
      </c>
      <c r="P225" s="1347">
        <v>154.23041694533651</v>
      </c>
      <c r="Q225" s="1136">
        <v>346.92444423546272</v>
      </c>
    </row>
    <row r="226" spans="1:17">
      <c r="A226" s="49">
        <f t="shared" si="1"/>
        <v>2011.01</v>
      </c>
      <c r="B226" s="1591">
        <v>143.07456209931857</v>
      </c>
      <c r="C226" s="311">
        <v>167.61263117130329</v>
      </c>
      <c r="D226" s="1350">
        <v>144.50938402556997</v>
      </c>
      <c r="E226" s="1347">
        <v>113.25704839283794</v>
      </c>
      <c r="F226" s="311">
        <v>76.948022024405361</v>
      </c>
      <c r="G226" s="1347">
        <v>164.73762344973636</v>
      </c>
      <c r="H226" s="311">
        <v>108.9917198760389</v>
      </c>
      <c r="I226" s="1347">
        <v>191.06807749904786</v>
      </c>
      <c r="J226" s="311">
        <v>172.3591072105819</v>
      </c>
      <c r="K226" s="1347">
        <v>173.86629370471809</v>
      </c>
      <c r="L226" s="311">
        <v>121.25049960666121</v>
      </c>
      <c r="M226" s="1587">
        <v>159.1653401169072</v>
      </c>
      <c r="N226" s="1350">
        <v>137.5941007646619</v>
      </c>
      <c r="O226" s="1347">
        <v>124.13302718850846</v>
      </c>
      <c r="P226" s="1347">
        <v>154.65602222269229</v>
      </c>
      <c r="Q226" s="1136">
        <v>236.12084464006608</v>
      </c>
    </row>
    <row r="227" spans="1:17">
      <c r="A227" s="49">
        <f t="shared" si="1"/>
        <v>2011.02</v>
      </c>
      <c r="B227" s="1591">
        <v>139.9643351109122</v>
      </c>
      <c r="C227" s="311">
        <v>164.8877958585922</v>
      </c>
      <c r="D227" s="1350">
        <v>133.5413064820433</v>
      </c>
      <c r="E227" s="1347">
        <v>103.28338723694897</v>
      </c>
      <c r="F227" s="311">
        <v>94.263986744606981</v>
      </c>
      <c r="G227" s="1347">
        <v>158.58527976814042</v>
      </c>
      <c r="H227" s="311">
        <v>102.1584723059586</v>
      </c>
      <c r="I227" s="1347">
        <v>171.25963372998444</v>
      </c>
      <c r="J227" s="311">
        <v>167.39230251567162</v>
      </c>
      <c r="K227" s="1347">
        <v>191.74633750201409</v>
      </c>
      <c r="L227" s="311">
        <v>148.14410507740197</v>
      </c>
      <c r="M227" s="1587">
        <v>150.45639616766812</v>
      </c>
      <c r="N227" s="1350">
        <v>126.84606024750718</v>
      </c>
      <c r="O227" s="1347">
        <v>127.34526616260797</v>
      </c>
      <c r="P227" s="1347">
        <v>146.50247887697441</v>
      </c>
      <c r="Q227" s="1136">
        <v>352.56090241047571</v>
      </c>
    </row>
    <row r="228" spans="1:17">
      <c r="A228" s="49">
        <f t="shared" si="1"/>
        <v>2011.03</v>
      </c>
      <c r="B228" s="1591">
        <v>163.80150326944164</v>
      </c>
      <c r="C228" s="311">
        <v>166.78342245440999</v>
      </c>
      <c r="D228" s="1350">
        <v>151.51967084147185</v>
      </c>
      <c r="E228" s="1347">
        <v>118.76123449880073</v>
      </c>
      <c r="F228" s="311">
        <v>108.14864410474439</v>
      </c>
      <c r="G228" s="1347">
        <v>165.88224841185783</v>
      </c>
      <c r="H228" s="311">
        <v>111.10818699816876</v>
      </c>
      <c r="I228" s="1347">
        <v>194.09317939925921</v>
      </c>
      <c r="J228" s="311">
        <v>176.54615011765267</v>
      </c>
      <c r="K228" s="1347">
        <v>208.54007120603154</v>
      </c>
      <c r="L228" s="311">
        <v>172.06500240289225</v>
      </c>
      <c r="M228" s="1587">
        <v>245.91916199236729</v>
      </c>
      <c r="N228" s="1350">
        <v>144.27112887148428</v>
      </c>
      <c r="O228" s="1347">
        <v>170.27177937906941</v>
      </c>
      <c r="P228" s="1347">
        <v>156.82124210375727</v>
      </c>
      <c r="Q228" s="1136">
        <v>381.3390323239397</v>
      </c>
    </row>
    <row r="229" spans="1:17">
      <c r="A229" s="49">
        <f t="shared" si="1"/>
        <v>2011.04</v>
      </c>
      <c r="B229" s="1591">
        <v>165.15422358710879</v>
      </c>
      <c r="C229" s="311">
        <v>168.11114473070486</v>
      </c>
      <c r="D229" s="1350">
        <v>147.74767725681119</v>
      </c>
      <c r="E229" s="1347">
        <v>107.53931851563618</v>
      </c>
      <c r="F229" s="311">
        <v>107.95323062688544</v>
      </c>
      <c r="G229" s="1347">
        <v>156.96929191721557</v>
      </c>
      <c r="H229" s="311">
        <v>104.43715748696999</v>
      </c>
      <c r="I229" s="1347">
        <v>186.70073930596857</v>
      </c>
      <c r="J229" s="311">
        <v>185.04749157505969</v>
      </c>
      <c r="K229" s="1347">
        <v>204.56030328849286</v>
      </c>
      <c r="L229" s="311">
        <v>199.11743336324139</v>
      </c>
      <c r="M229" s="1587">
        <v>250.91419083395181</v>
      </c>
      <c r="N229" s="1350">
        <v>138.85067213632937</v>
      </c>
      <c r="O229" s="1347">
        <v>191.8540903232884</v>
      </c>
      <c r="P229" s="1347">
        <v>150.55119781109258</v>
      </c>
      <c r="Q229" s="1136">
        <v>399.35243312140699</v>
      </c>
    </row>
    <row r="230" spans="1:17">
      <c r="A230" s="49">
        <f t="shared" si="1"/>
        <v>2011.05</v>
      </c>
      <c r="B230" s="1591">
        <v>170.54529840997478</v>
      </c>
      <c r="C230" s="311">
        <v>166.48326933013868</v>
      </c>
      <c r="D230" s="1350">
        <v>155.6619073961601</v>
      </c>
      <c r="E230" s="1347">
        <v>107.74992540832355</v>
      </c>
      <c r="F230" s="311">
        <v>107.38273420727911</v>
      </c>
      <c r="G230" s="1347">
        <v>161.94871386459195</v>
      </c>
      <c r="H230" s="311">
        <v>101.11504365403579</v>
      </c>
      <c r="I230" s="1347">
        <v>191.48536597075784</v>
      </c>
      <c r="J230" s="311">
        <v>199.13170515042657</v>
      </c>
      <c r="K230" s="1347">
        <v>215.45991318040308</v>
      </c>
      <c r="L230" s="311">
        <v>200.19150974196313</v>
      </c>
      <c r="M230" s="1587">
        <v>277.60548461511081</v>
      </c>
      <c r="N230" s="1350">
        <v>145.06030209756602</v>
      </c>
      <c r="O230" s="1347">
        <v>200.50978619486634</v>
      </c>
      <c r="P230" s="1347">
        <v>167.01613937231087</v>
      </c>
      <c r="Q230" s="1136">
        <v>381.34639069922076</v>
      </c>
    </row>
    <row r="231" spans="1:17">
      <c r="A231" s="49">
        <f t="shared" si="1"/>
        <v>2011.06</v>
      </c>
      <c r="B231" s="1591">
        <v>172.48107219405088</v>
      </c>
      <c r="C231" s="311">
        <v>167.59011066430907</v>
      </c>
      <c r="D231" s="1350">
        <v>163.08339997934519</v>
      </c>
      <c r="E231" s="1347">
        <v>104.77270426409365</v>
      </c>
      <c r="F231" s="311">
        <v>102.80920245334288</v>
      </c>
      <c r="G231" s="1347">
        <v>158.62513854971729</v>
      </c>
      <c r="H231" s="311">
        <v>106.24708871672067</v>
      </c>
      <c r="I231" s="1347">
        <v>184.5050628589525</v>
      </c>
      <c r="J231" s="311">
        <v>182.31681947310861</v>
      </c>
      <c r="K231" s="1347">
        <v>206.38097339206752</v>
      </c>
      <c r="L231" s="311">
        <v>209.33212112411655</v>
      </c>
      <c r="M231" s="1587">
        <v>281.06846096087634</v>
      </c>
      <c r="N231" s="1350">
        <v>150.18084502312445</v>
      </c>
      <c r="O231" s="1347">
        <v>209.73269985707617</v>
      </c>
      <c r="P231" s="1347">
        <v>155.77622366947475</v>
      </c>
      <c r="Q231" s="1136">
        <v>379.8864125932231</v>
      </c>
    </row>
    <row r="232" spans="1:17">
      <c r="A232" s="49">
        <f t="shared" si="1"/>
        <v>2011.07</v>
      </c>
      <c r="B232" s="1591">
        <v>169.07453594117845</v>
      </c>
      <c r="C232" s="311">
        <v>166.27677532215594</v>
      </c>
      <c r="D232" s="1350">
        <v>169.90256479832033</v>
      </c>
      <c r="E232" s="1347">
        <v>100.39062047780732</v>
      </c>
      <c r="F232" s="311">
        <v>95.420638916999067</v>
      </c>
      <c r="G232" s="1347">
        <v>160.6809017674137</v>
      </c>
      <c r="H232" s="311">
        <v>111.30872320045076</v>
      </c>
      <c r="I232" s="1347">
        <v>173.77268225956149</v>
      </c>
      <c r="J232" s="311">
        <v>190.24665976468111</v>
      </c>
      <c r="K232" s="1347">
        <v>215.97939069495973</v>
      </c>
      <c r="L232" s="311">
        <v>207.61576934795335</v>
      </c>
      <c r="M232" s="1587">
        <v>248.0467830365036</v>
      </c>
      <c r="N232" s="1350">
        <v>154.52148126453918</v>
      </c>
      <c r="O232" s="1347">
        <v>198.42545536188226</v>
      </c>
      <c r="P232" s="1347">
        <v>157.20464644989357</v>
      </c>
      <c r="Q232" s="1136">
        <v>358.02082683733249</v>
      </c>
    </row>
    <row r="233" spans="1:17">
      <c r="A233" s="49">
        <f t="shared" si="1"/>
        <v>2011.08</v>
      </c>
      <c r="B233" s="1591">
        <v>177.57340492081207</v>
      </c>
      <c r="C233" s="311">
        <v>164.37238381215067</v>
      </c>
      <c r="D233" s="1350">
        <v>177.39862035608934</v>
      </c>
      <c r="E233" s="1347">
        <v>115.43484811036903</v>
      </c>
      <c r="F233" s="311">
        <v>91.054139190101381</v>
      </c>
      <c r="G233" s="1347">
        <v>157.83916688978456</v>
      </c>
      <c r="H233" s="311">
        <v>98.5938743344133</v>
      </c>
      <c r="I233" s="1347">
        <v>179.45583801942669</v>
      </c>
      <c r="J233" s="311">
        <v>195.69454036231235</v>
      </c>
      <c r="K233" s="1347">
        <v>213.15978044784094</v>
      </c>
      <c r="L233" s="311">
        <v>216.96998935927166</v>
      </c>
      <c r="M233" s="1587">
        <v>298.86412545255479</v>
      </c>
      <c r="N233" s="1350">
        <v>163.68773992689151</v>
      </c>
      <c r="O233" s="1347">
        <v>217.80668037816019</v>
      </c>
      <c r="P233" s="1347">
        <v>151.77952182304907</v>
      </c>
      <c r="Q233" s="1136">
        <v>349.65951927306088</v>
      </c>
    </row>
    <row r="234" spans="1:17">
      <c r="A234" s="49">
        <f t="shared" si="1"/>
        <v>2011.09</v>
      </c>
      <c r="B234" s="1591">
        <v>181.45868786073106</v>
      </c>
      <c r="C234" s="311">
        <v>168.35507062025192</v>
      </c>
      <c r="D234" s="1350">
        <v>182.82286129285305</v>
      </c>
      <c r="E234" s="1347">
        <v>111.35605749968083</v>
      </c>
      <c r="F234" s="311">
        <v>91.344115621690491</v>
      </c>
      <c r="G234" s="1347">
        <v>155.9175850801777</v>
      </c>
      <c r="H234" s="311">
        <v>110.8324375968446</v>
      </c>
      <c r="I234" s="1347">
        <v>196.84656686993958</v>
      </c>
      <c r="J234" s="311">
        <v>208.80822136824804</v>
      </c>
      <c r="K234" s="1347">
        <v>205.66444274049417</v>
      </c>
      <c r="L234" s="311">
        <v>220.40493680019387</v>
      </c>
      <c r="M234" s="1587">
        <v>281.60666695763092</v>
      </c>
      <c r="N234" s="1350">
        <v>167.00922106482761</v>
      </c>
      <c r="O234" s="1347">
        <v>215.14108862707801</v>
      </c>
      <c r="P234" s="1347">
        <v>160.97121774746842</v>
      </c>
      <c r="Q234" s="1136">
        <v>402.05892896262026</v>
      </c>
    </row>
    <row r="235" spans="1:17">
      <c r="A235" s="49">
        <f t="shared" si="1"/>
        <v>2011.1</v>
      </c>
      <c r="B235" s="1591">
        <v>176.42866944146635</v>
      </c>
      <c r="C235" s="311">
        <v>166.20468277621598</v>
      </c>
      <c r="D235" s="1350">
        <v>169.41256554584209</v>
      </c>
      <c r="E235" s="1347">
        <v>108.29329544869688</v>
      </c>
      <c r="F235" s="311">
        <v>85.030644641247576</v>
      </c>
      <c r="G235" s="1347">
        <v>160.06470943158644</v>
      </c>
      <c r="H235" s="311">
        <v>100.95764283701929</v>
      </c>
      <c r="I235" s="1347">
        <v>213.96533660478434</v>
      </c>
      <c r="J235" s="311">
        <v>204.79563065259083</v>
      </c>
      <c r="K235" s="1347">
        <v>221.90844636646278</v>
      </c>
      <c r="L235" s="311">
        <v>213.78255013477329</v>
      </c>
      <c r="M235" s="1587">
        <v>255.36235217889586</v>
      </c>
      <c r="N235" s="1350">
        <v>155.88855024059762</v>
      </c>
      <c r="O235" s="1347">
        <v>203.6064266704806</v>
      </c>
      <c r="P235" s="1347">
        <v>161.11771169510715</v>
      </c>
      <c r="Q235" s="1136">
        <v>426.40956341637616</v>
      </c>
    </row>
    <row r="236" spans="1:17">
      <c r="A236" s="49">
        <f t="shared" si="1"/>
        <v>2011.11</v>
      </c>
      <c r="B236" s="1591">
        <v>172.34352581282846</v>
      </c>
      <c r="C236" s="311">
        <v>169.45862019744513</v>
      </c>
      <c r="D236" s="1350">
        <v>161.29892946170037</v>
      </c>
      <c r="E236" s="1347">
        <v>109.98001266991619</v>
      </c>
      <c r="F236" s="311">
        <v>83.838399761422437</v>
      </c>
      <c r="G236" s="1347">
        <v>166.45715198174375</v>
      </c>
      <c r="H236" s="311">
        <v>97.876997055923368</v>
      </c>
      <c r="I236" s="1347">
        <v>213.25436538751495</v>
      </c>
      <c r="J236" s="311">
        <v>196.2580283860035</v>
      </c>
      <c r="K236" s="1347">
        <v>196.38536128273128</v>
      </c>
      <c r="L236" s="311">
        <v>201.02194774360626</v>
      </c>
      <c r="M236" s="1587">
        <v>270.16897220634615</v>
      </c>
      <c r="N236" s="1350">
        <v>149.94346309180543</v>
      </c>
      <c r="O236" s="1347">
        <v>198.56415524750435</v>
      </c>
      <c r="P236" s="1347">
        <v>151.29142872734829</v>
      </c>
      <c r="Q236" s="1136">
        <v>353.75514014953097</v>
      </c>
    </row>
    <row r="237" spans="1:17">
      <c r="A237" s="49">
        <f t="shared" si="1"/>
        <v>2011.12</v>
      </c>
      <c r="B237" s="1591">
        <v>164.56656413650796</v>
      </c>
      <c r="C237" s="311">
        <v>171.09508629114097</v>
      </c>
      <c r="D237" s="1350">
        <v>171.05297074405809</v>
      </c>
      <c r="E237" s="1347">
        <v>128.1420864599153</v>
      </c>
      <c r="F237" s="311">
        <v>72.624348180519192</v>
      </c>
      <c r="G237" s="1347">
        <v>180.6712840136814</v>
      </c>
      <c r="H237" s="311">
        <v>110.08749947879983</v>
      </c>
      <c r="I237" s="1347">
        <v>198.4940324254226</v>
      </c>
      <c r="J237" s="311">
        <v>187.36477021592216</v>
      </c>
      <c r="K237" s="1347">
        <v>185.91664127173985</v>
      </c>
      <c r="L237" s="311">
        <v>190.25636460556765</v>
      </c>
      <c r="M237" s="1587">
        <v>184.61681843155398</v>
      </c>
      <c r="N237" s="1350">
        <v>161.55797096906193</v>
      </c>
      <c r="O237" s="1347">
        <v>163.84638053244248</v>
      </c>
      <c r="P237" s="1347">
        <v>143.65244480651492</v>
      </c>
      <c r="Q237" s="1136">
        <v>316.894334887752</v>
      </c>
    </row>
    <row r="238" spans="1:17">
      <c r="A238" s="49">
        <f t="shared" si="1"/>
        <v>2012.01</v>
      </c>
      <c r="B238" s="1591">
        <v>144.19165349097804</v>
      </c>
      <c r="C238" s="311">
        <v>167.66117184957719</v>
      </c>
      <c r="D238" s="1350">
        <v>156.16883115781661</v>
      </c>
      <c r="E238" s="1347">
        <v>113.65534527064092</v>
      </c>
      <c r="F238" s="311">
        <v>71.746106750790474</v>
      </c>
      <c r="G238" s="1347">
        <v>162.83776742071575</v>
      </c>
      <c r="H238" s="311">
        <v>105.39932053810395</v>
      </c>
      <c r="I238" s="1347">
        <v>197.460571339431</v>
      </c>
      <c r="J238" s="311">
        <v>174.99246620692938</v>
      </c>
      <c r="K238" s="1347">
        <v>169.77094341311852</v>
      </c>
      <c r="L238" s="311">
        <v>123.72951763403161</v>
      </c>
      <c r="M238" s="1587">
        <v>142.2114671176943</v>
      </c>
      <c r="N238" s="1350">
        <v>146.761764730099</v>
      </c>
      <c r="O238" s="1347">
        <v>110.11352327780357</v>
      </c>
      <c r="P238" s="1347">
        <v>149.99655452493576</v>
      </c>
      <c r="Q238" s="1136">
        <v>267.9620431931308</v>
      </c>
    </row>
    <row r="239" spans="1:17">
      <c r="A239" s="49">
        <f t="shared" si="1"/>
        <v>2012.02</v>
      </c>
      <c r="B239" s="1591">
        <v>146.54386877852502</v>
      </c>
      <c r="C239" s="311">
        <v>164.9821913926026</v>
      </c>
      <c r="D239" s="1350">
        <v>145.64525445893923</v>
      </c>
      <c r="E239" s="1347">
        <v>111.1199355490896</v>
      </c>
      <c r="F239" s="311">
        <v>86.653144232683317</v>
      </c>
      <c r="G239" s="1347">
        <v>158.01006055616637</v>
      </c>
      <c r="H239" s="311">
        <v>97.71746365685307</v>
      </c>
      <c r="I239" s="1347">
        <v>178.98421579386104</v>
      </c>
      <c r="J239" s="311">
        <v>161.81826668877071</v>
      </c>
      <c r="K239" s="1347">
        <v>188.12425183707867</v>
      </c>
      <c r="L239" s="311">
        <v>153.77706001509381</v>
      </c>
      <c r="M239" s="1587">
        <v>184.5324491821188</v>
      </c>
      <c r="N239" s="1350">
        <v>138.00574991948528</v>
      </c>
      <c r="O239" s="1347">
        <v>148.73962947669446</v>
      </c>
      <c r="P239" s="1347">
        <v>142.71938883707756</v>
      </c>
      <c r="Q239" s="1136">
        <v>272.40781084472513</v>
      </c>
    </row>
    <row r="240" spans="1:17">
      <c r="A240" s="49">
        <f t="shared" si="1"/>
        <v>2012.03</v>
      </c>
      <c r="B240" s="1591">
        <v>178.43059040998529</v>
      </c>
      <c r="C240" s="311">
        <v>164.59700108814101</v>
      </c>
      <c r="D240" s="1350">
        <v>167.56655123519209</v>
      </c>
      <c r="E240" s="1347">
        <v>120.8282225802257</v>
      </c>
      <c r="F240" s="311">
        <v>102.13625457159038</v>
      </c>
      <c r="G240" s="1347">
        <v>163.22254822623574</v>
      </c>
      <c r="H240" s="311">
        <v>107.38225943090576</v>
      </c>
      <c r="I240" s="1347">
        <v>211.86519323640914</v>
      </c>
      <c r="J240" s="311">
        <v>192.01972338208438</v>
      </c>
      <c r="K240" s="1347">
        <v>209.94280747653826</v>
      </c>
      <c r="L240" s="311">
        <v>230.2278825739854</v>
      </c>
      <c r="M240" s="1587">
        <v>233.26563470443966</v>
      </c>
      <c r="N240" s="1350">
        <v>157.22464317466313</v>
      </c>
      <c r="O240" s="1347">
        <v>210.98375274095599</v>
      </c>
      <c r="P240" s="1347">
        <v>164.40128905864498</v>
      </c>
      <c r="Q240" s="1136">
        <v>371.08477677208111</v>
      </c>
    </row>
    <row r="241" spans="1:17">
      <c r="A241" s="49">
        <f t="shared" si="1"/>
        <v>2012.04</v>
      </c>
      <c r="B241" s="1591">
        <v>159.0460443551147</v>
      </c>
      <c r="C241" s="311">
        <v>161.68133471185476</v>
      </c>
      <c r="D241" s="1350">
        <v>151.14514241251089</v>
      </c>
      <c r="E241" s="1347">
        <v>101.90770581505551</v>
      </c>
      <c r="F241" s="311">
        <v>102.24148193256518</v>
      </c>
      <c r="G241" s="1347">
        <v>152.93174792955716</v>
      </c>
      <c r="H241" s="311">
        <v>102.52966781236795</v>
      </c>
      <c r="I241" s="1347">
        <v>191.09625578235588</v>
      </c>
      <c r="J241" s="311">
        <v>159.27902665400381</v>
      </c>
      <c r="K241" s="1347">
        <v>204.48364204276359</v>
      </c>
      <c r="L241" s="311">
        <v>199.94365041136081</v>
      </c>
      <c r="M241" s="1587">
        <v>190.02616160785075</v>
      </c>
      <c r="N241" s="1350">
        <v>140.25025042383686</v>
      </c>
      <c r="O241" s="1347">
        <v>175.90808975931398</v>
      </c>
      <c r="P241" s="1347">
        <v>151.63234449965015</v>
      </c>
      <c r="Q241" s="1136">
        <v>338.45329944043164</v>
      </c>
    </row>
    <row r="242" spans="1:17">
      <c r="A242" s="49">
        <f t="shared" si="1"/>
        <v>2012.05</v>
      </c>
      <c r="B242" s="1591">
        <v>169.28951779123608</v>
      </c>
      <c r="C242" s="311">
        <v>162.52252948576802</v>
      </c>
      <c r="D242" s="1350">
        <v>159.95938613115132</v>
      </c>
      <c r="E242" s="1347">
        <v>109.63262436063634</v>
      </c>
      <c r="F242" s="311">
        <v>104.60100235693632</v>
      </c>
      <c r="G242" s="1347">
        <v>157.08513438101588</v>
      </c>
      <c r="H242" s="311">
        <v>106.60894433441331</v>
      </c>
      <c r="I242" s="1347">
        <v>200.57417674297253</v>
      </c>
      <c r="J242" s="311">
        <v>169.67585133091549</v>
      </c>
      <c r="K242" s="1347">
        <v>200.34376974179918</v>
      </c>
      <c r="L242" s="311">
        <v>219.58382396908408</v>
      </c>
      <c r="M242" s="1587">
        <v>212.67093174450054</v>
      </c>
      <c r="N242" s="1350">
        <v>148.82345640937888</v>
      </c>
      <c r="O242" s="1347">
        <v>190.3855180776325</v>
      </c>
      <c r="P242" s="1347">
        <v>157.4107454271842</v>
      </c>
      <c r="Q242" s="1136">
        <v>401.85742808684427</v>
      </c>
    </row>
    <row r="243" spans="1:17">
      <c r="A243" s="49">
        <f t="shared" si="1"/>
        <v>2012.06</v>
      </c>
      <c r="B243" s="1591">
        <v>165.43305441733611</v>
      </c>
      <c r="C243" s="311">
        <v>163.29068636247825</v>
      </c>
      <c r="D243" s="1350">
        <v>166.87070645063429</v>
      </c>
      <c r="E243" s="1347">
        <v>106.75044455508012</v>
      </c>
      <c r="F243" s="311">
        <v>101.492642835472</v>
      </c>
      <c r="G243" s="1347">
        <v>152.94591342682824</v>
      </c>
      <c r="H243" s="311">
        <v>106.37780250739539</v>
      </c>
      <c r="I243" s="1347">
        <v>183.02491390057224</v>
      </c>
      <c r="J243" s="311">
        <v>179.51108939158115</v>
      </c>
      <c r="K243" s="1347">
        <v>200.30401155244468</v>
      </c>
      <c r="L243" s="311">
        <v>214.84060906483566</v>
      </c>
      <c r="M243" s="1587">
        <v>183.27510193024631</v>
      </c>
      <c r="N243" s="1350">
        <v>153.56774421403586</v>
      </c>
      <c r="O243" s="1347">
        <v>178.93094836443126</v>
      </c>
      <c r="P243" s="1347">
        <v>152.80678089194632</v>
      </c>
      <c r="Q243" s="1136">
        <v>376.07140303923512</v>
      </c>
    </row>
    <row r="244" spans="1:17">
      <c r="A244" s="49">
        <f t="shared" si="1"/>
        <v>2012.07</v>
      </c>
      <c r="B244" s="1591">
        <v>173.28511066841304</v>
      </c>
      <c r="C244" s="311">
        <v>167.04759383102106</v>
      </c>
      <c r="D244" s="1350">
        <v>173.56167488097856</v>
      </c>
      <c r="E244" s="1347">
        <v>98.548943030674593</v>
      </c>
      <c r="F244" s="311">
        <v>93.845705491813504</v>
      </c>
      <c r="G244" s="1347">
        <v>154.75725540106663</v>
      </c>
      <c r="H244" s="311">
        <v>113.95929360473302</v>
      </c>
      <c r="I244" s="1347">
        <v>199.03916499358914</v>
      </c>
      <c r="J244" s="311">
        <v>179.65146776412274</v>
      </c>
      <c r="K244" s="1347">
        <v>170.51600249348633</v>
      </c>
      <c r="L244" s="311">
        <v>225.8422902511858</v>
      </c>
      <c r="M244" s="1587">
        <v>232.08638062590254</v>
      </c>
      <c r="N244" s="1350">
        <v>156.96341819336971</v>
      </c>
      <c r="O244" s="1347">
        <v>200.70179184451064</v>
      </c>
      <c r="P244" s="1347">
        <v>154.96668395022743</v>
      </c>
      <c r="Q244" s="1136">
        <v>416.06739141499497</v>
      </c>
    </row>
    <row r="245" spans="1:17">
      <c r="A245" s="49">
        <f t="shared" si="1"/>
        <v>2012.08</v>
      </c>
      <c r="B245" s="1591">
        <v>178.01432332779106</v>
      </c>
      <c r="C245" s="311">
        <v>165.05441199574486</v>
      </c>
      <c r="D245" s="1350">
        <v>175.67422276817061</v>
      </c>
      <c r="E245" s="1347">
        <v>111.21682351802163</v>
      </c>
      <c r="F245" s="311">
        <v>87.271156038070075</v>
      </c>
      <c r="G245" s="1347">
        <v>151.71772393231635</v>
      </c>
      <c r="H245" s="311">
        <v>113.95799450626849</v>
      </c>
      <c r="I245" s="1347">
        <v>200.93585516709911</v>
      </c>
      <c r="J245" s="311">
        <v>175.92425267594805</v>
      </c>
      <c r="K245" s="1347">
        <v>174.32754185320624</v>
      </c>
      <c r="L245" s="311">
        <v>220.66974967277847</v>
      </c>
      <c r="M245" s="1587">
        <v>278.29113055710383</v>
      </c>
      <c r="N245" s="1350">
        <v>161.41157119183927</v>
      </c>
      <c r="O245" s="1347">
        <v>211.47322559713766</v>
      </c>
      <c r="P245" s="1347">
        <v>155.66936693204292</v>
      </c>
      <c r="Q245" s="1136">
        <v>441.26674489820033</v>
      </c>
    </row>
    <row r="246" spans="1:17">
      <c r="A246" s="49">
        <f t="shared" si="1"/>
        <v>2012.09</v>
      </c>
      <c r="B246" s="1591">
        <v>168.37633181342574</v>
      </c>
      <c r="C246" s="311">
        <v>160.4419880270992</v>
      </c>
      <c r="D246" s="1350">
        <v>179.50935775544511</v>
      </c>
      <c r="E246" s="1347">
        <v>100.14197857693117</v>
      </c>
      <c r="F246" s="311">
        <v>87.421269194966627</v>
      </c>
      <c r="G246" s="1347">
        <v>151.09933471028367</v>
      </c>
      <c r="H246" s="311">
        <v>114.71340836737566</v>
      </c>
      <c r="I246" s="1347">
        <v>196.47975042525002</v>
      </c>
      <c r="J246" s="311">
        <v>178.77435385227366</v>
      </c>
      <c r="K246" s="1347">
        <v>178.72700816398043</v>
      </c>
      <c r="L246" s="311">
        <v>181.41415345483748</v>
      </c>
      <c r="M246" s="1587">
        <v>241.15913356656836</v>
      </c>
      <c r="N246" s="1350">
        <v>161.94753725200451</v>
      </c>
      <c r="O246" s="1347">
        <v>171.72052561584175</v>
      </c>
      <c r="P246" s="1347">
        <v>154.65182008909446</v>
      </c>
      <c r="Q246" s="1136">
        <v>411.23070811810447</v>
      </c>
    </row>
    <row r="247" spans="1:17">
      <c r="A247" s="49">
        <f t="shared" si="1"/>
        <v>2012.1</v>
      </c>
      <c r="B247" s="1591">
        <v>178.07928651352461</v>
      </c>
      <c r="C247" s="311">
        <v>163.09495958306928</v>
      </c>
      <c r="D247" s="1350">
        <v>173.69460516503463</v>
      </c>
      <c r="E247" s="1347">
        <v>112.20630337430994</v>
      </c>
      <c r="F247" s="311">
        <v>82.217961192165717</v>
      </c>
      <c r="G247" s="1347">
        <v>156.26871906468148</v>
      </c>
      <c r="H247" s="311">
        <v>114.92192189040709</v>
      </c>
      <c r="I247" s="1347">
        <v>210.24286346482847</v>
      </c>
      <c r="J247" s="311">
        <v>196.11839258279855</v>
      </c>
      <c r="K247" s="1347">
        <v>188.63434898049326</v>
      </c>
      <c r="L247" s="311">
        <v>208.46792461548415</v>
      </c>
      <c r="M247" s="1587">
        <v>278.39952059877504</v>
      </c>
      <c r="N247" s="1350">
        <v>160.08893328463543</v>
      </c>
      <c r="O247" s="1347">
        <v>201.1189217661973</v>
      </c>
      <c r="P247" s="1347">
        <v>160.95766626845682</v>
      </c>
      <c r="Q247" s="1136">
        <v>449.93164817819735</v>
      </c>
    </row>
    <row r="248" spans="1:17">
      <c r="A248" s="49">
        <f t="shared" si="1"/>
        <v>2012.11</v>
      </c>
      <c r="B248" s="1591">
        <v>166.68502294071868</v>
      </c>
      <c r="C248" s="311">
        <v>163.41116415974136</v>
      </c>
      <c r="D248" s="1350">
        <v>158.89851426775866</v>
      </c>
      <c r="E248" s="1347">
        <v>113.48707873287059</v>
      </c>
      <c r="F248" s="311">
        <v>81.3058513721232</v>
      </c>
      <c r="G248" s="1347">
        <v>158.05320419842363</v>
      </c>
      <c r="H248" s="311">
        <v>105.15074406254401</v>
      </c>
      <c r="I248" s="1347">
        <v>200.08295407881974</v>
      </c>
      <c r="J248" s="311">
        <v>191.49846781433732</v>
      </c>
      <c r="K248" s="1347">
        <v>181.21663996282646</v>
      </c>
      <c r="L248" s="311">
        <v>180.2293350824439</v>
      </c>
      <c r="M248" s="1587">
        <v>273.04327801028279</v>
      </c>
      <c r="N248" s="1350">
        <v>148.85021120015318</v>
      </c>
      <c r="O248" s="1347">
        <v>185.92562721018697</v>
      </c>
      <c r="P248" s="1347">
        <v>154.24081912132047</v>
      </c>
      <c r="Q248" s="1136">
        <v>394.27230103320505</v>
      </c>
    </row>
    <row r="249" spans="1:17">
      <c r="A249" s="49">
        <f t="shared" si="1"/>
        <v>2012.12</v>
      </c>
      <c r="B249" s="1591">
        <v>154.48666089412578</v>
      </c>
      <c r="C249" s="311">
        <v>164.03543524508788</v>
      </c>
      <c r="D249" s="1350">
        <v>166.01209083606713</v>
      </c>
      <c r="E249" s="1347">
        <v>121.0826523962065</v>
      </c>
      <c r="F249" s="311">
        <v>70.773082322550735</v>
      </c>
      <c r="G249" s="1347">
        <v>166.21548162424202</v>
      </c>
      <c r="H249" s="311">
        <v>113.39568091280461</v>
      </c>
      <c r="I249" s="1347">
        <v>187.4378343537131</v>
      </c>
      <c r="J249" s="311">
        <v>164.15293578534281</v>
      </c>
      <c r="K249" s="1347">
        <v>164.62188959875235</v>
      </c>
      <c r="L249" s="311">
        <v>142.4661575037685</v>
      </c>
      <c r="M249" s="1587">
        <v>212.1476120794884</v>
      </c>
      <c r="N249" s="1350">
        <v>156.07044048338895</v>
      </c>
      <c r="O249" s="1347">
        <v>143.1818267351037</v>
      </c>
      <c r="P249" s="1347">
        <v>146.94816457760118</v>
      </c>
      <c r="Q249" s="1136">
        <v>327.69214061719146</v>
      </c>
    </row>
    <row r="250" spans="1:17">
      <c r="A250" s="49">
        <f t="shared" si="1"/>
        <v>2013.01</v>
      </c>
      <c r="B250" s="1591">
        <v>139.19084977579405</v>
      </c>
      <c r="C250" s="311">
        <v>160.46111077321106</v>
      </c>
      <c r="D250" s="1350">
        <v>157.96978970332381</v>
      </c>
      <c r="E250" s="1347">
        <v>110.13954934236183</v>
      </c>
      <c r="F250" s="311">
        <v>65.735295677154497</v>
      </c>
      <c r="G250" s="1347">
        <v>153.93588187009573</v>
      </c>
      <c r="H250" s="311">
        <v>108.44157616565712</v>
      </c>
      <c r="I250" s="1347">
        <v>201.2162881368497</v>
      </c>
      <c r="J250" s="311">
        <v>179.8000486788786</v>
      </c>
      <c r="K250" s="1347">
        <v>162.15783134105763</v>
      </c>
      <c r="L250" s="311">
        <v>86.904813682944265</v>
      </c>
      <c r="M250" s="1587">
        <v>148.60577321456469</v>
      </c>
      <c r="N250" s="1350">
        <v>147.38627158101912</v>
      </c>
      <c r="O250" s="1347">
        <v>91.557057355042062</v>
      </c>
      <c r="P250" s="1347">
        <v>150.24596311277429</v>
      </c>
      <c r="Q250" s="1136">
        <v>223.23467362291578</v>
      </c>
    </row>
    <row r="251" spans="1:17">
      <c r="A251" s="49">
        <f t="shared" si="1"/>
        <v>2013.02</v>
      </c>
      <c r="B251" s="1591">
        <v>137.92787875732463</v>
      </c>
      <c r="C251" s="311">
        <v>161.802431667967</v>
      </c>
      <c r="D251" s="1350">
        <v>138.91591454330435</v>
      </c>
      <c r="E251" s="1347">
        <v>102.40886686412787</v>
      </c>
      <c r="F251" s="311">
        <v>81.317635914742525</v>
      </c>
      <c r="G251" s="1347">
        <v>150.26780677969199</v>
      </c>
      <c r="H251" s="311">
        <v>98.350307000986064</v>
      </c>
      <c r="I251" s="1347">
        <v>171.37856489994897</v>
      </c>
      <c r="J251" s="311">
        <v>160.87097698329535</v>
      </c>
      <c r="K251" s="1347">
        <v>155.40769532751926</v>
      </c>
      <c r="L251" s="311">
        <v>130.23903234930881</v>
      </c>
      <c r="M251" s="1587">
        <v>186.46688953691631</v>
      </c>
      <c r="N251" s="1350">
        <v>130.83790787245024</v>
      </c>
      <c r="O251" s="1347">
        <v>125.10045481400294</v>
      </c>
      <c r="P251" s="1347">
        <v>136.401178807669</v>
      </c>
      <c r="Q251" s="1136">
        <v>319.07921112629572</v>
      </c>
    </row>
    <row r="252" spans="1:17">
      <c r="A252" s="49">
        <f t="shared" si="1"/>
        <v>2013.03</v>
      </c>
      <c r="B252" s="1591">
        <v>173.81136206335773</v>
      </c>
      <c r="C252" s="311">
        <v>164.74724551230199</v>
      </c>
      <c r="D252" s="1350">
        <v>150.84512690863946</v>
      </c>
      <c r="E252" s="1347">
        <v>115.45441228725817</v>
      </c>
      <c r="F252" s="311">
        <v>98.646554349648369</v>
      </c>
      <c r="G252" s="1347">
        <v>157.90720062629939</v>
      </c>
      <c r="H252" s="311">
        <v>114.64862645443019</v>
      </c>
      <c r="I252" s="1347">
        <v>221.49405239836682</v>
      </c>
      <c r="J252" s="311">
        <v>184.22148988943627</v>
      </c>
      <c r="K252" s="1347">
        <v>208.23386678644977</v>
      </c>
      <c r="L252" s="311">
        <v>195.1284438499269</v>
      </c>
      <c r="M252" s="1587">
        <v>277.66047078174125</v>
      </c>
      <c r="N252" s="1350">
        <v>143.01413407377154</v>
      </c>
      <c r="O252" s="1347">
        <v>194.40710496343999</v>
      </c>
      <c r="P252" s="1347">
        <v>167.83539971284546</v>
      </c>
      <c r="Q252" s="1136">
        <v>425.32189731354629</v>
      </c>
    </row>
    <row r="253" spans="1:17">
      <c r="A253" s="49">
        <f t="shared" si="1"/>
        <v>2013.04</v>
      </c>
      <c r="B253" s="1591">
        <v>169.64338672069911</v>
      </c>
      <c r="C253" s="311">
        <v>167.32893812958216</v>
      </c>
      <c r="D253" s="1350">
        <v>158.97658758655959</v>
      </c>
      <c r="E253" s="1347">
        <v>102.4389797411423</v>
      </c>
      <c r="F253" s="311">
        <v>98.616430115543992</v>
      </c>
      <c r="G253" s="1347">
        <v>148.70781019058384</v>
      </c>
      <c r="H253" s="311">
        <v>96.292440836737555</v>
      </c>
      <c r="I253" s="1347">
        <v>202.42460493440041</v>
      </c>
      <c r="J253" s="311">
        <v>192.06409650812697</v>
      </c>
      <c r="K253" s="1347">
        <v>196.41318582853032</v>
      </c>
      <c r="L253" s="311">
        <v>205.12374277501232</v>
      </c>
      <c r="M253" s="1587">
        <v>265.01225396056367</v>
      </c>
      <c r="N253" s="1350">
        <v>146.46636826280093</v>
      </c>
      <c r="O253" s="1347">
        <v>195.33292375901974</v>
      </c>
      <c r="P253" s="1347">
        <v>155.1470879555375</v>
      </c>
      <c r="Q253" s="1136">
        <v>436.00150514909916</v>
      </c>
    </row>
    <row r="254" spans="1:17">
      <c r="A254" s="49">
        <f t="shared" ref="A254:A319" si="2">A242+1</f>
        <v>2013.05</v>
      </c>
      <c r="B254" s="1591">
        <v>177.20850456421465</v>
      </c>
      <c r="C254" s="311">
        <v>169.42458273549272</v>
      </c>
      <c r="D254" s="1350">
        <v>167.83618351284287</v>
      </c>
      <c r="E254" s="1347">
        <v>102.21950791756646</v>
      </c>
      <c r="F254" s="311">
        <v>104.7618733841912</v>
      </c>
      <c r="G254" s="1347">
        <v>153.71670454523604</v>
      </c>
      <c r="H254" s="311">
        <v>101.20239237920832</v>
      </c>
      <c r="I254" s="1347">
        <v>217.22422119404851</v>
      </c>
      <c r="J254" s="311">
        <v>198.31914145397695</v>
      </c>
      <c r="K254" s="1347">
        <v>205.49227000765887</v>
      </c>
      <c r="L254" s="311">
        <v>206.1739684638394</v>
      </c>
      <c r="M254" s="1587">
        <v>279.98809923794249</v>
      </c>
      <c r="N254" s="1350">
        <v>153.31701593084603</v>
      </c>
      <c r="O254" s="1347">
        <v>199.2981327640278</v>
      </c>
      <c r="P254" s="1347">
        <v>164.10241603624161</v>
      </c>
      <c r="Q254" s="1136">
        <v>454.97336160748722</v>
      </c>
    </row>
    <row r="255" spans="1:17">
      <c r="A255" s="49">
        <f t="shared" si="2"/>
        <v>2013.06</v>
      </c>
      <c r="B255" s="1591">
        <v>162.14619661510005</v>
      </c>
      <c r="C255" s="311">
        <v>163.33805980471067</v>
      </c>
      <c r="D255" s="1350">
        <v>166.36302287099733</v>
      </c>
      <c r="E255" s="1347">
        <v>99.064048477828493</v>
      </c>
      <c r="F255" s="311">
        <v>95.505915375430931</v>
      </c>
      <c r="G255" s="1347">
        <v>153.22900978642244</v>
      </c>
      <c r="H255" s="311">
        <v>106.15101400197209</v>
      </c>
      <c r="I255" s="1347">
        <v>176.79111528431741</v>
      </c>
      <c r="J255" s="311">
        <v>186.7302196038147</v>
      </c>
      <c r="K255" s="1347">
        <v>186.39997431415452</v>
      </c>
      <c r="L255" s="311">
        <v>188.7381625234911</v>
      </c>
      <c r="M255" s="1587">
        <v>223.61104607137199</v>
      </c>
      <c r="N255" s="1350">
        <v>151.4716087838552</v>
      </c>
      <c r="O255" s="1347">
        <v>172.29815875747812</v>
      </c>
      <c r="P255" s="1347">
        <v>148.62867464383035</v>
      </c>
      <c r="Q255" s="1136">
        <v>397.15420637380066</v>
      </c>
    </row>
    <row r="256" spans="1:17">
      <c r="A256" s="49">
        <f t="shared" si="2"/>
        <v>2013.07</v>
      </c>
      <c r="B256" s="1591">
        <v>172.23333290773476</v>
      </c>
      <c r="C256" s="311">
        <v>164.39091628834163</v>
      </c>
      <c r="D256" s="1350">
        <v>180.94618832028954</v>
      </c>
      <c r="E256" s="1347">
        <v>102.11090634426951</v>
      </c>
      <c r="F256" s="311">
        <v>93.673788252556037</v>
      </c>
      <c r="G256" s="1347">
        <v>156.53156381407723</v>
      </c>
      <c r="H256" s="311">
        <v>109.57701214255526</v>
      </c>
      <c r="I256" s="1347">
        <v>187.53377723715036</v>
      </c>
      <c r="J256" s="311">
        <v>197.40781582283384</v>
      </c>
      <c r="K256" s="1347">
        <v>197.08287849348505</v>
      </c>
      <c r="L256" s="311">
        <v>199.61213992789612</v>
      </c>
      <c r="M256" s="1587">
        <v>252.53718355284946</v>
      </c>
      <c r="N256" s="1350">
        <v>163.50210630912756</v>
      </c>
      <c r="O256" s="1347">
        <v>188.15050164847082</v>
      </c>
      <c r="P256" s="1347">
        <v>153.64145872812043</v>
      </c>
      <c r="Q256" s="1136">
        <v>422.99684218256391</v>
      </c>
    </row>
    <row r="257" spans="1:17">
      <c r="A257" s="49">
        <f t="shared" si="2"/>
        <v>2013.08</v>
      </c>
      <c r="B257" s="1591">
        <v>178.40888060721144</v>
      </c>
      <c r="C257" s="311">
        <v>167.77200457339785</v>
      </c>
      <c r="D257" s="1350">
        <v>180.56235303030729</v>
      </c>
      <c r="E257" s="1347">
        <v>109.64654491817436</v>
      </c>
      <c r="F257" s="311">
        <v>90.283906008098782</v>
      </c>
      <c r="G257" s="1347">
        <v>153.28829415148658</v>
      </c>
      <c r="H257" s="311">
        <v>112.6913689815467</v>
      </c>
      <c r="I257" s="1347">
        <v>207.34629336393391</v>
      </c>
      <c r="J257" s="311">
        <v>207.71125207724785</v>
      </c>
      <c r="K257" s="1347">
        <v>205.51432896431993</v>
      </c>
      <c r="L257" s="311">
        <v>210.51616089581552</v>
      </c>
      <c r="M257" s="1587">
        <v>248.70068707406949</v>
      </c>
      <c r="N257" s="1350">
        <v>164.87063300865307</v>
      </c>
      <c r="O257" s="1347">
        <v>192.07039723297549</v>
      </c>
      <c r="P257" s="1347">
        <v>163.25163163497356</v>
      </c>
      <c r="Q257" s="1136">
        <v>441.78653720153579</v>
      </c>
    </row>
    <row r="258" spans="1:17">
      <c r="A258" s="49">
        <f t="shared" si="2"/>
        <v>2013.09</v>
      </c>
      <c r="B258" s="1591">
        <v>178.39294807848603</v>
      </c>
      <c r="C258" s="311">
        <v>167.99104136367899</v>
      </c>
      <c r="D258" s="1350">
        <v>183.70202527045629</v>
      </c>
      <c r="E258" s="1347">
        <v>98.535006209246106</v>
      </c>
      <c r="F258" s="311">
        <v>90.694705722154168</v>
      </c>
      <c r="G258" s="1347">
        <v>152.77022550385291</v>
      </c>
      <c r="H258" s="311">
        <v>113.25152294689393</v>
      </c>
      <c r="I258" s="1347">
        <v>205.57697410055226</v>
      </c>
      <c r="J258" s="311">
        <v>206.05334452620204</v>
      </c>
      <c r="K258" s="1347">
        <v>200.45736177497531</v>
      </c>
      <c r="L258" s="311">
        <v>211.50804234933307</v>
      </c>
      <c r="M258" s="1587">
        <v>253.44559711489563</v>
      </c>
      <c r="N258" s="1350">
        <v>164.85690379804439</v>
      </c>
      <c r="O258" s="1347">
        <v>195.6107129110284</v>
      </c>
      <c r="P258" s="1347">
        <v>161.99908592835877</v>
      </c>
      <c r="Q258" s="1136">
        <v>435.46477839452939</v>
      </c>
    </row>
    <row r="259" spans="1:17">
      <c r="A259" s="49">
        <f t="shared" si="2"/>
        <v>2013.1</v>
      </c>
      <c r="B259" s="1591">
        <v>183.1427956473978</v>
      </c>
      <c r="C259" s="311">
        <v>167.63694709399647</v>
      </c>
      <c r="D259" s="1350">
        <v>181.60629768407665</v>
      </c>
      <c r="E259" s="1347">
        <v>112.1484711392811</v>
      </c>
      <c r="F259" s="311">
        <v>87.971202796620958</v>
      </c>
      <c r="G259" s="1347">
        <v>155.93141317946026</v>
      </c>
      <c r="H259" s="311">
        <v>111.33117916607974</v>
      </c>
      <c r="I259" s="1347">
        <v>214.70062530187175</v>
      </c>
      <c r="J259" s="311">
        <v>222.12210791788954</v>
      </c>
      <c r="K259" s="1347">
        <v>210.90620655493132</v>
      </c>
      <c r="L259" s="311">
        <v>220.06888134708112</v>
      </c>
      <c r="M259" s="1587">
        <v>266.42486352426539</v>
      </c>
      <c r="N259" s="1350">
        <v>166.23718892725091</v>
      </c>
      <c r="O259" s="1347">
        <v>204.87517472293672</v>
      </c>
      <c r="P259" s="1347">
        <v>166.15754118527337</v>
      </c>
      <c r="Q259" s="1136">
        <v>451.23616162653497</v>
      </c>
    </row>
    <row r="260" spans="1:17">
      <c r="A260" s="49">
        <f t="shared" si="2"/>
        <v>2013.11</v>
      </c>
      <c r="B260" s="1591">
        <v>162.11083418861847</v>
      </c>
      <c r="C260" s="311">
        <v>162.92600326430528</v>
      </c>
      <c r="D260" s="1350">
        <v>160.21306719874642</v>
      </c>
      <c r="E260" s="1347">
        <v>108.0552731649252</v>
      </c>
      <c r="F260" s="311">
        <v>87.476871721410831</v>
      </c>
      <c r="G260" s="1347">
        <v>157.77836530714833</v>
      </c>
      <c r="H260" s="311">
        <v>108.05876006479784</v>
      </c>
      <c r="I260" s="1347">
        <v>214.11792126092553</v>
      </c>
      <c r="J260" s="311">
        <v>201.9587969770887</v>
      </c>
      <c r="K260" s="1347">
        <v>207.24857471019504</v>
      </c>
      <c r="L260" s="311">
        <v>152.89372371107135</v>
      </c>
      <c r="M260" s="1587">
        <v>221.13260035878136</v>
      </c>
      <c r="N260" s="1350">
        <v>148.67198034217847</v>
      </c>
      <c r="O260" s="1347">
        <v>146.15261382748525</v>
      </c>
      <c r="P260" s="1347">
        <v>163.45134969128222</v>
      </c>
      <c r="Q260" s="1136">
        <v>385.55053637471781</v>
      </c>
    </row>
    <row r="261" spans="1:17">
      <c r="A261" s="49">
        <f t="shared" si="2"/>
        <v>2013.12</v>
      </c>
      <c r="B261" s="1591">
        <v>154.79672870157944</v>
      </c>
      <c r="C261" s="311">
        <v>162.94356138230532</v>
      </c>
      <c r="D261" s="1350">
        <v>167.90488537891949</v>
      </c>
      <c r="E261" s="1347">
        <v>126.55487723647131</v>
      </c>
      <c r="F261" s="311">
        <v>76.006395701813048</v>
      </c>
      <c r="G261" s="1347">
        <v>163.88072452074212</v>
      </c>
      <c r="H261" s="311">
        <v>112.46483534300604</v>
      </c>
      <c r="I261" s="1347">
        <v>194.87532027781671</v>
      </c>
      <c r="J261" s="311">
        <v>185.43494350510042</v>
      </c>
      <c r="K261" s="1347">
        <v>197.03493894764475</v>
      </c>
      <c r="L261" s="311">
        <v>145.00251195597949</v>
      </c>
      <c r="M261" s="1587">
        <v>161.98865586172531</v>
      </c>
      <c r="N261" s="1350">
        <v>158.75526461117127</v>
      </c>
      <c r="O261" s="1347">
        <v>122.4194638189708</v>
      </c>
      <c r="P261" s="1347">
        <v>154.23041694533651</v>
      </c>
      <c r="Q261" s="1136">
        <v>346.92444423546272</v>
      </c>
    </row>
    <row r="262" spans="1:17">
      <c r="A262" s="49">
        <f t="shared" si="2"/>
        <v>2014.01</v>
      </c>
      <c r="B262" s="1591">
        <v>141.13520505712751</v>
      </c>
      <c r="C262" s="311">
        <v>163.56339582284579</v>
      </c>
      <c r="D262" s="1350">
        <v>162.41552944435409</v>
      </c>
      <c r="E262" s="1347">
        <v>130.88667067950945</v>
      </c>
      <c r="F262" s="311">
        <v>71.676976386355861</v>
      </c>
      <c r="G262" s="1347">
        <v>154.95649221110358</v>
      </c>
      <c r="H262" s="311">
        <v>110.93636272714464</v>
      </c>
      <c r="I262" s="1347">
        <v>202.68252079185507</v>
      </c>
      <c r="J262" s="311">
        <v>185.66890144096314</v>
      </c>
      <c r="K262" s="1347">
        <v>187.76750237145819</v>
      </c>
      <c r="L262" s="311">
        <v>84.148350339337199</v>
      </c>
      <c r="M262" s="1587">
        <v>123.93534005175462</v>
      </c>
      <c r="N262" s="1350">
        <v>155.43905921139947</v>
      </c>
      <c r="O262" s="1347">
        <v>77.848691928714402</v>
      </c>
      <c r="P262" s="1347">
        <v>154.65602222269229</v>
      </c>
      <c r="Q262" s="1136">
        <v>236.12084464006608</v>
      </c>
    </row>
    <row r="263" spans="1:17">
      <c r="A263" s="49">
        <f t="shared" si="2"/>
        <v>2014.02</v>
      </c>
      <c r="B263" s="1591">
        <v>149.20600378465463</v>
      </c>
      <c r="C263" s="311">
        <v>161.440259355688</v>
      </c>
      <c r="D263" s="1350">
        <v>141.90680384391891</v>
      </c>
      <c r="E263" s="1347">
        <v>93.027846205254178</v>
      </c>
      <c r="F263" s="311">
        <v>86.819406202109903</v>
      </c>
      <c r="G263" s="1347">
        <v>150.00187547355733</v>
      </c>
      <c r="H263" s="311">
        <v>101.45550169037895</v>
      </c>
      <c r="I263" s="1347">
        <v>192.23793133553019</v>
      </c>
      <c r="J263" s="311">
        <v>161.45420967441007</v>
      </c>
      <c r="K263" s="1347">
        <v>175.40416948846564</v>
      </c>
      <c r="L263" s="311">
        <v>170.79139655997304</v>
      </c>
      <c r="M263" s="1587">
        <v>188.80420826549076</v>
      </c>
      <c r="N263" s="1350">
        <v>131.09123340011257</v>
      </c>
      <c r="O263" s="1347">
        <v>151.54049060955955</v>
      </c>
      <c r="P263" s="1347">
        <v>146.50247887697441</v>
      </c>
      <c r="Q263" s="1136">
        <v>352.56090241047571</v>
      </c>
    </row>
    <row r="264" spans="1:17">
      <c r="A264" s="49">
        <f t="shared" si="2"/>
        <v>2014.03</v>
      </c>
      <c r="B264" s="1591">
        <v>156.77854558701952</v>
      </c>
      <c r="C264" s="311">
        <v>160.330040409855</v>
      </c>
      <c r="D264" s="1350">
        <v>149.57968076046356</v>
      </c>
      <c r="E264" s="1347">
        <v>101.63879633019748</v>
      </c>
      <c r="F264" s="311">
        <v>101.79938432025305</v>
      </c>
      <c r="G264" s="1347">
        <v>161.99480826677785</v>
      </c>
      <c r="H264" s="311">
        <v>92.087405705028843</v>
      </c>
      <c r="I264" s="1347">
        <v>205.65965802734158</v>
      </c>
      <c r="J264" s="311">
        <v>182.5939553341056</v>
      </c>
      <c r="K264" s="1347">
        <v>209.57078318881591</v>
      </c>
      <c r="L264" s="311">
        <v>164.18096565205607</v>
      </c>
      <c r="M264" s="1587">
        <v>207.25243417994844</v>
      </c>
      <c r="N264" s="1350">
        <v>138.97168014541435</v>
      </c>
      <c r="O264" s="1347">
        <v>149.71976223668244</v>
      </c>
      <c r="P264" s="1347">
        <v>156.82124210375727</v>
      </c>
      <c r="Q264" s="1136">
        <v>381.3390323239397</v>
      </c>
    </row>
    <row r="265" spans="1:17">
      <c r="A265" s="49">
        <f t="shared" si="2"/>
        <v>2014.04</v>
      </c>
      <c r="B265" s="1591">
        <v>156.79053131695986</v>
      </c>
      <c r="C265" s="311">
        <v>156.41075768273708</v>
      </c>
      <c r="D265" s="1350">
        <v>154.19016597546039</v>
      </c>
      <c r="E265" s="1347">
        <v>119.71282387094062</v>
      </c>
      <c r="F265" s="311">
        <v>98.970326324087821</v>
      </c>
      <c r="G265" s="1347">
        <v>147.50961220658905</v>
      </c>
      <c r="H265" s="311">
        <v>102.7355402873644</v>
      </c>
      <c r="I265" s="1347">
        <v>183.36077775892505</v>
      </c>
      <c r="J265" s="311">
        <v>180.43940020082195</v>
      </c>
      <c r="K265" s="1347">
        <v>211.52336827591839</v>
      </c>
      <c r="L265" s="311">
        <v>166.42978565530115</v>
      </c>
      <c r="M265" s="1587">
        <v>209.40820602980182</v>
      </c>
      <c r="N265" s="1350">
        <v>146.56127738492972</v>
      </c>
      <c r="O265" s="1347">
        <v>149.64325253982605</v>
      </c>
      <c r="P265" s="1347">
        <v>150.55119781109258</v>
      </c>
      <c r="Q265" s="1136">
        <v>399.35243312140699</v>
      </c>
    </row>
    <row r="266" spans="1:17">
      <c r="A266" s="49">
        <f t="shared" si="2"/>
        <v>2014.05</v>
      </c>
      <c r="B266" s="1591">
        <v>163.65210006756138</v>
      </c>
      <c r="C266" s="311">
        <v>159.27933935555444</v>
      </c>
      <c r="D266" s="1350">
        <v>160.58751451676522</v>
      </c>
      <c r="E266" s="1347">
        <v>85.418472235983131</v>
      </c>
      <c r="F266" s="311">
        <v>100.12628440256917</v>
      </c>
      <c r="G266" s="1347">
        <v>148.31107409548653</v>
      </c>
      <c r="H266" s="311">
        <v>115.22772927172839</v>
      </c>
      <c r="I266" s="1347">
        <v>217.90800391557357</v>
      </c>
      <c r="J266" s="311">
        <v>183.04794166241581</v>
      </c>
      <c r="K266" s="1347">
        <v>216.02525537980216</v>
      </c>
      <c r="L266" s="311">
        <v>182.92061265423524</v>
      </c>
      <c r="M266" s="1587">
        <v>180.63297411594746</v>
      </c>
      <c r="N266" s="1350">
        <v>143.95467062530406</v>
      </c>
      <c r="O266" s="1347">
        <v>153.20984926609447</v>
      </c>
      <c r="P266" s="1347">
        <v>167.01613937231087</v>
      </c>
      <c r="Q266" s="1136">
        <v>381.34639069922076</v>
      </c>
    </row>
    <row r="267" spans="1:17">
      <c r="A267" s="49">
        <f t="shared" si="2"/>
        <v>2014.06</v>
      </c>
      <c r="B267" s="1591">
        <v>159.18825499228873</v>
      </c>
      <c r="C267" s="311">
        <v>157.89718754004588</v>
      </c>
      <c r="D267" s="1350">
        <v>167.0855394086052</v>
      </c>
      <c r="E267" s="1347">
        <v>96.1823653502626</v>
      </c>
      <c r="F267" s="311">
        <v>94.856806766941986</v>
      </c>
      <c r="G267" s="1347">
        <v>147.41847053794913</v>
      </c>
      <c r="H267" s="311">
        <v>111.34010022538388</v>
      </c>
      <c r="I267" s="1347">
        <v>192.46449838868259</v>
      </c>
      <c r="J267" s="311">
        <v>177.95601857970544</v>
      </c>
      <c r="K267" s="1347">
        <v>204.46799612132028</v>
      </c>
      <c r="L267" s="311">
        <v>172.89358967789519</v>
      </c>
      <c r="M267" s="1587">
        <v>180.00112152302529</v>
      </c>
      <c r="N267" s="1350">
        <v>151.39661495595161</v>
      </c>
      <c r="O267" s="1347">
        <v>145.66105009205708</v>
      </c>
      <c r="P267" s="1347">
        <v>155.77622366947475</v>
      </c>
      <c r="Q267" s="1136">
        <v>379.8864125932231</v>
      </c>
    </row>
    <row r="268" spans="1:17">
      <c r="A268" s="49">
        <f t="shared" si="2"/>
        <v>2014.07</v>
      </c>
      <c r="B268" s="1591">
        <v>163.69065460066139</v>
      </c>
      <c r="C268" s="311">
        <v>156.02711028784282</v>
      </c>
      <c r="D268" s="1350">
        <v>179.40812928921122</v>
      </c>
      <c r="E268" s="1347">
        <v>107.1393045510666</v>
      </c>
      <c r="F268" s="311">
        <v>92.396657600354644</v>
      </c>
      <c r="G268" s="1347">
        <v>158.52416794180729</v>
      </c>
      <c r="H268" s="311">
        <v>112.56391221298772</v>
      </c>
      <c r="I268" s="1347">
        <v>194.48216397155542</v>
      </c>
      <c r="J268" s="311">
        <v>196.90558023661887</v>
      </c>
      <c r="K268" s="1347">
        <v>203.56671215788194</v>
      </c>
      <c r="L268" s="311">
        <v>176.34045155075387</v>
      </c>
      <c r="M268" s="1587">
        <v>175.77410559691739</v>
      </c>
      <c r="N268" s="1350">
        <v>163.41702386047751</v>
      </c>
      <c r="O268" s="1347">
        <v>149.74242192246044</v>
      </c>
      <c r="P268" s="1347">
        <v>157.20464644989357</v>
      </c>
      <c r="Q268" s="1136">
        <v>358.02082683733249</v>
      </c>
    </row>
    <row r="269" spans="1:17">
      <c r="A269" s="49">
        <f t="shared" si="2"/>
        <v>2014.08</v>
      </c>
      <c r="B269" s="1591">
        <v>159.01658795417913</v>
      </c>
      <c r="C269" s="311">
        <v>152.11607152812905</v>
      </c>
      <c r="D269" s="1350">
        <v>183.72546792192102</v>
      </c>
      <c r="E269" s="1347">
        <v>100.74542502242122</v>
      </c>
      <c r="F269" s="311">
        <v>88.378606955404479</v>
      </c>
      <c r="G269" s="1347">
        <v>152.5081294477871</v>
      </c>
      <c r="H269" s="311">
        <v>108.763134624595</v>
      </c>
      <c r="I269" s="1347">
        <v>180.76416425884378</v>
      </c>
      <c r="J269" s="311">
        <v>197.2019448610364</v>
      </c>
      <c r="K269" s="1347">
        <v>201.42336806291326</v>
      </c>
      <c r="L269" s="311">
        <v>167.27189528432464</v>
      </c>
      <c r="M269" s="1587">
        <v>159.4044107250721</v>
      </c>
      <c r="N269" s="1350">
        <v>165.364264189956</v>
      </c>
      <c r="O269" s="1347">
        <v>137.67887956487644</v>
      </c>
      <c r="P269" s="1347">
        <v>151.77952182304907</v>
      </c>
      <c r="Q269" s="1136">
        <v>349.65951927306088</v>
      </c>
    </row>
    <row r="270" spans="1:17">
      <c r="A270" s="49">
        <f t="shared" si="2"/>
        <v>2014.09</v>
      </c>
      <c r="B270" s="1591">
        <v>168.23982281767903</v>
      </c>
      <c r="C270" s="311">
        <v>156.38238697685722</v>
      </c>
      <c r="D270" s="1350">
        <v>190.29916797000652</v>
      </c>
      <c r="E270" s="1347">
        <v>101.2473313969747</v>
      </c>
      <c r="F270" s="311">
        <v>88.346200802672357</v>
      </c>
      <c r="G270" s="1347">
        <v>152.49881353115276</v>
      </c>
      <c r="H270" s="311">
        <v>107.55707077053106</v>
      </c>
      <c r="I270" s="1347">
        <v>209.80011839750097</v>
      </c>
      <c r="J270" s="311">
        <v>202.83486868671667</v>
      </c>
      <c r="K270" s="1347">
        <v>196.19676500613252</v>
      </c>
      <c r="L270" s="311">
        <v>168.26578433109248</v>
      </c>
      <c r="M270" s="1587">
        <v>198.86624079026382</v>
      </c>
      <c r="N270" s="1350">
        <v>170.59444311220642</v>
      </c>
      <c r="O270" s="1347">
        <v>146.44940216967262</v>
      </c>
      <c r="P270" s="1347">
        <v>160.97121774746842</v>
      </c>
      <c r="Q270" s="1136">
        <v>402.05892896262026</v>
      </c>
    </row>
    <row r="271" spans="1:17">
      <c r="A271" s="49">
        <f t="shared" si="2"/>
        <v>2014.1</v>
      </c>
      <c r="B271" s="1591">
        <v>169.66136319342789</v>
      </c>
      <c r="C271" s="311">
        <v>155.64112533469802</v>
      </c>
      <c r="D271" s="1350">
        <v>189.17206229814144</v>
      </c>
      <c r="E271" s="1347">
        <v>114.86471854065516</v>
      </c>
      <c r="F271" s="311">
        <v>82.317477553182258</v>
      </c>
      <c r="G271" s="1347">
        <v>148.06623567576162</v>
      </c>
      <c r="H271" s="311">
        <v>113.50876747429213</v>
      </c>
      <c r="I271" s="1347">
        <v>204.37196060917134</v>
      </c>
      <c r="J271" s="311">
        <v>213.73777986841966</v>
      </c>
      <c r="K271" s="1347">
        <v>207.25042341769583</v>
      </c>
      <c r="L271" s="311">
        <v>165.44984190687202</v>
      </c>
      <c r="M271" s="1587">
        <v>212.58773844370995</v>
      </c>
      <c r="N271" s="1350">
        <v>172.72988861591276</v>
      </c>
      <c r="O271" s="1347">
        <v>146.24106102424008</v>
      </c>
      <c r="P271" s="1347">
        <v>161.11771169510715</v>
      </c>
      <c r="Q271" s="1136">
        <v>426.40956341637616</v>
      </c>
    </row>
    <row r="272" spans="1:17">
      <c r="A272" s="49">
        <f t="shared" si="2"/>
        <v>2014.11</v>
      </c>
      <c r="B272" s="1591">
        <v>154.82248927821649</v>
      </c>
      <c r="C272" s="311">
        <v>156.13267539933861</v>
      </c>
      <c r="D272" s="1350">
        <v>168.12861084639698</v>
      </c>
      <c r="E272" s="1347">
        <v>103.5983680785981</v>
      </c>
      <c r="F272" s="311">
        <v>82.724035677604093</v>
      </c>
      <c r="G272" s="1347">
        <v>157.63007229952359</v>
      </c>
      <c r="H272" s="311">
        <v>102.42774937315113</v>
      </c>
      <c r="I272" s="1347">
        <v>187.17006317903429</v>
      </c>
      <c r="J272" s="311">
        <v>194.49982230460054</v>
      </c>
      <c r="K272" s="1347">
        <v>203.29744399593164</v>
      </c>
      <c r="L272" s="311">
        <v>147.77299569417352</v>
      </c>
      <c r="M272" s="1587">
        <v>190.74373533098409</v>
      </c>
      <c r="N272" s="1350">
        <v>153.84984100088442</v>
      </c>
      <c r="O272" s="1347">
        <v>134.89424425558877</v>
      </c>
      <c r="P272" s="1347">
        <v>151.29142872734829</v>
      </c>
      <c r="Q272" s="1136">
        <v>353.75514014953097</v>
      </c>
    </row>
    <row r="273" spans="1:17">
      <c r="A273" s="49">
        <f t="shared" si="2"/>
        <v>2014.12</v>
      </c>
      <c r="B273" s="1591">
        <v>146.3154841311447</v>
      </c>
      <c r="C273" s="311">
        <v>152.45601233130975</v>
      </c>
      <c r="D273" s="1350">
        <v>172.72462531093001</v>
      </c>
      <c r="E273" s="1347">
        <v>120.68895222075989</v>
      </c>
      <c r="F273" s="311">
        <v>72.059155636162899</v>
      </c>
      <c r="G273" s="1347">
        <v>162.43792275698166</v>
      </c>
      <c r="H273" s="311">
        <v>112.69781722777856</v>
      </c>
      <c r="I273" s="1347">
        <v>163.66863905076559</v>
      </c>
      <c r="J273" s="311">
        <v>182.76726396567011</v>
      </c>
      <c r="K273" s="1347">
        <v>204.28064756478031</v>
      </c>
      <c r="L273" s="311">
        <v>128.15282735950242</v>
      </c>
      <c r="M273" s="1587">
        <v>140.90934880249679</v>
      </c>
      <c r="N273" s="1350">
        <v>161.21056046408833</v>
      </c>
      <c r="O273" s="1347">
        <v>105.80756985832896</v>
      </c>
      <c r="P273" s="1347">
        <v>143.65244480651492</v>
      </c>
      <c r="Q273" s="1136">
        <v>316.894334887752</v>
      </c>
    </row>
    <row r="274" spans="1:17">
      <c r="A274" s="49">
        <f t="shared" si="2"/>
        <v>2015.01</v>
      </c>
      <c r="B274" s="1591">
        <v>131.78592269320691</v>
      </c>
      <c r="C274" s="311">
        <v>155.1895237114571</v>
      </c>
      <c r="D274" s="1350">
        <v>159.80277752163971</v>
      </c>
      <c r="E274" s="1347">
        <v>101.75934162093176</v>
      </c>
      <c r="F274" s="311">
        <v>67.997802877494195</v>
      </c>
      <c r="G274" s="1347">
        <v>153.63740808327165</v>
      </c>
      <c r="H274" s="311">
        <v>112.69244372446823</v>
      </c>
      <c r="I274" s="1347">
        <v>170.5214869390249</v>
      </c>
      <c r="J274" s="311">
        <v>188.94239570352511</v>
      </c>
      <c r="K274" s="1347">
        <v>180.75315665189044</v>
      </c>
      <c r="L274" s="311">
        <v>91.139500734645026</v>
      </c>
      <c r="M274" s="1587">
        <v>87.27331172243268</v>
      </c>
      <c r="N274" s="1350">
        <v>146.9593598197844</v>
      </c>
      <c r="O274" s="1347">
        <v>70.737119558570924</v>
      </c>
      <c r="P274" s="1347">
        <v>144.0574591797546</v>
      </c>
      <c r="Q274" s="1136">
        <v>221.13485084291099</v>
      </c>
    </row>
    <row r="275" spans="1:17">
      <c r="A275" s="49">
        <f t="shared" si="2"/>
        <v>2015.02</v>
      </c>
      <c r="B275" s="1591">
        <v>135.049231404029</v>
      </c>
      <c r="C275" s="311">
        <v>156.2923489049864</v>
      </c>
      <c r="D275" s="1350">
        <v>145.16831810275363</v>
      </c>
      <c r="E275" s="1347">
        <v>100.55585074589877</v>
      </c>
      <c r="F275" s="311">
        <v>87.727907846360168</v>
      </c>
      <c r="G275" s="1347">
        <v>149.95788822834638</v>
      </c>
      <c r="H275" s="311">
        <v>100.67272325679677</v>
      </c>
      <c r="I275" s="1347">
        <v>167.15668835939633</v>
      </c>
      <c r="J275" s="311">
        <v>175.69988925904687</v>
      </c>
      <c r="K275" s="1347">
        <v>171.56864984076734</v>
      </c>
      <c r="L275" s="311">
        <v>115.85241832850078</v>
      </c>
      <c r="M275" s="1587">
        <v>159.5297197433764</v>
      </c>
      <c r="N275" s="1350">
        <v>135.29680474240337</v>
      </c>
      <c r="O275" s="1347">
        <v>104.39111848408815</v>
      </c>
      <c r="P275" s="1347">
        <v>137.07183310135247</v>
      </c>
      <c r="Q275" s="1136">
        <v>313.99832108536071</v>
      </c>
    </row>
    <row r="276" spans="1:17">
      <c r="A276" s="49">
        <f t="shared" si="2"/>
        <v>2015.03</v>
      </c>
      <c r="B276" s="1591">
        <v>161.56772996701301</v>
      </c>
      <c r="C276" s="311">
        <v>156.37133523165343</v>
      </c>
      <c r="D276" s="1350">
        <v>158.83770952536304</v>
      </c>
      <c r="E276" s="1347">
        <v>113.85498946204579</v>
      </c>
      <c r="F276" s="311">
        <v>104.81565216231674</v>
      </c>
      <c r="G276" s="1347">
        <v>159.15042294659202</v>
      </c>
      <c r="H276" s="311">
        <v>113.1335875757149</v>
      </c>
      <c r="I276" s="1347">
        <v>199.88660009125269</v>
      </c>
      <c r="J276" s="311">
        <v>193.0992210924133</v>
      </c>
      <c r="K276" s="1347">
        <v>193.77815225455294</v>
      </c>
      <c r="L276" s="311">
        <v>181.14611487123256</v>
      </c>
      <c r="M276" s="1587">
        <v>184.53931365934559</v>
      </c>
      <c r="N276" s="1350">
        <v>148.88426941325272</v>
      </c>
      <c r="O276" s="1347">
        <v>149.81000135487278</v>
      </c>
      <c r="P276" s="1347">
        <v>158.99147998288831</v>
      </c>
      <c r="Q276" s="1136">
        <v>406.27106929354574</v>
      </c>
    </row>
    <row r="277" spans="1:17">
      <c r="A277" s="49">
        <f t="shared" si="2"/>
        <v>2015.04</v>
      </c>
      <c r="B277" s="1591">
        <v>163.03787423956706</v>
      </c>
      <c r="C277" s="311">
        <v>161.41785506915551</v>
      </c>
      <c r="D277" s="1350">
        <v>167.9230245178799</v>
      </c>
      <c r="E277" s="1347">
        <v>101.90094297350008</v>
      </c>
      <c r="F277" s="311">
        <v>104.03236305128988</v>
      </c>
      <c r="G277" s="1347">
        <v>143.4200809599395</v>
      </c>
      <c r="H277" s="311">
        <v>110.47500105648682</v>
      </c>
      <c r="I277" s="1347">
        <v>208.09160718443849</v>
      </c>
      <c r="J277" s="311">
        <v>183.17935997717282</v>
      </c>
      <c r="K277" s="1347">
        <v>179.69006337297765</v>
      </c>
      <c r="L277" s="311">
        <v>192.00221532221758</v>
      </c>
      <c r="M277" s="1587">
        <v>166.68242840524374</v>
      </c>
      <c r="N277" s="1350">
        <v>153.31415173731307</v>
      </c>
      <c r="O277" s="1347">
        <v>157.60229372604005</v>
      </c>
      <c r="P277" s="1347">
        <v>158.76194543373933</v>
      </c>
      <c r="Q277" s="1136">
        <v>359.87701825374052</v>
      </c>
    </row>
    <row r="278" spans="1:17">
      <c r="A278" s="49">
        <f t="shared" si="2"/>
        <v>2015.05</v>
      </c>
      <c r="B278" s="1591">
        <v>159.99958735112807</v>
      </c>
      <c r="C278" s="311">
        <v>158.15323817443448</v>
      </c>
      <c r="D278" s="1350">
        <v>159.32450328996811</v>
      </c>
      <c r="E278" s="1347">
        <v>100.22160188318081</v>
      </c>
      <c r="F278" s="311">
        <v>104.64078695441845</v>
      </c>
      <c r="G278" s="1347">
        <v>148.77470705963609</v>
      </c>
      <c r="H278" s="311">
        <v>111.65710133821665</v>
      </c>
      <c r="I278" s="1347">
        <v>215.01695818594516</v>
      </c>
      <c r="J278" s="311">
        <v>161.22730412487681</v>
      </c>
      <c r="K278" s="1347">
        <v>191.06688394671781</v>
      </c>
      <c r="L278" s="311">
        <v>183.79503159449843</v>
      </c>
      <c r="M278" s="1587">
        <v>164.00303510529625</v>
      </c>
      <c r="N278" s="1350">
        <v>146.2466549789641</v>
      </c>
      <c r="O278" s="1347">
        <v>148.18327409594991</v>
      </c>
      <c r="P278" s="1347">
        <v>160.18036832280924</v>
      </c>
      <c r="Q278" s="1136">
        <v>375.10277997916467</v>
      </c>
    </row>
    <row r="279" spans="1:17">
      <c r="A279" s="49">
        <f t="shared" si="2"/>
        <v>2015.06</v>
      </c>
      <c r="B279" s="1591">
        <v>165.23308212915455</v>
      </c>
      <c r="C279" s="311">
        <v>161.97059024477485</v>
      </c>
      <c r="D279" s="1350">
        <v>179.18307783088326</v>
      </c>
      <c r="E279" s="1347">
        <v>92.795317611949585</v>
      </c>
      <c r="F279" s="311">
        <v>98.201657987446438</v>
      </c>
      <c r="G279" s="1347">
        <v>146.64635515875167</v>
      </c>
      <c r="H279" s="311">
        <v>106.17948622397519</v>
      </c>
      <c r="I279" s="1347">
        <v>213.87979477329111</v>
      </c>
      <c r="J279" s="311">
        <v>170.42558589400721</v>
      </c>
      <c r="K279" s="1347">
        <v>191.11093737961781</v>
      </c>
      <c r="L279" s="311">
        <v>179.77471933463158</v>
      </c>
      <c r="M279" s="1587">
        <v>191.63862490819614</v>
      </c>
      <c r="N279" s="1350">
        <v>160.06783987843883</v>
      </c>
      <c r="O279" s="1347">
        <v>151.51091419895423</v>
      </c>
      <c r="P279" s="1347">
        <v>158.72379722519901</v>
      </c>
      <c r="Q279" s="1136">
        <v>406.85144796186916</v>
      </c>
    </row>
    <row r="280" spans="1:17">
      <c r="A280" s="49">
        <f t="shared" si="2"/>
        <v>2015.07</v>
      </c>
      <c r="B280" s="1591">
        <v>166.65010550024732</v>
      </c>
      <c r="C280" s="311">
        <v>158.54416481701847</v>
      </c>
      <c r="D280" s="1350">
        <v>193.00906789682506</v>
      </c>
      <c r="E280" s="1347">
        <v>106.69734319950399</v>
      </c>
      <c r="F280" s="311">
        <v>93.871515726939066</v>
      </c>
      <c r="G280" s="1347">
        <v>158.68145666957912</v>
      </c>
      <c r="H280" s="311">
        <v>117.32898095506408</v>
      </c>
      <c r="I280" s="1347">
        <v>203.47226195436758</v>
      </c>
      <c r="J280" s="311">
        <v>182.14877185236202</v>
      </c>
      <c r="K280" s="1347">
        <v>184.42996729168385</v>
      </c>
      <c r="L280" s="311">
        <v>183.60887318758739</v>
      </c>
      <c r="M280" s="1587">
        <v>159.82802532983715</v>
      </c>
      <c r="N280" s="1350">
        <v>173.91065451634293</v>
      </c>
      <c r="O280" s="1347">
        <v>146.68521479109094</v>
      </c>
      <c r="P280" s="1347">
        <v>157.08536626884566</v>
      </c>
      <c r="Q280" s="1136">
        <v>373.06860789161857</v>
      </c>
    </row>
    <row r="281" spans="1:17">
      <c r="A281" s="49">
        <f t="shared" si="2"/>
        <v>2015.08</v>
      </c>
      <c r="B281" s="1591">
        <v>168.36333057166627</v>
      </c>
      <c r="C281" s="311">
        <v>160.60908128701607</v>
      </c>
      <c r="D281" s="1350">
        <v>194.79821020721849</v>
      </c>
      <c r="E281" s="1347">
        <v>100.0226937623877</v>
      </c>
      <c r="F281" s="311">
        <v>90.692122018743717</v>
      </c>
      <c r="G281" s="1347">
        <v>150.23053841395966</v>
      </c>
      <c r="H281" s="311">
        <v>111.04223821665025</v>
      </c>
      <c r="I281" s="1347">
        <v>213.50550469162175</v>
      </c>
      <c r="J281" s="311">
        <v>192.2554567214811</v>
      </c>
      <c r="K281" s="1347">
        <v>208.50364349228204</v>
      </c>
      <c r="L281" s="311">
        <v>175.47355363188871</v>
      </c>
      <c r="M281" s="1587">
        <v>170.65895492690663</v>
      </c>
      <c r="N281" s="1350">
        <v>173.82699224396259</v>
      </c>
      <c r="O281" s="1347">
        <v>145.17061234991633</v>
      </c>
      <c r="P281" s="1347">
        <v>161.76905036447417</v>
      </c>
      <c r="Q281" s="1136">
        <v>371.08276384095751</v>
      </c>
    </row>
    <row r="282" spans="1:17">
      <c r="A282" s="49">
        <f t="shared" si="2"/>
        <v>2015.09</v>
      </c>
      <c r="B282" s="1591">
        <v>171.01662745268428</v>
      </c>
      <c r="C282" s="311">
        <v>159.2547441513299</v>
      </c>
      <c r="D282" s="1350">
        <v>199.63995964374124</v>
      </c>
      <c r="E282" s="1347">
        <v>97.323794922171942</v>
      </c>
      <c r="F282" s="311">
        <v>89.306485104572502</v>
      </c>
      <c r="G282" s="1347">
        <v>152.63742193919018</v>
      </c>
      <c r="H282" s="311">
        <v>103.49716075503592</v>
      </c>
      <c r="I282" s="1347">
        <v>209.36488908175181</v>
      </c>
      <c r="J282" s="311">
        <v>211.56978574976463</v>
      </c>
      <c r="K282" s="1347">
        <v>188.94180463496974</v>
      </c>
      <c r="L282" s="311">
        <v>177.95272391483249</v>
      </c>
      <c r="M282" s="1587">
        <v>184.45959378549873</v>
      </c>
      <c r="N282" s="1350">
        <v>177.00020338570548</v>
      </c>
      <c r="O282" s="1347">
        <v>150.3396468212818</v>
      </c>
      <c r="P282" s="1347">
        <v>162.06799036071021</v>
      </c>
      <c r="Q282" s="1136">
        <v>385.92779002254053</v>
      </c>
    </row>
    <row r="283" spans="1:17">
      <c r="A283" s="49">
        <f t="shared" si="2"/>
        <v>2015.1</v>
      </c>
      <c r="B283" s="1591">
        <v>170.09478233992562</v>
      </c>
      <c r="C283" s="311">
        <v>158.61569620451033</v>
      </c>
      <c r="D283" s="1350">
        <v>189.6098133414564</v>
      </c>
      <c r="E283" s="1347">
        <v>103.21639000348651</v>
      </c>
      <c r="F283" s="311">
        <v>85.569821613301372</v>
      </c>
      <c r="G283" s="1347">
        <v>152.91400909867264</v>
      </c>
      <c r="H283" s="311">
        <v>111.26707120721227</v>
      </c>
      <c r="I283" s="1347">
        <v>239.08440825184215</v>
      </c>
      <c r="J283" s="311">
        <v>218.99173016106667</v>
      </c>
      <c r="K283" s="1347">
        <v>203.99348812083625</v>
      </c>
      <c r="L283" s="311">
        <v>171.17929370848444</v>
      </c>
      <c r="M283" s="1587">
        <v>159.30116890601579</v>
      </c>
      <c r="N283" s="1350">
        <v>170.49332229635567</v>
      </c>
      <c r="O283" s="1347">
        <v>143.16953476915933</v>
      </c>
      <c r="P283" s="1347">
        <v>171.44637708947306</v>
      </c>
      <c r="Q283" s="1136">
        <v>331.71556564125501</v>
      </c>
    </row>
    <row r="284" spans="1:17">
      <c r="A284" s="49">
        <f t="shared" si="2"/>
        <v>2015.11</v>
      </c>
      <c r="B284" s="1591">
        <v>157.45926226122316</v>
      </c>
      <c r="C284" s="311">
        <v>156.64836757078541</v>
      </c>
      <c r="D284" s="1350">
        <v>170.91344610818879</v>
      </c>
      <c r="E284" s="1347">
        <v>105.4364061162141</v>
      </c>
      <c r="F284" s="311">
        <v>85.125172769613144</v>
      </c>
      <c r="G284" s="1347">
        <v>161.34127057026987</v>
      </c>
      <c r="H284" s="311">
        <v>105.44251191717144</v>
      </c>
      <c r="I284" s="1347">
        <v>220.76728247404031</v>
      </c>
      <c r="J284" s="311">
        <v>193.94116029532262</v>
      </c>
      <c r="K284" s="1347">
        <v>183.64231732000985</v>
      </c>
      <c r="L284" s="311">
        <v>147.19192622868306</v>
      </c>
      <c r="M284" s="1587">
        <v>160.33075229153687</v>
      </c>
      <c r="N284" s="1350">
        <v>156.42517604890793</v>
      </c>
      <c r="O284" s="1347">
        <v>130.52424082367492</v>
      </c>
      <c r="P284" s="1347">
        <v>161.22019655217883</v>
      </c>
      <c r="Q284" s="1136">
        <v>297.86561612354325</v>
      </c>
    </row>
    <row r="285" spans="1:17">
      <c r="A285" s="49">
        <f t="shared" si="2"/>
        <v>2015.12</v>
      </c>
      <c r="B285" s="1591">
        <v>147.25231990186703</v>
      </c>
      <c r="C285" s="311">
        <v>153.72283865060658</v>
      </c>
      <c r="D285" s="1350">
        <v>175.14791087699285</v>
      </c>
      <c r="E285" s="1347">
        <v>129.38309868554632</v>
      </c>
      <c r="F285" s="311">
        <v>74.526712598242909</v>
      </c>
      <c r="G285" s="1347">
        <v>165.33779805174424</v>
      </c>
      <c r="H285" s="311">
        <v>111.72217158754751</v>
      </c>
      <c r="I285" s="1347">
        <v>185.31879619209423</v>
      </c>
      <c r="J285" s="311">
        <v>183.36429832556442</v>
      </c>
      <c r="K285" s="1347">
        <v>176.65455571406619</v>
      </c>
      <c r="L285" s="311">
        <v>132.49992910249989</v>
      </c>
      <c r="M285" s="1587">
        <v>111.29668619670902</v>
      </c>
      <c r="N285" s="1350">
        <v>165.02141526382502</v>
      </c>
      <c r="O285" s="1347">
        <v>105.85218755256574</v>
      </c>
      <c r="P285" s="1347">
        <v>147.11995716889081</v>
      </c>
      <c r="Q285" s="1136">
        <v>258.20604760915353</v>
      </c>
    </row>
    <row r="286" spans="1:17">
      <c r="A286" s="49">
        <f t="shared" si="2"/>
        <v>2016.01</v>
      </c>
      <c r="B286" s="1591">
        <v>128.23689278051395</v>
      </c>
      <c r="C286" s="311">
        <v>152.98906979640989</v>
      </c>
      <c r="D286" s="1350">
        <v>161.43986020934091</v>
      </c>
      <c r="E286" s="1347">
        <v>100.22528655517873</v>
      </c>
      <c r="F286" s="311">
        <v>70.526108418350859</v>
      </c>
      <c r="G286" s="1347">
        <v>161.58882725240446</v>
      </c>
      <c r="H286" s="311">
        <v>108.49451972108746</v>
      </c>
      <c r="I286" s="1347">
        <v>194.11926544057008</v>
      </c>
      <c r="J286" s="311">
        <v>177.03233601100644</v>
      </c>
      <c r="K286" s="1347">
        <v>162.43401421861424</v>
      </c>
      <c r="L286" s="311">
        <v>73.346780938708719</v>
      </c>
      <c r="M286" s="1587">
        <v>61.528645010153141</v>
      </c>
      <c r="N286" s="1350">
        <v>147.89475684526172</v>
      </c>
      <c r="O286" s="1347">
        <v>51.569082227363509</v>
      </c>
      <c r="P286" s="1347">
        <v>146.59166177049562</v>
      </c>
      <c r="Q286" s="1136">
        <v>191.11595378057399</v>
      </c>
    </row>
    <row r="287" spans="1:17">
      <c r="A287" s="49">
        <f t="shared" si="2"/>
        <v>2016.02</v>
      </c>
      <c r="B287" s="1591">
        <v>140.41337814361762</v>
      </c>
      <c r="C287" s="311">
        <v>155.00075648877632</v>
      </c>
      <c r="D287" s="1350">
        <v>153.9171381072359</v>
      </c>
      <c r="E287" s="1347">
        <v>95.733021697887025</v>
      </c>
      <c r="F287" s="311">
        <v>89.685173190919457</v>
      </c>
      <c r="G287" s="1347">
        <v>154.75579050224775</v>
      </c>
      <c r="H287" s="311">
        <v>103.42727191153681</v>
      </c>
      <c r="I287" s="1347">
        <v>192.55692189031404</v>
      </c>
      <c r="J287" s="311">
        <v>162.05435140418405</v>
      </c>
      <c r="K287" s="1347">
        <v>158.0121080914723</v>
      </c>
      <c r="L287" s="311">
        <v>136.81553183531952</v>
      </c>
      <c r="M287" s="1587">
        <v>123.37984310893584</v>
      </c>
      <c r="N287" s="1350">
        <v>141.04259167382034</v>
      </c>
      <c r="O287" s="1347">
        <v>111.48533544465819</v>
      </c>
      <c r="P287" s="1347">
        <v>144.40610483402162</v>
      </c>
      <c r="Q287" s="1136">
        <v>274.64260887131724</v>
      </c>
    </row>
    <row r="288" spans="1:17">
      <c r="A288" s="49">
        <f t="shared" si="2"/>
        <v>2016.03</v>
      </c>
      <c r="B288" s="1591">
        <v>158.24592139596231</v>
      </c>
      <c r="C288" s="311">
        <v>153.19299792043259</v>
      </c>
      <c r="D288" s="1350">
        <v>164.66015996316798</v>
      </c>
      <c r="E288" s="1347">
        <v>104.79643251521486</v>
      </c>
      <c r="F288" s="311">
        <v>105.78697430340276</v>
      </c>
      <c r="G288" s="1347">
        <v>155.67144141548323</v>
      </c>
      <c r="H288" s="311">
        <v>106.30707908156079</v>
      </c>
      <c r="I288" s="1347">
        <v>208.91225554135303</v>
      </c>
      <c r="J288" s="311">
        <v>179.15688516488606</v>
      </c>
      <c r="K288" s="1347">
        <v>161.56979574954457</v>
      </c>
      <c r="L288" s="311">
        <v>170.0755895731109</v>
      </c>
      <c r="M288" s="1587">
        <v>168.90067028811302</v>
      </c>
      <c r="N288" s="1350">
        <v>151.41396175189524</v>
      </c>
      <c r="O288" s="1347">
        <v>138.39135766643815</v>
      </c>
      <c r="P288" s="1347">
        <v>156.72698039507353</v>
      </c>
      <c r="Q288" s="1136">
        <v>385.1325400122488</v>
      </c>
    </row>
    <row r="289" spans="1:17">
      <c r="A289" s="49">
        <f t="shared" si="2"/>
        <v>2016.04</v>
      </c>
      <c r="B289" s="1591">
        <v>152.4535909478349</v>
      </c>
      <c r="C289" s="311">
        <v>151.50087694687085</v>
      </c>
      <c r="D289" s="1350">
        <v>153.17848097341343</v>
      </c>
      <c r="E289" s="1347">
        <v>109.242367496364</v>
      </c>
      <c r="F289" s="311">
        <v>101.79161164953582</v>
      </c>
      <c r="G289" s="1347">
        <v>142.51071151548302</v>
      </c>
      <c r="H289" s="311">
        <v>100.99770194393575</v>
      </c>
      <c r="I289" s="1347">
        <v>205.3475662116993</v>
      </c>
      <c r="J289" s="311">
        <v>158.77995585021708</v>
      </c>
      <c r="K289" s="1347">
        <v>158.78274235029011</v>
      </c>
      <c r="L289" s="311">
        <v>167.98281164907942</v>
      </c>
      <c r="M289" s="1587">
        <v>165.45715560492116</v>
      </c>
      <c r="N289" s="1350">
        <v>143.45662614477845</v>
      </c>
      <c r="O289" s="1347">
        <v>133.00827810078007</v>
      </c>
      <c r="P289" s="1347">
        <v>150.66093333838361</v>
      </c>
      <c r="Q289" s="1136">
        <v>402.01959902798666</v>
      </c>
    </row>
    <row r="290" spans="1:17">
      <c r="A290" s="49">
        <f t="shared" si="2"/>
        <v>2016.05</v>
      </c>
      <c r="B290" s="1591">
        <v>150.85135121648329</v>
      </c>
      <c r="C290" s="311">
        <v>147.18130274035789</v>
      </c>
      <c r="D290" s="1350">
        <v>159.59604808117231</v>
      </c>
      <c r="E290" s="1347">
        <v>60.824152288670064</v>
      </c>
      <c r="F290" s="311">
        <v>103.18242662688361</v>
      </c>
      <c r="G290" s="1347">
        <v>138.91188513908332</v>
      </c>
      <c r="H290" s="311">
        <v>102.91935990984643</v>
      </c>
      <c r="I290" s="1347">
        <v>200.85361795032509</v>
      </c>
      <c r="J290" s="311">
        <v>180.03500555558179</v>
      </c>
      <c r="K290" s="1347">
        <v>177.28749961587221</v>
      </c>
      <c r="L290" s="311">
        <v>171.87117703781757</v>
      </c>
      <c r="M290" s="1587">
        <v>147.91144800949218</v>
      </c>
      <c r="N290" s="1350">
        <v>137.7405411632615</v>
      </c>
      <c r="O290" s="1347">
        <v>131.35637332520719</v>
      </c>
      <c r="P290" s="1347">
        <v>152.85864592604523</v>
      </c>
      <c r="Q290" s="1136">
        <v>385.58108634192655</v>
      </c>
    </row>
    <row r="291" spans="1:17">
      <c r="A291" s="49">
        <f t="shared" si="2"/>
        <v>2016.06</v>
      </c>
      <c r="B291" s="1591">
        <v>150.28621437285673</v>
      </c>
      <c r="C291" s="311">
        <v>147.79493151515069</v>
      </c>
      <c r="D291" s="1350">
        <v>166.31670535095304</v>
      </c>
      <c r="E291" s="1347">
        <v>86.809427277318719</v>
      </c>
      <c r="F291" s="311">
        <v>97.779915377707766</v>
      </c>
      <c r="G291" s="1347">
        <v>143.55559710726544</v>
      </c>
      <c r="H291" s="311">
        <v>105.95227784194958</v>
      </c>
      <c r="I291" s="1347">
        <v>177.42739153372645</v>
      </c>
      <c r="J291" s="311">
        <v>171.36765699951135</v>
      </c>
      <c r="K291" s="1347">
        <v>163.91481942646934</v>
      </c>
      <c r="L291" s="311">
        <v>166.22928582119405</v>
      </c>
      <c r="M291" s="1587">
        <v>153.48644606473488</v>
      </c>
      <c r="N291" s="1350">
        <v>148.72392906555064</v>
      </c>
      <c r="O291" s="1347">
        <v>131.18230371241512</v>
      </c>
      <c r="P291" s="1347">
        <v>145.15989988803958</v>
      </c>
      <c r="Q291" s="1136">
        <v>372.88314078542726</v>
      </c>
    </row>
    <row r="292" spans="1:17">
      <c r="A292" s="49">
        <f t="shared" si="2"/>
        <v>2016.07</v>
      </c>
      <c r="B292" s="1591">
        <v>152.2247481718326</v>
      </c>
      <c r="C292" s="311">
        <v>148.66745016282263</v>
      </c>
      <c r="D292" s="1350">
        <v>176.99020178345125</v>
      </c>
      <c r="E292" s="1347">
        <v>78.393140990068446</v>
      </c>
      <c r="F292" s="311">
        <v>92.596516804556217</v>
      </c>
      <c r="G292" s="1347">
        <v>144.73053192312469</v>
      </c>
      <c r="H292" s="311">
        <v>107.79146640371881</v>
      </c>
      <c r="I292" s="1347">
        <v>188.20661404553803</v>
      </c>
      <c r="J292" s="311">
        <v>171.09073436404228</v>
      </c>
      <c r="K292" s="1347">
        <v>166.63650752559008</v>
      </c>
      <c r="L292" s="311">
        <v>172.48968208240402</v>
      </c>
      <c r="M292" s="1587">
        <v>138.41950456982028</v>
      </c>
      <c r="N292" s="1350">
        <v>155.17338104749626</v>
      </c>
      <c r="O292" s="1347">
        <v>132.33147602126456</v>
      </c>
      <c r="P292" s="1347">
        <v>145.69840393773333</v>
      </c>
      <c r="Q292" s="1136">
        <v>356.15236082313078</v>
      </c>
    </row>
    <row r="293" spans="1:17">
      <c r="A293" s="49">
        <f t="shared" si="2"/>
        <v>2016.08</v>
      </c>
      <c r="B293" s="1591">
        <v>161.74895715178636</v>
      </c>
      <c r="C293" s="311">
        <v>150.04822680696975</v>
      </c>
      <c r="D293" s="1350">
        <v>191.74276553380696</v>
      </c>
      <c r="E293" s="1347">
        <v>95.778553804288606</v>
      </c>
      <c r="F293" s="311">
        <v>89.481424762060044</v>
      </c>
      <c r="G293" s="1347">
        <v>131.63265977677275</v>
      </c>
      <c r="H293" s="311">
        <v>102.09672910269052</v>
      </c>
      <c r="I293" s="1347">
        <v>206.09719621706355</v>
      </c>
      <c r="J293" s="311">
        <v>192.7956964392161</v>
      </c>
      <c r="K293" s="1347">
        <v>151.9984773275018</v>
      </c>
      <c r="L293" s="311">
        <v>177.29334456406585</v>
      </c>
      <c r="M293" s="1587">
        <v>155.84983174636326</v>
      </c>
      <c r="N293" s="1350">
        <v>170.50852196180549</v>
      </c>
      <c r="O293" s="1347">
        <v>136.22715366911197</v>
      </c>
      <c r="P293" s="1347">
        <v>151.49956009687594</v>
      </c>
      <c r="Q293" s="1136">
        <v>401.66818100285968</v>
      </c>
    </row>
    <row r="294" spans="1:17">
      <c r="A294" s="49">
        <f t="shared" si="2"/>
        <v>2016.09</v>
      </c>
      <c r="B294" s="1591">
        <v>157.38021280855943</v>
      </c>
      <c r="C294" s="311">
        <v>146.90450595949517</v>
      </c>
      <c r="D294" s="1350">
        <v>187.49210758591119</v>
      </c>
      <c r="E294" s="1347">
        <v>86.410111746892071</v>
      </c>
      <c r="F294" s="311">
        <v>87.355363288905437</v>
      </c>
      <c r="G294" s="1347">
        <v>147.11016983163245</v>
      </c>
      <c r="H294" s="311">
        <v>103.90192405972671</v>
      </c>
      <c r="I294" s="1347">
        <v>191.91890414561587</v>
      </c>
      <c r="J294" s="311">
        <v>194.80880693013296</v>
      </c>
      <c r="K294" s="1347">
        <v>152.4051070016987</v>
      </c>
      <c r="L294" s="311">
        <v>170.8863961478682</v>
      </c>
      <c r="M294" s="1587">
        <v>148.22469516935669</v>
      </c>
      <c r="N294" s="1350">
        <v>165.12543899450395</v>
      </c>
      <c r="O294" s="1347">
        <v>133.91516265325009</v>
      </c>
      <c r="P294" s="1347">
        <v>149.13101821884985</v>
      </c>
      <c r="Q294" s="1136">
        <v>363.72793827453694</v>
      </c>
    </row>
    <row r="295" spans="1:17">
      <c r="A295" s="49">
        <f t="shared" si="2"/>
        <v>2016.1</v>
      </c>
      <c r="B295" s="1591">
        <v>157.22797245639418</v>
      </c>
      <c r="C295" s="311">
        <v>149.00983872145915</v>
      </c>
      <c r="D295" s="1350">
        <v>177.8801983201098</v>
      </c>
      <c r="E295" s="1347">
        <v>88.1940192874563</v>
      </c>
      <c r="F295" s="311">
        <v>83.710355525493682</v>
      </c>
      <c r="G295" s="1347">
        <v>149.96331409850563</v>
      </c>
      <c r="H295" s="311">
        <v>104.950607888435</v>
      </c>
      <c r="I295" s="1347">
        <v>216.27599901203996</v>
      </c>
      <c r="J295" s="311">
        <v>186.86476247472891</v>
      </c>
      <c r="K295" s="1347">
        <v>175.78476044045942</v>
      </c>
      <c r="L295" s="311">
        <v>168.49845901974047</v>
      </c>
      <c r="M295" s="1587">
        <v>132.59733067640525</v>
      </c>
      <c r="N295" s="1350">
        <v>158.03511090367547</v>
      </c>
      <c r="O295" s="1347">
        <v>128.16835180020828</v>
      </c>
      <c r="P295" s="1347">
        <v>157.29987889278405</v>
      </c>
      <c r="Q295" s="1136">
        <v>348.3487715946053</v>
      </c>
    </row>
    <row r="296" spans="1:17">
      <c r="A296" s="49">
        <f t="shared" si="2"/>
        <v>2016.11</v>
      </c>
      <c r="B296" s="1591">
        <v>155.08435862991672</v>
      </c>
      <c r="C296" s="311">
        <v>152.30598375846242</v>
      </c>
      <c r="D296" s="1350">
        <v>170.10879220237115</v>
      </c>
      <c r="E296" s="1347">
        <v>93.985163107560965</v>
      </c>
      <c r="F296" s="311">
        <v>82.54664635309409</v>
      </c>
      <c r="G296" s="1347">
        <v>149.3588180373448</v>
      </c>
      <c r="H296" s="311">
        <v>101.52815493731508</v>
      </c>
      <c r="I296" s="1347">
        <v>208.60776536993311</v>
      </c>
      <c r="J296" s="311">
        <v>195.33360815742179</v>
      </c>
      <c r="K296" s="1347">
        <v>164.47046400144282</v>
      </c>
      <c r="L296" s="311">
        <v>156.87875153289431</v>
      </c>
      <c r="M296" s="1587">
        <v>164.15793694895353</v>
      </c>
      <c r="N296" s="1350">
        <v>153.26472447491551</v>
      </c>
      <c r="O296" s="1347">
        <v>124.03649434484868</v>
      </c>
      <c r="P296" s="1347">
        <v>153.99959991690949</v>
      </c>
      <c r="Q296" s="1136">
        <v>402.98367744602081</v>
      </c>
    </row>
    <row r="297" spans="1:17">
      <c r="A297" s="49">
        <f t="shared" si="2"/>
        <v>2016.12</v>
      </c>
      <c r="B297" s="1591">
        <v>145.80667299238769</v>
      </c>
      <c r="C297" s="311">
        <v>154.00760917334057</v>
      </c>
      <c r="D297" s="1350">
        <v>176.15600559276515</v>
      </c>
      <c r="E297" s="1347">
        <v>106.54256661487882</v>
      </c>
      <c r="F297" s="311">
        <v>71.467064368483875</v>
      </c>
      <c r="G297" s="1347">
        <v>153.39383162286401</v>
      </c>
      <c r="H297" s="311">
        <v>107.09418289899983</v>
      </c>
      <c r="I297" s="1347">
        <v>178.00912746384154</v>
      </c>
      <c r="J297" s="311">
        <v>188.09728312743343</v>
      </c>
      <c r="K297" s="1347">
        <v>158.13838894442929</v>
      </c>
      <c r="L297" s="311">
        <v>128.30922623197264</v>
      </c>
      <c r="M297" s="1587">
        <v>140.84525416264623</v>
      </c>
      <c r="N297" s="1350">
        <v>160.75246407973236</v>
      </c>
      <c r="O297" s="1347">
        <v>102.03067211456067</v>
      </c>
      <c r="P297" s="1347">
        <v>142.79406298868352</v>
      </c>
      <c r="Q297" s="1136">
        <v>343.54432935883591</v>
      </c>
    </row>
    <row r="298" spans="1:17">
      <c r="A298" s="49">
        <f t="shared" si="2"/>
        <v>2017.01</v>
      </c>
      <c r="B298" s="1591">
        <v>133.94167555361662</v>
      </c>
      <c r="C298" s="311">
        <v>152.1849233486482</v>
      </c>
      <c r="D298" s="1350">
        <v>159.60772187704274</v>
      </c>
      <c r="E298" s="1347">
        <v>101.49306545490948</v>
      </c>
      <c r="F298" s="311">
        <v>67.544378306790875</v>
      </c>
      <c r="G298" s="1347">
        <v>147.18809584255746</v>
      </c>
      <c r="H298" s="311">
        <v>107.82350770531058</v>
      </c>
      <c r="I298" s="1347">
        <v>194.32518050681495</v>
      </c>
      <c r="J298" s="311">
        <v>174.84419704933708</v>
      </c>
      <c r="K298" s="1347">
        <v>148.70609985962946</v>
      </c>
      <c r="L298" s="311">
        <v>85.031604936401905</v>
      </c>
      <c r="M298" s="1587">
        <v>94.856481524250782</v>
      </c>
      <c r="N298" s="1350">
        <v>146.7485450304811</v>
      </c>
      <c r="O298" s="1347">
        <v>65.087521013366825</v>
      </c>
      <c r="P298" s="1347">
        <v>149.69569161001274</v>
      </c>
      <c r="Q298" s="1136">
        <v>249.23188149577416</v>
      </c>
    </row>
    <row r="299" spans="1:17">
      <c r="A299" s="49">
        <f t="shared" si="2"/>
        <v>2017.02</v>
      </c>
      <c r="B299" s="1591">
        <v>127.5249065811898</v>
      </c>
      <c r="C299" s="311">
        <v>152.088437907062</v>
      </c>
      <c r="D299" s="1350">
        <v>139.36976995902447</v>
      </c>
      <c r="E299" s="1347">
        <v>82.969051356864114</v>
      </c>
      <c r="F299" s="311">
        <v>86.825856744540374</v>
      </c>
      <c r="G299" s="1347">
        <v>139.22328491918978</v>
      </c>
      <c r="H299" s="311">
        <v>94.029593745597992</v>
      </c>
      <c r="I299" s="1347">
        <v>176.08947261628595</v>
      </c>
      <c r="J299" s="311">
        <v>160.42355372551322</v>
      </c>
      <c r="K299" s="1347">
        <v>143.79647651101166</v>
      </c>
      <c r="L299" s="311">
        <v>127.97845418792981</v>
      </c>
      <c r="M299" s="1587">
        <v>89.469201644240229</v>
      </c>
      <c r="N299" s="1350">
        <v>126.88984046395623</v>
      </c>
      <c r="O299" s="1347">
        <v>91.711789397123738</v>
      </c>
      <c r="P299" s="1347">
        <v>134.8444098985843</v>
      </c>
      <c r="Q299" s="1136">
        <v>272.71952748322735</v>
      </c>
    </row>
    <row r="300" spans="1:17">
      <c r="A300" s="49">
        <f t="shared" si="2"/>
        <v>2017.03</v>
      </c>
      <c r="B300" s="1591">
        <v>157.72554637503299</v>
      </c>
      <c r="C300" s="311">
        <v>150.47868033742694</v>
      </c>
      <c r="D300" s="1350">
        <v>165.73211879236896</v>
      </c>
      <c r="E300" s="1347">
        <v>101.45988057825039</v>
      </c>
      <c r="F300" s="311">
        <v>102.05897100862295</v>
      </c>
      <c r="G300" s="1347">
        <v>156.47325605221801</v>
      </c>
      <c r="H300" s="311">
        <v>101.66576464995072</v>
      </c>
      <c r="I300" s="1347">
        <v>213.37714853317146</v>
      </c>
      <c r="J300" s="311">
        <v>201.97088263130101</v>
      </c>
      <c r="K300" s="1347">
        <v>181.81642421027749</v>
      </c>
      <c r="L300" s="311">
        <v>171.44042440131017</v>
      </c>
      <c r="M300" s="1587">
        <v>144.35283435743091</v>
      </c>
      <c r="N300" s="1350">
        <v>151.5104382662683</v>
      </c>
      <c r="O300" s="1347">
        <v>126.30598379939158</v>
      </c>
      <c r="P300" s="1347">
        <v>159.58266877203567</v>
      </c>
      <c r="Q300" s="1136">
        <v>408.43791192004767</v>
      </c>
    </row>
    <row r="301" spans="1:17">
      <c r="A301" s="49">
        <f t="shared" si="2"/>
        <v>2017.04</v>
      </c>
      <c r="B301" s="1591">
        <v>148.15407426967187</v>
      </c>
      <c r="C301" s="311">
        <v>151.78450666249688</v>
      </c>
      <c r="D301" s="1350">
        <v>150.77834478135131</v>
      </c>
      <c r="E301" s="1347">
        <v>88.111829877402286</v>
      </c>
      <c r="F301" s="311">
        <v>100.36751168961655</v>
      </c>
      <c r="G301" s="1347">
        <v>135.31535675438289</v>
      </c>
      <c r="H301" s="311">
        <v>101.49276245950134</v>
      </c>
      <c r="I301" s="1347">
        <v>199.27243419670569</v>
      </c>
      <c r="J301" s="311">
        <v>171.62473146379574</v>
      </c>
      <c r="K301" s="1347">
        <v>173.71510921375261</v>
      </c>
      <c r="L301" s="311">
        <v>158.12702233577292</v>
      </c>
      <c r="M301" s="1587">
        <v>139.89488916734425</v>
      </c>
      <c r="N301" s="1350">
        <v>136.9119667087682</v>
      </c>
      <c r="O301" s="1347">
        <v>114.8834179090485</v>
      </c>
      <c r="P301" s="1347">
        <v>153.75880141715677</v>
      </c>
      <c r="Q301" s="1136">
        <v>406.26505098989276</v>
      </c>
    </row>
    <row r="302" spans="1:17">
      <c r="A302" s="49">
        <f t="shared" si="2"/>
        <v>2017.05</v>
      </c>
      <c r="B302" s="1591">
        <v>159.32744156809883</v>
      </c>
      <c r="C302" s="311">
        <v>153.68977984879561</v>
      </c>
      <c r="D302" s="1350">
        <v>164.619807845521</v>
      </c>
      <c r="E302" s="1347">
        <v>90.735481693585569</v>
      </c>
      <c r="F302" s="311">
        <v>101.97890301226845</v>
      </c>
      <c r="G302" s="1347">
        <v>136.25889496981037</v>
      </c>
      <c r="H302" s="311">
        <v>102.17646723482183</v>
      </c>
      <c r="I302" s="1347">
        <v>218.88616383930375</v>
      </c>
      <c r="J302" s="311">
        <v>187.51789324581682</v>
      </c>
      <c r="K302" s="1347">
        <v>183.49764854349652</v>
      </c>
      <c r="L302" s="311">
        <v>172.25850054472517</v>
      </c>
      <c r="M302" s="1587">
        <v>168.07424122783132</v>
      </c>
      <c r="N302" s="1350">
        <v>148.27123633757816</v>
      </c>
      <c r="O302" s="1347">
        <v>130.48812034165184</v>
      </c>
      <c r="P302" s="1347">
        <v>160.61992124676493</v>
      </c>
      <c r="Q302" s="1136">
        <v>448.58363215144544</v>
      </c>
    </row>
    <row r="303" spans="1:17">
      <c r="A303" s="49">
        <f t="shared" si="2"/>
        <v>2017.06</v>
      </c>
      <c r="B303" s="1591">
        <v>157.66265953829455</v>
      </c>
      <c r="C303" s="311">
        <v>155.74146061592759</v>
      </c>
      <c r="D303" s="1350">
        <v>165.53565371708913</v>
      </c>
      <c r="E303" s="1347">
        <v>89.287781963092499</v>
      </c>
      <c r="F303" s="311">
        <v>97.768208337058795</v>
      </c>
      <c r="G303" s="1347">
        <v>141.56110459580503</v>
      </c>
      <c r="H303" s="311">
        <v>104.42986092407381</v>
      </c>
      <c r="I303" s="1347">
        <v>198.30422214673715</v>
      </c>
      <c r="J303" s="311">
        <v>195.15703716942565</v>
      </c>
      <c r="K303" s="1347">
        <v>170.66975932659554</v>
      </c>
      <c r="L303" s="311">
        <v>174.46486347698999</v>
      </c>
      <c r="M303" s="1587">
        <v>167.09172986174758</v>
      </c>
      <c r="N303" s="1350">
        <v>148.66409450255045</v>
      </c>
      <c r="O303" s="1347">
        <v>131.9886763406661</v>
      </c>
      <c r="P303" s="1347">
        <v>156.0874059820402</v>
      </c>
      <c r="Q303" s="1136">
        <v>446.94986455796237</v>
      </c>
    </row>
    <row r="304" spans="1:17">
      <c r="A304" s="49">
        <f t="shared" si="2"/>
        <v>2017.07</v>
      </c>
      <c r="B304" s="1591">
        <v>160.26598865931064</v>
      </c>
      <c r="C304" s="311">
        <v>155.95292138848237</v>
      </c>
      <c r="D304" s="1350">
        <v>179.03569193146791</v>
      </c>
      <c r="E304" s="1347">
        <v>82.350764382799696</v>
      </c>
      <c r="F304" s="311">
        <v>92.621101527615721</v>
      </c>
      <c r="G304" s="1347">
        <v>154.34181220545312</v>
      </c>
      <c r="H304" s="311">
        <v>103.96950380335257</v>
      </c>
      <c r="I304" s="1347">
        <v>201.35954950331066</v>
      </c>
      <c r="J304" s="311">
        <v>199.80435309607927</v>
      </c>
      <c r="K304" s="1347">
        <v>182.07831270037994</v>
      </c>
      <c r="L304" s="311">
        <v>189.04324117873557</v>
      </c>
      <c r="M304" s="1587">
        <v>139.79924049707228</v>
      </c>
      <c r="N304" s="1350">
        <v>157.64197374935694</v>
      </c>
      <c r="O304" s="1347">
        <v>139.54053350341479</v>
      </c>
      <c r="P304" s="1347">
        <v>155.743367770611</v>
      </c>
      <c r="Q304" s="1136">
        <v>395.66905978461739</v>
      </c>
    </row>
    <row r="305" spans="1:17">
      <c r="A305" s="49">
        <f t="shared" si="2"/>
        <v>2017.08</v>
      </c>
      <c r="B305" s="1591">
        <v>166.93138683803355</v>
      </c>
      <c r="C305" s="311">
        <v>154.40705401669581</v>
      </c>
      <c r="D305" s="1350">
        <v>188.2105089326019</v>
      </c>
      <c r="E305" s="1347">
        <v>94.991647428963859</v>
      </c>
      <c r="F305" s="311">
        <v>89.600271220178726</v>
      </c>
      <c r="G305" s="1347">
        <v>148.48850301525079</v>
      </c>
      <c r="H305" s="311">
        <v>106.09730276095223</v>
      </c>
      <c r="I305" s="1347">
        <v>214.36079009104222</v>
      </c>
      <c r="J305" s="311">
        <v>216.75344949957559</v>
      </c>
      <c r="K305" s="1347">
        <v>186.28445251304294</v>
      </c>
      <c r="L305" s="311">
        <v>184.88008103685763</v>
      </c>
      <c r="M305" s="1587">
        <v>161.73447687666865</v>
      </c>
      <c r="N305" s="1350">
        <v>167.58373594089446</v>
      </c>
      <c r="O305" s="1347">
        <v>139.1581287188516</v>
      </c>
      <c r="P305" s="1347">
        <v>161.1673830712426</v>
      </c>
      <c r="Q305" s="1136">
        <v>436.68217662413571</v>
      </c>
    </row>
    <row r="306" spans="1:17">
      <c r="A306" s="49">
        <f t="shared" si="2"/>
        <v>2017.09</v>
      </c>
      <c r="B306" s="1591">
        <v>164.84153444407502</v>
      </c>
      <c r="C306" s="311">
        <v>156.4645953099286</v>
      </c>
      <c r="D306" s="1350">
        <v>178.93076832943578</v>
      </c>
      <c r="E306" s="1347">
        <v>96.244972690680015</v>
      </c>
      <c r="F306" s="311">
        <v>87.773156477631431</v>
      </c>
      <c r="G306" s="1347">
        <v>151.25539462744473</v>
      </c>
      <c r="H306" s="311">
        <v>103.05896327651783</v>
      </c>
      <c r="I306" s="1347">
        <v>222.00536205280238</v>
      </c>
      <c r="J306" s="311">
        <v>215.41753181603505</v>
      </c>
      <c r="K306" s="1347">
        <v>188.63507715652415</v>
      </c>
      <c r="L306" s="311">
        <v>170.082335222192</v>
      </c>
      <c r="M306" s="1587">
        <v>162.79893856922462</v>
      </c>
      <c r="N306" s="1350">
        <v>160.63467343223763</v>
      </c>
      <c r="O306" s="1347">
        <v>129.68331190607563</v>
      </c>
      <c r="P306" s="1347">
        <v>166.21609759691918</v>
      </c>
      <c r="Q306" s="1136">
        <v>428.50326024173501</v>
      </c>
    </row>
    <row r="307" spans="1:17">
      <c r="A307" s="49">
        <f t="shared" si="2"/>
        <v>2017.1</v>
      </c>
      <c r="B307" s="1591">
        <v>160.89393988462271</v>
      </c>
      <c r="C307" s="311">
        <v>151.54472449547933</v>
      </c>
      <c r="D307" s="1350">
        <v>181.2851557169256</v>
      </c>
      <c r="E307" s="1347">
        <v>83.797542945293287</v>
      </c>
      <c r="F307" s="311">
        <v>84.182403073643115</v>
      </c>
      <c r="G307" s="1347">
        <v>149.52772305938609</v>
      </c>
      <c r="H307" s="311">
        <v>93.497766093815997</v>
      </c>
      <c r="I307" s="1347">
        <v>222.49978139421347</v>
      </c>
      <c r="J307" s="311">
        <v>216.50882515275052</v>
      </c>
      <c r="K307" s="1347">
        <v>193.75523675253106</v>
      </c>
      <c r="L307" s="311">
        <v>162.6101432792432</v>
      </c>
      <c r="M307" s="1587">
        <v>153.17535257015007</v>
      </c>
      <c r="N307" s="1350">
        <v>159.71382534763697</v>
      </c>
      <c r="O307" s="1347">
        <v>123.4804971219022</v>
      </c>
      <c r="P307" s="1347">
        <v>162.51725768864387</v>
      </c>
      <c r="Q307" s="1136">
        <v>406.41569748485375</v>
      </c>
    </row>
    <row r="308" spans="1:17">
      <c r="A308" s="49">
        <f t="shared" si="2"/>
        <v>2017.11</v>
      </c>
      <c r="B308" s="1591">
        <v>156.02057977012066</v>
      </c>
      <c r="C308" s="311">
        <v>153.27964842581642</v>
      </c>
      <c r="D308" s="1350">
        <v>170.76490386450851</v>
      </c>
      <c r="E308" s="1347">
        <v>96.056763198896235</v>
      </c>
      <c r="F308" s="311">
        <v>83.087501348119531</v>
      </c>
      <c r="G308" s="1347">
        <v>129.94967658377189</v>
      </c>
      <c r="H308" s="311">
        <v>97.186150133821641</v>
      </c>
      <c r="I308" s="1347">
        <v>216.07802014107727</v>
      </c>
      <c r="J308" s="311">
        <v>223.56724113376538</v>
      </c>
      <c r="K308" s="1347">
        <v>193.02929622362637</v>
      </c>
      <c r="L308" s="311">
        <v>147.63078516858141</v>
      </c>
      <c r="M308" s="1587">
        <v>158.14080861281363</v>
      </c>
      <c r="N308" s="1350">
        <v>154.2340448378512</v>
      </c>
      <c r="O308" s="1347">
        <v>117.69475666746791</v>
      </c>
      <c r="P308" s="1347">
        <v>159.76952042811624</v>
      </c>
      <c r="Q308" s="1136">
        <v>382.53230844745588</v>
      </c>
    </row>
    <row r="309" spans="1:17">
      <c r="A309" s="49">
        <f t="shared" si="2"/>
        <v>2017.12</v>
      </c>
      <c r="B309" s="1591">
        <v>146.05967323103141</v>
      </c>
      <c r="C309" s="311">
        <v>156.1765304362423</v>
      </c>
      <c r="D309" s="1350">
        <v>165.9207391147618</v>
      </c>
      <c r="E309" s="1347">
        <v>101.44001654359317</v>
      </c>
      <c r="F309" s="311">
        <v>71.91295206135284</v>
      </c>
      <c r="G309" s="1347">
        <v>136.52983157008623</v>
      </c>
      <c r="H309" s="311">
        <v>109.66718287082686</v>
      </c>
      <c r="I309" s="1347">
        <v>197.64129336636645</v>
      </c>
      <c r="J309" s="311">
        <v>198.6051609335891</v>
      </c>
      <c r="K309" s="1347">
        <v>180.56038817440412</v>
      </c>
      <c r="L309" s="311">
        <v>130.79386711122734</v>
      </c>
      <c r="M309" s="1587">
        <v>116.56986575622311</v>
      </c>
      <c r="N309" s="1350">
        <v>151.65292672826473</v>
      </c>
      <c r="O309" s="1347">
        <v>95.896491878205609</v>
      </c>
      <c r="P309" s="1347">
        <v>153.10595413777605</v>
      </c>
      <c r="Q309" s="1136">
        <v>332.37513427564795</v>
      </c>
    </row>
    <row r="310" spans="1:17">
      <c r="A310" s="49">
        <f t="shared" si="2"/>
        <v>2018.01</v>
      </c>
      <c r="B310" s="1591">
        <v>135.42939374281889</v>
      </c>
      <c r="C310" s="311">
        <v>155.95634849975545</v>
      </c>
      <c r="D310" s="1350">
        <v>163.04679921362228</v>
      </c>
      <c r="E310" s="1347">
        <v>97.470598745317346</v>
      </c>
      <c r="F310" s="311">
        <v>68.578665959456615</v>
      </c>
      <c r="G310" s="1347">
        <v>153.49573997346442</v>
      </c>
      <c r="H310" s="311">
        <v>102.92029464713339</v>
      </c>
      <c r="I310" s="1347">
        <v>204.92120908260387</v>
      </c>
      <c r="J310" s="311">
        <v>197.63071066642462</v>
      </c>
      <c r="K310" s="1347">
        <v>170.15516234247298</v>
      </c>
      <c r="L310" s="311">
        <v>83.838155161566291</v>
      </c>
      <c r="M310" s="1587">
        <v>75.588436884151719</v>
      </c>
      <c r="N310" s="1350">
        <v>148.53658766522619</v>
      </c>
      <c r="O310" s="1347">
        <v>63.403155388062288</v>
      </c>
      <c r="P310" s="1347">
        <v>155.76606183802753</v>
      </c>
      <c r="Q310" s="1136">
        <v>202.0958477596451</v>
      </c>
    </row>
    <row r="311" spans="1:17">
      <c r="A311" s="49">
        <f t="shared" si="2"/>
        <v>2018.02</v>
      </c>
      <c r="B311" s="1591">
        <v>137.16439357684831</v>
      </c>
      <c r="C311" s="311">
        <v>157.13193034093416</v>
      </c>
      <c r="D311" s="1350">
        <v>147.25557923614508</v>
      </c>
      <c r="E311" s="1347">
        <v>87.574409484061093</v>
      </c>
      <c r="F311" s="311">
        <v>87.019293332635243</v>
      </c>
      <c r="G311" s="1347">
        <v>147.54860540054943</v>
      </c>
      <c r="H311" s="311">
        <v>94.744081208620941</v>
      </c>
      <c r="I311" s="1347">
        <v>191.33589930943589</v>
      </c>
      <c r="J311" s="311">
        <v>181.39718663016731</v>
      </c>
      <c r="K311" s="1347">
        <v>184.80162373359039</v>
      </c>
      <c r="L311" s="311">
        <v>115.52191302361972</v>
      </c>
      <c r="M311" s="1587">
        <v>140.85197842527697</v>
      </c>
      <c r="N311" s="1350">
        <v>134.04977602744844</v>
      </c>
      <c r="O311" s="1347">
        <v>98.37127764440109</v>
      </c>
      <c r="P311" s="1347">
        <v>146.15962865166827</v>
      </c>
      <c r="Q311" s="1136">
        <v>302.7915756140867</v>
      </c>
    </row>
    <row r="312" spans="1:17">
      <c r="A312" s="49">
        <f t="shared" si="2"/>
        <v>2018.03</v>
      </c>
      <c r="B312" s="1591">
        <v>162.10753307883508</v>
      </c>
      <c r="C312" s="311">
        <v>159.30366977243747</v>
      </c>
      <c r="D312" s="1350">
        <v>165.93095172954153</v>
      </c>
      <c r="E312" s="1347">
        <v>95.307817212833356</v>
      </c>
      <c r="F312" s="311">
        <v>96.804740829854978</v>
      </c>
      <c r="G312" s="1347">
        <v>159.90361907183319</v>
      </c>
      <c r="H312" s="311">
        <v>100.57740832511621</v>
      </c>
      <c r="I312" s="1347">
        <v>218.17281252367528</v>
      </c>
      <c r="J312" s="311">
        <v>210.43108043796371</v>
      </c>
      <c r="K312" s="1347">
        <v>206.63327530479947</v>
      </c>
      <c r="L312" s="311">
        <v>160.68434188341166</v>
      </c>
      <c r="M312" s="1587">
        <v>181.40385128434858</v>
      </c>
      <c r="N312" s="1350">
        <v>150.30399233375329</v>
      </c>
      <c r="O312" s="1347">
        <v>134.20373476601844</v>
      </c>
      <c r="P312" s="1347">
        <v>166.97705274114031</v>
      </c>
      <c r="Q312" s="1136">
        <v>399.64349983656257</v>
      </c>
    </row>
    <row r="313" spans="1:17">
      <c r="A313" s="49">
        <f t="shared" si="2"/>
        <v>2018.04</v>
      </c>
      <c r="B313" s="1591">
        <v>154.50746235608378</v>
      </c>
      <c r="C313" s="311">
        <v>153.90391627814395</v>
      </c>
      <c r="D313" s="1350">
        <v>158.36234515148954</v>
      </c>
      <c r="E313" s="1347">
        <v>89.447493861065169</v>
      </c>
      <c r="F313" s="311">
        <v>96.641664050671153</v>
      </c>
      <c r="G313" s="1347">
        <v>144.17431793660523</v>
      </c>
      <c r="H313" s="311">
        <v>96.996283941400193</v>
      </c>
      <c r="I313" s="1347">
        <v>216.77801629502642</v>
      </c>
      <c r="J313" s="311">
        <v>185.74360466136486</v>
      </c>
      <c r="K313" s="1347">
        <v>201.74096915895436</v>
      </c>
      <c r="L313" s="311">
        <v>152.97070576404602</v>
      </c>
      <c r="M313" s="1587">
        <v>170.27852883000779</v>
      </c>
      <c r="N313" s="1350">
        <v>143.11338190096339</v>
      </c>
      <c r="O313" s="1347">
        <v>123.19734239537473</v>
      </c>
      <c r="P313" s="1347">
        <v>159.79426729860307</v>
      </c>
      <c r="Q313" s="1136">
        <v>405.30241659438423</v>
      </c>
    </row>
    <row r="314" spans="1:17">
      <c r="A314" s="49">
        <f t="shared" si="2"/>
        <v>2018.05</v>
      </c>
      <c r="B314" s="1591">
        <v>158.15759526191061</v>
      </c>
      <c r="C314" s="311">
        <v>152.59039611248301</v>
      </c>
      <c r="D314" s="1350">
        <v>162.07369491514035</v>
      </c>
      <c r="E314" s="1347">
        <v>91.529163250291617</v>
      </c>
      <c r="F314" s="311">
        <v>100.71384987245868</v>
      </c>
      <c r="G314" s="1347">
        <v>149.44272522027615</v>
      </c>
      <c r="H314" s="311">
        <v>98.990521580504293</v>
      </c>
      <c r="I314" s="1347">
        <v>211.14219951393579</v>
      </c>
      <c r="J314" s="311">
        <v>186.1747930929819</v>
      </c>
      <c r="K314" s="1347">
        <v>191.91952264675655</v>
      </c>
      <c r="L314" s="311">
        <v>161.79174044410024</v>
      </c>
      <c r="M314" s="1587">
        <v>174.20086458551552</v>
      </c>
      <c r="N314" s="1350">
        <v>146.46412817096419</v>
      </c>
      <c r="O314" s="1347">
        <v>130.91317825850385</v>
      </c>
      <c r="P314" s="1347">
        <v>161.7840645330931</v>
      </c>
      <c r="Q314" s="1136">
        <v>408.36861564526936</v>
      </c>
    </row>
    <row r="315" spans="1:17">
      <c r="A315" s="49">
        <f t="shared" si="2"/>
        <v>2018.06</v>
      </c>
      <c r="B315" s="1591">
        <v>146.71438491646995</v>
      </c>
      <c r="C315" s="311">
        <v>147.28863999909444</v>
      </c>
      <c r="D315" s="1350">
        <v>160.6872482898531</v>
      </c>
      <c r="E315" s="1347">
        <v>83.538434367114249</v>
      </c>
      <c r="F315" s="311">
        <v>95.714360514007666</v>
      </c>
      <c r="G315" s="1347">
        <v>149.55640963844826</v>
      </c>
      <c r="H315" s="311">
        <v>85.686106536131845</v>
      </c>
      <c r="I315" s="1347">
        <v>173.42366584896538</v>
      </c>
      <c r="J315" s="311">
        <v>189.57374226540577</v>
      </c>
      <c r="K315" s="1347">
        <v>179.33761965974594</v>
      </c>
      <c r="L315" s="311">
        <v>159.36298090890679</v>
      </c>
      <c r="M315" s="1587">
        <v>144.97728086459992</v>
      </c>
      <c r="N315" s="1350">
        <v>143.61633532550943</v>
      </c>
      <c r="O315" s="1347">
        <v>123.73231721256289</v>
      </c>
      <c r="P315" s="1347">
        <v>144.69082858034486</v>
      </c>
      <c r="Q315" s="1136">
        <v>365.55438877750032</v>
      </c>
    </row>
    <row r="316" spans="1:17">
      <c r="A316" s="49">
        <f t="shared" si="2"/>
        <v>2018.07</v>
      </c>
      <c r="B316" s="1591">
        <v>153.15564442948752</v>
      </c>
      <c r="C316" s="311">
        <v>146.64769178509385</v>
      </c>
      <c r="D316" s="1350">
        <v>178.50450614289011</v>
      </c>
      <c r="E316" s="1347">
        <v>82.789111399371734</v>
      </c>
      <c r="F316" s="311">
        <v>90.220988579634422</v>
      </c>
      <c r="G316" s="1347">
        <v>155.19249152988851</v>
      </c>
      <c r="H316" s="311">
        <v>85.430429116776992</v>
      </c>
      <c r="I316" s="1347">
        <v>175.28278812760075</v>
      </c>
      <c r="J316" s="311">
        <v>191.15948646301604</v>
      </c>
      <c r="K316" s="1347">
        <v>201.39203239794779</v>
      </c>
      <c r="L316" s="311">
        <v>168.17045886437177</v>
      </c>
      <c r="M316" s="1587">
        <v>151.63115447902575</v>
      </c>
      <c r="N316" s="1350">
        <v>157.32531893398848</v>
      </c>
      <c r="O316" s="1347">
        <v>129.28060551449377</v>
      </c>
      <c r="P316" s="1347">
        <v>145.37115102271557</v>
      </c>
      <c r="Q316" s="1136">
        <v>390.93641069165648</v>
      </c>
    </row>
    <row r="317" spans="1:17">
      <c r="A317" s="49">
        <f t="shared" si="2"/>
        <v>2018.08</v>
      </c>
      <c r="B317" s="1591">
        <v>154.4781689851628</v>
      </c>
      <c r="C317" s="311">
        <v>142.2546237324423</v>
      </c>
      <c r="D317" s="1350">
        <v>183.21244575932946</v>
      </c>
      <c r="E317" s="1347">
        <v>90.74146836009524</v>
      </c>
      <c r="F317" s="311">
        <v>86.824065697822277</v>
      </c>
      <c r="G317" s="1347">
        <v>153.76018804379015</v>
      </c>
      <c r="H317" s="311">
        <v>100.61805437385547</v>
      </c>
      <c r="I317" s="1347">
        <v>153.87926784481695</v>
      </c>
      <c r="J317" s="311">
        <v>211.62131797724976</v>
      </c>
      <c r="K317" s="1347">
        <v>200.16764659053933</v>
      </c>
      <c r="L317" s="311">
        <v>163.81353466512087</v>
      </c>
      <c r="M317" s="1587">
        <v>176.35763290373609</v>
      </c>
      <c r="N317" s="1350">
        <v>162.75115897284712</v>
      </c>
      <c r="O317" s="1347">
        <v>132.60358949404872</v>
      </c>
      <c r="P317" s="1347">
        <v>141.58470723056396</v>
      </c>
      <c r="Q317" s="1136">
        <v>413.04154370182476</v>
      </c>
    </row>
    <row r="318" spans="1:17">
      <c r="A318" s="49">
        <f>A306+1</f>
        <v>2018.09</v>
      </c>
      <c r="B318" s="1591">
        <v>149.19851985947693</v>
      </c>
      <c r="C318" s="311">
        <v>143.77502248257403</v>
      </c>
      <c r="D318" s="1350">
        <v>174.26009409610049</v>
      </c>
      <c r="E318" s="1347">
        <v>75.008975835073286</v>
      </c>
      <c r="F318" s="311">
        <v>85.446380298405657</v>
      </c>
      <c r="G318" s="1347">
        <v>150.95703155188528</v>
      </c>
      <c r="H318" s="311">
        <v>94.342271841104392</v>
      </c>
      <c r="I318" s="1347">
        <v>183.11384124649675</v>
      </c>
      <c r="J318" s="311">
        <v>198.71714722727117</v>
      </c>
      <c r="K318" s="1347">
        <v>191.57733508102538</v>
      </c>
      <c r="L318" s="311">
        <v>151.04870358369664</v>
      </c>
      <c r="M318" s="1587">
        <v>128.92101864428221</v>
      </c>
      <c r="N318" s="1350">
        <v>152.29854841187841</v>
      </c>
      <c r="O318" s="1347">
        <v>112.82826194833163</v>
      </c>
      <c r="P318" s="1347">
        <v>150.22039973965889</v>
      </c>
      <c r="Q318" s="1136">
        <v>353.95296206386439</v>
      </c>
    </row>
    <row r="319" spans="1:17">
      <c r="A319" s="49">
        <f t="shared" si="2"/>
        <v>2018.1</v>
      </c>
      <c r="B319" s="1591">
        <v>156.21202512453192</v>
      </c>
      <c r="C319" s="311">
        <v>144.76482717553301</v>
      </c>
      <c r="D319" s="1350">
        <v>180.38361490108497</v>
      </c>
      <c r="E319" s="1347">
        <v>100.28466703113712</v>
      </c>
      <c r="F319" s="311">
        <v>80.611792314469739</v>
      </c>
      <c r="G319" s="1347">
        <v>154.75169119788796</v>
      </c>
      <c r="H319" s="311">
        <v>101.59199661924214</v>
      </c>
      <c r="I319" s="1347">
        <v>204.67776231592055</v>
      </c>
      <c r="J319" s="311">
        <v>196.93008522541334</v>
      </c>
      <c r="K319" s="1347">
        <v>196.18113041056276</v>
      </c>
      <c r="L319" s="311">
        <v>146.59536476884492</v>
      </c>
      <c r="M319" s="1587">
        <v>134.57615745657333</v>
      </c>
      <c r="N319" s="1350">
        <v>162.65991834506616</v>
      </c>
      <c r="O319" s="1347">
        <v>108.14655779259216</v>
      </c>
      <c r="P319" s="1347">
        <v>159.24882048924081</v>
      </c>
      <c r="Q319" s="1136">
        <v>378.65812132282758</v>
      </c>
    </row>
    <row r="320" spans="1:17">
      <c r="A320" s="49">
        <f t="shared" ref="A320:A383" si="3">A308+1</f>
        <v>2018.11</v>
      </c>
      <c r="B320" s="1591">
        <v>143.58658930930915</v>
      </c>
      <c r="C320" s="311">
        <v>141.45913050346883</v>
      </c>
      <c r="D320" s="1350">
        <v>162.76749691108051</v>
      </c>
      <c r="E320" s="1347">
        <v>86.979230684869066</v>
      </c>
      <c r="F320" s="311">
        <v>79.76136625661448</v>
      </c>
      <c r="G320" s="1347">
        <v>160.5649313890008</v>
      </c>
      <c r="H320" s="311">
        <v>91.21207665868431</v>
      </c>
      <c r="I320" s="1347">
        <v>187.47869800265343</v>
      </c>
      <c r="J320" s="311">
        <v>191.6120542940846</v>
      </c>
      <c r="K320" s="1347">
        <v>197.13695833481842</v>
      </c>
      <c r="L320" s="311">
        <v>133.49487445790348</v>
      </c>
      <c r="M320" s="1587">
        <v>128.24401352315539</v>
      </c>
      <c r="N320" s="1350">
        <v>145.99763577281567</v>
      </c>
      <c r="O320" s="1347">
        <v>101.39935751796611</v>
      </c>
      <c r="P320" s="1347">
        <v>148.34139787058086</v>
      </c>
      <c r="Q320" s="1136">
        <v>340.26207352523573</v>
      </c>
    </row>
    <row r="321" spans="1:17">
      <c r="A321" s="49">
        <f t="shared" si="3"/>
        <v>2018.12</v>
      </c>
      <c r="B321" s="1591">
        <v>129.91556913048342</v>
      </c>
      <c r="C321" s="311">
        <v>138.94418459293894</v>
      </c>
      <c r="D321" s="1350">
        <v>160.5303603226667</v>
      </c>
      <c r="E321" s="1347">
        <v>92.727075907050462</v>
      </c>
      <c r="F321" s="311">
        <v>70.460963282910285</v>
      </c>
      <c r="G321" s="1347">
        <v>152.85314336972993</v>
      </c>
      <c r="H321" s="311">
        <v>99.97240029018171</v>
      </c>
      <c r="I321" s="1347">
        <v>154.48526668333056</v>
      </c>
      <c r="J321" s="311">
        <v>166.57558765056348</v>
      </c>
      <c r="K321" s="1347">
        <v>167.63002275874055</v>
      </c>
      <c r="L321" s="311">
        <v>115.19585746412424</v>
      </c>
      <c r="M321" s="1587">
        <v>71.415075031627936</v>
      </c>
      <c r="N321" s="1350">
        <v>145.52735628277603</v>
      </c>
      <c r="O321" s="1347">
        <v>78.78210985956423</v>
      </c>
      <c r="P321" s="1347">
        <v>135.40110840705813</v>
      </c>
      <c r="Q321" s="1136">
        <v>246.56448897423118</v>
      </c>
    </row>
    <row r="322" spans="1:17">
      <c r="A322" s="49">
        <f t="shared" si="3"/>
        <v>2019.01</v>
      </c>
      <c r="B322" s="1591">
        <v>121.53423197341792</v>
      </c>
      <c r="C322" s="311">
        <v>139.44236433402662</v>
      </c>
      <c r="D322" s="1350">
        <v>156.92876739799868</v>
      </c>
      <c r="E322" s="1347">
        <v>88.916039773521007</v>
      </c>
      <c r="F322" s="311">
        <v>66.685917960029059</v>
      </c>
      <c r="G322" s="1347">
        <v>153.71749844378982</v>
      </c>
      <c r="H322" s="311">
        <v>99.334374628820953</v>
      </c>
      <c r="I322" s="1347">
        <v>168.33536612683969</v>
      </c>
      <c r="J322" s="311">
        <v>166.52491735620146</v>
      </c>
      <c r="K322" s="1347">
        <v>169.03623080257057</v>
      </c>
      <c r="L322" s="311">
        <v>73.122604107917766</v>
      </c>
      <c r="M322" s="1587">
        <v>50.94263648033732</v>
      </c>
      <c r="N322" s="1350">
        <v>141.87941933014892</v>
      </c>
      <c r="O322" s="1347">
        <v>51.265678774314999</v>
      </c>
      <c r="P322" s="1347">
        <v>137.87627652505822</v>
      </c>
      <c r="Q322" s="1136">
        <v>163.16080192942059</v>
      </c>
    </row>
    <row r="323" spans="1:17">
      <c r="A323" s="49">
        <f t="shared" si="3"/>
        <v>2019.02</v>
      </c>
      <c r="B323" s="1591">
        <v>128.82987539140709</v>
      </c>
      <c r="C323" s="311">
        <v>140.02882525095399</v>
      </c>
      <c r="D323" s="1350">
        <v>141.9734416016617</v>
      </c>
      <c r="E323" s="1347">
        <v>94.210106409917387</v>
      </c>
      <c r="F323" s="311">
        <v>85.209767226023089</v>
      </c>
      <c r="G323" s="1347">
        <v>142.97519809171757</v>
      </c>
      <c r="H323" s="311">
        <v>85.222611480490201</v>
      </c>
      <c r="I323" s="1347">
        <v>177.30620074524973</v>
      </c>
      <c r="J323" s="311">
        <v>179.63539302478327</v>
      </c>
      <c r="K323" s="1347">
        <v>146.45730887971294</v>
      </c>
      <c r="L323" s="311">
        <v>104.79337130658156</v>
      </c>
      <c r="M323" s="1587">
        <v>117.13106640251497</v>
      </c>
      <c r="N323" s="1350">
        <v>131.40472775517804</v>
      </c>
      <c r="O323" s="1347">
        <v>80.782915660187157</v>
      </c>
      <c r="P323" s="1347">
        <v>137.68438412908196</v>
      </c>
      <c r="Q323" s="1136">
        <v>303.86298334206452</v>
      </c>
    </row>
    <row r="324" spans="1:17">
      <c r="A324" s="49">
        <f t="shared" si="3"/>
        <v>2019.03</v>
      </c>
      <c r="B324" s="1591">
        <v>141.78628798149992</v>
      </c>
      <c r="C324" s="311">
        <v>139.10906057241212</v>
      </c>
      <c r="D324" s="1350">
        <v>150.91325081059043</v>
      </c>
      <c r="E324" s="1347">
        <v>76.184463943311655</v>
      </c>
      <c r="F324" s="311">
        <v>96.106465574896248</v>
      </c>
      <c r="G324" s="1347">
        <v>148.82504074695805</v>
      </c>
      <c r="H324" s="311">
        <v>99.823076179743623</v>
      </c>
      <c r="I324" s="1347">
        <v>185.88380068237356</v>
      </c>
      <c r="J324" s="311">
        <v>188.21895988631258</v>
      </c>
      <c r="K324" s="1347">
        <v>178.56971530903473</v>
      </c>
      <c r="L324" s="311">
        <v>151.71723635199072</v>
      </c>
      <c r="M324" s="1587">
        <v>106.25171899869807</v>
      </c>
      <c r="N324" s="1350">
        <v>134.37782334673005</v>
      </c>
      <c r="O324" s="1347">
        <v>110.15188819670151</v>
      </c>
      <c r="P324" s="1347">
        <v>149.87843858142486</v>
      </c>
      <c r="Q324" s="1136">
        <v>313.97617942776651</v>
      </c>
    </row>
    <row r="325" spans="1:17">
      <c r="A325" s="49">
        <f t="shared" si="3"/>
        <v>2019.04</v>
      </c>
      <c r="B325" s="1591">
        <v>141.5454818934449</v>
      </c>
      <c r="C325" s="311">
        <v>141.00923118995328</v>
      </c>
      <c r="D325" s="1350">
        <v>159.99784519756219</v>
      </c>
      <c r="E325" s="1347">
        <v>82.61560666105855</v>
      </c>
      <c r="F325" s="311">
        <v>96.090533777981904</v>
      </c>
      <c r="G325" s="1347">
        <v>135.37625544366432</v>
      </c>
      <c r="H325" s="311">
        <v>89.587727609522474</v>
      </c>
      <c r="I325" s="1347">
        <v>172.65477457982985</v>
      </c>
      <c r="J325" s="311">
        <v>182.53832345799532</v>
      </c>
      <c r="K325" s="1347">
        <v>188.1243277479546</v>
      </c>
      <c r="L325" s="311">
        <v>145.2795236912028</v>
      </c>
      <c r="M325" s="1587">
        <v>112.07268407112504</v>
      </c>
      <c r="N325" s="1350">
        <v>142.87528177921013</v>
      </c>
      <c r="O325" s="1347">
        <v>102.12737110999139</v>
      </c>
      <c r="P325" s="1347">
        <v>144.80281226591575</v>
      </c>
      <c r="Q325" s="1136">
        <v>351.9225984996196</v>
      </c>
    </row>
    <row r="326" spans="1:17">
      <c r="A326" s="49">
        <f t="shared" si="3"/>
        <v>2019.05</v>
      </c>
      <c r="B326" s="1591">
        <v>149.70397055434097</v>
      </c>
      <c r="C326" s="311">
        <v>144.26709490632078</v>
      </c>
      <c r="D326" s="1350">
        <v>164.69198422918183</v>
      </c>
      <c r="E326" s="1347">
        <v>92.160013401050861</v>
      </c>
      <c r="F326" s="311">
        <v>100.29624155178828</v>
      </c>
      <c r="G326" s="1347">
        <v>141.08333249401295</v>
      </c>
      <c r="H326" s="311">
        <v>100.8077727848993</v>
      </c>
      <c r="I326" s="1347">
        <v>199.01826952469446</v>
      </c>
      <c r="J326" s="311">
        <v>184.49513461438102</v>
      </c>
      <c r="K326" s="1347">
        <v>184.72281053157224</v>
      </c>
      <c r="L326" s="311">
        <v>154.94018268371224</v>
      </c>
      <c r="M326" s="1587">
        <v>112.05198919246615</v>
      </c>
      <c r="N326" s="1350">
        <v>148.64265180030833</v>
      </c>
      <c r="O326" s="1347">
        <v>109.47339711876565</v>
      </c>
      <c r="P326" s="1347">
        <v>155.56018206543183</v>
      </c>
      <c r="Q326" s="1136">
        <v>351.10830871051536</v>
      </c>
    </row>
    <row r="327" spans="1:17">
      <c r="A327" s="49">
        <f t="shared" si="3"/>
        <v>2019.06</v>
      </c>
      <c r="B327" s="1591">
        <v>137.36717013454683</v>
      </c>
      <c r="C327" s="311">
        <v>139.58127902762786</v>
      </c>
      <c r="D327" s="1350">
        <v>165.41326614861177</v>
      </c>
      <c r="E327" s="1347">
        <v>66.345524687081308</v>
      </c>
      <c r="F327" s="311">
        <v>94.344945361317102</v>
      </c>
      <c r="G327" s="1347">
        <v>141.61028104860873</v>
      </c>
      <c r="H327" s="311">
        <v>92.13896293844202</v>
      </c>
      <c r="I327" s="1347">
        <v>151.17398348212112</v>
      </c>
      <c r="J327" s="311">
        <v>173.72650820856228</v>
      </c>
      <c r="K327" s="1347">
        <v>182.86361256162886</v>
      </c>
      <c r="L327" s="311">
        <v>152.41717583569402</v>
      </c>
      <c r="M327" s="1587">
        <v>87.526287739365074</v>
      </c>
      <c r="N327" s="1350">
        <v>143.49229671209486</v>
      </c>
      <c r="O327" s="1347">
        <v>105.11621053022736</v>
      </c>
      <c r="P327" s="1347">
        <v>137.20587783602656</v>
      </c>
      <c r="Q327" s="1136">
        <v>301.17654164106153</v>
      </c>
    </row>
    <row r="328" spans="1:17">
      <c r="A328" s="49">
        <f t="shared" si="3"/>
        <v>2019.07</v>
      </c>
      <c r="B328" s="1591">
        <v>150.69067281973878</v>
      </c>
      <c r="C328" s="311">
        <v>142.13339218192058</v>
      </c>
      <c r="D328" s="1350">
        <v>192.08545088155921</v>
      </c>
      <c r="E328" s="1347">
        <v>85.171278993641948</v>
      </c>
      <c r="F328" s="311">
        <v>89.310550204296504</v>
      </c>
      <c r="G328" s="1347">
        <v>142.22094048657979</v>
      </c>
      <c r="H328" s="311">
        <v>96.924405183828682</v>
      </c>
      <c r="I328" s="1347">
        <v>183.86243194310086</v>
      </c>
      <c r="J328" s="311">
        <v>187.58030221001931</v>
      </c>
      <c r="K328" s="1347">
        <v>184.70747307275576</v>
      </c>
      <c r="L328" s="311">
        <v>167.3210450639699</v>
      </c>
      <c r="M328" s="1587">
        <v>78.747312030771241</v>
      </c>
      <c r="N328" s="1350">
        <v>168.42828196148619</v>
      </c>
      <c r="O328" s="1347">
        <v>112.74036115581499</v>
      </c>
      <c r="P328" s="1347">
        <v>146.25333801371175</v>
      </c>
      <c r="Q328" s="1136">
        <v>301.59932663364572</v>
      </c>
    </row>
    <row r="329" spans="1:17">
      <c r="A329" s="49">
        <f t="shared" si="3"/>
        <v>2019.08</v>
      </c>
      <c r="B329" s="1591">
        <v>153.06510094421589</v>
      </c>
      <c r="C329" s="311">
        <v>142.37118958714498</v>
      </c>
      <c r="D329" s="1350">
        <v>191.1807385138647</v>
      </c>
      <c r="E329" s="1347">
        <v>91.938515995062204</v>
      </c>
      <c r="F329" s="311">
        <v>86.250288573784417</v>
      </c>
      <c r="G329" s="1347">
        <v>145.3871330151826</v>
      </c>
      <c r="H329" s="311">
        <v>102.95555092266517</v>
      </c>
      <c r="I329" s="1347">
        <v>169.28280916190562</v>
      </c>
      <c r="J329" s="311">
        <v>203.21990233250193</v>
      </c>
      <c r="K329" s="1347">
        <v>189.91295637484825</v>
      </c>
      <c r="L329" s="311">
        <v>159.60792945603919</v>
      </c>
      <c r="M329" s="1587">
        <v>109.54876868245834</v>
      </c>
      <c r="N329" s="1350">
        <v>169.22116121299877</v>
      </c>
      <c r="O329" s="1347">
        <v>111.73143898493225</v>
      </c>
      <c r="P329" s="1347">
        <v>147.95940313913724</v>
      </c>
      <c r="Q329" s="1136">
        <v>352.80670542259838</v>
      </c>
    </row>
    <row r="330" spans="1:17">
      <c r="A330" s="49">
        <f t="shared" si="3"/>
        <v>2019.09</v>
      </c>
      <c r="B330" s="1591">
        <v>146.09519459693172</v>
      </c>
      <c r="C330" s="311">
        <v>139.01314730186294</v>
      </c>
      <c r="D330" s="1350">
        <v>182.09748487566472</v>
      </c>
      <c r="E330" s="1347">
        <v>80.149989760515339</v>
      </c>
      <c r="F330" s="311">
        <v>84.794599600370447</v>
      </c>
      <c r="G330" s="1347">
        <v>144.98800663236909</v>
      </c>
      <c r="H330" s="311">
        <v>96.374799690097177</v>
      </c>
      <c r="I330" s="1347">
        <v>174.5884343561886</v>
      </c>
      <c r="J330" s="311">
        <v>183.37918239028656</v>
      </c>
      <c r="K330" s="1347">
        <v>179.65764463092361</v>
      </c>
      <c r="L330" s="311">
        <v>147.44584994581857</v>
      </c>
      <c r="M330" s="1587">
        <v>95.445689950414604</v>
      </c>
      <c r="N330" s="1350">
        <v>159.53930507284309</v>
      </c>
      <c r="O330" s="1347">
        <v>101.13494425436002</v>
      </c>
      <c r="P330" s="1347">
        <v>145.95569385560381</v>
      </c>
      <c r="Q330" s="1136">
        <v>324.5629225069527</v>
      </c>
    </row>
    <row r="331" spans="1:17">
      <c r="A331" s="49">
        <f t="shared" si="3"/>
        <v>2019.1</v>
      </c>
      <c r="B331" s="1591">
        <v>153.90917696901909</v>
      </c>
      <c r="C331" s="311">
        <v>143.36585398237142</v>
      </c>
      <c r="D331" s="1350">
        <v>184.79281542947416</v>
      </c>
      <c r="E331" s="1347">
        <v>88.22911375216519</v>
      </c>
      <c r="F331" s="311">
        <v>80.982856899479401</v>
      </c>
      <c r="G331" s="1347">
        <v>151.32149988972432</v>
      </c>
      <c r="H331" s="311">
        <v>104.43706071277643</v>
      </c>
      <c r="I331" s="1347">
        <v>207.16752093074885</v>
      </c>
      <c r="J331" s="311">
        <v>189.64067177162087</v>
      </c>
      <c r="K331" s="1347">
        <v>179.57645433041012</v>
      </c>
      <c r="L331" s="311">
        <v>143.93135617526514</v>
      </c>
      <c r="M331" s="1587">
        <v>110.73342058741656</v>
      </c>
      <c r="N331" s="1350">
        <v>163.42592120218222</v>
      </c>
      <c r="O331" s="1347">
        <v>102.58711508772342</v>
      </c>
      <c r="P331" s="1347">
        <v>158.99740185945913</v>
      </c>
      <c r="Q331" s="1136">
        <v>338.1445662735465</v>
      </c>
    </row>
    <row r="332" spans="1:17">
      <c r="A332" s="49">
        <f t="shared" si="3"/>
        <v>2019.11</v>
      </c>
      <c r="B332" s="1591">
        <v>139.66119850301016</v>
      </c>
      <c r="C332" s="311">
        <v>139.8782794286204</v>
      </c>
      <c r="D332" s="1350">
        <v>162.85254475261766</v>
      </c>
      <c r="E332" s="1347">
        <v>87.322236504999353</v>
      </c>
      <c r="F332" s="311">
        <v>78.73182662864717</v>
      </c>
      <c r="G332" s="1347">
        <v>158.99461616199187</v>
      </c>
      <c r="H332" s="311">
        <v>98.468019580222574</v>
      </c>
      <c r="I332" s="1347">
        <v>187.40597041343943</v>
      </c>
      <c r="J332" s="311">
        <v>172.79555805980604</v>
      </c>
      <c r="K332" s="1347">
        <v>167.10093848317351</v>
      </c>
      <c r="L332" s="311">
        <v>135.10768638193269</v>
      </c>
      <c r="M332" s="1587">
        <v>94.613411871666585</v>
      </c>
      <c r="N332" s="1350">
        <v>146.13976262797749</v>
      </c>
      <c r="O332" s="1347">
        <v>100.10753495262445</v>
      </c>
      <c r="P332" s="1347">
        <v>145.24134469643434</v>
      </c>
      <c r="Q332" s="1136">
        <v>265.7071349803964</v>
      </c>
    </row>
    <row r="333" spans="1:17">
      <c r="A333" s="49">
        <f t="shared" si="3"/>
        <v>2019.12</v>
      </c>
      <c r="B333" s="1591">
        <v>133.08789019656979</v>
      </c>
      <c r="C333" s="311">
        <v>141.20884380722072</v>
      </c>
      <c r="D333" s="1350">
        <v>170.54315835595904</v>
      </c>
      <c r="E333" s="1347">
        <v>89.533680757702328</v>
      </c>
      <c r="F333" s="311">
        <v>69.572808976610631</v>
      </c>
      <c r="G333" s="1347">
        <v>153.79269448019423</v>
      </c>
      <c r="H333" s="311">
        <v>101.40271348077192</v>
      </c>
      <c r="I333" s="1347">
        <v>168.35357492003763</v>
      </c>
      <c r="J333" s="311">
        <v>156.88908676298809</v>
      </c>
      <c r="K333" s="1347">
        <v>155.35260516785394</v>
      </c>
      <c r="L333" s="311">
        <v>113.71043422992042</v>
      </c>
      <c r="M333" s="1587">
        <v>50.780282568168161</v>
      </c>
      <c r="N333" s="1350">
        <v>152.61798658660803</v>
      </c>
      <c r="O333" s="1347">
        <v>77.174147647259161</v>
      </c>
      <c r="P333" s="1347">
        <v>141.97823236787249</v>
      </c>
      <c r="Q333" s="1136">
        <v>193.6658562038925</v>
      </c>
    </row>
    <row r="334" spans="1:17">
      <c r="A334" s="49">
        <f t="shared" si="3"/>
        <v>2020.01</v>
      </c>
      <c r="B334" s="1591">
        <v>129.50038404573709</v>
      </c>
      <c r="C334" s="311">
        <v>134.54174145852801</v>
      </c>
      <c r="D334" s="1350">
        <v>160.98982632895428</v>
      </c>
      <c r="E334" s="1347">
        <v>89.605344296308843</v>
      </c>
      <c r="F334" s="311">
        <v>68.021721933365356</v>
      </c>
      <c r="G334" s="1347">
        <v>149.9994628151897</v>
      </c>
      <c r="H334" s="311">
        <v>104.14162431328356</v>
      </c>
      <c r="I334" s="1347">
        <v>199.55054957522029</v>
      </c>
      <c r="J334" s="311">
        <v>156.85053643941018</v>
      </c>
      <c r="K334" s="1347">
        <v>150.80288783393621</v>
      </c>
      <c r="L334" s="311">
        <v>76.503138914379349</v>
      </c>
      <c r="M334" s="1587">
        <v>70.932616925995021</v>
      </c>
      <c r="N334" s="1350">
        <v>145.19440164485715</v>
      </c>
      <c r="O334" s="1347">
        <v>53.675573622271301</v>
      </c>
      <c r="P334" s="1347">
        <v>148.35225967428164</v>
      </c>
      <c r="Q334" s="1136">
        <v>218.5538489240775</v>
      </c>
    </row>
    <row r="335" spans="1:17">
      <c r="A335" s="49">
        <f t="shared" si="3"/>
        <v>2020.02</v>
      </c>
      <c r="B335" s="1591">
        <v>128.37073191647909</v>
      </c>
      <c r="C335" s="311">
        <v>130.680064958066</v>
      </c>
      <c r="D335" s="1350">
        <v>149.4961272298616</v>
      </c>
      <c r="E335" s="1347">
        <v>84.00512226170909</v>
      </c>
      <c r="F335" s="311">
        <v>84.916983096038194</v>
      </c>
      <c r="G335" s="1347">
        <v>144.73793559990693</v>
      </c>
      <c r="H335" s="311">
        <v>96.86556275531764</v>
      </c>
      <c r="I335" s="1347">
        <v>183.00734612296679</v>
      </c>
      <c r="J335" s="311">
        <v>140.69588257361087</v>
      </c>
      <c r="K335" s="1347">
        <v>158.20794977661376</v>
      </c>
      <c r="L335" s="311">
        <v>103.021517881492</v>
      </c>
      <c r="M335" s="1587">
        <v>93.613460895982016</v>
      </c>
      <c r="N335" s="1350">
        <v>135.0047671050209</v>
      </c>
      <c r="O335" s="1347">
        <v>76.531024004605825</v>
      </c>
      <c r="P335" s="1347">
        <v>139.22468064775143</v>
      </c>
      <c r="Q335" s="1136">
        <v>259.83267516838629</v>
      </c>
    </row>
    <row r="336" spans="1:17">
      <c r="A336" s="49">
        <f t="shared" si="3"/>
        <v>2020.03</v>
      </c>
      <c r="B336" s="1591">
        <v>129.390290228948</v>
      </c>
      <c r="C336" s="311">
        <v>124.94105148766465</v>
      </c>
      <c r="D336" s="1350">
        <v>151.427528334497</v>
      </c>
      <c r="E336" s="1347">
        <v>72.959380738179689</v>
      </c>
      <c r="F336" s="311">
        <v>95.842631177617577</v>
      </c>
      <c r="G336" s="1347">
        <v>144.73861727209339</v>
      </c>
      <c r="H336" s="311">
        <v>91.670745597971532</v>
      </c>
      <c r="I336" s="1347">
        <v>179.15779396690388</v>
      </c>
      <c r="J336" s="311">
        <v>103.59905210852133</v>
      </c>
      <c r="K336" s="1347">
        <v>142.16983157510302</v>
      </c>
      <c r="L336" s="311">
        <v>140.90723677971027</v>
      </c>
      <c r="M336" s="1587">
        <v>69.570799188806106</v>
      </c>
      <c r="N336" s="1350">
        <v>134.06468307505486</v>
      </c>
      <c r="O336" s="1347">
        <v>99.309060666064539</v>
      </c>
      <c r="P336" s="1347">
        <v>133.29212733925942</v>
      </c>
      <c r="Q336" s="1136">
        <v>232.79231605707989</v>
      </c>
    </row>
    <row r="337" spans="1:17">
      <c r="A337" s="49">
        <f t="shared" si="3"/>
        <v>2020.04</v>
      </c>
      <c r="B337" s="1591">
        <v>101.28743716894104</v>
      </c>
      <c r="C337" s="311">
        <v>125.83942302032</v>
      </c>
      <c r="D337" s="1350">
        <v>155.57156298959029</v>
      </c>
      <c r="E337" s="1347">
        <v>34.875722306446278</v>
      </c>
      <c r="F337" s="311">
        <v>95.242105241747623</v>
      </c>
      <c r="G337" s="1347">
        <v>114.08451467741401</v>
      </c>
      <c r="H337" s="311">
        <v>58.107639385828989</v>
      </c>
      <c r="I337" s="1347">
        <v>142.82376945290889</v>
      </c>
      <c r="J337" s="311">
        <v>63.950643879233411</v>
      </c>
      <c r="K337" s="1347">
        <v>63.88931158942556</v>
      </c>
      <c r="L337" s="311">
        <v>111.2142618402907</v>
      </c>
      <c r="M337" s="1587">
        <v>0</v>
      </c>
      <c r="N337" s="1350">
        <v>128.86488939738658</v>
      </c>
      <c r="O337" s="1347">
        <v>74.419257151303981</v>
      </c>
      <c r="P337" s="1347">
        <v>98.011089597608887</v>
      </c>
      <c r="Q337" s="1136">
        <v>61.187818099360975</v>
      </c>
    </row>
    <row r="338" spans="1:17">
      <c r="A338" s="49">
        <f t="shared" si="3"/>
        <v>2020.05</v>
      </c>
      <c r="B338" s="1591">
        <v>119.0193854012421</v>
      </c>
      <c r="C338" s="311">
        <v>126.510950570909</v>
      </c>
      <c r="D338" s="1350">
        <v>158.62696735695022</v>
      </c>
      <c r="E338" s="1347">
        <v>77.939796860255157</v>
      </c>
      <c r="F338" s="311">
        <v>96.187294232748201</v>
      </c>
      <c r="G338" s="1347">
        <v>128.14502272202174</v>
      </c>
      <c r="H338" s="311">
        <v>74.117615438794189</v>
      </c>
      <c r="I338" s="1347">
        <v>170.2717676367046</v>
      </c>
      <c r="J338" s="311">
        <v>109.4037507362932</v>
      </c>
      <c r="K338" s="1347">
        <v>91.136625730611982</v>
      </c>
      <c r="L338" s="311">
        <v>125.58991463024779</v>
      </c>
      <c r="M338" s="1587">
        <v>17.745360467748835</v>
      </c>
      <c r="N338" s="1350">
        <v>140.77311329423378</v>
      </c>
      <c r="O338" s="1347">
        <v>84.61868387614517</v>
      </c>
      <c r="P338" s="1347">
        <v>120.83683868977093</v>
      </c>
      <c r="Q338" s="1136">
        <v>113.52795323159592</v>
      </c>
    </row>
    <row r="339" spans="1:17">
      <c r="A339" s="49">
        <f t="shared" si="3"/>
        <v>2020.06</v>
      </c>
      <c r="B339" s="1591">
        <v>131.25284592838139</v>
      </c>
      <c r="C339" s="311">
        <v>128.88798193855487</v>
      </c>
      <c r="D339" s="1350">
        <v>174.36774207991698</v>
      </c>
      <c r="E339" s="1347">
        <v>103.58070366998604</v>
      </c>
      <c r="F339" s="311">
        <v>91.838386354272444</v>
      </c>
      <c r="G339" s="1347">
        <v>135.58304996505143</v>
      </c>
      <c r="H339" s="311">
        <v>84.05823676574164</v>
      </c>
      <c r="I339" s="1347">
        <v>155.52787997928411</v>
      </c>
      <c r="J339" s="311">
        <v>160.46672401836452</v>
      </c>
      <c r="K339" s="1347">
        <v>108.26047445519642</v>
      </c>
      <c r="L339" s="311">
        <v>131.37943922199301</v>
      </c>
      <c r="M339" s="1587">
        <v>57.165609505526291</v>
      </c>
      <c r="N339" s="1350">
        <v>158.70451525559091</v>
      </c>
      <c r="O339" s="1347">
        <v>91.951600105343573</v>
      </c>
      <c r="P339" s="1347">
        <v>126.45476937682065</v>
      </c>
      <c r="Q339" s="1136">
        <v>200.46150396923247</v>
      </c>
    </row>
    <row r="340" spans="1:17">
      <c r="A340" s="49">
        <f t="shared" si="3"/>
        <v>2020.07</v>
      </c>
      <c r="B340" s="1591">
        <v>141.91504168149498</v>
      </c>
      <c r="C340" s="311">
        <v>134.06794838034256</v>
      </c>
      <c r="D340" s="1350">
        <v>187.54474550901452</v>
      </c>
      <c r="E340" s="1347">
        <v>72.710513652805147</v>
      </c>
      <c r="F340" s="311">
        <v>88.149424474696275</v>
      </c>
      <c r="G340" s="1347">
        <v>140.7809657405522</v>
      </c>
      <c r="H340" s="311">
        <v>88.164746302296095</v>
      </c>
      <c r="I340" s="1347">
        <v>177.53090228331465</v>
      </c>
      <c r="J340" s="311">
        <v>172.70323648311773</v>
      </c>
      <c r="K340" s="1347">
        <v>138.15043369621708</v>
      </c>
      <c r="L340" s="311">
        <v>149.38693087288931</v>
      </c>
      <c r="M340" s="1587">
        <v>77.695937578733407</v>
      </c>
      <c r="N340" s="1350">
        <v>162.13508491063135</v>
      </c>
      <c r="O340" s="1347">
        <v>103.11896469014225</v>
      </c>
      <c r="P340" s="1347">
        <v>137.58376827557805</v>
      </c>
      <c r="Q340" s="1136">
        <v>272.47324282046441</v>
      </c>
    </row>
    <row r="341" spans="1:17">
      <c r="A341" s="49">
        <f t="shared" si="3"/>
        <v>2020.08</v>
      </c>
      <c r="B341" s="1591">
        <v>147.69891633230316</v>
      </c>
      <c r="C341" s="311">
        <v>138.69728696526056</v>
      </c>
      <c r="D341" s="1350">
        <v>186.12503111570908</v>
      </c>
      <c r="E341" s="1347">
        <v>88.618020963924465</v>
      </c>
      <c r="F341" s="311">
        <v>85.993774655299944</v>
      </c>
      <c r="G341" s="1347">
        <v>136.17211637500097</v>
      </c>
      <c r="H341" s="311">
        <v>89.64207324975348</v>
      </c>
      <c r="I341" s="1347">
        <v>192.29481095382948</v>
      </c>
      <c r="J341" s="311">
        <v>181.17807975803592</v>
      </c>
      <c r="K341" s="1347">
        <v>142.76337280181119</v>
      </c>
      <c r="L341" s="311">
        <v>147.81932862880842</v>
      </c>
      <c r="M341" s="1587">
        <v>92.007737385872474</v>
      </c>
      <c r="N341" s="1350">
        <v>164.54940863910883</v>
      </c>
      <c r="O341" s="1347">
        <v>103.39521543003457</v>
      </c>
      <c r="P341" s="1347">
        <v>146.63132681090579</v>
      </c>
      <c r="Q341" s="1136">
        <v>301.5377101006477</v>
      </c>
    </row>
    <row r="342" spans="1:17">
      <c r="A342" s="49">
        <f t="shared" si="3"/>
        <v>2020.09</v>
      </c>
      <c r="B342" s="1591">
        <v>151.21268913850648</v>
      </c>
      <c r="C342" s="311">
        <v>142.21190980852674</v>
      </c>
      <c r="D342" s="1350">
        <v>186.73396830900941</v>
      </c>
      <c r="E342" s="1347">
        <v>81.371507887128232</v>
      </c>
      <c r="F342" s="311">
        <v>84.72693218243684</v>
      </c>
      <c r="G342" s="1347">
        <v>143.80176358950905</v>
      </c>
      <c r="H342" s="311">
        <v>75.007325426116353</v>
      </c>
      <c r="I342" s="1347">
        <v>193.47798511279458</v>
      </c>
      <c r="J342" s="311">
        <v>203.1023092390285</v>
      </c>
      <c r="K342" s="1347">
        <v>147.53397264828951</v>
      </c>
      <c r="L342" s="311">
        <v>139.06907145406532</v>
      </c>
      <c r="M342" s="1587">
        <v>111.24162647789669</v>
      </c>
      <c r="N342" s="1350">
        <v>163.42015050524782</v>
      </c>
      <c r="O342" s="1347">
        <v>101.0666780054749</v>
      </c>
      <c r="P342" s="1347">
        <v>154.65448323605861</v>
      </c>
      <c r="Q342" s="1136">
        <v>324.91699821058796</v>
      </c>
    </row>
    <row r="343" spans="1:17">
      <c r="A343" s="49">
        <f t="shared" si="3"/>
        <v>2020.1</v>
      </c>
      <c r="B343" s="1591">
        <v>149.92485711161535</v>
      </c>
      <c r="C343" s="311">
        <v>142.76892072828642</v>
      </c>
      <c r="D343" s="1350">
        <v>182.20541720207314</v>
      </c>
      <c r="E343" s="1347">
        <v>95.693168996331508</v>
      </c>
      <c r="F343" s="311">
        <v>80.900204567125712</v>
      </c>
      <c r="G343" s="1347">
        <v>134.30611564927744</v>
      </c>
      <c r="H343" s="311">
        <v>83.352409029440764</v>
      </c>
      <c r="I343" s="1347">
        <v>201.20419165293413</v>
      </c>
      <c r="J343" s="311">
        <v>210.04633867335133</v>
      </c>
      <c r="K343" s="1347">
        <v>162.64305802925423</v>
      </c>
      <c r="L343" s="311">
        <v>136.02194054349167</v>
      </c>
      <c r="M343" s="1587">
        <v>100.34796640716455</v>
      </c>
      <c r="N343" s="1350">
        <v>163.06263347828309</v>
      </c>
      <c r="O343" s="1347">
        <v>99.26207552333652</v>
      </c>
      <c r="P343" s="1347">
        <v>155.13641804483251</v>
      </c>
      <c r="Q343" s="1136">
        <v>291.89780773491702</v>
      </c>
    </row>
    <row r="344" spans="1:17">
      <c r="A344" s="49">
        <f t="shared" si="3"/>
        <v>2020.11</v>
      </c>
      <c r="B344" s="1591">
        <v>144.82352522309779</v>
      </c>
      <c r="C344" s="311">
        <v>145.41941723790754</v>
      </c>
      <c r="D344" s="1350">
        <v>167.86753938787598</v>
      </c>
      <c r="E344" s="1347">
        <v>93.549961512597335</v>
      </c>
      <c r="F344" s="311">
        <v>79.637377862542152</v>
      </c>
      <c r="G344" s="1347">
        <v>154.39543211346222</v>
      </c>
      <c r="H344" s="311">
        <v>86.581821383293416</v>
      </c>
      <c r="I344" s="1347">
        <v>187.11161724450534</v>
      </c>
      <c r="J344" s="311">
        <v>217.47857915624934</v>
      </c>
      <c r="K344" s="1347">
        <v>164.66034923331699</v>
      </c>
      <c r="L344" s="311">
        <v>125.63911611230411</v>
      </c>
      <c r="M344" s="1587">
        <v>113.73188927307916</v>
      </c>
      <c r="N344" s="1350">
        <v>151.42310117654802</v>
      </c>
      <c r="O344" s="1347">
        <v>94.867673590825717</v>
      </c>
      <c r="P344" s="1347">
        <v>152.86188310928014</v>
      </c>
      <c r="Q344" s="1136">
        <v>305.12038528812781</v>
      </c>
    </row>
    <row r="345" spans="1:17">
      <c r="A345" s="49">
        <f t="shared" si="3"/>
        <v>2020.12</v>
      </c>
      <c r="B345" s="1591">
        <v>137.97674076711098</v>
      </c>
      <c r="C345" s="311">
        <v>145.30856962477827</v>
      </c>
      <c r="D345" s="1350">
        <v>161.1131070596708</v>
      </c>
      <c r="E345" s="1347">
        <v>97.767399938537366</v>
      </c>
      <c r="F345" s="311">
        <v>70.631543494521921</v>
      </c>
      <c r="G345" s="1347">
        <v>151.86777232521644</v>
      </c>
      <c r="H345" s="311">
        <v>94.429287223552592</v>
      </c>
      <c r="I345" s="1347">
        <v>165.5487394276314</v>
      </c>
      <c r="J345" s="311">
        <v>197.01119265631985</v>
      </c>
      <c r="K345" s="1347">
        <v>168.00421056438458</v>
      </c>
      <c r="L345" s="311">
        <v>112.47978633299437</v>
      </c>
      <c r="M345" s="1587">
        <v>105.52691701084188</v>
      </c>
      <c r="N345" s="1350">
        <v>147.09644240928978</v>
      </c>
      <c r="O345" s="1347">
        <v>81.341808930357274</v>
      </c>
      <c r="P345" s="1347">
        <v>146.78158067984248</v>
      </c>
      <c r="Q345" s="1136">
        <v>308.00611432398654</v>
      </c>
    </row>
    <row r="346" spans="1:17">
      <c r="A346" s="49">
        <f t="shared" si="3"/>
        <v>2021.01</v>
      </c>
      <c r="B346" s="1591">
        <v>135.91891160574883</v>
      </c>
      <c r="C346" s="311">
        <v>150.42612065813</v>
      </c>
      <c r="D346" s="1350">
        <v>162.58353320012236</v>
      </c>
      <c r="E346" s="1347">
        <v>92.142920891278891</v>
      </c>
      <c r="F346" s="311">
        <v>68.605381535699493</v>
      </c>
      <c r="G346" s="1347">
        <v>133.35464571672986</v>
      </c>
      <c r="H346" s="311">
        <v>100.51173165234542</v>
      </c>
      <c r="I346" s="1347">
        <v>199.55726662155419</v>
      </c>
      <c r="J346" s="311">
        <v>182.14043439199568</v>
      </c>
      <c r="K346" s="1347">
        <v>165.11787386117797</v>
      </c>
      <c r="L346" s="311">
        <v>89.418128516343288</v>
      </c>
      <c r="M346" s="1587">
        <v>83.472842085140627</v>
      </c>
      <c r="N346" s="1350">
        <v>146.99696095438981</v>
      </c>
      <c r="O346" s="1347">
        <v>66.089451468816335</v>
      </c>
      <c r="P346" s="1347">
        <v>154.4682233856054</v>
      </c>
      <c r="Q346" s="1136">
        <v>233.8981409692226</v>
      </c>
    </row>
    <row r="347" spans="1:17">
      <c r="A347" s="49">
        <f t="shared" si="3"/>
        <v>2021.02</v>
      </c>
      <c r="B347" s="1591">
        <v>129.58902274798186</v>
      </c>
      <c r="C347" s="311">
        <v>150.2485609986887</v>
      </c>
      <c r="D347" s="1350">
        <v>152.15017657461883</v>
      </c>
      <c r="E347" s="1347">
        <v>96.318453268642486</v>
      </c>
      <c r="F347" s="311">
        <v>85.980584873246684</v>
      </c>
      <c r="G347" s="1347">
        <v>135.76887151085313</v>
      </c>
      <c r="H347" s="311">
        <v>90.419565150021128</v>
      </c>
      <c r="I347" s="1347">
        <v>162.86012746454003</v>
      </c>
      <c r="J347" s="311">
        <v>165.66575204463811</v>
      </c>
      <c r="K347" s="1347">
        <v>148.33004989066148</v>
      </c>
      <c r="L347" s="311">
        <v>118.97034139787581</v>
      </c>
      <c r="M347" s="1587">
        <v>77.97737266499324</v>
      </c>
      <c r="N347" s="1350">
        <v>139.79615010623877</v>
      </c>
      <c r="O347" s="1347">
        <v>81.403753371415576</v>
      </c>
      <c r="P347" s="1347">
        <v>135.99996706351325</v>
      </c>
      <c r="Q347" s="1136">
        <v>265.88830340301092</v>
      </c>
    </row>
    <row r="348" spans="1:17">
      <c r="A348" s="49">
        <f t="shared" si="3"/>
        <v>2021.03</v>
      </c>
      <c r="B348" s="1591">
        <v>167.24238571948075</v>
      </c>
      <c r="C348" s="311">
        <v>158.74078323748475</v>
      </c>
      <c r="D348" s="1350">
        <v>175.5780052859584</v>
      </c>
      <c r="E348" s="1347">
        <v>101.610952130165</v>
      </c>
      <c r="F348" s="311">
        <v>96.707495124024547</v>
      </c>
      <c r="G348" s="1347">
        <v>158.16535419373753</v>
      </c>
      <c r="H348" s="311">
        <v>95.861487265812102</v>
      </c>
      <c r="I348" s="1347">
        <v>216.01736784914596</v>
      </c>
      <c r="J348" s="311">
        <v>194.59218611615034</v>
      </c>
      <c r="K348" s="1347">
        <v>180.56008316631531</v>
      </c>
      <c r="L348" s="311">
        <v>193.12073907034042</v>
      </c>
      <c r="M348" s="1587">
        <v>156.67540908473237</v>
      </c>
      <c r="N348" s="1350">
        <v>159.21112856487156</v>
      </c>
      <c r="O348" s="1347">
        <v>142.85890532011973</v>
      </c>
      <c r="P348" s="1347">
        <v>165.541238276988</v>
      </c>
      <c r="Q348" s="1136">
        <v>439.90266460762172</v>
      </c>
    </row>
    <row r="349" spans="1:17">
      <c r="A349" s="49">
        <f t="shared" si="3"/>
        <v>2021.04</v>
      </c>
      <c r="B349" s="1591">
        <v>160.45344830582502</v>
      </c>
      <c r="C349" s="311">
        <v>158.51076837502626</v>
      </c>
      <c r="D349" s="1350">
        <v>168.56429976494738</v>
      </c>
      <c r="E349" s="1347">
        <v>87.78466962764216</v>
      </c>
      <c r="F349" s="311">
        <v>95.653553158801515</v>
      </c>
      <c r="G349" s="1347">
        <v>138.57402469982</v>
      </c>
      <c r="H349" s="311">
        <v>91.732684462600375</v>
      </c>
      <c r="I349" s="1347">
        <v>206.08162493465829</v>
      </c>
      <c r="J349" s="311">
        <v>189.30721939697253</v>
      </c>
      <c r="K349" s="1347">
        <v>157.44681618519351</v>
      </c>
      <c r="L349" s="311">
        <v>216.2233325763616</v>
      </c>
      <c r="M349" s="1587">
        <v>106.85408832957947</v>
      </c>
      <c r="N349" s="1350">
        <v>150.68998692396443</v>
      </c>
      <c r="O349" s="1347">
        <v>165.15804538978719</v>
      </c>
      <c r="P349" s="1347">
        <v>157.41986757289627</v>
      </c>
      <c r="Q349" s="1136">
        <v>269.53553924817135</v>
      </c>
    </row>
    <row r="350" spans="1:17">
      <c r="A350" s="49">
        <f t="shared" si="3"/>
        <v>2021.05</v>
      </c>
      <c r="B350" s="1591">
        <v>158.37371843364747</v>
      </c>
      <c r="C350" s="311">
        <v>156.28696850434829</v>
      </c>
      <c r="D350" s="1350">
        <v>164.83864036348311</v>
      </c>
      <c r="E350" s="1347">
        <v>89.80763106141886</v>
      </c>
      <c r="F350" s="311">
        <v>96.813961929132205</v>
      </c>
      <c r="G350" s="1347">
        <v>131.33590439554459</v>
      </c>
      <c r="H350" s="311">
        <v>98.148088153261014</v>
      </c>
      <c r="I350" s="1347">
        <v>216.22067330153513</v>
      </c>
      <c r="J350" s="311">
        <v>177.52891988467493</v>
      </c>
      <c r="K350" s="1347">
        <v>169.84737280159663</v>
      </c>
      <c r="L350" s="311">
        <v>181.88188549190204</v>
      </c>
      <c r="M350" s="1587">
        <v>127.17449910215441</v>
      </c>
      <c r="N350" s="1350">
        <v>148.23633937794733</v>
      </c>
      <c r="O350" s="1347">
        <v>140.00002956356587</v>
      </c>
      <c r="P350" s="1347">
        <v>162.74341161649318</v>
      </c>
      <c r="Q350" s="1136">
        <v>321.1007156203072</v>
      </c>
    </row>
    <row r="351" spans="1:17">
      <c r="A351" s="49">
        <f t="shared" si="3"/>
        <v>2021.06</v>
      </c>
      <c r="B351" s="1591">
        <v>161.69537274032311</v>
      </c>
      <c r="C351" s="311">
        <v>157.57717208095187</v>
      </c>
      <c r="D351" s="1350">
        <v>182.49440854651425</v>
      </c>
      <c r="E351" s="1347">
        <v>74.505740461276062</v>
      </c>
      <c r="F351" s="311">
        <v>92.774056096061514</v>
      </c>
      <c r="G351" s="1347">
        <v>136.67007972112913</v>
      </c>
      <c r="H351" s="311">
        <v>92.771058120862094</v>
      </c>
      <c r="I351" s="1347">
        <v>205.82276008144854</v>
      </c>
      <c r="J351" s="311">
        <v>190.41318814199701</v>
      </c>
      <c r="K351" s="1347">
        <v>171.02665077284564</v>
      </c>
      <c r="L351" s="311">
        <v>177.07118636790682</v>
      </c>
      <c r="M351" s="1587">
        <v>145.70461044921296</v>
      </c>
      <c r="N351" s="1350">
        <v>158.59948313826817</v>
      </c>
      <c r="O351" s="1347">
        <v>138.58134529654939</v>
      </c>
      <c r="P351" s="1347">
        <v>161.35585552738704</v>
      </c>
      <c r="Q351" s="1136">
        <v>356.61894353123336</v>
      </c>
    </row>
    <row r="352" spans="1:17">
      <c r="A352" s="49">
        <f t="shared" si="3"/>
        <v>2021.07</v>
      </c>
      <c r="B352" s="1591">
        <v>161.60942153437816</v>
      </c>
      <c r="C352" s="311">
        <v>155.06748704568662</v>
      </c>
      <c r="D352" s="1350">
        <v>191.72286719942801</v>
      </c>
      <c r="E352" s="1347">
        <v>85.562581041163554</v>
      </c>
      <c r="F352" s="311">
        <v>88.367693875815391</v>
      </c>
      <c r="G352" s="1347">
        <v>153.79704351726505</v>
      </c>
      <c r="H352" s="311">
        <v>93.871048161712906</v>
      </c>
      <c r="I352" s="1347">
        <v>194.64292177525613</v>
      </c>
      <c r="J352" s="311">
        <v>205.98751887151263</v>
      </c>
      <c r="K352" s="1347">
        <v>182.15176302236142</v>
      </c>
      <c r="L352" s="311">
        <v>188.67962322997184</v>
      </c>
      <c r="M352" s="1587">
        <v>116.0697183285078</v>
      </c>
      <c r="N352" s="1350">
        <v>168.23251247936133</v>
      </c>
      <c r="O352" s="1347">
        <v>135.56595175620697</v>
      </c>
      <c r="P352" s="1347">
        <v>156.10512293636839</v>
      </c>
      <c r="Q352" s="1136">
        <v>356.41630961795363</v>
      </c>
    </row>
    <row r="353" spans="1:17">
      <c r="A353" s="49">
        <f t="shared" si="3"/>
        <v>2021.08</v>
      </c>
      <c r="B353" s="1591">
        <v>166.8164329007129</v>
      </c>
      <c r="C353" s="311">
        <v>153.8880289894841</v>
      </c>
      <c r="D353" s="1350">
        <v>195.65710757592711</v>
      </c>
      <c r="E353" s="1347">
        <v>95.748853694448727</v>
      </c>
      <c r="F353" s="311">
        <v>86.201552866061974</v>
      </c>
      <c r="G353" s="1347">
        <v>146.19415008675151</v>
      </c>
      <c r="H353" s="311">
        <v>97.903324369629502</v>
      </c>
      <c r="I353" s="1347">
        <v>207.9369300832507</v>
      </c>
      <c r="J353" s="311">
        <v>211.58658175904776</v>
      </c>
      <c r="K353" s="1347">
        <v>181.83073897720868</v>
      </c>
      <c r="L353" s="311">
        <v>184.24895553441468</v>
      </c>
      <c r="M353" s="1587">
        <v>139.68870980752789</v>
      </c>
      <c r="N353" s="1350">
        <v>173.55015583278976</v>
      </c>
      <c r="O353" s="1347">
        <v>136.53537229772374</v>
      </c>
      <c r="P353" s="1347">
        <v>161.20256535308215</v>
      </c>
      <c r="Q353" s="1136">
        <v>391.33168241264548</v>
      </c>
    </row>
    <row r="354" spans="1:17">
      <c r="A354" s="49">
        <f t="shared" si="3"/>
        <v>2021.09</v>
      </c>
      <c r="B354" s="1591">
        <v>164.77891839340927</v>
      </c>
      <c r="C354" s="311">
        <v>155.27628840672219</v>
      </c>
      <c r="D354" s="1350">
        <v>195.99394773169413</v>
      </c>
      <c r="E354" s="1347">
        <v>85.923140880552481</v>
      </c>
      <c r="F354" s="311">
        <v>85.999417522727086</v>
      </c>
      <c r="G354" s="1347">
        <v>154.07623150257999</v>
      </c>
      <c r="H354" s="311">
        <v>95.402466009297072</v>
      </c>
      <c r="I354" s="1347">
        <v>202.43062149719646</v>
      </c>
      <c r="J354" s="311">
        <v>216.79178634870851</v>
      </c>
      <c r="K354" s="1347">
        <v>181.27495817533659</v>
      </c>
      <c r="L354" s="311">
        <v>157.5830406173379</v>
      </c>
      <c r="M354" s="1587">
        <v>158.57853938482344</v>
      </c>
      <c r="N354" s="1350">
        <v>171.63830221843105</v>
      </c>
      <c r="O354" s="1347">
        <v>120.40680151665758</v>
      </c>
      <c r="P354" s="1347">
        <v>163.83081275149021</v>
      </c>
      <c r="Q354" s="1136">
        <v>416.39571633571921</v>
      </c>
    </row>
    <row r="355" spans="1:17">
      <c r="A355" s="49">
        <f t="shared" si="3"/>
        <v>2021.1</v>
      </c>
      <c r="B355" s="1591">
        <v>157.9108365628523</v>
      </c>
      <c r="C355" s="311">
        <v>153.80589017338866</v>
      </c>
      <c r="D355" s="1350">
        <v>182.26717782079112</v>
      </c>
      <c r="E355" s="1347">
        <v>88.683285978394707</v>
      </c>
      <c r="F355" s="311">
        <v>81.212173826561681</v>
      </c>
      <c r="G355" s="1347">
        <v>150.15466878309417</v>
      </c>
      <c r="H355" s="311">
        <v>100.53027257360192</v>
      </c>
      <c r="I355" s="1347">
        <v>203.34850018027839</v>
      </c>
      <c r="J355" s="311">
        <v>221.65319177354289</v>
      </c>
      <c r="K355" s="1347">
        <v>187.73846932372146</v>
      </c>
      <c r="L355" s="311">
        <v>147.05016491760708</v>
      </c>
      <c r="M355" s="1587">
        <v>149.54533499628238</v>
      </c>
      <c r="N355" s="1350">
        <v>161.55963364381918</v>
      </c>
      <c r="O355" s="1347">
        <v>115.31269141606795</v>
      </c>
      <c r="P355" s="1347">
        <v>160.80907686240587</v>
      </c>
      <c r="Q355" s="1136">
        <v>372.48930849962488</v>
      </c>
    </row>
    <row r="356" spans="1:17">
      <c r="A356" s="49">
        <f t="shared" si="3"/>
        <v>2021.11</v>
      </c>
      <c r="B356" s="1591">
        <v>157.14136091487015</v>
      </c>
      <c r="C356" s="311">
        <v>155.9056688580435</v>
      </c>
      <c r="D356" s="1350">
        <v>177.43101831743729</v>
      </c>
      <c r="E356" s="1347">
        <v>106.62097016636297</v>
      </c>
      <c r="F356" s="311">
        <v>81.415849806789026</v>
      </c>
      <c r="G356" s="1347">
        <v>163.11661013217588</v>
      </c>
      <c r="H356" s="311">
        <v>97.71435597971545</v>
      </c>
      <c r="I356" s="1347">
        <v>209.88571489612801</v>
      </c>
      <c r="J356" s="311">
        <v>218.54469160893345</v>
      </c>
      <c r="K356" s="1347">
        <v>186.38266251160121</v>
      </c>
      <c r="L356" s="311">
        <v>133.33624320526815</v>
      </c>
      <c r="M356" s="1587">
        <v>169.41292941326896</v>
      </c>
      <c r="N356" s="1350">
        <v>161.76270006955696</v>
      </c>
      <c r="O356" s="1347">
        <v>111.81447011743481</v>
      </c>
      <c r="P356" s="1347">
        <v>160.09594996889629</v>
      </c>
      <c r="Q356" s="1136">
        <v>380.04417739176165</v>
      </c>
    </row>
    <row r="357" spans="1:17">
      <c r="A357" s="49">
        <f t="shared" si="3"/>
        <v>2021.12</v>
      </c>
      <c r="B357" s="1591">
        <v>149.96863209057199</v>
      </c>
      <c r="C357" s="311">
        <v>159.09799936066113</v>
      </c>
      <c r="D357" s="1350">
        <v>182.9769671247185</v>
      </c>
      <c r="E357" s="1347">
        <v>104.9605349232239</v>
      </c>
      <c r="F357" s="311">
        <v>73.205673947273283</v>
      </c>
      <c r="G357" s="1347">
        <v>154.06172808490203</v>
      </c>
      <c r="H357" s="311">
        <v>103.02550218340612</v>
      </c>
      <c r="I357" s="1347">
        <v>156.80918042674557</v>
      </c>
      <c r="J357" s="311">
        <v>201.7131420230443</v>
      </c>
      <c r="K357" s="1347">
        <v>182.27315649790145</v>
      </c>
      <c r="L357" s="311">
        <v>127.26263021330031</v>
      </c>
      <c r="M357" s="1587">
        <v>145.46372060302448</v>
      </c>
      <c r="N357" s="1350">
        <v>165.71407407189614</v>
      </c>
      <c r="O357" s="1347">
        <v>104.10820830913627</v>
      </c>
      <c r="P357" s="1347">
        <v>148.15775766620419</v>
      </c>
      <c r="Q357" s="1136">
        <v>336.43609346063926</v>
      </c>
    </row>
    <row r="358" spans="1:17">
      <c r="A358" s="49">
        <f t="shared" si="3"/>
        <v>2022.01</v>
      </c>
      <c r="B358" s="1591">
        <v>134.78372021142064</v>
      </c>
      <c r="C358" s="311">
        <v>157.3005509178823</v>
      </c>
      <c r="D358" s="1350">
        <v>159.74263191496939</v>
      </c>
      <c r="E358" s="1347">
        <v>90.432062651763786</v>
      </c>
      <c r="F358" s="311">
        <v>68.309416899155678</v>
      </c>
      <c r="G358" s="1347">
        <v>150.64709529585221</v>
      </c>
      <c r="H358" s="311">
        <v>100.2914967037611</v>
      </c>
      <c r="I358" s="1347">
        <v>206.04638652671022</v>
      </c>
      <c r="J358" s="311">
        <v>177.05129942441306</v>
      </c>
      <c r="K358" s="1347">
        <v>161.58916968515757</v>
      </c>
      <c r="L358" s="311">
        <v>94.313239124621745</v>
      </c>
      <c r="M358" s="1587">
        <v>67.992328454754173</v>
      </c>
      <c r="N358" s="1350">
        <v>144.40610714886975</v>
      </c>
      <c r="O358" s="1347">
        <v>67.502378758341678</v>
      </c>
      <c r="P358" s="1347">
        <v>154.85833507919131</v>
      </c>
      <c r="Q358" s="1136">
        <v>207.17726250327291</v>
      </c>
    </row>
    <row r="359" spans="1:17">
      <c r="A359" s="49">
        <f t="shared" si="3"/>
        <v>2022.02</v>
      </c>
      <c r="B359" s="1591">
        <v>141.00585199367384</v>
      </c>
      <c r="C359" s="311">
        <v>163.54317627154543</v>
      </c>
      <c r="D359" s="1350">
        <v>157.25322342897158</v>
      </c>
      <c r="E359" s="1347">
        <v>91.316755360021858</v>
      </c>
      <c r="F359" s="311">
        <v>85.884800085245899</v>
      </c>
      <c r="G359" s="1347">
        <v>147.35580679201541</v>
      </c>
      <c r="H359" s="311">
        <v>81.388835624735862</v>
      </c>
      <c r="I359" s="1347">
        <v>199.36861369283719</v>
      </c>
      <c r="J359" s="311">
        <v>184.43044647666875</v>
      </c>
      <c r="K359" s="1347">
        <v>145.74092383351493</v>
      </c>
      <c r="L359" s="311">
        <v>127.68458373186411</v>
      </c>
      <c r="M359" s="1587">
        <v>137.38347701091675</v>
      </c>
      <c r="N359" s="1350">
        <v>142.66329455840591</v>
      </c>
      <c r="O359" s="1347">
        <v>104.00905134116641</v>
      </c>
      <c r="P359" s="1347">
        <v>145.22786096927021</v>
      </c>
      <c r="Q359" s="1136">
        <v>317.2458961845046</v>
      </c>
    </row>
    <row r="360" spans="1:17">
      <c r="A360" s="49">
        <f t="shared" si="3"/>
        <v>2022.03</v>
      </c>
      <c r="B360" s="1591">
        <v>171.4045878753021</v>
      </c>
      <c r="C360" s="311">
        <v>161.95644923955297</v>
      </c>
      <c r="D360" s="1350">
        <v>178.27882673322804</v>
      </c>
      <c r="E360" s="1347">
        <v>89.769328241989726</v>
      </c>
      <c r="F360" s="311">
        <v>96.713021968912003</v>
      </c>
      <c r="G360" s="1347">
        <v>157.2972077256687</v>
      </c>
      <c r="H360" s="311">
        <v>93.837758219467531</v>
      </c>
      <c r="I360" s="1347">
        <v>210.94089525089308</v>
      </c>
      <c r="J360" s="311">
        <v>205.47531255653686</v>
      </c>
      <c r="K360" s="1347">
        <v>182.45552746910232</v>
      </c>
      <c r="L360" s="311">
        <v>214.53885307412531</v>
      </c>
      <c r="M360" s="1587">
        <v>177.86582953973758</v>
      </c>
      <c r="N360" s="1350">
        <v>158.69410639294159</v>
      </c>
      <c r="O360" s="1347">
        <v>169.84793175510839</v>
      </c>
      <c r="P360" s="1347">
        <v>163.6535218570078</v>
      </c>
      <c r="Q360" s="1136">
        <v>422.3230635259614</v>
      </c>
    </row>
    <row r="361" spans="1:17">
      <c r="A361" s="49">
        <f t="shared" si="3"/>
        <v>2022.04</v>
      </c>
      <c r="B361" s="1591">
        <v>167.15031571589643</v>
      </c>
      <c r="C361" s="311">
        <v>166.92418703984586</v>
      </c>
      <c r="D361" s="1350">
        <v>171.21216522326148</v>
      </c>
      <c r="E361" s="1347">
        <v>89.269112423577269</v>
      </c>
      <c r="F361" s="311">
        <v>95.638625225369751</v>
      </c>
      <c r="G361" s="1347">
        <v>143.14389552923262</v>
      </c>
      <c r="H361" s="311">
        <v>102.53522007324973</v>
      </c>
      <c r="I361" s="1347">
        <v>207.00702567289966</v>
      </c>
      <c r="J361" s="311">
        <v>202.60814868948069</v>
      </c>
      <c r="K361" s="1347">
        <v>158.49350358535929</v>
      </c>
      <c r="L361" s="311">
        <v>220.18051560721668</v>
      </c>
      <c r="M361" s="1587">
        <v>159.84093002270947</v>
      </c>
      <c r="N361" s="1350">
        <v>153.0804189105196</v>
      </c>
      <c r="O361" s="1347">
        <v>177.47021200670864</v>
      </c>
      <c r="P361" s="1347">
        <v>159.39908871723051</v>
      </c>
      <c r="Q361" s="1136">
        <v>349.73638095724391</v>
      </c>
    </row>
    <row r="362" spans="1:17">
      <c r="A362" s="49">
        <f t="shared" si="3"/>
        <v>2022.05</v>
      </c>
      <c r="B362" s="1591">
        <v>171.74351656852318</v>
      </c>
      <c r="C362" s="311">
        <v>166.83334081161047</v>
      </c>
      <c r="D362" s="1350">
        <v>177.8414995533482</v>
      </c>
      <c r="E362" s="1347">
        <v>101.7624598949233</v>
      </c>
      <c r="F362" s="311">
        <v>97.084786375967724</v>
      </c>
      <c r="G362" s="1347">
        <v>147.15301989215234</v>
      </c>
      <c r="H362" s="311">
        <v>105.69475744471053</v>
      </c>
      <c r="I362" s="1347">
        <v>219.6445403090425</v>
      </c>
      <c r="J362" s="311">
        <v>212.61040822433009</v>
      </c>
      <c r="K362" s="1347">
        <v>192.90946577296592</v>
      </c>
      <c r="L362" s="311">
        <v>203.6488641631972</v>
      </c>
      <c r="M362" s="1587">
        <v>169.67151326103854</v>
      </c>
      <c r="N362" s="1350">
        <v>161.00729824313166</v>
      </c>
      <c r="O362" s="1347">
        <v>170.29308265171875</v>
      </c>
      <c r="P362" s="1347">
        <v>168.17806595287615</v>
      </c>
      <c r="Q362" s="1136">
        <v>340.70498604597185</v>
      </c>
    </row>
    <row r="363" spans="1:17">
      <c r="A363" s="49">
        <f t="shared" si="3"/>
        <v>2022.06</v>
      </c>
      <c r="B363" s="1591">
        <v>170.46490790068074</v>
      </c>
      <c r="C363" s="311">
        <v>164.93157822838214</v>
      </c>
      <c r="D363" s="1350">
        <v>184.26731206069579</v>
      </c>
      <c r="E363" s="1347">
        <v>80.687868578386755</v>
      </c>
      <c r="F363" s="311">
        <v>92.678278007898015</v>
      </c>
      <c r="G363" s="1347">
        <v>148.29169956054088</v>
      </c>
      <c r="H363" s="311">
        <v>102.26703376531904</v>
      </c>
      <c r="I363" s="1347">
        <v>215.87412022067718</v>
      </c>
      <c r="J363" s="311">
        <v>211.66141511668778</v>
      </c>
      <c r="K363" s="1347">
        <v>197.58457712239189</v>
      </c>
      <c r="L363" s="311">
        <v>189.79684076798225</v>
      </c>
      <c r="M363" s="1587">
        <v>176.5350450789322</v>
      </c>
      <c r="N363" s="1350">
        <v>161.34802691974176</v>
      </c>
      <c r="O363" s="1347">
        <v>157.48251141668007</v>
      </c>
      <c r="P363" s="1347">
        <v>168.70543458119542</v>
      </c>
      <c r="Q363" s="1136">
        <v>376.21006975159423</v>
      </c>
    </row>
    <row r="364" spans="1:17">
      <c r="A364" s="49">
        <f t="shared" si="3"/>
        <v>2022.07</v>
      </c>
      <c r="B364" s="1591">
        <v>165.34379545940351</v>
      </c>
      <c r="C364" s="311">
        <v>161.16856087946761</v>
      </c>
      <c r="D364" s="1350">
        <v>194.93534880580034</v>
      </c>
      <c r="E364" s="1347">
        <v>99.272475540279984</v>
      </c>
      <c r="F364" s="311">
        <v>88.400407002195706</v>
      </c>
      <c r="G364" s="1347">
        <v>152.59996295892117</v>
      </c>
      <c r="H364" s="311">
        <v>102.00104710522608</v>
      </c>
      <c r="I364" s="1347">
        <v>194.81038160711768</v>
      </c>
      <c r="J364" s="311">
        <v>221.76484041545768</v>
      </c>
      <c r="K364" s="1347">
        <v>197.85263515319744</v>
      </c>
      <c r="L364" s="311">
        <v>166.462171094203</v>
      </c>
      <c r="M364" s="1587">
        <v>160.25030201627618</v>
      </c>
      <c r="N364" s="1350">
        <v>173.76778315702484</v>
      </c>
      <c r="O364" s="1347">
        <v>128.69147208806805</v>
      </c>
      <c r="P364" s="1347">
        <v>160.22470465805299</v>
      </c>
      <c r="Q364" s="1136">
        <v>409.70148049745853</v>
      </c>
    </row>
    <row r="365" spans="1:17">
      <c r="A365" s="49">
        <f t="shared" si="3"/>
        <v>2022.08</v>
      </c>
      <c r="B365" s="1591">
        <v>176.00708429279041</v>
      </c>
      <c r="C365" s="311">
        <v>159.98209131378817</v>
      </c>
      <c r="D365" s="1350">
        <v>202.29379561832826</v>
      </c>
      <c r="E365" s="1347">
        <v>105.63891253022422</v>
      </c>
      <c r="F365" s="311">
        <v>86.434986936222344</v>
      </c>
      <c r="G365" s="1347">
        <v>139.04421817076778</v>
      </c>
      <c r="H365" s="311">
        <v>105.32349149175941</v>
      </c>
      <c r="I365" s="1347">
        <v>203.47819461078319</v>
      </c>
      <c r="J365" s="311">
        <v>229.55755128716402</v>
      </c>
      <c r="K365" s="1347">
        <v>196.81919968041859</v>
      </c>
      <c r="L365" s="311">
        <v>190.77138089813158</v>
      </c>
      <c r="M365" s="1587">
        <v>197.20788075531095</v>
      </c>
      <c r="N365" s="1350">
        <v>180.90672544991025</v>
      </c>
      <c r="O365" s="1347">
        <v>156.92116050421953</v>
      </c>
      <c r="P365" s="1347">
        <v>163.60845647398338</v>
      </c>
      <c r="Q365" s="1136">
        <v>441.52023243327341</v>
      </c>
    </row>
    <row r="366" spans="1:17">
      <c r="A366" s="49">
        <f t="shared" si="3"/>
        <v>2022.09</v>
      </c>
      <c r="B366" s="1591">
        <v>164.17618285861533</v>
      </c>
      <c r="C366" s="311">
        <v>154.8058921546413</v>
      </c>
      <c r="D366" s="1350">
        <v>196.60525315242245</v>
      </c>
      <c r="E366" s="1347">
        <v>92.09383799998983</v>
      </c>
      <c r="F366" s="311">
        <v>86.173426169801985</v>
      </c>
      <c r="G366" s="1347">
        <v>144.74591845863046</v>
      </c>
      <c r="H366" s="311">
        <v>99.015445921960819</v>
      </c>
      <c r="I366" s="1347">
        <v>171.03333892289984</v>
      </c>
      <c r="J366" s="311">
        <v>228.91735664907534</v>
      </c>
      <c r="K366" s="1347">
        <v>188.43874255750015</v>
      </c>
      <c r="L366" s="311">
        <v>159.15384248904186</v>
      </c>
      <c r="M366" s="1587">
        <v>190.59021115058823</v>
      </c>
      <c r="N366" s="1350">
        <v>173.47974828550036</v>
      </c>
      <c r="O366" s="1347">
        <v>132.1949007254027</v>
      </c>
      <c r="P366" s="1347">
        <v>154.77852004688239</v>
      </c>
      <c r="Q366" s="1136">
        <v>430.65369519285912</v>
      </c>
    </row>
    <row r="367" spans="1:17">
      <c r="A367" s="49">
        <f t="shared" si="3"/>
        <v>2022.1</v>
      </c>
      <c r="B367" s="1591">
        <v>158.11970764473904</v>
      </c>
      <c r="C367" s="311">
        <v>155.16867999311523</v>
      </c>
      <c r="D367" s="1350">
        <v>184.70107800898359</v>
      </c>
      <c r="E367" s="1347">
        <v>99.930348058670319</v>
      </c>
      <c r="F367" s="311">
        <v>81.636521840135501</v>
      </c>
      <c r="G367" s="1347">
        <v>153.82996585045126</v>
      </c>
      <c r="H367" s="311">
        <v>94.928941343851236</v>
      </c>
      <c r="I367" s="1347">
        <v>175.29079322789909</v>
      </c>
      <c r="J367" s="311">
        <v>206.86490601874999</v>
      </c>
      <c r="K367" s="1347">
        <v>208.57280458687208</v>
      </c>
      <c r="L367" s="311">
        <v>150.17018733172361</v>
      </c>
      <c r="M367" s="1587">
        <v>191.1128435119997</v>
      </c>
      <c r="N367" s="1350">
        <v>165.94364442931891</v>
      </c>
      <c r="O367" s="1347">
        <v>125.19656215431652</v>
      </c>
      <c r="P367" s="1347">
        <v>149.52460620515524</v>
      </c>
      <c r="Q367" s="1136">
        <v>433.93580695588832</v>
      </c>
    </row>
    <row r="368" spans="1:17">
      <c r="A368" s="49">
        <f t="shared" si="3"/>
        <v>2022.11</v>
      </c>
      <c r="B368" s="1591">
        <v>157.2631359932997</v>
      </c>
      <c r="C368" s="311">
        <v>156.29362177654116</v>
      </c>
      <c r="D368" s="1350">
        <v>181.92286491450335</v>
      </c>
      <c r="E368" s="1347">
        <v>105.2149043912864</v>
      </c>
      <c r="F368" s="311">
        <v>81.717388900312201</v>
      </c>
      <c r="G368" s="1347">
        <v>160.00847659628812</v>
      </c>
      <c r="H368" s="311">
        <v>100.0732553880828</v>
      </c>
      <c r="I368" s="1347">
        <v>172.67827228927837</v>
      </c>
      <c r="J368" s="311">
        <v>250.18131357255356</v>
      </c>
      <c r="K368" s="1347">
        <v>197.01683111515928</v>
      </c>
      <c r="L368" s="311">
        <v>132.99235957521233</v>
      </c>
      <c r="M368" s="1587">
        <v>194.7597460518935</v>
      </c>
      <c r="N368" s="1350">
        <v>164.9495006956376</v>
      </c>
      <c r="O368" s="1347">
        <v>119.66925700889941</v>
      </c>
      <c r="P368" s="1347">
        <v>153.64385174270797</v>
      </c>
      <c r="Q368" s="1136">
        <v>393.33029473795983</v>
      </c>
    </row>
    <row r="369" spans="1:17">
      <c r="A369" s="49">
        <f t="shared" si="3"/>
        <v>2022.12</v>
      </c>
      <c r="B369" s="1591">
        <v>144.29039016806402</v>
      </c>
      <c r="C369" s="311">
        <v>155.75771161769029</v>
      </c>
      <c r="D369" s="1350">
        <v>180.8602756454363</v>
      </c>
      <c r="E369" s="1347">
        <v>100.73121509596707</v>
      </c>
      <c r="F369" s="311">
        <v>73.45492006933199</v>
      </c>
      <c r="G369" s="1347">
        <v>156.49706718691948</v>
      </c>
      <c r="H369" s="311">
        <v>111.25471233976616</v>
      </c>
      <c r="I369" s="1347">
        <v>145.1851682343777</v>
      </c>
      <c r="J369" s="311">
        <v>217.92960328326996</v>
      </c>
      <c r="K369" s="1347">
        <v>194.81760279274934</v>
      </c>
      <c r="L369" s="311">
        <v>114.10358069276569</v>
      </c>
      <c r="M369" s="1587">
        <v>135.2668411816785</v>
      </c>
      <c r="N369" s="1350">
        <v>163.12991598074356</v>
      </c>
      <c r="O369" s="1347">
        <v>92.801219924407775</v>
      </c>
      <c r="P369" s="1347">
        <v>143.8544308876123</v>
      </c>
      <c r="Q369" s="1136">
        <v>318.60231049050242</v>
      </c>
    </row>
    <row r="370" spans="1:17">
      <c r="A370" s="49">
        <f t="shared" si="3"/>
        <v>2023.01</v>
      </c>
      <c r="B370" s="1591">
        <v>139.95433673244477</v>
      </c>
      <c r="C370" s="311">
        <v>160.77235346768859</v>
      </c>
      <c r="D370" s="1350">
        <v>169.62629462208207</v>
      </c>
      <c r="E370" s="1347">
        <v>90.662280612678529</v>
      </c>
      <c r="F370" s="311">
        <v>68.815480007951763</v>
      </c>
      <c r="G370" s="1347">
        <v>167.59763081058998</v>
      </c>
      <c r="H370" s="311">
        <v>109.94249184392166</v>
      </c>
      <c r="I370" s="1347">
        <v>170.38643871541876</v>
      </c>
      <c r="J370" s="311">
        <v>219.98204859590206</v>
      </c>
      <c r="K370" s="1347">
        <v>195.59525429136147</v>
      </c>
      <c r="L370" s="311">
        <v>101.1653171484118</v>
      </c>
      <c r="M370" s="1587">
        <v>99.258950311910269</v>
      </c>
      <c r="N370" s="1350">
        <v>152.15372774866651</v>
      </c>
      <c r="O370" s="1347">
        <v>80.588449321291705</v>
      </c>
      <c r="P370" s="1347">
        <v>152.87007325872264</v>
      </c>
      <c r="Q370" s="1136">
        <v>237.71087701491172</v>
      </c>
    </row>
    <row r="371" spans="1:17">
      <c r="A371" s="49">
        <f t="shared" si="3"/>
        <v>2023.02</v>
      </c>
      <c r="B371" s="1591">
        <v>138.09687566531127</v>
      </c>
      <c r="C371" s="311">
        <v>160.31217954300016</v>
      </c>
      <c r="D371" s="1350">
        <v>150.87344796022182</v>
      </c>
      <c r="E371" s="1347">
        <v>94.570660696384692</v>
      </c>
      <c r="F371" s="311">
        <v>87.149869512462431</v>
      </c>
      <c r="G371" s="1347">
        <v>155.2367355352342</v>
      </c>
      <c r="H371" s="311">
        <v>101.69951655162699</v>
      </c>
      <c r="I371" s="1347">
        <v>145.96484712806421</v>
      </c>
      <c r="J371" s="311">
        <v>206.6223861107448</v>
      </c>
      <c r="K371" s="1347">
        <v>165.31447075108755</v>
      </c>
      <c r="L371" s="311">
        <v>122.22151156549799</v>
      </c>
      <c r="M371" s="1587">
        <v>168.79982196323454</v>
      </c>
      <c r="N371" s="1350">
        <v>138.41518797979671</v>
      </c>
      <c r="O371" s="1347">
        <v>107.59053583162191</v>
      </c>
      <c r="P371" s="1347">
        <v>137.75541857610926</v>
      </c>
      <c r="Q371" s="1136">
        <v>350.11902533010641</v>
      </c>
    </row>
    <row r="372" spans="1:17">
      <c r="A372" s="49">
        <f t="shared" si="3"/>
        <v>2023.03</v>
      </c>
      <c r="B372" s="1591">
        <v>171.91941656086638</v>
      </c>
      <c r="C372" s="311">
        <v>162.04004971161081</v>
      </c>
      <c r="D372" s="1350">
        <v>176.20766737661262</v>
      </c>
      <c r="E372" s="1347">
        <v>102.98554209446229</v>
      </c>
      <c r="F372" s="311">
        <v>96.844132751554483</v>
      </c>
      <c r="G372" s="1347">
        <v>160.16284002753153</v>
      </c>
      <c r="H372" s="311">
        <v>111.24476120580364</v>
      </c>
      <c r="I372" s="1347">
        <v>178.93925106197446</v>
      </c>
      <c r="J372" s="311">
        <v>243.23886282039643</v>
      </c>
      <c r="K372" s="1347">
        <v>189.13304981691601</v>
      </c>
      <c r="L372" s="311">
        <v>193.90003699638444</v>
      </c>
      <c r="M372" s="1587">
        <v>222.90169014379356</v>
      </c>
      <c r="N372" s="1350">
        <v>160.00562272810191</v>
      </c>
      <c r="O372" s="1347">
        <v>164.8669006553886</v>
      </c>
      <c r="P372" s="1347">
        <v>162.79373848069451</v>
      </c>
      <c r="Q372" s="1136">
        <v>473.04422237442373</v>
      </c>
    </row>
    <row r="373" spans="1:17">
      <c r="A373" s="49">
        <f t="shared" si="3"/>
        <v>2023.04</v>
      </c>
      <c r="B373" s="1591">
        <v>168.28314219873062</v>
      </c>
      <c r="C373" s="311">
        <v>160.520899135896</v>
      </c>
      <c r="D373" s="1350">
        <v>168.27929726436008</v>
      </c>
      <c r="E373" s="1347">
        <v>105.3792622336905</v>
      </c>
      <c r="F373" s="311">
        <v>95.75532899818532</v>
      </c>
      <c r="G373" s="1347">
        <v>148.50197385887671</v>
      </c>
      <c r="H373" s="311">
        <v>109.93021048034934</v>
      </c>
      <c r="I373" s="1347">
        <v>181.66998100369716</v>
      </c>
      <c r="J373" s="311">
        <v>226.85732656920993</v>
      </c>
      <c r="K373" s="1347">
        <v>190.84178592227977</v>
      </c>
      <c r="L373" s="311">
        <v>201.87568266416829</v>
      </c>
      <c r="M373" s="1587">
        <v>198.47963195621267</v>
      </c>
      <c r="N373" s="1350">
        <v>154.36124760337563</v>
      </c>
      <c r="O373" s="1347">
        <v>172.88078983885396</v>
      </c>
      <c r="P373" s="1347">
        <v>160.292610244374</v>
      </c>
      <c r="Q373" s="1136">
        <v>392.3452593974348</v>
      </c>
    </row>
    <row r="374" spans="1:17">
      <c r="A374" s="49">
        <f t="shared" si="3"/>
        <v>2023.05</v>
      </c>
      <c r="B374" s="1591">
        <v>166.3449536766804</v>
      </c>
      <c r="C374" s="311">
        <v>159.00767793660256</v>
      </c>
      <c r="D374" s="1350">
        <v>176.53089721430032</v>
      </c>
      <c r="E374" s="1347">
        <v>96.894362812783086</v>
      </c>
      <c r="F374" s="311">
        <v>97.327539960376242</v>
      </c>
      <c r="G374" s="1347">
        <v>154.86985857540685</v>
      </c>
      <c r="H374" s="311">
        <v>108.67603738554725</v>
      </c>
      <c r="I374" s="1347">
        <v>187.35774608697014</v>
      </c>
      <c r="J374" s="311">
        <v>237.12945504229992</v>
      </c>
      <c r="K374" s="1347">
        <v>193.1103178108807</v>
      </c>
      <c r="L374" s="311">
        <v>176.18407420744927</v>
      </c>
      <c r="M374" s="1587">
        <v>194.6791093148972</v>
      </c>
      <c r="N374" s="1350">
        <v>158.90952005467588</v>
      </c>
      <c r="O374" s="1347">
        <v>155.22694662837898</v>
      </c>
      <c r="P374" s="1347">
        <v>162.65399612025024</v>
      </c>
      <c r="Q374" s="1136">
        <v>371.02318743002513</v>
      </c>
    </row>
    <row r="375" spans="1:17">
      <c r="A375" s="49">
        <f t="shared" si="3"/>
        <v>2023.06</v>
      </c>
      <c r="B375" s="1591">
        <v>166.35606531699204</v>
      </c>
      <c r="C375" s="311">
        <v>160.27689048056226</v>
      </c>
      <c r="D375" s="1350">
        <v>180.51383241378016</v>
      </c>
      <c r="E375" s="1347">
        <v>93.644227293216517</v>
      </c>
      <c r="F375" s="311">
        <v>92.638222742054765</v>
      </c>
      <c r="G375" s="1347">
        <v>158.47268485436018</v>
      </c>
      <c r="H375" s="311">
        <v>104.52960976193827</v>
      </c>
      <c r="I375" s="1347">
        <v>187.90932228788816</v>
      </c>
      <c r="J375" s="311">
        <v>235.10195990767974</v>
      </c>
      <c r="K375" s="1347">
        <v>196.94016390322417</v>
      </c>
      <c r="L375" s="311">
        <v>169.10398294448817</v>
      </c>
      <c r="M375" s="1587">
        <v>195.44653982982351</v>
      </c>
      <c r="N375" s="1350">
        <v>161.29197542262602</v>
      </c>
      <c r="O375" s="1347">
        <v>149.46108632434652</v>
      </c>
      <c r="P375" s="1347">
        <v>163.41275538325812</v>
      </c>
      <c r="Q375" s="1136">
        <v>376.30511144612922</v>
      </c>
    </row>
    <row r="376" spans="1:17">
      <c r="A376" s="49">
        <f t="shared" si="3"/>
        <v>2023.07</v>
      </c>
      <c r="B376" s="1591">
        <v>158.72132421999996</v>
      </c>
      <c r="C376" s="311">
        <v>156.7708200104617</v>
      </c>
      <c r="D376" s="1350">
        <v>188.47577314548792</v>
      </c>
      <c r="E376" s="1347">
        <v>85.047213150593535</v>
      </c>
      <c r="F376" s="311">
        <v>88.442386551249115</v>
      </c>
      <c r="G376" s="1347">
        <v>167.66658315235566</v>
      </c>
      <c r="H376" s="311">
        <v>108.02904662628541</v>
      </c>
      <c r="I376" s="1347">
        <v>178.32506288185965</v>
      </c>
      <c r="J376" s="311">
        <v>232.28852515726865</v>
      </c>
      <c r="K376" s="1347">
        <v>163.19091945100041</v>
      </c>
      <c r="L376" s="311">
        <v>139.27222995217056</v>
      </c>
      <c r="M376" s="1587">
        <v>179.7842932100894</v>
      </c>
      <c r="N376" s="1350">
        <v>165.58987437498396</v>
      </c>
      <c r="O376" s="1347">
        <v>119.14411586564239</v>
      </c>
      <c r="P376" s="1347">
        <v>157.00826197910334</v>
      </c>
      <c r="Q376" s="1136">
        <v>388.48350925293181</v>
      </c>
    </row>
    <row r="377" spans="1:17">
      <c r="A377" s="49">
        <f t="shared" si="3"/>
        <v>2023.08</v>
      </c>
      <c r="B377" s="1591">
        <v>174.67647628192455</v>
      </c>
      <c r="C377" s="311">
        <v>158.94044473116858</v>
      </c>
      <c r="D377" s="1350">
        <v>198.08980192946879</v>
      </c>
      <c r="E377" s="1347">
        <v>108.14088008974754</v>
      </c>
      <c r="F377" s="311">
        <v>86.933679931420414</v>
      </c>
      <c r="G377" s="1347">
        <v>165.65174896192184</v>
      </c>
      <c r="H377" s="311">
        <v>95.283298436399491</v>
      </c>
      <c r="I377" s="1347">
        <v>189.98946293207112</v>
      </c>
      <c r="J377" s="311">
        <v>255.66235572672616</v>
      </c>
      <c r="K377" s="1347">
        <v>190.15551409813895</v>
      </c>
      <c r="L377" s="311">
        <v>177.89769200643238</v>
      </c>
      <c r="M377" s="1587">
        <v>226.39641990872255</v>
      </c>
      <c r="N377" s="1350">
        <v>178.18657674832494</v>
      </c>
      <c r="O377" s="1347">
        <v>160.76434194471247</v>
      </c>
      <c r="P377" s="1347">
        <v>161.60250136159001</v>
      </c>
      <c r="Q377" s="1136">
        <v>428.27400692667146</v>
      </c>
    </row>
    <row r="378" spans="1:17">
      <c r="A378" s="49">
        <f t="shared" si="3"/>
        <v>2023.09</v>
      </c>
      <c r="B378" s="1591">
        <v>164.66301365278514</v>
      </c>
      <c r="C378" s="311">
        <v>157.52769798965164</v>
      </c>
      <c r="D378" s="1350">
        <v>188.24566763951725</v>
      </c>
      <c r="E378" s="1347">
        <v>78.630345143386464</v>
      </c>
      <c r="F378" s="311">
        <v>86.19235882962046</v>
      </c>
      <c r="G378" s="1347">
        <v>159.99106730123643</v>
      </c>
      <c r="H378" s="311">
        <v>104.50532522890545</v>
      </c>
      <c r="I378" s="1347">
        <v>185.56529343988132</v>
      </c>
      <c r="J378" s="311">
        <v>254.53025007031209</v>
      </c>
      <c r="K378" s="1347">
        <v>196.06708388678658</v>
      </c>
      <c r="L378" s="311">
        <v>140.83738929574895</v>
      </c>
      <c r="M378" s="1587">
        <v>207.37466164646429</v>
      </c>
      <c r="N378" s="1350">
        <v>163.99080830021651</v>
      </c>
      <c r="O378" s="1347">
        <v>126.09308039702037</v>
      </c>
      <c r="P378" s="1347">
        <v>165.54853304641523</v>
      </c>
      <c r="Q378" s="1136">
        <v>423.98228969223049</v>
      </c>
    </row>
    <row r="379" spans="1:17">
      <c r="A379" s="49">
        <f t="shared" si="3"/>
        <v>2023.1</v>
      </c>
      <c r="B379" s="1591">
        <v>157.15370472376142</v>
      </c>
      <c r="C379" s="311">
        <v>152.53615018730255</v>
      </c>
      <c r="D379" s="1350">
        <v>183.59006322112407</v>
      </c>
      <c r="E379" s="1347">
        <v>95.571711175475869</v>
      </c>
      <c r="F379" s="311">
        <v>81.844877316371864</v>
      </c>
      <c r="G379" s="1347">
        <v>150.0796437732929</v>
      </c>
      <c r="H379" s="311">
        <v>96.23102476405127</v>
      </c>
      <c r="I379" s="1347">
        <v>187.35982748581554</v>
      </c>
      <c r="J379" s="311">
        <v>238.13435149598212</v>
      </c>
      <c r="K379" s="1347">
        <v>201.39189039805839</v>
      </c>
      <c r="L379" s="311">
        <v>128.19161526742928</v>
      </c>
      <c r="M379" s="1587">
        <v>189.50042385022024</v>
      </c>
      <c r="N379" s="1350">
        <v>164.11402009567871</v>
      </c>
      <c r="O379" s="1347">
        <v>113.11343828087242</v>
      </c>
      <c r="P379" s="1347">
        <v>156.62079591194438</v>
      </c>
      <c r="Q379" s="1136">
        <v>399.36830649310468</v>
      </c>
    </row>
    <row r="380" spans="1:17">
      <c r="A380" s="49">
        <f t="shared" si="3"/>
        <v>2023.11</v>
      </c>
      <c r="B380" s="1591">
        <v>154.39940591551584</v>
      </c>
      <c r="C380" s="311">
        <v>153.60763076419352</v>
      </c>
      <c r="D380" s="1350">
        <v>174.87828103048059</v>
      </c>
      <c r="E380" s="1347">
        <v>101.52016124450434</v>
      </c>
      <c r="F380" s="311">
        <v>82.203875578548733</v>
      </c>
      <c r="G380" s="1347">
        <v>169.34072377289999</v>
      </c>
      <c r="H380" s="311">
        <v>109.1540625158473</v>
      </c>
      <c r="I380" s="1347">
        <v>169.55700138916166</v>
      </c>
      <c r="J380" s="311">
        <v>233.02117174812747</v>
      </c>
      <c r="K380" s="1347">
        <v>183.17552029836722</v>
      </c>
      <c r="L380" s="311">
        <v>116.63327666574742</v>
      </c>
      <c r="M380" s="1587">
        <v>206.63798613461296</v>
      </c>
      <c r="N380" s="1350">
        <v>158.64614453453379</v>
      </c>
      <c r="O380" s="1347">
        <v>114.4784406876974</v>
      </c>
      <c r="P380" s="1347">
        <v>155.09195541332781</v>
      </c>
      <c r="Q380" s="1136">
        <v>377.0941135183204</v>
      </c>
    </row>
    <row r="381" spans="1:17">
      <c r="A381" s="49">
        <f t="shared" si="3"/>
        <v>2023.12</v>
      </c>
      <c r="B381" s="1591">
        <v>135.63812837077955</v>
      </c>
      <c r="C381" s="311">
        <v>148.85018929061351</v>
      </c>
      <c r="D381" s="1350">
        <v>168.20037781846395</v>
      </c>
      <c r="E381" s="1347">
        <v>75.9207668008914</v>
      </c>
      <c r="F381" s="311">
        <v>74.024541588751589</v>
      </c>
      <c r="G381" s="1347">
        <v>165.20539443073528</v>
      </c>
      <c r="H381" s="311">
        <v>112.8524706719256</v>
      </c>
      <c r="I381" s="1347">
        <v>144.54177514835692</v>
      </c>
      <c r="J381" s="311">
        <v>217.00877292476605</v>
      </c>
      <c r="K381" s="1347">
        <v>155.47107591752052</v>
      </c>
      <c r="L381" s="311">
        <v>91.397206152042912</v>
      </c>
      <c r="M381" s="1587">
        <v>134.54281139298683</v>
      </c>
      <c r="N381" s="1350">
        <v>147.7814351547172</v>
      </c>
      <c r="O381" s="1347">
        <v>77.363450867590799</v>
      </c>
      <c r="P381" s="1347">
        <v>143.16451041497302</v>
      </c>
      <c r="Q381" s="1136">
        <v>305.81302421834278</v>
      </c>
    </row>
    <row r="382" spans="1:17">
      <c r="A382" s="49">
        <f t="shared" si="3"/>
        <v>2024.01</v>
      </c>
      <c r="B382" s="1591">
        <v>131.4537989100109</v>
      </c>
      <c r="C382" s="311">
        <v>148.62722331689002</v>
      </c>
      <c r="D382" s="1350">
        <v>160.21206655683483</v>
      </c>
      <c r="E382" s="1347">
        <v>100.63309743870974</v>
      </c>
      <c r="F382" s="311">
        <v>68.752243181971266</v>
      </c>
      <c r="G382" s="1347">
        <v>164.71400378614948</v>
      </c>
      <c r="H382" s="311">
        <v>110.78798071559373</v>
      </c>
      <c r="I382" s="1347">
        <v>158.52781871926317</v>
      </c>
      <c r="J382" s="311">
        <v>191.28390546099158</v>
      </c>
      <c r="K382" s="1347">
        <v>179.60367272290677</v>
      </c>
      <c r="L382" s="311">
        <v>82.427900215072896</v>
      </c>
      <c r="M382" s="1587">
        <v>82.940675286476761</v>
      </c>
      <c r="N382" s="1350">
        <v>147.02887754061248</v>
      </c>
      <c r="O382" s="1347">
        <v>66.733578949541823</v>
      </c>
      <c r="P382" s="1347">
        <v>147.1316197744315</v>
      </c>
      <c r="Q382" s="1136">
        <v>191.94072862473084</v>
      </c>
    </row>
    <row r="383" spans="1:17">
      <c r="A383" s="49">
        <f t="shared" si="3"/>
        <v>2024.02</v>
      </c>
      <c r="B383" s="1591">
        <v>127.97868891467132</v>
      </c>
      <c r="C383" s="311">
        <v>143.6663053794712</v>
      </c>
      <c r="D383" s="1350">
        <v>149.48912465082813</v>
      </c>
      <c r="E383" s="1347">
        <v>82.521082361087878</v>
      </c>
      <c r="F383" s="311">
        <v>86.715535859171055</v>
      </c>
      <c r="G383" s="1347">
        <v>152.7107014775936</v>
      </c>
      <c r="H383" s="311">
        <v>98.5647568389914</v>
      </c>
      <c r="I383" s="1347">
        <v>154.51841374401366</v>
      </c>
      <c r="J383" s="311">
        <v>137.41497930324152</v>
      </c>
      <c r="K383" s="1347">
        <v>148.32567881375147</v>
      </c>
      <c r="L383" s="311">
        <v>104.36750613772821</v>
      </c>
      <c r="M383" s="1587">
        <v>136.80897456337865</v>
      </c>
      <c r="N383" s="1350">
        <v>134.67093674627381</v>
      </c>
      <c r="O383" s="1347">
        <v>89.481991101032619</v>
      </c>
      <c r="P383" s="1347">
        <v>130.10879899776143</v>
      </c>
      <c r="Q383" s="1136">
        <v>295.43997187147329</v>
      </c>
    </row>
    <row r="384" spans="1:17">
      <c r="A384" s="49">
        <f t="shared" ref="A384:A447" si="4">A372+1</f>
        <v>2024.03</v>
      </c>
      <c r="B384" s="1591">
        <v>148.32994504686928</v>
      </c>
      <c r="C384" s="311">
        <v>145.74516112545544</v>
      </c>
      <c r="D384" s="1350">
        <v>164.57481197784426</v>
      </c>
      <c r="E384" s="1347">
        <v>93.907387653212425</v>
      </c>
      <c r="F384" s="311">
        <v>96.52697031370171</v>
      </c>
      <c r="G384" s="1347">
        <v>162.39436298767879</v>
      </c>
      <c r="H384" s="311">
        <v>108.18588608507879</v>
      </c>
      <c r="I384" s="1347">
        <v>172.66564773362342</v>
      </c>
      <c r="J384" s="311">
        <v>131.86716782262258</v>
      </c>
      <c r="K384" s="1347">
        <v>127.95710925267684</v>
      </c>
      <c r="L384" s="311">
        <v>164.06376143000722</v>
      </c>
      <c r="M384" s="1587">
        <v>157.39234881535378</v>
      </c>
      <c r="N384" s="1350">
        <v>148.93805246436361</v>
      </c>
      <c r="O384" s="1347">
        <v>133.40247045347468</v>
      </c>
      <c r="P384" s="1347">
        <v>140.72970285593152</v>
      </c>
      <c r="Q384" s="1136">
        <v>357.07441523831761</v>
      </c>
    </row>
    <row r="385" spans="1:17">
      <c r="A385" s="49">
        <f t="shared" si="4"/>
        <v>2024.04</v>
      </c>
      <c r="B385" s="1591" t="e">
        <v>#N/A</v>
      </c>
      <c r="C385" s="311" t="e">
        <v>#N/A</v>
      </c>
      <c r="D385" s="1350" t="e">
        <v>#N/A</v>
      </c>
      <c r="E385" s="1347" t="e">
        <v>#N/A</v>
      </c>
      <c r="F385" s="311" t="e">
        <v>#N/A</v>
      </c>
      <c r="G385" s="1347" t="e">
        <v>#N/A</v>
      </c>
      <c r="H385" s="311" t="e">
        <v>#N/A</v>
      </c>
      <c r="I385" s="1347" t="e">
        <v>#N/A</v>
      </c>
      <c r="J385" s="311" t="e">
        <v>#N/A</v>
      </c>
      <c r="K385" s="1347" t="e">
        <v>#N/A</v>
      </c>
      <c r="L385" s="311" t="e">
        <v>#N/A</v>
      </c>
      <c r="M385" s="1587" t="e">
        <v>#N/A</v>
      </c>
      <c r="N385" s="1350" t="e">
        <v>#N/A</v>
      </c>
      <c r="O385" s="1347" t="e">
        <v>#N/A</v>
      </c>
      <c r="P385" s="1347" t="e">
        <v>#N/A</v>
      </c>
      <c r="Q385" s="1136" t="e">
        <v>#N/A</v>
      </c>
    </row>
    <row r="386" spans="1:17">
      <c r="A386" s="49">
        <f t="shared" si="4"/>
        <v>2024.05</v>
      </c>
      <c r="B386" s="1591" t="e">
        <v>#N/A</v>
      </c>
      <c r="C386" s="311" t="e">
        <v>#N/A</v>
      </c>
      <c r="D386" s="1350" t="e">
        <v>#N/A</v>
      </c>
      <c r="E386" s="1347" t="e">
        <v>#N/A</v>
      </c>
      <c r="F386" s="311" t="e">
        <v>#N/A</v>
      </c>
      <c r="G386" s="1347" t="e">
        <v>#N/A</v>
      </c>
      <c r="H386" s="311" t="e">
        <v>#N/A</v>
      </c>
      <c r="I386" s="1347" t="e">
        <v>#N/A</v>
      </c>
      <c r="J386" s="311" t="e">
        <v>#N/A</v>
      </c>
      <c r="K386" s="1347" t="e">
        <v>#N/A</v>
      </c>
      <c r="L386" s="311" t="e">
        <v>#N/A</v>
      </c>
      <c r="M386" s="1587" t="e">
        <v>#N/A</v>
      </c>
      <c r="N386" s="1350" t="e">
        <v>#N/A</v>
      </c>
      <c r="O386" s="1347" t="e">
        <v>#N/A</v>
      </c>
      <c r="P386" s="1347" t="e">
        <v>#N/A</v>
      </c>
      <c r="Q386" s="1136" t="e">
        <v>#N/A</v>
      </c>
    </row>
    <row r="387" spans="1:17">
      <c r="A387" s="49">
        <f t="shared" si="4"/>
        <v>2024.06</v>
      </c>
      <c r="B387" s="1591" t="e">
        <v>#N/A</v>
      </c>
      <c r="C387" s="311" t="e">
        <v>#N/A</v>
      </c>
      <c r="D387" s="1350" t="e">
        <v>#N/A</v>
      </c>
      <c r="E387" s="1347" t="e">
        <v>#N/A</v>
      </c>
      <c r="F387" s="311" t="e">
        <v>#N/A</v>
      </c>
      <c r="G387" s="1347" t="e">
        <v>#N/A</v>
      </c>
      <c r="H387" s="311" t="e">
        <v>#N/A</v>
      </c>
      <c r="I387" s="1347" t="e">
        <v>#N/A</v>
      </c>
      <c r="J387" s="311" t="e">
        <v>#N/A</v>
      </c>
      <c r="K387" s="1347" t="e">
        <v>#N/A</v>
      </c>
      <c r="L387" s="311" t="e">
        <v>#N/A</v>
      </c>
      <c r="M387" s="1587" t="e">
        <v>#N/A</v>
      </c>
      <c r="N387" s="1350" t="e">
        <v>#N/A</v>
      </c>
      <c r="O387" s="1347" t="e">
        <v>#N/A</v>
      </c>
      <c r="P387" s="1347" t="e">
        <v>#N/A</v>
      </c>
      <c r="Q387" s="1136" t="e">
        <v>#N/A</v>
      </c>
    </row>
    <row r="388" spans="1:17">
      <c r="A388" s="49">
        <f t="shared" si="4"/>
        <v>2024.07</v>
      </c>
      <c r="B388" s="1591" t="e">
        <v>#N/A</v>
      </c>
      <c r="C388" s="311" t="e">
        <v>#N/A</v>
      </c>
      <c r="D388" s="1350" t="e">
        <v>#N/A</v>
      </c>
      <c r="E388" s="1347" t="e">
        <v>#N/A</v>
      </c>
      <c r="F388" s="311" t="e">
        <v>#N/A</v>
      </c>
      <c r="G388" s="1347" t="e">
        <v>#N/A</v>
      </c>
      <c r="H388" s="311" t="e">
        <v>#N/A</v>
      </c>
      <c r="I388" s="1347" t="e">
        <v>#N/A</v>
      </c>
      <c r="J388" s="311" t="e">
        <v>#N/A</v>
      </c>
      <c r="K388" s="1347" t="e">
        <v>#N/A</v>
      </c>
      <c r="L388" s="311" t="e">
        <v>#N/A</v>
      </c>
      <c r="M388" s="1587" t="e">
        <v>#N/A</v>
      </c>
      <c r="N388" s="1350" t="e">
        <v>#N/A</v>
      </c>
      <c r="O388" s="1347" t="e">
        <v>#N/A</v>
      </c>
      <c r="P388" s="1347" t="e">
        <v>#N/A</v>
      </c>
      <c r="Q388" s="1136" t="e">
        <v>#N/A</v>
      </c>
    </row>
    <row r="389" spans="1:17">
      <c r="A389" s="49">
        <f t="shared" si="4"/>
        <v>2024.08</v>
      </c>
      <c r="B389" s="1591" t="e">
        <v>#N/A</v>
      </c>
      <c r="C389" s="311" t="e">
        <v>#N/A</v>
      </c>
      <c r="D389" s="1350" t="e">
        <v>#N/A</v>
      </c>
      <c r="E389" s="1347" t="e">
        <v>#N/A</v>
      </c>
      <c r="F389" s="311" t="e">
        <v>#N/A</v>
      </c>
      <c r="G389" s="1347" t="e">
        <v>#N/A</v>
      </c>
      <c r="H389" s="311" t="e">
        <v>#N/A</v>
      </c>
      <c r="I389" s="1347" t="e">
        <v>#N/A</v>
      </c>
      <c r="J389" s="311" t="e">
        <v>#N/A</v>
      </c>
      <c r="K389" s="1347" t="e">
        <v>#N/A</v>
      </c>
      <c r="L389" s="311" t="e">
        <v>#N/A</v>
      </c>
      <c r="M389" s="1587" t="e">
        <v>#N/A</v>
      </c>
      <c r="N389" s="1350" t="e">
        <v>#N/A</v>
      </c>
      <c r="O389" s="1347" t="e">
        <v>#N/A</v>
      </c>
      <c r="P389" s="1347" t="e">
        <v>#N/A</v>
      </c>
      <c r="Q389" s="1136" t="e">
        <v>#N/A</v>
      </c>
    </row>
    <row r="390" spans="1:17">
      <c r="A390" s="49">
        <f t="shared" si="4"/>
        <v>2024.09</v>
      </c>
      <c r="B390" s="1591" t="e">
        <v>#N/A</v>
      </c>
      <c r="C390" s="311" t="e">
        <v>#N/A</v>
      </c>
      <c r="D390" s="1350" t="e">
        <v>#N/A</v>
      </c>
      <c r="E390" s="1347" t="e">
        <v>#N/A</v>
      </c>
      <c r="F390" s="311" t="e">
        <v>#N/A</v>
      </c>
      <c r="G390" s="1347" t="e">
        <v>#N/A</v>
      </c>
      <c r="H390" s="311" t="e">
        <v>#N/A</v>
      </c>
      <c r="I390" s="1347" t="e">
        <v>#N/A</v>
      </c>
      <c r="J390" s="311" t="e">
        <v>#N/A</v>
      </c>
      <c r="K390" s="1347" t="e">
        <v>#N/A</v>
      </c>
      <c r="L390" s="311" t="e">
        <v>#N/A</v>
      </c>
      <c r="M390" s="1587" t="e">
        <v>#N/A</v>
      </c>
      <c r="N390" s="1350" t="e">
        <v>#N/A</v>
      </c>
      <c r="O390" s="1347" t="e">
        <v>#N/A</v>
      </c>
      <c r="P390" s="1347" t="e">
        <v>#N/A</v>
      </c>
      <c r="Q390" s="1136" t="e">
        <v>#N/A</v>
      </c>
    </row>
    <row r="391" spans="1:17">
      <c r="A391" s="49">
        <f t="shared" si="4"/>
        <v>2024.1</v>
      </c>
      <c r="B391" s="1591" t="e">
        <v>#N/A</v>
      </c>
      <c r="C391" s="311" t="e">
        <v>#N/A</v>
      </c>
      <c r="D391" s="1350" t="e">
        <v>#N/A</v>
      </c>
      <c r="E391" s="1347" t="e">
        <v>#N/A</v>
      </c>
      <c r="F391" s="311" t="e">
        <v>#N/A</v>
      </c>
      <c r="G391" s="1347" t="e">
        <v>#N/A</v>
      </c>
      <c r="H391" s="311" t="e">
        <v>#N/A</v>
      </c>
      <c r="I391" s="1347" t="e">
        <v>#N/A</v>
      </c>
      <c r="J391" s="311" t="e">
        <v>#N/A</v>
      </c>
      <c r="K391" s="1347" t="e">
        <v>#N/A</v>
      </c>
      <c r="L391" s="311" t="e">
        <v>#N/A</v>
      </c>
      <c r="M391" s="1587" t="e">
        <v>#N/A</v>
      </c>
      <c r="N391" s="1350" t="e">
        <v>#N/A</v>
      </c>
      <c r="O391" s="1347" t="e">
        <v>#N/A</v>
      </c>
      <c r="P391" s="1347" t="e">
        <v>#N/A</v>
      </c>
      <c r="Q391" s="1136" t="e">
        <v>#N/A</v>
      </c>
    </row>
    <row r="392" spans="1:17">
      <c r="A392" s="49">
        <f t="shared" si="4"/>
        <v>2024.11</v>
      </c>
      <c r="B392" s="1591" t="e">
        <v>#N/A</v>
      </c>
      <c r="C392" s="311" t="e">
        <v>#N/A</v>
      </c>
      <c r="D392" s="1350" t="e">
        <v>#N/A</v>
      </c>
      <c r="E392" s="1347" t="e">
        <v>#N/A</v>
      </c>
      <c r="F392" s="311" t="e">
        <v>#N/A</v>
      </c>
      <c r="G392" s="1347" t="e">
        <v>#N/A</v>
      </c>
      <c r="H392" s="311" t="e">
        <v>#N/A</v>
      </c>
      <c r="I392" s="1347" t="e">
        <v>#N/A</v>
      </c>
      <c r="J392" s="311" t="e">
        <v>#N/A</v>
      </c>
      <c r="K392" s="1347" t="e">
        <v>#N/A</v>
      </c>
      <c r="L392" s="311" t="e">
        <v>#N/A</v>
      </c>
      <c r="M392" s="1587" t="e">
        <v>#N/A</v>
      </c>
      <c r="N392" s="1350" t="e">
        <v>#N/A</v>
      </c>
      <c r="O392" s="1347" t="e">
        <v>#N/A</v>
      </c>
      <c r="P392" s="1347" t="e">
        <v>#N/A</v>
      </c>
      <c r="Q392" s="1136" t="e">
        <v>#N/A</v>
      </c>
    </row>
    <row r="393" spans="1:17">
      <c r="A393" s="49">
        <f t="shared" si="4"/>
        <v>2024.12</v>
      </c>
      <c r="B393" s="1591" t="e">
        <v>#N/A</v>
      </c>
      <c r="C393" s="311" t="e">
        <v>#N/A</v>
      </c>
      <c r="D393" s="1350" t="e">
        <v>#N/A</v>
      </c>
      <c r="E393" s="1347" t="e">
        <v>#N/A</v>
      </c>
      <c r="F393" s="311" t="e">
        <v>#N/A</v>
      </c>
      <c r="G393" s="1347" t="e">
        <v>#N/A</v>
      </c>
      <c r="H393" s="311" t="e">
        <v>#N/A</v>
      </c>
      <c r="I393" s="1347" t="e">
        <v>#N/A</v>
      </c>
      <c r="J393" s="311" t="e">
        <v>#N/A</v>
      </c>
      <c r="K393" s="1347" t="e">
        <v>#N/A</v>
      </c>
      <c r="L393" s="311" t="e">
        <v>#N/A</v>
      </c>
      <c r="M393" s="1587" t="e">
        <v>#N/A</v>
      </c>
      <c r="N393" s="1350" t="e">
        <v>#N/A</v>
      </c>
      <c r="O393" s="1347" t="e">
        <v>#N/A</v>
      </c>
      <c r="P393" s="1347" t="e">
        <v>#N/A</v>
      </c>
      <c r="Q393" s="1136" t="e">
        <v>#N/A</v>
      </c>
    </row>
    <row r="394" spans="1:17">
      <c r="A394" s="49">
        <f t="shared" si="4"/>
        <v>2025.01</v>
      </c>
      <c r="B394" s="1591" t="e">
        <v>#N/A</v>
      </c>
      <c r="C394" s="311" t="e">
        <v>#N/A</v>
      </c>
      <c r="D394" s="1350" t="e">
        <v>#N/A</v>
      </c>
      <c r="E394" s="1347" t="e">
        <v>#N/A</v>
      </c>
      <c r="F394" s="311" t="e">
        <v>#N/A</v>
      </c>
      <c r="G394" s="1347" t="e">
        <v>#N/A</v>
      </c>
      <c r="H394" s="311" t="e">
        <v>#N/A</v>
      </c>
      <c r="I394" s="1347" t="e">
        <v>#N/A</v>
      </c>
      <c r="J394" s="311" t="e">
        <v>#N/A</v>
      </c>
      <c r="K394" s="1347" t="e">
        <v>#N/A</v>
      </c>
      <c r="L394" s="311" t="e">
        <v>#N/A</v>
      </c>
      <c r="M394" s="1587" t="e">
        <v>#N/A</v>
      </c>
      <c r="N394" s="1350" t="e">
        <v>#N/A</v>
      </c>
      <c r="O394" s="1347" t="e">
        <v>#N/A</v>
      </c>
      <c r="P394" s="1347" t="e">
        <v>#N/A</v>
      </c>
      <c r="Q394" s="1136" t="e">
        <v>#N/A</v>
      </c>
    </row>
    <row r="395" spans="1:17">
      <c r="A395" s="49">
        <f t="shared" si="4"/>
        <v>2025.02</v>
      </c>
      <c r="B395" s="1591" t="e">
        <v>#N/A</v>
      </c>
      <c r="C395" s="311" t="e">
        <v>#N/A</v>
      </c>
      <c r="D395" s="1350" t="e">
        <v>#N/A</v>
      </c>
      <c r="E395" s="1347" t="e">
        <v>#N/A</v>
      </c>
      <c r="F395" s="311" t="e">
        <v>#N/A</v>
      </c>
      <c r="G395" s="1347" t="e">
        <v>#N/A</v>
      </c>
      <c r="H395" s="311" t="e">
        <v>#N/A</v>
      </c>
      <c r="I395" s="1347" t="e">
        <v>#N/A</v>
      </c>
      <c r="J395" s="311" t="e">
        <v>#N/A</v>
      </c>
      <c r="K395" s="1347" t="e">
        <v>#N/A</v>
      </c>
      <c r="L395" s="311" t="e">
        <v>#N/A</v>
      </c>
      <c r="M395" s="1587" t="e">
        <v>#N/A</v>
      </c>
      <c r="N395" s="1350" t="e">
        <v>#N/A</v>
      </c>
      <c r="O395" s="1347" t="e">
        <v>#N/A</v>
      </c>
      <c r="P395" s="1347" t="e">
        <v>#N/A</v>
      </c>
      <c r="Q395" s="1136" t="e">
        <v>#N/A</v>
      </c>
    </row>
    <row r="396" spans="1:17">
      <c r="A396" s="49">
        <f t="shared" si="4"/>
        <v>2025.03</v>
      </c>
      <c r="B396" s="1591" t="e">
        <v>#N/A</v>
      </c>
      <c r="C396" s="311" t="e">
        <v>#N/A</v>
      </c>
      <c r="D396" s="1350" t="e">
        <v>#N/A</v>
      </c>
      <c r="E396" s="1347" t="e">
        <v>#N/A</v>
      </c>
      <c r="F396" s="311" t="e">
        <v>#N/A</v>
      </c>
      <c r="G396" s="1347" t="e">
        <v>#N/A</v>
      </c>
      <c r="H396" s="311" t="e">
        <v>#N/A</v>
      </c>
      <c r="I396" s="1347" t="e">
        <v>#N/A</v>
      </c>
      <c r="J396" s="311" t="e">
        <v>#N/A</v>
      </c>
      <c r="K396" s="1347" t="e">
        <v>#N/A</v>
      </c>
      <c r="L396" s="311" t="e">
        <v>#N/A</v>
      </c>
      <c r="M396" s="1587" t="e">
        <v>#N/A</v>
      </c>
      <c r="N396" s="1350" t="e">
        <v>#N/A</v>
      </c>
      <c r="O396" s="1347" t="e">
        <v>#N/A</v>
      </c>
      <c r="P396" s="1347" t="e">
        <v>#N/A</v>
      </c>
      <c r="Q396" s="1136" t="e">
        <v>#N/A</v>
      </c>
    </row>
    <row r="397" spans="1:17">
      <c r="A397" s="49">
        <f t="shared" si="4"/>
        <v>2025.04</v>
      </c>
      <c r="B397" s="1591" t="e">
        <v>#N/A</v>
      </c>
      <c r="C397" s="311" t="e">
        <v>#N/A</v>
      </c>
      <c r="D397" s="1350" t="e">
        <v>#N/A</v>
      </c>
      <c r="E397" s="1347" t="e">
        <v>#N/A</v>
      </c>
      <c r="F397" s="311" t="e">
        <v>#N/A</v>
      </c>
      <c r="G397" s="1347" t="e">
        <v>#N/A</v>
      </c>
      <c r="H397" s="311" t="e">
        <v>#N/A</v>
      </c>
      <c r="I397" s="1347" t="e">
        <v>#N/A</v>
      </c>
      <c r="J397" s="311" t="e">
        <v>#N/A</v>
      </c>
      <c r="K397" s="1347" t="e">
        <v>#N/A</v>
      </c>
      <c r="L397" s="311" t="e">
        <v>#N/A</v>
      </c>
      <c r="M397" s="1587" t="e">
        <v>#N/A</v>
      </c>
      <c r="N397" s="1350" t="e">
        <v>#N/A</v>
      </c>
      <c r="O397" s="1347" t="e">
        <v>#N/A</v>
      </c>
      <c r="P397" s="1347" t="e">
        <v>#N/A</v>
      </c>
      <c r="Q397" s="1136" t="e">
        <v>#N/A</v>
      </c>
    </row>
    <row r="398" spans="1:17">
      <c r="A398" s="49">
        <f t="shared" si="4"/>
        <v>2025.05</v>
      </c>
      <c r="B398" s="1591" t="e">
        <v>#N/A</v>
      </c>
      <c r="C398" s="311" t="e">
        <v>#N/A</v>
      </c>
      <c r="D398" s="1350" t="e">
        <v>#N/A</v>
      </c>
      <c r="E398" s="1347" t="e">
        <v>#N/A</v>
      </c>
      <c r="F398" s="311" t="e">
        <v>#N/A</v>
      </c>
      <c r="G398" s="1347" t="e">
        <v>#N/A</v>
      </c>
      <c r="H398" s="311" t="e">
        <v>#N/A</v>
      </c>
      <c r="I398" s="1347" t="e">
        <v>#N/A</v>
      </c>
      <c r="J398" s="311" t="e">
        <v>#N/A</v>
      </c>
      <c r="K398" s="1347" t="e">
        <v>#N/A</v>
      </c>
      <c r="L398" s="311" t="e">
        <v>#N/A</v>
      </c>
      <c r="M398" s="1587" t="e">
        <v>#N/A</v>
      </c>
      <c r="N398" s="1350" t="e">
        <v>#N/A</v>
      </c>
      <c r="O398" s="1347" t="e">
        <v>#N/A</v>
      </c>
      <c r="P398" s="1347" t="e">
        <v>#N/A</v>
      </c>
      <c r="Q398" s="1136" t="e">
        <v>#N/A</v>
      </c>
    </row>
    <row r="399" spans="1:17">
      <c r="A399" s="49">
        <f t="shared" si="4"/>
        <v>2025.06</v>
      </c>
      <c r="B399" s="1591" t="e">
        <v>#N/A</v>
      </c>
      <c r="C399" s="311" t="e">
        <v>#N/A</v>
      </c>
      <c r="D399" s="1350" t="e">
        <v>#N/A</v>
      </c>
      <c r="E399" s="1347" t="e">
        <v>#N/A</v>
      </c>
      <c r="F399" s="311" t="e">
        <v>#N/A</v>
      </c>
      <c r="G399" s="1347" t="e">
        <v>#N/A</v>
      </c>
      <c r="H399" s="311" t="e">
        <v>#N/A</v>
      </c>
      <c r="I399" s="1347" t="e">
        <v>#N/A</v>
      </c>
      <c r="J399" s="311" t="e">
        <v>#N/A</v>
      </c>
      <c r="K399" s="1347" t="e">
        <v>#N/A</v>
      </c>
      <c r="L399" s="311" t="e">
        <v>#N/A</v>
      </c>
      <c r="M399" s="1587" t="e">
        <v>#N/A</v>
      </c>
      <c r="N399" s="1350" t="e">
        <v>#N/A</v>
      </c>
      <c r="O399" s="1347" t="e">
        <v>#N/A</v>
      </c>
      <c r="P399" s="1347" t="e">
        <v>#N/A</v>
      </c>
      <c r="Q399" s="1136" t="e">
        <v>#N/A</v>
      </c>
    </row>
    <row r="400" spans="1:17">
      <c r="A400" s="49">
        <f t="shared" si="4"/>
        <v>2025.07</v>
      </c>
      <c r="B400" s="1591" t="e">
        <v>#N/A</v>
      </c>
      <c r="C400" s="311" t="e">
        <v>#N/A</v>
      </c>
      <c r="D400" s="1350" t="e">
        <v>#N/A</v>
      </c>
      <c r="E400" s="1347" t="e">
        <v>#N/A</v>
      </c>
      <c r="F400" s="311" t="e">
        <v>#N/A</v>
      </c>
      <c r="G400" s="1347" t="e">
        <v>#N/A</v>
      </c>
      <c r="H400" s="311" t="e">
        <v>#N/A</v>
      </c>
      <c r="I400" s="1347" t="e">
        <v>#N/A</v>
      </c>
      <c r="J400" s="311" t="e">
        <v>#N/A</v>
      </c>
      <c r="K400" s="1347" t="e">
        <v>#N/A</v>
      </c>
      <c r="L400" s="311" t="e">
        <v>#N/A</v>
      </c>
      <c r="M400" s="1587" t="e">
        <v>#N/A</v>
      </c>
      <c r="N400" s="1350" t="e">
        <v>#N/A</v>
      </c>
      <c r="O400" s="1347" t="e">
        <v>#N/A</v>
      </c>
      <c r="P400" s="1347" t="e">
        <v>#N/A</v>
      </c>
      <c r="Q400" s="1136" t="e">
        <v>#N/A</v>
      </c>
    </row>
    <row r="401" spans="1:17">
      <c r="A401" s="49">
        <f t="shared" si="4"/>
        <v>2025.08</v>
      </c>
      <c r="B401" s="1591" t="e">
        <v>#N/A</v>
      </c>
      <c r="C401" s="311" t="e">
        <v>#N/A</v>
      </c>
      <c r="D401" s="1350" t="e">
        <v>#N/A</v>
      </c>
      <c r="E401" s="1347" t="e">
        <v>#N/A</v>
      </c>
      <c r="F401" s="311" t="e">
        <v>#N/A</v>
      </c>
      <c r="G401" s="1347" t="e">
        <v>#N/A</v>
      </c>
      <c r="H401" s="311" t="e">
        <v>#N/A</v>
      </c>
      <c r="I401" s="1347" t="e">
        <v>#N/A</v>
      </c>
      <c r="J401" s="311" t="e">
        <v>#N/A</v>
      </c>
      <c r="K401" s="1347" t="e">
        <v>#N/A</v>
      </c>
      <c r="L401" s="311" t="e">
        <v>#N/A</v>
      </c>
      <c r="M401" s="1587" t="e">
        <v>#N/A</v>
      </c>
      <c r="N401" s="1350" t="e">
        <v>#N/A</v>
      </c>
      <c r="O401" s="1347" t="e">
        <v>#N/A</v>
      </c>
      <c r="P401" s="1347" t="e">
        <v>#N/A</v>
      </c>
      <c r="Q401" s="1136" t="e">
        <v>#N/A</v>
      </c>
    </row>
    <row r="402" spans="1:17">
      <c r="A402" s="49">
        <f t="shared" si="4"/>
        <v>2025.09</v>
      </c>
      <c r="B402" s="1591" t="e">
        <v>#N/A</v>
      </c>
      <c r="C402" s="311" t="e">
        <v>#N/A</v>
      </c>
      <c r="D402" s="1350" t="e">
        <v>#N/A</v>
      </c>
      <c r="E402" s="1347" t="e">
        <v>#N/A</v>
      </c>
      <c r="F402" s="311" t="e">
        <v>#N/A</v>
      </c>
      <c r="G402" s="1347" t="e">
        <v>#N/A</v>
      </c>
      <c r="H402" s="311" t="e">
        <v>#N/A</v>
      </c>
      <c r="I402" s="1347" t="e">
        <v>#N/A</v>
      </c>
      <c r="J402" s="311" t="e">
        <v>#N/A</v>
      </c>
      <c r="K402" s="1347" t="e">
        <v>#N/A</v>
      </c>
      <c r="L402" s="311" t="e">
        <v>#N/A</v>
      </c>
      <c r="M402" s="1587" t="e">
        <v>#N/A</v>
      </c>
      <c r="N402" s="1350" t="e">
        <v>#N/A</v>
      </c>
      <c r="O402" s="1347" t="e">
        <v>#N/A</v>
      </c>
      <c r="P402" s="1347" t="e">
        <v>#N/A</v>
      </c>
      <c r="Q402" s="1136" t="e">
        <v>#N/A</v>
      </c>
    </row>
    <row r="403" spans="1:17">
      <c r="A403" s="49">
        <f t="shared" si="4"/>
        <v>2025.1</v>
      </c>
      <c r="B403" s="1591" t="e">
        <v>#N/A</v>
      </c>
      <c r="C403" s="311" t="e">
        <v>#N/A</v>
      </c>
      <c r="D403" s="1350" t="e">
        <v>#N/A</v>
      </c>
      <c r="E403" s="1347" t="e">
        <v>#N/A</v>
      </c>
      <c r="F403" s="311" t="e">
        <v>#N/A</v>
      </c>
      <c r="G403" s="1347" t="e">
        <v>#N/A</v>
      </c>
      <c r="H403" s="311" t="e">
        <v>#N/A</v>
      </c>
      <c r="I403" s="1347" t="e">
        <v>#N/A</v>
      </c>
      <c r="J403" s="311" t="e">
        <v>#N/A</v>
      </c>
      <c r="K403" s="1347" t="e">
        <v>#N/A</v>
      </c>
      <c r="L403" s="311" t="e">
        <v>#N/A</v>
      </c>
      <c r="M403" s="1587" t="e">
        <v>#N/A</v>
      </c>
      <c r="N403" s="1350" t="e">
        <v>#N/A</v>
      </c>
      <c r="O403" s="1347" t="e">
        <v>#N/A</v>
      </c>
      <c r="P403" s="1347" t="e">
        <v>#N/A</v>
      </c>
      <c r="Q403" s="1136" t="e">
        <v>#N/A</v>
      </c>
    </row>
    <row r="404" spans="1:17">
      <c r="A404" s="49">
        <f t="shared" si="4"/>
        <v>2025.11</v>
      </c>
      <c r="B404" s="1591" t="e">
        <v>#N/A</v>
      </c>
      <c r="C404" s="311" t="e">
        <v>#N/A</v>
      </c>
      <c r="D404" s="1350" t="e">
        <v>#N/A</v>
      </c>
      <c r="E404" s="1347" t="e">
        <v>#N/A</v>
      </c>
      <c r="F404" s="311" t="e">
        <v>#N/A</v>
      </c>
      <c r="G404" s="1347" t="e">
        <v>#N/A</v>
      </c>
      <c r="H404" s="311" t="e">
        <v>#N/A</v>
      </c>
      <c r="I404" s="1347" t="e">
        <v>#N/A</v>
      </c>
      <c r="J404" s="311" t="e">
        <v>#N/A</v>
      </c>
      <c r="K404" s="1347" t="e">
        <v>#N/A</v>
      </c>
      <c r="L404" s="311" t="e">
        <v>#N/A</v>
      </c>
      <c r="M404" s="1587" t="e">
        <v>#N/A</v>
      </c>
      <c r="N404" s="1350" t="e">
        <v>#N/A</v>
      </c>
      <c r="O404" s="1347" t="e">
        <v>#N/A</v>
      </c>
      <c r="P404" s="1347" t="e">
        <v>#N/A</v>
      </c>
      <c r="Q404" s="1136" t="e">
        <v>#N/A</v>
      </c>
    </row>
    <row r="405" spans="1:17">
      <c r="A405" s="49">
        <f t="shared" si="4"/>
        <v>2025.12</v>
      </c>
      <c r="B405" s="1591" t="e">
        <v>#N/A</v>
      </c>
      <c r="C405" s="311" t="e">
        <v>#N/A</v>
      </c>
      <c r="D405" s="1350" t="e">
        <v>#N/A</v>
      </c>
      <c r="E405" s="1347" t="e">
        <v>#N/A</v>
      </c>
      <c r="F405" s="311" t="e">
        <v>#N/A</v>
      </c>
      <c r="G405" s="1347" t="e">
        <v>#N/A</v>
      </c>
      <c r="H405" s="311" t="e">
        <v>#N/A</v>
      </c>
      <c r="I405" s="1347" t="e">
        <v>#N/A</v>
      </c>
      <c r="J405" s="311" t="e">
        <v>#N/A</v>
      </c>
      <c r="K405" s="1347" t="e">
        <v>#N/A</v>
      </c>
      <c r="L405" s="311" t="e">
        <v>#N/A</v>
      </c>
      <c r="M405" s="1587" t="e">
        <v>#N/A</v>
      </c>
      <c r="N405" s="1350" t="e">
        <v>#N/A</v>
      </c>
      <c r="O405" s="1347" t="e">
        <v>#N/A</v>
      </c>
      <c r="P405" s="1347" t="e">
        <v>#N/A</v>
      </c>
      <c r="Q405" s="1136" t="e">
        <v>#N/A</v>
      </c>
    </row>
    <row r="406" spans="1:17">
      <c r="A406" s="49">
        <f t="shared" si="4"/>
        <v>2026.01</v>
      </c>
      <c r="B406" s="1591" t="e">
        <v>#N/A</v>
      </c>
      <c r="C406" s="311" t="e">
        <v>#N/A</v>
      </c>
      <c r="D406" s="1350" t="e">
        <v>#N/A</v>
      </c>
      <c r="E406" s="1347" t="e">
        <v>#N/A</v>
      </c>
      <c r="F406" s="311" t="e">
        <v>#N/A</v>
      </c>
      <c r="G406" s="1347" t="e">
        <v>#N/A</v>
      </c>
      <c r="H406" s="311" t="e">
        <v>#N/A</v>
      </c>
      <c r="I406" s="1347" t="e">
        <v>#N/A</v>
      </c>
      <c r="J406" s="311" t="e">
        <v>#N/A</v>
      </c>
      <c r="K406" s="1347" t="e">
        <v>#N/A</v>
      </c>
      <c r="L406" s="311" t="e">
        <v>#N/A</v>
      </c>
      <c r="M406" s="1587" t="e">
        <v>#N/A</v>
      </c>
      <c r="N406" s="1350" t="e">
        <v>#N/A</v>
      </c>
      <c r="O406" s="1347" t="e">
        <v>#N/A</v>
      </c>
      <c r="P406" s="1347" t="e">
        <v>#N/A</v>
      </c>
      <c r="Q406" s="1136" t="e">
        <v>#N/A</v>
      </c>
    </row>
    <row r="407" spans="1:17">
      <c r="A407" s="49">
        <f t="shared" si="4"/>
        <v>2026.02</v>
      </c>
      <c r="B407" s="1591" t="e">
        <v>#N/A</v>
      </c>
      <c r="C407" s="311" t="e">
        <v>#N/A</v>
      </c>
      <c r="D407" s="1350" t="e">
        <v>#N/A</v>
      </c>
      <c r="E407" s="1347" t="e">
        <v>#N/A</v>
      </c>
      <c r="F407" s="311" t="e">
        <v>#N/A</v>
      </c>
      <c r="G407" s="1347" t="e">
        <v>#N/A</v>
      </c>
      <c r="H407" s="311" t="e">
        <v>#N/A</v>
      </c>
      <c r="I407" s="1347" t="e">
        <v>#N/A</v>
      </c>
      <c r="J407" s="311" t="e">
        <v>#N/A</v>
      </c>
      <c r="K407" s="1347" t="e">
        <v>#N/A</v>
      </c>
      <c r="L407" s="311" t="e">
        <v>#N/A</v>
      </c>
      <c r="M407" s="1587" t="e">
        <v>#N/A</v>
      </c>
      <c r="N407" s="1350" t="e">
        <v>#N/A</v>
      </c>
      <c r="O407" s="1347" t="e">
        <v>#N/A</v>
      </c>
      <c r="P407" s="1347" t="e">
        <v>#N/A</v>
      </c>
      <c r="Q407" s="1136" t="e">
        <v>#N/A</v>
      </c>
    </row>
    <row r="408" spans="1:17">
      <c r="A408" s="49">
        <f t="shared" si="4"/>
        <v>2026.03</v>
      </c>
      <c r="B408" s="1591" t="e">
        <v>#N/A</v>
      </c>
      <c r="C408" s="311" t="e">
        <v>#N/A</v>
      </c>
      <c r="D408" s="1350" t="e">
        <v>#N/A</v>
      </c>
      <c r="E408" s="1347" t="e">
        <v>#N/A</v>
      </c>
      <c r="F408" s="311" t="e">
        <v>#N/A</v>
      </c>
      <c r="G408" s="1347" t="e">
        <v>#N/A</v>
      </c>
      <c r="H408" s="311" t="e">
        <v>#N/A</v>
      </c>
      <c r="I408" s="1347" t="e">
        <v>#N/A</v>
      </c>
      <c r="J408" s="311" t="e">
        <v>#N/A</v>
      </c>
      <c r="K408" s="1347" t="e">
        <v>#N/A</v>
      </c>
      <c r="L408" s="311" t="e">
        <v>#N/A</v>
      </c>
      <c r="M408" s="1587" t="e">
        <v>#N/A</v>
      </c>
      <c r="N408" s="1350" t="e">
        <v>#N/A</v>
      </c>
      <c r="O408" s="1347" t="e">
        <v>#N/A</v>
      </c>
      <c r="P408" s="1347" t="e">
        <v>#N/A</v>
      </c>
      <c r="Q408" s="1136" t="e">
        <v>#N/A</v>
      </c>
    </row>
    <row r="409" spans="1:17">
      <c r="A409" s="49">
        <f t="shared" si="4"/>
        <v>2026.04</v>
      </c>
      <c r="B409" s="1591" t="e">
        <v>#N/A</v>
      </c>
      <c r="C409" s="311" t="e">
        <v>#N/A</v>
      </c>
      <c r="D409" s="1350" t="e">
        <v>#N/A</v>
      </c>
      <c r="E409" s="1347" t="e">
        <v>#N/A</v>
      </c>
      <c r="F409" s="311" t="e">
        <v>#N/A</v>
      </c>
      <c r="G409" s="1347" t="e">
        <v>#N/A</v>
      </c>
      <c r="H409" s="311" t="e">
        <v>#N/A</v>
      </c>
      <c r="I409" s="1347" t="e">
        <v>#N/A</v>
      </c>
      <c r="J409" s="311" t="e">
        <v>#N/A</v>
      </c>
      <c r="K409" s="1347" t="e">
        <v>#N/A</v>
      </c>
      <c r="L409" s="311" t="e">
        <v>#N/A</v>
      </c>
      <c r="M409" s="1587" t="e">
        <v>#N/A</v>
      </c>
      <c r="N409" s="1350" t="e">
        <v>#N/A</v>
      </c>
      <c r="O409" s="1347" t="e">
        <v>#N/A</v>
      </c>
      <c r="P409" s="1347" t="e">
        <v>#N/A</v>
      </c>
      <c r="Q409" s="1136" t="e">
        <v>#N/A</v>
      </c>
    </row>
    <row r="410" spans="1:17">
      <c r="A410" s="49">
        <f t="shared" si="4"/>
        <v>2026.05</v>
      </c>
      <c r="B410" s="1591" t="e">
        <v>#N/A</v>
      </c>
      <c r="C410" s="311" t="e">
        <v>#N/A</v>
      </c>
      <c r="D410" s="1350" t="e">
        <v>#N/A</v>
      </c>
      <c r="E410" s="1347" t="e">
        <v>#N/A</v>
      </c>
      <c r="F410" s="311" t="e">
        <v>#N/A</v>
      </c>
      <c r="G410" s="1347" t="e">
        <v>#N/A</v>
      </c>
      <c r="H410" s="311" t="e">
        <v>#N/A</v>
      </c>
      <c r="I410" s="1347" t="e">
        <v>#N/A</v>
      </c>
      <c r="J410" s="311" t="e">
        <v>#N/A</v>
      </c>
      <c r="K410" s="1347" t="e">
        <v>#N/A</v>
      </c>
      <c r="L410" s="311" t="e">
        <v>#N/A</v>
      </c>
      <c r="M410" s="1587" t="e">
        <v>#N/A</v>
      </c>
      <c r="N410" s="1350" t="e">
        <v>#N/A</v>
      </c>
      <c r="O410" s="1347" t="e">
        <v>#N/A</v>
      </c>
      <c r="P410" s="1347" t="e">
        <v>#N/A</v>
      </c>
      <c r="Q410" s="1136" t="e">
        <v>#N/A</v>
      </c>
    </row>
    <row r="411" spans="1:17">
      <c r="A411" s="49">
        <f t="shared" si="4"/>
        <v>2026.06</v>
      </c>
      <c r="B411" s="1591" t="e">
        <v>#N/A</v>
      </c>
      <c r="C411" s="311" t="e">
        <v>#N/A</v>
      </c>
      <c r="D411" s="1350" t="e">
        <v>#N/A</v>
      </c>
      <c r="E411" s="1347" t="e">
        <v>#N/A</v>
      </c>
      <c r="F411" s="311" t="e">
        <v>#N/A</v>
      </c>
      <c r="G411" s="1347" t="e">
        <v>#N/A</v>
      </c>
      <c r="H411" s="311" t="e">
        <v>#N/A</v>
      </c>
      <c r="I411" s="1347" t="e">
        <v>#N/A</v>
      </c>
      <c r="J411" s="311" t="e">
        <v>#N/A</v>
      </c>
      <c r="K411" s="1347" t="e">
        <v>#N/A</v>
      </c>
      <c r="L411" s="311" t="e">
        <v>#N/A</v>
      </c>
      <c r="M411" s="1587" t="e">
        <v>#N/A</v>
      </c>
      <c r="N411" s="1350" t="e">
        <v>#N/A</v>
      </c>
      <c r="O411" s="1347" t="e">
        <v>#N/A</v>
      </c>
      <c r="P411" s="1347" t="e">
        <v>#N/A</v>
      </c>
      <c r="Q411" s="1136" t="e">
        <v>#N/A</v>
      </c>
    </row>
    <row r="412" spans="1:17">
      <c r="A412" s="49">
        <f t="shared" si="4"/>
        <v>2026.07</v>
      </c>
      <c r="B412" s="1591" t="e">
        <v>#N/A</v>
      </c>
      <c r="C412" s="311" t="e">
        <v>#N/A</v>
      </c>
      <c r="D412" s="1350" t="e">
        <v>#N/A</v>
      </c>
      <c r="E412" s="1347" t="e">
        <v>#N/A</v>
      </c>
      <c r="F412" s="311" t="e">
        <v>#N/A</v>
      </c>
      <c r="G412" s="1347" t="e">
        <v>#N/A</v>
      </c>
      <c r="H412" s="311" t="e">
        <v>#N/A</v>
      </c>
      <c r="I412" s="1347" t="e">
        <v>#N/A</v>
      </c>
      <c r="J412" s="311" t="e">
        <v>#N/A</v>
      </c>
      <c r="K412" s="1347" t="e">
        <v>#N/A</v>
      </c>
      <c r="L412" s="311" t="e">
        <v>#N/A</v>
      </c>
      <c r="M412" s="1587" t="e">
        <v>#N/A</v>
      </c>
      <c r="N412" s="1350" t="e">
        <v>#N/A</v>
      </c>
      <c r="O412" s="1347" t="e">
        <v>#N/A</v>
      </c>
      <c r="P412" s="1347" t="e">
        <v>#N/A</v>
      </c>
      <c r="Q412" s="1136" t="e">
        <v>#N/A</v>
      </c>
    </row>
    <row r="413" spans="1:17">
      <c r="A413" s="49">
        <f t="shared" si="4"/>
        <v>2026.08</v>
      </c>
      <c r="B413" s="1591" t="e">
        <v>#N/A</v>
      </c>
      <c r="C413" s="311" t="e">
        <v>#N/A</v>
      </c>
      <c r="D413" s="1350" t="e">
        <v>#N/A</v>
      </c>
      <c r="E413" s="1347" t="e">
        <v>#N/A</v>
      </c>
      <c r="F413" s="311" t="e">
        <v>#N/A</v>
      </c>
      <c r="G413" s="1347" t="e">
        <v>#N/A</v>
      </c>
      <c r="H413" s="311" t="e">
        <v>#N/A</v>
      </c>
      <c r="I413" s="1347" t="e">
        <v>#N/A</v>
      </c>
      <c r="J413" s="311" t="e">
        <v>#N/A</v>
      </c>
      <c r="K413" s="1347" t="e">
        <v>#N/A</v>
      </c>
      <c r="L413" s="311" t="e">
        <v>#N/A</v>
      </c>
      <c r="M413" s="1587" t="e">
        <v>#N/A</v>
      </c>
      <c r="N413" s="1350" t="e">
        <v>#N/A</v>
      </c>
      <c r="O413" s="1347" t="e">
        <v>#N/A</v>
      </c>
      <c r="P413" s="1347" t="e">
        <v>#N/A</v>
      </c>
      <c r="Q413" s="1136" t="e">
        <v>#N/A</v>
      </c>
    </row>
    <row r="414" spans="1:17">
      <c r="A414" s="49">
        <f t="shared" si="4"/>
        <v>2026.09</v>
      </c>
      <c r="B414" s="1591" t="e">
        <v>#N/A</v>
      </c>
      <c r="C414" s="311" t="e">
        <v>#N/A</v>
      </c>
      <c r="D414" s="1350" t="e">
        <v>#N/A</v>
      </c>
      <c r="E414" s="1347" t="e">
        <v>#N/A</v>
      </c>
      <c r="F414" s="311" t="e">
        <v>#N/A</v>
      </c>
      <c r="G414" s="1347" t="e">
        <v>#N/A</v>
      </c>
      <c r="H414" s="311" t="e">
        <v>#N/A</v>
      </c>
      <c r="I414" s="1347" t="e">
        <v>#N/A</v>
      </c>
      <c r="J414" s="311" t="e">
        <v>#N/A</v>
      </c>
      <c r="K414" s="1347" t="e">
        <v>#N/A</v>
      </c>
      <c r="L414" s="311" t="e">
        <v>#N/A</v>
      </c>
      <c r="M414" s="1587" t="e">
        <v>#N/A</v>
      </c>
      <c r="N414" s="1350" t="e">
        <v>#N/A</v>
      </c>
      <c r="O414" s="1347" t="e">
        <v>#N/A</v>
      </c>
      <c r="P414" s="1347" t="e">
        <v>#N/A</v>
      </c>
      <c r="Q414" s="1136" t="e">
        <v>#N/A</v>
      </c>
    </row>
    <row r="415" spans="1:17">
      <c r="A415" s="49">
        <f t="shared" si="4"/>
        <v>2026.1</v>
      </c>
      <c r="B415" s="1591" t="e">
        <v>#N/A</v>
      </c>
      <c r="C415" s="311" t="e">
        <v>#N/A</v>
      </c>
      <c r="D415" s="1350" t="e">
        <v>#N/A</v>
      </c>
      <c r="E415" s="1347" t="e">
        <v>#N/A</v>
      </c>
      <c r="F415" s="311" t="e">
        <v>#N/A</v>
      </c>
      <c r="G415" s="1347" t="e">
        <v>#N/A</v>
      </c>
      <c r="H415" s="311" t="e">
        <v>#N/A</v>
      </c>
      <c r="I415" s="1347" t="e">
        <v>#N/A</v>
      </c>
      <c r="J415" s="311" t="e">
        <v>#N/A</v>
      </c>
      <c r="K415" s="1347" t="e">
        <v>#N/A</v>
      </c>
      <c r="L415" s="311" t="e">
        <v>#N/A</v>
      </c>
      <c r="M415" s="1587" t="e">
        <v>#N/A</v>
      </c>
      <c r="N415" s="1350" t="e">
        <v>#N/A</v>
      </c>
      <c r="O415" s="1347" t="e">
        <v>#N/A</v>
      </c>
      <c r="P415" s="1347" t="e">
        <v>#N/A</v>
      </c>
      <c r="Q415" s="1136" t="e">
        <v>#N/A</v>
      </c>
    </row>
    <row r="416" spans="1:17">
      <c r="A416" s="49">
        <f t="shared" si="4"/>
        <v>2026.11</v>
      </c>
      <c r="B416" s="1591" t="e">
        <v>#N/A</v>
      </c>
      <c r="C416" s="311" t="e">
        <v>#N/A</v>
      </c>
      <c r="D416" s="1350" t="e">
        <v>#N/A</v>
      </c>
      <c r="E416" s="1347" t="e">
        <v>#N/A</v>
      </c>
      <c r="F416" s="311" t="e">
        <v>#N/A</v>
      </c>
      <c r="G416" s="1347" t="e">
        <v>#N/A</v>
      </c>
      <c r="H416" s="311" t="e">
        <v>#N/A</v>
      </c>
      <c r="I416" s="1347" t="e">
        <v>#N/A</v>
      </c>
      <c r="J416" s="311" t="e">
        <v>#N/A</v>
      </c>
      <c r="K416" s="1347" t="e">
        <v>#N/A</v>
      </c>
      <c r="L416" s="311" t="e">
        <v>#N/A</v>
      </c>
      <c r="M416" s="1587" t="e">
        <v>#N/A</v>
      </c>
      <c r="N416" s="1350" t="e">
        <v>#N/A</v>
      </c>
      <c r="O416" s="1347" t="e">
        <v>#N/A</v>
      </c>
      <c r="P416" s="1347" t="e">
        <v>#N/A</v>
      </c>
      <c r="Q416" s="1136" t="e">
        <v>#N/A</v>
      </c>
    </row>
    <row r="417" spans="1:17">
      <c r="A417" s="49">
        <f t="shared" si="4"/>
        <v>2026.12</v>
      </c>
      <c r="B417" s="1591" t="e">
        <v>#N/A</v>
      </c>
      <c r="C417" s="311" t="e">
        <v>#N/A</v>
      </c>
      <c r="D417" s="1350" t="e">
        <v>#N/A</v>
      </c>
      <c r="E417" s="1347" t="e">
        <v>#N/A</v>
      </c>
      <c r="F417" s="311" t="e">
        <v>#N/A</v>
      </c>
      <c r="G417" s="1347" t="e">
        <v>#N/A</v>
      </c>
      <c r="H417" s="311" t="e">
        <v>#N/A</v>
      </c>
      <c r="I417" s="1347" t="e">
        <v>#N/A</v>
      </c>
      <c r="J417" s="311" t="e">
        <v>#N/A</v>
      </c>
      <c r="K417" s="1347" t="e">
        <v>#N/A</v>
      </c>
      <c r="L417" s="311" t="e">
        <v>#N/A</v>
      </c>
      <c r="M417" s="1587" t="e">
        <v>#N/A</v>
      </c>
      <c r="N417" s="1350" t="e">
        <v>#N/A</v>
      </c>
      <c r="O417" s="1347" t="e">
        <v>#N/A</v>
      </c>
      <c r="P417" s="1347" t="e">
        <v>#N/A</v>
      </c>
      <c r="Q417" s="1136" t="e">
        <v>#N/A</v>
      </c>
    </row>
    <row r="418" spans="1:17">
      <c r="A418" s="49">
        <f t="shared" si="4"/>
        <v>2027.01</v>
      </c>
      <c r="B418" s="1591" t="e">
        <v>#N/A</v>
      </c>
      <c r="C418" s="311" t="e">
        <v>#N/A</v>
      </c>
      <c r="D418" s="1350" t="e">
        <v>#N/A</v>
      </c>
      <c r="E418" s="1347" t="e">
        <v>#N/A</v>
      </c>
      <c r="F418" s="311" t="e">
        <v>#N/A</v>
      </c>
      <c r="G418" s="1347" t="e">
        <v>#N/A</v>
      </c>
      <c r="H418" s="311" t="e">
        <v>#N/A</v>
      </c>
      <c r="I418" s="1347" t="e">
        <v>#N/A</v>
      </c>
      <c r="J418" s="311" t="e">
        <v>#N/A</v>
      </c>
      <c r="K418" s="1347" t="e">
        <v>#N/A</v>
      </c>
      <c r="L418" s="311" t="e">
        <v>#N/A</v>
      </c>
      <c r="M418" s="1587" t="e">
        <v>#N/A</v>
      </c>
      <c r="N418" s="1350" t="e">
        <v>#N/A</v>
      </c>
      <c r="O418" s="1347" t="e">
        <v>#N/A</v>
      </c>
      <c r="P418" s="1347" t="e">
        <v>#N/A</v>
      </c>
      <c r="Q418" s="1136" t="e">
        <v>#N/A</v>
      </c>
    </row>
    <row r="419" spans="1:17">
      <c r="A419" s="49">
        <f t="shared" si="4"/>
        <v>2027.02</v>
      </c>
      <c r="B419" s="1591" t="e">
        <v>#N/A</v>
      </c>
      <c r="C419" s="311" t="e">
        <v>#N/A</v>
      </c>
      <c r="D419" s="1350" t="e">
        <v>#N/A</v>
      </c>
      <c r="E419" s="1347" t="e">
        <v>#N/A</v>
      </c>
      <c r="F419" s="311" t="e">
        <v>#N/A</v>
      </c>
      <c r="G419" s="1347" t="e">
        <v>#N/A</v>
      </c>
      <c r="H419" s="311" t="e">
        <v>#N/A</v>
      </c>
      <c r="I419" s="1347" t="e">
        <v>#N/A</v>
      </c>
      <c r="J419" s="311" t="e">
        <v>#N/A</v>
      </c>
      <c r="K419" s="1347" t="e">
        <v>#N/A</v>
      </c>
      <c r="L419" s="311" t="e">
        <v>#N/A</v>
      </c>
      <c r="M419" s="1587" t="e">
        <v>#N/A</v>
      </c>
      <c r="N419" s="1350" t="e">
        <v>#N/A</v>
      </c>
      <c r="O419" s="1347" t="e">
        <v>#N/A</v>
      </c>
      <c r="P419" s="1347" t="e">
        <v>#N/A</v>
      </c>
      <c r="Q419" s="1136" t="e">
        <v>#N/A</v>
      </c>
    </row>
    <row r="420" spans="1:17">
      <c r="A420" s="49">
        <f t="shared" si="4"/>
        <v>2027.03</v>
      </c>
      <c r="B420" s="1591" t="e">
        <v>#N/A</v>
      </c>
      <c r="C420" s="311" t="e">
        <v>#N/A</v>
      </c>
      <c r="D420" s="1350" t="e">
        <v>#N/A</v>
      </c>
      <c r="E420" s="1347" t="e">
        <v>#N/A</v>
      </c>
      <c r="F420" s="311" t="e">
        <v>#N/A</v>
      </c>
      <c r="G420" s="1347" t="e">
        <v>#N/A</v>
      </c>
      <c r="H420" s="311" t="e">
        <v>#N/A</v>
      </c>
      <c r="I420" s="1347" t="e">
        <v>#N/A</v>
      </c>
      <c r="J420" s="311" t="e">
        <v>#N/A</v>
      </c>
      <c r="K420" s="1347" t="e">
        <v>#N/A</v>
      </c>
      <c r="L420" s="311" t="e">
        <v>#N/A</v>
      </c>
      <c r="M420" s="1587" t="e">
        <v>#N/A</v>
      </c>
      <c r="N420" s="1350" t="e">
        <v>#N/A</v>
      </c>
      <c r="O420" s="1347" t="e">
        <v>#N/A</v>
      </c>
      <c r="P420" s="1347" t="e">
        <v>#N/A</v>
      </c>
      <c r="Q420" s="1136" t="e">
        <v>#N/A</v>
      </c>
    </row>
    <row r="421" spans="1:17">
      <c r="A421" s="49">
        <f t="shared" si="4"/>
        <v>2027.04</v>
      </c>
      <c r="B421" s="1591" t="e">
        <v>#N/A</v>
      </c>
      <c r="C421" s="311" t="e">
        <v>#N/A</v>
      </c>
      <c r="D421" s="1350" t="e">
        <v>#N/A</v>
      </c>
      <c r="E421" s="1347" t="e">
        <v>#N/A</v>
      </c>
      <c r="F421" s="311" t="e">
        <v>#N/A</v>
      </c>
      <c r="G421" s="1347" t="e">
        <v>#N/A</v>
      </c>
      <c r="H421" s="311" t="e">
        <v>#N/A</v>
      </c>
      <c r="I421" s="1347" t="e">
        <v>#N/A</v>
      </c>
      <c r="J421" s="311" t="e">
        <v>#N/A</v>
      </c>
      <c r="K421" s="1347" t="e">
        <v>#N/A</v>
      </c>
      <c r="L421" s="311" t="e">
        <v>#N/A</v>
      </c>
      <c r="M421" s="1587" t="e">
        <v>#N/A</v>
      </c>
      <c r="N421" s="1350" t="e">
        <v>#N/A</v>
      </c>
      <c r="O421" s="1347" t="e">
        <v>#N/A</v>
      </c>
      <c r="P421" s="1347" t="e">
        <v>#N/A</v>
      </c>
      <c r="Q421" s="1136" t="e">
        <v>#N/A</v>
      </c>
    </row>
    <row r="422" spans="1:17">
      <c r="A422" s="49">
        <f t="shared" si="4"/>
        <v>2027.05</v>
      </c>
      <c r="B422" s="1591" t="e">
        <v>#N/A</v>
      </c>
      <c r="C422" s="311" t="e">
        <v>#N/A</v>
      </c>
      <c r="D422" s="1350" t="e">
        <v>#N/A</v>
      </c>
      <c r="E422" s="1347" t="e">
        <v>#N/A</v>
      </c>
      <c r="F422" s="311" t="e">
        <v>#N/A</v>
      </c>
      <c r="G422" s="1347" t="e">
        <v>#N/A</v>
      </c>
      <c r="H422" s="311" t="e">
        <v>#N/A</v>
      </c>
      <c r="I422" s="1347" t="e">
        <v>#N/A</v>
      </c>
      <c r="J422" s="311" t="e">
        <v>#N/A</v>
      </c>
      <c r="K422" s="1347" t="e">
        <v>#N/A</v>
      </c>
      <c r="L422" s="311" t="e">
        <v>#N/A</v>
      </c>
      <c r="M422" s="1587" t="e">
        <v>#N/A</v>
      </c>
      <c r="N422" s="1350" t="e">
        <v>#N/A</v>
      </c>
      <c r="O422" s="1347" t="e">
        <v>#N/A</v>
      </c>
      <c r="P422" s="1347" t="e">
        <v>#N/A</v>
      </c>
      <c r="Q422" s="1136" t="e">
        <v>#N/A</v>
      </c>
    </row>
    <row r="423" spans="1:17">
      <c r="A423" s="49">
        <f t="shared" si="4"/>
        <v>2027.06</v>
      </c>
      <c r="B423" s="1591" t="e">
        <v>#N/A</v>
      </c>
      <c r="C423" s="311" t="e">
        <v>#N/A</v>
      </c>
      <c r="D423" s="1350" t="e">
        <v>#N/A</v>
      </c>
      <c r="E423" s="1347" t="e">
        <v>#N/A</v>
      </c>
      <c r="F423" s="311" t="e">
        <v>#N/A</v>
      </c>
      <c r="G423" s="1347" t="e">
        <v>#N/A</v>
      </c>
      <c r="H423" s="311" t="e">
        <v>#N/A</v>
      </c>
      <c r="I423" s="1347" t="e">
        <v>#N/A</v>
      </c>
      <c r="J423" s="311" t="e">
        <v>#N/A</v>
      </c>
      <c r="K423" s="1347" t="e">
        <v>#N/A</v>
      </c>
      <c r="L423" s="311" t="e">
        <v>#N/A</v>
      </c>
      <c r="M423" s="1587" t="e">
        <v>#N/A</v>
      </c>
      <c r="N423" s="1350" t="e">
        <v>#N/A</v>
      </c>
      <c r="O423" s="1347" t="e">
        <v>#N/A</v>
      </c>
      <c r="P423" s="1347" t="e">
        <v>#N/A</v>
      </c>
      <c r="Q423" s="1136" t="e">
        <v>#N/A</v>
      </c>
    </row>
    <row r="424" spans="1:17">
      <c r="A424" s="49">
        <f t="shared" si="4"/>
        <v>2027.07</v>
      </c>
      <c r="B424" s="1591" t="e">
        <v>#N/A</v>
      </c>
      <c r="C424" s="311" t="e">
        <v>#N/A</v>
      </c>
      <c r="D424" s="1350" t="e">
        <v>#N/A</v>
      </c>
      <c r="E424" s="1347" t="e">
        <v>#N/A</v>
      </c>
      <c r="F424" s="311" t="e">
        <v>#N/A</v>
      </c>
      <c r="G424" s="1347" t="e">
        <v>#N/A</v>
      </c>
      <c r="H424" s="311" t="e">
        <v>#N/A</v>
      </c>
      <c r="I424" s="1347" t="e">
        <v>#N/A</v>
      </c>
      <c r="J424" s="311" t="e">
        <v>#N/A</v>
      </c>
      <c r="K424" s="1347" t="e">
        <v>#N/A</v>
      </c>
      <c r="L424" s="311" t="e">
        <v>#N/A</v>
      </c>
      <c r="M424" s="1587" t="e">
        <v>#N/A</v>
      </c>
      <c r="N424" s="1350" t="e">
        <v>#N/A</v>
      </c>
      <c r="O424" s="1347" t="e">
        <v>#N/A</v>
      </c>
      <c r="P424" s="1347" t="e">
        <v>#N/A</v>
      </c>
      <c r="Q424" s="1136" t="e">
        <v>#N/A</v>
      </c>
    </row>
    <row r="425" spans="1:17">
      <c r="A425" s="49">
        <f t="shared" si="4"/>
        <v>2027.08</v>
      </c>
      <c r="B425" s="1591" t="e">
        <v>#N/A</v>
      </c>
      <c r="C425" s="311" t="e">
        <v>#N/A</v>
      </c>
      <c r="D425" s="1350" t="e">
        <v>#N/A</v>
      </c>
      <c r="E425" s="1347" t="e">
        <v>#N/A</v>
      </c>
      <c r="F425" s="311" t="e">
        <v>#N/A</v>
      </c>
      <c r="G425" s="1347" t="e">
        <v>#N/A</v>
      </c>
      <c r="H425" s="311" t="e">
        <v>#N/A</v>
      </c>
      <c r="I425" s="1347" t="e">
        <v>#N/A</v>
      </c>
      <c r="J425" s="311" t="e">
        <v>#N/A</v>
      </c>
      <c r="K425" s="1347" t="e">
        <v>#N/A</v>
      </c>
      <c r="L425" s="311" t="e">
        <v>#N/A</v>
      </c>
      <c r="M425" s="1587" t="e">
        <v>#N/A</v>
      </c>
      <c r="N425" s="1350" t="e">
        <v>#N/A</v>
      </c>
      <c r="O425" s="1347" t="e">
        <v>#N/A</v>
      </c>
      <c r="P425" s="1347" t="e">
        <v>#N/A</v>
      </c>
      <c r="Q425" s="1136" t="e">
        <v>#N/A</v>
      </c>
    </row>
    <row r="426" spans="1:17">
      <c r="A426" s="49">
        <f t="shared" si="4"/>
        <v>2027.09</v>
      </c>
      <c r="B426" s="1591" t="e">
        <v>#N/A</v>
      </c>
      <c r="C426" s="311" t="e">
        <v>#N/A</v>
      </c>
      <c r="D426" s="1350" t="e">
        <v>#N/A</v>
      </c>
      <c r="E426" s="1347" t="e">
        <v>#N/A</v>
      </c>
      <c r="F426" s="311" t="e">
        <v>#N/A</v>
      </c>
      <c r="G426" s="1347" t="e">
        <v>#N/A</v>
      </c>
      <c r="H426" s="311" t="e">
        <v>#N/A</v>
      </c>
      <c r="I426" s="1347" t="e">
        <v>#N/A</v>
      </c>
      <c r="J426" s="311" t="e">
        <v>#N/A</v>
      </c>
      <c r="K426" s="1347" t="e">
        <v>#N/A</v>
      </c>
      <c r="L426" s="311" t="e">
        <v>#N/A</v>
      </c>
      <c r="M426" s="1587" t="e">
        <v>#N/A</v>
      </c>
      <c r="N426" s="1350" t="e">
        <v>#N/A</v>
      </c>
      <c r="O426" s="1347" t="e">
        <v>#N/A</v>
      </c>
      <c r="P426" s="1347" t="e">
        <v>#N/A</v>
      </c>
      <c r="Q426" s="1136" t="e">
        <v>#N/A</v>
      </c>
    </row>
    <row r="427" spans="1:17">
      <c r="A427" s="49">
        <f t="shared" si="4"/>
        <v>2027.1</v>
      </c>
      <c r="B427" s="1591" t="e">
        <v>#N/A</v>
      </c>
      <c r="C427" s="311" t="e">
        <v>#N/A</v>
      </c>
      <c r="D427" s="1350" t="e">
        <v>#N/A</v>
      </c>
      <c r="E427" s="1347" t="e">
        <v>#N/A</v>
      </c>
      <c r="F427" s="311" t="e">
        <v>#N/A</v>
      </c>
      <c r="G427" s="1347" t="e">
        <v>#N/A</v>
      </c>
      <c r="H427" s="311" t="e">
        <v>#N/A</v>
      </c>
      <c r="I427" s="1347" t="e">
        <v>#N/A</v>
      </c>
      <c r="J427" s="311" t="e">
        <v>#N/A</v>
      </c>
      <c r="K427" s="1347" t="e">
        <v>#N/A</v>
      </c>
      <c r="L427" s="311" t="e">
        <v>#N/A</v>
      </c>
      <c r="M427" s="1587" t="e">
        <v>#N/A</v>
      </c>
      <c r="N427" s="1350" t="e">
        <v>#N/A</v>
      </c>
      <c r="O427" s="1347" t="e">
        <v>#N/A</v>
      </c>
      <c r="P427" s="1347" t="e">
        <v>#N/A</v>
      </c>
      <c r="Q427" s="1136" t="e">
        <v>#N/A</v>
      </c>
    </row>
    <row r="428" spans="1:17">
      <c r="A428" s="49">
        <f t="shared" si="4"/>
        <v>2027.11</v>
      </c>
      <c r="B428" s="1591" t="e">
        <v>#N/A</v>
      </c>
      <c r="C428" s="311" t="e">
        <v>#N/A</v>
      </c>
      <c r="D428" s="1350" t="e">
        <v>#N/A</v>
      </c>
      <c r="E428" s="1347" t="e">
        <v>#N/A</v>
      </c>
      <c r="F428" s="311" t="e">
        <v>#N/A</v>
      </c>
      <c r="G428" s="1347" t="e">
        <v>#N/A</v>
      </c>
      <c r="H428" s="311" t="e">
        <v>#N/A</v>
      </c>
      <c r="I428" s="1347" t="e">
        <v>#N/A</v>
      </c>
      <c r="J428" s="311" t="e">
        <v>#N/A</v>
      </c>
      <c r="K428" s="1347" t="e">
        <v>#N/A</v>
      </c>
      <c r="L428" s="311" t="e">
        <v>#N/A</v>
      </c>
      <c r="M428" s="1587" t="e">
        <v>#N/A</v>
      </c>
      <c r="N428" s="1350" t="e">
        <v>#N/A</v>
      </c>
      <c r="O428" s="1347" t="e">
        <v>#N/A</v>
      </c>
      <c r="P428" s="1347" t="e">
        <v>#N/A</v>
      </c>
      <c r="Q428" s="1136" t="e">
        <v>#N/A</v>
      </c>
    </row>
    <row r="429" spans="1:17">
      <c r="A429" s="49">
        <f t="shared" si="4"/>
        <v>2027.12</v>
      </c>
      <c r="B429" s="1591" t="e">
        <v>#N/A</v>
      </c>
      <c r="C429" s="311" t="e">
        <v>#N/A</v>
      </c>
      <c r="D429" s="1350" t="e">
        <v>#N/A</v>
      </c>
      <c r="E429" s="1347" t="e">
        <v>#N/A</v>
      </c>
      <c r="F429" s="311" t="e">
        <v>#N/A</v>
      </c>
      <c r="G429" s="1347" t="e">
        <v>#N/A</v>
      </c>
      <c r="H429" s="311" t="e">
        <v>#N/A</v>
      </c>
      <c r="I429" s="1347" t="e">
        <v>#N/A</v>
      </c>
      <c r="J429" s="311" t="e">
        <v>#N/A</v>
      </c>
      <c r="K429" s="1347" t="e">
        <v>#N/A</v>
      </c>
      <c r="L429" s="311" t="e">
        <v>#N/A</v>
      </c>
      <c r="M429" s="1587" t="e">
        <v>#N/A</v>
      </c>
      <c r="N429" s="1350" t="e">
        <v>#N/A</v>
      </c>
      <c r="O429" s="1347" t="e">
        <v>#N/A</v>
      </c>
      <c r="P429" s="1347" t="e">
        <v>#N/A</v>
      </c>
      <c r="Q429" s="1136" t="e">
        <v>#N/A</v>
      </c>
    </row>
    <row r="430" spans="1:17">
      <c r="A430" s="49">
        <f t="shared" si="4"/>
        <v>2028.01</v>
      </c>
      <c r="B430" s="1591" t="e">
        <v>#N/A</v>
      </c>
      <c r="C430" s="311" t="e">
        <v>#N/A</v>
      </c>
      <c r="D430" s="1350" t="e">
        <v>#N/A</v>
      </c>
      <c r="E430" s="1347" t="e">
        <v>#N/A</v>
      </c>
      <c r="F430" s="311" t="e">
        <v>#N/A</v>
      </c>
      <c r="G430" s="1347" t="e">
        <v>#N/A</v>
      </c>
      <c r="H430" s="311" t="e">
        <v>#N/A</v>
      </c>
      <c r="I430" s="1347" t="e">
        <v>#N/A</v>
      </c>
      <c r="J430" s="311" t="e">
        <v>#N/A</v>
      </c>
      <c r="K430" s="1347" t="e">
        <v>#N/A</v>
      </c>
      <c r="L430" s="311" t="e">
        <v>#N/A</v>
      </c>
      <c r="M430" s="1587" t="e">
        <v>#N/A</v>
      </c>
      <c r="N430" s="1350" t="e">
        <v>#N/A</v>
      </c>
      <c r="O430" s="1347" t="e">
        <v>#N/A</v>
      </c>
      <c r="P430" s="1347" t="e">
        <v>#N/A</v>
      </c>
      <c r="Q430" s="1136" t="e">
        <v>#N/A</v>
      </c>
    </row>
    <row r="431" spans="1:17">
      <c r="A431" s="49">
        <f t="shared" si="4"/>
        <v>2028.02</v>
      </c>
      <c r="B431" s="1591" t="e">
        <v>#N/A</v>
      </c>
      <c r="C431" s="311" t="e">
        <v>#N/A</v>
      </c>
      <c r="D431" s="1350" t="e">
        <v>#N/A</v>
      </c>
      <c r="E431" s="1347" t="e">
        <v>#N/A</v>
      </c>
      <c r="F431" s="311" t="e">
        <v>#N/A</v>
      </c>
      <c r="G431" s="1347" t="e">
        <v>#N/A</v>
      </c>
      <c r="H431" s="311" t="e">
        <v>#N/A</v>
      </c>
      <c r="I431" s="1347" t="e">
        <v>#N/A</v>
      </c>
      <c r="J431" s="311" t="e">
        <v>#N/A</v>
      </c>
      <c r="K431" s="1347" t="e">
        <v>#N/A</v>
      </c>
      <c r="L431" s="311" t="e">
        <v>#N/A</v>
      </c>
      <c r="M431" s="1587" t="e">
        <v>#N/A</v>
      </c>
      <c r="N431" s="1350" t="e">
        <v>#N/A</v>
      </c>
      <c r="O431" s="1347" t="e">
        <v>#N/A</v>
      </c>
      <c r="P431" s="1347" t="e">
        <v>#N/A</v>
      </c>
      <c r="Q431" s="1136" t="e">
        <v>#N/A</v>
      </c>
    </row>
    <row r="432" spans="1:17">
      <c r="A432" s="49">
        <f t="shared" si="4"/>
        <v>2028.03</v>
      </c>
      <c r="B432" s="1591" t="e">
        <v>#N/A</v>
      </c>
      <c r="C432" s="311" t="e">
        <v>#N/A</v>
      </c>
      <c r="D432" s="1350" t="e">
        <v>#N/A</v>
      </c>
      <c r="E432" s="1347" t="e">
        <v>#N/A</v>
      </c>
      <c r="F432" s="311" t="e">
        <v>#N/A</v>
      </c>
      <c r="G432" s="1347" t="e">
        <v>#N/A</v>
      </c>
      <c r="H432" s="311" t="e">
        <v>#N/A</v>
      </c>
      <c r="I432" s="1347" t="e">
        <v>#N/A</v>
      </c>
      <c r="J432" s="311" t="e">
        <v>#N/A</v>
      </c>
      <c r="K432" s="1347" t="e">
        <v>#N/A</v>
      </c>
      <c r="L432" s="311" t="e">
        <v>#N/A</v>
      </c>
      <c r="M432" s="1587" t="e">
        <v>#N/A</v>
      </c>
      <c r="N432" s="1350" t="e">
        <v>#N/A</v>
      </c>
      <c r="O432" s="1347" t="e">
        <v>#N/A</v>
      </c>
      <c r="P432" s="1347" t="e">
        <v>#N/A</v>
      </c>
      <c r="Q432" s="1136" t="e">
        <v>#N/A</v>
      </c>
    </row>
    <row r="433" spans="1:17">
      <c r="A433" s="49">
        <f t="shared" si="4"/>
        <v>2028.04</v>
      </c>
      <c r="B433" s="1591" t="e">
        <v>#N/A</v>
      </c>
      <c r="C433" s="311" t="e">
        <v>#N/A</v>
      </c>
      <c r="D433" s="1350" t="e">
        <v>#N/A</v>
      </c>
      <c r="E433" s="1347" t="e">
        <v>#N/A</v>
      </c>
      <c r="F433" s="311" t="e">
        <v>#N/A</v>
      </c>
      <c r="G433" s="1347" t="e">
        <v>#N/A</v>
      </c>
      <c r="H433" s="311" t="e">
        <v>#N/A</v>
      </c>
      <c r="I433" s="1347" t="e">
        <v>#N/A</v>
      </c>
      <c r="J433" s="311" t="e">
        <v>#N/A</v>
      </c>
      <c r="K433" s="1347" t="e">
        <v>#N/A</v>
      </c>
      <c r="L433" s="311" t="e">
        <v>#N/A</v>
      </c>
      <c r="M433" s="1587" t="e">
        <v>#N/A</v>
      </c>
      <c r="N433" s="1350" t="e">
        <v>#N/A</v>
      </c>
      <c r="O433" s="1347" t="e">
        <v>#N/A</v>
      </c>
      <c r="P433" s="1347" t="e">
        <v>#N/A</v>
      </c>
      <c r="Q433" s="1136" t="e">
        <v>#N/A</v>
      </c>
    </row>
    <row r="434" spans="1:17">
      <c r="A434" s="49">
        <f t="shared" si="4"/>
        <v>2028.05</v>
      </c>
      <c r="B434" s="1591" t="e">
        <v>#N/A</v>
      </c>
      <c r="C434" s="311" t="e">
        <v>#N/A</v>
      </c>
      <c r="D434" s="1350" t="e">
        <v>#N/A</v>
      </c>
      <c r="E434" s="1347" t="e">
        <v>#N/A</v>
      </c>
      <c r="F434" s="311" t="e">
        <v>#N/A</v>
      </c>
      <c r="G434" s="1347" t="e">
        <v>#N/A</v>
      </c>
      <c r="H434" s="311" t="e">
        <v>#N/A</v>
      </c>
      <c r="I434" s="1347" t="e">
        <v>#N/A</v>
      </c>
      <c r="J434" s="311" t="e">
        <v>#N/A</v>
      </c>
      <c r="K434" s="1347" t="e">
        <v>#N/A</v>
      </c>
      <c r="L434" s="311" t="e">
        <v>#N/A</v>
      </c>
      <c r="M434" s="1587" t="e">
        <v>#N/A</v>
      </c>
      <c r="N434" s="1350" t="e">
        <v>#N/A</v>
      </c>
      <c r="O434" s="1347" t="e">
        <v>#N/A</v>
      </c>
      <c r="P434" s="1347" t="e">
        <v>#N/A</v>
      </c>
      <c r="Q434" s="1136" t="e">
        <v>#N/A</v>
      </c>
    </row>
    <row r="435" spans="1:17">
      <c r="A435" s="49">
        <f t="shared" si="4"/>
        <v>2028.06</v>
      </c>
      <c r="B435" s="1591" t="e">
        <v>#N/A</v>
      </c>
      <c r="C435" s="311" t="e">
        <v>#N/A</v>
      </c>
      <c r="D435" s="1350" t="e">
        <v>#N/A</v>
      </c>
      <c r="E435" s="1347" t="e">
        <v>#N/A</v>
      </c>
      <c r="F435" s="311" t="e">
        <v>#N/A</v>
      </c>
      <c r="G435" s="1347" t="e">
        <v>#N/A</v>
      </c>
      <c r="H435" s="311" t="e">
        <v>#N/A</v>
      </c>
      <c r="I435" s="1347" t="e">
        <v>#N/A</v>
      </c>
      <c r="J435" s="311" t="e">
        <v>#N/A</v>
      </c>
      <c r="K435" s="1347" t="e">
        <v>#N/A</v>
      </c>
      <c r="L435" s="311" t="e">
        <v>#N/A</v>
      </c>
      <c r="M435" s="1587" t="e">
        <v>#N/A</v>
      </c>
      <c r="N435" s="1350" t="e">
        <v>#N/A</v>
      </c>
      <c r="O435" s="1347" t="e">
        <v>#N/A</v>
      </c>
      <c r="P435" s="1347" t="e">
        <v>#N/A</v>
      </c>
      <c r="Q435" s="1136" t="e">
        <v>#N/A</v>
      </c>
    </row>
    <row r="436" spans="1:17">
      <c r="A436" s="49">
        <f t="shared" si="4"/>
        <v>2028.07</v>
      </c>
      <c r="B436" s="1591" t="e">
        <v>#N/A</v>
      </c>
      <c r="C436" s="311" t="e">
        <v>#N/A</v>
      </c>
      <c r="D436" s="1350" t="e">
        <v>#N/A</v>
      </c>
      <c r="E436" s="1347" t="e">
        <v>#N/A</v>
      </c>
      <c r="F436" s="311" t="e">
        <v>#N/A</v>
      </c>
      <c r="G436" s="1347" t="e">
        <v>#N/A</v>
      </c>
      <c r="H436" s="311" t="e">
        <v>#N/A</v>
      </c>
      <c r="I436" s="1347" t="e">
        <v>#N/A</v>
      </c>
      <c r="J436" s="311" t="e">
        <v>#N/A</v>
      </c>
      <c r="K436" s="1347" t="e">
        <v>#N/A</v>
      </c>
      <c r="L436" s="311" t="e">
        <v>#N/A</v>
      </c>
      <c r="M436" s="1587" t="e">
        <v>#N/A</v>
      </c>
      <c r="N436" s="1350" t="e">
        <v>#N/A</v>
      </c>
      <c r="O436" s="1347" t="e">
        <v>#N/A</v>
      </c>
      <c r="P436" s="1347" t="e">
        <v>#N/A</v>
      </c>
      <c r="Q436" s="1136" t="e">
        <v>#N/A</v>
      </c>
    </row>
    <row r="437" spans="1:17">
      <c r="A437" s="49">
        <f t="shared" si="4"/>
        <v>2028.08</v>
      </c>
      <c r="B437" s="1591" t="e">
        <v>#N/A</v>
      </c>
      <c r="C437" s="311" t="e">
        <v>#N/A</v>
      </c>
      <c r="D437" s="1350" t="e">
        <v>#N/A</v>
      </c>
      <c r="E437" s="1347" t="e">
        <v>#N/A</v>
      </c>
      <c r="F437" s="311" t="e">
        <v>#N/A</v>
      </c>
      <c r="G437" s="1347" t="e">
        <v>#N/A</v>
      </c>
      <c r="H437" s="311" t="e">
        <v>#N/A</v>
      </c>
      <c r="I437" s="1347" t="e">
        <v>#N/A</v>
      </c>
      <c r="J437" s="311" t="e">
        <v>#N/A</v>
      </c>
      <c r="K437" s="1347" t="e">
        <v>#N/A</v>
      </c>
      <c r="L437" s="311" t="e">
        <v>#N/A</v>
      </c>
      <c r="M437" s="1587" t="e">
        <v>#N/A</v>
      </c>
      <c r="N437" s="1350" t="e">
        <v>#N/A</v>
      </c>
      <c r="O437" s="1347" t="e">
        <v>#N/A</v>
      </c>
      <c r="P437" s="1347" t="e">
        <v>#N/A</v>
      </c>
      <c r="Q437" s="1136" t="e">
        <v>#N/A</v>
      </c>
    </row>
    <row r="438" spans="1:17">
      <c r="A438" s="49">
        <f t="shared" si="4"/>
        <v>2028.09</v>
      </c>
      <c r="B438" s="1591" t="e">
        <v>#N/A</v>
      </c>
      <c r="C438" s="311" t="e">
        <v>#N/A</v>
      </c>
      <c r="D438" s="1350" t="e">
        <v>#N/A</v>
      </c>
      <c r="E438" s="1347" t="e">
        <v>#N/A</v>
      </c>
      <c r="F438" s="311" t="e">
        <v>#N/A</v>
      </c>
      <c r="G438" s="1347" t="e">
        <v>#N/A</v>
      </c>
      <c r="H438" s="311" t="e">
        <v>#N/A</v>
      </c>
      <c r="I438" s="1347" t="e">
        <v>#N/A</v>
      </c>
      <c r="J438" s="311" t="e">
        <v>#N/A</v>
      </c>
      <c r="K438" s="1347" t="e">
        <v>#N/A</v>
      </c>
      <c r="L438" s="311" t="e">
        <v>#N/A</v>
      </c>
      <c r="M438" s="1587" t="e">
        <v>#N/A</v>
      </c>
      <c r="N438" s="1350" t="e">
        <v>#N/A</v>
      </c>
      <c r="O438" s="1347" t="e">
        <v>#N/A</v>
      </c>
      <c r="P438" s="1347" t="e">
        <v>#N/A</v>
      </c>
      <c r="Q438" s="1136" t="e">
        <v>#N/A</v>
      </c>
    </row>
    <row r="439" spans="1:17">
      <c r="A439" s="49">
        <f t="shared" si="4"/>
        <v>2028.1</v>
      </c>
      <c r="B439" s="1591" t="e">
        <v>#N/A</v>
      </c>
      <c r="C439" s="311" t="e">
        <v>#N/A</v>
      </c>
      <c r="D439" s="1350" t="e">
        <v>#N/A</v>
      </c>
      <c r="E439" s="1347" t="e">
        <v>#N/A</v>
      </c>
      <c r="F439" s="311" t="e">
        <v>#N/A</v>
      </c>
      <c r="G439" s="1347" t="e">
        <v>#N/A</v>
      </c>
      <c r="H439" s="311" t="e">
        <v>#N/A</v>
      </c>
      <c r="I439" s="1347" t="e">
        <v>#N/A</v>
      </c>
      <c r="J439" s="311" t="e">
        <v>#N/A</v>
      </c>
      <c r="K439" s="1347" t="e">
        <v>#N/A</v>
      </c>
      <c r="L439" s="311" t="e">
        <v>#N/A</v>
      </c>
      <c r="M439" s="1587" t="e">
        <v>#N/A</v>
      </c>
      <c r="N439" s="1350" t="e">
        <v>#N/A</v>
      </c>
      <c r="O439" s="1347" t="e">
        <v>#N/A</v>
      </c>
      <c r="P439" s="1347" t="e">
        <v>#N/A</v>
      </c>
      <c r="Q439" s="1136" t="e">
        <v>#N/A</v>
      </c>
    </row>
    <row r="440" spans="1:17">
      <c r="A440" s="49">
        <f t="shared" si="4"/>
        <v>2028.11</v>
      </c>
      <c r="B440" s="1591" t="e">
        <v>#N/A</v>
      </c>
      <c r="C440" s="311" t="e">
        <v>#N/A</v>
      </c>
      <c r="D440" s="1350" t="e">
        <v>#N/A</v>
      </c>
      <c r="E440" s="1347" t="e">
        <v>#N/A</v>
      </c>
      <c r="F440" s="311" t="e">
        <v>#N/A</v>
      </c>
      <c r="G440" s="1347" t="e">
        <v>#N/A</v>
      </c>
      <c r="H440" s="311" t="e">
        <v>#N/A</v>
      </c>
      <c r="I440" s="1347" t="e">
        <v>#N/A</v>
      </c>
      <c r="J440" s="311" t="e">
        <v>#N/A</v>
      </c>
      <c r="K440" s="1347" t="e">
        <v>#N/A</v>
      </c>
      <c r="L440" s="311" t="e">
        <v>#N/A</v>
      </c>
      <c r="M440" s="1587" t="e">
        <v>#N/A</v>
      </c>
      <c r="N440" s="1350" t="e">
        <v>#N/A</v>
      </c>
      <c r="O440" s="1347" t="e">
        <v>#N/A</v>
      </c>
      <c r="P440" s="1347" t="e">
        <v>#N/A</v>
      </c>
      <c r="Q440" s="1136" t="e">
        <v>#N/A</v>
      </c>
    </row>
    <row r="441" spans="1:17">
      <c r="A441" s="49">
        <f t="shared" si="4"/>
        <v>2028.12</v>
      </c>
      <c r="B441" s="1591" t="e">
        <v>#N/A</v>
      </c>
      <c r="C441" s="311" t="e">
        <v>#N/A</v>
      </c>
      <c r="D441" s="1350" t="e">
        <v>#N/A</v>
      </c>
      <c r="E441" s="1347" t="e">
        <v>#N/A</v>
      </c>
      <c r="F441" s="311" t="e">
        <v>#N/A</v>
      </c>
      <c r="G441" s="1347" t="e">
        <v>#N/A</v>
      </c>
      <c r="H441" s="311" t="e">
        <v>#N/A</v>
      </c>
      <c r="I441" s="1347" t="e">
        <v>#N/A</v>
      </c>
      <c r="J441" s="311" t="e">
        <v>#N/A</v>
      </c>
      <c r="K441" s="1347" t="e">
        <v>#N/A</v>
      </c>
      <c r="L441" s="311" t="e">
        <v>#N/A</v>
      </c>
      <c r="M441" s="1587" t="e">
        <v>#N/A</v>
      </c>
      <c r="N441" s="1350" t="e">
        <v>#N/A</v>
      </c>
      <c r="O441" s="1347" t="e">
        <v>#N/A</v>
      </c>
      <c r="P441" s="1347" t="e">
        <v>#N/A</v>
      </c>
      <c r="Q441" s="1136" t="e">
        <v>#N/A</v>
      </c>
    </row>
    <row r="442" spans="1:17">
      <c r="A442" s="49">
        <f t="shared" si="4"/>
        <v>2029.01</v>
      </c>
      <c r="B442" s="1591" t="e">
        <v>#N/A</v>
      </c>
      <c r="C442" s="311" t="e">
        <v>#N/A</v>
      </c>
      <c r="D442" s="1350" t="e">
        <v>#N/A</v>
      </c>
      <c r="E442" s="1347" t="e">
        <v>#N/A</v>
      </c>
      <c r="F442" s="311" t="e">
        <v>#N/A</v>
      </c>
      <c r="G442" s="1347" t="e">
        <v>#N/A</v>
      </c>
      <c r="H442" s="311" t="e">
        <v>#N/A</v>
      </c>
      <c r="I442" s="1347" t="e">
        <v>#N/A</v>
      </c>
      <c r="J442" s="311" t="e">
        <v>#N/A</v>
      </c>
      <c r="K442" s="1347" t="e">
        <v>#N/A</v>
      </c>
      <c r="L442" s="311" t="e">
        <v>#N/A</v>
      </c>
      <c r="M442" s="1587" t="e">
        <v>#N/A</v>
      </c>
      <c r="N442" s="1350" t="e">
        <v>#N/A</v>
      </c>
      <c r="O442" s="1347" t="e">
        <v>#N/A</v>
      </c>
      <c r="P442" s="1347" t="e">
        <v>#N/A</v>
      </c>
      <c r="Q442" s="1136" t="e">
        <v>#N/A</v>
      </c>
    </row>
    <row r="443" spans="1:17">
      <c r="A443" s="49">
        <f t="shared" si="4"/>
        <v>2029.02</v>
      </c>
      <c r="B443" s="1591" t="e">
        <v>#N/A</v>
      </c>
      <c r="C443" s="311" t="e">
        <v>#N/A</v>
      </c>
      <c r="D443" s="1350" t="e">
        <v>#N/A</v>
      </c>
      <c r="E443" s="1347" t="e">
        <v>#N/A</v>
      </c>
      <c r="F443" s="311" t="e">
        <v>#N/A</v>
      </c>
      <c r="G443" s="1347" t="e">
        <v>#N/A</v>
      </c>
      <c r="H443" s="311" t="e">
        <v>#N/A</v>
      </c>
      <c r="I443" s="1347" t="e">
        <v>#N/A</v>
      </c>
      <c r="J443" s="311" t="e">
        <v>#N/A</v>
      </c>
      <c r="K443" s="1347" t="e">
        <v>#N/A</v>
      </c>
      <c r="L443" s="311" t="e">
        <v>#N/A</v>
      </c>
      <c r="M443" s="1587" t="e">
        <v>#N/A</v>
      </c>
      <c r="N443" s="1350" t="e">
        <v>#N/A</v>
      </c>
      <c r="O443" s="1347" t="e">
        <v>#N/A</v>
      </c>
      <c r="P443" s="1347" t="e">
        <v>#N/A</v>
      </c>
      <c r="Q443" s="1136" t="e">
        <v>#N/A</v>
      </c>
    </row>
    <row r="444" spans="1:17">
      <c r="A444" s="49">
        <f t="shared" si="4"/>
        <v>2029.03</v>
      </c>
      <c r="B444" s="1591" t="e">
        <v>#N/A</v>
      </c>
      <c r="C444" s="311" t="e">
        <v>#N/A</v>
      </c>
      <c r="D444" s="1350" t="e">
        <v>#N/A</v>
      </c>
      <c r="E444" s="1347" t="e">
        <v>#N/A</v>
      </c>
      <c r="F444" s="311" t="e">
        <v>#N/A</v>
      </c>
      <c r="G444" s="1347" t="e">
        <v>#N/A</v>
      </c>
      <c r="H444" s="311" t="e">
        <v>#N/A</v>
      </c>
      <c r="I444" s="1347" t="e">
        <v>#N/A</v>
      </c>
      <c r="J444" s="311" t="e">
        <v>#N/A</v>
      </c>
      <c r="K444" s="1347" t="e">
        <v>#N/A</v>
      </c>
      <c r="L444" s="311" t="e">
        <v>#N/A</v>
      </c>
      <c r="M444" s="1587" t="e">
        <v>#N/A</v>
      </c>
      <c r="N444" s="1350" t="e">
        <v>#N/A</v>
      </c>
      <c r="O444" s="1347" t="e">
        <v>#N/A</v>
      </c>
      <c r="P444" s="1347" t="e">
        <v>#N/A</v>
      </c>
      <c r="Q444" s="1136" t="e">
        <v>#N/A</v>
      </c>
    </row>
    <row r="445" spans="1:17">
      <c r="A445" s="49">
        <f t="shared" si="4"/>
        <v>2029.04</v>
      </c>
      <c r="B445" s="1591" t="e">
        <v>#N/A</v>
      </c>
      <c r="C445" s="311" t="e">
        <v>#N/A</v>
      </c>
      <c r="D445" s="1350" t="e">
        <v>#N/A</v>
      </c>
      <c r="E445" s="1347" t="e">
        <v>#N/A</v>
      </c>
      <c r="F445" s="311" t="e">
        <v>#N/A</v>
      </c>
      <c r="G445" s="1347" t="e">
        <v>#N/A</v>
      </c>
      <c r="H445" s="311" t="e">
        <v>#N/A</v>
      </c>
      <c r="I445" s="1347" t="e">
        <v>#N/A</v>
      </c>
      <c r="J445" s="311" t="e">
        <v>#N/A</v>
      </c>
      <c r="K445" s="1347" t="e">
        <v>#N/A</v>
      </c>
      <c r="L445" s="311" t="e">
        <v>#N/A</v>
      </c>
      <c r="M445" s="1587" t="e">
        <v>#N/A</v>
      </c>
      <c r="N445" s="1350" t="e">
        <v>#N/A</v>
      </c>
      <c r="O445" s="1347" t="e">
        <v>#N/A</v>
      </c>
      <c r="P445" s="1347" t="e">
        <v>#N/A</v>
      </c>
      <c r="Q445" s="1136" t="e">
        <v>#N/A</v>
      </c>
    </row>
    <row r="446" spans="1:17">
      <c r="A446" s="49">
        <f t="shared" si="4"/>
        <v>2029.05</v>
      </c>
      <c r="B446" s="1591" t="e">
        <v>#N/A</v>
      </c>
      <c r="C446" s="311" t="e">
        <v>#N/A</v>
      </c>
      <c r="D446" s="1350" t="e">
        <v>#N/A</v>
      </c>
      <c r="E446" s="1347" t="e">
        <v>#N/A</v>
      </c>
      <c r="F446" s="311" t="e">
        <v>#N/A</v>
      </c>
      <c r="G446" s="1347" t="e">
        <v>#N/A</v>
      </c>
      <c r="H446" s="311" t="e">
        <v>#N/A</v>
      </c>
      <c r="I446" s="1347" t="e">
        <v>#N/A</v>
      </c>
      <c r="J446" s="311" t="e">
        <v>#N/A</v>
      </c>
      <c r="K446" s="1347" t="e">
        <v>#N/A</v>
      </c>
      <c r="L446" s="311" t="e">
        <v>#N/A</v>
      </c>
      <c r="M446" s="1587" t="e">
        <v>#N/A</v>
      </c>
      <c r="N446" s="1350" t="e">
        <v>#N/A</v>
      </c>
      <c r="O446" s="1347" t="e">
        <v>#N/A</v>
      </c>
      <c r="P446" s="1347" t="e">
        <v>#N/A</v>
      </c>
      <c r="Q446" s="1136" t="e">
        <v>#N/A</v>
      </c>
    </row>
    <row r="447" spans="1:17">
      <c r="A447" s="49">
        <f t="shared" si="4"/>
        <v>2029.06</v>
      </c>
      <c r="B447" s="1591" t="e">
        <v>#N/A</v>
      </c>
      <c r="C447" s="311" t="e">
        <v>#N/A</v>
      </c>
      <c r="D447" s="1350" t="e">
        <v>#N/A</v>
      </c>
      <c r="E447" s="1347" t="e">
        <v>#N/A</v>
      </c>
      <c r="F447" s="311" t="e">
        <v>#N/A</v>
      </c>
      <c r="G447" s="1347" t="e">
        <v>#N/A</v>
      </c>
      <c r="H447" s="311" t="e">
        <v>#N/A</v>
      </c>
      <c r="I447" s="1347" t="e">
        <v>#N/A</v>
      </c>
      <c r="J447" s="311" t="e">
        <v>#N/A</v>
      </c>
      <c r="K447" s="1347" t="e">
        <v>#N/A</v>
      </c>
      <c r="L447" s="311" t="e">
        <v>#N/A</v>
      </c>
      <c r="M447" s="1587" t="e">
        <v>#N/A</v>
      </c>
      <c r="N447" s="1350" t="e">
        <v>#N/A</v>
      </c>
      <c r="O447" s="1347" t="e">
        <v>#N/A</v>
      </c>
      <c r="P447" s="1347" t="e">
        <v>#N/A</v>
      </c>
      <c r="Q447" s="1136" t="e">
        <v>#N/A</v>
      </c>
    </row>
    <row r="448" spans="1:17">
      <c r="A448" s="49">
        <f t="shared" ref="A448:A465" si="5">A436+1</f>
        <v>2029.07</v>
      </c>
      <c r="B448" s="1591" t="e">
        <v>#N/A</v>
      </c>
      <c r="C448" s="311" t="e">
        <v>#N/A</v>
      </c>
      <c r="D448" s="1350" t="e">
        <v>#N/A</v>
      </c>
      <c r="E448" s="1347" t="e">
        <v>#N/A</v>
      </c>
      <c r="F448" s="311" t="e">
        <v>#N/A</v>
      </c>
      <c r="G448" s="1347" t="e">
        <v>#N/A</v>
      </c>
      <c r="H448" s="311" t="e">
        <v>#N/A</v>
      </c>
      <c r="I448" s="1347" t="e">
        <v>#N/A</v>
      </c>
      <c r="J448" s="311" t="e">
        <v>#N/A</v>
      </c>
      <c r="K448" s="1347" t="e">
        <v>#N/A</v>
      </c>
      <c r="L448" s="311" t="e">
        <v>#N/A</v>
      </c>
      <c r="M448" s="1587" t="e">
        <v>#N/A</v>
      </c>
      <c r="N448" s="1350" t="e">
        <v>#N/A</v>
      </c>
      <c r="O448" s="1347" t="e">
        <v>#N/A</v>
      </c>
      <c r="P448" s="1347" t="e">
        <v>#N/A</v>
      </c>
      <c r="Q448" s="1136" t="e">
        <v>#N/A</v>
      </c>
    </row>
    <row r="449" spans="1:17">
      <c r="A449" s="49">
        <f t="shared" si="5"/>
        <v>2029.08</v>
      </c>
      <c r="B449" s="1591" t="e">
        <v>#N/A</v>
      </c>
      <c r="C449" s="311" t="e">
        <v>#N/A</v>
      </c>
      <c r="D449" s="1350" t="e">
        <v>#N/A</v>
      </c>
      <c r="E449" s="1347" t="e">
        <v>#N/A</v>
      </c>
      <c r="F449" s="311" t="e">
        <v>#N/A</v>
      </c>
      <c r="G449" s="1347" t="e">
        <v>#N/A</v>
      </c>
      <c r="H449" s="311" t="e">
        <v>#N/A</v>
      </c>
      <c r="I449" s="1347" t="e">
        <v>#N/A</v>
      </c>
      <c r="J449" s="311" t="e">
        <v>#N/A</v>
      </c>
      <c r="K449" s="1347" t="e">
        <v>#N/A</v>
      </c>
      <c r="L449" s="311" t="e">
        <v>#N/A</v>
      </c>
      <c r="M449" s="1587" t="e">
        <v>#N/A</v>
      </c>
      <c r="N449" s="1350" t="e">
        <v>#N/A</v>
      </c>
      <c r="O449" s="1347" t="e">
        <v>#N/A</v>
      </c>
      <c r="P449" s="1347" t="e">
        <v>#N/A</v>
      </c>
      <c r="Q449" s="1136" t="e">
        <v>#N/A</v>
      </c>
    </row>
    <row r="450" spans="1:17">
      <c r="A450" s="49">
        <f t="shared" si="5"/>
        <v>2029.09</v>
      </c>
      <c r="B450" s="1591" t="e">
        <v>#N/A</v>
      </c>
      <c r="C450" s="311" t="e">
        <v>#N/A</v>
      </c>
      <c r="D450" s="1350" t="e">
        <v>#N/A</v>
      </c>
      <c r="E450" s="1347" t="e">
        <v>#N/A</v>
      </c>
      <c r="F450" s="311" t="e">
        <v>#N/A</v>
      </c>
      <c r="G450" s="1347" t="e">
        <v>#N/A</v>
      </c>
      <c r="H450" s="311" t="e">
        <v>#N/A</v>
      </c>
      <c r="I450" s="1347" t="e">
        <v>#N/A</v>
      </c>
      <c r="J450" s="311" t="e">
        <v>#N/A</v>
      </c>
      <c r="K450" s="1347" t="e">
        <v>#N/A</v>
      </c>
      <c r="L450" s="311" t="e">
        <v>#N/A</v>
      </c>
      <c r="M450" s="1587" t="e">
        <v>#N/A</v>
      </c>
      <c r="N450" s="1350" t="e">
        <v>#N/A</v>
      </c>
      <c r="O450" s="1347" t="e">
        <v>#N/A</v>
      </c>
      <c r="P450" s="1347" t="e">
        <v>#N/A</v>
      </c>
      <c r="Q450" s="1136" t="e">
        <v>#N/A</v>
      </c>
    </row>
    <row r="451" spans="1:17">
      <c r="A451" s="49">
        <f t="shared" si="5"/>
        <v>2029.1</v>
      </c>
      <c r="B451" s="1591" t="e">
        <v>#N/A</v>
      </c>
      <c r="C451" s="311" t="e">
        <v>#N/A</v>
      </c>
      <c r="D451" s="1350" t="e">
        <v>#N/A</v>
      </c>
      <c r="E451" s="1347" t="e">
        <v>#N/A</v>
      </c>
      <c r="F451" s="311" t="e">
        <v>#N/A</v>
      </c>
      <c r="G451" s="1347" t="e">
        <v>#N/A</v>
      </c>
      <c r="H451" s="311" t="e">
        <v>#N/A</v>
      </c>
      <c r="I451" s="1347" t="e">
        <v>#N/A</v>
      </c>
      <c r="J451" s="311" t="e">
        <v>#N/A</v>
      </c>
      <c r="K451" s="1347" t="e">
        <v>#N/A</v>
      </c>
      <c r="L451" s="311" t="e">
        <v>#N/A</v>
      </c>
      <c r="M451" s="1587" t="e">
        <v>#N/A</v>
      </c>
      <c r="N451" s="1350" t="e">
        <v>#N/A</v>
      </c>
      <c r="O451" s="1347" t="e">
        <v>#N/A</v>
      </c>
      <c r="P451" s="1347" t="e">
        <v>#N/A</v>
      </c>
      <c r="Q451" s="1136" t="e">
        <v>#N/A</v>
      </c>
    </row>
    <row r="452" spans="1:17">
      <c r="A452" s="49">
        <f t="shared" si="5"/>
        <v>2029.11</v>
      </c>
      <c r="B452" s="1591" t="e">
        <v>#N/A</v>
      </c>
      <c r="C452" s="311" t="e">
        <v>#N/A</v>
      </c>
      <c r="D452" s="1350" t="e">
        <v>#N/A</v>
      </c>
      <c r="E452" s="1347" t="e">
        <v>#N/A</v>
      </c>
      <c r="F452" s="311" t="e">
        <v>#N/A</v>
      </c>
      <c r="G452" s="1347" t="e">
        <v>#N/A</v>
      </c>
      <c r="H452" s="311" t="e">
        <v>#N/A</v>
      </c>
      <c r="I452" s="1347" t="e">
        <v>#N/A</v>
      </c>
      <c r="J452" s="311" t="e">
        <v>#N/A</v>
      </c>
      <c r="K452" s="1347" t="e">
        <v>#N/A</v>
      </c>
      <c r="L452" s="311" t="e">
        <v>#N/A</v>
      </c>
      <c r="M452" s="1587" t="e">
        <v>#N/A</v>
      </c>
      <c r="N452" s="1350" t="e">
        <v>#N/A</v>
      </c>
      <c r="O452" s="1347" t="e">
        <v>#N/A</v>
      </c>
      <c r="P452" s="1347" t="e">
        <v>#N/A</v>
      </c>
      <c r="Q452" s="1136" t="e">
        <v>#N/A</v>
      </c>
    </row>
    <row r="453" spans="1:17">
      <c r="A453" s="49">
        <f t="shared" si="5"/>
        <v>2029.12</v>
      </c>
      <c r="B453" s="1591" t="e">
        <v>#N/A</v>
      </c>
      <c r="C453" s="311" t="e">
        <v>#N/A</v>
      </c>
      <c r="D453" s="1350" t="e">
        <v>#N/A</v>
      </c>
      <c r="E453" s="1347" t="e">
        <v>#N/A</v>
      </c>
      <c r="F453" s="311" t="e">
        <v>#N/A</v>
      </c>
      <c r="G453" s="1347" t="e">
        <v>#N/A</v>
      </c>
      <c r="H453" s="311" t="e">
        <v>#N/A</v>
      </c>
      <c r="I453" s="1347" t="e">
        <v>#N/A</v>
      </c>
      <c r="J453" s="311" t="e">
        <v>#N/A</v>
      </c>
      <c r="K453" s="1347" t="e">
        <v>#N/A</v>
      </c>
      <c r="L453" s="311" t="e">
        <v>#N/A</v>
      </c>
      <c r="M453" s="1587" t="e">
        <v>#N/A</v>
      </c>
      <c r="N453" s="1350" t="e">
        <v>#N/A</v>
      </c>
      <c r="O453" s="1347" t="e">
        <v>#N/A</v>
      </c>
      <c r="P453" s="1347" t="e">
        <v>#N/A</v>
      </c>
      <c r="Q453" s="1136" t="e">
        <v>#N/A</v>
      </c>
    </row>
    <row r="454" spans="1:17">
      <c r="A454" s="49">
        <f t="shared" si="5"/>
        <v>2030.01</v>
      </c>
      <c r="B454" s="1591" t="e">
        <v>#N/A</v>
      </c>
      <c r="C454" s="311" t="e">
        <v>#N/A</v>
      </c>
      <c r="D454" s="1350" t="e">
        <v>#N/A</v>
      </c>
      <c r="E454" s="1347" t="e">
        <v>#N/A</v>
      </c>
      <c r="F454" s="311" t="e">
        <v>#N/A</v>
      </c>
      <c r="G454" s="1347" t="e">
        <v>#N/A</v>
      </c>
      <c r="H454" s="311" t="e">
        <v>#N/A</v>
      </c>
      <c r="I454" s="1347" t="e">
        <v>#N/A</v>
      </c>
      <c r="J454" s="311" t="e">
        <v>#N/A</v>
      </c>
      <c r="K454" s="1347" t="e">
        <v>#N/A</v>
      </c>
      <c r="L454" s="311" t="e">
        <v>#N/A</v>
      </c>
      <c r="M454" s="1587" t="e">
        <v>#N/A</v>
      </c>
      <c r="N454" s="1350" t="e">
        <v>#N/A</v>
      </c>
      <c r="O454" s="1347" t="e">
        <v>#N/A</v>
      </c>
      <c r="P454" s="1347" t="e">
        <v>#N/A</v>
      </c>
      <c r="Q454" s="1136" t="e">
        <v>#N/A</v>
      </c>
    </row>
    <row r="455" spans="1:17">
      <c r="A455" s="49">
        <f t="shared" si="5"/>
        <v>2030.02</v>
      </c>
      <c r="B455" s="1591" t="e">
        <v>#N/A</v>
      </c>
      <c r="C455" s="311" t="e">
        <v>#N/A</v>
      </c>
      <c r="D455" s="1350" t="e">
        <v>#N/A</v>
      </c>
      <c r="E455" s="1347" t="e">
        <v>#N/A</v>
      </c>
      <c r="F455" s="311" t="e">
        <v>#N/A</v>
      </c>
      <c r="G455" s="1347" t="e">
        <v>#N/A</v>
      </c>
      <c r="H455" s="311" t="e">
        <v>#N/A</v>
      </c>
      <c r="I455" s="1347" t="e">
        <v>#N/A</v>
      </c>
      <c r="J455" s="311" t="e">
        <v>#N/A</v>
      </c>
      <c r="K455" s="1347" t="e">
        <v>#N/A</v>
      </c>
      <c r="L455" s="311" t="e">
        <v>#N/A</v>
      </c>
      <c r="M455" s="1587" t="e">
        <v>#N/A</v>
      </c>
      <c r="N455" s="1350" t="e">
        <v>#N/A</v>
      </c>
      <c r="O455" s="1347" t="e">
        <v>#N/A</v>
      </c>
      <c r="P455" s="1347" t="e">
        <v>#N/A</v>
      </c>
      <c r="Q455" s="1136" t="e">
        <v>#N/A</v>
      </c>
    </row>
    <row r="456" spans="1:17">
      <c r="A456" s="49">
        <f t="shared" si="5"/>
        <v>2030.03</v>
      </c>
      <c r="B456" s="1591" t="e">
        <v>#N/A</v>
      </c>
      <c r="C456" s="311" t="e">
        <v>#N/A</v>
      </c>
      <c r="D456" s="1350" t="e">
        <v>#N/A</v>
      </c>
      <c r="E456" s="1347" t="e">
        <v>#N/A</v>
      </c>
      <c r="F456" s="311" t="e">
        <v>#N/A</v>
      </c>
      <c r="G456" s="1347" t="e">
        <v>#N/A</v>
      </c>
      <c r="H456" s="311" t="e">
        <v>#N/A</v>
      </c>
      <c r="I456" s="1347" t="e">
        <v>#N/A</v>
      </c>
      <c r="J456" s="311" t="e">
        <v>#N/A</v>
      </c>
      <c r="K456" s="1347" t="e">
        <v>#N/A</v>
      </c>
      <c r="L456" s="311" t="e">
        <v>#N/A</v>
      </c>
      <c r="M456" s="1587" t="e">
        <v>#N/A</v>
      </c>
      <c r="N456" s="1350" t="e">
        <v>#N/A</v>
      </c>
      <c r="O456" s="1347" t="e">
        <v>#N/A</v>
      </c>
      <c r="P456" s="1347" t="e">
        <v>#N/A</v>
      </c>
      <c r="Q456" s="1136" t="e">
        <v>#N/A</v>
      </c>
    </row>
    <row r="457" spans="1:17">
      <c r="A457" s="49">
        <f t="shared" si="5"/>
        <v>2030.04</v>
      </c>
      <c r="B457" s="1591" t="e">
        <v>#N/A</v>
      </c>
      <c r="C457" s="311" t="e">
        <v>#N/A</v>
      </c>
      <c r="D457" s="1350" t="e">
        <v>#N/A</v>
      </c>
      <c r="E457" s="1347" t="e">
        <v>#N/A</v>
      </c>
      <c r="F457" s="311" t="e">
        <v>#N/A</v>
      </c>
      <c r="G457" s="1347" t="e">
        <v>#N/A</v>
      </c>
      <c r="H457" s="311" t="e">
        <v>#N/A</v>
      </c>
      <c r="I457" s="1347" t="e">
        <v>#N/A</v>
      </c>
      <c r="J457" s="311" t="e">
        <v>#N/A</v>
      </c>
      <c r="K457" s="1347" t="e">
        <v>#N/A</v>
      </c>
      <c r="L457" s="311" t="e">
        <v>#N/A</v>
      </c>
      <c r="M457" s="1587" t="e">
        <v>#N/A</v>
      </c>
      <c r="N457" s="1350" t="e">
        <v>#N/A</v>
      </c>
      <c r="O457" s="1347" t="e">
        <v>#N/A</v>
      </c>
      <c r="P457" s="1347" t="e">
        <v>#N/A</v>
      </c>
      <c r="Q457" s="1136" t="e">
        <v>#N/A</v>
      </c>
    </row>
    <row r="458" spans="1:17">
      <c r="A458" s="49">
        <f t="shared" si="5"/>
        <v>2030.05</v>
      </c>
      <c r="B458" s="1591" t="e">
        <v>#N/A</v>
      </c>
      <c r="C458" s="311" t="e">
        <v>#N/A</v>
      </c>
      <c r="D458" s="1350" t="e">
        <v>#N/A</v>
      </c>
      <c r="E458" s="1347" t="e">
        <v>#N/A</v>
      </c>
      <c r="F458" s="311" t="e">
        <v>#N/A</v>
      </c>
      <c r="G458" s="1347" t="e">
        <v>#N/A</v>
      </c>
      <c r="H458" s="311" t="e">
        <v>#N/A</v>
      </c>
      <c r="I458" s="1347" t="e">
        <v>#N/A</v>
      </c>
      <c r="J458" s="311" t="e">
        <v>#N/A</v>
      </c>
      <c r="K458" s="1347" t="e">
        <v>#N/A</v>
      </c>
      <c r="L458" s="311" t="e">
        <v>#N/A</v>
      </c>
      <c r="M458" s="1587" t="e">
        <v>#N/A</v>
      </c>
      <c r="N458" s="1350" t="e">
        <v>#N/A</v>
      </c>
      <c r="O458" s="1347" t="e">
        <v>#N/A</v>
      </c>
      <c r="P458" s="1347" t="e">
        <v>#N/A</v>
      </c>
      <c r="Q458" s="1136" t="e">
        <v>#N/A</v>
      </c>
    </row>
    <row r="459" spans="1:17">
      <c r="A459" s="49">
        <f t="shared" si="5"/>
        <v>2030.06</v>
      </c>
      <c r="B459" s="1591" t="e">
        <v>#N/A</v>
      </c>
      <c r="C459" s="311" t="e">
        <v>#N/A</v>
      </c>
      <c r="D459" s="1350" t="e">
        <v>#N/A</v>
      </c>
      <c r="E459" s="1347" t="e">
        <v>#N/A</v>
      </c>
      <c r="F459" s="311" t="e">
        <v>#N/A</v>
      </c>
      <c r="G459" s="1347" t="e">
        <v>#N/A</v>
      </c>
      <c r="H459" s="311" t="e">
        <v>#N/A</v>
      </c>
      <c r="I459" s="1347" t="e">
        <v>#N/A</v>
      </c>
      <c r="J459" s="311" t="e">
        <v>#N/A</v>
      </c>
      <c r="K459" s="1347" t="e">
        <v>#N/A</v>
      </c>
      <c r="L459" s="311" t="e">
        <v>#N/A</v>
      </c>
      <c r="M459" s="1587" t="e">
        <v>#N/A</v>
      </c>
      <c r="N459" s="1350" t="e">
        <v>#N/A</v>
      </c>
      <c r="O459" s="1347" t="e">
        <v>#N/A</v>
      </c>
      <c r="P459" s="1347" t="e">
        <v>#N/A</v>
      </c>
      <c r="Q459" s="1136" t="e">
        <v>#N/A</v>
      </c>
    </row>
    <row r="460" spans="1:17">
      <c r="A460" s="49">
        <f t="shared" si="5"/>
        <v>2030.07</v>
      </c>
      <c r="B460" s="1591" t="e">
        <v>#N/A</v>
      </c>
      <c r="C460" s="311" t="e">
        <v>#N/A</v>
      </c>
      <c r="D460" s="1350" t="e">
        <v>#N/A</v>
      </c>
      <c r="E460" s="1347" t="e">
        <v>#N/A</v>
      </c>
      <c r="F460" s="311" t="e">
        <v>#N/A</v>
      </c>
      <c r="G460" s="1347" t="e">
        <v>#N/A</v>
      </c>
      <c r="H460" s="311" t="e">
        <v>#N/A</v>
      </c>
      <c r="I460" s="1347" t="e">
        <v>#N/A</v>
      </c>
      <c r="J460" s="311" t="e">
        <v>#N/A</v>
      </c>
      <c r="K460" s="1347" t="e">
        <v>#N/A</v>
      </c>
      <c r="L460" s="311" t="e">
        <v>#N/A</v>
      </c>
      <c r="M460" s="1587" t="e">
        <v>#N/A</v>
      </c>
      <c r="N460" s="1350" t="e">
        <v>#N/A</v>
      </c>
      <c r="O460" s="1347" t="e">
        <v>#N/A</v>
      </c>
      <c r="P460" s="1347" t="e">
        <v>#N/A</v>
      </c>
      <c r="Q460" s="1136" t="e">
        <v>#N/A</v>
      </c>
    </row>
    <row r="461" spans="1:17">
      <c r="A461" s="49">
        <f t="shared" si="5"/>
        <v>2030.08</v>
      </c>
      <c r="B461" s="1591" t="e">
        <v>#N/A</v>
      </c>
      <c r="C461" s="311" t="e">
        <v>#N/A</v>
      </c>
      <c r="D461" s="1350" t="e">
        <v>#N/A</v>
      </c>
      <c r="E461" s="1347" t="e">
        <v>#N/A</v>
      </c>
      <c r="F461" s="311" t="e">
        <v>#N/A</v>
      </c>
      <c r="G461" s="1347" t="e">
        <v>#N/A</v>
      </c>
      <c r="H461" s="311" t="e">
        <v>#N/A</v>
      </c>
      <c r="I461" s="1347" t="e">
        <v>#N/A</v>
      </c>
      <c r="J461" s="311" t="e">
        <v>#N/A</v>
      </c>
      <c r="K461" s="1347" t="e">
        <v>#N/A</v>
      </c>
      <c r="L461" s="311" t="e">
        <v>#N/A</v>
      </c>
      <c r="M461" s="1587" t="e">
        <v>#N/A</v>
      </c>
      <c r="N461" s="1350" t="e">
        <v>#N/A</v>
      </c>
      <c r="O461" s="1347" t="e">
        <v>#N/A</v>
      </c>
      <c r="P461" s="1347" t="e">
        <v>#N/A</v>
      </c>
      <c r="Q461" s="1136" t="e">
        <v>#N/A</v>
      </c>
    </row>
    <row r="462" spans="1:17">
      <c r="A462" s="49">
        <f t="shared" si="5"/>
        <v>2030.09</v>
      </c>
      <c r="B462" s="1591" t="e">
        <v>#N/A</v>
      </c>
      <c r="C462" s="311" t="e">
        <v>#N/A</v>
      </c>
      <c r="D462" s="1350" t="e">
        <v>#N/A</v>
      </c>
      <c r="E462" s="1347" t="e">
        <v>#N/A</v>
      </c>
      <c r="F462" s="311" t="e">
        <v>#N/A</v>
      </c>
      <c r="G462" s="1347" t="e">
        <v>#N/A</v>
      </c>
      <c r="H462" s="311" t="e">
        <v>#N/A</v>
      </c>
      <c r="I462" s="1347" t="e">
        <v>#N/A</v>
      </c>
      <c r="J462" s="311" t="e">
        <v>#N/A</v>
      </c>
      <c r="K462" s="1347" t="e">
        <v>#N/A</v>
      </c>
      <c r="L462" s="311" t="e">
        <v>#N/A</v>
      </c>
      <c r="M462" s="1587" t="e">
        <v>#N/A</v>
      </c>
      <c r="N462" s="1350" t="e">
        <v>#N/A</v>
      </c>
      <c r="O462" s="1347" t="e">
        <v>#N/A</v>
      </c>
      <c r="P462" s="1347" t="e">
        <v>#N/A</v>
      </c>
      <c r="Q462" s="1136" t="e">
        <v>#N/A</v>
      </c>
    </row>
    <row r="463" spans="1:17">
      <c r="A463" s="49">
        <f t="shared" si="5"/>
        <v>2030.1</v>
      </c>
      <c r="B463" s="1591" t="e">
        <v>#N/A</v>
      </c>
      <c r="C463" s="311" t="e">
        <v>#N/A</v>
      </c>
      <c r="D463" s="1350" t="e">
        <v>#N/A</v>
      </c>
      <c r="E463" s="1347" t="e">
        <v>#N/A</v>
      </c>
      <c r="F463" s="311" t="e">
        <v>#N/A</v>
      </c>
      <c r="G463" s="1347" t="e">
        <v>#N/A</v>
      </c>
      <c r="H463" s="311" t="e">
        <v>#N/A</v>
      </c>
      <c r="I463" s="1347" t="e">
        <v>#N/A</v>
      </c>
      <c r="J463" s="311" t="e">
        <v>#N/A</v>
      </c>
      <c r="K463" s="1347" t="e">
        <v>#N/A</v>
      </c>
      <c r="L463" s="311" t="e">
        <v>#N/A</v>
      </c>
      <c r="M463" s="1587" t="e">
        <v>#N/A</v>
      </c>
      <c r="N463" s="1350" t="e">
        <v>#N/A</v>
      </c>
      <c r="O463" s="1347" t="e">
        <v>#N/A</v>
      </c>
      <c r="P463" s="1347" t="e">
        <v>#N/A</v>
      </c>
      <c r="Q463" s="1136" t="e">
        <v>#N/A</v>
      </c>
    </row>
    <row r="464" spans="1:17">
      <c r="A464" s="49">
        <f t="shared" si="5"/>
        <v>2030.11</v>
      </c>
      <c r="B464" s="1591" t="e">
        <v>#N/A</v>
      </c>
      <c r="C464" s="311" t="e">
        <v>#N/A</v>
      </c>
      <c r="D464" s="1350" t="e">
        <v>#N/A</v>
      </c>
      <c r="E464" s="1347" t="e">
        <v>#N/A</v>
      </c>
      <c r="F464" s="311" t="e">
        <v>#N/A</v>
      </c>
      <c r="G464" s="1347" t="e">
        <v>#N/A</v>
      </c>
      <c r="H464" s="311" t="e">
        <v>#N/A</v>
      </c>
      <c r="I464" s="1347" t="e">
        <v>#N/A</v>
      </c>
      <c r="J464" s="311" t="e">
        <v>#N/A</v>
      </c>
      <c r="K464" s="1347" t="e">
        <v>#N/A</v>
      </c>
      <c r="L464" s="311" t="e">
        <v>#N/A</v>
      </c>
      <c r="M464" s="1587" t="e">
        <v>#N/A</v>
      </c>
      <c r="N464" s="1350" t="e">
        <v>#N/A</v>
      </c>
      <c r="O464" s="1347" t="e">
        <v>#N/A</v>
      </c>
      <c r="P464" s="1347" t="e">
        <v>#N/A</v>
      </c>
      <c r="Q464" s="1136" t="e">
        <v>#N/A</v>
      </c>
    </row>
    <row r="465" spans="1:17">
      <c r="A465" s="49">
        <f t="shared" si="5"/>
        <v>2030.12</v>
      </c>
      <c r="B465" s="1591" t="e">
        <v>#N/A</v>
      </c>
      <c r="C465" s="311" t="e">
        <v>#N/A</v>
      </c>
      <c r="D465" s="1350" t="e">
        <v>#N/A</v>
      </c>
      <c r="E465" s="1347" t="e">
        <v>#N/A</v>
      </c>
      <c r="F465" s="311" t="e">
        <v>#N/A</v>
      </c>
      <c r="G465" s="1347" t="e">
        <v>#N/A</v>
      </c>
      <c r="H465" s="311" t="e">
        <v>#N/A</v>
      </c>
      <c r="I465" s="1347" t="e">
        <v>#N/A</v>
      </c>
      <c r="J465" s="311" t="e">
        <v>#N/A</v>
      </c>
      <c r="K465" s="1347" t="e">
        <v>#N/A</v>
      </c>
      <c r="L465" s="311" t="e">
        <v>#N/A</v>
      </c>
      <c r="M465" s="1587" t="e">
        <v>#N/A</v>
      </c>
      <c r="N465" s="1350" t="e">
        <v>#N/A</v>
      </c>
      <c r="O465" s="1347" t="e">
        <v>#N/A</v>
      </c>
      <c r="P465" s="1347" t="e">
        <v>#N/A</v>
      </c>
      <c r="Q465" s="1136" t="e">
        <v>#N/A</v>
      </c>
    </row>
  </sheetData>
  <phoneticPr fontId="0" type="noConversion"/>
  <hyperlinks>
    <hyperlink ref="A5" location="INDICE!A13" display="VOLVER AL INDICE" xr:uid="{00000000-0004-0000-1C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8">
    <pageSetUpPr autoPageBreaks="0" fitToPage="1"/>
  </sheetPr>
  <dimension ref="A1:N453"/>
  <sheetViews>
    <sheetView zoomScaleNormal="100" zoomScaleSheetLayoutView="100" workbookViewId="0">
      <pane xSplit="1" ySplit="9" topLeftCell="B355"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5703125" style="19" customWidth="1"/>
    <col min="2" max="14" width="13.42578125" style="19" customWidth="1"/>
    <col min="15" max="16384" width="11.42578125" style="1"/>
  </cols>
  <sheetData>
    <row r="1" spans="1:14" s="8" customFormat="1" ht="4.5" customHeight="1">
      <c r="A1" s="37"/>
      <c r="B1" s="702">
        <v>0.86308581949998553</v>
      </c>
      <c r="C1" s="376"/>
      <c r="D1" s="376"/>
      <c r="E1" s="376"/>
      <c r="F1" s="376"/>
      <c r="G1" s="376">
        <v>0.86864621487411864</v>
      </c>
      <c r="H1" s="376">
        <v>0.93042729873694474</v>
      </c>
      <c r="I1" s="376">
        <v>0.86880344046162417</v>
      </c>
      <c r="J1" s="376">
        <v>0.94234423835026948</v>
      </c>
      <c r="K1" s="376">
        <v>0.88163337276193698</v>
      </c>
      <c r="L1" s="376">
        <v>0.8551881413911061</v>
      </c>
      <c r="M1" s="376">
        <v>0.74891407459184178</v>
      </c>
      <c r="N1" s="377">
        <v>0.94073377234242694</v>
      </c>
    </row>
    <row r="2" spans="1:14" s="8" customFormat="1" ht="41.25" customHeight="1">
      <c r="A2" s="121" t="s">
        <v>212</v>
      </c>
      <c r="B2" s="94" t="s">
        <v>1238</v>
      </c>
      <c r="C2" s="115"/>
      <c r="D2" s="115"/>
      <c r="E2" s="115"/>
      <c r="F2" s="115"/>
      <c r="G2" s="115"/>
      <c r="H2" s="115"/>
      <c r="I2" s="115"/>
      <c r="J2" s="115"/>
      <c r="K2" s="115"/>
      <c r="L2" s="115"/>
      <c r="M2" s="115"/>
      <c r="N2" s="41"/>
    </row>
    <row r="3" spans="1:14" s="8" customFormat="1">
      <c r="A3" s="195" t="s">
        <v>330</v>
      </c>
      <c r="B3" s="94" t="s">
        <v>219</v>
      </c>
      <c r="C3" s="115"/>
      <c r="D3" s="115"/>
      <c r="E3" s="115"/>
      <c r="F3" s="115"/>
      <c r="G3" s="115"/>
      <c r="H3" s="115"/>
      <c r="I3" s="115"/>
      <c r="J3" s="115"/>
      <c r="K3" s="115"/>
      <c r="L3" s="115"/>
      <c r="M3" s="115"/>
      <c r="N3" s="41"/>
    </row>
    <row r="4" spans="1:14" s="8" customFormat="1" ht="3" customHeight="1">
      <c r="A4" s="37"/>
      <c r="B4" s="704"/>
      <c r="C4" s="370"/>
      <c r="D4" s="370"/>
      <c r="E4" s="370"/>
      <c r="F4" s="370"/>
      <c r="G4" s="370"/>
      <c r="H4" s="370"/>
      <c r="I4" s="370"/>
      <c r="J4" s="370"/>
      <c r="K4" s="370"/>
      <c r="L4" s="370"/>
      <c r="M4" s="370"/>
      <c r="N4" s="371"/>
    </row>
    <row r="5" spans="1:14" s="8" customFormat="1" ht="33.75">
      <c r="A5" s="45" t="s">
        <v>213</v>
      </c>
      <c r="B5" s="300" t="s">
        <v>241</v>
      </c>
      <c r="C5" s="1743" t="s">
        <v>369</v>
      </c>
      <c r="D5" s="1748" t="s">
        <v>370</v>
      </c>
      <c r="E5" s="1743" t="s">
        <v>381</v>
      </c>
      <c r="F5" s="1748" t="s">
        <v>371</v>
      </c>
      <c r="G5" s="1743" t="s">
        <v>372</v>
      </c>
      <c r="H5" s="1748" t="s">
        <v>1075</v>
      </c>
      <c r="I5" s="1743" t="s">
        <v>373</v>
      </c>
      <c r="J5" s="1748" t="s">
        <v>374</v>
      </c>
      <c r="K5" s="1743" t="s">
        <v>375</v>
      </c>
      <c r="L5" s="1748" t="s">
        <v>376</v>
      </c>
      <c r="M5" s="1743" t="s">
        <v>1074</v>
      </c>
      <c r="N5" s="1754" t="s">
        <v>377</v>
      </c>
    </row>
    <row r="6" spans="1:14" s="8" customFormat="1" ht="3" customHeight="1">
      <c r="A6" s="37"/>
      <c r="B6" s="705" t="s">
        <v>378</v>
      </c>
      <c r="C6" s="1729"/>
      <c r="D6" s="459"/>
      <c r="E6" s="1729"/>
      <c r="F6" s="459"/>
      <c r="G6" s="1729"/>
      <c r="H6" s="459"/>
      <c r="I6" s="1729"/>
      <c r="J6" s="459" t="s">
        <v>379</v>
      </c>
      <c r="K6" s="1729" t="s">
        <v>380</v>
      </c>
      <c r="L6" s="459"/>
      <c r="M6" s="1729"/>
      <c r="N6" s="460"/>
    </row>
    <row r="7" spans="1:14" s="8" customFormat="1" ht="22.5">
      <c r="A7" s="47" t="s">
        <v>210</v>
      </c>
      <c r="B7" s="104" t="s">
        <v>62</v>
      </c>
      <c r="C7" s="1339" t="s">
        <v>62</v>
      </c>
      <c r="D7" s="106" t="s">
        <v>62</v>
      </c>
      <c r="E7" s="1339" t="s">
        <v>62</v>
      </c>
      <c r="F7" s="106" t="s">
        <v>62</v>
      </c>
      <c r="G7" s="1339" t="s">
        <v>62</v>
      </c>
      <c r="H7" s="106" t="s">
        <v>62</v>
      </c>
      <c r="I7" s="1339" t="s">
        <v>62</v>
      </c>
      <c r="J7" s="106" t="s">
        <v>62</v>
      </c>
      <c r="K7" s="1339" t="s">
        <v>62</v>
      </c>
      <c r="L7" s="106" t="s">
        <v>62</v>
      </c>
      <c r="M7" s="1339" t="s">
        <v>62</v>
      </c>
      <c r="N7" s="866" t="s">
        <v>62</v>
      </c>
    </row>
    <row r="8" spans="1:14" s="8" customFormat="1" ht="14.25" customHeight="1">
      <c r="A8" s="390" t="s">
        <v>412</v>
      </c>
      <c r="B8" s="398" t="s">
        <v>570</v>
      </c>
      <c r="C8" s="1290" t="s">
        <v>571</v>
      </c>
      <c r="D8" s="397" t="s">
        <v>572</v>
      </c>
      <c r="E8" s="1290" t="s">
        <v>573</v>
      </c>
      <c r="F8" s="397" t="s">
        <v>574</v>
      </c>
      <c r="G8" s="1290" t="s">
        <v>575</v>
      </c>
      <c r="H8" s="397" t="s">
        <v>576</v>
      </c>
      <c r="I8" s="1290" t="s">
        <v>577</v>
      </c>
      <c r="J8" s="397" t="s">
        <v>578</v>
      </c>
      <c r="K8" s="1290" t="s">
        <v>579</v>
      </c>
      <c r="L8" s="397" t="s">
        <v>580</v>
      </c>
      <c r="M8" s="1290" t="s">
        <v>581</v>
      </c>
      <c r="N8" s="391" t="s">
        <v>582</v>
      </c>
    </row>
    <row r="9" spans="1:14" s="9" customFormat="1" ht="13.5" thickBot="1">
      <c r="A9" s="152"/>
      <c r="B9" s="117"/>
      <c r="C9" s="1571"/>
      <c r="D9" s="308"/>
      <c r="E9" s="1571"/>
      <c r="F9" s="308"/>
      <c r="G9" s="1571"/>
      <c r="H9" s="308"/>
      <c r="I9" s="1571"/>
      <c r="J9" s="308"/>
      <c r="K9" s="1571"/>
      <c r="L9" s="308"/>
      <c r="M9" s="1571"/>
      <c r="N9" s="309"/>
    </row>
    <row r="10" spans="1:14" s="9" customFormat="1" hidden="1">
      <c r="A10" s="49">
        <v>1994.01</v>
      </c>
      <c r="B10" s="1739"/>
      <c r="C10" s="1744"/>
      <c r="D10" s="1749"/>
      <c r="E10" s="1744"/>
      <c r="F10" s="1749"/>
      <c r="G10" s="1744"/>
      <c r="H10" s="1749"/>
      <c r="I10" s="1744"/>
      <c r="J10" s="1749"/>
      <c r="K10" s="1744"/>
      <c r="L10" s="1749"/>
      <c r="M10" s="1744"/>
      <c r="N10" s="1755"/>
    </row>
    <row r="11" spans="1:14" hidden="1">
      <c r="A11" s="49">
        <v>1994.02</v>
      </c>
      <c r="B11" s="1740"/>
      <c r="C11" s="1745"/>
      <c r="D11" s="1750"/>
      <c r="E11" s="1745"/>
      <c r="F11" s="1750"/>
      <c r="G11" s="1745"/>
      <c r="H11" s="1750"/>
      <c r="I11" s="1745"/>
      <c r="J11" s="1750"/>
      <c r="K11" s="1745"/>
      <c r="L11" s="1750"/>
      <c r="M11" s="1745"/>
      <c r="N11" s="427"/>
    </row>
    <row r="12" spans="1:14" hidden="1">
      <c r="A12" s="49">
        <v>1994.03</v>
      </c>
      <c r="B12" s="1740"/>
      <c r="C12" s="1745"/>
      <c r="D12" s="1750"/>
      <c r="E12" s="1745"/>
      <c r="F12" s="1750"/>
      <c r="G12" s="1745"/>
      <c r="H12" s="1750"/>
      <c r="I12" s="1745"/>
      <c r="J12" s="1750"/>
      <c r="K12" s="1745"/>
      <c r="L12" s="1750"/>
      <c r="M12" s="1745"/>
      <c r="N12" s="427"/>
    </row>
    <row r="13" spans="1:14" hidden="1">
      <c r="A13" s="49">
        <v>1994.04</v>
      </c>
      <c r="B13" s="1740"/>
      <c r="C13" s="1745"/>
      <c r="D13" s="1750"/>
      <c r="E13" s="1745"/>
      <c r="F13" s="1750"/>
      <c r="G13" s="1745"/>
      <c r="H13" s="1750"/>
      <c r="I13" s="1745"/>
      <c r="J13" s="1750"/>
      <c r="K13" s="1745"/>
      <c r="L13" s="1750"/>
      <c r="M13" s="1745"/>
      <c r="N13" s="427"/>
    </row>
    <row r="14" spans="1:14" hidden="1">
      <c r="A14" s="49">
        <v>1994.05</v>
      </c>
      <c r="B14" s="1740"/>
      <c r="C14" s="1745"/>
      <c r="D14" s="1750"/>
      <c r="E14" s="1745"/>
      <c r="F14" s="1750"/>
      <c r="G14" s="1745"/>
      <c r="H14" s="1750"/>
      <c r="I14" s="1745"/>
      <c r="J14" s="1750"/>
      <c r="K14" s="1745"/>
      <c r="L14" s="1750"/>
      <c r="M14" s="1745"/>
      <c r="N14" s="427"/>
    </row>
    <row r="15" spans="1:14" hidden="1">
      <c r="A15" s="49">
        <v>1994.06</v>
      </c>
      <c r="B15" s="1740"/>
      <c r="C15" s="1745"/>
      <c r="D15" s="1750"/>
      <c r="E15" s="1745"/>
      <c r="F15" s="1750"/>
      <c r="G15" s="1745"/>
      <c r="H15" s="1750"/>
      <c r="I15" s="1745"/>
      <c r="J15" s="1750"/>
      <c r="K15" s="1745"/>
      <c r="L15" s="1750"/>
      <c r="M15" s="1745"/>
      <c r="N15" s="427"/>
    </row>
    <row r="16" spans="1:14" hidden="1">
      <c r="A16" s="49">
        <v>1994.07</v>
      </c>
      <c r="B16" s="1740"/>
      <c r="C16" s="1745"/>
      <c r="D16" s="1750"/>
      <c r="E16" s="1745"/>
      <c r="F16" s="1750"/>
      <c r="G16" s="1745"/>
      <c r="H16" s="1750"/>
      <c r="I16" s="1745"/>
      <c r="J16" s="1750"/>
      <c r="K16" s="1745"/>
      <c r="L16" s="1750"/>
      <c r="M16" s="1745"/>
      <c r="N16" s="427"/>
    </row>
    <row r="17" spans="1:14" hidden="1">
      <c r="A17" s="49">
        <v>1994.08</v>
      </c>
      <c r="B17" s="1740"/>
      <c r="C17" s="1745"/>
      <c r="D17" s="1750"/>
      <c r="E17" s="1745"/>
      <c r="F17" s="1750"/>
      <c r="G17" s="1745"/>
      <c r="H17" s="1750"/>
      <c r="I17" s="1745"/>
      <c r="J17" s="1750"/>
      <c r="K17" s="1745"/>
      <c r="L17" s="1750"/>
      <c r="M17" s="1745"/>
      <c r="N17" s="427"/>
    </row>
    <row r="18" spans="1:14" hidden="1">
      <c r="A18" s="49">
        <v>1994.09</v>
      </c>
      <c r="B18" s="703"/>
      <c r="C18" s="1581"/>
      <c r="D18" s="944"/>
      <c r="E18" s="1581"/>
      <c r="F18" s="944"/>
      <c r="G18" s="1581"/>
      <c r="H18" s="944"/>
      <c r="I18" s="1581"/>
      <c r="J18" s="944"/>
      <c r="K18" s="1581"/>
      <c r="L18" s="944"/>
      <c r="M18" s="1581"/>
      <c r="N18" s="706"/>
    </row>
    <row r="19" spans="1:14" hidden="1">
      <c r="A19" s="49">
        <v>1994.1</v>
      </c>
      <c r="B19" s="703"/>
      <c r="C19" s="1581"/>
      <c r="D19" s="944"/>
      <c r="E19" s="1581"/>
      <c r="F19" s="944"/>
      <c r="G19" s="1581"/>
      <c r="H19" s="944"/>
      <c r="I19" s="1581"/>
      <c r="J19" s="944"/>
      <c r="K19" s="1581"/>
      <c r="L19" s="944"/>
      <c r="M19" s="1581"/>
      <c r="N19" s="706"/>
    </row>
    <row r="20" spans="1:14" hidden="1">
      <c r="A20" s="49">
        <v>1994.11</v>
      </c>
      <c r="B20" s="703"/>
      <c r="C20" s="1581"/>
      <c r="D20" s="944"/>
      <c r="E20" s="1581"/>
      <c r="F20" s="944"/>
      <c r="G20" s="1581"/>
      <c r="H20" s="944"/>
      <c r="I20" s="1581"/>
      <c r="J20" s="944"/>
      <c r="K20" s="1581"/>
      <c r="L20" s="944"/>
      <c r="M20" s="1581"/>
      <c r="N20" s="706"/>
    </row>
    <row r="21" spans="1:14" hidden="1">
      <c r="A21" s="49">
        <v>1994.12</v>
      </c>
      <c r="B21" s="703"/>
      <c r="C21" s="1581"/>
      <c r="D21" s="944"/>
      <c r="E21" s="1581"/>
      <c r="F21" s="944"/>
      <c r="G21" s="1581"/>
      <c r="H21" s="944"/>
      <c r="I21" s="1581"/>
      <c r="J21" s="944"/>
      <c r="K21" s="1581"/>
      <c r="L21" s="944"/>
      <c r="M21" s="1581"/>
      <c r="N21" s="706"/>
    </row>
    <row r="22" spans="1:14" hidden="1">
      <c r="A22" s="49">
        <v>1995.01</v>
      </c>
      <c r="B22" s="703"/>
      <c r="C22" s="1581"/>
      <c r="D22" s="944"/>
      <c r="E22" s="1581"/>
      <c r="F22" s="944"/>
      <c r="G22" s="1581"/>
      <c r="H22" s="944"/>
      <c r="I22" s="1581"/>
      <c r="J22" s="944"/>
      <c r="K22" s="1581"/>
      <c r="L22" s="944"/>
      <c r="M22" s="1581"/>
      <c r="N22" s="706"/>
    </row>
    <row r="23" spans="1:14" hidden="1">
      <c r="A23" s="49">
        <v>1995.02</v>
      </c>
      <c r="B23" s="703"/>
      <c r="C23" s="1581"/>
      <c r="D23" s="944"/>
      <c r="E23" s="1581"/>
      <c r="F23" s="944"/>
      <c r="G23" s="1581"/>
      <c r="H23" s="944"/>
      <c r="I23" s="1581"/>
      <c r="J23" s="944"/>
      <c r="K23" s="1581"/>
      <c r="L23" s="944"/>
      <c r="M23" s="1581"/>
      <c r="N23" s="706"/>
    </row>
    <row r="24" spans="1:14" hidden="1">
      <c r="A24" s="49">
        <v>1995.03</v>
      </c>
      <c r="B24" s="703"/>
      <c r="C24" s="1581"/>
      <c r="D24" s="944"/>
      <c r="E24" s="1581"/>
      <c r="F24" s="944"/>
      <c r="G24" s="1581"/>
      <c r="H24" s="944"/>
      <c r="I24" s="1581"/>
      <c r="J24" s="944"/>
      <c r="K24" s="1581"/>
      <c r="L24" s="944"/>
      <c r="M24" s="1581"/>
      <c r="N24" s="706"/>
    </row>
    <row r="25" spans="1:14" hidden="1">
      <c r="A25" s="49">
        <v>1995.04</v>
      </c>
      <c r="B25" s="703"/>
      <c r="C25" s="1581"/>
      <c r="D25" s="944"/>
      <c r="E25" s="1581"/>
      <c r="F25" s="944"/>
      <c r="G25" s="1581"/>
      <c r="H25" s="944"/>
      <c r="I25" s="1581"/>
      <c r="J25" s="944"/>
      <c r="K25" s="1581"/>
      <c r="L25" s="944"/>
      <c r="M25" s="1581"/>
      <c r="N25" s="706"/>
    </row>
    <row r="26" spans="1:14" hidden="1">
      <c r="A26" s="49">
        <v>1995.05</v>
      </c>
      <c r="B26" s="703"/>
      <c r="C26" s="1581"/>
      <c r="D26" s="944"/>
      <c r="E26" s="1581"/>
      <c r="F26" s="944"/>
      <c r="G26" s="1581"/>
      <c r="H26" s="944"/>
      <c r="I26" s="1581"/>
      <c r="J26" s="944"/>
      <c r="K26" s="1581"/>
      <c r="L26" s="944"/>
      <c r="M26" s="1581"/>
      <c r="N26" s="706"/>
    </row>
    <row r="27" spans="1:14" hidden="1">
      <c r="A27" s="49">
        <v>1995.06</v>
      </c>
      <c r="B27" s="703"/>
      <c r="C27" s="1581"/>
      <c r="D27" s="944"/>
      <c r="E27" s="1581"/>
      <c r="F27" s="944"/>
      <c r="G27" s="1581"/>
      <c r="H27" s="944"/>
      <c r="I27" s="1581"/>
      <c r="J27" s="944"/>
      <c r="K27" s="1581"/>
      <c r="L27" s="944"/>
      <c r="M27" s="1581"/>
      <c r="N27" s="706"/>
    </row>
    <row r="28" spans="1:14" hidden="1">
      <c r="A28" s="49">
        <v>1995.07</v>
      </c>
      <c r="B28" s="703"/>
      <c r="C28" s="1581"/>
      <c r="D28" s="944"/>
      <c r="E28" s="1581"/>
      <c r="F28" s="944"/>
      <c r="G28" s="1581"/>
      <c r="H28" s="944"/>
      <c r="I28" s="1581"/>
      <c r="J28" s="944"/>
      <c r="K28" s="1581"/>
      <c r="L28" s="944"/>
      <c r="M28" s="1581"/>
      <c r="N28" s="706"/>
    </row>
    <row r="29" spans="1:14" hidden="1">
      <c r="A29" s="49">
        <v>1995.08</v>
      </c>
      <c r="B29" s="703"/>
      <c r="C29" s="1581"/>
      <c r="D29" s="944"/>
      <c r="E29" s="1581"/>
      <c r="F29" s="944"/>
      <c r="G29" s="1581"/>
      <c r="H29" s="944"/>
      <c r="I29" s="1581"/>
      <c r="J29" s="944"/>
      <c r="K29" s="1581"/>
      <c r="L29" s="944"/>
      <c r="M29" s="1581"/>
      <c r="N29" s="706"/>
    </row>
    <row r="30" spans="1:14" hidden="1">
      <c r="A30" s="49">
        <v>1995.09</v>
      </c>
      <c r="B30" s="703"/>
      <c r="C30" s="1581"/>
      <c r="D30" s="944"/>
      <c r="E30" s="1581"/>
      <c r="F30" s="944"/>
      <c r="G30" s="1581"/>
      <c r="H30" s="944"/>
      <c r="I30" s="1581"/>
      <c r="J30" s="944"/>
      <c r="K30" s="1581"/>
      <c r="L30" s="944"/>
      <c r="M30" s="1581"/>
      <c r="N30" s="706"/>
    </row>
    <row r="31" spans="1:14" hidden="1">
      <c r="A31" s="49">
        <v>1995.1</v>
      </c>
      <c r="B31" s="703"/>
      <c r="C31" s="1581"/>
      <c r="D31" s="944"/>
      <c r="E31" s="1581"/>
      <c r="F31" s="944"/>
      <c r="G31" s="1581"/>
      <c r="H31" s="944"/>
      <c r="I31" s="1581"/>
      <c r="J31" s="944"/>
      <c r="K31" s="1581"/>
      <c r="L31" s="944"/>
      <c r="M31" s="1581"/>
      <c r="N31" s="706"/>
    </row>
    <row r="32" spans="1:14" hidden="1">
      <c r="A32" s="49">
        <v>1995.11</v>
      </c>
      <c r="B32" s="703"/>
      <c r="C32" s="1581"/>
      <c r="D32" s="944"/>
      <c r="E32" s="1581"/>
      <c r="F32" s="944"/>
      <c r="G32" s="1581"/>
      <c r="H32" s="944"/>
      <c r="I32" s="1581"/>
      <c r="J32" s="944"/>
      <c r="K32" s="1581"/>
      <c r="L32" s="944"/>
      <c r="M32" s="1581"/>
      <c r="N32" s="706"/>
    </row>
    <row r="33" spans="1:14" hidden="1">
      <c r="A33" s="49">
        <v>1995.12</v>
      </c>
      <c r="B33" s="703"/>
      <c r="C33" s="1581"/>
      <c r="D33" s="944"/>
      <c r="E33" s="1581"/>
      <c r="F33" s="944"/>
      <c r="G33" s="1581"/>
      <c r="H33" s="944"/>
      <c r="I33" s="1581"/>
      <c r="J33" s="944"/>
      <c r="K33" s="1581"/>
      <c r="L33" s="944"/>
      <c r="M33" s="1581"/>
      <c r="N33" s="706"/>
    </row>
    <row r="34" spans="1:14" hidden="1">
      <c r="A34" s="49">
        <v>1996.01</v>
      </c>
      <c r="B34" s="703"/>
      <c r="C34" s="1581"/>
      <c r="D34" s="944"/>
      <c r="E34" s="1581"/>
      <c r="F34" s="944"/>
      <c r="G34" s="1581"/>
      <c r="H34" s="944"/>
      <c r="I34" s="1581"/>
      <c r="J34" s="944"/>
      <c r="K34" s="1581"/>
      <c r="L34" s="944"/>
      <c r="M34" s="1581"/>
      <c r="N34" s="706"/>
    </row>
    <row r="35" spans="1:14" hidden="1">
      <c r="A35" s="49">
        <v>1996.02</v>
      </c>
      <c r="B35" s="703"/>
      <c r="C35" s="1581"/>
      <c r="D35" s="944"/>
      <c r="E35" s="1581"/>
      <c r="F35" s="944"/>
      <c r="G35" s="1581"/>
      <c r="H35" s="944"/>
      <c r="I35" s="1581"/>
      <c r="J35" s="944"/>
      <c r="K35" s="1581"/>
      <c r="L35" s="944"/>
      <c r="M35" s="1581"/>
      <c r="N35" s="706"/>
    </row>
    <row r="36" spans="1:14" hidden="1">
      <c r="A36" s="49">
        <v>1996.03</v>
      </c>
      <c r="B36" s="703"/>
      <c r="C36" s="1581"/>
      <c r="D36" s="944"/>
      <c r="E36" s="1581"/>
      <c r="F36" s="944"/>
      <c r="G36" s="1581"/>
      <c r="H36" s="944"/>
      <c r="I36" s="1581"/>
      <c r="J36" s="944"/>
      <c r="K36" s="1581"/>
      <c r="L36" s="944"/>
      <c r="M36" s="1581"/>
      <c r="N36" s="706"/>
    </row>
    <row r="37" spans="1:14" hidden="1">
      <c r="A37" s="49">
        <v>1996.04</v>
      </c>
      <c r="B37" s="703"/>
      <c r="C37" s="1581"/>
      <c r="D37" s="944"/>
      <c r="E37" s="1581"/>
      <c r="F37" s="944"/>
      <c r="G37" s="1581"/>
      <c r="H37" s="944"/>
      <c r="I37" s="1581"/>
      <c r="J37" s="944"/>
      <c r="K37" s="1581"/>
      <c r="L37" s="944"/>
      <c r="M37" s="1581"/>
      <c r="N37" s="706"/>
    </row>
    <row r="38" spans="1:14" hidden="1">
      <c r="A38" s="49">
        <v>1996.05</v>
      </c>
      <c r="B38" s="703"/>
      <c r="C38" s="1581"/>
      <c r="D38" s="944"/>
      <c r="E38" s="1581"/>
      <c r="F38" s="944"/>
      <c r="G38" s="1581"/>
      <c r="H38" s="944"/>
      <c r="I38" s="1581"/>
      <c r="J38" s="944"/>
      <c r="K38" s="1581"/>
      <c r="L38" s="944"/>
      <c r="M38" s="1581"/>
      <c r="N38" s="706"/>
    </row>
    <row r="39" spans="1:14" hidden="1">
      <c r="A39" s="49">
        <v>1996.06</v>
      </c>
      <c r="B39" s="703"/>
      <c r="C39" s="1581"/>
      <c r="D39" s="944"/>
      <c r="E39" s="1581"/>
      <c r="F39" s="944"/>
      <c r="G39" s="1581"/>
      <c r="H39" s="944"/>
      <c r="I39" s="1581"/>
      <c r="J39" s="944"/>
      <c r="K39" s="1581"/>
      <c r="L39" s="944"/>
      <c r="M39" s="1581"/>
      <c r="N39" s="706"/>
    </row>
    <row r="40" spans="1:14" hidden="1">
      <c r="A40" s="49">
        <v>1996.07</v>
      </c>
      <c r="B40" s="703"/>
      <c r="C40" s="1581"/>
      <c r="D40" s="944"/>
      <c r="E40" s="1581"/>
      <c r="F40" s="944"/>
      <c r="G40" s="1581"/>
      <c r="H40" s="944"/>
      <c r="I40" s="1581"/>
      <c r="J40" s="944"/>
      <c r="K40" s="1581"/>
      <c r="L40" s="944"/>
      <c r="M40" s="1581"/>
      <c r="N40" s="706"/>
    </row>
    <row r="41" spans="1:14" hidden="1">
      <c r="A41" s="49">
        <v>1996.08</v>
      </c>
      <c r="B41" s="703"/>
      <c r="C41" s="1581"/>
      <c r="D41" s="944"/>
      <c r="E41" s="1581"/>
      <c r="F41" s="944"/>
      <c r="G41" s="1581"/>
      <c r="H41" s="944"/>
      <c r="I41" s="1581"/>
      <c r="J41" s="944"/>
      <c r="K41" s="1581"/>
      <c r="L41" s="944"/>
      <c r="M41" s="1581"/>
      <c r="N41" s="706"/>
    </row>
    <row r="42" spans="1:14" hidden="1">
      <c r="A42" s="49">
        <v>1996.09</v>
      </c>
      <c r="B42" s="703"/>
      <c r="C42" s="1581"/>
      <c r="D42" s="944"/>
      <c r="E42" s="1581"/>
      <c r="F42" s="944"/>
      <c r="G42" s="1581"/>
      <c r="H42" s="944"/>
      <c r="I42" s="1581"/>
      <c r="J42" s="944"/>
      <c r="K42" s="1581"/>
      <c r="L42" s="944"/>
      <c r="M42" s="1581"/>
      <c r="N42" s="706"/>
    </row>
    <row r="43" spans="1:14" hidden="1">
      <c r="A43" s="49">
        <v>1996.1</v>
      </c>
      <c r="B43" s="703"/>
      <c r="C43" s="1581"/>
      <c r="D43" s="944"/>
      <c r="E43" s="1581"/>
      <c r="F43" s="944"/>
      <c r="G43" s="1581"/>
      <c r="H43" s="944"/>
      <c r="I43" s="1581"/>
      <c r="J43" s="944"/>
      <c r="K43" s="1581"/>
      <c r="L43" s="944"/>
      <c r="M43" s="1581"/>
      <c r="N43" s="706"/>
    </row>
    <row r="44" spans="1:14" hidden="1">
      <c r="A44" s="49">
        <v>1996.11</v>
      </c>
      <c r="B44" s="703"/>
      <c r="C44" s="1581"/>
      <c r="D44" s="944"/>
      <c r="E44" s="1581"/>
      <c r="F44" s="944"/>
      <c r="G44" s="1581"/>
      <c r="H44" s="944"/>
      <c r="I44" s="1581"/>
      <c r="J44" s="944"/>
      <c r="K44" s="1581"/>
      <c r="L44" s="944"/>
      <c r="M44" s="1581"/>
      <c r="N44" s="706"/>
    </row>
    <row r="45" spans="1:14" hidden="1">
      <c r="A45" s="49">
        <v>1996.12</v>
      </c>
      <c r="B45" s="703"/>
      <c r="C45" s="1581"/>
      <c r="D45" s="944"/>
      <c r="E45" s="1581"/>
      <c r="F45" s="944"/>
      <c r="G45" s="1581"/>
      <c r="H45" s="944"/>
      <c r="I45" s="1581"/>
      <c r="J45" s="944"/>
      <c r="K45" s="1581"/>
      <c r="L45" s="944"/>
      <c r="M45" s="1581"/>
      <c r="N45" s="706"/>
    </row>
    <row r="46" spans="1:14" hidden="1">
      <c r="A46" s="49">
        <v>1997.01</v>
      </c>
      <c r="B46" s="703"/>
      <c r="C46" s="1581"/>
      <c r="D46" s="944"/>
      <c r="E46" s="1581"/>
      <c r="F46" s="944"/>
      <c r="G46" s="1581"/>
      <c r="H46" s="944"/>
      <c r="I46" s="1581"/>
      <c r="J46" s="944"/>
      <c r="K46" s="1581"/>
      <c r="L46" s="944"/>
      <c r="M46" s="1581"/>
      <c r="N46" s="706"/>
    </row>
    <row r="47" spans="1:14" hidden="1">
      <c r="A47" s="49">
        <v>1997.02</v>
      </c>
      <c r="B47" s="703"/>
      <c r="C47" s="1581"/>
      <c r="D47" s="944"/>
      <c r="E47" s="1581"/>
      <c r="F47" s="944"/>
      <c r="G47" s="1581"/>
      <c r="H47" s="944"/>
      <c r="I47" s="1581"/>
      <c r="J47" s="944"/>
      <c r="K47" s="1581"/>
      <c r="L47" s="944"/>
      <c r="M47" s="1581"/>
      <c r="N47" s="706"/>
    </row>
    <row r="48" spans="1:14" hidden="1">
      <c r="A48" s="49">
        <v>1997.03</v>
      </c>
      <c r="B48" s="703"/>
      <c r="C48" s="1581"/>
      <c r="D48" s="944"/>
      <c r="E48" s="1581"/>
      <c r="F48" s="944"/>
      <c r="G48" s="1581"/>
      <c r="H48" s="944"/>
      <c r="I48" s="1581"/>
      <c r="J48" s="944"/>
      <c r="K48" s="1581"/>
      <c r="L48" s="944"/>
      <c r="M48" s="1581"/>
      <c r="N48" s="706"/>
    </row>
    <row r="49" spans="1:14" hidden="1">
      <c r="A49" s="49">
        <v>1997.04</v>
      </c>
      <c r="B49" s="703"/>
      <c r="C49" s="1581"/>
      <c r="D49" s="944"/>
      <c r="E49" s="1581"/>
      <c r="F49" s="944"/>
      <c r="G49" s="1581"/>
      <c r="H49" s="944"/>
      <c r="I49" s="1581"/>
      <c r="J49" s="944"/>
      <c r="K49" s="1581"/>
      <c r="L49" s="944"/>
      <c r="M49" s="1581"/>
      <c r="N49" s="706"/>
    </row>
    <row r="50" spans="1:14" hidden="1">
      <c r="A50" s="49">
        <v>1997.05</v>
      </c>
      <c r="B50" s="703"/>
      <c r="C50" s="1581"/>
      <c r="D50" s="944"/>
      <c r="E50" s="1581"/>
      <c r="F50" s="944"/>
      <c r="G50" s="1581"/>
      <c r="H50" s="944"/>
      <c r="I50" s="1581"/>
      <c r="J50" s="944"/>
      <c r="K50" s="1581"/>
      <c r="L50" s="944"/>
      <c r="M50" s="1581"/>
      <c r="N50" s="706"/>
    </row>
    <row r="51" spans="1:14" hidden="1">
      <c r="A51" s="49">
        <v>1997.06</v>
      </c>
      <c r="B51" s="703"/>
      <c r="C51" s="1581"/>
      <c r="D51" s="944"/>
      <c r="E51" s="1581"/>
      <c r="F51" s="944"/>
      <c r="G51" s="1581"/>
      <c r="H51" s="944"/>
      <c r="I51" s="1581"/>
      <c r="J51" s="944"/>
      <c r="K51" s="1581"/>
      <c r="L51" s="944"/>
      <c r="M51" s="1581"/>
      <c r="N51" s="706"/>
    </row>
    <row r="52" spans="1:14" hidden="1">
      <c r="A52" s="49">
        <v>1997.07</v>
      </c>
      <c r="B52" s="703"/>
      <c r="C52" s="1581"/>
      <c r="D52" s="944"/>
      <c r="E52" s="1581"/>
      <c r="F52" s="944"/>
      <c r="G52" s="1581"/>
      <c r="H52" s="944"/>
      <c r="I52" s="1581"/>
      <c r="J52" s="944"/>
      <c r="K52" s="1581"/>
      <c r="L52" s="944"/>
      <c r="M52" s="1581"/>
      <c r="N52" s="706"/>
    </row>
    <row r="53" spans="1:14" hidden="1">
      <c r="A53" s="49">
        <v>1997.08</v>
      </c>
      <c r="B53" s="703"/>
      <c r="C53" s="1581"/>
      <c r="D53" s="944"/>
      <c r="E53" s="1581"/>
      <c r="F53" s="944"/>
      <c r="G53" s="1581"/>
      <c r="H53" s="944"/>
      <c r="I53" s="1581"/>
      <c r="J53" s="944"/>
      <c r="K53" s="1581"/>
      <c r="L53" s="944"/>
      <c r="M53" s="1581"/>
      <c r="N53" s="706"/>
    </row>
    <row r="54" spans="1:14" hidden="1">
      <c r="A54" s="49">
        <v>1997.09</v>
      </c>
      <c r="B54" s="703"/>
      <c r="C54" s="1581"/>
      <c r="D54" s="944"/>
      <c r="E54" s="1581"/>
      <c r="F54" s="944"/>
      <c r="G54" s="1581"/>
      <c r="H54" s="944"/>
      <c r="I54" s="1581"/>
      <c r="J54" s="944"/>
      <c r="K54" s="1581"/>
      <c r="L54" s="944"/>
      <c r="M54" s="1581"/>
      <c r="N54" s="706"/>
    </row>
    <row r="55" spans="1:14" hidden="1">
      <c r="A55" s="49">
        <v>1997.1</v>
      </c>
      <c r="B55" s="703"/>
      <c r="C55" s="1581"/>
      <c r="D55" s="944"/>
      <c r="E55" s="1581"/>
      <c r="F55" s="944"/>
      <c r="G55" s="1581"/>
      <c r="H55" s="944"/>
      <c r="I55" s="1581"/>
      <c r="J55" s="944"/>
      <c r="K55" s="1581"/>
      <c r="L55" s="944"/>
      <c r="M55" s="1581"/>
      <c r="N55" s="706"/>
    </row>
    <row r="56" spans="1:14" hidden="1">
      <c r="A56" s="49">
        <v>1997.11</v>
      </c>
      <c r="B56" s="703"/>
      <c r="C56" s="1581"/>
      <c r="D56" s="944"/>
      <c r="E56" s="1581"/>
      <c r="F56" s="944"/>
      <c r="G56" s="1581"/>
      <c r="H56" s="944"/>
      <c r="I56" s="1581"/>
      <c r="J56" s="944"/>
      <c r="K56" s="1581"/>
      <c r="L56" s="944"/>
      <c r="M56" s="1581"/>
      <c r="N56" s="706"/>
    </row>
    <row r="57" spans="1:14" hidden="1">
      <c r="A57" s="49">
        <v>1997.12</v>
      </c>
      <c r="B57" s="703"/>
      <c r="C57" s="1581"/>
      <c r="D57" s="944"/>
      <c r="E57" s="1581"/>
      <c r="F57" s="944"/>
      <c r="G57" s="1581"/>
      <c r="H57" s="944"/>
      <c r="I57" s="1581"/>
      <c r="J57" s="944"/>
      <c r="K57" s="1581"/>
      <c r="L57" s="944"/>
      <c r="M57" s="1581"/>
      <c r="N57" s="706"/>
    </row>
    <row r="58" spans="1:14" hidden="1">
      <c r="A58" s="49">
        <v>1998.01</v>
      </c>
      <c r="B58" s="703"/>
      <c r="C58" s="1581"/>
      <c r="D58" s="944"/>
      <c r="E58" s="1581"/>
      <c r="F58" s="944"/>
      <c r="G58" s="1581"/>
      <c r="H58" s="944"/>
      <c r="I58" s="1581"/>
      <c r="J58" s="944"/>
      <c r="K58" s="1581"/>
      <c r="L58" s="944"/>
      <c r="M58" s="1581"/>
      <c r="N58" s="706"/>
    </row>
    <row r="59" spans="1:14" hidden="1">
      <c r="A59" s="49">
        <v>1998.02</v>
      </c>
      <c r="B59" s="703"/>
      <c r="C59" s="1581"/>
      <c r="D59" s="944"/>
      <c r="E59" s="1581"/>
      <c r="F59" s="944"/>
      <c r="G59" s="1581"/>
      <c r="H59" s="944"/>
      <c r="I59" s="1581"/>
      <c r="J59" s="944"/>
      <c r="K59" s="1581"/>
      <c r="L59" s="944"/>
      <c r="M59" s="1581"/>
      <c r="N59" s="706"/>
    </row>
    <row r="60" spans="1:14" hidden="1">
      <c r="A60" s="49">
        <v>1998.03</v>
      </c>
      <c r="B60" s="703"/>
      <c r="C60" s="1581"/>
      <c r="D60" s="944"/>
      <c r="E60" s="1581"/>
      <c r="F60" s="944"/>
      <c r="G60" s="1581"/>
      <c r="H60" s="944"/>
      <c r="I60" s="1581"/>
      <c r="J60" s="944"/>
      <c r="K60" s="1581"/>
      <c r="L60" s="944"/>
      <c r="M60" s="1581"/>
      <c r="N60" s="706"/>
    </row>
    <row r="61" spans="1:14" hidden="1">
      <c r="A61" s="49">
        <v>1998.04</v>
      </c>
      <c r="B61" s="703"/>
      <c r="C61" s="1581"/>
      <c r="D61" s="944"/>
      <c r="E61" s="1581"/>
      <c r="F61" s="944"/>
      <c r="G61" s="1581"/>
      <c r="H61" s="944"/>
      <c r="I61" s="1581"/>
      <c r="J61" s="944"/>
      <c r="K61" s="1581"/>
      <c r="L61" s="944"/>
      <c r="M61" s="1581"/>
      <c r="N61" s="706"/>
    </row>
    <row r="62" spans="1:14" hidden="1">
      <c r="A62" s="49">
        <v>1998.05</v>
      </c>
      <c r="B62" s="703"/>
      <c r="C62" s="1581"/>
      <c r="D62" s="944"/>
      <c r="E62" s="1581"/>
      <c r="F62" s="944"/>
      <c r="G62" s="1581"/>
      <c r="H62" s="944"/>
      <c r="I62" s="1581"/>
      <c r="J62" s="944"/>
      <c r="K62" s="1581"/>
      <c r="L62" s="944"/>
      <c r="M62" s="1581"/>
      <c r="N62" s="706"/>
    </row>
    <row r="63" spans="1:14" hidden="1">
      <c r="A63" s="49">
        <v>1998.06</v>
      </c>
      <c r="B63" s="703"/>
      <c r="C63" s="1581"/>
      <c r="D63" s="944"/>
      <c r="E63" s="1581"/>
      <c r="F63" s="944"/>
      <c r="G63" s="1581"/>
      <c r="H63" s="944"/>
      <c r="I63" s="1581"/>
      <c r="J63" s="944"/>
      <c r="K63" s="1581"/>
      <c r="L63" s="944"/>
      <c r="M63" s="1581"/>
      <c r="N63" s="706"/>
    </row>
    <row r="64" spans="1:14" hidden="1">
      <c r="A64" s="49">
        <v>1998.07</v>
      </c>
      <c r="B64" s="703"/>
      <c r="C64" s="1581"/>
      <c r="D64" s="944"/>
      <c r="E64" s="1581"/>
      <c r="F64" s="944"/>
      <c r="G64" s="1581"/>
      <c r="H64" s="944"/>
      <c r="I64" s="1581"/>
      <c r="J64" s="944"/>
      <c r="K64" s="1581"/>
      <c r="L64" s="944"/>
      <c r="M64" s="1581"/>
      <c r="N64" s="706"/>
    </row>
    <row r="65" spans="1:14" hidden="1">
      <c r="A65" s="49">
        <v>1998.08</v>
      </c>
      <c r="B65" s="703"/>
      <c r="C65" s="1581"/>
      <c r="D65" s="944"/>
      <c r="E65" s="1581"/>
      <c r="F65" s="944"/>
      <c r="G65" s="1581"/>
      <c r="H65" s="944"/>
      <c r="I65" s="1581"/>
      <c r="J65" s="944"/>
      <c r="K65" s="1581"/>
      <c r="L65" s="944"/>
      <c r="M65" s="1581"/>
      <c r="N65" s="706"/>
    </row>
    <row r="66" spans="1:14" hidden="1">
      <c r="A66" s="49">
        <v>1998.09</v>
      </c>
      <c r="B66" s="703"/>
      <c r="C66" s="1581"/>
      <c r="D66" s="944"/>
      <c r="E66" s="1581"/>
      <c r="F66" s="944"/>
      <c r="G66" s="1581"/>
      <c r="H66" s="944"/>
      <c r="I66" s="1581"/>
      <c r="J66" s="944"/>
      <c r="K66" s="1581"/>
      <c r="L66" s="944"/>
      <c r="M66" s="1581"/>
      <c r="N66" s="706"/>
    </row>
    <row r="67" spans="1:14" hidden="1">
      <c r="A67" s="49">
        <v>1998.1</v>
      </c>
      <c r="B67" s="703"/>
      <c r="C67" s="1581"/>
      <c r="D67" s="944"/>
      <c r="E67" s="1581"/>
      <c r="F67" s="944"/>
      <c r="G67" s="1581"/>
      <c r="H67" s="944"/>
      <c r="I67" s="1581"/>
      <c r="J67" s="944"/>
      <c r="K67" s="1581"/>
      <c r="L67" s="944"/>
      <c r="M67" s="1581"/>
      <c r="N67" s="706"/>
    </row>
    <row r="68" spans="1:14" hidden="1">
      <c r="A68" s="49">
        <v>1998.11</v>
      </c>
      <c r="B68" s="703"/>
      <c r="C68" s="1581"/>
      <c r="D68" s="944"/>
      <c r="E68" s="1581"/>
      <c r="F68" s="944"/>
      <c r="G68" s="1581"/>
      <c r="H68" s="944"/>
      <c r="I68" s="1581"/>
      <c r="J68" s="944"/>
      <c r="K68" s="1581"/>
      <c r="L68" s="944"/>
      <c r="M68" s="1581"/>
      <c r="N68" s="706"/>
    </row>
    <row r="69" spans="1:14" hidden="1">
      <c r="A69" s="49">
        <v>1998.12</v>
      </c>
      <c r="B69" s="703"/>
      <c r="C69" s="1581"/>
      <c r="D69" s="944"/>
      <c r="E69" s="1581"/>
      <c r="F69" s="944"/>
      <c r="G69" s="1581"/>
      <c r="H69" s="944"/>
      <c r="I69" s="1581"/>
      <c r="J69" s="944"/>
      <c r="K69" s="1581"/>
      <c r="L69" s="944"/>
      <c r="M69" s="1581"/>
      <c r="N69" s="706"/>
    </row>
    <row r="70" spans="1:14" hidden="1">
      <c r="A70" s="49">
        <v>1999.01</v>
      </c>
      <c r="B70" s="703"/>
      <c r="C70" s="1581"/>
      <c r="D70" s="944"/>
      <c r="E70" s="1581"/>
      <c r="F70" s="944"/>
      <c r="G70" s="1581"/>
      <c r="H70" s="944"/>
      <c r="I70" s="1581"/>
      <c r="J70" s="944"/>
      <c r="K70" s="1581"/>
      <c r="L70" s="944"/>
      <c r="M70" s="1581"/>
      <c r="N70" s="706"/>
    </row>
    <row r="71" spans="1:14" hidden="1">
      <c r="A71" s="49">
        <v>1999.02</v>
      </c>
      <c r="B71" s="703"/>
      <c r="C71" s="1581"/>
      <c r="D71" s="944"/>
      <c r="E71" s="1581"/>
      <c r="F71" s="944"/>
      <c r="G71" s="1581"/>
      <c r="H71" s="944"/>
      <c r="I71" s="1581"/>
      <c r="J71" s="944"/>
      <c r="K71" s="1581"/>
      <c r="L71" s="944"/>
      <c r="M71" s="1581"/>
      <c r="N71" s="706"/>
    </row>
    <row r="72" spans="1:14" hidden="1">
      <c r="A72" s="49">
        <v>1999.03</v>
      </c>
      <c r="B72" s="703"/>
      <c r="C72" s="1581"/>
      <c r="D72" s="944"/>
      <c r="E72" s="1581"/>
      <c r="F72" s="944"/>
      <c r="G72" s="1581"/>
      <c r="H72" s="944"/>
      <c r="I72" s="1581"/>
      <c r="J72" s="944"/>
      <c r="K72" s="1581"/>
      <c r="L72" s="944"/>
      <c r="M72" s="1581"/>
      <c r="N72" s="706"/>
    </row>
    <row r="73" spans="1:14" hidden="1">
      <c r="A73" s="49">
        <v>1999.04</v>
      </c>
      <c r="B73" s="703"/>
      <c r="C73" s="1581"/>
      <c r="D73" s="944"/>
      <c r="E73" s="1581"/>
      <c r="F73" s="944"/>
      <c r="G73" s="1581"/>
      <c r="H73" s="944"/>
      <c r="I73" s="1581"/>
      <c r="J73" s="944"/>
      <c r="K73" s="1581"/>
      <c r="L73" s="944"/>
      <c r="M73" s="1581"/>
      <c r="N73" s="706"/>
    </row>
    <row r="74" spans="1:14" hidden="1">
      <c r="A74" s="49">
        <v>1999.05</v>
      </c>
      <c r="B74" s="703"/>
      <c r="C74" s="1581"/>
      <c r="D74" s="944"/>
      <c r="E74" s="1581"/>
      <c r="F74" s="944"/>
      <c r="G74" s="1581"/>
      <c r="H74" s="944"/>
      <c r="I74" s="1581"/>
      <c r="J74" s="944"/>
      <c r="K74" s="1581"/>
      <c r="L74" s="944"/>
      <c r="M74" s="1581"/>
      <c r="N74" s="706"/>
    </row>
    <row r="75" spans="1:14" hidden="1">
      <c r="A75" s="49">
        <v>1999.06</v>
      </c>
      <c r="B75" s="703"/>
      <c r="C75" s="1581"/>
      <c r="D75" s="944"/>
      <c r="E75" s="1581"/>
      <c r="F75" s="944"/>
      <c r="G75" s="1581"/>
      <c r="H75" s="944"/>
      <c r="I75" s="1581"/>
      <c r="J75" s="944"/>
      <c r="K75" s="1581"/>
      <c r="L75" s="944"/>
      <c r="M75" s="1581"/>
      <c r="N75" s="706"/>
    </row>
    <row r="76" spans="1:14" hidden="1">
      <c r="A76" s="49">
        <v>1999.07</v>
      </c>
      <c r="B76" s="703"/>
      <c r="C76" s="1581"/>
      <c r="D76" s="944"/>
      <c r="E76" s="1581"/>
      <c r="F76" s="944"/>
      <c r="G76" s="1581"/>
      <c r="H76" s="944"/>
      <c r="I76" s="1581"/>
      <c r="J76" s="944"/>
      <c r="K76" s="1581"/>
      <c r="L76" s="944"/>
      <c r="M76" s="1581"/>
      <c r="N76" s="706"/>
    </row>
    <row r="77" spans="1:14" hidden="1">
      <c r="A77" s="49">
        <v>1999.08</v>
      </c>
      <c r="B77" s="703"/>
      <c r="C77" s="1581"/>
      <c r="D77" s="944"/>
      <c r="E77" s="1581"/>
      <c r="F77" s="944"/>
      <c r="G77" s="1581"/>
      <c r="H77" s="944"/>
      <c r="I77" s="1581"/>
      <c r="J77" s="944"/>
      <c r="K77" s="1581"/>
      <c r="L77" s="944"/>
      <c r="M77" s="1581"/>
      <c r="N77" s="706"/>
    </row>
    <row r="78" spans="1:14" hidden="1">
      <c r="A78" s="49">
        <v>1999.09</v>
      </c>
      <c r="B78" s="703"/>
      <c r="C78" s="1581"/>
      <c r="D78" s="944"/>
      <c r="E78" s="1581"/>
      <c r="F78" s="944"/>
      <c r="G78" s="1581"/>
      <c r="H78" s="944"/>
      <c r="I78" s="1581"/>
      <c r="J78" s="944"/>
      <c r="K78" s="1581"/>
      <c r="L78" s="944"/>
      <c r="M78" s="1581"/>
      <c r="N78" s="706"/>
    </row>
    <row r="79" spans="1:14" hidden="1">
      <c r="A79" s="49">
        <v>1999.1</v>
      </c>
      <c r="B79" s="703"/>
      <c r="C79" s="1581"/>
      <c r="D79" s="944"/>
      <c r="E79" s="1581"/>
      <c r="F79" s="944"/>
      <c r="G79" s="1581"/>
      <c r="H79" s="944"/>
      <c r="I79" s="1581"/>
      <c r="J79" s="944"/>
      <c r="K79" s="1581"/>
      <c r="L79" s="944"/>
      <c r="M79" s="1581"/>
      <c r="N79" s="706"/>
    </row>
    <row r="80" spans="1:14" hidden="1">
      <c r="A80" s="49">
        <v>1999.11</v>
      </c>
      <c r="B80" s="703"/>
      <c r="C80" s="1581"/>
      <c r="D80" s="944"/>
      <c r="E80" s="1581"/>
      <c r="F80" s="944"/>
      <c r="G80" s="1581"/>
      <c r="H80" s="944"/>
      <c r="I80" s="1581"/>
      <c r="J80" s="944"/>
      <c r="K80" s="1581"/>
      <c r="L80" s="944"/>
      <c r="M80" s="1581"/>
      <c r="N80" s="706"/>
    </row>
    <row r="81" spans="1:14" hidden="1">
      <c r="A81" s="49">
        <v>1999.12</v>
      </c>
      <c r="B81" s="703"/>
      <c r="C81" s="1581"/>
      <c r="D81" s="944"/>
      <c r="E81" s="1581"/>
      <c r="F81" s="944"/>
      <c r="G81" s="1581"/>
      <c r="H81" s="944"/>
      <c r="I81" s="1581"/>
      <c r="J81" s="944"/>
      <c r="K81" s="1581"/>
      <c r="L81" s="944"/>
      <c r="M81" s="1581"/>
      <c r="N81" s="706"/>
    </row>
    <row r="82" spans="1:14" hidden="1">
      <c r="A82" s="49">
        <v>2000.01</v>
      </c>
      <c r="B82" s="703"/>
      <c r="C82" s="1581"/>
      <c r="D82" s="944"/>
      <c r="E82" s="1581"/>
      <c r="F82" s="944"/>
      <c r="G82" s="1581"/>
      <c r="H82" s="944"/>
      <c r="I82" s="1581"/>
      <c r="J82" s="944"/>
      <c r="K82" s="1581"/>
      <c r="L82" s="944"/>
      <c r="M82" s="1581"/>
      <c r="N82" s="706"/>
    </row>
    <row r="83" spans="1:14" hidden="1">
      <c r="A83" s="49">
        <v>2000.02</v>
      </c>
      <c r="B83" s="703"/>
      <c r="C83" s="1581"/>
      <c r="D83" s="944"/>
      <c r="E83" s="1581"/>
      <c r="F83" s="944"/>
      <c r="G83" s="1581"/>
      <c r="H83" s="944"/>
      <c r="I83" s="1581"/>
      <c r="J83" s="944"/>
      <c r="K83" s="1581"/>
      <c r="L83" s="944"/>
      <c r="M83" s="1581"/>
      <c r="N83" s="706"/>
    </row>
    <row r="84" spans="1:14" hidden="1">
      <c r="A84" s="49">
        <v>2000.03</v>
      </c>
      <c r="B84" s="703"/>
      <c r="C84" s="1581"/>
      <c r="D84" s="944"/>
      <c r="E84" s="1581"/>
      <c r="F84" s="944"/>
      <c r="G84" s="1581"/>
      <c r="H84" s="944"/>
      <c r="I84" s="1581"/>
      <c r="J84" s="944"/>
      <c r="K84" s="1581"/>
      <c r="L84" s="944"/>
      <c r="M84" s="1581"/>
      <c r="N84" s="706"/>
    </row>
    <row r="85" spans="1:14" hidden="1">
      <c r="A85" s="49">
        <v>2000.04</v>
      </c>
      <c r="B85" s="703"/>
      <c r="C85" s="1581"/>
      <c r="D85" s="944"/>
      <c r="E85" s="1581"/>
      <c r="F85" s="944"/>
      <c r="G85" s="1581"/>
      <c r="H85" s="944"/>
      <c r="I85" s="1581"/>
      <c r="J85" s="944"/>
      <c r="K85" s="1581"/>
      <c r="L85" s="944"/>
      <c r="M85" s="1581"/>
      <c r="N85" s="706"/>
    </row>
    <row r="86" spans="1:14" hidden="1">
      <c r="A86" s="49">
        <v>2000.05</v>
      </c>
      <c r="B86" s="703"/>
      <c r="C86" s="1581"/>
      <c r="D86" s="944"/>
      <c r="E86" s="1581"/>
      <c r="F86" s="944"/>
      <c r="G86" s="1581"/>
      <c r="H86" s="944"/>
      <c r="I86" s="1581"/>
      <c r="J86" s="944"/>
      <c r="K86" s="1581"/>
      <c r="L86" s="944"/>
      <c r="M86" s="1581"/>
      <c r="N86" s="706"/>
    </row>
    <row r="87" spans="1:14" hidden="1">
      <c r="A87" s="49">
        <v>2000.06</v>
      </c>
      <c r="B87" s="703"/>
      <c r="C87" s="1581"/>
      <c r="D87" s="944"/>
      <c r="E87" s="1581"/>
      <c r="F87" s="944"/>
      <c r="G87" s="1581"/>
      <c r="H87" s="944"/>
      <c r="I87" s="1581"/>
      <c r="J87" s="944"/>
      <c r="K87" s="1581"/>
      <c r="L87" s="944"/>
      <c r="M87" s="1581"/>
      <c r="N87" s="706"/>
    </row>
    <row r="88" spans="1:14" hidden="1">
      <c r="A88" s="49">
        <v>2000.07</v>
      </c>
      <c r="B88" s="703"/>
      <c r="C88" s="1581"/>
      <c r="D88" s="944"/>
      <c r="E88" s="1581"/>
      <c r="F88" s="944"/>
      <c r="G88" s="1581"/>
      <c r="H88" s="944"/>
      <c r="I88" s="1581"/>
      <c r="J88" s="944"/>
      <c r="K88" s="1581"/>
      <c r="L88" s="944"/>
      <c r="M88" s="1581"/>
      <c r="N88" s="706"/>
    </row>
    <row r="89" spans="1:14" hidden="1">
      <c r="A89" s="49">
        <v>2000.08</v>
      </c>
      <c r="B89" s="703"/>
      <c r="C89" s="1581"/>
      <c r="D89" s="944"/>
      <c r="E89" s="1581"/>
      <c r="F89" s="944"/>
      <c r="G89" s="1581"/>
      <c r="H89" s="944"/>
      <c r="I89" s="1581"/>
      <c r="J89" s="944"/>
      <c r="K89" s="1581"/>
      <c r="L89" s="944"/>
      <c r="M89" s="1581"/>
      <c r="N89" s="706"/>
    </row>
    <row r="90" spans="1:14" hidden="1">
      <c r="A90" s="49">
        <v>2000.09</v>
      </c>
      <c r="B90" s="703"/>
      <c r="C90" s="1581"/>
      <c r="D90" s="944"/>
      <c r="E90" s="1581"/>
      <c r="F90" s="944"/>
      <c r="G90" s="1581"/>
      <c r="H90" s="944"/>
      <c r="I90" s="1581"/>
      <c r="J90" s="944"/>
      <c r="K90" s="1581"/>
      <c r="L90" s="944"/>
      <c r="M90" s="1581"/>
      <c r="N90" s="706"/>
    </row>
    <row r="91" spans="1:14" hidden="1">
      <c r="A91" s="49">
        <v>2000.1</v>
      </c>
      <c r="B91" s="703"/>
      <c r="C91" s="1581"/>
      <c r="D91" s="944"/>
      <c r="E91" s="1581"/>
      <c r="F91" s="944"/>
      <c r="G91" s="1581"/>
      <c r="H91" s="944"/>
      <c r="I91" s="1581"/>
      <c r="J91" s="944"/>
      <c r="K91" s="1581"/>
      <c r="L91" s="944"/>
      <c r="M91" s="1581"/>
      <c r="N91" s="706"/>
    </row>
    <row r="92" spans="1:14" hidden="1">
      <c r="A92" s="49">
        <v>2000.11</v>
      </c>
      <c r="B92" s="703"/>
      <c r="C92" s="1581"/>
      <c r="D92" s="944"/>
      <c r="E92" s="1581"/>
      <c r="F92" s="944"/>
      <c r="G92" s="1581"/>
      <c r="H92" s="944"/>
      <c r="I92" s="1581"/>
      <c r="J92" s="944"/>
      <c r="K92" s="1581"/>
      <c r="L92" s="944"/>
      <c r="M92" s="1581"/>
      <c r="N92" s="706"/>
    </row>
    <row r="93" spans="1:14" hidden="1">
      <c r="A93" s="49">
        <v>2000.12</v>
      </c>
      <c r="B93" s="703"/>
      <c r="C93" s="1581"/>
      <c r="D93" s="944"/>
      <c r="E93" s="1581"/>
      <c r="F93" s="944"/>
      <c r="G93" s="1581"/>
      <c r="H93" s="944"/>
      <c r="I93" s="1581"/>
      <c r="J93" s="944"/>
      <c r="K93" s="1581"/>
      <c r="L93" s="944"/>
      <c r="M93" s="1581"/>
      <c r="N93" s="706"/>
    </row>
    <row r="94" spans="1:14" hidden="1">
      <c r="A94" s="49">
        <v>2001.01</v>
      </c>
      <c r="B94" s="703"/>
      <c r="C94" s="1581"/>
      <c r="D94" s="944"/>
      <c r="E94" s="1581"/>
      <c r="F94" s="944"/>
      <c r="G94" s="1581"/>
      <c r="H94" s="944"/>
      <c r="I94" s="1581"/>
      <c r="J94" s="944"/>
      <c r="K94" s="1581"/>
      <c r="L94" s="944"/>
      <c r="M94" s="1581"/>
      <c r="N94" s="706"/>
    </row>
    <row r="95" spans="1:14" hidden="1">
      <c r="A95" s="49">
        <v>2001.02</v>
      </c>
      <c r="B95" s="703"/>
      <c r="C95" s="1581"/>
      <c r="D95" s="944"/>
      <c r="E95" s="1581"/>
      <c r="F95" s="944"/>
      <c r="G95" s="1581"/>
      <c r="H95" s="944"/>
      <c r="I95" s="1581"/>
      <c r="J95" s="944"/>
      <c r="K95" s="1581"/>
      <c r="L95" s="944"/>
      <c r="M95" s="1581"/>
      <c r="N95" s="706"/>
    </row>
    <row r="96" spans="1:14" hidden="1">
      <c r="A96" s="49">
        <v>2001.03</v>
      </c>
      <c r="B96" s="703"/>
      <c r="C96" s="1581"/>
      <c r="D96" s="944"/>
      <c r="E96" s="1581"/>
      <c r="F96" s="944"/>
      <c r="G96" s="1581"/>
      <c r="H96" s="944"/>
      <c r="I96" s="1581"/>
      <c r="J96" s="944"/>
      <c r="K96" s="1581"/>
      <c r="L96" s="944"/>
      <c r="M96" s="1581"/>
      <c r="N96" s="706"/>
    </row>
    <row r="97" spans="1:14" hidden="1">
      <c r="A97" s="49">
        <v>2001.04</v>
      </c>
      <c r="B97" s="703"/>
      <c r="C97" s="1581"/>
      <c r="D97" s="944"/>
      <c r="E97" s="1581"/>
      <c r="F97" s="944"/>
      <c r="G97" s="1581"/>
      <c r="H97" s="944"/>
      <c r="I97" s="1581"/>
      <c r="J97" s="944"/>
      <c r="K97" s="1581"/>
      <c r="L97" s="944"/>
      <c r="M97" s="1581"/>
      <c r="N97" s="706"/>
    </row>
    <row r="98" spans="1:14" hidden="1">
      <c r="A98" s="49">
        <v>2001.05</v>
      </c>
      <c r="B98" s="703"/>
      <c r="C98" s="1581"/>
      <c r="D98" s="944"/>
      <c r="E98" s="1581"/>
      <c r="F98" s="944"/>
      <c r="G98" s="1581"/>
      <c r="H98" s="944"/>
      <c r="I98" s="1581"/>
      <c r="J98" s="944"/>
      <c r="K98" s="1581"/>
      <c r="L98" s="944"/>
      <c r="M98" s="1581"/>
      <c r="N98" s="706"/>
    </row>
    <row r="99" spans="1:14" hidden="1">
      <c r="A99" s="49">
        <v>2001.06</v>
      </c>
      <c r="B99" s="703"/>
      <c r="C99" s="1581"/>
      <c r="D99" s="944"/>
      <c r="E99" s="1581"/>
      <c r="F99" s="944"/>
      <c r="G99" s="1581"/>
      <c r="H99" s="944"/>
      <c r="I99" s="1581"/>
      <c r="J99" s="944"/>
      <c r="K99" s="1581"/>
      <c r="L99" s="944"/>
      <c r="M99" s="1581"/>
      <c r="N99" s="706"/>
    </row>
    <row r="100" spans="1:14" hidden="1">
      <c r="A100" s="49">
        <v>2001.07</v>
      </c>
      <c r="B100" s="703"/>
      <c r="C100" s="1581"/>
      <c r="D100" s="944"/>
      <c r="E100" s="1581"/>
      <c r="F100" s="944"/>
      <c r="G100" s="1581"/>
      <c r="H100" s="944"/>
      <c r="I100" s="1581"/>
      <c r="J100" s="944"/>
      <c r="K100" s="1581"/>
      <c r="L100" s="944"/>
      <c r="M100" s="1581"/>
      <c r="N100" s="706"/>
    </row>
    <row r="101" spans="1:14" hidden="1">
      <c r="A101" s="49">
        <v>2001.08</v>
      </c>
      <c r="B101" s="703"/>
      <c r="C101" s="1581"/>
      <c r="D101" s="944"/>
      <c r="E101" s="1581"/>
      <c r="F101" s="944"/>
      <c r="G101" s="1581"/>
      <c r="H101" s="944"/>
      <c r="I101" s="1581"/>
      <c r="J101" s="944"/>
      <c r="K101" s="1581"/>
      <c r="L101" s="944"/>
      <c r="M101" s="1581"/>
      <c r="N101" s="706"/>
    </row>
    <row r="102" spans="1:14" hidden="1">
      <c r="A102" s="49">
        <v>2001.09</v>
      </c>
      <c r="B102" s="703"/>
      <c r="C102" s="1581"/>
      <c r="D102" s="944"/>
      <c r="E102" s="1581"/>
      <c r="F102" s="944"/>
      <c r="G102" s="1581"/>
      <c r="H102" s="944"/>
      <c r="I102" s="1581"/>
      <c r="J102" s="944"/>
      <c r="K102" s="1581"/>
      <c r="L102" s="944"/>
      <c r="M102" s="1581"/>
      <c r="N102" s="706"/>
    </row>
    <row r="103" spans="1:14" hidden="1">
      <c r="A103" s="49">
        <v>2001.1</v>
      </c>
      <c r="B103" s="703"/>
      <c r="C103" s="1581"/>
      <c r="D103" s="944"/>
      <c r="E103" s="1581"/>
      <c r="F103" s="944"/>
      <c r="G103" s="1581"/>
      <c r="H103" s="944"/>
      <c r="I103" s="1581"/>
      <c r="J103" s="944"/>
      <c r="K103" s="1581"/>
      <c r="L103" s="944"/>
      <c r="M103" s="1581"/>
      <c r="N103" s="706"/>
    </row>
    <row r="104" spans="1:14" hidden="1">
      <c r="A104" s="49">
        <v>2001.11</v>
      </c>
      <c r="B104" s="703"/>
      <c r="C104" s="1581"/>
      <c r="D104" s="944"/>
      <c r="E104" s="1581"/>
      <c r="F104" s="944"/>
      <c r="G104" s="1581"/>
      <c r="H104" s="944"/>
      <c r="I104" s="1581"/>
      <c r="J104" s="944"/>
      <c r="K104" s="1581"/>
      <c r="L104" s="944"/>
      <c r="M104" s="1581"/>
      <c r="N104" s="706"/>
    </row>
    <row r="105" spans="1:14" hidden="1">
      <c r="A105" s="49">
        <v>2001.12</v>
      </c>
      <c r="B105" s="703"/>
      <c r="C105" s="1581"/>
      <c r="D105" s="944"/>
      <c r="E105" s="1581"/>
      <c r="F105" s="944"/>
      <c r="G105" s="1581"/>
      <c r="H105" s="944"/>
      <c r="I105" s="1581"/>
      <c r="J105" s="944"/>
      <c r="K105" s="1581"/>
      <c r="L105" s="944"/>
      <c r="M105" s="1581"/>
      <c r="N105" s="706"/>
    </row>
    <row r="106" spans="1:14">
      <c r="A106" s="49">
        <v>2002.01</v>
      </c>
      <c r="B106" s="311">
        <v>48.161690777538631</v>
      </c>
      <c r="C106" s="1347">
        <v>64.103505039368457</v>
      </c>
      <c r="D106" s="311">
        <v>64.10791612617129</v>
      </c>
      <c r="E106" s="1347">
        <v>26.45909488210955</v>
      </c>
      <c r="F106" s="311">
        <v>66.877157258694922</v>
      </c>
      <c r="G106" s="1347">
        <v>53.2</v>
      </c>
      <c r="H106" s="311">
        <v>82.832304046896084</v>
      </c>
      <c r="I106" s="1347">
        <v>57.748484242119282</v>
      </c>
      <c r="J106" s="311">
        <v>40.08722178337127</v>
      </c>
      <c r="K106" s="1347">
        <v>32.052782743484414</v>
      </c>
      <c r="L106" s="311">
        <v>61.840405399656326</v>
      </c>
      <c r="M106" s="1347">
        <v>6.7735127679942444</v>
      </c>
      <c r="N106" s="1136">
        <v>23.175978838379837</v>
      </c>
    </row>
    <row r="107" spans="1:14">
      <c r="A107" s="49">
        <v>2002.02</v>
      </c>
      <c r="B107" s="311">
        <v>51.117528037614719</v>
      </c>
      <c r="C107" s="1347">
        <v>65.050729839322898</v>
      </c>
      <c r="D107" s="311">
        <v>64.132202138833904</v>
      </c>
      <c r="E107" s="1347">
        <v>28.346591868126247</v>
      </c>
      <c r="F107" s="311">
        <v>81.066345151304446</v>
      </c>
      <c r="G107" s="1347">
        <v>52.125041387035907</v>
      </c>
      <c r="H107" s="311">
        <v>79.530769984617208</v>
      </c>
      <c r="I107" s="1347">
        <v>61.103446557995696</v>
      </c>
      <c r="J107" s="311">
        <v>46.692302547378809</v>
      </c>
      <c r="K107" s="1347">
        <v>34.034350048493351</v>
      </c>
      <c r="L107" s="311">
        <v>75.511165915805918</v>
      </c>
      <c r="M107" s="1347">
        <v>13.276518887693687</v>
      </c>
      <c r="N107" s="1136">
        <v>24.983316150561446</v>
      </c>
    </row>
    <row r="108" spans="1:14">
      <c r="A108" s="49">
        <v>2002.03</v>
      </c>
      <c r="B108" s="311">
        <v>50.306787426455315</v>
      </c>
      <c r="C108" s="1347">
        <v>62.169610337809004</v>
      </c>
      <c r="D108" s="311">
        <v>59.699606665120619</v>
      </c>
      <c r="E108" s="1347">
        <v>30.37688272686723</v>
      </c>
      <c r="F108" s="311">
        <v>68.041862439234862</v>
      </c>
      <c r="G108" s="1347">
        <v>48.69911287350196</v>
      </c>
      <c r="H108" s="311">
        <v>79.74075715401716</v>
      </c>
      <c r="I108" s="1347">
        <v>55.768950996814731</v>
      </c>
      <c r="J108" s="311">
        <v>48.581017579963337</v>
      </c>
      <c r="K108" s="1347">
        <v>31.297687770243531</v>
      </c>
      <c r="L108" s="311">
        <v>78.765945074509261</v>
      </c>
      <c r="M108" s="1347">
        <v>17.110175481652128</v>
      </c>
      <c r="N108" s="1136">
        <v>30.437620859552379</v>
      </c>
    </row>
    <row r="109" spans="1:14">
      <c r="A109" s="49">
        <v>2002.04</v>
      </c>
      <c r="B109" s="311">
        <v>55.09766765362302</v>
      </c>
      <c r="C109" s="1347">
        <v>65.078348335346192</v>
      </c>
      <c r="D109" s="311">
        <v>64.118980007003884</v>
      </c>
      <c r="E109" s="1347">
        <v>44.399933217009547</v>
      </c>
      <c r="F109" s="311">
        <v>77.276359568924704</v>
      </c>
      <c r="G109" s="1347">
        <v>47.354152010058634</v>
      </c>
      <c r="H109" s="311">
        <v>83.220622421847906</v>
      </c>
      <c r="I109" s="1347">
        <v>64.009557280166945</v>
      </c>
      <c r="J109" s="311">
        <v>51.423011713958786</v>
      </c>
      <c r="K109" s="1347">
        <v>35.567733310995536</v>
      </c>
      <c r="L109" s="311">
        <v>89.65092086420789</v>
      </c>
      <c r="M109" s="1347">
        <v>26.10946822646622</v>
      </c>
      <c r="N109" s="1136">
        <v>31.270838643187339</v>
      </c>
    </row>
    <row r="110" spans="1:14">
      <c r="A110" s="49">
        <v>2002.05</v>
      </c>
      <c r="B110" s="311">
        <v>55.182850953389917</v>
      </c>
      <c r="C110" s="1347">
        <v>65.74006442461824</v>
      </c>
      <c r="D110" s="311">
        <v>64.751871059706815</v>
      </c>
      <c r="E110" s="1347">
        <v>37.973939778206507</v>
      </c>
      <c r="F110" s="311">
        <v>79.125545898210575</v>
      </c>
      <c r="G110" s="1347">
        <v>47.131419189963296</v>
      </c>
      <c r="H110" s="311">
        <v>82.689173523240541</v>
      </c>
      <c r="I110" s="1347">
        <v>60.280488493974111</v>
      </c>
      <c r="J110" s="311">
        <v>54.358853124322167</v>
      </c>
      <c r="K110" s="1347">
        <v>37.59731333685292</v>
      </c>
      <c r="L110" s="311">
        <v>88.821764682499804</v>
      </c>
      <c r="M110" s="1347">
        <v>23.834604823791341</v>
      </c>
      <c r="N110" s="1136">
        <v>35.978735585009545</v>
      </c>
    </row>
    <row r="111" spans="1:14">
      <c r="A111" s="49">
        <v>2002.06</v>
      </c>
      <c r="B111" s="311">
        <v>55.37051615958346</v>
      </c>
      <c r="C111" s="1347">
        <v>66.548848106749446</v>
      </c>
      <c r="D111" s="311">
        <v>57.826443618781923</v>
      </c>
      <c r="E111" s="1347">
        <v>41.257969148236768</v>
      </c>
      <c r="F111" s="311">
        <v>78.523137721425257</v>
      </c>
      <c r="G111" s="1347">
        <v>47.643054984456498</v>
      </c>
      <c r="H111" s="311">
        <v>81.508755126632209</v>
      </c>
      <c r="I111" s="1347">
        <v>62.83288792717417</v>
      </c>
      <c r="J111" s="311">
        <v>55.246202842718219</v>
      </c>
      <c r="K111" s="1347">
        <v>34.842162397141273</v>
      </c>
      <c r="L111" s="311">
        <v>85.013474513652</v>
      </c>
      <c r="M111" s="1347">
        <v>22.010695396159559</v>
      </c>
      <c r="N111" s="1136">
        <v>36.221500075709976</v>
      </c>
    </row>
    <row r="112" spans="1:14">
      <c r="A112" s="49">
        <v>2002.07</v>
      </c>
      <c r="B112" s="311">
        <v>56.611092266197403</v>
      </c>
      <c r="C112" s="1347">
        <v>68.166195811949336</v>
      </c>
      <c r="D112" s="311">
        <v>62.691632677415704</v>
      </c>
      <c r="E112" s="1347">
        <v>48.867540337984167</v>
      </c>
      <c r="F112" s="311">
        <v>73.682909986601132</v>
      </c>
      <c r="G112" s="1347">
        <v>47.825651900963365</v>
      </c>
      <c r="H112" s="311">
        <v>80.605313269935564</v>
      </c>
      <c r="I112" s="1347">
        <v>62.996418745510354</v>
      </c>
      <c r="J112" s="311">
        <v>51.903510144937286</v>
      </c>
      <c r="K112" s="1347">
        <v>37.033324720392727</v>
      </c>
      <c r="L112" s="311">
        <v>87.45036286634236</v>
      </c>
      <c r="M112" s="1347">
        <v>24.280957227660529</v>
      </c>
      <c r="N112" s="1136">
        <v>38.486039845689014</v>
      </c>
    </row>
    <row r="113" spans="1:14">
      <c r="A113" s="49">
        <v>2002.08</v>
      </c>
      <c r="B113" s="311">
        <v>56.859821717115921</v>
      </c>
      <c r="C113" s="1347">
        <v>68.806787400662245</v>
      </c>
      <c r="D113" s="311">
        <v>59.083293082720175</v>
      </c>
      <c r="E113" s="1347">
        <v>56.433133342675447</v>
      </c>
      <c r="F113" s="311">
        <v>81.417775868590411</v>
      </c>
      <c r="G113" s="1347">
        <v>44.529238414175651</v>
      </c>
      <c r="H113" s="311">
        <v>77.407684557161033</v>
      </c>
      <c r="I113" s="1347">
        <v>61.683417175100303</v>
      </c>
      <c r="J113" s="311">
        <v>53.385792616853301</v>
      </c>
      <c r="K113" s="1347">
        <v>41.036896553438986</v>
      </c>
      <c r="L113" s="311">
        <v>88.647856325982474</v>
      </c>
      <c r="M113" s="1347">
        <v>23.37291384934246</v>
      </c>
      <c r="N113" s="1136">
        <v>38.712380488376731</v>
      </c>
    </row>
    <row r="114" spans="1:14">
      <c r="A114" s="49">
        <v>2002.09</v>
      </c>
      <c r="B114" s="311">
        <v>58.64497089334089</v>
      </c>
      <c r="C114" s="1347">
        <v>68.661752683948833</v>
      </c>
      <c r="D114" s="311">
        <v>60.728696167296405</v>
      </c>
      <c r="E114" s="1347">
        <v>60.103419266519033</v>
      </c>
      <c r="F114" s="311">
        <v>81.673395850027902</v>
      </c>
      <c r="G114" s="1347">
        <v>45.15927100164609</v>
      </c>
      <c r="H114" s="311">
        <v>86.827799668531412</v>
      </c>
      <c r="I114" s="1347">
        <v>63.681454862015705</v>
      </c>
      <c r="J114" s="311">
        <v>55.527975479542363</v>
      </c>
      <c r="K114" s="1347">
        <v>43.311366912697522</v>
      </c>
      <c r="L114" s="311">
        <v>87.994058940542345</v>
      </c>
      <c r="M114" s="1347">
        <v>24.917559035286558</v>
      </c>
      <c r="N114" s="1136">
        <v>41.662717798925428</v>
      </c>
    </row>
    <row r="115" spans="1:14">
      <c r="A115" s="49">
        <v>2002.1</v>
      </c>
      <c r="B115" s="311">
        <v>59.741126261355014</v>
      </c>
      <c r="C115" s="1347">
        <v>70.607137687395706</v>
      </c>
      <c r="D115" s="311">
        <v>63.223995979505517</v>
      </c>
      <c r="E115" s="1347">
        <v>58.330043407177953</v>
      </c>
      <c r="F115" s="311">
        <v>83.289982382483998</v>
      </c>
      <c r="G115" s="1347">
        <v>47.109607818015697</v>
      </c>
      <c r="H115" s="311">
        <v>87.929487126247594</v>
      </c>
      <c r="I115" s="1347">
        <v>65.182532653857763</v>
      </c>
      <c r="J115" s="311">
        <v>57.959185084381062</v>
      </c>
      <c r="K115" s="1347">
        <v>40.5229167119452</v>
      </c>
      <c r="L115" s="311">
        <v>91.536430854567868</v>
      </c>
      <c r="M115" s="1347">
        <v>25.291322420815856</v>
      </c>
      <c r="N115" s="1136">
        <v>41.374679682128516</v>
      </c>
    </row>
    <row r="116" spans="1:14">
      <c r="A116" s="49">
        <v>2002.11</v>
      </c>
      <c r="B116" s="311">
        <v>61.194995138338278</v>
      </c>
      <c r="C116" s="1347">
        <v>70.476782426118604</v>
      </c>
      <c r="D116" s="311">
        <v>71.682303177043991</v>
      </c>
      <c r="E116" s="1347">
        <v>59.953123401198191</v>
      </c>
      <c r="F116" s="311">
        <v>83.537298147091249</v>
      </c>
      <c r="G116" s="1347">
        <v>49.374929880700165</v>
      </c>
      <c r="H116" s="311">
        <v>86.789302126346158</v>
      </c>
      <c r="I116" s="1347">
        <v>68.69697011715229</v>
      </c>
      <c r="J116" s="311">
        <v>63.765306779201424</v>
      </c>
      <c r="K116" s="1347">
        <v>42.290365300805021</v>
      </c>
      <c r="L116" s="311">
        <v>85.783388630393176</v>
      </c>
      <c r="M116" s="1347">
        <v>25.02216808664009</v>
      </c>
      <c r="N116" s="1136">
        <v>45.229420857987151</v>
      </c>
    </row>
    <row r="117" spans="1:14">
      <c r="A117" s="49">
        <v>2002.12</v>
      </c>
      <c r="B117" s="311">
        <v>59.979705505174742</v>
      </c>
      <c r="C117" s="1347">
        <v>70.893945221054096</v>
      </c>
      <c r="D117" s="311">
        <v>74.321938989658463</v>
      </c>
      <c r="E117" s="1347">
        <v>57.66141909563612</v>
      </c>
      <c r="F117" s="311">
        <v>82.591849056694244</v>
      </c>
      <c r="G117" s="1347">
        <v>50.9031997396918</v>
      </c>
      <c r="H117" s="311">
        <v>88.547240404932182</v>
      </c>
      <c r="I117" s="1347">
        <v>64.439521469828605</v>
      </c>
      <c r="J117" s="311">
        <v>64.004756712435722</v>
      </c>
      <c r="K117" s="1347">
        <v>42.395815655514696</v>
      </c>
      <c r="L117" s="311">
        <v>84.528901277751316</v>
      </c>
      <c r="M117" s="1347">
        <v>18.260568275129412</v>
      </c>
      <c r="N117" s="1136">
        <v>44.337387967002705</v>
      </c>
    </row>
    <row r="118" spans="1:14">
      <c r="A118" s="49">
        <v>2003.01</v>
      </c>
      <c r="B118" s="311">
        <v>58.817579862715341</v>
      </c>
      <c r="C118" s="1347">
        <v>67.522007181543358</v>
      </c>
      <c r="D118" s="311">
        <v>71.855478999667952</v>
      </c>
      <c r="E118" s="1347">
        <v>67.865366830698434</v>
      </c>
      <c r="F118" s="311">
        <v>74.54817496098741</v>
      </c>
      <c r="G118" s="1347">
        <v>50.402325565044706</v>
      </c>
      <c r="H118" s="311">
        <v>88.220632500670547</v>
      </c>
      <c r="I118" s="1347">
        <v>66.858164434071725</v>
      </c>
      <c r="J118" s="311">
        <v>58.022515804278285</v>
      </c>
      <c r="K118" s="1347">
        <v>41.856409730037093</v>
      </c>
      <c r="L118" s="311">
        <v>81.265301103061233</v>
      </c>
      <c r="M118" s="1347">
        <v>13.680471100031856</v>
      </c>
      <c r="N118" s="1136">
        <v>44.50081561583486</v>
      </c>
    </row>
    <row r="119" spans="1:14">
      <c r="A119" s="49">
        <v>2003.02</v>
      </c>
      <c r="B119" s="311">
        <v>61.109429047128621</v>
      </c>
      <c r="C119" s="1347">
        <v>67.269229360645824</v>
      </c>
      <c r="D119" s="311">
        <v>66.910983178649047</v>
      </c>
      <c r="E119" s="1347">
        <v>72.313293106133628</v>
      </c>
      <c r="F119" s="311">
        <v>83.949053011986408</v>
      </c>
      <c r="G119" s="1347">
        <v>51.066947281066724</v>
      </c>
      <c r="H119" s="311">
        <v>85.964265906920645</v>
      </c>
      <c r="I119" s="1347">
        <v>67.975343079943443</v>
      </c>
      <c r="J119" s="311">
        <v>59.724182994171187</v>
      </c>
      <c r="K119" s="1347">
        <v>44.952248674152983</v>
      </c>
      <c r="L119" s="311">
        <v>91.929877327653983</v>
      </c>
      <c r="M119" s="1347">
        <v>16.82745275750278</v>
      </c>
      <c r="N119" s="1136">
        <v>49.614761634603553</v>
      </c>
    </row>
    <row r="120" spans="1:14">
      <c r="A120" s="49">
        <v>2003.03</v>
      </c>
      <c r="B120" s="311">
        <v>61.804461970214646</v>
      </c>
      <c r="C120" s="1347">
        <v>62.532498250178108</v>
      </c>
      <c r="D120" s="311">
        <v>64.36198017619266</v>
      </c>
      <c r="E120" s="1347">
        <v>75.977740369926423</v>
      </c>
      <c r="F120" s="311">
        <v>85.45379672566888</v>
      </c>
      <c r="G120" s="1347">
        <v>54.107432065025421</v>
      </c>
      <c r="H120" s="311">
        <v>86.564315413021106</v>
      </c>
      <c r="I120" s="1347">
        <v>67.952642314100999</v>
      </c>
      <c r="J120" s="311">
        <v>56.468828040006734</v>
      </c>
      <c r="K120" s="1347">
        <v>45.74347268119876</v>
      </c>
      <c r="L120" s="311">
        <v>95.806068896371215</v>
      </c>
      <c r="M120" s="1347">
        <v>21.337485533416654</v>
      </c>
      <c r="N120" s="1136">
        <v>55.851236163023373</v>
      </c>
    </row>
    <row r="121" spans="1:14">
      <c r="A121" s="49">
        <v>2003.04</v>
      </c>
      <c r="B121" s="311">
        <v>63.190907964713929</v>
      </c>
      <c r="C121" s="1347">
        <v>64.931413642204006</v>
      </c>
      <c r="D121" s="311">
        <v>72.639020241647813</v>
      </c>
      <c r="E121" s="1347">
        <v>76.526109046600666</v>
      </c>
      <c r="F121" s="311">
        <v>80.455811833988491</v>
      </c>
      <c r="G121" s="1347">
        <v>58.058585231205583</v>
      </c>
      <c r="H121" s="311">
        <v>88.219543308066037</v>
      </c>
      <c r="I121" s="1347">
        <v>67.005473222957434</v>
      </c>
      <c r="J121" s="311">
        <v>53.689414004149242</v>
      </c>
      <c r="K121" s="1347">
        <v>45.00588622987415</v>
      </c>
      <c r="L121" s="311">
        <v>94.769135489066656</v>
      </c>
      <c r="M121" s="1347">
        <v>24.660791363782426</v>
      </c>
      <c r="N121" s="1136">
        <v>59.245380752899855</v>
      </c>
    </row>
    <row r="122" spans="1:14">
      <c r="A122" s="49">
        <v>2003.05</v>
      </c>
      <c r="B122" s="311">
        <v>64.165113525798418</v>
      </c>
      <c r="C122" s="1347">
        <v>65.25926964331552</v>
      </c>
      <c r="D122" s="311">
        <v>68.045229839706039</v>
      </c>
      <c r="E122" s="1347">
        <v>79.972202095938542</v>
      </c>
      <c r="F122" s="311">
        <v>87.302430305184743</v>
      </c>
      <c r="G122" s="1347">
        <v>61.096314883415758</v>
      </c>
      <c r="H122" s="311">
        <v>88.381771542212135</v>
      </c>
      <c r="I122" s="1347">
        <v>76.48028404064658</v>
      </c>
      <c r="J122" s="311">
        <v>54.321288771858065</v>
      </c>
      <c r="K122" s="1347">
        <v>37.357406457218872</v>
      </c>
      <c r="L122" s="311">
        <v>95.670116800000002</v>
      </c>
      <c r="M122" s="1347">
        <v>22.194712227404185</v>
      </c>
      <c r="N122" s="1136">
        <v>55.120548512289375</v>
      </c>
    </row>
    <row r="123" spans="1:14">
      <c r="A123" s="49">
        <v>2003.06</v>
      </c>
      <c r="B123" s="311">
        <v>64.268923452852931</v>
      </c>
      <c r="C123" s="1347">
        <v>66.110770252777556</v>
      </c>
      <c r="D123" s="311">
        <v>67.037368878181383</v>
      </c>
      <c r="E123" s="1347">
        <v>77.117947040370751</v>
      </c>
      <c r="F123" s="311">
        <v>88.005209792968657</v>
      </c>
      <c r="G123" s="1347">
        <v>61.024656935207425</v>
      </c>
      <c r="H123" s="311">
        <v>90.278204296523057</v>
      </c>
      <c r="I123" s="1347">
        <v>74.166772100405339</v>
      </c>
      <c r="J123" s="311">
        <v>58.376028520298604</v>
      </c>
      <c r="K123" s="1347">
        <v>41.966053850651562</v>
      </c>
      <c r="L123" s="311">
        <v>92.888719104000003</v>
      </c>
      <c r="M123" s="1347">
        <v>21.758682681535134</v>
      </c>
      <c r="N123" s="1136">
        <v>55.608637122196548</v>
      </c>
    </row>
    <row r="124" spans="1:14">
      <c r="A124" s="49">
        <v>2003.07</v>
      </c>
      <c r="B124" s="311">
        <v>65.980137120603672</v>
      </c>
      <c r="C124" s="1347">
        <v>68.883314737614143</v>
      </c>
      <c r="D124" s="311">
        <v>67.075042855320959</v>
      </c>
      <c r="E124" s="1347">
        <v>75.37892701682793</v>
      </c>
      <c r="F124" s="311">
        <v>85.212327592196104</v>
      </c>
      <c r="G124" s="1347">
        <v>62.576117877523352</v>
      </c>
      <c r="H124" s="311">
        <v>87.43332239346104</v>
      </c>
      <c r="I124" s="1347">
        <v>78.341180375826312</v>
      </c>
      <c r="J124" s="311">
        <v>65.475506800286325</v>
      </c>
      <c r="K124" s="1347">
        <v>47.458668590263315</v>
      </c>
      <c r="L124" s="311">
        <v>93.767795744000011</v>
      </c>
      <c r="M124" s="1347">
        <v>18.617956969636353</v>
      </c>
      <c r="N124" s="1136">
        <v>56.485716484086609</v>
      </c>
    </row>
    <row r="125" spans="1:14">
      <c r="A125" s="49">
        <v>2003.08</v>
      </c>
      <c r="B125" s="311">
        <v>66.222465384065984</v>
      </c>
      <c r="C125" s="1347">
        <v>68.497575943814695</v>
      </c>
      <c r="D125" s="311">
        <v>59.058029384570006</v>
      </c>
      <c r="E125" s="1347">
        <v>76.628423819394044</v>
      </c>
      <c r="F125" s="311">
        <v>86.794096226052247</v>
      </c>
      <c r="G125" s="1347">
        <v>65.2</v>
      </c>
      <c r="H125" s="311">
        <v>87.976376411006612</v>
      </c>
      <c r="I125" s="1347">
        <v>73.70968062229413</v>
      </c>
      <c r="J125" s="311">
        <v>65.043900000000008</v>
      </c>
      <c r="K125" s="1347">
        <v>50.509763740173483</v>
      </c>
      <c r="L125" s="311">
        <v>94.685678800000005</v>
      </c>
      <c r="M125" s="1347">
        <v>23.830984921134533</v>
      </c>
      <c r="N125" s="1136">
        <v>58.623104020554408</v>
      </c>
    </row>
    <row r="126" spans="1:14">
      <c r="A126" s="49">
        <v>2003.09</v>
      </c>
      <c r="B126" s="311">
        <v>67.421242128469359</v>
      </c>
      <c r="C126" s="1347">
        <v>73.134520987380213</v>
      </c>
      <c r="D126" s="311">
        <v>71.278087377481256</v>
      </c>
      <c r="E126" s="1347">
        <v>76.814050658823376</v>
      </c>
      <c r="F126" s="311">
        <v>82.440128187088959</v>
      </c>
      <c r="G126" s="1347">
        <v>71.427403805136095</v>
      </c>
      <c r="H126" s="311">
        <v>84.54936247373675</v>
      </c>
      <c r="I126" s="1347">
        <v>75.611605267264054</v>
      </c>
      <c r="J126" s="311">
        <v>59.806820584926875</v>
      </c>
      <c r="K126" s="1347">
        <v>53.047430031446822</v>
      </c>
      <c r="L126" s="311">
        <v>91.512978399466647</v>
      </c>
      <c r="M126" s="1347">
        <v>25.979499405087587</v>
      </c>
      <c r="N126" s="1136">
        <v>56.033785856663656</v>
      </c>
    </row>
    <row r="127" spans="1:14">
      <c r="A127" s="49">
        <v>2003.1</v>
      </c>
      <c r="B127" s="311">
        <v>69.541686990459382</v>
      </c>
      <c r="C127" s="1347">
        <v>74.16699303745304</v>
      </c>
      <c r="D127" s="311">
        <v>68.110113321695891</v>
      </c>
      <c r="E127" s="1347">
        <v>76.232053303624539</v>
      </c>
      <c r="F127" s="311">
        <v>86.334521906245854</v>
      </c>
      <c r="G127" s="1347">
        <v>76.717498506953334</v>
      </c>
      <c r="H127" s="311">
        <v>86.320356321261528</v>
      </c>
      <c r="I127" s="1347">
        <v>77.439193049442821</v>
      </c>
      <c r="J127" s="311">
        <v>64.117643419572545</v>
      </c>
      <c r="K127" s="1347">
        <v>55.591018793116213</v>
      </c>
      <c r="L127" s="311">
        <v>96.50378427199999</v>
      </c>
      <c r="M127" s="1347">
        <v>26.317232897353723</v>
      </c>
      <c r="N127" s="1136">
        <v>58.795930559270985</v>
      </c>
    </row>
    <row r="128" spans="1:14">
      <c r="A128" s="49">
        <v>2003.11</v>
      </c>
      <c r="B128" s="311">
        <v>69.865373909694384</v>
      </c>
      <c r="C128" s="1347">
        <v>71.228257987409762</v>
      </c>
      <c r="D128" s="311">
        <v>76.007386796804226</v>
      </c>
      <c r="E128" s="1347">
        <v>75.792748544182274</v>
      </c>
      <c r="F128" s="311">
        <v>88.321195212934512</v>
      </c>
      <c r="G128" s="1347">
        <v>80.967374797372244</v>
      </c>
      <c r="H128" s="311">
        <v>90.85994236929082</v>
      </c>
      <c r="I128" s="1347">
        <v>78.985986122155794</v>
      </c>
      <c r="J128" s="311">
        <v>66.75055701994313</v>
      </c>
      <c r="K128" s="1347">
        <v>55.125854521538649</v>
      </c>
      <c r="L128" s="311">
        <v>92.448982005866668</v>
      </c>
      <c r="M128" s="1347">
        <v>30.753476112312516</v>
      </c>
      <c r="N128" s="1136">
        <v>58.081299999999999</v>
      </c>
    </row>
    <row r="129" spans="1:14">
      <c r="A129" s="49">
        <v>2003.12</v>
      </c>
      <c r="B129" s="311">
        <v>66.601366877273364</v>
      </c>
      <c r="C129" s="1347">
        <v>74.686129754377561</v>
      </c>
      <c r="D129" s="311">
        <v>75.635763683971405</v>
      </c>
      <c r="E129" s="1347">
        <v>60.6390054035123</v>
      </c>
      <c r="F129" s="311">
        <v>82.41222130350701</v>
      </c>
      <c r="G129" s="1347">
        <v>74.930735290721842</v>
      </c>
      <c r="H129" s="311">
        <v>86.372645140740502</v>
      </c>
      <c r="I129" s="1347">
        <v>73.708631635399215</v>
      </c>
      <c r="J129" s="311">
        <v>62.487948989876259</v>
      </c>
      <c r="K129" s="1347">
        <v>50.118862462484344</v>
      </c>
      <c r="L129" s="311">
        <v>91.608812200000003</v>
      </c>
      <c r="M129" s="1347">
        <v>20.912363756372514</v>
      </c>
      <c r="N129" s="1136">
        <v>54.279899999999998</v>
      </c>
    </row>
    <row r="130" spans="1:14">
      <c r="A130" s="49">
        <v>2004.01</v>
      </c>
      <c r="B130" s="311">
        <v>65.669840267304039</v>
      </c>
      <c r="C130" s="1347">
        <v>72.756127633869085</v>
      </c>
      <c r="D130" s="311">
        <v>69.893110627545695</v>
      </c>
      <c r="E130" s="1347">
        <v>68.319335138507199</v>
      </c>
      <c r="F130" s="311">
        <v>82.290808668684789</v>
      </c>
      <c r="G130" s="1347">
        <v>75.389991410782642</v>
      </c>
      <c r="H130" s="311">
        <v>90.792165922187152</v>
      </c>
      <c r="I130" s="1347">
        <v>73.703168803550412</v>
      </c>
      <c r="J130" s="311">
        <v>68.965898444999041</v>
      </c>
      <c r="K130" s="1347">
        <v>47.088389864524935</v>
      </c>
      <c r="L130" s="311">
        <v>86.17456797600002</v>
      </c>
      <c r="M130" s="1347">
        <v>18.466105120897353</v>
      </c>
      <c r="N130" s="1136">
        <v>50.772272081098137</v>
      </c>
    </row>
    <row r="131" spans="1:14">
      <c r="A131" s="49">
        <v>2004.02</v>
      </c>
      <c r="B131" s="311">
        <v>67.104843171392588</v>
      </c>
      <c r="C131" s="1347">
        <v>71.098310725553333</v>
      </c>
      <c r="D131" s="311">
        <v>70.749795333531509</v>
      </c>
      <c r="E131" s="1347">
        <v>78.695202797999372</v>
      </c>
      <c r="F131" s="311">
        <v>86.238793760156597</v>
      </c>
      <c r="G131" s="1347">
        <v>78.390804597701162</v>
      </c>
      <c r="H131" s="311">
        <v>82.093296982613452</v>
      </c>
      <c r="I131" s="1347">
        <v>74.555196143952784</v>
      </c>
      <c r="J131" s="311">
        <v>64.962089356838192</v>
      </c>
      <c r="K131" s="1347">
        <v>49.068137972490966</v>
      </c>
      <c r="L131" s="311">
        <v>94.752447870068963</v>
      </c>
      <c r="M131" s="1347">
        <v>23.204189572965792</v>
      </c>
      <c r="N131" s="1136">
        <v>55.107175648469543</v>
      </c>
    </row>
    <row r="132" spans="1:14">
      <c r="A132" s="49">
        <v>2004.03</v>
      </c>
      <c r="B132" s="311">
        <v>71.039879533712707</v>
      </c>
      <c r="C132" s="1347">
        <v>74.572738309068981</v>
      </c>
      <c r="D132" s="311">
        <v>83.099207402261356</v>
      </c>
      <c r="E132" s="1347">
        <v>77.69327253426664</v>
      </c>
      <c r="F132" s="311">
        <v>86.630299009305077</v>
      </c>
      <c r="G132" s="1347">
        <v>74.022222222222226</v>
      </c>
      <c r="H132" s="311">
        <v>91.292687436410972</v>
      </c>
      <c r="I132" s="1347">
        <v>79.268315413572864</v>
      </c>
      <c r="J132" s="311">
        <v>65.482768564896418</v>
      </c>
      <c r="K132" s="1347">
        <v>50.409379531407573</v>
      </c>
      <c r="L132" s="311">
        <v>93.092694399999999</v>
      </c>
      <c r="M132" s="1347">
        <v>34.03628811634789</v>
      </c>
      <c r="N132" s="1136">
        <v>61.840309312085829</v>
      </c>
    </row>
    <row r="133" spans="1:14">
      <c r="A133" s="49">
        <v>2004.04</v>
      </c>
      <c r="B133" s="311">
        <v>68.392055548120055</v>
      </c>
      <c r="C133" s="1347">
        <v>72.808476574791925</v>
      </c>
      <c r="D133" s="311">
        <v>56.73017708720208</v>
      </c>
      <c r="E133" s="1347">
        <v>80.404815655882999</v>
      </c>
      <c r="F133" s="311">
        <v>84.847734294562528</v>
      </c>
      <c r="G133" s="1347">
        <v>71.583209876543222</v>
      </c>
      <c r="H133" s="311">
        <v>85.080517782305762</v>
      </c>
      <c r="I133" s="1347">
        <v>74.338069147130213</v>
      </c>
      <c r="J133" s="311">
        <v>63.058795319483963</v>
      </c>
      <c r="K133" s="1347">
        <v>48.372433022807385</v>
      </c>
      <c r="L133" s="311">
        <v>90.818642436266671</v>
      </c>
      <c r="M133" s="1347">
        <v>32.558774740974265</v>
      </c>
      <c r="N133" s="1136">
        <v>61.151505146733982</v>
      </c>
    </row>
    <row r="134" spans="1:14">
      <c r="A134" s="49">
        <v>2004.05</v>
      </c>
      <c r="B134" s="311">
        <v>68.917114461902372</v>
      </c>
      <c r="C134" s="1347">
        <v>71.233942431592808</v>
      </c>
      <c r="D134" s="311">
        <v>63.175239541145871</v>
      </c>
      <c r="E134" s="1347">
        <v>79.609871126905432</v>
      </c>
      <c r="F134" s="311">
        <v>77.160724720413853</v>
      </c>
      <c r="G134" s="1347">
        <v>66.785185185185185</v>
      </c>
      <c r="H134" s="311">
        <v>86.698733736444382</v>
      </c>
      <c r="I134" s="1347">
        <v>76.721123094180001</v>
      </c>
      <c r="J134" s="311">
        <v>64.900599396477062</v>
      </c>
      <c r="K134" s="1347">
        <v>50.636743360985378</v>
      </c>
      <c r="L134" s="311">
        <v>93.524847431999987</v>
      </c>
      <c r="M134" s="1347">
        <v>32.997866888102394</v>
      </c>
      <c r="N134" s="1136">
        <v>64.246373493215529</v>
      </c>
    </row>
    <row r="135" spans="1:14">
      <c r="A135" s="49">
        <v>2004.06</v>
      </c>
      <c r="B135" s="311">
        <v>70.844509150540915</v>
      </c>
      <c r="C135" s="1347">
        <v>73.475303133207206</v>
      </c>
      <c r="D135" s="311">
        <v>59.270167371449517</v>
      </c>
      <c r="E135" s="1347">
        <v>83.606911616479252</v>
      </c>
      <c r="F135" s="311">
        <v>81.732092599198211</v>
      </c>
      <c r="G135" s="1347">
        <v>73.075802469135809</v>
      </c>
      <c r="H135" s="311">
        <v>89.618468930743774</v>
      </c>
      <c r="I135" s="1347">
        <v>79.567755289736908</v>
      </c>
      <c r="J135" s="311">
        <v>63.705379502066165</v>
      </c>
      <c r="K135" s="1347">
        <v>52.239953220631762</v>
      </c>
      <c r="L135" s="311">
        <v>91.750298034133323</v>
      </c>
      <c r="M135" s="1347">
        <v>35.61621201462529</v>
      </c>
      <c r="N135" s="1136">
        <v>64.174230987693278</v>
      </c>
    </row>
    <row r="136" spans="1:14">
      <c r="A136" s="49">
        <v>2004.07</v>
      </c>
      <c r="B136" s="311">
        <v>71.456338038665024</v>
      </c>
      <c r="C136" s="1347">
        <v>74.819382180038801</v>
      </c>
      <c r="D136" s="311">
        <v>59.897914652693515</v>
      </c>
      <c r="E136" s="1347">
        <v>81.233294369836528</v>
      </c>
      <c r="F136" s="311">
        <v>83.807418356181074</v>
      </c>
      <c r="G136" s="1347">
        <v>71.614814814814821</v>
      </c>
      <c r="H136" s="311">
        <v>91.734118545210919</v>
      </c>
      <c r="I136" s="1347">
        <v>80.862602124957149</v>
      </c>
      <c r="J136" s="311">
        <v>66.366850077472435</v>
      </c>
      <c r="K136" s="1347">
        <v>52.425438578603789</v>
      </c>
      <c r="L136" s="311">
        <v>94.480300008</v>
      </c>
      <c r="M136" s="1347">
        <v>32.522371200131786</v>
      </c>
      <c r="N136" s="1136">
        <v>64.368971707163141</v>
      </c>
    </row>
    <row r="137" spans="1:14">
      <c r="A137" s="49">
        <v>2004.08</v>
      </c>
      <c r="B137" s="311">
        <v>71.479216363106545</v>
      </c>
      <c r="C137" s="1347">
        <v>73.583085473121386</v>
      </c>
      <c r="D137" s="311">
        <v>60.242206631733424</v>
      </c>
      <c r="E137" s="1347">
        <v>81.328523117998913</v>
      </c>
      <c r="F137" s="311">
        <v>86.961851049003016</v>
      </c>
      <c r="G137" s="1347">
        <v>68.3986013986014</v>
      </c>
      <c r="H137" s="311">
        <v>89.178684026812135</v>
      </c>
      <c r="I137" s="1347">
        <v>79.191016746120766</v>
      </c>
      <c r="J137" s="311">
        <v>71.005171680372626</v>
      </c>
      <c r="K137" s="1347">
        <v>52.892113058941348</v>
      </c>
      <c r="L137" s="311">
        <v>93.861718632000006</v>
      </c>
      <c r="M137" s="1347">
        <v>36.14994314223015</v>
      </c>
      <c r="N137" s="1136">
        <v>66.758412290943511</v>
      </c>
    </row>
    <row r="138" spans="1:14">
      <c r="A138" s="49">
        <v>2004.09</v>
      </c>
      <c r="B138" s="311">
        <v>71.810514222884024</v>
      </c>
      <c r="C138" s="1347">
        <v>75.393963079424481</v>
      </c>
      <c r="D138" s="311">
        <v>67.248751292473543</v>
      </c>
      <c r="E138" s="1347">
        <v>84.200008591097998</v>
      </c>
      <c r="F138" s="311">
        <v>82.149079007111382</v>
      </c>
      <c r="G138" s="1347">
        <v>72.029836829836825</v>
      </c>
      <c r="H138" s="311">
        <v>92.590981421375218</v>
      </c>
      <c r="I138" s="1347">
        <v>76.879506775446913</v>
      </c>
      <c r="J138" s="311">
        <v>71.478064646464645</v>
      </c>
      <c r="K138" s="1347">
        <v>57.402981083102276</v>
      </c>
      <c r="L138" s="311">
        <v>92.258909449599997</v>
      </c>
      <c r="M138" s="1347">
        <v>39.04612091051996</v>
      </c>
      <c r="N138" s="1136">
        <v>63.064545276112334</v>
      </c>
    </row>
    <row r="139" spans="1:14">
      <c r="A139" s="49">
        <v>2004.1</v>
      </c>
      <c r="B139" s="311">
        <v>70.628199762880016</v>
      </c>
      <c r="C139" s="1347">
        <v>72.78320598879526</v>
      </c>
      <c r="D139" s="311">
        <v>58.686592960189955</v>
      </c>
      <c r="E139" s="1347">
        <v>79.483169421333486</v>
      </c>
      <c r="F139" s="311">
        <v>85.637645258210895</v>
      </c>
      <c r="G139" s="1347">
        <v>69.069930069930066</v>
      </c>
      <c r="H139" s="311">
        <v>93.717721216372212</v>
      </c>
      <c r="I139" s="1347">
        <v>77.718409809965422</v>
      </c>
      <c r="J139" s="311">
        <v>65.802713861013203</v>
      </c>
      <c r="K139" s="1347">
        <v>56.877882879483352</v>
      </c>
      <c r="L139" s="311">
        <v>98.127802740645166</v>
      </c>
      <c r="M139" s="1347">
        <v>38.590309721459967</v>
      </c>
      <c r="N139" s="1136">
        <v>60.81612501262228</v>
      </c>
    </row>
    <row r="140" spans="1:14">
      <c r="A140" s="49">
        <v>2004.11</v>
      </c>
      <c r="B140" s="311">
        <v>70.425364025325877</v>
      </c>
      <c r="C140" s="1347">
        <v>70.72131367154455</v>
      </c>
      <c r="D140" s="311">
        <v>74.101690958314038</v>
      </c>
      <c r="E140" s="1347">
        <v>78.765740249716401</v>
      </c>
      <c r="F140" s="311">
        <v>86.216645626837106</v>
      </c>
      <c r="G140" s="1347">
        <v>73.496736596736582</v>
      </c>
      <c r="H140" s="311">
        <v>83.153613223659505</v>
      </c>
      <c r="I140" s="1347">
        <v>74.878484311169657</v>
      </c>
      <c r="J140" s="311">
        <v>66.860093785663878</v>
      </c>
      <c r="K140" s="1347">
        <v>57.017076070012507</v>
      </c>
      <c r="L140" s="311">
        <v>97.844244802162166</v>
      </c>
      <c r="M140" s="1347">
        <v>45.744270168399296</v>
      </c>
      <c r="N140" s="1136">
        <v>62.306890817292519</v>
      </c>
    </row>
    <row r="141" spans="1:14">
      <c r="A141" s="49">
        <v>2004.12</v>
      </c>
      <c r="B141" s="311">
        <v>68.517193491133852</v>
      </c>
      <c r="C141" s="1347">
        <v>74.141086096765179</v>
      </c>
      <c r="D141" s="311">
        <v>64.578072279665193</v>
      </c>
      <c r="E141" s="1347">
        <v>61.012675891831556</v>
      </c>
      <c r="F141" s="311">
        <v>81.249796731758849</v>
      </c>
      <c r="G141" s="1347">
        <v>74.689044289044276</v>
      </c>
      <c r="H141" s="311">
        <v>91.149901435674181</v>
      </c>
      <c r="I141" s="1347">
        <v>75.31211150196232</v>
      </c>
      <c r="J141" s="311">
        <v>62.505646597764475</v>
      </c>
      <c r="K141" s="1347">
        <v>54.30658394762979</v>
      </c>
      <c r="L141" s="311">
        <v>93.974916163487379</v>
      </c>
      <c r="M141" s="1347">
        <v>34.95200077995581</v>
      </c>
      <c r="N141" s="1136">
        <v>55.958310405490685</v>
      </c>
    </row>
    <row r="142" spans="1:14">
      <c r="A142" s="49">
        <v>2005.01</v>
      </c>
      <c r="B142" s="311">
        <v>68.318735992250225</v>
      </c>
      <c r="C142" s="1347">
        <v>70.236657041125824</v>
      </c>
      <c r="D142" s="311">
        <v>60.675868379222528</v>
      </c>
      <c r="E142" s="1347">
        <v>63.309770260812726</v>
      </c>
      <c r="F142" s="311">
        <v>80.267482547444558</v>
      </c>
      <c r="G142" s="1347">
        <v>77</v>
      </c>
      <c r="H142" s="311">
        <v>84.759776794848008</v>
      </c>
      <c r="I142" s="1347">
        <v>74.045599182084104</v>
      </c>
      <c r="J142" s="311">
        <v>62.775639479738473</v>
      </c>
      <c r="K142" s="1347">
        <v>55.840598708904324</v>
      </c>
      <c r="L142" s="311">
        <v>85.376807052024603</v>
      </c>
      <c r="M142" s="1347">
        <v>33.043882599841488</v>
      </c>
      <c r="N142" s="1136">
        <v>51.84750733137831</v>
      </c>
    </row>
    <row r="143" spans="1:14">
      <c r="A143" s="49">
        <v>2005.02</v>
      </c>
      <c r="B143" s="311">
        <v>72.308496459725376</v>
      </c>
      <c r="C143" s="1347">
        <v>72.334652828674024</v>
      </c>
      <c r="D143" s="311">
        <v>65.115322492285259</v>
      </c>
      <c r="E143" s="1347">
        <v>77.000424619597723</v>
      </c>
      <c r="F143" s="311">
        <v>86.384053175150385</v>
      </c>
      <c r="G143" s="1347">
        <v>81.103867256342909</v>
      </c>
      <c r="H143" s="311">
        <v>92.010741808638869</v>
      </c>
      <c r="I143" s="1347">
        <v>77.639102286377437</v>
      </c>
      <c r="J143" s="311">
        <v>63.738442992686743</v>
      </c>
      <c r="K143" s="1347">
        <v>57.324362882730199</v>
      </c>
      <c r="L143" s="311">
        <v>95.215014065375499</v>
      </c>
      <c r="M143" s="1347">
        <v>21.857517856677596</v>
      </c>
      <c r="N143" s="1136">
        <v>59.415584415584412</v>
      </c>
    </row>
    <row r="144" spans="1:14">
      <c r="A144" s="49">
        <v>2005.03</v>
      </c>
      <c r="B144" s="311">
        <v>73.160305765733469</v>
      </c>
      <c r="C144" s="1347">
        <v>69.290257795139652</v>
      </c>
      <c r="D144" s="311">
        <v>60.951253740019197</v>
      </c>
      <c r="E144" s="1347">
        <v>76.65723167357703</v>
      </c>
      <c r="F144" s="311">
        <v>84.975728842559064</v>
      </c>
      <c r="G144" s="1347">
        <v>78.584551591128246</v>
      </c>
      <c r="H144" s="311">
        <v>90.210347305274752</v>
      </c>
      <c r="I144" s="1347">
        <v>76.043793122301039</v>
      </c>
      <c r="J144" s="311">
        <v>67.425016667565671</v>
      </c>
      <c r="K144" s="1347">
        <v>57.425808247039896</v>
      </c>
      <c r="L144" s="311">
        <v>96.160147276351594</v>
      </c>
      <c r="M144" s="1347">
        <v>42.868237056137488</v>
      </c>
      <c r="N144" s="1136">
        <v>61.994134897360709</v>
      </c>
    </row>
    <row r="145" spans="1:14">
      <c r="A145" s="49">
        <v>2005.04</v>
      </c>
      <c r="B145" s="311">
        <v>72.86632626804068</v>
      </c>
      <c r="C145" s="1347">
        <v>67.817813125539189</v>
      </c>
      <c r="D145" s="311">
        <v>59.625096698705804</v>
      </c>
      <c r="E145" s="1347">
        <v>78.066525482358827</v>
      </c>
      <c r="F145" s="311">
        <v>82.648795257609663</v>
      </c>
      <c r="G145" s="1347">
        <v>80.139517465429606</v>
      </c>
      <c r="H145" s="311">
        <v>83.217504793546354</v>
      </c>
      <c r="I145" s="1347">
        <v>74.033244648463793</v>
      </c>
      <c r="J145" s="311">
        <v>68.103546386877127</v>
      </c>
      <c r="K145" s="1347">
        <v>61.568504061587326</v>
      </c>
      <c r="L145" s="311">
        <v>97.620594054572351</v>
      </c>
      <c r="M145" s="1347">
        <v>43.734508393910183</v>
      </c>
      <c r="N145" s="1136">
        <v>66.091954022988503</v>
      </c>
    </row>
    <row r="146" spans="1:14">
      <c r="A146" s="49">
        <v>2005.05</v>
      </c>
      <c r="B146" s="311">
        <v>72.520698762256202</v>
      </c>
      <c r="C146" s="1347">
        <v>67.344641052453539</v>
      </c>
      <c r="D146" s="311">
        <v>61.546509789125835</v>
      </c>
      <c r="E146" s="1347">
        <v>77.924238143240643</v>
      </c>
      <c r="F146" s="311">
        <v>82.074905706880088</v>
      </c>
      <c r="G146" s="1347">
        <v>77.640179782217643</v>
      </c>
      <c r="H146" s="311">
        <v>82.313400791983369</v>
      </c>
      <c r="I146" s="1347">
        <v>77.388108270005574</v>
      </c>
      <c r="J146" s="311">
        <v>65.538446966270826</v>
      </c>
      <c r="K146" s="1347">
        <v>59.35994074191229</v>
      </c>
      <c r="L146" s="311">
        <v>98.523726755699286</v>
      </c>
      <c r="M146" s="1347">
        <v>40.915637021342043</v>
      </c>
      <c r="N146" s="1136">
        <v>64.349276974416028</v>
      </c>
    </row>
    <row r="147" spans="1:14">
      <c r="A147" s="49">
        <v>2005.06</v>
      </c>
      <c r="B147" s="311">
        <v>73.070211282229153</v>
      </c>
      <c r="C147" s="1347">
        <v>69.688757073792232</v>
      </c>
      <c r="D147" s="311">
        <v>60.489736119976371</v>
      </c>
      <c r="E147" s="1347">
        <v>82.170517584756212</v>
      </c>
      <c r="F147" s="311">
        <v>78.864762789728957</v>
      </c>
      <c r="G147" s="1347">
        <v>77.711336532220869</v>
      </c>
      <c r="H147" s="311">
        <v>84.561690172847932</v>
      </c>
      <c r="I147" s="1347">
        <v>78.601429502707205</v>
      </c>
      <c r="J147" s="311">
        <v>68.108731880063715</v>
      </c>
      <c r="K147" s="1347">
        <v>58.782665096969339</v>
      </c>
      <c r="L147" s="311">
        <v>93.330079610544885</v>
      </c>
      <c r="M147" s="1347">
        <v>42.117823054810103</v>
      </c>
      <c r="N147" s="1136">
        <v>64.885057471264375</v>
      </c>
    </row>
    <row r="148" spans="1:14">
      <c r="A148" s="49">
        <v>2005.07</v>
      </c>
      <c r="B148" s="311">
        <v>72.116858062621048</v>
      </c>
      <c r="C148" s="1347">
        <v>68.731147819347427</v>
      </c>
      <c r="D148" s="311">
        <v>59.665415939991675</v>
      </c>
      <c r="E148" s="1347">
        <v>80.180535481695955</v>
      </c>
      <c r="F148" s="311">
        <v>81.062131821066558</v>
      </c>
      <c r="G148" s="1347">
        <v>74.57460701158648</v>
      </c>
      <c r="H148" s="311">
        <v>83.417452077623778</v>
      </c>
      <c r="I148" s="1347">
        <v>78.077065962237086</v>
      </c>
      <c r="J148" s="311">
        <v>67.902503986085776</v>
      </c>
      <c r="K148" s="1347">
        <v>61.950368638684864</v>
      </c>
      <c r="L148" s="311">
        <v>93.420361101335246</v>
      </c>
      <c r="M148" s="1347">
        <v>42.507780647514608</v>
      </c>
      <c r="N148" s="1136">
        <v>61.012235817575089</v>
      </c>
    </row>
    <row r="149" spans="1:14">
      <c r="A149" s="49">
        <v>2005.08</v>
      </c>
      <c r="B149" s="311">
        <v>74.314661902584731</v>
      </c>
      <c r="C149" s="1347">
        <v>71.521262487349546</v>
      </c>
      <c r="D149" s="311">
        <v>55.409652941218567</v>
      </c>
      <c r="E149" s="1347">
        <v>82.729113274901039</v>
      </c>
      <c r="F149" s="311">
        <v>81.598975460694874</v>
      </c>
      <c r="G149" s="1347">
        <v>75.407490937853851</v>
      </c>
      <c r="H149" s="311">
        <v>90.480078482722661</v>
      </c>
      <c r="I149" s="1347">
        <v>77.672219647508484</v>
      </c>
      <c r="J149" s="311">
        <v>68.335215975018954</v>
      </c>
      <c r="K149" s="1347">
        <v>62.984666403438922</v>
      </c>
      <c r="L149" s="311">
        <v>95.15852699763704</v>
      </c>
      <c r="M149" s="1347">
        <v>45.952823599714577</v>
      </c>
      <c r="N149" s="1136">
        <v>63.793103448275865</v>
      </c>
    </row>
    <row r="150" spans="1:14">
      <c r="A150" s="49">
        <v>2005.09</v>
      </c>
      <c r="B150" s="311">
        <v>75.747818819954148</v>
      </c>
      <c r="C150" s="1347">
        <v>75.828248531140687</v>
      </c>
      <c r="D150" s="311">
        <v>58.524049536935941</v>
      </c>
      <c r="E150" s="1347">
        <v>84.81273680287336</v>
      </c>
      <c r="F150" s="311">
        <v>76.050555940763971</v>
      </c>
      <c r="G150" s="1347">
        <v>78.960771440696519</v>
      </c>
      <c r="H150" s="311">
        <v>93.610312223218614</v>
      </c>
      <c r="I150" s="1347">
        <v>79.312726266303045</v>
      </c>
      <c r="J150" s="311">
        <v>70.686166028768412</v>
      </c>
      <c r="K150" s="1347">
        <v>67.251165217096016</v>
      </c>
      <c r="L150" s="311">
        <v>87.69416316328163</v>
      </c>
      <c r="M150" s="1347">
        <v>47.127962620393774</v>
      </c>
      <c r="N150" s="1136">
        <v>66.321839080459782</v>
      </c>
    </row>
    <row r="151" spans="1:14">
      <c r="A151" s="49">
        <v>2005.1</v>
      </c>
      <c r="B151" s="311">
        <v>74.000191245929599</v>
      </c>
      <c r="C151" s="1347">
        <v>74.010043998939068</v>
      </c>
      <c r="D151" s="311">
        <v>57.073918818585923</v>
      </c>
      <c r="E151" s="1347">
        <v>81.333090904865998</v>
      </c>
      <c r="F151" s="311">
        <v>78.638226070567214</v>
      </c>
      <c r="G151" s="1347">
        <v>77.571432353763441</v>
      </c>
      <c r="H151" s="311">
        <v>89.848579513304799</v>
      </c>
      <c r="I151" s="1347">
        <v>77.574512207696955</v>
      </c>
      <c r="J151" s="311">
        <v>66.57350785500212</v>
      </c>
      <c r="K151" s="1347">
        <v>64.438324071876394</v>
      </c>
      <c r="L151" s="311">
        <v>92.356085738461957</v>
      </c>
      <c r="M151" s="1347">
        <v>44.559277942142948</v>
      </c>
      <c r="N151" s="1136">
        <v>61.512791991101224</v>
      </c>
    </row>
    <row r="152" spans="1:14">
      <c r="A152" s="49">
        <v>2005.11</v>
      </c>
      <c r="B152" s="311">
        <v>74.776075799346458</v>
      </c>
      <c r="C152" s="1347">
        <v>73.253773658294079</v>
      </c>
      <c r="D152" s="311">
        <v>66.194322663495598</v>
      </c>
      <c r="E152" s="1347">
        <v>79.054873628959498</v>
      </c>
      <c r="F152" s="311">
        <v>80.446490286982126</v>
      </c>
      <c r="G152" s="1347">
        <v>78.264575630185334</v>
      </c>
      <c r="H152" s="311">
        <v>91.080544491050347</v>
      </c>
      <c r="I152" s="1347">
        <v>74.359134831974799</v>
      </c>
      <c r="J152" s="311">
        <v>67.904119897824458</v>
      </c>
      <c r="K152" s="1347">
        <v>63.993870036865303</v>
      </c>
      <c r="L152" s="311">
        <v>96.695739082399896</v>
      </c>
      <c r="M152" s="1347">
        <v>53.528738384526399</v>
      </c>
      <c r="N152" s="1136">
        <v>61.781609195402297</v>
      </c>
    </row>
    <row r="153" spans="1:14">
      <c r="A153" s="49">
        <v>2005.12</v>
      </c>
      <c r="B153" s="311">
        <v>70.975469603590412</v>
      </c>
      <c r="C153" s="1347">
        <v>73.479828170716317</v>
      </c>
      <c r="D153" s="311">
        <v>66.160879415215732</v>
      </c>
      <c r="E153" s="1347">
        <v>71.01015287142333</v>
      </c>
      <c r="F153" s="311">
        <v>74.419052398458959</v>
      </c>
      <c r="G153" s="1347">
        <v>72.083412137488239</v>
      </c>
      <c r="H153" s="311">
        <v>92.575588214494857</v>
      </c>
      <c r="I153" s="1347">
        <v>71.71376147427361</v>
      </c>
      <c r="J153" s="311">
        <v>63.745645138597588</v>
      </c>
      <c r="K153" s="1347">
        <v>62.002303549518111</v>
      </c>
      <c r="L153" s="311">
        <v>93.397331305624846</v>
      </c>
      <c r="M153" s="1347">
        <v>33.864642207479854</v>
      </c>
      <c r="N153" s="1136">
        <v>56.507230255839822</v>
      </c>
    </row>
    <row r="154" spans="1:14">
      <c r="A154" s="49">
        <v>2006.01</v>
      </c>
      <c r="B154" s="311">
        <v>67.517537544902069</v>
      </c>
      <c r="C154" s="1347">
        <v>69.872455907701038</v>
      </c>
      <c r="D154" s="311">
        <v>65.435262270719463</v>
      </c>
      <c r="E154" s="1347">
        <v>66.43782340800928</v>
      </c>
      <c r="F154" s="311">
        <v>77.886157439211004</v>
      </c>
      <c r="G154" s="1347">
        <v>70.049116205114487</v>
      </c>
      <c r="H154" s="311">
        <v>91.277413780425704</v>
      </c>
      <c r="I154" s="1347">
        <v>74.002518721118079</v>
      </c>
      <c r="J154" s="311">
        <v>64.222044121258207</v>
      </c>
      <c r="K154" s="1347">
        <v>59.940901429249507</v>
      </c>
      <c r="L154" s="311">
        <v>82.794851008593113</v>
      </c>
      <c r="M154" s="1347">
        <v>18.030854920495376</v>
      </c>
      <c r="N154" s="1136">
        <v>53.17018909899889</v>
      </c>
    </row>
    <row r="155" spans="1:14">
      <c r="A155" s="49">
        <v>2006.02</v>
      </c>
      <c r="B155" s="311">
        <v>73.521538114939688</v>
      </c>
      <c r="C155" s="1347">
        <v>71.576835412477678</v>
      </c>
      <c r="D155" s="311">
        <v>74.484998266063911</v>
      </c>
      <c r="E155" s="1347">
        <v>77.704091275017149</v>
      </c>
      <c r="F155" s="311">
        <v>78.151704908615997</v>
      </c>
      <c r="G155" s="1347">
        <v>76.439113522319303</v>
      </c>
      <c r="H155" s="311">
        <v>94.170076450522501</v>
      </c>
      <c r="I155" s="1347">
        <v>74.858704429042689</v>
      </c>
      <c r="J155" s="311">
        <v>61.562807348918177</v>
      </c>
      <c r="K155" s="1347">
        <v>61.893970568135934</v>
      </c>
      <c r="L155" s="311">
        <v>96.651869880007041</v>
      </c>
      <c r="M155" s="1347">
        <v>47.340932933971899</v>
      </c>
      <c r="N155" s="1136">
        <v>59.236453201970441</v>
      </c>
    </row>
    <row r="156" spans="1:14">
      <c r="A156" s="49">
        <v>2006.03</v>
      </c>
      <c r="B156" s="311">
        <v>74.018181576553346</v>
      </c>
      <c r="C156" s="1347">
        <v>70.109867861887921</v>
      </c>
      <c r="D156" s="311">
        <v>67.887767144575577</v>
      </c>
      <c r="E156" s="1347">
        <v>79.531182601676988</v>
      </c>
      <c r="F156" s="311">
        <v>78.883072918914351</v>
      </c>
      <c r="G156" s="1347">
        <v>75.222710373077348</v>
      </c>
      <c r="H156" s="311">
        <v>92.847363932915357</v>
      </c>
      <c r="I156" s="1347">
        <v>74.625037545096518</v>
      </c>
      <c r="J156" s="311">
        <v>64.966643275557217</v>
      </c>
      <c r="K156" s="1347">
        <v>61.319465729271506</v>
      </c>
      <c r="L156" s="311">
        <v>97.800115886275449</v>
      </c>
      <c r="M156" s="1347">
        <v>51.988989367699091</v>
      </c>
      <c r="N156" s="1136">
        <v>62.47126436781609</v>
      </c>
    </row>
    <row r="157" spans="1:14">
      <c r="A157" s="49">
        <v>2006.04</v>
      </c>
      <c r="B157" s="311">
        <v>73.488354619557711</v>
      </c>
      <c r="C157" s="1347">
        <v>65.304159080432157</v>
      </c>
      <c r="D157" s="311">
        <v>59.520016445119985</v>
      </c>
      <c r="E157" s="1347">
        <v>80.914311602256717</v>
      </c>
      <c r="F157" s="311">
        <v>78.433033343240481</v>
      </c>
      <c r="G157" s="1347">
        <v>74.810633308134669</v>
      </c>
      <c r="H157" s="311">
        <v>93.169552894696508</v>
      </c>
      <c r="I157" s="1347">
        <v>76.476661951674572</v>
      </c>
      <c r="J157" s="311">
        <v>63.420064197628264</v>
      </c>
      <c r="K157" s="1347">
        <v>64.527485994095912</v>
      </c>
      <c r="L157" s="311">
        <v>96.325503518333164</v>
      </c>
      <c r="M157" s="1347">
        <v>50.601798260796194</v>
      </c>
      <c r="N157" s="1136">
        <v>65.245901639344268</v>
      </c>
    </row>
    <row r="158" spans="1:14">
      <c r="A158" s="49">
        <v>2006.05</v>
      </c>
      <c r="B158" s="311">
        <v>72.885808895912291</v>
      </c>
      <c r="C158" s="1347">
        <v>67.318021509487508</v>
      </c>
      <c r="D158" s="311">
        <v>68.04099802760328</v>
      </c>
      <c r="E158" s="1347">
        <v>79.402752668253612</v>
      </c>
      <c r="F158" s="311">
        <v>79.424983345442286</v>
      </c>
      <c r="G158" s="1347">
        <v>72.450962160486412</v>
      </c>
      <c r="H158" s="311">
        <v>92.322264595325791</v>
      </c>
      <c r="I158" s="1347">
        <v>74.798955481927933</v>
      </c>
      <c r="J158" s="311">
        <v>61.157583840368432</v>
      </c>
      <c r="K158" s="1347">
        <v>64.67132434176736</v>
      </c>
      <c r="L158" s="311">
        <v>95.823459206735748</v>
      </c>
      <c r="M158" s="1347">
        <v>46.360464373073093</v>
      </c>
      <c r="N158" s="1136">
        <v>64.357482813326286</v>
      </c>
    </row>
    <row r="159" spans="1:14">
      <c r="A159" s="49">
        <v>2006.06</v>
      </c>
      <c r="B159" s="311">
        <v>74.758492584040269</v>
      </c>
      <c r="C159" s="1347">
        <v>69.391533134446547</v>
      </c>
      <c r="D159" s="311">
        <v>60.091166319833953</v>
      </c>
      <c r="E159" s="1347">
        <v>81.518961469783818</v>
      </c>
      <c r="F159" s="311">
        <v>77.151127964875201</v>
      </c>
      <c r="G159" s="1347">
        <v>73.900396714456591</v>
      </c>
      <c r="H159" s="311">
        <v>94.605823357380274</v>
      </c>
      <c r="I159" s="1347">
        <v>76.289045837952159</v>
      </c>
      <c r="J159" s="311">
        <v>64.929642124490115</v>
      </c>
      <c r="K159" s="1347">
        <v>67.067520459776063</v>
      </c>
      <c r="L159" s="311">
        <v>97.835609203977882</v>
      </c>
      <c r="M159" s="1347">
        <v>54.251793732265838</v>
      </c>
      <c r="N159" s="1136">
        <v>63.879781420765028</v>
      </c>
    </row>
    <row r="160" spans="1:14">
      <c r="A160" s="49">
        <v>2006.07</v>
      </c>
      <c r="B160" s="311">
        <v>73.713858166517639</v>
      </c>
      <c r="C160" s="1347">
        <v>69.061811043328333</v>
      </c>
      <c r="D160" s="311">
        <v>66.679148420376904</v>
      </c>
      <c r="E160" s="1347">
        <v>82.533507553585594</v>
      </c>
      <c r="F160" s="311">
        <v>79.410316553705456</v>
      </c>
      <c r="G160" s="1347">
        <v>72.54440708158765</v>
      </c>
      <c r="H160" s="311">
        <v>92.197346651448782</v>
      </c>
      <c r="I160" s="1347">
        <v>76.656125160604958</v>
      </c>
      <c r="J160" s="311">
        <v>64.619140503975927</v>
      </c>
      <c r="K160" s="1347">
        <v>63.38548709084214</v>
      </c>
      <c r="L160" s="311">
        <v>93.987298093825984</v>
      </c>
      <c r="M160" s="1347">
        <v>55.123901030940047</v>
      </c>
      <c r="N160" s="1136">
        <v>61.396086726599684</v>
      </c>
    </row>
    <row r="161" spans="1:14">
      <c r="A161" s="49">
        <v>2006.08</v>
      </c>
      <c r="B161" s="311">
        <v>74.558799451799686</v>
      </c>
      <c r="C161" s="1347">
        <v>72.561339639920405</v>
      </c>
      <c r="D161" s="311">
        <v>66.123990498931292</v>
      </c>
      <c r="E161" s="1347">
        <v>83.586034928822784</v>
      </c>
      <c r="F161" s="311">
        <v>78.0405350256312</v>
      </c>
      <c r="G161" s="1347">
        <v>71.715862114490079</v>
      </c>
      <c r="H161" s="311">
        <v>97.070962717086147</v>
      </c>
      <c r="I161" s="1347">
        <v>72.300593576243116</v>
      </c>
      <c r="J161" s="311">
        <v>64.813709062068781</v>
      </c>
      <c r="K161" s="1347">
        <v>66.646630061128491</v>
      </c>
      <c r="L161" s="311">
        <v>91.269288594253638</v>
      </c>
      <c r="M161" s="1347">
        <v>60.588814606049283</v>
      </c>
      <c r="N161" s="1136">
        <v>62.799167533818931</v>
      </c>
    </row>
    <row r="162" spans="1:14">
      <c r="A162" s="49">
        <v>2006.09</v>
      </c>
      <c r="B162" s="311">
        <v>76.040316486755216</v>
      </c>
      <c r="C162" s="1347">
        <v>74.697257907389982</v>
      </c>
      <c r="D162" s="311">
        <v>67.962646239663599</v>
      </c>
      <c r="E162" s="1347">
        <v>85.757906974282093</v>
      </c>
      <c r="F162" s="311">
        <v>78.979479163007539</v>
      </c>
      <c r="G162" s="1347">
        <v>75.191609965125267</v>
      </c>
      <c r="H162" s="311">
        <v>86.539943922961925</v>
      </c>
      <c r="I162" s="1347">
        <v>77.890141263327664</v>
      </c>
      <c r="J162" s="311">
        <v>63.753959898480616</v>
      </c>
      <c r="K162" s="1347">
        <v>69.49316486800339</v>
      </c>
      <c r="L162" s="311">
        <v>96.563533244305162</v>
      </c>
      <c r="M162" s="1347">
        <v>61.004547333608926</v>
      </c>
      <c r="N162" s="1136">
        <v>64.126984126984127</v>
      </c>
    </row>
    <row r="163" spans="1:14">
      <c r="A163" s="49">
        <v>2006.1</v>
      </c>
      <c r="B163" s="311">
        <v>75.24691490772517</v>
      </c>
      <c r="C163" s="1347">
        <v>74.417483297680036</v>
      </c>
      <c r="D163" s="311">
        <v>64.462367775305466</v>
      </c>
      <c r="E163" s="1347">
        <v>81.928185697908702</v>
      </c>
      <c r="F163" s="311">
        <v>80.185500236746194</v>
      </c>
      <c r="G163" s="1347">
        <v>75.08254048871585</v>
      </c>
      <c r="H163" s="311">
        <v>87.371928597005763</v>
      </c>
      <c r="I163" s="1347">
        <v>80.172984750411217</v>
      </c>
      <c r="J163" s="311">
        <v>62.8394283612663</v>
      </c>
      <c r="K163" s="1347">
        <v>67.148844813253007</v>
      </c>
      <c r="L163" s="311">
        <v>94.741950251476538</v>
      </c>
      <c r="M163" s="1347">
        <v>56.46961554361306</v>
      </c>
      <c r="N163" s="1136">
        <v>60.931899641577068</v>
      </c>
    </row>
    <row r="164" spans="1:14">
      <c r="A164" s="49">
        <v>2006.11</v>
      </c>
      <c r="B164" s="311">
        <v>76.18269216542609</v>
      </c>
      <c r="C164" s="1347">
        <v>76.973042222275126</v>
      </c>
      <c r="D164" s="311">
        <v>72.36303452999752</v>
      </c>
      <c r="E164" s="1347">
        <v>83.968209222299095</v>
      </c>
      <c r="F164" s="311">
        <v>81.30482871777896</v>
      </c>
      <c r="G164" s="1347">
        <v>78.316521026762928</v>
      </c>
      <c r="H164" s="311">
        <v>95.732408888991174</v>
      </c>
      <c r="I164" s="1347">
        <v>79.330502112088396</v>
      </c>
      <c r="J164" s="311">
        <v>66.112363761618909</v>
      </c>
      <c r="K164" s="1347">
        <v>71.98818577119215</v>
      </c>
      <c r="L164" s="311">
        <v>84.191625503554718</v>
      </c>
      <c r="M164" s="1347">
        <v>62.065384615384609</v>
      </c>
      <c r="N164" s="1136">
        <v>59.788359788359791</v>
      </c>
    </row>
    <row r="165" spans="1:14">
      <c r="A165" s="49">
        <v>2006.12</v>
      </c>
      <c r="B165" s="311">
        <v>72.178499760311908</v>
      </c>
      <c r="C165" s="1347">
        <v>73.101392649416681</v>
      </c>
      <c r="D165" s="311">
        <v>61.76501778677018</v>
      </c>
      <c r="E165" s="1347">
        <v>73.99458776050416</v>
      </c>
      <c r="F165" s="311">
        <v>77.612504894964019</v>
      </c>
      <c r="G165" s="1347">
        <v>71.296357925002624</v>
      </c>
      <c r="H165" s="311">
        <v>95.839885222926142</v>
      </c>
      <c r="I165" s="1347">
        <v>79.950478090825868</v>
      </c>
      <c r="J165" s="311">
        <v>64.451658082760972</v>
      </c>
      <c r="K165" s="1347">
        <v>64.481023177140258</v>
      </c>
      <c r="L165" s="311">
        <v>77.988365443843406</v>
      </c>
      <c r="M165" s="1347">
        <v>49.264267990074437</v>
      </c>
      <c r="N165" s="1136">
        <v>56.323604710701488</v>
      </c>
    </row>
    <row r="166" spans="1:14">
      <c r="A166" s="49">
        <v>2007.01</v>
      </c>
      <c r="B166" s="311">
        <v>67.464813607056357</v>
      </c>
      <c r="C166" s="1347">
        <v>72.628133447833591</v>
      </c>
      <c r="D166" s="311">
        <v>61.954529527022693</v>
      </c>
      <c r="E166" s="1347">
        <v>68.396296545206354</v>
      </c>
      <c r="F166" s="311">
        <v>79.009114937599364</v>
      </c>
      <c r="G166" s="1347">
        <v>67.437596781793289</v>
      </c>
      <c r="H166" s="311">
        <v>91.182087870670827</v>
      </c>
      <c r="I166" s="1347">
        <v>78.10482732473919</v>
      </c>
      <c r="J166" s="311">
        <v>64.806875341793202</v>
      </c>
      <c r="K166" s="1347">
        <v>63.803356329764711</v>
      </c>
      <c r="L166" s="311">
        <v>68.035003435827505</v>
      </c>
      <c r="M166" s="1347">
        <v>21.162531017369727</v>
      </c>
      <c r="N166" s="1136">
        <v>53.517665130568361</v>
      </c>
    </row>
    <row r="167" spans="1:14">
      <c r="A167" s="49">
        <v>2007.02</v>
      </c>
      <c r="B167" s="311">
        <v>73.8349669346252</v>
      </c>
      <c r="C167" s="1347">
        <v>71.962704482482337</v>
      </c>
      <c r="D167" s="311">
        <v>70.865939075485045</v>
      </c>
      <c r="E167" s="1347">
        <v>75.390302702700879</v>
      </c>
      <c r="F167" s="311">
        <v>82.550893577797382</v>
      </c>
      <c r="G167" s="1347">
        <v>73.805935117221949</v>
      </c>
      <c r="H167" s="311">
        <v>96.43471471960855</v>
      </c>
      <c r="I167" s="1347">
        <v>77.9891386223767</v>
      </c>
      <c r="J167" s="311">
        <v>65.417080067761347</v>
      </c>
      <c r="K167" s="1347">
        <v>67.944649562730802</v>
      </c>
      <c r="L167" s="311">
        <v>89.573664342725024</v>
      </c>
      <c r="M167" s="1347">
        <v>45.270408163265309</v>
      </c>
      <c r="N167" s="1136">
        <v>60.170068027210888</v>
      </c>
    </row>
    <row r="168" spans="1:14">
      <c r="A168" s="49">
        <v>2007.03</v>
      </c>
      <c r="B168" s="311">
        <v>73.078269035902267</v>
      </c>
      <c r="C168" s="1347">
        <v>71.192481136696387</v>
      </c>
      <c r="D168" s="311">
        <v>73.802560303986226</v>
      </c>
      <c r="E168" s="1347">
        <v>72.855134565910646</v>
      </c>
      <c r="F168" s="311">
        <v>81.85842054743479</v>
      </c>
      <c r="G168" s="1347">
        <v>69.621002381634298</v>
      </c>
      <c r="H168" s="311">
        <v>98.56821155848624</v>
      </c>
      <c r="I168" s="1347">
        <v>73.12365781815295</v>
      </c>
      <c r="J168" s="311">
        <v>65.084661146850863</v>
      </c>
      <c r="K168" s="1347">
        <v>64.001439908404038</v>
      </c>
      <c r="L168" s="311">
        <v>92.678335033104418</v>
      </c>
      <c r="M168" s="1347">
        <v>51.711981566820278</v>
      </c>
      <c r="N168" s="1136">
        <v>57.737790456684465</v>
      </c>
    </row>
    <row r="169" spans="1:14">
      <c r="A169" s="49">
        <v>2007.04</v>
      </c>
      <c r="B169" s="311">
        <v>73.605078300078048</v>
      </c>
      <c r="C169" s="1347">
        <v>66.807105075091357</v>
      </c>
      <c r="D169" s="311">
        <v>67.488677715102639</v>
      </c>
      <c r="E169" s="1347">
        <v>80.007306276305826</v>
      </c>
      <c r="F169" s="311">
        <v>78.338413530224685</v>
      </c>
      <c r="G169" s="1347">
        <v>74.522878997934811</v>
      </c>
      <c r="H169" s="311">
        <v>95.068243680769967</v>
      </c>
      <c r="I169" s="1347">
        <v>76.583820274536009</v>
      </c>
      <c r="J169" s="311">
        <v>68.426554387981383</v>
      </c>
      <c r="K169" s="1347">
        <v>63.694817733946138</v>
      </c>
      <c r="L169" s="311">
        <v>94.73834559533806</v>
      </c>
      <c r="M169" s="1347">
        <v>49.436904761904756</v>
      </c>
      <c r="N169" s="1136">
        <v>62.917611489040063</v>
      </c>
    </row>
    <row r="170" spans="1:14">
      <c r="A170" s="49">
        <v>2007.05</v>
      </c>
      <c r="B170" s="311">
        <v>72.364984741987698</v>
      </c>
      <c r="C170" s="1347">
        <v>68.251861151714579</v>
      </c>
      <c r="D170" s="311">
        <v>68.432993434713836</v>
      </c>
      <c r="E170" s="1347">
        <v>78.528800307247721</v>
      </c>
      <c r="F170" s="311">
        <v>77.898036311645328</v>
      </c>
      <c r="G170" s="1347">
        <v>73.95152429156829</v>
      </c>
      <c r="H170" s="311">
        <v>94.748874941040185</v>
      </c>
      <c r="I170" s="1347">
        <v>72.719379727735927</v>
      </c>
      <c r="J170" s="311">
        <v>59.880003567519864</v>
      </c>
      <c r="K170" s="1347">
        <v>70.199696474883567</v>
      </c>
      <c r="L170" s="311">
        <v>87.83089830704607</v>
      </c>
      <c r="M170" s="1347">
        <v>52.248847926267281</v>
      </c>
      <c r="N170" s="1136">
        <v>61.93645917148222</v>
      </c>
    </row>
    <row r="171" spans="1:14">
      <c r="A171" s="49">
        <v>2007.06</v>
      </c>
      <c r="B171" s="311">
        <v>72.793919268983842</v>
      </c>
      <c r="C171" s="1347">
        <v>67.65236869915276</v>
      </c>
      <c r="D171" s="311">
        <v>62.834863921136893</v>
      </c>
      <c r="E171" s="1347">
        <v>80.325302515391513</v>
      </c>
      <c r="F171" s="311">
        <v>78.598670789090107</v>
      </c>
      <c r="G171" s="1347">
        <v>77.79778579053108</v>
      </c>
      <c r="H171" s="311">
        <v>98.355864655220316</v>
      </c>
      <c r="I171" s="1347">
        <v>66.667586156012774</v>
      </c>
      <c r="J171" s="311">
        <v>69.802418128821174</v>
      </c>
      <c r="K171" s="1347">
        <v>69.563111443688214</v>
      </c>
      <c r="L171" s="311">
        <v>89.959262698035815</v>
      </c>
      <c r="M171" s="1347">
        <v>56.634523809523806</v>
      </c>
      <c r="N171" s="1136">
        <v>61.844293272864704</v>
      </c>
    </row>
    <row r="172" spans="1:14">
      <c r="A172" s="49">
        <v>2007.07</v>
      </c>
      <c r="B172" s="311">
        <v>69.3044857385418</v>
      </c>
      <c r="C172" s="1347">
        <v>66.593264083434207</v>
      </c>
      <c r="D172" s="311">
        <v>67.886348340103098</v>
      </c>
      <c r="E172" s="1347">
        <v>79.103006495771012</v>
      </c>
      <c r="F172" s="311">
        <v>78.734343104823353</v>
      </c>
      <c r="G172" s="1347">
        <v>77.604646126205353</v>
      </c>
      <c r="H172" s="311">
        <v>99.312288602687417</v>
      </c>
      <c r="I172" s="1347">
        <v>63.008387855734611</v>
      </c>
      <c r="J172" s="311">
        <v>65.864684717240664</v>
      </c>
      <c r="K172" s="1347">
        <v>66.738538632983918</v>
      </c>
      <c r="L172" s="311">
        <v>71.58524323115715</v>
      </c>
      <c r="M172" s="1347">
        <v>50.649769585253459</v>
      </c>
      <c r="N172" s="1136">
        <v>61.604856996562063</v>
      </c>
    </row>
    <row r="173" spans="1:14">
      <c r="A173" s="49">
        <v>2007.08</v>
      </c>
      <c r="B173" s="311">
        <v>75.759354998895276</v>
      </c>
      <c r="C173" s="1347">
        <v>72.212185139860239</v>
      </c>
      <c r="D173" s="311">
        <v>69.508649911205922</v>
      </c>
      <c r="E173" s="1347">
        <v>83.738660740726374</v>
      </c>
      <c r="F173" s="311">
        <v>78.471202096730309</v>
      </c>
      <c r="G173" s="1347">
        <v>79.255808809741623</v>
      </c>
      <c r="H173" s="311">
        <v>96.510799732732139</v>
      </c>
      <c r="I173" s="1347">
        <v>68.895261558346533</v>
      </c>
      <c r="J173" s="311">
        <v>66.154351140457067</v>
      </c>
      <c r="K173" s="1347">
        <v>68.388529167838783</v>
      </c>
      <c r="L173" s="311">
        <v>93.604392354666203</v>
      </c>
      <c r="M173" s="1347">
        <v>61.66935483870968</v>
      </c>
      <c r="N173" s="1136">
        <v>69.368249091751395</v>
      </c>
    </row>
    <row r="174" spans="1:14">
      <c r="A174" s="49">
        <v>2007.09</v>
      </c>
      <c r="B174" s="311">
        <v>78.407124788501463</v>
      </c>
      <c r="C174" s="1347">
        <v>74.745128089845508</v>
      </c>
      <c r="D174" s="311">
        <v>67.03649121730011</v>
      </c>
      <c r="E174" s="1347">
        <v>88.5294055958299</v>
      </c>
      <c r="F174" s="311">
        <v>81.104565206716956</v>
      </c>
      <c r="G174" s="1347">
        <v>80.555959717090317</v>
      </c>
      <c r="H174" s="311">
        <v>96.194778364257772</v>
      </c>
      <c r="I174" s="1347">
        <v>79.423108488134758</v>
      </c>
      <c r="J174" s="311">
        <v>72.338541794678136</v>
      </c>
      <c r="K174" s="1347">
        <v>69.805319106247453</v>
      </c>
      <c r="L174" s="311">
        <v>94.065426197930464</v>
      </c>
      <c r="M174" s="1347">
        <v>59.375</v>
      </c>
      <c r="N174" s="1136">
        <v>69.2567397329302</v>
      </c>
    </row>
    <row r="175" spans="1:14">
      <c r="A175" s="49">
        <v>2007.1</v>
      </c>
      <c r="B175" s="311">
        <v>77.43661881041163</v>
      </c>
      <c r="C175" s="1347">
        <v>77.767543608267658</v>
      </c>
      <c r="D175" s="311">
        <v>73.155585464535918</v>
      </c>
      <c r="E175" s="1347">
        <v>82.800565209564667</v>
      </c>
      <c r="F175" s="311">
        <v>80.625391406779286</v>
      </c>
      <c r="G175" s="1347">
        <v>76.571575779057383</v>
      </c>
      <c r="H175" s="311">
        <v>93.148447090454397</v>
      </c>
      <c r="I175" s="1347">
        <v>76.986390834778661</v>
      </c>
      <c r="J175" s="311">
        <v>71.759324293745578</v>
      </c>
      <c r="K175" s="1347">
        <v>70.220371212268375</v>
      </c>
      <c r="L175" s="311">
        <v>95.151498985714113</v>
      </c>
      <c r="M175" s="1347">
        <v>63.686635944700463</v>
      </c>
      <c r="N175" s="1136">
        <v>62.409479921000667</v>
      </c>
    </row>
    <row r="176" spans="1:14">
      <c r="A176" s="49">
        <v>2007.11</v>
      </c>
      <c r="B176" s="311">
        <v>79.274832082342698</v>
      </c>
      <c r="C176" s="1347">
        <v>80.850457721726968</v>
      </c>
      <c r="D176" s="311">
        <v>80.669891145663982</v>
      </c>
      <c r="E176" s="1347">
        <v>85.703699896186947</v>
      </c>
      <c r="F176" s="311">
        <v>80.589417989417996</v>
      </c>
      <c r="G176" s="1347">
        <v>77.97714961768061</v>
      </c>
      <c r="H176" s="311">
        <v>94.751422810334461</v>
      </c>
      <c r="I176" s="1347">
        <v>74.881068176611961</v>
      </c>
      <c r="J176" s="311">
        <v>72.399961167211274</v>
      </c>
      <c r="K176" s="1347">
        <v>75.266343265002874</v>
      </c>
      <c r="L176" s="311">
        <v>95.763004894760968</v>
      </c>
      <c r="M176" s="1347">
        <v>70.75833333333334</v>
      </c>
      <c r="N176" s="1136">
        <v>65.079365079365076</v>
      </c>
    </row>
    <row r="177" spans="1:14">
      <c r="A177" s="49">
        <v>2007.12</v>
      </c>
      <c r="B177" s="311">
        <v>74.520201287564504</v>
      </c>
      <c r="C177" s="1347">
        <v>76.065658005999865</v>
      </c>
      <c r="D177" s="311">
        <v>61.091863413238912</v>
      </c>
      <c r="E177" s="1347">
        <v>74.762695216923362</v>
      </c>
      <c r="F177" s="311">
        <v>77.436251920122885</v>
      </c>
      <c r="G177" s="1347">
        <v>73.030727604611712</v>
      </c>
      <c r="H177" s="311">
        <v>93.750814119065538</v>
      </c>
      <c r="I177" s="1347">
        <v>73.809335490048738</v>
      </c>
      <c r="J177" s="311">
        <v>65.231229551861219</v>
      </c>
      <c r="K177" s="1347">
        <v>68.969031799301206</v>
      </c>
      <c r="L177" s="311">
        <v>92.554782109909297</v>
      </c>
      <c r="M177" s="1347">
        <v>58.38133640552995</v>
      </c>
      <c r="N177" s="1136">
        <v>58.761855996879042</v>
      </c>
    </row>
    <row r="178" spans="1:14">
      <c r="A178" s="49">
        <f t="shared" ref="A178:A209" si="0">A166+1</f>
        <v>2008.01</v>
      </c>
      <c r="B178" s="311">
        <v>70.634394993806708</v>
      </c>
      <c r="C178" s="1347">
        <v>74.570265677170511</v>
      </c>
      <c r="D178" s="311">
        <v>67.940674722432121</v>
      </c>
      <c r="E178" s="1347">
        <v>69.22906107811373</v>
      </c>
      <c r="F178" s="311">
        <v>76.990271377368146</v>
      </c>
      <c r="G178" s="1347">
        <v>69.642552817455567</v>
      </c>
      <c r="H178" s="311">
        <v>93.95994711585432</v>
      </c>
      <c r="I178" s="1347">
        <v>73.018420270067978</v>
      </c>
      <c r="J178" s="311">
        <v>65.279011367873295</v>
      </c>
      <c r="K178" s="1347">
        <v>65.217614331298989</v>
      </c>
      <c r="L178" s="311">
        <v>80.202591162319294</v>
      </c>
      <c r="M178" s="1347">
        <v>47.497695852534562</v>
      </c>
      <c r="N178" s="1136">
        <v>52.593080242849823</v>
      </c>
    </row>
    <row r="179" spans="1:14">
      <c r="A179" s="49">
        <f t="shared" si="0"/>
        <v>2008.02</v>
      </c>
      <c r="B179" s="311">
        <v>72.399947139723849</v>
      </c>
      <c r="C179" s="1347">
        <v>73.39919050503147</v>
      </c>
      <c r="D179" s="311">
        <v>69.82396281302637</v>
      </c>
      <c r="E179" s="1347">
        <v>75.382397963926309</v>
      </c>
      <c r="F179" s="311">
        <v>79.314176245210732</v>
      </c>
      <c r="G179" s="1347">
        <v>72.455671344794382</v>
      </c>
      <c r="H179" s="311">
        <v>92.588746525962179</v>
      </c>
      <c r="I179" s="1347">
        <v>76.063479540379916</v>
      </c>
      <c r="J179" s="311">
        <v>68.131217761276247</v>
      </c>
      <c r="K179" s="1347">
        <v>66.740224228322489</v>
      </c>
      <c r="L179" s="311">
        <v>88.068253577852573</v>
      </c>
      <c r="M179" s="1347">
        <v>41.424876847290641</v>
      </c>
      <c r="N179" s="1136">
        <v>57.049026507154586</v>
      </c>
    </row>
    <row r="180" spans="1:14">
      <c r="A180" s="49">
        <f t="shared" si="0"/>
        <v>2008.03</v>
      </c>
      <c r="B180" s="311">
        <v>71.727549060816429</v>
      </c>
      <c r="C180" s="1347">
        <v>59.585121584638834</v>
      </c>
      <c r="D180" s="311">
        <v>64.848027457468277</v>
      </c>
      <c r="E180" s="1347">
        <v>76.549781219829725</v>
      </c>
      <c r="F180" s="311">
        <v>76.435739887352796</v>
      </c>
      <c r="G180" s="1347">
        <v>70.394175647188632</v>
      </c>
      <c r="H180" s="311">
        <v>94.784936537991044</v>
      </c>
      <c r="I180" s="1347">
        <v>75.059803227760966</v>
      </c>
      <c r="J180" s="311">
        <v>70.367498612515789</v>
      </c>
      <c r="K180" s="1347">
        <v>65.705303526073777</v>
      </c>
      <c r="L180" s="311">
        <v>94.963691005276388</v>
      </c>
      <c r="M180" s="1347">
        <v>57.132488479262676</v>
      </c>
      <c r="N180" s="1136">
        <v>59.732280008777707</v>
      </c>
    </row>
    <row r="181" spans="1:14">
      <c r="A181" s="49">
        <f t="shared" si="0"/>
        <v>2008.04</v>
      </c>
      <c r="B181" s="311">
        <v>76.500711012823714</v>
      </c>
      <c r="C181" s="1347">
        <v>72.908147161041782</v>
      </c>
      <c r="D181" s="311">
        <v>70.801658855944822</v>
      </c>
      <c r="E181" s="1347">
        <v>83.33349026250599</v>
      </c>
      <c r="F181" s="311">
        <v>74.357142857142861</v>
      </c>
      <c r="G181" s="1347">
        <v>76.642236154456768</v>
      </c>
      <c r="H181" s="311">
        <v>94.205590314948168</v>
      </c>
      <c r="I181" s="1347">
        <v>72.642026858965266</v>
      </c>
      <c r="J181" s="311">
        <v>74.089699085561335</v>
      </c>
      <c r="K181" s="1347">
        <v>70.260494136586743</v>
      </c>
      <c r="L181" s="311">
        <v>97.706134370054656</v>
      </c>
      <c r="M181" s="1347">
        <v>65.026190476190465</v>
      </c>
      <c r="N181" s="1136">
        <v>65.296044343663397</v>
      </c>
    </row>
    <row r="182" spans="1:14">
      <c r="A182" s="49">
        <f t="shared" si="0"/>
        <v>2008.05</v>
      </c>
      <c r="B182" s="311">
        <v>74.858752864383561</v>
      </c>
      <c r="C182" s="1347">
        <v>69.230170482419936</v>
      </c>
      <c r="D182" s="311">
        <v>64.276892060137328</v>
      </c>
      <c r="E182" s="1347">
        <v>83.13365393468554</v>
      </c>
      <c r="F182" s="311">
        <v>75.548387096774192</v>
      </c>
      <c r="G182" s="1347">
        <v>75.197515293451602</v>
      </c>
      <c r="H182" s="311">
        <v>95.858247255698672</v>
      </c>
      <c r="I182" s="1347">
        <v>70.258564633986794</v>
      </c>
      <c r="J182" s="311">
        <v>68.18204374395691</v>
      </c>
      <c r="K182" s="1347">
        <v>70.82132772695546</v>
      </c>
      <c r="L182" s="311">
        <v>95.647679515490665</v>
      </c>
      <c r="M182" s="1347">
        <v>64.53801843317973</v>
      </c>
      <c r="N182" s="1136">
        <v>64.735571648014044</v>
      </c>
    </row>
    <row r="183" spans="1:14">
      <c r="A183" s="49">
        <f t="shared" si="0"/>
        <v>2008.06</v>
      </c>
      <c r="B183" s="311">
        <v>71.839057351274505</v>
      </c>
      <c r="C183" s="1347">
        <v>58.767160835181812</v>
      </c>
      <c r="D183" s="311">
        <v>62.583615999598763</v>
      </c>
      <c r="E183" s="1347">
        <v>83.575507859967331</v>
      </c>
      <c r="F183" s="311">
        <v>75.832275132275129</v>
      </c>
      <c r="G183" s="1347">
        <v>78.238064521856188</v>
      </c>
      <c r="H183" s="311">
        <v>91.083250392875442</v>
      </c>
      <c r="I183" s="1347">
        <v>67.662898966891291</v>
      </c>
      <c r="J183" s="311">
        <v>69.971656864256829</v>
      </c>
      <c r="K183" s="1347">
        <v>68.60647826127574</v>
      </c>
      <c r="L183" s="311">
        <v>97.269409686697401</v>
      </c>
      <c r="M183" s="1347">
        <v>61.010714285714286</v>
      </c>
      <c r="N183" s="1136">
        <v>64.167296548248913</v>
      </c>
    </row>
    <row r="184" spans="1:14">
      <c r="A184" s="49">
        <f t="shared" si="0"/>
        <v>2008.07</v>
      </c>
      <c r="B184" s="311">
        <v>73.226918610610284</v>
      </c>
      <c r="C184" s="1347">
        <v>71.309499895469045</v>
      </c>
      <c r="D184" s="311">
        <v>65.940867733139129</v>
      </c>
      <c r="E184" s="1347">
        <v>76.491311747462717</v>
      </c>
      <c r="F184" s="311">
        <v>75.646697388632873</v>
      </c>
      <c r="G184" s="1347">
        <v>76.283845164550186</v>
      </c>
      <c r="H184" s="311">
        <v>91.764464544482891</v>
      </c>
      <c r="I184" s="1347">
        <v>62.277585236303935</v>
      </c>
      <c r="J184" s="311">
        <v>59.349873592425951</v>
      </c>
      <c r="K184" s="1347">
        <v>69.45294597015824</v>
      </c>
      <c r="L184" s="311">
        <v>98.490447563933614</v>
      </c>
      <c r="M184" s="1347">
        <v>71.6347926267281</v>
      </c>
      <c r="N184" s="1136">
        <v>59.888328091093065</v>
      </c>
    </row>
    <row r="185" spans="1:14">
      <c r="A185" s="49">
        <f t="shared" si="0"/>
        <v>2008.08</v>
      </c>
      <c r="B185" s="311">
        <v>76.361793236303342</v>
      </c>
      <c r="C185" s="1347">
        <v>74.174710086271688</v>
      </c>
      <c r="D185" s="311">
        <v>63.076489494077734</v>
      </c>
      <c r="E185" s="1347">
        <v>78.135589694290388</v>
      </c>
      <c r="F185" s="311">
        <v>74.659498207885306</v>
      </c>
      <c r="G185" s="1347">
        <v>80.494107421726895</v>
      </c>
      <c r="H185" s="311">
        <v>95.551596665724929</v>
      </c>
      <c r="I185" s="1347">
        <v>74.888530436328907</v>
      </c>
      <c r="J185" s="311">
        <v>61.751031112012946</v>
      </c>
      <c r="K185" s="1347">
        <v>71.474394027545543</v>
      </c>
      <c r="L185" s="311">
        <v>97.050602188735454</v>
      </c>
      <c r="M185" s="1347">
        <v>66.908986175115203</v>
      </c>
      <c r="N185" s="1136">
        <v>61.29032258064516</v>
      </c>
    </row>
    <row r="186" spans="1:14">
      <c r="A186" s="49">
        <f t="shared" si="0"/>
        <v>2008.09</v>
      </c>
      <c r="B186" s="311">
        <v>79.235337181298547</v>
      </c>
      <c r="C186" s="1347">
        <v>79.012142924387604</v>
      </c>
      <c r="D186" s="311">
        <v>75.229010357979774</v>
      </c>
      <c r="E186" s="1347">
        <v>76.458626730891808</v>
      </c>
      <c r="F186" s="311">
        <v>78.141269841269846</v>
      </c>
      <c r="G186" s="1347">
        <v>83.662667413320378</v>
      </c>
      <c r="H186" s="311">
        <v>95.592244581942055</v>
      </c>
      <c r="I186" s="1347">
        <v>78.228275674665426</v>
      </c>
      <c r="J186" s="311">
        <v>65.270373846562109</v>
      </c>
      <c r="K186" s="1347">
        <v>77.545645710336515</v>
      </c>
      <c r="L186" s="311">
        <v>94.137488217880403</v>
      </c>
      <c r="M186" s="1347">
        <v>74.933333333333323</v>
      </c>
      <c r="N186" s="1136">
        <v>63.5</v>
      </c>
    </row>
    <row r="187" spans="1:14">
      <c r="A187" s="49">
        <f t="shared" si="0"/>
        <v>2008.1</v>
      </c>
      <c r="B187" s="311">
        <v>76.893844383027869</v>
      </c>
      <c r="C187" s="1347">
        <v>82.056670979854147</v>
      </c>
      <c r="D187" s="311">
        <v>72.735805330623009</v>
      </c>
      <c r="E187" s="1347">
        <v>73.278455315028168</v>
      </c>
      <c r="F187" s="311">
        <v>73.485919098822322</v>
      </c>
      <c r="G187" s="1347">
        <v>80.112423953503068</v>
      </c>
      <c r="H187" s="311">
        <v>92.196249921463831</v>
      </c>
      <c r="I187" s="1347">
        <v>75.577420578404556</v>
      </c>
      <c r="J187" s="311">
        <v>63.736628449785684</v>
      </c>
      <c r="K187" s="1347">
        <v>76.063669914789543</v>
      </c>
      <c r="L187" s="311">
        <v>90.162755438415559</v>
      </c>
      <c r="M187" s="1347">
        <v>66.903225806451616</v>
      </c>
      <c r="N187" s="1136">
        <v>59.447004608294932</v>
      </c>
    </row>
    <row r="188" spans="1:14">
      <c r="A188" s="49">
        <f t="shared" si="0"/>
        <v>2008.11</v>
      </c>
      <c r="B188" s="311">
        <v>78.213792943651711</v>
      </c>
      <c r="C188" s="1347">
        <v>87.03853336932896</v>
      </c>
      <c r="D188" s="311">
        <v>74.311066510557993</v>
      </c>
      <c r="E188" s="1347">
        <v>84.447466162540067</v>
      </c>
      <c r="F188" s="311">
        <v>87.759404144015136</v>
      </c>
      <c r="G188" s="1347">
        <v>83.279595791682908</v>
      </c>
      <c r="H188" s="311">
        <v>82.998877280846003</v>
      </c>
      <c r="I188" s="1347">
        <v>82.204750633418186</v>
      </c>
      <c r="J188" s="311">
        <v>74.625627729344771</v>
      </c>
      <c r="K188" s="1347">
        <v>78.920492127818989</v>
      </c>
      <c r="L188" s="311">
        <v>79.676181658483159</v>
      </c>
      <c r="M188" s="1347">
        <v>53.17260605700713</v>
      </c>
      <c r="N188" s="1136">
        <v>64.820999999999998</v>
      </c>
    </row>
    <row r="189" spans="1:14">
      <c r="A189" s="49">
        <f t="shared" si="0"/>
        <v>2008.12</v>
      </c>
      <c r="B189" s="311">
        <v>76.135442792667035</v>
      </c>
      <c r="C189" s="1347">
        <v>87.3725866578297</v>
      </c>
      <c r="D189" s="311">
        <v>71.250940252461547</v>
      </c>
      <c r="E189" s="1347">
        <v>78.748923124058436</v>
      </c>
      <c r="F189" s="311">
        <v>89.746400919092665</v>
      </c>
      <c r="G189" s="1347">
        <v>84.422511117753686</v>
      </c>
      <c r="H189" s="311">
        <v>92.819140681455465</v>
      </c>
      <c r="I189" s="1347">
        <v>83.958463451043656</v>
      </c>
      <c r="J189" s="311">
        <v>69.148006396698989</v>
      </c>
      <c r="K189" s="1347">
        <v>73.79777036506249</v>
      </c>
      <c r="L189" s="311">
        <v>67.290895523804323</v>
      </c>
      <c r="M189" s="1347">
        <v>34.184111849666692</v>
      </c>
      <c r="N189" s="1136">
        <v>63.248847926267281</v>
      </c>
    </row>
    <row r="190" spans="1:14">
      <c r="A190" s="49">
        <f t="shared" si="0"/>
        <v>2009.01</v>
      </c>
      <c r="B190" s="311">
        <v>64.91475177676493</v>
      </c>
      <c r="C190" s="1347">
        <v>77.894032721573609</v>
      </c>
      <c r="D190" s="311">
        <v>69.317976344450358</v>
      </c>
      <c r="E190" s="1347">
        <v>62.103500113027202</v>
      </c>
      <c r="F190" s="311">
        <v>82.203572997554602</v>
      </c>
      <c r="G190" s="1347">
        <v>74.209718067861445</v>
      </c>
      <c r="H190" s="311">
        <v>92.648418108561543</v>
      </c>
      <c r="I190" s="1347">
        <v>75.256114525805614</v>
      </c>
      <c r="J190" s="311">
        <v>62.714246990821046</v>
      </c>
      <c r="K190" s="1347">
        <v>65.782005766015416</v>
      </c>
      <c r="L190" s="311">
        <v>60.816340488657652</v>
      </c>
      <c r="M190" s="1347">
        <v>22.360670058807759</v>
      </c>
      <c r="N190" s="1136">
        <v>50</v>
      </c>
    </row>
    <row r="191" spans="1:14">
      <c r="A191" s="49">
        <f t="shared" si="0"/>
        <v>2009.02</v>
      </c>
      <c r="B191" s="311">
        <v>71.326358616775721</v>
      </c>
      <c r="C191" s="1347">
        <v>84.721352689696033</v>
      </c>
      <c r="D191" s="311">
        <v>78.422553437037493</v>
      </c>
      <c r="E191" s="1347">
        <v>67.2867901270521</v>
      </c>
      <c r="F191" s="311">
        <v>88.479034010025273</v>
      </c>
      <c r="G191" s="1347">
        <v>80.944026497584019</v>
      </c>
      <c r="H191" s="311">
        <v>87.552788698187058</v>
      </c>
      <c r="I191" s="1347">
        <v>86.997865719540826</v>
      </c>
      <c r="J191" s="311">
        <v>73.966841755642974</v>
      </c>
      <c r="K191" s="1347">
        <v>70.858713526301841</v>
      </c>
      <c r="L191" s="311">
        <v>64.678064897829685</v>
      </c>
      <c r="M191" s="1347">
        <v>23.320338034441814</v>
      </c>
      <c r="N191" s="1136">
        <v>61.632691517513685</v>
      </c>
    </row>
    <row r="192" spans="1:14">
      <c r="A192" s="49">
        <f t="shared" si="0"/>
        <v>2009.03</v>
      </c>
      <c r="B192" s="311">
        <v>68.206723847285645</v>
      </c>
      <c r="C192" s="1347">
        <v>72.228296443991084</v>
      </c>
      <c r="D192" s="311">
        <v>72.926597112527503</v>
      </c>
      <c r="E192" s="1347">
        <v>61.852449066529488</v>
      </c>
      <c r="F192" s="311">
        <v>82.548477670652943</v>
      </c>
      <c r="G192" s="1347">
        <v>72.681851891675421</v>
      </c>
      <c r="H192" s="311">
        <v>89.101492937429754</v>
      </c>
      <c r="I192" s="1347">
        <v>78.047952370467272</v>
      </c>
      <c r="J192" s="311">
        <v>69.618544057734724</v>
      </c>
      <c r="K192" s="1347">
        <v>67.664624169257266</v>
      </c>
      <c r="L192" s="311">
        <v>56.559918731347402</v>
      </c>
      <c r="M192" s="1347">
        <v>46.83510860278907</v>
      </c>
      <c r="N192" s="1136">
        <v>61.166808257307679</v>
      </c>
    </row>
    <row r="193" spans="1:14">
      <c r="A193" s="49">
        <f t="shared" si="0"/>
        <v>2009.04</v>
      </c>
      <c r="B193" s="311">
        <v>73.10170198352958</v>
      </c>
      <c r="C193" s="1347">
        <v>79.986490668629514</v>
      </c>
      <c r="D193" s="311">
        <v>75.364112230549821</v>
      </c>
      <c r="E193" s="1347">
        <v>72.616607961520828</v>
      </c>
      <c r="F193" s="311">
        <v>79.420990696410669</v>
      </c>
      <c r="G193" s="1347">
        <v>82.292822908576326</v>
      </c>
      <c r="H193" s="311">
        <v>91.758883526777211</v>
      </c>
      <c r="I193" s="1347">
        <v>80.305160616145969</v>
      </c>
      <c r="J193" s="311">
        <v>75.640746332681076</v>
      </c>
      <c r="K193" s="1347">
        <v>70.781569597926079</v>
      </c>
      <c r="L193" s="311">
        <v>64.085015262227117</v>
      </c>
      <c r="M193" s="1347">
        <v>45.467754557600962</v>
      </c>
      <c r="N193" s="1136">
        <v>68.427484214950994</v>
      </c>
    </row>
    <row r="194" spans="1:14">
      <c r="A194" s="49">
        <f t="shared" si="0"/>
        <v>2009.05</v>
      </c>
      <c r="B194" s="311">
        <v>70.423623537718882</v>
      </c>
      <c r="C194" s="1347">
        <v>72.472611897708077</v>
      </c>
      <c r="D194" s="311">
        <v>67.269296617377805</v>
      </c>
      <c r="E194" s="1347">
        <v>72.352117220200881</v>
      </c>
      <c r="F194" s="311">
        <v>80.692605891605069</v>
      </c>
      <c r="G194" s="1347">
        <v>81.188300492424474</v>
      </c>
      <c r="H194" s="311">
        <v>90.681514272247426</v>
      </c>
      <c r="I194" s="1347">
        <v>78.331748636952568</v>
      </c>
      <c r="J194" s="311">
        <v>73.010121587870174</v>
      </c>
      <c r="K194" s="1347">
        <v>71.060424685149485</v>
      </c>
      <c r="L194" s="311">
        <v>58.897354979685346</v>
      </c>
      <c r="M194" s="1347">
        <v>51.160025721209109</v>
      </c>
      <c r="N194" s="1136">
        <v>63.680701479722778</v>
      </c>
    </row>
    <row r="195" spans="1:14">
      <c r="A195" s="49">
        <f t="shared" si="0"/>
        <v>2009.06</v>
      </c>
      <c r="B195" s="311">
        <v>69.650930391029775</v>
      </c>
      <c r="C195" s="1347">
        <v>68.79994667600451</v>
      </c>
      <c r="D195" s="311">
        <v>66.547624602213276</v>
      </c>
      <c r="E195" s="1347">
        <v>72.434380221152793</v>
      </c>
      <c r="F195" s="311">
        <v>77.733353681009859</v>
      </c>
      <c r="G195" s="1347">
        <v>80.786440565540246</v>
      </c>
      <c r="H195" s="311">
        <v>89.992680143798012</v>
      </c>
      <c r="I195" s="1347">
        <v>79.042725315741521</v>
      </c>
      <c r="J195" s="311">
        <v>64.427263525437823</v>
      </c>
      <c r="K195" s="1347">
        <v>68.040678400315187</v>
      </c>
      <c r="L195" s="311">
        <v>66.223358691497523</v>
      </c>
      <c r="M195" s="1347">
        <v>53.708948738123517</v>
      </c>
      <c r="N195" s="1136">
        <v>59.743999627421765</v>
      </c>
    </row>
    <row r="196" spans="1:14">
      <c r="A196" s="49">
        <f t="shared" si="0"/>
        <v>2009.07</v>
      </c>
      <c r="B196" s="311">
        <v>70.473810542436382</v>
      </c>
      <c r="C196" s="1347">
        <v>71.919791424152123</v>
      </c>
      <c r="D196" s="311">
        <v>64.508729398940602</v>
      </c>
      <c r="E196" s="1347">
        <v>69.761987501623963</v>
      </c>
      <c r="F196" s="311">
        <v>75.354534781428555</v>
      </c>
      <c r="G196" s="1347">
        <v>75.870548817725421</v>
      </c>
      <c r="H196" s="311">
        <v>81.030225983426845</v>
      </c>
      <c r="I196" s="1347">
        <v>82.737188088549459</v>
      </c>
      <c r="J196" s="311">
        <v>65.00821680888339</v>
      </c>
      <c r="K196" s="1347">
        <v>67.557021960041595</v>
      </c>
      <c r="L196" s="311">
        <v>73.170564609208697</v>
      </c>
      <c r="M196" s="1347">
        <v>54.593250766224799</v>
      </c>
      <c r="N196" s="1136">
        <v>59.547131696337473</v>
      </c>
    </row>
    <row r="197" spans="1:14">
      <c r="A197" s="49">
        <f t="shared" si="0"/>
        <v>2009.08</v>
      </c>
      <c r="B197" s="311">
        <v>73.631460025567733</v>
      </c>
      <c r="C197" s="1347">
        <v>75.523547591148557</v>
      </c>
      <c r="D197" s="311">
        <v>61.061436667892806</v>
      </c>
      <c r="E197" s="1347">
        <v>75.906812277177067</v>
      </c>
      <c r="F197" s="311">
        <v>78.845859957184274</v>
      </c>
      <c r="G197" s="1347">
        <v>83.522436045293517</v>
      </c>
      <c r="H197" s="311">
        <v>84.566006460420425</v>
      </c>
      <c r="I197" s="1347">
        <v>82.918145841074221</v>
      </c>
      <c r="J197" s="311">
        <v>65.650274476986297</v>
      </c>
      <c r="K197" s="1347">
        <v>73.397012013396719</v>
      </c>
      <c r="L197" s="311">
        <v>76.459040975595371</v>
      </c>
      <c r="M197" s="1347">
        <v>56.146583065952797</v>
      </c>
      <c r="N197" s="1136">
        <v>64.176314272121729</v>
      </c>
    </row>
    <row r="198" spans="1:14">
      <c r="A198" s="49">
        <f t="shared" si="0"/>
        <v>2009.09</v>
      </c>
      <c r="B198" s="311">
        <v>77.811595091630508</v>
      </c>
      <c r="C198" s="1347">
        <v>81.090157323570565</v>
      </c>
      <c r="D198" s="311">
        <v>71.861858419697541</v>
      </c>
      <c r="E198" s="1347">
        <v>81.2</v>
      </c>
      <c r="F198" s="311">
        <v>85.752662726875457</v>
      </c>
      <c r="G198" s="1347">
        <v>89.149804654323091</v>
      </c>
      <c r="H198" s="311">
        <v>80.583453377101492</v>
      </c>
      <c r="I198" s="1347">
        <v>85.692154152795538</v>
      </c>
      <c r="J198" s="311">
        <v>68.689240824673021</v>
      </c>
      <c r="K198" s="1347">
        <v>79.164840950283562</v>
      </c>
      <c r="L198" s="311">
        <v>78.294014916763473</v>
      </c>
      <c r="M198" s="1347">
        <v>66.3603025534442</v>
      </c>
      <c r="N198" s="1136">
        <v>68.164189611146796</v>
      </c>
    </row>
    <row r="199" spans="1:14">
      <c r="A199" s="49">
        <f t="shared" si="0"/>
        <v>2009.1</v>
      </c>
      <c r="B199" s="311">
        <v>75.654485727121582</v>
      </c>
      <c r="C199" s="1347">
        <v>82.422020808223493</v>
      </c>
      <c r="D199" s="311">
        <v>68.164178777836298</v>
      </c>
      <c r="E199" s="1347">
        <v>84.011267231199753</v>
      </c>
      <c r="F199" s="311">
        <v>78.011706849520138</v>
      </c>
      <c r="G199" s="1347">
        <v>80.817804022868714</v>
      </c>
      <c r="H199" s="311">
        <v>75.709233679210655</v>
      </c>
      <c r="I199" s="1347">
        <v>82.036360802190671</v>
      </c>
      <c r="J199" s="311">
        <v>66.800813866863493</v>
      </c>
      <c r="K199" s="1347">
        <v>76.574514568345123</v>
      </c>
      <c r="L199" s="311">
        <v>81.93322719320507</v>
      </c>
      <c r="M199" s="1347">
        <v>66.476957027639784</v>
      </c>
      <c r="N199" s="1136">
        <v>61.705683214471698</v>
      </c>
    </row>
    <row r="200" spans="1:14">
      <c r="A200" s="49">
        <f t="shared" si="0"/>
        <v>2009.11</v>
      </c>
      <c r="B200" s="311">
        <v>78.437912234880386</v>
      </c>
      <c r="C200" s="1347">
        <v>82.859409245737552</v>
      </c>
      <c r="D200" s="311">
        <v>74.468341925564459</v>
      </c>
      <c r="E200" s="1347">
        <v>91.744672994118133</v>
      </c>
      <c r="F200" s="311">
        <v>92.990208314579945</v>
      </c>
      <c r="G200" s="1347">
        <v>81.879948367356874</v>
      </c>
      <c r="H200" s="311">
        <v>88.994278714226539</v>
      </c>
      <c r="I200" s="1347">
        <v>82.29708104649302</v>
      </c>
      <c r="J200" s="311">
        <v>77.066575946228667</v>
      </c>
      <c r="K200" s="1347">
        <v>74.477065252614679</v>
      </c>
      <c r="L200" s="311">
        <v>84.21402451429158</v>
      </c>
      <c r="M200" s="1347">
        <v>70.461130504255962</v>
      </c>
      <c r="N200" s="1136">
        <v>60.378455045739841</v>
      </c>
    </row>
    <row r="201" spans="1:14">
      <c r="A201" s="49">
        <f t="shared" si="0"/>
        <v>2009.12</v>
      </c>
      <c r="B201" s="311">
        <v>79.766375689356238</v>
      </c>
      <c r="C201" s="1347">
        <v>78.351587911419813</v>
      </c>
      <c r="D201" s="311">
        <v>59.576667291456076</v>
      </c>
      <c r="E201" s="1347">
        <v>91.43322953630512</v>
      </c>
      <c r="F201" s="311">
        <v>90.460492971616418</v>
      </c>
      <c r="G201" s="1347">
        <v>85.49327090855644</v>
      </c>
      <c r="H201" s="311">
        <v>89.863854289929904</v>
      </c>
      <c r="I201" s="1347">
        <v>91.434199486142262</v>
      </c>
      <c r="J201" s="311">
        <v>87.781085108516848</v>
      </c>
      <c r="K201" s="1347">
        <v>75.372074734351116</v>
      </c>
      <c r="L201" s="311">
        <v>92.971003379798972</v>
      </c>
      <c r="M201" s="1347">
        <v>66.960138323726355</v>
      </c>
      <c r="N201" s="1136">
        <v>58.022584201189566</v>
      </c>
    </row>
    <row r="202" spans="1:14">
      <c r="A202" s="49">
        <f t="shared" si="0"/>
        <v>2010.01</v>
      </c>
      <c r="B202" s="311">
        <v>66.634651429655747</v>
      </c>
      <c r="C202" s="1347">
        <v>71.415585631257315</v>
      </c>
      <c r="D202" s="311">
        <v>66.2696425141867</v>
      </c>
      <c r="E202" s="1347">
        <v>73.400215195931096</v>
      </c>
      <c r="F202" s="311">
        <v>70.815370689600684</v>
      </c>
      <c r="G202" s="1347">
        <v>75.623075880153891</v>
      </c>
      <c r="H202" s="311">
        <v>92.483797188039361</v>
      </c>
      <c r="I202" s="1347">
        <v>77.359907912337874</v>
      </c>
      <c r="J202" s="311">
        <v>83.418972458011382</v>
      </c>
      <c r="K202" s="1347">
        <v>65.299784185935138</v>
      </c>
      <c r="L202" s="311">
        <v>69.017230071458201</v>
      </c>
      <c r="M202" s="1347">
        <v>37.40422068308947</v>
      </c>
      <c r="N202" s="1136">
        <v>45.467923930854496</v>
      </c>
    </row>
    <row r="203" spans="1:14">
      <c r="A203" s="49">
        <f t="shared" si="0"/>
        <v>2010.02</v>
      </c>
      <c r="B203" s="1350">
        <v>76.901659064497636</v>
      </c>
      <c r="C203" s="1347">
        <v>75.876003539563214</v>
      </c>
      <c r="D203" s="311">
        <v>71.679005804487602</v>
      </c>
      <c r="E203" s="1347">
        <v>84.423316889561377</v>
      </c>
      <c r="F203" s="311">
        <v>83.472415500189712</v>
      </c>
      <c r="G203" s="1347">
        <v>83.921562546681102</v>
      </c>
      <c r="H203" s="311">
        <v>92.294801364382522</v>
      </c>
      <c r="I203" s="1347">
        <v>89.181252574019283</v>
      </c>
      <c r="J203" s="311">
        <v>84.613940384972736</v>
      </c>
      <c r="K203" s="1347">
        <v>71.679042218009528</v>
      </c>
      <c r="L203" s="311">
        <v>90.134477340588404</v>
      </c>
      <c r="M203" s="1347">
        <v>56.702477682864952</v>
      </c>
      <c r="N203" s="1136">
        <v>56.948606962182645</v>
      </c>
    </row>
    <row r="204" spans="1:14">
      <c r="A204" s="49">
        <f t="shared" si="0"/>
        <v>2010.03</v>
      </c>
      <c r="B204" s="1350">
        <v>75.279359218374552</v>
      </c>
      <c r="C204" s="1347">
        <v>70.775709902165048</v>
      </c>
      <c r="D204" s="311">
        <v>75.261973311325576</v>
      </c>
      <c r="E204" s="1347">
        <v>81.234869368127121</v>
      </c>
      <c r="F204" s="311">
        <v>85.689346577146097</v>
      </c>
      <c r="G204" s="1347">
        <v>76.931337521490775</v>
      </c>
      <c r="H204" s="311">
        <v>91.973566394020594</v>
      </c>
      <c r="I204" s="1347">
        <v>85.930290496557504</v>
      </c>
      <c r="J204" s="311">
        <v>78.823673971480062</v>
      </c>
      <c r="K204" s="1347">
        <v>71.418640189789883</v>
      </c>
      <c r="L204" s="311">
        <v>86.458025011655209</v>
      </c>
      <c r="M204" s="1347">
        <v>64.840741367711459</v>
      </c>
      <c r="N204" s="1136">
        <v>57.007465295810746</v>
      </c>
    </row>
    <row r="205" spans="1:14">
      <c r="A205" s="49">
        <f t="shared" si="0"/>
        <v>2010.04</v>
      </c>
      <c r="B205" s="1350">
        <v>79.495008697287759</v>
      </c>
      <c r="C205" s="1347">
        <v>77.667525413928743</v>
      </c>
      <c r="D205" s="311">
        <v>75.516362199273672</v>
      </c>
      <c r="E205" s="1347">
        <v>88.452208204075163</v>
      </c>
      <c r="F205" s="311">
        <v>82.44286253754241</v>
      </c>
      <c r="G205" s="1347">
        <v>85.563282513217757</v>
      </c>
      <c r="H205" s="311">
        <v>88.011417356174874</v>
      </c>
      <c r="I205" s="1347">
        <v>83.028321484830613</v>
      </c>
      <c r="J205" s="311">
        <v>81.376660649216589</v>
      </c>
      <c r="K205" s="1347">
        <v>75.433119576193391</v>
      </c>
      <c r="L205" s="311">
        <v>89.794743662109809</v>
      </c>
      <c r="M205" s="1347">
        <v>70.788346117880621</v>
      </c>
      <c r="N205" s="1136">
        <v>69.18018654131545</v>
      </c>
    </row>
    <row r="206" spans="1:14">
      <c r="A206" s="49">
        <f t="shared" si="0"/>
        <v>2010.05</v>
      </c>
      <c r="B206" s="1350">
        <v>76.731187815243743</v>
      </c>
      <c r="C206" s="1347">
        <v>71.519969564164214</v>
      </c>
      <c r="D206" s="311">
        <v>65.724311867890449</v>
      </c>
      <c r="E206" s="1347">
        <v>89.527971623900143</v>
      </c>
      <c r="F206" s="311">
        <v>79.433013994760515</v>
      </c>
      <c r="G206" s="1347">
        <v>86.735273055820144</v>
      </c>
      <c r="H206" s="311">
        <v>86.709316115307161</v>
      </c>
      <c r="I206" s="1347">
        <v>75.932530963710747</v>
      </c>
      <c r="J206" s="311">
        <v>76.73028496750085</v>
      </c>
      <c r="K206" s="1347">
        <v>74.84541580976321</v>
      </c>
      <c r="L206" s="311">
        <v>87.824097733463717</v>
      </c>
      <c r="M206" s="1347">
        <v>71.779532766261056</v>
      </c>
      <c r="N206" s="1136">
        <v>69.348283911418122</v>
      </c>
    </row>
    <row r="207" spans="1:14">
      <c r="A207" s="49">
        <f t="shared" si="0"/>
        <v>2010.06</v>
      </c>
      <c r="B207" s="1350">
        <v>75.023125001453479</v>
      </c>
      <c r="C207" s="1347">
        <v>67.971756764492937</v>
      </c>
      <c r="D207" s="311">
        <v>61.148814358649304</v>
      </c>
      <c r="E207" s="1347">
        <v>85.674640239251445</v>
      </c>
      <c r="F207" s="311">
        <v>75.00320662489635</v>
      </c>
      <c r="G207" s="1347">
        <v>85.509776712489966</v>
      </c>
      <c r="H207" s="311">
        <v>85.151044068857558</v>
      </c>
      <c r="I207" s="1347">
        <v>77.276141858054487</v>
      </c>
      <c r="J207" s="311">
        <v>68.022400880239161</v>
      </c>
      <c r="K207" s="1347">
        <v>71.103491924854325</v>
      </c>
      <c r="L207" s="311">
        <v>84.259441390827632</v>
      </c>
      <c r="M207" s="1347">
        <v>78.924762132764243</v>
      </c>
      <c r="N207" s="1136">
        <v>64.881983595380035</v>
      </c>
    </row>
    <row r="208" spans="1:14">
      <c r="A208" s="49">
        <f t="shared" si="0"/>
        <v>2010.07</v>
      </c>
      <c r="B208" s="1350">
        <v>75.185646995692878</v>
      </c>
      <c r="C208" s="1347">
        <v>71.658137575628402</v>
      </c>
      <c r="D208" s="311">
        <v>65.677335779538964</v>
      </c>
      <c r="E208" s="1347">
        <v>79.03388601605505</v>
      </c>
      <c r="F208" s="311">
        <v>72.340353390171416</v>
      </c>
      <c r="G208" s="1347">
        <v>80.306467806246047</v>
      </c>
      <c r="H208" s="311">
        <v>85.847984987936726</v>
      </c>
      <c r="I208" s="1347">
        <v>80.546763843726495</v>
      </c>
      <c r="J208" s="311">
        <v>67.742082991832234</v>
      </c>
      <c r="K208" s="1347">
        <v>74.941375636784173</v>
      </c>
      <c r="L208" s="311">
        <v>86.826310651977252</v>
      </c>
      <c r="M208" s="1347">
        <v>67.739312612743348</v>
      </c>
      <c r="N208" s="1136">
        <v>66.037769051238257</v>
      </c>
    </row>
    <row r="209" spans="1:14">
      <c r="A209" s="49">
        <f t="shared" si="0"/>
        <v>2010.08</v>
      </c>
      <c r="B209" s="1350">
        <v>79.149573090797531</v>
      </c>
      <c r="C209" s="1347">
        <v>77.075664536997508</v>
      </c>
      <c r="D209" s="311">
        <v>63.375687686356088</v>
      </c>
      <c r="E209" s="1347">
        <v>76.358854765611369</v>
      </c>
      <c r="F209" s="311">
        <v>75.692025558896901</v>
      </c>
      <c r="G209" s="1347">
        <v>85.11315880451977</v>
      </c>
      <c r="H209" s="311">
        <v>90.14944151550354</v>
      </c>
      <c r="I209" s="1347">
        <v>76.975533133034418</v>
      </c>
      <c r="J209" s="311">
        <v>68.844912551549768</v>
      </c>
      <c r="K209" s="1347">
        <v>76.268631252185187</v>
      </c>
      <c r="L209" s="311">
        <v>93.000135271996513</v>
      </c>
      <c r="M209" s="1347">
        <v>84.127721526191053</v>
      </c>
      <c r="N209" s="1136">
        <v>67.497956086625564</v>
      </c>
    </row>
    <row r="210" spans="1:14">
      <c r="A210" s="49">
        <f t="shared" ref="A210:A241" si="1">A198+1</f>
        <v>2010.09</v>
      </c>
      <c r="B210" s="1350">
        <v>82.286748270506635</v>
      </c>
      <c r="C210" s="1347">
        <v>82.154268236128033</v>
      </c>
      <c r="D210" s="311">
        <v>70.423839483676005</v>
      </c>
      <c r="E210" s="1347">
        <v>81.509561331337125</v>
      </c>
      <c r="F210" s="311">
        <v>83.694598821430461</v>
      </c>
      <c r="G210" s="1347">
        <v>89.801647049530885</v>
      </c>
      <c r="H210" s="311">
        <v>85.919562117606645</v>
      </c>
      <c r="I210" s="1347">
        <v>84.540793876955561</v>
      </c>
      <c r="J210" s="311">
        <v>76.156619536343257</v>
      </c>
      <c r="K210" s="1347">
        <v>84.150909842576297</v>
      </c>
      <c r="L210" s="311">
        <v>88.730135112001676</v>
      </c>
      <c r="M210" s="1347">
        <v>81.444108515023345</v>
      </c>
      <c r="N210" s="1136">
        <v>72.832337177097273</v>
      </c>
    </row>
    <row r="211" spans="1:14">
      <c r="A211" s="49">
        <f t="shared" si="1"/>
        <v>2010.1</v>
      </c>
      <c r="B211" s="1350">
        <v>79.22820781909374</v>
      </c>
      <c r="C211" s="1347">
        <v>84.030747498529394</v>
      </c>
      <c r="D211" s="311">
        <v>63.047395459976109</v>
      </c>
      <c r="E211" s="1347">
        <v>81.993817603535973</v>
      </c>
      <c r="F211" s="311">
        <v>73.877086386495563</v>
      </c>
      <c r="G211" s="1347">
        <v>80.225773991830593</v>
      </c>
      <c r="H211" s="311">
        <v>77.935877044053242</v>
      </c>
      <c r="I211" s="1347">
        <v>86.943464924676846</v>
      </c>
      <c r="J211" s="311">
        <v>76.03083438341686</v>
      </c>
      <c r="K211" s="1347">
        <v>81.008431189804298</v>
      </c>
      <c r="L211" s="311">
        <v>88.280467145104524</v>
      </c>
      <c r="M211" s="1347">
        <v>67.743502058571849</v>
      </c>
      <c r="N211" s="1136">
        <v>69.331311356234309</v>
      </c>
    </row>
    <row r="212" spans="1:14">
      <c r="A212" s="49">
        <f t="shared" si="1"/>
        <v>2010.11</v>
      </c>
      <c r="B212" s="1350">
        <v>83.441166193758576</v>
      </c>
      <c r="C212" s="1347">
        <v>80.339841990263565</v>
      </c>
      <c r="D212" s="311">
        <v>71.204296296296292</v>
      </c>
      <c r="E212" s="1347">
        <v>90.123857060886792</v>
      </c>
      <c r="F212" s="311">
        <v>88.805648940423836</v>
      </c>
      <c r="G212" s="1347">
        <v>80.891609225887336</v>
      </c>
      <c r="H212" s="311">
        <v>85.353656509695284</v>
      </c>
      <c r="I212" s="1347">
        <v>87.073588766648029</v>
      </c>
      <c r="J212" s="311">
        <v>83.608491064786293</v>
      </c>
      <c r="K212" s="1347">
        <v>85.03137756635229</v>
      </c>
      <c r="L212" s="311">
        <v>90.247169924203348</v>
      </c>
      <c r="M212" s="1347">
        <v>84.196396344876035</v>
      </c>
      <c r="N212" s="1136">
        <v>76.275517951653669</v>
      </c>
    </row>
    <row r="213" spans="1:14">
      <c r="A213" s="49">
        <f t="shared" si="1"/>
        <v>2010.12</v>
      </c>
      <c r="B213" s="1350">
        <v>82.907578939687454</v>
      </c>
      <c r="C213" s="1347">
        <v>80.404911771000116</v>
      </c>
      <c r="D213" s="311">
        <v>68.421111111111117</v>
      </c>
      <c r="E213" s="1347">
        <v>89.872472602290372</v>
      </c>
      <c r="F213" s="311">
        <v>90.641413957559649</v>
      </c>
      <c r="G213" s="1347">
        <v>82.270677496897449</v>
      </c>
      <c r="H213" s="311">
        <v>79.529511046587956</v>
      </c>
      <c r="I213" s="1347">
        <v>92.921077785957223</v>
      </c>
      <c r="J213" s="311">
        <v>88.135424646331472</v>
      </c>
      <c r="K213" s="1347">
        <v>82.521555687929066</v>
      </c>
      <c r="L213" s="311">
        <v>94.548176667407972</v>
      </c>
      <c r="M213" s="1347">
        <v>74.094824952953303</v>
      </c>
      <c r="N213" s="1136">
        <v>72.956848696069926</v>
      </c>
    </row>
    <row r="214" spans="1:14">
      <c r="A214" s="49">
        <f t="shared" si="1"/>
        <v>2011.01</v>
      </c>
      <c r="B214" s="1350">
        <v>69.595499066231483</v>
      </c>
      <c r="C214" s="1347">
        <v>69.400000000000006</v>
      </c>
      <c r="D214" s="311">
        <v>71.099999999999994</v>
      </c>
      <c r="E214" s="1347">
        <v>76.238814598560396</v>
      </c>
      <c r="F214" s="311">
        <v>70.673739948221495</v>
      </c>
      <c r="G214" s="1347">
        <v>74.710260870118162</v>
      </c>
      <c r="H214" s="311">
        <v>86.472350370816827</v>
      </c>
      <c r="I214" s="1347">
        <v>82.032858086439731</v>
      </c>
      <c r="J214" s="311">
        <v>77.438629827962103</v>
      </c>
      <c r="K214" s="1347">
        <v>74.323107285472688</v>
      </c>
      <c r="L214" s="311">
        <v>71.515338908982756</v>
      </c>
      <c r="M214" s="1347">
        <v>45.819573914131354</v>
      </c>
      <c r="N214" s="1136">
        <v>57.141700306971885</v>
      </c>
    </row>
    <row r="215" spans="1:14">
      <c r="A215" s="49">
        <f t="shared" si="1"/>
        <v>2011.02</v>
      </c>
      <c r="B215" s="1350">
        <v>80.396051624987948</v>
      </c>
      <c r="C215" s="1347">
        <v>78.435034961883744</v>
      </c>
      <c r="D215" s="311">
        <v>77.900000000000006</v>
      </c>
      <c r="E215" s="1347">
        <v>88.629440393545238</v>
      </c>
      <c r="F215" s="311">
        <v>83.305470669189347</v>
      </c>
      <c r="G215" s="1347">
        <v>84.740373713803237</v>
      </c>
      <c r="H215" s="311">
        <v>88.972188515264733</v>
      </c>
      <c r="I215" s="1347">
        <v>90.539278005301455</v>
      </c>
      <c r="J215" s="311">
        <v>89.823015909575375</v>
      </c>
      <c r="K215" s="1347">
        <v>77.641996009926487</v>
      </c>
      <c r="L215" s="311">
        <v>91.088070719771935</v>
      </c>
      <c r="M215" s="1347">
        <v>59.4</v>
      </c>
      <c r="N215" s="1136">
        <v>70.400000000000006</v>
      </c>
    </row>
    <row r="216" spans="1:14">
      <c r="A216" s="49">
        <f t="shared" si="1"/>
        <v>2011.03</v>
      </c>
      <c r="B216" s="1350">
        <v>76.227537182587156</v>
      </c>
      <c r="C216" s="1347">
        <v>70.955298644158688</v>
      </c>
      <c r="D216" s="311">
        <v>61.8</v>
      </c>
      <c r="E216" s="1347">
        <v>79.592386616435249</v>
      </c>
      <c r="F216" s="311">
        <v>79.862471009900162</v>
      </c>
      <c r="G216" s="1347">
        <v>74.542544068568546</v>
      </c>
      <c r="H216" s="311">
        <v>85.627390312833185</v>
      </c>
      <c r="I216" s="1347">
        <v>81.620900567046462</v>
      </c>
      <c r="J216" s="311">
        <v>84.446393745360297</v>
      </c>
      <c r="K216" s="1347">
        <v>74.908795670328175</v>
      </c>
      <c r="L216" s="311">
        <v>84.754387378155442</v>
      </c>
      <c r="M216" s="1347">
        <v>74.156539179885257</v>
      </c>
      <c r="N216" s="1136">
        <v>65.822079292403743</v>
      </c>
    </row>
    <row r="217" spans="1:14">
      <c r="A217" s="49">
        <f t="shared" si="1"/>
        <v>2011.04</v>
      </c>
      <c r="B217" s="1350">
        <v>80.949716367117958</v>
      </c>
      <c r="C217" s="1347">
        <v>76.875591371291861</v>
      </c>
      <c r="D217" s="311">
        <v>75.8</v>
      </c>
      <c r="E217" s="1347">
        <v>80.986780654013828</v>
      </c>
      <c r="F217" s="311">
        <v>82.69019112515501</v>
      </c>
      <c r="G217" s="1347">
        <v>78.440390900705665</v>
      </c>
      <c r="H217" s="311">
        <v>83.698857905722278</v>
      </c>
      <c r="I217" s="1347">
        <v>83.767666377940856</v>
      </c>
      <c r="J217" s="311">
        <v>88.399370216790516</v>
      </c>
      <c r="K217" s="1347">
        <v>82.516221658728654</v>
      </c>
      <c r="L217" s="311">
        <v>90.332008178648849</v>
      </c>
      <c r="M217" s="1347">
        <v>76.203735220438489</v>
      </c>
      <c r="N217" s="1136">
        <v>76.811760818983871</v>
      </c>
    </row>
    <row r="218" spans="1:14">
      <c r="A218" s="49">
        <f t="shared" si="1"/>
        <v>2011.05</v>
      </c>
      <c r="B218" s="1350">
        <v>78.17016857748699</v>
      </c>
      <c r="C218" s="1347">
        <v>70.000436847194891</v>
      </c>
      <c r="D218" s="311">
        <v>74.356783662539954</v>
      </c>
      <c r="E218" s="1347">
        <v>83.802249872229893</v>
      </c>
      <c r="F218" s="311">
        <v>81.339406330634759</v>
      </c>
      <c r="G218" s="1347">
        <v>82.395788296423447</v>
      </c>
      <c r="H218" s="311">
        <v>79.425733561621371</v>
      </c>
      <c r="I218" s="1347">
        <v>74.231648484730826</v>
      </c>
      <c r="J218" s="311">
        <v>82.807630685709626</v>
      </c>
      <c r="K218" s="1347">
        <v>84.178743727570975</v>
      </c>
      <c r="L218" s="311">
        <v>88.364428020946264</v>
      </c>
      <c r="M218" s="1347">
        <v>81.648155726717661</v>
      </c>
      <c r="N218" s="1136">
        <v>76.318256359157118</v>
      </c>
    </row>
    <row r="219" spans="1:14">
      <c r="A219" s="49">
        <f t="shared" si="1"/>
        <v>2011.06</v>
      </c>
      <c r="B219" s="1350">
        <v>76.146906500935742</v>
      </c>
      <c r="C219" s="1347">
        <v>65.970068433040268</v>
      </c>
      <c r="D219" s="311">
        <v>68.829851851851842</v>
      </c>
      <c r="E219" s="1347">
        <v>81.108224329402674</v>
      </c>
      <c r="F219" s="311">
        <v>79.121596452328191</v>
      </c>
      <c r="G219" s="1347">
        <v>75.551073383833</v>
      </c>
      <c r="H219" s="311">
        <v>84.384684672237881</v>
      </c>
      <c r="I219" s="1347">
        <v>76.480732922238374</v>
      </c>
      <c r="J219" s="311">
        <v>72.976277618503772</v>
      </c>
      <c r="K219" s="1347">
        <v>77.429024548332293</v>
      </c>
      <c r="L219" s="311">
        <v>84.821548674801463</v>
      </c>
      <c r="M219" s="1347">
        <v>83.986014760467157</v>
      </c>
      <c r="N219" s="1136">
        <v>72.047096139784955</v>
      </c>
    </row>
    <row r="220" spans="1:14">
      <c r="A220" s="49">
        <f t="shared" si="1"/>
        <v>2011.07</v>
      </c>
      <c r="B220" s="1350">
        <v>75.724146795700435</v>
      </c>
      <c r="C220" s="1347">
        <v>67.598989541060604</v>
      </c>
      <c r="D220" s="311">
        <v>65.327407407407406</v>
      </c>
      <c r="E220" s="1347">
        <v>73.971625069413591</v>
      </c>
      <c r="F220" s="311">
        <v>79.165188470066511</v>
      </c>
      <c r="G220" s="1347">
        <v>79.184696675556452</v>
      </c>
      <c r="H220" s="311">
        <v>86.09434366901975</v>
      </c>
      <c r="I220" s="1347">
        <v>77.971237217619489</v>
      </c>
      <c r="J220" s="311">
        <v>71.034014794525845</v>
      </c>
      <c r="K220" s="1347">
        <v>79.838777576887082</v>
      </c>
      <c r="L220" s="311">
        <v>88.07109940400025</v>
      </c>
      <c r="M220" s="1347">
        <v>71.903660149856606</v>
      </c>
      <c r="N220" s="1136">
        <v>70.807832751779912</v>
      </c>
    </row>
    <row r="221" spans="1:14">
      <c r="A221" s="49">
        <f t="shared" si="1"/>
        <v>2011.08</v>
      </c>
      <c r="B221" s="1350">
        <v>78.059847407217077</v>
      </c>
      <c r="C221" s="1347">
        <v>72.191849442208706</v>
      </c>
      <c r="D221" s="311">
        <v>62.54653161290323</v>
      </c>
      <c r="E221" s="1347">
        <v>72.86282661964762</v>
      </c>
      <c r="F221" s="311">
        <v>79.552318862400639</v>
      </c>
      <c r="G221" s="1347">
        <v>81.258700930501746</v>
      </c>
      <c r="H221" s="311">
        <v>75.450415512465369</v>
      </c>
      <c r="I221" s="1347">
        <v>77.328822219706993</v>
      </c>
      <c r="J221" s="311">
        <v>71.285988214621</v>
      </c>
      <c r="K221" s="1347">
        <v>82.954776606507622</v>
      </c>
      <c r="L221" s="311">
        <v>87.918714807287429</v>
      </c>
      <c r="M221" s="1347">
        <v>87.589414377327984</v>
      </c>
      <c r="N221" s="1136">
        <v>74.107767070759621</v>
      </c>
    </row>
    <row r="222" spans="1:14">
      <c r="A222" s="49">
        <f t="shared" si="1"/>
        <v>2011.09</v>
      </c>
      <c r="B222" s="1350">
        <v>83.653628692709347</v>
      </c>
      <c r="C222" s="1347">
        <v>79.342518001185709</v>
      </c>
      <c r="D222" s="311">
        <v>68.796145185185182</v>
      </c>
      <c r="E222" s="1347">
        <v>73.906136690208882</v>
      </c>
      <c r="F222" s="311">
        <v>89.134747744823429</v>
      </c>
      <c r="G222" s="1347">
        <v>90.879266814125259</v>
      </c>
      <c r="H222" s="311">
        <v>87.466114235723566</v>
      </c>
      <c r="I222" s="1347">
        <v>86.168032866819331</v>
      </c>
      <c r="J222" s="311">
        <v>77.707812175322758</v>
      </c>
      <c r="K222" s="1347">
        <v>90.096588230269688</v>
      </c>
      <c r="L222" s="311">
        <v>84.932204885565014</v>
      </c>
      <c r="M222" s="1347">
        <v>87.308084328105025</v>
      </c>
      <c r="N222" s="1136">
        <v>78.857604413978493</v>
      </c>
    </row>
    <row r="223" spans="1:14">
      <c r="A223" s="49">
        <f t="shared" si="1"/>
        <v>2011.1</v>
      </c>
      <c r="B223" s="1350">
        <v>80.03698657205554</v>
      </c>
      <c r="C223" s="1347">
        <v>83.00816194693995</v>
      </c>
      <c r="D223" s="311">
        <v>58.275734767025092</v>
      </c>
      <c r="E223" s="1347">
        <v>71.178097819418113</v>
      </c>
      <c r="F223" s="311">
        <v>81.634180457077605</v>
      </c>
      <c r="G223" s="1347">
        <v>82.472095663601863</v>
      </c>
      <c r="H223" s="311">
        <v>77.296398891966774</v>
      </c>
      <c r="I223" s="1347">
        <v>83.774666814950663</v>
      </c>
      <c r="J223" s="311">
        <v>76.542067447985346</v>
      </c>
      <c r="K223" s="1347">
        <v>83.962358351970778</v>
      </c>
      <c r="L223" s="311">
        <v>86.472704491832886</v>
      </c>
      <c r="M223" s="1347">
        <v>74.653339268546176</v>
      </c>
      <c r="N223" s="1136">
        <v>74.120131442819968</v>
      </c>
    </row>
    <row r="224" spans="1:14">
      <c r="A224" s="49">
        <f t="shared" si="1"/>
        <v>2011.11</v>
      </c>
      <c r="B224" s="1350">
        <v>84.100708697195913</v>
      </c>
      <c r="C224" s="1347">
        <v>85.143023757950218</v>
      </c>
      <c r="D224" s="311">
        <v>58.387522962962969</v>
      </c>
      <c r="E224" s="1347">
        <v>78.035565426385688</v>
      </c>
      <c r="F224" s="311">
        <v>89.338482834066397</v>
      </c>
      <c r="G224" s="1347">
        <v>86.311347044021787</v>
      </c>
      <c r="H224" s="311">
        <v>77.501120110803328</v>
      </c>
      <c r="I224" s="1347">
        <v>89.17327492776333</v>
      </c>
      <c r="J224" s="311">
        <v>85.672082171709661</v>
      </c>
      <c r="K224" s="1347">
        <v>86.313548615873373</v>
      </c>
      <c r="L224" s="311">
        <v>84.644863554341526</v>
      </c>
      <c r="M224" s="1347">
        <v>84.2805927412209</v>
      </c>
      <c r="N224" s="1136">
        <v>79.833009559559571</v>
      </c>
    </row>
    <row r="225" spans="1:14">
      <c r="A225" s="49">
        <f t="shared" si="1"/>
        <v>2011.12</v>
      </c>
      <c r="B225" s="1350">
        <v>81.958017955796493</v>
      </c>
      <c r="C225" s="1347">
        <v>84.044294917355074</v>
      </c>
      <c r="D225" s="311">
        <v>59.800051111111109</v>
      </c>
      <c r="E225" s="1347">
        <v>77.958146599195601</v>
      </c>
      <c r="F225" s="311">
        <v>87.831530124875286</v>
      </c>
      <c r="G225" s="1347">
        <v>85.150151209288836</v>
      </c>
      <c r="H225" s="311">
        <v>87.402932640200149</v>
      </c>
      <c r="I225" s="1347">
        <v>91.388950045906796</v>
      </c>
      <c r="J225" s="311">
        <v>83.713916558772013</v>
      </c>
      <c r="K225" s="1347">
        <v>84.365630390650921</v>
      </c>
      <c r="L225" s="311">
        <v>83.144300244312248</v>
      </c>
      <c r="M225" s="1347">
        <v>58.683101362739009</v>
      </c>
      <c r="N225" s="1136">
        <v>80.863121185701829</v>
      </c>
    </row>
    <row r="226" spans="1:14">
      <c r="A226" s="49">
        <f t="shared" si="1"/>
        <v>2012.01</v>
      </c>
      <c r="B226" s="1350">
        <v>67.641832268171427</v>
      </c>
      <c r="C226" s="1347">
        <v>66.510693505503113</v>
      </c>
      <c r="D226" s="311">
        <v>71.606520161290319</v>
      </c>
      <c r="E226" s="1347">
        <v>64.636966002032381</v>
      </c>
      <c r="F226" s="311">
        <v>70.806492811672967</v>
      </c>
      <c r="G226" s="1347">
        <v>77.298108791903857</v>
      </c>
      <c r="H226" s="311">
        <v>82.494622253759246</v>
      </c>
      <c r="I226" s="1347">
        <v>77.039365164343963</v>
      </c>
      <c r="J226" s="311">
        <v>76.75677059477924</v>
      </c>
      <c r="K226" s="1347">
        <v>74.406096703464016</v>
      </c>
      <c r="L226" s="311">
        <v>67.282097230638769</v>
      </c>
      <c r="M226" s="1347">
        <v>41.420894818374741</v>
      </c>
      <c r="N226" s="1136">
        <v>62.15832976184975</v>
      </c>
    </row>
    <row r="227" spans="1:14">
      <c r="A227" s="49">
        <f t="shared" si="1"/>
        <v>2012.02</v>
      </c>
      <c r="B227" s="1350">
        <v>75.270823246216452</v>
      </c>
      <c r="C227" s="1347">
        <v>73.175203859801272</v>
      </c>
      <c r="D227" s="311">
        <v>69.209822988505735</v>
      </c>
      <c r="E227" s="1347">
        <v>79.781170475072571</v>
      </c>
      <c r="F227" s="311">
        <v>78.180747921815765</v>
      </c>
      <c r="G227" s="1347">
        <v>85.50011499537527</v>
      </c>
      <c r="H227" s="311">
        <v>81.17945200392775</v>
      </c>
      <c r="I227" s="1347">
        <v>81.706029840062783</v>
      </c>
      <c r="J227" s="311">
        <v>86.339122931166813</v>
      </c>
      <c r="K227" s="1347">
        <v>72.0995632379136</v>
      </c>
      <c r="L227" s="311">
        <v>86.880171579505145</v>
      </c>
      <c r="M227" s="1347">
        <v>62.250926159618999</v>
      </c>
      <c r="N227" s="1136">
        <v>62.330786288970629</v>
      </c>
    </row>
    <row r="228" spans="1:14">
      <c r="A228" s="49">
        <f t="shared" si="1"/>
        <v>2012.03</v>
      </c>
      <c r="B228" s="1350">
        <v>75.263468850170312</v>
      </c>
      <c r="C228" s="1347">
        <v>68.470577464228214</v>
      </c>
      <c r="D228" s="311">
        <v>75.8</v>
      </c>
      <c r="E228" s="1347">
        <v>77.983084803521564</v>
      </c>
      <c r="F228" s="311">
        <v>80.421508306969443</v>
      </c>
      <c r="G228" s="1347">
        <v>79.909607241505483</v>
      </c>
      <c r="H228" s="311">
        <v>82.4612252703065</v>
      </c>
      <c r="I228" s="1347">
        <v>83.095356403424631</v>
      </c>
      <c r="J228" s="311">
        <v>82.04455405886533</v>
      </c>
      <c r="K228" s="1347">
        <v>76.697652649745734</v>
      </c>
      <c r="L228" s="311">
        <v>85.8</v>
      </c>
      <c r="M228" s="1347">
        <v>70.374555681711101</v>
      </c>
      <c r="N228" s="1136">
        <v>62.440049932965216</v>
      </c>
    </row>
    <row r="229" spans="1:14">
      <c r="A229" s="49">
        <f t="shared" si="1"/>
        <v>2012.04</v>
      </c>
      <c r="B229" s="1350">
        <v>78.871169005672229</v>
      </c>
      <c r="C229" s="1347">
        <v>75.476944333287832</v>
      </c>
      <c r="D229" s="311">
        <v>91.2</v>
      </c>
      <c r="E229" s="1347">
        <v>81.248655534464959</v>
      </c>
      <c r="F229" s="311">
        <v>86.493939916912154</v>
      </c>
      <c r="G229" s="1347">
        <v>87.617916636088211</v>
      </c>
      <c r="H229" s="311">
        <v>83.112965900382235</v>
      </c>
      <c r="I229" s="1347">
        <v>83.25571489337031</v>
      </c>
      <c r="J229" s="311">
        <v>87.515408713999562</v>
      </c>
      <c r="K229" s="1347">
        <v>77.501108532863128</v>
      </c>
      <c r="L229" s="311">
        <v>89.741387603013976</v>
      </c>
      <c r="M229" s="1347">
        <v>58.600672384517196</v>
      </c>
      <c r="N229" s="1136">
        <v>75.653817757988989</v>
      </c>
    </row>
    <row r="230" spans="1:14">
      <c r="A230" s="49">
        <f t="shared" si="1"/>
        <v>2012.05</v>
      </c>
      <c r="B230" s="1350">
        <v>73.141299355907634</v>
      </c>
      <c r="C230" s="1347">
        <v>72.261078891062738</v>
      </c>
      <c r="D230" s="311">
        <v>72.646577638301522</v>
      </c>
      <c r="E230" s="1347">
        <v>85.600522048869209</v>
      </c>
      <c r="F230" s="311">
        <v>83.128873269908723</v>
      </c>
      <c r="G230" s="1347">
        <v>82.725371449609142</v>
      </c>
      <c r="H230" s="311">
        <v>82.046782769154873</v>
      </c>
      <c r="I230" s="1347">
        <v>68.086798709354454</v>
      </c>
      <c r="J230" s="311">
        <v>77.957828397178346</v>
      </c>
      <c r="K230" s="1347">
        <v>82.29947919307476</v>
      </c>
      <c r="L230" s="311">
        <v>81.256160947054013</v>
      </c>
      <c r="M230" s="1347">
        <v>64.339775148798594</v>
      </c>
      <c r="N230" s="1136">
        <v>64.013369920949486</v>
      </c>
    </row>
    <row r="231" spans="1:14">
      <c r="A231" s="49">
        <f t="shared" si="1"/>
        <v>2012.06</v>
      </c>
      <c r="B231" s="1350">
        <v>71.962143156343487</v>
      </c>
      <c r="C231" s="1347">
        <v>66.280659691895451</v>
      </c>
      <c r="D231" s="311">
        <v>63.901234567901234</v>
      </c>
      <c r="E231" s="1347">
        <v>84.760086123291529</v>
      </c>
      <c r="F231" s="311">
        <v>84.841093865484126</v>
      </c>
      <c r="G231" s="1347">
        <v>74.424836601307192</v>
      </c>
      <c r="H231" s="311">
        <v>85.872576177285325</v>
      </c>
      <c r="I231" s="1347">
        <v>75.370377840365677</v>
      </c>
      <c r="J231" s="311">
        <v>77.268301603531128</v>
      </c>
      <c r="K231" s="1347">
        <v>77.933691935145603</v>
      </c>
      <c r="L231" s="311">
        <v>83.422417845020718</v>
      </c>
      <c r="M231" s="1347">
        <v>58.071374335611246</v>
      </c>
      <c r="N231" s="1136">
        <v>61.986986986986977</v>
      </c>
    </row>
    <row r="232" spans="1:14">
      <c r="A232" s="49">
        <f t="shared" si="1"/>
        <v>2012.07</v>
      </c>
      <c r="B232" s="1350">
        <v>71.314511690103316</v>
      </c>
      <c r="C232" s="1347">
        <v>66.937527017599677</v>
      </c>
      <c r="D232" s="311">
        <v>69.533581600807281</v>
      </c>
      <c r="E232" s="1347">
        <v>81.871014910271626</v>
      </c>
      <c r="F232" s="311">
        <v>82.827919487872265</v>
      </c>
      <c r="G232" s="1347">
        <v>76.761543327008226</v>
      </c>
      <c r="H232" s="311">
        <v>87.813174508263131</v>
      </c>
      <c r="I232" s="1347">
        <v>72.049498156481675</v>
      </c>
      <c r="J232" s="311">
        <v>76.565674582140062</v>
      </c>
      <c r="K232" s="1347">
        <v>77.305679904445867</v>
      </c>
      <c r="L232" s="311">
        <v>64.63959642404933</v>
      </c>
      <c r="M232" s="1347">
        <v>70.029059341367386</v>
      </c>
      <c r="N232" s="1136">
        <v>63.891250078684983</v>
      </c>
    </row>
    <row r="233" spans="1:14">
      <c r="A233" s="49">
        <f t="shared" si="1"/>
        <v>2012.08</v>
      </c>
      <c r="B233" s="1350">
        <v>74.018122151197943</v>
      </c>
      <c r="C233" s="1347">
        <v>71.406978414950331</v>
      </c>
      <c r="D233" s="311">
        <v>69.026284348864991</v>
      </c>
      <c r="E233" s="1347">
        <v>78.029454717436153</v>
      </c>
      <c r="F233" s="311">
        <v>81.823954239380782</v>
      </c>
      <c r="G233" s="1347">
        <v>83.303186085415604</v>
      </c>
      <c r="H233" s="311">
        <v>87.39165400768475</v>
      </c>
      <c r="I233" s="1347">
        <v>69.34786867132874</v>
      </c>
      <c r="J233" s="311">
        <v>74.621361125632632</v>
      </c>
      <c r="K233" s="1347">
        <v>76.524389845511934</v>
      </c>
      <c r="L233" s="311">
        <v>70.423749569983443</v>
      </c>
      <c r="M233" s="1347">
        <v>81.471099619345196</v>
      </c>
      <c r="N233" s="1136">
        <v>65.57214032778819</v>
      </c>
    </row>
    <row r="234" spans="1:14">
      <c r="A234" s="49">
        <f t="shared" si="1"/>
        <v>2012.09</v>
      </c>
      <c r="B234" s="1350">
        <v>75.843105143114542</v>
      </c>
      <c r="C234" s="1347">
        <v>75.513148861758907</v>
      </c>
      <c r="D234" s="311">
        <v>63.555118200860903</v>
      </c>
      <c r="E234" s="1347">
        <v>79.062634010591722</v>
      </c>
      <c r="F234" s="311">
        <v>86.416532614524016</v>
      </c>
      <c r="G234" s="1347">
        <v>84.539969834087501</v>
      </c>
      <c r="H234" s="311">
        <v>90.786162464643311</v>
      </c>
      <c r="I234" s="1347">
        <v>75.012289153330073</v>
      </c>
      <c r="J234" s="311">
        <v>76.416141340883783</v>
      </c>
      <c r="K234" s="1347">
        <v>78.058174375267413</v>
      </c>
      <c r="L234" s="311">
        <v>74.683906389866721</v>
      </c>
      <c r="M234" s="1347">
        <v>73.139895194541381</v>
      </c>
      <c r="N234" s="1136">
        <v>65.591397849462368</v>
      </c>
    </row>
    <row r="235" spans="1:14">
      <c r="A235" s="49">
        <f t="shared" si="1"/>
        <v>2012.1</v>
      </c>
      <c r="B235" s="1350">
        <v>76.400000000000006</v>
      </c>
      <c r="C235" s="1347">
        <v>75</v>
      </c>
      <c r="D235" s="311">
        <v>71.2</v>
      </c>
      <c r="E235" s="1347">
        <v>78.3</v>
      </c>
      <c r="F235" s="311">
        <v>82.2</v>
      </c>
      <c r="G235" s="1347">
        <v>79.900000000000006</v>
      </c>
      <c r="H235" s="311">
        <v>88.3</v>
      </c>
      <c r="I235" s="1347">
        <v>78.099999999999994</v>
      </c>
      <c r="J235" s="311">
        <v>75.400000000000006</v>
      </c>
      <c r="K235" s="1347">
        <v>83.1</v>
      </c>
      <c r="L235" s="311">
        <v>75.3</v>
      </c>
      <c r="M235" s="1347">
        <v>80.5</v>
      </c>
      <c r="N235" s="1136">
        <v>63.3</v>
      </c>
    </row>
    <row r="236" spans="1:14">
      <c r="A236" s="49">
        <f t="shared" si="1"/>
        <v>2012.11</v>
      </c>
      <c r="B236" s="1350">
        <v>78.5</v>
      </c>
      <c r="C236" s="1347">
        <v>78.2</v>
      </c>
      <c r="D236" s="311">
        <v>71.900000000000006</v>
      </c>
      <c r="E236" s="1347">
        <v>82.5</v>
      </c>
      <c r="F236" s="311">
        <v>80.7</v>
      </c>
      <c r="G236" s="1347">
        <v>78</v>
      </c>
      <c r="H236" s="311">
        <v>83.4</v>
      </c>
      <c r="I236" s="1347">
        <v>83</v>
      </c>
      <c r="J236" s="311">
        <v>79.900000000000006</v>
      </c>
      <c r="K236" s="1347">
        <v>82.6</v>
      </c>
      <c r="L236" s="311">
        <v>74.5</v>
      </c>
      <c r="M236" s="1347">
        <v>82.8</v>
      </c>
      <c r="N236" s="1136">
        <v>69.3</v>
      </c>
    </row>
    <row r="237" spans="1:14">
      <c r="A237" s="49">
        <f t="shared" si="1"/>
        <v>2012.12</v>
      </c>
      <c r="B237" s="1350">
        <v>75.8</v>
      </c>
      <c r="C237" s="1347">
        <v>78.8</v>
      </c>
      <c r="D237" s="311">
        <v>62.6</v>
      </c>
      <c r="E237" s="1347">
        <v>71.8</v>
      </c>
      <c r="F237" s="311">
        <v>76.2</v>
      </c>
      <c r="G237" s="1347">
        <v>73.3</v>
      </c>
      <c r="H237" s="311">
        <v>87.2</v>
      </c>
      <c r="I237" s="1347">
        <v>82</v>
      </c>
      <c r="J237" s="311">
        <v>77.5</v>
      </c>
      <c r="K237" s="1347">
        <v>76.099999999999994</v>
      </c>
      <c r="L237" s="311">
        <v>68.900000000000006</v>
      </c>
      <c r="M237" s="1347">
        <v>66.3</v>
      </c>
      <c r="N237" s="1136">
        <v>72.5</v>
      </c>
    </row>
    <row r="238" spans="1:14">
      <c r="A238" s="49">
        <f t="shared" si="1"/>
        <v>2013.01</v>
      </c>
      <c r="B238" s="1350">
        <v>65.599999999999994</v>
      </c>
      <c r="C238" s="1347">
        <v>66</v>
      </c>
      <c r="D238" s="311">
        <v>74.3</v>
      </c>
      <c r="E238" s="1347">
        <v>63.6</v>
      </c>
      <c r="F238" s="311">
        <v>75</v>
      </c>
      <c r="G238" s="1347">
        <v>68.7</v>
      </c>
      <c r="H238" s="311">
        <v>84</v>
      </c>
      <c r="I238" s="1347">
        <v>78</v>
      </c>
      <c r="J238" s="311">
        <v>76.3</v>
      </c>
      <c r="K238" s="1347">
        <v>73.2</v>
      </c>
      <c r="L238" s="311">
        <v>60.4</v>
      </c>
      <c r="M238" s="1347">
        <v>42.3</v>
      </c>
      <c r="N238" s="1136">
        <v>54.4</v>
      </c>
    </row>
    <row r="239" spans="1:14">
      <c r="A239" s="49">
        <f t="shared" si="1"/>
        <v>2013.02</v>
      </c>
      <c r="B239" s="1350">
        <v>71.5</v>
      </c>
      <c r="C239" s="1347">
        <v>70.7</v>
      </c>
      <c r="D239" s="311">
        <v>70.7</v>
      </c>
      <c r="E239" s="1347">
        <v>70</v>
      </c>
      <c r="F239" s="311">
        <v>77</v>
      </c>
      <c r="G239" s="1347">
        <v>73.3</v>
      </c>
      <c r="H239" s="311">
        <v>84.2</v>
      </c>
      <c r="I239" s="1347">
        <v>84.3</v>
      </c>
      <c r="J239" s="311">
        <v>77.099999999999994</v>
      </c>
      <c r="K239" s="1347">
        <v>78.900000000000006</v>
      </c>
      <c r="L239" s="311">
        <v>65.900000000000006</v>
      </c>
      <c r="M239" s="1347">
        <v>61.4</v>
      </c>
      <c r="N239" s="1136">
        <v>58.6</v>
      </c>
    </row>
    <row r="240" spans="1:14">
      <c r="A240" s="49">
        <f t="shared" si="1"/>
        <v>2013.03</v>
      </c>
      <c r="B240" s="1350">
        <v>72.7</v>
      </c>
      <c r="C240" s="1347">
        <v>66.2</v>
      </c>
      <c r="D240" s="311">
        <v>71.099999999999994</v>
      </c>
      <c r="E240" s="1347">
        <v>68.5</v>
      </c>
      <c r="F240" s="311">
        <v>79</v>
      </c>
      <c r="G240" s="1347">
        <v>67</v>
      </c>
      <c r="H240" s="311">
        <v>88.3</v>
      </c>
      <c r="I240" s="1347">
        <v>78.400000000000006</v>
      </c>
      <c r="J240" s="311">
        <v>74.7</v>
      </c>
      <c r="K240" s="1347">
        <v>81.099999999999994</v>
      </c>
      <c r="L240" s="311">
        <v>83.5</v>
      </c>
      <c r="M240" s="1347">
        <v>80.900000000000006</v>
      </c>
      <c r="N240" s="1136">
        <v>51.6</v>
      </c>
    </row>
    <row r="241" spans="1:14">
      <c r="A241" s="49">
        <f t="shared" si="1"/>
        <v>2013.04</v>
      </c>
      <c r="B241" s="1350">
        <v>75.900000000000006</v>
      </c>
      <c r="C241" s="1347">
        <v>70.3</v>
      </c>
      <c r="D241" s="311">
        <v>66.8</v>
      </c>
      <c r="E241" s="1347">
        <v>75.599999999999994</v>
      </c>
      <c r="F241" s="311">
        <v>79.8</v>
      </c>
      <c r="G241" s="1347">
        <v>72.5</v>
      </c>
      <c r="H241" s="311">
        <v>76.3</v>
      </c>
      <c r="I241" s="1347">
        <v>81.7</v>
      </c>
      <c r="J241" s="311">
        <v>76</v>
      </c>
      <c r="K241" s="1347">
        <v>82.2</v>
      </c>
      <c r="L241" s="311">
        <v>83.8</v>
      </c>
      <c r="M241" s="1347">
        <v>79</v>
      </c>
      <c r="N241" s="1136">
        <v>68.2</v>
      </c>
    </row>
    <row r="242" spans="1:14">
      <c r="A242" s="49">
        <f t="shared" ref="A242:A305" si="2">A230+1</f>
        <v>2013.05</v>
      </c>
      <c r="B242" s="1350">
        <v>73.3</v>
      </c>
      <c r="C242" s="1347">
        <v>68</v>
      </c>
      <c r="D242" s="311">
        <v>70.2</v>
      </c>
      <c r="E242" s="1347">
        <v>78</v>
      </c>
      <c r="F242" s="311">
        <v>80.099999999999994</v>
      </c>
      <c r="G242" s="1347">
        <v>74.5</v>
      </c>
      <c r="H242" s="311">
        <v>77.2</v>
      </c>
      <c r="I242" s="1347">
        <v>72.7</v>
      </c>
      <c r="J242" s="311">
        <v>72.2</v>
      </c>
      <c r="K242" s="1347">
        <v>84.2</v>
      </c>
      <c r="L242" s="311">
        <v>81</v>
      </c>
      <c r="M242" s="1347">
        <v>81.8</v>
      </c>
      <c r="N242" s="1136">
        <v>61.8</v>
      </c>
    </row>
    <row r="243" spans="1:14">
      <c r="A243" s="49">
        <f t="shared" si="2"/>
        <v>2013.06</v>
      </c>
      <c r="B243" s="1350">
        <v>71.5</v>
      </c>
      <c r="C243" s="1347">
        <v>66.8</v>
      </c>
      <c r="D243" s="311">
        <v>55.4</v>
      </c>
      <c r="E243" s="1347">
        <v>80.599999999999994</v>
      </c>
      <c r="F243" s="311">
        <v>81.5</v>
      </c>
      <c r="G243" s="1347">
        <v>76.5</v>
      </c>
      <c r="H243" s="311">
        <v>84.2</v>
      </c>
      <c r="I243" s="1347">
        <v>70.3</v>
      </c>
      <c r="J243" s="311">
        <v>74.900000000000006</v>
      </c>
      <c r="K243" s="1347">
        <v>82.8</v>
      </c>
      <c r="L243" s="311">
        <v>75.8</v>
      </c>
      <c r="M243" s="1347">
        <v>67.5</v>
      </c>
      <c r="N243" s="1136">
        <v>63</v>
      </c>
    </row>
    <row r="244" spans="1:14">
      <c r="A244" s="49">
        <f t="shared" si="2"/>
        <v>2013.07</v>
      </c>
      <c r="B244" s="1350">
        <v>71.099999999999994</v>
      </c>
      <c r="C244" s="1347">
        <v>68.400000000000006</v>
      </c>
      <c r="D244" s="311">
        <v>65.5</v>
      </c>
      <c r="E244" s="1347">
        <v>78</v>
      </c>
      <c r="F244" s="311">
        <v>80.8</v>
      </c>
      <c r="G244" s="1347">
        <v>73.3</v>
      </c>
      <c r="H244" s="311">
        <v>84</v>
      </c>
      <c r="I244" s="1347">
        <v>65.8</v>
      </c>
      <c r="J244" s="311">
        <v>74.900000000000006</v>
      </c>
      <c r="K244" s="1347">
        <v>78.7</v>
      </c>
      <c r="L244" s="311">
        <v>81.2</v>
      </c>
      <c r="M244" s="1347">
        <v>72.2</v>
      </c>
      <c r="N244" s="1136">
        <v>58.1</v>
      </c>
    </row>
    <row r="245" spans="1:14">
      <c r="A245" s="49">
        <f t="shared" si="2"/>
        <v>2013.08</v>
      </c>
      <c r="B245" s="1350">
        <v>73</v>
      </c>
      <c r="C245" s="1347">
        <v>69.599999999999994</v>
      </c>
      <c r="D245" s="311">
        <v>63.4</v>
      </c>
      <c r="E245" s="1347">
        <v>77.599999999999994</v>
      </c>
      <c r="F245" s="311">
        <v>81</v>
      </c>
      <c r="G245" s="1347">
        <v>72.900000000000006</v>
      </c>
      <c r="H245" s="311">
        <v>86.7</v>
      </c>
      <c r="I245" s="1347">
        <v>69.8</v>
      </c>
      <c r="J245" s="311">
        <v>75.2</v>
      </c>
      <c r="K245" s="1347">
        <v>81.8</v>
      </c>
      <c r="L245" s="311">
        <v>83.5</v>
      </c>
      <c r="M245" s="1347">
        <v>71.099999999999994</v>
      </c>
      <c r="N245" s="1136">
        <v>62</v>
      </c>
    </row>
    <row r="246" spans="1:14">
      <c r="A246" s="49">
        <f t="shared" si="2"/>
        <v>2013.09</v>
      </c>
      <c r="B246" s="1350">
        <v>75.2</v>
      </c>
      <c r="C246" s="1347">
        <v>72.5</v>
      </c>
      <c r="D246" s="311">
        <v>64.2</v>
      </c>
      <c r="E246" s="1347">
        <v>84.2</v>
      </c>
      <c r="F246" s="311">
        <v>80.599999999999994</v>
      </c>
      <c r="G246" s="1347">
        <v>76.8</v>
      </c>
      <c r="H246" s="311">
        <v>89.2</v>
      </c>
      <c r="I246" s="1347">
        <v>72.5</v>
      </c>
      <c r="J246" s="311">
        <v>76.7</v>
      </c>
      <c r="K246" s="1347">
        <v>85.6</v>
      </c>
      <c r="L246" s="311">
        <v>83.8</v>
      </c>
      <c r="M246" s="1347">
        <v>75.3</v>
      </c>
      <c r="N246" s="1136">
        <v>61.8</v>
      </c>
    </row>
    <row r="247" spans="1:14">
      <c r="A247" s="49">
        <f t="shared" si="2"/>
        <v>2013.1</v>
      </c>
      <c r="B247" s="1350">
        <v>75.400000000000006</v>
      </c>
      <c r="C247" s="1347">
        <v>73.8</v>
      </c>
      <c r="D247" s="311">
        <v>67.099999999999994</v>
      </c>
      <c r="E247" s="1347">
        <v>81.599999999999994</v>
      </c>
      <c r="F247" s="311">
        <v>82</v>
      </c>
      <c r="G247" s="1347">
        <v>75.599999999999994</v>
      </c>
      <c r="H247" s="311">
        <v>85</v>
      </c>
      <c r="I247" s="1347">
        <v>75.900000000000006</v>
      </c>
      <c r="J247" s="311">
        <v>76.599999999999994</v>
      </c>
      <c r="K247" s="1347">
        <v>87.7</v>
      </c>
      <c r="L247" s="311">
        <v>83.7</v>
      </c>
      <c r="M247" s="1347">
        <v>75.2</v>
      </c>
      <c r="N247" s="1136">
        <v>60.1</v>
      </c>
    </row>
    <row r="248" spans="1:14">
      <c r="A248" s="49">
        <f t="shared" si="2"/>
        <v>2013.11</v>
      </c>
      <c r="B248" s="1350">
        <v>75.3</v>
      </c>
      <c r="C248" s="1347">
        <v>73</v>
      </c>
      <c r="D248" s="311">
        <v>68.3</v>
      </c>
      <c r="E248" s="1347">
        <v>83.7</v>
      </c>
      <c r="F248" s="311">
        <v>80</v>
      </c>
      <c r="G248" s="1347">
        <v>75.400000000000006</v>
      </c>
      <c r="H248" s="311">
        <v>85.2</v>
      </c>
      <c r="I248" s="1347">
        <v>78.400000000000006</v>
      </c>
      <c r="J248" s="311">
        <v>78.5</v>
      </c>
      <c r="K248" s="1347">
        <v>88.3</v>
      </c>
      <c r="L248" s="311">
        <v>85.4</v>
      </c>
      <c r="M248" s="1347">
        <v>64.3</v>
      </c>
      <c r="N248" s="1136">
        <v>63.9</v>
      </c>
    </row>
    <row r="249" spans="1:14">
      <c r="A249" s="49">
        <f t="shared" si="2"/>
        <v>2013.12</v>
      </c>
      <c r="B249" s="1350">
        <v>72.099999999999994</v>
      </c>
      <c r="C249" s="1347">
        <v>79</v>
      </c>
      <c r="D249" s="311">
        <v>63</v>
      </c>
      <c r="E249" s="1347">
        <v>75.7</v>
      </c>
      <c r="F249" s="311">
        <v>77.099999999999994</v>
      </c>
      <c r="G249" s="1347">
        <v>72.900000000000006</v>
      </c>
      <c r="H249" s="311">
        <v>86</v>
      </c>
      <c r="I249" s="1347">
        <v>78</v>
      </c>
      <c r="J249" s="311">
        <v>71.900000000000006</v>
      </c>
      <c r="K249" s="1347">
        <v>80.099999999999994</v>
      </c>
      <c r="L249" s="311">
        <v>81.400000000000006</v>
      </c>
      <c r="M249" s="1347">
        <v>44.8</v>
      </c>
      <c r="N249" s="1136">
        <v>59.7</v>
      </c>
    </row>
    <row r="250" spans="1:14">
      <c r="A250" s="49">
        <f t="shared" si="2"/>
        <v>2014.01</v>
      </c>
      <c r="B250" s="1350">
        <v>63.7</v>
      </c>
      <c r="C250" s="1347">
        <v>64.2</v>
      </c>
      <c r="D250" s="311">
        <v>72.599999999999994</v>
      </c>
      <c r="E250" s="1347">
        <v>68</v>
      </c>
      <c r="F250" s="311">
        <v>73.400000000000006</v>
      </c>
      <c r="G250" s="1347">
        <v>70.7</v>
      </c>
      <c r="H250" s="311">
        <v>85.1</v>
      </c>
      <c r="I250" s="1347">
        <v>71.599999999999994</v>
      </c>
      <c r="J250" s="311">
        <v>70.599999999999994</v>
      </c>
      <c r="K250" s="1347">
        <v>72.900000000000006</v>
      </c>
      <c r="L250" s="311">
        <v>72</v>
      </c>
      <c r="M250" s="1347">
        <v>34.6</v>
      </c>
      <c r="N250" s="1136">
        <v>48.2</v>
      </c>
    </row>
    <row r="251" spans="1:14">
      <c r="A251" s="49">
        <f t="shared" si="2"/>
        <v>2014.02</v>
      </c>
      <c r="B251" s="1350">
        <v>70.14</v>
      </c>
      <c r="C251" s="1347">
        <v>70.099999999999994</v>
      </c>
      <c r="D251" s="311">
        <v>74</v>
      </c>
      <c r="E251" s="1347">
        <v>76.2</v>
      </c>
      <c r="F251" s="311">
        <v>78.400000000000006</v>
      </c>
      <c r="G251" s="1347">
        <v>77.2</v>
      </c>
      <c r="H251" s="311">
        <v>84.9</v>
      </c>
      <c r="I251" s="1347">
        <v>77.8</v>
      </c>
      <c r="J251" s="311">
        <v>68.5</v>
      </c>
      <c r="K251" s="1347">
        <v>74.5</v>
      </c>
      <c r="L251" s="311">
        <v>74.099999999999994</v>
      </c>
      <c r="M251" s="1347">
        <v>58.2</v>
      </c>
      <c r="N251" s="1136">
        <v>53.5</v>
      </c>
    </row>
    <row r="252" spans="1:14">
      <c r="A252" s="49">
        <f t="shared" si="2"/>
        <v>2014.03</v>
      </c>
      <c r="B252" s="1350">
        <v>67.900000000000006</v>
      </c>
      <c r="C252" s="1347">
        <v>65.8</v>
      </c>
      <c r="D252" s="311">
        <v>62</v>
      </c>
      <c r="E252" s="1347">
        <v>72.900000000000006</v>
      </c>
      <c r="F252" s="311">
        <v>77.599999999999994</v>
      </c>
      <c r="G252" s="1347">
        <v>72.7</v>
      </c>
      <c r="H252" s="311">
        <v>70</v>
      </c>
      <c r="I252" s="1347">
        <v>76.400000000000006</v>
      </c>
      <c r="J252" s="311">
        <v>68.099999999999994</v>
      </c>
      <c r="K252" s="1347">
        <v>77</v>
      </c>
      <c r="L252" s="311">
        <v>82.8</v>
      </c>
      <c r="M252" s="1347">
        <v>57.3</v>
      </c>
      <c r="N252" s="1136">
        <v>50.7</v>
      </c>
    </row>
    <row r="253" spans="1:14">
      <c r="A253" s="49">
        <f t="shared" si="2"/>
        <v>2014.04</v>
      </c>
      <c r="B253" s="1350">
        <v>73</v>
      </c>
      <c r="C253" s="1347">
        <v>72.599999999999994</v>
      </c>
      <c r="D253" s="311">
        <v>69.7</v>
      </c>
      <c r="E253" s="1347">
        <v>77.5</v>
      </c>
      <c r="F253" s="311">
        <v>77.3</v>
      </c>
      <c r="G253" s="1347">
        <v>77</v>
      </c>
      <c r="H253" s="311">
        <v>81.7</v>
      </c>
      <c r="I253" s="1347">
        <v>81.5</v>
      </c>
      <c r="J253" s="311">
        <v>70.2</v>
      </c>
      <c r="K253" s="1347">
        <v>81.7</v>
      </c>
      <c r="L253" s="311">
        <v>89.2</v>
      </c>
      <c r="M253" s="1347">
        <v>59.7</v>
      </c>
      <c r="N253" s="1136">
        <v>53.7</v>
      </c>
    </row>
    <row r="254" spans="1:14">
      <c r="A254" s="49">
        <f t="shared" si="2"/>
        <v>2014.05</v>
      </c>
      <c r="B254" s="1350">
        <v>70.8</v>
      </c>
      <c r="C254" s="1347">
        <v>69.900000000000006</v>
      </c>
      <c r="D254" s="311">
        <v>67.3</v>
      </c>
      <c r="E254" s="1347">
        <v>76</v>
      </c>
      <c r="F254" s="311">
        <v>77.2</v>
      </c>
      <c r="G254" s="1347">
        <v>74.5</v>
      </c>
      <c r="H254" s="311">
        <v>88.5</v>
      </c>
      <c r="I254" s="1347">
        <v>78.099999999999994</v>
      </c>
      <c r="J254" s="311">
        <v>69.7</v>
      </c>
      <c r="K254" s="1347">
        <v>83.4</v>
      </c>
      <c r="L254" s="311">
        <v>84.6</v>
      </c>
      <c r="M254" s="1347">
        <v>50</v>
      </c>
      <c r="N254" s="1136">
        <v>53.4</v>
      </c>
    </row>
    <row r="255" spans="1:14">
      <c r="A255" s="49">
        <f t="shared" si="2"/>
        <v>2014.06</v>
      </c>
      <c r="B255" s="1350">
        <v>71.099999999999994</v>
      </c>
      <c r="C255" s="1347">
        <v>68.2</v>
      </c>
      <c r="D255" s="311">
        <v>65.599999999999994</v>
      </c>
      <c r="E255" s="1347">
        <v>78.8</v>
      </c>
      <c r="F255" s="311">
        <v>76.8</v>
      </c>
      <c r="G255" s="1347">
        <v>75.599999999999994</v>
      </c>
      <c r="H255" s="311">
        <v>88.1</v>
      </c>
      <c r="I255" s="1347">
        <v>73.2</v>
      </c>
      <c r="J255" s="311">
        <v>70.2</v>
      </c>
      <c r="K255" s="1347">
        <v>81.5</v>
      </c>
      <c r="L255" s="311">
        <v>85.2</v>
      </c>
      <c r="M255" s="1347">
        <v>51.7</v>
      </c>
      <c r="N255" s="1136">
        <v>60.7</v>
      </c>
    </row>
    <row r="256" spans="1:14">
      <c r="A256" s="49">
        <f t="shared" si="2"/>
        <v>2014.07</v>
      </c>
      <c r="B256" s="1350">
        <v>70.7</v>
      </c>
      <c r="C256" s="1347">
        <v>67.8</v>
      </c>
      <c r="D256" s="311">
        <v>67.7</v>
      </c>
      <c r="E256" s="1347">
        <v>82.9</v>
      </c>
      <c r="F256" s="311">
        <v>84.1</v>
      </c>
      <c r="G256" s="1347">
        <v>76</v>
      </c>
      <c r="H256" s="311">
        <v>86.6</v>
      </c>
      <c r="I256" s="1347">
        <v>74</v>
      </c>
      <c r="J256" s="311">
        <v>70.5</v>
      </c>
      <c r="K256" s="1347">
        <v>81.5</v>
      </c>
      <c r="L256" s="311">
        <v>83.3</v>
      </c>
      <c r="M256" s="1347">
        <v>48.4</v>
      </c>
      <c r="N256" s="1136">
        <v>60.2</v>
      </c>
    </row>
    <row r="257" spans="1:14">
      <c r="A257" s="49">
        <f t="shared" si="2"/>
        <v>2014.08</v>
      </c>
      <c r="B257" s="1350">
        <v>71</v>
      </c>
      <c r="C257" s="1347">
        <v>73.400000000000006</v>
      </c>
      <c r="D257" s="311">
        <v>65.400000000000006</v>
      </c>
      <c r="E257" s="1347">
        <v>80.2</v>
      </c>
      <c r="F257" s="311">
        <v>80.400000000000006</v>
      </c>
      <c r="G257" s="1347">
        <v>73</v>
      </c>
      <c r="H257" s="311">
        <v>84.2</v>
      </c>
      <c r="I257" s="1347">
        <v>72.900000000000006</v>
      </c>
      <c r="J257" s="311">
        <v>73</v>
      </c>
      <c r="K257" s="1347">
        <v>80.8</v>
      </c>
      <c r="L257" s="311">
        <v>81.900000000000006</v>
      </c>
      <c r="M257" s="1347">
        <v>44.8</v>
      </c>
      <c r="N257" s="1136">
        <v>62.8</v>
      </c>
    </row>
    <row r="258" spans="1:14">
      <c r="A258" s="49">
        <f t="shared" si="2"/>
        <v>2014.09</v>
      </c>
      <c r="B258" s="1350">
        <v>73.3</v>
      </c>
      <c r="C258" s="1347">
        <v>72.2</v>
      </c>
      <c r="D258" s="311">
        <v>68.099999999999994</v>
      </c>
      <c r="E258" s="1347">
        <v>81.3</v>
      </c>
      <c r="F258" s="311">
        <v>81.099999999999994</v>
      </c>
      <c r="G258" s="1347">
        <v>73.099999999999994</v>
      </c>
      <c r="H258" s="311">
        <v>85.7</v>
      </c>
      <c r="I258" s="1347">
        <v>76.8</v>
      </c>
      <c r="J258" s="311">
        <v>71.7</v>
      </c>
      <c r="K258" s="1347">
        <v>87.8</v>
      </c>
      <c r="L258" s="311">
        <v>84.4</v>
      </c>
      <c r="M258" s="1347">
        <v>58.3</v>
      </c>
      <c r="N258" s="1136">
        <v>61.7</v>
      </c>
    </row>
    <row r="259" spans="1:14">
      <c r="A259" s="49">
        <f t="shared" si="2"/>
        <v>2014.1</v>
      </c>
      <c r="B259" s="1350">
        <v>74.099999999999994</v>
      </c>
      <c r="C259" s="1347">
        <v>75.7</v>
      </c>
      <c r="D259" s="311">
        <v>64.099999999999994</v>
      </c>
      <c r="E259" s="1347">
        <v>74.5</v>
      </c>
      <c r="F259" s="311">
        <v>82.3</v>
      </c>
      <c r="G259" s="1347">
        <v>73.7</v>
      </c>
      <c r="H259" s="311">
        <v>87.5</v>
      </c>
      <c r="I259" s="1347">
        <v>77.099999999999994</v>
      </c>
      <c r="J259" s="311">
        <v>72.900000000000006</v>
      </c>
      <c r="K259" s="1347">
        <v>87.6</v>
      </c>
      <c r="L259" s="311">
        <v>84.6</v>
      </c>
      <c r="M259" s="1347">
        <v>59.6</v>
      </c>
      <c r="N259" s="1136">
        <v>60</v>
      </c>
    </row>
    <row r="260" spans="1:14">
      <c r="A260" s="49">
        <f t="shared" si="2"/>
        <v>2014.11</v>
      </c>
      <c r="B260" s="1350">
        <v>73.2</v>
      </c>
      <c r="C260" s="1347">
        <v>74.7</v>
      </c>
      <c r="D260" s="311">
        <v>62.7</v>
      </c>
      <c r="E260" s="1347">
        <v>76.2</v>
      </c>
      <c r="F260" s="311">
        <v>77.2</v>
      </c>
      <c r="G260" s="1347">
        <v>72.900000000000006</v>
      </c>
      <c r="H260" s="311">
        <v>81.5</v>
      </c>
      <c r="I260" s="1347">
        <v>79.099999999999994</v>
      </c>
      <c r="J260" s="311">
        <v>75.900000000000006</v>
      </c>
      <c r="K260" s="1347">
        <v>86.3</v>
      </c>
      <c r="L260" s="311">
        <v>83.7</v>
      </c>
      <c r="M260" s="1347">
        <v>55.2</v>
      </c>
      <c r="N260" s="1136">
        <v>61.6</v>
      </c>
    </row>
    <row r="261" spans="1:14">
      <c r="A261" s="49">
        <f t="shared" si="2"/>
        <v>2014.12</v>
      </c>
      <c r="B261" s="1350">
        <v>70.599999999999994</v>
      </c>
      <c r="C261" s="1347">
        <v>79.5</v>
      </c>
      <c r="D261" s="311">
        <v>62.2</v>
      </c>
      <c r="E261" s="1347">
        <v>67.599999999999994</v>
      </c>
      <c r="F261" s="311">
        <v>76</v>
      </c>
      <c r="G261" s="1347">
        <v>71.3</v>
      </c>
      <c r="H261" s="311">
        <v>87.1</v>
      </c>
      <c r="I261" s="1347">
        <v>72.900000000000006</v>
      </c>
      <c r="J261" s="311">
        <v>68.3</v>
      </c>
      <c r="K261" s="1347">
        <v>78.8</v>
      </c>
      <c r="L261" s="311">
        <v>83.2</v>
      </c>
      <c r="M261" s="1347">
        <v>40.1</v>
      </c>
      <c r="N261" s="1136">
        <v>58.7</v>
      </c>
    </row>
    <row r="262" spans="1:14">
      <c r="A262" s="49">
        <f t="shared" si="2"/>
        <v>2015.01</v>
      </c>
      <c r="B262" s="1350">
        <v>62.7</v>
      </c>
      <c r="C262" s="1347">
        <v>65</v>
      </c>
      <c r="D262" s="311">
        <v>65.900000000000006</v>
      </c>
      <c r="E262" s="1347">
        <v>59.7</v>
      </c>
      <c r="F262" s="311">
        <v>74.8</v>
      </c>
      <c r="G262" s="1347">
        <v>66.8</v>
      </c>
      <c r="H262" s="311">
        <v>88.3</v>
      </c>
      <c r="I262" s="1347">
        <v>71.599999999999994</v>
      </c>
      <c r="J262" s="311">
        <v>63</v>
      </c>
      <c r="K262" s="1347">
        <v>77.3</v>
      </c>
      <c r="L262" s="311">
        <v>69.400000000000006</v>
      </c>
      <c r="M262" s="1347">
        <v>24.7</v>
      </c>
      <c r="N262" s="1136">
        <v>51.6</v>
      </c>
    </row>
    <row r="263" spans="1:14">
      <c r="A263" s="49">
        <f t="shared" si="2"/>
        <v>2015.02</v>
      </c>
      <c r="B263" s="1350">
        <v>68.8</v>
      </c>
      <c r="C263" s="1347">
        <v>68.2</v>
      </c>
      <c r="D263" s="311">
        <v>61.7</v>
      </c>
      <c r="E263" s="1347">
        <v>65.2</v>
      </c>
      <c r="F263" s="311">
        <v>81.7</v>
      </c>
      <c r="G263" s="1347">
        <v>73.5</v>
      </c>
      <c r="H263" s="311">
        <v>86.1</v>
      </c>
      <c r="I263" s="1347">
        <v>72.599999999999994</v>
      </c>
      <c r="J263" s="311">
        <v>72.099999999999994</v>
      </c>
      <c r="K263" s="1347">
        <v>80.8</v>
      </c>
      <c r="L263" s="311">
        <v>73.8</v>
      </c>
      <c r="M263" s="1347">
        <v>49.5</v>
      </c>
      <c r="N263" s="1136">
        <v>58.7</v>
      </c>
    </row>
    <row r="264" spans="1:14">
      <c r="A264" s="49">
        <f t="shared" si="2"/>
        <v>2015.03</v>
      </c>
      <c r="B264" s="1350">
        <v>67.099999999999994</v>
      </c>
      <c r="C264" s="1347">
        <v>63</v>
      </c>
      <c r="D264" s="311">
        <v>60.5</v>
      </c>
      <c r="E264" s="1347">
        <v>63.9</v>
      </c>
      <c r="F264" s="311">
        <v>76.8</v>
      </c>
      <c r="G264" s="1347">
        <v>66.2</v>
      </c>
      <c r="H264" s="311">
        <v>87.3</v>
      </c>
      <c r="I264" s="1347">
        <v>73.7</v>
      </c>
      <c r="J264" s="311">
        <v>68.900000000000006</v>
      </c>
      <c r="K264" s="1347">
        <v>83.1</v>
      </c>
      <c r="L264" s="311">
        <v>75.900000000000006</v>
      </c>
      <c r="M264" s="1347">
        <v>51.5</v>
      </c>
      <c r="N264" s="1136">
        <v>53.6</v>
      </c>
    </row>
    <row r="265" spans="1:14">
      <c r="A265" s="49">
        <f t="shared" si="2"/>
        <v>2015.04</v>
      </c>
      <c r="B265" s="1350">
        <v>71.8</v>
      </c>
      <c r="C265" s="1347">
        <v>75.3</v>
      </c>
      <c r="D265" s="311">
        <v>62.6</v>
      </c>
      <c r="E265" s="1347">
        <v>71.5</v>
      </c>
      <c r="F265" s="311">
        <v>81.099999999999994</v>
      </c>
      <c r="G265" s="1347">
        <v>76.599999999999994</v>
      </c>
      <c r="H265" s="311">
        <v>88.3</v>
      </c>
      <c r="I265" s="1347">
        <v>81.5</v>
      </c>
      <c r="J265" s="311">
        <v>73.900000000000006</v>
      </c>
      <c r="K265" s="1347">
        <v>85.8</v>
      </c>
      <c r="L265" s="311">
        <v>71.5</v>
      </c>
      <c r="M265" s="1347">
        <v>47.4</v>
      </c>
      <c r="N265" s="1136">
        <v>58.8</v>
      </c>
    </row>
    <row r="266" spans="1:14">
      <c r="A266" s="49">
        <f t="shared" si="2"/>
        <v>2015.05</v>
      </c>
      <c r="B266" s="1350">
        <v>69.3</v>
      </c>
      <c r="C266" s="1347">
        <v>66.8</v>
      </c>
      <c r="D266" s="311">
        <v>61.8</v>
      </c>
      <c r="E266" s="1347">
        <v>73.3</v>
      </c>
      <c r="F266" s="311">
        <v>80.5</v>
      </c>
      <c r="G266" s="1347">
        <v>76.099999999999994</v>
      </c>
      <c r="H266" s="311">
        <v>86</v>
      </c>
      <c r="I266" s="1347">
        <v>81</v>
      </c>
      <c r="J266" s="311">
        <v>73</v>
      </c>
      <c r="K266" s="1347">
        <v>83.5</v>
      </c>
      <c r="L266" s="311">
        <v>72.7</v>
      </c>
      <c r="M266" s="1347">
        <v>45.5</v>
      </c>
      <c r="N266" s="1136">
        <v>56.4</v>
      </c>
    </row>
    <row r="267" spans="1:14">
      <c r="A267" s="49">
        <f t="shared" si="2"/>
        <v>2015.06</v>
      </c>
      <c r="B267" s="1350">
        <v>71</v>
      </c>
      <c r="C267" s="1347">
        <v>70</v>
      </c>
      <c r="D267" s="311">
        <v>62.1</v>
      </c>
      <c r="E267" s="1347">
        <v>74.2</v>
      </c>
      <c r="F267" s="311">
        <v>79.3</v>
      </c>
      <c r="G267" s="1347">
        <v>81.5</v>
      </c>
      <c r="H267" s="311">
        <v>84.9</v>
      </c>
      <c r="I267" s="1347">
        <v>75.099999999999994</v>
      </c>
      <c r="J267" s="311">
        <v>75.900000000000006</v>
      </c>
      <c r="K267" s="1347">
        <v>83.7</v>
      </c>
      <c r="L267" s="311">
        <v>79.400000000000006</v>
      </c>
      <c r="M267" s="1347">
        <v>55.2</v>
      </c>
      <c r="N267" s="1136">
        <v>55.4</v>
      </c>
    </row>
    <row r="268" spans="1:14">
      <c r="A268" s="49">
        <f t="shared" si="2"/>
        <v>2015.07</v>
      </c>
      <c r="B268" s="1350">
        <v>71.099999999999994</v>
      </c>
      <c r="C268" s="1347">
        <v>73.599999999999994</v>
      </c>
      <c r="D268" s="311">
        <v>65</v>
      </c>
      <c r="E268" s="1347">
        <v>72.2</v>
      </c>
      <c r="F268" s="311">
        <v>88</v>
      </c>
      <c r="G268" s="1347">
        <v>77.5</v>
      </c>
      <c r="H268" s="311">
        <v>90.8</v>
      </c>
      <c r="I268" s="1347">
        <v>74.400000000000006</v>
      </c>
      <c r="J268" s="311">
        <v>76.3</v>
      </c>
      <c r="K268" s="1347">
        <v>81.2</v>
      </c>
      <c r="L268" s="311">
        <v>74.5</v>
      </c>
      <c r="M268" s="1347">
        <v>44.7</v>
      </c>
      <c r="N268" s="1136">
        <v>60.6</v>
      </c>
    </row>
    <row r="269" spans="1:14">
      <c r="A269" s="49">
        <f t="shared" si="2"/>
        <v>2015.08</v>
      </c>
      <c r="B269" s="1350">
        <v>71.2</v>
      </c>
      <c r="C269" s="1347">
        <v>74</v>
      </c>
      <c r="D269" s="311">
        <v>59</v>
      </c>
      <c r="E269" s="1347">
        <v>74.5</v>
      </c>
      <c r="F269" s="311">
        <v>85.8</v>
      </c>
      <c r="G269" s="1347">
        <v>76.2</v>
      </c>
      <c r="H269" s="311">
        <v>85.8</v>
      </c>
      <c r="I269" s="1347">
        <v>70.400000000000006</v>
      </c>
      <c r="J269" s="311">
        <v>75.099999999999994</v>
      </c>
      <c r="K269" s="1347">
        <v>83.2</v>
      </c>
      <c r="L269" s="311">
        <v>81.5</v>
      </c>
      <c r="M269" s="1347">
        <v>48.1</v>
      </c>
      <c r="N269" s="1136">
        <v>61</v>
      </c>
    </row>
    <row r="270" spans="1:14">
      <c r="A270" s="49">
        <f t="shared" si="2"/>
        <v>2015.09</v>
      </c>
      <c r="B270" s="1350">
        <v>73.599999999999994</v>
      </c>
      <c r="C270" s="1347">
        <v>76.900000000000006</v>
      </c>
      <c r="D270" s="311">
        <v>65.7</v>
      </c>
      <c r="E270" s="1347">
        <v>77.5</v>
      </c>
      <c r="F270" s="311">
        <v>86.5</v>
      </c>
      <c r="G270" s="1347">
        <v>78.7</v>
      </c>
      <c r="H270" s="311">
        <v>83</v>
      </c>
      <c r="I270" s="1347">
        <v>76.7</v>
      </c>
      <c r="J270" s="311">
        <v>77.400000000000006</v>
      </c>
      <c r="K270" s="1347">
        <v>91.8</v>
      </c>
      <c r="L270" s="311">
        <v>79.8</v>
      </c>
      <c r="M270" s="1347">
        <v>52.5</v>
      </c>
      <c r="N270" s="1136">
        <v>61.3</v>
      </c>
    </row>
    <row r="271" spans="1:14">
      <c r="A271" s="49">
        <f t="shared" si="2"/>
        <v>2015.1</v>
      </c>
      <c r="B271" s="1741">
        <v>74.336363636363615</v>
      </c>
      <c r="C271" s="1344">
        <v>79.776153846153846</v>
      </c>
      <c r="D271" s="1751">
        <v>81.608345978755693</v>
      </c>
      <c r="E271" s="1344">
        <v>83.484924623115589</v>
      </c>
      <c r="F271" s="1751">
        <v>92.862566844919797</v>
      </c>
      <c r="G271" s="1344">
        <v>64.322005988023946</v>
      </c>
      <c r="H271" s="1751">
        <v>84.328992072480176</v>
      </c>
      <c r="I271" s="1344">
        <v>71.177513966480433</v>
      </c>
      <c r="J271" s="1751">
        <v>68.040000000000006</v>
      </c>
      <c r="K271" s="1344">
        <v>71.621216041397162</v>
      </c>
      <c r="L271" s="1751">
        <v>79.480115273775198</v>
      </c>
      <c r="M271" s="1344">
        <v>49.224291497975706</v>
      </c>
      <c r="N271" s="1756">
        <v>60.697674418604649</v>
      </c>
    </row>
    <row r="272" spans="1:14">
      <c r="A272" s="49">
        <f t="shared" si="2"/>
        <v>2015.11</v>
      </c>
      <c r="B272" s="1741">
        <v>73.4334928229665</v>
      </c>
      <c r="C272" s="1344">
        <v>78.722307692307695</v>
      </c>
      <c r="D272" s="1751">
        <v>79.825948406676787</v>
      </c>
      <c r="E272" s="1344">
        <v>85.389949748743732</v>
      </c>
      <c r="F272" s="1751">
        <v>87.108021390374347</v>
      </c>
      <c r="G272" s="1344">
        <v>63.623802395209587</v>
      </c>
      <c r="H272" s="1751">
        <v>78.546432616081532</v>
      </c>
      <c r="I272" s="1344">
        <v>73.023882681564231</v>
      </c>
      <c r="J272" s="1751">
        <v>70.84</v>
      </c>
      <c r="K272" s="1344">
        <v>70.558344113842182</v>
      </c>
      <c r="L272" s="1751">
        <v>78.63458213256483</v>
      </c>
      <c r="M272" s="1344">
        <v>45.590283400809717</v>
      </c>
      <c r="N272" s="1756">
        <v>62.31627906976744</v>
      </c>
    </row>
    <row r="273" spans="1:14">
      <c r="A273" s="49">
        <f t="shared" si="2"/>
        <v>2015.12</v>
      </c>
      <c r="B273" s="1741">
        <v>70.825199362041459</v>
      </c>
      <c r="C273" s="1344">
        <v>83.780769230769238</v>
      </c>
      <c r="D273" s="1751">
        <v>79.189377845220037</v>
      </c>
      <c r="E273" s="1344">
        <v>75.752763819095478</v>
      </c>
      <c r="F273" s="1751">
        <v>85.754010695187176</v>
      </c>
      <c r="G273" s="1344">
        <v>62.227395209580834</v>
      </c>
      <c r="H273" s="1751">
        <v>83.94348810872026</v>
      </c>
      <c r="I273" s="1344">
        <v>67.300139664804476</v>
      </c>
      <c r="J273" s="1751">
        <v>63.746666666666663</v>
      </c>
      <c r="K273" s="1344">
        <v>64.426390685640371</v>
      </c>
      <c r="L273" s="1751">
        <v>78.16484149855907</v>
      </c>
      <c r="M273" s="1344">
        <v>33.119028340080973</v>
      </c>
      <c r="N273" s="1756">
        <v>59.382558139534886</v>
      </c>
    </row>
    <row r="274" spans="1:14">
      <c r="A274" s="49">
        <f t="shared" si="2"/>
        <v>2016.01</v>
      </c>
      <c r="B274" s="1742">
        <v>62.9</v>
      </c>
      <c r="C274" s="1746">
        <v>68.5</v>
      </c>
      <c r="D274" s="1752">
        <v>83.9</v>
      </c>
      <c r="E274" s="1746">
        <v>66.900000000000006</v>
      </c>
      <c r="F274" s="1752">
        <v>84.4</v>
      </c>
      <c r="G274" s="1746">
        <v>58.3</v>
      </c>
      <c r="H274" s="1752">
        <v>85.1</v>
      </c>
      <c r="I274" s="1746">
        <v>66.099999999999994</v>
      </c>
      <c r="J274" s="1752">
        <v>58.8</v>
      </c>
      <c r="K274" s="1746">
        <v>63.2</v>
      </c>
      <c r="L274" s="1752">
        <v>65.2</v>
      </c>
      <c r="M274" s="1746">
        <v>20.399999999999999</v>
      </c>
      <c r="N274" s="697">
        <v>52.2</v>
      </c>
    </row>
    <row r="275" spans="1:14">
      <c r="A275" s="49">
        <f t="shared" si="2"/>
        <v>2016.02</v>
      </c>
      <c r="B275" s="1350">
        <v>64.2</v>
      </c>
      <c r="C275" s="1747">
        <v>66.8</v>
      </c>
      <c r="D275" s="1753">
        <v>81.3</v>
      </c>
      <c r="E275" s="1747">
        <v>72.2</v>
      </c>
      <c r="F275" s="1753">
        <v>79</v>
      </c>
      <c r="G275" s="1747">
        <v>53.6</v>
      </c>
      <c r="H275" s="1753">
        <v>86.8</v>
      </c>
      <c r="I275" s="1747">
        <v>66.8</v>
      </c>
      <c r="J275" s="1753">
        <v>53.6</v>
      </c>
      <c r="K275" s="1747">
        <v>73.099999999999994</v>
      </c>
      <c r="L275" s="1753">
        <v>70.7</v>
      </c>
      <c r="M275" s="1747">
        <v>43.1</v>
      </c>
      <c r="N275" s="1757">
        <v>51.1</v>
      </c>
    </row>
    <row r="276" spans="1:14">
      <c r="A276" s="49">
        <f t="shared" si="2"/>
        <v>2016.03</v>
      </c>
      <c r="B276" s="1350">
        <v>64.8</v>
      </c>
      <c r="C276" s="1747">
        <v>67.2</v>
      </c>
      <c r="D276" s="1753">
        <v>84.1</v>
      </c>
      <c r="E276" s="1747">
        <v>73.5</v>
      </c>
      <c r="F276" s="1753">
        <v>81.400000000000006</v>
      </c>
      <c r="G276" s="1747">
        <v>55</v>
      </c>
      <c r="H276" s="1753">
        <v>83.4</v>
      </c>
      <c r="I276" s="1747">
        <v>66.3</v>
      </c>
      <c r="J276" s="1753">
        <v>56.2</v>
      </c>
      <c r="K276" s="1747">
        <v>75.400000000000006</v>
      </c>
      <c r="L276" s="1753">
        <v>63.6</v>
      </c>
      <c r="M276" s="1747">
        <v>55.5</v>
      </c>
      <c r="N276" s="1757">
        <v>53.1</v>
      </c>
    </row>
    <row r="277" spans="1:14">
      <c r="A277" s="49">
        <f t="shared" si="2"/>
        <v>2016.04</v>
      </c>
      <c r="B277" s="1350">
        <v>64.8</v>
      </c>
      <c r="C277" s="1747">
        <v>63.5</v>
      </c>
      <c r="D277" s="1753">
        <v>81.400000000000006</v>
      </c>
      <c r="E277" s="1747">
        <v>74.400000000000006</v>
      </c>
      <c r="F277" s="1753">
        <v>83.8</v>
      </c>
      <c r="G277" s="1747">
        <v>58.5</v>
      </c>
      <c r="H277" s="1753">
        <v>82</v>
      </c>
      <c r="I277" s="1747">
        <v>67.900000000000006</v>
      </c>
      <c r="J277" s="1753">
        <v>60.2</v>
      </c>
      <c r="K277" s="1747">
        <v>75.400000000000006</v>
      </c>
      <c r="L277" s="1753">
        <v>65.2</v>
      </c>
      <c r="M277" s="1747">
        <v>54.6</v>
      </c>
      <c r="N277" s="1757">
        <v>53.2</v>
      </c>
    </row>
    <row r="278" spans="1:14">
      <c r="A278" s="49">
        <f t="shared" si="2"/>
        <v>2016.05</v>
      </c>
      <c r="B278" s="1350">
        <v>65</v>
      </c>
      <c r="C278" s="1747">
        <v>64.5</v>
      </c>
      <c r="D278" s="1753">
        <v>79</v>
      </c>
      <c r="E278" s="1747">
        <v>73.3</v>
      </c>
      <c r="F278" s="1753">
        <v>74.599999999999994</v>
      </c>
      <c r="G278" s="1747">
        <v>61.1</v>
      </c>
      <c r="H278" s="1753">
        <v>80.900000000000006</v>
      </c>
      <c r="I278" s="1747">
        <v>65.3</v>
      </c>
      <c r="J278" s="1753">
        <v>60.4</v>
      </c>
      <c r="K278" s="1747">
        <v>72.900000000000006</v>
      </c>
      <c r="L278" s="1753">
        <v>73.5</v>
      </c>
      <c r="M278" s="1747">
        <v>47.5</v>
      </c>
      <c r="N278" s="1757">
        <v>56</v>
      </c>
    </row>
    <row r="279" spans="1:14">
      <c r="A279" s="49">
        <f t="shared" si="2"/>
        <v>2016.06</v>
      </c>
      <c r="B279" s="1350">
        <v>64.900000000000006</v>
      </c>
      <c r="C279" s="1747">
        <v>62.7</v>
      </c>
      <c r="D279" s="1753">
        <v>69.099999999999994</v>
      </c>
      <c r="E279" s="1747">
        <v>73.900000000000006</v>
      </c>
      <c r="F279" s="1753">
        <v>79</v>
      </c>
      <c r="G279" s="1747">
        <v>58.9</v>
      </c>
      <c r="H279" s="1753">
        <v>86.1</v>
      </c>
      <c r="I279" s="1747">
        <v>64.599999999999994</v>
      </c>
      <c r="J279" s="1753">
        <v>62</v>
      </c>
      <c r="K279" s="1747">
        <v>71.5</v>
      </c>
      <c r="L279" s="1753">
        <v>73.3</v>
      </c>
      <c r="M279" s="1747">
        <v>50.7</v>
      </c>
      <c r="N279" s="1757">
        <v>54.8</v>
      </c>
    </row>
    <row r="280" spans="1:14">
      <c r="A280" s="49">
        <f t="shared" si="2"/>
        <v>2016.07</v>
      </c>
      <c r="B280" s="1350">
        <v>62</v>
      </c>
      <c r="C280" s="1347">
        <v>61.7</v>
      </c>
      <c r="D280" s="311">
        <v>72.8</v>
      </c>
      <c r="E280" s="1347">
        <v>71.900000000000006</v>
      </c>
      <c r="F280" s="311">
        <v>83.8</v>
      </c>
      <c r="G280" s="1347">
        <v>54.3</v>
      </c>
      <c r="H280" s="311">
        <v>84.5</v>
      </c>
      <c r="I280" s="1347">
        <v>60.6</v>
      </c>
      <c r="J280" s="311">
        <v>58.2</v>
      </c>
      <c r="K280" s="1347">
        <v>66.400000000000006</v>
      </c>
      <c r="L280" s="311">
        <v>68.5</v>
      </c>
      <c r="M280" s="1347">
        <v>45</v>
      </c>
      <c r="N280" s="1757">
        <v>51.1</v>
      </c>
    </row>
    <row r="281" spans="1:14">
      <c r="A281" s="49">
        <f t="shared" si="2"/>
        <v>2016.08</v>
      </c>
      <c r="B281" s="1350">
        <v>63.6</v>
      </c>
      <c r="C281" s="1347">
        <v>68.400000000000006</v>
      </c>
      <c r="D281" s="311">
        <v>73.400000000000006</v>
      </c>
      <c r="E281" s="1347">
        <v>74</v>
      </c>
      <c r="F281" s="311">
        <v>91.8</v>
      </c>
      <c r="G281" s="1347">
        <v>51.8</v>
      </c>
      <c r="H281" s="311">
        <v>80.2</v>
      </c>
      <c r="I281" s="1347">
        <v>59.1</v>
      </c>
      <c r="J281" s="311">
        <v>56.6</v>
      </c>
      <c r="K281" s="1347">
        <v>73.099999999999994</v>
      </c>
      <c r="L281" s="311">
        <v>66.599999999999994</v>
      </c>
      <c r="M281" s="1347">
        <v>51.4</v>
      </c>
      <c r="N281" s="1757">
        <v>51.2</v>
      </c>
    </row>
    <row r="282" spans="1:14">
      <c r="A282" s="49">
        <f t="shared" si="2"/>
        <v>2016.09</v>
      </c>
      <c r="B282" s="1350">
        <v>63.9</v>
      </c>
      <c r="C282" s="1347">
        <v>65.7</v>
      </c>
      <c r="D282" s="311">
        <v>80.8</v>
      </c>
      <c r="E282" s="1347">
        <v>69.099999999999994</v>
      </c>
      <c r="F282" s="311">
        <v>80.3</v>
      </c>
      <c r="G282" s="1347">
        <v>53.5</v>
      </c>
      <c r="H282" s="311">
        <v>81.3</v>
      </c>
      <c r="I282" s="1347">
        <v>68.5</v>
      </c>
      <c r="J282" s="311">
        <v>55.2</v>
      </c>
      <c r="K282" s="1347">
        <v>70.7</v>
      </c>
      <c r="L282" s="311">
        <v>65.3</v>
      </c>
      <c r="M282" s="1347">
        <v>51.4</v>
      </c>
      <c r="N282" s="1136">
        <v>51.9</v>
      </c>
    </row>
    <row r="283" spans="1:14">
      <c r="A283" s="49">
        <f t="shared" si="2"/>
        <v>2016.1</v>
      </c>
      <c r="B283" s="1350">
        <v>65.400000000000006</v>
      </c>
      <c r="C283" s="1347">
        <v>65.7</v>
      </c>
      <c r="D283" s="311">
        <v>57</v>
      </c>
      <c r="E283" s="1347">
        <v>59</v>
      </c>
      <c r="F283" s="311">
        <v>86</v>
      </c>
      <c r="G283" s="1347">
        <v>60.2</v>
      </c>
      <c r="H283" s="311">
        <v>84.5</v>
      </c>
      <c r="I283" s="1347">
        <v>70.3</v>
      </c>
      <c r="J283" s="311">
        <v>52.8</v>
      </c>
      <c r="K283" s="1347">
        <v>70.7</v>
      </c>
      <c r="L283" s="311">
        <v>72.8</v>
      </c>
      <c r="M283" s="1347">
        <v>44.1</v>
      </c>
      <c r="N283" s="1136">
        <v>55.7</v>
      </c>
    </row>
    <row r="284" spans="1:14">
      <c r="A284" s="49">
        <f t="shared" si="2"/>
        <v>2016.11</v>
      </c>
      <c r="B284" s="1350">
        <v>68.400000000000006</v>
      </c>
      <c r="C284" s="1347">
        <v>69</v>
      </c>
      <c r="D284" s="311">
        <v>73.3</v>
      </c>
      <c r="E284" s="1347">
        <v>58.8</v>
      </c>
      <c r="F284" s="311">
        <v>88.2</v>
      </c>
      <c r="G284" s="1347">
        <v>58.9</v>
      </c>
      <c r="H284" s="311">
        <v>83.2</v>
      </c>
      <c r="I284" s="1347">
        <v>74.3</v>
      </c>
      <c r="J284" s="311">
        <v>62.6</v>
      </c>
      <c r="K284" s="1347">
        <v>72.2</v>
      </c>
      <c r="L284" s="311">
        <v>71.599999999999994</v>
      </c>
      <c r="M284" s="1347">
        <v>56.3</v>
      </c>
      <c r="N284" s="1136">
        <v>57.2</v>
      </c>
    </row>
    <row r="285" spans="1:14">
      <c r="A285" s="49">
        <f t="shared" si="2"/>
        <v>2016.12</v>
      </c>
      <c r="B285" s="1350">
        <v>63.6</v>
      </c>
      <c r="C285" s="1347">
        <v>66.900000000000006</v>
      </c>
      <c r="D285" s="311">
        <v>75.5</v>
      </c>
      <c r="E285" s="1347">
        <v>48.9</v>
      </c>
      <c r="F285" s="311">
        <v>76.7</v>
      </c>
      <c r="G285" s="1347">
        <v>58.6</v>
      </c>
      <c r="H285" s="311">
        <v>84.4</v>
      </c>
      <c r="I285" s="1347">
        <v>65.099999999999994</v>
      </c>
      <c r="J285" s="311">
        <v>62.9</v>
      </c>
      <c r="K285" s="1347">
        <v>69.599999999999994</v>
      </c>
      <c r="L285" s="311">
        <v>62.8</v>
      </c>
      <c r="M285" s="1347">
        <v>45</v>
      </c>
      <c r="N285" s="1136">
        <v>54.7</v>
      </c>
    </row>
    <row r="286" spans="1:14">
      <c r="A286" s="49">
        <f t="shared" si="2"/>
        <v>2017.01</v>
      </c>
      <c r="B286" s="1350">
        <v>60.6</v>
      </c>
      <c r="C286" s="1347">
        <v>65.099999999999994</v>
      </c>
      <c r="D286" s="311">
        <v>80.3</v>
      </c>
      <c r="E286" s="1347">
        <v>57.5</v>
      </c>
      <c r="F286" s="311">
        <v>80</v>
      </c>
      <c r="G286" s="1347">
        <v>54</v>
      </c>
      <c r="H286" s="311">
        <v>85</v>
      </c>
      <c r="I286" s="1347">
        <v>68.5</v>
      </c>
      <c r="J286" s="311">
        <v>58.5</v>
      </c>
      <c r="K286" s="1347">
        <v>53.3</v>
      </c>
      <c r="L286" s="311">
        <v>58.4</v>
      </c>
      <c r="M286" s="1347">
        <v>30.7</v>
      </c>
      <c r="N286" s="1136">
        <v>47.3</v>
      </c>
    </row>
    <row r="287" spans="1:14">
      <c r="A287" s="49">
        <f t="shared" si="2"/>
        <v>2017.02</v>
      </c>
      <c r="B287" s="1350">
        <v>60</v>
      </c>
      <c r="C287" s="1347">
        <v>62.4</v>
      </c>
      <c r="D287" s="311">
        <v>78.3</v>
      </c>
      <c r="E287" s="1347">
        <v>53.9</v>
      </c>
      <c r="F287" s="311">
        <v>85</v>
      </c>
      <c r="G287" s="1347">
        <v>47.6</v>
      </c>
      <c r="H287" s="311">
        <v>81.599999999999994</v>
      </c>
      <c r="I287" s="1347">
        <v>68.8</v>
      </c>
      <c r="J287" s="311">
        <v>54.1</v>
      </c>
      <c r="K287" s="1347">
        <v>68.7</v>
      </c>
      <c r="L287" s="311">
        <v>65.7</v>
      </c>
      <c r="M287" s="1347">
        <v>31.5</v>
      </c>
      <c r="N287" s="1136">
        <v>42.1</v>
      </c>
    </row>
    <row r="288" spans="1:14">
      <c r="A288" s="49">
        <f t="shared" si="2"/>
        <v>2017.03</v>
      </c>
      <c r="B288" s="1350">
        <v>65.7</v>
      </c>
      <c r="C288" s="1347">
        <v>70.2</v>
      </c>
      <c r="D288" s="311">
        <v>76</v>
      </c>
      <c r="E288" s="1347">
        <v>57.3</v>
      </c>
      <c r="F288" s="311">
        <v>87.7</v>
      </c>
      <c r="G288" s="1347">
        <v>55.5</v>
      </c>
      <c r="H288" s="311">
        <v>79.900000000000006</v>
      </c>
      <c r="I288" s="1347">
        <v>67.3</v>
      </c>
      <c r="J288" s="311">
        <v>55</v>
      </c>
      <c r="K288" s="1347">
        <v>75.599999999999994</v>
      </c>
      <c r="L288" s="311">
        <v>75.599999999999994</v>
      </c>
      <c r="M288" s="1347">
        <v>48.2</v>
      </c>
      <c r="N288" s="1136">
        <v>50.5</v>
      </c>
    </row>
    <row r="289" spans="1:14">
      <c r="A289" s="49">
        <f t="shared" si="2"/>
        <v>2017.04</v>
      </c>
      <c r="B289" s="1350">
        <v>64.5</v>
      </c>
      <c r="C289" s="1347">
        <v>64.3</v>
      </c>
      <c r="D289" s="311">
        <v>62.4</v>
      </c>
      <c r="E289" s="1347">
        <v>54.9</v>
      </c>
      <c r="F289" s="311">
        <v>79.599999999999994</v>
      </c>
      <c r="G289" s="1347">
        <v>56</v>
      </c>
      <c r="H289" s="311">
        <v>82.4</v>
      </c>
      <c r="I289" s="1347">
        <v>68.599999999999994</v>
      </c>
      <c r="J289" s="311">
        <v>57.9</v>
      </c>
      <c r="K289" s="1347">
        <v>71</v>
      </c>
      <c r="L289" s="311">
        <v>73.599999999999994</v>
      </c>
      <c r="M289" s="1347">
        <v>46.5</v>
      </c>
      <c r="N289" s="1136">
        <v>54.5</v>
      </c>
    </row>
    <row r="290" spans="1:14">
      <c r="A290" s="49">
        <f t="shared" si="2"/>
        <v>2017.05</v>
      </c>
      <c r="B290" s="1350">
        <v>65.8</v>
      </c>
      <c r="C290" s="1347">
        <v>65</v>
      </c>
      <c r="D290" s="311">
        <v>71.7</v>
      </c>
      <c r="E290" s="1347">
        <v>61.4</v>
      </c>
      <c r="F290" s="311">
        <v>71.8</v>
      </c>
      <c r="G290" s="1347">
        <v>54.6</v>
      </c>
      <c r="H290" s="311">
        <v>80.599999999999994</v>
      </c>
      <c r="I290" s="1347">
        <v>66.900000000000006</v>
      </c>
      <c r="J290" s="311">
        <v>64</v>
      </c>
      <c r="K290" s="1347">
        <v>72.400000000000006</v>
      </c>
      <c r="L290" s="311">
        <v>75.2</v>
      </c>
      <c r="M290" s="1347">
        <v>54.5</v>
      </c>
      <c r="N290" s="1136">
        <v>58.8</v>
      </c>
    </row>
    <row r="291" spans="1:14">
      <c r="A291" s="49">
        <f t="shared" si="2"/>
        <v>2017.06</v>
      </c>
      <c r="B291" s="1350">
        <v>67.099999999999994</v>
      </c>
      <c r="C291" s="1347">
        <v>64.3</v>
      </c>
      <c r="D291" s="311">
        <v>76.099999999999994</v>
      </c>
      <c r="E291" s="1347">
        <v>66.2</v>
      </c>
      <c r="F291" s="311">
        <v>77</v>
      </c>
      <c r="G291" s="1347">
        <v>63.1</v>
      </c>
      <c r="H291" s="311">
        <v>86.4</v>
      </c>
      <c r="I291" s="1347">
        <v>67.5</v>
      </c>
      <c r="J291" s="311">
        <v>65.8</v>
      </c>
      <c r="K291" s="1347">
        <v>76.7</v>
      </c>
      <c r="L291" s="311">
        <v>73.7</v>
      </c>
      <c r="M291" s="1347">
        <v>55</v>
      </c>
      <c r="N291" s="1136">
        <v>58.6</v>
      </c>
    </row>
    <row r="292" spans="1:14">
      <c r="A292" s="49">
        <f t="shared" si="2"/>
        <v>2017.07</v>
      </c>
      <c r="B292" s="1350">
        <v>65.099999999999994</v>
      </c>
      <c r="C292" s="1347">
        <v>63.9</v>
      </c>
      <c r="D292" s="311">
        <v>83.1</v>
      </c>
      <c r="E292" s="1347">
        <v>65.5</v>
      </c>
      <c r="F292" s="311">
        <v>81.599999999999994</v>
      </c>
      <c r="G292" s="1347">
        <v>59.1</v>
      </c>
      <c r="H292" s="311">
        <v>84.4</v>
      </c>
      <c r="I292" s="1347">
        <v>59.1</v>
      </c>
      <c r="J292" s="311">
        <v>65</v>
      </c>
      <c r="K292" s="1347">
        <v>72.3</v>
      </c>
      <c r="L292" s="311">
        <v>75.900000000000006</v>
      </c>
      <c r="M292" s="1347">
        <v>45.5</v>
      </c>
      <c r="N292" s="1136">
        <v>59.2</v>
      </c>
    </row>
    <row r="293" spans="1:14">
      <c r="A293" s="49">
        <f t="shared" si="2"/>
        <v>2017.08</v>
      </c>
      <c r="B293" s="1350">
        <v>67.3</v>
      </c>
      <c r="C293" s="1347">
        <v>65.900000000000006</v>
      </c>
      <c r="D293" s="311">
        <v>77</v>
      </c>
      <c r="E293" s="1347">
        <v>69.099999999999994</v>
      </c>
      <c r="F293" s="311">
        <v>88</v>
      </c>
      <c r="G293" s="1347">
        <v>54.1</v>
      </c>
      <c r="H293" s="311">
        <v>85.3</v>
      </c>
      <c r="I293" s="1347">
        <v>62.3</v>
      </c>
      <c r="J293" s="311">
        <v>60.1</v>
      </c>
      <c r="K293" s="1347">
        <v>77.099999999999994</v>
      </c>
      <c r="L293" s="311">
        <v>79.5</v>
      </c>
      <c r="M293" s="1347">
        <v>55.1</v>
      </c>
      <c r="N293" s="1136">
        <v>61.1</v>
      </c>
    </row>
    <row r="294" spans="1:14">
      <c r="A294" s="49">
        <f t="shared" si="2"/>
        <v>2017.09</v>
      </c>
      <c r="B294" s="1350">
        <v>66.3</v>
      </c>
      <c r="C294" s="1347">
        <v>63.8</v>
      </c>
      <c r="D294" s="311">
        <v>77.3</v>
      </c>
      <c r="E294" s="1347">
        <v>68.3</v>
      </c>
      <c r="F294" s="311">
        <v>82.5</v>
      </c>
      <c r="G294" s="1347">
        <v>63</v>
      </c>
      <c r="H294" s="311">
        <v>85.7</v>
      </c>
      <c r="I294" s="1347">
        <v>64</v>
      </c>
      <c r="J294" s="311">
        <v>56.9</v>
      </c>
      <c r="K294" s="1347">
        <v>74.7</v>
      </c>
      <c r="L294" s="311">
        <v>81</v>
      </c>
      <c r="M294" s="1347">
        <v>57.1</v>
      </c>
      <c r="N294" s="1136">
        <v>54.7</v>
      </c>
    </row>
    <row r="295" spans="1:14">
      <c r="A295" s="49">
        <f t="shared" si="2"/>
        <v>2017.1</v>
      </c>
      <c r="B295" s="1350">
        <v>68.3</v>
      </c>
      <c r="C295" s="1347">
        <v>66.3</v>
      </c>
      <c r="D295" s="311">
        <v>71.599999999999994</v>
      </c>
      <c r="E295" s="1347">
        <v>62.5</v>
      </c>
      <c r="F295" s="311">
        <v>86.8</v>
      </c>
      <c r="G295" s="1347">
        <v>61.6</v>
      </c>
      <c r="H295" s="311">
        <v>73.400000000000006</v>
      </c>
      <c r="I295" s="1347">
        <v>70.900000000000006</v>
      </c>
      <c r="J295" s="311">
        <v>55.5</v>
      </c>
      <c r="K295" s="1347">
        <v>77.2</v>
      </c>
      <c r="L295" s="311">
        <v>82.9</v>
      </c>
      <c r="M295" s="1347">
        <v>52.9</v>
      </c>
      <c r="N295" s="1136">
        <v>62.3</v>
      </c>
    </row>
    <row r="296" spans="1:14">
      <c r="A296" s="49">
        <f t="shared" si="2"/>
        <v>2017.11</v>
      </c>
      <c r="B296" s="1350">
        <v>69.2</v>
      </c>
      <c r="C296" s="1347">
        <v>67.7</v>
      </c>
      <c r="D296" s="311">
        <v>70.5</v>
      </c>
      <c r="E296" s="1347">
        <v>60.9</v>
      </c>
      <c r="F296" s="311">
        <v>82.7</v>
      </c>
      <c r="G296" s="1347">
        <v>62.9</v>
      </c>
      <c r="H296" s="311">
        <v>79</v>
      </c>
      <c r="I296" s="1347">
        <v>71</v>
      </c>
      <c r="J296" s="311">
        <v>59.9</v>
      </c>
      <c r="K296" s="1347">
        <v>80.599999999999994</v>
      </c>
      <c r="L296" s="311">
        <v>83.1</v>
      </c>
      <c r="M296" s="1347">
        <v>55</v>
      </c>
      <c r="N296" s="1136">
        <v>61.2</v>
      </c>
    </row>
    <row r="297" spans="1:14">
      <c r="A297" s="49">
        <f t="shared" si="2"/>
        <v>2017.12</v>
      </c>
      <c r="B297" s="1350">
        <v>64</v>
      </c>
      <c r="C297" s="1347">
        <v>61.2</v>
      </c>
      <c r="D297" s="311">
        <v>61.8</v>
      </c>
      <c r="E297" s="1347">
        <v>55.7</v>
      </c>
      <c r="F297" s="311">
        <v>72.8</v>
      </c>
      <c r="G297" s="1347">
        <v>57.8</v>
      </c>
      <c r="H297" s="311">
        <v>86.3</v>
      </c>
      <c r="I297" s="1347">
        <v>68.900000000000006</v>
      </c>
      <c r="J297" s="311">
        <v>61.5</v>
      </c>
      <c r="K297" s="1347">
        <v>76.7</v>
      </c>
      <c r="L297" s="311">
        <v>73.3</v>
      </c>
      <c r="M297" s="1347">
        <v>38.299999999999997</v>
      </c>
      <c r="N297" s="1136">
        <v>55.6</v>
      </c>
    </row>
    <row r="298" spans="1:14">
      <c r="A298" s="49">
        <f t="shared" si="2"/>
        <v>2018.01</v>
      </c>
      <c r="B298" s="1350">
        <v>61.6</v>
      </c>
      <c r="C298" s="1347">
        <v>62.7</v>
      </c>
      <c r="D298" s="311">
        <v>77.8</v>
      </c>
      <c r="E298" s="1347">
        <v>57.2</v>
      </c>
      <c r="F298" s="311">
        <v>73.5</v>
      </c>
      <c r="G298" s="1347">
        <v>59.5</v>
      </c>
      <c r="H298" s="311">
        <v>81.7</v>
      </c>
      <c r="I298" s="1347">
        <v>70.8</v>
      </c>
      <c r="J298" s="311">
        <v>58.2</v>
      </c>
      <c r="K298" s="1347">
        <v>67.599999999999994</v>
      </c>
      <c r="L298" s="311">
        <v>67.400000000000006</v>
      </c>
      <c r="M298" s="1347">
        <v>25.6</v>
      </c>
      <c r="N298" s="1136">
        <v>48.6</v>
      </c>
    </row>
    <row r="299" spans="1:14">
      <c r="A299" s="49">
        <f t="shared" si="2"/>
        <v>2018.02</v>
      </c>
      <c r="B299" s="1350">
        <v>64.400000000000006</v>
      </c>
      <c r="C299" s="1347">
        <v>61.4</v>
      </c>
      <c r="D299" s="311">
        <v>71.5</v>
      </c>
      <c r="E299" s="1347">
        <v>48.3</v>
      </c>
      <c r="F299" s="311">
        <v>77.2</v>
      </c>
      <c r="G299" s="1347">
        <v>51.2</v>
      </c>
      <c r="H299" s="311">
        <v>82.8</v>
      </c>
      <c r="I299" s="1347">
        <v>73</v>
      </c>
      <c r="J299" s="311">
        <v>53.3</v>
      </c>
      <c r="K299" s="1347">
        <v>74.2</v>
      </c>
      <c r="L299" s="311">
        <v>86.2</v>
      </c>
      <c r="M299" s="1347">
        <v>50.4</v>
      </c>
      <c r="N299" s="1136">
        <v>46.2</v>
      </c>
    </row>
    <row r="300" spans="1:14">
      <c r="A300" s="49">
        <f t="shared" si="2"/>
        <v>2018.03</v>
      </c>
      <c r="B300" s="1350">
        <v>66.8</v>
      </c>
      <c r="C300" s="1347">
        <v>63.3</v>
      </c>
      <c r="D300" s="311">
        <v>74.400000000000006</v>
      </c>
      <c r="E300" s="1347">
        <v>53.6</v>
      </c>
      <c r="F300" s="311">
        <v>72.8</v>
      </c>
      <c r="G300" s="1347">
        <v>56.8</v>
      </c>
      <c r="H300" s="311">
        <v>78.599999999999994</v>
      </c>
      <c r="I300" s="1347">
        <v>71.900000000000006</v>
      </c>
      <c r="J300" s="311">
        <v>56.7</v>
      </c>
      <c r="K300" s="1347">
        <v>76.099999999999994</v>
      </c>
      <c r="L300" s="311">
        <v>88</v>
      </c>
      <c r="M300" s="1347">
        <v>58.2</v>
      </c>
      <c r="N300" s="1136">
        <v>54.3</v>
      </c>
    </row>
    <row r="301" spans="1:14">
      <c r="A301" s="49">
        <f t="shared" si="2"/>
        <v>2018.04</v>
      </c>
      <c r="B301" s="1350">
        <v>67.599999999999994</v>
      </c>
      <c r="C301" s="1347">
        <v>65</v>
      </c>
      <c r="D301" s="311">
        <v>69.2</v>
      </c>
      <c r="E301" s="1347">
        <v>52.3</v>
      </c>
      <c r="F301" s="311">
        <v>73.099999999999994</v>
      </c>
      <c r="G301" s="1347">
        <v>58.6</v>
      </c>
      <c r="H301" s="311">
        <v>78.400000000000006</v>
      </c>
      <c r="I301" s="1347">
        <v>72.400000000000006</v>
      </c>
      <c r="J301" s="311">
        <v>61.8</v>
      </c>
      <c r="K301" s="1347">
        <v>74.2</v>
      </c>
      <c r="L301" s="311">
        <v>88.6</v>
      </c>
      <c r="M301" s="1347">
        <v>55.8</v>
      </c>
      <c r="N301" s="1136">
        <v>55.4</v>
      </c>
    </row>
    <row r="302" spans="1:14">
      <c r="A302" s="49">
        <f t="shared" si="2"/>
        <v>2018.05</v>
      </c>
      <c r="B302" s="1350">
        <v>65.099999999999994</v>
      </c>
      <c r="C302" s="1347">
        <v>61.5</v>
      </c>
      <c r="D302" s="311">
        <v>79.5</v>
      </c>
      <c r="E302" s="1347">
        <v>59.9</v>
      </c>
      <c r="F302" s="311">
        <v>70.5</v>
      </c>
      <c r="G302" s="1347">
        <v>62.1</v>
      </c>
      <c r="H302" s="311">
        <v>77.5</v>
      </c>
      <c r="I302" s="1347">
        <v>65.599999999999994</v>
      </c>
      <c r="J302" s="311">
        <v>62.4</v>
      </c>
      <c r="K302" s="1347">
        <v>72.900000000000006</v>
      </c>
      <c r="L302" s="311">
        <v>82</v>
      </c>
      <c r="M302" s="1347">
        <v>55.2</v>
      </c>
      <c r="N302" s="1136">
        <v>54.9</v>
      </c>
    </row>
    <row r="303" spans="1:14">
      <c r="A303" s="49">
        <f t="shared" si="2"/>
        <v>2018.06</v>
      </c>
      <c r="B303" s="1350">
        <v>61.8</v>
      </c>
      <c r="C303" s="1347">
        <v>59.1</v>
      </c>
      <c r="D303" s="311">
        <v>68</v>
      </c>
      <c r="E303" s="1347">
        <v>55.4</v>
      </c>
      <c r="F303" s="311">
        <v>71.7</v>
      </c>
      <c r="G303" s="1347">
        <v>60.1</v>
      </c>
      <c r="H303" s="311">
        <v>68.7</v>
      </c>
      <c r="I303" s="1347">
        <v>61.8</v>
      </c>
      <c r="J303" s="311">
        <v>54.8</v>
      </c>
      <c r="K303" s="1347">
        <v>70.599999999999994</v>
      </c>
      <c r="L303" s="311">
        <v>80.5</v>
      </c>
      <c r="M303" s="1347">
        <v>47.7</v>
      </c>
      <c r="N303" s="1136">
        <v>53.6</v>
      </c>
    </row>
    <row r="304" spans="1:14">
      <c r="A304" s="49">
        <f t="shared" si="2"/>
        <v>2018.07</v>
      </c>
      <c r="B304" s="1350">
        <v>60.1</v>
      </c>
      <c r="C304" s="1347">
        <v>58.9</v>
      </c>
      <c r="D304" s="311">
        <v>73</v>
      </c>
      <c r="E304" s="1347">
        <v>53.6</v>
      </c>
      <c r="F304" s="311">
        <v>73.8</v>
      </c>
      <c r="G304" s="1347">
        <v>58.6</v>
      </c>
      <c r="H304" s="311">
        <v>66.2</v>
      </c>
      <c r="I304" s="1347">
        <v>50.8</v>
      </c>
      <c r="J304" s="311">
        <v>54.3</v>
      </c>
      <c r="K304" s="1347">
        <v>71.400000000000006</v>
      </c>
      <c r="L304" s="311">
        <v>86.3</v>
      </c>
      <c r="M304" s="1347">
        <v>48.1</v>
      </c>
      <c r="N304" s="1136">
        <v>51.1</v>
      </c>
    </row>
    <row r="305" spans="1:14">
      <c r="A305" s="49">
        <f t="shared" si="2"/>
        <v>2018.08</v>
      </c>
      <c r="B305" s="1350">
        <v>63</v>
      </c>
      <c r="C305" s="1347">
        <v>61.7</v>
      </c>
      <c r="D305" s="311">
        <v>76.7</v>
      </c>
      <c r="E305" s="1347">
        <v>53.4</v>
      </c>
      <c r="F305" s="311">
        <v>76.099999999999994</v>
      </c>
      <c r="G305" s="1347">
        <v>53.9</v>
      </c>
      <c r="H305" s="311">
        <v>78.099999999999994</v>
      </c>
      <c r="I305" s="1347">
        <v>54.1</v>
      </c>
      <c r="J305" s="311">
        <v>57.6</v>
      </c>
      <c r="K305" s="1347">
        <v>72.099999999999994</v>
      </c>
      <c r="L305" s="311">
        <v>85.2</v>
      </c>
      <c r="M305" s="1347">
        <v>57.3</v>
      </c>
      <c r="N305" s="1136">
        <v>53.9</v>
      </c>
    </row>
    <row r="306" spans="1:14">
      <c r="A306" s="49">
        <f t="shared" ref="A306:A369" si="3">A294+1</f>
        <v>2018.09</v>
      </c>
      <c r="B306" s="1350">
        <v>61.1</v>
      </c>
      <c r="C306" s="1347">
        <v>59.4</v>
      </c>
      <c r="D306" s="311">
        <v>66.5</v>
      </c>
      <c r="E306" s="1347">
        <v>49.1</v>
      </c>
      <c r="F306" s="311">
        <v>73.8</v>
      </c>
      <c r="G306" s="1347">
        <v>50.7</v>
      </c>
      <c r="H306" s="311">
        <v>75.7</v>
      </c>
      <c r="I306" s="1347">
        <v>63.2</v>
      </c>
      <c r="J306" s="311">
        <v>52.4</v>
      </c>
      <c r="K306" s="1347">
        <v>74.099999999999994</v>
      </c>
      <c r="L306" s="311">
        <v>84.3</v>
      </c>
      <c r="M306" s="1347">
        <v>44.8</v>
      </c>
      <c r="N306" s="1136">
        <v>46</v>
      </c>
    </row>
    <row r="307" spans="1:14">
      <c r="A307" s="49">
        <f t="shared" si="3"/>
        <v>2018.1</v>
      </c>
      <c r="B307" s="1350">
        <v>64.8</v>
      </c>
      <c r="C307" s="1347">
        <v>66.599999999999994</v>
      </c>
      <c r="D307" s="311">
        <v>71.400000000000006</v>
      </c>
      <c r="E307" s="1347">
        <v>47.4</v>
      </c>
      <c r="F307" s="311">
        <v>76.5</v>
      </c>
      <c r="G307" s="1347">
        <v>59.5</v>
      </c>
      <c r="H307" s="311">
        <v>78.8</v>
      </c>
      <c r="I307" s="1347">
        <v>69.099999999999994</v>
      </c>
      <c r="J307" s="311">
        <v>52.1</v>
      </c>
      <c r="K307" s="1347">
        <v>73.7</v>
      </c>
      <c r="L307" s="311">
        <v>83.9</v>
      </c>
      <c r="M307" s="1347">
        <v>45.9</v>
      </c>
      <c r="N307" s="1136">
        <v>49.2</v>
      </c>
    </row>
    <row r="308" spans="1:14">
      <c r="A308" s="49">
        <f t="shared" si="3"/>
        <v>2018.11</v>
      </c>
      <c r="B308" s="1350">
        <v>63.3</v>
      </c>
      <c r="C308" s="1347">
        <v>63.5</v>
      </c>
      <c r="D308" s="311">
        <v>74.599999999999994</v>
      </c>
      <c r="E308" s="1347">
        <v>43.9</v>
      </c>
      <c r="F308" s="311">
        <v>76.099999999999994</v>
      </c>
      <c r="G308" s="1347">
        <v>56.1</v>
      </c>
      <c r="H308" s="311">
        <v>73.2</v>
      </c>
      <c r="I308" s="1347">
        <v>70</v>
      </c>
      <c r="J308" s="311">
        <v>51.6</v>
      </c>
      <c r="K308" s="1347">
        <v>72.7</v>
      </c>
      <c r="L308" s="311">
        <v>88</v>
      </c>
      <c r="M308" s="1347">
        <v>44.4</v>
      </c>
      <c r="N308" s="1136">
        <v>44.5</v>
      </c>
    </row>
    <row r="309" spans="1:14">
      <c r="A309" s="49">
        <f t="shared" si="3"/>
        <v>2018.12</v>
      </c>
      <c r="B309" s="1350">
        <v>56.6</v>
      </c>
      <c r="C309" s="1347">
        <v>58.9</v>
      </c>
      <c r="D309" s="311">
        <v>56</v>
      </c>
      <c r="E309" s="1347">
        <v>32.299999999999997</v>
      </c>
      <c r="F309" s="311">
        <v>66.8</v>
      </c>
      <c r="G309" s="1347">
        <v>48.9</v>
      </c>
      <c r="H309" s="311">
        <v>77.400000000000006</v>
      </c>
      <c r="I309" s="1347">
        <v>66.400000000000006</v>
      </c>
      <c r="J309" s="311">
        <v>47.2</v>
      </c>
      <c r="K309" s="1347">
        <v>61.5</v>
      </c>
      <c r="L309" s="311">
        <v>69.400000000000006</v>
      </c>
      <c r="M309" s="1347">
        <v>25.6</v>
      </c>
      <c r="N309" s="1136">
        <v>42.8</v>
      </c>
    </row>
    <row r="310" spans="1:14">
      <c r="A310" s="49">
        <f t="shared" si="3"/>
        <v>2019.01</v>
      </c>
      <c r="B310" s="1350">
        <v>56.2</v>
      </c>
      <c r="C310" s="1347">
        <v>57.5</v>
      </c>
      <c r="D310" s="311">
        <v>83.9</v>
      </c>
      <c r="E310" s="1347">
        <v>31.4</v>
      </c>
      <c r="F310" s="311">
        <v>67.400000000000006</v>
      </c>
      <c r="G310" s="1347">
        <v>56.7</v>
      </c>
      <c r="H310" s="311">
        <v>76.599999999999994</v>
      </c>
      <c r="I310" s="1347">
        <v>68.900000000000006</v>
      </c>
      <c r="J310" s="311">
        <v>48.4</v>
      </c>
      <c r="K310" s="1347">
        <v>57.1</v>
      </c>
      <c r="L310" s="311">
        <v>71.7</v>
      </c>
      <c r="M310" s="1347">
        <v>15.7</v>
      </c>
      <c r="N310" s="1136">
        <v>38.4</v>
      </c>
    </row>
    <row r="311" spans="1:14">
      <c r="A311" s="49">
        <f t="shared" si="3"/>
        <v>2019.02</v>
      </c>
      <c r="B311" s="1350">
        <v>58.5</v>
      </c>
      <c r="C311" s="1347">
        <v>57.6</v>
      </c>
      <c r="D311" s="311">
        <v>72.900000000000006</v>
      </c>
      <c r="E311" s="1347">
        <v>43.2</v>
      </c>
      <c r="F311" s="311">
        <v>71.7</v>
      </c>
      <c r="G311" s="1347">
        <v>52.1</v>
      </c>
      <c r="H311" s="311">
        <v>71.7</v>
      </c>
      <c r="I311" s="1347">
        <v>69.400000000000006</v>
      </c>
      <c r="J311" s="311">
        <v>50.8</v>
      </c>
      <c r="K311" s="1347">
        <v>67.5</v>
      </c>
      <c r="L311" s="311">
        <v>68.7</v>
      </c>
      <c r="M311" s="1347">
        <v>42.1</v>
      </c>
      <c r="N311" s="1136">
        <v>42</v>
      </c>
    </row>
    <row r="312" spans="1:14">
      <c r="A312" s="49">
        <f t="shared" si="3"/>
        <v>2019.03</v>
      </c>
      <c r="B312" s="1350">
        <v>58.8</v>
      </c>
      <c r="C312" s="1347">
        <v>55.7</v>
      </c>
      <c r="D312" s="311">
        <v>63.8</v>
      </c>
      <c r="E312" s="1347">
        <v>49.8</v>
      </c>
      <c r="F312" s="311">
        <v>71.099999999999994</v>
      </c>
      <c r="G312" s="1347">
        <v>58.1</v>
      </c>
      <c r="H312" s="311">
        <v>76.599999999999994</v>
      </c>
      <c r="I312" s="1347">
        <v>69.599999999999994</v>
      </c>
      <c r="J312" s="311">
        <v>48.7</v>
      </c>
      <c r="K312" s="1347">
        <v>62.4</v>
      </c>
      <c r="L312" s="311">
        <v>74.7</v>
      </c>
      <c r="M312" s="1347">
        <v>35</v>
      </c>
      <c r="N312" s="1136">
        <v>43.1</v>
      </c>
    </row>
    <row r="313" spans="1:14">
      <c r="A313" s="49">
        <f t="shared" si="3"/>
        <v>2019.04</v>
      </c>
      <c r="B313" s="1350">
        <v>61.6</v>
      </c>
      <c r="C313" s="1347">
        <v>60.7</v>
      </c>
      <c r="D313" s="311">
        <v>58.6</v>
      </c>
      <c r="E313" s="1347">
        <v>49.5</v>
      </c>
      <c r="F313" s="311">
        <v>68.400000000000006</v>
      </c>
      <c r="G313" s="1347">
        <v>59.8</v>
      </c>
      <c r="H313" s="311">
        <v>72.099999999999994</v>
      </c>
      <c r="I313" s="1347">
        <v>70.5</v>
      </c>
      <c r="J313" s="311">
        <v>51.5</v>
      </c>
      <c r="K313" s="1347">
        <v>67.2</v>
      </c>
      <c r="L313" s="311">
        <v>82</v>
      </c>
      <c r="M313" s="1347">
        <v>37.6</v>
      </c>
      <c r="N313" s="1136">
        <v>46.7</v>
      </c>
    </row>
    <row r="314" spans="1:14">
      <c r="A314" s="49">
        <f t="shared" si="3"/>
        <v>2019.05</v>
      </c>
      <c r="B314" s="1350">
        <v>62</v>
      </c>
      <c r="C314" s="1347">
        <v>60.5</v>
      </c>
      <c r="D314" s="311">
        <v>70.8</v>
      </c>
      <c r="E314" s="1347">
        <v>54.6</v>
      </c>
      <c r="F314" s="311">
        <v>64.8</v>
      </c>
      <c r="G314" s="1347">
        <v>63.8</v>
      </c>
      <c r="H314" s="311">
        <v>78.3</v>
      </c>
      <c r="I314" s="1347">
        <v>70.8</v>
      </c>
      <c r="J314" s="311">
        <v>50.9</v>
      </c>
      <c r="K314" s="1347">
        <v>64.8</v>
      </c>
      <c r="L314" s="311">
        <v>77.5</v>
      </c>
      <c r="M314" s="1347">
        <v>36.6</v>
      </c>
      <c r="N314" s="1136">
        <v>49.9</v>
      </c>
    </row>
    <row r="315" spans="1:14">
      <c r="A315" s="49">
        <f t="shared" si="3"/>
        <v>2019.06</v>
      </c>
      <c r="B315" s="1350">
        <v>59.1</v>
      </c>
      <c r="C315" s="1347">
        <v>59.8</v>
      </c>
      <c r="D315" s="311">
        <v>54.6</v>
      </c>
      <c r="E315" s="1347">
        <v>53.5</v>
      </c>
      <c r="F315" s="311">
        <v>68.7</v>
      </c>
      <c r="G315" s="1347">
        <v>59.1</v>
      </c>
      <c r="H315" s="311">
        <v>73.8</v>
      </c>
      <c r="I315" s="1347">
        <v>57.2</v>
      </c>
      <c r="J315" s="311">
        <v>50.1</v>
      </c>
      <c r="K315" s="1347">
        <v>67.099999999999994</v>
      </c>
      <c r="L315" s="311">
        <v>80.2</v>
      </c>
      <c r="M315" s="1347">
        <v>34</v>
      </c>
      <c r="N315" s="1136">
        <v>48.2</v>
      </c>
    </row>
    <row r="316" spans="1:14">
      <c r="A316" s="49">
        <f t="shared" si="3"/>
        <v>2019.07</v>
      </c>
      <c r="B316" s="1350">
        <v>58.7</v>
      </c>
      <c r="C316" s="1347">
        <v>63.9</v>
      </c>
      <c r="D316" s="311">
        <v>68.900000000000006</v>
      </c>
      <c r="E316" s="1347">
        <v>60.6</v>
      </c>
      <c r="F316" s="311">
        <v>72.900000000000006</v>
      </c>
      <c r="G316" s="1347">
        <v>58.1</v>
      </c>
      <c r="H316" s="311">
        <v>75.099999999999994</v>
      </c>
      <c r="I316" s="1347">
        <v>47.5</v>
      </c>
      <c r="J316" s="311">
        <v>51.6</v>
      </c>
      <c r="K316" s="1347">
        <v>67.2</v>
      </c>
      <c r="L316" s="311">
        <v>79.3</v>
      </c>
      <c r="M316" s="1347">
        <v>30</v>
      </c>
      <c r="N316" s="1136">
        <v>48.5</v>
      </c>
    </row>
    <row r="317" spans="1:14">
      <c r="A317" s="49">
        <f t="shared" si="3"/>
        <v>2019.08</v>
      </c>
      <c r="B317" s="1350">
        <v>60.5</v>
      </c>
      <c r="C317" s="1347">
        <v>63.3</v>
      </c>
      <c r="D317" s="311">
        <v>64.599999999999994</v>
      </c>
      <c r="E317" s="1347">
        <v>58.8</v>
      </c>
      <c r="F317" s="311">
        <v>73.400000000000006</v>
      </c>
      <c r="G317" s="1347">
        <v>57.9</v>
      </c>
      <c r="H317" s="311">
        <v>79.8</v>
      </c>
      <c r="I317" s="1347">
        <v>51.6</v>
      </c>
      <c r="J317" s="311">
        <v>50.2</v>
      </c>
      <c r="K317" s="1347">
        <v>71.900000000000006</v>
      </c>
      <c r="L317" s="311">
        <v>81.8</v>
      </c>
      <c r="M317" s="1347">
        <v>43.5</v>
      </c>
      <c r="N317" s="1136">
        <v>47.5</v>
      </c>
    </row>
    <row r="318" spans="1:14">
      <c r="A318" s="49">
        <f t="shared" si="3"/>
        <v>2019.09</v>
      </c>
      <c r="B318" s="1350">
        <v>57.7</v>
      </c>
      <c r="C318" s="1347">
        <v>61.6</v>
      </c>
      <c r="D318" s="311">
        <v>69.2</v>
      </c>
      <c r="E318" s="1347">
        <v>57.8</v>
      </c>
      <c r="F318" s="311">
        <v>73.099999999999994</v>
      </c>
      <c r="G318" s="1347">
        <v>57.5</v>
      </c>
      <c r="H318" s="311">
        <v>77</v>
      </c>
      <c r="I318" s="1347">
        <v>47.7</v>
      </c>
      <c r="J318" s="311">
        <v>51.3</v>
      </c>
      <c r="K318" s="1347">
        <v>75.400000000000006</v>
      </c>
      <c r="L318" s="311">
        <v>79.099999999999994</v>
      </c>
      <c r="M318" s="1347">
        <v>37.4</v>
      </c>
      <c r="N318" s="1136">
        <v>40</v>
      </c>
    </row>
    <row r="319" spans="1:14">
      <c r="A319" s="49">
        <f t="shared" si="3"/>
        <v>2019.1</v>
      </c>
      <c r="B319" s="1350">
        <v>62.1</v>
      </c>
      <c r="C319" s="1347">
        <v>64.400000000000006</v>
      </c>
      <c r="D319" s="311">
        <v>73.099999999999994</v>
      </c>
      <c r="E319" s="1347">
        <v>51.4</v>
      </c>
      <c r="F319" s="311">
        <v>75.099999999999994</v>
      </c>
      <c r="G319" s="1347">
        <v>61.3</v>
      </c>
      <c r="H319" s="311">
        <v>80.8</v>
      </c>
      <c r="I319" s="1347">
        <v>63.7</v>
      </c>
      <c r="J319" s="311">
        <v>53.4</v>
      </c>
      <c r="K319" s="1347">
        <v>72.2</v>
      </c>
      <c r="L319" s="311">
        <v>73.099999999999994</v>
      </c>
      <c r="M319" s="1347">
        <v>43.2</v>
      </c>
      <c r="N319" s="1136">
        <v>47.3</v>
      </c>
    </row>
    <row r="320" spans="1:14">
      <c r="A320" s="49">
        <f t="shared" si="3"/>
        <v>2019.11</v>
      </c>
      <c r="B320" s="1350">
        <v>60.7</v>
      </c>
      <c r="C320" s="1347">
        <v>59.7</v>
      </c>
      <c r="D320" s="311">
        <v>69.7</v>
      </c>
      <c r="E320" s="1347">
        <v>51.6</v>
      </c>
      <c r="F320" s="311">
        <v>74.599999999999994</v>
      </c>
      <c r="G320" s="1347">
        <v>59.3</v>
      </c>
      <c r="H320" s="311">
        <v>78.7</v>
      </c>
      <c r="I320" s="1347">
        <v>68.7</v>
      </c>
      <c r="J320" s="311">
        <v>54.7</v>
      </c>
      <c r="K320" s="1347">
        <v>71.099999999999994</v>
      </c>
      <c r="L320" s="311">
        <v>73.599999999999994</v>
      </c>
      <c r="M320" s="1347">
        <v>38.700000000000003</v>
      </c>
      <c r="N320" s="1136">
        <v>42.3</v>
      </c>
    </row>
    <row r="321" spans="1:14">
      <c r="A321" s="49">
        <f t="shared" si="3"/>
        <v>2019.12</v>
      </c>
      <c r="B321" s="1350">
        <v>56.9</v>
      </c>
      <c r="C321" s="1347">
        <v>63.3</v>
      </c>
      <c r="D321" s="311">
        <v>50.1</v>
      </c>
      <c r="E321" s="1347">
        <v>41.1</v>
      </c>
      <c r="F321" s="311">
        <v>68.099999999999994</v>
      </c>
      <c r="G321" s="1347">
        <v>49.3</v>
      </c>
      <c r="H321" s="311">
        <v>78.599999999999994</v>
      </c>
      <c r="I321" s="1347">
        <v>68.8</v>
      </c>
      <c r="J321" s="311">
        <v>44.7</v>
      </c>
      <c r="K321" s="1347">
        <v>57.2</v>
      </c>
      <c r="L321" s="311">
        <v>66.099999999999994</v>
      </c>
      <c r="M321" s="1347">
        <v>21.1</v>
      </c>
      <c r="N321" s="1136">
        <v>40</v>
      </c>
    </row>
    <row r="322" spans="1:14">
      <c r="A322" s="49">
        <f t="shared" si="3"/>
        <v>2020.01</v>
      </c>
      <c r="B322" s="1350">
        <v>56.1</v>
      </c>
      <c r="C322" s="1347">
        <v>58.6</v>
      </c>
      <c r="D322" s="311">
        <v>67.3</v>
      </c>
      <c r="E322" s="1347">
        <v>44.4</v>
      </c>
      <c r="F322" s="311">
        <v>67.900000000000006</v>
      </c>
      <c r="G322" s="1347">
        <v>51.9</v>
      </c>
      <c r="H322" s="311">
        <v>80.7</v>
      </c>
      <c r="I322" s="1347">
        <v>73.8</v>
      </c>
      <c r="J322" s="311">
        <v>45.1</v>
      </c>
      <c r="K322" s="1347">
        <v>54.4</v>
      </c>
      <c r="L322" s="311">
        <v>61.5</v>
      </c>
      <c r="M322" s="1347">
        <v>26.3</v>
      </c>
      <c r="N322" s="1136">
        <v>34.6</v>
      </c>
    </row>
    <row r="323" spans="1:14">
      <c r="A323" s="49">
        <f t="shared" si="3"/>
        <v>2020.02</v>
      </c>
      <c r="B323" s="1350">
        <v>59.4</v>
      </c>
      <c r="C323" s="1347">
        <v>60.2</v>
      </c>
      <c r="D323" s="311">
        <v>58.2</v>
      </c>
      <c r="E323" s="1347">
        <v>43.9</v>
      </c>
      <c r="F323" s="311">
        <v>73.7</v>
      </c>
      <c r="G323" s="1347">
        <v>53.6</v>
      </c>
      <c r="H323" s="311">
        <v>80.099999999999994</v>
      </c>
      <c r="I323" s="1347">
        <v>71.400000000000006</v>
      </c>
      <c r="J323" s="311">
        <v>47</v>
      </c>
      <c r="K323" s="1347">
        <v>62.4</v>
      </c>
      <c r="L323" s="311">
        <v>72.900000000000006</v>
      </c>
      <c r="M323" s="1347">
        <v>37.5</v>
      </c>
      <c r="N323" s="1136">
        <v>39.799999999999997</v>
      </c>
    </row>
    <row r="324" spans="1:14">
      <c r="A324" s="49">
        <f t="shared" si="3"/>
        <v>2020.03</v>
      </c>
      <c r="B324" s="1350">
        <v>51.6</v>
      </c>
      <c r="C324" s="1347">
        <v>55.6</v>
      </c>
      <c r="D324" s="311">
        <v>53.6</v>
      </c>
      <c r="E324" s="1347">
        <v>28.7</v>
      </c>
      <c r="F324" s="311">
        <v>68.900000000000006</v>
      </c>
      <c r="G324" s="1347">
        <v>50.4</v>
      </c>
      <c r="H324" s="311">
        <v>70.8</v>
      </c>
      <c r="I324" s="1347">
        <v>68.5</v>
      </c>
      <c r="J324" s="311">
        <v>39.799999999999997</v>
      </c>
      <c r="K324" s="1347">
        <v>42.1</v>
      </c>
      <c r="L324" s="311">
        <v>58.5</v>
      </c>
      <c r="M324" s="1347">
        <v>25.9</v>
      </c>
      <c r="N324" s="1136">
        <v>30.4</v>
      </c>
    </row>
    <row r="325" spans="1:14">
      <c r="A325" s="49">
        <f t="shared" si="3"/>
        <v>2020.04</v>
      </c>
      <c r="B325" s="1350">
        <v>42</v>
      </c>
      <c r="C325" s="1347">
        <v>59.7</v>
      </c>
      <c r="D325" s="311">
        <v>0</v>
      </c>
      <c r="E325" s="1347">
        <v>4.2</v>
      </c>
      <c r="F325" s="311">
        <v>59.9</v>
      </c>
      <c r="G325" s="1347">
        <v>57.6</v>
      </c>
      <c r="H325" s="311">
        <v>46.2</v>
      </c>
      <c r="I325" s="1347">
        <v>69.3</v>
      </c>
      <c r="J325" s="311">
        <v>31.7</v>
      </c>
      <c r="K325" s="1347">
        <v>22.5</v>
      </c>
      <c r="L325" s="311">
        <v>25.1</v>
      </c>
      <c r="M325" s="1347">
        <v>0</v>
      </c>
      <c r="N325" s="1136">
        <v>20.100000000000001</v>
      </c>
    </row>
    <row r="326" spans="1:14">
      <c r="A326" s="49">
        <f t="shared" si="3"/>
        <v>2020.05</v>
      </c>
      <c r="B326" s="1350">
        <v>46.4</v>
      </c>
      <c r="C326" s="1347">
        <v>57</v>
      </c>
      <c r="D326" s="311">
        <v>62.2</v>
      </c>
      <c r="E326" s="1347">
        <v>17.8</v>
      </c>
      <c r="F326" s="311">
        <v>65</v>
      </c>
      <c r="G326" s="1347">
        <v>54.3</v>
      </c>
      <c r="H326" s="311">
        <v>57</v>
      </c>
      <c r="I326" s="1347">
        <v>63</v>
      </c>
      <c r="J326" s="311">
        <v>36.4</v>
      </c>
      <c r="K326" s="1347">
        <v>38.5</v>
      </c>
      <c r="L326" s="311">
        <v>39</v>
      </c>
      <c r="M326" s="1347">
        <v>6.2</v>
      </c>
      <c r="N326" s="1136">
        <v>31.7</v>
      </c>
    </row>
    <row r="327" spans="1:14">
      <c r="A327" s="49">
        <f t="shared" si="3"/>
        <v>2020.06</v>
      </c>
      <c r="B327" s="1350">
        <v>53.3</v>
      </c>
      <c r="C327" s="1347">
        <v>60.1</v>
      </c>
      <c r="D327" s="311">
        <v>97.1</v>
      </c>
      <c r="E327" s="1347">
        <v>37.799999999999997</v>
      </c>
      <c r="F327" s="311">
        <v>68.099999999999994</v>
      </c>
      <c r="G327" s="1347">
        <v>52.5</v>
      </c>
      <c r="H327" s="311">
        <v>67.3</v>
      </c>
      <c r="I327" s="1347">
        <v>59.8</v>
      </c>
      <c r="J327" s="311">
        <v>46.6</v>
      </c>
      <c r="K327" s="1347">
        <v>61.8</v>
      </c>
      <c r="L327" s="311">
        <v>48.4</v>
      </c>
      <c r="M327" s="1347">
        <v>23</v>
      </c>
      <c r="N327" s="1136">
        <v>43.1</v>
      </c>
    </row>
    <row r="328" spans="1:14">
      <c r="A328" s="49">
        <f t="shared" si="3"/>
        <v>2020.07</v>
      </c>
      <c r="B328" s="1350">
        <v>56.8</v>
      </c>
      <c r="C328" s="1347">
        <v>59.5</v>
      </c>
      <c r="D328" s="311">
        <v>79.5</v>
      </c>
      <c r="E328" s="1347">
        <v>43.1</v>
      </c>
      <c r="F328" s="311">
        <v>65</v>
      </c>
      <c r="G328" s="1347">
        <v>51.6</v>
      </c>
      <c r="H328" s="311">
        <v>68.099999999999994</v>
      </c>
      <c r="I328" s="1347">
        <v>68.7</v>
      </c>
      <c r="J328" s="311">
        <v>47.3</v>
      </c>
      <c r="K328" s="1347">
        <v>67.5</v>
      </c>
      <c r="L328" s="311">
        <v>61</v>
      </c>
      <c r="M328" s="1347">
        <v>29.8</v>
      </c>
      <c r="N328" s="1136">
        <v>44.6</v>
      </c>
    </row>
    <row r="329" spans="1:14">
      <c r="A329" s="49">
        <f t="shared" si="3"/>
        <v>2020.08</v>
      </c>
      <c r="B329" s="1350">
        <v>58.4</v>
      </c>
      <c r="C329" s="1347">
        <v>60.6</v>
      </c>
      <c r="D329" s="311">
        <v>61.5</v>
      </c>
      <c r="E329" s="1347">
        <v>42.3</v>
      </c>
      <c r="F329" s="311">
        <v>65</v>
      </c>
      <c r="G329" s="1347">
        <v>50.3</v>
      </c>
      <c r="H329" s="311">
        <v>69.099999999999994</v>
      </c>
      <c r="I329" s="1347">
        <v>71.099999999999994</v>
      </c>
      <c r="J329" s="311">
        <v>48.6</v>
      </c>
      <c r="K329" s="1347">
        <v>70.400000000000006</v>
      </c>
      <c r="L329" s="311">
        <v>62.9</v>
      </c>
      <c r="M329" s="1347">
        <v>35.4</v>
      </c>
      <c r="N329" s="1136">
        <v>46.9</v>
      </c>
    </row>
    <row r="330" spans="1:14">
      <c r="A330" s="49">
        <f t="shared" si="3"/>
        <v>2020.09</v>
      </c>
      <c r="B330" s="1350">
        <v>60.8</v>
      </c>
      <c r="C330" s="1347">
        <v>64.7</v>
      </c>
      <c r="D330" s="311">
        <v>64.099999999999994</v>
      </c>
      <c r="E330" s="1347">
        <v>48.5</v>
      </c>
      <c r="F330" s="311">
        <v>71.2</v>
      </c>
      <c r="G330" s="1347">
        <v>57.1</v>
      </c>
      <c r="H330" s="311">
        <v>59.5</v>
      </c>
      <c r="I330" s="1347">
        <v>69.8</v>
      </c>
      <c r="J330" s="311">
        <v>52.8</v>
      </c>
      <c r="K330" s="1347">
        <v>77.8</v>
      </c>
      <c r="L330" s="311">
        <v>68.7</v>
      </c>
      <c r="M330" s="1347">
        <v>46.2</v>
      </c>
      <c r="N330" s="1136">
        <v>44.7</v>
      </c>
    </row>
    <row r="331" spans="1:14">
      <c r="A331" s="49">
        <f t="shared" si="3"/>
        <v>2020.1</v>
      </c>
      <c r="B331" s="1350">
        <v>61.8</v>
      </c>
      <c r="C331" s="1347">
        <v>63.7</v>
      </c>
      <c r="D331" s="311">
        <v>54.5</v>
      </c>
      <c r="E331" s="1347">
        <v>48</v>
      </c>
      <c r="F331" s="311">
        <v>66.099999999999994</v>
      </c>
      <c r="G331" s="1347">
        <v>55.7</v>
      </c>
      <c r="H331" s="311">
        <v>64.3</v>
      </c>
      <c r="I331" s="1347">
        <v>69.3</v>
      </c>
      <c r="J331" s="311">
        <v>54.2</v>
      </c>
      <c r="K331" s="1347">
        <v>77.599999999999994</v>
      </c>
      <c r="L331" s="311">
        <v>71.3</v>
      </c>
      <c r="M331" s="1347">
        <v>40.299999999999997</v>
      </c>
      <c r="N331" s="1136">
        <v>54</v>
      </c>
    </row>
    <row r="332" spans="1:14">
      <c r="A332" s="49">
        <f t="shared" si="3"/>
        <v>2020.11</v>
      </c>
      <c r="B332" s="1350">
        <v>63.3</v>
      </c>
      <c r="C332" s="1347">
        <v>65.3</v>
      </c>
      <c r="D332" s="311">
        <v>59.1</v>
      </c>
      <c r="E332" s="1347">
        <v>49.1</v>
      </c>
      <c r="F332" s="311">
        <v>71.5</v>
      </c>
      <c r="G332" s="1347">
        <v>56.1</v>
      </c>
      <c r="H332" s="311">
        <v>69.7</v>
      </c>
      <c r="I332" s="1347">
        <v>68.7</v>
      </c>
      <c r="J332" s="311">
        <v>57.2</v>
      </c>
      <c r="K332" s="1347">
        <v>80.099999999999994</v>
      </c>
      <c r="L332" s="311">
        <v>75</v>
      </c>
      <c r="M332" s="1347">
        <v>46.9</v>
      </c>
      <c r="N332" s="1136">
        <v>49.9</v>
      </c>
    </row>
    <row r="333" spans="1:14">
      <c r="A333" s="49">
        <f t="shared" si="3"/>
        <v>2020.12</v>
      </c>
      <c r="B333" s="1350">
        <v>58.4</v>
      </c>
      <c r="C333" s="1347">
        <v>56.9</v>
      </c>
      <c r="D333" s="311">
        <v>46.7</v>
      </c>
      <c r="E333" s="1347">
        <v>42.4</v>
      </c>
      <c r="F333" s="311">
        <v>62.6</v>
      </c>
      <c r="G333" s="1347">
        <v>52.1</v>
      </c>
      <c r="H333" s="311">
        <v>72</v>
      </c>
      <c r="I333" s="1347">
        <v>63.7</v>
      </c>
      <c r="J333" s="311">
        <v>49.5</v>
      </c>
      <c r="K333" s="1347">
        <v>69.2</v>
      </c>
      <c r="L333" s="311">
        <v>73.5</v>
      </c>
      <c r="M333" s="1347">
        <v>41</v>
      </c>
      <c r="N333" s="1136">
        <v>49.7</v>
      </c>
    </row>
    <row r="334" spans="1:14">
      <c r="A334" s="49">
        <f t="shared" si="3"/>
        <v>2021.01</v>
      </c>
      <c r="B334" s="1350">
        <v>56.8</v>
      </c>
      <c r="C334" s="1347">
        <v>60</v>
      </c>
      <c r="D334" s="311">
        <v>49.3</v>
      </c>
      <c r="E334" s="1347">
        <v>43</v>
      </c>
      <c r="F334" s="311">
        <v>58.8</v>
      </c>
      <c r="G334" s="1347">
        <v>49.2</v>
      </c>
      <c r="H334" s="311">
        <v>77.5</v>
      </c>
      <c r="I334" s="1347">
        <v>62.9</v>
      </c>
      <c r="J334" s="311">
        <v>52.6</v>
      </c>
      <c r="K334" s="1347">
        <v>71.7</v>
      </c>
      <c r="L334" s="311">
        <v>67.7</v>
      </c>
      <c r="M334" s="1347">
        <v>31.4</v>
      </c>
      <c r="N334" s="1136">
        <v>41.4</v>
      </c>
    </row>
    <row r="335" spans="1:14">
      <c r="A335" s="49">
        <f t="shared" si="3"/>
        <v>2021.02</v>
      </c>
      <c r="B335" s="1350">
        <v>57.9</v>
      </c>
      <c r="C335" s="1347">
        <v>62.8</v>
      </c>
      <c r="D335" s="311">
        <v>56.7</v>
      </c>
      <c r="E335" s="1347">
        <v>49.8</v>
      </c>
      <c r="F335" s="311">
        <v>69.099999999999994</v>
      </c>
      <c r="G335" s="1347">
        <v>53.5</v>
      </c>
      <c r="H335" s="311">
        <v>77.3</v>
      </c>
      <c r="I335" s="1347">
        <v>55.5</v>
      </c>
      <c r="J335" s="311">
        <v>50.6</v>
      </c>
      <c r="K335" s="1347">
        <v>75.3</v>
      </c>
      <c r="L335" s="311">
        <v>67.099999999999994</v>
      </c>
      <c r="M335" s="1347">
        <v>33.4</v>
      </c>
      <c r="N335" s="1136">
        <v>46.3</v>
      </c>
    </row>
    <row r="336" spans="1:14">
      <c r="A336" s="49">
        <f t="shared" si="3"/>
        <v>2021.03</v>
      </c>
      <c r="B336" s="1350">
        <v>64.2</v>
      </c>
      <c r="C336" s="1347">
        <v>63.9</v>
      </c>
      <c r="D336" s="311">
        <v>68.8</v>
      </c>
      <c r="E336" s="1347">
        <v>50.7</v>
      </c>
      <c r="F336" s="311">
        <v>71.7</v>
      </c>
      <c r="G336" s="1347">
        <v>57.7</v>
      </c>
      <c r="H336" s="311">
        <v>73.8</v>
      </c>
      <c r="I336" s="1347">
        <v>70.3</v>
      </c>
      <c r="J336" s="311">
        <v>56.1</v>
      </c>
      <c r="K336" s="1347">
        <v>77.400000000000006</v>
      </c>
      <c r="L336" s="311">
        <v>76.3</v>
      </c>
      <c r="M336" s="1347">
        <v>54.8</v>
      </c>
      <c r="N336" s="1136">
        <v>50.3</v>
      </c>
    </row>
    <row r="337" spans="1:14">
      <c r="A337" s="49">
        <f t="shared" si="3"/>
        <v>2021.04</v>
      </c>
      <c r="B337" s="1350">
        <v>63.2</v>
      </c>
      <c r="C337" s="1347">
        <v>64.8</v>
      </c>
      <c r="D337" s="311">
        <v>65.7</v>
      </c>
      <c r="E337" s="1347">
        <v>52.4</v>
      </c>
      <c r="F337" s="311">
        <v>73</v>
      </c>
      <c r="G337" s="1347">
        <v>55.9</v>
      </c>
      <c r="H337" s="311">
        <v>73.099999999999994</v>
      </c>
      <c r="I337" s="1347">
        <v>75.400000000000006</v>
      </c>
      <c r="J337" s="311">
        <v>52.1</v>
      </c>
      <c r="K337" s="1347">
        <v>74.7</v>
      </c>
      <c r="L337" s="311">
        <v>66</v>
      </c>
      <c r="M337" s="1347">
        <v>39.1</v>
      </c>
      <c r="N337" s="1136">
        <v>53.7</v>
      </c>
    </row>
    <row r="338" spans="1:14">
      <c r="A338" s="49">
        <f t="shared" si="3"/>
        <v>2021.05</v>
      </c>
      <c r="B338" s="1350">
        <v>61.1</v>
      </c>
      <c r="C338" s="1347">
        <v>59.1</v>
      </c>
      <c r="D338" s="311">
        <v>52.3</v>
      </c>
      <c r="E338" s="1347">
        <v>52.3</v>
      </c>
      <c r="F338" s="311">
        <v>74</v>
      </c>
      <c r="G338" s="1347">
        <v>50.2</v>
      </c>
      <c r="H338" s="311">
        <v>75.400000000000006</v>
      </c>
      <c r="I338" s="1347">
        <v>71.7</v>
      </c>
      <c r="J338" s="311">
        <v>50.5</v>
      </c>
      <c r="K338" s="1347">
        <v>68.900000000000006</v>
      </c>
      <c r="L338" s="311">
        <v>71.2</v>
      </c>
      <c r="M338" s="1347">
        <v>44.6</v>
      </c>
      <c r="N338" s="1136">
        <v>49.8</v>
      </c>
    </row>
    <row r="339" spans="1:14">
      <c r="A339" s="49">
        <f t="shared" si="3"/>
        <v>2021.06</v>
      </c>
      <c r="B339" s="1350">
        <v>64.5</v>
      </c>
      <c r="C339" s="1347">
        <v>63.2</v>
      </c>
      <c r="D339" s="311">
        <v>64.2</v>
      </c>
      <c r="E339" s="1347">
        <v>62.1</v>
      </c>
      <c r="F339" s="311">
        <v>72.5</v>
      </c>
      <c r="G339" s="1347">
        <v>59.8</v>
      </c>
      <c r="H339" s="311">
        <v>73.599999999999994</v>
      </c>
      <c r="I339" s="1347">
        <v>69.599999999999994</v>
      </c>
      <c r="J339" s="311">
        <v>54.3</v>
      </c>
      <c r="K339" s="1347">
        <v>74.2</v>
      </c>
      <c r="L339" s="311">
        <v>74.8</v>
      </c>
      <c r="M339" s="1347">
        <v>51.9</v>
      </c>
      <c r="N339" s="1136">
        <v>56</v>
      </c>
    </row>
    <row r="340" spans="1:14">
      <c r="A340" s="49">
        <f t="shared" si="3"/>
        <v>2021.07</v>
      </c>
      <c r="B340" s="1350">
        <v>63.7</v>
      </c>
      <c r="C340" s="1347">
        <v>62.2</v>
      </c>
      <c r="D340" s="311">
        <v>55.7</v>
      </c>
      <c r="E340" s="1347">
        <v>58.4</v>
      </c>
      <c r="F340" s="311">
        <v>77.7</v>
      </c>
      <c r="G340" s="1347">
        <v>56.5</v>
      </c>
      <c r="H340" s="311">
        <v>72.099999999999994</v>
      </c>
      <c r="I340" s="1347">
        <v>70.2</v>
      </c>
      <c r="J340" s="311">
        <v>52.4</v>
      </c>
      <c r="K340" s="1347">
        <v>77.2</v>
      </c>
      <c r="L340" s="311">
        <v>77.400000000000006</v>
      </c>
      <c r="M340" s="1347">
        <v>41.1</v>
      </c>
      <c r="N340" s="1136">
        <v>54.8</v>
      </c>
    </row>
    <row r="341" spans="1:14">
      <c r="A341" s="49">
        <f t="shared" si="3"/>
        <v>2021.08</v>
      </c>
      <c r="B341" s="1350">
        <v>64</v>
      </c>
      <c r="C341" s="1347">
        <v>65.7</v>
      </c>
      <c r="D341" s="311">
        <v>60.7</v>
      </c>
      <c r="E341" s="1347">
        <v>54.4</v>
      </c>
      <c r="F341" s="311">
        <v>72.400000000000006</v>
      </c>
      <c r="G341" s="1347">
        <v>57.4</v>
      </c>
      <c r="H341" s="311">
        <v>75.400000000000006</v>
      </c>
      <c r="I341" s="1347">
        <v>63.5</v>
      </c>
      <c r="J341" s="311">
        <v>56</v>
      </c>
      <c r="K341" s="1347">
        <v>79.8</v>
      </c>
      <c r="L341" s="311">
        <v>76.599999999999994</v>
      </c>
      <c r="M341" s="1347">
        <v>47.7</v>
      </c>
      <c r="N341" s="1136">
        <v>55.3</v>
      </c>
    </row>
    <row r="342" spans="1:14">
      <c r="A342" s="49">
        <f t="shared" si="3"/>
        <v>2021.09</v>
      </c>
      <c r="B342" s="1350">
        <v>66.3</v>
      </c>
      <c r="C342" s="1347">
        <v>68.5</v>
      </c>
      <c r="D342" s="311">
        <v>66.099999999999994</v>
      </c>
      <c r="E342" s="1347">
        <v>60.6</v>
      </c>
      <c r="F342" s="311">
        <v>78.5</v>
      </c>
      <c r="G342" s="1347">
        <v>60.1</v>
      </c>
      <c r="H342" s="311">
        <v>75.8</v>
      </c>
      <c r="I342" s="1347">
        <v>64.900000000000006</v>
      </c>
      <c r="J342" s="311">
        <v>60</v>
      </c>
      <c r="K342" s="1347">
        <v>79.099999999999994</v>
      </c>
      <c r="L342" s="311">
        <v>80.099999999999994</v>
      </c>
      <c r="M342" s="1347">
        <v>55</v>
      </c>
      <c r="N342" s="1136">
        <v>53.6</v>
      </c>
    </row>
    <row r="343" spans="1:14">
      <c r="A343" s="49">
        <f t="shared" si="3"/>
        <v>2021.1</v>
      </c>
      <c r="B343" s="1350">
        <v>64.3</v>
      </c>
      <c r="C343" s="1347">
        <v>63.7</v>
      </c>
      <c r="D343" s="311">
        <v>59.9</v>
      </c>
      <c r="E343" s="1347">
        <v>54.8</v>
      </c>
      <c r="F343" s="311">
        <v>75.400000000000006</v>
      </c>
      <c r="G343" s="1347">
        <v>56.4</v>
      </c>
      <c r="H343" s="311">
        <v>77.400000000000006</v>
      </c>
      <c r="I343" s="1347">
        <v>64.2</v>
      </c>
      <c r="J343" s="311">
        <v>55.2</v>
      </c>
      <c r="K343" s="1347">
        <v>78.599999999999994</v>
      </c>
      <c r="L343" s="311">
        <v>80.2</v>
      </c>
      <c r="M343" s="1347">
        <v>50.8</v>
      </c>
      <c r="N343" s="1136">
        <v>54.7</v>
      </c>
    </row>
    <row r="344" spans="1:14">
      <c r="A344" s="49">
        <f t="shared" si="3"/>
        <v>2021.11</v>
      </c>
      <c r="B344" s="1350">
        <v>68.400000000000006</v>
      </c>
      <c r="C344" s="1347">
        <v>66.599999999999994</v>
      </c>
      <c r="D344" s="311">
        <v>62.9</v>
      </c>
      <c r="E344" s="1347">
        <v>59.1</v>
      </c>
      <c r="F344" s="311">
        <v>79.5</v>
      </c>
      <c r="G344" s="1347">
        <v>62.7</v>
      </c>
      <c r="H344" s="311">
        <v>77.5</v>
      </c>
      <c r="I344" s="1347">
        <v>73.599999999999994</v>
      </c>
      <c r="J344" s="311">
        <v>60.1</v>
      </c>
      <c r="K344" s="1347">
        <v>81.5</v>
      </c>
      <c r="L344" s="311">
        <v>83.1</v>
      </c>
      <c r="M344" s="1347">
        <v>60.2</v>
      </c>
      <c r="N344" s="1136">
        <v>54.1</v>
      </c>
    </row>
    <row r="345" spans="1:14">
      <c r="A345" s="49">
        <f t="shared" si="3"/>
        <v>2021.12</v>
      </c>
      <c r="B345" s="1350">
        <v>64</v>
      </c>
      <c r="C345" s="1347">
        <v>65.3</v>
      </c>
      <c r="D345" s="311">
        <v>53</v>
      </c>
      <c r="E345" s="1347">
        <v>47.4</v>
      </c>
      <c r="F345" s="311">
        <v>70</v>
      </c>
      <c r="G345" s="1347">
        <v>56.1</v>
      </c>
      <c r="H345" s="311">
        <v>79.2</v>
      </c>
      <c r="I345" s="1347">
        <v>70.8</v>
      </c>
      <c r="J345" s="311">
        <v>51.5</v>
      </c>
      <c r="K345" s="1347">
        <v>70.2</v>
      </c>
      <c r="L345" s="311">
        <v>77.3</v>
      </c>
      <c r="M345" s="1347">
        <v>49.8</v>
      </c>
      <c r="N345" s="1136">
        <v>51.9</v>
      </c>
    </row>
    <row r="346" spans="1:14">
      <c r="A346" s="49">
        <f t="shared" si="3"/>
        <v>2022.01</v>
      </c>
      <c r="B346" s="1350">
        <v>57.5</v>
      </c>
      <c r="C346" s="1347">
        <v>58.5</v>
      </c>
      <c r="D346" s="311">
        <v>50.6</v>
      </c>
      <c r="E346" s="1347">
        <v>38.1</v>
      </c>
      <c r="F346" s="311">
        <v>69.8</v>
      </c>
      <c r="G346" s="1347">
        <v>56.3</v>
      </c>
      <c r="H346" s="311">
        <v>77.2</v>
      </c>
      <c r="I346" s="1347">
        <v>73.099999999999994</v>
      </c>
      <c r="J346" s="311">
        <v>46.8</v>
      </c>
      <c r="K346" s="1347">
        <v>67.900000000000006</v>
      </c>
      <c r="L346" s="311">
        <v>65.3</v>
      </c>
      <c r="M346" s="1347">
        <v>22.5</v>
      </c>
      <c r="N346" s="1136">
        <v>41.1</v>
      </c>
    </row>
    <row r="347" spans="1:14">
      <c r="A347" s="49">
        <f t="shared" si="3"/>
        <v>2022.02</v>
      </c>
      <c r="B347" s="1350">
        <v>64</v>
      </c>
      <c r="C347" s="1347">
        <v>65.400000000000006</v>
      </c>
      <c r="D347" s="311">
        <v>66.400000000000006</v>
      </c>
      <c r="E347" s="1347">
        <v>58.1</v>
      </c>
      <c r="F347" s="311">
        <v>77.900000000000006</v>
      </c>
      <c r="G347" s="1347">
        <v>63.6</v>
      </c>
      <c r="H347" s="311">
        <v>69.099999999999994</v>
      </c>
      <c r="I347" s="1347">
        <v>71.900000000000006</v>
      </c>
      <c r="J347" s="311">
        <v>54.7</v>
      </c>
      <c r="K347" s="1347">
        <v>76.099999999999994</v>
      </c>
      <c r="L347" s="311">
        <v>65.599999999999994</v>
      </c>
      <c r="M347" s="1347">
        <v>51.6</v>
      </c>
      <c r="N347" s="1136">
        <v>52.3</v>
      </c>
    </row>
    <row r="348" spans="1:14">
      <c r="A348" s="49">
        <f t="shared" si="3"/>
        <v>2022.03</v>
      </c>
      <c r="B348" s="1350">
        <v>66.7</v>
      </c>
      <c r="C348" s="1347">
        <v>64.400000000000006</v>
      </c>
      <c r="D348" s="311">
        <v>66.3</v>
      </c>
      <c r="E348" s="1347">
        <v>53.4</v>
      </c>
      <c r="F348" s="311">
        <v>77.400000000000006</v>
      </c>
      <c r="G348" s="1347">
        <v>64.599999999999994</v>
      </c>
      <c r="H348" s="311">
        <v>71.900000000000006</v>
      </c>
      <c r="I348" s="1347">
        <v>75.900000000000006</v>
      </c>
      <c r="J348" s="311">
        <v>59.7</v>
      </c>
      <c r="K348" s="1347">
        <v>76.5</v>
      </c>
      <c r="L348" s="311">
        <v>76.099999999999994</v>
      </c>
      <c r="M348" s="1347">
        <v>59.5</v>
      </c>
      <c r="N348" s="1136">
        <v>53.8</v>
      </c>
    </row>
    <row r="349" spans="1:14">
      <c r="A349" s="49">
        <f t="shared" si="3"/>
        <v>2022.04</v>
      </c>
      <c r="B349" s="1350">
        <v>67.099999999999994</v>
      </c>
      <c r="C349" s="1347">
        <v>66</v>
      </c>
      <c r="D349" s="311">
        <v>58.8</v>
      </c>
      <c r="E349" s="1347">
        <v>55</v>
      </c>
      <c r="F349" s="311">
        <v>76.400000000000006</v>
      </c>
      <c r="G349" s="1347">
        <v>58.9</v>
      </c>
      <c r="H349" s="311">
        <v>81.400000000000006</v>
      </c>
      <c r="I349" s="1347">
        <v>73.3</v>
      </c>
      <c r="J349" s="311">
        <v>59.9</v>
      </c>
      <c r="K349" s="1347">
        <v>79.400000000000006</v>
      </c>
      <c r="L349" s="311">
        <v>68.7</v>
      </c>
      <c r="M349" s="1347">
        <v>56.9</v>
      </c>
      <c r="N349" s="1136">
        <v>61.1</v>
      </c>
    </row>
    <row r="350" spans="1:14">
      <c r="A350" s="49">
        <f t="shared" si="3"/>
        <v>2022.05</v>
      </c>
      <c r="B350" s="1350">
        <v>68</v>
      </c>
      <c r="C350" s="1347">
        <v>64.8</v>
      </c>
      <c r="D350" s="311">
        <v>61.5</v>
      </c>
      <c r="E350" s="1347">
        <v>59.5</v>
      </c>
      <c r="F350" s="311">
        <v>78</v>
      </c>
      <c r="G350" s="1347">
        <v>61.7</v>
      </c>
      <c r="H350" s="311">
        <v>81.3</v>
      </c>
      <c r="I350" s="1347">
        <v>74.3</v>
      </c>
      <c r="J350" s="311">
        <v>55.4</v>
      </c>
      <c r="K350" s="1347">
        <v>81.400000000000006</v>
      </c>
      <c r="L350" s="311">
        <v>81.8</v>
      </c>
      <c r="M350" s="1347">
        <v>57.1</v>
      </c>
      <c r="N350" s="1136">
        <v>57.1</v>
      </c>
    </row>
    <row r="351" spans="1:14">
      <c r="A351" s="49">
        <f t="shared" si="3"/>
        <v>2022.06</v>
      </c>
      <c r="B351" s="1350">
        <v>69.5</v>
      </c>
      <c r="C351" s="1347">
        <v>65.400000000000006</v>
      </c>
      <c r="D351" s="311">
        <v>55.9</v>
      </c>
      <c r="E351" s="1347">
        <v>67.599999999999994</v>
      </c>
      <c r="F351" s="311">
        <v>78.400000000000006</v>
      </c>
      <c r="G351" s="1347">
        <v>64.099999999999994</v>
      </c>
      <c r="H351" s="311">
        <v>81.2</v>
      </c>
      <c r="I351" s="1347">
        <v>73.3</v>
      </c>
      <c r="J351" s="311">
        <v>55.6</v>
      </c>
      <c r="K351" s="1347">
        <v>82.7</v>
      </c>
      <c r="L351" s="311">
        <v>87.2</v>
      </c>
      <c r="M351" s="1347">
        <v>59.8</v>
      </c>
      <c r="N351" s="1136">
        <v>59.8</v>
      </c>
    </row>
    <row r="352" spans="1:14">
      <c r="A352" s="49">
        <f t="shared" si="3"/>
        <v>2022.07</v>
      </c>
      <c r="B352" s="1350">
        <v>67.900000000000006</v>
      </c>
      <c r="C352" s="1347">
        <v>63.6</v>
      </c>
      <c r="D352" s="311">
        <v>65.099999999999994</v>
      </c>
      <c r="E352" s="1347">
        <v>63.8</v>
      </c>
      <c r="F352" s="311">
        <v>81.400000000000006</v>
      </c>
      <c r="G352" s="1347">
        <v>64.099999999999994</v>
      </c>
      <c r="H352" s="311">
        <v>78.3</v>
      </c>
      <c r="I352" s="1347">
        <v>68.900000000000006</v>
      </c>
      <c r="J352" s="311">
        <v>53.8</v>
      </c>
      <c r="K352" s="1347">
        <v>81.099999999999994</v>
      </c>
      <c r="L352" s="311">
        <v>84.4</v>
      </c>
      <c r="M352" s="1347">
        <v>54</v>
      </c>
      <c r="N352" s="1136">
        <v>63.2</v>
      </c>
    </row>
    <row r="353" spans="1:14">
      <c r="A353" s="49">
        <f t="shared" si="3"/>
        <v>2022.08</v>
      </c>
      <c r="B353" s="1350">
        <v>69.599999999999994</v>
      </c>
      <c r="C353" s="1347">
        <v>67.400000000000006</v>
      </c>
      <c r="D353" s="311">
        <v>64.099999999999994</v>
      </c>
      <c r="E353" s="1347">
        <v>64.5</v>
      </c>
      <c r="F353" s="311">
        <v>77.599999999999994</v>
      </c>
      <c r="G353" s="1347">
        <v>65.2</v>
      </c>
      <c r="H353" s="311">
        <v>80.7</v>
      </c>
      <c r="I353" s="1347">
        <v>69.400000000000006</v>
      </c>
      <c r="J353" s="311">
        <v>57</v>
      </c>
      <c r="K353" s="1347">
        <v>83.8</v>
      </c>
      <c r="L353" s="311">
        <v>83.3</v>
      </c>
      <c r="M353" s="1347">
        <v>65.3</v>
      </c>
      <c r="N353" s="1136">
        <v>61.9</v>
      </c>
    </row>
    <row r="354" spans="1:14">
      <c r="A354" s="49">
        <f t="shared" si="3"/>
        <v>2022.09</v>
      </c>
      <c r="B354" s="1350">
        <v>68.599999999999994</v>
      </c>
      <c r="C354" s="1347">
        <v>68.599999999999994</v>
      </c>
      <c r="D354" s="311">
        <v>63.5</v>
      </c>
      <c r="E354" s="1347">
        <v>62.6</v>
      </c>
      <c r="F354" s="311">
        <v>78.5</v>
      </c>
      <c r="G354" s="1347">
        <v>65.900000000000006</v>
      </c>
      <c r="H354" s="311">
        <v>77.900000000000006</v>
      </c>
      <c r="I354" s="1347">
        <v>69.8</v>
      </c>
      <c r="J354" s="311">
        <v>55.3</v>
      </c>
      <c r="K354" s="1347">
        <v>83.3</v>
      </c>
      <c r="L354" s="311">
        <v>81.400000000000006</v>
      </c>
      <c r="M354" s="1347">
        <v>65.599999999999994</v>
      </c>
      <c r="N354" s="1136">
        <v>56.3</v>
      </c>
    </row>
    <row r="355" spans="1:14">
      <c r="A355" s="49">
        <f t="shared" si="3"/>
        <v>2022.1</v>
      </c>
      <c r="B355" s="1350">
        <v>66.7</v>
      </c>
      <c r="C355" s="1347">
        <v>62.5</v>
      </c>
      <c r="D355" s="311">
        <v>57.5</v>
      </c>
      <c r="E355" s="1347">
        <v>53</v>
      </c>
      <c r="F355" s="311">
        <v>75.2</v>
      </c>
      <c r="G355" s="1347">
        <v>56.2</v>
      </c>
      <c r="H355" s="311">
        <v>72.400000000000006</v>
      </c>
      <c r="I355" s="1347">
        <v>71.3</v>
      </c>
      <c r="J355" s="311">
        <v>56.9</v>
      </c>
      <c r="K355" s="1347">
        <v>79.8</v>
      </c>
      <c r="L355" s="311">
        <v>89.6</v>
      </c>
      <c r="M355" s="1347">
        <v>62.3</v>
      </c>
      <c r="N355" s="1136">
        <v>54.8</v>
      </c>
    </row>
    <row r="356" spans="1:14">
      <c r="A356" s="49">
        <f t="shared" si="3"/>
        <v>2022.11</v>
      </c>
      <c r="B356" s="1350">
        <v>68.900000000000006</v>
      </c>
      <c r="C356" s="1347">
        <v>68.2</v>
      </c>
      <c r="D356" s="311">
        <v>65.7</v>
      </c>
      <c r="E356" s="1347">
        <v>56.3</v>
      </c>
      <c r="F356" s="311">
        <v>73.400000000000006</v>
      </c>
      <c r="G356" s="1347">
        <v>59.2</v>
      </c>
      <c r="H356" s="311">
        <v>79</v>
      </c>
      <c r="I356" s="1347">
        <v>74.400000000000006</v>
      </c>
      <c r="J356" s="311">
        <v>56.6</v>
      </c>
      <c r="K356" s="1347">
        <v>80.7</v>
      </c>
      <c r="L356" s="311">
        <v>86.8</v>
      </c>
      <c r="M356" s="1347">
        <v>66.2</v>
      </c>
      <c r="N356" s="1136">
        <v>54.3</v>
      </c>
    </row>
    <row r="357" spans="1:14">
      <c r="A357" s="49">
        <f t="shared" si="3"/>
        <v>2022.12</v>
      </c>
      <c r="B357" s="1350">
        <v>63.8</v>
      </c>
      <c r="C357" s="1347">
        <v>63.9</v>
      </c>
      <c r="D357" s="311">
        <v>52.6</v>
      </c>
      <c r="E357" s="1347">
        <v>43.7</v>
      </c>
      <c r="F357" s="311">
        <v>67.599999999999994</v>
      </c>
      <c r="G357" s="1347">
        <v>51.6</v>
      </c>
      <c r="H357" s="311">
        <v>85.1</v>
      </c>
      <c r="I357" s="1347">
        <v>70.599999999999994</v>
      </c>
      <c r="J357" s="311">
        <v>47.2</v>
      </c>
      <c r="K357" s="1347">
        <v>69.8</v>
      </c>
      <c r="L357" s="311">
        <v>81.3</v>
      </c>
      <c r="M357" s="1347">
        <v>44.9</v>
      </c>
      <c r="N357" s="1136">
        <v>54.6</v>
      </c>
    </row>
    <row r="358" spans="1:14">
      <c r="A358" s="49">
        <f t="shared" si="3"/>
        <v>2023.01</v>
      </c>
      <c r="B358" s="1350">
        <v>62</v>
      </c>
      <c r="C358" s="1347">
        <v>60.4</v>
      </c>
      <c r="D358" s="311">
        <v>55.7</v>
      </c>
      <c r="E358" s="1347">
        <v>41</v>
      </c>
      <c r="F358" s="311">
        <v>76.400000000000006</v>
      </c>
      <c r="G358" s="1347">
        <v>57.9</v>
      </c>
      <c r="H358" s="311">
        <v>84.1</v>
      </c>
      <c r="I358" s="1347">
        <v>72.099999999999994</v>
      </c>
      <c r="J358" s="311">
        <v>52.2</v>
      </c>
      <c r="K358" s="1347">
        <v>68.3</v>
      </c>
      <c r="L358" s="311">
        <v>81.7</v>
      </c>
      <c r="M358" s="1347">
        <v>31</v>
      </c>
      <c r="N358" s="1136">
        <v>45.3</v>
      </c>
    </row>
    <row r="359" spans="1:14">
      <c r="A359" s="49">
        <f t="shared" si="3"/>
        <v>2023.02</v>
      </c>
      <c r="B359" s="1350">
        <v>65</v>
      </c>
      <c r="C359" s="1347">
        <v>59.3</v>
      </c>
      <c r="D359" s="311">
        <v>51.7</v>
      </c>
      <c r="E359" s="1347">
        <v>52.4</v>
      </c>
      <c r="F359" s="311">
        <v>77.2</v>
      </c>
      <c r="G359" s="1347">
        <v>59.6</v>
      </c>
      <c r="H359" s="311">
        <v>86</v>
      </c>
      <c r="I359" s="1347">
        <v>74.2</v>
      </c>
      <c r="J359" s="311">
        <v>53.7</v>
      </c>
      <c r="K359" s="1347">
        <v>74.400000000000006</v>
      </c>
      <c r="L359" s="311">
        <v>74.5</v>
      </c>
      <c r="M359" s="1347">
        <v>60.5</v>
      </c>
      <c r="N359" s="1136">
        <v>52.2</v>
      </c>
    </row>
    <row r="360" spans="1:14">
      <c r="A360" s="49">
        <f t="shared" si="3"/>
        <v>2023.03</v>
      </c>
      <c r="B360" s="1350">
        <v>67.3</v>
      </c>
      <c r="C360" s="1347">
        <v>61.3</v>
      </c>
      <c r="D360" s="311">
        <v>61.3</v>
      </c>
      <c r="E360" s="1347">
        <v>52.5</v>
      </c>
      <c r="F360" s="311">
        <v>76.900000000000006</v>
      </c>
      <c r="G360" s="1347">
        <v>62.5</v>
      </c>
      <c r="H360" s="311">
        <v>85.1</v>
      </c>
      <c r="I360" s="1347">
        <v>72.099999999999994</v>
      </c>
      <c r="J360" s="311">
        <v>58</v>
      </c>
      <c r="K360" s="1347">
        <v>76.3</v>
      </c>
      <c r="L360" s="311">
        <v>77.2</v>
      </c>
      <c r="M360" s="1347">
        <v>72.5</v>
      </c>
      <c r="N360" s="1136">
        <v>57.3</v>
      </c>
    </row>
    <row r="361" spans="1:14">
      <c r="A361" s="49">
        <f t="shared" si="3"/>
        <v>2023.04</v>
      </c>
      <c r="B361" s="1350">
        <v>68.900000000000006</v>
      </c>
      <c r="C361" s="1347">
        <v>62.7</v>
      </c>
      <c r="D361" s="311">
        <v>63.3</v>
      </c>
      <c r="E361" s="1347">
        <v>53.9</v>
      </c>
      <c r="F361" s="311">
        <v>74.599999999999994</v>
      </c>
      <c r="G361" s="1347">
        <v>60.6</v>
      </c>
      <c r="H361" s="311">
        <v>86.8</v>
      </c>
      <c r="I361" s="1347">
        <v>77</v>
      </c>
      <c r="J361" s="311">
        <v>56.8</v>
      </c>
      <c r="K361" s="1347">
        <v>72.3</v>
      </c>
      <c r="L361" s="311">
        <v>82</v>
      </c>
      <c r="M361" s="1347">
        <v>66.599999999999994</v>
      </c>
      <c r="N361" s="1136">
        <v>61</v>
      </c>
    </row>
    <row r="362" spans="1:14">
      <c r="A362" s="49">
        <f t="shared" si="3"/>
        <v>2023.05</v>
      </c>
      <c r="B362" s="1350">
        <v>67.8</v>
      </c>
      <c r="C362" s="1347">
        <v>64.599999999999994</v>
      </c>
      <c r="D362" s="311">
        <v>65.5</v>
      </c>
      <c r="E362" s="1347">
        <v>58</v>
      </c>
      <c r="F362" s="311">
        <v>78.7</v>
      </c>
      <c r="G362" s="1347">
        <v>58.1</v>
      </c>
      <c r="H362" s="311">
        <v>83.1</v>
      </c>
      <c r="I362" s="1347">
        <v>74.5</v>
      </c>
      <c r="J362" s="311">
        <v>55.9</v>
      </c>
      <c r="K362" s="1347">
        <v>72.7</v>
      </c>
      <c r="L362" s="311">
        <v>81.7</v>
      </c>
      <c r="M362" s="1347">
        <v>62.4</v>
      </c>
      <c r="N362" s="1136">
        <v>56.3</v>
      </c>
    </row>
    <row r="363" spans="1:14">
      <c r="A363" s="49">
        <f t="shared" si="3"/>
        <v>2023.06</v>
      </c>
      <c r="B363" s="1350">
        <v>68.599999999999994</v>
      </c>
      <c r="C363" s="1347">
        <v>64.2</v>
      </c>
      <c r="D363" s="311">
        <v>56.8</v>
      </c>
      <c r="E363" s="1347">
        <v>64.400000000000006</v>
      </c>
      <c r="F363" s="311">
        <v>77.400000000000006</v>
      </c>
      <c r="G363" s="1347">
        <v>61.2</v>
      </c>
      <c r="H363" s="311">
        <v>82.4</v>
      </c>
      <c r="I363" s="1347">
        <v>74.7</v>
      </c>
      <c r="J363" s="311">
        <v>55.4</v>
      </c>
      <c r="K363" s="1347">
        <v>74.400000000000006</v>
      </c>
      <c r="L363" s="311">
        <v>81</v>
      </c>
      <c r="M363" s="1347">
        <v>64.900000000000006</v>
      </c>
      <c r="N363" s="1136">
        <v>60.1</v>
      </c>
    </row>
    <row r="364" spans="1:14">
      <c r="A364" s="49">
        <f t="shared" si="3"/>
        <v>2023.07</v>
      </c>
      <c r="B364" s="1350">
        <v>65</v>
      </c>
      <c r="C364" s="1347">
        <v>61.3</v>
      </c>
      <c r="D364" s="311">
        <v>59.1</v>
      </c>
      <c r="E364" s="1347">
        <v>63.2</v>
      </c>
      <c r="F364" s="311">
        <v>77.400000000000006</v>
      </c>
      <c r="G364" s="1347">
        <v>60.2</v>
      </c>
      <c r="H364" s="311">
        <v>82.3</v>
      </c>
      <c r="I364" s="1347">
        <v>73.599999999999994</v>
      </c>
      <c r="J364" s="311">
        <v>55.4</v>
      </c>
      <c r="K364" s="1347">
        <v>71.7</v>
      </c>
      <c r="L364" s="311">
        <v>66.5</v>
      </c>
      <c r="M364" s="1347">
        <v>57.9</v>
      </c>
      <c r="N364" s="1136">
        <v>56.5</v>
      </c>
    </row>
    <row r="365" spans="1:14">
      <c r="A365" s="49">
        <f t="shared" si="3"/>
        <v>2023.08</v>
      </c>
      <c r="B365" s="1350">
        <v>67.900000000000006</v>
      </c>
      <c r="C365" s="1347">
        <v>64.5</v>
      </c>
      <c r="D365" s="311">
        <v>59.7</v>
      </c>
      <c r="E365" s="1347">
        <v>59.3</v>
      </c>
      <c r="F365" s="311">
        <v>79.8</v>
      </c>
      <c r="G365" s="1347">
        <v>60</v>
      </c>
      <c r="H365" s="311">
        <v>72.2</v>
      </c>
      <c r="I365" s="1347">
        <v>70.400000000000006</v>
      </c>
      <c r="J365" s="311">
        <v>57.1</v>
      </c>
      <c r="K365" s="1347">
        <v>77.8</v>
      </c>
      <c r="L365" s="311">
        <v>78.7</v>
      </c>
      <c r="M365" s="1347">
        <v>74.3</v>
      </c>
      <c r="N365" s="1136">
        <v>61.2</v>
      </c>
    </row>
    <row r="366" spans="1:14">
      <c r="A366" s="49">
        <f t="shared" si="3"/>
        <v>2023.09</v>
      </c>
      <c r="B366" s="1350">
        <v>67.900000000000006</v>
      </c>
      <c r="C366" s="1347">
        <v>62.4</v>
      </c>
      <c r="D366" s="311">
        <v>52.6</v>
      </c>
      <c r="E366" s="1347">
        <v>59.1</v>
      </c>
      <c r="F366" s="311">
        <v>77.400000000000006</v>
      </c>
      <c r="G366" s="1347">
        <v>62.4</v>
      </c>
      <c r="H366" s="311">
        <v>82</v>
      </c>
      <c r="I366" s="1347">
        <v>75.5</v>
      </c>
      <c r="J366" s="311">
        <v>60</v>
      </c>
      <c r="K366" s="1347">
        <v>76.3</v>
      </c>
      <c r="L366" s="311">
        <v>85</v>
      </c>
      <c r="M366" s="1347">
        <v>68.599999999999994</v>
      </c>
      <c r="N366" s="1136">
        <v>51</v>
      </c>
    </row>
    <row r="367" spans="1:14">
      <c r="A367" s="49">
        <f t="shared" si="3"/>
        <v>2023.1</v>
      </c>
      <c r="B367" s="1350">
        <v>65.3</v>
      </c>
      <c r="C367" s="1347">
        <v>59.6</v>
      </c>
      <c r="D367" s="311">
        <v>48.2</v>
      </c>
      <c r="E367" s="1347">
        <v>55.8</v>
      </c>
      <c r="F367" s="311">
        <v>76.400000000000006</v>
      </c>
      <c r="G367" s="1347">
        <v>56.4</v>
      </c>
      <c r="H367" s="311">
        <v>72.099999999999994</v>
      </c>
      <c r="I367" s="1347">
        <v>70.7</v>
      </c>
      <c r="J367" s="311">
        <v>57.8</v>
      </c>
      <c r="K367" s="1347">
        <v>72.900000000000006</v>
      </c>
      <c r="L367" s="311">
        <v>84.5</v>
      </c>
      <c r="M367" s="1347">
        <v>61</v>
      </c>
      <c r="N367" s="1136">
        <v>55.4</v>
      </c>
    </row>
    <row r="368" spans="1:14">
      <c r="A368" s="49">
        <f t="shared" si="3"/>
        <v>2023.11</v>
      </c>
      <c r="B368" s="1350">
        <v>66.400000000000006</v>
      </c>
      <c r="C368" s="1347">
        <v>65.2</v>
      </c>
      <c r="D368" s="311">
        <v>56.2</v>
      </c>
      <c r="E368" s="1347">
        <v>59.1</v>
      </c>
      <c r="F368" s="311">
        <v>72.7</v>
      </c>
      <c r="G368" s="1347">
        <v>54.8</v>
      </c>
      <c r="H368" s="311">
        <v>84.7</v>
      </c>
      <c r="I368" s="1347">
        <v>71.400000000000006</v>
      </c>
      <c r="J368" s="311">
        <v>56.8</v>
      </c>
      <c r="K368" s="1347">
        <v>74.3</v>
      </c>
      <c r="L368" s="311">
        <v>79.400000000000006</v>
      </c>
      <c r="M368" s="1347">
        <v>68.3</v>
      </c>
      <c r="N368" s="1136">
        <v>50.3</v>
      </c>
    </row>
    <row r="369" spans="1:14">
      <c r="A369" s="49">
        <f t="shared" si="3"/>
        <v>2023.12</v>
      </c>
      <c r="B369" s="1350">
        <v>54.9</v>
      </c>
      <c r="C369" s="1347">
        <v>57.4</v>
      </c>
      <c r="D369" s="311">
        <v>44</v>
      </c>
      <c r="E369" s="1347">
        <v>39.9</v>
      </c>
      <c r="F369" s="311">
        <v>67.3</v>
      </c>
      <c r="G369" s="1347">
        <v>44.2</v>
      </c>
      <c r="H369" s="311">
        <v>85</v>
      </c>
      <c r="I369" s="1347">
        <v>58.2</v>
      </c>
      <c r="J369" s="311">
        <v>46.5</v>
      </c>
      <c r="K369" s="1347">
        <v>60.8</v>
      </c>
      <c r="L369" s="311">
        <v>64.5</v>
      </c>
      <c r="M369" s="1347">
        <v>42.6</v>
      </c>
      <c r="N369" s="1136">
        <v>37.9</v>
      </c>
    </row>
    <row r="370" spans="1:14">
      <c r="A370" s="49">
        <f t="shared" ref="A370:A433" si="4">A358+1</f>
        <v>2024.01</v>
      </c>
      <c r="B370" s="1350">
        <v>54.6</v>
      </c>
      <c r="C370" s="1347">
        <v>57.7</v>
      </c>
      <c r="D370" s="311">
        <v>50.5</v>
      </c>
      <c r="E370" s="1347">
        <v>36.700000000000003</v>
      </c>
      <c r="F370" s="311">
        <v>69.8</v>
      </c>
      <c r="G370" s="1347">
        <v>53.9</v>
      </c>
      <c r="H370" s="311">
        <v>83.5</v>
      </c>
      <c r="I370" s="1347">
        <v>57.1</v>
      </c>
      <c r="J370" s="311">
        <v>43.5</v>
      </c>
      <c r="K370" s="1347">
        <v>57</v>
      </c>
      <c r="L370" s="311">
        <v>76.3</v>
      </c>
      <c r="M370" s="1347">
        <v>25.7</v>
      </c>
      <c r="N370" s="1136">
        <v>33.4</v>
      </c>
    </row>
    <row r="371" spans="1:14">
      <c r="A371" s="49">
        <f t="shared" si="4"/>
        <v>2024.02</v>
      </c>
      <c r="B371" s="1350">
        <v>57.6</v>
      </c>
      <c r="C371" s="1347">
        <v>58.1</v>
      </c>
      <c r="D371" s="311">
        <v>52.2</v>
      </c>
      <c r="E371" s="1347">
        <v>45.6</v>
      </c>
      <c r="F371" s="311">
        <v>75.400000000000006</v>
      </c>
      <c r="G371" s="1347">
        <v>51.3</v>
      </c>
      <c r="H371" s="311">
        <v>79.2</v>
      </c>
      <c r="I371" s="1347">
        <v>67.8</v>
      </c>
      <c r="J371" s="311">
        <v>45.9</v>
      </c>
      <c r="K371" s="1347">
        <v>59.6</v>
      </c>
      <c r="L371" s="311">
        <v>66.5</v>
      </c>
      <c r="M371" s="1347">
        <v>47.3</v>
      </c>
      <c r="N371" s="1136">
        <v>37.299999999999997</v>
      </c>
    </row>
    <row r="372" spans="1:14">
      <c r="A372" s="49">
        <f t="shared" si="4"/>
        <v>2024.03</v>
      </c>
      <c r="B372" s="1350" t="e">
        <v>#N/A</v>
      </c>
      <c r="C372" s="1347" t="e">
        <v>#N/A</v>
      </c>
      <c r="D372" s="311" t="e">
        <v>#N/A</v>
      </c>
      <c r="E372" s="1347" t="e">
        <v>#N/A</v>
      </c>
      <c r="F372" s="311" t="e">
        <v>#N/A</v>
      </c>
      <c r="G372" s="1347" t="e">
        <v>#N/A</v>
      </c>
      <c r="H372" s="311" t="e">
        <v>#N/A</v>
      </c>
      <c r="I372" s="1347" t="e">
        <v>#N/A</v>
      </c>
      <c r="J372" s="311" t="e">
        <v>#N/A</v>
      </c>
      <c r="K372" s="1347" t="e">
        <v>#N/A</v>
      </c>
      <c r="L372" s="311" t="e">
        <v>#N/A</v>
      </c>
      <c r="M372" s="1347" t="e">
        <v>#N/A</v>
      </c>
      <c r="N372" s="1136" t="e">
        <v>#N/A</v>
      </c>
    </row>
    <row r="373" spans="1:14">
      <c r="A373" s="49">
        <f t="shared" si="4"/>
        <v>2024.04</v>
      </c>
      <c r="B373" s="1350" t="e">
        <v>#N/A</v>
      </c>
      <c r="C373" s="1347" t="e">
        <v>#N/A</v>
      </c>
      <c r="D373" s="311" t="e">
        <v>#N/A</v>
      </c>
      <c r="E373" s="1347" t="e">
        <v>#N/A</v>
      </c>
      <c r="F373" s="311" t="e">
        <v>#N/A</v>
      </c>
      <c r="G373" s="1347" t="e">
        <v>#N/A</v>
      </c>
      <c r="H373" s="311" t="e">
        <v>#N/A</v>
      </c>
      <c r="I373" s="1347" t="e">
        <v>#N/A</v>
      </c>
      <c r="J373" s="311" t="e">
        <v>#N/A</v>
      </c>
      <c r="K373" s="1347" t="e">
        <v>#N/A</v>
      </c>
      <c r="L373" s="311" t="e">
        <v>#N/A</v>
      </c>
      <c r="M373" s="1347" t="e">
        <v>#N/A</v>
      </c>
      <c r="N373" s="1136" t="e">
        <v>#N/A</v>
      </c>
    </row>
    <row r="374" spans="1:14">
      <c r="A374" s="49">
        <f t="shared" si="4"/>
        <v>2024.05</v>
      </c>
      <c r="B374" s="1350" t="e">
        <v>#N/A</v>
      </c>
      <c r="C374" s="1347" t="e">
        <v>#N/A</v>
      </c>
      <c r="D374" s="311" t="e">
        <v>#N/A</v>
      </c>
      <c r="E374" s="1347" t="e">
        <v>#N/A</v>
      </c>
      <c r="F374" s="311" t="e">
        <v>#N/A</v>
      </c>
      <c r="G374" s="1347" t="e">
        <v>#N/A</v>
      </c>
      <c r="H374" s="311" t="e">
        <v>#N/A</v>
      </c>
      <c r="I374" s="1347" t="e">
        <v>#N/A</v>
      </c>
      <c r="J374" s="311" t="e">
        <v>#N/A</v>
      </c>
      <c r="K374" s="1347" t="e">
        <v>#N/A</v>
      </c>
      <c r="L374" s="311" t="e">
        <v>#N/A</v>
      </c>
      <c r="M374" s="1347" t="e">
        <v>#N/A</v>
      </c>
      <c r="N374" s="1136" t="e">
        <v>#N/A</v>
      </c>
    </row>
    <row r="375" spans="1:14">
      <c r="A375" s="49">
        <f t="shared" si="4"/>
        <v>2024.06</v>
      </c>
      <c r="B375" s="1350" t="e">
        <v>#N/A</v>
      </c>
      <c r="C375" s="1347" t="e">
        <v>#N/A</v>
      </c>
      <c r="D375" s="311" t="e">
        <v>#N/A</v>
      </c>
      <c r="E375" s="1347" t="e">
        <v>#N/A</v>
      </c>
      <c r="F375" s="311" t="e">
        <v>#N/A</v>
      </c>
      <c r="G375" s="1347" t="e">
        <v>#N/A</v>
      </c>
      <c r="H375" s="311" t="e">
        <v>#N/A</v>
      </c>
      <c r="I375" s="1347" t="e">
        <v>#N/A</v>
      </c>
      <c r="J375" s="311" t="e">
        <v>#N/A</v>
      </c>
      <c r="K375" s="1347" t="e">
        <v>#N/A</v>
      </c>
      <c r="L375" s="311" t="e">
        <v>#N/A</v>
      </c>
      <c r="M375" s="1347" t="e">
        <v>#N/A</v>
      </c>
      <c r="N375" s="1136" t="e">
        <v>#N/A</v>
      </c>
    </row>
    <row r="376" spans="1:14">
      <c r="A376" s="49">
        <f t="shared" si="4"/>
        <v>2024.07</v>
      </c>
      <c r="B376" s="1350" t="e">
        <v>#N/A</v>
      </c>
      <c r="C376" s="1347" t="e">
        <v>#N/A</v>
      </c>
      <c r="D376" s="311" t="e">
        <v>#N/A</v>
      </c>
      <c r="E376" s="1347" t="e">
        <v>#N/A</v>
      </c>
      <c r="F376" s="311" t="e">
        <v>#N/A</v>
      </c>
      <c r="G376" s="1347" t="e">
        <v>#N/A</v>
      </c>
      <c r="H376" s="311" t="e">
        <v>#N/A</v>
      </c>
      <c r="I376" s="1347" t="e">
        <v>#N/A</v>
      </c>
      <c r="J376" s="311" t="e">
        <v>#N/A</v>
      </c>
      <c r="K376" s="1347" t="e">
        <v>#N/A</v>
      </c>
      <c r="L376" s="311" t="e">
        <v>#N/A</v>
      </c>
      <c r="M376" s="1347" t="e">
        <v>#N/A</v>
      </c>
      <c r="N376" s="1136" t="e">
        <v>#N/A</v>
      </c>
    </row>
    <row r="377" spans="1:14">
      <c r="A377" s="49">
        <f t="shared" si="4"/>
        <v>2024.08</v>
      </c>
      <c r="B377" s="1350" t="e">
        <v>#N/A</v>
      </c>
      <c r="C377" s="1347" t="e">
        <v>#N/A</v>
      </c>
      <c r="D377" s="311" t="e">
        <v>#N/A</v>
      </c>
      <c r="E377" s="1347" t="e">
        <v>#N/A</v>
      </c>
      <c r="F377" s="311" t="e">
        <v>#N/A</v>
      </c>
      <c r="G377" s="1347" t="e">
        <v>#N/A</v>
      </c>
      <c r="H377" s="311" t="e">
        <v>#N/A</v>
      </c>
      <c r="I377" s="1347" t="e">
        <v>#N/A</v>
      </c>
      <c r="J377" s="311" t="e">
        <v>#N/A</v>
      </c>
      <c r="K377" s="1347" t="e">
        <v>#N/A</v>
      </c>
      <c r="L377" s="311" t="e">
        <v>#N/A</v>
      </c>
      <c r="M377" s="1347" t="e">
        <v>#N/A</v>
      </c>
      <c r="N377" s="1136" t="e">
        <v>#N/A</v>
      </c>
    </row>
    <row r="378" spans="1:14">
      <c r="A378" s="49">
        <f t="shared" si="4"/>
        <v>2024.09</v>
      </c>
      <c r="B378" s="1350" t="e">
        <v>#N/A</v>
      </c>
      <c r="C378" s="1347" t="e">
        <v>#N/A</v>
      </c>
      <c r="D378" s="311" t="e">
        <v>#N/A</v>
      </c>
      <c r="E378" s="1347" t="e">
        <v>#N/A</v>
      </c>
      <c r="F378" s="311" t="e">
        <v>#N/A</v>
      </c>
      <c r="G378" s="1347" t="e">
        <v>#N/A</v>
      </c>
      <c r="H378" s="311" t="e">
        <v>#N/A</v>
      </c>
      <c r="I378" s="1347" t="e">
        <v>#N/A</v>
      </c>
      <c r="J378" s="311" t="e">
        <v>#N/A</v>
      </c>
      <c r="K378" s="1347" t="e">
        <v>#N/A</v>
      </c>
      <c r="L378" s="311" t="e">
        <v>#N/A</v>
      </c>
      <c r="M378" s="1347" t="e">
        <v>#N/A</v>
      </c>
      <c r="N378" s="1136" t="e">
        <v>#N/A</v>
      </c>
    </row>
    <row r="379" spans="1:14">
      <c r="A379" s="49">
        <f t="shared" si="4"/>
        <v>2024.1</v>
      </c>
      <c r="B379" s="1350" t="e">
        <v>#N/A</v>
      </c>
      <c r="C379" s="1347" t="e">
        <v>#N/A</v>
      </c>
      <c r="D379" s="311" t="e">
        <v>#N/A</v>
      </c>
      <c r="E379" s="1347" t="e">
        <v>#N/A</v>
      </c>
      <c r="F379" s="311" t="e">
        <v>#N/A</v>
      </c>
      <c r="G379" s="1347" t="e">
        <v>#N/A</v>
      </c>
      <c r="H379" s="311" t="e">
        <v>#N/A</v>
      </c>
      <c r="I379" s="1347" t="e">
        <v>#N/A</v>
      </c>
      <c r="J379" s="311" t="e">
        <v>#N/A</v>
      </c>
      <c r="K379" s="1347" t="e">
        <v>#N/A</v>
      </c>
      <c r="L379" s="311" t="e">
        <v>#N/A</v>
      </c>
      <c r="M379" s="1347" t="e">
        <v>#N/A</v>
      </c>
      <c r="N379" s="1136" t="e">
        <v>#N/A</v>
      </c>
    </row>
    <row r="380" spans="1:14">
      <c r="A380" s="49">
        <f t="shared" si="4"/>
        <v>2024.11</v>
      </c>
      <c r="B380" s="1350" t="e">
        <v>#N/A</v>
      </c>
      <c r="C380" s="1347" t="e">
        <v>#N/A</v>
      </c>
      <c r="D380" s="311" t="e">
        <v>#N/A</v>
      </c>
      <c r="E380" s="1347" t="e">
        <v>#N/A</v>
      </c>
      <c r="F380" s="311" t="e">
        <v>#N/A</v>
      </c>
      <c r="G380" s="1347" t="e">
        <v>#N/A</v>
      </c>
      <c r="H380" s="311" t="e">
        <v>#N/A</v>
      </c>
      <c r="I380" s="1347" t="e">
        <v>#N/A</v>
      </c>
      <c r="J380" s="311" t="e">
        <v>#N/A</v>
      </c>
      <c r="K380" s="1347" t="e">
        <v>#N/A</v>
      </c>
      <c r="L380" s="311" t="e">
        <v>#N/A</v>
      </c>
      <c r="M380" s="1347" t="e">
        <v>#N/A</v>
      </c>
      <c r="N380" s="1136" t="e">
        <v>#N/A</v>
      </c>
    </row>
    <row r="381" spans="1:14">
      <c r="A381" s="49">
        <f t="shared" si="4"/>
        <v>2024.12</v>
      </c>
      <c r="B381" s="1350" t="e">
        <v>#N/A</v>
      </c>
      <c r="C381" s="1347" t="e">
        <v>#N/A</v>
      </c>
      <c r="D381" s="311" t="e">
        <v>#N/A</v>
      </c>
      <c r="E381" s="1347" t="e">
        <v>#N/A</v>
      </c>
      <c r="F381" s="311" t="e">
        <v>#N/A</v>
      </c>
      <c r="G381" s="1347" t="e">
        <v>#N/A</v>
      </c>
      <c r="H381" s="311" t="e">
        <v>#N/A</v>
      </c>
      <c r="I381" s="1347" t="e">
        <v>#N/A</v>
      </c>
      <c r="J381" s="311" t="e">
        <v>#N/A</v>
      </c>
      <c r="K381" s="1347" t="e">
        <v>#N/A</v>
      </c>
      <c r="L381" s="311" t="e">
        <v>#N/A</v>
      </c>
      <c r="M381" s="1347" t="e">
        <v>#N/A</v>
      </c>
      <c r="N381" s="1136" t="e">
        <v>#N/A</v>
      </c>
    </row>
    <row r="382" spans="1:14">
      <c r="A382" s="49">
        <f t="shared" si="4"/>
        <v>2025.01</v>
      </c>
      <c r="B382" s="1350" t="e">
        <v>#N/A</v>
      </c>
      <c r="C382" s="1347" t="e">
        <v>#N/A</v>
      </c>
      <c r="D382" s="311" t="e">
        <v>#N/A</v>
      </c>
      <c r="E382" s="1347" t="e">
        <v>#N/A</v>
      </c>
      <c r="F382" s="311" t="e">
        <v>#N/A</v>
      </c>
      <c r="G382" s="1347" t="e">
        <v>#N/A</v>
      </c>
      <c r="H382" s="311" t="e">
        <v>#N/A</v>
      </c>
      <c r="I382" s="1347" t="e">
        <v>#N/A</v>
      </c>
      <c r="J382" s="311" t="e">
        <v>#N/A</v>
      </c>
      <c r="K382" s="1347" t="e">
        <v>#N/A</v>
      </c>
      <c r="L382" s="311" t="e">
        <v>#N/A</v>
      </c>
      <c r="M382" s="1347" t="e">
        <v>#N/A</v>
      </c>
      <c r="N382" s="1136" t="e">
        <v>#N/A</v>
      </c>
    </row>
    <row r="383" spans="1:14">
      <c r="A383" s="49">
        <f t="shared" si="4"/>
        <v>2025.02</v>
      </c>
      <c r="B383" s="1350" t="e">
        <v>#N/A</v>
      </c>
      <c r="C383" s="1347" t="e">
        <v>#N/A</v>
      </c>
      <c r="D383" s="311" t="e">
        <v>#N/A</v>
      </c>
      <c r="E383" s="1347" t="e">
        <v>#N/A</v>
      </c>
      <c r="F383" s="311" t="e">
        <v>#N/A</v>
      </c>
      <c r="G383" s="1347" t="e">
        <v>#N/A</v>
      </c>
      <c r="H383" s="311" t="e">
        <v>#N/A</v>
      </c>
      <c r="I383" s="1347" t="e">
        <v>#N/A</v>
      </c>
      <c r="J383" s="311" t="e">
        <v>#N/A</v>
      </c>
      <c r="K383" s="1347" t="e">
        <v>#N/A</v>
      </c>
      <c r="L383" s="311" t="e">
        <v>#N/A</v>
      </c>
      <c r="M383" s="1347" t="e">
        <v>#N/A</v>
      </c>
      <c r="N383" s="1136" t="e">
        <v>#N/A</v>
      </c>
    </row>
    <row r="384" spans="1:14">
      <c r="A384" s="49">
        <f t="shared" si="4"/>
        <v>2025.03</v>
      </c>
      <c r="B384" s="1350" t="e">
        <v>#N/A</v>
      </c>
      <c r="C384" s="1347" t="e">
        <v>#N/A</v>
      </c>
      <c r="D384" s="311" t="e">
        <v>#N/A</v>
      </c>
      <c r="E384" s="1347" t="e">
        <v>#N/A</v>
      </c>
      <c r="F384" s="311" t="e">
        <v>#N/A</v>
      </c>
      <c r="G384" s="1347" t="e">
        <v>#N/A</v>
      </c>
      <c r="H384" s="311" t="e">
        <v>#N/A</v>
      </c>
      <c r="I384" s="1347" t="e">
        <v>#N/A</v>
      </c>
      <c r="J384" s="311" t="e">
        <v>#N/A</v>
      </c>
      <c r="K384" s="1347" t="e">
        <v>#N/A</v>
      </c>
      <c r="L384" s="311" t="e">
        <v>#N/A</v>
      </c>
      <c r="M384" s="1347" t="e">
        <v>#N/A</v>
      </c>
      <c r="N384" s="1136" t="e">
        <v>#N/A</v>
      </c>
    </row>
    <row r="385" spans="1:14">
      <c r="A385" s="49">
        <f t="shared" si="4"/>
        <v>2025.04</v>
      </c>
      <c r="B385" s="1350" t="e">
        <v>#N/A</v>
      </c>
      <c r="C385" s="1347" t="e">
        <v>#N/A</v>
      </c>
      <c r="D385" s="311" t="e">
        <v>#N/A</v>
      </c>
      <c r="E385" s="1347" t="e">
        <v>#N/A</v>
      </c>
      <c r="F385" s="311" t="e">
        <v>#N/A</v>
      </c>
      <c r="G385" s="1347" t="e">
        <v>#N/A</v>
      </c>
      <c r="H385" s="311" t="e">
        <v>#N/A</v>
      </c>
      <c r="I385" s="1347" t="e">
        <v>#N/A</v>
      </c>
      <c r="J385" s="311" t="e">
        <v>#N/A</v>
      </c>
      <c r="K385" s="1347" t="e">
        <v>#N/A</v>
      </c>
      <c r="L385" s="311" t="e">
        <v>#N/A</v>
      </c>
      <c r="M385" s="1347" t="e">
        <v>#N/A</v>
      </c>
      <c r="N385" s="1136" t="e">
        <v>#N/A</v>
      </c>
    </row>
    <row r="386" spans="1:14">
      <c r="A386" s="49">
        <f t="shared" si="4"/>
        <v>2025.05</v>
      </c>
      <c r="B386" s="1350" t="e">
        <v>#N/A</v>
      </c>
      <c r="C386" s="1347" t="e">
        <v>#N/A</v>
      </c>
      <c r="D386" s="311" t="e">
        <v>#N/A</v>
      </c>
      <c r="E386" s="1347" t="e">
        <v>#N/A</v>
      </c>
      <c r="F386" s="311" t="e">
        <v>#N/A</v>
      </c>
      <c r="G386" s="1347" t="e">
        <v>#N/A</v>
      </c>
      <c r="H386" s="311" t="e">
        <v>#N/A</v>
      </c>
      <c r="I386" s="1347" t="e">
        <v>#N/A</v>
      </c>
      <c r="J386" s="311" t="e">
        <v>#N/A</v>
      </c>
      <c r="K386" s="1347" t="e">
        <v>#N/A</v>
      </c>
      <c r="L386" s="311" t="e">
        <v>#N/A</v>
      </c>
      <c r="M386" s="1347" t="e">
        <v>#N/A</v>
      </c>
      <c r="N386" s="1136" t="e">
        <v>#N/A</v>
      </c>
    </row>
    <row r="387" spans="1:14">
      <c r="A387" s="49">
        <f t="shared" si="4"/>
        <v>2025.06</v>
      </c>
      <c r="B387" s="1350" t="e">
        <v>#N/A</v>
      </c>
      <c r="C387" s="1347" t="e">
        <v>#N/A</v>
      </c>
      <c r="D387" s="311" t="e">
        <v>#N/A</v>
      </c>
      <c r="E387" s="1347" t="e">
        <v>#N/A</v>
      </c>
      <c r="F387" s="311" t="e">
        <v>#N/A</v>
      </c>
      <c r="G387" s="1347" t="e">
        <v>#N/A</v>
      </c>
      <c r="H387" s="311" t="e">
        <v>#N/A</v>
      </c>
      <c r="I387" s="1347" t="e">
        <v>#N/A</v>
      </c>
      <c r="J387" s="311" t="e">
        <v>#N/A</v>
      </c>
      <c r="K387" s="1347" t="e">
        <v>#N/A</v>
      </c>
      <c r="L387" s="311" t="e">
        <v>#N/A</v>
      </c>
      <c r="M387" s="1347" t="e">
        <v>#N/A</v>
      </c>
      <c r="N387" s="1136" t="e">
        <v>#N/A</v>
      </c>
    </row>
    <row r="388" spans="1:14">
      <c r="A388" s="49">
        <f t="shared" si="4"/>
        <v>2025.07</v>
      </c>
      <c r="B388" s="1350" t="e">
        <v>#N/A</v>
      </c>
      <c r="C388" s="1347" t="e">
        <v>#N/A</v>
      </c>
      <c r="D388" s="311" t="e">
        <v>#N/A</v>
      </c>
      <c r="E388" s="1347" t="e">
        <v>#N/A</v>
      </c>
      <c r="F388" s="311" t="e">
        <v>#N/A</v>
      </c>
      <c r="G388" s="1347" t="e">
        <v>#N/A</v>
      </c>
      <c r="H388" s="311" t="e">
        <v>#N/A</v>
      </c>
      <c r="I388" s="1347" t="e">
        <v>#N/A</v>
      </c>
      <c r="J388" s="311" t="e">
        <v>#N/A</v>
      </c>
      <c r="K388" s="1347" t="e">
        <v>#N/A</v>
      </c>
      <c r="L388" s="311" t="e">
        <v>#N/A</v>
      </c>
      <c r="M388" s="1347" t="e">
        <v>#N/A</v>
      </c>
      <c r="N388" s="1136" t="e">
        <v>#N/A</v>
      </c>
    </row>
    <row r="389" spans="1:14">
      <c r="A389" s="49">
        <f t="shared" si="4"/>
        <v>2025.08</v>
      </c>
      <c r="B389" s="1350" t="e">
        <v>#N/A</v>
      </c>
      <c r="C389" s="1347" t="e">
        <v>#N/A</v>
      </c>
      <c r="D389" s="311" t="e">
        <v>#N/A</v>
      </c>
      <c r="E389" s="1347" t="e">
        <v>#N/A</v>
      </c>
      <c r="F389" s="311" t="e">
        <v>#N/A</v>
      </c>
      <c r="G389" s="1347" t="e">
        <v>#N/A</v>
      </c>
      <c r="H389" s="311" t="e">
        <v>#N/A</v>
      </c>
      <c r="I389" s="1347" t="e">
        <v>#N/A</v>
      </c>
      <c r="J389" s="311" t="e">
        <v>#N/A</v>
      </c>
      <c r="K389" s="1347" t="e">
        <v>#N/A</v>
      </c>
      <c r="L389" s="311" t="e">
        <v>#N/A</v>
      </c>
      <c r="M389" s="1347" t="e">
        <v>#N/A</v>
      </c>
      <c r="N389" s="1136" t="e">
        <v>#N/A</v>
      </c>
    </row>
    <row r="390" spans="1:14">
      <c r="A390" s="49">
        <f t="shared" si="4"/>
        <v>2025.09</v>
      </c>
      <c r="B390" s="1350" t="e">
        <v>#N/A</v>
      </c>
      <c r="C390" s="1347" t="e">
        <v>#N/A</v>
      </c>
      <c r="D390" s="311" t="e">
        <v>#N/A</v>
      </c>
      <c r="E390" s="1347" t="e">
        <v>#N/A</v>
      </c>
      <c r="F390" s="311" t="e">
        <v>#N/A</v>
      </c>
      <c r="G390" s="1347" t="e">
        <v>#N/A</v>
      </c>
      <c r="H390" s="311" t="e">
        <v>#N/A</v>
      </c>
      <c r="I390" s="1347" t="e">
        <v>#N/A</v>
      </c>
      <c r="J390" s="311" t="e">
        <v>#N/A</v>
      </c>
      <c r="K390" s="1347" t="e">
        <v>#N/A</v>
      </c>
      <c r="L390" s="311" t="e">
        <v>#N/A</v>
      </c>
      <c r="M390" s="1347" t="e">
        <v>#N/A</v>
      </c>
      <c r="N390" s="1136" t="e">
        <v>#N/A</v>
      </c>
    </row>
    <row r="391" spans="1:14">
      <c r="A391" s="49">
        <f t="shared" si="4"/>
        <v>2025.1</v>
      </c>
      <c r="B391" s="1350" t="e">
        <v>#N/A</v>
      </c>
      <c r="C391" s="1347" t="e">
        <v>#N/A</v>
      </c>
      <c r="D391" s="311" t="e">
        <v>#N/A</v>
      </c>
      <c r="E391" s="1347" t="e">
        <v>#N/A</v>
      </c>
      <c r="F391" s="311" t="e">
        <v>#N/A</v>
      </c>
      <c r="G391" s="1347" t="e">
        <v>#N/A</v>
      </c>
      <c r="H391" s="311" t="e">
        <v>#N/A</v>
      </c>
      <c r="I391" s="1347" t="e">
        <v>#N/A</v>
      </c>
      <c r="J391" s="311" t="e">
        <v>#N/A</v>
      </c>
      <c r="K391" s="1347" t="e">
        <v>#N/A</v>
      </c>
      <c r="L391" s="311" t="e">
        <v>#N/A</v>
      </c>
      <c r="M391" s="1347" t="e">
        <v>#N/A</v>
      </c>
      <c r="N391" s="1136" t="e">
        <v>#N/A</v>
      </c>
    </row>
    <row r="392" spans="1:14">
      <c r="A392" s="49">
        <f t="shared" si="4"/>
        <v>2025.11</v>
      </c>
      <c r="B392" s="1350" t="e">
        <v>#N/A</v>
      </c>
      <c r="C392" s="1347" t="e">
        <v>#N/A</v>
      </c>
      <c r="D392" s="311" t="e">
        <v>#N/A</v>
      </c>
      <c r="E392" s="1347" t="e">
        <v>#N/A</v>
      </c>
      <c r="F392" s="311" t="e">
        <v>#N/A</v>
      </c>
      <c r="G392" s="1347" t="e">
        <v>#N/A</v>
      </c>
      <c r="H392" s="311" t="e">
        <v>#N/A</v>
      </c>
      <c r="I392" s="1347" t="e">
        <v>#N/A</v>
      </c>
      <c r="J392" s="311" t="e">
        <v>#N/A</v>
      </c>
      <c r="K392" s="1347" t="e">
        <v>#N/A</v>
      </c>
      <c r="L392" s="311" t="e">
        <v>#N/A</v>
      </c>
      <c r="M392" s="1347" t="e">
        <v>#N/A</v>
      </c>
      <c r="N392" s="1136" t="e">
        <v>#N/A</v>
      </c>
    </row>
    <row r="393" spans="1:14">
      <c r="A393" s="49">
        <f t="shared" si="4"/>
        <v>2025.12</v>
      </c>
      <c r="B393" s="1350" t="e">
        <v>#N/A</v>
      </c>
      <c r="C393" s="1347" t="e">
        <v>#N/A</v>
      </c>
      <c r="D393" s="311" t="e">
        <v>#N/A</v>
      </c>
      <c r="E393" s="1347" t="e">
        <v>#N/A</v>
      </c>
      <c r="F393" s="311" t="e">
        <v>#N/A</v>
      </c>
      <c r="G393" s="1347" t="e">
        <v>#N/A</v>
      </c>
      <c r="H393" s="311" t="e">
        <v>#N/A</v>
      </c>
      <c r="I393" s="1347" t="e">
        <v>#N/A</v>
      </c>
      <c r="J393" s="311" t="e">
        <v>#N/A</v>
      </c>
      <c r="K393" s="1347" t="e">
        <v>#N/A</v>
      </c>
      <c r="L393" s="311" t="e">
        <v>#N/A</v>
      </c>
      <c r="M393" s="1347" t="e">
        <v>#N/A</v>
      </c>
      <c r="N393" s="1136" t="e">
        <v>#N/A</v>
      </c>
    </row>
    <row r="394" spans="1:14">
      <c r="A394" s="49">
        <f t="shared" si="4"/>
        <v>2026.01</v>
      </c>
      <c r="B394" s="1350" t="e">
        <v>#N/A</v>
      </c>
      <c r="C394" s="1347" t="e">
        <v>#N/A</v>
      </c>
      <c r="D394" s="311" t="e">
        <v>#N/A</v>
      </c>
      <c r="E394" s="1347" t="e">
        <v>#N/A</v>
      </c>
      <c r="F394" s="311" t="e">
        <v>#N/A</v>
      </c>
      <c r="G394" s="1347" t="e">
        <v>#N/A</v>
      </c>
      <c r="H394" s="311" t="e">
        <v>#N/A</v>
      </c>
      <c r="I394" s="1347" t="e">
        <v>#N/A</v>
      </c>
      <c r="J394" s="311" t="e">
        <v>#N/A</v>
      </c>
      <c r="K394" s="1347" t="e">
        <v>#N/A</v>
      </c>
      <c r="L394" s="311" t="e">
        <v>#N/A</v>
      </c>
      <c r="M394" s="1347" t="e">
        <v>#N/A</v>
      </c>
      <c r="N394" s="1136" t="e">
        <v>#N/A</v>
      </c>
    </row>
    <row r="395" spans="1:14">
      <c r="A395" s="49">
        <f t="shared" si="4"/>
        <v>2026.02</v>
      </c>
      <c r="B395" s="1350" t="e">
        <v>#N/A</v>
      </c>
      <c r="C395" s="1347" t="e">
        <v>#N/A</v>
      </c>
      <c r="D395" s="311" t="e">
        <v>#N/A</v>
      </c>
      <c r="E395" s="1347" t="e">
        <v>#N/A</v>
      </c>
      <c r="F395" s="311" t="e">
        <v>#N/A</v>
      </c>
      <c r="G395" s="1347" t="e">
        <v>#N/A</v>
      </c>
      <c r="H395" s="311" t="e">
        <v>#N/A</v>
      </c>
      <c r="I395" s="1347" t="e">
        <v>#N/A</v>
      </c>
      <c r="J395" s="311" t="e">
        <v>#N/A</v>
      </c>
      <c r="K395" s="1347" t="e">
        <v>#N/A</v>
      </c>
      <c r="L395" s="311" t="e">
        <v>#N/A</v>
      </c>
      <c r="M395" s="1347" t="e">
        <v>#N/A</v>
      </c>
      <c r="N395" s="1136" t="e">
        <v>#N/A</v>
      </c>
    </row>
    <row r="396" spans="1:14">
      <c r="A396" s="49">
        <f t="shared" si="4"/>
        <v>2026.03</v>
      </c>
      <c r="B396" s="1350" t="e">
        <v>#N/A</v>
      </c>
      <c r="C396" s="1347" t="e">
        <v>#N/A</v>
      </c>
      <c r="D396" s="311" t="e">
        <v>#N/A</v>
      </c>
      <c r="E396" s="1347" t="e">
        <v>#N/A</v>
      </c>
      <c r="F396" s="311" t="e">
        <v>#N/A</v>
      </c>
      <c r="G396" s="1347" t="e">
        <v>#N/A</v>
      </c>
      <c r="H396" s="311" t="e">
        <v>#N/A</v>
      </c>
      <c r="I396" s="1347" t="e">
        <v>#N/A</v>
      </c>
      <c r="J396" s="311" t="e">
        <v>#N/A</v>
      </c>
      <c r="K396" s="1347" t="e">
        <v>#N/A</v>
      </c>
      <c r="L396" s="311" t="e">
        <v>#N/A</v>
      </c>
      <c r="M396" s="1347" t="e">
        <v>#N/A</v>
      </c>
      <c r="N396" s="1136" t="e">
        <v>#N/A</v>
      </c>
    </row>
    <row r="397" spans="1:14">
      <c r="A397" s="49">
        <f t="shared" si="4"/>
        <v>2026.04</v>
      </c>
      <c r="B397" s="1350" t="e">
        <v>#N/A</v>
      </c>
      <c r="C397" s="1347" t="e">
        <v>#N/A</v>
      </c>
      <c r="D397" s="311" t="e">
        <v>#N/A</v>
      </c>
      <c r="E397" s="1347" t="e">
        <v>#N/A</v>
      </c>
      <c r="F397" s="311" t="e">
        <v>#N/A</v>
      </c>
      <c r="G397" s="1347" t="e">
        <v>#N/A</v>
      </c>
      <c r="H397" s="311" t="e">
        <v>#N/A</v>
      </c>
      <c r="I397" s="1347" t="e">
        <v>#N/A</v>
      </c>
      <c r="J397" s="311" t="e">
        <v>#N/A</v>
      </c>
      <c r="K397" s="1347" t="e">
        <v>#N/A</v>
      </c>
      <c r="L397" s="311" t="e">
        <v>#N/A</v>
      </c>
      <c r="M397" s="1347" t="e">
        <v>#N/A</v>
      </c>
      <c r="N397" s="1136" t="e">
        <v>#N/A</v>
      </c>
    </row>
    <row r="398" spans="1:14">
      <c r="A398" s="49">
        <f t="shared" si="4"/>
        <v>2026.05</v>
      </c>
      <c r="B398" s="1350" t="e">
        <v>#N/A</v>
      </c>
      <c r="C398" s="1347" t="e">
        <v>#N/A</v>
      </c>
      <c r="D398" s="311" t="e">
        <v>#N/A</v>
      </c>
      <c r="E398" s="1347" t="e">
        <v>#N/A</v>
      </c>
      <c r="F398" s="311" t="e">
        <v>#N/A</v>
      </c>
      <c r="G398" s="1347" t="e">
        <v>#N/A</v>
      </c>
      <c r="H398" s="311" t="e">
        <v>#N/A</v>
      </c>
      <c r="I398" s="1347" t="e">
        <v>#N/A</v>
      </c>
      <c r="J398" s="311" t="e">
        <v>#N/A</v>
      </c>
      <c r="K398" s="1347" t="e">
        <v>#N/A</v>
      </c>
      <c r="L398" s="311" t="e">
        <v>#N/A</v>
      </c>
      <c r="M398" s="1347" t="e">
        <v>#N/A</v>
      </c>
      <c r="N398" s="1136" t="e">
        <v>#N/A</v>
      </c>
    </row>
    <row r="399" spans="1:14">
      <c r="A399" s="49">
        <f t="shared" si="4"/>
        <v>2026.06</v>
      </c>
      <c r="B399" s="1350" t="e">
        <v>#N/A</v>
      </c>
      <c r="C399" s="1347" t="e">
        <v>#N/A</v>
      </c>
      <c r="D399" s="311" t="e">
        <v>#N/A</v>
      </c>
      <c r="E399" s="1347" t="e">
        <v>#N/A</v>
      </c>
      <c r="F399" s="311" t="e">
        <v>#N/A</v>
      </c>
      <c r="G399" s="1347" t="e">
        <v>#N/A</v>
      </c>
      <c r="H399" s="311" t="e">
        <v>#N/A</v>
      </c>
      <c r="I399" s="1347" t="e">
        <v>#N/A</v>
      </c>
      <c r="J399" s="311" t="e">
        <v>#N/A</v>
      </c>
      <c r="K399" s="1347" t="e">
        <v>#N/A</v>
      </c>
      <c r="L399" s="311" t="e">
        <v>#N/A</v>
      </c>
      <c r="M399" s="1347" t="e">
        <v>#N/A</v>
      </c>
      <c r="N399" s="1136" t="e">
        <v>#N/A</v>
      </c>
    </row>
    <row r="400" spans="1:14">
      <c r="A400" s="49">
        <f t="shared" si="4"/>
        <v>2026.07</v>
      </c>
      <c r="B400" s="1350" t="e">
        <v>#N/A</v>
      </c>
      <c r="C400" s="1347" t="e">
        <v>#N/A</v>
      </c>
      <c r="D400" s="311" t="e">
        <v>#N/A</v>
      </c>
      <c r="E400" s="1347" t="e">
        <v>#N/A</v>
      </c>
      <c r="F400" s="311" t="e">
        <v>#N/A</v>
      </c>
      <c r="G400" s="1347" t="e">
        <v>#N/A</v>
      </c>
      <c r="H400" s="311" t="e">
        <v>#N/A</v>
      </c>
      <c r="I400" s="1347" t="e">
        <v>#N/A</v>
      </c>
      <c r="J400" s="311" t="e">
        <v>#N/A</v>
      </c>
      <c r="K400" s="1347" t="e">
        <v>#N/A</v>
      </c>
      <c r="L400" s="311" t="e">
        <v>#N/A</v>
      </c>
      <c r="M400" s="1347" t="e">
        <v>#N/A</v>
      </c>
      <c r="N400" s="1136" t="e">
        <v>#N/A</v>
      </c>
    </row>
    <row r="401" spans="1:14">
      <c r="A401" s="49">
        <f t="shared" si="4"/>
        <v>2026.08</v>
      </c>
      <c r="B401" s="1350" t="e">
        <v>#N/A</v>
      </c>
      <c r="C401" s="1347" t="e">
        <v>#N/A</v>
      </c>
      <c r="D401" s="311" t="e">
        <v>#N/A</v>
      </c>
      <c r="E401" s="1347" t="e">
        <v>#N/A</v>
      </c>
      <c r="F401" s="311" t="e">
        <v>#N/A</v>
      </c>
      <c r="G401" s="1347" t="e">
        <v>#N/A</v>
      </c>
      <c r="H401" s="311" t="e">
        <v>#N/A</v>
      </c>
      <c r="I401" s="1347" t="e">
        <v>#N/A</v>
      </c>
      <c r="J401" s="311" t="e">
        <v>#N/A</v>
      </c>
      <c r="K401" s="1347" t="e">
        <v>#N/A</v>
      </c>
      <c r="L401" s="311" t="e">
        <v>#N/A</v>
      </c>
      <c r="M401" s="1347" t="e">
        <v>#N/A</v>
      </c>
      <c r="N401" s="1136" t="e">
        <v>#N/A</v>
      </c>
    </row>
    <row r="402" spans="1:14">
      <c r="A402" s="49">
        <f t="shared" si="4"/>
        <v>2026.09</v>
      </c>
      <c r="B402" s="1350" t="e">
        <v>#N/A</v>
      </c>
      <c r="C402" s="1347" t="e">
        <v>#N/A</v>
      </c>
      <c r="D402" s="311" t="e">
        <v>#N/A</v>
      </c>
      <c r="E402" s="1347" t="e">
        <v>#N/A</v>
      </c>
      <c r="F402" s="311" t="e">
        <v>#N/A</v>
      </c>
      <c r="G402" s="1347" t="e">
        <v>#N/A</v>
      </c>
      <c r="H402" s="311" t="e">
        <v>#N/A</v>
      </c>
      <c r="I402" s="1347" t="e">
        <v>#N/A</v>
      </c>
      <c r="J402" s="311" t="e">
        <v>#N/A</v>
      </c>
      <c r="K402" s="1347" t="e">
        <v>#N/A</v>
      </c>
      <c r="L402" s="311" t="e">
        <v>#N/A</v>
      </c>
      <c r="M402" s="1347" t="e">
        <v>#N/A</v>
      </c>
      <c r="N402" s="1136" t="e">
        <v>#N/A</v>
      </c>
    </row>
    <row r="403" spans="1:14">
      <c r="A403" s="49">
        <f t="shared" si="4"/>
        <v>2026.1</v>
      </c>
      <c r="B403" s="1350" t="e">
        <v>#N/A</v>
      </c>
      <c r="C403" s="1347" t="e">
        <v>#N/A</v>
      </c>
      <c r="D403" s="311" t="e">
        <v>#N/A</v>
      </c>
      <c r="E403" s="1347" t="e">
        <v>#N/A</v>
      </c>
      <c r="F403" s="311" t="e">
        <v>#N/A</v>
      </c>
      <c r="G403" s="1347" t="e">
        <v>#N/A</v>
      </c>
      <c r="H403" s="311" t="e">
        <v>#N/A</v>
      </c>
      <c r="I403" s="1347" t="e">
        <v>#N/A</v>
      </c>
      <c r="J403" s="311" t="e">
        <v>#N/A</v>
      </c>
      <c r="K403" s="1347" t="e">
        <v>#N/A</v>
      </c>
      <c r="L403" s="311" t="e">
        <v>#N/A</v>
      </c>
      <c r="M403" s="1347" t="e">
        <v>#N/A</v>
      </c>
      <c r="N403" s="1136" t="e">
        <v>#N/A</v>
      </c>
    </row>
    <row r="404" spans="1:14">
      <c r="A404" s="49">
        <f t="shared" si="4"/>
        <v>2026.11</v>
      </c>
      <c r="B404" s="1350" t="e">
        <v>#N/A</v>
      </c>
      <c r="C404" s="1347" t="e">
        <v>#N/A</v>
      </c>
      <c r="D404" s="311" t="e">
        <v>#N/A</v>
      </c>
      <c r="E404" s="1347" t="e">
        <v>#N/A</v>
      </c>
      <c r="F404" s="311" t="e">
        <v>#N/A</v>
      </c>
      <c r="G404" s="1347" t="e">
        <v>#N/A</v>
      </c>
      <c r="H404" s="311" t="e">
        <v>#N/A</v>
      </c>
      <c r="I404" s="1347" t="e">
        <v>#N/A</v>
      </c>
      <c r="J404" s="311" t="e">
        <v>#N/A</v>
      </c>
      <c r="K404" s="1347" t="e">
        <v>#N/A</v>
      </c>
      <c r="L404" s="311" t="e">
        <v>#N/A</v>
      </c>
      <c r="M404" s="1347" t="e">
        <v>#N/A</v>
      </c>
      <c r="N404" s="1136" t="e">
        <v>#N/A</v>
      </c>
    </row>
    <row r="405" spans="1:14">
      <c r="A405" s="49">
        <f t="shared" si="4"/>
        <v>2026.12</v>
      </c>
      <c r="B405" s="1350" t="e">
        <v>#N/A</v>
      </c>
      <c r="C405" s="1347" t="e">
        <v>#N/A</v>
      </c>
      <c r="D405" s="311" t="e">
        <v>#N/A</v>
      </c>
      <c r="E405" s="1347" t="e">
        <v>#N/A</v>
      </c>
      <c r="F405" s="311" t="e">
        <v>#N/A</v>
      </c>
      <c r="G405" s="1347" t="e">
        <v>#N/A</v>
      </c>
      <c r="H405" s="311" t="e">
        <v>#N/A</v>
      </c>
      <c r="I405" s="1347" t="e">
        <v>#N/A</v>
      </c>
      <c r="J405" s="311" t="e">
        <v>#N/A</v>
      </c>
      <c r="K405" s="1347" t="e">
        <v>#N/A</v>
      </c>
      <c r="L405" s="311" t="e">
        <v>#N/A</v>
      </c>
      <c r="M405" s="1347" t="e">
        <v>#N/A</v>
      </c>
      <c r="N405" s="1136" t="e">
        <v>#N/A</v>
      </c>
    </row>
    <row r="406" spans="1:14">
      <c r="A406" s="49">
        <f t="shared" si="4"/>
        <v>2027.01</v>
      </c>
      <c r="B406" s="1350" t="e">
        <v>#N/A</v>
      </c>
      <c r="C406" s="1347" t="e">
        <v>#N/A</v>
      </c>
      <c r="D406" s="311" t="e">
        <v>#N/A</v>
      </c>
      <c r="E406" s="1347" t="e">
        <v>#N/A</v>
      </c>
      <c r="F406" s="311" t="e">
        <v>#N/A</v>
      </c>
      <c r="G406" s="1347" t="e">
        <v>#N/A</v>
      </c>
      <c r="H406" s="311" t="e">
        <v>#N/A</v>
      </c>
      <c r="I406" s="1347" t="e">
        <v>#N/A</v>
      </c>
      <c r="J406" s="311" t="e">
        <v>#N/A</v>
      </c>
      <c r="K406" s="1347" t="e">
        <v>#N/A</v>
      </c>
      <c r="L406" s="311" t="e">
        <v>#N/A</v>
      </c>
      <c r="M406" s="1347" t="e">
        <v>#N/A</v>
      </c>
      <c r="N406" s="1136" t="e">
        <v>#N/A</v>
      </c>
    </row>
    <row r="407" spans="1:14">
      <c r="A407" s="49">
        <f t="shared" si="4"/>
        <v>2027.02</v>
      </c>
      <c r="B407" s="1350" t="e">
        <v>#N/A</v>
      </c>
      <c r="C407" s="1347" t="e">
        <v>#N/A</v>
      </c>
      <c r="D407" s="311" t="e">
        <v>#N/A</v>
      </c>
      <c r="E407" s="1347" t="e">
        <v>#N/A</v>
      </c>
      <c r="F407" s="311" t="e">
        <v>#N/A</v>
      </c>
      <c r="G407" s="1347" t="e">
        <v>#N/A</v>
      </c>
      <c r="H407" s="311" t="e">
        <v>#N/A</v>
      </c>
      <c r="I407" s="1347" t="e">
        <v>#N/A</v>
      </c>
      <c r="J407" s="311" t="e">
        <v>#N/A</v>
      </c>
      <c r="K407" s="1347" t="e">
        <v>#N/A</v>
      </c>
      <c r="L407" s="311" t="e">
        <v>#N/A</v>
      </c>
      <c r="M407" s="1347" t="e">
        <v>#N/A</v>
      </c>
      <c r="N407" s="1136" t="e">
        <v>#N/A</v>
      </c>
    </row>
    <row r="408" spans="1:14">
      <c r="A408" s="49">
        <f t="shared" si="4"/>
        <v>2027.03</v>
      </c>
      <c r="B408" s="1350" t="e">
        <v>#N/A</v>
      </c>
      <c r="C408" s="1347" t="e">
        <v>#N/A</v>
      </c>
      <c r="D408" s="311" t="e">
        <v>#N/A</v>
      </c>
      <c r="E408" s="1347" t="e">
        <v>#N/A</v>
      </c>
      <c r="F408" s="311" t="e">
        <v>#N/A</v>
      </c>
      <c r="G408" s="1347" t="e">
        <v>#N/A</v>
      </c>
      <c r="H408" s="311" t="e">
        <v>#N/A</v>
      </c>
      <c r="I408" s="1347" t="e">
        <v>#N/A</v>
      </c>
      <c r="J408" s="311" t="e">
        <v>#N/A</v>
      </c>
      <c r="K408" s="1347" t="e">
        <v>#N/A</v>
      </c>
      <c r="L408" s="311" t="e">
        <v>#N/A</v>
      </c>
      <c r="M408" s="1347" t="e">
        <v>#N/A</v>
      </c>
      <c r="N408" s="1136" t="e">
        <v>#N/A</v>
      </c>
    </row>
    <row r="409" spans="1:14">
      <c r="A409" s="49">
        <f t="shared" si="4"/>
        <v>2027.04</v>
      </c>
      <c r="B409" s="1350" t="e">
        <v>#N/A</v>
      </c>
      <c r="C409" s="1347" t="e">
        <v>#N/A</v>
      </c>
      <c r="D409" s="311" t="e">
        <v>#N/A</v>
      </c>
      <c r="E409" s="1347" t="e">
        <v>#N/A</v>
      </c>
      <c r="F409" s="311" t="e">
        <v>#N/A</v>
      </c>
      <c r="G409" s="1347" t="e">
        <v>#N/A</v>
      </c>
      <c r="H409" s="311" t="e">
        <v>#N/A</v>
      </c>
      <c r="I409" s="1347" t="e">
        <v>#N/A</v>
      </c>
      <c r="J409" s="311" t="e">
        <v>#N/A</v>
      </c>
      <c r="K409" s="1347" t="e">
        <v>#N/A</v>
      </c>
      <c r="L409" s="311" t="e">
        <v>#N/A</v>
      </c>
      <c r="M409" s="1347" t="e">
        <v>#N/A</v>
      </c>
      <c r="N409" s="1136" t="e">
        <v>#N/A</v>
      </c>
    </row>
    <row r="410" spans="1:14">
      <c r="A410" s="49">
        <f t="shared" si="4"/>
        <v>2027.05</v>
      </c>
      <c r="B410" s="1350" t="e">
        <v>#N/A</v>
      </c>
      <c r="C410" s="1347" t="e">
        <v>#N/A</v>
      </c>
      <c r="D410" s="311" t="e">
        <v>#N/A</v>
      </c>
      <c r="E410" s="1347" t="e">
        <v>#N/A</v>
      </c>
      <c r="F410" s="311" t="e">
        <v>#N/A</v>
      </c>
      <c r="G410" s="1347" t="e">
        <v>#N/A</v>
      </c>
      <c r="H410" s="311" t="e">
        <v>#N/A</v>
      </c>
      <c r="I410" s="1347" t="e">
        <v>#N/A</v>
      </c>
      <c r="J410" s="311" t="e">
        <v>#N/A</v>
      </c>
      <c r="K410" s="1347" t="e">
        <v>#N/A</v>
      </c>
      <c r="L410" s="311" t="e">
        <v>#N/A</v>
      </c>
      <c r="M410" s="1347" t="e">
        <v>#N/A</v>
      </c>
      <c r="N410" s="1136" t="e">
        <v>#N/A</v>
      </c>
    </row>
    <row r="411" spans="1:14">
      <c r="A411" s="49">
        <f t="shared" si="4"/>
        <v>2027.06</v>
      </c>
      <c r="B411" s="1350" t="e">
        <v>#N/A</v>
      </c>
      <c r="C411" s="1347" t="e">
        <v>#N/A</v>
      </c>
      <c r="D411" s="311" t="e">
        <v>#N/A</v>
      </c>
      <c r="E411" s="1347" t="e">
        <v>#N/A</v>
      </c>
      <c r="F411" s="311" t="e">
        <v>#N/A</v>
      </c>
      <c r="G411" s="1347" t="e">
        <v>#N/A</v>
      </c>
      <c r="H411" s="311" t="e">
        <v>#N/A</v>
      </c>
      <c r="I411" s="1347" t="e">
        <v>#N/A</v>
      </c>
      <c r="J411" s="311" t="e">
        <v>#N/A</v>
      </c>
      <c r="K411" s="1347" t="e">
        <v>#N/A</v>
      </c>
      <c r="L411" s="311" t="e">
        <v>#N/A</v>
      </c>
      <c r="M411" s="1347" t="e">
        <v>#N/A</v>
      </c>
      <c r="N411" s="1136" t="e">
        <v>#N/A</v>
      </c>
    </row>
    <row r="412" spans="1:14">
      <c r="A412" s="49">
        <f t="shared" si="4"/>
        <v>2027.07</v>
      </c>
      <c r="B412" s="1350" t="e">
        <v>#N/A</v>
      </c>
      <c r="C412" s="1347" t="e">
        <v>#N/A</v>
      </c>
      <c r="D412" s="311" t="e">
        <v>#N/A</v>
      </c>
      <c r="E412" s="1347" t="e">
        <v>#N/A</v>
      </c>
      <c r="F412" s="311" t="e">
        <v>#N/A</v>
      </c>
      <c r="G412" s="1347" t="e">
        <v>#N/A</v>
      </c>
      <c r="H412" s="311" t="e">
        <v>#N/A</v>
      </c>
      <c r="I412" s="1347" t="e">
        <v>#N/A</v>
      </c>
      <c r="J412" s="311" t="e">
        <v>#N/A</v>
      </c>
      <c r="K412" s="1347" t="e">
        <v>#N/A</v>
      </c>
      <c r="L412" s="311" t="e">
        <v>#N/A</v>
      </c>
      <c r="M412" s="1347" t="e">
        <v>#N/A</v>
      </c>
      <c r="N412" s="1136" t="e">
        <v>#N/A</v>
      </c>
    </row>
    <row r="413" spans="1:14">
      <c r="A413" s="49">
        <f t="shared" si="4"/>
        <v>2027.08</v>
      </c>
      <c r="B413" s="1350" t="e">
        <v>#N/A</v>
      </c>
      <c r="C413" s="1347" t="e">
        <v>#N/A</v>
      </c>
      <c r="D413" s="311" t="e">
        <v>#N/A</v>
      </c>
      <c r="E413" s="1347" t="e">
        <v>#N/A</v>
      </c>
      <c r="F413" s="311" t="e">
        <v>#N/A</v>
      </c>
      <c r="G413" s="1347" t="e">
        <v>#N/A</v>
      </c>
      <c r="H413" s="311" t="e">
        <v>#N/A</v>
      </c>
      <c r="I413" s="1347" t="e">
        <v>#N/A</v>
      </c>
      <c r="J413" s="311" t="e">
        <v>#N/A</v>
      </c>
      <c r="K413" s="1347" t="e">
        <v>#N/A</v>
      </c>
      <c r="L413" s="311" t="e">
        <v>#N/A</v>
      </c>
      <c r="M413" s="1347" t="e">
        <v>#N/A</v>
      </c>
      <c r="N413" s="1136" t="e">
        <v>#N/A</v>
      </c>
    </row>
    <row r="414" spans="1:14">
      <c r="A414" s="49">
        <f t="shared" si="4"/>
        <v>2027.09</v>
      </c>
      <c r="B414" s="1350" t="e">
        <v>#N/A</v>
      </c>
      <c r="C414" s="1347" t="e">
        <v>#N/A</v>
      </c>
      <c r="D414" s="311" t="e">
        <v>#N/A</v>
      </c>
      <c r="E414" s="1347" t="e">
        <v>#N/A</v>
      </c>
      <c r="F414" s="311" t="e">
        <v>#N/A</v>
      </c>
      <c r="G414" s="1347" t="e">
        <v>#N/A</v>
      </c>
      <c r="H414" s="311" t="e">
        <v>#N/A</v>
      </c>
      <c r="I414" s="1347" t="e">
        <v>#N/A</v>
      </c>
      <c r="J414" s="311" t="e">
        <v>#N/A</v>
      </c>
      <c r="K414" s="1347" t="e">
        <v>#N/A</v>
      </c>
      <c r="L414" s="311" t="e">
        <v>#N/A</v>
      </c>
      <c r="M414" s="1347" t="e">
        <v>#N/A</v>
      </c>
      <c r="N414" s="1136" t="e">
        <v>#N/A</v>
      </c>
    </row>
    <row r="415" spans="1:14">
      <c r="A415" s="49">
        <f t="shared" si="4"/>
        <v>2027.1</v>
      </c>
      <c r="B415" s="1350" t="e">
        <v>#N/A</v>
      </c>
      <c r="C415" s="1347" t="e">
        <v>#N/A</v>
      </c>
      <c r="D415" s="311" t="e">
        <v>#N/A</v>
      </c>
      <c r="E415" s="1347" t="e">
        <v>#N/A</v>
      </c>
      <c r="F415" s="311" t="e">
        <v>#N/A</v>
      </c>
      <c r="G415" s="1347" t="e">
        <v>#N/A</v>
      </c>
      <c r="H415" s="311" t="e">
        <v>#N/A</v>
      </c>
      <c r="I415" s="1347" t="e">
        <v>#N/A</v>
      </c>
      <c r="J415" s="311" t="e">
        <v>#N/A</v>
      </c>
      <c r="K415" s="1347" t="e">
        <v>#N/A</v>
      </c>
      <c r="L415" s="311" t="e">
        <v>#N/A</v>
      </c>
      <c r="M415" s="1347" t="e">
        <v>#N/A</v>
      </c>
      <c r="N415" s="1136" t="e">
        <v>#N/A</v>
      </c>
    </row>
    <row r="416" spans="1:14">
      <c r="A416" s="49">
        <f t="shared" si="4"/>
        <v>2027.11</v>
      </c>
      <c r="B416" s="1350" t="e">
        <v>#N/A</v>
      </c>
      <c r="C416" s="1347" t="e">
        <v>#N/A</v>
      </c>
      <c r="D416" s="311" t="e">
        <v>#N/A</v>
      </c>
      <c r="E416" s="1347" t="e">
        <v>#N/A</v>
      </c>
      <c r="F416" s="311" t="e">
        <v>#N/A</v>
      </c>
      <c r="G416" s="1347" t="e">
        <v>#N/A</v>
      </c>
      <c r="H416" s="311" t="e">
        <v>#N/A</v>
      </c>
      <c r="I416" s="1347" t="e">
        <v>#N/A</v>
      </c>
      <c r="J416" s="311" t="e">
        <v>#N/A</v>
      </c>
      <c r="K416" s="1347" t="e">
        <v>#N/A</v>
      </c>
      <c r="L416" s="311" t="e">
        <v>#N/A</v>
      </c>
      <c r="M416" s="1347" t="e">
        <v>#N/A</v>
      </c>
      <c r="N416" s="1136" t="e">
        <v>#N/A</v>
      </c>
    </row>
    <row r="417" spans="1:14">
      <c r="A417" s="49">
        <f t="shared" si="4"/>
        <v>2027.12</v>
      </c>
      <c r="B417" s="1350" t="e">
        <v>#N/A</v>
      </c>
      <c r="C417" s="1347" t="e">
        <v>#N/A</v>
      </c>
      <c r="D417" s="311" t="e">
        <v>#N/A</v>
      </c>
      <c r="E417" s="1347" t="e">
        <v>#N/A</v>
      </c>
      <c r="F417" s="311" t="e">
        <v>#N/A</v>
      </c>
      <c r="G417" s="1347" t="e">
        <v>#N/A</v>
      </c>
      <c r="H417" s="311" t="e">
        <v>#N/A</v>
      </c>
      <c r="I417" s="1347" t="e">
        <v>#N/A</v>
      </c>
      <c r="J417" s="311" t="e">
        <v>#N/A</v>
      </c>
      <c r="K417" s="1347" t="e">
        <v>#N/A</v>
      </c>
      <c r="L417" s="311" t="e">
        <v>#N/A</v>
      </c>
      <c r="M417" s="1347" t="e">
        <v>#N/A</v>
      </c>
      <c r="N417" s="1136" t="e">
        <v>#N/A</v>
      </c>
    </row>
    <row r="418" spans="1:14">
      <c r="A418" s="49">
        <f t="shared" si="4"/>
        <v>2028.01</v>
      </c>
      <c r="B418" s="1350" t="e">
        <v>#N/A</v>
      </c>
      <c r="C418" s="1347" t="e">
        <v>#N/A</v>
      </c>
      <c r="D418" s="311" t="e">
        <v>#N/A</v>
      </c>
      <c r="E418" s="1347" t="e">
        <v>#N/A</v>
      </c>
      <c r="F418" s="311" t="e">
        <v>#N/A</v>
      </c>
      <c r="G418" s="1347" t="e">
        <v>#N/A</v>
      </c>
      <c r="H418" s="311" t="e">
        <v>#N/A</v>
      </c>
      <c r="I418" s="1347" t="e">
        <v>#N/A</v>
      </c>
      <c r="J418" s="311" t="e">
        <v>#N/A</v>
      </c>
      <c r="K418" s="1347" t="e">
        <v>#N/A</v>
      </c>
      <c r="L418" s="311" t="e">
        <v>#N/A</v>
      </c>
      <c r="M418" s="1347" t="e">
        <v>#N/A</v>
      </c>
      <c r="N418" s="1136" t="e">
        <v>#N/A</v>
      </c>
    </row>
    <row r="419" spans="1:14">
      <c r="A419" s="49">
        <f t="shared" si="4"/>
        <v>2028.02</v>
      </c>
      <c r="B419" s="1350" t="e">
        <v>#N/A</v>
      </c>
      <c r="C419" s="1347" t="e">
        <v>#N/A</v>
      </c>
      <c r="D419" s="311" t="e">
        <v>#N/A</v>
      </c>
      <c r="E419" s="1347" t="e">
        <v>#N/A</v>
      </c>
      <c r="F419" s="311" t="e">
        <v>#N/A</v>
      </c>
      <c r="G419" s="1347" t="e">
        <v>#N/A</v>
      </c>
      <c r="H419" s="311" t="e">
        <v>#N/A</v>
      </c>
      <c r="I419" s="1347" t="e">
        <v>#N/A</v>
      </c>
      <c r="J419" s="311" t="e">
        <v>#N/A</v>
      </c>
      <c r="K419" s="1347" t="e">
        <v>#N/A</v>
      </c>
      <c r="L419" s="311" t="e">
        <v>#N/A</v>
      </c>
      <c r="M419" s="1347" t="e">
        <v>#N/A</v>
      </c>
      <c r="N419" s="1136" t="e">
        <v>#N/A</v>
      </c>
    </row>
    <row r="420" spans="1:14">
      <c r="A420" s="49">
        <f t="shared" si="4"/>
        <v>2028.03</v>
      </c>
      <c r="B420" s="1350" t="e">
        <v>#N/A</v>
      </c>
      <c r="C420" s="1347" t="e">
        <v>#N/A</v>
      </c>
      <c r="D420" s="311" t="e">
        <v>#N/A</v>
      </c>
      <c r="E420" s="1347" t="e">
        <v>#N/A</v>
      </c>
      <c r="F420" s="311" t="e">
        <v>#N/A</v>
      </c>
      <c r="G420" s="1347" t="e">
        <v>#N/A</v>
      </c>
      <c r="H420" s="311" t="e">
        <v>#N/A</v>
      </c>
      <c r="I420" s="1347" t="e">
        <v>#N/A</v>
      </c>
      <c r="J420" s="311" t="e">
        <v>#N/A</v>
      </c>
      <c r="K420" s="1347" t="e">
        <v>#N/A</v>
      </c>
      <c r="L420" s="311" t="e">
        <v>#N/A</v>
      </c>
      <c r="M420" s="1347" t="e">
        <v>#N/A</v>
      </c>
      <c r="N420" s="1136" t="e">
        <v>#N/A</v>
      </c>
    </row>
    <row r="421" spans="1:14">
      <c r="A421" s="49">
        <f t="shared" si="4"/>
        <v>2028.04</v>
      </c>
      <c r="B421" s="1350" t="e">
        <v>#N/A</v>
      </c>
      <c r="C421" s="1347" t="e">
        <v>#N/A</v>
      </c>
      <c r="D421" s="311" t="e">
        <v>#N/A</v>
      </c>
      <c r="E421" s="1347" t="e">
        <v>#N/A</v>
      </c>
      <c r="F421" s="311" t="e">
        <v>#N/A</v>
      </c>
      <c r="G421" s="1347" t="e">
        <v>#N/A</v>
      </c>
      <c r="H421" s="311" t="e">
        <v>#N/A</v>
      </c>
      <c r="I421" s="1347" t="e">
        <v>#N/A</v>
      </c>
      <c r="J421" s="311" t="e">
        <v>#N/A</v>
      </c>
      <c r="K421" s="1347" t="e">
        <v>#N/A</v>
      </c>
      <c r="L421" s="311" t="e">
        <v>#N/A</v>
      </c>
      <c r="M421" s="1347" t="e">
        <v>#N/A</v>
      </c>
      <c r="N421" s="1136" t="e">
        <v>#N/A</v>
      </c>
    </row>
    <row r="422" spans="1:14">
      <c r="A422" s="49">
        <f t="shared" si="4"/>
        <v>2028.05</v>
      </c>
      <c r="B422" s="1350" t="e">
        <v>#N/A</v>
      </c>
      <c r="C422" s="1347" t="e">
        <v>#N/A</v>
      </c>
      <c r="D422" s="311" t="e">
        <v>#N/A</v>
      </c>
      <c r="E422" s="1347" t="e">
        <v>#N/A</v>
      </c>
      <c r="F422" s="311" t="e">
        <v>#N/A</v>
      </c>
      <c r="G422" s="1347" t="e">
        <v>#N/A</v>
      </c>
      <c r="H422" s="311" t="e">
        <v>#N/A</v>
      </c>
      <c r="I422" s="1347" t="e">
        <v>#N/A</v>
      </c>
      <c r="J422" s="311" t="e">
        <v>#N/A</v>
      </c>
      <c r="K422" s="1347" t="e">
        <v>#N/A</v>
      </c>
      <c r="L422" s="311" t="e">
        <v>#N/A</v>
      </c>
      <c r="M422" s="1347" t="e">
        <v>#N/A</v>
      </c>
      <c r="N422" s="1136" t="e">
        <v>#N/A</v>
      </c>
    </row>
    <row r="423" spans="1:14">
      <c r="A423" s="49">
        <f t="shared" si="4"/>
        <v>2028.06</v>
      </c>
      <c r="B423" s="1350" t="e">
        <v>#N/A</v>
      </c>
      <c r="C423" s="1347" t="e">
        <v>#N/A</v>
      </c>
      <c r="D423" s="311" t="e">
        <v>#N/A</v>
      </c>
      <c r="E423" s="1347" t="e">
        <v>#N/A</v>
      </c>
      <c r="F423" s="311" t="e">
        <v>#N/A</v>
      </c>
      <c r="G423" s="1347" t="e">
        <v>#N/A</v>
      </c>
      <c r="H423" s="311" t="e">
        <v>#N/A</v>
      </c>
      <c r="I423" s="1347" t="e">
        <v>#N/A</v>
      </c>
      <c r="J423" s="311" t="e">
        <v>#N/A</v>
      </c>
      <c r="K423" s="1347" t="e">
        <v>#N/A</v>
      </c>
      <c r="L423" s="311" t="e">
        <v>#N/A</v>
      </c>
      <c r="M423" s="1347" t="e">
        <v>#N/A</v>
      </c>
      <c r="N423" s="1136" t="e">
        <v>#N/A</v>
      </c>
    </row>
    <row r="424" spans="1:14">
      <c r="A424" s="49">
        <f t="shared" si="4"/>
        <v>2028.07</v>
      </c>
      <c r="B424" s="1350" t="e">
        <v>#N/A</v>
      </c>
      <c r="C424" s="1347" t="e">
        <v>#N/A</v>
      </c>
      <c r="D424" s="311" t="e">
        <v>#N/A</v>
      </c>
      <c r="E424" s="1347" t="e">
        <v>#N/A</v>
      </c>
      <c r="F424" s="311" t="e">
        <v>#N/A</v>
      </c>
      <c r="G424" s="1347" t="e">
        <v>#N/A</v>
      </c>
      <c r="H424" s="311" t="e">
        <v>#N/A</v>
      </c>
      <c r="I424" s="1347" t="e">
        <v>#N/A</v>
      </c>
      <c r="J424" s="311" t="e">
        <v>#N/A</v>
      </c>
      <c r="K424" s="1347" t="e">
        <v>#N/A</v>
      </c>
      <c r="L424" s="311" t="e">
        <v>#N/A</v>
      </c>
      <c r="M424" s="1347" t="e">
        <v>#N/A</v>
      </c>
      <c r="N424" s="1136" t="e">
        <v>#N/A</v>
      </c>
    </row>
    <row r="425" spans="1:14">
      <c r="A425" s="49">
        <f t="shared" si="4"/>
        <v>2028.08</v>
      </c>
      <c r="B425" s="1350" t="e">
        <v>#N/A</v>
      </c>
      <c r="C425" s="1347" t="e">
        <v>#N/A</v>
      </c>
      <c r="D425" s="311" t="e">
        <v>#N/A</v>
      </c>
      <c r="E425" s="1347" t="e">
        <v>#N/A</v>
      </c>
      <c r="F425" s="311" t="e">
        <v>#N/A</v>
      </c>
      <c r="G425" s="1347" t="e">
        <v>#N/A</v>
      </c>
      <c r="H425" s="311" t="e">
        <v>#N/A</v>
      </c>
      <c r="I425" s="1347" t="e">
        <v>#N/A</v>
      </c>
      <c r="J425" s="311" t="e">
        <v>#N/A</v>
      </c>
      <c r="K425" s="1347" t="e">
        <v>#N/A</v>
      </c>
      <c r="L425" s="311" t="e">
        <v>#N/A</v>
      </c>
      <c r="M425" s="1347" t="e">
        <v>#N/A</v>
      </c>
      <c r="N425" s="1136" t="e">
        <v>#N/A</v>
      </c>
    </row>
    <row r="426" spans="1:14">
      <c r="A426" s="49">
        <f t="shared" si="4"/>
        <v>2028.09</v>
      </c>
      <c r="B426" s="1350" t="e">
        <v>#N/A</v>
      </c>
      <c r="C426" s="1347" t="e">
        <v>#N/A</v>
      </c>
      <c r="D426" s="311" t="e">
        <v>#N/A</v>
      </c>
      <c r="E426" s="1347" t="e">
        <v>#N/A</v>
      </c>
      <c r="F426" s="311" t="e">
        <v>#N/A</v>
      </c>
      <c r="G426" s="1347" t="e">
        <v>#N/A</v>
      </c>
      <c r="H426" s="311" t="e">
        <v>#N/A</v>
      </c>
      <c r="I426" s="1347" t="e">
        <v>#N/A</v>
      </c>
      <c r="J426" s="311" t="e">
        <v>#N/A</v>
      </c>
      <c r="K426" s="1347" t="e">
        <v>#N/A</v>
      </c>
      <c r="L426" s="311" t="e">
        <v>#N/A</v>
      </c>
      <c r="M426" s="1347" t="e">
        <v>#N/A</v>
      </c>
      <c r="N426" s="1136" t="e">
        <v>#N/A</v>
      </c>
    </row>
    <row r="427" spans="1:14">
      <c r="A427" s="49">
        <f t="shared" si="4"/>
        <v>2028.1</v>
      </c>
      <c r="B427" s="1350" t="e">
        <v>#N/A</v>
      </c>
      <c r="C427" s="1347" t="e">
        <v>#N/A</v>
      </c>
      <c r="D427" s="311" t="e">
        <v>#N/A</v>
      </c>
      <c r="E427" s="1347" t="e">
        <v>#N/A</v>
      </c>
      <c r="F427" s="311" t="e">
        <v>#N/A</v>
      </c>
      <c r="G427" s="1347" t="e">
        <v>#N/A</v>
      </c>
      <c r="H427" s="311" t="e">
        <v>#N/A</v>
      </c>
      <c r="I427" s="1347" t="e">
        <v>#N/A</v>
      </c>
      <c r="J427" s="311" t="e">
        <v>#N/A</v>
      </c>
      <c r="K427" s="1347" t="e">
        <v>#N/A</v>
      </c>
      <c r="L427" s="311" t="e">
        <v>#N/A</v>
      </c>
      <c r="M427" s="1347" t="e">
        <v>#N/A</v>
      </c>
      <c r="N427" s="1136" t="e">
        <v>#N/A</v>
      </c>
    </row>
    <row r="428" spans="1:14">
      <c r="A428" s="49">
        <f t="shared" si="4"/>
        <v>2028.11</v>
      </c>
      <c r="B428" s="1350" t="e">
        <v>#N/A</v>
      </c>
      <c r="C428" s="1347" t="e">
        <v>#N/A</v>
      </c>
      <c r="D428" s="311" t="e">
        <v>#N/A</v>
      </c>
      <c r="E428" s="1347" t="e">
        <v>#N/A</v>
      </c>
      <c r="F428" s="311" t="e">
        <v>#N/A</v>
      </c>
      <c r="G428" s="1347" t="e">
        <v>#N/A</v>
      </c>
      <c r="H428" s="311" t="e">
        <v>#N/A</v>
      </c>
      <c r="I428" s="1347" t="e">
        <v>#N/A</v>
      </c>
      <c r="J428" s="311" t="e">
        <v>#N/A</v>
      </c>
      <c r="K428" s="1347" t="e">
        <v>#N/A</v>
      </c>
      <c r="L428" s="311" t="e">
        <v>#N/A</v>
      </c>
      <c r="M428" s="1347" t="e">
        <v>#N/A</v>
      </c>
      <c r="N428" s="1136" t="e">
        <v>#N/A</v>
      </c>
    </row>
    <row r="429" spans="1:14">
      <c r="A429" s="49">
        <f t="shared" si="4"/>
        <v>2028.12</v>
      </c>
      <c r="B429" s="1350" t="e">
        <v>#N/A</v>
      </c>
      <c r="C429" s="1347" t="e">
        <v>#N/A</v>
      </c>
      <c r="D429" s="311" t="e">
        <v>#N/A</v>
      </c>
      <c r="E429" s="1347" t="e">
        <v>#N/A</v>
      </c>
      <c r="F429" s="311" t="e">
        <v>#N/A</v>
      </c>
      <c r="G429" s="1347" t="e">
        <v>#N/A</v>
      </c>
      <c r="H429" s="311" t="e">
        <v>#N/A</v>
      </c>
      <c r="I429" s="1347" t="e">
        <v>#N/A</v>
      </c>
      <c r="J429" s="311" t="e">
        <v>#N/A</v>
      </c>
      <c r="K429" s="1347" t="e">
        <v>#N/A</v>
      </c>
      <c r="L429" s="311" t="e">
        <v>#N/A</v>
      </c>
      <c r="M429" s="1347" t="e">
        <v>#N/A</v>
      </c>
      <c r="N429" s="1136" t="e">
        <v>#N/A</v>
      </c>
    </row>
    <row r="430" spans="1:14">
      <c r="A430" s="49">
        <f t="shared" si="4"/>
        <v>2029.01</v>
      </c>
      <c r="B430" s="1350" t="e">
        <v>#N/A</v>
      </c>
      <c r="C430" s="1347" t="e">
        <v>#N/A</v>
      </c>
      <c r="D430" s="311" t="e">
        <v>#N/A</v>
      </c>
      <c r="E430" s="1347" t="e">
        <v>#N/A</v>
      </c>
      <c r="F430" s="311" t="e">
        <v>#N/A</v>
      </c>
      <c r="G430" s="1347" t="e">
        <v>#N/A</v>
      </c>
      <c r="H430" s="311" t="e">
        <v>#N/A</v>
      </c>
      <c r="I430" s="1347" t="e">
        <v>#N/A</v>
      </c>
      <c r="J430" s="311" t="e">
        <v>#N/A</v>
      </c>
      <c r="K430" s="1347" t="e">
        <v>#N/A</v>
      </c>
      <c r="L430" s="311" t="e">
        <v>#N/A</v>
      </c>
      <c r="M430" s="1347" t="e">
        <v>#N/A</v>
      </c>
      <c r="N430" s="1136" t="e">
        <v>#N/A</v>
      </c>
    </row>
    <row r="431" spans="1:14">
      <c r="A431" s="49">
        <f t="shared" si="4"/>
        <v>2029.02</v>
      </c>
      <c r="B431" s="1350" t="e">
        <v>#N/A</v>
      </c>
      <c r="C431" s="1347" t="e">
        <v>#N/A</v>
      </c>
      <c r="D431" s="311" t="e">
        <v>#N/A</v>
      </c>
      <c r="E431" s="1347" t="e">
        <v>#N/A</v>
      </c>
      <c r="F431" s="311" t="e">
        <v>#N/A</v>
      </c>
      <c r="G431" s="1347" t="e">
        <v>#N/A</v>
      </c>
      <c r="H431" s="311" t="e">
        <v>#N/A</v>
      </c>
      <c r="I431" s="1347" t="e">
        <v>#N/A</v>
      </c>
      <c r="J431" s="311" t="e">
        <v>#N/A</v>
      </c>
      <c r="K431" s="1347" t="e">
        <v>#N/A</v>
      </c>
      <c r="L431" s="311" t="e">
        <v>#N/A</v>
      </c>
      <c r="M431" s="1347" t="e">
        <v>#N/A</v>
      </c>
      <c r="N431" s="1136" t="e">
        <v>#N/A</v>
      </c>
    </row>
    <row r="432" spans="1:14">
      <c r="A432" s="49">
        <f t="shared" si="4"/>
        <v>2029.03</v>
      </c>
      <c r="B432" s="1350" t="e">
        <v>#N/A</v>
      </c>
      <c r="C432" s="1347" t="e">
        <v>#N/A</v>
      </c>
      <c r="D432" s="311" t="e">
        <v>#N/A</v>
      </c>
      <c r="E432" s="1347" t="e">
        <v>#N/A</v>
      </c>
      <c r="F432" s="311" t="e">
        <v>#N/A</v>
      </c>
      <c r="G432" s="1347" t="e">
        <v>#N/A</v>
      </c>
      <c r="H432" s="311" t="e">
        <v>#N/A</v>
      </c>
      <c r="I432" s="1347" t="e">
        <v>#N/A</v>
      </c>
      <c r="J432" s="311" t="e">
        <v>#N/A</v>
      </c>
      <c r="K432" s="1347" t="e">
        <v>#N/A</v>
      </c>
      <c r="L432" s="311" t="e">
        <v>#N/A</v>
      </c>
      <c r="M432" s="1347" t="e">
        <v>#N/A</v>
      </c>
      <c r="N432" s="1136" t="e">
        <v>#N/A</v>
      </c>
    </row>
    <row r="433" spans="1:14">
      <c r="A433" s="49">
        <f t="shared" si="4"/>
        <v>2029.04</v>
      </c>
      <c r="B433" s="1350" t="e">
        <v>#N/A</v>
      </c>
      <c r="C433" s="1347" t="e">
        <v>#N/A</v>
      </c>
      <c r="D433" s="311" t="e">
        <v>#N/A</v>
      </c>
      <c r="E433" s="1347" t="e">
        <v>#N/A</v>
      </c>
      <c r="F433" s="311" t="e">
        <v>#N/A</v>
      </c>
      <c r="G433" s="1347" t="e">
        <v>#N/A</v>
      </c>
      <c r="H433" s="311" t="e">
        <v>#N/A</v>
      </c>
      <c r="I433" s="1347" t="e">
        <v>#N/A</v>
      </c>
      <c r="J433" s="311" t="e">
        <v>#N/A</v>
      </c>
      <c r="K433" s="1347" t="e">
        <v>#N/A</v>
      </c>
      <c r="L433" s="311" t="e">
        <v>#N/A</v>
      </c>
      <c r="M433" s="1347" t="e">
        <v>#N/A</v>
      </c>
      <c r="N433" s="1136" t="e">
        <v>#N/A</v>
      </c>
    </row>
    <row r="434" spans="1:14">
      <c r="A434" s="49">
        <f t="shared" ref="A434:A453" si="5">A422+1</f>
        <v>2029.05</v>
      </c>
      <c r="B434" s="1350" t="e">
        <v>#N/A</v>
      </c>
      <c r="C434" s="1347" t="e">
        <v>#N/A</v>
      </c>
      <c r="D434" s="311" t="e">
        <v>#N/A</v>
      </c>
      <c r="E434" s="1347" t="e">
        <v>#N/A</v>
      </c>
      <c r="F434" s="311" t="e">
        <v>#N/A</v>
      </c>
      <c r="G434" s="1347" t="e">
        <v>#N/A</v>
      </c>
      <c r="H434" s="311" t="e">
        <v>#N/A</v>
      </c>
      <c r="I434" s="1347" t="e">
        <v>#N/A</v>
      </c>
      <c r="J434" s="311" t="e">
        <v>#N/A</v>
      </c>
      <c r="K434" s="1347" t="e">
        <v>#N/A</v>
      </c>
      <c r="L434" s="311" t="e">
        <v>#N/A</v>
      </c>
      <c r="M434" s="1347" t="e">
        <v>#N/A</v>
      </c>
      <c r="N434" s="1136" t="e">
        <v>#N/A</v>
      </c>
    </row>
    <row r="435" spans="1:14">
      <c r="A435" s="49">
        <f t="shared" si="5"/>
        <v>2029.06</v>
      </c>
      <c r="B435" s="1350" t="e">
        <v>#N/A</v>
      </c>
      <c r="C435" s="1347" t="e">
        <v>#N/A</v>
      </c>
      <c r="D435" s="311" t="e">
        <v>#N/A</v>
      </c>
      <c r="E435" s="1347" t="e">
        <v>#N/A</v>
      </c>
      <c r="F435" s="311" t="e">
        <v>#N/A</v>
      </c>
      <c r="G435" s="1347" t="e">
        <v>#N/A</v>
      </c>
      <c r="H435" s="311" t="e">
        <v>#N/A</v>
      </c>
      <c r="I435" s="1347" t="e">
        <v>#N/A</v>
      </c>
      <c r="J435" s="311" t="e">
        <v>#N/A</v>
      </c>
      <c r="K435" s="1347" t="e">
        <v>#N/A</v>
      </c>
      <c r="L435" s="311" t="e">
        <v>#N/A</v>
      </c>
      <c r="M435" s="1347" t="e">
        <v>#N/A</v>
      </c>
      <c r="N435" s="1136" t="e">
        <v>#N/A</v>
      </c>
    </row>
    <row r="436" spans="1:14">
      <c r="A436" s="49">
        <f t="shared" si="5"/>
        <v>2029.07</v>
      </c>
      <c r="B436" s="1350" t="e">
        <v>#N/A</v>
      </c>
      <c r="C436" s="1347" t="e">
        <v>#N/A</v>
      </c>
      <c r="D436" s="311" t="e">
        <v>#N/A</v>
      </c>
      <c r="E436" s="1347" t="e">
        <v>#N/A</v>
      </c>
      <c r="F436" s="311" t="e">
        <v>#N/A</v>
      </c>
      <c r="G436" s="1347" t="e">
        <v>#N/A</v>
      </c>
      <c r="H436" s="311" t="e">
        <v>#N/A</v>
      </c>
      <c r="I436" s="1347" t="e">
        <v>#N/A</v>
      </c>
      <c r="J436" s="311" t="e">
        <v>#N/A</v>
      </c>
      <c r="K436" s="1347" t="e">
        <v>#N/A</v>
      </c>
      <c r="L436" s="311" t="e">
        <v>#N/A</v>
      </c>
      <c r="M436" s="1347" t="e">
        <v>#N/A</v>
      </c>
      <c r="N436" s="1136" t="e">
        <v>#N/A</v>
      </c>
    </row>
    <row r="437" spans="1:14">
      <c r="A437" s="49">
        <f t="shared" si="5"/>
        <v>2029.08</v>
      </c>
      <c r="B437" s="1350" t="e">
        <v>#N/A</v>
      </c>
      <c r="C437" s="1347" t="e">
        <v>#N/A</v>
      </c>
      <c r="D437" s="311" t="e">
        <v>#N/A</v>
      </c>
      <c r="E437" s="1347" t="e">
        <v>#N/A</v>
      </c>
      <c r="F437" s="311" t="e">
        <v>#N/A</v>
      </c>
      <c r="G437" s="1347" t="e">
        <v>#N/A</v>
      </c>
      <c r="H437" s="311" t="e">
        <v>#N/A</v>
      </c>
      <c r="I437" s="1347" t="e">
        <v>#N/A</v>
      </c>
      <c r="J437" s="311" t="e">
        <v>#N/A</v>
      </c>
      <c r="K437" s="1347" t="e">
        <v>#N/A</v>
      </c>
      <c r="L437" s="311" t="e">
        <v>#N/A</v>
      </c>
      <c r="M437" s="1347" t="e">
        <v>#N/A</v>
      </c>
      <c r="N437" s="1136" t="e">
        <v>#N/A</v>
      </c>
    </row>
    <row r="438" spans="1:14">
      <c r="A438" s="49">
        <f t="shared" si="5"/>
        <v>2029.09</v>
      </c>
      <c r="B438" s="1350" t="e">
        <v>#N/A</v>
      </c>
      <c r="C438" s="1347" t="e">
        <v>#N/A</v>
      </c>
      <c r="D438" s="311" t="e">
        <v>#N/A</v>
      </c>
      <c r="E438" s="1347" t="e">
        <v>#N/A</v>
      </c>
      <c r="F438" s="311" t="e">
        <v>#N/A</v>
      </c>
      <c r="G438" s="1347" t="e">
        <v>#N/A</v>
      </c>
      <c r="H438" s="311" t="e">
        <v>#N/A</v>
      </c>
      <c r="I438" s="1347" t="e">
        <v>#N/A</v>
      </c>
      <c r="J438" s="311" t="e">
        <v>#N/A</v>
      </c>
      <c r="K438" s="1347" t="e">
        <v>#N/A</v>
      </c>
      <c r="L438" s="311" t="e">
        <v>#N/A</v>
      </c>
      <c r="M438" s="1347" t="e">
        <v>#N/A</v>
      </c>
      <c r="N438" s="1136" t="e">
        <v>#N/A</v>
      </c>
    </row>
    <row r="439" spans="1:14">
      <c r="A439" s="49">
        <f t="shared" si="5"/>
        <v>2029.1</v>
      </c>
      <c r="B439" s="1350" t="e">
        <v>#N/A</v>
      </c>
      <c r="C439" s="1347" t="e">
        <v>#N/A</v>
      </c>
      <c r="D439" s="311" t="e">
        <v>#N/A</v>
      </c>
      <c r="E439" s="1347" t="e">
        <v>#N/A</v>
      </c>
      <c r="F439" s="311" t="e">
        <v>#N/A</v>
      </c>
      <c r="G439" s="1347" t="e">
        <v>#N/A</v>
      </c>
      <c r="H439" s="311" t="e">
        <v>#N/A</v>
      </c>
      <c r="I439" s="1347" t="e">
        <v>#N/A</v>
      </c>
      <c r="J439" s="311" t="e">
        <v>#N/A</v>
      </c>
      <c r="K439" s="1347" t="e">
        <v>#N/A</v>
      </c>
      <c r="L439" s="311" t="e">
        <v>#N/A</v>
      </c>
      <c r="M439" s="1347" t="e">
        <v>#N/A</v>
      </c>
      <c r="N439" s="1136" t="e">
        <v>#N/A</v>
      </c>
    </row>
    <row r="440" spans="1:14">
      <c r="A440" s="49">
        <f t="shared" si="5"/>
        <v>2029.11</v>
      </c>
      <c r="B440" s="1350" t="e">
        <v>#N/A</v>
      </c>
      <c r="C440" s="1347" t="e">
        <v>#N/A</v>
      </c>
      <c r="D440" s="311" t="e">
        <v>#N/A</v>
      </c>
      <c r="E440" s="1347" t="e">
        <v>#N/A</v>
      </c>
      <c r="F440" s="311" t="e">
        <v>#N/A</v>
      </c>
      <c r="G440" s="1347" t="e">
        <v>#N/A</v>
      </c>
      <c r="H440" s="311" t="e">
        <v>#N/A</v>
      </c>
      <c r="I440" s="1347" t="e">
        <v>#N/A</v>
      </c>
      <c r="J440" s="311" t="e">
        <v>#N/A</v>
      </c>
      <c r="K440" s="1347" t="e">
        <v>#N/A</v>
      </c>
      <c r="L440" s="311" t="e">
        <v>#N/A</v>
      </c>
      <c r="M440" s="1347" t="e">
        <v>#N/A</v>
      </c>
      <c r="N440" s="1136" t="e">
        <v>#N/A</v>
      </c>
    </row>
    <row r="441" spans="1:14">
      <c r="A441" s="49">
        <f t="shared" si="5"/>
        <v>2029.12</v>
      </c>
      <c r="B441" s="1350" t="e">
        <v>#N/A</v>
      </c>
      <c r="C441" s="1347" t="e">
        <v>#N/A</v>
      </c>
      <c r="D441" s="311" t="e">
        <v>#N/A</v>
      </c>
      <c r="E441" s="1347" t="e">
        <v>#N/A</v>
      </c>
      <c r="F441" s="311" t="e">
        <v>#N/A</v>
      </c>
      <c r="G441" s="1347" t="e">
        <v>#N/A</v>
      </c>
      <c r="H441" s="311" t="e">
        <v>#N/A</v>
      </c>
      <c r="I441" s="1347" t="e">
        <v>#N/A</v>
      </c>
      <c r="J441" s="311" t="e">
        <v>#N/A</v>
      </c>
      <c r="K441" s="1347" t="e">
        <v>#N/A</v>
      </c>
      <c r="L441" s="311" t="e">
        <v>#N/A</v>
      </c>
      <c r="M441" s="1347" t="e">
        <v>#N/A</v>
      </c>
      <c r="N441" s="1136" t="e">
        <v>#N/A</v>
      </c>
    </row>
    <row r="442" spans="1:14">
      <c r="A442" s="49">
        <f t="shared" si="5"/>
        <v>2030.01</v>
      </c>
      <c r="B442" s="1350" t="e">
        <v>#N/A</v>
      </c>
      <c r="C442" s="1347" t="e">
        <v>#N/A</v>
      </c>
      <c r="D442" s="311" t="e">
        <v>#N/A</v>
      </c>
      <c r="E442" s="1347" t="e">
        <v>#N/A</v>
      </c>
      <c r="F442" s="311" t="e">
        <v>#N/A</v>
      </c>
      <c r="G442" s="1347" t="e">
        <v>#N/A</v>
      </c>
      <c r="H442" s="311" t="e">
        <v>#N/A</v>
      </c>
      <c r="I442" s="1347" t="e">
        <v>#N/A</v>
      </c>
      <c r="J442" s="311" t="e">
        <v>#N/A</v>
      </c>
      <c r="K442" s="1347" t="e">
        <v>#N/A</v>
      </c>
      <c r="L442" s="311" t="e">
        <v>#N/A</v>
      </c>
      <c r="M442" s="1347" t="e">
        <v>#N/A</v>
      </c>
      <c r="N442" s="1136" t="e">
        <v>#N/A</v>
      </c>
    </row>
    <row r="443" spans="1:14">
      <c r="A443" s="49">
        <f t="shared" si="5"/>
        <v>2030.02</v>
      </c>
      <c r="B443" s="1350" t="e">
        <v>#N/A</v>
      </c>
      <c r="C443" s="1347" t="e">
        <v>#N/A</v>
      </c>
      <c r="D443" s="311" t="e">
        <v>#N/A</v>
      </c>
      <c r="E443" s="1347" t="e">
        <v>#N/A</v>
      </c>
      <c r="F443" s="311" t="e">
        <v>#N/A</v>
      </c>
      <c r="G443" s="1347" t="e">
        <v>#N/A</v>
      </c>
      <c r="H443" s="311" t="e">
        <v>#N/A</v>
      </c>
      <c r="I443" s="1347" t="e">
        <v>#N/A</v>
      </c>
      <c r="J443" s="311" t="e">
        <v>#N/A</v>
      </c>
      <c r="K443" s="1347" t="e">
        <v>#N/A</v>
      </c>
      <c r="L443" s="311" t="e">
        <v>#N/A</v>
      </c>
      <c r="M443" s="1347" t="e">
        <v>#N/A</v>
      </c>
      <c r="N443" s="1136" t="e">
        <v>#N/A</v>
      </c>
    </row>
    <row r="444" spans="1:14">
      <c r="A444" s="49">
        <f t="shared" si="5"/>
        <v>2030.03</v>
      </c>
      <c r="B444" s="1350" t="e">
        <v>#N/A</v>
      </c>
      <c r="C444" s="1347" t="e">
        <v>#N/A</v>
      </c>
      <c r="D444" s="311" t="e">
        <v>#N/A</v>
      </c>
      <c r="E444" s="1347" t="e">
        <v>#N/A</v>
      </c>
      <c r="F444" s="311" t="e">
        <v>#N/A</v>
      </c>
      <c r="G444" s="1347" t="e">
        <v>#N/A</v>
      </c>
      <c r="H444" s="311" t="e">
        <v>#N/A</v>
      </c>
      <c r="I444" s="1347" t="e">
        <v>#N/A</v>
      </c>
      <c r="J444" s="311" t="e">
        <v>#N/A</v>
      </c>
      <c r="K444" s="1347" t="e">
        <v>#N/A</v>
      </c>
      <c r="L444" s="311" t="e">
        <v>#N/A</v>
      </c>
      <c r="M444" s="1347" t="e">
        <v>#N/A</v>
      </c>
      <c r="N444" s="1136" t="e">
        <v>#N/A</v>
      </c>
    </row>
    <row r="445" spans="1:14">
      <c r="A445" s="49">
        <f t="shared" si="5"/>
        <v>2030.04</v>
      </c>
      <c r="B445" s="1350" t="e">
        <v>#N/A</v>
      </c>
      <c r="C445" s="1347" t="e">
        <v>#N/A</v>
      </c>
      <c r="D445" s="311" t="e">
        <v>#N/A</v>
      </c>
      <c r="E445" s="1347" t="e">
        <v>#N/A</v>
      </c>
      <c r="F445" s="311" t="e">
        <v>#N/A</v>
      </c>
      <c r="G445" s="1347" t="e">
        <v>#N/A</v>
      </c>
      <c r="H445" s="311" t="e">
        <v>#N/A</v>
      </c>
      <c r="I445" s="1347" t="e">
        <v>#N/A</v>
      </c>
      <c r="J445" s="311" t="e">
        <v>#N/A</v>
      </c>
      <c r="K445" s="1347" t="e">
        <v>#N/A</v>
      </c>
      <c r="L445" s="311" t="e">
        <v>#N/A</v>
      </c>
      <c r="M445" s="1347" t="e">
        <v>#N/A</v>
      </c>
      <c r="N445" s="1136" t="e">
        <v>#N/A</v>
      </c>
    </row>
    <row r="446" spans="1:14">
      <c r="A446" s="49">
        <f t="shared" si="5"/>
        <v>2030.05</v>
      </c>
      <c r="B446" s="1350" t="e">
        <v>#N/A</v>
      </c>
      <c r="C446" s="1347" t="e">
        <v>#N/A</v>
      </c>
      <c r="D446" s="311" t="e">
        <v>#N/A</v>
      </c>
      <c r="E446" s="1347" t="e">
        <v>#N/A</v>
      </c>
      <c r="F446" s="311" t="e">
        <v>#N/A</v>
      </c>
      <c r="G446" s="1347" t="e">
        <v>#N/A</v>
      </c>
      <c r="H446" s="311" t="e">
        <v>#N/A</v>
      </c>
      <c r="I446" s="1347" t="e">
        <v>#N/A</v>
      </c>
      <c r="J446" s="311" t="e">
        <v>#N/A</v>
      </c>
      <c r="K446" s="1347" t="e">
        <v>#N/A</v>
      </c>
      <c r="L446" s="311" t="e">
        <v>#N/A</v>
      </c>
      <c r="M446" s="1347" t="e">
        <v>#N/A</v>
      </c>
      <c r="N446" s="1136" t="e">
        <v>#N/A</v>
      </c>
    </row>
    <row r="447" spans="1:14">
      <c r="A447" s="49">
        <f t="shared" si="5"/>
        <v>2030.06</v>
      </c>
      <c r="B447" s="1350" t="e">
        <v>#N/A</v>
      </c>
      <c r="C447" s="1347" t="e">
        <v>#N/A</v>
      </c>
      <c r="D447" s="311" t="e">
        <v>#N/A</v>
      </c>
      <c r="E447" s="1347" t="e">
        <v>#N/A</v>
      </c>
      <c r="F447" s="311" t="e">
        <v>#N/A</v>
      </c>
      <c r="G447" s="1347" t="e">
        <v>#N/A</v>
      </c>
      <c r="H447" s="311" t="e">
        <v>#N/A</v>
      </c>
      <c r="I447" s="1347" t="e">
        <v>#N/A</v>
      </c>
      <c r="J447" s="311" t="e">
        <v>#N/A</v>
      </c>
      <c r="K447" s="1347" t="e">
        <v>#N/A</v>
      </c>
      <c r="L447" s="311" t="e">
        <v>#N/A</v>
      </c>
      <c r="M447" s="1347" t="e">
        <v>#N/A</v>
      </c>
      <c r="N447" s="1136" t="e">
        <v>#N/A</v>
      </c>
    </row>
    <row r="448" spans="1:14">
      <c r="A448" s="49">
        <f t="shared" si="5"/>
        <v>2030.07</v>
      </c>
      <c r="B448" s="1350" t="e">
        <v>#N/A</v>
      </c>
      <c r="C448" s="1347" t="e">
        <v>#N/A</v>
      </c>
      <c r="D448" s="311" t="e">
        <v>#N/A</v>
      </c>
      <c r="E448" s="1347" t="e">
        <v>#N/A</v>
      </c>
      <c r="F448" s="311" t="e">
        <v>#N/A</v>
      </c>
      <c r="G448" s="1347" t="e">
        <v>#N/A</v>
      </c>
      <c r="H448" s="311" t="e">
        <v>#N/A</v>
      </c>
      <c r="I448" s="1347" t="e">
        <v>#N/A</v>
      </c>
      <c r="J448" s="311" t="e">
        <v>#N/A</v>
      </c>
      <c r="K448" s="1347" t="e">
        <v>#N/A</v>
      </c>
      <c r="L448" s="311" t="e">
        <v>#N/A</v>
      </c>
      <c r="M448" s="1347" t="e">
        <v>#N/A</v>
      </c>
      <c r="N448" s="1136" t="e">
        <v>#N/A</v>
      </c>
    </row>
    <row r="449" spans="1:14">
      <c r="A449" s="49">
        <f t="shared" si="5"/>
        <v>2030.08</v>
      </c>
      <c r="B449" s="1350" t="e">
        <v>#N/A</v>
      </c>
      <c r="C449" s="1347" t="e">
        <v>#N/A</v>
      </c>
      <c r="D449" s="311" t="e">
        <v>#N/A</v>
      </c>
      <c r="E449" s="1347" t="e">
        <v>#N/A</v>
      </c>
      <c r="F449" s="311" t="e">
        <v>#N/A</v>
      </c>
      <c r="G449" s="1347" t="e">
        <v>#N/A</v>
      </c>
      <c r="H449" s="311" t="e">
        <v>#N/A</v>
      </c>
      <c r="I449" s="1347" t="e">
        <v>#N/A</v>
      </c>
      <c r="J449" s="311" t="e">
        <v>#N/A</v>
      </c>
      <c r="K449" s="1347" t="e">
        <v>#N/A</v>
      </c>
      <c r="L449" s="311" t="e">
        <v>#N/A</v>
      </c>
      <c r="M449" s="1347" t="e">
        <v>#N/A</v>
      </c>
      <c r="N449" s="1136" t="e">
        <v>#N/A</v>
      </c>
    </row>
    <row r="450" spans="1:14">
      <c r="A450" s="49">
        <f t="shared" si="5"/>
        <v>2030.09</v>
      </c>
      <c r="B450" s="1350" t="e">
        <v>#N/A</v>
      </c>
      <c r="C450" s="1347" t="e">
        <v>#N/A</v>
      </c>
      <c r="D450" s="311" t="e">
        <v>#N/A</v>
      </c>
      <c r="E450" s="1347" t="e">
        <v>#N/A</v>
      </c>
      <c r="F450" s="311" t="e">
        <v>#N/A</v>
      </c>
      <c r="G450" s="1347" t="e">
        <v>#N/A</v>
      </c>
      <c r="H450" s="311" t="e">
        <v>#N/A</v>
      </c>
      <c r="I450" s="1347" t="e">
        <v>#N/A</v>
      </c>
      <c r="J450" s="311" t="e">
        <v>#N/A</v>
      </c>
      <c r="K450" s="1347" t="e">
        <v>#N/A</v>
      </c>
      <c r="L450" s="311" t="e">
        <v>#N/A</v>
      </c>
      <c r="M450" s="1347" t="e">
        <v>#N/A</v>
      </c>
      <c r="N450" s="1136" t="e">
        <v>#N/A</v>
      </c>
    </row>
    <row r="451" spans="1:14">
      <c r="A451" s="49">
        <f t="shared" si="5"/>
        <v>2030.1</v>
      </c>
      <c r="B451" s="1350" t="e">
        <v>#N/A</v>
      </c>
      <c r="C451" s="1347" t="e">
        <v>#N/A</v>
      </c>
      <c r="D451" s="311" t="e">
        <v>#N/A</v>
      </c>
      <c r="E451" s="1347" t="e">
        <v>#N/A</v>
      </c>
      <c r="F451" s="311" t="e">
        <v>#N/A</v>
      </c>
      <c r="G451" s="1347" t="e">
        <v>#N/A</v>
      </c>
      <c r="H451" s="311" t="e">
        <v>#N/A</v>
      </c>
      <c r="I451" s="1347" t="e">
        <v>#N/A</v>
      </c>
      <c r="J451" s="311" t="e">
        <v>#N/A</v>
      </c>
      <c r="K451" s="1347" t="e">
        <v>#N/A</v>
      </c>
      <c r="L451" s="311" t="e">
        <v>#N/A</v>
      </c>
      <c r="M451" s="1347" t="e">
        <v>#N/A</v>
      </c>
      <c r="N451" s="1136" t="e">
        <v>#N/A</v>
      </c>
    </row>
    <row r="452" spans="1:14">
      <c r="A452" s="49">
        <f t="shared" si="5"/>
        <v>2030.11</v>
      </c>
      <c r="B452" s="1350" t="e">
        <v>#N/A</v>
      </c>
      <c r="C452" s="1347" t="e">
        <v>#N/A</v>
      </c>
      <c r="D452" s="311" t="e">
        <v>#N/A</v>
      </c>
      <c r="E452" s="1347" t="e">
        <v>#N/A</v>
      </c>
      <c r="F452" s="311" t="e">
        <v>#N/A</v>
      </c>
      <c r="G452" s="1347" t="e">
        <v>#N/A</v>
      </c>
      <c r="H452" s="311" t="e">
        <v>#N/A</v>
      </c>
      <c r="I452" s="1347" t="e">
        <v>#N/A</v>
      </c>
      <c r="J452" s="311" t="e">
        <v>#N/A</v>
      </c>
      <c r="K452" s="1347" t="e">
        <v>#N/A</v>
      </c>
      <c r="L452" s="311" t="e">
        <v>#N/A</v>
      </c>
      <c r="M452" s="1347" t="e">
        <v>#N/A</v>
      </c>
      <c r="N452" s="1136" t="e">
        <v>#N/A</v>
      </c>
    </row>
    <row r="453" spans="1:14">
      <c r="A453" s="49">
        <f t="shared" si="5"/>
        <v>2030.12</v>
      </c>
      <c r="B453" s="1350" t="e">
        <v>#N/A</v>
      </c>
      <c r="C453" s="1347" t="e">
        <v>#N/A</v>
      </c>
      <c r="D453" s="311" t="e">
        <v>#N/A</v>
      </c>
      <c r="E453" s="1347" t="e">
        <v>#N/A</v>
      </c>
      <c r="F453" s="311" t="e">
        <v>#N/A</v>
      </c>
      <c r="G453" s="1347" t="e">
        <v>#N/A</v>
      </c>
      <c r="H453" s="311" t="e">
        <v>#N/A</v>
      </c>
      <c r="I453" s="1347" t="e">
        <v>#N/A</v>
      </c>
      <c r="J453" s="311" t="e">
        <v>#N/A</v>
      </c>
      <c r="K453" s="1347" t="e">
        <v>#N/A</v>
      </c>
      <c r="L453" s="311" t="e">
        <v>#N/A</v>
      </c>
      <c r="M453" s="1347" t="e">
        <v>#N/A</v>
      </c>
      <c r="N453" s="1136" t="e">
        <v>#N/A</v>
      </c>
    </row>
  </sheetData>
  <phoneticPr fontId="0" type="noConversion"/>
  <hyperlinks>
    <hyperlink ref="A5" location="INDICE!A13" display="VOLVER AL INDICE" xr:uid="{00000000-0004-0000-1D00-000000000000}"/>
  </hyperlinks>
  <printOptions gridLines="1"/>
  <pageMargins left="0.39370078740157483" right="0.39370078740157483" top="0.59055118110236227" bottom="0.59055118110236227" header="0" footer="0"/>
  <pageSetup paperSize="9" scale="2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31"/>
  <sheetViews>
    <sheetView zoomScaleNormal="100" workbookViewId="0">
      <pane xSplit="1" ySplit="9" topLeftCell="B305" activePane="bottomRight" state="frozen"/>
      <selection pane="topRight" activeCell="C1" sqref="C1"/>
      <selection pane="bottomLeft" activeCell="A10" sqref="A10"/>
      <selection pane="bottomRight" activeCell="A5" sqref="A5"/>
    </sheetView>
  </sheetViews>
  <sheetFormatPr baseColWidth="10" defaultColWidth="11.42578125" defaultRowHeight="12.75"/>
  <cols>
    <col min="1" max="1" width="9.7109375" style="19" bestFit="1" customWidth="1"/>
    <col min="2" max="3" width="15.5703125" style="2580" customWidth="1"/>
    <col min="4" max="4" width="15.5703125" style="289" customWidth="1"/>
    <col min="5" max="16" width="15.5703125" style="1" customWidth="1"/>
    <col min="17" max="16384" width="11.42578125" style="1"/>
  </cols>
  <sheetData>
    <row r="1" spans="1:16" s="8" customFormat="1" ht="3" customHeight="1">
      <c r="A1" s="37"/>
      <c r="B1" s="2581"/>
      <c r="C1" s="2571"/>
      <c r="D1" s="2528"/>
      <c r="E1" s="2535"/>
      <c r="F1" s="173"/>
      <c r="G1" s="173"/>
      <c r="H1" s="173"/>
      <c r="I1" s="173"/>
      <c r="J1" s="173"/>
      <c r="K1" s="173"/>
      <c r="L1" s="173"/>
      <c r="M1" s="173"/>
      <c r="N1" s="173"/>
      <c r="O1" s="173"/>
      <c r="P1" s="174"/>
    </row>
    <row r="2" spans="1:16" s="8" customFormat="1" ht="41.25" customHeight="1">
      <c r="A2" s="2294" t="s">
        <v>212</v>
      </c>
      <c r="B2" s="2582" t="s">
        <v>1381</v>
      </c>
      <c r="C2" s="2572"/>
      <c r="D2" s="77"/>
      <c r="E2" s="803" t="s">
        <v>1423</v>
      </c>
      <c r="F2" s="848"/>
      <c r="G2" s="848"/>
      <c r="H2" s="848"/>
      <c r="I2" s="848"/>
      <c r="J2" s="848"/>
      <c r="K2" s="848"/>
      <c r="L2" s="848"/>
      <c r="M2" s="848"/>
      <c r="N2" s="848"/>
      <c r="O2" s="848"/>
      <c r="P2" s="842"/>
    </row>
    <row r="3" spans="1:16" s="8" customFormat="1">
      <c r="A3" s="121" t="s">
        <v>330</v>
      </c>
      <c r="B3" s="2583" t="s">
        <v>1382</v>
      </c>
      <c r="C3" s="2573"/>
      <c r="D3" s="2529"/>
      <c r="E3" s="139" t="s">
        <v>1382</v>
      </c>
      <c r="F3" s="136"/>
      <c r="G3" s="136"/>
      <c r="H3" s="136"/>
      <c r="I3" s="136"/>
      <c r="J3" s="136"/>
      <c r="K3" s="136"/>
      <c r="L3" s="136"/>
      <c r="M3" s="136"/>
      <c r="N3" s="136"/>
      <c r="O3" s="136"/>
      <c r="P3" s="146"/>
    </row>
    <row r="4" spans="1:16" s="8" customFormat="1" ht="18">
      <c r="A4" s="2296"/>
      <c r="B4" s="2593"/>
      <c r="C4" s="2574"/>
      <c r="D4" s="2548"/>
      <c r="E4" s="2549" t="s">
        <v>1415</v>
      </c>
      <c r="F4" s="2550" t="s">
        <v>1416</v>
      </c>
      <c r="G4" s="2550" t="s">
        <v>1417</v>
      </c>
      <c r="H4" s="2550" t="s">
        <v>1418</v>
      </c>
      <c r="I4" s="2550" t="s">
        <v>1419</v>
      </c>
      <c r="J4" s="2551" t="s">
        <v>1420</v>
      </c>
      <c r="K4" s="2552" t="s">
        <v>1415</v>
      </c>
      <c r="L4" s="2550" t="s">
        <v>1416</v>
      </c>
      <c r="M4" s="2550" t="s">
        <v>1417</v>
      </c>
      <c r="N4" s="2550" t="s">
        <v>1418</v>
      </c>
      <c r="O4" s="2550" t="s">
        <v>1419</v>
      </c>
      <c r="P4" s="2553" t="s">
        <v>1420</v>
      </c>
    </row>
    <row r="5" spans="1:16" s="8" customFormat="1" ht="22.5">
      <c r="A5" s="2297" t="s">
        <v>213</v>
      </c>
      <c r="B5" s="2584" t="s">
        <v>286</v>
      </c>
      <c r="C5" s="2575" t="s">
        <v>394</v>
      </c>
      <c r="D5" s="1348" t="s">
        <v>288</v>
      </c>
      <c r="E5" s="2536" t="s">
        <v>1424</v>
      </c>
      <c r="F5" s="2518"/>
      <c r="G5" s="2518"/>
      <c r="H5" s="2518"/>
      <c r="I5" s="2518"/>
      <c r="J5" s="2519"/>
      <c r="K5" s="2518" t="s">
        <v>1425</v>
      </c>
      <c r="L5" s="2518"/>
      <c r="M5" s="2518"/>
      <c r="N5" s="2518"/>
      <c r="O5" s="2518"/>
      <c r="P5" s="2523"/>
    </row>
    <row r="6" spans="1:16" s="8" customFormat="1" ht="3" customHeight="1">
      <c r="A6" s="2299"/>
      <c r="B6" s="2585"/>
      <c r="C6" s="2576"/>
      <c r="D6" s="453"/>
      <c r="E6" s="815"/>
      <c r="F6" s="149"/>
      <c r="G6" s="807"/>
      <c r="H6" s="807"/>
      <c r="I6" s="807"/>
      <c r="J6" s="816"/>
      <c r="K6" s="807"/>
      <c r="L6" s="149"/>
      <c r="M6" s="807"/>
      <c r="N6" s="807"/>
      <c r="O6" s="807"/>
      <c r="P6" s="809"/>
    </row>
    <row r="7" spans="1:16" s="8" customFormat="1" ht="22.5">
      <c r="A7" s="2300" t="s">
        <v>210</v>
      </c>
      <c r="B7" s="2584" t="s">
        <v>955</v>
      </c>
      <c r="C7" s="1765" t="s">
        <v>793</v>
      </c>
      <c r="D7" s="2530" t="s">
        <v>793</v>
      </c>
      <c r="E7" s="2520" t="s">
        <v>793</v>
      </c>
      <c r="F7" s="2521"/>
      <c r="G7" s="2521"/>
      <c r="H7" s="2521"/>
      <c r="I7" s="2521"/>
      <c r="J7" s="2522"/>
      <c r="K7" s="2520" t="s">
        <v>793</v>
      </c>
      <c r="L7" s="2521"/>
      <c r="M7" s="2521"/>
      <c r="N7" s="2521"/>
      <c r="O7" s="2521"/>
      <c r="P7" s="2524"/>
    </row>
    <row r="8" spans="1:16" s="8" customFormat="1">
      <c r="A8" s="2301" t="s">
        <v>412</v>
      </c>
      <c r="B8" s="2586" t="s">
        <v>411</v>
      </c>
      <c r="C8" s="2577" t="s">
        <v>413</v>
      </c>
      <c r="D8" s="2531" t="s">
        <v>414</v>
      </c>
      <c r="E8" s="2547" t="s">
        <v>1421</v>
      </c>
      <c r="F8" s="1336" t="s">
        <v>1422</v>
      </c>
      <c r="G8" s="1336" t="s">
        <v>1426</v>
      </c>
      <c r="H8" s="1336" t="s">
        <v>1427</v>
      </c>
      <c r="I8" s="1336" t="s">
        <v>1428</v>
      </c>
      <c r="J8" s="2546" t="s">
        <v>1429</v>
      </c>
      <c r="K8" s="2512" t="s">
        <v>1430</v>
      </c>
      <c r="L8" s="1336" t="s">
        <v>1431</v>
      </c>
      <c r="M8" s="1336" t="s">
        <v>1432</v>
      </c>
      <c r="N8" s="1336" t="s">
        <v>1433</v>
      </c>
      <c r="O8" s="1336" t="s">
        <v>1434</v>
      </c>
      <c r="P8" s="2513" t="s">
        <v>1435</v>
      </c>
    </row>
    <row r="9" spans="1:16" s="9" customFormat="1" ht="1.5" customHeight="1" thickBot="1">
      <c r="A9" s="2302"/>
      <c r="B9" s="2587"/>
      <c r="C9" s="2578"/>
      <c r="D9" s="2532"/>
      <c r="E9" s="2542"/>
      <c r="F9" s="2543"/>
      <c r="G9" s="2543"/>
      <c r="H9" s="2543"/>
      <c r="I9" s="2543"/>
      <c r="J9" s="2544"/>
      <c r="K9" s="2542"/>
      <c r="L9" s="2543"/>
      <c r="M9" s="2543"/>
      <c r="N9" s="2543"/>
      <c r="O9" s="2543"/>
      <c r="P9" s="2545"/>
    </row>
    <row r="10" spans="1:16" s="9" customFormat="1">
      <c r="A10" s="329">
        <v>1998.01</v>
      </c>
      <c r="B10" s="2588"/>
      <c r="C10" s="2579"/>
      <c r="D10" s="2533"/>
      <c r="E10" s="2537"/>
      <c r="F10" s="2517"/>
      <c r="G10" s="2517"/>
      <c r="H10" s="2517"/>
      <c r="I10" s="2517"/>
      <c r="J10" s="2527"/>
      <c r="K10" s="2526"/>
      <c r="L10" s="2517"/>
      <c r="M10" s="2517"/>
      <c r="N10" s="2517"/>
      <c r="O10" s="2517"/>
      <c r="P10" s="2525"/>
    </row>
    <row r="11" spans="1:16" s="9" customFormat="1">
      <c r="A11" s="329">
        <v>1998.02</v>
      </c>
      <c r="B11" s="2589"/>
      <c r="C11" s="2579"/>
      <c r="D11" s="2533"/>
      <c r="E11" s="2537"/>
      <c r="F11" s="2517"/>
      <c r="G11" s="2517"/>
      <c r="H11" s="2517"/>
      <c r="I11" s="2517"/>
      <c r="J11" s="2527"/>
      <c r="K11" s="2526"/>
      <c r="L11" s="2517"/>
      <c r="M11" s="2517"/>
      <c r="N11" s="2517"/>
      <c r="O11" s="2517"/>
      <c r="P11" s="2525"/>
    </row>
    <row r="12" spans="1:16" s="9" customFormat="1">
      <c r="A12" s="329">
        <v>1998.03</v>
      </c>
      <c r="B12" s="2589"/>
      <c r="C12" s="2579"/>
      <c r="D12" s="2533"/>
      <c r="E12" s="2537"/>
      <c r="F12" s="2517"/>
      <c r="G12" s="2517"/>
      <c r="H12" s="2517"/>
      <c r="I12" s="2517"/>
      <c r="J12" s="2527"/>
      <c r="K12" s="2526"/>
      <c r="L12" s="2517"/>
      <c r="M12" s="2517"/>
      <c r="N12" s="2517"/>
      <c r="O12" s="2517"/>
      <c r="P12" s="2525"/>
    </row>
    <row r="13" spans="1:16" s="9" customFormat="1">
      <c r="A13" s="329">
        <v>1998.04</v>
      </c>
      <c r="B13" s="2589"/>
      <c r="C13" s="2579"/>
      <c r="D13" s="2533"/>
      <c r="E13" s="2537"/>
      <c r="F13" s="2517"/>
      <c r="G13" s="2517"/>
      <c r="H13" s="2517"/>
      <c r="I13" s="2517"/>
      <c r="J13" s="2527"/>
      <c r="K13" s="2526"/>
      <c r="L13" s="2517"/>
      <c r="M13" s="2517"/>
      <c r="N13" s="2517"/>
      <c r="O13" s="2517"/>
      <c r="P13" s="2525"/>
    </row>
    <row r="14" spans="1:16" s="9" customFormat="1">
      <c r="A14" s="329">
        <v>1998.05</v>
      </c>
      <c r="B14" s="2589"/>
      <c r="C14" s="2579"/>
      <c r="D14" s="2533"/>
      <c r="E14" s="2537"/>
      <c r="F14" s="2517"/>
      <c r="G14" s="2517"/>
      <c r="H14" s="2517"/>
      <c r="I14" s="2517"/>
      <c r="J14" s="2527"/>
      <c r="K14" s="2526"/>
      <c r="L14" s="2517"/>
      <c r="M14" s="2517"/>
      <c r="N14" s="2517"/>
      <c r="O14" s="2517"/>
      <c r="P14" s="2525"/>
    </row>
    <row r="15" spans="1:16">
      <c r="A15" s="329">
        <v>1998.06</v>
      </c>
      <c r="B15" s="2590">
        <v>87.818378605224751</v>
      </c>
      <c r="C15" s="2579"/>
      <c r="D15" s="2533"/>
      <c r="E15" s="2537"/>
      <c r="F15" s="2517"/>
      <c r="G15" s="2517"/>
      <c r="H15" s="2517"/>
      <c r="I15" s="2517"/>
      <c r="J15" s="2527"/>
      <c r="K15" s="2526"/>
      <c r="L15" s="2517"/>
      <c r="M15" s="2517"/>
      <c r="N15" s="2517"/>
      <c r="O15" s="2517"/>
      <c r="P15" s="2525"/>
    </row>
    <row r="16" spans="1:16">
      <c r="A16" s="329">
        <v>1998.07</v>
      </c>
      <c r="B16" s="2591">
        <v>88.840396324777174</v>
      </c>
      <c r="C16" s="2661">
        <v>1.1637856856214102E-2</v>
      </c>
      <c r="D16" s="2533"/>
      <c r="E16" s="2537"/>
      <c r="F16" s="2517"/>
      <c r="G16" s="2517"/>
      <c r="H16" s="2517"/>
      <c r="I16" s="2517"/>
      <c r="J16" s="2527"/>
      <c r="K16" s="2526"/>
      <c r="L16" s="2517"/>
      <c r="M16" s="2517"/>
      <c r="N16" s="2517"/>
      <c r="O16" s="2517"/>
      <c r="P16" s="2525"/>
    </row>
    <row r="17" spans="1:16">
      <c r="A17" s="329">
        <v>1998.08</v>
      </c>
      <c r="B17" s="2591">
        <v>90.501192461705898</v>
      </c>
      <c r="C17" s="2662">
        <v>1.8694154974920218E-2</v>
      </c>
      <c r="D17" s="2533"/>
      <c r="E17" s="2537"/>
      <c r="F17" s="2517"/>
      <c r="G17" s="2517"/>
      <c r="H17" s="2517"/>
      <c r="I17" s="2517"/>
      <c r="J17" s="2527"/>
      <c r="K17" s="2526"/>
      <c r="L17" s="2517"/>
      <c r="M17" s="2517"/>
      <c r="N17" s="2517"/>
      <c r="O17" s="2517"/>
      <c r="P17" s="2525"/>
    </row>
    <row r="18" spans="1:16">
      <c r="A18" s="329">
        <v>1998.09</v>
      </c>
      <c r="B18" s="2591">
        <v>90.069272075139338</v>
      </c>
      <c r="C18" s="2662">
        <v>-4.7725380717974497E-3</v>
      </c>
      <c r="D18" s="2533"/>
      <c r="E18" s="2537"/>
      <c r="F18" s="2517"/>
      <c r="G18" s="2517"/>
      <c r="H18" s="2517"/>
      <c r="I18" s="2517"/>
      <c r="J18" s="2527"/>
      <c r="K18" s="2526"/>
      <c r="L18" s="2517"/>
      <c r="M18" s="2517"/>
      <c r="N18" s="2517"/>
      <c r="O18" s="2517"/>
      <c r="P18" s="2525"/>
    </row>
    <row r="19" spans="1:16">
      <c r="A19" s="329">
        <v>1998.1</v>
      </c>
      <c r="B19" s="2591">
        <v>89.697367644099842</v>
      </c>
      <c r="C19" s="2662">
        <v>-4.1290933352857717E-3</v>
      </c>
      <c r="D19" s="2533"/>
      <c r="E19" s="2537"/>
      <c r="F19" s="2517"/>
      <c r="G19" s="2517"/>
      <c r="H19" s="2517"/>
      <c r="I19" s="2517"/>
      <c r="J19" s="2527"/>
      <c r="K19" s="2526"/>
      <c r="L19" s="2517"/>
      <c r="M19" s="2517"/>
      <c r="N19" s="2517"/>
      <c r="O19" s="2517"/>
      <c r="P19" s="2525"/>
    </row>
    <row r="20" spans="1:16">
      <c r="A20" s="329">
        <v>1998.11</v>
      </c>
      <c r="B20" s="2591">
        <v>90.204877488155702</v>
      </c>
      <c r="C20" s="2662">
        <v>5.6580238348749035E-3</v>
      </c>
      <c r="D20" s="2533"/>
      <c r="E20" s="2537"/>
      <c r="F20" s="2517"/>
      <c r="G20" s="2517"/>
      <c r="H20" s="2517"/>
      <c r="I20" s="2517"/>
      <c r="J20" s="2527"/>
      <c r="K20" s="2526"/>
      <c r="L20" s="2517"/>
      <c r="M20" s="2517"/>
      <c r="N20" s="2517"/>
      <c r="O20" s="2517"/>
      <c r="P20" s="2525"/>
    </row>
    <row r="21" spans="1:16">
      <c r="A21" s="329">
        <v>1998.12</v>
      </c>
      <c r="B21" s="2591">
        <v>88.374170458532902</v>
      </c>
      <c r="C21" s="2662">
        <v>-2.0294989368653371E-2</v>
      </c>
      <c r="D21" s="2533"/>
      <c r="E21" s="2537"/>
      <c r="F21" s="2517"/>
      <c r="G21" s="2517"/>
      <c r="H21" s="2517"/>
      <c r="I21" s="2517"/>
      <c r="J21" s="2527"/>
      <c r="K21" s="2526"/>
      <c r="L21" s="2517"/>
      <c r="M21" s="2517"/>
      <c r="N21" s="2517"/>
      <c r="O21" s="2517"/>
      <c r="P21" s="2525"/>
    </row>
    <row r="22" spans="1:16">
      <c r="A22" s="329">
        <v>1999.01</v>
      </c>
      <c r="B22" s="2591">
        <v>87.565367779762397</v>
      </c>
      <c r="C22" s="2662">
        <v>-9.152025694543986E-3</v>
      </c>
      <c r="D22" s="2533"/>
      <c r="E22" s="2537"/>
      <c r="F22" s="2517"/>
      <c r="G22" s="2517"/>
      <c r="H22" s="2517"/>
      <c r="I22" s="2517"/>
      <c r="J22" s="2527"/>
      <c r="K22" s="2526"/>
      <c r="L22" s="2517"/>
      <c r="M22" s="2517"/>
      <c r="N22" s="2517"/>
      <c r="O22" s="2517"/>
      <c r="P22" s="2525"/>
    </row>
    <row r="23" spans="1:16">
      <c r="A23" s="329">
        <v>1999.02</v>
      </c>
      <c r="B23" s="2591">
        <v>91.473068071478892</v>
      </c>
      <c r="C23" s="2662">
        <v>4.4626093520726551E-2</v>
      </c>
      <c r="D23" s="2533"/>
      <c r="E23" s="2537"/>
      <c r="F23" s="2517"/>
      <c r="G23" s="2517"/>
      <c r="H23" s="2517"/>
      <c r="I23" s="2517"/>
      <c r="J23" s="2527"/>
      <c r="K23" s="2526"/>
      <c r="L23" s="2517"/>
      <c r="M23" s="2517"/>
      <c r="N23" s="2517"/>
      <c r="O23" s="2517"/>
      <c r="P23" s="2525"/>
    </row>
    <row r="24" spans="1:16">
      <c r="A24" s="329">
        <v>1999.03</v>
      </c>
      <c r="B24" s="2591">
        <v>88.491477584453349</v>
      </c>
      <c r="C24" s="2662">
        <v>-3.2595282413569682E-2</v>
      </c>
      <c r="D24" s="2533"/>
      <c r="E24" s="2537"/>
      <c r="F24" s="2517"/>
      <c r="G24" s="2517"/>
      <c r="H24" s="2517"/>
      <c r="I24" s="2517"/>
      <c r="J24" s="2527"/>
      <c r="K24" s="2526"/>
      <c r="L24" s="2517"/>
      <c r="M24" s="2517"/>
      <c r="N24" s="2517"/>
      <c r="O24" s="2517"/>
      <c r="P24" s="2525"/>
    </row>
    <row r="25" spans="1:16">
      <c r="A25" s="329">
        <v>1999.04</v>
      </c>
      <c r="B25" s="2591">
        <v>89.987320440151905</v>
      </c>
      <c r="C25" s="2662">
        <v>1.6903806971365842E-2</v>
      </c>
      <c r="D25" s="2533"/>
      <c r="E25" s="2537"/>
      <c r="F25" s="2517"/>
      <c r="G25" s="2517"/>
      <c r="H25" s="2517"/>
      <c r="I25" s="2517"/>
      <c r="J25" s="2527"/>
      <c r="K25" s="2526"/>
      <c r="L25" s="2517"/>
      <c r="M25" s="2517"/>
      <c r="N25" s="2517"/>
      <c r="O25" s="2517"/>
      <c r="P25" s="2525"/>
    </row>
    <row r="26" spans="1:16">
      <c r="A26" s="329">
        <v>1999.05</v>
      </c>
      <c r="B26" s="2591">
        <v>90.718403831215696</v>
      </c>
      <c r="C26" s="2662">
        <v>8.1242933725313993E-3</v>
      </c>
      <c r="D26" s="2533"/>
      <c r="E26" s="2537"/>
      <c r="F26" s="2517"/>
      <c r="G26" s="2517"/>
      <c r="H26" s="2517"/>
      <c r="I26" s="2517"/>
      <c r="J26" s="2527"/>
      <c r="K26" s="2526"/>
      <c r="L26" s="2517"/>
      <c r="M26" s="2517"/>
      <c r="N26" s="2517"/>
      <c r="O26" s="2517"/>
      <c r="P26" s="2525"/>
    </row>
    <row r="27" spans="1:16">
      <c r="A27" s="329">
        <v>1999.06</v>
      </c>
      <c r="B27" s="2591">
        <v>90.604761471444817</v>
      </c>
      <c r="C27" s="2662">
        <v>-1.2526935546872675E-3</v>
      </c>
      <c r="D27" s="2130">
        <v>3.1728926341783925E-2</v>
      </c>
      <c r="E27" s="2537"/>
      <c r="F27" s="2517"/>
      <c r="G27" s="2517"/>
      <c r="H27" s="2517"/>
      <c r="I27" s="2517"/>
      <c r="J27" s="2527"/>
      <c r="K27" s="2526"/>
      <c r="L27" s="2517"/>
      <c r="M27" s="2517"/>
      <c r="N27" s="2517"/>
      <c r="O27" s="2517"/>
      <c r="P27" s="2525"/>
    </row>
    <row r="28" spans="1:16">
      <c r="A28" s="329">
        <v>1999.07</v>
      </c>
      <c r="B28" s="2591">
        <v>91.992013489345311</v>
      </c>
      <c r="C28" s="2662">
        <v>1.5311027758046825E-2</v>
      </c>
      <c r="D28" s="2663">
        <v>3.5475046205857286E-2</v>
      </c>
      <c r="E28" s="2537"/>
      <c r="F28" s="2517"/>
      <c r="G28" s="2517"/>
      <c r="H28" s="2517"/>
      <c r="I28" s="2517"/>
      <c r="J28" s="2527"/>
      <c r="K28" s="2526"/>
      <c r="L28" s="2517"/>
      <c r="M28" s="2517"/>
      <c r="N28" s="2517"/>
      <c r="O28" s="2517"/>
      <c r="P28" s="2525"/>
    </row>
    <row r="29" spans="1:16">
      <c r="A29" s="329">
        <v>1999.08</v>
      </c>
      <c r="B29" s="2591">
        <v>93.196703958505722</v>
      </c>
      <c r="C29" s="2662">
        <v>1.3095598448879864E-2</v>
      </c>
      <c r="D29" s="2663">
        <v>2.9784264974634267E-2</v>
      </c>
      <c r="E29" s="2537"/>
      <c r="F29" s="2517"/>
      <c r="G29" s="2517"/>
      <c r="H29" s="2517"/>
      <c r="I29" s="2517"/>
      <c r="J29" s="2527"/>
      <c r="K29" s="2526"/>
      <c r="L29" s="2517"/>
      <c r="M29" s="2517"/>
      <c r="N29" s="2517"/>
      <c r="O29" s="2517"/>
      <c r="P29" s="2525"/>
    </row>
    <row r="30" spans="1:16">
      <c r="A30" s="329">
        <v>1999.09</v>
      </c>
      <c r="B30" s="2591">
        <v>91.574885297767565</v>
      </c>
      <c r="C30" s="2662">
        <v>-1.7402103205927166E-2</v>
      </c>
      <c r="D30" s="2663">
        <v>1.6716169543062209E-2</v>
      </c>
      <c r="E30" s="2537"/>
      <c r="F30" s="2517"/>
      <c r="G30" s="2517"/>
      <c r="H30" s="2517"/>
      <c r="I30" s="2517"/>
      <c r="J30" s="2527"/>
      <c r="K30" s="2526"/>
      <c r="L30" s="2517"/>
      <c r="M30" s="2517"/>
      <c r="N30" s="2517"/>
      <c r="O30" s="2517"/>
      <c r="P30" s="2525"/>
    </row>
    <row r="31" spans="1:16">
      <c r="A31" s="329">
        <v>1999.1</v>
      </c>
      <c r="B31" s="2591">
        <v>92.37631500470151</v>
      </c>
      <c r="C31" s="2662">
        <v>8.7516321131932973E-3</v>
      </c>
      <c r="D31" s="2663">
        <v>2.986651036662713E-2</v>
      </c>
      <c r="E31" s="2537"/>
      <c r="F31" s="2517"/>
      <c r="G31" s="2517"/>
      <c r="H31" s="2517"/>
      <c r="I31" s="2517"/>
      <c r="J31" s="2527"/>
      <c r="K31" s="2526"/>
      <c r="L31" s="2517"/>
      <c r="M31" s="2517"/>
      <c r="N31" s="2517"/>
      <c r="O31" s="2517"/>
      <c r="P31" s="2525"/>
    </row>
    <row r="32" spans="1:16">
      <c r="A32" s="329">
        <v>1999.11</v>
      </c>
      <c r="B32" s="2591">
        <v>89.100644508597014</v>
      </c>
      <c r="C32" s="2662">
        <v>-3.5460068914177634E-2</v>
      </c>
      <c r="D32" s="2663">
        <v>-1.2241388828488575E-2</v>
      </c>
      <c r="E32" s="2537"/>
      <c r="F32" s="2517"/>
      <c r="G32" s="2517"/>
      <c r="H32" s="2517"/>
      <c r="I32" s="2517"/>
      <c r="J32" s="2527"/>
      <c r="K32" s="2526"/>
      <c r="L32" s="2517"/>
      <c r="M32" s="2517"/>
      <c r="N32" s="2517"/>
      <c r="O32" s="2517"/>
      <c r="P32" s="2525"/>
    </row>
    <row r="33" spans="1:16">
      <c r="A33" s="329">
        <v>1999.12</v>
      </c>
      <c r="B33" s="2591">
        <v>97.904646651748166</v>
      </c>
      <c r="C33" s="2662">
        <v>9.8809634786667377E-2</v>
      </c>
      <c r="D33" s="2663">
        <v>0.10784232704834462</v>
      </c>
      <c r="E33" s="2537"/>
      <c r="F33" s="2517"/>
      <c r="G33" s="2517"/>
      <c r="H33" s="2517"/>
      <c r="I33" s="2517"/>
      <c r="J33" s="2527"/>
      <c r="K33" s="2526"/>
      <c r="L33" s="2517"/>
      <c r="M33" s="2517"/>
      <c r="N33" s="2517"/>
      <c r="O33" s="2517"/>
      <c r="P33" s="2525"/>
    </row>
    <row r="34" spans="1:16">
      <c r="A34" s="329">
        <v>2000.01</v>
      </c>
      <c r="B34" s="2591">
        <v>96.773288654243217</v>
      </c>
      <c r="C34" s="2662">
        <v>-1.1555712994187561E-2</v>
      </c>
      <c r="D34" s="2663">
        <v>0.10515482442373635</v>
      </c>
      <c r="E34" s="2537"/>
      <c r="F34" s="2517"/>
      <c r="G34" s="2517"/>
      <c r="H34" s="2517"/>
      <c r="I34" s="2517"/>
      <c r="J34" s="2527"/>
      <c r="K34" s="2526"/>
      <c r="L34" s="2517"/>
      <c r="M34" s="2517"/>
      <c r="N34" s="2517"/>
      <c r="O34" s="2517"/>
      <c r="P34" s="2525"/>
    </row>
    <row r="35" spans="1:16">
      <c r="A35" s="329">
        <v>2000.02</v>
      </c>
      <c r="B35" s="2591">
        <v>93.402754484699301</v>
      </c>
      <c r="C35" s="2662">
        <v>-3.4829178758059354E-2</v>
      </c>
      <c r="D35" s="2663">
        <v>2.109567825704195E-2</v>
      </c>
      <c r="E35" s="2537"/>
      <c r="F35" s="2517"/>
      <c r="G35" s="2517"/>
      <c r="H35" s="2517"/>
      <c r="I35" s="2517"/>
      <c r="J35" s="2527"/>
      <c r="K35" s="2526"/>
      <c r="L35" s="2517"/>
      <c r="M35" s="2517"/>
      <c r="N35" s="2517"/>
      <c r="O35" s="2517"/>
      <c r="P35" s="2525"/>
    </row>
    <row r="36" spans="1:16">
      <c r="A36" s="329">
        <v>2000.03</v>
      </c>
      <c r="B36" s="2591">
        <v>92.0463961553655</v>
      </c>
      <c r="C36" s="2662">
        <v>-1.4521609526579771E-2</v>
      </c>
      <c r="D36" s="2663">
        <v>4.0172439967673279E-2</v>
      </c>
      <c r="E36" s="2537"/>
      <c r="F36" s="2517"/>
      <c r="G36" s="2517"/>
      <c r="H36" s="2517"/>
      <c r="I36" s="2517"/>
      <c r="J36" s="2527"/>
      <c r="K36" s="2526"/>
      <c r="L36" s="2517"/>
      <c r="M36" s="2517"/>
      <c r="N36" s="2517"/>
      <c r="O36" s="2517"/>
      <c r="P36" s="2525"/>
    </row>
    <row r="37" spans="1:16">
      <c r="A37" s="329">
        <v>2000.04</v>
      </c>
      <c r="B37" s="2591">
        <v>93.598629926264579</v>
      </c>
      <c r="C37" s="2662">
        <v>1.6863601789243843E-2</v>
      </c>
      <c r="D37" s="2663">
        <v>4.0131314816896468E-2</v>
      </c>
      <c r="E37" s="2537"/>
      <c r="F37" s="2517"/>
      <c r="G37" s="2517"/>
      <c r="H37" s="2517"/>
      <c r="I37" s="2517"/>
      <c r="J37" s="2527"/>
      <c r="K37" s="2526"/>
      <c r="L37" s="2517"/>
      <c r="M37" s="2517"/>
      <c r="N37" s="2517"/>
      <c r="O37" s="2517"/>
      <c r="P37" s="2525"/>
    </row>
    <row r="38" spans="1:16">
      <c r="A38" s="329">
        <v>2000.05</v>
      </c>
      <c r="B38" s="2591">
        <v>90.424806885622615</v>
      </c>
      <c r="C38" s="2662">
        <v>-3.3908862161147524E-2</v>
      </c>
      <c r="D38" s="2663">
        <v>-3.2363548430517364E-3</v>
      </c>
      <c r="E38" s="2537"/>
      <c r="F38" s="2517"/>
      <c r="G38" s="2517"/>
      <c r="H38" s="2517"/>
      <c r="I38" s="2517"/>
      <c r="J38" s="2527"/>
      <c r="K38" s="2526"/>
      <c r="L38" s="2517"/>
      <c r="M38" s="2517"/>
      <c r="N38" s="2517"/>
      <c r="O38" s="2517"/>
      <c r="P38" s="2525"/>
    </row>
    <row r="39" spans="1:16">
      <c r="A39" s="329">
        <v>2000.06</v>
      </c>
      <c r="B39" s="2591">
        <v>91.361882889940446</v>
      </c>
      <c r="C39" s="2662">
        <v>1.0363041255958994E-2</v>
      </c>
      <c r="D39" s="2663">
        <v>8.356309383742877E-3</v>
      </c>
      <c r="E39" s="2537"/>
      <c r="F39" s="2517"/>
      <c r="G39" s="2517"/>
      <c r="H39" s="2517"/>
      <c r="I39" s="2517"/>
      <c r="J39" s="2527"/>
      <c r="K39" s="2526"/>
      <c r="L39" s="2517"/>
      <c r="M39" s="2517"/>
      <c r="N39" s="2517"/>
      <c r="O39" s="2517"/>
      <c r="P39" s="2525"/>
    </row>
    <row r="40" spans="1:16">
      <c r="A40" s="329">
        <v>2000.07</v>
      </c>
      <c r="B40" s="2591">
        <v>91.105311634456513</v>
      </c>
      <c r="C40" s="2662">
        <v>-2.8082964948633604E-3</v>
      </c>
      <c r="D40" s="2663">
        <v>-9.6389003920595018E-3</v>
      </c>
      <c r="E40" s="2537"/>
      <c r="F40" s="2517"/>
      <c r="G40" s="2517"/>
      <c r="H40" s="2517"/>
      <c r="I40" s="2517"/>
      <c r="J40" s="2527"/>
      <c r="K40" s="2526"/>
      <c r="L40" s="2517"/>
      <c r="M40" s="2517"/>
      <c r="N40" s="2517"/>
      <c r="O40" s="2517"/>
      <c r="P40" s="2525"/>
    </row>
    <row r="41" spans="1:16">
      <c r="A41" s="329">
        <v>2000.08</v>
      </c>
      <c r="B41" s="2591">
        <v>88.962794271896811</v>
      </c>
      <c r="C41" s="2662">
        <v>-2.3516931385473616E-2</v>
      </c>
      <c r="D41" s="2663">
        <v>-4.542982215866765E-2</v>
      </c>
      <c r="E41" s="2537"/>
      <c r="F41" s="2517"/>
      <c r="G41" s="2517"/>
      <c r="H41" s="2517"/>
      <c r="I41" s="2517"/>
      <c r="J41" s="2527"/>
      <c r="K41" s="2526"/>
      <c r="L41" s="2517"/>
      <c r="M41" s="2517"/>
      <c r="N41" s="2517"/>
      <c r="O41" s="2517"/>
      <c r="P41" s="2525"/>
    </row>
    <row r="42" spans="1:16">
      <c r="A42" s="329">
        <v>2000.09</v>
      </c>
      <c r="B42" s="2591">
        <v>88.118136004938265</v>
      </c>
      <c r="C42" s="2662">
        <v>-9.4945114288679244E-3</v>
      </c>
      <c r="D42" s="2663">
        <v>-3.7747787306413039E-2</v>
      </c>
      <c r="E42" s="2537"/>
      <c r="F42" s="2517"/>
      <c r="G42" s="2517"/>
      <c r="H42" s="2517"/>
      <c r="I42" s="2517"/>
      <c r="J42" s="2527"/>
      <c r="K42" s="2526"/>
      <c r="L42" s="2517"/>
      <c r="M42" s="2517"/>
      <c r="N42" s="2517"/>
      <c r="O42" s="2517"/>
      <c r="P42" s="2525"/>
    </row>
    <row r="43" spans="1:16">
      <c r="A43" s="329">
        <v>2000.1</v>
      </c>
      <c r="B43" s="2591">
        <v>88.518703446572104</v>
      </c>
      <c r="C43" s="2662">
        <v>4.5458002154221688E-3</v>
      </c>
      <c r="D43" s="2663">
        <v>-4.175974715957298E-2</v>
      </c>
      <c r="E43" s="2537"/>
      <c r="F43" s="2517"/>
      <c r="G43" s="2517"/>
      <c r="H43" s="2517"/>
      <c r="I43" s="2517"/>
      <c r="J43" s="2527"/>
      <c r="K43" s="2526"/>
      <c r="L43" s="2517"/>
      <c r="M43" s="2517"/>
      <c r="N43" s="2517"/>
      <c r="O43" s="2517"/>
      <c r="P43" s="2525"/>
    </row>
    <row r="44" spans="1:16">
      <c r="A44" s="329">
        <v>2000.11</v>
      </c>
      <c r="B44" s="2591">
        <v>85.920272462818161</v>
      </c>
      <c r="C44" s="2662">
        <v>-2.9354598323079739E-2</v>
      </c>
      <c r="D44" s="2663">
        <v>-3.5694153093045133E-2</v>
      </c>
      <c r="E44" s="2537"/>
      <c r="F44" s="2517"/>
      <c r="G44" s="2517"/>
      <c r="H44" s="2517"/>
      <c r="I44" s="2517"/>
      <c r="J44" s="2527"/>
      <c r="K44" s="2526"/>
      <c r="L44" s="2517"/>
      <c r="M44" s="2517"/>
      <c r="N44" s="2517"/>
      <c r="O44" s="2517"/>
      <c r="P44" s="2525"/>
    </row>
    <row r="45" spans="1:16">
      <c r="A45" s="329">
        <v>2000.12</v>
      </c>
      <c r="B45" s="2591">
        <v>89.516022599101746</v>
      </c>
      <c r="C45" s="2662">
        <v>4.1849845597727198E-2</v>
      </c>
      <c r="D45" s="2663">
        <v>-8.5681572218785362E-2</v>
      </c>
      <c r="E45" s="2537"/>
      <c r="F45" s="2517"/>
      <c r="G45" s="2517"/>
      <c r="H45" s="2517"/>
      <c r="I45" s="2517"/>
      <c r="J45" s="2527"/>
      <c r="K45" s="2526"/>
      <c r="L45" s="2517"/>
      <c r="M45" s="2517"/>
      <c r="N45" s="2517"/>
      <c r="O45" s="2517"/>
      <c r="P45" s="2525"/>
    </row>
    <row r="46" spans="1:16">
      <c r="A46" s="329">
        <v>2001.01</v>
      </c>
      <c r="B46" s="2591">
        <v>88.674175888733132</v>
      </c>
      <c r="C46" s="2662">
        <v>-9.4044248831165467E-3</v>
      </c>
      <c r="D46" s="2663">
        <v>-8.3691614474806442E-2</v>
      </c>
      <c r="E46" s="2537"/>
      <c r="F46" s="2517"/>
      <c r="G46" s="2517"/>
      <c r="H46" s="2517"/>
      <c r="I46" s="2517"/>
      <c r="J46" s="2527"/>
      <c r="K46" s="2526"/>
      <c r="L46" s="2517"/>
      <c r="M46" s="2517"/>
      <c r="N46" s="2517"/>
      <c r="O46" s="2517"/>
      <c r="P46" s="2525"/>
    </row>
    <row r="47" spans="1:16">
      <c r="A47" s="329">
        <v>2001.02</v>
      </c>
      <c r="B47" s="2591">
        <v>88.966305146056371</v>
      </c>
      <c r="C47" s="2662">
        <v>3.2944118667626032E-3</v>
      </c>
      <c r="D47" s="2663">
        <v>-4.7498056809124216E-2</v>
      </c>
      <c r="E47" s="2537"/>
      <c r="F47" s="2517"/>
      <c r="G47" s="2517"/>
      <c r="H47" s="2517"/>
      <c r="I47" s="2517"/>
      <c r="J47" s="2527"/>
      <c r="K47" s="2526"/>
      <c r="L47" s="2517"/>
      <c r="M47" s="2517"/>
      <c r="N47" s="2517"/>
      <c r="O47" s="2517"/>
      <c r="P47" s="2525"/>
    </row>
    <row r="48" spans="1:16">
      <c r="A48" s="329">
        <v>2001.03</v>
      </c>
      <c r="B48" s="2591">
        <v>88.570105596592782</v>
      </c>
      <c r="C48" s="2662">
        <v>-4.453366348227572E-3</v>
      </c>
      <c r="D48" s="2663">
        <v>-3.7766720957820743E-2</v>
      </c>
      <c r="E48" s="2537"/>
      <c r="F48" s="2517"/>
      <c r="G48" s="2517"/>
      <c r="H48" s="2517"/>
      <c r="I48" s="2517"/>
      <c r="J48" s="2527"/>
      <c r="K48" s="2526"/>
      <c r="L48" s="2517"/>
      <c r="M48" s="2517"/>
      <c r="N48" s="2517"/>
      <c r="O48" s="2517"/>
      <c r="P48" s="2525"/>
    </row>
    <row r="49" spans="1:16">
      <c r="A49" s="329">
        <v>2001.04</v>
      </c>
      <c r="B49" s="2591">
        <v>88.541263589325141</v>
      </c>
      <c r="C49" s="2662">
        <v>-3.2564042995508746E-4</v>
      </c>
      <c r="D49" s="2663">
        <v>-5.4032482536587878E-2</v>
      </c>
      <c r="E49" s="2537"/>
      <c r="F49" s="2517"/>
      <c r="G49" s="2517"/>
      <c r="H49" s="2517"/>
      <c r="I49" s="2517"/>
      <c r="J49" s="2527"/>
      <c r="K49" s="2526"/>
      <c r="L49" s="2517"/>
      <c r="M49" s="2517"/>
      <c r="N49" s="2517"/>
      <c r="O49" s="2517"/>
      <c r="P49" s="2525"/>
    </row>
    <row r="50" spans="1:16">
      <c r="A50" s="329">
        <v>2001.05</v>
      </c>
      <c r="B50" s="2591">
        <v>87.14351575978236</v>
      </c>
      <c r="C50" s="2662">
        <v>-1.5786400293832048E-2</v>
      </c>
      <c r="D50" s="2663">
        <v>-3.6287510461490147E-2</v>
      </c>
      <c r="E50" s="2537"/>
      <c r="F50" s="2517"/>
      <c r="G50" s="2517"/>
      <c r="H50" s="2517"/>
      <c r="I50" s="2517"/>
      <c r="J50" s="2527"/>
      <c r="K50" s="2526"/>
      <c r="L50" s="2517"/>
      <c r="M50" s="2517"/>
      <c r="N50" s="2517"/>
      <c r="O50" s="2517"/>
      <c r="P50" s="2525"/>
    </row>
    <row r="51" spans="1:16">
      <c r="A51" s="329">
        <v>2001.06</v>
      </c>
      <c r="B51" s="2591">
        <v>86.582041652558132</v>
      </c>
      <c r="C51" s="2662">
        <v>-6.4430967964612673E-3</v>
      </c>
      <c r="D51" s="2663">
        <v>-5.2317674353760557E-2</v>
      </c>
      <c r="E51" s="2537"/>
      <c r="F51" s="2517"/>
      <c r="G51" s="2517"/>
      <c r="H51" s="2517"/>
      <c r="I51" s="2517"/>
      <c r="J51" s="2527"/>
      <c r="K51" s="2526"/>
      <c r="L51" s="2517"/>
      <c r="M51" s="2517"/>
      <c r="N51" s="2517"/>
      <c r="O51" s="2517"/>
      <c r="P51" s="2525"/>
    </row>
    <row r="52" spans="1:16">
      <c r="A52" s="329">
        <v>2001.07</v>
      </c>
      <c r="B52" s="2591">
        <v>84.60052470957234</v>
      </c>
      <c r="C52" s="2662">
        <v>-2.2886003900639662E-2</v>
      </c>
      <c r="D52" s="2663">
        <v>-7.1398547551030256E-2</v>
      </c>
      <c r="E52" s="2537"/>
      <c r="F52" s="2517"/>
      <c r="G52" s="2517"/>
      <c r="H52" s="2517"/>
      <c r="I52" s="2517"/>
      <c r="J52" s="2527"/>
      <c r="K52" s="2526"/>
      <c r="L52" s="2517"/>
      <c r="M52" s="2517"/>
      <c r="N52" s="2517"/>
      <c r="O52" s="2517"/>
      <c r="P52" s="2525"/>
    </row>
    <row r="53" spans="1:16">
      <c r="A53" s="329">
        <v>2001.08</v>
      </c>
      <c r="B53" s="2591">
        <v>82.284964234749509</v>
      </c>
      <c r="C53" s="2662">
        <v>-2.7370521433194295E-2</v>
      </c>
      <c r="D53" s="2663">
        <v>-7.5063177722788921E-2</v>
      </c>
      <c r="E53" s="2537"/>
      <c r="F53" s="2517"/>
      <c r="G53" s="2517"/>
      <c r="H53" s="2517"/>
      <c r="I53" s="2517"/>
      <c r="J53" s="2527"/>
      <c r="K53" s="2526"/>
      <c r="L53" s="2517"/>
      <c r="M53" s="2517"/>
      <c r="N53" s="2517"/>
      <c r="O53" s="2517"/>
      <c r="P53" s="2525"/>
    </row>
    <row r="54" spans="1:16">
      <c r="A54" s="329">
        <v>2001.09</v>
      </c>
      <c r="B54" s="2591">
        <v>81.379759861247138</v>
      </c>
      <c r="C54" s="2662">
        <v>-1.100084786960509E-2</v>
      </c>
      <c r="D54" s="2663">
        <v>-7.6469798944833522E-2</v>
      </c>
      <c r="E54" s="2537"/>
      <c r="F54" s="2517"/>
      <c r="G54" s="2517"/>
      <c r="H54" s="2517"/>
      <c r="I54" s="2517"/>
      <c r="J54" s="2527"/>
      <c r="K54" s="2526"/>
      <c r="L54" s="2517"/>
      <c r="M54" s="2517"/>
      <c r="N54" s="2517"/>
      <c r="O54" s="2517"/>
      <c r="P54" s="2525"/>
    </row>
    <row r="55" spans="1:16">
      <c r="A55" s="329">
        <v>2001.1</v>
      </c>
      <c r="B55" s="2591">
        <v>79.43683447730217</v>
      </c>
      <c r="C55" s="2662">
        <v>-2.3874798687753107E-2</v>
      </c>
      <c r="D55" s="2663">
        <v>-0.10259830539374704</v>
      </c>
      <c r="E55" s="2537"/>
      <c r="F55" s="2517"/>
      <c r="G55" s="2517"/>
      <c r="H55" s="2517"/>
      <c r="I55" s="2517"/>
      <c r="J55" s="2527"/>
      <c r="K55" s="2526"/>
      <c r="L55" s="2517"/>
      <c r="M55" s="2517"/>
      <c r="N55" s="2517"/>
      <c r="O55" s="2517"/>
      <c r="P55" s="2525"/>
    </row>
    <row r="56" spans="1:16">
      <c r="A56" s="329">
        <v>2001.11</v>
      </c>
      <c r="B56" s="2591">
        <v>78.119066332279459</v>
      </c>
      <c r="C56" s="2662">
        <v>-1.6588880381421034E-2</v>
      </c>
      <c r="D56" s="2663">
        <v>-9.0795872812375666E-2</v>
      </c>
      <c r="E56" s="2537"/>
      <c r="F56" s="2517"/>
      <c r="G56" s="2517"/>
      <c r="H56" s="2517"/>
      <c r="I56" s="2517"/>
      <c r="J56" s="2527"/>
      <c r="K56" s="2526"/>
      <c r="L56" s="2517"/>
      <c r="M56" s="2517"/>
      <c r="N56" s="2517"/>
      <c r="O56" s="2517"/>
      <c r="P56" s="2525"/>
    </row>
    <row r="57" spans="1:16">
      <c r="A57" s="329">
        <v>2001.12</v>
      </c>
      <c r="B57" s="2591">
        <v>72.170998832642681</v>
      </c>
      <c r="C57" s="2662">
        <v>-7.6141046979960936E-2</v>
      </c>
      <c r="D57" s="2663">
        <v>-0.19376445984579649</v>
      </c>
      <c r="E57" s="2537"/>
      <c r="F57" s="2517"/>
      <c r="G57" s="2517"/>
      <c r="H57" s="2517"/>
      <c r="I57" s="2517"/>
      <c r="J57" s="2527"/>
      <c r="K57" s="2526"/>
      <c r="L57" s="2517"/>
      <c r="M57" s="2517"/>
      <c r="N57" s="2517"/>
      <c r="O57" s="2517"/>
      <c r="P57" s="2525"/>
    </row>
    <row r="58" spans="1:16">
      <c r="A58" s="329">
        <v>2002.01</v>
      </c>
      <c r="B58" s="2591">
        <v>70.691749136407381</v>
      </c>
      <c r="C58" s="2662">
        <v>-2.0496455919441159E-2</v>
      </c>
      <c r="D58" s="2663">
        <v>-0.20279214971098014</v>
      </c>
      <c r="E58" s="2537"/>
      <c r="F58" s="2517"/>
      <c r="G58" s="2517"/>
      <c r="H58" s="2517"/>
      <c r="I58" s="2517"/>
      <c r="J58" s="2527"/>
      <c r="K58" s="2526"/>
      <c r="L58" s="2517"/>
      <c r="M58" s="2517"/>
      <c r="N58" s="2517"/>
      <c r="O58" s="2517"/>
      <c r="P58" s="2525"/>
    </row>
    <row r="59" spans="1:16">
      <c r="A59" s="329">
        <v>2002.02</v>
      </c>
      <c r="B59" s="2591">
        <v>71.481857800385512</v>
      </c>
      <c r="C59" s="2662">
        <v>1.1176815874983204E-2</v>
      </c>
      <c r="D59" s="2663">
        <v>-0.19652886918217594</v>
      </c>
      <c r="E59" s="2537"/>
      <c r="F59" s="2517"/>
      <c r="G59" s="2517"/>
      <c r="H59" s="2517"/>
      <c r="I59" s="2517"/>
      <c r="J59" s="2527"/>
      <c r="K59" s="2526"/>
      <c r="L59" s="2517"/>
      <c r="M59" s="2517"/>
      <c r="N59" s="2517"/>
      <c r="O59" s="2517"/>
      <c r="P59" s="2525"/>
    </row>
    <row r="60" spans="1:16">
      <c r="A60" s="329">
        <v>2002.03</v>
      </c>
      <c r="B60" s="2591">
        <v>73.291009900168476</v>
      </c>
      <c r="C60" s="2662">
        <v>2.5309248464625123E-2</v>
      </c>
      <c r="D60" s="2663">
        <v>-0.17250849588026329</v>
      </c>
      <c r="E60" s="2537"/>
      <c r="F60" s="2517"/>
      <c r="G60" s="2517"/>
      <c r="H60" s="2517"/>
      <c r="I60" s="2517"/>
      <c r="J60" s="2527"/>
      <c r="K60" s="2526"/>
      <c r="L60" s="2517"/>
      <c r="M60" s="2517"/>
      <c r="N60" s="2517"/>
      <c r="O60" s="2517"/>
      <c r="P60" s="2525"/>
    </row>
    <row r="61" spans="1:16">
      <c r="A61" s="329">
        <v>2002.04</v>
      </c>
      <c r="B61" s="2591">
        <v>71.582261720870278</v>
      </c>
      <c r="C61" s="2662">
        <v>-2.3314567252187279E-2</v>
      </c>
      <c r="D61" s="2663">
        <v>-0.19153783423641468</v>
      </c>
      <c r="E61" s="2537"/>
      <c r="F61" s="2517"/>
      <c r="G61" s="2517"/>
      <c r="H61" s="2517"/>
      <c r="I61" s="2517"/>
      <c r="J61" s="2527"/>
      <c r="K61" s="2526"/>
      <c r="L61" s="2517"/>
      <c r="M61" s="2517"/>
      <c r="N61" s="2517"/>
      <c r="O61" s="2517"/>
      <c r="P61" s="2525"/>
    </row>
    <row r="62" spans="1:16">
      <c r="A62" s="329">
        <v>2002.05</v>
      </c>
      <c r="B62" s="2591">
        <v>74.699127487655176</v>
      </c>
      <c r="C62" s="2662">
        <v>4.3542432047465773E-2</v>
      </c>
      <c r="D62" s="2663">
        <v>-0.14280337628827222</v>
      </c>
      <c r="E62" s="2537"/>
      <c r="F62" s="2517"/>
      <c r="G62" s="2517"/>
      <c r="H62" s="2517"/>
      <c r="I62" s="2517"/>
      <c r="J62" s="2527"/>
      <c r="K62" s="2526"/>
      <c r="L62" s="2517"/>
      <c r="M62" s="2517"/>
      <c r="N62" s="2517"/>
      <c r="O62" s="2517"/>
      <c r="P62" s="2525"/>
    </row>
    <row r="63" spans="1:16">
      <c r="A63" s="329">
        <v>2002.06</v>
      </c>
      <c r="B63" s="2591">
        <v>75.102365712860276</v>
      </c>
      <c r="C63" s="2662">
        <v>5.398165129462118E-3</v>
      </c>
      <c r="D63" s="2663">
        <v>-0.13258726313898006</v>
      </c>
      <c r="E63" s="2537"/>
      <c r="F63" s="2517"/>
      <c r="G63" s="2517"/>
      <c r="H63" s="2517"/>
      <c r="I63" s="2517"/>
      <c r="J63" s="2527"/>
      <c r="K63" s="2526"/>
      <c r="L63" s="2517"/>
      <c r="M63" s="2517"/>
      <c r="N63" s="2517"/>
      <c r="O63" s="2517"/>
      <c r="P63" s="2525"/>
    </row>
    <row r="64" spans="1:16">
      <c r="A64" s="329">
        <v>2002.07</v>
      </c>
      <c r="B64" s="2591">
        <v>77.042609171110016</v>
      </c>
      <c r="C64" s="2662">
        <v>2.5834651676192033E-2</v>
      </c>
      <c r="D64" s="2663">
        <v>-8.9336509015849663E-2</v>
      </c>
      <c r="E64" s="2537"/>
      <c r="F64" s="2517"/>
      <c r="G64" s="2517"/>
      <c r="H64" s="2517"/>
      <c r="I64" s="2517"/>
      <c r="J64" s="2527"/>
      <c r="K64" s="2526"/>
      <c r="L64" s="2517"/>
      <c r="M64" s="2517"/>
      <c r="N64" s="2517"/>
      <c r="O64" s="2517"/>
      <c r="P64" s="2525"/>
    </row>
    <row r="65" spans="1:16">
      <c r="A65" s="329">
        <v>2002.08</v>
      </c>
      <c r="B65" s="2591">
        <v>78.646393986336264</v>
      </c>
      <c r="C65" s="2662">
        <v>2.0816854886940295E-2</v>
      </c>
      <c r="D65" s="2663">
        <v>-4.4219138724212466E-2</v>
      </c>
      <c r="E65" s="2537"/>
      <c r="F65" s="2517"/>
      <c r="G65" s="2517"/>
      <c r="H65" s="2517"/>
      <c r="I65" s="2517"/>
      <c r="J65" s="2527"/>
      <c r="K65" s="2526"/>
      <c r="L65" s="2517"/>
      <c r="M65" s="2517"/>
      <c r="N65" s="2517"/>
      <c r="O65" s="2517"/>
      <c r="P65" s="2525"/>
    </row>
    <row r="66" spans="1:16">
      <c r="A66" s="329">
        <v>2002.09</v>
      </c>
      <c r="B66" s="2591">
        <v>78.830307856594601</v>
      </c>
      <c r="C66" s="2662">
        <v>2.338490818667216E-3</v>
      </c>
      <c r="D66" s="2663">
        <v>-3.132783887540791E-2</v>
      </c>
      <c r="E66" s="2537"/>
      <c r="F66" s="2517"/>
      <c r="G66" s="2517"/>
      <c r="H66" s="2517"/>
      <c r="I66" s="2517"/>
      <c r="J66" s="2527"/>
      <c r="K66" s="2526"/>
      <c r="L66" s="2517"/>
      <c r="M66" s="2517"/>
      <c r="N66" s="2517"/>
      <c r="O66" s="2517"/>
      <c r="P66" s="2525"/>
    </row>
    <row r="67" spans="1:16">
      <c r="A67" s="329">
        <v>2002.1</v>
      </c>
      <c r="B67" s="2591">
        <v>81.404841678602708</v>
      </c>
      <c r="C67" s="2662">
        <v>3.2659187716120641E-2</v>
      </c>
      <c r="D67" s="2663">
        <v>2.4774491761285766E-2</v>
      </c>
      <c r="E67" s="2537"/>
      <c r="F67" s="2517"/>
      <c r="G67" s="2517"/>
      <c r="H67" s="2517"/>
      <c r="I67" s="2517"/>
      <c r="J67" s="2527"/>
      <c r="K67" s="2526"/>
      <c r="L67" s="2517"/>
      <c r="M67" s="2517"/>
      <c r="N67" s="2517"/>
      <c r="O67" s="2517"/>
      <c r="P67" s="2525"/>
    </row>
    <row r="68" spans="1:16">
      <c r="A68" s="329">
        <v>2002.11</v>
      </c>
      <c r="B68" s="2591">
        <v>81.024678981310544</v>
      </c>
      <c r="C68" s="2662">
        <v>-4.6700256330342027E-3</v>
      </c>
      <c r="D68" s="2663">
        <v>3.7194666877764071E-2</v>
      </c>
      <c r="E68" s="2537"/>
      <c r="F68" s="2517"/>
      <c r="G68" s="2517"/>
      <c r="H68" s="2517"/>
      <c r="I68" s="2517"/>
      <c r="J68" s="2527"/>
      <c r="K68" s="2526"/>
      <c r="L68" s="2517"/>
      <c r="M68" s="2517"/>
      <c r="N68" s="2517"/>
      <c r="O68" s="2517"/>
      <c r="P68" s="2525"/>
    </row>
    <row r="69" spans="1:16">
      <c r="A69" s="329">
        <v>2002.12</v>
      </c>
      <c r="B69" s="2591">
        <v>82.994744466666603</v>
      </c>
      <c r="C69" s="2662">
        <v>2.4314388037383949E-2</v>
      </c>
      <c r="D69" s="2663">
        <v>0.14997361556714917</v>
      </c>
      <c r="E69" s="2537"/>
      <c r="F69" s="2517"/>
      <c r="G69" s="2517"/>
      <c r="H69" s="2517"/>
      <c r="I69" s="2517"/>
      <c r="J69" s="2527"/>
      <c r="K69" s="2526"/>
      <c r="L69" s="2517"/>
      <c r="M69" s="2517"/>
      <c r="N69" s="2517"/>
      <c r="O69" s="2517"/>
      <c r="P69" s="2525"/>
    </row>
    <row r="70" spans="1:16">
      <c r="A70" s="329">
        <v>2003.01</v>
      </c>
      <c r="B70" s="2591">
        <v>87.119192185097788</v>
      </c>
      <c r="C70" s="2662">
        <v>4.9695287875579863E-2</v>
      </c>
      <c r="D70" s="2663">
        <v>0.23238133515400605</v>
      </c>
      <c r="E70" s="2537"/>
      <c r="F70" s="2517"/>
      <c r="G70" s="2517"/>
      <c r="H70" s="2517"/>
      <c r="I70" s="2517"/>
      <c r="J70" s="2527"/>
      <c r="K70" s="2526"/>
      <c r="L70" s="2517"/>
      <c r="M70" s="2517"/>
      <c r="N70" s="2517"/>
      <c r="O70" s="2517"/>
      <c r="P70" s="2525"/>
    </row>
    <row r="71" spans="1:16">
      <c r="A71" s="329">
        <v>2003.02</v>
      </c>
      <c r="B71" s="2591">
        <v>83.696491684412322</v>
      </c>
      <c r="C71" s="2662">
        <v>-3.9287560121235132E-2</v>
      </c>
      <c r="D71" s="2663">
        <v>0.17087739826427595</v>
      </c>
      <c r="E71" s="2537"/>
      <c r="F71" s="2517"/>
      <c r="G71" s="2517"/>
      <c r="H71" s="2517"/>
      <c r="I71" s="2517"/>
      <c r="J71" s="2527"/>
      <c r="K71" s="2526"/>
      <c r="L71" s="2517"/>
      <c r="M71" s="2517"/>
      <c r="N71" s="2517"/>
      <c r="O71" s="2517"/>
      <c r="P71" s="2525"/>
    </row>
    <row r="72" spans="1:16">
      <c r="A72" s="329">
        <v>2003.03</v>
      </c>
      <c r="B72" s="2591">
        <v>83.636326533926763</v>
      </c>
      <c r="C72" s="2662">
        <v>-7.1884913303676967E-4</v>
      </c>
      <c r="D72" s="2663">
        <v>0.14115396482938225</v>
      </c>
      <c r="E72" s="2537"/>
      <c r="F72" s="2517"/>
      <c r="G72" s="2517"/>
      <c r="H72" s="2517"/>
      <c r="I72" s="2517"/>
      <c r="J72" s="2527"/>
      <c r="K72" s="2526"/>
      <c r="L72" s="2517"/>
      <c r="M72" s="2517"/>
      <c r="N72" s="2517"/>
      <c r="O72" s="2517"/>
      <c r="P72" s="2525"/>
    </row>
    <row r="73" spans="1:16">
      <c r="A73" s="329">
        <v>2003.04</v>
      </c>
      <c r="B73" s="2591">
        <v>82.484560041386317</v>
      </c>
      <c r="C73" s="2662">
        <v>-1.3771127215555512E-2</v>
      </c>
      <c r="D73" s="2663">
        <v>0.15230446843142142</v>
      </c>
      <c r="E73" s="2537"/>
      <c r="F73" s="2517"/>
      <c r="G73" s="2517"/>
      <c r="H73" s="2517"/>
      <c r="I73" s="2517"/>
      <c r="J73" s="2527"/>
      <c r="K73" s="2526"/>
      <c r="L73" s="2517"/>
      <c r="M73" s="2517"/>
      <c r="N73" s="2517"/>
      <c r="O73" s="2517"/>
      <c r="P73" s="2525"/>
    </row>
    <row r="74" spans="1:16">
      <c r="A74" s="329">
        <v>2003.05</v>
      </c>
      <c r="B74" s="2591">
        <v>84.079054229985829</v>
      </c>
      <c r="C74" s="2662">
        <v>1.9330820068622412E-2</v>
      </c>
      <c r="D74" s="2663">
        <v>0.12556942842312036</v>
      </c>
      <c r="E74" s="2537"/>
      <c r="F74" s="2517"/>
      <c r="G74" s="2517"/>
      <c r="H74" s="2517"/>
      <c r="I74" s="2517"/>
      <c r="J74" s="2527"/>
      <c r="K74" s="2526"/>
      <c r="L74" s="2517"/>
      <c r="M74" s="2517"/>
      <c r="N74" s="2517"/>
      <c r="O74" s="2517"/>
      <c r="P74" s="2525"/>
    </row>
    <row r="75" spans="1:16">
      <c r="A75" s="329">
        <v>2003.06</v>
      </c>
      <c r="B75" s="2591">
        <v>85.505843979423517</v>
      </c>
      <c r="C75" s="2662">
        <v>1.6969621774466148E-2</v>
      </c>
      <c r="D75" s="2663">
        <v>0.13852397548086537</v>
      </c>
      <c r="E75" s="2537"/>
      <c r="F75" s="2517"/>
      <c r="G75" s="2517"/>
      <c r="H75" s="2517"/>
      <c r="I75" s="2517"/>
      <c r="J75" s="2527"/>
      <c r="K75" s="2526"/>
      <c r="L75" s="2517"/>
      <c r="M75" s="2517"/>
      <c r="N75" s="2517"/>
      <c r="O75" s="2517"/>
      <c r="P75" s="2525"/>
    </row>
    <row r="76" spans="1:16">
      <c r="A76" s="329">
        <v>2003.07</v>
      </c>
      <c r="B76" s="2591">
        <v>87.033823267684184</v>
      </c>
      <c r="C76" s="2662">
        <v>1.7869881368908214E-2</v>
      </c>
      <c r="D76" s="2663">
        <v>0.12968426438393199</v>
      </c>
      <c r="E76" s="2537"/>
      <c r="F76" s="2517"/>
      <c r="G76" s="2517"/>
      <c r="H76" s="2517"/>
      <c r="I76" s="2517"/>
      <c r="J76" s="2527"/>
      <c r="K76" s="2526"/>
      <c r="L76" s="2517"/>
      <c r="M76" s="2517"/>
      <c r="N76" s="2517"/>
      <c r="O76" s="2517"/>
      <c r="P76" s="2525"/>
    </row>
    <row r="77" spans="1:16">
      <c r="A77" s="329">
        <v>2003.08</v>
      </c>
      <c r="B77" s="2591">
        <v>89.57796716608749</v>
      </c>
      <c r="C77" s="2662">
        <v>2.9231668825790313E-2</v>
      </c>
      <c r="D77" s="2663">
        <v>0.13899649590609875</v>
      </c>
      <c r="E77" s="2537"/>
      <c r="F77" s="2517"/>
      <c r="G77" s="2517"/>
      <c r="H77" s="2517"/>
      <c r="I77" s="2517"/>
      <c r="J77" s="2527"/>
      <c r="K77" s="2526"/>
      <c r="L77" s="2517"/>
      <c r="M77" s="2517"/>
      <c r="N77" s="2517"/>
      <c r="O77" s="2517"/>
      <c r="P77" s="2525"/>
    </row>
    <row r="78" spans="1:16">
      <c r="A78" s="329">
        <v>2003.09</v>
      </c>
      <c r="B78" s="2591">
        <v>93.588337831448655</v>
      </c>
      <c r="C78" s="2662">
        <v>4.4769610119924863E-2</v>
      </c>
      <c r="D78" s="2663">
        <v>0.18721263909943572</v>
      </c>
      <c r="E78" s="2537"/>
      <c r="F78" s="2517"/>
      <c r="G78" s="2517"/>
      <c r="H78" s="2517"/>
      <c r="I78" s="2517"/>
      <c r="J78" s="2527"/>
      <c r="K78" s="2526"/>
      <c r="L78" s="2517"/>
      <c r="M78" s="2517"/>
      <c r="N78" s="2517"/>
      <c r="O78" s="2517"/>
      <c r="P78" s="2525"/>
    </row>
    <row r="79" spans="1:16">
      <c r="A79" s="329">
        <v>2003.1</v>
      </c>
      <c r="B79" s="2591">
        <v>95.413769876092545</v>
      </c>
      <c r="C79" s="2662">
        <v>1.9504909339574716E-2</v>
      </c>
      <c r="D79" s="2663">
        <v>0.17208961910151466</v>
      </c>
      <c r="E79" s="2537"/>
      <c r="F79" s="2517"/>
      <c r="G79" s="2517"/>
      <c r="H79" s="2517"/>
      <c r="I79" s="2517"/>
      <c r="J79" s="2527"/>
      <c r="K79" s="2526"/>
      <c r="L79" s="2517"/>
      <c r="M79" s="2517"/>
      <c r="N79" s="2517"/>
      <c r="O79" s="2517"/>
      <c r="P79" s="2525"/>
    </row>
    <row r="80" spans="1:16">
      <c r="A80" s="329">
        <v>2003.11</v>
      </c>
      <c r="B80" s="2591">
        <v>98.094487682950643</v>
      </c>
      <c r="C80" s="2662">
        <v>2.8095712079497126E-2</v>
      </c>
      <c r="D80" s="2663">
        <v>0.21067419107673957</v>
      </c>
      <c r="E80" s="2537"/>
      <c r="F80" s="2517"/>
      <c r="G80" s="2517"/>
      <c r="H80" s="2517"/>
      <c r="I80" s="2517"/>
      <c r="J80" s="2527"/>
      <c r="K80" s="2526"/>
      <c r="L80" s="2517"/>
      <c r="M80" s="2517"/>
      <c r="N80" s="2517"/>
      <c r="O80" s="2517"/>
      <c r="P80" s="2525"/>
    </row>
    <row r="81" spans="1:16">
      <c r="A81" s="329">
        <v>2003.12</v>
      </c>
      <c r="B81" s="2591">
        <v>96.129619297535427</v>
      </c>
      <c r="C81" s="2662">
        <v>-2.003036492494692E-2</v>
      </c>
      <c r="D81" s="2663">
        <v>0.15826152505529101</v>
      </c>
      <c r="E81" s="2537"/>
      <c r="F81" s="2517"/>
      <c r="G81" s="2517"/>
      <c r="H81" s="2517"/>
      <c r="I81" s="2517"/>
      <c r="J81" s="2527"/>
      <c r="K81" s="2526"/>
      <c r="L81" s="2517"/>
      <c r="M81" s="2517"/>
      <c r="N81" s="2517"/>
      <c r="O81" s="2517"/>
      <c r="P81" s="2525"/>
    </row>
    <row r="82" spans="1:16">
      <c r="A82" s="329">
        <v>2004.01</v>
      </c>
      <c r="B82" s="2591">
        <v>97.165585771527219</v>
      </c>
      <c r="C82" s="2662">
        <v>1.0776766636153123E-2</v>
      </c>
      <c r="D82" s="2663">
        <v>0.11531780006734182</v>
      </c>
      <c r="E82" s="2537"/>
      <c r="F82" s="2517"/>
      <c r="G82" s="2517"/>
      <c r="H82" s="2517"/>
      <c r="I82" s="2517"/>
      <c r="J82" s="2527"/>
      <c r="K82" s="2526"/>
      <c r="L82" s="2517"/>
      <c r="M82" s="2517"/>
      <c r="N82" s="2517"/>
      <c r="O82" s="2517"/>
      <c r="P82" s="2525"/>
    </row>
    <row r="83" spans="1:16">
      <c r="A83" s="329">
        <v>2004.02</v>
      </c>
      <c r="B83" s="2591">
        <v>95.65517453408161</v>
      </c>
      <c r="C83" s="2662">
        <v>-1.5544713958676182E-2</v>
      </c>
      <c r="D83" s="2663">
        <v>0.14288153074278109</v>
      </c>
      <c r="E83" s="2537"/>
      <c r="F83" s="2517"/>
      <c r="G83" s="2517"/>
      <c r="H83" s="2517"/>
      <c r="I83" s="2517"/>
      <c r="J83" s="2527"/>
      <c r="K83" s="2526"/>
      <c r="L83" s="2517"/>
      <c r="M83" s="2517"/>
      <c r="N83" s="2517"/>
      <c r="O83" s="2517"/>
      <c r="P83" s="2525"/>
    </row>
    <row r="84" spans="1:16">
      <c r="A84" s="329">
        <v>2004.03</v>
      </c>
      <c r="B84" s="2591">
        <v>104.56393343149605</v>
      </c>
      <c r="C84" s="2662">
        <v>9.313410320777038E-2</v>
      </c>
      <c r="D84" s="2663">
        <v>0.25022149782104641</v>
      </c>
      <c r="E84" s="2537"/>
      <c r="F84" s="2517"/>
      <c r="G84" s="2517"/>
      <c r="H84" s="2517"/>
      <c r="I84" s="2517"/>
      <c r="J84" s="2527"/>
      <c r="K84" s="2526"/>
      <c r="L84" s="2517"/>
      <c r="M84" s="2517"/>
      <c r="N84" s="2517"/>
      <c r="O84" s="2517"/>
      <c r="P84" s="2525"/>
    </row>
    <row r="85" spans="1:16">
      <c r="A85" s="329">
        <v>2004.04</v>
      </c>
      <c r="B85" s="2591">
        <v>99.646428067500466</v>
      </c>
      <c r="C85" s="2662">
        <v>-4.7028695293078633E-2</v>
      </c>
      <c r="D85" s="2663">
        <v>0.20806158167665867</v>
      </c>
      <c r="E85" s="2537"/>
      <c r="F85" s="2517"/>
      <c r="G85" s="2517"/>
      <c r="H85" s="2517"/>
      <c r="I85" s="2517"/>
      <c r="J85" s="2527"/>
      <c r="K85" s="2526"/>
      <c r="L85" s="2517"/>
      <c r="M85" s="2517"/>
      <c r="N85" s="2517"/>
      <c r="O85" s="2517"/>
      <c r="P85" s="2525"/>
    </row>
    <row r="86" spans="1:16">
      <c r="A86" s="329">
        <v>2004.05</v>
      </c>
      <c r="B86" s="2591">
        <v>100.95717331338183</v>
      </c>
      <c r="C86" s="2662">
        <v>1.3153961173535178E-2</v>
      </c>
      <c r="D86" s="2663">
        <v>0.20074106729636143</v>
      </c>
      <c r="E86" s="2537"/>
      <c r="F86" s="2517"/>
      <c r="G86" s="2517"/>
      <c r="H86" s="2517"/>
      <c r="I86" s="2517"/>
      <c r="J86" s="2527"/>
      <c r="K86" s="2526"/>
      <c r="L86" s="2517"/>
      <c r="M86" s="2517"/>
      <c r="N86" s="2517"/>
      <c r="O86" s="2517"/>
      <c r="P86" s="2525"/>
    </row>
    <row r="87" spans="1:16">
      <c r="A87" s="329">
        <v>2004.06</v>
      </c>
      <c r="B87" s="2591">
        <v>98.979498029732852</v>
      </c>
      <c r="C87" s="2662">
        <v>-1.9589249765443295E-2</v>
      </c>
      <c r="D87" s="2663">
        <v>0.15757582667158632</v>
      </c>
      <c r="E87" s="2537"/>
      <c r="F87" s="2517"/>
      <c r="G87" s="2517"/>
      <c r="H87" s="2517"/>
      <c r="I87" s="2517"/>
      <c r="J87" s="2527"/>
      <c r="K87" s="2526"/>
      <c r="L87" s="2517"/>
      <c r="M87" s="2517"/>
      <c r="N87" s="2517"/>
      <c r="O87" s="2517"/>
      <c r="P87" s="2525"/>
    </row>
    <row r="88" spans="1:16">
      <c r="A88" s="329">
        <v>2004.07</v>
      </c>
      <c r="B88" s="2591">
        <v>99.23898183114207</v>
      </c>
      <c r="C88" s="2662">
        <v>2.6215914060432333E-3</v>
      </c>
      <c r="D88" s="2663">
        <v>0.140234659414183</v>
      </c>
      <c r="E88" s="2537"/>
      <c r="F88" s="2517"/>
      <c r="G88" s="2517"/>
      <c r="H88" s="2517"/>
      <c r="I88" s="2517"/>
      <c r="J88" s="2527"/>
      <c r="K88" s="2526"/>
      <c r="L88" s="2517"/>
      <c r="M88" s="2517"/>
      <c r="N88" s="2517"/>
      <c r="O88" s="2517"/>
      <c r="P88" s="2525"/>
    </row>
    <row r="89" spans="1:16">
      <c r="A89" s="329">
        <v>2004.08</v>
      </c>
      <c r="B89" s="2591">
        <v>99.245177848165596</v>
      </c>
      <c r="C89" s="2662">
        <v>6.2435314321040991E-5</v>
      </c>
      <c r="D89" s="2663">
        <v>0.10791951400453215</v>
      </c>
      <c r="E89" s="2537"/>
      <c r="F89" s="2517"/>
      <c r="G89" s="2517"/>
      <c r="H89" s="2517"/>
      <c r="I89" s="2517"/>
      <c r="J89" s="2527"/>
      <c r="K89" s="2526"/>
      <c r="L89" s="2517"/>
      <c r="M89" s="2517"/>
      <c r="N89" s="2517"/>
      <c r="O89" s="2517"/>
      <c r="P89" s="2525"/>
    </row>
    <row r="90" spans="1:16">
      <c r="A90" s="329">
        <v>2004.09</v>
      </c>
      <c r="B90" s="2591">
        <v>99.33402785016068</v>
      </c>
      <c r="C90" s="2662">
        <v>8.9525762280384669E-4</v>
      </c>
      <c r="D90" s="2663">
        <v>6.1393226462253647E-2</v>
      </c>
      <c r="E90" s="2537"/>
      <c r="F90" s="2517"/>
      <c r="G90" s="2517"/>
      <c r="H90" s="2517"/>
      <c r="I90" s="2517"/>
      <c r="J90" s="2527"/>
      <c r="K90" s="2526"/>
      <c r="L90" s="2517"/>
      <c r="M90" s="2517"/>
      <c r="N90" s="2517"/>
      <c r="O90" s="2517"/>
      <c r="P90" s="2525"/>
    </row>
    <row r="91" spans="1:16">
      <c r="A91" s="329">
        <v>2004.1</v>
      </c>
      <c r="B91" s="2591">
        <v>100.10340914406312</v>
      </c>
      <c r="C91" s="2662">
        <v>7.7453951133745758E-3</v>
      </c>
      <c r="D91" s="2663">
        <v>4.9150550010346405E-2</v>
      </c>
      <c r="E91" s="2537"/>
      <c r="F91" s="2517"/>
      <c r="G91" s="2517"/>
      <c r="H91" s="2517"/>
      <c r="I91" s="2517"/>
      <c r="J91" s="2527"/>
      <c r="K91" s="2526"/>
      <c r="L91" s="2517"/>
      <c r="M91" s="2517"/>
      <c r="N91" s="2517"/>
      <c r="O91" s="2517"/>
      <c r="P91" s="2525"/>
    </row>
    <row r="92" spans="1:16">
      <c r="A92" s="329">
        <v>2004.11</v>
      </c>
      <c r="B92" s="2591">
        <v>101.28296507369789</v>
      </c>
      <c r="C92" s="2662">
        <v>1.1783374209935582E-2</v>
      </c>
      <c r="D92" s="2663">
        <v>3.2504144382227373E-2</v>
      </c>
      <c r="E92" s="2537"/>
      <c r="F92" s="2517"/>
      <c r="G92" s="2517"/>
      <c r="H92" s="2517"/>
      <c r="I92" s="2517"/>
      <c r="J92" s="2527"/>
      <c r="K92" s="2526"/>
      <c r="L92" s="2517"/>
      <c r="M92" s="2517"/>
      <c r="N92" s="2517"/>
      <c r="O92" s="2517"/>
      <c r="P92" s="2525"/>
    </row>
    <row r="93" spans="1:16">
      <c r="A93" s="329">
        <v>2004.12</v>
      </c>
      <c r="B93" s="2591">
        <v>103.82764510505078</v>
      </c>
      <c r="C93" s="2662">
        <v>2.5124462238060197E-2</v>
      </c>
      <c r="D93" s="2663">
        <v>8.0079645209961914E-2</v>
      </c>
      <c r="E93" s="2537"/>
      <c r="F93" s="2517"/>
      <c r="G93" s="2517"/>
      <c r="H93" s="2517"/>
      <c r="I93" s="2517"/>
      <c r="J93" s="2527"/>
      <c r="K93" s="2526"/>
      <c r="L93" s="2517"/>
      <c r="M93" s="2517"/>
      <c r="N93" s="2517"/>
      <c r="O93" s="2517"/>
      <c r="P93" s="2525"/>
    </row>
    <row r="94" spans="1:16">
      <c r="A94" s="329">
        <v>2005.01</v>
      </c>
      <c r="B94" s="2591">
        <v>106.99002892033343</v>
      </c>
      <c r="C94" s="2662">
        <v>3.0458013490366698E-2</v>
      </c>
      <c r="D94" s="2663">
        <v>0.10111031669080006</v>
      </c>
      <c r="E94" s="2537"/>
      <c r="F94" s="2517"/>
      <c r="G94" s="2517"/>
      <c r="H94" s="2517"/>
      <c r="I94" s="2517"/>
      <c r="J94" s="2527"/>
      <c r="K94" s="2526"/>
      <c r="L94" s="2517"/>
      <c r="M94" s="2517"/>
      <c r="N94" s="2517"/>
      <c r="O94" s="2517"/>
      <c r="P94" s="2525"/>
    </row>
    <row r="95" spans="1:16">
      <c r="A95" s="329">
        <v>2005.02</v>
      </c>
      <c r="B95" s="2591">
        <v>104.29674707350405</v>
      </c>
      <c r="C95" s="2662">
        <v>-2.5173204213589262E-2</v>
      </c>
      <c r="D95" s="2663">
        <v>9.0340878907115188E-2</v>
      </c>
      <c r="E95" s="2537"/>
      <c r="F95" s="2517"/>
      <c r="G95" s="2517"/>
      <c r="H95" s="2517"/>
      <c r="I95" s="2517"/>
      <c r="J95" s="2527"/>
      <c r="K95" s="2526"/>
      <c r="L95" s="2517"/>
      <c r="M95" s="2517"/>
      <c r="N95" s="2517"/>
      <c r="O95" s="2517"/>
      <c r="P95" s="2525"/>
    </row>
    <row r="96" spans="1:16">
      <c r="A96" s="329">
        <v>2005.03</v>
      </c>
      <c r="B96" s="2591">
        <v>106.77992314420722</v>
      </c>
      <c r="C96" s="2662">
        <v>2.3808758569940025E-2</v>
      </c>
      <c r="D96" s="2663">
        <v>2.1192677436555618E-2</v>
      </c>
      <c r="E96" s="2537"/>
      <c r="F96" s="2517"/>
      <c r="G96" s="2517"/>
      <c r="H96" s="2517"/>
      <c r="I96" s="2517"/>
      <c r="J96" s="2527"/>
      <c r="K96" s="2526"/>
      <c r="L96" s="2517"/>
      <c r="M96" s="2517"/>
      <c r="N96" s="2517"/>
      <c r="O96" s="2517"/>
      <c r="P96" s="2525"/>
    </row>
    <row r="97" spans="1:16">
      <c r="A97" s="329">
        <v>2005.04</v>
      </c>
      <c r="B97" s="2591">
        <v>109.0051528428571</v>
      </c>
      <c r="C97" s="2662">
        <v>2.0839401575937666E-2</v>
      </c>
      <c r="D97" s="2663">
        <v>9.3919320108664994E-2</v>
      </c>
      <c r="E97" s="2537"/>
      <c r="F97" s="2517"/>
      <c r="G97" s="2517"/>
      <c r="H97" s="2517"/>
      <c r="I97" s="2517"/>
      <c r="J97" s="2527"/>
      <c r="K97" s="2526"/>
      <c r="L97" s="2517"/>
      <c r="M97" s="2517"/>
      <c r="N97" s="2517"/>
      <c r="O97" s="2517"/>
      <c r="P97" s="2525"/>
    </row>
    <row r="98" spans="1:16">
      <c r="A98" s="329">
        <v>2005.05</v>
      </c>
      <c r="B98" s="2591">
        <v>109.42667438242526</v>
      </c>
      <c r="C98" s="2662">
        <v>3.8669872806456063E-3</v>
      </c>
      <c r="D98" s="2663">
        <v>8.3892018675614022E-2</v>
      </c>
      <c r="E98" s="2537"/>
      <c r="F98" s="2517"/>
      <c r="G98" s="2517"/>
      <c r="H98" s="2517"/>
      <c r="I98" s="2517"/>
      <c r="J98" s="2527"/>
      <c r="K98" s="2526"/>
      <c r="L98" s="2517"/>
      <c r="M98" s="2517"/>
      <c r="N98" s="2517"/>
      <c r="O98" s="2517"/>
      <c r="P98" s="2525"/>
    </row>
    <row r="99" spans="1:16">
      <c r="A99" s="329">
        <v>2005.06</v>
      </c>
      <c r="B99" s="2591">
        <v>110.90235402759147</v>
      </c>
      <c r="C99" s="2662">
        <v>1.3485556912832708E-2</v>
      </c>
      <c r="D99" s="2663">
        <v>0.12045783455354631</v>
      </c>
      <c r="E99" s="2537"/>
      <c r="F99" s="2517"/>
      <c r="G99" s="2517"/>
      <c r="H99" s="2517"/>
      <c r="I99" s="2517"/>
      <c r="J99" s="2527"/>
      <c r="K99" s="2526"/>
      <c r="L99" s="2517"/>
      <c r="M99" s="2517"/>
      <c r="N99" s="2517"/>
      <c r="O99" s="2517"/>
      <c r="P99" s="2525"/>
    </row>
    <row r="100" spans="1:16">
      <c r="A100" s="329">
        <v>2005.07</v>
      </c>
      <c r="B100" s="2591">
        <v>111.31275864396632</v>
      </c>
      <c r="C100" s="2662">
        <v>3.7005942747865284E-3</v>
      </c>
      <c r="D100" s="2663">
        <v>0.12166365061431318</v>
      </c>
      <c r="E100" s="2537"/>
      <c r="F100" s="2517"/>
      <c r="G100" s="2517"/>
      <c r="H100" s="2517"/>
      <c r="I100" s="2517"/>
      <c r="J100" s="2527"/>
      <c r="K100" s="2526"/>
      <c r="L100" s="2517"/>
      <c r="M100" s="2517"/>
      <c r="N100" s="2517"/>
      <c r="O100" s="2517"/>
      <c r="P100" s="2525"/>
    </row>
    <row r="101" spans="1:16">
      <c r="A101" s="329">
        <v>2005.08</v>
      </c>
      <c r="B101" s="2591">
        <v>112.83213847097082</v>
      </c>
      <c r="C101" s="2662">
        <v>1.3649646684835481E-2</v>
      </c>
      <c r="D101" s="2663">
        <v>0.13690298024949699</v>
      </c>
      <c r="E101" s="2537"/>
      <c r="F101" s="2517"/>
      <c r="G101" s="2517"/>
      <c r="H101" s="2517"/>
      <c r="I101" s="2517"/>
      <c r="J101" s="2527"/>
      <c r="K101" s="2526"/>
      <c r="L101" s="2517"/>
      <c r="M101" s="2517"/>
      <c r="N101" s="2517"/>
      <c r="O101" s="2517"/>
      <c r="P101" s="2525"/>
    </row>
    <row r="102" spans="1:16">
      <c r="A102" s="329">
        <v>2005.09</v>
      </c>
      <c r="B102" s="2591">
        <v>112.83465142318741</v>
      </c>
      <c r="C102" s="2662">
        <v>2.2271599658063579E-5</v>
      </c>
      <c r="D102" s="2663">
        <v>0.13591136758686151</v>
      </c>
      <c r="E102" s="2537"/>
      <c r="F102" s="2517"/>
      <c r="G102" s="2517"/>
      <c r="H102" s="2517"/>
      <c r="I102" s="2517"/>
      <c r="J102" s="2527"/>
      <c r="K102" s="2526"/>
      <c r="L102" s="2517"/>
      <c r="M102" s="2517"/>
      <c r="N102" s="2517"/>
      <c r="O102" s="2517"/>
      <c r="P102" s="2525"/>
    </row>
    <row r="103" spans="1:16">
      <c r="A103" s="329">
        <v>2005.1</v>
      </c>
      <c r="B103" s="2591">
        <v>112.14967581455129</v>
      </c>
      <c r="C103" s="2662">
        <v>-6.0706139470144693E-3</v>
      </c>
      <c r="D103" s="2663">
        <v>0.12033822597541978</v>
      </c>
      <c r="E103" s="2537"/>
      <c r="F103" s="2517"/>
      <c r="G103" s="2517"/>
      <c r="H103" s="2517"/>
      <c r="I103" s="2517"/>
      <c r="J103" s="2527"/>
      <c r="K103" s="2526"/>
      <c r="L103" s="2517"/>
      <c r="M103" s="2517"/>
      <c r="N103" s="2517"/>
      <c r="O103" s="2517"/>
      <c r="P103" s="2525"/>
    </row>
    <row r="104" spans="1:16">
      <c r="A104" s="329">
        <v>2005.11</v>
      </c>
      <c r="B104" s="2591">
        <v>113.81221130259043</v>
      </c>
      <c r="C104" s="2662">
        <v>1.4824255852404544E-2</v>
      </c>
      <c r="D104" s="2663">
        <v>0.12370536565330316</v>
      </c>
      <c r="E104" s="2537"/>
      <c r="F104" s="2517"/>
      <c r="G104" s="2517"/>
      <c r="H104" s="2517"/>
      <c r="I104" s="2517"/>
      <c r="J104" s="2527"/>
      <c r="K104" s="2526"/>
      <c r="L104" s="2517"/>
      <c r="M104" s="2517"/>
      <c r="N104" s="2517"/>
      <c r="O104" s="2517"/>
      <c r="P104" s="2525"/>
    </row>
    <row r="105" spans="1:16">
      <c r="A105" s="329">
        <v>2005.12</v>
      </c>
      <c r="B105" s="2591">
        <v>115.47350528772444</v>
      </c>
      <c r="C105" s="2662">
        <v>1.4596799114263481E-2</v>
      </c>
      <c r="D105" s="2663">
        <v>0.11216531176153133</v>
      </c>
      <c r="E105" s="2537"/>
      <c r="F105" s="2517"/>
      <c r="G105" s="2517"/>
      <c r="H105" s="2517"/>
      <c r="I105" s="2517"/>
      <c r="J105" s="2527"/>
      <c r="K105" s="2526"/>
      <c r="L105" s="2517"/>
      <c r="M105" s="2517"/>
      <c r="N105" s="2517"/>
      <c r="O105" s="2517"/>
      <c r="P105" s="2525"/>
    </row>
    <row r="106" spans="1:16">
      <c r="A106" s="329">
        <v>2006.01</v>
      </c>
      <c r="B106" s="2591">
        <v>119.85175584830783</v>
      </c>
      <c r="C106" s="2662">
        <v>3.7915628781460597E-2</v>
      </c>
      <c r="D106" s="2663">
        <v>0.12021425788707329</v>
      </c>
      <c r="E106" s="2537"/>
      <c r="F106" s="2517"/>
      <c r="G106" s="2517"/>
      <c r="H106" s="2517"/>
      <c r="I106" s="2517"/>
      <c r="J106" s="2527"/>
      <c r="K106" s="2526"/>
      <c r="L106" s="2517"/>
      <c r="M106" s="2517"/>
      <c r="N106" s="2517"/>
      <c r="O106" s="2517"/>
      <c r="P106" s="2525"/>
    </row>
    <row r="107" spans="1:16">
      <c r="A107" s="329">
        <v>2006.02</v>
      </c>
      <c r="B107" s="2591">
        <v>115.92472106236637</v>
      </c>
      <c r="C107" s="2662">
        <v>-3.2765767661441458E-2</v>
      </c>
      <c r="D107" s="2663">
        <v>0.1114893255555458</v>
      </c>
      <c r="E107" s="2537"/>
      <c r="F107" s="2517"/>
      <c r="G107" s="2517"/>
      <c r="H107" s="2517"/>
      <c r="I107" s="2517"/>
      <c r="J107" s="2527"/>
      <c r="K107" s="2526"/>
      <c r="L107" s="2517"/>
      <c r="M107" s="2517"/>
      <c r="N107" s="2517"/>
      <c r="O107" s="2517"/>
      <c r="P107" s="2525"/>
    </row>
    <row r="108" spans="1:16">
      <c r="A108" s="329">
        <v>2006.03</v>
      </c>
      <c r="B108" s="2591">
        <v>118.29248321853458</v>
      </c>
      <c r="C108" s="2662">
        <v>2.0424997657698674E-2</v>
      </c>
      <c r="D108" s="2663">
        <v>0.1078157741205672</v>
      </c>
      <c r="E108" s="2537"/>
      <c r="F108" s="2517"/>
      <c r="G108" s="2517"/>
      <c r="H108" s="2517"/>
      <c r="I108" s="2517"/>
      <c r="J108" s="2527"/>
      <c r="K108" s="2526"/>
      <c r="L108" s="2517"/>
      <c r="M108" s="2517"/>
      <c r="N108" s="2517"/>
      <c r="O108" s="2517"/>
      <c r="P108" s="2525"/>
    </row>
    <row r="109" spans="1:16">
      <c r="A109" s="329">
        <v>2006.04</v>
      </c>
      <c r="B109" s="2591">
        <v>119.38229067396308</v>
      </c>
      <c r="C109" s="2662">
        <v>9.2128208469102191E-3</v>
      </c>
      <c r="D109" s="2663">
        <v>9.5198598969589585E-2</v>
      </c>
      <c r="E109" s="2537"/>
      <c r="F109" s="2517"/>
      <c r="G109" s="2517"/>
      <c r="H109" s="2517"/>
      <c r="I109" s="2517"/>
      <c r="J109" s="2527"/>
      <c r="K109" s="2526"/>
      <c r="L109" s="2517"/>
      <c r="M109" s="2517"/>
      <c r="N109" s="2517"/>
      <c r="O109" s="2517"/>
      <c r="P109" s="2525"/>
    </row>
    <row r="110" spans="1:16">
      <c r="A110" s="329">
        <v>2006.05</v>
      </c>
      <c r="B110" s="2591">
        <v>120.64197441479267</v>
      </c>
      <c r="C110" s="2662">
        <v>1.0551680100274075E-2</v>
      </c>
      <c r="D110" s="2663">
        <v>0.10249146376478624</v>
      </c>
      <c r="E110" s="2537"/>
      <c r="F110" s="2517"/>
      <c r="G110" s="2517"/>
      <c r="H110" s="2517"/>
      <c r="I110" s="2517"/>
      <c r="J110" s="2527"/>
      <c r="K110" s="2526"/>
      <c r="L110" s="2517"/>
      <c r="M110" s="2517"/>
      <c r="N110" s="2517"/>
      <c r="O110" s="2517"/>
      <c r="P110" s="2525"/>
    </row>
    <row r="111" spans="1:16">
      <c r="A111" s="329">
        <v>2006.06</v>
      </c>
      <c r="B111" s="2591">
        <v>121.62278614013667</v>
      </c>
      <c r="C111" s="2662">
        <v>8.129937611695226E-3</v>
      </c>
      <c r="D111" s="2663">
        <v>9.6665505493941595E-2</v>
      </c>
      <c r="E111" s="2537"/>
      <c r="F111" s="2517"/>
      <c r="G111" s="2517"/>
      <c r="H111" s="2517"/>
      <c r="I111" s="2517"/>
      <c r="J111" s="2527"/>
      <c r="K111" s="2526"/>
      <c r="L111" s="2517"/>
      <c r="M111" s="2517"/>
      <c r="N111" s="2517"/>
      <c r="O111" s="2517"/>
      <c r="P111" s="2525"/>
    </row>
    <row r="112" spans="1:16">
      <c r="A112" s="329">
        <v>2006.07</v>
      </c>
      <c r="B112" s="2591">
        <v>121.88914459712339</v>
      </c>
      <c r="C112" s="2662">
        <v>2.1900374546577339E-3</v>
      </c>
      <c r="D112" s="2663">
        <v>9.5015037647082648E-2</v>
      </c>
      <c r="E112" s="2537"/>
      <c r="F112" s="2517"/>
      <c r="G112" s="2517"/>
      <c r="H112" s="2517"/>
      <c r="I112" s="2517"/>
      <c r="J112" s="2527"/>
      <c r="K112" s="2526"/>
      <c r="L112" s="2517"/>
      <c r="M112" s="2517"/>
      <c r="N112" s="2517"/>
      <c r="O112" s="2517"/>
      <c r="P112" s="2525"/>
    </row>
    <row r="113" spans="1:16">
      <c r="A113" s="329">
        <v>2006.08</v>
      </c>
      <c r="B113" s="2591">
        <v>121.37415030041927</v>
      </c>
      <c r="C113" s="2662">
        <v>-4.2251038712783906E-3</v>
      </c>
      <c r="D113" s="2663">
        <v>7.5705485557611141E-2</v>
      </c>
      <c r="E113" s="2537"/>
      <c r="F113" s="2517"/>
      <c r="G113" s="2517"/>
      <c r="H113" s="2517"/>
      <c r="I113" s="2517"/>
      <c r="J113" s="2527"/>
      <c r="K113" s="2526"/>
      <c r="L113" s="2517"/>
      <c r="M113" s="2517"/>
      <c r="N113" s="2517"/>
      <c r="O113" s="2517"/>
      <c r="P113" s="2525"/>
    </row>
    <row r="114" spans="1:16">
      <c r="A114" s="329">
        <v>2006.09</v>
      </c>
      <c r="B114" s="2591">
        <v>123.15191958415095</v>
      </c>
      <c r="C114" s="2662">
        <v>1.4647017337146462E-2</v>
      </c>
      <c r="D114" s="2663">
        <v>9.1437054405109297E-2</v>
      </c>
      <c r="E114" s="2537"/>
      <c r="F114" s="2517"/>
      <c r="G114" s="2517"/>
      <c r="H114" s="2517"/>
      <c r="I114" s="2517"/>
      <c r="J114" s="2527"/>
      <c r="K114" s="2526"/>
      <c r="L114" s="2517"/>
      <c r="M114" s="2517"/>
      <c r="N114" s="2517"/>
      <c r="O114" s="2517"/>
      <c r="P114" s="2525"/>
    </row>
    <row r="115" spans="1:16">
      <c r="A115" s="329">
        <v>2006.1</v>
      </c>
      <c r="B115" s="2591">
        <v>121.78649938599777</v>
      </c>
      <c r="C115" s="2662">
        <v>-1.1087283111491986E-2</v>
      </c>
      <c r="D115" s="2663">
        <v>8.5928233866513923E-2</v>
      </c>
      <c r="E115" s="2537"/>
      <c r="F115" s="2517"/>
      <c r="G115" s="2517"/>
      <c r="H115" s="2517"/>
      <c r="I115" s="2517"/>
      <c r="J115" s="2527"/>
      <c r="K115" s="2526"/>
      <c r="L115" s="2517"/>
      <c r="M115" s="2517"/>
      <c r="N115" s="2517"/>
      <c r="O115" s="2517"/>
      <c r="P115" s="2525"/>
    </row>
    <row r="116" spans="1:16">
      <c r="A116" s="329">
        <v>2006.11</v>
      </c>
      <c r="B116" s="2591">
        <v>122.75262423193803</v>
      </c>
      <c r="C116" s="2662">
        <v>7.9329387970843435E-3</v>
      </c>
      <c r="D116" s="2663">
        <v>7.8554074532282803E-2</v>
      </c>
      <c r="E116" s="2537"/>
      <c r="F116" s="2517"/>
      <c r="G116" s="2517"/>
      <c r="H116" s="2517"/>
      <c r="I116" s="2517"/>
      <c r="J116" s="2527"/>
      <c r="K116" s="2526"/>
      <c r="L116" s="2517"/>
      <c r="M116" s="2517"/>
      <c r="N116" s="2517"/>
      <c r="O116" s="2517"/>
      <c r="P116" s="2525"/>
    </row>
    <row r="117" spans="1:16">
      <c r="A117" s="329">
        <v>2006.12</v>
      </c>
      <c r="B117" s="2591">
        <v>123.52473647093805</v>
      </c>
      <c r="C117" s="2662">
        <v>6.2899856017835098E-3</v>
      </c>
      <c r="D117" s="2663">
        <v>6.9723623294819292E-2</v>
      </c>
      <c r="E117" s="2537"/>
      <c r="F117" s="2517"/>
      <c r="G117" s="2517"/>
      <c r="H117" s="2517"/>
      <c r="I117" s="2517"/>
      <c r="J117" s="2527"/>
      <c r="K117" s="2526"/>
      <c r="L117" s="2517"/>
      <c r="M117" s="2517"/>
      <c r="N117" s="2517"/>
      <c r="O117" s="2517"/>
      <c r="P117" s="2525"/>
    </row>
    <row r="118" spans="1:16">
      <c r="A118" s="329">
        <v>2007.01</v>
      </c>
      <c r="B118" s="2591">
        <v>123.64519675265913</v>
      </c>
      <c r="C118" s="2662">
        <v>9.751915702278513E-4</v>
      </c>
      <c r="D118" s="2663">
        <v>3.1651108300428499E-2</v>
      </c>
      <c r="E118" s="2537"/>
      <c r="F118" s="2517"/>
      <c r="G118" s="2517"/>
      <c r="H118" s="2517"/>
      <c r="I118" s="2517"/>
      <c r="J118" s="2527"/>
      <c r="K118" s="2526"/>
      <c r="L118" s="2517"/>
      <c r="M118" s="2517"/>
      <c r="N118" s="2517"/>
      <c r="O118" s="2517"/>
      <c r="P118" s="2525"/>
    </row>
    <row r="119" spans="1:16">
      <c r="A119" s="329">
        <v>2007.02</v>
      </c>
      <c r="B119" s="2591">
        <v>124.18061783359877</v>
      </c>
      <c r="C119" s="2662">
        <v>4.3303023085539127E-3</v>
      </c>
      <c r="D119" s="2663">
        <v>7.1217741095885856E-2</v>
      </c>
      <c r="E119" s="2537"/>
      <c r="F119" s="2517"/>
      <c r="G119" s="2517"/>
      <c r="H119" s="2517"/>
      <c r="I119" s="2517"/>
      <c r="J119" s="2527"/>
      <c r="K119" s="2526"/>
      <c r="L119" s="2517"/>
      <c r="M119" s="2517"/>
      <c r="N119" s="2517"/>
      <c r="O119" s="2517"/>
      <c r="P119" s="2525"/>
    </row>
    <row r="120" spans="1:16">
      <c r="A120" s="329">
        <v>2007.03</v>
      </c>
      <c r="B120" s="2591">
        <v>127.02049120676759</v>
      </c>
      <c r="C120" s="2662">
        <v>2.2868893895939824E-2</v>
      </c>
      <c r="D120" s="2663">
        <v>7.378328487794783E-2</v>
      </c>
      <c r="E120" s="2537"/>
      <c r="F120" s="2517"/>
      <c r="G120" s="2517"/>
      <c r="H120" s="2517"/>
      <c r="I120" s="2517"/>
      <c r="J120" s="2527"/>
      <c r="K120" s="2526"/>
      <c r="L120" s="2517"/>
      <c r="M120" s="2517"/>
      <c r="N120" s="2517"/>
      <c r="O120" s="2517"/>
      <c r="P120" s="2525"/>
    </row>
    <row r="121" spans="1:16">
      <c r="A121" s="329">
        <v>2007.04</v>
      </c>
      <c r="B121" s="2591">
        <v>125.81069163896592</v>
      </c>
      <c r="C121" s="2662">
        <v>-9.5244440980182254E-3</v>
      </c>
      <c r="D121" s="2663">
        <v>5.3847190640352149E-2</v>
      </c>
      <c r="E121" s="2537"/>
      <c r="F121" s="2517"/>
      <c r="G121" s="2517"/>
      <c r="H121" s="2517"/>
      <c r="I121" s="2517"/>
      <c r="J121" s="2527"/>
      <c r="K121" s="2526"/>
      <c r="L121" s="2517"/>
      <c r="M121" s="2517"/>
      <c r="N121" s="2517"/>
      <c r="O121" s="2517"/>
      <c r="P121" s="2525"/>
    </row>
    <row r="122" spans="1:16">
      <c r="A122" s="329">
        <v>2007.05</v>
      </c>
      <c r="B122" s="2591">
        <v>125.96792298293917</v>
      </c>
      <c r="C122" s="2662">
        <v>1.2497454860549428E-3</v>
      </c>
      <c r="D122" s="2663">
        <v>4.4146729146149033E-2</v>
      </c>
      <c r="E122" s="2537"/>
      <c r="F122" s="2517"/>
      <c r="G122" s="2517"/>
      <c r="H122" s="2517"/>
      <c r="I122" s="2517"/>
      <c r="J122" s="2527"/>
      <c r="K122" s="2526"/>
      <c r="L122" s="2517"/>
      <c r="M122" s="2517"/>
      <c r="N122" s="2517"/>
      <c r="O122" s="2517"/>
      <c r="P122" s="2525"/>
    </row>
    <row r="123" spans="1:16">
      <c r="A123" s="329">
        <v>2007.06</v>
      </c>
      <c r="B123" s="2591">
        <v>125.95676328921866</v>
      </c>
      <c r="C123" s="2662">
        <v>-8.8591551374750388E-5</v>
      </c>
      <c r="D123" s="2663">
        <v>3.5634582027156192E-2</v>
      </c>
      <c r="E123" s="2537"/>
      <c r="F123" s="2517"/>
      <c r="G123" s="2517"/>
      <c r="H123" s="2517"/>
      <c r="I123" s="2517"/>
      <c r="J123" s="2527"/>
      <c r="K123" s="2526"/>
      <c r="L123" s="2517"/>
      <c r="M123" s="2517"/>
      <c r="N123" s="2517"/>
      <c r="O123" s="2517"/>
      <c r="P123" s="2525"/>
    </row>
    <row r="124" spans="1:16">
      <c r="A124" s="329">
        <v>2007.07</v>
      </c>
      <c r="B124" s="2591">
        <v>123.96045348547729</v>
      </c>
      <c r="C124" s="2662">
        <v>-1.5849167219051941E-2</v>
      </c>
      <c r="D124" s="2663">
        <v>1.6993382759392883E-2</v>
      </c>
      <c r="E124" s="2537"/>
      <c r="F124" s="2517"/>
      <c r="G124" s="2517"/>
      <c r="H124" s="2517"/>
      <c r="I124" s="2517"/>
      <c r="J124" s="2527"/>
      <c r="K124" s="2526"/>
      <c r="L124" s="2517"/>
      <c r="M124" s="2517"/>
      <c r="N124" s="2517"/>
      <c r="O124" s="2517"/>
      <c r="P124" s="2525"/>
    </row>
    <row r="125" spans="1:16">
      <c r="A125" s="329">
        <v>2007.08</v>
      </c>
      <c r="B125" s="2591">
        <v>126.97696309508346</v>
      </c>
      <c r="C125" s="2662">
        <v>2.4334451228508858E-2</v>
      </c>
      <c r="D125" s="2663">
        <v>4.6161499633953218E-2</v>
      </c>
      <c r="E125" s="2537"/>
      <c r="F125" s="2517"/>
      <c r="G125" s="2517"/>
      <c r="H125" s="2517"/>
      <c r="I125" s="2517"/>
      <c r="J125" s="2527"/>
      <c r="K125" s="2526"/>
      <c r="L125" s="2517"/>
      <c r="M125" s="2517"/>
      <c r="N125" s="2517"/>
      <c r="O125" s="2517"/>
      <c r="P125" s="2525"/>
    </row>
    <row r="126" spans="1:16">
      <c r="A126" s="329">
        <v>2007.09</v>
      </c>
      <c r="B126" s="2591">
        <v>128.65887091375012</v>
      </c>
      <c r="C126" s="2662">
        <v>1.3245771340484769E-2</v>
      </c>
      <c r="D126" s="2663">
        <v>4.4716731563702705E-2</v>
      </c>
      <c r="E126" s="2537"/>
      <c r="F126" s="2517"/>
      <c r="G126" s="2517"/>
      <c r="H126" s="2517"/>
      <c r="I126" s="2517"/>
      <c r="J126" s="2527"/>
      <c r="K126" s="2526"/>
      <c r="L126" s="2517"/>
      <c r="M126" s="2517"/>
      <c r="N126" s="2517"/>
      <c r="O126" s="2517"/>
      <c r="P126" s="2525"/>
    </row>
    <row r="127" spans="1:16">
      <c r="A127" s="329">
        <v>2007.1</v>
      </c>
      <c r="B127" s="2591">
        <v>134.35572477080979</v>
      </c>
      <c r="C127" s="2662">
        <v>4.4278749040776999E-2</v>
      </c>
      <c r="D127" s="2663">
        <v>0.10320705043811396</v>
      </c>
      <c r="E127" s="2537"/>
      <c r="F127" s="2517"/>
      <c r="G127" s="2517"/>
      <c r="H127" s="2517"/>
      <c r="I127" s="2517"/>
      <c r="J127" s="2527"/>
      <c r="K127" s="2526"/>
      <c r="L127" s="2517"/>
      <c r="M127" s="2517"/>
      <c r="N127" s="2517"/>
      <c r="O127" s="2517"/>
      <c r="P127" s="2525"/>
    </row>
    <row r="128" spans="1:16">
      <c r="A128" s="329">
        <v>2007.11</v>
      </c>
      <c r="B128" s="2591">
        <v>137.38166216799786</v>
      </c>
      <c r="C128" s="2662">
        <v>2.2521834498305582E-2</v>
      </c>
      <c r="D128" s="2663">
        <v>0.11917495065864037</v>
      </c>
      <c r="E128" s="2537"/>
      <c r="F128" s="2517"/>
      <c r="G128" s="2517"/>
      <c r="H128" s="2517"/>
      <c r="I128" s="2517"/>
      <c r="J128" s="2527"/>
      <c r="K128" s="2526"/>
      <c r="L128" s="2517"/>
      <c r="M128" s="2517"/>
      <c r="N128" s="2517"/>
      <c r="O128" s="2517"/>
      <c r="P128" s="2525"/>
    </row>
    <row r="129" spans="1:16">
      <c r="A129" s="329">
        <v>2007.12</v>
      </c>
      <c r="B129" s="2591">
        <v>140.73170694306921</v>
      </c>
      <c r="C129" s="2662">
        <v>2.4384948632916847E-2</v>
      </c>
      <c r="D129" s="2663">
        <v>0.13929979503481471</v>
      </c>
      <c r="E129" s="2537"/>
      <c r="F129" s="2517"/>
      <c r="G129" s="2517"/>
      <c r="H129" s="2517"/>
      <c r="I129" s="2517"/>
      <c r="J129" s="2527"/>
      <c r="K129" s="2526"/>
      <c r="L129" s="2517"/>
      <c r="M129" s="2517"/>
      <c r="N129" s="2517"/>
      <c r="O129" s="2517"/>
      <c r="P129" s="2525"/>
    </row>
    <row r="130" spans="1:16">
      <c r="A130" s="329">
        <f t="shared" ref="A130:A193" si="0">A118+1</f>
        <v>2008.01</v>
      </c>
      <c r="B130" s="2591">
        <v>135.2399757793886</v>
      </c>
      <c r="C130" s="2662">
        <v>-3.9022699880292167E-2</v>
      </c>
      <c r="D130" s="2663">
        <v>9.3774601288586723E-2</v>
      </c>
      <c r="E130" s="2537"/>
      <c r="F130" s="2517"/>
      <c r="G130" s="2517"/>
      <c r="H130" s="2517"/>
      <c r="I130" s="2517"/>
      <c r="J130" s="2527"/>
      <c r="K130" s="2526"/>
      <c r="L130" s="2517"/>
      <c r="M130" s="2517"/>
      <c r="N130" s="2517"/>
      <c r="O130" s="2517"/>
      <c r="P130" s="2525"/>
    </row>
    <row r="131" spans="1:16">
      <c r="A131" s="329">
        <f t="shared" si="0"/>
        <v>2008.02</v>
      </c>
      <c r="B131" s="2591">
        <v>133.97369782442695</v>
      </c>
      <c r="C131" s="2662">
        <v>-9.3631927073639654E-3</v>
      </c>
      <c r="D131" s="2663">
        <v>7.8861582118642914E-2</v>
      </c>
      <c r="E131" s="2537"/>
      <c r="F131" s="2517"/>
      <c r="G131" s="2517"/>
      <c r="H131" s="2517"/>
      <c r="I131" s="2517"/>
      <c r="J131" s="2527"/>
      <c r="K131" s="2526"/>
      <c r="L131" s="2517"/>
      <c r="M131" s="2517"/>
      <c r="N131" s="2517"/>
      <c r="O131" s="2517"/>
      <c r="P131" s="2525"/>
    </row>
    <row r="132" spans="1:16">
      <c r="A132" s="329">
        <f t="shared" si="0"/>
        <v>2008.03</v>
      </c>
      <c r="B132" s="2591">
        <v>128.70133340944415</v>
      </c>
      <c r="C132" s="2662">
        <v>-3.9353727639079294E-2</v>
      </c>
      <c r="D132" s="2663">
        <v>1.323284287997617E-2</v>
      </c>
      <c r="E132" s="2537"/>
      <c r="F132" s="2517"/>
      <c r="G132" s="2517"/>
      <c r="H132" s="2517"/>
      <c r="I132" s="2517"/>
      <c r="J132" s="2527"/>
      <c r="K132" s="2526"/>
      <c r="L132" s="2517"/>
      <c r="M132" s="2517"/>
      <c r="N132" s="2517"/>
      <c r="O132" s="2517"/>
      <c r="P132" s="2525"/>
    </row>
    <row r="133" spans="1:16">
      <c r="A133" s="329">
        <f t="shared" si="0"/>
        <v>2008.04</v>
      </c>
      <c r="B133" s="2591">
        <v>132.23341833031583</v>
      </c>
      <c r="C133" s="2662">
        <v>2.7444042942701197E-2</v>
      </c>
      <c r="D133" s="2663">
        <v>5.1050722380423519E-2</v>
      </c>
      <c r="E133" s="2537"/>
      <c r="F133" s="2517"/>
      <c r="G133" s="2517"/>
      <c r="H133" s="2517"/>
      <c r="I133" s="2517"/>
      <c r="J133" s="2527"/>
      <c r="K133" s="2526"/>
      <c r="L133" s="2517"/>
      <c r="M133" s="2517"/>
      <c r="N133" s="2517"/>
      <c r="O133" s="2517"/>
      <c r="P133" s="2525"/>
    </row>
    <row r="134" spans="1:16">
      <c r="A134" s="329">
        <f t="shared" si="0"/>
        <v>2008.05</v>
      </c>
      <c r="B134" s="2591">
        <v>133.48217124015741</v>
      </c>
      <c r="C134" s="2662">
        <v>9.4435500920215798E-3</v>
      </c>
      <c r="D134" s="2663">
        <v>5.9652077126301162E-2</v>
      </c>
      <c r="E134" s="2537"/>
      <c r="F134" s="2517"/>
      <c r="G134" s="2517"/>
      <c r="H134" s="2517"/>
      <c r="I134" s="2517"/>
      <c r="J134" s="2527"/>
      <c r="K134" s="2526"/>
      <c r="L134" s="2517"/>
      <c r="M134" s="2517"/>
      <c r="N134" s="2517"/>
      <c r="O134" s="2517"/>
      <c r="P134" s="2525"/>
    </row>
    <row r="135" spans="1:16">
      <c r="A135" s="329">
        <f t="shared" si="0"/>
        <v>2008.06</v>
      </c>
      <c r="B135" s="2591">
        <v>126.55225576957869</v>
      </c>
      <c r="C135" s="2662">
        <v>-5.1916412553033808E-2</v>
      </c>
      <c r="D135" s="2663">
        <v>4.7277531178908649E-3</v>
      </c>
      <c r="E135" s="2537"/>
      <c r="F135" s="2517"/>
      <c r="G135" s="2517"/>
      <c r="H135" s="2517"/>
      <c r="I135" s="2517"/>
      <c r="J135" s="2527"/>
      <c r="K135" s="2526"/>
      <c r="L135" s="2517"/>
      <c r="M135" s="2517"/>
      <c r="N135" s="2517"/>
      <c r="O135" s="2517"/>
      <c r="P135" s="2525"/>
    </row>
    <row r="136" spans="1:16">
      <c r="A136" s="329">
        <f t="shared" si="0"/>
        <v>2008.07</v>
      </c>
      <c r="B136" s="2591">
        <v>135.03771112476608</v>
      </c>
      <c r="C136" s="2662">
        <v>6.7051000423393292E-2</v>
      </c>
      <c r="D136" s="2663">
        <v>8.9361222291644449E-2</v>
      </c>
      <c r="E136" s="2537"/>
      <c r="F136" s="2517"/>
      <c r="G136" s="2517"/>
      <c r="H136" s="2517"/>
      <c r="I136" s="2517"/>
      <c r="J136" s="2527"/>
      <c r="K136" s="2526"/>
      <c r="L136" s="2517"/>
      <c r="M136" s="2517"/>
      <c r="N136" s="2517"/>
      <c r="O136" s="2517"/>
      <c r="P136" s="2525"/>
    </row>
    <row r="137" spans="1:16">
      <c r="A137" s="329">
        <f t="shared" si="0"/>
        <v>2008.08</v>
      </c>
      <c r="B137" s="2591">
        <v>135.7451263200081</v>
      </c>
      <c r="C137" s="2662">
        <v>5.238649184363231E-3</v>
      </c>
      <c r="D137" s="2663">
        <v>6.9053181074734127E-2</v>
      </c>
      <c r="E137" s="2537"/>
      <c r="F137" s="2517"/>
      <c r="G137" s="2517"/>
      <c r="H137" s="2517"/>
      <c r="I137" s="2517"/>
      <c r="J137" s="2527"/>
      <c r="K137" s="2526"/>
      <c r="L137" s="2517"/>
      <c r="M137" s="2517"/>
      <c r="N137" s="2517"/>
      <c r="O137" s="2517"/>
      <c r="P137" s="2525"/>
    </row>
    <row r="138" spans="1:16">
      <c r="A138" s="329">
        <f t="shared" si="0"/>
        <v>2008.09</v>
      </c>
      <c r="B138" s="2591">
        <v>133.02416330308827</v>
      </c>
      <c r="C138" s="2662">
        <v>-2.0044646100261243E-2</v>
      </c>
      <c r="D138" s="2663">
        <v>3.3929198650161752E-2</v>
      </c>
      <c r="E138" s="2537"/>
      <c r="F138" s="2517"/>
      <c r="G138" s="2517"/>
      <c r="H138" s="2517"/>
      <c r="I138" s="2517"/>
      <c r="J138" s="2527"/>
      <c r="K138" s="2526"/>
      <c r="L138" s="2517"/>
      <c r="M138" s="2517"/>
      <c r="N138" s="2517"/>
      <c r="O138" s="2517"/>
      <c r="P138" s="2525"/>
    </row>
    <row r="139" spans="1:16">
      <c r="A139" s="329">
        <f t="shared" si="0"/>
        <v>2008.1</v>
      </c>
      <c r="B139" s="2591">
        <v>130.29169092800831</v>
      </c>
      <c r="C139" s="2662">
        <v>-2.0541173176591765E-2</v>
      </c>
      <c r="D139" s="2663">
        <v>-3.0248311709337949E-2</v>
      </c>
      <c r="E139" s="2537"/>
      <c r="F139" s="2517"/>
      <c r="G139" s="2517"/>
      <c r="H139" s="2517"/>
      <c r="I139" s="2517"/>
      <c r="J139" s="2527"/>
      <c r="K139" s="2526"/>
      <c r="L139" s="2517"/>
      <c r="M139" s="2517"/>
      <c r="N139" s="2517"/>
      <c r="O139" s="2517"/>
      <c r="P139" s="2525"/>
    </row>
    <row r="140" spans="1:16">
      <c r="A140" s="329">
        <f t="shared" si="0"/>
        <v>2008.11</v>
      </c>
      <c r="B140" s="2591">
        <v>127.47753005626008</v>
      </c>
      <c r="C140" s="2662">
        <v>-2.159892815654052E-2</v>
      </c>
      <c r="D140" s="2663">
        <v>-7.2092096975988396E-2</v>
      </c>
      <c r="E140" s="2537"/>
      <c r="F140" s="2517"/>
      <c r="G140" s="2517"/>
      <c r="H140" s="2517"/>
      <c r="I140" s="2517"/>
      <c r="J140" s="2527"/>
      <c r="K140" s="2526"/>
      <c r="L140" s="2517"/>
      <c r="M140" s="2517"/>
      <c r="N140" s="2517"/>
      <c r="O140" s="2517"/>
      <c r="P140" s="2525"/>
    </row>
    <row r="141" spans="1:16">
      <c r="A141" s="329">
        <f t="shared" si="0"/>
        <v>2008.12</v>
      </c>
      <c r="B141" s="2591">
        <v>123.42051434064119</v>
      </c>
      <c r="C141" s="2662">
        <v>-3.1825339836976663E-2</v>
      </c>
      <c r="D141" s="2663">
        <v>-0.12300847462491869</v>
      </c>
      <c r="E141" s="2537"/>
      <c r="F141" s="2517"/>
      <c r="G141" s="2517"/>
      <c r="H141" s="2517"/>
      <c r="I141" s="2517"/>
      <c r="J141" s="2527"/>
      <c r="K141" s="2526"/>
      <c r="L141" s="2517"/>
      <c r="M141" s="2517"/>
      <c r="N141" s="2517"/>
      <c r="O141" s="2517"/>
      <c r="P141" s="2525"/>
    </row>
    <row r="142" spans="1:16">
      <c r="A142" s="329">
        <f t="shared" si="0"/>
        <v>2009.01</v>
      </c>
      <c r="B142" s="2591">
        <v>126.07398221739888</v>
      </c>
      <c r="C142" s="2662">
        <v>2.149940705508735E-2</v>
      </c>
      <c r="D142" s="2663">
        <v>-6.7775770508431865E-2</v>
      </c>
      <c r="E142" s="2537"/>
      <c r="F142" s="2517"/>
      <c r="G142" s="2517"/>
      <c r="H142" s="2517"/>
      <c r="I142" s="2517"/>
      <c r="J142" s="2527"/>
      <c r="K142" s="2526"/>
      <c r="L142" s="2517"/>
      <c r="M142" s="2517"/>
      <c r="N142" s="2517"/>
      <c r="O142" s="2517"/>
      <c r="P142" s="2525"/>
    </row>
    <row r="143" spans="1:16">
      <c r="A143" s="329">
        <f t="shared" si="0"/>
        <v>2009.02</v>
      </c>
      <c r="B143" s="2591">
        <v>127.79176828254461</v>
      </c>
      <c r="C143" s="2662">
        <v>1.3625222547374083E-2</v>
      </c>
      <c r="D143" s="2663">
        <v>-4.6142859697608563E-2</v>
      </c>
      <c r="E143" s="2537"/>
      <c r="F143" s="2517"/>
      <c r="G143" s="2517"/>
      <c r="H143" s="2517"/>
      <c r="I143" s="2517"/>
      <c r="J143" s="2527"/>
      <c r="K143" s="2526"/>
      <c r="L143" s="2517"/>
      <c r="M143" s="2517"/>
      <c r="N143" s="2517"/>
      <c r="O143" s="2517"/>
      <c r="P143" s="2525"/>
    </row>
    <row r="144" spans="1:16">
      <c r="A144" s="329">
        <f t="shared" si="0"/>
        <v>2009.03</v>
      </c>
      <c r="B144" s="2591">
        <v>127.55039495825358</v>
      </c>
      <c r="C144" s="2662">
        <v>-1.8888018182623423E-3</v>
      </c>
      <c r="D144" s="2663">
        <v>-8.9427080567147099E-3</v>
      </c>
      <c r="E144" s="2537"/>
      <c r="F144" s="2517"/>
      <c r="G144" s="2517"/>
      <c r="H144" s="2517"/>
      <c r="I144" s="2517"/>
      <c r="J144" s="2527"/>
      <c r="K144" s="2526"/>
      <c r="L144" s="2517"/>
      <c r="M144" s="2517"/>
      <c r="N144" s="2517"/>
      <c r="O144" s="2517"/>
      <c r="P144" s="2525"/>
    </row>
    <row r="145" spans="1:16">
      <c r="A145" s="329">
        <f t="shared" si="0"/>
        <v>2009.04</v>
      </c>
      <c r="B145" s="2591">
        <v>129.33151285748912</v>
      </c>
      <c r="C145" s="2662">
        <v>1.3964032803022608E-2</v>
      </c>
      <c r="D145" s="2663">
        <v>-2.1945325996018838E-2</v>
      </c>
      <c r="E145" s="2537"/>
      <c r="F145" s="2517"/>
      <c r="G145" s="2517"/>
      <c r="H145" s="2517"/>
      <c r="I145" s="2517"/>
      <c r="J145" s="2527"/>
      <c r="K145" s="2526"/>
      <c r="L145" s="2517"/>
      <c r="M145" s="2517"/>
      <c r="N145" s="2517"/>
      <c r="O145" s="2517"/>
      <c r="P145" s="2525"/>
    </row>
    <row r="146" spans="1:16">
      <c r="A146" s="329">
        <f t="shared" si="0"/>
        <v>2009.05</v>
      </c>
      <c r="B146" s="2591">
        <v>126.52967539421201</v>
      </c>
      <c r="C146" s="2662">
        <v>-2.1663996665410301E-2</v>
      </c>
      <c r="D146" s="2663">
        <v>-5.2085576533188578E-2</v>
      </c>
      <c r="E146" s="2537"/>
      <c r="F146" s="2517"/>
      <c r="G146" s="2517"/>
      <c r="H146" s="2517"/>
      <c r="I146" s="2517"/>
      <c r="J146" s="2527"/>
      <c r="K146" s="2526"/>
      <c r="L146" s="2517"/>
      <c r="M146" s="2517"/>
      <c r="N146" s="2517"/>
      <c r="O146" s="2517"/>
      <c r="P146" s="2525"/>
    </row>
    <row r="147" spans="1:16">
      <c r="A147" s="329">
        <f t="shared" si="0"/>
        <v>2009.06</v>
      </c>
      <c r="B147" s="2591">
        <v>128.20129713442608</v>
      </c>
      <c r="C147" s="2662">
        <v>1.3211301894247462E-2</v>
      </c>
      <c r="D147" s="2663">
        <v>1.303051735284666E-2</v>
      </c>
      <c r="E147" s="2537"/>
      <c r="F147" s="2517"/>
      <c r="G147" s="2517"/>
      <c r="H147" s="2517"/>
      <c r="I147" s="2517"/>
      <c r="J147" s="2527"/>
      <c r="K147" s="2526"/>
      <c r="L147" s="2517"/>
      <c r="M147" s="2517"/>
      <c r="N147" s="2517"/>
      <c r="O147" s="2517"/>
      <c r="P147" s="2525"/>
    </row>
    <row r="148" spans="1:16">
      <c r="A148" s="329">
        <f t="shared" si="0"/>
        <v>2009.07</v>
      </c>
      <c r="B148" s="2591">
        <v>126.15029403504563</v>
      </c>
      <c r="C148" s="2662">
        <v>-1.5998302242058116E-2</v>
      </c>
      <c r="D148" s="2663">
        <v>-6.5814334497339422E-2</v>
      </c>
      <c r="E148" s="2537"/>
      <c r="F148" s="2517"/>
      <c r="G148" s="2517"/>
      <c r="H148" s="2517"/>
      <c r="I148" s="2517"/>
      <c r="J148" s="2527"/>
      <c r="K148" s="2526"/>
      <c r="L148" s="2517"/>
      <c r="M148" s="2517"/>
      <c r="N148" s="2517"/>
      <c r="O148" s="2517"/>
      <c r="P148" s="2525"/>
    </row>
    <row r="149" spans="1:16">
      <c r="A149" s="329">
        <f t="shared" si="0"/>
        <v>2009.08</v>
      </c>
      <c r="B149" s="2591">
        <v>124.89228912933581</v>
      </c>
      <c r="C149" s="2662">
        <v>-9.972270895859614E-3</v>
      </c>
      <c r="D149" s="2663">
        <v>-7.9950105649374215E-2</v>
      </c>
      <c r="E149" s="2537"/>
      <c r="F149" s="2517"/>
      <c r="G149" s="2517"/>
      <c r="H149" s="2517"/>
      <c r="I149" s="2517"/>
      <c r="J149" s="2527"/>
      <c r="K149" s="2526"/>
      <c r="L149" s="2517"/>
      <c r="M149" s="2517"/>
      <c r="N149" s="2517"/>
      <c r="O149" s="2517"/>
      <c r="P149" s="2525"/>
    </row>
    <row r="150" spans="1:16">
      <c r="A150" s="329">
        <f t="shared" si="0"/>
        <v>2009.09</v>
      </c>
      <c r="B150" s="2591">
        <v>128.08610306081601</v>
      </c>
      <c r="C150" s="2662">
        <v>2.5572546982246092E-2</v>
      </c>
      <c r="D150" s="2663">
        <v>-3.7121528297239914E-2</v>
      </c>
      <c r="E150" s="2537"/>
      <c r="F150" s="2517"/>
      <c r="G150" s="2517"/>
      <c r="H150" s="2517"/>
      <c r="I150" s="2517"/>
      <c r="J150" s="2527"/>
      <c r="K150" s="2526"/>
      <c r="L150" s="2517"/>
      <c r="M150" s="2517"/>
      <c r="N150" s="2517"/>
      <c r="O150" s="2517"/>
      <c r="P150" s="2525"/>
    </row>
    <row r="151" spans="1:16">
      <c r="A151" s="329">
        <f t="shared" si="0"/>
        <v>2009.1</v>
      </c>
      <c r="B151" s="2591">
        <v>127.75944475687859</v>
      </c>
      <c r="C151" s="2662">
        <v>-2.5503024616364556E-3</v>
      </c>
      <c r="D151" s="2663">
        <v>-1.9435208439568807E-2</v>
      </c>
      <c r="E151" s="2537"/>
      <c r="F151" s="2517"/>
      <c r="G151" s="2517"/>
      <c r="H151" s="2517"/>
      <c r="I151" s="2517"/>
      <c r="J151" s="2527"/>
      <c r="K151" s="2526"/>
      <c r="L151" s="2517"/>
      <c r="M151" s="2517"/>
      <c r="N151" s="2517"/>
      <c r="O151" s="2517"/>
      <c r="P151" s="2525"/>
    </row>
    <row r="152" spans="1:16">
      <c r="A152" s="329">
        <f t="shared" si="0"/>
        <v>2009.11</v>
      </c>
      <c r="B152" s="2591">
        <v>126.5230041675305</v>
      </c>
      <c r="C152" s="2662">
        <v>-9.6778801105545931E-3</v>
      </c>
      <c r="D152" s="2663">
        <v>-7.487797169495769E-3</v>
      </c>
      <c r="E152" s="2537"/>
      <c r="F152" s="2517"/>
      <c r="G152" s="2517"/>
      <c r="H152" s="2517"/>
      <c r="I152" s="2517"/>
      <c r="J152" s="2527"/>
      <c r="K152" s="2526"/>
      <c r="L152" s="2517"/>
      <c r="M152" s="2517"/>
      <c r="N152" s="2517"/>
      <c r="O152" s="2517"/>
      <c r="P152" s="2525"/>
    </row>
    <row r="153" spans="1:16">
      <c r="A153" s="329">
        <f t="shared" si="0"/>
        <v>2009.12</v>
      </c>
      <c r="B153" s="2591">
        <v>124.48743021271362</v>
      </c>
      <c r="C153" s="2662">
        <v>-1.6088567989751112E-2</v>
      </c>
      <c r="D153" s="2663">
        <v>8.644558627650234E-3</v>
      </c>
      <c r="E153" s="2537"/>
      <c r="F153" s="2517"/>
      <c r="G153" s="2517"/>
      <c r="H153" s="2517"/>
      <c r="I153" s="2517"/>
      <c r="J153" s="2527"/>
      <c r="K153" s="2526"/>
      <c r="L153" s="2517"/>
      <c r="M153" s="2517"/>
      <c r="N153" s="2517"/>
      <c r="O153" s="2517"/>
      <c r="P153" s="2525"/>
    </row>
    <row r="154" spans="1:16">
      <c r="A154" s="329">
        <f t="shared" si="0"/>
        <v>2010.01</v>
      </c>
      <c r="B154" s="2591">
        <v>128.7251008378897</v>
      </c>
      <c r="C154" s="2662">
        <v>3.4040951909241723E-2</v>
      </c>
      <c r="D154" s="2663">
        <v>2.1028276999446982E-2</v>
      </c>
      <c r="E154" s="2537"/>
      <c r="F154" s="2517"/>
      <c r="G154" s="2517"/>
      <c r="H154" s="2517"/>
      <c r="I154" s="2517"/>
      <c r="J154" s="2527"/>
      <c r="K154" s="2526"/>
      <c r="L154" s="2517"/>
      <c r="M154" s="2517"/>
      <c r="N154" s="2517"/>
      <c r="O154" s="2517"/>
      <c r="P154" s="2525"/>
    </row>
    <row r="155" spans="1:16">
      <c r="A155" s="329">
        <f t="shared" si="0"/>
        <v>2010.02</v>
      </c>
      <c r="B155" s="2591">
        <v>132.46544313929604</v>
      </c>
      <c r="C155" s="2662">
        <v>2.9056821684814604E-2</v>
      </c>
      <c r="D155" s="2663">
        <v>3.6572581470334153E-2</v>
      </c>
      <c r="E155" s="2537"/>
      <c r="F155" s="2517"/>
      <c r="G155" s="2517"/>
      <c r="H155" s="2517"/>
      <c r="I155" s="2517"/>
      <c r="J155" s="2527"/>
      <c r="K155" s="2526"/>
      <c r="L155" s="2517"/>
      <c r="M155" s="2517"/>
      <c r="N155" s="2517"/>
      <c r="O155" s="2517"/>
      <c r="P155" s="2525"/>
    </row>
    <row r="156" spans="1:16">
      <c r="A156" s="329">
        <f t="shared" si="0"/>
        <v>2010.03</v>
      </c>
      <c r="B156" s="2591">
        <v>142.30096234391445</v>
      </c>
      <c r="C156" s="2662">
        <v>7.4249698423427546E-2</v>
      </c>
      <c r="D156" s="2663">
        <v>0.1156450153720703</v>
      </c>
      <c r="E156" s="2537"/>
      <c r="F156" s="2517"/>
      <c r="G156" s="2517"/>
      <c r="H156" s="2517"/>
      <c r="I156" s="2517"/>
      <c r="J156" s="2527"/>
      <c r="K156" s="2526"/>
      <c r="L156" s="2517"/>
      <c r="M156" s="2517"/>
      <c r="N156" s="2517"/>
      <c r="O156" s="2517"/>
      <c r="P156" s="2525"/>
    </row>
    <row r="157" spans="1:16">
      <c r="A157" s="329">
        <f t="shared" si="0"/>
        <v>2010.04</v>
      </c>
      <c r="B157" s="2591">
        <v>143.16982506990502</v>
      </c>
      <c r="C157" s="2662">
        <v>6.1058106120932543E-3</v>
      </c>
      <c r="D157" s="2663">
        <v>0.10699876547229747</v>
      </c>
      <c r="E157" s="2537"/>
      <c r="F157" s="2517"/>
      <c r="G157" s="2517"/>
      <c r="H157" s="2517"/>
      <c r="I157" s="2517"/>
      <c r="J157" s="2527"/>
      <c r="K157" s="2526"/>
      <c r="L157" s="2517"/>
      <c r="M157" s="2517"/>
      <c r="N157" s="2517"/>
      <c r="O157" s="2517"/>
      <c r="P157" s="2525"/>
    </row>
    <row r="158" spans="1:16">
      <c r="A158" s="329">
        <f t="shared" si="0"/>
        <v>2010.05</v>
      </c>
      <c r="B158" s="2591">
        <v>142.35864860702122</v>
      </c>
      <c r="C158" s="2662">
        <v>-5.6658340015972586E-3</v>
      </c>
      <c r="D158" s="2663">
        <v>0.1251008758498191</v>
      </c>
      <c r="E158" s="2537"/>
      <c r="F158" s="2517"/>
      <c r="G158" s="2517"/>
      <c r="H158" s="2517"/>
      <c r="I158" s="2517"/>
      <c r="J158" s="2527"/>
      <c r="K158" s="2526"/>
      <c r="L158" s="2517"/>
      <c r="M158" s="2517"/>
      <c r="N158" s="2517"/>
      <c r="O158" s="2517"/>
      <c r="P158" s="2525"/>
    </row>
    <row r="159" spans="1:16">
      <c r="A159" s="329">
        <f t="shared" si="0"/>
        <v>2010.06</v>
      </c>
      <c r="B159" s="2591">
        <v>142.67110709905398</v>
      </c>
      <c r="C159" s="2662">
        <v>2.1948683489916299E-3</v>
      </c>
      <c r="D159" s="2663">
        <v>0.11286789048207148</v>
      </c>
      <c r="E159" s="2537"/>
      <c r="F159" s="2517"/>
      <c r="G159" s="2517"/>
      <c r="H159" s="2517"/>
      <c r="I159" s="2517"/>
      <c r="J159" s="2527"/>
      <c r="K159" s="2526"/>
      <c r="L159" s="2517"/>
      <c r="M159" s="2517"/>
      <c r="N159" s="2517"/>
      <c r="O159" s="2517"/>
      <c r="P159" s="2525"/>
    </row>
    <row r="160" spans="1:16">
      <c r="A160" s="329">
        <f t="shared" si="0"/>
        <v>2010.07</v>
      </c>
      <c r="B160" s="2591">
        <v>141.59238731696144</v>
      </c>
      <c r="C160" s="2662">
        <v>-7.5608846389872975E-3</v>
      </c>
      <c r="D160" s="2663">
        <v>0.12241028370196162</v>
      </c>
      <c r="E160" s="2537"/>
      <c r="F160" s="2517"/>
      <c r="G160" s="2517"/>
      <c r="H160" s="2517"/>
      <c r="I160" s="2517"/>
      <c r="J160" s="2527"/>
      <c r="K160" s="2526"/>
      <c r="L160" s="2517"/>
      <c r="M160" s="2517"/>
      <c r="N160" s="2517"/>
      <c r="O160" s="2517"/>
      <c r="P160" s="2525"/>
    </row>
    <row r="161" spans="1:16">
      <c r="A161" s="329">
        <f t="shared" si="0"/>
        <v>2010.08</v>
      </c>
      <c r="B161" s="2591">
        <v>146.95854180053729</v>
      </c>
      <c r="C161" s="2662">
        <v>3.7898608712370052E-2</v>
      </c>
      <c r="D161" s="2663">
        <v>0.1766822661753773</v>
      </c>
      <c r="E161" s="2537"/>
      <c r="F161" s="2517"/>
      <c r="G161" s="2517"/>
      <c r="H161" s="2517"/>
      <c r="I161" s="2517"/>
      <c r="J161" s="2527"/>
      <c r="K161" s="2526"/>
      <c r="L161" s="2517"/>
      <c r="M161" s="2517"/>
      <c r="N161" s="2517"/>
      <c r="O161" s="2517"/>
      <c r="P161" s="2525"/>
    </row>
    <row r="162" spans="1:16">
      <c r="A162" s="329">
        <f t="shared" si="0"/>
        <v>2010.09</v>
      </c>
      <c r="B162" s="2591">
        <v>144.98543231014293</v>
      </c>
      <c r="C162" s="2662">
        <v>-1.3426300140296776E-2</v>
      </c>
      <c r="D162" s="2663">
        <v>0.13193725818407498</v>
      </c>
      <c r="E162" s="2537"/>
      <c r="F162" s="2517"/>
      <c r="G162" s="2517"/>
      <c r="H162" s="2517"/>
      <c r="I162" s="2517"/>
      <c r="J162" s="2527"/>
      <c r="K162" s="2526"/>
      <c r="L162" s="2517"/>
      <c r="M162" s="2517"/>
      <c r="N162" s="2517"/>
      <c r="O162" s="2517"/>
      <c r="P162" s="2525"/>
    </row>
    <row r="163" spans="1:16">
      <c r="A163" s="329">
        <f t="shared" si="0"/>
        <v>2010.1</v>
      </c>
      <c r="B163" s="2591">
        <v>143.14670133565878</v>
      </c>
      <c r="C163" s="2662">
        <v>-1.2682177410423323E-2</v>
      </c>
      <c r="D163" s="2663">
        <v>0.12043928813295611</v>
      </c>
      <c r="E163" s="2537"/>
      <c r="F163" s="2517"/>
      <c r="G163" s="2517"/>
      <c r="H163" s="2517"/>
      <c r="I163" s="2517"/>
      <c r="J163" s="2527"/>
      <c r="K163" s="2526"/>
      <c r="L163" s="2517"/>
      <c r="M163" s="2517"/>
      <c r="N163" s="2517"/>
      <c r="O163" s="2517"/>
      <c r="P163" s="2525"/>
    </row>
    <row r="164" spans="1:16">
      <c r="A164" s="329">
        <f t="shared" si="0"/>
        <v>2010.11</v>
      </c>
      <c r="B164" s="2591">
        <v>144.69500807623024</v>
      </c>
      <c r="C164" s="2662">
        <v>1.0816223679097625E-2</v>
      </c>
      <c r="D164" s="2663">
        <v>0.14362608624624484</v>
      </c>
      <c r="E164" s="2537"/>
      <c r="F164" s="2517"/>
      <c r="G164" s="2517"/>
      <c r="H164" s="2517"/>
      <c r="I164" s="2517"/>
      <c r="J164" s="2527"/>
      <c r="K164" s="2526"/>
      <c r="L164" s="2517"/>
      <c r="M164" s="2517"/>
      <c r="N164" s="2517"/>
      <c r="O164" s="2517"/>
      <c r="P164" s="2525"/>
    </row>
    <row r="165" spans="1:16">
      <c r="A165" s="329">
        <f t="shared" si="0"/>
        <v>2010.12</v>
      </c>
      <c r="B165" s="2591">
        <v>147.80786400607047</v>
      </c>
      <c r="C165" s="2662">
        <v>2.1513222682846722E-2</v>
      </c>
      <c r="D165" s="2663">
        <v>0.18733163463579316</v>
      </c>
      <c r="E165" s="2537"/>
      <c r="F165" s="2517"/>
      <c r="G165" s="2517"/>
      <c r="H165" s="2517"/>
      <c r="I165" s="2517"/>
      <c r="J165" s="2527"/>
      <c r="K165" s="2526"/>
      <c r="L165" s="2517"/>
      <c r="M165" s="2517"/>
      <c r="N165" s="2517"/>
      <c r="O165" s="2517"/>
      <c r="P165" s="2525"/>
    </row>
    <row r="166" spans="1:16">
      <c r="A166" s="329">
        <f t="shared" si="0"/>
        <v>2011.01</v>
      </c>
      <c r="B166" s="2591">
        <v>150.21400670282418</v>
      </c>
      <c r="C166" s="2662">
        <v>1.6278854396102327E-2</v>
      </c>
      <c r="D166" s="2663">
        <v>0.16693640731341586</v>
      </c>
      <c r="E166" s="2537"/>
      <c r="F166" s="2517"/>
      <c r="G166" s="2517"/>
      <c r="H166" s="2517"/>
      <c r="I166" s="2517"/>
      <c r="J166" s="2527"/>
      <c r="K166" s="2526"/>
      <c r="L166" s="2517"/>
      <c r="M166" s="2517"/>
      <c r="N166" s="2517"/>
      <c r="O166" s="2517"/>
      <c r="P166" s="2525"/>
    </row>
    <row r="167" spans="1:16">
      <c r="A167" s="329">
        <f t="shared" si="0"/>
        <v>2011.02</v>
      </c>
      <c r="B167" s="2591">
        <v>148.93390473107806</v>
      </c>
      <c r="C167" s="2662">
        <v>-8.5218549178214253E-3</v>
      </c>
      <c r="D167" s="2663">
        <v>0.12432270033222448</v>
      </c>
      <c r="E167" s="2537"/>
      <c r="F167" s="2517"/>
      <c r="G167" s="2517"/>
      <c r="H167" s="2517"/>
      <c r="I167" s="2517"/>
      <c r="J167" s="2527"/>
      <c r="K167" s="2526"/>
      <c r="L167" s="2517"/>
      <c r="M167" s="2517"/>
      <c r="N167" s="2517"/>
      <c r="O167" s="2517"/>
      <c r="P167" s="2525"/>
    </row>
    <row r="168" spans="1:16">
      <c r="A168" s="329">
        <f t="shared" si="0"/>
        <v>2011.03</v>
      </c>
      <c r="B168" s="2591">
        <v>147.41685390460611</v>
      </c>
      <c r="C168" s="2662">
        <v>-1.0186067633231044E-2</v>
      </c>
      <c r="D168" s="2663">
        <v>3.5951208455832662E-2</v>
      </c>
      <c r="E168" s="2537"/>
      <c r="F168" s="2517"/>
      <c r="G168" s="2517"/>
      <c r="H168" s="2517"/>
      <c r="I168" s="2517"/>
      <c r="J168" s="2527"/>
      <c r="K168" s="2526"/>
      <c r="L168" s="2517"/>
      <c r="M168" s="2517"/>
      <c r="N168" s="2517"/>
      <c r="O168" s="2517"/>
      <c r="P168" s="2525"/>
    </row>
    <row r="169" spans="1:16">
      <c r="A169" s="329">
        <f t="shared" si="0"/>
        <v>2011.04</v>
      </c>
      <c r="B169" s="2591">
        <v>148.20887391038951</v>
      </c>
      <c r="C169" s="2662">
        <v>5.3726557364730532E-3</v>
      </c>
      <c r="D169" s="2663">
        <v>3.5196305073531331E-2</v>
      </c>
      <c r="E169" s="2537"/>
      <c r="F169" s="2517"/>
      <c r="G169" s="2517"/>
      <c r="H169" s="2517"/>
      <c r="I169" s="2517"/>
      <c r="J169" s="2527"/>
      <c r="K169" s="2526"/>
      <c r="L169" s="2517"/>
      <c r="M169" s="2517"/>
      <c r="N169" s="2517"/>
      <c r="O169" s="2517"/>
      <c r="P169" s="2525"/>
    </row>
    <row r="170" spans="1:16">
      <c r="A170" s="329">
        <f t="shared" si="0"/>
        <v>2011.05</v>
      </c>
      <c r="B170" s="2591">
        <v>150.02824337866176</v>
      </c>
      <c r="C170" s="2662">
        <v>1.2275712110006776E-2</v>
      </c>
      <c r="D170" s="2663">
        <v>5.3875158598985617E-2</v>
      </c>
      <c r="E170" s="2537"/>
      <c r="F170" s="2517"/>
      <c r="G170" s="2517"/>
      <c r="H170" s="2517"/>
      <c r="I170" s="2517"/>
      <c r="J170" s="2527"/>
      <c r="K170" s="2526"/>
      <c r="L170" s="2517"/>
      <c r="M170" s="2517"/>
      <c r="N170" s="2517"/>
      <c r="O170" s="2517"/>
      <c r="P170" s="2525"/>
    </row>
    <row r="171" spans="1:16">
      <c r="A171" s="329">
        <f t="shared" si="0"/>
        <v>2011.06</v>
      </c>
      <c r="B171" s="2591">
        <v>151.86717232017955</v>
      </c>
      <c r="C171" s="2662">
        <v>1.225721837505267E-2</v>
      </c>
      <c r="D171" s="2663">
        <v>6.4456394907911552E-2</v>
      </c>
      <c r="E171" s="2537"/>
      <c r="F171" s="2517"/>
      <c r="G171" s="2517"/>
      <c r="H171" s="2517"/>
      <c r="I171" s="2517"/>
      <c r="J171" s="2527"/>
      <c r="K171" s="2526"/>
      <c r="L171" s="2517"/>
      <c r="M171" s="2517"/>
      <c r="N171" s="2517"/>
      <c r="O171" s="2517"/>
      <c r="P171" s="2525"/>
    </row>
    <row r="172" spans="1:16">
      <c r="A172" s="329">
        <f t="shared" si="0"/>
        <v>2011.07</v>
      </c>
      <c r="B172" s="2591">
        <v>151.91903505995558</v>
      </c>
      <c r="C172" s="2662">
        <v>3.4150066129301493E-4</v>
      </c>
      <c r="D172" s="2663">
        <v>7.2932224243648314E-2</v>
      </c>
      <c r="E172" s="2537"/>
      <c r="F172" s="2517"/>
      <c r="G172" s="2517"/>
      <c r="H172" s="2517"/>
      <c r="I172" s="2517"/>
      <c r="J172" s="2527"/>
      <c r="K172" s="2526"/>
      <c r="L172" s="2517"/>
      <c r="M172" s="2517"/>
      <c r="N172" s="2517"/>
      <c r="O172" s="2517"/>
      <c r="P172" s="2525"/>
    </row>
    <row r="173" spans="1:16">
      <c r="A173" s="329">
        <f t="shared" si="0"/>
        <v>2011.08</v>
      </c>
      <c r="B173" s="2591">
        <v>151.3757327856213</v>
      </c>
      <c r="C173" s="2662">
        <v>-3.5762620143016122E-3</v>
      </c>
      <c r="D173" s="2663">
        <v>3.0057395310027823E-2</v>
      </c>
      <c r="E173" s="2537"/>
      <c r="F173" s="2517"/>
      <c r="G173" s="2517"/>
      <c r="H173" s="2517"/>
      <c r="I173" s="2517"/>
      <c r="J173" s="2527"/>
      <c r="K173" s="2526"/>
      <c r="L173" s="2517"/>
      <c r="M173" s="2517"/>
      <c r="N173" s="2517"/>
      <c r="O173" s="2517"/>
      <c r="P173" s="2525"/>
    </row>
    <row r="174" spans="1:16">
      <c r="A174" s="329">
        <f t="shared" si="0"/>
        <v>2011.09</v>
      </c>
      <c r="B174" s="2591">
        <v>154.22089072785309</v>
      </c>
      <c r="C174" s="2662">
        <v>1.8795337204154938E-2</v>
      </c>
      <c r="D174" s="2663">
        <v>6.3699216331984942E-2</v>
      </c>
      <c r="E174" s="2537"/>
      <c r="F174" s="2517"/>
      <c r="G174" s="2517"/>
      <c r="H174" s="2517"/>
      <c r="I174" s="2517"/>
      <c r="J174" s="2527"/>
      <c r="K174" s="2526"/>
      <c r="L174" s="2517"/>
      <c r="M174" s="2517"/>
      <c r="N174" s="2517"/>
      <c r="O174" s="2517"/>
      <c r="P174" s="2525"/>
    </row>
    <row r="175" spans="1:16">
      <c r="A175" s="329">
        <f t="shared" si="0"/>
        <v>2011.1</v>
      </c>
      <c r="B175" s="2591">
        <v>153.43568149340425</v>
      </c>
      <c r="C175" s="2662">
        <v>-5.0914583020692517E-3</v>
      </c>
      <c r="D175" s="2663">
        <v>7.1877172591069849E-2</v>
      </c>
      <c r="E175" s="2537"/>
      <c r="F175" s="2517"/>
      <c r="G175" s="2517"/>
      <c r="H175" s="2517"/>
      <c r="I175" s="2517"/>
      <c r="J175" s="2527"/>
      <c r="K175" s="2526"/>
      <c r="L175" s="2517"/>
      <c r="M175" s="2517"/>
      <c r="N175" s="2517"/>
      <c r="O175" s="2517"/>
      <c r="P175" s="2525"/>
    </row>
    <row r="176" spans="1:16">
      <c r="A176" s="329">
        <f t="shared" si="0"/>
        <v>2011.11</v>
      </c>
      <c r="B176" s="2591">
        <v>153.92898112726317</v>
      </c>
      <c r="C176" s="2662">
        <v>3.2150255342016099E-3</v>
      </c>
      <c r="D176" s="2663">
        <v>6.3816804558787243E-2</v>
      </c>
      <c r="E176" s="2537"/>
      <c r="F176" s="2517"/>
      <c r="G176" s="2517"/>
      <c r="H176" s="2517"/>
      <c r="I176" s="2517"/>
      <c r="J176" s="2527"/>
      <c r="K176" s="2526"/>
      <c r="L176" s="2517"/>
      <c r="M176" s="2517"/>
      <c r="N176" s="2517"/>
      <c r="O176" s="2517"/>
      <c r="P176" s="2525"/>
    </row>
    <row r="177" spans="1:16">
      <c r="A177" s="329">
        <f t="shared" si="0"/>
        <v>2011.12</v>
      </c>
      <c r="B177" s="2591">
        <v>153.22531355795371</v>
      </c>
      <c r="C177" s="2662">
        <v>-4.5713780742022703E-3</v>
      </c>
      <c r="D177" s="2663">
        <v>3.6651971045740472E-2</v>
      </c>
      <c r="E177" s="2537"/>
      <c r="F177" s="2517"/>
      <c r="G177" s="2517"/>
      <c r="H177" s="2517"/>
      <c r="I177" s="2517"/>
      <c r="J177" s="2527"/>
      <c r="K177" s="2526"/>
      <c r="L177" s="2517"/>
      <c r="M177" s="2517"/>
      <c r="N177" s="2517"/>
      <c r="O177" s="2517"/>
      <c r="P177" s="2525"/>
    </row>
    <row r="178" spans="1:16">
      <c r="A178" s="329">
        <f t="shared" si="0"/>
        <v>2012.01</v>
      </c>
      <c r="B178" s="2591">
        <v>153.06988429413735</v>
      </c>
      <c r="C178" s="2662">
        <v>-1.0143837216398666E-3</v>
      </c>
      <c r="D178" s="2663">
        <v>1.9012059221368727E-2</v>
      </c>
      <c r="E178" s="2108">
        <v>8.1869768017872602E-4</v>
      </c>
      <c r="F178" s="2088">
        <v>7.2477338946352887E-4</v>
      </c>
      <c r="G178" s="2088">
        <v>-2.8176366483677606E-2</v>
      </c>
      <c r="H178" s="2088">
        <v>-5.0548372548859799E-2</v>
      </c>
      <c r="I178" s="2088">
        <v>2.1464266925774522E-2</v>
      </c>
      <c r="J178" s="2660">
        <v>-4.914635520903432E-2</v>
      </c>
      <c r="K178" s="2657">
        <v>3.8651436258175353E-2</v>
      </c>
      <c r="L178" s="2088">
        <v>-7.6355618665042702E-3</v>
      </c>
      <c r="M178" s="2088">
        <v>-2.0571639000726893E-2</v>
      </c>
      <c r="N178" s="2088">
        <v>4.5740964132953144E-2</v>
      </c>
      <c r="O178" s="2088">
        <v>6.1345594887256771E-2</v>
      </c>
      <c r="P178" s="2658">
        <v>-5.2480043213929406E-3</v>
      </c>
    </row>
    <row r="179" spans="1:16">
      <c r="A179" s="329">
        <f t="shared" si="0"/>
        <v>2012.02</v>
      </c>
      <c r="B179" s="2591">
        <v>150.58851540969678</v>
      </c>
      <c r="C179" s="2662">
        <v>-1.6210692886344691E-2</v>
      </c>
      <c r="D179" s="2663">
        <v>1.1109697832782706E-2</v>
      </c>
      <c r="E179" s="2109">
        <v>-1.0639241080120376E-3</v>
      </c>
      <c r="F179" s="2079">
        <v>1.7266674141487304E-3</v>
      </c>
      <c r="G179" s="2079">
        <v>-2.7875791352569568E-2</v>
      </c>
      <c r="H179" s="2079">
        <v>9.6107767808082389E-3</v>
      </c>
      <c r="I179" s="2079">
        <v>-1.9432910657146474E-2</v>
      </c>
      <c r="J179" s="2135">
        <v>-0.10642550033191167</v>
      </c>
      <c r="K179" s="2145">
        <v>3.3266279890868944E-2</v>
      </c>
      <c r="L179" s="2079">
        <v>1.2064597813892464E-2</v>
      </c>
      <c r="M179" s="2079">
        <v>-3.9061152840848656E-2</v>
      </c>
      <c r="N179" s="2079">
        <v>7.1584360681870463E-2</v>
      </c>
      <c r="O179" s="2079">
        <v>8.0090126051441057E-2</v>
      </c>
      <c r="P179" s="2659">
        <v>-0.13311160934046373</v>
      </c>
    </row>
    <row r="180" spans="1:16">
      <c r="A180" s="329">
        <f t="shared" si="0"/>
        <v>2012.03</v>
      </c>
      <c r="B180" s="2591">
        <v>154.77053298597704</v>
      </c>
      <c r="C180" s="2662">
        <v>2.7771158809172913E-2</v>
      </c>
      <c r="D180" s="2663">
        <v>4.9883570884842854E-2</v>
      </c>
      <c r="E180" s="2109">
        <v>2.565018615729997E-5</v>
      </c>
      <c r="F180" s="2079">
        <v>-3.712515647714798E-3</v>
      </c>
      <c r="G180" s="2079">
        <v>3.0420936165781232E-2</v>
      </c>
      <c r="H180" s="2079">
        <v>-5.2107774359952848E-2</v>
      </c>
      <c r="I180" s="2079">
        <v>0.11241539852653372</v>
      </c>
      <c r="J180" s="2135">
        <v>0.18645017551383369</v>
      </c>
      <c r="K180" s="2145">
        <v>3.075582510045205E-2</v>
      </c>
      <c r="L180" s="2079">
        <v>3.6089044205138698E-2</v>
      </c>
      <c r="M180" s="2079">
        <v>9.5627336122345863E-3</v>
      </c>
      <c r="N180" s="2079">
        <v>-9.0957018717394936E-2</v>
      </c>
      <c r="O180" s="2079">
        <v>0.14515193752900113</v>
      </c>
      <c r="P180" s="2659">
        <v>0.1443292361259263</v>
      </c>
    </row>
    <row r="181" spans="1:16">
      <c r="A181" s="329">
        <f t="shared" si="0"/>
        <v>2012.04</v>
      </c>
      <c r="B181" s="2591">
        <v>147.64405533057939</v>
      </c>
      <c r="C181" s="2662">
        <v>-4.6045442358483957E-2</v>
      </c>
      <c r="D181" s="2663">
        <v>-3.8109633040706026E-3</v>
      </c>
      <c r="E181" s="2109">
        <v>-5.5218752298902274E-4</v>
      </c>
      <c r="F181" s="2079">
        <v>-1.3241392858453271E-2</v>
      </c>
      <c r="G181" s="2079">
        <v>-2.3818638576723616E-2</v>
      </c>
      <c r="H181" s="2079">
        <v>-5.8180745245152599E-2</v>
      </c>
      <c r="I181" s="2079">
        <v>-0.13049810825241837</v>
      </c>
      <c r="J181" s="2135">
        <v>-0.16380424126390777</v>
      </c>
      <c r="K181" s="2079">
        <v>2.3891268233732221E-2</v>
      </c>
      <c r="L181" s="2079">
        <v>1.4155281792988195E-2</v>
      </c>
      <c r="M181" s="2079">
        <v>-1.5740818532965273E-2</v>
      </c>
      <c r="N181" s="2079">
        <v>-8.4316049052380659E-2</v>
      </c>
      <c r="O181" s="2079">
        <v>1.2521938823481404E-2</v>
      </c>
      <c r="P181" s="2659">
        <v>-0.11735953398688913</v>
      </c>
    </row>
    <row r="182" spans="1:16">
      <c r="A182" s="329">
        <f t="shared" si="0"/>
        <v>2012.05</v>
      </c>
      <c r="B182" s="2591">
        <v>150.85776118901498</v>
      </c>
      <c r="C182" s="2662">
        <v>2.1766578080234966E-2</v>
      </c>
      <c r="D182" s="2663">
        <v>5.5290776701262256E-3</v>
      </c>
      <c r="E182" s="2109">
        <v>-7.9902738709503041E-5</v>
      </c>
      <c r="F182" s="2079">
        <v>-1.3150187724637608E-2</v>
      </c>
      <c r="G182" s="2079">
        <v>6.1498537887638705E-4</v>
      </c>
      <c r="H182" s="2079">
        <v>3.9365373001735149E-2</v>
      </c>
      <c r="I182" s="2079">
        <v>0.10778581340268258</v>
      </c>
      <c r="J182" s="2135">
        <v>0.10324393360804042</v>
      </c>
      <c r="K182" s="2079">
        <v>1.9467697819280927E-2</v>
      </c>
      <c r="L182" s="2079">
        <v>5.526996705184084E-3</v>
      </c>
      <c r="M182" s="2079">
        <v>-2.3349251167357199E-3</v>
      </c>
      <c r="N182" s="2079">
        <v>-0.10293539255151929</v>
      </c>
      <c r="O182" s="2079">
        <v>5.1663684909575291E-2</v>
      </c>
      <c r="P182" s="2659">
        <v>-7.1918187763345354E-2</v>
      </c>
    </row>
    <row r="183" spans="1:16">
      <c r="A183" s="329">
        <f t="shared" si="0"/>
        <v>2012.06</v>
      </c>
      <c r="B183" s="2591">
        <v>148.52100898169829</v>
      </c>
      <c r="C183" s="2662">
        <v>-1.5489771218259674E-2</v>
      </c>
      <c r="D183" s="2663">
        <v>-2.2033486811926628E-2</v>
      </c>
      <c r="E183" s="2109">
        <v>-4.564727423452819E-4</v>
      </c>
      <c r="F183" s="2079">
        <v>7.359505056023119E-3</v>
      </c>
      <c r="G183" s="2079">
        <v>1.0476629372559998E-2</v>
      </c>
      <c r="H183" s="2079">
        <v>-4.1943411011462824E-2</v>
      </c>
      <c r="I183" s="2079">
        <v>-6.294246877398757E-2</v>
      </c>
      <c r="J183" s="2135">
        <v>1.8669641396176218E-3</v>
      </c>
      <c r="K183" s="2079">
        <v>1.3911878710399561E-2</v>
      </c>
      <c r="L183" s="2079">
        <v>5.3371480517869774E-3</v>
      </c>
      <c r="M183" s="2079">
        <v>-1.3867246571741654E-2</v>
      </c>
      <c r="N183" s="2079">
        <v>-3.7004396353952584E-2</v>
      </c>
      <c r="O183" s="2079">
        <v>-4.4518644690497933E-2</v>
      </c>
      <c r="P183" s="2659">
        <v>-0.13080998673680799</v>
      </c>
    </row>
    <row r="184" spans="1:16">
      <c r="A184" s="329">
        <f t="shared" si="0"/>
        <v>2012.07</v>
      </c>
      <c r="B184" s="2591">
        <v>146.05651935620071</v>
      </c>
      <c r="C184" s="2662">
        <v>-1.6593542168847453E-2</v>
      </c>
      <c r="D184" s="2663">
        <v>-3.8589737628607179E-2</v>
      </c>
      <c r="E184" s="2109">
        <v>-2.3313290283888399E-3</v>
      </c>
      <c r="F184" s="2079">
        <v>-2.8652903672968022E-2</v>
      </c>
      <c r="G184" s="2079">
        <v>1.5289499707935139E-2</v>
      </c>
      <c r="H184" s="2079">
        <v>-0.10665330527850181</v>
      </c>
      <c r="I184" s="2079">
        <v>-1.128127437390436E-3</v>
      </c>
      <c r="J184" s="2135">
        <v>6.6700264346744031E-3</v>
      </c>
      <c r="K184" s="2079">
        <v>8.2394491910522394E-3</v>
      </c>
      <c r="L184" s="2079">
        <v>-3.649874300548428E-2</v>
      </c>
      <c r="M184" s="2079">
        <v>-2.8083521871167472E-2</v>
      </c>
      <c r="N184" s="2079">
        <v>-0.1517619902898083</v>
      </c>
      <c r="O184" s="2079">
        <v>-3.3841172194469915E-2</v>
      </c>
      <c r="P184" s="2659">
        <v>-7.3888801367825496E-2</v>
      </c>
    </row>
    <row r="185" spans="1:16">
      <c r="A185" s="329">
        <f t="shared" si="0"/>
        <v>2012.08</v>
      </c>
      <c r="B185" s="2591">
        <v>145.51943933813567</v>
      </c>
      <c r="C185" s="2662">
        <v>-3.6772067445699497E-3</v>
      </c>
      <c r="D185" s="2663">
        <v>-3.8687135247624682E-2</v>
      </c>
      <c r="E185" s="2109">
        <v>-1.9766441666240198E-3</v>
      </c>
      <c r="F185" s="2079">
        <v>-5.8806727875644338E-3</v>
      </c>
      <c r="G185" s="2079">
        <v>-5.0749989306552494E-2</v>
      </c>
      <c r="H185" s="2079">
        <v>1.3449118637307356E-2</v>
      </c>
      <c r="I185" s="2079">
        <v>1.5123624468409869E-2</v>
      </c>
      <c r="J185" s="2135">
        <v>-8.5827580666097969E-3</v>
      </c>
      <c r="K185" s="2079">
        <v>5.4919646020845647E-4</v>
      </c>
      <c r="L185" s="2079">
        <v>-2.9958344823547089E-2</v>
      </c>
      <c r="M185" s="2079">
        <v>-8.6618716227290449E-2</v>
      </c>
      <c r="N185" s="2079">
        <v>-7.0320963197814668E-2</v>
      </c>
      <c r="O185" s="2079">
        <v>9.6712553237905396E-3</v>
      </c>
      <c r="P185" s="2659">
        <v>-6.7150982097989864E-2</v>
      </c>
    </row>
    <row r="186" spans="1:16">
      <c r="A186" s="329">
        <f t="shared" si="0"/>
        <v>2012.09</v>
      </c>
      <c r="B186" s="2591">
        <v>145.12499277917667</v>
      </c>
      <c r="C186" s="2662">
        <v>-2.7106107661839518E-3</v>
      </c>
      <c r="D186" s="2663">
        <v>-5.897967458071262E-2</v>
      </c>
      <c r="E186" s="2109">
        <v>-1.7364480326645948E-3</v>
      </c>
      <c r="F186" s="2079">
        <v>-5.0394984748380889E-4</v>
      </c>
      <c r="G186" s="2079">
        <v>-5.688303537041195E-3</v>
      </c>
      <c r="H186" s="2079">
        <v>9.8031593354255056E-2</v>
      </c>
      <c r="I186" s="2079">
        <v>1.4598632304450021E-3</v>
      </c>
      <c r="J186" s="2135">
        <v>-6.0619893522442785E-2</v>
      </c>
      <c r="K186" s="2079">
        <v>-7.1555522164234997E-4</v>
      </c>
      <c r="L186" s="2079">
        <v>-6.0931842079158471E-2</v>
      </c>
      <c r="M186" s="2079">
        <v>-0.11703564483247142</v>
      </c>
      <c r="N186" s="2079">
        <v>-0.15388408394320663</v>
      </c>
      <c r="O186" s="2079">
        <v>-1.0744860267224099E-2</v>
      </c>
      <c r="P186" s="2659">
        <v>-0.14610579429697024</v>
      </c>
    </row>
    <row r="187" spans="1:16">
      <c r="A187" s="329">
        <f t="shared" si="0"/>
        <v>2012.1</v>
      </c>
      <c r="B187" s="2591">
        <v>147.49339370667741</v>
      </c>
      <c r="C187" s="2662">
        <v>1.6319731578588348E-2</v>
      </c>
      <c r="D187" s="2663">
        <v>-3.8728200174105387E-2</v>
      </c>
      <c r="E187" s="2109">
        <v>1.5634610357053713E-3</v>
      </c>
      <c r="F187" s="2079">
        <v>-2.8298844812322255E-3</v>
      </c>
      <c r="G187" s="2079">
        <v>-1.2933648663876141E-2</v>
      </c>
      <c r="H187" s="2079">
        <v>-4.5567171395149215E-2</v>
      </c>
      <c r="I187" s="2079">
        <v>7.3454522827746338E-2</v>
      </c>
      <c r="J187" s="2135">
        <v>2.809947254481715E-2</v>
      </c>
      <c r="K187" s="2079">
        <v>1.6459489228770607E-3</v>
      </c>
      <c r="L187" s="2079">
        <v>-5.5145572005168564E-2</v>
      </c>
      <c r="M187" s="2079">
        <v>-9.3888521843934369E-2</v>
      </c>
      <c r="N187" s="2079">
        <v>-0.1463549941240968</v>
      </c>
      <c r="O187" s="2079">
        <v>5.645856999654586E-2</v>
      </c>
      <c r="P187" s="2659">
        <v>-0.12021899419754023</v>
      </c>
    </row>
    <row r="188" spans="1:16">
      <c r="A188" s="329">
        <f t="shared" si="0"/>
        <v>2012.11</v>
      </c>
      <c r="B188" s="2591">
        <v>148.20237261343217</v>
      </c>
      <c r="C188" s="2662">
        <v>4.8068519473132287E-3</v>
      </c>
      <c r="D188" s="2663">
        <v>-3.7202926127968272E-2</v>
      </c>
      <c r="E188" s="2109">
        <v>-8.6512266733484999E-4</v>
      </c>
      <c r="F188" s="2079">
        <v>2.7100590576790928E-2</v>
      </c>
      <c r="G188" s="2079">
        <v>6.990119086704305E-2</v>
      </c>
      <c r="H188" s="2079">
        <v>6.0064282322821239E-2</v>
      </c>
      <c r="I188" s="2079">
        <v>-1.2433297501069807E-2</v>
      </c>
      <c r="J188" s="2135">
        <v>-1.9886740247460177E-2</v>
      </c>
      <c r="K188" s="2079">
        <v>-5.0273304606610614E-3</v>
      </c>
      <c r="L188" s="2079">
        <v>-3.8601076944526747E-2</v>
      </c>
      <c r="M188" s="2079">
        <v>-4.3892686006646538E-2</v>
      </c>
      <c r="N188" s="2079">
        <v>-6.1947703476438187E-3</v>
      </c>
      <c r="O188" s="2079">
        <v>4.5536510269803765E-2</v>
      </c>
      <c r="P188" s="2659">
        <v>-0.12985805881980206</v>
      </c>
    </row>
    <row r="189" spans="1:16">
      <c r="A189" s="329">
        <f t="shared" si="0"/>
        <v>2012.12</v>
      </c>
      <c r="B189" s="2591">
        <v>147.67524931107206</v>
      </c>
      <c r="C189" s="2662">
        <v>-3.5567804554320626E-3</v>
      </c>
      <c r="D189" s="2663">
        <v>-3.6221588443886454E-2</v>
      </c>
      <c r="E189" s="2109">
        <v>3.0615221964893635E-3</v>
      </c>
      <c r="F189" s="2079">
        <v>-1.745464128206875E-2</v>
      </c>
      <c r="G189" s="2079">
        <v>-6.4674437211079461E-2</v>
      </c>
      <c r="H189" s="2079">
        <v>-3.0995160324606474E-2</v>
      </c>
      <c r="I189" s="2079">
        <v>-2.1434864106681051E-2</v>
      </c>
      <c r="J189" s="2135">
        <v>2.3591626320595527E-2</v>
      </c>
      <c r="K189" s="2079">
        <v>-3.599826084822455E-3</v>
      </c>
      <c r="L189" s="2079">
        <v>-4.8466848877914526E-2</v>
      </c>
      <c r="M189" s="2079">
        <v>-9.051916471883914E-2</v>
      </c>
      <c r="N189" s="2079">
        <v>-0.16947427238815471</v>
      </c>
      <c r="O189" s="2079">
        <v>5.9405355378447489E-2</v>
      </c>
      <c r="P189" s="2659">
        <v>-9.9037735904488708E-2</v>
      </c>
    </row>
    <row r="190" spans="1:16">
      <c r="A190" s="329">
        <f t="shared" si="0"/>
        <v>2013.01</v>
      </c>
      <c r="B190" s="2591">
        <v>152.06667490156485</v>
      </c>
      <c r="C190" s="2662">
        <v>2.9737045381534655E-2</v>
      </c>
      <c r="D190" s="2663">
        <v>-6.5539305605323284E-3</v>
      </c>
      <c r="E190" s="2109">
        <v>4.4395044702898456E-3</v>
      </c>
      <c r="F190" s="2079">
        <v>8.2563758732678849E-4</v>
      </c>
      <c r="G190" s="2079">
        <v>7.5310514217504565E-2</v>
      </c>
      <c r="H190" s="2079">
        <v>1.2078986212032516E-2</v>
      </c>
      <c r="I190" s="2079">
        <v>0.14521064423287378</v>
      </c>
      <c r="J190" s="2135">
        <v>3.4007079161403109E-2</v>
      </c>
      <c r="K190" s="2079">
        <v>4.995171757116168E-6</v>
      </c>
      <c r="L190" s="2079">
        <v>-4.837094276008836E-2</v>
      </c>
      <c r="M190" s="2079">
        <v>6.3289993458726101E-3</v>
      </c>
      <c r="N190" s="2079">
        <v>-0.11469145755120314</v>
      </c>
      <c r="O190" s="2079">
        <v>0.18774814628426917</v>
      </c>
      <c r="P190" s="2659">
        <v>-2.024737010200317E-2</v>
      </c>
    </row>
    <row r="191" spans="1:16">
      <c r="A191" s="329">
        <f t="shared" si="0"/>
        <v>2013.02</v>
      </c>
      <c r="B191" s="2591">
        <v>151.39562573510187</v>
      </c>
      <c r="C191" s="2662">
        <v>-4.4128614431621083E-3</v>
      </c>
      <c r="D191" s="2663">
        <v>5.3597070348241349E-3</v>
      </c>
      <c r="E191" s="2109">
        <v>1.1157653379283428E-3</v>
      </c>
      <c r="F191" s="2079">
        <v>3.6312051018889679E-3</v>
      </c>
      <c r="G191" s="2079">
        <v>-8.1425647431219939E-2</v>
      </c>
      <c r="H191" s="2079">
        <v>-2.3250871025174091E-2</v>
      </c>
      <c r="I191" s="2079">
        <v>2.4418601174076571E-3</v>
      </c>
      <c r="J191" s="2135">
        <v>1.9977132011299359E-2</v>
      </c>
      <c r="K191" s="2079">
        <v>2.1870170112598952E-3</v>
      </c>
      <c r="L191" s="2079">
        <v>-4.6561653396812508E-2</v>
      </c>
      <c r="M191" s="2079">
        <v>-4.9105041493128887E-2</v>
      </c>
      <c r="N191" s="2079">
        <v>-0.14350721327673455</v>
      </c>
      <c r="O191" s="2079">
        <v>0.21424477126816721</v>
      </c>
      <c r="P191" s="2659">
        <v>0.11834578750297675</v>
      </c>
    </row>
    <row r="192" spans="1:16">
      <c r="A192" s="329">
        <f t="shared" si="0"/>
        <v>2013.03</v>
      </c>
      <c r="B192" s="2591">
        <v>152.32882734475695</v>
      </c>
      <c r="C192" s="2662">
        <v>6.163993213964547E-3</v>
      </c>
      <c r="D192" s="2663">
        <v>-1.5776295358764014E-2</v>
      </c>
      <c r="E192" s="2109">
        <v>1.3478878666928207E-3</v>
      </c>
      <c r="F192" s="2079">
        <v>-3.807770993358095E-2</v>
      </c>
      <c r="G192" s="2079">
        <v>1.431406721088746E-2</v>
      </c>
      <c r="H192" s="2079">
        <v>8.6450633358240214E-2</v>
      </c>
      <c r="I192" s="2079">
        <v>6.6661857765508703E-3</v>
      </c>
      <c r="J192" s="2135">
        <v>9.882453715615247E-2</v>
      </c>
      <c r="K192" s="2079">
        <v>3.5121124591508401E-3</v>
      </c>
      <c r="L192" s="2079">
        <v>-7.9448841618307675E-2</v>
      </c>
      <c r="M192" s="2079">
        <v>-6.3968812160998256E-2</v>
      </c>
      <c r="N192" s="2079">
        <v>-1.8309143770086966E-2</v>
      </c>
      <c r="O192" s="2079">
        <v>9.8815383273832325E-2</v>
      </c>
      <c r="P192" s="2659">
        <v>3.5750019423519408E-2</v>
      </c>
    </row>
    <row r="193" spans="1:16">
      <c r="A193" s="329">
        <f t="shared" si="0"/>
        <v>2013.04</v>
      </c>
      <c r="B193" s="2591">
        <v>155.94024484211863</v>
      </c>
      <c r="C193" s="2662">
        <v>2.3708037147743388E-2</v>
      </c>
      <c r="D193" s="2663">
        <v>5.6190474401179413E-2</v>
      </c>
      <c r="E193" s="2109">
        <v>8.75571649013418E-4</v>
      </c>
      <c r="F193" s="2079">
        <v>8.1470563017598252E-2</v>
      </c>
      <c r="G193" s="2079">
        <v>2.8212433288390626E-2</v>
      </c>
      <c r="H193" s="2079">
        <v>7.027622943088363E-2</v>
      </c>
      <c r="I193" s="2079">
        <v>-2.3276626404809986E-2</v>
      </c>
      <c r="J193" s="2135">
        <v>-1.3944073048889671E-2</v>
      </c>
      <c r="K193" s="2079">
        <v>4.9456776787575318E-3</v>
      </c>
      <c r="L193" s="2079">
        <v>8.9083311119713127E-3</v>
      </c>
      <c r="M193" s="2079">
        <v>-1.407776944386363E-2</v>
      </c>
      <c r="N193" s="2079">
        <v>0.11558601373680322</v>
      </c>
      <c r="O193" s="2079">
        <v>0.23431435663980474</v>
      </c>
      <c r="P193" s="2659">
        <v>0.22137362552040774</v>
      </c>
    </row>
    <row r="194" spans="1:16">
      <c r="A194" s="329">
        <f t="shared" ref="A194:A257" si="1">A182+1</f>
        <v>2013.05</v>
      </c>
      <c r="B194" s="2591">
        <v>158.60879754998544</v>
      </c>
      <c r="C194" s="2662">
        <v>1.711266203646522E-2</v>
      </c>
      <c r="D194" s="2663">
        <v>5.1379765282734802E-2</v>
      </c>
      <c r="E194" s="2109">
        <v>3.1284003369713709E-3</v>
      </c>
      <c r="F194" s="2079">
        <v>1.8241239536418208E-2</v>
      </c>
      <c r="G194" s="2079">
        <v>3.7479654138940166E-2</v>
      </c>
      <c r="H194" s="2079">
        <v>-0.11241096151912021</v>
      </c>
      <c r="I194" s="2079">
        <v>1.6815796566775454E-2</v>
      </c>
      <c r="J194" s="2135">
        <v>2.1981868621108624E-2</v>
      </c>
      <c r="K194" s="2079">
        <v>8.170105627970381E-3</v>
      </c>
      <c r="L194" s="2079">
        <v>4.1001433927840614E-2</v>
      </c>
      <c r="M194" s="2079">
        <v>2.2245588674616901E-2</v>
      </c>
      <c r="N194" s="2079">
        <v>-4.7320660283615472E-2</v>
      </c>
      <c r="O194" s="2079">
        <v>0.13295397050213809</v>
      </c>
      <c r="P194" s="2659">
        <v>0.13141043614145231</v>
      </c>
    </row>
    <row r="195" spans="1:16">
      <c r="A195" s="329">
        <f t="shared" si="1"/>
        <v>2013.06</v>
      </c>
      <c r="B195" s="2591">
        <v>158.33419835448578</v>
      </c>
      <c r="C195" s="2662">
        <v>-1.7312986400588315E-3</v>
      </c>
      <c r="D195" s="2663">
        <v>6.6072735702978891E-2</v>
      </c>
      <c r="E195" s="2109">
        <v>-2.4828720242752178E-3</v>
      </c>
      <c r="F195" s="2079">
        <v>-4.8836931762852309E-3</v>
      </c>
      <c r="G195" s="2079">
        <v>-5.6943208777447192E-2</v>
      </c>
      <c r="H195" s="2079">
        <v>7.3016521611922736E-2</v>
      </c>
      <c r="I195" s="2079">
        <v>1.4586093449331372E-2</v>
      </c>
      <c r="J195" s="2135">
        <v>-3.0162870463522062E-2</v>
      </c>
      <c r="K195" s="2079">
        <v>6.1262174706304684E-3</v>
      </c>
      <c r="L195" s="2079">
        <v>2.8349360014082281E-2</v>
      </c>
      <c r="M195" s="2079">
        <v>-4.5959484193615729E-2</v>
      </c>
      <c r="N195" s="2079">
        <v>6.6994040919068354E-2</v>
      </c>
      <c r="O195" s="2079">
        <v>0.22669025613159063</v>
      </c>
      <c r="P195" s="2659">
        <v>9.5239077632792254E-2</v>
      </c>
    </row>
    <row r="196" spans="1:16">
      <c r="A196" s="329">
        <f t="shared" si="1"/>
        <v>2013.07</v>
      </c>
      <c r="B196" s="2591">
        <v>157.27783545797405</v>
      </c>
      <c r="C196" s="2662">
        <v>-6.6717292125779704E-3</v>
      </c>
      <c r="D196" s="2663">
        <v>7.6828587667538084E-2</v>
      </c>
      <c r="E196" s="2109">
        <v>7.0229487921436018E-4</v>
      </c>
      <c r="F196" s="2079">
        <v>-2.3972805632524574E-2</v>
      </c>
      <c r="G196" s="2079">
        <v>-5.9048837760500295E-3</v>
      </c>
      <c r="H196" s="2079">
        <v>-5.6286429217666696E-2</v>
      </c>
      <c r="I196" s="2079">
        <v>-2.7918994122696161E-2</v>
      </c>
      <c r="J196" s="2135">
        <v>3.9989200536938441E-5</v>
      </c>
      <c r="K196" s="2079">
        <v>9.1855583482114422E-3</v>
      </c>
      <c r="L196" s="2079">
        <v>5.5134079542396464E-2</v>
      </c>
      <c r="M196" s="2079">
        <v>-6.5875282157719872E-2</v>
      </c>
      <c r="N196" s="2079">
        <v>0.12715115230052842</v>
      </c>
      <c r="O196" s="2079">
        <v>0.19378904425556498</v>
      </c>
      <c r="P196" s="2659">
        <v>8.8025715086670106E-2</v>
      </c>
    </row>
    <row r="197" spans="1:16">
      <c r="A197" s="329">
        <f t="shared" si="1"/>
        <v>2013.08</v>
      </c>
      <c r="B197" s="2591">
        <v>158.1056887648669</v>
      </c>
      <c r="C197" s="2662">
        <v>5.2636361918527719E-3</v>
      </c>
      <c r="D197" s="2663">
        <v>8.6491876851485294E-2</v>
      </c>
      <c r="E197" s="2109">
        <v>1.0814576128017617E-3</v>
      </c>
      <c r="F197" s="2079">
        <v>1.0722138333080888E-2</v>
      </c>
      <c r="G197" s="2079">
        <v>1.2037396337165385E-2</v>
      </c>
      <c r="H197" s="2079">
        <v>-3.2484783432526032E-2</v>
      </c>
      <c r="I197" s="2079">
        <v>1.9510005598918578E-2</v>
      </c>
      <c r="J197" s="2135">
        <v>-2.5770509165156774E-2</v>
      </c>
      <c r="K197" s="2079">
        <v>1.2277862885692326E-2</v>
      </c>
      <c r="L197" s="2079">
        <v>7.2755899529258983E-2</v>
      </c>
      <c r="M197" s="2079">
        <v>-4.0883469585868415E-3</v>
      </c>
      <c r="N197" s="2079">
        <v>7.6063781760121962E-2</v>
      </c>
      <c r="O197" s="2079">
        <v>0.19894744428814515</v>
      </c>
      <c r="P197" s="2659">
        <v>6.916310670267678E-2</v>
      </c>
    </row>
    <row r="198" spans="1:16">
      <c r="A198" s="329">
        <f t="shared" si="1"/>
        <v>2013.09</v>
      </c>
      <c r="B198" s="2591">
        <v>157.62831373206828</v>
      </c>
      <c r="C198" s="2662">
        <v>-3.0193412806832631E-3</v>
      </c>
      <c r="D198" s="2663">
        <v>8.6155531955248943E-2</v>
      </c>
      <c r="E198" s="2109">
        <v>-2.3777438750075541E-3</v>
      </c>
      <c r="F198" s="2079">
        <v>3.9016161631426627E-3</v>
      </c>
      <c r="G198" s="2079">
        <v>-5.1244316468407325E-2</v>
      </c>
      <c r="H198" s="2079">
        <v>3.2318965231499908E-2</v>
      </c>
      <c r="I198" s="2079">
        <v>2.3850298083669674E-3</v>
      </c>
      <c r="J198" s="2135">
        <v>1.8927880702189537E-2</v>
      </c>
      <c r="K198" s="2079">
        <v>1.1627564090864961E-2</v>
      </c>
      <c r="L198" s="2079">
        <v>7.7484379374620937E-2</v>
      </c>
      <c r="M198" s="2079">
        <v>-4.9717664511468529E-2</v>
      </c>
      <c r="N198" s="2079">
        <v>1.1665835876651043E-2</v>
      </c>
      <c r="O198" s="2079">
        <v>0.20005505343441921</v>
      </c>
      <c r="P198" s="2659">
        <v>0.1597010527745879</v>
      </c>
    </row>
    <row r="199" spans="1:16">
      <c r="A199" s="329">
        <f t="shared" si="1"/>
        <v>2013.1</v>
      </c>
      <c r="B199" s="2591">
        <v>155.98353236245671</v>
      </c>
      <c r="C199" s="2662">
        <v>-1.0434555383287969E-2</v>
      </c>
      <c r="D199" s="2663">
        <v>5.7562840222279865E-2</v>
      </c>
      <c r="E199" s="2109">
        <v>-5.6715849562294363E-4</v>
      </c>
      <c r="F199" s="2079">
        <v>-1.5191095736517668E-2</v>
      </c>
      <c r="G199" s="2079">
        <v>2.7529498096918514E-2</v>
      </c>
      <c r="H199" s="2079">
        <v>3.6344123146592189E-2</v>
      </c>
      <c r="I199" s="2079">
        <v>-2.3807016063855713E-2</v>
      </c>
      <c r="J199" s="2135">
        <v>-8.060160585635634E-4</v>
      </c>
      <c r="K199" s="2079">
        <v>9.4755352576114671E-3</v>
      </c>
      <c r="L199" s="2079">
        <v>6.4127569106805504E-2</v>
      </c>
      <c r="M199" s="2079">
        <v>-1.0762417427000348E-2</v>
      </c>
      <c r="N199" s="2079">
        <v>9.848897918935616E-2</v>
      </c>
      <c r="O199" s="2079">
        <v>9.1322732903309944E-2</v>
      </c>
      <c r="P199" s="2659">
        <v>0.12709552533342561</v>
      </c>
    </row>
    <row r="200" spans="1:16">
      <c r="A200" s="329">
        <f t="shared" si="1"/>
        <v>2013.11</v>
      </c>
      <c r="B200" s="2591">
        <v>155.30119534621596</v>
      </c>
      <c r="C200" s="2662">
        <v>-4.3744170035540098E-3</v>
      </c>
      <c r="D200" s="2663">
        <v>4.7899521496192143E-2</v>
      </c>
      <c r="E200" s="2109">
        <v>3.1550596751617199E-3</v>
      </c>
      <c r="F200" s="2079">
        <v>-3.6836712038846642E-2</v>
      </c>
      <c r="G200" s="2079">
        <v>-3.5469100998860581E-3</v>
      </c>
      <c r="H200" s="2079">
        <v>-4.8794001245954233E-3</v>
      </c>
      <c r="I200" s="2079">
        <v>3.9418485516782953E-2</v>
      </c>
      <c r="J200" s="2135">
        <v>-5.7367813845551903E-2</v>
      </c>
      <c r="K200" s="2079">
        <v>1.3537324925948502E-2</v>
      </c>
      <c r="L200" s="2079">
        <v>-2.1146734075490059E-3</v>
      </c>
      <c r="M200" s="2079">
        <v>-7.8673008110819564E-2</v>
      </c>
      <c r="N200" s="2079">
        <v>3.119124958361974E-2</v>
      </c>
      <c r="O200" s="2079">
        <v>0.14862218356903734</v>
      </c>
      <c r="P200" s="2659">
        <v>8.3993618572396844E-2</v>
      </c>
    </row>
    <row r="201" spans="1:16">
      <c r="A201" s="329">
        <f t="shared" si="1"/>
        <v>2013.12</v>
      </c>
      <c r="B201" s="2591">
        <v>155.37062749561926</v>
      </c>
      <c r="C201" s="2662">
        <v>4.4708058588027733E-4</v>
      </c>
      <c r="D201" s="2663">
        <v>5.2110141817585109E-2</v>
      </c>
      <c r="E201" s="2109">
        <v>-1.0582714333727816E-3</v>
      </c>
      <c r="F201" s="2079">
        <v>1.4485330616343051E-2</v>
      </c>
      <c r="G201" s="2079">
        <v>4.68440241560657E-2</v>
      </c>
      <c r="H201" s="2079">
        <v>-1.8698815228496146E-2</v>
      </c>
      <c r="I201" s="2079">
        <v>-6.5921625174755194E-3</v>
      </c>
      <c r="J201" s="2135">
        <v>2.7772147945520187E-2</v>
      </c>
      <c r="K201" s="2079">
        <v>9.3745048770705885E-3</v>
      </c>
      <c r="L201" s="2079">
        <v>3.0323960601967848E-2</v>
      </c>
      <c r="M201" s="2079">
        <v>3.1176409716637599E-2</v>
      </c>
      <c r="N201" s="2079">
        <v>4.4276719279743304E-2</v>
      </c>
      <c r="O201" s="2079">
        <v>0.16604428015118611</v>
      </c>
      <c r="P201" s="2659">
        <v>8.8420832167345647E-4</v>
      </c>
    </row>
    <row r="202" spans="1:16">
      <c r="A202" s="329">
        <f t="shared" si="1"/>
        <v>2014.01</v>
      </c>
      <c r="B202" s="2591">
        <v>153.90864362006056</v>
      </c>
      <c r="C202" s="2662">
        <v>-9.4096541870497541E-3</v>
      </c>
      <c r="D202" s="2663">
        <v>1.2112901920739993E-2</v>
      </c>
      <c r="E202" s="2109">
        <v>7.4409767687844131E-4</v>
      </c>
      <c r="F202" s="2079">
        <v>-1.5678105937484643E-2</v>
      </c>
      <c r="G202" s="2079">
        <v>-5.5527401409431916E-2</v>
      </c>
      <c r="H202" s="2079">
        <v>9.2018577911749944E-3</v>
      </c>
      <c r="I202" s="2079">
        <v>-1.4429884417445749E-2</v>
      </c>
      <c r="J202" s="2135">
        <v>3.8126930565524075E-2</v>
      </c>
      <c r="K202" s="2079">
        <v>5.6609418542918899E-3</v>
      </c>
      <c r="L202" s="2079">
        <v>1.3333785935544906E-2</v>
      </c>
      <c r="M202" s="2079">
        <v>-9.4291508905148369E-2</v>
      </c>
      <c r="N202" s="2079">
        <v>4.1308059452584311E-2</v>
      </c>
      <c r="O202" s="2079">
        <v>3.4995760389491259E-3</v>
      </c>
      <c r="P202" s="2659">
        <v>9.2757487287072463E-2</v>
      </c>
    </row>
    <row r="203" spans="1:16">
      <c r="A203" s="329">
        <f t="shared" si="1"/>
        <v>2014.02</v>
      </c>
      <c r="B203" s="2591">
        <v>154.62932345138222</v>
      </c>
      <c r="C203" s="2662">
        <v>4.6825169423281299E-3</v>
      </c>
      <c r="D203" s="2663">
        <v>2.1359254605799238E-2</v>
      </c>
      <c r="E203" s="2109">
        <v>-3.686964236427781E-3</v>
      </c>
      <c r="F203" s="2079">
        <v>-2.3143437846602888E-2</v>
      </c>
      <c r="G203" s="2079">
        <v>6.9190626333546223E-3</v>
      </c>
      <c r="H203" s="2079">
        <v>4.9763340208853757E-2</v>
      </c>
      <c r="I203" s="2079">
        <v>9.7682099374531539E-2</v>
      </c>
      <c r="J203" s="2135">
        <v>-8.5596265639762414E-3</v>
      </c>
      <c r="K203" s="2079">
        <v>8.3640735543899503E-4</v>
      </c>
      <c r="L203" s="2079">
        <v>-1.3699700237609136E-2</v>
      </c>
      <c r="M203" s="2079">
        <v>-7.1841845769234913E-3</v>
      </c>
      <c r="N203" s="2079">
        <v>0.1191481970653674</v>
      </c>
      <c r="O203" s="2079">
        <v>9.8840307026757154E-2</v>
      </c>
      <c r="P203" s="2659">
        <v>6.2184491464563729E-2</v>
      </c>
    </row>
    <row r="204" spans="1:16">
      <c r="A204" s="329">
        <f t="shared" si="1"/>
        <v>2014.03</v>
      </c>
      <c r="B204" s="2591">
        <v>146.51178087290958</v>
      </c>
      <c r="C204" s="2662">
        <v>-5.2496786490984777E-2</v>
      </c>
      <c r="D204" s="2663">
        <v>-3.8187430266773958E-2</v>
      </c>
      <c r="E204" s="2109">
        <v>-3.3597754823937453E-3</v>
      </c>
      <c r="F204" s="2079">
        <v>-3.4515363559023404E-2</v>
      </c>
      <c r="G204" s="2079">
        <v>-2.544502362641865E-2</v>
      </c>
      <c r="H204" s="2079">
        <v>3.4674248965082644E-2</v>
      </c>
      <c r="I204" s="2079">
        <v>-0.12636438781727066</v>
      </c>
      <c r="J204" s="2135">
        <v>-0.24203146593216562</v>
      </c>
      <c r="K204" s="2079">
        <v>-3.8688513567717298E-3</v>
      </c>
      <c r="L204" s="2079">
        <v>-1.0047073270371465E-2</v>
      </c>
      <c r="M204" s="2079">
        <v>-4.6100586770439822E-2</v>
      </c>
      <c r="N204" s="2079">
        <v>6.5813562738674447E-2</v>
      </c>
      <c r="O204" s="2079">
        <v>-4.637104346577603E-2</v>
      </c>
      <c r="P204" s="2659">
        <v>-0.26730574838758681</v>
      </c>
    </row>
    <row r="205" spans="1:16">
      <c r="A205" s="329">
        <f t="shared" si="1"/>
        <v>2014.04</v>
      </c>
      <c r="B205" s="2591">
        <v>151.34594667087998</v>
      </c>
      <c r="C205" s="2662">
        <v>3.2995065442305682E-2</v>
      </c>
      <c r="D205" s="2663">
        <v>-2.946191456791758E-2</v>
      </c>
      <c r="E205" s="2109">
        <v>2.3395710815019566E-3</v>
      </c>
      <c r="F205" s="2079">
        <v>5.6322604036622481E-2</v>
      </c>
      <c r="G205" s="2079">
        <v>8.1095390209863213E-2</v>
      </c>
      <c r="H205" s="2079">
        <v>6.2159412253883328E-2</v>
      </c>
      <c r="I205" s="2079">
        <v>4.8579713454732776E-3</v>
      </c>
      <c r="J205" s="2135">
        <v>5.6030126239888345E-2</v>
      </c>
      <c r="K205" s="2079">
        <v>-2.4117916806171147E-3</v>
      </c>
      <c r="L205" s="2079">
        <v>-3.3066928313886579E-2</v>
      </c>
      <c r="M205" s="2079">
        <v>2.9603075973763104E-3</v>
      </c>
      <c r="N205" s="2079">
        <v>5.7730589768119733E-2</v>
      </c>
      <c r="O205" s="2079">
        <v>-1.8901682313544055E-2</v>
      </c>
      <c r="P205" s="2659">
        <v>-0.21531103675029128</v>
      </c>
    </row>
    <row r="206" spans="1:16">
      <c r="A206" s="329">
        <f t="shared" si="1"/>
        <v>2014.05</v>
      </c>
      <c r="B206" s="2591">
        <v>153.43143104820686</v>
      </c>
      <c r="C206" s="2662">
        <v>1.3779585269382943E-2</v>
      </c>
      <c r="D206" s="2663">
        <v>-3.264236651278396E-2</v>
      </c>
      <c r="E206" s="2109">
        <v>2.5402335310822366E-3</v>
      </c>
      <c r="F206" s="2079">
        <v>2.6029806016613311E-2</v>
      </c>
      <c r="G206" s="2079">
        <v>-5.2497520400409892E-2</v>
      </c>
      <c r="H206" s="2079">
        <v>-3.7115764458142464E-2</v>
      </c>
      <c r="I206" s="2079">
        <v>2.9888965014746027E-4</v>
      </c>
      <c r="J206" s="2135">
        <v>1.8010081078083884E-2</v>
      </c>
      <c r="K206" s="2079">
        <v>-2.996710091742405E-3</v>
      </c>
      <c r="L206" s="2079">
        <v>-2.5670819986791771E-2</v>
      </c>
      <c r="M206" s="2079">
        <v>-8.4023118335566083E-2</v>
      </c>
      <c r="N206" s="2079">
        <v>0.14745908994239332</v>
      </c>
      <c r="O206" s="2079">
        <v>-3.4838403245694871E-2</v>
      </c>
      <c r="P206" s="2659">
        <v>-0.21836061908152105</v>
      </c>
    </row>
    <row r="207" spans="1:16">
      <c r="A207" s="329">
        <f t="shared" si="1"/>
        <v>2014.06</v>
      </c>
      <c r="B207" s="2591">
        <v>156.52246842979486</v>
      </c>
      <c r="C207" s="2662">
        <v>2.0146050652534164E-2</v>
      </c>
      <c r="D207" s="2663">
        <v>-1.1442442274124165E-2</v>
      </c>
      <c r="E207" s="2109">
        <v>2.1989111243914117E-3</v>
      </c>
      <c r="F207" s="2079">
        <v>2.4773466394662602E-2</v>
      </c>
      <c r="G207" s="2079">
        <v>7.3617780780871778E-2</v>
      </c>
      <c r="H207" s="2079">
        <v>-8.7167586924247531E-2</v>
      </c>
      <c r="I207" s="2079">
        <v>3.1916582381652514E-2</v>
      </c>
      <c r="J207" s="2135">
        <v>-6.314737972377138E-3</v>
      </c>
      <c r="K207" s="2079">
        <v>1.6826613906599786E-3</v>
      </c>
      <c r="L207" s="2079">
        <v>3.3668269376307958E-3</v>
      </c>
      <c r="M207" s="2079">
        <v>4.2788807728417089E-2</v>
      </c>
      <c r="N207" s="2079">
        <v>-2.3838096729094094E-2</v>
      </c>
      <c r="O207" s="2079">
        <v>-1.8352150892693042E-2</v>
      </c>
      <c r="P207" s="2659">
        <v>-0.19914023769093703</v>
      </c>
    </row>
    <row r="208" spans="1:16">
      <c r="A208" s="329">
        <f t="shared" si="1"/>
        <v>2014.07</v>
      </c>
      <c r="B208" s="2591">
        <v>156.36189328246078</v>
      </c>
      <c r="C208" s="2662">
        <v>-1.0258919945802525E-3</v>
      </c>
      <c r="D208" s="2663">
        <v>-5.8237206332739655E-3</v>
      </c>
      <c r="E208" s="2109">
        <v>6.0097924673474523E-4</v>
      </c>
      <c r="F208" s="2079">
        <v>-6.981271970501135E-3</v>
      </c>
      <c r="G208" s="2079">
        <v>-1.9730664304845158E-2</v>
      </c>
      <c r="H208" s="2079">
        <v>8.1073400219251468E-3</v>
      </c>
      <c r="I208" s="2079">
        <v>1.4956851373529423E-2</v>
      </c>
      <c r="J208" s="2135">
        <v>5.9254219749611536E-3</v>
      </c>
      <c r="K208" s="2079">
        <v>1.5812465014346522E-3</v>
      </c>
      <c r="L208" s="2079">
        <v>-2.8602526370824499E-4</v>
      </c>
      <c r="M208" s="2079">
        <v>2.8285799959602231E-2</v>
      </c>
      <c r="N208" s="2079">
        <v>4.2769766383013108E-2</v>
      </c>
      <c r="O208" s="2079">
        <v>2.4945662001039537E-2</v>
      </c>
      <c r="P208" s="2659">
        <v>-0.19442701987593813</v>
      </c>
    </row>
    <row r="209" spans="1:16">
      <c r="A209" s="329">
        <f t="shared" si="1"/>
        <v>2014.08</v>
      </c>
      <c r="B209" s="2591">
        <v>158.44403290482404</v>
      </c>
      <c r="C209" s="2662">
        <v>1.3316157656149352E-2</v>
      </c>
      <c r="D209" s="2663">
        <v>2.1399871351899247E-3</v>
      </c>
      <c r="E209" s="2109">
        <v>-1.1308899129136574E-3</v>
      </c>
      <c r="F209" s="2079">
        <v>-3.6861274871736738E-3</v>
      </c>
      <c r="G209" s="2079">
        <v>-1.7722271296440995E-2</v>
      </c>
      <c r="H209" s="2079">
        <v>0.20452978959145796</v>
      </c>
      <c r="I209" s="2079">
        <v>2.7712784957694803E-2</v>
      </c>
      <c r="J209" s="2135">
        <v>3.6164547237184541E-2</v>
      </c>
      <c r="K209" s="2079">
        <v>-6.3220553650877864E-4</v>
      </c>
      <c r="L209" s="2079">
        <v>-1.4537365118576284E-2</v>
      </c>
      <c r="M209" s="2079">
        <v>-1.9516633494708335E-3</v>
      </c>
      <c r="N209" s="2079">
        <v>0.29821963084967007</v>
      </c>
      <c r="O209" s="2079">
        <v>3.3192175594783491E-2</v>
      </c>
      <c r="P209" s="2659">
        <v>-0.14321402701382391</v>
      </c>
    </row>
    <row r="210" spans="1:16">
      <c r="A210" s="329">
        <f t="shared" si="1"/>
        <v>2014.09</v>
      </c>
      <c r="B210" s="2591">
        <v>159.36256811267558</v>
      </c>
      <c r="C210" s="2662">
        <v>5.7972218392301489E-3</v>
      </c>
      <c r="D210" s="2663">
        <v>1.1002175558098903E-2</v>
      </c>
      <c r="E210" s="2109">
        <v>-1.8965242246737901E-4</v>
      </c>
      <c r="F210" s="2079">
        <v>-7.4974802463873003E-3</v>
      </c>
      <c r="G210" s="2079">
        <v>3.0478206261730145E-2</v>
      </c>
      <c r="H210" s="2079">
        <v>-8.6120836928112787E-2</v>
      </c>
      <c r="I210" s="2079">
        <v>3.6024249399477348E-2</v>
      </c>
      <c r="J210" s="2135">
        <v>5.7820621701074604E-3</v>
      </c>
      <c r="K210" s="2079">
        <v>1.5597144167440735E-3</v>
      </c>
      <c r="L210" s="2079">
        <v>-2.5727090687438392E-2</v>
      </c>
      <c r="M210" s="2079">
        <v>8.4016757492123784E-2</v>
      </c>
      <c r="N210" s="2079">
        <v>0.14927256950891565</v>
      </c>
      <c r="O210" s="2079">
        <v>6.7865257734981199E-2</v>
      </c>
      <c r="P210" s="2659">
        <v>-0.15426795255166259</v>
      </c>
    </row>
    <row r="211" spans="1:16">
      <c r="A211" s="329">
        <f t="shared" si="1"/>
        <v>2014.1</v>
      </c>
      <c r="B211" s="2591">
        <v>158.92542721730533</v>
      </c>
      <c r="C211" s="2662">
        <v>-2.7430588032515413E-3</v>
      </c>
      <c r="D211" s="2663">
        <v>1.8860291277495778E-2</v>
      </c>
      <c r="E211" s="2109">
        <v>-1.0383440117269771E-3</v>
      </c>
      <c r="F211" s="2079">
        <v>6.534376572399192E-2</v>
      </c>
      <c r="G211" s="2079">
        <v>-9.3222900141518572E-3</v>
      </c>
      <c r="H211" s="2079">
        <v>-0.17256142268671493</v>
      </c>
      <c r="I211" s="2079">
        <v>-3.2175373394238815E-2</v>
      </c>
      <c r="J211" s="2135">
        <v>3.9400097107755716E-3</v>
      </c>
      <c r="K211" s="2079">
        <v>1.0875261802276714E-3</v>
      </c>
      <c r="L211" s="2079">
        <v>5.39461671766297E-2</v>
      </c>
      <c r="M211" s="2079">
        <v>4.5139084461873535E-2</v>
      </c>
      <c r="N211" s="2079">
        <v>-8.2397015990867573E-2</v>
      </c>
      <c r="O211" s="2079">
        <v>5.8711045192502587E-2</v>
      </c>
      <c r="P211" s="2659">
        <v>-0.1502508486102313</v>
      </c>
    </row>
    <row r="212" spans="1:16">
      <c r="A212" s="329">
        <f t="shared" si="1"/>
        <v>2014.11</v>
      </c>
      <c r="B212" s="2591">
        <v>157.08921865814474</v>
      </c>
      <c r="C212" s="2662">
        <v>-1.1553900412989648E-2</v>
      </c>
      <c r="D212" s="2663">
        <v>1.1513261748840486E-2</v>
      </c>
      <c r="E212" s="2109">
        <v>1.6422296403741932E-3</v>
      </c>
      <c r="F212" s="2079">
        <v>-4.7587970710372678E-2</v>
      </c>
      <c r="G212" s="2079">
        <v>-9.842225575403063E-2</v>
      </c>
      <c r="H212" s="2079">
        <v>0.17526952777476446</v>
      </c>
      <c r="I212" s="2079">
        <v>-1.640159173490352E-2</v>
      </c>
      <c r="J212" s="2135">
        <v>3.7477000746151123E-2</v>
      </c>
      <c r="K212" s="2079">
        <v>-4.2218586523323776E-4</v>
      </c>
      <c r="L212" s="2079">
        <v>4.2181549472849023E-2</v>
      </c>
      <c r="M212" s="2079">
        <v>-5.4371803607043301E-2</v>
      </c>
      <c r="N212" s="2079">
        <v>8.3718722973028736E-2</v>
      </c>
      <c r="O212" s="2079">
        <v>1.8548961502071748E-3</v>
      </c>
      <c r="P212" s="2659">
        <v>-6.4751645531020419E-2</v>
      </c>
    </row>
    <row r="213" spans="1:16">
      <c r="A213" s="329">
        <f t="shared" si="1"/>
        <v>2014.12</v>
      </c>
      <c r="B213" s="2591">
        <v>152.97120710043293</v>
      </c>
      <c r="C213" s="2662">
        <v>-2.6214476033987855E-2</v>
      </c>
      <c r="D213" s="2663">
        <v>-1.5443204638238228E-2</v>
      </c>
      <c r="E213" s="2109">
        <v>1.5107415368031951E-3</v>
      </c>
      <c r="F213" s="2079">
        <v>-4.5767735619064991E-2</v>
      </c>
      <c r="G213" s="2079">
        <v>-1.2698082818903167E-2</v>
      </c>
      <c r="H213" s="2079">
        <v>-1.0436603254563748E-2</v>
      </c>
      <c r="I213" s="2079">
        <v>-1.3558087926328621E-2</v>
      </c>
      <c r="J213" s="2135">
        <v>-3.7378034016051109E-2</v>
      </c>
      <c r="K213" s="2079">
        <v>2.1484629481836048E-3</v>
      </c>
      <c r="L213" s="2079">
        <v>-1.9716471163444882E-2</v>
      </c>
      <c r="M213" s="2079">
        <v>-0.10815698452123691</v>
      </c>
      <c r="N213" s="2079">
        <v>9.2843254715449172E-2</v>
      </c>
      <c r="O213" s="2079">
        <v>-5.1702613065351954E-3</v>
      </c>
      <c r="P213" s="2659">
        <v>-0.12403677073577934</v>
      </c>
    </row>
    <row r="214" spans="1:16">
      <c r="A214" s="329">
        <f t="shared" si="1"/>
        <v>2015.01</v>
      </c>
      <c r="B214" s="2591">
        <v>148.55313295706821</v>
      </c>
      <c r="C214" s="2662">
        <v>-2.8881736812497283E-2</v>
      </c>
      <c r="D214" s="2663">
        <v>-3.4796685468900468E-2</v>
      </c>
      <c r="E214" s="2109">
        <v>2.1952781086074236E-3</v>
      </c>
      <c r="F214" s="2079">
        <v>-1.5960392870997597E-2</v>
      </c>
      <c r="G214" s="2079">
        <v>6.6722890864766793E-2</v>
      </c>
      <c r="H214" s="2079">
        <v>-0.30513743452096276</v>
      </c>
      <c r="I214" s="2079">
        <v>-1.8370393922589101E-2</v>
      </c>
      <c r="J214" s="2135">
        <v>-3.2494481046662749E-2</v>
      </c>
      <c r="K214" s="2079">
        <v>3.6016798519793447E-3</v>
      </c>
      <c r="L214" s="2079">
        <v>-1.9997599961856904E-2</v>
      </c>
      <c r="M214" s="2079">
        <v>7.2810593856837968E-3</v>
      </c>
      <c r="N214" s="2079">
        <v>-0.24754808785224333</v>
      </c>
      <c r="O214" s="2079">
        <v>-9.1477926656345909E-3</v>
      </c>
      <c r="P214" s="2659">
        <v>-0.18362655494194513</v>
      </c>
    </row>
    <row r="215" spans="1:16">
      <c r="A215" s="329">
        <f t="shared" si="1"/>
        <v>2015.02</v>
      </c>
      <c r="B215" s="2591">
        <v>154.54222841576555</v>
      </c>
      <c r="C215" s="2662">
        <v>4.0316184111904185E-2</v>
      </c>
      <c r="D215" s="2663">
        <v>-5.6325044740979102E-4</v>
      </c>
      <c r="E215" s="2109">
        <v>2.126254002936534E-4</v>
      </c>
      <c r="F215" s="2079">
        <v>4.1129299239938133E-2</v>
      </c>
      <c r="G215" s="2079">
        <v>-1.1867022689823203E-3</v>
      </c>
      <c r="H215" s="2079">
        <v>0.40161996905142106</v>
      </c>
      <c r="I215" s="2079">
        <v>2.0868712290339486E-2</v>
      </c>
      <c r="J215" s="2135">
        <v>5.7853229161826558E-2</v>
      </c>
      <c r="K215" s="2079">
        <v>7.5297973910093408E-3</v>
      </c>
      <c r="L215" s="2079">
        <v>4.4482119008326881E-2</v>
      </c>
      <c r="M215" s="2079">
        <v>-8.2761961439803411E-4</v>
      </c>
      <c r="N215" s="2079">
        <v>4.6565596464771541E-3</v>
      </c>
      <c r="O215" s="2079">
        <v>-7.8485458086769766E-2</v>
      </c>
      <c r="P215" s="2659">
        <v>-0.12894077324726239</v>
      </c>
    </row>
    <row r="216" spans="1:16">
      <c r="A216" s="329">
        <f t="shared" si="1"/>
        <v>2015.03</v>
      </c>
      <c r="B216" s="2591">
        <v>154.40610486971872</v>
      </c>
      <c r="C216" s="2662">
        <v>-8.8081780263071785E-4</v>
      </c>
      <c r="D216" s="2663">
        <v>5.3881837690970436E-2</v>
      </c>
      <c r="E216" s="2109">
        <v>2.7298652111999999E-3</v>
      </c>
      <c r="F216" s="2079">
        <v>1.4744477079924767E-2</v>
      </c>
      <c r="G216" s="2079">
        <v>-9.9279496315902271E-2</v>
      </c>
      <c r="H216" s="2079">
        <v>-0.10671403253165511</v>
      </c>
      <c r="I216" s="2079">
        <v>2.9236830792314317E-2</v>
      </c>
      <c r="J216" s="2135">
        <v>-5.6217652369037641E-2</v>
      </c>
      <c r="K216" s="2079">
        <v>1.3685975220546709E-2</v>
      </c>
      <c r="L216" s="2079">
        <v>9.7772477850537776E-2</v>
      </c>
      <c r="M216" s="2079">
        <v>-7.6527162092940637E-2</v>
      </c>
      <c r="N216" s="2079">
        <v>-0.13262980328844698</v>
      </c>
      <c r="O216" s="2079">
        <v>8.5643365977422517E-2</v>
      </c>
      <c r="P216" s="2659">
        <v>8.4596899475956958E-2</v>
      </c>
    </row>
    <row r="217" spans="1:16">
      <c r="A217" s="329">
        <f t="shared" si="1"/>
        <v>2015.04</v>
      </c>
      <c r="B217" s="2591">
        <v>159.32530529973593</v>
      </c>
      <c r="C217" s="2662">
        <v>3.1858846735158819E-2</v>
      </c>
      <c r="D217" s="2663">
        <v>5.2722645068308482E-2</v>
      </c>
      <c r="E217" s="2109">
        <v>4.3337950686279658E-3</v>
      </c>
      <c r="F217" s="2079">
        <v>2.7926220583573969E-2</v>
      </c>
      <c r="G217" s="2079">
        <v>0.28276864713497929</v>
      </c>
      <c r="H217" s="2079">
        <v>4.023429367904896E-2</v>
      </c>
      <c r="I217" s="2079">
        <v>4.0035805243584521E-2</v>
      </c>
      <c r="J217" s="2135">
        <v>4.6423032182733914E-2</v>
      </c>
      <c r="K217" s="2079">
        <v>1.5702773664428182E-2</v>
      </c>
      <c r="L217" s="2079">
        <v>6.8261826363838596E-2</v>
      </c>
      <c r="M217" s="2079">
        <v>9.5742349542330629E-2</v>
      </c>
      <c r="N217" s="2079">
        <v>-0.15053407847706868</v>
      </c>
      <c r="O217" s="2079">
        <v>0.12364931616141117</v>
      </c>
      <c r="P217" s="2659">
        <v>7.4729922986882302E-2</v>
      </c>
    </row>
    <row r="218" spans="1:16">
      <c r="A218" s="329">
        <f t="shared" si="1"/>
        <v>2015.05</v>
      </c>
      <c r="B218" s="2591">
        <v>153.35617632638076</v>
      </c>
      <c r="C218" s="2662">
        <v>-3.7465040234039071E-2</v>
      </c>
      <c r="D218" s="2663">
        <v>-4.9047787218026162E-4</v>
      </c>
      <c r="E218" s="2109">
        <v>-2.7123386710570241E-4</v>
      </c>
      <c r="F218" s="2079">
        <v>-0.10189219292963925</v>
      </c>
      <c r="G218" s="2079">
        <v>-0.14186405797069113</v>
      </c>
      <c r="H218" s="2079">
        <v>4.5995957424882272E-2</v>
      </c>
      <c r="I218" s="2079">
        <v>-1.3148152231333698E-3</v>
      </c>
      <c r="J218" s="2135">
        <v>-4.0754232500064373E-2</v>
      </c>
      <c r="K218" s="2079">
        <v>1.2854393979606193E-2</v>
      </c>
      <c r="L218" s="2079">
        <v>-6.4925521045661627E-2</v>
      </c>
      <c r="M218" s="2079">
        <v>-7.6058758777278745E-3</v>
      </c>
      <c r="N218" s="2079">
        <v>-7.7212101844030157E-2</v>
      </c>
      <c r="O218" s="2079">
        <v>0.12183661958030978</v>
      </c>
      <c r="P218" s="2659">
        <v>1.2691474271975922E-2</v>
      </c>
    </row>
    <row r="219" spans="1:16">
      <c r="A219" s="329">
        <f t="shared" si="1"/>
        <v>2015.06</v>
      </c>
      <c r="B219" s="2591">
        <v>159.49832138093808</v>
      </c>
      <c r="C219" s="2662">
        <v>4.0051501033028458E-2</v>
      </c>
      <c r="D219" s="2663">
        <v>1.9012305268351737E-2</v>
      </c>
      <c r="E219" s="2109">
        <v>5.9428032428798794E-3</v>
      </c>
      <c r="F219" s="2079">
        <v>0.10005413020768007</v>
      </c>
      <c r="G219" s="2079">
        <v>-2.2657458652193263E-2</v>
      </c>
      <c r="H219" s="2079">
        <v>8.0657730612267997E-2</v>
      </c>
      <c r="I219" s="2079">
        <v>-4.4272243290916717E-2</v>
      </c>
      <c r="J219" s="2135">
        <v>0.12577842156611529</v>
      </c>
      <c r="K219" s="2079">
        <v>1.6638091547728884E-2</v>
      </c>
      <c r="L219" s="2079">
        <v>3.7657846903751402E-3</v>
      </c>
      <c r="M219" s="2079">
        <v>-9.6597492468082358E-2</v>
      </c>
      <c r="N219" s="2079">
        <v>9.24435433855917E-2</v>
      </c>
      <c r="O219" s="2079">
        <v>3.9008786302312082E-2</v>
      </c>
      <c r="P219" s="2659">
        <v>0.1473111789069439</v>
      </c>
    </row>
    <row r="220" spans="1:16">
      <c r="A220" s="329">
        <f t="shared" si="1"/>
        <v>2015.07</v>
      </c>
      <c r="B220" s="2591">
        <v>160.39065700867127</v>
      </c>
      <c r="C220" s="2662">
        <v>5.5946396175667878E-3</v>
      </c>
      <c r="D220" s="2663">
        <v>2.5765636637135714E-2</v>
      </c>
      <c r="E220" s="2109">
        <v>-2.098224511729252E-3</v>
      </c>
      <c r="F220" s="2079">
        <v>1.8708805499630721E-2</v>
      </c>
      <c r="G220" s="2079">
        <v>1.5514300815340887E-2</v>
      </c>
      <c r="H220" s="2079">
        <v>8.0511424778648463E-2</v>
      </c>
      <c r="I220" s="2079">
        <v>2.2553949794264616E-2</v>
      </c>
      <c r="J220" s="2135">
        <v>-4.4162823924332455E-2</v>
      </c>
      <c r="K220" s="2079">
        <v>1.3895626354691659E-2</v>
      </c>
      <c r="L220" s="2079">
        <v>2.9733895907908536E-2</v>
      </c>
      <c r="M220" s="2079">
        <v>-6.4116225628421897E-2</v>
      </c>
      <c r="N220" s="2079">
        <v>0.17090480615697978</v>
      </c>
      <c r="O220" s="2079">
        <v>4.6785916925023097E-2</v>
      </c>
      <c r="P220" s="2659">
        <v>9.0182883710592923E-2</v>
      </c>
    </row>
    <row r="221" spans="1:16">
      <c r="A221" s="329">
        <f t="shared" si="1"/>
        <v>2015.08</v>
      </c>
      <c r="B221" s="2591">
        <v>161.4494180844863</v>
      </c>
      <c r="C221" s="2662">
        <v>6.6011393404155072E-3</v>
      </c>
      <c r="D221" s="2663">
        <v>1.8968118423668079E-2</v>
      </c>
      <c r="E221" s="2109">
        <v>1.829853818686944E-3</v>
      </c>
      <c r="F221" s="2079">
        <v>1.3504074855512638E-3</v>
      </c>
      <c r="G221" s="2079">
        <v>-0.11931769602164399</v>
      </c>
      <c r="H221" s="2079">
        <v>5.4151908775906143E-2</v>
      </c>
      <c r="I221" s="2079">
        <v>-1.7794525536749539E-2</v>
      </c>
      <c r="J221" s="2135">
        <v>-5.9334887833107919E-3</v>
      </c>
      <c r="K221" s="2079">
        <v>1.6900910120014379E-2</v>
      </c>
      <c r="L221" s="2079">
        <v>3.4939374745877716E-2</v>
      </c>
      <c r="M221" s="2079">
        <v>-0.16091319737306087</v>
      </c>
      <c r="N221" s="2079">
        <v>2.4724790595594959E-2</v>
      </c>
      <c r="O221" s="2079">
        <v>4.3404465102048206E-4</v>
      </c>
      <c r="P221" s="2659">
        <v>4.5890151991727857E-2</v>
      </c>
    </row>
    <row r="222" spans="1:16">
      <c r="A222" s="329">
        <f t="shared" si="1"/>
        <v>2015.09</v>
      </c>
      <c r="B222" s="2591">
        <v>158.23145902085031</v>
      </c>
      <c r="C222" s="2662">
        <v>-1.9931685736718108E-2</v>
      </c>
      <c r="D222" s="2663">
        <v>-7.0977087356268731E-3</v>
      </c>
      <c r="E222" s="2109">
        <v>-1.7151319564003842E-3</v>
      </c>
      <c r="F222" s="2079">
        <v>-2.0012278013482598E-2</v>
      </c>
      <c r="G222" s="2079">
        <v>0.14342237751499876</v>
      </c>
      <c r="H222" s="2079">
        <v>-9.0362159976916545E-2</v>
      </c>
      <c r="I222" s="2079">
        <v>-5.4106550309694024E-2</v>
      </c>
      <c r="J222" s="2135">
        <v>2.5641612155643534E-2</v>
      </c>
      <c r="K222" s="2079">
        <v>1.5349354337275578E-2</v>
      </c>
      <c r="L222" s="2079">
        <v>2.1889476414774123E-2</v>
      </c>
      <c r="M222" s="2079">
        <v>-6.894622227704994E-2</v>
      </c>
      <c r="N222" s="2079">
        <v>1.9969031794371483E-2</v>
      </c>
      <c r="O222" s="2079">
        <v>-8.6600520951998661E-2</v>
      </c>
      <c r="P222" s="2659">
        <v>6.6541651490579223E-2</v>
      </c>
    </row>
    <row r="223" spans="1:16">
      <c r="A223" s="329">
        <f t="shared" si="1"/>
        <v>2015.1</v>
      </c>
      <c r="B223" s="2591">
        <v>159.78035120063345</v>
      </c>
      <c r="C223" s="2662">
        <v>9.7887751864755845E-3</v>
      </c>
      <c r="D223" s="2663">
        <v>5.3794033987974998E-3</v>
      </c>
      <c r="E223" s="2109">
        <v>9.5100719074081574E-4</v>
      </c>
      <c r="F223" s="2079">
        <v>-2.2530624920827913E-3</v>
      </c>
      <c r="G223" s="2079">
        <v>1.2599166855742361E-2</v>
      </c>
      <c r="H223" s="2079">
        <v>2.7643731355380119E-3</v>
      </c>
      <c r="I223" s="2079">
        <v>5.0776042312149716E-2</v>
      </c>
      <c r="J223" s="2135">
        <v>4.365721591976568E-3</v>
      </c>
      <c r="K223" s="2079">
        <v>1.7371340313281358E-2</v>
      </c>
      <c r="L223" s="2079">
        <v>-4.2950145888812186E-2</v>
      </c>
      <c r="M223" s="2079">
        <v>-4.8344108162463373E-2</v>
      </c>
      <c r="N223" s="2079">
        <v>0.2360900673811539</v>
      </c>
      <c r="O223" s="2079">
        <v>-8.3138377971866406E-3</v>
      </c>
      <c r="P223" s="2659">
        <v>6.6993909044261279E-2</v>
      </c>
    </row>
    <row r="224" spans="1:16">
      <c r="A224" s="329">
        <f t="shared" si="1"/>
        <v>2015.11</v>
      </c>
      <c r="B224" s="2591">
        <v>160.70664788933644</v>
      </c>
      <c r="C224" s="2662">
        <v>5.7973128844850397E-3</v>
      </c>
      <c r="D224" s="2663">
        <v>2.3027864433293077E-2</v>
      </c>
      <c r="E224" s="2109">
        <v>-6.4168847871126644E-4</v>
      </c>
      <c r="F224" s="2079">
        <v>-5.0974391198648217E-3</v>
      </c>
      <c r="G224" s="2079">
        <v>3.4346340682021026E-2</v>
      </c>
      <c r="H224" s="2079">
        <v>-8.24691766788751E-2</v>
      </c>
      <c r="I224" s="2079">
        <v>3.1405970343446832E-2</v>
      </c>
      <c r="J224" s="2135">
        <v>5.833493942044421E-2</v>
      </c>
      <c r="K224" s="2079">
        <v>1.5051557092066625E-2</v>
      </c>
      <c r="L224" s="2079">
        <v>-2.5270422573975271E-4</v>
      </c>
      <c r="M224" s="2079">
        <v>9.1799121698474581E-2</v>
      </c>
      <c r="N224" s="2079">
        <v>-3.498668992917997E-2</v>
      </c>
      <c r="O224" s="2079">
        <v>3.9886827599756813E-2</v>
      </c>
      <c r="P224" s="2659">
        <v>8.8445269898220769E-2</v>
      </c>
    </row>
    <row r="225" spans="1:16">
      <c r="A225" s="329">
        <f t="shared" si="1"/>
        <v>2015.12</v>
      </c>
      <c r="B225" s="2591">
        <v>158.27404687328567</v>
      </c>
      <c r="C225" s="2662">
        <v>-1.513690346976726E-2</v>
      </c>
      <c r="D225" s="2663">
        <v>3.4665607164694467E-2</v>
      </c>
      <c r="E225" s="2109">
        <v>-4.4151960846365856E-3</v>
      </c>
      <c r="F225" s="2079">
        <v>1.5029204909484006E-2</v>
      </c>
      <c r="G225" s="2079">
        <v>-4.3778154271497449E-2</v>
      </c>
      <c r="H225" s="2079">
        <v>8.4609166823104362E-2</v>
      </c>
      <c r="I225" s="2079">
        <v>-3.7552840470950422E-2</v>
      </c>
      <c r="J225" s="2135">
        <v>-0.13953511800559615</v>
      </c>
      <c r="K225" s="2079">
        <v>9.0454984844048347E-3</v>
      </c>
      <c r="L225" s="2079">
        <v>6.3444132648873719E-2</v>
      </c>
      <c r="M225" s="2079">
        <v>5.7429498664465894E-2</v>
      </c>
      <c r="N225" s="2079">
        <v>5.7701088835211412E-2</v>
      </c>
      <c r="O225" s="2079">
        <v>1.4592051701381781E-2</v>
      </c>
      <c r="P225" s="2659">
        <v>-2.7064659008668168E-2</v>
      </c>
    </row>
    <row r="226" spans="1:16">
      <c r="A226" s="329">
        <f t="shared" si="1"/>
        <v>2016.01</v>
      </c>
      <c r="B226" s="2591">
        <v>156.14929456308616</v>
      </c>
      <c r="C226" s="2662">
        <v>-1.342451496107E-2</v>
      </c>
      <c r="D226" s="2663">
        <v>5.113430767032856E-2</v>
      </c>
      <c r="E226" s="2109">
        <v>3.8389333967647765E-4</v>
      </c>
      <c r="F226" s="2079">
        <v>-2.8774143786248652E-2</v>
      </c>
      <c r="G226" s="2079">
        <v>4.1870677996549643E-2</v>
      </c>
      <c r="H226" s="2079">
        <v>7.7250593894478525E-2</v>
      </c>
      <c r="I226" s="2079">
        <v>-3.1602180444309069E-2</v>
      </c>
      <c r="J226" s="2135">
        <v>-0.12173403878691325</v>
      </c>
      <c r="K226" s="2079">
        <v>7.2217325108088204E-3</v>
      </c>
      <c r="L226" s="2079">
        <v>4.959640931606546E-2</v>
      </c>
      <c r="M226" s="2079">
        <v>3.2793800659862926E-2</v>
      </c>
      <c r="N226" s="2079">
        <v>0.63976185035246647</v>
      </c>
      <c r="O226" s="2079">
        <v>9.1595090773077814E-4</v>
      </c>
      <c r="P226" s="2659">
        <v>-0.11680504584786078</v>
      </c>
    </row>
    <row r="227" spans="1:16">
      <c r="A227" s="329">
        <f t="shared" si="1"/>
        <v>2016.02</v>
      </c>
      <c r="B227" s="2591">
        <v>157.88440989407962</v>
      </c>
      <c r="C227" s="2662">
        <v>1.1111899902259692E-2</v>
      </c>
      <c r="D227" s="2663">
        <v>2.1626331602535132E-2</v>
      </c>
      <c r="E227" s="2109">
        <v>9.2437953311597099E-5</v>
      </c>
      <c r="F227" s="2079">
        <v>1.7471121843974924E-3</v>
      </c>
      <c r="G227" s="2079">
        <v>8.3806430875429397E-2</v>
      </c>
      <c r="H227" s="2079">
        <v>1.1338093552751616E-2</v>
      </c>
      <c r="I227" s="2079">
        <v>5.635939156539882E-2</v>
      </c>
      <c r="J227" s="2135">
        <v>1.6516352293506786E-2</v>
      </c>
      <c r="K227" s="2079">
        <v>7.1007028362164437E-3</v>
      </c>
      <c r="L227" s="2079">
        <v>9.8939418562740133E-3</v>
      </c>
      <c r="M227" s="2079">
        <v>0.12067847461205773</v>
      </c>
      <c r="N227" s="2079">
        <v>0.18316923291148979</v>
      </c>
      <c r="O227" s="2079">
        <v>3.5712968944712653E-2</v>
      </c>
      <c r="P227" s="2659">
        <v>-0.15131694226607684</v>
      </c>
    </row>
    <row r="228" spans="1:16">
      <c r="A228" s="329">
        <f t="shared" si="1"/>
        <v>2016.03</v>
      </c>
      <c r="B228" s="2591">
        <v>160.24159929153649</v>
      </c>
      <c r="C228" s="2662">
        <v>1.4929842655384551E-2</v>
      </c>
      <c r="D228" s="2663">
        <v>3.779315867556865E-2</v>
      </c>
      <c r="E228" s="2109">
        <v>1.2622646572757468E-4</v>
      </c>
      <c r="F228" s="2079">
        <v>-1.7852543492950068E-2</v>
      </c>
      <c r="G228" s="2079">
        <v>1.1366412656080849E-2</v>
      </c>
      <c r="H228" s="2079">
        <v>-2.8450472289164752E-2</v>
      </c>
      <c r="I228" s="2079">
        <v>0.12112315688245712</v>
      </c>
      <c r="J228" s="2135">
        <v>4.7216777457924852E-2</v>
      </c>
      <c r="K228" s="2079">
        <v>4.4857149900683346E-3</v>
      </c>
      <c r="L228" s="2079">
        <v>-2.2547263139333862E-2</v>
      </c>
      <c r="M228" s="2079">
        <v>0.25834436317750287</v>
      </c>
      <c r="N228" s="2079">
        <v>0.28683036709393295</v>
      </c>
      <c r="O228" s="2079">
        <v>0.12817745986949114</v>
      </c>
      <c r="P228" s="2659">
        <v>-5.8304979920245421E-2</v>
      </c>
    </row>
    <row r="229" spans="1:16">
      <c r="A229" s="329">
        <f t="shared" si="1"/>
        <v>2016.04</v>
      </c>
      <c r="B229" s="2591">
        <v>156.10616173068104</v>
      </c>
      <c r="C229" s="2662">
        <v>-2.5807515521182545E-2</v>
      </c>
      <c r="D229" s="2663">
        <v>-2.0204847955563432E-2</v>
      </c>
      <c r="E229" s="2109">
        <v>-4.5514100412444858E-3</v>
      </c>
      <c r="F229" s="2079">
        <v>-2.1728013343842112E-2</v>
      </c>
      <c r="G229" s="2079">
        <v>-0.1402773476957796</v>
      </c>
      <c r="H229" s="2079">
        <v>-0.17322981953408464</v>
      </c>
      <c r="I229" s="2079">
        <v>-8.5977630785916137E-4</v>
      </c>
      <c r="J229" s="2135">
        <v>3.637741413740514E-3</v>
      </c>
      <c r="K229" s="2079">
        <v>-4.4008341347808733E-3</v>
      </c>
      <c r="L229" s="2079">
        <v>-6.9763362774887927E-2</v>
      </c>
      <c r="M229" s="2079">
        <v>-0.15664671424636645</v>
      </c>
      <c r="N229" s="2079">
        <v>2.2762834580733138E-2</v>
      </c>
      <c r="O229" s="2079">
        <v>8.3816032039814026E-2</v>
      </c>
      <c r="P229" s="2659">
        <v>-9.680823721742382E-2</v>
      </c>
    </row>
    <row r="230" spans="1:16">
      <c r="A230" s="329">
        <f t="shared" si="1"/>
        <v>2016.05</v>
      </c>
      <c r="B230" s="2591">
        <v>155.52450313912175</v>
      </c>
      <c r="C230" s="2662">
        <v>-3.7260450523585176E-3</v>
      </c>
      <c r="D230" s="2663">
        <v>1.4139155426816652E-2</v>
      </c>
      <c r="E230" s="2109">
        <v>3.2720739384139996E-4</v>
      </c>
      <c r="F230" s="2079">
        <v>6.1064367120786667E-3</v>
      </c>
      <c r="G230" s="2079">
        <v>0.36960402051063412</v>
      </c>
      <c r="H230" s="2079">
        <v>5.8128896497242843E-2</v>
      </c>
      <c r="I230" s="2079">
        <v>-9.1752181277125575E-2</v>
      </c>
      <c r="J230" s="2135">
        <v>-3.6013660062328312E-2</v>
      </c>
      <c r="K230" s="2079">
        <v>-3.8048648675135244E-3</v>
      </c>
      <c r="L230" s="2079">
        <v>4.2098800399650971E-2</v>
      </c>
      <c r="M230" s="2079">
        <v>0.34601057280919734</v>
      </c>
      <c r="N230" s="2079">
        <v>3.4626283066703012E-2</v>
      </c>
      <c r="O230" s="2079">
        <v>-1.4330479712705624E-2</v>
      </c>
      <c r="P230" s="2659">
        <v>-9.2344682493803343E-2</v>
      </c>
    </row>
    <row r="231" spans="1:16">
      <c r="A231" s="329">
        <f t="shared" si="1"/>
        <v>2016.06</v>
      </c>
      <c r="B231" s="2591">
        <v>153.57762438487291</v>
      </c>
      <c r="C231" s="2662">
        <v>-1.2518148040680743E-2</v>
      </c>
      <c r="D231" s="2663">
        <v>-3.7120748010409876E-2</v>
      </c>
      <c r="E231" s="2109">
        <v>1.0770049904402779E-3</v>
      </c>
      <c r="F231" s="2079">
        <v>1.113645232262428E-4</v>
      </c>
      <c r="G231" s="2079">
        <v>-0.13825988138678302</v>
      </c>
      <c r="H231" s="2079">
        <v>-7.6378670505560353E-2</v>
      </c>
      <c r="I231" s="2079">
        <v>5.8410947136044999E-3</v>
      </c>
      <c r="J231" s="2135">
        <v>-8.7233557702139919E-2</v>
      </c>
      <c r="K231" s="2079">
        <v>-8.6235131365701712E-3</v>
      </c>
      <c r="L231" s="2079">
        <v>-5.2578573529875827E-2</v>
      </c>
      <c r="M231" s="2079">
        <v>0.18680121001144911</v>
      </c>
      <c r="N231" s="2079">
        <v>-0.11572103171413683</v>
      </c>
      <c r="O231" s="2079">
        <v>3.735284692938845E-2</v>
      </c>
      <c r="P231" s="2659">
        <v>-0.26408492193309419</v>
      </c>
    </row>
    <row r="232" spans="1:16">
      <c r="A232" s="329">
        <f t="shared" si="1"/>
        <v>2016.07</v>
      </c>
      <c r="B232" s="2591">
        <v>155.83928589203515</v>
      </c>
      <c r="C232" s="2662">
        <v>1.4726504047845035E-2</v>
      </c>
      <c r="D232" s="2663">
        <v>-2.8376784542942901E-2</v>
      </c>
      <c r="E232" s="2109">
        <v>-1.80610889073618E-4</v>
      </c>
      <c r="F232" s="2079">
        <v>-1.5854871652360769E-2</v>
      </c>
      <c r="G232" s="2079">
        <v>-2.936943492454569E-2</v>
      </c>
      <c r="H232" s="2079">
        <v>0.17556925980882543</v>
      </c>
      <c r="I232" s="2079">
        <v>2.7028321493257179E-2</v>
      </c>
      <c r="J232" s="2135">
        <v>0.11078529123075744</v>
      </c>
      <c r="K232" s="2079">
        <v>-6.7184388065244516E-3</v>
      </c>
      <c r="L232" s="2079">
        <v>-8.4723547770411578E-2</v>
      </c>
      <c r="M232" s="2079">
        <v>0.13434692961070716</v>
      </c>
      <c r="N232" s="2079">
        <v>-3.7926718428469841E-2</v>
      </c>
      <c r="O232" s="2079">
        <v>4.1891973907582924E-2</v>
      </c>
      <c r="P232" s="2659">
        <v>-0.14478776849024577</v>
      </c>
    </row>
    <row r="233" spans="1:16">
      <c r="A233" s="329">
        <f t="shared" si="1"/>
        <v>2016.08</v>
      </c>
      <c r="B233" s="2591">
        <v>156.13959096195802</v>
      </c>
      <c r="C233" s="2662">
        <v>1.92701774911197E-3</v>
      </c>
      <c r="D233" s="2663">
        <v>-3.2888487214922324E-2</v>
      </c>
      <c r="E233" s="2109">
        <v>2.6418800715943824E-4</v>
      </c>
      <c r="F233" s="2079">
        <v>1.5684457353094761E-2</v>
      </c>
      <c r="G233" s="2079">
        <v>0.16134388078514328</v>
      </c>
      <c r="H233" s="2079">
        <v>-2.0987670125761526E-2</v>
      </c>
      <c r="I233" s="2079">
        <v>-3.4346668516108458E-2</v>
      </c>
      <c r="J233" s="2135">
        <v>5.0381270740091466E-2</v>
      </c>
      <c r="K233" s="2079">
        <v>-8.2707452941517268E-3</v>
      </c>
      <c r="L233" s="2079">
        <v>-7.1621622399660301E-2</v>
      </c>
      <c r="M233" s="2079">
        <v>0.49584800266769813</v>
      </c>
      <c r="N233" s="2079">
        <v>-0.10650296502823575</v>
      </c>
      <c r="O233" s="2079">
        <v>2.4333993047632063E-2</v>
      </c>
      <c r="P233" s="2659">
        <v>-9.633922846247911E-2</v>
      </c>
    </row>
    <row r="234" spans="1:16">
      <c r="A234" s="329">
        <f t="shared" si="1"/>
        <v>2016.09</v>
      </c>
      <c r="B234" s="2591">
        <v>155.59005415437045</v>
      </c>
      <c r="C234" s="2662">
        <v>-3.5195225259777585E-3</v>
      </c>
      <c r="D234" s="2663">
        <v>-1.6693297798207163E-2</v>
      </c>
      <c r="E234" s="2109">
        <v>2.1913394577333101E-4</v>
      </c>
      <c r="F234" s="2079">
        <v>1.2247742248246096E-2</v>
      </c>
      <c r="G234" s="2079">
        <v>-0.15235270021305558</v>
      </c>
      <c r="H234" s="2079">
        <v>-0.13308290718298676</v>
      </c>
      <c r="I234" s="2079">
        <v>2.5132644430198026E-2</v>
      </c>
      <c r="J234" s="2135">
        <v>1.950419857461827E-2</v>
      </c>
      <c r="K234" s="2079">
        <v>-6.3491814770770816E-3</v>
      </c>
      <c r="L234" s="2079">
        <v>-4.1060519847040948E-2</v>
      </c>
      <c r="M234" s="2079">
        <v>0.10890913566744163</v>
      </c>
      <c r="N234" s="2079">
        <v>-0.14846566631541325</v>
      </c>
      <c r="O234" s="2079">
        <v>0.11014429311934437</v>
      </c>
      <c r="P234" s="2659">
        <v>-0.10174671176477768</v>
      </c>
    </row>
    <row r="235" spans="1:16">
      <c r="A235" s="329">
        <f t="shared" si="1"/>
        <v>2016.1</v>
      </c>
      <c r="B235" s="2591">
        <v>155.07600467178631</v>
      </c>
      <c r="C235" s="2662">
        <v>-3.3038710949616634E-3</v>
      </c>
      <c r="D235" s="2663">
        <v>-2.9442584732711996E-2</v>
      </c>
      <c r="E235" s="2109">
        <v>8.7124871066857068E-4</v>
      </c>
      <c r="F235" s="2079">
        <v>-4.1679836345903783E-2</v>
      </c>
      <c r="G235" s="2079">
        <v>-2.4601869487670958E-2</v>
      </c>
      <c r="H235" s="2079">
        <v>0.14042698860743075</v>
      </c>
      <c r="I235" s="2079">
        <v>-1.1242080744649496E-2</v>
      </c>
      <c r="J235" s="2135">
        <v>2.9924190036106024E-2</v>
      </c>
      <c r="K235" s="2079">
        <v>-6.4283582583964938E-3</v>
      </c>
      <c r="L235" s="2079">
        <v>-7.8953785766678442E-2</v>
      </c>
      <c r="M235" s="2079">
        <v>6.8169847696662345E-2</v>
      </c>
      <c r="N235" s="2079">
        <v>-3.1564381547400266E-2</v>
      </c>
      <c r="O235" s="2079">
        <v>4.4622181261919636E-2</v>
      </c>
      <c r="P235" s="2659">
        <v>-7.8888525918086372E-2</v>
      </c>
    </row>
    <row r="236" spans="1:16">
      <c r="A236" s="329">
        <f t="shared" si="1"/>
        <v>2016.11</v>
      </c>
      <c r="B236" s="2591">
        <v>157.24422098495921</v>
      </c>
      <c r="C236" s="2662">
        <v>1.3981636409590603E-2</v>
      </c>
      <c r="D236" s="2663">
        <v>-2.1545013537719204E-2</v>
      </c>
      <c r="E236" s="2109">
        <v>1.9732264899041674E-3</v>
      </c>
      <c r="F236" s="2079">
        <v>2.7845337533919379E-2</v>
      </c>
      <c r="G236" s="2079">
        <v>2.7183171722979349E-2</v>
      </c>
      <c r="H236" s="2079">
        <v>9.4321946414543945E-4</v>
      </c>
      <c r="I236" s="2079">
        <v>2.3168561807832999E-2</v>
      </c>
      <c r="J236" s="2135">
        <v>1.7552879522231057E-2</v>
      </c>
      <c r="K236" s="2079">
        <v>-3.8285846552462699E-3</v>
      </c>
      <c r="L236" s="2079">
        <v>-4.8456508026775931E-2</v>
      </c>
      <c r="M236" s="2079">
        <v>6.0772440469446742E-2</v>
      </c>
      <c r="N236" s="2079">
        <v>5.6475751156792597E-2</v>
      </c>
      <c r="O236" s="2079">
        <v>3.6279220371792986E-2</v>
      </c>
      <c r="P236" s="2659">
        <v>-0.11438279329010637</v>
      </c>
    </row>
    <row r="237" spans="1:16">
      <c r="A237" s="329">
        <f t="shared" si="1"/>
        <v>2016.12</v>
      </c>
      <c r="B237" s="2591">
        <v>161.27539883705745</v>
      </c>
      <c r="C237" s="2662">
        <v>2.5636413388342216E-2</v>
      </c>
      <c r="D237" s="2663">
        <v>1.8963007663376885E-2</v>
      </c>
      <c r="E237" s="2109">
        <v>2.5235809920531871E-4</v>
      </c>
      <c r="F237" s="2079">
        <v>1.9964406771202814E-2</v>
      </c>
      <c r="G237" s="2079">
        <v>3.0306123977427823E-2</v>
      </c>
      <c r="H237" s="2079">
        <v>9.8409194771982941E-2</v>
      </c>
      <c r="I237" s="2079">
        <v>5.4104340712130439E-2</v>
      </c>
      <c r="J237" s="2135">
        <v>7.652352859954159E-2</v>
      </c>
      <c r="K237" s="2079">
        <v>8.4171971182556149E-4</v>
      </c>
      <c r="L237" s="2079">
        <v>-4.382998182400389E-2</v>
      </c>
      <c r="M237" s="2079">
        <v>0.14295688437185361</v>
      </c>
      <c r="N237" s="2079">
        <v>6.9917823508052868E-2</v>
      </c>
      <c r="O237" s="2079">
        <v>0.13496768479030363</v>
      </c>
      <c r="P237" s="2659">
        <v>0.1079914826343893</v>
      </c>
    </row>
    <row r="238" spans="1:16">
      <c r="A238" s="329">
        <f t="shared" si="1"/>
        <v>2017.01</v>
      </c>
      <c r="B238" s="2591">
        <v>163.61782104698599</v>
      </c>
      <c r="C238" s="2662">
        <v>1.4524361600216418E-2</v>
      </c>
      <c r="D238" s="2663">
        <v>4.7829396250538059E-2</v>
      </c>
      <c r="E238" s="2109">
        <v>2.1084397015735945E-3</v>
      </c>
      <c r="F238" s="2079">
        <v>2.0146824733322299E-2</v>
      </c>
      <c r="G238" s="2079">
        <v>-4.7349031185362274E-2</v>
      </c>
      <c r="H238" s="2079">
        <v>-6.3101855670401052E-2</v>
      </c>
      <c r="I238" s="2079">
        <v>3.0645157248839094E-2</v>
      </c>
      <c r="J238" s="2135">
        <v>1.0660451233621693E-3</v>
      </c>
      <c r="K238" s="2079">
        <v>2.5670553135432872E-3</v>
      </c>
      <c r="L238" s="2079">
        <v>4.3326191397934366E-3</v>
      </c>
      <c r="M238" s="2079">
        <v>4.5080743901895426E-2</v>
      </c>
      <c r="N238" s="2079">
        <v>-6.9479256626849506E-2</v>
      </c>
      <c r="O238" s="2079">
        <v>0.2079219142601374</v>
      </c>
      <c r="P238" s="2659">
        <v>0.26291203409404229</v>
      </c>
    </row>
    <row r="239" spans="1:16">
      <c r="A239" s="329">
        <f t="shared" si="1"/>
        <v>2017.02</v>
      </c>
      <c r="B239" s="2591">
        <v>161.98836243770432</v>
      </c>
      <c r="C239" s="2662">
        <v>-9.9589311167622707E-3</v>
      </c>
      <c r="D239" s="2663">
        <v>2.59933995153665E-2</v>
      </c>
      <c r="E239" s="2109">
        <v>3.5048309604575056E-3</v>
      </c>
      <c r="F239" s="2079">
        <v>-1.8425823925332097E-3</v>
      </c>
      <c r="G239" s="2079">
        <v>-5.4639217274031315E-2</v>
      </c>
      <c r="H239" s="2079">
        <v>-3.1112131451853209E-2</v>
      </c>
      <c r="I239" s="2079">
        <v>-4.7015078815581646E-2</v>
      </c>
      <c r="J239" s="2135">
        <v>-1.5291201296328882E-2</v>
      </c>
      <c r="K239" s="2079">
        <v>5.9878919071569836E-3</v>
      </c>
      <c r="L239" s="2079">
        <v>7.3365956954907219E-4</v>
      </c>
      <c r="M239" s="2079">
        <v>-8.8418077323173083E-2</v>
      </c>
      <c r="N239" s="2079">
        <v>-0.10853722861411941</v>
      </c>
      <c r="O239" s="2079">
        <v>8.9715658751600813E-2</v>
      </c>
      <c r="P239" s="2659">
        <v>0.22339457614753599</v>
      </c>
    </row>
    <row r="240" spans="1:16">
      <c r="A240" s="329">
        <f t="shared" si="1"/>
        <v>2017.03</v>
      </c>
      <c r="B240" s="2591">
        <v>161.38004816724475</v>
      </c>
      <c r="C240" s="2662">
        <v>-3.7552961293346732E-3</v>
      </c>
      <c r="D240" s="2663">
        <v>7.1045775924702959E-3</v>
      </c>
      <c r="E240" s="2109">
        <v>2.3188018958832934E-3</v>
      </c>
      <c r="F240" s="2079">
        <v>-8.0522792313391101E-3</v>
      </c>
      <c r="G240" s="2079">
        <v>2.6380084022229022E-2</v>
      </c>
      <c r="H240" s="2079">
        <v>0.11498292548757716</v>
      </c>
      <c r="I240" s="2079">
        <v>-5.0084514420115307E-2</v>
      </c>
      <c r="J240" s="2135">
        <v>3.2864026964258608E-2</v>
      </c>
      <c r="K240" s="2079">
        <v>8.1933178588633471E-3</v>
      </c>
      <c r="L240" s="2079">
        <v>1.071938447703924E-2</v>
      </c>
      <c r="M240" s="2079">
        <v>-7.4885700492061891E-2</v>
      </c>
      <c r="N240" s="2079">
        <v>2.3072669434644366E-2</v>
      </c>
      <c r="O240" s="2079">
        <v>-7.6695746785329644E-2</v>
      </c>
      <c r="P240" s="2659">
        <v>0.20662720048595198</v>
      </c>
    </row>
    <row r="241" spans="1:16">
      <c r="A241" s="329">
        <f t="shared" si="1"/>
        <v>2017.04</v>
      </c>
      <c r="B241" s="2591">
        <v>156.33433769217126</v>
      </c>
      <c r="C241" s="2662">
        <v>-3.1266011705761931E-2</v>
      </c>
      <c r="D241" s="2663">
        <v>1.4616717172502014E-3</v>
      </c>
      <c r="E241" s="2109">
        <v>-6.3141081401777432E-3</v>
      </c>
      <c r="F241" s="2079">
        <v>-4.19899579921953E-2</v>
      </c>
      <c r="G241" s="2079">
        <v>-1.9232845485601224E-2</v>
      </c>
      <c r="H241" s="2079">
        <v>3.4883784803351192E-2</v>
      </c>
      <c r="I241" s="2079">
        <v>-1.4177745629635807E-2</v>
      </c>
      <c r="J241" s="2135">
        <v>-3.1446954897262902E-3</v>
      </c>
      <c r="K241" s="2079">
        <v>6.4080519368727717E-3</v>
      </c>
      <c r="L241" s="2079">
        <v>-1.0214609854426127E-2</v>
      </c>
      <c r="M241" s="2079">
        <v>5.5365607381853588E-2</v>
      </c>
      <c r="N241" s="2079">
        <v>0.28059930230761543</v>
      </c>
      <c r="O241" s="2079">
        <v>-8.9002865873718751E-2</v>
      </c>
      <c r="P241" s="2659">
        <v>0.19847299053986656</v>
      </c>
    </row>
    <row r="242" spans="1:16">
      <c r="A242" s="329">
        <f t="shared" si="1"/>
        <v>2017.05</v>
      </c>
      <c r="B242" s="2591">
        <v>160.90992179925982</v>
      </c>
      <c r="C242" s="2662">
        <v>2.9267940585759655E-2</v>
      </c>
      <c r="D242" s="2663">
        <v>3.4627460955915401E-2</v>
      </c>
      <c r="E242" s="2109">
        <v>7.7388319192328581E-3</v>
      </c>
      <c r="F242" s="2079">
        <v>1.9367299677655936E-2</v>
      </c>
      <c r="G242" s="2079">
        <v>9.4731910680230028E-2</v>
      </c>
      <c r="H242" s="2079">
        <v>2.2858875777989063E-2</v>
      </c>
      <c r="I242" s="2079">
        <v>4.8746695772863058E-2</v>
      </c>
      <c r="J242" s="2135">
        <v>-2.6719922879148483E-2</v>
      </c>
      <c r="K242" s="2079">
        <v>1.3864730656748758E-2</v>
      </c>
      <c r="L242" s="2079">
        <v>2.831135550945163E-3</v>
      </c>
      <c r="M242" s="2079">
        <v>-0.15644055469069984</v>
      </c>
      <c r="N242" s="2079">
        <v>0.23791379955368019</v>
      </c>
      <c r="O242" s="2079">
        <v>5.1921308896641039E-2</v>
      </c>
      <c r="P242" s="2659">
        <v>0.21002740011369661</v>
      </c>
    </row>
    <row r="243" spans="1:16">
      <c r="A243" s="329">
        <f t="shared" si="1"/>
        <v>2017.06</v>
      </c>
      <c r="B243" s="2591">
        <v>160.84979067618056</v>
      </c>
      <c r="C243" s="2662">
        <v>-3.7369431547096266E-4</v>
      </c>
      <c r="D243" s="2663">
        <v>4.7351730569052508E-2</v>
      </c>
      <c r="E243" s="2109">
        <v>-6.1271535348161876E-4</v>
      </c>
      <c r="F243" s="2079">
        <v>-9.1350681933215494E-3</v>
      </c>
      <c r="G243" s="2079">
        <v>3.664849782333679E-2</v>
      </c>
      <c r="H243" s="2079">
        <v>-2.9146021738184147E-2</v>
      </c>
      <c r="I243" s="2079">
        <v>1.0998734798009613E-2</v>
      </c>
      <c r="J243" s="2135">
        <v>5.075089672406774E-2</v>
      </c>
      <c r="K243" s="2079">
        <v>1.2153425879158686E-2</v>
      </c>
      <c r="L243" s="2079">
        <v>-6.4404425451116687E-3</v>
      </c>
      <c r="M243" s="2079">
        <v>1.4777672428492483E-2</v>
      </c>
      <c r="N243" s="2079">
        <v>0.30121890721139488</v>
      </c>
      <c r="O243" s="2079">
        <v>5.7315233977769386E-2</v>
      </c>
      <c r="P243" s="2659">
        <v>0.39294929875966567</v>
      </c>
    </row>
    <row r="244" spans="1:16">
      <c r="A244" s="329">
        <f t="shared" si="1"/>
        <v>2017.07</v>
      </c>
      <c r="B244" s="2591">
        <v>160.93492889009303</v>
      </c>
      <c r="C244" s="2662">
        <v>5.2930260931383089E-4</v>
      </c>
      <c r="D244" s="2663">
        <v>3.2698064348088307E-2</v>
      </c>
      <c r="E244" s="2109">
        <v>3.2295008534521941E-4</v>
      </c>
      <c r="F244" s="2079">
        <v>8.9310040455479189E-3</v>
      </c>
      <c r="G244" s="2079">
        <v>-2.6062915833664935E-2</v>
      </c>
      <c r="H244" s="2079">
        <v>-9.4993058940287187E-2</v>
      </c>
      <c r="I244" s="2079">
        <v>9.1268747175923259E-3</v>
      </c>
      <c r="J244" s="2135">
        <v>1.7048428815757299E-2</v>
      </c>
      <c r="K244" s="2079">
        <v>1.2663198915117135E-2</v>
      </c>
      <c r="L244" s="2079">
        <v>1.8582537277887612E-2</v>
      </c>
      <c r="M244" s="2079">
        <v>1.8234581645670822E-2</v>
      </c>
      <c r="N244" s="2079">
        <v>1.7377819627180102E-3</v>
      </c>
      <c r="O244" s="2079">
        <v>3.8885876198586633E-2</v>
      </c>
      <c r="P244" s="2659">
        <v>0.27540120211154329</v>
      </c>
    </row>
    <row r="245" spans="1:16">
      <c r="A245" s="329">
        <f t="shared" si="1"/>
        <v>2017.08</v>
      </c>
      <c r="B245" s="2591">
        <v>159.9726853374242</v>
      </c>
      <c r="C245" s="2662">
        <v>-5.979084585956973E-3</v>
      </c>
      <c r="D245" s="2663">
        <v>2.4549150871030934E-2</v>
      </c>
      <c r="E245" s="2109">
        <v>3.0280880078814576E-4</v>
      </c>
      <c r="F245" s="2079">
        <v>-4.8118147294240465E-3</v>
      </c>
      <c r="G245" s="2079">
        <v>-1.2555442124353444E-3</v>
      </c>
      <c r="H245" s="2079">
        <v>-3.9738789208768832E-2</v>
      </c>
      <c r="I245" s="2079">
        <v>4.299429692213419E-3</v>
      </c>
      <c r="J245" s="2135">
        <v>-2.689756187206005E-2</v>
      </c>
      <c r="K245" s="2079">
        <v>1.2702298441911619E-2</v>
      </c>
      <c r="L245" s="2079">
        <v>-1.9722173719534108E-3</v>
      </c>
      <c r="M245" s="2079">
        <v>-0.12432815126019692</v>
      </c>
      <c r="N245" s="2079">
        <v>-1.7448599930902753E-2</v>
      </c>
      <c r="O245" s="2079">
        <v>8.0462790283389207E-2</v>
      </c>
      <c r="P245" s="2659">
        <v>0.18156716417037841</v>
      </c>
    </row>
    <row r="246" spans="1:16">
      <c r="A246" s="329">
        <f t="shared" si="1"/>
        <v>2017.09</v>
      </c>
      <c r="B246" s="2591">
        <v>161.27858376147324</v>
      </c>
      <c r="C246" s="2662">
        <v>8.1632587544215873E-3</v>
      </c>
      <c r="D246" s="2663">
        <v>3.6561010522297543E-2</v>
      </c>
      <c r="E246" s="2109">
        <v>3.3262729987661999E-3</v>
      </c>
      <c r="F246" s="2079">
        <v>1.2348734208029954E-2</v>
      </c>
      <c r="G246" s="2079">
        <v>8.8493887152025774E-3</v>
      </c>
      <c r="H246" s="2079">
        <v>4.6384665528192537E-2</v>
      </c>
      <c r="I246" s="2079">
        <v>-1.5184775076282464E-2</v>
      </c>
      <c r="J246" s="2135">
        <v>4.0700787434566177E-2</v>
      </c>
      <c r="K246" s="2079">
        <v>1.5848215925145182E-2</v>
      </c>
      <c r="L246" s="2079">
        <v>-1.8726441375767067E-3</v>
      </c>
      <c r="M246" s="2079">
        <v>4.2203531514002135E-2</v>
      </c>
      <c r="N246" s="2079">
        <v>0.18595737313784189</v>
      </c>
      <c r="O246" s="2079">
        <v>3.7969292672442867E-2</v>
      </c>
      <c r="P246" s="2659">
        <v>0.20613321639885362</v>
      </c>
    </row>
    <row r="247" spans="1:16">
      <c r="A247" s="329">
        <f t="shared" si="1"/>
        <v>2017.1</v>
      </c>
      <c r="B247" s="2591">
        <v>161.61187752895228</v>
      </c>
      <c r="C247" s="2662">
        <v>2.0665717648660209E-3</v>
      </c>
      <c r="D247" s="2663">
        <v>4.2146255128244769E-2</v>
      </c>
      <c r="E247" s="2109">
        <v>4.2546128916274295E-3</v>
      </c>
      <c r="F247" s="2079">
        <v>6.9399365628228793E-3</v>
      </c>
      <c r="G247" s="2079">
        <v>3.1584671067141912E-4</v>
      </c>
      <c r="H247" s="2079">
        <v>-4.3658877320900125E-2</v>
      </c>
      <c r="I247" s="2079">
        <v>-5.3368474310601099E-3</v>
      </c>
      <c r="J247" s="2135">
        <v>9.4421226643370826E-3</v>
      </c>
      <c r="K247" s="2079">
        <v>1.928220853056728E-2</v>
      </c>
      <c r="L247" s="2079">
        <v>4.8766721720048256E-2</v>
      </c>
      <c r="M247" s="2079">
        <v>6.8827871880059233E-2</v>
      </c>
      <c r="N247" s="2079">
        <v>-5.4779332597689745E-3</v>
      </c>
      <c r="O247" s="2079">
        <v>4.4168434774068954E-2</v>
      </c>
      <c r="P247" s="2659">
        <v>0.18214688610716134</v>
      </c>
    </row>
    <row r="248" spans="1:16">
      <c r="A248" s="329">
        <f t="shared" si="1"/>
        <v>2017.11</v>
      </c>
      <c r="B248" s="2591">
        <v>160.49193333712876</v>
      </c>
      <c r="C248" s="2662">
        <v>-6.9298383816058795E-3</v>
      </c>
      <c r="D248" s="2663">
        <v>2.065393775253721E-2</v>
      </c>
      <c r="E248" s="2109">
        <v>1.7579675321317545E-3</v>
      </c>
      <c r="F248" s="2079">
        <v>-1.5082642605792618E-2</v>
      </c>
      <c r="G248" s="2079">
        <v>1.0642389214258641E-2</v>
      </c>
      <c r="H248" s="2079">
        <v>-2.0888682292349414E-2</v>
      </c>
      <c r="I248" s="2079">
        <v>-2.8093421285637188E-2</v>
      </c>
      <c r="J248" s="2135">
        <v>3.0538905431880981E-2</v>
      </c>
      <c r="K248" s="2079">
        <v>1.9063230996953173E-2</v>
      </c>
      <c r="L248" s="2079">
        <v>4.9649595704939209E-3</v>
      </c>
      <c r="M248" s="2079">
        <v>5.1616482660771235E-2</v>
      </c>
      <c r="N248" s="2079">
        <v>-2.7169781142371674E-2</v>
      </c>
      <c r="O248" s="2079">
        <v>-8.1456673671738145E-3</v>
      </c>
      <c r="P248" s="2659">
        <v>0.19723346332682112</v>
      </c>
    </row>
    <row r="249" spans="1:16">
      <c r="A249" s="329">
        <f t="shared" si="1"/>
        <v>2017.12</v>
      </c>
      <c r="B249" s="2591">
        <v>161.56429933800351</v>
      </c>
      <c r="C249" s="2662">
        <v>6.6817439267938816E-3</v>
      </c>
      <c r="D249" s="2663">
        <v>1.7913488543777056E-3</v>
      </c>
      <c r="E249" s="2109">
        <v>6.578006628097377E-4</v>
      </c>
      <c r="F249" s="2079">
        <v>1.500521533310395E-2</v>
      </c>
      <c r="G249" s="2079">
        <v>-2.8385682184459693E-2</v>
      </c>
      <c r="H249" s="2079">
        <v>-2.403850357772741E-2</v>
      </c>
      <c r="I249" s="2079">
        <v>7.9829609532586776E-3</v>
      </c>
      <c r="J249" s="2135">
        <v>2.1000725214574745E-2</v>
      </c>
      <c r="K249" s="2079">
        <v>1.9476298364907718E-2</v>
      </c>
      <c r="L249" s="2079">
        <v>7.8697275451622417E-5</v>
      </c>
      <c r="M249" s="2079">
        <v>-8.2892767252847888E-3</v>
      </c>
      <c r="N249" s="2079">
        <v>-0.13561827351764688</v>
      </c>
      <c r="O249" s="2079">
        <v>-5.1543354459455577E-2</v>
      </c>
      <c r="P249" s="2659">
        <v>0.13548492144713342</v>
      </c>
    </row>
    <row r="250" spans="1:16">
      <c r="A250" s="329">
        <f t="shared" si="1"/>
        <v>2018.01</v>
      </c>
      <c r="B250" s="2591">
        <v>164.30827544832368</v>
      </c>
      <c r="C250" s="2662">
        <v>1.6983802248166091E-2</v>
      </c>
      <c r="D250" s="2663">
        <v>4.2199217476401873E-3</v>
      </c>
      <c r="E250" s="2109">
        <v>-9.5405027783845853E-4</v>
      </c>
      <c r="F250" s="2079">
        <v>1.3972952434029295E-2</v>
      </c>
      <c r="G250" s="2079">
        <v>2.7153813443587582E-2</v>
      </c>
      <c r="H250" s="2079">
        <v>0.11987944945797867</v>
      </c>
      <c r="I250" s="2079">
        <v>2.629157725312492E-2</v>
      </c>
      <c r="J250" s="2135">
        <v>1.1318436533787946E-2</v>
      </c>
      <c r="K250" s="2079">
        <v>1.6360731401994455E-2</v>
      </c>
      <c r="L250" s="2079">
        <v>-5.9737238236741153E-3</v>
      </c>
      <c r="M250" s="2079">
        <v>6.9268267802206962E-2</v>
      </c>
      <c r="N250" s="2079">
        <v>3.3200180652778633E-2</v>
      </c>
      <c r="O250" s="2079">
        <v>-5.5549759428018985E-2</v>
      </c>
      <c r="P250" s="2659">
        <v>0.14711396022237011</v>
      </c>
    </row>
    <row r="251" spans="1:16">
      <c r="A251" s="329">
        <f t="shared" si="1"/>
        <v>2018.02</v>
      </c>
      <c r="B251" s="2591">
        <v>164.89724923104049</v>
      </c>
      <c r="C251" s="2662">
        <v>3.5845655436999024E-3</v>
      </c>
      <c r="D251" s="2663">
        <v>1.7957381317777354E-2</v>
      </c>
      <c r="E251" s="2109">
        <v>-1.5061991904785632E-4</v>
      </c>
      <c r="F251" s="2079">
        <v>3.651384313085515E-2</v>
      </c>
      <c r="G251" s="2079">
        <v>-0.11204211597765745</v>
      </c>
      <c r="H251" s="2079">
        <v>-4.4882987962040384E-2</v>
      </c>
      <c r="I251" s="2079">
        <v>-2.1988590485620074E-2</v>
      </c>
      <c r="J251" s="2135">
        <v>-1.5082768250308853E-2</v>
      </c>
      <c r="K251" s="2079">
        <v>1.2658450541081834E-2</v>
      </c>
      <c r="L251" s="2079">
        <v>3.2223953374214798E-2</v>
      </c>
      <c r="M251" s="2079">
        <v>4.3416290149875802E-3</v>
      </c>
      <c r="N251" s="2079">
        <v>1.8515249717076854E-2</v>
      </c>
      <c r="O251" s="2079">
        <v>-3.0747401700755295E-2</v>
      </c>
      <c r="P251" s="2659">
        <v>0.14735676952515697</v>
      </c>
    </row>
    <row r="252" spans="1:16">
      <c r="A252" s="329">
        <f t="shared" si="1"/>
        <v>2018.03</v>
      </c>
      <c r="B252" s="2591">
        <v>166.02509191289363</v>
      </c>
      <c r="C252" s="2662">
        <v>6.8396694736423402E-3</v>
      </c>
      <c r="D252" s="2663">
        <v>2.878325913520019E-2</v>
      </c>
      <c r="E252" s="2109">
        <v>1.7234345481420554E-4</v>
      </c>
      <c r="F252" s="2079">
        <v>-2.3821411366740763E-2</v>
      </c>
      <c r="G252" s="2079">
        <v>0.14737408042854971</v>
      </c>
      <c r="H252" s="2079">
        <v>3.9833564968540625E-2</v>
      </c>
      <c r="I252" s="2079">
        <v>2.7844234190554262E-2</v>
      </c>
      <c r="J252" s="2135">
        <v>2.4501888920268389E-2</v>
      </c>
      <c r="K252" s="2079">
        <v>1.0489849817467256E-2</v>
      </c>
      <c r="L252" s="2079">
        <v>1.5814544316375079E-2</v>
      </c>
      <c r="M252" s="2079">
        <v>0.12273763975551354</v>
      </c>
      <c r="N252" s="2079">
        <v>-5.0132231733506123E-2</v>
      </c>
      <c r="O252" s="2079">
        <v>4.8767716454193533E-2</v>
      </c>
      <c r="P252" s="2659">
        <v>0.13806769038017475</v>
      </c>
    </row>
    <row r="253" spans="1:16">
      <c r="A253" s="329">
        <f t="shared" si="1"/>
        <v>2018.04</v>
      </c>
      <c r="B253" s="2591">
        <v>164.64111263761882</v>
      </c>
      <c r="C253" s="2662">
        <v>-8.3359645179472697E-3</v>
      </c>
      <c r="D253" s="2663">
        <v>5.3134679610847391E-2</v>
      </c>
      <c r="E253" s="2109">
        <v>-1.2848858225781301E-3</v>
      </c>
      <c r="F253" s="2079">
        <v>-5.2819202373682872E-3</v>
      </c>
      <c r="G253" s="2079">
        <v>-2.0702124621903017E-2</v>
      </c>
      <c r="H253" s="2079">
        <v>-1.5147484461035754E-2</v>
      </c>
      <c r="I253" s="2079">
        <v>1.968361796450635E-2</v>
      </c>
      <c r="J253" s="2135">
        <v>-7.1525174141802039E-2</v>
      </c>
      <c r="K253" s="2079">
        <v>1.5604119976720732E-2</v>
      </c>
      <c r="L253" s="2079">
        <v>5.4737475193506802E-2</v>
      </c>
      <c r="M253" s="2079">
        <v>0.12105567581326661</v>
      </c>
      <c r="N253" s="2079">
        <v>-9.6053417066150559E-2</v>
      </c>
      <c r="O253" s="2079">
        <v>8.4791152540382608E-2</v>
      </c>
      <c r="P253" s="2659">
        <v>6.0000579682609523E-2</v>
      </c>
    </row>
    <row r="254" spans="1:16">
      <c r="A254" s="329">
        <f t="shared" si="1"/>
        <v>2018.05</v>
      </c>
      <c r="B254" s="2591">
        <v>161.68674119665275</v>
      </c>
      <c r="C254" s="2662">
        <v>-1.7944311682761449E-2</v>
      </c>
      <c r="D254" s="2663">
        <v>4.8276662415014382E-3</v>
      </c>
      <c r="E254" s="2109">
        <v>-5.4525300998908843E-4</v>
      </c>
      <c r="F254" s="2079">
        <v>-2.8746331061716979E-2</v>
      </c>
      <c r="G254" s="2079">
        <v>-8.2878852578247897E-2</v>
      </c>
      <c r="H254" s="2079">
        <v>2.6327416708958884E-2</v>
      </c>
      <c r="I254" s="2079">
        <v>-2.7235774803405E-2</v>
      </c>
      <c r="J254" s="2135">
        <v>-2.3851809320039719E-2</v>
      </c>
      <c r="K254" s="2079">
        <v>7.2553786978601931E-3</v>
      </c>
      <c r="L254" s="2079">
        <v>4.9543897203057075E-3</v>
      </c>
      <c r="M254" s="2079">
        <v>-6.0825890160928771E-2</v>
      </c>
      <c r="N254" s="2079">
        <v>-9.2988110799016144E-2</v>
      </c>
      <c r="O254" s="2079">
        <v>6.1972345223113567E-3</v>
      </c>
      <c r="P254" s="2659">
        <v>6.3124245836595039E-2</v>
      </c>
    </row>
    <row r="255" spans="1:16">
      <c r="A255" s="329">
        <f t="shared" si="1"/>
        <v>2018.06</v>
      </c>
      <c r="B255" s="2591">
        <v>161.27604552472249</v>
      </c>
      <c r="C255" s="2662">
        <v>-2.5400701930824443E-3</v>
      </c>
      <c r="D255" s="2663">
        <v>2.6500180494486436E-3</v>
      </c>
      <c r="E255" s="2109">
        <v>-2.2306680204706719E-3</v>
      </c>
      <c r="F255" s="2079">
        <v>4.2028182963735894E-3</v>
      </c>
      <c r="G255" s="2079">
        <v>5.6661060632495097E-2</v>
      </c>
      <c r="H255" s="2079">
        <v>4.3693565573993398E-2</v>
      </c>
      <c r="I255" s="2079">
        <v>3.5184229981844561E-2</v>
      </c>
      <c r="J255" s="2135">
        <v>-5.0082838254840834E-2</v>
      </c>
      <c r="K255" s="2079">
        <v>5.6246880223431717E-3</v>
      </c>
      <c r="L255" s="2079">
        <v>1.8481932321869454E-2</v>
      </c>
      <c r="M255" s="2079">
        <v>-4.269507638812698E-2</v>
      </c>
      <c r="N255" s="2079">
        <v>-2.4938359573892566E-2</v>
      </c>
      <c r="O255" s="2079">
        <v>3.0267866395445653E-2</v>
      </c>
      <c r="P255" s="2659">
        <v>-3.8896879045195454E-2</v>
      </c>
    </row>
    <row r="256" spans="1:16">
      <c r="A256" s="329">
        <f t="shared" si="1"/>
        <v>2018.07</v>
      </c>
      <c r="B256" s="2591">
        <v>156.30181776411612</v>
      </c>
      <c r="C256" s="2662">
        <v>-3.084294226351092E-2</v>
      </c>
      <c r="D256" s="2663">
        <v>-2.8788723230747437E-2</v>
      </c>
      <c r="E256" s="2109">
        <v>-2.2032201486186231E-3</v>
      </c>
      <c r="F256" s="2079">
        <v>-3.2518101565956914E-2</v>
      </c>
      <c r="G256" s="2079">
        <v>-8.0003919859979108E-2</v>
      </c>
      <c r="H256" s="2079">
        <v>-2.4140680301488415E-2</v>
      </c>
      <c r="I256" s="2079">
        <v>-4.3510429167312292E-2</v>
      </c>
      <c r="J256" s="2135">
        <v>-3.5396328102842101E-2</v>
      </c>
      <c r="K256" s="2079">
        <v>3.0851290197186909E-3</v>
      </c>
      <c r="L256" s="2079">
        <v>-2.3359546438270651E-2</v>
      </c>
      <c r="M256" s="2079">
        <v>-9.5714916764324642E-2</v>
      </c>
      <c r="N256" s="2079">
        <v>5.1398553889714149E-2</v>
      </c>
      <c r="O256" s="2079">
        <v>-2.3472177720895937E-2</v>
      </c>
      <c r="P256" s="2659">
        <v>-8.8456780151254688E-2</v>
      </c>
    </row>
    <row r="257" spans="1:16">
      <c r="A257" s="329">
        <f t="shared" si="1"/>
        <v>2018.08</v>
      </c>
      <c r="B257" s="2591">
        <v>156.23393281797172</v>
      </c>
      <c r="C257" s="2662">
        <v>-4.3431962030571203E-4</v>
      </c>
      <c r="D257" s="2663">
        <v>-2.3371193098162157E-2</v>
      </c>
      <c r="E257" s="2109">
        <v>5.2471679714765074E-3</v>
      </c>
      <c r="F257" s="2079">
        <v>-1.220781936152171E-2</v>
      </c>
      <c r="G257" s="2079">
        <v>3.5218900570488598E-2</v>
      </c>
      <c r="H257" s="2079">
        <v>-8.7915399972767871E-2</v>
      </c>
      <c r="I257" s="2079">
        <v>4.4070874904720281E-3</v>
      </c>
      <c r="J257" s="2135">
        <v>-5.6149664904790682E-2</v>
      </c>
      <c r="K257" s="2079">
        <v>8.043240816481001E-3</v>
      </c>
      <c r="L257" s="2079">
        <v>-3.0617708688732481E-2</v>
      </c>
      <c r="M257" s="2079">
        <v>-6.2690156381056794E-2</v>
      </c>
      <c r="N257" s="2079">
        <v>-1.3504464024454155E-3</v>
      </c>
      <c r="O257" s="2079">
        <v>-2.3367496953212052E-2</v>
      </c>
      <c r="P257" s="2659">
        <v>-0.115858372358854</v>
      </c>
    </row>
    <row r="258" spans="1:16">
      <c r="A258" s="329">
        <f t="shared" ref="A258:A321" si="2">A246+1</f>
        <v>2018.09</v>
      </c>
      <c r="B258" s="2591">
        <v>154.67840267445655</v>
      </c>
      <c r="C258" s="2662">
        <v>-9.9564167364813994E-3</v>
      </c>
      <c r="D258" s="2663">
        <v>-4.0924101223372533E-2</v>
      </c>
      <c r="E258" s="2109">
        <v>-5.1482976245545986E-3</v>
      </c>
      <c r="F258" s="2079">
        <v>7.4043352038333232E-4</v>
      </c>
      <c r="G258" s="2079">
        <v>-5.0619348004447007E-2</v>
      </c>
      <c r="H258" s="2079">
        <v>2.4398269881081847E-2</v>
      </c>
      <c r="I258" s="2079">
        <v>1.1940468291080641E-3</v>
      </c>
      <c r="J258" s="2135">
        <v>-4.0444189134573601E-2</v>
      </c>
      <c r="K258" s="2079">
        <v>-4.7117155919396136E-4</v>
      </c>
      <c r="L258" s="2079">
        <v>-4.1733326003771998E-2</v>
      </c>
      <c r="M258" s="2079">
        <v>-0.11794184502597738</v>
      </c>
      <c r="N258" s="2079">
        <v>-2.233384277812045E-2</v>
      </c>
      <c r="O258" s="2079">
        <v>-7.1247648857237778E-3</v>
      </c>
      <c r="P258" s="2659">
        <v>-0.18479620014276221</v>
      </c>
    </row>
    <row r="259" spans="1:16">
      <c r="A259" s="329">
        <f t="shared" si="2"/>
        <v>2018.1</v>
      </c>
      <c r="B259" s="2591">
        <v>156.3370075067308</v>
      </c>
      <c r="C259" s="2662">
        <v>1.0722924491048946E-2</v>
      </c>
      <c r="D259" s="2663">
        <v>-3.2639123453512831E-2</v>
      </c>
      <c r="E259" s="2109">
        <v>-2.6931209037839299E-3</v>
      </c>
      <c r="F259" s="2079">
        <v>2.1566893142632271E-2</v>
      </c>
      <c r="G259" s="2079">
        <v>6.7615561066667329E-3</v>
      </c>
      <c r="H259" s="2079">
        <v>-9.5361521799566251E-3</v>
      </c>
      <c r="I259" s="2079">
        <v>3.7363293524733887E-2</v>
      </c>
      <c r="J259" s="2135">
        <v>-4.9939896507488202E-2</v>
      </c>
      <c r="K259" s="2079">
        <v>-7.3862109642413021E-3</v>
      </c>
      <c r="L259" s="2079">
        <v>-2.7813404344624759E-2</v>
      </c>
      <c r="M259" s="2079">
        <v>-0.11225814966513115</v>
      </c>
      <c r="N259" s="2079">
        <v>1.2549770162237017E-2</v>
      </c>
      <c r="O259" s="2079">
        <v>3.5498622118610212E-2</v>
      </c>
      <c r="P259" s="2659">
        <v>-0.23275184473613167</v>
      </c>
    </row>
    <row r="260" spans="1:16">
      <c r="A260" s="329">
        <f t="shared" si="2"/>
        <v>2018.11</v>
      </c>
      <c r="B260" s="2591">
        <v>153.79978589944324</v>
      </c>
      <c r="C260" s="2662">
        <v>-1.6229181098904699E-2</v>
      </c>
      <c r="D260" s="2663">
        <v>-4.1697718374592796E-2</v>
      </c>
      <c r="E260" s="2109">
        <v>-6.3147740829144761E-3</v>
      </c>
      <c r="F260" s="2079">
        <v>1.1677041922163456E-2</v>
      </c>
      <c r="G260" s="2079">
        <v>-1.7346424324215737E-2</v>
      </c>
      <c r="H260" s="2079">
        <v>4.4591056129488216E-2</v>
      </c>
      <c r="I260" s="2079">
        <v>-6.5420270386271961E-2</v>
      </c>
      <c r="J260" s="2135">
        <v>-5.758840834298673E-2</v>
      </c>
      <c r="K260" s="2079">
        <v>-1.5385263531957238E-2</v>
      </c>
      <c r="L260" s="2079">
        <v>-1.3996078908042886E-3</v>
      </c>
      <c r="M260" s="2079">
        <v>-0.13684334556082323</v>
      </c>
      <c r="N260" s="2079">
        <v>8.0265762093107332E-2</v>
      </c>
      <c r="O260" s="2079">
        <v>-4.2705302446398585E-3</v>
      </c>
      <c r="P260" s="2659">
        <v>-0.29836365091417283</v>
      </c>
    </row>
    <row r="261" spans="1:16">
      <c r="A261" s="329">
        <f t="shared" si="2"/>
        <v>2018.12</v>
      </c>
      <c r="B261" s="2591">
        <v>152.95511459697613</v>
      </c>
      <c r="C261" s="2662">
        <v>-5.4920187146383359E-3</v>
      </c>
      <c r="D261" s="2663">
        <v>-5.3286430085747953E-2</v>
      </c>
      <c r="E261" s="2109">
        <v>-2.9805065526472552E-3</v>
      </c>
      <c r="F261" s="2079">
        <v>-3.3840016048417576E-2</v>
      </c>
      <c r="G261" s="2079">
        <v>8.1301403155778385E-2</v>
      </c>
      <c r="H261" s="2079">
        <v>-0.10343745064724175</v>
      </c>
      <c r="I261" s="2079">
        <v>7.9106153637447107E-3</v>
      </c>
      <c r="J261" s="2135">
        <v>2.9774588790147494E-2</v>
      </c>
      <c r="K261" s="2079">
        <v>-1.8965239521515409E-2</v>
      </c>
      <c r="L261" s="2079">
        <v>-4.9455387775880218E-2</v>
      </c>
      <c r="M261" s="2079">
        <v>-3.940021830192808E-2</v>
      </c>
      <c r="N261" s="2079">
        <v>-7.6188157102858867E-3</v>
      </c>
      <c r="O261" s="2079">
        <v>-4.34199636884669E-3</v>
      </c>
      <c r="P261" s="2659">
        <v>-0.29233421189957454</v>
      </c>
    </row>
    <row r="262" spans="1:16">
      <c r="A262" s="329">
        <f t="shared" si="2"/>
        <v>2019.01</v>
      </c>
      <c r="B262" s="2591">
        <v>152.05010216961611</v>
      </c>
      <c r="C262" s="2662">
        <v>-5.9168497225127181E-3</v>
      </c>
      <c r="D262" s="2663">
        <v>-7.4604722405250179E-2</v>
      </c>
      <c r="E262" s="2109">
        <v>-4.2170764946725114E-4</v>
      </c>
      <c r="F262" s="2079">
        <v>1.5936046847241148E-2</v>
      </c>
      <c r="G262" s="2079">
        <v>-6.7090158596889937E-2</v>
      </c>
      <c r="H262" s="2079">
        <v>1.6796144013397907E-5</v>
      </c>
      <c r="I262" s="2079">
        <v>-4.1850187775399839E-2</v>
      </c>
      <c r="J262" s="2135">
        <v>5.2137462233521781E-2</v>
      </c>
      <c r="K262" s="2079">
        <v>-1.8442494173254054E-2</v>
      </c>
      <c r="L262" s="2079">
        <v>-4.7615093305217515E-2</v>
      </c>
      <c r="M262" s="2079">
        <v>-0.12753768883804251</v>
      </c>
      <c r="N262" s="2079">
        <v>-0.11383510703109877</v>
      </c>
      <c r="O262" s="2079">
        <v>-7.0449811375761118E-2</v>
      </c>
      <c r="P262" s="2659">
        <v>-0.26377127173376591</v>
      </c>
    </row>
    <row r="263" spans="1:16">
      <c r="A263" s="329">
        <f t="shared" si="2"/>
        <v>2019.02</v>
      </c>
      <c r="B263" s="2591">
        <v>158.21819791128456</v>
      </c>
      <c r="C263" s="2662">
        <v>4.0566205833836078E-2</v>
      </c>
      <c r="D263" s="2663">
        <v>-4.0504322242500217E-2</v>
      </c>
      <c r="E263" s="2109">
        <v>2.7990619165318975E-3</v>
      </c>
      <c r="F263" s="2079">
        <v>3.0834267437481078E-2</v>
      </c>
      <c r="G263" s="2079">
        <v>7.4547658637331038E-2</v>
      </c>
      <c r="H263" s="2079">
        <v>-4.0811421728553787E-2</v>
      </c>
      <c r="I263" s="2079">
        <v>8.0029064535481739E-2</v>
      </c>
      <c r="J263" s="2135">
        <v>0.1587690986195438</v>
      </c>
      <c r="K263" s="2079">
        <v>-1.5546775674853963E-2</v>
      </c>
      <c r="L263" s="2079">
        <v>-5.2833684646420798E-2</v>
      </c>
      <c r="M263" s="2079">
        <v>5.579594548068334E-2</v>
      </c>
      <c r="N263" s="2079">
        <v>-0.11005747663603882</v>
      </c>
      <c r="O263" s="2079">
        <v>2.6512790026766986E-2</v>
      </c>
      <c r="P263" s="2659">
        <v>-0.13381645448996415</v>
      </c>
    </row>
    <row r="264" spans="1:16">
      <c r="A264" s="329">
        <f t="shared" si="2"/>
        <v>2019.03</v>
      </c>
      <c r="B264" s="2591">
        <v>151.88631893846733</v>
      </c>
      <c r="C264" s="2662">
        <v>-4.0019915890886493E-2</v>
      </c>
      <c r="D264" s="2663">
        <v>-8.5160458648288695E-2</v>
      </c>
      <c r="E264" s="2109">
        <v>-4.7661680450751254E-3</v>
      </c>
      <c r="F264" s="2079">
        <v>-6.231423964328342E-2</v>
      </c>
      <c r="G264" s="2079">
        <v>6.5010510178427072E-3</v>
      </c>
      <c r="H264" s="2079">
        <v>-2.3747385218405581E-2</v>
      </c>
      <c r="I264" s="2079">
        <v>-2.6013446424125952E-2</v>
      </c>
      <c r="J264" s="2135">
        <v>-0.18309173588580829</v>
      </c>
      <c r="K264" s="2079">
        <v>-2.0407671500706659E-2</v>
      </c>
      <c r="L264" s="2079">
        <v>-9.0182496381041255E-2</v>
      </c>
      <c r="M264" s="2079">
        <v>-7.3833245047878249E-2</v>
      </c>
      <c r="N264" s="2079">
        <v>-0.16447329196794824</v>
      </c>
      <c r="O264" s="2079">
        <v>-2.7275124671887974E-2</v>
      </c>
      <c r="P264" s="2659">
        <v>-0.30933021771915203</v>
      </c>
    </row>
    <row r="265" spans="1:16">
      <c r="A265" s="329">
        <f t="shared" si="2"/>
        <v>2019.04</v>
      </c>
      <c r="B265" s="2592">
        <v>155.16872813229742</v>
      </c>
      <c r="C265" s="2662">
        <v>2.161096020214881E-2</v>
      </c>
      <c r="D265" s="2664">
        <v>-5.7533530681188161E-2</v>
      </c>
      <c r="E265" s="2109">
        <v>-1.3517867528611838E-4</v>
      </c>
      <c r="F265" s="2079">
        <v>7.3676303021676492E-2</v>
      </c>
      <c r="G265" s="2079">
        <v>-4.7554341732357501E-2</v>
      </c>
      <c r="H265" s="2079">
        <v>7.1151804319972811E-2</v>
      </c>
      <c r="I265" s="2079">
        <v>-3.3865627217307792E-2</v>
      </c>
      <c r="J265" s="2135">
        <v>5.4823381210211464E-2</v>
      </c>
      <c r="K265" s="2079">
        <v>-1.9279978242118467E-2</v>
      </c>
      <c r="L265" s="2079">
        <v>-1.7963467655962573E-2</v>
      </c>
      <c r="M265" s="2079">
        <v>-9.9228613923622588E-2</v>
      </c>
      <c r="N265" s="2079">
        <v>-9.1258917710861032E-2</v>
      </c>
      <c r="O265" s="2079">
        <v>-7.8358305695600095E-2</v>
      </c>
      <c r="P265" s="2659">
        <v>-0.2153426083773318</v>
      </c>
    </row>
    <row r="266" spans="1:16">
      <c r="A266" s="329">
        <f t="shared" si="2"/>
        <v>2019.05</v>
      </c>
      <c r="B266" s="2592">
        <v>154.79901616953296</v>
      </c>
      <c r="C266" s="2662">
        <v>-2.3826447971477815E-3</v>
      </c>
      <c r="D266" s="2664">
        <v>-4.2599195061656554E-2</v>
      </c>
      <c r="E266" s="2109">
        <v>3.9677151944617073E-4</v>
      </c>
      <c r="F266" s="2079">
        <v>-1.4850293113900626E-2</v>
      </c>
      <c r="G266" s="2079">
        <v>-2.6706874910287559E-2</v>
      </c>
      <c r="H266" s="2079">
        <v>-2.4413448944554439E-2</v>
      </c>
      <c r="I266" s="2079">
        <v>8.2034765481409089E-4</v>
      </c>
      <c r="J266" s="2135">
        <v>3.2722529513054877E-2</v>
      </c>
      <c r="K266" s="2079">
        <v>-1.8355611911590075E-2</v>
      </c>
      <c r="L266" s="2079">
        <v>-3.9131558208349571E-3</v>
      </c>
      <c r="M266" s="2079">
        <v>-4.4058028963431257E-2</v>
      </c>
      <c r="N266" s="2079">
        <v>-0.13618640227336032</v>
      </c>
      <c r="O266" s="2079">
        <v>-5.1776641230319227E-2</v>
      </c>
      <c r="P266" s="2659">
        <v>-0.16986644649392846</v>
      </c>
    </row>
    <row r="267" spans="1:16">
      <c r="A267" s="329">
        <f t="shared" si="2"/>
        <v>2019.06</v>
      </c>
      <c r="B267" s="2592">
        <v>154.9686320728826</v>
      </c>
      <c r="C267" s="2662">
        <v>1.0957169337812989E-3</v>
      </c>
      <c r="D267" s="2664">
        <v>-3.9109425279608589E-2</v>
      </c>
      <c r="E267" s="2109">
        <v>-5.5711965359361848E-5</v>
      </c>
      <c r="F267" s="2079">
        <v>-1.1792749175525419E-3</v>
      </c>
      <c r="G267" s="2079">
        <v>5.5890754920232322E-2</v>
      </c>
      <c r="H267" s="2079">
        <v>4.8284817612048947E-2</v>
      </c>
      <c r="I267" s="2079">
        <v>-4.9681601877718314E-2</v>
      </c>
      <c r="J267" s="2135">
        <v>-3.2308482334470368E-2</v>
      </c>
      <c r="K267" s="2079">
        <v>-1.6215805307589592E-2</v>
      </c>
      <c r="L267" s="2079">
        <v>-9.2517509202122428E-3</v>
      </c>
      <c r="M267" s="2079">
        <v>-4.4754910478531522E-2</v>
      </c>
      <c r="N267" s="2079">
        <v>-0.13238644980466663</v>
      </c>
      <c r="O267" s="2079">
        <v>-0.12951330085086721</v>
      </c>
      <c r="P267" s="2659">
        <v>-0.15433341915673282</v>
      </c>
    </row>
    <row r="268" spans="1:16">
      <c r="A268" s="329">
        <f t="shared" si="2"/>
        <v>2019.07</v>
      </c>
      <c r="B268" s="2592">
        <v>154.57685272750393</v>
      </c>
      <c r="C268" s="2662">
        <v>-2.5281203049815071E-3</v>
      </c>
      <c r="D268" s="2664">
        <v>-1.1036116286346931E-2</v>
      </c>
      <c r="E268" s="2109">
        <v>-3.5115589472669573E-3</v>
      </c>
      <c r="F268" s="2079">
        <v>3.2476131827462007E-2</v>
      </c>
      <c r="G268" s="2079">
        <v>4.1897609674681258E-2</v>
      </c>
      <c r="H268" s="2079">
        <v>-9.9573081857631585E-2</v>
      </c>
      <c r="I268" s="2079">
        <v>-3.8212023818857577E-2</v>
      </c>
      <c r="J268" s="2135">
        <v>6.919106497104166E-2</v>
      </c>
      <c r="K268" s="2079">
        <v>-1.7505770416120781E-2</v>
      </c>
      <c r="L268" s="2079">
        <v>5.7305487038491254E-2</v>
      </c>
      <c r="M268" s="2079">
        <v>8.1817191301964964E-2</v>
      </c>
      <c r="N268" s="2079">
        <v>-0.19945162240977599</v>
      </c>
      <c r="O268" s="2079">
        <v>-0.12469130223930346</v>
      </c>
      <c r="P268" s="2659">
        <v>-6.2641809766371903E-2</v>
      </c>
    </row>
    <row r="269" spans="1:16">
      <c r="A269" s="329">
        <f t="shared" si="2"/>
        <v>2019.08</v>
      </c>
      <c r="B269" s="2592">
        <v>157.38728390972375</v>
      </c>
      <c r="C269" s="2662">
        <v>1.8181449114986092E-2</v>
      </c>
      <c r="D269" s="2664">
        <v>7.3822060992076999E-3</v>
      </c>
      <c r="E269" s="2109">
        <v>1.2543091064063372E-3</v>
      </c>
      <c r="F269" s="2079">
        <v>9.6298565917263268E-4</v>
      </c>
      <c r="G269" s="2079">
        <v>-4.2311659324787421E-3</v>
      </c>
      <c r="H269" s="2079">
        <v>3.5788276566404154E-2</v>
      </c>
      <c r="I269" s="2079">
        <v>3.8762426591283594E-2</v>
      </c>
      <c r="J269" s="2135">
        <v>2.5315539041488755E-2</v>
      </c>
      <c r="K269" s="2079">
        <v>-2.1408254222556766E-2</v>
      </c>
      <c r="L269" s="2079">
        <v>7.1403153217720616E-2</v>
      </c>
      <c r="M269" s="2079">
        <v>4.0591359627720092E-2</v>
      </c>
      <c r="N269" s="2079">
        <v>-9.0875315395686163E-2</v>
      </c>
      <c r="O269" s="2079">
        <v>-9.4751721461759586E-2</v>
      </c>
      <c r="P269" s="2659">
        <v>1.8263046966443763E-2</v>
      </c>
    </row>
    <row r="270" spans="1:16">
      <c r="A270" s="329">
        <f t="shared" si="2"/>
        <v>2019.09</v>
      </c>
      <c r="B270" s="2592">
        <v>156.19651895246162</v>
      </c>
      <c r="C270" s="2662">
        <v>-7.5658269695101366E-3</v>
      </c>
      <c r="D270" s="2664">
        <v>9.8146622395640648E-3</v>
      </c>
      <c r="E270" s="2109">
        <v>-4.1940055195465176E-3</v>
      </c>
      <c r="F270" s="2079">
        <v>-3.2539426989093623E-2</v>
      </c>
      <c r="G270" s="2079">
        <v>2.0566007940156394E-2</v>
      </c>
      <c r="H270" s="2079">
        <v>-4.6215907457635819E-2</v>
      </c>
      <c r="I270" s="2079">
        <v>2.6395245269178469E-2</v>
      </c>
      <c r="J270" s="2135">
        <v>-2.8358620422123226E-2</v>
      </c>
      <c r="K270" s="2079">
        <v>-2.0469559163995066E-2</v>
      </c>
      <c r="L270" s="2079">
        <v>3.5773387202302498E-2</v>
      </c>
      <c r="M270" s="2079">
        <v>0.11861577077647922</v>
      </c>
      <c r="N270" s="2079">
        <v>-0.15354341391669135</v>
      </c>
      <c r="O270" s="2079">
        <v>-7.196558766758987E-2</v>
      </c>
      <c r="P270" s="2659">
        <v>3.1088031070664934E-2</v>
      </c>
    </row>
    <row r="271" spans="1:16">
      <c r="A271" s="329">
        <f t="shared" si="2"/>
        <v>2019.1</v>
      </c>
      <c r="B271" s="2592">
        <v>156.35682903368914</v>
      </c>
      <c r="C271" s="2662">
        <v>1.0263358127482469E-3</v>
      </c>
      <c r="D271" s="2664">
        <v>1.2678717134506634E-4</v>
      </c>
      <c r="E271" s="2109">
        <v>-7.2009627854369151E-3</v>
      </c>
      <c r="F271" s="2079">
        <v>2.9111597119859223E-2</v>
      </c>
      <c r="G271" s="2079">
        <v>2.6651296194081686E-2</v>
      </c>
      <c r="H271" s="2079">
        <v>1.9927844868134814E-2</v>
      </c>
      <c r="I271" s="2079">
        <v>6.8095928149123353E-3</v>
      </c>
      <c r="J271" s="2135">
        <v>-2.9587016664639476E-2</v>
      </c>
      <c r="K271" s="2079">
        <v>-2.4897051281121518E-2</v>
      </c>
      <c r="L271" s="2079">
        <v>4.3423012152354445E-2</v>
      </c>
      <c r="M271" s="2079">
        <v>0.14071532037039525</v>
      </c>
      <c r="N271" s="2079">
        <v>-0.12836329814710756</v>
      </c>
      <c r="O271" s="2079">
        <v>-9.929919958523914E-2</v>
      </c>
      <c r="P271" s="2659">
        <v>5.3176750222890812E-2</v>
      </c>
    </row>
    <row r="272" spans="1:16">
      <c r="A272" s="329">
        <f t="shared" si="2"/>
        <v>2019.11</v>
      </c>
      <c r="B272" s="2592">
        <v>154.37159829038185</v>
      </c>
      <c r="C272" s="2662">
        <v>-1.2696795883981093E-2</v>
      </c>
      <c r="D272" s="2664">
        <v>3.7179010854571093E-3</v>
      </c>
      <c r="E272" s="2109">
        <v>-4.4213400874304476E-3</v>
      </c>
      <c r="F272" s="2079">
        <v>-1.8242849869221089E-2</v>
      </c>
      <c r="G272" s="2079">
        <v>2.2678188425750756E-2</v>
      </c>
      <c r="H272" s="2079">
        <v>-7.6629068145714574E-2</v>
      </c>
      <c r="I272" s="2079">
        <v>3.579806201763458E-2</v>
      </c>
      <c r="J272" s="2135">
        <v>-9.0352664503491997E-2</v>
      </c>
      <c r="K272" s="2079">
        <v>-2.3039025193939744E-2</v>
      </c>
      <c r="L272" s="2079">
        <v>1.2564247623188862E-2</v>
      </c>
      <c r="M272" s="2079">
        <v>0.18717797016473448</v>
      </c>
      <c r="N272" s="2079">
        <v>-0.22951284246058845</v>
      </c>
      <c r="O272" s="2079">
        <v>-1.7500765687080699E-3</v>
      </c>
      <c r="P272" s="2659">
        <v>1.6561588512157277E-2</v>
      </c>
    </row>
    <row r="273" spans="1:16">
      <c r="A273" s="329">
        <f t="shared" si="2"/>
        <v>2019.12</v>
      </c>
      <c r="B273" s="2592">
        <v>154.19962303198159</v>
      </c>
      <c r="C273" s="2662">
        <v>-1.1140343191677893E-3</v>
      </c>
      <c r="D273" s="2664">
        <v>8.1364290320375954E-3</v>
      </c>
      <c r="E273" s="2109">
        <v>-2.5614725827858287E-3</v>
      </c>
      <c r="F273" s="2079">
        <v>-3.9090232668381075E-2</v>
      </c>
      <c r="G273" s="2079">
        <v>-3.38043663293216E-2</v>
      </c>
      <c r="H273" s="2079">
        <v>3.4686760707522968E-3</v>
      </c>
      <c r="I273" s="2079">
        <v>-9.8088654562733524E-3</v>
      </c>
      <c r="J273" s="2135">
        <v>0.13741411142542215</v>
      </c>
      <c r="K273" s="2079">
        <v>-2.2628421551420086E-2</v>
      </c>
      <c r="L273" s="2079">
        <v>7.0618652745546573E-3</v>
      </c>
      <c r="M273" s="2079">
        <v>6.0801519183763864E-2</v>
      </c>
      <c r="N273" s="2079">
        <v>-0.13763994663423551</v>
      </c>
      <c r="O273" s="2079">
        <v>-1.9299718473651861E-2</v>
      </c>
      <c r="P273" s="2659">
        <v>0.12281999234921681</v>
      </c>
    </row>
    <row r="274" spans="1:16">
      <c r="A274" s="329">
        <f t="shared" si="2"/>
        <v>2020.01</v>
      </c>
      <c r="B274" s="2592">
        <v>151.32191236581491</v>
      </c>
      <c r="C274" s="2662">
        <v>-1.8662241901653887E-2</v>
      </c>
      <c r="D274" s="2664">
        <v>-4.7891437980678297E-3</v>
      </c>
      <c r="E274" s="2109">
        <v>-3.7442699727594508E-3</v>
      </c>
      <c r="F274" s="2079">
        <v>1.7951203889991385E-2</v>
      </c>
      <c r="G274" s="2079">
        <v>-2.8424532570149208E-2</v>
      </c>
      <c r="H274" s="2079">
        <v>-7.694415952860223E-2</v>
      </c>
      <c r="I274" s="2079">
        <v>-2.2078360634683158E-2</v>
      </c>
      <c r="J274" s="2135">
        <v>-5.8151911808469132E-2</v>
      </c>
      <c r="K274" s="2079">
        <v>-2.5877169555714508E-2</v>
      </c>
      <c r="L274" s="2079">
        <v>9.0594199598037495E-3</v>
      </c>
      <c r="M274" s="2079">
        <v>0.10476777723895637</v>
      </c>
      <c r="N274" s="2079">
        <v>-0.20400688576648521</v>
      </c>
      <c r="O274" s="2079">
        <v>9.3744715097177078E-4</v>
      </c>
      <c r="P274" s="2659">
        <v>5.1213849304239112E-3</v>
      </c>
    </row>
    <row r="275" spans="1:16">
      <c r="A275" s="329">
        <f t="shared" si="2"/>
        <v>2020.02</v>
      </c>
      <c r="B275" s="2592">
        <v>148.80362784694526</v>
      </c>
      <c r="C275" s="2662">
        <v>-1.6641902547344212E-2</v>
      </c>
      <c r="D275" s="2664">
        <v>-5.950371189045011E-2</v>
      </c>
      <c r="E275" s="2109">
        <v>-1.8850977817730374E-4</v>
      </c>
      <c r="F275" s="2079">
        <v>-3.1149345148747565E-2</v>
      </c>
      <c r="G275" s="2079">
        <v>1.9868615964895309E-3</v>
      </c>
      <c r="H275" s="2079">
        <v>0.17863662689869653</v>
      </c>
      <c r="I275" s="2079">
        <v>9.8747297330581407E-3</v>
      </c>
      <c r="J275" s="2135">
        <v>4.9265178318365521E-2</v>
      </c>
      <c r="K275" s="2079">
        <v>-2.8779308085684185E-2</v>
      </c>
      <c r="L275" s="2079">
        <v>-5.161488059362284E-2</v>
      </c>
      <c r="M275" s="2079">
        <v>3.0166311387590738E-2</v>
      </c>
      <c r="N275" s="2079">
        <v>-2.1895526648696206E-2</v>
      </c>
      <c r="O275" s="2079">
        <v>-6.4079414977561755E-2</v>
      </c>
      <c r="P275" s="2659">
        <v>-8.9862794540320076E-2</v>
      </c>
    </row>
    <row r="276" spans="1:16">
      <c r="A276" s="329">
        <f t="shared" si="2"/>
        <v>2020.03</v>
      </c>
      <c r="B276" s="2592">
        <v>143.96921963017292</v>
      </c>
      <c r="C276" s="2662">
        <v>-3.2488510439710905E-2</v>
      </c>
      <c r="D276" s="2664">
        <v>-5.2125164159793853E-2</v>
      </c>
      <c r="E276" s="2109">
        <v>-3.8771491586085949E-3</v>
      </c>
      <c r="F276" s="2079">
        <v>-1.0478839330768652E-2</v>
      </c>
      <c r="G276" s="2079">
        <v>-8.0739296724870901E-2</v>
      </c>
      <c r="H276" s="2079">
        <v>-0.14164289703632993</v>
      </c>
      <c r="I276" s="2079">
        <v>-3.5949418151625112E-2</v>
      </c>
      <c r="J276" s="2135">
        <v>-0.36445332489378013</v>
      </c>
      <c r="K276" s="2079">
        <v>-2.7911739570310345E-2</v>
      </c>
      <c r="L276" s="2079">
        <v>8.1198178739505522E-4</v>
      </c>
      <c r="M276" s="2079">
        <v>-5.9125266745782445E-2</v>
      </c>
      <c r="N276" s="2079">
        <v>-0.14001467506496057</v>
      </c>
      <c r="O276" s="2079">
        <v>-7.3627062671286381E-2</v>
      </c>
      <c r="P276" s="2659">
        <v>-0.29192211631303877</v>
      </c>
    </row>
    <row r="277" spans="1:16">
      <c r="A277" s="329">
        <f t="shared" si="2"/>
        <v>2020.04</v>
      </c>
      <c r="B277" s="2592">
        <v>118.15590784102848</v>
      </c>
      <c r="C277" s="2662">
        <v>-0.17929743493403305</v>
      </c>
      <c r="D277" s="2664">
        <v>-0.23853272973734552</v>
      </c>
      <c r="E277" s="2109">
        <v>-1.9427963126230741E-2</v>
      </c>
      <c r="F277" s="2079">
        <v>-0.13144853904856679</v>
      </c>
      <c r="G277" s="2079">
        <v>-4.621311956971863E-2</v>
      </c>
      <c r="H277" s="2079">
        <v>-0.1810952941561117</v>
      </c>
      <c r="I277" s="2079">
        <v>-0.15878360783585543</v>
      </c>
      <c r="J277" s="2135">
        <v>-0.74842486849087309</v>
      </c>
      <c r="K277" s="2079">
        <v>-4.6668564368802956E-2</v>
      </c>
      <c r="L277" s="2079">
        <v>-0.19039220063554693</v>
      </c>
      <c r="M277" s="2079">
        <v>-5.7800338616231454E-2</v>
      </c>
      <c r="N277" s="2079">
        <v>-0.34253387175771599</v>
      </c>
      <c r="O277" s="2079">
        <v>-0.19340402112632293</v>
      </c>
      <c r="P277" s="2659">
        <v>-0.83112358914259621</v>
      </c>
    </row>
    <row r="278" spans="1:16">
      <c r="A278" s="329">
        <f t="shared" si="2"/>
        <v>2020.05</v>
      </c>
      <c r="B278" s="2592">
        <v>136.27471333781648</v>
      </c>
      <c r="C278" s="2662">
        <v>0.15334658950076152</v>
      </c>
      <c r="D278" s="2664">
        <v>-0.11966679950619985</v>
      </c>
      <c r="E278" s="2109">
        <v>-4.5984993121124251E-3</v>
      </c>
      <c r="F278" s="2079">
        <v>6.5581251284951403E-2</v>
      </c>
      <c r="G278" s="2079">
        <v>0.16884205210844172</v>
      </c>
      <c r="H278" s="2079">
        <v>2.9567878241814283E-2</v>
      </c>
      <c r="I278" s="2079">
        <v>0.17695660278568817</v>
      </c>
      <c r="J278" s="2135">
        <v>3.1052678731424903</v>
      </c>
      <c r="K278" s="2079">
        <v>-5.1428824346435142E-2</v>
      </c>
      <c r="L278" s="2079">
        <v>-0.12429259647886848</v>
      </c>
      <c r="M278" s="2079">
        <v>0.13150145348676245</v>
      </c>
      <c r="N278" s="2079">
        <v>-0.3061548399391596</v>
      </c>
      <c r="O278" s="2079">
        <v>-5.1449677916434844E-2</v>
      </c>
      <c r="P278" s="2659">
        <v>-0.32868424556264364</v>
      </c>
    </row>
    <row r="279" spans="1:16">
      <c r="A279" s="329">
        <f t="shared" si="2"/>
        <v>2020.06</v>
      </c>
      <c r="B279" s="2592">
        <v>140.84838731784961</v>
      </c>
      <c r="C279" s="2662">
        <v>3.3562161812773716E-2</v>
      </c>
      <c r="D279" s="2664">
        <v>-9.1116792902915744E-2</v>
      </c>
      <c r="E279" s="2109">
        <v>1.0335823672740219E-3</v>
      </c>
      <c r="F279" s="2079">
        <v>3.4393712779642982E-2</v>
      </c>
      <c r="G279" s="2079">
        <v>-6.4232711413032662E-2</v>
      </c>
      <c r="H279" s="2079">
        <v>1.8877395030344468E-2</v>
      </c>
      <c r="I279" s="2079">
        <v>3.8479414032932535E-3</v>
      </c>
      <c r="J279" s="2135">
        <v>0.67983652562167185</v>
      </c>
      <c r="K279" s="2079">
        <v>-5.0395493571807941E-2</v>
      </c>
      <c r="L279" s="2079">
        <v>-9.3104288197391027E-2</v>
      </c>
      <c r="M279" s="2079">
        <v>2.7761321212715906E-3</v>
      </c>
      <c r="N279" s="2079">
        <v>-0.32561920447575526</v>
      </c>
      <c r="O279" s="2079">
        <v>1.9802731615574665E-3</v>
      </c>
      <c r="P279" s="2659">
        <v>0.16535146164101833</v>
      </c>
    </row>
    <row r="280" spans="1:16">
      <c r="A280" s="329">
        <f t="shared" si="2"/>
        <v>2020.07</v>
      </c>
      <c r="B280" s="2592">
        <v>150.38199793978856</v>
      </c>
      <c r="C280" s="2662">
        <v>6.7687041388870384E-2</v>
      </c>
      <c r="D280" s="2664">
        <v>-2.7137664622466362E-2</v>
      </c>
      <c r="E280" s="2109">
        <v>1.1305153520575484E-3</v>
      </c>
      <c r="F280" s="2079">
        <v>1.4780831344003653E-2</v>
      </c>
      <c r="G280" s="2079">
        <v>9.2954125184423919E-2</v>
      </c>
      <c r="H280" s="2079">
        <v>0.32246051465305325</v>
      </c>
      <c r="I280" s="2079">
        <v>9.7617912232012424E-2</v>
      </c>
      <c r="J280" s="2135">
        <v>-3.0398417732439231E-2</v>
      </c>
      <c r="K280" s="2079">
        <v>-4.5971824924777686E-2</v>
      </c>
      <c r="L280" s="2079">
        <v>-0.10864730331688099</v>
      </c>
      <c r="M280" s="2079">
        <v>5.1915562586454911E-2</v>
      </c>
      <c r="N280" s="2079">
        <v>-9.5343042819637791E-3</v>
      </c>
      <c r="O280" s="2079">
        <v>0.14348642607496709</v>
      </c>
      <c r="P280" s="2659">
        <v>5.6805147483671714E-2</v>
      </c>
    </row>
    <row r="281" spans="1:16">
      <c r="A281" s="329">
        <f t="shared" si="2"/>
        <v>2020.08</v>
      </c>
      <c r="B281" s="2592">
        <v>153.47650517128292</v>
      </c>
      <c r="C281" s="2662">
        <v>2.0577644092302672E-2</v>
      </c>
      <c r="D281" s="2664">
        <v>-2.4848123948082224E-2</v>
      </c>
      <c r="E281" s="2109">
        <v>9.8277359940057707E-4</v>
      </c>
      <c r="F281" s="2079">
        <v>4.2319871477926041E-2</v>
      </c>
      <c r="G281" s="2079">
        <v>-3.3672831080400312E-2</v>
      </c>
      <c r="H281" s="2079">
        <v>-3.6620575483890083E-2</v>
      </c>
      <c r="I281" s="2079">
        <v>4.1155989414232153E-5</v>
      </c>
      <c r="J281" s="2135">
        <v>6.0102092647622785E-2</v>
      </c>
      <c r="K281" s="2079">
        <v>-4.6230552924108936E-2</v>
      </c>
      <c r="L281" s="2079">
        <v>-7.1819196554586018E-2</v>
      </c>
      <c r="M281" s="2079">
        <v>2.0813820196053934E-2</v>
      </c>
      <c r="N281" s="2079">
        <v>-7.877479062911863E-2</v>
      </c>
      <c r="O281" s="2079">
        <v>0.10086142713376578</v>
      </c>
      <c r="P281" s="2659">
        <v>9.2660069714292081E-2</v>
      </c>
    </row>
    <row r="282" spans="1:16">
      <c r="A282" s="329">
        <f t="shared" si="2"/>
        <v>2020.09</v>
      </c>
      <c r="B282" s="2592">
        <v>152.69128145763509</v>
      </c>
      <c r="C282" s="2662">
        <v>-5.1162470292863693E-3</v>
      </c>
      <c r="D282" s="2664">
        <v>-2.2441201112128217E-2</v>
      </c>
      <c r="E282" s="2109">
        <v>2.4556887775404324E-3</v>
      </c>
      <c r="F282" s="2079">
        <v>2.7161519784801191E-2</v>
      </c>
      <c r="G282" s="2079">
        <v>-4.1574343701580412E-2</v>
      </c>
      <c r="H282" s="2079">
        <v>-0.13180249436224289</v>
      </c>
      <c r="I282" s="2079">
        <v>-1.1322670225910381E-2</v>
      </c>
      <c r="J282" s="2135">
        <v>-7.4521909561986455E-2</v>
      </c>
      <c r="K282" s="2079">
        <v>-3.9861566105280577E-2</v>
      </c>
      <c r="L282" s="2079">
        <v>-1.4542161925061303E-2</v>
      </c>
      <c r="M282" s="2079">
        <v>-4.134162026953437E-2</v>
      </c>
      <c r="N282" s="2079">
        <v>-0.16143974809383299</v>
      </c>
      <c r="O282" s="2079">
        <v>6.0407032521342385E-2</v>
      </c>
      <c r="P282" s="2659">
        <v>4.0747106979298398E-2</v>
      </c>
    </row>
    <row r="283" spans="1:16">
      <c r="A283" s="329">
        <f t="shared" si="2"/>
        <v>2020.1</v>
      </c>
      <c r="B283" s="2592">
        <v>149.4529172012391</v>
      </c>
      <c r="C283" s="2662">
        <v>-2.1208573439698841E-2</v>
      </c>
      <c r="D283" s="2664">
        <v>-4.4154846802134218E-2</v>
      </c>
      <c r="E283" s="2109">
        <v>1.3444379477220991E-3</v>
      </c>
      <c r="F283" s="2079">
        <v>-3.6285014946324412E-2</v>
      </c>
      <c r="G283" s="2079">
        <v>-2.3860605203843699E-2</v>
      </c>
      <c r="H283" s="2079">
        <v>1.8713231925107099E-3</v>
      </c>
      <c r="I283" s="2079">
        <v>-7.1193547723671036E-2</v>
      </c>
      <c r="J283" s="2135">
        <v>4.4315015602535368E-2</v>
      </c>
      <c r="K283" s="2079">
        <v>-3.1597287666858986E-2</v>
      </c>
      <c r="L283" s="2079">
        <v>-7.7164723097754906E-2</v>
      </c>
      <c r="M283" s="2079">
        <v>-8.8508226624342878E-2</v>
      </c>
      <c r="N283" s="2079">
        <v>-0.17628538785261239</v>
      </c>
      <c r="O283" s="2079">
        <v>-2.1748599860549667E-2</v>
      </c>
      <c r="P283" s="2659">
        <v>0.12000545121290272</v>
      </c>
    </row>
    <row r="284" spans="1:16">
      <c r="A284" s="329">
        <f t="shared" si="2"/>
        <v>2020.11</v>
      </c>
      <c r="B284" s="2592">
        <v>151.35880868475155</v>
      </c>
      <c r="C284" s="2662">
        <v>1.2752454212360043E-2</v>
      </c>
      <c r="D284" s="2664">
        <v>-1.951647608106688E-2</v>
      </c>
      <c r="E284" s="2109">
        <v>2.4732697807012816E-3</v>
      </c>
      <c r="F284" s="2079">
        <v>3.4831867798938765E-2</v>
      </c>
      <c r="G284" s="2079">
        <v>1.9947440560426966E-2</v>
      </c>
      <c r="H284" s="2079">
        <v>-4.6871488298113606E-3</v>
      </c>
      <c r="I284" s="2079">
        <v>8.0661915242762561E-2</v>
      </c>
      <c r="J284" s="2135">
        <v>-1.1339047090197951E-2</v>
      </c>
      <c r="K284" s="2079">
        <v>-2.4890877449745608E-2</v>
      </c>
      <c r="L284" s="2079">
        <v>-2.7275377479767604E-2</v>
      </c>
      <c r="M284" s="2079">
        <v>-9.0942085332366474E-2</v>
      </c>
      <c r="N284" s="2079">
        <v>-0.11210791797337916</v>
      </c>
      <c r="O284" s="2079">
        <v>2.0622716366517135E-2</v>
      </c>
      <c r="P284" s="2659">
        <v>0.21729115608954785</v>
      </c>
    </row>
    <row r="285" spans="1:16">
      <c r="A285" s="329">
        <f t="shared" si="2"/>
        <v>2020.12</v>
      </c>
      <c r="B285" s="2592">
        <v>141.71077131450051</v>
      </c>
      <c r="C285" s="2662">
        <v>-6.3742820481270224E-2</v>
      </c>
      <c r="D285" s="2664">
        <v>-8.099145427152464E-2</v>
      </c>
      <c r="E285" s="2109">
        <v>1.1127403511148604E-3</v>
      </c>
      <c r="F285" s="2079">
        <v>-0.11779688742923877</v>
      </c>
      <c r="G285" s="2079">
        <v>-5.1475826029161557E-2</v>
      </c>
      <c r="H285" s="2079">
        <v>-8.5218518902223858E-2</v>
      </c>
      <c r="I285" s="2079">
        <v>-0.10129913484001907</v>
      </c>
      <c r="J285" s="2135">
        <v>-7.046498688779268E-2</v>
      </c>
      <c r="K285" s="2079">
        <v>-2.1298918194556204E-2</v>
      </c>
      <c r="L285" s="2079">
        <v>-0.10694976902507081</v>
      </c>
      <c r="M285" s="2079">
        <v>-0.10756851143495538</v>
      </c>
      <c r="N285" s="2079">
        <v>-0.19058038061366245</v>
      </c>
      <c r="O285" s="2079">
        <v>-7.3679326948151158E-2</v>
      </c>
      <c r="P285" s="2659">
        <v>-5.1866427795211889E-3</v>
      </c>
    </row>
    <row r="286" spans="1:16">
      <c r="A286" s="329">
        <f t="shared" si="2"/>
        <v>2021.01</v>
      </c>
      <c r="B286" s="2592">
        <v>153.70191258863798</v>
      </c>
      <c r="C286" s="2662">
        <v>8.4617006617834209E-2</v>
      </c>
      <c r="D286" s="2664">
        <v>1.5728060699295998E-2</v>
      </c>
      <c r="E286" s="2109">
        <v>8.3976023330349925E-3</v>
      </c>
      <c r="F286" s="2079">
        <v>0.13036055681816605</v>
      </c>
      <c r="G286" s="2079">
        <v>6.3222108128971444E-2</v>
      </c>
      <c r="H286" s="2079">
        <v>0.45978621432117817</v>
      </c>
      <c r="I286" s="2079">
        <v>7.8892312031162426E-2</v>
      </c>
      <c r="J286" s="2135">
        <v>-4.7043707932025169E-3</v>
      </c>
      <c r="K286" s="2079">
        <v>-9.3709932625715142E-3</v>
      </c>
      <c r="L286" s="2079">
        <v>-8.332862622652093E-3</v>
      </c>
      <c r="M286" s="2079">
        <v>-2.3387353385071474E-2</v>
      </c>
      <c r="N286" s="2079">
        <v>0.28007380504504109</v>
      </c>
      <c r="O286" s="2079">
        <v>2.196353204720447E-2</v>
      </c>
      <c r="P286" s="2659">
        <v>5.1266545775196182E-2</v>
      </c>
    </row>
    <row r="287" spans="1:16">
      <c r="A287" s="329">
        <f t="shared" si="2"/>
        <v>2021.02</v>
      </c>
      <c r="B287" s="2592">
        <v>156.55094694342938</v>
      </c>
      <c r="C287" s="2662">
        <v>1.8536102165601864E-2</v>
      </c>
      <c r="D287" s="2664">
        <v>5.2064047151140436E-2</v>
      </c>
      <c r="E287" s="2109">
        <v>4.6913444055094455E-3</v>
      </c>
      <c r="F287" s="2079">
        <v>7.338119000194876E-3</v>
      </c>
      <c r="G287" s="2079">
        <v>2.741267677879744E-2</v>
      </c>
      <c r="H287" s="2079">
        <v>2.469547098464675E-2</v>
      </c>
      <c r="I287" s="2079">
        <v>3.5057012249124497E-3</v>
      </c>
      <c r="J287" s="2135">
        <v>1.8644329277600402E-2</v>
      </c>
      <c r="K287" s="2079">
        <v>-4.5359567078939733E-3</v>
      </c>
      <c r="L287" s="2079">
        <v>3.1060983277524157E-2</v>
      </c>
      <c r="M287" s="2079">
        <v>1.3945809987503388E-3</v>
      </c>
      <c r="N287" s="2079">
        <v>0.11288398868710538</v>
      </c>
      <c r="O287" s="2079">
        <v>1.5518262472418387E-2</v>
      </c>
      <c r="P287" s="2659">
        <v>2.0587290554528126E-2</v>
      </c>
    </row>
    <row r="288" spans="1:16">
      <c r="A288" s="329">
        <f t="shared" si="2"/>
        <v>2021.03</v>
      </c>
      <c r="B288" s="2592">
        <v>161.29841694588961</v>
      </c>
      <c r="C288" s="2662">
        <v>3.032539946357371E-2</v>
      </c>
      <c r="D288" s="2664">
        <v>0.12036737686174724</v>
      </c>
      <c r="E288" s="2109">
        <v>3.0395302013901393E-3</v>
      </c>
      <c r="F288" s="2079">
        <v>7.9174988244402833E-2</v>
      </c>
      <c r="G288" s="2079">
        <v>4.4621009688028179E-2</v>
      </c>
      <c r="H288" s="2079">
        <v>-3.0117486256491466E-2</v>
      </c>
      <c r="I288" s="2079">
        <v>3.6221788355297324E-2</v>
      </c>
      <c r="J288" s="2135">
        <v>2.1518638132298484E-3</v>
      </c>
      <c r="K288" s="2079">
        <v>2.3761481555206743E-3</v>
      </c>
      <c r="L288" s="2079">
        <v>0.12447845355348264</v>
      </c>
      <c r="M288" s="2079">
        <v>0.1379555490320461</v>
      </c>
      <c r="N288" s="2079">
        <v>0.25747980266720805</v>
      </c>
      <c r="O288" s="2079">
        <v>9.154246660901745E-2</v>
      </c>
      <c r="P288" s="2659">
        <v>0.60929715389097971</v>
      </c>
    </row>
    <row r="289" spans="1:16">
      <c r="A289" s="329">
        <f t="shared" si="2"/>
        <v>2021.04</v>
      </c>
      <c r="B289" s="2592">
        <v>159.44178807587099</v>
      </c>
      <c r="C289" s="2662">
        <v>-1.1510521337859569E-2</v>
      </c>
      <c r="D289" s="2664">
        <v>0.34941867054493914</v>
      </c>
      <c r="E289" s="2109">
        <v>4.5873125007513949E-3</v>
      </c>
      <c r="F289" s="2079">
        <v>-5.7708677722419728E-2</v>
      </c>
      <c r="G289" s="2079">
        <v>5.3589427614108898E-2</v>
      </c>
      <c r="H289" s="2079">
        <v>1.3320702422296327E-2</v>
      </c>
      <c r="I289" s="2079">
        <v>-8.4070497344281847E-3</v>
      </c>
      <c r="J289" s="2135">
        <v>-7.5834604430721986E-2</v>
      </c>
      <c r="K289" s="2079">
        <v>2.6925430181361731E-2</v>
      </c>
      <c r="L289" s="2079">
        <v>0.21994647008118798</v>
      </c>
      <c r="M289" s="2079">
        <v>0.25702917512777756</v>
      </c>
      <c r="N289" s="2079">
        <v>0.55601782213167361</v>
      </c>
      <c r="O289" s="2079">
        <v>0.28666752679469365</v>
      </c>
      <c r="P289" s="2659">
        <v>4.9117796417020418</v>
      </c>
    </row>
    <row r="290" spans="1:16">
      <c r="A290" s="329">
        <f t="shared" si="2"/>
        <v>2021.05</v>
      </c>
      <c r="B290" s="2592">
        <v>152.88540549548784</v>
      </c>
      <c r="C290" s="2662">
        <v>-4.1120854573352246E-2</v>
      </c>
      <c r="D290" s="2664">
        <v>0.12189122802624809</v>
      </c>
      <c r="E290" s="2109">
        <v>5.3082984839791791E-4</v>
      </c>
      <c r="F290" s="2079">
        <v>-5.1405126072418206E-2</v>
      </c>
      <c r="G290" s="2079">
        <v>-2.2441855240691311E-3</v>
      </c>
      <c r="H290" s="2079">
        <v>-3.6861130746698056E-2</v>
      </c>
      <c r="I290" s="2079">
        <v>1.0489246181809575E-2</v>
      </c>
      <c r="J290" s="2135">
        <v>-0.24553809953078332</v>
      </c>
      <c r="K290" s="2079">
        <v>3.2217202949494483E-2</v>
      </c>
      <c r="L290" s="2079">
        <v>8.6012884132100856E-2</v>
      </c>
      <c r="M290" s="2079">
        <v>7.3034775046972422E-2</v>
      </c>
      <c r="N290" s="2079">
        <v>0.45562160341010127</v>
      </c>
      <c r="O290" s="2079">
        <v>0.10468278623024997</v>
      </c>
      <c r="P290" s="2659">
        <v>8.6460772222289872E-2</v>
      </c>
    </row>
    <row r="291" spans="1:16">
      <c r="A291" s="329">
        <f t="shared" si="2"/>
        <v>2021.06</v>
      </c>
      <c r="B291" s="2592">
        <v>156.69144991881419</v>
      </c>
      <c r="C291" s="2662">
        <v>2.4894753106035727E-2</v>
      </c>
      <c r="D291" s="2664">
        <v>0.1124830954948164</v>
      </c>
      <c r="E291" s="2109">
        <v>-3.2000330915593622E-4</v>
      </c>
      <c r="F291" s="2079">
        <v>2.5416174829201665E-2</v>
      </c>
      <c r="G291" s="2079">
        <v>-3.7568557766716415E-2</v>
      </c>
      <c r="H291" s="2079">
        <v>8.7391372680243329E-3</v>
      </c>
      <c r="I291" s="2079">
        <v>-6.2474212890004654E-3</v>
      </c>
      <c r="J291" s="2135">
        <v>0.45739876649148092</v>
      </c>
      <c r="K291" s="2079">
        <v>3.0821451153063339E-2</v>
      </c>
      <c r="L291" s="2079">
        <v>7.6587341651023211E-2</v>
      </c>
      <c r="M291" s="2079">
        <v>0.10361028720544606</v>
      </c>
      <c r="N291" s="2079">
        <v>0.44113755744759975</v>
      </c>
      <c r="O291" s="2079">
        <v>9.3573361259633447E-2</v>
      </c>
      <c r="P291" s="2659">
        <v>-5.7404357431648512E-2</v>
      </c>
    </row>
    <row r="292" spans="1:16">
      <c r="A292" s="329">
        <f t="shared" si="2"/>
        <v>2021.07</v>
      </c>
      <c r="B292" s="2592">
        <v>156.19955496596262</v>
      </c>
      <c r="C292" s="2662">
        <v>-3.1392584158639325E-3</v>
      </c>
      <c r="D292" s="2664">
        <v>3.8685195740671974E-2</v>
      </c>
      <c r="E292" s="2109">
        <v>2.2610223085621772E-3</v>
      </c>
      <c r="F292" s="2079">
        <v>3.5412591664846671E-2</v>
      </c>
      <c r="G292" s="2079">
        <v>3.6478267717604318E-2</v>
      </c>
      <c r="H292" s="2079">
        <v>7.5807575154672513E-2</v>
      </c>
      <c r="I292" s="2079">
        <v>-4.2984684207869946E-2</v>
      </c>
      <c r="J292" s="2135">
        <v>-0.10772727876292443</v>
      </c>
      <c r="K292" s="2079">
        <v>3.1985486015223996E-2</v>
      </c>
      <c r="L292" s="2079">
        <v>9.8475705434934321E-2</v>
      </c>
      <c r="M292" s="2079">
        <v>4.6583797398644933E-2</v>
      </c>
      <c r="N292" s="2079">
        <v>0.17235008831153878</v>
      </c>
      <c r="O292" s="2079">
        <v>-4.6511136521496625E-2</v>
      </c>
      <c r="P292" s="2659">
        <v>-0.13257940745750019</v>
      </c>
    </row>
    <row r="293" spans="1:16">
      <c r="A293" s="329">
        <f t="shared" si="2"/>
        <v>2021.08</v>
      </c>
      <c r="B293" s="2592">
        <v>157.32221609490352</v>
      </c>
      <c r="C293" s="2662">
        <v>7.1873516488927258E-3</v>
      </c>
      <c r="D293" s="2664">
        <v>2.5057326652888623E-2</v>
      </c>
      <c r="E293" s="2109">
        <v>2.889968818143851E-3</v>
      </c>
      <c r="F293" s="2079">
        <v>-3.2132199084883073E-2</v>
      </c>
      <c r="G293" s="2079">
        <v>-3.2711495492824483E-2</v>
      </c>
      <c r="H293" s="2079">
        <v>-4.4133587280281716E-6</v>
      </c>
      <c r="I293" s="2079">
        <v>3.8059956206223156E-2</v>
      </c>
      <c r="J293" s="2135">
        <v>1.9341759061458852E-2</v>
      </c>
      <c r="K293" s="2079">
        <v>3.3951751406249064E-2</v>
      </c>
      <c r="L293" s="2079">
        <v>2.0012468792798277E-2</v>
      </c>
      <c r="M293" s="2079">
        <v>4.7624975047561247E-2</v>
      </c>
      <c r="N293" s="2079">
        <v>0.21690881544298524</v>
      </c>
      <c r="O293" s="2079">
        <v>-1.0262125775857611E-2</v>
      </c>
      <c r="P293" s="2659">
        <v>-0.16593124494254585</v>
      </c>
    </row>
    <row r="294" spans="1:16">
      <c r="A294" s="329">
        <f t="shared" si="2"/>
        <v>2021.09</v>
      </c>
      <c r="B294" s="2592">
        <v>158.816760201823</v>
      </c>
      <c r="C294" s="2662">
        <v>9.4998922848754663E-3</v>
      </c>
      <c r="D294" s="2664">
        <v>4.0116755100306545E-2</v>
      </c>
      <c r="E294" s="2109">
        <v>3.277076926797573E-3</v>
      </c>
      <c r="F294" s="2079">
        <v>1.7013205055934844E-2</v>
      </c>
      <c r="G294" s="2079">
        <v>4.0931108409547168E-2</v>
      </c>
      <c r="H294" s="2079">
        <v>-9.5500004994153453E-3</v>
      </c>
      <c r="I294" s="2079">
        <v>5.3292507354816276E-3</v>
      </c>
      <c r="J294" s="2135">
        <v>7.9949440384934345E-2</v>
      </c>
      <c r="K294" s="2079">
        <v>3.4798946673846753E-2</v>
      </c>
      <c r="L294" s="2079">
        <v>9.9347864017700349E-3</v>
      </c>
      <c r="M294" s="2079">
        <v>0.13780909276309861</v>
      </c>
      <c r="N294" s="2079">
        <v>0.38826399272177881</v>
      </c>
      <c r="O294" s="2079">
        <v>6.4076575374125699E-3</v>
      </c>
      <c r="P294" s="2659">
        <v>-2.6717007594911912E-2</v>
      </c>
    </row>
    <row r="295" spans="1:16">
      <c r="A295" s="329">
        <f t="shared" si="2"/>
        <v>2021.1</v>
      </c>
      <c r="B295" s="2592">
        <v>158.11790432536117</v>
      </c>
      <c r="C295" s="2662">
        <v>-4.4003912154720881E-3</v>
      </c>
      <c r="D295" s="2664">
        <v>5.7978039414611215E-2</v>
      </c>
      <c r="E295" s="2109">
        <v>2.945246010302105E-3</v>
      </c>
      <c r="F295" s="2079">
        <v>1.7185357327008433E-2</v>
      </c>
      <c r="G295" s="2079">
        <v>-6.8856826361922696E-3</v>
      </c>
      <c r="H295" s="2079">
        <v>-0.20126371803492416</v>
      </c>
      <c r="I295" s="2079">
        <v>1.800680439473501E-2</v>
      </c>
      <c r="J295" s="2135">
        <v>-2.8025409424519032E-2</v>
      </c>
      <c r="K295" s="2079">
        <v>3.6453237080033007E-2</v>
      </c>
      <c r="L295" s="2079">
        <v>6.5969599430731884E-2</v>
      </c>
      <c r="M295" s="2079">
        <v>0.15759542794164827</v>
      </c>
      <c r="N295" s="2079">
        <v>0.1067856662461999</v>
      </c>
      <c r="O295" s="2079">
        <v>0.10306064396637549</v>
      </c>
      <c r="P295" s="2659">
        <v>-9.4136995137238277E-2</v>
      </c>
    </row>
    <row r="296" spans="1:16">
      <c r="A296" s="329">
        <f t="shared" si="2"/>
        <v>2021.11</v>
      </c>
      <c r="B296" s="2592">
        <v>159.89029100683126</v>
      </c>
      <c r="C296" s="2662">
        <v>1.120927253009274E-2</v>
      </c>
      <c r="D296" s="2664">
        <v>5.6365945241079407E-2</v>
      </c>
      <c r="E296" s="2109">
        <v>5.310603228126487E-3</v>
      </c>
      <c r="F296" s="2079">
        <v>-1.9241702094623614E-2</v>
      </c>
      <c r="G296" s="2079">
        <v>-3.5653314834214189E-2</v>
      </c>
      <c r="H296" s="2079">
        <v>5.9584751936997415E-2</v>
      </c>
      <c r="I296" s="2079">
        <v>3.7049224998215502E-2</v>
      </c>
      <c r="J296" s="2135">
        <v>2.1747348489089324E-2</v>
      </c>
      <c r="K296" s="2079">
        <v>3.9386745159408099E-2</v>
      </c>
      <c r="L296" s="2079">
        <v>1.0268974592195779E-2</v>
      </c>
      <c r="M296" s="2079">
        <v>9.4491019150178435E-2</v>
      </c>
      <c r="N296" s="2079">
        <v>0.17825587626857461</v>
      </c>
      <c r="O296" s="2079">
        <v>5.8543999576766481E-2</v>
      </c>
      <c r="P296" s="2659">
        <v>-6.3821504643435278E-2</v>
      </c>
    </row>
    <row r="297" spans="1:16">
      <c r="A297" s="329">
        <f t="shared" si="2"/>
        <v>2021.12</v>
      </c>
      <c r="B297" s="2592">
        <v>164.41631759609086</v>
      </c>
      <c r="C297" s="2662">
        <v>2.8307075812791016E-2</v>
      </c>
      <c r="D297" s="2664">
        <v>0.16022456212026159</v>
      </c>
      <c r="E297" s="2109">
        <v>3.4598587754695043E-3</v>
      </c>
      <c r="F297" s="2079">
        <v>4.8865776817091255E-2</v>
      </c>
      <c r="G297" s="2079">
        <v>5.777033763279249E-2</v>
      </c>
      <c r="H297" s="2079">
        <v>0.11728956635394215</v>
      </c>
      <c r="I297" s="2079">
        <v>2.8834335146080914E-2</v>
      </c>
      <c r="J297" s="2135">
        <v>2.5293586188183115E-2</v>
      </c>
      <c r="K297" s="2079">
        <v>4.1823597355233666E-2</v>
      </c>
      <c r="L297" s="2079">
        <v>0.20112538454103035</v>
      </c>
      <c r="M297" s="2079">
        <v>0.22054889757415541</v>
      </c>
      <c r="N297" s="2079">
        <v>0.43909012616903986</v>
      </c>
      <c r="O297" s="2079">
        <v>0.21182303728345395</v>
      </c>
      <c r="P297" s="2659">
        <v>3.2621464793087807E-2</v>
      </c>
    </row>
    <row r="298" spans="1:16">
      <c r="A298" s="329">
        <f t="shared" si="2"/>
        <v>2022.01</v>
      </c>
      <c r="B298" s="2592">
        <v>162.17355939951921</v>
      </c>
      <c r="C298" s="2662">
        <v>-1.3640727571099576E-2</v>
      </c>
      <c r="D298" s="2664">
        <v>5.5117380572578867E-2</v>
      </c>
      <c r="E298" s="2109">
        <v>4.5000288496055418E-3</v>
      </c>
      <c r="F298" s="2079">
        <v>-8.0926300947076202E-3</v>
      </c>
      <c r="G298" s="2079">
        <v>8.710682443765716E-3</v>
      </c>
      <c r="H298" s="2079">
        <v>-7.4062096137958666E-2</v>
      </c>
      <c r="I298" s="2079">
        <v>-5.2053184140504749E-3</v>
      </c>
      <c r="J298" s="2135">
        <v>-0.14308991075245581</v>
      </c>
      <c r="K298" s="2079">
        <v>3.7796828531043714E-2</v>
      </c>
      <c r="L298" s="2079">
        <v>5.4004506721504697E-2</v>
      </c>
      <c r="M298" s="2079">
        <v>0.15797132322108087</v>
      </c>
      <c r="N298" s="2079">
        <v>-8.718956116929967E-2</v>
      </c>
      <c r="O298" s="2079">
        <v>0.11736370634003744</v>
      </c>
      <c r="P298" s="2659">
        <v>-0.11095384568304766</v>
      </c>
    </row>
    <row r="299" spans="1:16">
      <c r="A299" s="329">
        <f t="shared" si="2"/>
        <v>2022.02</v>
      </c>
      <c r="B299" s="2592">
        <v>163.95899748470509</v>
      </c>
      <c r="C299" s="2662">
        <v>1.1009427750102052E-2</v>
      </c>
      <c r="D299" s="2665">
        <v>4.7320381549353696E-2</v>
      </c>
      <c r="E299" s="2109">
        <v>3.0522868435098882E-3</v>
      </c>
      <c r="F299" s="2079">
        <v>9.086990380624993E-3</v>
      </c>
      <c r="G299" s="2079">
        <v>-4.255551075254993E-3</v>
      </c>
      <c r="H299" s="2079">
        <v>-4.3483801215784545E-3</v>
      </c>
      <c r="I299" s="2079">
        <v>-1.512984121265859E-2</v>
      </c>
      <c r="J299" s="2135">
        <v>0.11540168600870902</v>
      </c>
      <c r="K299" s="2079">
        <v>3.6103762547052831E-2</v>
      </c>
      <c r="L299" s="2079">
        <v>5.5834397084910226E-2</v>
      </c>
      <c r="M299" s="2079">
        <v>0.12227884974762082</v>
      </c>
      <c r="N299" s="2079">
        <v>-0.11306215573452348</v>
      </c>
      <c r="O299" s="2079">
        <v>9.6613770647310915E-2</v>
      </c>
      <c r="P299" s="2659">
        <v>-2.6506552912400005E-2</v>
      </c>
    </row>
    <row r="300" spans="1:16">
      <c r="A300" s="329">
        <f t="shared" si="2"/>
        <v>2022.03</v>
      </c>
      <c r="B300" s="2592">
        <v>162.98689026181361</v>
      </c>
      <c r="C300" s="2662">
        <v>-5.9289653986946966E-3</v>
      </c>
      <c r="D300" s="2665">
        <v>1.0468009221010766E-2</v>
      </c>
      <c r="E300" s="2109">
        <v>3.3452805830731513E-3</v>
      </c>
      <c r="F300" s="2079">
        <v>-7.7088587008034004E-4</v>
      </c>
      <c r="G300" s="2079">
        <v>-6.2290365528821168E-2</v>
      </c>
      <c r="H300" s="2079">
        <v>3.6194159809777027E-3</v>
      </c>
      <c r="I300" s="2079">
        <v>5.1702707882108623E-3</v>
      </c>
      <c r="J300" s="2135">
        <v>-6.4976199396012513E-2</v>
      </c>
      <c r="K300" s="2079">
        <v>3.6419591695679099E-2</v>
      </c>
      <c r="L300" s="2079">
        <v>-2.2382393254540278E-2</v>
      </c>
      <c r="M300" s="2079">
        <v>7.4196098026624302E-3</v>
      </c>
      <c r="N300" s="2079">
        <v>-8.2210444399712035E-2</v>
      </c>
      <c r="O300" s="2079">
        <v>6.3752541375524441E-2</v>
      </c>
      <c r="P300" s="2659">
        <v>-9.1714962944413503E-2</v>
      </c>
    </row>
    <row r="301" spans="1:16">
      <c r="A301" s="329">
        <f t="shared" si="2"/>
        <v>2022.04</v>
      </c>
      <c r="B301" s="2592">
        <v>166.6346560387565</v>
      </c>
      <c r="C301" s="2662">
        <v>2.238073118079198E-2</v>
      </c>
      <c r="D301" s="2665">
        <v>4.5112815465057077E-2</v>
      </c>
      <c r="E301" s="2109">
        <v>3.5489895086426859E-3</v>
      </c>
      <c r="F301" s="2079">
        <v>1.0000977301528602E-2</v>
      </c>
      <c r="G301" s="2079">
        <v>0.11131221717901019</v>
      </c>
      <c r="H301" s="2079">
        <v>3.8240904279479793E-2</v>
      </c>
      <c r="I301" s="2079">
        <v>4.0366858596518895E-2</v>
      </c>
      <c r="J301" s="2135">
        <v>3.9699161832187579E-2</v>
      </c>
      <c r="K301" s="2079">
        <v>3.5348367444547835E-2</v>
      </c>
      <c r="L301" s="2079">
        <v>4.7865681128738125E-2</v>
      </c>
      <c r="M301" s="2079">
        <v>6.26129029547009E-2</v>
      </c>
      <c r="N301" s="2079">
        <v>-5.9639602875108173E-2</v>
      </c>
      <c r="O301" s="2079">
        <v>0.11607579450672745</v>
      </c>
      <c r="P301" s="2659">
        <v>2.1833533541583572E-2</v>
      </c>
    </row>
    <row r="302" spans="1:16">
      <c r="A302" s="329">
        <f t="shared" si="2"/>
        <v>2022.05</v>
      </c>
      <c r="B302" s="2592">
        <v>167.11337085025815</v>
      </c>
      <c r="C302" s="2680">
        <v>2.8728406376059556E-3</v>
      </c>
      <c r="D302" s="2665">
        <v>9.3062940237223835E-2</v>
      </c>
      <c r="E302" s="2109">
        <v>3.2297311178099974E-3</v>
      </c>
      <c r="F302" s="2079">
        <v>2.0194208796835644E-2</v>
      </c>
      <c r="G302" s="2079">
        <v>-4.2767406256290726E-2</v>
      </c>
      <c r="H302" s="2079">
        <v>-8.1619661633810514E-3</v>
      </c>
      <c r="I302" s="2079">
        <v>-9.6160154989201052E-3</v>
      </c>
      <c r="J302" s="2135">
        <v>4.8966324104080527E-3</v>
      </c>
      <c r="K302" s="2079">
        <v>3.8141187955239575E-2</v>
      </c>
      <c r="L302" s="2079">
        <v>0.12695791308493032</v>
      </c>
      <c r="M302" s="2079">
        <v>1.9455552634515039E-2</v>
      </c>
      <c r="N302" s="2079">
        <v>-3.1619180622143417E-2</v>
      </c>
      <c r="O302" s="2079">
        <v>9.3869723547661751E-2</v>
      </c>
      <c r="P302" s="2659">
        <v>0.36101912648120771</v>
      </c>
    </row>
    <row r="303" spans="1:16">
      <c r="A303" s="329">
        <f t="shared" si="2"/>
        <v>2022.06</v>
      </c>
      <c r="B303" s="2592">
        <v>167.66856822286567</v>
      </c>
      <c r="C303" s="2680">
        <v>3.3222797779897117E-3</v>
      </c>
      <c r="D303" s="2665">
        <v>7.0055630410842618E-2</v>
      </c>
      <c r="E303" s="2109">
        <v>3.8166635937966209E-3</v>
      </c>
      <c r="F303" s="2079">
        <v>-2.108449271050139E-3</v>
      </c>
      <c r="G303" s="2079">
        <v>1.4699269480490607E-2</v>
      </c>
      <c r="H303" s="2079">
        <v>0.11608279069264139</v>
      </c>
      <c r="I303" s="2079">
        <v>6.6603433343637164E-3</v>
      </c>
      <c r="J303" s="2135">
        <v>6.3946961156129412E-3</v>
      </c>
      <c r="K303" s="2079">
        <v>4.2437006924331611E-2</v>
      </c>
      <c r="L303" s="2079">
        <v>9.6707665725965342E-2</v>
      </c>
      <c r="M303" s="2079">
        <v>7.4820251222979417E-2</v>
      </c>
      <c r="N303" s="2079">
        <v>7.1429795290371301E-2</v>
      </c>
      <c r="O303" s="2079">
        <v>0.10807790093774416</v>
      </c>
      <c r="P303" s="2659">
        <v>-6.0159469257655133E-2</v>
      </c>
    </row>
    <row r="304" spans="1:16">
      <c r="A304" s="329">
        <f t="shared" si="2"/>
        <v>2022.07</v>
      </c>
      <c r="B304" s="2592">
        <v>165.12437012446128</v>
      </c>
      <c r="C304" s="2680">
        <v>-1.5173971635653483E-2</v>
      </c>
      <c r="D304" s="2665">
        <v>5.7137263678142203E-2</v>
      </c>
      <c r="E304" s="2109">
        <v>4.9629845214824719E-3</v>
      </c>
      <c r="F304" s="2079">
        <v>-3.2965188631930653E-2</v>
      </c>
      <c r="G304" s="2079">
        <v>-4.1501309636983175E-2</v>
      </c>
      <c r="H304" s="2079">
        <v>-0.11202894265307606</v>
      </c>
      <c r="I304" s="2079">
        <v>8.2392852721979715E-3</v>
      </c>
      <c r="J304" s="2135">
        <v>-2.7741880601719449E-2</v>
      </c>
      <c r="K304" s="2079">
        <v>4.5247278240252431E-2</v>
      </c>
      <c r="L304" s="2079">
        <v>2.428201007866071E-2</v>
      </c>
      <c r="M304" s="2079">
        <v>-6.0439902502967824E-3</v>
      </c>
      <c r="N304" s="2079">
        <v>-0.11564236005662687</v>
      </c>
      <c r="O304" s="2079">
        <v>0.16738745183264458</v>
      </c>
      <c r="P304" s="2659">
        <v>2.4090017777252282E-2</v>
      </c>
    </row>
    <row r="305" spans="1:16">
      <c r="A305" s="329">
        <f t="shared" si="2"/>
        <v>2022.08</v>
      </c>
      <c r="B305" s="2592">
        <v>158.05771904098964</v>
      </c>
      <c r="C305" s="2680">
        <v>-4.2795930595497245E-2</v>
      </c>
      <c r="D305" s="2665">
        <v>4.6751372078461806E-3</v>
      </c>
      <c r="E305" s="2109">
        <v>-1.7708458183277598E-3</v>
      </c>
      <c r="F305" s="2079">
        <v>-2.6785162066891521E-2</v>
      </c>
      <c r="G305" s="2079">
        <v>-2.7969546358082353E-2</v>
      </c>
      <c r="H305" s="2079">
        <v>-0.11703300617181277</v>
      </c>
      <c r="I305" s="2079">
        <v>-6.7923527962960195E-2</v>
      </c>
      <c r="J305" s="2135">
        <v>-9.0493605623399698E-2</v>
      </c>
      <c r="K305" s="2079">
        <v>4.0389612928378504E-2</v>
      </c>
      <c r="L305" s="2079">
        <v>2.9940710388325797E-2</v>
      </c>
      <c r="M305" s="2079">
        <v>-1.1713087096372199E-3</v>
      </c>
      <c r="N305" s="2079">
        <v>-0.21913794696585231</v>
      </c>
      <c r="O305" s="2079">
        <v>4.8199934020302315E-2</v>
      </c>
      <c r="P305" s="2659">
        <v>-8.6256977793941592E-2</v>
      </c>
    </row>
    <row r="306" spans="1:16">
      <c r="A306" s="329">
        <f t="shared" si="2"/>
        <v>2022.09</v>
      </c>
      <c r="B306" s="2592">
        <v>160.07065543039215</v>
      </c>
      <c r="C306" s="2680">
        <v>1.2735451337751336E-2</v>
      </c>
      <c r="D306" s="2665">
        <v>7.8952323859000639E-3</v>
      </c>
      <c r="E306" s="2109">
        <v>2.4083233144736038E-3</v>
      </c>
      <c r="F306" s="2079">
        <v>3.2635321243252635E-2</v>
      </c>
      <c r="G306" s="2079">
        <v>9.1844077787177625E-3</v>
      </c>
      <c r="H306" s="2079">
        <v>2.2867010199045801E-4</v>
      </c>
      <c r="I306" s="2079">
        <v>1.569892100259529E-2</v>
      </c>
      <c r="J306" s="2135">
        <v>-9.6126243249838872E-5</v>
      </c>
      <c r="K306" s="2079">
        <v>3.9488722979587498E-2</v>
      </c>
      <c r="L306" s="2079">
        <v>4.5761403142113855E-2</v>
      </c>
      <c r="M306" s="2079">
        <v>-3.1633954304241096E-2</v>
      </c>
      <c r="N306" s="2079">
        <v>-0.21142852922077826</v>
      </c>
      <c r="O306" s="2079">
        <v>5.9011802551779846E-2</v>
      </c>
      <c r="P306" s="2659">
        <v>-0.15398336870624507</v>
      </c>
    </row>
    <row r="307" spans="1:16">
      <c r="A307" s="329">
        <f t="shared" si="2"/>
        <v>2022.1</v>
      </c>
      <c r="B307" s="2592">
        <v>161.39172276934403</v>
      </c>
      <c r="C307" s="2680">
        <v>8.2530263613891375E-3</v>
      </c>
      <c r="D307" s="2665">
        <v>2.0704919268638156E-2</v>
      </c>
      <c r="E307" s="2109">
        <v>3.7812757791357843E-3</v>
      </c>
      <c r="F307" s="2079">
        <v>-3.8259823992703446E-4</v>
      </c>
      <c r="G307" s="2079">
        <v>-2.2323609260361921E-2</v>
      </c>
      <c r="H307" s="2079">
        <v>3.1173985824115125E-2</v>
      </c>
      <c r="I307" s="2079">
        <v>1.773097401884427E-2</v>
      </c>
      <c r="J307" s="2135">
        <v>-2.6991467182049589E-2</v>
      </c>
      <c r="K307" s="2079">
        <v>4.0355214465772615E-2</v>
      </c>
      <c r="L307" s="2079">
        <v>2.7699906550878284E-2</v>
      </c>
      <c r="M307" s="2079">
        <v>-4.6687169928472209E-2</v>
      </c>
      <c r="N307" s="2079">
        <v>1.8051145279199154E-2</v>
      </c>
      <c r="O307" s="2079">
        <v>5.8724861813948204E-2</v>
      </c>
      <c r="P307" s="2659">
        <v>-0.15308341479653598</v>
      </c>
    </row>
    <row r="308" spans="1:16">
      <c r="A308" s="329">
        <f t="shared" si="2"/>
        <v>2022.11</v>
      </c>
      <c r="B308" s="2592">
        <v>164.56615704657506</v>
      </c>
      <c r="C308" s="2680">
        <v>1.9669126909115597E-2</v>
      </c>
      <c r="D308" s="2665">
        <v>2.9244214957017123E-2</v>
      </c>
      <c r="E308" s="2109">
        <v>3.7192053900585442E-3</v>
      </c>
      <c r="F308" s="2079">
        <v>2.8336131012858035E-2</v>
      </c>
      <c r="G308" s="2079">
        <v>1.8931504795124843E-2</v>
      </c>
      <c r="H308" s="2079">
        <v>0.12632984034544359</v>
      </c>
      <c r="I308" s="2079">
        <v>-3.51034270999383E-2</v>
      </c>
      <c r="J308" s="2135">
        <v>3.0684220235535076E-2</v>
      </c>
      <c r="K308" s="2079">
        <v>3.8708341316511907E-2</v>
      </c>
      <c r="L308" s="2079">
        <v>7.7554936829877352E-2</v>
      </c>
      <c r="M308" s="2079">
        <v>7.2731014969884544E-3</v>
      </c>
      <c r="N308" s="2079">
        <v>8.2179959488504206E-2</v>
      </c>
      <c r="O308" s="2079">
        <v>-1.4935871718020133E-2</v>
      </c>
      <c r="P308" s="2659">
        <v>-0.14567572745279744</v>
      </c>
    </row>
    <row r="309" spans="1:16">
      <c r="A309" s="329">
        <f t="shared" si="2"/>
        <v>2022.12</v>
      </c>
      <c r="B309" s="2592">
        <v>162.98653002845427</v>
      </c>
      <c r="C309" s="2680">
        <v>-9.5987355266109464E-3</v>
      </c>
      <c r="D309" s="2665">
        <v>-8.6961415298756339E-3</v>
      </c>
      <c r="E309" s="2109">
        <v>-9.4248618551884267E-4</v>
      </c>
      <c r="F309" s="2079">
        <v>2.4391463085606357E-2</v>
      </c>
      <c r="G309" s="2079">
        <v>-6.224118635566156E-3</v>
      </c>
      <c r="H309" s="2079">
        <v>3.5962061294908976E-2</v>
      </c>
      <c r="I309" s="2079">
        <v>-1.7242294820414283E-3</v>
      </c>
      <c r="J309" s="2135">
        <v>-3.6092662428756972E-2</v>
      </c>
      <c r="K309" s="2079">
        <v>3.4151355411852435E-2</v>
      </c>
      <c r="L309" s="2079">
        <v>5.2411188058785863E-2</v>
      </c>
      <c r="M309" s="2079">
        <v>-5.366630297553554E-2</v>
      </c>
      <c r="N309" s="2079">
        <v>3.4080826354048188E-3</v>
      </c>
      <c r="O309" s="2079">
        <v>-4.4194368250093936E-2</v>
      </c>
      <c r="P309" s="2659">
        <v>-0.19682572283026156</v>
      </c>
    </row>
    <row r="310" spans="1:16">
      <c r="A310" s="329">
        <f t="shared" si="2"/>
        <v>2023.01</v>
      </c>
      <c r="B310" s="2592">
        <v>162.4645231404381</v>
      </c>
      <c r="C310" s="2680">
        <v>-3.2027609148131964E-3</v>
      </c>
      <c r="D310" s="2665">
        <v>1.7941503041325468E-3</v>
      </c>
      <c r="E310" s="2109">
        <v>1.8391283494774147E-3</v>
      </c>
      <c r="F310" s="2079">
        <v>-5.7628503742756187E-2</v>
      </c>
      <c r="G310" s="2079">
        <v>-1.6837670606288824E-2</v>
      </c>
      <c r="H310" s="2079">
        <v>-0.13317507106845194</v>
      </c>
      <c r="I310" s="2079">
        <v>4.112389816568407E-2</v>
      </c>
      <c r="J310" s="2135">
        <v>0.12250472874058271</v>
      </c>
      <c r="K310" s="2079">
        <v>3.141190914028269E-2</v>
      </c>
      <c r="L310" s="2079">
        <v>-1.4624746309177539E-4</v>
      </c>
      <c r="M310" s="2079">
        <v>-7.7634788504181929E-2</v>
      </c>
      <c r="N310" s="2079">
        <v>-6.0650680470072826E-2</v>
      </c>
      <c r="O310" s="2079">
        <v>3.1906446234808428E-4</v>
      </c>
      <c r="P310" s="2659">
        <v>5.2113792845524864E-2</v>
      </c>
    </row>
    <row r="311" spans="1:16">
      <c r="A311" s="329">
        <f t="shared" si="2"/>
        <v>2023.02</v>
      </c>
      <c r="B311" s="2592">
        <v>157.62615331059342</v>
      </c>
      <c r="C311" s="2680">
        <v>-2.9781085349090519E-2</v>
      </c>
      <c r="D311" s="2665">
        <v>-3.8624560233130434E-2</v>
      </c>
      <c r="E311" s="2087">
        <v>2.3262093606866152E-3</v>
      </c>
      <c r="F311" s="2079">
        <v>-3.4813320213826882E-2</v>
      </c>
      <c r="G311" s="2079">
        <v>-4.1281026506375218E-2</v>
      </c>
      <c r="H311" s="2079">
        <v>-7.3124842997123185E-2</v>
      </c>
      <c r="I311" s="2079">
        <v>-6.5241243407708094E-2</v>
      </c>
      <c r="J311" s="1015">
        <v>-6.1709038531907352E-2</v>
      </c>
      <c r="K311" s="2101">
        <v>3.0665303033537095E-2</v>
      </c>
      <c r="L311" s="2079">
        <v>-4.3644866218291334E-2</v>
      </c>
      <c r="M311" s="2079">
        <v>-0.11193175145851864</v>
      </c>
      <c r="N311" s="2079">
        <v>-0.12553795862235173</v>
      </c>
      <c r="O311" s="2145">
        <v>-5.0578397010511915E-2</v>
      </c>
      <c r="P311" s="2659">
        <v>-0.11494766894662811</v>
      </c>
    </row>
    <row r="312" spans="1:16">
      <c r="A312" s="329">
        <f t="shared" si="2"/>
        <v>2023.03</v>
      </c>
      <c r="B312" s="2592">
        <v>165.62830099149429</v>
      </c>
      <c r="C312" s="2680">
        <v>5.0766624147282835E-2</v>
      </c>
      <c r="D312" s="2665">
        <v>1.6206277237621025E-2</v>
      </c>
      <c r="E312" s="2087">
        <v>3.5406490190967865E-3</v>
      </c>
      <c r="F312" s="2079">
        <v>0.16570339901535783</v>
      </c>
      <c r="G312" s="2079">
        <v>-3.5682989217665773E-3</v>
      </c>
      <c r="H312" s="2079">
        <v>2.4306487667509646E-2</v>
      </c>
      <c r="I312" s="2079">
        <v>5.1623822931385233E-2</v>
      </c>
      <c r="J312" s="1015">
        <v>6.6661970920030234E-2</v>
      </c>
      <c r="K312" s="2101">
        <v>3.0865991143816052E-2</v>
      </c>
      <c r="L312" s="2079">
        <v>0.11568649707115641</v>
      </c>
      <c r="M312" s="2079">
        <v>-5.6318370806977436E-2</v>
      </c>
      <c r="N312" s="2079">
        <v>-0.10751313900539718</v>
      </c>
      <c r="O312" s="2145">
        <v>-6.7012478129495623E-3</v>
      </c>
      <c r="P312" s="2659">
        <v>9.6552228926554129E-3</v>
      </c>
    </row>
    <row r="313" spans="1:16">
      <c r="A313" s="329">
        <f t="shared" si="2"/>
        <v>2023.04</v>
      </c>
      <c r="B313" s="2592">
        <v>155.67508578622815</v>
      </c>
      <c r="C313" s="2680">
        <v>-6.0093686560108273E-2</v>
      </c>
      <c r="D313" s="2665">
        <v>-6.5770053559442876E-2</v>
      </c>
      <c r="E313" s="2087">
        <v>-5.6838447409335302E-4</v>
      </c>
      <c r="F313" s="2079">
        <v>-0.17177686305249418</v>
      </c>
      <c r="G313" s="2079">
        <v>-1.8493314826508844E-2</v>
      </c>
      <c r="H313" s="2079">
        <v>-2.2300900259372924E-2</v>
      </c>
      <c r="I313" s="2079">
        <v>-7.604471311261185E-3</v>
      </c>
      <c r="J313" s="2145">
        <v>9.4292436998477669E-3</v>
      </c>
      <c r="K313" s="2087">
        <v>2.6636540607772652E-2</v>
      </c>
      <c r="L313" s="2079">
        <v>-8.5112399670101868E-2</v>
      </c>
      <c r="M313" s="2079">
        <v>-0.16654400679627712</v>
      </c>
      <c r="N313" s="2079">
        <v>-0.15955574768043035</v>
      </c>
      <c r="O313" s="2145">
        <v>-5.2502266698184134E-2</v>
      </c>
      <c r="P313" s="2659">
        <v>-1.9739992628142411E-2</v>
      </c>
    </row>
    <row r="314" spans="1:16">
      <c r="A314" s="329">
        <f t="shared" si="2"/>
        <v>2023.05</v>
      </c>
      <c r="B314" s="2592">
        <v>156.57636990698344</v>
      </c>
      <c r="C314" s="2680">
        <v>5.789520630121503E-3</v>
      </c>
      <c r="D314" s="2665">
        <v>-6.3053009401123128E-2</v>
      </c>
      <c r="E314" s="2087">
        <v>3.0475452124281155E-3</v>
      </c>
      <c r="F314" s="2079">
        <v>6.3533767768695348E-3</v>
      </c>
      <c r="G314" s="2079">
        <v>0.15527425869579781</v>
      </c>
      <c r="H314" s="2079">
        <v>5.1375732396777618E-2</v>
      </c>
      <c r="I314" s="2079">
        <v>3.1083240937471723E-2</v>
      </c>
      <c r="J314" s="1015">
        <v>-6.7288256949100567E-2</v>
      </c>
      <c r="K314" s="2087">
        <v>2.6450104040107947E-2</v>
      </c>
      <c r="L314" s="2079">
        <v>-9.7524551674228577E-2</v>
      </c>
      <c r="M314" s="2079">
        <v>5.8895413686685938E-3</v>
      </c>
      <c r="N314" s="2079">
        <v>-0.10910586086003526</v>
      </c>
      <c r="O314" s="2145">
        <v>-1.3565395924797219E-2</v>
      </c>
      <c r="P314" s="2659">
        <v>-9.0155155634470172E-2</v>
      </c>
    </row>
    <row r="315" spans="1:16">
      <c r="A315" s="329">
        <f t="shared" si="2"/>
        <v>2023.06</v>
      </c>
      <c r="B315" s="2592">
        <v>154.89337391248441</v>
      </c>
      <c r="C315" s="2680">
        <v>-1.0748722783002651E-2</v>
      </c>
      <c r="D315" s="2665">
        <v>-7.6193137722750937E-2</v>
      </c>
      <c r="E315" s="2087">
        <v>-1.2959616335961321E-4</v>
      </c>
      <c r="F315" s="2079">
        <v>2.7482769151670583E-2</v>
      </c>
      <c r="G315" s="2079">
        <v>-0.20919451627382923</v>
      </c>
      <c r="H315" s="2079">
        <v>-3.5228227130318923E-2</v>
      </c>
      <c r="I315" s="2079">
        <v>-8.1619954711219522E-3</v>
      </c>
      <c r="J315" s="1015">
        <v>-1.3541629266659361E-2</v>
      </c>
      <c r="K315" s="2087">
        <v>2.2414866446222481E-2</v>
      </c>
      <c r="L315" s="2079">
        <v>-7.0762777718889724E-2</v>
      </c>
      <c r="M315" s="2079">
        <v>-0.21606037447488258</v>
      </c>
      <c r="N315" s="2079">
        <v>-0.22988731192256784</v>
      </c>
      <c r="O315" s="2145">
        <v>-2.8089925482232436E-2</v>
      </c>
      <c r="P315" s="2659">
        <v>-0.10817886237166308</v>
      </c>
    </row>
    <row r="316" spans="1:16">
      <c r="A316" s="329">
        <f t="shared" si="2"/>
        <v>2023.07</v>
      </c>
      <c r="B316" s="2592">
        <v>156.78643964415971</v>
      </c>
      <c r="C316" s="2680">
        <v>1.2221734757646319E-2</v>
      </c>
      <c r="D316" s="2665">
        <v>-5.0494851087195085E-2</v>
      </c>
      <c r="E316" s="2109">
        <v>1.4499655784185883E-3</v>
      </c>
      <c r="F316" s="2079">
        <v>1.8262969871145618E-3</v>
      </c>
      <c r="G316" s="2079">
        <v>0.12266906259362287</v>
      </c>
      <c r="H316" s="2079">
        <v>-0.12425549245708523</v>
      </c>
      <c r="I316" s="2079">
        <v>2.6320345858500627E-2</v>
      </c>
      <c r="J316" s="2135">
        <v>5.3000710156504871E-2</v>
      </c>
      <c r="K316" s="2079">
        <v>1.8840841483297233E-2</v>
      </c>
      <c r="L316" s="2079">
        <v>-3.7331154497448504E-2</v>
      </c>
      <c r="M316" s="2079">
        <v>-8.178824513056672E-2</v>
      </c>
      <c r="N316" s="2079">
        <v>-0.24049105971093676</v>
      </c>
      <c r="O316" s="2079">
        <v>-1.066036763967193E-2</v>
      </c>
      <c r="P316" s="2659">
        <v>-3.4116277849742249E-2</v>
      </c>
    </row>
    <row r="317" spans="1:16">
      <c r="A317" s="329">
        <f t="shared" si="2"/>
        <v>2023.08</v>
      </c>
      <c r="B317" s="2592">
        <v>157.23467206961334</v>
      </c>
      <c r="C317" s="2680">
        <v>2.8588724029381396E-3</v>
      </c>
      <c r="D317" s="2665">
        <v>-5.2072557820656007E-3</v>
      </c>
      <c r="E317" s="2109">
        <v>4.9293852374288072E-4</v>
      </c>
      <c r="F317" s="2079">
        <v>-4.887953255151567E-3</v>
      </c>
      <c r="G317" s="2079">
        <v>3.8088446638665951E-2</v>
      </c>
      <c r="H317" s="2079">
        <v>3.51668934004703E-2</v>
      </c>
      <c r="I317" s="2079">
        <v>1.7671236500051091E-2</v>
      </c>
      <c r="J317" s="2135">
        <v>-2.2114191428309504E-2</v>
      </c>
      <c r="K317" s="2079">
        <v>2.1151369015327326E-2</v>
      </c>
      <c r="L317" s="2079">
        <v>-1.5671229160413191E-2</v>
      </c>
      <c r="M317" s="2079">
        <v>-1.9387704648075266E-2</v>
      </c>
      <c r="N317" s="2079">
        <v>-0.10957202735270111</v>
      </c>
      <c r="O317" s="2079">
        <v>8.0193006891639454E-2</v>
      </c>
      <c r="P317" s="2659">
        <v>3.8501752666115552E-2</v>
      </c>
    </row>
    <row r="318" spans="1:16">
      <c r="A318" s="329">
        <f t="shared" si="2"/>
        <v>2023.09</v>
      </c>
      <c r="B318" s="2592">
        <v>154.87794739016408</v>
      </c>
      <c r="C318" s="2680">
        <v>-1.4988581388752809E-2</v>
      </c>
      <c r="D318" s="2665">
        <v>-3.2440099818833779E-2</v>
      </c>
      <c r="E318" s="2109">
        <v>-3.2123452797361285E-4</v>
      </c>
      <c r="F318" s="2079">
        <v>-1.8383192920698788E-2</v>
      </c>
      <c r="G318" s="2079">
        <v>-2.0381914692458647E-2</v>
      </c>
      <c r="H318" s="2079">
        <v>3.8783854376884142E-2</v>
      </c>
      <c r="I318" s="2079">
        <v>-2.3242640318097973E-2</v>
      </c>
      <c r="J318" s="2135">
        <v>-3.8707455871771268E-2</v>
      </c>
      <c r="K318" s="2079">
        <v>1.8370773859847089E-2</v>
      </c>
      <c r="L318" s="2079">
        <v>-6.430310365082148E-2</v>
      </c>
      <c r="M318" s="2079">
        <v>-4.8116942951896495E-2</v>
      </c>
      <c r="N318" s="2079">
        <v>-7.5249261374161325E-2</v>
      </c>
      <c r="O318" s="2079">
        <v>3.8778763609256917E-2</v>
      </c>
      <c r="P318" s="2659">
        <v>-1.6000356601323373E-3</v>
      </c>
    </row>
    <row r="319" spans="1:16">
      <c r="A319" s="329">
        <f t="shared" si="2"/>
        <v>2023.1</v>
      </c>
      <c r="B319" s="2592">
        <v>156.04354329532953</v>
      </c>
      <c r="C319" s="2680">
        <v>7.5258997475549094E-3</v>
      </c>
      <c r="D319" s="2665">
        <v>-3.313787957798775E-2</v>
      </c>
      <c r="E319" s="2109">
        <v>-8.6216825121343543E-4</v>
      </c>
      <c r="F319" s="2079">
        <v>-1.7376267067283457E-2</v>
      </c>
      <c r="G319" s="2079">
        <v>5.3150886293549693E-2</v>
      </c>
      <c r="H319" s="2079">
        <v>2.8323979222588225E-2</v>
      </c>
      <c r="I319" s="2079">
        <v>6.7762893775002331E-2</v>
      </c>
      <c r="J319" s="2135">
        <v>4.6179588068709476E-2</v>
      </c>
      <c r="K319" s="2079">
        <v>1.3659839511234839E-2</v>
      </c>
      <c r="L319" s="2079">
        <v>-8.0210112823876786E-2</v>
      </c>
      <c r="M319" s="2079">
        <v>2.5366363219248456E-2</v>
      </c>
      <c r="N319" s="2079">
        <v>-7.7805130457441196E-2</v>
      </c>
      <c r="O319" s="2079">
        <v>8.9845398183687308E-2</v>
      </c>
      <c r="P319" s="2659">
        <v>7.3480476472166378E-2</v>
      </c>
    </row>
    <row r="320" spans="1:16">
      <c r="A320" s="329">
        <f t="shared" si="2"/>
        <v>2023.11</v>
      </c>
      <c r="B320" s="2592">
        <v>151.03919269891037</v>
      </c>
      <c r="C320" s="2680">
        <v>-3.2070218932082839E-2</v>
      </c>
      <c r="D320" s="2665">
        <v>-8.2197728806636228E-2</v>
      </c>
      <c r="E320" s="2109">
        <v>-1.4739498119571426E-3</v>
      </c>
      <c r="F320" s="2079">
        <v>-4.9989543099573375E-3</v>
      </c>
      <c r="G320" s="2079">
        <v>-3.6860165716035009E-2</v>
      </c>
      <c r="H320" s="2079">
        <v>-4.8315107935204882E-2</v>
      </c>
      <c r="I320" s="2079">
        <v>-9.7532037146962902E-2</v>
      </c>
      <c r="J320" s="2135">
        <v>-7.4760418616552471E-2</v>
      </c>
      <c r="K320" s="2079">
        <v>8.4152523394804835E-3</v>
      </c>
      <c r="L320" s="2079">
        <v>-0.11002650596945174</v>
      </c>
      <c r="M320" s="2079">
        <v>-3.07776484446729E-2</v>
      </c>
      <c r="N320" s="2079">
        <v>-0.22079759103767738</v>
      </c>
      <c r="O320" s="2079">
        <v>1.9332624809166754E-2</v>
      </c>
      <c r="P320" s="2659">
        <v>-3.634245370765854E-2</v>
      </c>
    </row>
    <row r="321" spans="1:16">
      <c r="A321" s="329">
        <f t="shared" si="2"/>
        <v>2023.12</v>
      </c>
      <c r="B321" s="2592">
        <v>149.22946702028074</v>
      </c>
      <c r="C321" s="2680">
        <v>-1.1981828334035383E-2</v>
      </c>
      <c r="D321" s="2665">
        <v>-8.4406134701878854E-2</v>
      </c>
      <c r="E321" s="2109">
        <v>-1.4386181507538565E-3</v>
      </c>
      <c r="F321" s="2079">
        <v>6.4132969109409466E-3</v>
      </c>
      <c r="G321" s="2079">
        <v>-0.10543983257252731</v>
      </c>
      <c r="H321" s="2079">
        <v>-4.6091395259844958E-2</v>
      </c>
      <c r="I321" s="2079">
        <v>-9.1732079504629804E-2</v>
      </c>
      <c r="J321" s="2135">
        <v>-2.657647031907151E-2</v>
      </c>
      <c r="K321" s="2079">
        <v>7.914473321257498E-3</v>
      </c>
      <c r="L321" s="2079">
        <v>-0.12564562419065828</v>
      </c>
      <c r="M321" s="2079">
        <v>-0.12754200887691991</v>
      </c>
      <c r="N321" s="2079">
        <v>-0.28251437913243838</v>
      </c>
      <c r="O321" s="2079">
        <v>-7.2573780942172816E-2</v>
      </c>
      <c r="P321" s="2659">
        <v>-2.6828727666758589E-2</v>
      </c>
    </row>
    <row r="322" spans="1:16">
      <c r="A322" s="329">
        <f t="shared" ref="A322:A385" si="3">A310+1</f>
        <v>2024.01</v>
      </c>
      <c r="B322" s="2592">
        <v>150.75276769513098</v>
      </c>
      <c r="C322" s="2680">
        <v>1.0207774009158843E-2</v>
      </c>
      <c r="D322" s="2665">
        <v>-7.208807940908557E-2</v>
      </c>
      <c r="E322" s="2109">
        <v>-4.0211032264595437E-3</v>
      </c>
      <c r="F322" s="2079">
        <v>1.8666276728360964E-2</v>
      </c>
      <c r="G322" s="2079">
        <v>8.934262946680939E-2</v>
      </c>
      <c r="H322" s="2079">
        <v>0.14489885581196038</v>
      </c>
      <c r="I322" s="2079">
        <v>4.2114594458465104E-2</v>
      </c>
      <c r="J322" s="2135">
        <v>-0.1778765982045859</v>
      </c>
      <c r="K322" s="2079">
        <v>2.0187041750352464E-3</v>
      </c>
      <c r="L322" s="2079">
        <v>-5.485753751647849E-2</v>
      </c>
      <c r="M322" s="2079">
        <v>-3.3317638669664085E-2</v>
      </c>
      <c r="N322" s="2079">
        <v>-5.234789750990898E-2</v>
      </c>
      <c r="O322" s="2079">
        <v>-7.1691275297391055E-2</v>
      </c>
      <c r="P322" s="2659">
        <v>-0.28724854652699117</v>
      </c>
    </row>
    <row r="323" spans="1:16">
      <c r="A323" s="329">
        <f t="shared" si="3"/>
        <v>2024.02</v>
      </c>
      <c r="B323" s="2592">
        <v>156.98617219281496</v>
      </c>
      <c r="C323" s="2680">
        <v>4.1348524428353128E-2</v>
      </c>
      <c r="D323" s="2665">
        <v>-4.0601201281452726E-3</v>
      </c>
      <c r="E323" s="2109">
        <v>-4.9247813261587003E-3</v>
      </c>
      <c r="F323" s="2079">
        <v>5.7819721329653628E-2</v>
      </c>
      <c r="G323" s="2079">
        <v>2.1293692588264523E-3</v>
      </c>
      <c r="H323" s="2079">
        <v>5.1005454146356266E-2</v>
      </c>
      <c r="I323" s="2079">
        <v>8.075485388023429E-2</v>
      </c>
      <c r="J323" s="2135">
        <v>0.11189689948860604</v>
      </c>
      <c r="K323" s="2079">
        <v>-5.2300619693241845E-3</v>
      </c>
      <c r="L323" s="2079">
        <v>3.5851775847791867E-2</v>
      </c>
      <c r="M323" s="2079">
        <v>1.0453335979633049E-2</v>
      </c>
      <c r="N323" s="2079">
        <v>7.4564919369455085E-2</v>
      </c>
      <c r="O323" s="2079">
        <v>7.3297418233554623E-2</v>
      </c>
      <c r="P323" s="2659">
        <v>-0.15537273216119984</v>
      </c>
    </row>
    <row r="324" spans="1:16">
      <c r="A324" s="329">
        <f t="shared" si="3"/>
        <v>2024.03</v>
      </c>
      <c r="B324" s="2592" t="e">
        <v>#N/A</v>
      </c>
      <c r="C324" s="2650" t="e">
        <v>#N/A</v>
      </c>
      <c r="D324" s="2534" t="e">
        <v>#N/A</v>
      </c>
      <c r="E324" s="2538" t="e">
        <v>#N/A</v>
      </c>
      <c r="F324" s="2539" t="e">
        <v>#N/A</v>
      </c>
      <c r="G324" s="2539" t="e">
        <v>#N/A</v>
      </c>
      <c r="H324" s="2539" t="e">
        <v>#N/A</v>
      </c>
      <c r="I324" s="2539" t="e">
        <v>#N/A</v>
      </c>
      <c r="J324" s="2540" t="e">
        <v>#N/A</v>
      </c>
      <c r="K324" s="2539" t="e">
        <v>#N/A</v>
      </c>
      <c r="L324" s="2539" t="e">
        <v>#N/A</v>
      </c>
      <c r="M324" s="2539" t="e">
        <v>#N/A</v>
      </c>
      <c r="N324" s="2539" t="e">
        <v>#N/A</v>
      </c>
      <c r="O324" s="2539" t="e">
        <v>#N/A</v>
      </c>
      <c r="P324" s="2541" t="e">
        <v>#N/A</v>
      </c>
    </row>
    <row r="325" spans="1:16">
      <c r="A325" s="329">
        <f t="shared" si="3"/>
        <v>2024.04</v>
      </c>
      <c r="B325" s="2592" t="e">
        <v>#N/A</v>
      </c>
      <c r="C325" s="2650" t="e">
        <v>#N/A</v>
      </c>
      <c r="D325" s="2534" t="e">
        <v>#N/A</v>
      </c>
      <c r="E325" s="2538" t="e">
        <v>#N/A</v>
      </c>
      <c r="F325" s="2539" t="e">
        <v>#N/A</v>
      </c>
      <c r="G325" s="2539" t="e">
        <v>#N/A</v>
      </c>
      <c r="H325" s="2539" t="e">
        <v>#N/A</v>
      </c>
      <c r="I325" s="2539" t="e">
        <v>#N/A</v>
      </c>
      <c r="J325" s="2540" t="e">
        <v>#N/A</v>
      </c>
      <c r="K325" s="2539" t="e">
        <v>#N/A</v>
      </c>
      <c r="L325" s="2539" t="e">
        <v>#N/A</v>
      </c>
      <c r="M325" s="2539" t="e">
        <v>#N/A</v>
      </c>
      <c r="N325" s="2539" t="e">
        <v>#N/A</v>
      </c>
      <c r="O325" s="2539" t="e">
        <v>#N/A</v>
      </c>
      <c r="P325" s="2541" t="e">
        <v>#N/A</v>
      </c>
    </row>
    <row r="326" spans="1:16">
      <c r="A326" s="329">
        <f t="shared" si="3"/>
        <v>2024.05</v>
      </c>
      <c r="B326" s="2592" t="e">
        <v>#N/A</v>
      </c>
      <c r="C326" s="2650" t="e">
        <v>#N/A</v>
      </c>
      <c r="D326" s="2534" t="e">
        <v>#N/A</v>
      </c>
      <c r="E326" s="2538" t="e">
        <v>#N/A</v>
      </c>
      <c r="F326" s="2539" t="e">
        <v>#N/A</v>
      </c>
      <c r="G326" s="2539" t="e">
        <v>#N/A</v>
      </c>
      <c r="H326" s="2539" t="e">
        <v>#N/A</v>
      </c>
      <c r="I326" s="2539" t="e">
        <v>#N/A</v>
      </c>
      <c r="J326" s="2540" t="e">
        <v>#N/A</v>
      </c>
      <c r="K326" s="2539" t="e">
        <v>#N/A</v>
      </c>
      <c r="L326" s="2539" t="e">
        <v>#N/A</v>
      </c>
      <c r="M326" s="2539" t="e">
        <v>#N/A</v>
      </c>
      <c r="N326" s="2539" t="e">
        <v>#N/A</v>
      </c>
      <c r="O326" s="2539" t="e">
        <v>#N/A</v>
      </c>
      <c r="P326" s="2541" t="e">
        <v>#N/A</v>
      </c>
    </row>
    <row r="327" spans="1:16">
      <c r="A327" s="329">
        <f t="shared" si="3"/>
        <v>2024.06</v>
      </c>
      <c r="B327" s="2592" t="e">
        <v>#N/A</v>
      </c>
      <c r="C327" s="2650" t="e">
        <v>#N/A</v>
      </c>
      <c r="D327" s="2534" t="e">
        <v>#N/A</v>
      </c>
      <c r="E327" s="2538" t="e">
        <v>#N/A</v>
      </c>
      <c r="F327" s="2539" t="e">
        <v>#N/A</v>
      </c>
      <c r="G327" s="2539" t="e">
        <v>#N/A</v>
      </c>
      <c r="H327" s="2539" t="e">
        <v>#N/A</v>
      </c>
      <c r="I327" s="2539" t="e">
        <v>#N/A</v>
      </c>
      <c r="J327" s="2540" t="e">
        <v>#N/A</v>
      </c>
      <c r="K327" s="2539" t="e">
        <v>#N/A</v>
      </c>
      <c r="L327" s="2539" t="e">
        <v>#N/A</v>
      </c>
      <c r="M327" s="2539" t="e">
        <v>#N/A</v>
      </c>
      <c r="N327" s="2539" t="e">
        <v>#N/A</v>
      </c>
      <c r="O327" s="2539" t="e">
        <v>#N/A</v>
      </c>
      <c r="P327" s="2541" t="e">
        <v>#N/A</v>
      </c>
    </row>
    <row r="328" spans="1:16">
      <c r="A328" s="329">
        <f t="shared" si="3"/>
        <v>2024.07</v>
      </c>
      <c r="B328" s="2592" t="e">
        <v>#N/A</v>
      </c>
      <c r="C328" s="2650" t="e">
        <v>#N/A</v>
      </c>
      <c r="D328" s="2534" t="e">
        <v>#N/A</v>
      </c>
      <c r="E328" s="2538" t="e">
        <v>#N/A</v>
      </c>
      <c r="F328" s="2539" t="e">
        <v>#N/A</v>
      </c>
      <c r="G328" s="2539" t="e">
        <v>#N/A</v>
      </c>
      <c r="H328" s="2539" t="e">
        <v>#N/A</v>
      </c>
      <c r="I328" s="2539" t="e">
        <v>#N/A</v>
      </c>
      <c r="J328" s="2540" t="e">
        <v>#N/A</v>
      </c>
      <c r="K328" s="2539" t="e">
        <v>#N/A</v>
      </c>
      <c r="L328" s="2539" t="e">
        <v>#N/A</v>
      </c>
      <c r="M328" s="2539" t="e">
        <v>#N/A</v>
      </c>
      <c r="N328" s="2539" t="e">
        <v>#N/A</v>
      </c>
      <c r="O328" s="2539" t="e">
        <v>#N/A</v>
      </c>
      <c r="P328" s="2541" t="e">
        <v>#N/A</v>
      </c>
    </row>
    <row r="329" spans="1:16">
      <c r="A329" s="329">
        <f t="shared" si="3"/>
        <v>2024.08</v>
      </c>
      <c r="B329" s="2592" t="e">
        <v>#N/A</v>
      </c>
      <c r="C329" s="2650" t="e">
        <v>#N/A</v>
      </c>
      <c r="D329" s="2534" t="e">
        <v>#N/A</v>
      </c>
      <c r="E329" s="2538" t="e">
        <v>#N/A</v>
      </c>
      <c r="F329" s="2539" t="e">
        <v>#N/A</v>
      </c>
      <c r="G329" s="2539" t="e">
        <v>#N/A</v>
      </c>
      <c r="H329" s="2539" t="e">
        <v>#N/A</v>
      </c>
      <c r="I329" s="2539" t="e">
        <v>#N/A</v>
      </c>
      <c r="J329" s="2540" t="e">
        <v>#N/A</v>
      </c>
      <c r="K329" s="2539" t="e">
        <v>#N/A</v>
      </c>
      <c r="L329" s="2539" t="e">
        <v>#N/A</v>
      </c>
      <c r="M329" s="2539" t="e">
        <v>#N/A</v>
      </c>
      <c r="N329" s="2539" t="e">
        <v>#N/A</v>
      </c>
      <c r="O329" s="2539" t="e">
        <v>#N/A</v>
      </c>
      <c r="P329" s="2541" t="e">
        <v>#N/A</v>
      </c>
    </row>
    <row r="330" spans="1:16">
      <c r="A330" s="329">
        <f t="shared" si="3"/>
        <v>2024.09</v>
      </c>
      <c r="B330" s="2592" t="e">
        <v>#N/A</v>
      </c>
      <c r="C330" s="2650" t="e">
        <v>#N/A</v>
      </c>
      <c r="D330" s="2534" t="e">
        <v>#N/A</v>
      </c>
      <c r="E330" s="2538" t="e">
        <v>#N/A</v>
      </c>
      <c r="F330" s="2539" t="e">
        <v>#N/A</v>
      </c>
      <c r="G330" s="2539" t="e">
        <v>#N/A</v>
      </c>
      <c r="H330" s="2539" t="e">
        <v>#N/A</v>
      </c>
      <c r="I330" s="2539" t="e">
        <v>#N/A</v>
      </c>
      <c r="J330" s="2540" t="e">
        <v>#N/A</v>
      </c>
      <c r="K330" s="2539" t="e">
        <v>#N/A</v>
      </c>
      <c r="L330" s="2539" t="e">
        <v>#N/A</v>
      </c>
      <c r="M330" s="2539" t="e">
        <v>#N/A</v>
      </c>
      <c r="N330" s="2539" t="e">
        <v>#N/A</v>
      </c>
      <c r="O330" s="2539" t="e">
        <v>#N/A</v>
      </c>
      <c r="P330" s="2541" t="e">
        <v>#N/A</v>
      </c>
    </row>
    <row r="331" spans="1:16">
      <c r="A331" s="329">
        <f>A319+1</f>
        <v>2024.1</v>
      </c>
      <c r="B331" s="2592" t="e">
        <v>#N/A</v>
      </c>
      <c r="C331" s="2650" t="e">
        <v>#N/A</v>
      </c>
      <c r="D331" s="2534" t="e">
        <v>#N/A</v>
      </c>
      <c r="E331" s="2538" t="e">
        <v>#N/A</v>
      </c>
      <c r="F331" s="2539" t="e">
        <v>#N/A</v>
      </c>
      <c r="G331" s="2539" t="e">
        <v>#N/A</v>
      </c>
      <c r="H331" s="2539" t="e">
        <v>#N/A</v>
      </c>
      <c r="I331" s="2539" t="e">
        <v>#N/A</v>
      </c>
      <c r="J331" s="2540" t="e">
        <v>#N/A</v>
      </c>
      <c r="K331" s="2539" t="e">
        <v>#N/A</v>
      </c>
      <c r="L331" s="2539" t="e">
        <v>#N/A</v>
      </c>
      <c r="M331" s="2539" t="e">
        <v>#N/A</v>
      </c>
      <c r="N331" s="2539" t="e">
        <v>#N/A</v>
      </c>
      <c r="O331" s="2539" t="e">
        <v>#N/A</v>
      </c>
      <c r="P331" s="2541" t="e">
        <v>#N/A</v>
      </c>
    </row>
    <row r="332" spans="1:16">
      <c r="A332" s="329">
        <f t="shared" si="3"/>
        <v>2024.11</v>
      </c>
      <c r="B332" s="2592" t="e">
        <v>#N/A</v>
      </c>
      <c r="C332" s="2650" t="e">
        <v>#N/A</v>
      </c>
      <c r="D332" s="2534" t="e">
        <v>#N/A</v>
      </c>
      <c r="E332" s="2538" t="e">
        <v>#N/A</v>
      </c>
      <c r="F332" s="2539" t="e">
        <v>#N/A</v>
      </c>
      <c r="G332" s="2539" t="e">
        <v>#N/A</v>
      </c>
      <c r="H332" s="2539" t="e">
        <v>#N/A</v>
      </c>
      <c r="I332" s="2539" t="e">
        <v>#N/A</v>
      </c>
      <c r="J332" s="2540" t="e">
        <v>#N/A</v>
      </c>
      <c r="K332" s="2539" t="e">
        <v>#N/A</v>
      </c>
      <c r="L332" s="2539" t="e">
        <v>#N/A</v>
      </c>
      <c r="M332" s="2539" t="e">
        <v>#N/A</v>
      </c>
      <c r="N332" s="2539" t="e">
        <v>#N/A</v>
      </c>
      <c r="O332" s="2539" t="e">
        <v>#N/A</v>
      </c>
      <c r="P332" s="2541" t="e">
        <v>#N/A</v>
      </c>
    </row>
    <row r="333" spans="1:16">
      <c r="A333" s="329">
        <f t="shared" si="3"/>
        <v>2024.12</v>
      </c>
      <c r="B333" s="2592" t="e">
        <v>#N/A</v>
      </c>
      <c r="C333" s="2650" t="e">
        <v>#N/A</v>
      </c>
      <c r="D333" s="2534" t="e">
        <v>#N/A</v>
      </c>
      <c r="E333" s="2538" t="e">
        <v>#N/A</v>
      </c>
      <c r="F333" s="2539" t="e">
        <v>#N/A</v>
      </c>
      <c r="G333" s="2539" t="e">
        <v>#N/A</v>
      </c>
      <c r="H333" s="2539" t="e">
        <v>#N/A</v>
      </c>
      <c r="I333" s="2539" t="e">
        <v>#N/A</v>
      </c>
      <c r="J333" s="2540" t="e">
        <v>#N/A</v>
      </c>
      <c r="K333" s="2539" t="e">
        <v>#N/A</v>
      </c>
      <c r="L333" s="2539" t="e">
        <v>#N/A</v>
      </c>
      <c r="M333" s="2539" t="e">
        <v>#N/A</v>
      </c>
      <c r="N333" s="2539" t="e">
        <v>#N/A</v>
      </c>
      <c r="O333" s="2539" t="e">
        <v>#N/A</v>
      </c>
      <c r="P333" s="2541" t="e">
        <v>#N/A</v>
      </c>
    </row>
    <row r="334" spans="1:16">
      <c r="A334" s="329">
        <f t="shared" si="3"/>
        <v>2025.01</v>
      </c>
      <c r="B334" s="2592" t="e">
        <v>#N/A</v>
      </c>
      <c r="C334" s="2650" t="e">
        <v>#N/A</v>
      </c>
      <c r="D334" s="2534" t="e">
        <v>#N/A</v>
      </c>
      <c r="E334" s="2538" t="e">
        <v>#N/A</v>
      </c>
      <c r="F334" s="2539" t="e">
        <v>#N/A</v>
      </c>
      <c r="G334" s="2539" t="e">
        <v>#N/A</v>
      </c>
      <c r="H334" s="2539" t="e">
        <v>#N/A</v>
      </c>
      <c r="I334" s="2539" t="e">
        <v>#N/A</v>
      </c>
      <c r="J334" s="2540" t="e">
        <v>#N/A</v>
      </c>
      <c r="K334" s="2539" t="e">
        <v>#N/A</v>
      </c>
      <c r="L334" s="2539" t="e">
        <v>#N/A</v>
      </c>
      <c r="M334" s="2539" t="e">
        <v>#N/A</v>
      </c>
      <c r="N334" s="2539" t="e">
        <v>#N/A</v>
      </c>
      <c r="O334" s="2539" t="e">
        <v>#N/A</v>
      </c>
      <c r="P334" s="2541" t="e">
        <v>#N/A</v>
      </c>
    </row>
    <row r="335" spans="1:16">
      <c r="A335" s="329">
        <f t="shared" si="3"/>
        <v>2025.02</v>
      </c>
      <c r="B335" s="2592" t="e">
        <v>#N/A</v>
      </c>
      <c r="C335" s="2650" t="e">
        <v>#N/A</v>
      </c>
      <c r="D335" s="2534" t="e">
        <v>#N/A</v>
      </c>
      <c r="E335" s="2538" t="e">
        <v>#N/A</v>
      </c>
      <c r="F335" s="2539" t="e">
        <v>#N/A</v>
      </c>
      <c r="G335" s="2539" t="e">
        <v>#N/A</v>
      </c>
      <c r="H335" s="2539" t="e">
        <v>#N/A</v>
      </c>
      <c r="I335" s="2539" t="e">
        <v>#N/A</v>
      </c>
      <c r="J335" s="2540" t="e">
        <v>#N/A</v>
      </c>
      <c r="K335" s="2539" t="e">
        <v>#N/A</v>
      </c>
      <c r="L335" s="2539" t="e">
        <v>#N/A</v>
      </c>
      <c r="M335" s="2539" t="e">
        <v>#N/A</v>
      </c>
      <c r="N335" s="2539" t="e">
        <v>#N/A</v>
      </c>
      <c r="O335" s="2539" t="e">
        <v>#N/A</v>
      </c>
      <c r="P335" s="2541" t="e">
        <v>#N/A</v>
      </c>
    </row>
    <row r="336" spans="1:16">
      <c r="A336" s="329">
        <f t="shared" si="3"/>
        <v>2025.03</v>
      </c>
      <c r="B336" s="2592" t="e">
        <v>#N/A</v>
      </c>
      <c r="C336" s="2650" t="e">
        <v>#N/A</v>
      </c>
      <c r="D336" s="2534" t="e">
        <v>#N/A</v>
      </c>
      <c r="E336" s="2538" t="e">
        <v>#N/A</v>
      </c>
      <c r="F336" s="2539" t="e">
        <v>#N/A</v>
      </c>
      <c r="G336" s="2539" t="e">
        <v>#N/A</v>
      </c>
      <c r="H336" s="2539" t="e">
        <v>#N/A</v>
      </c>
      <c r="I336" s="2539" t="e">
        <v>#N/A</v>
      </c>
      <c r="J336" s="2540" t="e">
        <v>#N/A</v>
      </c>
      <c r="K336" s="2539" t="e">
        <v>#N/A</v>
      </c>
      <c r="L336" s="2539" t="e">
        <v>#N/A</v>
      </c>
      <c r="M336" s="2539" t="e">
        <v>#N/A</v>
      </c>
      <c r="N336" s="2539" t="e">
        <v>#N/A</v>
      </c>
      <c r="O336" s="2539" t="e">
        <v>#N/A</v>
      </c>
      <c r="P336" s="2541" t="e">
        <v>#N/A</v>
      </c>
    </row>
    <row r="337" spans="1:16">
      <c r="A337" s="329">
        <f t="shared" si="3"/>
        <v>2025.04</v>
      </c>
      <c r="B337" s="2592" t="e">
        <v>#N/A</v>
      </c>
      <c r="C337" s="2650" t="e">
        <v>#N/A</v>
      </c>
      <c r="D337" s="2534" t="e">
        <v>#N/A</v>
      </c>
      <c r="E337" s="2538" t="e">
        <v>#N/A</v>
      </c>
      <c r="F337" s="2539" t="e">
        <v>#N/A</v>
      </c>
      <c r="G337" s="2539" t="e">
        <v>#N/A</v>
      </c>
      <c r="H337" s="2539" t="e">
        <v>#N/A</v>
      </c>
      <c r="I337" s="2539" t="e">
        <v>#N/A</v>
      </c>
      <c r="J337" s="2540" t="e">
        <v>#N/A</v>
      </c>
      <c r="K337" s="2539" t="e">
        <v>#N/A</v>
      </c>
      <c r="L337" s="2539" t="e">
        <v>#N/A</v>
      </c>
      <c r="M337" s="2539" t="e">
        <v>#N/A</v>
      </c>
      <c r="N337" s="2539" t="e">
        <v>#N/A</v>
      </c>
      <c r="O337" s="2539" t="e">
        <v>#N/A</v>
      </c>
      <c r="P337" s="2541" t="e">
        <v>#N/A</v>
      </c>
    </row>
    <row r="338" spans="1:16">
      <c r="A338" s="329">
        <f t="shared" si="3"/>
        <v>2025.05</v>
      </c>
      <c r="B338" s="2592" t="e">
        <v>#N/A</v>
      </c>
      <c r="C338" s="2650" t="e">
        <v>#N/A</v>
      </c>
      <c r="D338" s="2534" t="e">
        <v>#N/A</v>
      </c>
      <c r="E338" s="2538" t="e">
        <v>#N/A</v>
      </c>
      <c r="F338" s="2539" t="e">
        <v>#N/A</v>
      </c>
      <c r="G338" s="2539" t="e">
        <v>#N/A</v>
      </c>
      <c r="H338" s="2539" t="e">
        <v>#N/A</v>
      </c>
      <c r="I338" s="2539" t="e">
        <v>#N/A</v>
      </c>
      <c r="J338" s="2540" t="e">
        <v>#N/A</v>
      </c>
      <c r="K338" s="2539" t="e">
        <v>#N/A</v>
      </c>
      <c r="L338" s="2539" t="e">
        <v>#N/A</v>
      </c>
      <c r="M338" s="2539" t="e">
        <v>#N/A</v>
      </c>
      <c r="N338" s="2539" t="e">
        <v>#N/A</v>
      </c>
      <c r="O338" s="2539" t="e">
        <v>#N/A</v>
      </c>
      <c r="P338" s="2541" t="e">
        <v>#N/A</v>
      </c>
    </row>
    <row r="339" spans="1:16">
      <c r="A339" s="329">
        <f t="shared" si="3"/>
        <v>2025.06</v>
      </c>
      <c r="B339" s="2592" t="e">
        <v>#N/A</v>
      </c>
      <c r="C339" s="2650" t="e">
        <v>#N/A</v>
      </c>
      <c r="D339" s="2534" t="e">
        <v>#N/A</v>
      </c>
      <c r="E339" s="2538" t="e">
        <v>#N/A</v>
      </c>
      <c r="F339" s="2539" t="e">
        <v>#N/A</v>
      </c>
      <c r="G339" s="2539" t="e">
        <v>#N/A</v>
      </c>
      <c r="H339" s="2539" t="e">
        <v>#N/A</v>
      </c>
      <c r="I339" s="2539" t="e">
        <v>#N/A</v>
      </c>
      <c r="J339" s="2540" t="e">
        <v>#N/A</v>
      </c>
      <c r="K339" s="2539" t="e">
        <v>#N/A</v>
      </c>
      <c r="L339" s="2539" t="e">
        <v>#N/A</v>
      </c>
      <c r="M339" s="2539" t="e">
        <v>#N/A</v>
      </c>
      <c r="N339" s="2539" t="e">
        <v>#N/A</v>
      </c>
      <c r="O339" s="2539" t="e">
        <v>#N/A</v>
      </c>
      <c r="P339" s="2541" t="e">
        <v>#N/A</v>
      </c>
    </row>
    <row r="340" spans="1:16">
      <c r="A340" s="329">
        <f t="shared" si="3"/>
        <v>2025.07</v>
      </c>
      <c r="B340" s="2592" t="e">
        <v>#N/A</v>
      </c>
      <c r="C340" s="2650" t="e">
        <v>#N/A</v>
      </c>
      <c r="D340" s="2534" t="e">
        <v>#N/A</v>
      </c>
      <c r="E340" s="2538" t="e">
        <v>#N/A</v>
      </c>
      <c r="F340" s="2539" t="e">
        <v>#N/A</v>
      </c>
      <c r="G340" s="2539" t="e">
        <v>#N/A</v>
      </c>
      <c r="H340" s="2539" t="e">
        <v>#N/A</v>
      </c>
      <c r="I340" s="2539" t="e">
        <v>#N/A</v>
      </c>
      <c r="J340" s="2540" t="e">
        <v>#N/A</v>
      </c>
      <c r="K340" s="2539" t="e">
        <v>#N/A</v>
      </c>
      <c r="L340" s="2539" t="e">
        <v>#N/A</v>
      </c>
      <c r="M340" s="2539" t="e">
        <v>#N/A</v>
      </c>
      <c r="N340" s="2539" t="e">
        <v>#N/A</v>
      </c>
      <c r="O340" s="2539" t="e">
        <v>#N/A</v>
      </c>
      <c r="P340" s="2541" t="e">
        <v>#N/A</v>
      </c>
    </row>
    <row r="341" spans="1:16">
      <c r="A341" s="329">
        <f t="shared" si="3"/>
        <v>2025.08</v>
      </c>
      <c r="B341" s="2592" t="e">
        <v>#N/A</v>
      </c>
      <c r="C341" s="2650" t="e">
        <v>#N/A</v>
      </c>
      <c r="D341" s="2534" t="e">
        <v>#N/A</v>
      </c>
      <c r="E341" s="2538" t="e">
        <v>#N/A</v>
      </c>
      <c r="F341" s="2539" t="e">
        <v>#N/A</v>
      </c>
      <c r="G341" s="2539" t="e">
        <v>#N/A</v>
      </c>
      <c r="H341" s="2539" t="e">
        <v>#N/A</v>
      </c>
      <c r="I341" s="2539" t="e">
        <v>#N/A</v>
      </c>
      <c r="J341" s="2540" t="e">
        <v>#N/A</v>
      </c>
      <c r="K341" s="2539" t="e">
        <v>#N/A</v>
      </c>
      <c r="L341" s="2539" t="e">
        <v>#N/A</v>
      </c>
      <c r="M341" s="2539" t="e">
        <v>#N/A</v>
      </c>
      <c r="N341" s="2539" t="e">
        <v>#N/A</v>
      </c>
      <c r="O341" s="2539" t="e">
        <v>#N/A</v>
      </c>
      <c r="P341" s="2541" t="e">
        <v>#N/A</v>
      </c>
    </row>
    <row r="342" spans="1:16">
      <c r="A342" s="329">
        <f t="shared" si="3"/>
        <v>2025.09</v>
      </c>
      <c r="B342" s="2592" t="e">
        <v>#N/A</v>
      </c>
      <c r="C342" s="2650" t="e">
        <v>#N/A</v>
      </c>
      <c r="D342" s="2534" t="e">
        <v>#N/A</v>
      </c>
      <c r="E342" s="2538" t="e">
        <v>#N/A</v>
      </c>
      <c r="F342" s="2539" t="e">
        <v>#N/A</v>
      </c>
      <c r="G342" s="2539" t="e">
        <v>#N/A</v>
      </c>
      <c r="H342" s="2539" t="e">
        <v>#N/A</v>
      </c>
      <c r="I342" s="2539" t="e">
        <v>#N/A</v>
      </c>
      <c r="J342" s="2540" t="e">
        <v>#N/A</v>
      </c>
      <c r="K342" s="2539" t="e">
        <v>#N/A</v>
      </c>
      <c r="L342" s="2539" t="e">
        <v>#N/A</v>
      </c>
      <c r="M342" s="2539" t="e">
        <v>#N/A</v>
      </c>
      <c r="N342" s="2539" t="e">
        <v>#N/A</v>
      </c>
      <c r="O342" s="2539" t="e">
        <v>#N/A</v>
      </c>
      <c r="P342" s="2541" t="e">
        <v>#N/A</v>
      </c>
    </row>
    <row r="343" spans="1:16">
      <c r="A343" s="329">
        <f t="shared" si="3"/>
        <v>2025.1</v>
      </c>
      <c r="B343" s="2592" t="e">
        <v>#N/A</v>
      </c>
      <c r="C343" s="2650" t="e">
        <v>#N/A</v>
      </c>
      <c r="D343" s="2534" t="e">
        <v>#N/A</v>
      </c>
      <c r="E343" s="2538" t="e">
        <v>#N/A</v>
      </c>
      <c r="F343" s="2539" t="e">
        <v>#N/A</v>
      </c>
      <c r="G343" s="2539" t="e">
        <v>#N/A</v>
      </c>
      <c r="H343" s="2539" t="e">
        <v>#N/A</v>
      </c>
      <c r="I343" s="2539" t="e">
        <v>#N/A</v>
      </c>
      <c r="J343" s="2540" t="e">
        <v>#N/A</v>
      </c>
      <c r="K343" s="2539" t="e">
        <v>#N/A</v>
      </c>
      <c r="L343" s="2539" t="e">
        <v>#N/A</v>
      </c>
      <c r="M343" s="2539" t="e">
        <v>#N/A</v>
      </c>
      <c r="N343" s="2539" t="e">
        <v>#N/A</v>
      </c>
      <c r="O343" s="2539" t="e">
        <v>#N/A</v>
      </c>
      <c r="P343" s="2541" t="e">
        <v>#N/A</v>
      </c>
    </row>
    <row r="344" spans="1:16">
      <c r="A344" s="329">
        <f t="shared" si="3"/>
        <v>2025.11</v>
      </c>
      <c r="B344" s="2592" t="e">
        <v>#N/A</v>
      </c>
      <c r="C344" s="2650" t="e">
        <v>#N/A</v>
      </c>
      <c r="D344" s="2534" t="e">
        <v>#N/A</v>
      </c>
      <c r="E344" s="2538" t="e">
        <v>#N/A</v>
      </c>
      <c r="F344" s="2539" t="e">
        <v>#N/A</v>
      </c>
      <c r="G344" s="2539" t="e">
        <v>#N/A</v>
      </c>
      <c r="H344" s="2539" t="e">
        <v>#N/A</v>
      </c>
      <c r="I344" s="2539" t="e">
        <v>#N/A</v>
      </c>
      <c r="J344" s="2540" t="e">
        <v>#N/A</v>
      </c>
      <c r="K344" s="2539" t="e">
        <v>#N/A</v>
      </c>
      <c r="L344" s="2539" t="e">
        <v>#N/A</v>
      </c>
      <c r="M344" s="2539" t="e">
        <v>#N/A</v>
      </c>
      <c r="N344" s="2539" t="e">
        <v>#N/A</v>
      </c>
      <c r="O344" s="2539" t="e">
        <v>#N/A</v>
      </c>
      <c r="P344" s="2541" t="e">
        <v>#N/A</v>
      </c>
    </row>
    <row r="345" spans="1:16">
      <c r="A345" s="329">
        <f t="shared" si="3"/>
        <v>2025.12</v>
      </c>
      <c r="B345" s="2592" t="e">
        <v>#N/A</v>
      </c>
      <c r="C345" s="2650" t="e">
        <v>#N/A</v>
      </c>
      <c r="D345" s="2534" t="e">
        <v>#N/A</v>
      </c>
      <c r="E345" s="2538" t="e">
        <v>#N/A</v>
      </c>
      <c r="F345" s="2539" t="e">
        <v>#N/A</v>
      </c>
      <c r="G345" s="2539" t="e">
        <v>#N/A</v>
      </c>
      <c r="H345" s="2539" t="e">
        <v>#N/A</v>
      </c>
      <c r="I345" s="2539" t="e">
        <v>#N/A</v>
      </c>
      <c r="J345" s="2540" t="e">
        <v>#N/A</v>
      </c>
      <c r="K345" s="2539" t="e">
        <v>#N/A</v>
      </c>
      <c r="L345" s="2539" t="e">
        <v>#N/A</v>
      </c>
      <c r="M345" s="2539" t="e">
        <v>#N/A</v>
      </c>
      <c r="N345" s="2539" t="e">
        <v>#N/A</v>
      </c>
      <c r="O345" s="2539" t="e">
        <v>#N/A</v>
      </c>
      <c r="P345" s="2541" t="e">
        <v>#N/A</v>
      </c>
    </row>
    <row r="346" spans="1:16">
      <c r="A346" s="329">
        <f t="shared" si="3"/>
        <v>2026.01</v>
      </c>
      <c r="B346" s="2592" t="e">
        <v>#N/A</v>
      </c>
      <c r="C346" s="2650" t="e">
        <v>#N/A</v>
      </c>
      <c r="D346" s="2534" t="e">
        <v>#N/A</v>
      </c>
      <c r="E346" s="2538" t="e">
        <v>#N/A</v>
      </c>
      <c r="F346" s="2539" t="e">
        <v>#N/A</v>
      </c>
      <c r="G346" s="2539" t="e">
        <v>#N/A</v>
      </c>
      <c r="H346" s="2539" t="e">
        <v>#N/A</v>
      </c>
      <c r="I346" s="2539" t="e">
        <v>#N/A</v>
      </c>
      <c r="J346" s="2540" t="e">
        <v>#N/A</v>
      </c>
      <c r="K346" s="2539" t="e">
        <v>#N/A</v>
      </c>
      <c r="L346" s="2539" t="e">
        <v>#N/A</v>
      </c>
      <c r="M346" s="2539" t="e">
        <v>#N/A</v>
      </c>
      <c r="N346" s="2539" t="e">
        <v>#N/A</v>
      </c>
      <c r="O346" s="2539" t="e">
        <v>#N/A</v>
      </c>
      <c r="P346" s="2541" t="e">
        <v>#N/A</v>
      </c>
    </row>
    <row r="347" spans="1:16">
      <c r="A347" s="329">
        <f t="shared" si="3"/>
        <v>2026.02</v>
      </c>
      <c r="B347" s="2592" t="e">
        <v>#N/A</v>
      </c>
      <c r="C347" s="2650" t="e">
        <v>#N/A</v>
      </c>
      <c r="D347" s="2534" t="e">
        <v>#N/A</v>
      </c>
      <c r="E347" s="2538" t="e">
        <v>#N/A</v>
      </c>
      <c r="F347" s="2539" t="e">
        <v>#N/A</v>
      </c>
      <c r="G347" s="2539" t="e">
        <v>#N/A</v>
      </c>
      <c r="H347" s="2539" t="e">
        <v>#N/A</v>
      </c>
      <c r="I347" s="2539" t="e">
        <v>#N/A</v>
      </c>
      <c r="J347" s="2540" t="e">
        <v>#N/A</v>
      </c>
      <c r="K347" s="2539" t="e">
        <v>#N/A</v>
      </c>
      <c r="L347" s="2539" t="e">
        <v>#N/A</v>
      </c>
      <c r="M347" s="2539" t="e">
        <v>#N/A</v>
      </c>
      <c r="N347" s="2539" t="e">
        <v>#N/A</v>
      </c>
      <c r="O347" s="2539" t="e">
        <v>#N/A</v>
      </c>
      <c r="P347" s="2541" t="e">
        <v>#N/A</v>
      </c>
    </row>
    <row r="348" spans="1:16">
      <c r="A348" s="329">
        <f t="shared" si="3"/>
        <v>2026.03</v>
      </c>
      <c r="B348" s="2592" t="e">
        <v>#N/A</v>
      </c>
      <c r="C348" s="2650" t="e">
        <v>#N/A</v>
      </c>
      <c r="D348" s="2534" t="e">
        <v>#N/A</v>
      </c>
      <c r="E348" s="2538" t="e">
        <v>#N/A</v>
      </c>
      <c r="F348" s="2539" t="e">
        <v>#N/A</v>
      </c>
      <c r="G348" s="2539" t="e">
        <v>#N/A</v>
      </c>
      <c r="H348" s="2539" t="e">
        <v>#N/A</v>
      </c>
      <c r="I348" s="2539" t="e">
        <v>#N/A</v>
      </c>
      <c r="J348" s="2540" t="e">
        <v>#N/A</v>
      </c>
      <c r="K348" s="2539" t="e">
        <v>#N/A</v>
      </c>
      <c r="L348" s="2539" t="e">
        <v>#N/A</v>
      </c>
      <c r="M348" s="2539" t="e">
        <v>#N/A</v>
      </c>
      <c r="N348" s="2539" t="e">
        <v>#N/A</v>
      </c>
      <c r="O348" s="2539" t="e">
        <v>#N/A</v>
      </c>
      <c r="P348" s="2541" t="e">
        <v>#N/A</v>
      </c>
    </row>
    <row r="349" spans="1:16">
      <c r="A349" s="329">
        <f t="shared" si="3"/>
        <v>2026.04</v>
      </c>
      <c r="B349" s="2592" t="e">
        <v>#N/A</v>
      </c>
      <c r="C349" s="2650" t="e">
        <v>#N/A</v>
      </c>
      <c r="D349" s="2534" t="e">
        <v>#N/A</v>
      </c>
      <c r="E349" s="2538" t="e">
        <v>#N/A</v>
      </c>
      <c r="F349" s="2539" t="e">
        <v>#N/A</v>
      </c>
      <c r="G349" s="2539" t="e">
        <v>#N/A</v>
      </c>
      <c r="H349" s="2539" t="e">
        <v>#N/A</v>
      </c>
      <c r="I349" s="2539" t="e">
        <v>#N/A</v>
      </c>
      <c r="J349" s="2540" t="e">
        <v>#N/A</v>
      </c>
      <c r="K349" s="2539" t="e">
        <v>#N/A</v>
      </c>
      <c r="L349" s="2539" t="e">
        <v>#N/A</v>
      </c>
      <c r="M349" s="2539" t="e">
        <v>#N/A</v>
      </c>
      <c r="N349" s="2539" t="e">
        <v>#N/A</v>
      </c>
      <c r="O349" s="2539" t="e">
        <v>#N/A</v>
      </c>
      <c r="P349" s="2541" t="e">
        <v>#N/A</v>
      </c>
    </row>
    <row r="350" spans="1:16">
      <c r="A350" s="329">
        <f t="shared" si="3"/>
        <v>2026.05</v>
      </c>
      <c r="B350" s="2592" t="e">
        <v>#N/A</v>
      </c>
      <c r="C350" s="2650" t="e">
        <v>#N/A</v>
      </c>
      <c r="D350" s="2534" t="e">
        <v>#N/A</v>
      </c>
      <c r="E350" s="2538" t="e">
        <v>#N/A</v>
      </c>
      <c r="F350" s="2539" t="e">
        <v>#N/A</v>
      </c>
      <c r="G350" s="2539" t="e">
        <v>#N/A</v>
      </c>
      <c r="H350" s="2539" t="e">
        <v>#N/A</v>
      </c>
      <c r="I350" s="2539" t="e">
        <v>#N/A</v>
      </c>
      <c r="J350" s="2540" t="e">
        <v>#N/A</v>
      </c>
      <c r="K350" s="2539" t="e">
        <v>#N/A</v>
      </c>
      <c r="L350" s="2539" t="e">
        <v>#N/A</v>
      </c>
      <c r="M350" s="2539" t="e">
        <v>#N/A</v>
      </c>
      <c r="N350" s="2539" t="e">
        <v>#N/A</v>
      </c>
      <c r="O350" s="2539" t="e">
        <v>#N/A</v>
      </c>
      <c r="P350" s="2541" t="e">
        <v>#N/A</v>
      </c>
    </row>
    <row r="351" spans="1:16">
      <c r="A351" s="329">
        <f t="shared" si="3"/>
        <v>2026.06</v>
      </c>
      <c r="B351" s="2592" t="e">
        <v>#N/A</v>
      </c>
      <c r="C351" s="2650" t="e">
        <v>#N/A</v>
      </c>
      <c r="D351" s="2534" t="e">
        <v>#N/A</v>
      </c>
      <c r="E351" s="2538" t="e">
        <v>#N/A</v>
      </c>
      <c r="F351" s="2539" t="e">
        <v>#N/A</v>
      </c>
      <c r="G351" s="2539" t="e">
        <v>#N/A</v>
      </c>
      <c r="H351" s="2539" t="e">
        <v>#N/A</v>
      </c>
      <c r="I351" s="2539" t="e">
        <v>#N/A</v>
      </c>
      <c r="J351" s="2540" t="e">
        <v>#N/A</v>
      </c>
      <c r="K351" s="2539" t="e">
        <v>#N/A</v>
      </c>
      <c r="L351" s="2539" t="e">
        <v>#N/A</v>
      </c>
      <c r="M351" s="2539" t="e">
        <v>#N/A</v>
      </c>
      <c r="N351" s="2539" t="e">
        <v>#N/A</v>
      </c>
      <c r="O351" s="2539" t="e">
        <v>#N/A</v>
      </c>
      <c r="P351" s="2541" t="e">
        <v>#N/A</v>
      </c>
    </row>
    <row r="352" spans="1:16">
      <c r="A352" s="329">
        <f t="shared" si="3"/>
        <v>2026.07</v>
      </c>
      <c r="B352" s="2592" t="e">
        <v>#N/A</v>
      </c>
      <c r="C352" s="2650" t="e">
        <v>#N/A</v>
      </c>
      <c r="D352" s="2534" t="e">
        <v>#N/A</v>
      </c>
      <c r="E352" s="2538" t="e">
        <v>#N/A</v>
      </c>
      <c r="F352" s="2539" t="e">
        <v>#N/A</v>
      </c>
      <c r="G352" s="2539" t="e">
        <v>#N/A</v>
      </c>
      <c r="H352" s="2539" t="e">
        <v>#N/A</v>
      </c>
      <c r="I352" s="2539" t="e">
        <v>#N/A</v>
      </c>
      <c r="J352" s="2540" t="e">
        <v>#N/A</v>
      </c>
      <c r="K352" s="2539" t="e">
        <v>#N/A</v>
      </c>
      <c r="L352" s="2539" t="e">
        <v>#N/A</v>
      </c>
      <c r="M352" s="2539" t="e">
        <v>#N/A</v>
      </c>
      <c r="N352" s="2539" t="e">
        <v>#N/A</v>
      </c>
      <c r="O352" s="2539" t="e">
        <v>#N/A</v>
      </c>
      <c r="P352" s="2541" t="e">
        <v>#N/A</v>
      </c>
    </row>
    <row r="353" spans="1:16">
      <c r="A353" s="329">
        <f t="shared" si="3"/>
        <v>2026.08</v>
      </c>
      <c r="B353" s="2592" t="e">
        <v>#N/A</v>
      </c>
      <c r="C353" s="2650" t="e">
        <v>#N/A</v>
      </c>
      <c r="D353" s="2534" t="e">
        <v>#N/A</v>
      </c>
      <c r="E353" s="2538" t="e">
        <v>#N/A</v>
      </c>
      <c r="F353" s="2539" t="e">
        <v>#N/A</v>
      </c>
      <c r="G353" s="2539" t="e">
        <v>#N/A</v>
      </c>
      <c r="H353" s="2539" t="e">
        <v>#N/A</v>
      </c>
      <c r="I353" s="2539" t="e">
        <v>#N/A</v>
      </c>
      <c r="J353" s="2540" t="e">
        <v>#N/A</v>
      </c>
      <c r="K353" s="2539" t="e">
        <v>#N/A</v>
      </c>
      <c r="L353" s="2539" t="e">
        <v>#N/A</v>
      </c>
      <c r="M353" s="2539" t="e">
        <v>#N/A</v>
      </c>
      <c r="N353" s="2539" t="e">
        <v>#N/A</v>
      </c>
      <c r="O353" s="2539" t="e">
        <v>#N/A</v>
      </c>
      <c r="P353" s="2541" t="e">
        <v>#N/A</v>
      </c>
    </row>
    <row r="354" spans="1:16">
      <c r="A354" s="329">
        <f t="shared" si="3"/>
        <v>2026.09</v>
      </c>
      <c r="B354" s="2592" t="e">
        <v>#N/A</v>
      </c>
      <c r="C354" s="2650" t="e">
        <v>#N/A</v>
      </c>
      <c r="D354" s="2534" t="e">
        <v>#N/A</v>
      </c>
      <c r="E354" s="2538" t="e">
        <v>#N/A</v>
      </c>
      <c r="F354" s="2539" t="e">
        <v>#N/A</v>
      </c>
      <c r="G354" s="2539" t="e">
        <v>#N/A</v>
      </c>
      <c r="H354" s="2539" t="e">
        <v>#N/A</v>
      </c>
      <c r="I354" s="2539" t="e">
        <v>#N/A</v>
      </c>
      <c r="J354" s="2540" t="e">
        <v>#N/A</v>
      </c>
      <c r="K354" s="2539" t="e">
        <v>#N/A</v>
      </c>
      <c r="L354" s="2539" t="e">
        <v>#N/A</v>
      </c>
      <c r="M354" s="2539" t="e">
        <v>#N/A</v>
      </c>
      <c r="N354" s="2539" t="e">
        <v>#N/A</v>
      </c>
      <c r="O354" s="2539" t="e">
        <v>#N/A</v>
      </c>
      <c r="P354" s="2541" t="e">
        <v>#N/A</v>
      </c>
    </row>
    <row r="355" spans="1:16">
      <c r="A355" s="329">
        <f t="shared" si="3"/>
        <v>2026.1</v>
      </c>
      <c r="B355" s="2592" t="e">
        <v>#N/A</v>
      </c>
      <c r="C355" s="2650" t="e">
        <v>#N/A</v>
      </c>
      <c r="D355" s="2534" t="e">
        <v>#N/A</v>
      </c>
      <c r="E355" s="2538" t="e">
        <v>#N/A</v>
      </c>
      <c r="F355" s="2539" t="e">
        <v>#N/A</v>
      </c>
      <c r="G355" s="2539" t="e">
        <v>#N/A</v>
      </c>
      <c r="H355" s="2539" t="e">
        <v>#N/A</v>
      </c>
      <c r="I355" s="2539" t="e">
        <v>#N/A</v>
      </c>
      <c r="J355" s="2540" t="e">
        <v>#N/A</v>
      </c>
      <c r="K355" s="2539" t="e">
        <v>#N/A</v>
      </c>
      <c r="L355" s="2539" t="e">
        <v>#N/A</v>
      </c>
      <c r="M355" s="2539" t="e">
        <v>#N/A</v>
      </c>
      <c r="N355" s="2539" t="e">
        <v>#N/A</v>
      </c>
      <c r="O355" s="2539" t="e">
        <v>#N/A</v>
      </c>
      <c r="P355" s="2541" t="e">
        <v>#N/A</v>
      </c>
    </row>
    <row r="356" spans="1:16">
      <c r="A356" s="329">
        <f t="shared" si="3"/>
        <v>2026.11</v>
      </c>
      <c r="B356" s="2592" t="e">
        <v>#N/A</v>
      </c>
      <c r="C356" s="2650" t="e">
        <v>#N/A</v>
      </c>
      <c r="D356" s="2534" t="e">
        <v>#N/A</v>
      </c>
      <c r="E356" s="2538" t="e">
        <v>#N/A</v>
      </c>
      <c r="F356" s="2539" t="e">
        <v>#N/A</v>
      </c>
      <c r="G356" s="2539" t="e">
        <v>#N/A</v>
      </c>
      <c r="H356" s="2539" t="e">
        <v>#N/A</v>
      </c>
      <c r="I356" s="2539" t="e">
        <v>#N/A</v>
      </c>
      <c r="J356" s="2540" t="e">
        <v>#N/A</v>
      </c>
      <c r="K356" s="2539" t="e">
        <v>#N/A</v>
      </c>
      <c r="L356" s="2539" t="e">
        <v>#N/A</v>
      </c>
      <c r="M356" s="2539" t="e">
        <v>#N/A</v>
      </c>
      <c r="N356" s="2539" t="e">
        <v>#N/A</v>
      </c>
      <c r="O356" s="2539" t="e">
        <v>#N/A</v>
      </c>
      <c r="P356" s="2541" t="e">
        <v>#N/A</v>
      </c>
    </row>
    <row r="357" spans="1:16">
      <c r="A357" s="329">
        <f t="shared" si="3"/>
        <v>2026.12</v>
      </c>
      <c r="B357" s="2592" t="e">
        <v>#N/A</v>
      </c>
      <c r="C357" s="2650" t="e">
        <v>#N/A</v>
      </c>
      <c r="D357" s="2534" t="e">
        <v>#N/A</v>
      </c>
      <c r="E357" s="2538" t="e">
        <v>#N/A</v>
      </c>
      <c r="F357" s="2539" t="e">
        <v>#N/A</v>
      </c>
      <c r="G357" s="2539" t="e">
        <v>#N/A</v>
      </c>
      <c r="H357" s="2539" t="e">
        <v>#N/A</v>
      </c>
      <c r="I357" s="2539" t="e">
        <v>#N/A</v>
      </c>
      <c r="J357" s="2540" t="e">
        <v>#N/A</v>
      </c>
      <c r="K357" s="2539" t="e">
        <v>#N/A</v>
      </c>
      <c r="L357" s="2539" t="e">
        <v>#N/A</v>
      </c>
      <c r="M357" s="2539" t="e">
        <v>#N/A</v>
      </c>
      <c r="N357" s="2539" t="e">
        <v>#N/A</v>
      </c>
      <c r="O357" s="2539" t="e">
        <v>#N/A</v>
      </c>
      <c r="P357" s="2541" t="e">
        <v>#N/A</v>
      </c>
    </row>
    <row r="358" spans="1:16">
      <c r="A358" s="329">
        <f t="shared" si="3"/>
        <v>2027.01</v>
      </c>
      <c r="B358" s="2592" t="e">
        <v>#N/A</v>
      </c>
      <c r="C358" s="2650" t="e">
        <v>#N/A</v>
      </c>
      <c r="D358" s="2534" t="e">
        <v>#N/A</v>
      </c>
      <c r="E358" s="2538" t="e">
        <v>#N/A</v>
      </c>
      <c r="F358" s="2539" t="e">
        <v>#N/A</v>
      </c>
      <c r="G358" s="2539" t="e">
        <v>#N/A</v>
      </c>
      <c r="H358" s="2539" t="e">
        <v>#N/A</v>
      </c>
      <c r="I358" s="2539" t="e">
        <v>#N/A</v>
      </c>
      <c r="J358" s="2540" t="e">
        <v>#N/A</v>
      </c>
      <c r="K358" s="2539" t="e">
        <v>#N/A</v>
      </c>
      <c r="L358" s="2539" t="e">
        <v>#N/A</v>
      </c>
      <c r="M358" s="2539" t="e">
        <v>#N/A</v>
      </c>
      <c r="N358" s="2539" t="e">
        <v>#N/A</v>
      </c>
      <c r="O358" s="2539" t="e">
        <v>#N/A</v>
      </c>
      <c r="P358" s="2541" t="e">
        <v>#N/A</v>
      </c>
    </row>
    <row r="359" spans="1:16">
      <c r="A359" s="329">
        <f t="shared" si="3"/>
        <v>2027.02</v>
      </c>
      <c r="B359" s="2592" t="e">
        <v>#N/A</v>
      </c>
      <c r="C359" s="2650" t="e">
        <v>#N/A</v>
      </c>
      <c r="D359" s="2534" t="e">
        <v>#N/A</v>
      </c>
      <c r="E359" s="2538" t="e">
        <v>#N/A</v>
      </c>
      <c r="F359" s="2539" t="e">
        <v>#N/A</v>
      </c>
      <c r="G359" s="2539" t="e">
        <v>#N/A</v>
      </c>
      <c r="H359" s="2539" t="e">
        <v>#N/A</v>
      </c>
      <c r="I359" s="2539" t="e">
        <v>#N/A</v>
      </c>
      <c r="J359" s="2540" t="e">
        <v>#N/A</v>
      </c>
      <c r="K359" s="2539" t="e">
        <v>#N/A</v>
      </c>
      <c r="L359" s="2539" t="e">
        <v>#N/A</v>
      </c>
      <c r="M359" s="2539" t="e">
        <v>#N/A</v>
      </c>
      <c r="N359" s="2539" t="e">
        <v>#N/A</v>
      </c>
      <c r="O359" s="2539" t="e">
        <v>#N/A</v>
      </c>
      <c r="P359" s="2541" t="e">
        <v>#N/A</v>
      </c>
    </row>
    <row r="360" spans="1:16">
      <c r="A360" s="329">
        <f t="shared" si="3"/>
        <v>2027.03</v>
      </c>
      <c r="B360" s="2592" t="e">
        <v>#N/A</v>
      </c>
      <c r="C360" s="2650" t="e">
        <v>#N/A</v>
      </c>
      <c r="D360" s="2534" t="e">
        <v>#N/A</v>
      </c>
      <c r="E360" s="2538" t="e">
        <v>#N/A</v>
      </c>
      <c r="F360" s="2539" t="e">
        <v>#N/A</v>
      </c>
      <c r="G360" s="2539" t="e">
        <v>#N/A</v>
      </c>
      <c r="H360" s="2539" t="e">
        <v>#N/A</v>
      </c>
      <c r="I360" s="2539" t="e">
        <v>#N/A</v>
      </c>
      <c r="J360" s="2540" t="e">
        <v>#N/A</v>
      </c>
      <c r="K360" s="2539" t="e">
        <v>#N/A</v>
      </c>
      <c r="L360" s="2539" t="e">
        <v>#N/A</v>
      </c>
      <c r="M360" s="2539" t="e">
        <v>#N/A</v>
      </c>
      <c r="N360" s="2539" t="e">
        <v>#N/A</v>
      </c>
      <c r="O360" s="2539" t="e">
        <v>#N/A</v>
      </c>
      <c r="P360" s="2541" t="e">
        <v>#N/A</v>
      </c>
    </row>
    <row r="361" spans="1:16">
      <c r="A361" s="329">
        <f t="shared" si="3"/>
        <v>2027.04</v>
      </c>
      <c r="B361" s="2592" t="e">
        <v>#N/A</v>
      </c>
      <c r="C361" s="2650" t="e">
        <v>#N/A</v>
      </c>
      <c r="D361" s="2534" t="e">
        <v>#N/A</v>
      </c>
      <c r="E361" s="2538" t="e">
        <v>#N/A</v>
      </c>
      <c r="F361" s="2539" t="e">
        <v>#N/A</v>
      </c>
      <c r="G361" s="2539" t="e">
        <v>#N/A</v>
      </c>
      <c r="H361" s="2539" t="e">
        <v>#N/A</v>
      </c>
      <c r="I361" s="2539" t="e">
        <v>#N/A</v>
      </c>
      <c r="J361" s="2540" t="e">
        <v>#N/A</v>
      </c>
      <c r="K361" s="2539" t="e">
        <v>#N/A</v>
      </c>
      <c r="L361" s="2539" t="e">
        <v>#N/A</v>
      </c>
      <c r="M361" s="2539" t="e">
        <v>#N/A</v>
      </c>
      <c r="N361" s="2539" t="e">
        <v>#N/A</v>
      </c>
      <c r="O361" s="2539" t="e">
        <v>#N/A</v>
      </c>
      <c r="P361" s="2541" t="e">
        <v>#N/A</v>
      </c>
    </row>
    <row r="362" spans="1:16">
      <c r="A362" s="329">
        <f t="shared" si="3"/>
        <v>2027.05</v>
      </c>
      <c r="B362" s="2592" t="e">
        <v>#N/A</v>
      </c>
      <c r="C362" s="2650" t="e">
        <v>#N/A</v>
      </c>
      <c r="D362" s="2534" t="e">
        <v>#N/A</v>
      </c>
      <c r="E362" s="2538" t="e">
        <v>#N/A</v>
      </c>
      <c r="F362" s="2539" t="e">
        <v>#N/A</v>
      </c>
      <c r="G362" s="2539" t="e">
        <v>#N/A</v>
      </c>
      <c r="H362" s="2539" t="e">
        <v>#N/A</v>
      </c>
      <c r="I362" s="2539" t="e">
        <v>#N/A</v>
      </c>
      <c r="J362" s="2540" t="e">
        <v>#N/A</v>
      </c>
      <c r="K362" s="2539" t="e">
        <v>#N/A</v>
      </c>
      <c r="L362" s="2539" t="e">
        <v>#N/A</v>
      </c>
      <c r="M362" s="2539" t="e">
        <v>#N/A</v>
      </c>
      <c r="N362" s="2539" t="e">
        <v>#N/A</v>
      </c>
      <c r="O362" s="2539" t="e">
        <v>#N/A</v>
      </c>
      <c r="P362" s="2541" t="e">
        <v>#N/A</v>
      </c>
    </row>
    <row r="363" spans="1:16">
      <c r="A363" s="329">
        <f t="shared" si="3"/>
        <v>2027.06</v>
      </c>
      <c r="B363" s="2592" t="e">
        <v>#N/A</v>
      </c>
      <c r="C363" s="2650" t="e">
        <v>#N/A</v>
      </c>
      <c r="D363" s="2534" t="e">
        <v>#N/A</v>
      </c>
      <c r="E363" s="2538" t="e">
        <v>#N/A</v>
      </c>
      <c r="F363" s="2539" t="e">
        <v>#N/A</v>
      </c>
      <c r="G363" s="2539" t="e">
        <v>#N/A</v>
      </c>
      <c r="H363" s="2539" t="e">
        <v>#N/A</v>
      </c>
      <c r="I363" s="2539" t="e">
        <v>#N/A</v>
      </c>
      <c r="J363" s="2540" t="e">
        <v>#N/A</v>
      </c>
      <c r="K363" s="2539" t="e">
        <v>#N/A</v>
      </c>
      <c r="L363" s="2539" t="e">
        <v>#N/A</v>
      </c>
      <c r="M363" s="2539" t="e">
        <v>#N/A</v>
      </c>
      <c r="N363" s="2539" t="e">
        <v>#N/A</v>
      </c>
      <c r="O363" s="2539" t="e">
        <v>#N/A</v>
      </c>
      <c r="P363" s="2541" t="e">
        <v>#N/A</v>
      </c>
    </row>
    <row r="364" spans="1:16">
      <c r="A364" s="329">
        <f t="shared" si="3"/>
        <v>2027.07</v>
      </c>
      <c r="B364" s="2592" t="e">
        <v>#N/A</v>
      </c>
      <c r="C364" s="2650" t="e">
        <v>#N/A</v>
      </c>
      <c r="D364" s="2534" t="e">
        <v>#N/A</v>
      </c>
      <c r="E364" s="2538" t="e">
        <v>#N/A</v>
      </c>
      <c r="F364" s="2539" t="e">
        <v>#N/A</v>
      </c>
      <c r="G364" s="2539" t="e">
        <v>#N/A</v>
      </c>
      <c r="H364" s="2539" t="e">
        <v>#N/A</v>
      </c>
      <c r="I364" s="2539" t="e">
        <v>#N/A</v>
      </c>
      <c r="J364" s="2540" t="e">
        <v>#N/A</v>
      </c>
      <c r="K364" s="2539" t="e">
        <v>#N/A</v>
      </c>
      <c r="L364" s="2539" t="e">
        <v>#N/A</v>
      </c>
      <c r="M364" s="2539" t="e">
        <v>#N/A</v>
      </c>
      <c r="N364" s="2539" t="e">
        <v>#N/A</v>
      </c>
      <c r="O364" s="2539" t="e">
        <v>#N/A</v>
      </c>
      <c r="P364" s="2541" t="e">
        <v>#N/A</v>
      </c>
    </row>
    <row r="365" spans="1:16">
      <c r="A365" s="329">
        <f t="shared" si="3"/>
        <v>2027.08</v>
      </c>
      <c r="B365" s="2592" t="e">
        <v>#N/A</v>
      </c>
      <c r="C365" s="2650" t="e">
        <v>#N/A</v>
      </c>
      <c r="D365" s="2534" t="e">
        <v>#N/A</v>
      </c>
      <c r="E365" s="2538" t="e">
        <v>#N/A</v>
      </c>
      <c r="F365" s="2539" t="e">
        <v>#N/A</v>
      </c>
      <c r="G365" s="2539" t="e">
        <v>#N/A</v>
      </c>
      <c r="H365" s="2539" t="e">
        <v>#N/A</v>
      </c>
      <c r="I365" s="2539" t="e">
        <v>#N/A</v>
      </c>
      <c r="J365" s="2540" t="e">
        <v>#N/A</v>
      </c>
      <c r="K365" s="2539" t="e">
        <v>#N/A</v>
      </c>
      <c r="L365" s="2539" t="e">
        <v>#N/A</v>
      </c>
      <c r="M365" s="2539" t="e">
        <v>#N/A</v>
      </c>
      <c r="N365" s="2539" t="e">
        <v>#N/A</v>
      </c>
      <c r="O365" s="2539" t="e">
        <v>#N/A</v>
      </c>
      <c r="P365" s="2541" t="e">
        <v>#N/A</v>
      </c>
    </row>
    <row r="366" spans="1:16">
      <c r="A366" s="329">
        <f t="shared" si="3"/>
        <v>2027.09</v>
      </c>
      <c r="B366" s="2592" t="e">
        <v>#N/A</v>
      </c>
      <c r="C366" s="2650" t="e">
        <v>#N/A</v>
      </c>
      <c r="D366" s="2534" t="e">
        <v>#N/A</v>
      </c>
      <c r="E366" s="2538" t="e">
        <v>#N/A</v>
      </c>
      <c r="F366" s="2539" t="e">
        <v>#N/A</v>
      </c>
      <c r="G366" s="2539" t="e">
        <v>#N/A</v>
      </c>
      <c r="H366" s="2539" t="e">
        <v>#N/A</v>
      </c>
      <c r="I366" s="2539" t="e">
        <v>#N/A</v>
      </c>
      <c r="J366" s="2540" t="e">
        <v>#N/A</v>
      </c>
      <c r="K366" s="2539" t="e">
        <v>#N/A</v>
      </c>
      <c r="L366" s="2539" t="e">
        <v>#N/A</v>
      </c>
      <c r="M366" s="2539" t="e">
        <v>#N/A</v>
      </c>
      <c r="N366" s="2539" t="e">
        <v>#N/A</v>
      </c>
      <c r="O366" s="2539" t="e">
        <v>#N/A</v>
      </c>
      <c r="P366" s="2541" t="e">
        <v>#N/A</v>
      </c>
    </row>
    <row r="367" spans="1:16">
      <c r="A367" s="329">
        <f t="shared" si="3"/>
        <v>2027.1</v>
      </c>
      <c r="B367" s="2592" t="e">
        <v>#N/A</v>
      </c>
      <c r="C367" s="2650" t="e">
        <v>#N/A</v>
      </c>
      <c r="D367" s="2534" t="e">
        <v>#N/A</v>
      </c>
      <c r="E367" s="2538" t="e">
        <v>#N/A</v>
      </c>
      <c r="F367" s="2539" t="e">
        <v>#N/A</v>
      </c>
      <c r="G367" s="2539" t="e">
        <v>#N/A</v>
      </c>
      <c r="H367" s="2539" t="e">
        <v>#N/A</v>
      </c>
      <c r="I367" s="2539" t="e">
        <v>#N/A</v>
      </c>
      <c r="J367" s="2540" t="e">
        <v>#N/A</v>
      </c>
      <c r="K367" s="2539" t="e">
        <v>#N/A</v>
      </c>
      <c r="L367" s="2539" t="e">
        <v>#N/A</v>
      </c>
      <c r="M367" s="2539" t="e">
        <v>#N/A</v>
      </c>
      <c r="N367" s="2539" t="e">
        <v>#N/A</v>
      </c>
      <c r="O367" s="2539" t="e">
        <v>#N/A</v>
      </c>
      <c r="P367" s="2541" t="e">
        <v>#N/A</v>
      </c>
    </row>
    <row r="368" spans="1:16">
      <c r="A368" s="329">
        <f t="shared" si="3"/>
        <v>2027.11</v>
      </c>
      <c r="B368" s="2592" t="e">
        <v>#N/A</v>
      </c>
      <c r="C368" s="2650" t="e">
        <v>#N/A</v>
      </c>
      <c r="D368" s="2534" t="e">
        <v>#N/A</v>
      </c>
      <c r="E368" s="2538" t="e">
        <v>#N/A</v>
      </c>
      <c r="F368" s="2539" t="e">
        <v>#N/A</v>
      </c>
      <c r="G368" s="2539" t="e">
        <v>#N/A</v>
      </c>
      <c r="H368" s="2539" t="e">
        <v>#N/A</v>
      </c>
      <c r="I368" s="2539" t="e">
        <v>#N/A</v>
      </c>
      <c r="J368" s="2540" t="e">
        <v>#N/A</v>
      </c>
      <c r="K368" s="2539" t="e">
        <v>#N/A</v>
      </c>
      <c r="L368" s="2539" t="e">
        <v>#N/A</v>
      </c>
      <c r="M368" s="2539" t="e">
        <v>#N/A</v>
      </c>
      <c r="N368" s="2539" t="e">
        <v>#N/A</v>
      </c>
      <c r="O368" s="2539" t="e">
        <v>#N/A</v>
      </c>
      <c r="P368" s="2541" t="e">
        <v>#N/A</v>
      </c>
    </row>
    <row r="369" spans="1:16">
      <c r="A369" s="329">
        <f t="shared" si="3"/>
        <v>2027.12</v>
      </c>
      <c r="B369" s="2592" t="e">
        <v>#N/A</v>
      </c>
      <c r="C369" s="2650" t="e">
        <v>#N/A</v>
      </c>
      <c r="D369" s="2534" t="e">
        <v>#N/A</v>
      </c>
      <c r="E369" s="2538" t="e">
        <v>#N/A</v>
      </c>
      <c r="F369" s="2539" t="e">
        <v>#N/A</v>
      </c>
      <c r="G369" s="2539" t="e">
        <v>#N/A</v>
      </c>
      <c r="H369" s="2539" t="e">
        <v>#N/A</v>
      </c>
      <c r="I369" s="2539" t="e">
        <v>#N/A</v>
      </c>
      <c r="J369" s="2540" t="e">
        <v>#N/A</v>
      </c>
      <c r="K369" s="2539" t="e">
        <v>#N/A</v>
      </c>
      <c r="L369" s="2539" t="e">
        <v>#N/A</v>
      </c>
      <c r="M369" s="2539" t="e">
        <v>#N/A</v>
      </c>
      <c r="N369" s="2539" t="e">
        <v>#N/A</v>
      </c>
      <c r="O369" s="2539" t="e">
        <v>#N/A</v>
      </c>
      <c r="P369" s="2541" t="e">
        <v>#N/A</v>
      </c>
    </row>
    <row r="370" spans="1:16">
      <c r="A370" s="329">
        <f t="shared" si="3"/>
        <v>2028.01</v>
      </c>
      <c r="B370" s="2592" t="e">
        <v>#N/A</v>
      </c>
      <c r="C370" s="2650" t="e">
        <v>#N/A</v>
      </c>
      <c r="D370" s="2534" t="e">
        <v>#N/A</v>
      </c>
      <c r="E370" s="2538" t="e">
        <v>#N/A</v>
      </c>
      <c r="F370" s="2539" t="e">
        <v>#N/A</v>
      </c>
      <c r="G370" s="2539" t="e">
        <v>#N/A</v>
      </c>
      <c r="H370" s="2539" t="e">
        <v>#N/A</v>
      </c>
      <c r="I370" s="2539" t="e">
        <v>#N/A</v>
      </c>
      <c r="J370" s="2540" t="e">
        <v>#N/A</v>
      </c>
      <c r="K370" s="2539" t="e">
        <v>#N/A</v>
      </c>
      <c r="L370" s="2539" t="e">
        <v>#N/A</v>
      </c>
      <c r="M370" s="2539" t="e">
        <v>#N/A</v>
      </c>
      <c r="N370" s="2539" t="e">
        <v>#N/A</v>
      </c>
      <c r="O370" s="2539" t="e">
        <v>#N/A</v>
      </c>
      <c r="P370" s="2541" t="e">
        <v>#N/A</v>
      </c>
    </row>
    <row r="371" spans="1:16">
      <c r="A371" s="329">
        <f t="shared" si="3"/>
        <v>2028.02</v>
      </c>
      <c r="B371" s="2592" t="e">
        <v>#N/A</v>
      </c>
      <c r="C371" s="2650" t="e">
        <v>#N/A</v>
      </c>
      <c r="D371" s="2534" t="e">
        <v>#N/A</v>
      </c>
      <c r="E371" s="2538" t="e">
        <v>#N/A</v>
      </c>
      <c r="F371" s="2539" t="e">
        <v>#N/A</v>
      </c>
      <c r="G371" s="2539" t="e">
        <v>#N/A</v>
      </c>
      <c r="H371" s="2539" t="e">
        <v>#N/A</v>
      </c>
      <c r="I371" s="2539" t="e">
        <v>#N/A</v>
      </c>
      <c r="J371" s="2540" t="e">
        <v>#N/A</v>
      </c>
      <c r="K371" s="2539" t="e">
        <v>#N/A</v>
      </c>
      <c r="L371" s="2539" t="e">
        <v>#N/A</v>
      </c>
      <c r="M371" s="2539" t="e">
        <v>#N/A</v>
      </c>
      <c r="N371" s="2539" t="e">
        <v>#N/A</v>
      </c>
      <c r="O371" s="2539" t="e">
        <v>#N/A</v>
      </c>
      <c r="P371" s="2541" t="e">
        <v>#N/A</v>
      </c>
    </row>
    <row r="372" spans="1:16">
      <c r="A372" s="329">
        <f t="shared" si="3"/>
        <v>2028.03</v>
      </c>
      <c r="B372" s="2592" t="e">
        <v>#N/A</v>
      </c>
      <c r="C372" s="2650" t="e">
        <v>#N/A</v>
      </c>
      <c r="D372" s="2534" t="e">
        <v>#N/A</v>
      </c>
      <c r="E372" s="2538" t="e">
        <v>#N/A</v>
      </c>
      <c r="F372" s="2539" t="e">
        <v>#N/A</v>
      </c>
      <c r="G372" s="2539" t="e">
        <v>#N/A</v>
      </c>
      <c r="H372" s="2539" t="e">
        <v>#N/A</v>
      </c>
      <c r="I372" s="2539" t="e">
        <v>#N/A</v>
      </c>
      <c r="J372" s="2540" t="e">
        <v>#N/A</v>
      </c>
      <c r="K372" s="2539" t="e">
        <v>#N/A</v>
      </c>
      <c r="L372" s="2539" t="e">
        <v>#N/A</v>
      </c>
      <c r="M372" s="2539" t="e">
        <v>#N/A</v>
      </c>
      <c r="N372" s="2539" t="e">
        <v>#N/A</v>
      </c>
      <c r="O372" s="2539" t="e">
        <v>#N/A</v>
      </c>
      <c r="P372" s="2541" t="e">
        <v>#N/A</v>
      </c>
    </row>
    <row r="373" spans="1:16">
      <c r="A373" s="329">
        <f t="shared" si="3"/>
        <v>2028.04</v>
      </c>
      <c r="B373" s="2592" t="e">
        <v>#N/A</v>
      </c>
      <c r="C373" s="2650" t="e">
        <v>#N/A</v>
      </c>
      <c r="D373" s="2534" t="e">
        <v>#N/A</v>
      </c>
      <c r="E373" s="2538" t="e">
        <v>#N/A</v>
      </c>
      <c r="F373" s="2539" t="e">
        <v>#N/A</v>
      </c>
      <c r="G373" s="2539" t="e">
        <v>#N/A</v>
      </c>
      <c r="H373" s="2539" t="e">
        <v>#N/A</v>
      </c>
      <c r="I373" s="2539" t="e">
        <v>#N/A</v>
      </c>
      <c r="J373" s="2540" t="e">
        <v>#N/A</v>
      </c>
      <c r="K373" s="2539" t="e">
        <v>#N/A</v>
      </c>
      <c r="L373" s="2539" t="e">
        <v>#N/A</v>
      </c>
      <c r="M373" s="2539" t="e">
        <v>#N/A</v>
      </c>
      <c r="N373" s="2539" t="e">
        <v>#N/A</v>
      </c>
      <c r="O373" s="2539" t="e">
        <v>#N/A</v>
      </c>
      <c r="P373" s="2541" t="e">
        <v>#N/A</v>
      </c>
    </row>
    <row r="374" spans="1:16">
      <c r="A374" s="329">
        <f t="shared" si="3"/>
        <v>2028.05</v>
      </c>
      <c r="B374" s="2592" t="e">
        <v>#N/A</v>
      </c>
      <c r="C374" s="2650" t="e">
        <v>#N/A</v>
      </c>
      <c r="D374" s="2534" t="e">
        <v>#N/A</v>
      </c>
      <c r="E374" s="2538" t="e">
        <v>#N/A</v>
      </c>
      <c r="F374" s="2539" t="e">
        <v>#N/A</v>
      </c>
      <c r="G374" s="2539" t="e">
        <v>#N/A</v>
      </c>
      <c r="H374" s="2539" t="e">
        <v>#N/A</v>
      </c>
      <c r="I374" s="2539" t="e">
        <v>#N/A</v>
      </c>
      <c r="J374" s="2540" t="e">
        <v>#N/A</v>
      </c>
      <c r="K374" s="2539" t="e">
        <v>#N/A</v>
      </c>
      <c r="L374" s="2539" t="e">
        <v>#N/A</v>
      </c>
      <c r="M374" s="2539" t="e">
        <v>#N/A</v>
      </c>
      <c r="N374" s="2539" t="e">
        <v>#N/A</v>
      </c>
      <c r="O374" s="2539" t="e">
        <v>#N/A</v>
      </c>
      <c r="P374" s="2541" t="e">
        <v>#N/A</v>
      </c>
    </row>
    <row r="375" spans="1:16">
      <c r="A375" s="329">
        <f t="shared" si="3"/>
        <v>2028.06</v>
      </c>
      <c r="B375" s="2592" t="e">
        <v>#N/A</v>
      </c>
      <c r="C375" s="2650" t="e">
        <v>#N/A</v>
      </c>
      <c r="D375" s="2534" t="e">
        <v>#N/A</v>
      </c>
      <c r="E375" s="2538" t="e">
        <v>#N/A</v>
      </c>
      <c r="F375" s="2539" t="e">
        <v>#N/A</v>
      </c>
      <c r="G375" s="2539" t="e">
        <v>#N/A</v>
      </c>
      <c r="H375" s="2539" t="e">
        <v>#N/A</v>
      </c>
      <c r="I375" s="2539" t="e">
        <v>#N/A</v>
      </c>
      <c r="J375" s="2540" t="e">
        <v>#N/A</v>
      </c>
      <c r="K375" s="2539" t="e">
        <v>#N/A</v>
      </c>
      <c r="L375" s="2539" t="e">
        <v>#N/A</v>
      </c>
      <c r="M375" s="2539" t="e">
        <v>#N/A</v>
      </c>
      <c r="N375" s="2539" t="e">
        <v>#N/A</v>
      </c>
      <c r="O375" s="2539" t="e">
        <v>#N/A</v>
      </c>
      <c r="P375" s="2541" t="e">
        <v>#N/A</v>
      </c>
    </row>
    <row r="376" spans="1:16">
      <c r="A376" s="329">
        <f t="shared" si="3"/>
        <v>2028.07</v>
      </c>
      <c r="B376" s="2592" t="e">
        <v>#N/A</v>
      </c>
      <c r="C376" s="2650" t="e">
        <v>#N/A</v>
      </c>
      <c r="D376" s="2534" t="e">
        <v>#N/A</v>
      </c>
      <c r="E376" s="2538" t="e">
        <v>#N/A</v>
      </c>
      <c r="F376" s="2539" t="e">
        <v>#N/A</v>
      </c>
      <c r="G376" s="2539" t="e">
        <v>#N/A</v>
      </c>
      <c r="H376" s="2539" t="e">
        <v>#N/A</v>
      </c>
      <c r="I376" s="2539" t="e">
        <v>#N/A</v>
      </c>
      <c r="J376" s="2540" t="e">
        <v>#N/A</v>
      </c>
      <c r="K376" s="2539" t="e">
        <v>#N/A</v>
      </c>
      <c r="L376" s="2539" t="e">
        <v>#N/A</v>
      </c>
      <c r="M376" s="2539" t="e">
        <v>#N/A</v>
      </c>
      <c r="N376" s="2539" t="e">
        <v>#N/A</v>
      </c>
      <c r="O376" s="2539" t="e">
        <v>#N/A</v>
      </c>
      <c r="P376" s="2541" t="e">
        <v>#N/A</v>
      </c>
    </row>
    <row r="377" spans="1:16">
      <c r="A377" s="329">
        <f t="shared" si="3"/>
        <v>2028.08</v>
      </c>
      <c r="B377" s="2592" t="e">
        <v>#N/A</v>
      </c>
      <c r="C377" s="2650" t="e">
        <v>#N/A</v>
      </c>
      <c r="D377" s="2534" t="e">
        <v>#N/A</v>
      </c>
      <c r="E377" s="2538" t="e">
        <v>#N/A</v>
      </c>
      <c r="F377" s="2539" t="e">
        <v>#N/A</v>
      </c>
      <c r="G377" s="2539" t="e">
        <v>#N/A</v>
      </c>
      <c r="H377" s="2539" t="e">
        <v>#N/A</v>
      </c>
      <c r="I377" s="2539" t="e">
        <v>#N/A</v>
      </c>
      <c r="J377" s="2540" t="e">
        <v>#N/A</v>
      </c>
      <c r="K377" s="2539" t="e">
        <v>#N/A</v>
      </c>
      <c r="L377" s="2539" t="e">
        <v>#N/A</v>
      </c>
      <c r="M377" s="2539" t="e">
        <v>#N/A</v>
      </c>
      <c r="N377" s="2539" t="e">
        <v>#N/A</v>
      </c>
      <c r="O377" s="2539" t="e">
        <v>#N/A</v>
      </c>
      <c r="P377" s="2541" t="e">
        <v>#N/A</v>
      </c>
    </row>
    <row r="378" spans="1:16">
      <c r="A378" s="329">
        <f t="shared" si="3"/>
        <v>2028.09</v>
      </c>
      <c r="B378" s="2592" t="e">
        <v>#N/A</v>
      </c>
      <c r="C378" s="2650" t="e">
        <v>#N/A</v>
      </c>
      <c r="D378" s="2534" t="e">
        <v>#N/A</v>
      </c>
      <c r="E378" s="2538" t="e">
        <v>#N/A</v>
      </c>
      <c r="F378" s="2539" t="e">
        <v>#N/A</v>
      </c>
      <c r="G378" s="2539" t="e">
        <v>#N/A</v>
      </c>
      <c r="H378" s="2539" t="e">
        <v>#N/A</v>
      </c>
      <c r="I378" s="2539" t="e">
        <v>#N/A</v>
      </c>
      <c r="J378" s="2540" t="e">
        <v>#N/A</v>
      </c>
      <c r="K378" s="2539" t="e">
        <v>#N/A</v>
      </c>
      <c r="L378" s="2539" t="e">
        <v>#N/A</v>
      </c>
      <c r="M378" s="2539" t="e">
        <v>#N/A</v>
      </c>
      <c r="N378" s="2539" t="e">
        <v>#N/A</v>
      </c>
      <c r="O378" s="2539" t="e">
        <v>#N/A</v>
      </c>
      <c r="P378" s="2541" t="e">
        <v>#N/A</v>
      </c>
    </row>
    <row r="379" spans="1:16">
      <c r="A379" s="329">
        <f t="shared" si="3"/>
        <v>2028.1</v>
      </c>
      <c r="B379" s="2592" t="e">
        <v>#N/A</v>
      </c>
      <c r="C379" s="2650" t="e">
        <v>#N/A</v>
      </c>
      <c r="D379" s="2534" t="e">
        <v>#N/A</v>
      </c>
      <c r="E379" s="2538" t="e">
        <v>#N/A</v>
      </c>
      <c r="F379" s="2539" t="e">
        <v>#N/A</v>
      </c>
      <c r="G379" s="2539" t="e">
        <v>#N/A</v>
      </c>
      <c r="H379" s="2539" t="e">
        <v>#N/A</v>
      </c>
      <c r="I379" s="2539" t="e">
        <v>#N/A</v>
      </c>
      <c r="J379" s="2540" t="e">
        <v>#N/A</v>
      </c>
      <c r="K379" s="2539" t="e">
        <v>#N/A</v>
      </c>
      <c r="L379" s="2539" t="e">
        <v>#N/A</v>
      </c>
      <c r="M379" s="2539" t="e">
        <v>#N/A</v>
      </c>
      <c r="N379" s="2539" t="e">
        <v>#N/A</v>
      </c>
      <c r="O379" s="2539" t="e">
        <v>#N/A</v>
      </c>
      <c r="P379" s="2541" t="e">
        <v>#N/A</v>
      </c>
    </row>
    <row r="380" spans="1:16">
      <c r="A380" s="329">
        <f t="shared" si="3"/>
        <v>2028.11</v>
      </c>
      <c r="B380" s="2592" t="e">
        <v>#N/A</v>
      </c>
      <c r="C380" s="2650" t="e">
        <v>#N/A</v>
      </c>
      <c r="D380" s="2534" t="e">
        <v>#N/A</v>
      </c>
      <c r="E380" s="2538" t="e">
        <v>#N/A</v>
      </c>
      <c r="F380" s="2539" t="e">
        <v>#N/A</v>
      </c>
      <c r="G380" s="2539" t="e">
        <v>#N/A</v>
      </c>
      <c r="H380" s="2539" t="e">
        <v>#N/A</v>
      </c>
      <c r="I380" s="2539" t="e">
        <v>#N/A</v>
      </c>
      <c r="J380" s="2540" t="e">
        <v>#N/A</v>
      </c>
      <c r="K380" s="2539" t="e">
        <v>#N/A</v>
      </c>
      <c r="L380" s="2539" t="e">
        <v>#N/A</v>
      </c>
      <c r="M380" s="2539" t="e">
        <v>#N/A</v>
      </c>
      <c r="N380" s="2539" t="e">
        <v>#N/A</v>
      </c>
      <c r="O380" s="2539" t="e">
        <v>#N/A</v>
      </c>
      <c r="P380" s="2541" t="e">
        <v>#N/A</v>
      </c>
    </row>
    <row r="381" spans="1:16">
      <c r="A381" s="329">
        <f t="shared" si="3"/>
        <v>2028.12</v>
      </c>
      <c r="B381" s="2592" t="e">
        <v>#N/A</v>
      </c>
      <c r="C381" s="2650" t="e">
        <v>#N/A</v>
      </c>
      <c r="D381" s="2534" t="e">
        <v>#N/A</v>
      </c>
      <c r="E381" s="2538" t="e">
        <v>#N/A</v>
      </c>
      <c r="F381" s="2539" t="e">
        <v>#N/A</v>
      </c>
      <c r="G381" s="2539" t="e">
        <v>#N/A</v>
      </c>
      <c r="H381" s="2539" t="e">
        <v>#N/A</v>
      </c>
      <c r="I381" s="2539" t="e">
        <v>#N/A</v>
      </c>
      <c r="J381" s="2540" t="e">
        <v>#N/A</v>
      </c>
      <c r="K381" s="2539" t="e">
        <v>#N/A</v>
      </c>
      <c r="L381" s="2539" t="e">
        <v>#N/A</v>
      </c>
      <c r="M381" s="2539" t="e">
        <v>#N/A</v>
      </c>
      <c r="N381" s="2539" t="e">
        <v>#N/A</v>
      </c>
      <c r="O381" s="2539" t="e">
        <v>#N/A</v>
      </c>
      <c r="P381" s="2541" t="e">
        <v>#N/A</v>
      </c>
    </row>
    <row r="382" spans="1:16">
      <c r="A382" s="329">
        <f t="shared" si="3"/>
        <v>2029.01</v>
      </c>
      <c r="B382" s="2592" t="e">
        <v>#N/A</v>
      </c>
      <c r="C382" s="2650" t="e">
        <v>#N/A</v>
      </c>
      <c r="D382" s="2534" t="e">
        <v>#N/A</v>
      </c>
      <c r="E382" s="2538" t="e">
        <v>#N/A</v>
      </c>
      <c r="F382" s="2539" t="e">
        <v>#N/A</v>
      </c>
      <c r="G382" s="2539" t="e">
        <v>#N/A</v>
      </c>
      <c r="H382" s="2539" t="e">
        <v>#N/A</v>
      </c>
      <c r="I382" s="2539" t="e">
        <v>#N/A</v>
      </c>
      <c r="J382" s="2540" t="e">
        <v>#N/A</v>
      </c>
      <c r="K382" s="2539" t="e">
        <v>#N/A</v>
      </c>
      <c r="L382" s="2539" t="e">
        <v>#N/A</v>
      </c>
      <c r="M382" s="2539" t="e">
        <v>#N/A</v>
      </c>
      <c r="N382" s="2539" t="e">
        <v>#N/A</v>
      </c>
      <c r="O382" s="2539" t="e">
        <v>#N/A</v>
      </c>
      <c r="P382" s="2541" t="e">
        <v>#N/A</v>
      </c>
    </row>
    <row r="383" spans="1:16">
      <c r="A383" s="329">
        <f t="shared" si="3"/>
        <v>2029.02</v>
      </c>
      <c r="B383" s="2592" t="e">
        <v>#N/A</v>
      </c>
      <c r="C383" s="2650" t="e">
        <v>#N/A</v>
      </c>
      <c r="D383" s="2534" t="e">
        <v>#N/A</v>
      </c>
      <c r="E383" s="2538" t="e">
        <v>#N/A</v>
      </c>
      <c r="F383" s="2539" t="e">
        <v>#N/A</v>
      </c>
      <c r="G383" s="2539" t="e">
        <v>#N/A</v>
      </c>
      <c r="H383" s="2539" t="e">
        <v>#N/A</v>
      </c>
      <c r="I383" s="2539" t="e">
        <v>#N/A</v>
      </c>
      <c r="J383" s="2540" t="e">
        <v>#N/A</v>
      </c>
      <c r="K383" s="2539" t="e">
        <v>#N/A</v>
      </c>
      <c r="L383" s="2539" t="e">
        <v>#N/A</v>
      </c>
      <c r="M383" s="2539" t="e">
        <v>#N/A</v>
      </c>
      <c r="N383" s="2539" t="e">
        <v>#N/A</v>
      </c>
      <c r="O383" s="2539" t="e">
        <v>#N/A</v>
      </c>
      <c r="P383" s="2541" t="e">
        <v>#N/A</v>
      </c>
    </row>
    <row r="384" spans="1:16">
      <c r="A384" s="329">
        <f t="shared" si="3"/>
        <v>2029.03</v>
      </c>
      <c r="B384" s="2592" t="e">
        <v>#N/A</v>
      </c>
      <c r="C384" s="2650" t="e">
        <v>#N/A</v>
      </c>
      <c r="D384" s="2534" t="e">
        <v>#N/A</v>
      </c>
      <c r="E384" s="2538" t="e">
        <v>#N/A</v>
      </c>
      <c r="F384" s="2539" t="e">
        <v>#N/A</v>
      </c>
      <c r="G384" s="2539" t="e">
        <v>#N/A</v>
      </c>
      <c r="H384" s="2539" t="e">
        <v>#N/A</v>
      </c>
      <c r="I384" s="2539" t="e">
        <v>#N/A</v>
      </c>
      <c r="J384" s="2540" t="e">
        <v>#N/A</v>
      </c>
      <c r="K384" s="2539" t="e">
        <v>#N/A</v>
      </c>
      <c r="L384" s="2539" t="e">
        <v>#N/A</v>
      </c>
      <c r="M384" s="2539" t="e">
        <v>#N/A</v>
      </c>
      <c r="N384" s="2539" t="e">
        <v>#N/A</v>
      </c>
      <c r="O384" s="2539" t="e">
        <v>#N/A</v>
      </c>
      <c r="P384" s="2541" t="e">
        <v>#N/A</v>
      </c>
    </row>
    <row r="385" spans="1:16">
      <c r="A385" s="329">
        <f t="shared" si="3"/>
        <v>2029.04</v>
      </c>
      <c r="B385" s="2592" t="e">
        <v>#N/A</v>
      </c>
      <c r="C385" s="2650" t="e">
        <v>#N/A</v>
      </c>
      <c r="D385" s="2534" t="e">
        <v>#N/A</v>
      </c>
      <c r="E385" s="2538" t="e">
        <v>#N/A</v>
      </c>
      <c r="F385" s="2539" t="e">
        <v>#N/A</v>
      </c>
      <c r="G385" s="2539" t="e">
        <v>#N/A</v>
      </c>
      <c r="H385" s="2539" t="e">
        <v>#N/A</v>
      </c>
      <c r="I385" s="2539" t="e">
        <v>#N/A</v>
      </c>
      <c r="J385" s="2540" t="e">
        <v>#N/A</v>
      </c>
      <c r="K385" s="2539" t="e">
        <v>#N/A</v>
      </c>
      <c r="L385" s="2539" t="e">
        <v>#N/A</v>
      </c>
      <c r="M385" s="2539" t="e">
        <v>#N/A</v>
      </c>
      <c r="N385" s="2539" t="e">
        <v>#N/A</v>
      </c>
      <c r="O385" s="2539" t="e">
        <v>#N/A</v>
      </c>
      <c r="P385" s="2541" t="e">
        <v>#N/A</v>
      </c>
    </row>
    <row r="386" spans="1:16">
      <c r="A386" s="329">
        <f t="shared" ref="A386:A405" si="4">A374+1</f>
        <v>2029.05</v>
      </c>
      <c r="B386" s="2592" t="e">
        <v>#N/A</v>
      </c>
      <c r="C386" s="2650" t="e">
        <v>#N/A</v>
      </c>
      <c r="D386" s="2534" t="e">
        <v>#N/A</v>
      </c>
      <c r="E386" s="2538" t="e">
        <v>#N/A</v>
      </c>
      <c r="F386" s="2539" t="e">
        <v>#N/A</v>
      </c>
      <c r="G386" s="2539" t="e">
        <v>#N/A</v>
      </c>
      <c r="H386" s="2539" t="e">
        <v>#N/A</v>
      </c>
      <c r="I386" s="2539" t="e">
        <v>#N/A</v>
      </c>
      <c r="J386" s="2540" t="e">
        <v>#N/A</v>
      </c>
      <c r="K386" s="2539" t="e">
        <v>#N/A</v>
      </c>
      <c r="L386" s="2539" t="e">
        <v>#N/A</v>
      </c>
      <c r="M386" s="2539" t="e">
        <v>#N/A</v>
      </c>
      <c r="N386" s="2539" t="e">
        <v>#N/A</v>
      </c>
      <c r="O386" s="2539" t="e">
        <v>#N/A</v>
      </c>
      <c r="P386" s="2541" t="e">
        <v>#N/A</v>
      </c>
    </row>
    <row r="387" spans="1:16">
      <c r="A387" s="329">
        <f t="shared" si="4"/>
        <v>2029.06</v>
      </c>
      <c r="B387" s="2592" t="e">
        <v>#N/A</v>
      </c>
      <c r="C387" s="2650" t="e">
        <v>#N/A</v>
      </c>
      <c r="D387" s="2534" t="e">
        <v>#N/A</v>
      </c>
      <c r="E387" s="2538" t="e">
        <v>#N/A</v>
      </c>
      <c r="F387" s="2539" t="e">
        <v>#N/A</v>
      </c>
      <c r="G387" s="2539" t="e">
        <v>#N/A</v>
      </c>
      <c r="H387" s="2539" t="e">
        <v>#N/A</v>
      </c>
      <c r="I387" s="2539" t="e">
        <v>#N/A</v>
      </c>
      <c r="J387" s="2540" t="e">
        <v>#N/A</v>
      </c>
      <c r="K387" s="2539" t="e">
        <v>#N/A</v>
      </c>
      <c r="L387" s="2539" t="e">
        <v>#N/A</v>
      </c>
      <c r="M387" s="2539" t="e">
        <v>#N/A</v>
      </c>
      <c r="N387" s="2539" t="e">
        <v>#N/A</v>
      </c>
      <c r="O387" s="2539" t="e">
        <v>#N/A</v>
      </c>
      <c r="P387" s="2541" t="e">
        <v>#N/A</v>
      </c>
    </row>
    <row r="388" spans="1:16">
      <c r="A388" s="329">
        <f t="shared" si="4"/>
        <v>2029.07</v>
      </c>
      <c r="B388" s="2592" t="e">
        <v>#N/A</v>
      </c>
      <c r="C388" s="2650" t="e">
        <v>#N/A</v>
      </c>
      <c r="D388" s="2534" t="e">
        <v>#N/A</v>
      </c>
      <c r="E388" s="2538" t="e">
        <v>#N/A</v>
      </c>
      <c r="F388" s="2539" t="e">
        <v>#N/A</v>
      </c>
      <c r="G388" s="2539" t="e">
        <v>#N/A</v>
      </c>
      <c r="H388" s="2539" t="e">
        <v>#N/A</v>
      </c>
      <c r="I388" s="2539" t="e">
        <v>#N/A</v>
      </c>
      <c r="J388" s="2540" t="e">
        <v>#N/A</v>
      </c>
      <c r="K388" s="2539" t="e">
        <v>#N/A</v>
      </c>
      <c r="L388" s="2539" t="e">
        <v>#N/A</v>
      </c>
      <c r="M388" s="2539" t="e">
        <v>#N/A</v>
      </c>
      <c r="N388" s="2539" t="e">
        <v>#N/A</v>
      </c>
      <c r="O388" s="2539" t="e">
        <v>#N/A</v>
      </c>
      <c r="P388" s="2541" t="e">
        <v>#N/A</v>
      </c>
    </row>
    <row r="389" spans="1:16">
      <c r="A389" s="329">
        <f t="shared" si="4"/>
        <v>2029.08</v>
      </c>
      <c r="B389" s="2592" t="e">
        <v>#N/A</v>
      </c>
      <c r="C389" s="2650" t="e">
        <v>#N/A</v>
      </c>
      <c r="D389" s="2534" t="e">
        <v>#N/A</v>
      </c>
      <c r="E389" s="2538" t="e">
        <v>#N/A</v>
      </c>
      <c r="F389" s="2539" t="e">
        <v>#N/A</v>
      </c>
      <c r="G389" s="2539" t="e">
        <v>#N/A</v>
      </c>
      <c r="H389" s="2539" t="e">
        <v>#N/A</v>
      </c>
      <c r="I389" s="2539" t="e">
        <v>#N/A</v>
      </c>
      <c r="J389" s="2540" t="e">
        <v>#N/A</v>
      </c>
      <c r="K389" s="2539" t="e">
        <v>#N/A</v>
      </c>
      <c r="L389" s="2539" t="e">
        <v>#N/A</v>
      </c>
      <c r="M389" s="2539" t="e">
        <v>#N/A</v>
      </c>
      <c r="N389" s="2539" t="e">
        <v>#N/A</v>
      </c>
      <c r="O389" s="2539" t="e">
        <v>#N/A</v>
      </c>
      <c r="P389" s="2541" t="e">
        <v>#N/A</v>
      </c>
    </row>
    <row r="390" spans="1:16">
      <c r="A390" s="329">
        <f t="shared" si="4"/>
        <v>2029.09</v>
      </c>
      <c r="B390" s="2592" t="e">
        <v>#N/A</v>
      </c>
      <c r="C390" s="2650" t="e">
        <v>#N/A</v>
      </c>
      <c r="D390" s="2534" t="e">
        <v>#N/A</v>
      </c>
      <c r="E390" s="2538" t="e">
        <v>#N/A</v>
      </c>
      <c r="F390" s="2539" t="e">
        <v>#N/A</v>
      </c>
      <c r="G390" s="2539" t="e">
        <v>#N/A</v>
      </c>
      <c r="H390" s="2539" t="e">
        <v>#N/A</v>
      </c>
      <c r="I390" s="2539" t="e">
        <v>#N/A</v>
      </c>
      <c r="J390" s="2540" t="e">
        <v>#N/A</v>
      </c>
      <c r="K390" s="2539" t="e">
        <v>#N/A</v>
      </c>
      <c r="L390" s="2539" t="e">
        <v>#N/A</v>
      </c>
      <c r="M390" s="2539" t="e">
        <v>#N/A</v>
      </c>
      <c r="N390" s="2539" t="e">
        <v>#N/A</v>
      </c>
      <c r="O390" s="2539" t="e">
        <v>#N/A</v>
      </c>
      <c r="P390" s="2541" t="e">
        <v>#N/A</v>
      </c>
    </row>
    <row r="391" spans="1:16">
      <c r="A391" s="329">
        <f t="shared" si="4"/>
        <v>2029.1</v>
      </c>
      <c r="B391" s="2592" t="e">
        <v>#N/A</v>
      </c>
      <c r="C391" s="2650" t="e">
        <v>#N/A</v>
      </c>
      <c r="D391" s="2534" t="e">
        <v>#N/A</v>
      </c>
      <c r="E391" s="2538" t="e">
        <v>#N/A</v>
      </c>
      <c r="F391" s="2539" t="e">
        <v>#N/A</v>
      </c>
      <c r="G391" s="2539" t="e">
        <v>#N/A</v>
      </c>
      <c r="H391" s="2539" t="e">
        <v>#N/A</v>
      </c>
      <c r="I391" s="2539" t="e">
        <v>#N/A</v>
      </c>
      <c r="J391" s="2540" t="e">
        <v>#N/A</v>
      </c>
      <c r="K391" s="2539" t="e">
        <v>#N/A</v>
      </c>
      <c r="L391" s="2539" t="e">
        <v>#N/A</v>
      </c>
      <c r="M391" s="2539" t="e">
        <v>#N/A</v>
      </c>
      <c r="N391" s="2539" t="e">
        <v>#N/A</v>
      </c>
      <c r="O391" s="2539" t="e">
        <v>#N/A</v>
      </c>
      <c r="P391" s="2541" t="e">
        <v>#N/A</v>
      </c>
    </row>
    <row r="392" spans="1:16">
      <c r="A392" s="329">
        <f t="shared" si="4"/>
        <v>2029.11</v>
      </c>
      <c r="B392" s="2592" t="e">
        <v>#N/A</v>
      </c>
      <c r="C392" s="2650" t="e">
        <v>#N/A</v>
      </c>
      <c r="D392" s="2534" t="e">
        <v>#N/A</v>
      </c>
      <c r="E392" s="2538" t="e">
        <v>#N/A</v>
      </c>
      <c r="F392" s="2539" t="e">
        <v>#N/A</v>
      </c>
      <c r="G392" s="2539" t="e">
        <v>#N/A</v>
      </c>
      <c r="H392" s="2539" t="e">
        <v>#N/A</v>
      </c>
      <c r="I392" s="2539" t="e">
        <v>#N/A</v>
      </c>
      <c r="J392" s="2540" t="e">
        <v>#N/A</v>
      </c>
      <c r="K392" s="2539" t="e">
        <v>#N/A</v>
      </c>
      <c r="L392" s="2539" t="e">
        <v>#N/A</v>
      </c>
      <c r="M392" s="2539" t="e">
        <v>#N/A</v>
      </c>
      <c r="N392" s="2539" t="e">
        <v>#N/A</v>
      </c>
      <c r="O392" s="2539" t="e">
        <v>#N/A</v>
      </c>
      <c r="P392" s="2541" t="e">
        <v>#N/A</v>
      </c>
    </row>
    <row r="393" spans="1:16">
      <c r="A393" s="329">
        <f t="shared" si="4"/>
        <v>2029.12</v>
      </c>
      <c r="B393" s="2592" t="e">
        <v>#N/A</v>
      </c>
      <c r="C393" s="2650" t="e">
        <v>#N/A</v>
      </c>
      <c r="D393" s="2534" t="e">
        <v>#N/A</v>
      </c>
      <c r="E393" s="2538" t="e">
        <v>#N/A</v>
      </c>
      <c r="F393" s="2539" t="e">
        <v>#N/A</v>
      </c>
      <c r="G393" s="2539" t="e">
        <v>#N/A</v>
      </c>
      <c r="H393" s="2539" t="e">
        <v>#N/A</v>
      </c>
      <c r="I393" s="2539" t="e">
        <v>#N/A</v>
      </c>
      <c r="J393" s="2540" t="e">
        <v>#N/A</v>
      </c>
      <c r="K393" s="2539" t="e">
        <v>#N/A</v>
      </c>
      <c r="L393" s="2539" t="e">
        <v>#N/A</v>
      </c>
      <c r="M393" s="2539" t="e">
        <v>#N/A</v>
      </c>
      <c r="N393" s="2539" t="e">
        <v>#N/A</v>
      </c>
      <c r="O393" s="2539" t="e">
        <v>#N/A</v>
      </c>
      <c r="P393" s="2541" t="e">
        <v>#N/A</v>
      </c>
    </row>
    <row r="394" spans="1:16">
      <c r="A394" s="329">
        <f t="shared" si="4"/>
        <v>2030.01</v>
      </c>
      <c r="B394" s="2592" t="e">
        <v>#N/A</v>
      </c>
      <c r="C394" s="2650" t="e">
        <v>#N/A</v>
      </c>
      <c r="D394" s="2534" t="e">
        <v>#N/A</v>
      </c>
      <c r="E394" s="2538" t="e">
        <v>#N/A</v>
      </c>
      <c r="F394" s="2539" t="e">
        <v>#N/A</v>
      </c>
      <c r="G394" s="2539" t="e">
        <v>#N/A</v>
      </c>
      <c r="H394" s="2539" t="e">
        <v>#N/A</v>
      </c>
      <c r="I394" s="2539" t="e">
        <v>#N/A</v>
      </c>
      <c r="J394" s="2540" t="e">
        <v>#N/A</v>
      </c>
      <c r="K394" s="2539" t="e">
        <v>#N/A</v>
      </c>
      <c r="L394" s="2539" t="e">
        <v>#N/A</v>
      </c>
      <c r="M394" s="2539" t="e">
        <v>#N/A</v>
      </c>
      <c r="N394" s="2539" t="e">
        <v>#N/A</v>
      </c>
      <c r="O394" s="2539" t="e">
        <v>#N/A</v>
      </c>
      <c r="P394" s="2541" t="e">
        <v>#N/A</v>
      </c>
    </row>
    <row r="395" spans="1:16">
      <c r="A395" s="329">
        <f t="shared" si="4"/>
        <v>2030.02</v>
      </c>
      <c r="B395" s="2592" t="e">
        <v>#N/A</v>
      </c>
      <c r="C395" s="2650" t="e">
        <v>#N/A</v>
      </c>
      <c r="D395" s="2534" t="e">
        <v>#N/A</v>
      </c>
      <c r="E395" s="2538" t="e">
        <v>#N/A</v>
      </c>
      <c r="F395" s="2539" t="e">
        <v>#N/A</v>
      </c>
      <c r="G395" s="2539" t="e">
        <v>#N/A</v>
      </c>
      <c r="H395" s="2539" t="e">
        <v>#N/A</v>
      </c>
      <c r="I395" s="2539" t="e">
        <v>#N/A</v>
      </c>
      <c r="J395" s="2540" t="e">
        <v>#N/A</v>
      </c>
      <c r="K395" s="2539" t="e">
        <v>#N/A</v>
      </c>
      <c r="L395" s="2539" t="e">
        <v>#N/A</v>
      </c>
      <c r="M395" s="2539" t="e">
        <v>#N/A</v>
      </c>
      <c r="N395" s="2539" t="e">
        <v>#N/A</v>
      </c>
      <c r="O395" s="2539" t="e">
        <v>#N/A</v>
      </c>
      <c r="P395" s="2541" t="e">
        <v>#N/A</v>
      </c>
    </row>
    <row r="396" spans="1:16">
      <c r="A396" s="329">
        <f t="shared" si="4"/>
        <v>2030.03</v>
      </c>
      <c r="B396" s="2592" t="e">
        <v>#N/A</v>
      </c>
      <c r="C396" s="2650" t="e">
        <v>#N/A</v>
      </c>
      <c r="D396" s="2534" t="e">
        <v>#N/A</v>
      </c>
      <c r="E396" s="2538" t="e">
        <v>#N/A</v>
      </c>
      <c r="F396" s="2539" t="e">
        <v>#N/A</v>
      </c>
      <c r="G396" s="2539" t="e">
        <v>#N/A</v>
      </c>
      <c r="H396" s="2539" t="e">
        <v>#N/A</v>
      </c>
      <c r="I396" s="2539" t="e">
        <v>#N/A</v>
      </c>
      <c r="J396" s="2540" t="e">
        <v>#N/A</v>
      </c>
      <c r="K396" s="2539" t="e">
        <v>#N/A</v>
      </c>
      <c r="L396" s="2539" t="e">
        <v>#N/A</v>
      </c>
      <c r="M396" s="2539" t="e">
        <v>#N/A</v>
      </c>
      <c r="N396" s="2539" t="e">
        <v>#N/A</v>
      </c>
      <c r="O396" s="2539" t="e">
        <v>#N/A</v>
      </c>
      <c r="P396" s="2541" t="e">
        <v>#N/A</v>
      </c>
    </row>
    <row r="397" spans="1:16">
      <c r="A397" s="329">
        <f t="shared" si="4"/>
        <v>2030.04</v>
      </c>
      <c r="B397" s="2592" t="e">
        <v>#N/A</v>
      </c>
      <c r="C397" s="2650" t="e">
        <v>#N/A</v>
      </c>
      <c r="D397" s="2534" t="e">
        <v>#N/A</v>
      </c>
      <c r="E397" s="2538" t="e">
        <v>#N/A</v>
      </c>
      <c r="F397" s="2539" t="e">
        <v>#N/A</v>
      </c>
      <c r="G397" s="2539" t="e">
        <v>#N/A</v>
      </c>
      <c r="H397" s="2539" t="e">
        <v>#N/A</v>
      </c>
      <c r="I397" s="2539" t="e">
        <v>#N/A</v>
      </c>
      <c r="J397" s="2540" t="e">
        <v>#N/A</v>
      </c>
      <c r="K397" s="2539" t="e">
        <v>#N/A</v>
      </c>
      <c r="L397" s="2539" t="e">
        <v>#N/A</v>
      </c>
      <c r="M397" s="2539" t="e">
        <v>#N/A</v>
      </c>
      <c r="N397" s="2539" t="e">
        <v>#N/A</v>
      </c>
      <c r="O397" s="2539" t="e">
        <v>#N/A</v>
      </c>
      <c r="P397" s="2541" t="e">
        <v>#N/A</v>
      </c>
    </row>
    <row r="398" spans="1:16">
      <c r="A398" s="329">
        <f t="shared" si="4"/>
        <v>2030.05</v>
      </c>
      <c r="B398" s="2592" t="e">
        <v>#N/A</v>
      </c>
      <c r="C398" s="2650" t="e">
        <v>#N/A</v>
      </c>
      <c r="D398" s="2534" t="e">
        <v>#N/A</v>
      </c>
      <c r="E398" s="2538" t="e">
        <v>#N/A</v>
      </c>
      <c r="F398" s="2539" t="e">
        <v>#N/A</v>
      </c>
      <c r="G398" s="2539" t="e">
        <v>#N/A</v>
      </c>
      <c r="H398" s="2539" t="e">
        <v>#N/A</v>
      </c>
      <c r="I398" s="2539" t="e">
        <v>#N/A</v>
      </c>
      <c r="J398" s="2540" t="e">
        <v>#N/A</v>
      </c>
      <c r="K398" s="2539" t="e">
        <v>#N/A</v>
      </c>
      <c r="L398" s="2539" t="e">
        <v>#N/A</v>
      </c>
      <c r="M398" s="2539" t="e">
        <v>#N/A</v>
      </c>
      <c r="N398" s="2539" t="e">
        <v>#N/A</v>
      </c>
      <c r="O398" s="2539" t="e">
        <v>#N/A</v>
      </c>
      <c r="P398" s="2541" t="e">
        <v>#N/A</v>
      </c>
    </row>
    <row r="399" spans="1:16">
      <c r="A399" s="329">
        <f t="shared" si="4"/>
        <v>2030.06</v>
      </c>
      <c r="B399" s="2592" t="e">
        <v>#N/A</v>
      </c>
      <c r="C399" s="2650" t="e">
        <v>#N/A</v>
      </c>
      <c r="D399" s="2534" t="e">
        <v>#N/A</v>
      </c>
      <c r="E399" s="2538" t="e">
        <v>#N/A</v>
      </c>
      <c r="F399" s="2539" t="e">
        <v>#N/A</v>
      </c>
      <c r="G399" s="2539" t="e">
        <v>#N/A</v>
      </c>
      <c r="H399" s="2539" t="e">
        <v>#N/A</v>
      </c>
      <c r="I399" s="2539" t="e">
        <v>#N/A</v>
      </c>
      <c r="J399" s="2540" t="e">
        <v>#N/A</v>
      </c>
      <c r="K399" s="2539" t="e">
        <v>#N/A</v>
      </c>
      <c r="L399" s="2539" t="e">
        <v>#N/A</v>
      </c>
      <c r="M399" s="2539" t="e">
        <v>#N/A</v>
      </c>
      <c r="N399" s="2539" t="e">
        <v>#N/A</v>
      </c>
      <c r="O399" s="2539" t="e">
        <v>#N/A</v>
      </c>
      <c r="P399" s="2541" t="e">
        <v>#N/A</v>
      </c>
    </row>
    <row r="400" spans="1:16">
      <c r="A400" s="329">
        <f t="shared" si="4"/>
        <v>2030.07</v>
      </c>
      <c r="B400" s="2592" t="e">
        <v>#N/A</v>
      </c>
      <c r="C400" s="2650" t="e">
        <v>#N/A</v>
      </c>
      <c r="D400" s="2534" t="e">
        <v>#N/A</v>
      </c>
      <c r="E400" s="2538" t="e">
        <v>#N/A</v>
      </c>
      <c r="F400" s="2539" t="e">
        <v>#N/A</v>
      </c>
      <c r="G400" s="2539" t="e">
        <v>#N/A</v>
      </c>
      <c r="H400" s="2539" t="e">
        <v>#N/A</v>
      </c>
      <c r="I400" s="2539" t="e">
        <v>#N/A</v>
      </c>
      <c r="J400" s="2540" t="e">
        <v>#N/A</v>
      </c>
      <c r="K400" s="2539" t="e">
        <v>#N/A</v>
      </c>
      <c r="L400" s="2539" t="e">
        <v>#N/A</v>
      </c>
      <c r="M400" s="2539" t="e">
        <v>#N/A</v>
      </c>
      <c r="N400" s="2539" t="e">
        <v>#N/A</v>
      </c>
      <c r="O400" s="2539" t="e">
        <v>#N/A</v>
      </c>
      <c r="P400" s="2541" t="e">
        <v>#N/A</v>
      </c>
    </row>
    <row r="401" spans="1:16">
      <c r="A401" s="329">
        <f t="shared" si="4"/>
        <v>2030.08</v>
      </c>
      <c r="B401" s="2592" t="e">
        <v>#N/A</v>
      </c>
      <c r="C401" s="2650" t="e">
        <v>#N/A</v>
      </c>
      <c r="D401" s="2534" t="e">
        <v>#N/A</v>
      </c>
      <c r="E401" s="2538" t="e">
        <v>#N/A</v>
      </c>
      <c r="F401" s="2539" t="e">
        <v>#N/A</v>
      </c>
      <c r="G401" s="2539" t="e">
        <v>#N/A</v>
      </c>
      <c r="H401" s="2539" t="e">
        <v>#N/A</v>
      </c>
      <c r="I401" s="2539" t="e">
        <v>#N/A</v>
      </c>
      <c r="J401" s="2540" t="e">
        <v>#N/A</v>
      </c>
      <c r="K401" s="2539" t="e">
        <v>#N/A</v>
      </c>
      <c r="L401" s="2539" t="e">
        <v>#N/A</v>
      </c>
      <c r="M401" s="2539" t="e">
        <v>#N/A</v>
      </c>
      <c r="N401" s="2539" t="e">
        <v>#N/A</v>
      </c>
      <c r="O401" s="2539" t="e">
        <v>#N/A</v>
      </c>
      <c r="P401" s="2541" t="e">
        <v>#N/A</v>
      </c>
    </row>
    <row r="402" spans="1:16">
      <c r="A402" s="329">
        <f t="shared" si="4"/>
        <v>2030.09</v>
      </c>
      <c r="B402" s="2592" t="e">
        <v>#N/A</v>
      </c>
      <c r="C402" s="2650" t="e">
        <v>#N/A</v>
      </c>
      <c r="D402" s="2534" t="e">
        <v>#N/A</v>
      </c>
      <c r="E402" s="2538" t="e">
        <v>#N/A</v>
      </c>
      <c r="F402" s="2539" t="e">
        <v>#N/A</v>
      </c>
      <c r="G402" s="2539" t="e">
        <v>#N/A</v>
      </c>
      <c r="H402" s="2539" t="e">
        <v>#N/A</v>
      </c>
      <c r="I402" s="2539" t="e">
        <v>#N/A</v>
      </c>
      <c r="J402" s="2540" t="e">
        <v>#N/A</v>
      </c>
      <c r="K402" s="2539" t="e">
        <v>#N/A</v>
      </c>
      <c r="L402" s="2539" t="e">
        <v>#N/A</v>
      </c>
      <c r="M402" s="2539" t="e">
        <v>#N/A</v>
      </c>
      <c r="N402" s="2539" t="e">
        <v>#N/A</v>
      </c>
      <c r="O402" s="2539" t="e">
        <v>#N/A</v>
      </c>
      <c r="P402" s="2541" t="e">
        <v>#N/A</v>
      </c>
    </row>
    <row r="403" spans="1:16">
      <c r="A403" s="329">
        <f t="shared" si="4"/>
        <v>2030.1</v>
      </c>
      <c r="B403" s="2592" t="e">
        <v>#N/A</v>
      </c>
      <c r="C403" s="2650" t="e">
        <v>#N/A</v>
      </c>
      <c r="D403" s="2534" t="e">
        <v>#N/A</v>
      </c>
      <c r="E403" s="2538" t="e">
        <v>#N/A</v>
      </c>
      <c r="F403" s="2539" t="e">
        <v>#N/A</v>
      </c>
      <c r="G403" s="2539" t="e">
        <v>#N/A</v>
      </c>
      <c r="H403" s="2539" t="e">
        <v>#N/A</v>
      </c>
      <c r="I403" s="2539" t="e">
        <v>#N/A</v>
      </c>
      <c r="J403" s="2540" t="e">
        <v>#N/A</v>
      </c>
      <c r="K403" s="2539" t="e">
        <v>#N/A</v>
      </c>
      <c r="L403" s="2539" t="e">
        <v>#N/A</v>
      </c>
      <c r="M403" s="2539" t="e">
        <v>#N/A</v>
      </c>
      <c r="N403" s="2539" t="e">
        <v>#N/A</v>
      </c>
      <c r="O403" s="2539" t="e">
        <v>#N/A</v>
      </c>
      <c r="P403" s="2541" t="e">
        <v>#N/A</v>
      </c>
    </row>
    <row r="404" spans="1:16">
      <c r="A404" s="329">
        <f t="shared" si="4"/>
        <v>2030.11</v>
      </c>
      <c r="B404" s="2592" t="e">
        <v>#N/A</v>
      </c>
      <c r="C404" s="2650" t="e">
        <v>#N/A</v>
      </c>
      <c r="D404" s="2534" t="e">
        <v>#N/A</v>
      </c>
      <c r="E404" s="2538" t="e">
        <v>#N/A</v>
      </c>
      <c r="F404" s="2539" t="e">
        <v>#N/A</v>
      </c>
      <c r="G404" s="2539" t="e">
        <v>#N/A</v>
      </c>
      <c r="H404" s="2539" t="e">
        <v>#N/A</v>
      </c>
      <c r="I404" s="2539" t="e">
        <v>#N/A</v>
      </c>
      <c r="J404" s="2540" t="e">
        <v>#N/A</v>
      </c>
      <c r="K404" s="2539" t="e">
        <v>#N/A</v>
      </c>
      <c r="L404" s="2539" t="e">
        <v>#N/A</v>
      </c>
      <c r="M404" s="2539" t="e">
        <v>#N/A</v>
      </c>
      <c r="N404" s="2539" t="e">
        <v>#N/A</v>
      </c>
      <c r="O404" s="2539" t="e">
        <v>#N/A</v>
      </c>
      <c r="P404" s="2541" t="e">
        <v>#N/A</v>
      </c>
    </row>
    <row r="405" spans="1:16">
      <c r="A405" s="329">
        <f t="shared" si="4"/>
        <v>2030.12</v>
      </c>
      <c r="B405" s="2592" t="e">
        <v>#N/A</v>
      </c>
      <c r="C405" s="2650" t="e">
        <v>#N/A</v>
      </c>
      <c r="D405" s="2534" t="e">
        <v>#N/A</v>
      </c>
      <c r="E405" s="2538" t="e">
        <v>#N/A</v>
      </c>
      <c r="F405" s="2539" t="e">
        <v>#N/A</v>
      </c>
      <c r="G405" s="2539" t="e">
        <v>#N/A</v>
      </c>
      <c r="H405" s="2539" t="e">
        <v>#N/A</v>
      </c>
      <c r="I405" s="2539" t="e">
        <v>#N/A</v>
      </c>
      <c r="J405" s="2540" t="e">
        <v>#N/A</v>
      </c>
      <c r="K405" s="2539" t="e">
        <v>#N/A</v>
      </c>
      <c r="L405" s="2539" t="e">
        <v>#N/A</v>
      </c>
      <c r="M405" s="2539" t="e">
        <v>#N/A</v>
      </c>
      <c r="N405" s="2539" t="e">
        <v>#N/A</v>
      </c>
      <c r="O405" s="2539" t="e">
        <v>#N/A</v>
      </c>
      <c r="P405" s="2541" t="e">
        <v>#N/A</v>
      </c>
    </row>
    <row r="406" spans="1:16">
      <c r="A406" s="329"/>
      <c r="B406" s="1"/>
      <c r="C406" s="1"/>
      <c r="D406" s="1"/>
    </row>
    <row r="407" spans="1:16">
      <c r="A407" s="1"/>
      <c r="B407" s="1"/>
      <c r="C407" s="1"/>
      <c r="D407" s="1"/>
    </row>
    <row r="408" spans="1:16">
      <c r="A408" s="1"/>
      <c r="B408" s="1"/>
      <c r="C408" s="1"/>
      <c r="D408" s="1"/>
    </row>
    <row r="409" spans="1:16">
      <c r="A409" s="1"/>
      <c r="B409" s="1"/>
      <c r="C409" s="1"/>
      <c r="D409" s="1"/>
    </row>
    <row r="410" spans="1:16">
      <c r="A410" s="1"/>
      <c r="B410" s="1"/>
      <c r="C410" s="1"/>
      <c r="D410" s="1"/>
    </row>
    <row r="411" spans="1:16">
      <c r="A411" s="1"/>
      <c r="B411" s="1"/>
      <c r="C411" s="1"/>
      <c r="D411" s="1"/>
    </row>
    <row r="412" spans="1:16">
      <c r="A412" s="1"/>
      <c r="B412" s="1"/>
      <c r="C412" s="1"/>
      <c r="D412" s="1"/>
    </row>
    <row r="413" spans="1:16">
      <c r="A413" s="1"/>
      <c r="B413" s="1"/>
      <c r="C413" s="1"/>
      <c r="D413" s="1"/>
    </row>
    <row r="414" spans="1:16">
      <c r="A414" s="1"/>
      <c r="B414" s="1"/>
      <c r="C414" s="1"/>
      <c r="D414" s="1"/>
    </row>
    <row r="415" spans="1:16">
      <c r="A415" s="1"/>
      <c r="B415" s="1"/>
      <c r="C415" s="1"/>
      <c r="D415" s="1"/>
    </row>
    <row r="416" spans="1:16">
      <c r="A416" s="1"/>
      <c r="B416" s="1"/>
      <c r="C416" s="1"/>
      <c r="D416" s="1"/>
    </row>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sheetData>
  <phoneticPr fontId="58" type="noConversion"/>
  <hyperlinks>
    <hyperlink ref="A5" location="INDICE!A13" display="VOLVER AL INDICE" xr:uid="{00000000-0004-0000-03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U453"/>
  <sheetViews>
    <sheetView zoomScaleNormal="100" workbookViewId="0">
      <pane xSplit="1" ySplit="9" topLeftCell="B262" activePane="bottomRight" state="frozen"/>
      <selection pane="topRight" activeCell="B1" sqref="B1"/>
      <selection pane="bottomLeft" activeCell="A10" sqref="A10"/>
      <selection pane="bottomRight" activeCell="B226" sqref="B226:B237"/>
    </sheetView>
  </sheetViews>
  <sheetFormatPr baseColWidth="10" defaultColWidth="11.42578125" defaultRowHeight="12.75"/>
  <cols>
    <col min="1" max="1" width="10.5703125" style="19" customWidth="1"/>
    <col min="2" max="16" width="15.140625" style="19" customWidth="1"/>
    <col min="17" max="17" width="20.7109375" style="19" customWidth="1"/>
    <col min="18" max="20" width="15.140625" style="19" customWidth="1"/>
    <col min="21" max="16384" width="11.42578125" style="1"/>
  </cols>
  <sheetData>
    <row r="1" spans="1:21" s="8" customFormat="1" ht="4.5" customHeight="1">
      <c r="A1" s="951"/>
      <c r="B1" s="376"/>
      <c r="C1" s="376">
        <v>0.8544026657363164</v>
      </c>
      <c r="D1" s="376"/>
      <c r="E1" s="702">
        <v>0.86308581949998553</v>
      </c>
      <c r="F1" s="376">
        <v>0.94822681585435242</v>
      </c>
      <c r="G1" s="376">
        <v>0.86864621487411864</v>
      </c>
      <c r="H1" s="376">
        <v>0.93042729873694474</v>
      </c>
      <c r="I1" s="376">
        <v>0.86880344046162417</v>
      </c>
      <c r="J1" s="376">
        <v>0.94234423835026948</v>
      </c>
      <c r="K1" s="376">
        <v>0.88163337276193698</v>
      </c>
      <c r="L1" s="376">
        <v>0.8551881413911061</v>
      </c>
      <c r="M1" s="376">
        <v>0.74891407459184178</v>
      </c>
      <c r="N1" s="376">
        <v>0.94073377234242694</v>
      </c>
      <c r="O1" s="376">
        <v>0.60044132437341435</v>
      </c>
      <c r="P1" s="376">
        <v>0.88331419485911145</v>
      </c>
      <c r="Q1" s="376"/>
      <c r="R1" s="376">
        <v>0.8544026657363164</v>
      </c>
      <c r="S1" s="376">
        <v>0.86308581949998553</v>
      </c>
      <c r="T1" s="377"/>
    </row>
    <row r="2" spans="1:21" s="8" customFormat="1" ht="47.25" customHeight="1">
      <c r="A2" s="195" t="s">
        <v>212</v>
      </c>
      <c r="B2" s="303" t="s">
        <v>1099</v>
      </c>
      <c r="C2" s="115"/>
      <c r="D2" s="115"/>
      <c r="E2" s="115" t="s">
        <v>1100</v>
      </c>
      <c r="F2" s="115"/>
      <c r="G2" s="115"/>
      <c r="H2" s="115"/>
      <c r="I2" s="115"/>
      <c r="J2" s="115"/>
      <c r="K2" s="115"/>
      <c r="L2" s="115"/>
      <c r="M2" s="115"/>
      <c r="N2" s="115"/>
      <c r="O2" s="115"/>
      <c r="P2" s="115"/>
      <c r="Q2" s="115"/>
      <c r="R2" s="115"/>
      <c r="S2" s="115"/>
      <c r="T2" s="41"/>
    </row>
    <row r="3" spans="1:21" s="8" customFormat="1">
      <c r="A3" s="195" t="s">
        <v>211</v>
      </c>
      <c r="B3" s="303" t="s">
        <v>219</v>
      </c>
      <c r="C3" s="115"/>
      <c r="D3" s="115"/>
      <c r="E3" s="94" t="s">
        <v>219</v>
      </c>
      <c r="F3" s="115"/>
      <c r="G3" s="115"/>
      <c r="H3" s="115"/>
      <c r="I3" s="115"/>
      <c r="J3" s="115"/>
      <c r="K3" s="115"/>
      <c r="L3" s="115"/>
      <c r="M3" s="115"/>
      <c r="N3" s="115"/>
      <c r="O3" s="115"/>
      <c r="P3" s="115"/>
      <c r="Q3" s="115"/>
      <c r="R3" s="115"/>
      <c r="S3" s="115"/>
      <c r="T3" s="41"/>
    </row>
    <row r="4" spans="1:21" s="8" customFormat="1" ht="56.25">
      <c r="A4" s="952" t="s">
        <v>213</v>
      </c>
      <c r="B4" s="1748" t="s">
        <v>1116</v>
      </c>
      <c r="C4" s="1743" t="s">
        <v>319</v>
      </c>
      <c r="D4" s="1748" t="s">
        <v>1117</v>
      </c>
      <c r="E4" s="300" t="s">
        <v>242</v>
      </c>
      <c r="F4" s="1743" t="s">
        <v>1101</v>
      </c>
      <c r="G4" s="1748" t="s">
        <v>381</v>
      </c>
      <c r="H4" s="1743" t="s">
        <v>1102</v>
      </c>
      <c r="I4" s="1748" t="s">
        <v>1103</v>
      </c>
      <c r="J4" s="1743" t="s">
        <v>1104</v>
      </c>
      <c r="K4" s="1748" t="s">
        <v>1105</v>
      </c>
      <c r="L4" s="1743" t="s">
        <v>1106</v>
      </c>
      <c r="M4" s="1748" t="s">
        <v>1107</v>
      </c>
      <c r="N4" s="1743" t="s">
        <v>376</v>
      </c>
      <c r="O4" s="1770" t="s">
        <v>1108</v>
      </c>
      <c r="P4" s="1743" t="s">
        <v>1109</v>
      </c>
      <c r="Q4" s="1748" t="s">
        <v>1110</v>
      </c>
      <c r="R4" s="1743" t="s">
        <v>1111</v>
      </c>
      <c r="S4" s="1748" t="s">
        <v>1112</v>
      </c>
      <c r="T4" s="1772" t="s">
        <v>1113</v>
      </c>
    </row>
    <row r="5" spans="1:21" s="8" customFormat="1" ht="22.5">
      <c r="A5" s="197" t="s">
        <v>210</v>
      </c>
      <c r="B5" s="106" t="s">
        <v>955</v>
      </c>
      <c r="C5" s="1339" t="s">
        <v>955</v>
      </c>
      <c r="D5" s="106" t="s">
        <v>955</v>
      </c>
      <c r="E5" s="104" t="s">
        <v>955</v>
      </c>
      <c r="F5" s="1339" t="s">
        <v>955</v>
      </c>
      <c r="G5" s="106" t="s">
        <v>955</v>
      </c>
      <c r="H5" s="1339" t="s">
        <v>955</v>
      </c>
      <c r="I5" s="106" t="s">
        <v>955</v>
      </c>
      <c r="J5" s="1339" t="s">
        <v>955</v>
      </c>
      <c r="K5" s="106" t="s">
        <v>955</v>
      </c>
      <c r="L5" s="1339" t="s">
        <v>955</v>
      </c>
      <c r="M5" s="106" t="s">
        <v>955</v>
      </c>
      <c r="N5" s="1339" t="s">
        <v>955</v>
      </c>
      <c r="O5" s="106" t="s">
        <v>955</v>
      </c>
      <c r="P5" s="1339" t="s">
        <v>955</v>
      </c>
      <c r="Q5" s="106" t="s">
        <v>955</v>
      </c>
      <c r="R5" s="1339" t="s">
        <v>955</v>
      </c>
      <c r="S5" s="106" t="s">
        <v>955</v>
      </c>
      <c r="T5" s="1502" t="s">
        <v>955</v>
      </c>
    </row>
    <row r="6" spans="1:21" s="8" customFormat="1" ht="3" customHeight="1">
      <c r="A6" s="951"/>
      <c r="B6" s="459"/>
      <c r="C6" s="1729"/>
      <c r="D6" s="459"/>
      <c r="E6" s="1761" t="s">
        <v>378</v>
      </c>
      <c r="F6" s="1764"/>
      <c r="G6" s="1768"/>
      <c r="H6" s="1764"/>
      <c r="I6" s="1768"/>
      <c r="J6" s="1764" t="s">
        <v>379</v>
      </c>
      <c r="K6" s="1768" t="s">
        <v>380</v>
      </c>
      <c r="L6" s="1764"/>
      <c r="M6" s="1768"/>
      <c r="N6" s="1764"/>
      <c r="O6" s="1768"/>
      <c r="P6" s="1764"/>
      <c r="Q6" s="1768"/>
      <c r="R6" s="1764"/>
      <c r="S6" s="1768"/>
      <c r="T6" s="1773"/>
    </row>
    <row r="7" spans="1:21" ht="16.5" customHeight="1">
      <c r="A7" s="197" t="s">
        <v>1114</v>
      </c>
      <c r="B7" s="95"/>
      <c r="C7" s="1635"/>
      <c r="D7" s="95"/>
      <c r="E7" s="1762">
        <v>24.46</v>
      </c>
      <c r="F7" s="1765">
        <v>0.69</v>
      </c>
      <c r="G7" s="1769">
        <v>2.93</v>
      </c>
      <c r="H7" s="1765">
        <v>6.12</v>
      </c>
      <c r="I7" s="1769">
        <v>9.4</v>
      </c>
      <c r="J7" s="1765">
        <v>4.17</v>
      </c>
      <c r="K7" s="1769">
        <v>12.71</v>
      </c>
      <c r="L7" s="1765">
        <v>4.93</v>
      </c>
      <c r="M7" s="1769">
        <v>3.68</v>
      </c>
      <c r="N7" s="1765">
        <v>9.0500000000000007</v>
      </c>
      <c r="O7" s="1769">
        <v>5.15</v>
      </c>
      <c r="P7" s="1765">
        <v>4.58</v>
      </c>
      <c r="Q7" s="1769">
        <v>3.36</v>
      </c>
      <c r="R7" s="1765">
        <v>3.95</v>
      </c>
      <c r="S7" s="1769">
        <v>0.57999999999999996</v>
      </c>
      <c r="T7" s="1774">
        <v>4.22</v>
      </c>
    </row>
    <row r="8" spans="1:21" s="8" customFormat="1" ht="14.25" customHeight="1">
      <c r="A8" s="953" t="s">
        <v>412</v>
      </c>
      <c r="B8" s="397" t="s">
        <v>1080</v>
      </c>
      <c r="C8" s="1290" t="s">
        <v>1081</v>
      </c>
      <c r="D8" s="397" t="s">
        <v>1082</v>
      </c>
      <c r="E8" s="398" t="s">
        <v>1083</v>
      </c>
      <c r="F8" s="1290" t="s">
        <v>1084</v>
      </c>
      <c r="G8" s="397" t="s">
        <v>1085</v>
      </c>
      <c r="H8" s="1290" t="s">
        <v>1086</v>
      </c>
      <c r="I8" s="397" t="s">
        <v>1087</v>
      </c>
      <c r="J8" s="1290" t="s">
        <v>1088</v>
      </c>
      <c r="K8" s="397" t="s">
        <v>1089</v>
      </c>
      <c r="L8" s="1290" t="s">
        <v>1090</v>
      </c>
      <c r="M8" s="397" t="s">
        <v>1091</v>
      </c>
      <c r="N8" s="1290" t="s">
        <v>1092</v>
      </c>
      <c r="O8" s="397" t="s">
        <v>1093</v>
      </c>
      <c r="P8" s="1290" t="s">
        <v>1094</v>
      </c>
      <c r="Q8" s="397" t="s">
        <v>1095</v>
      </c>
      <c r="R8" s="1290" t="s">
        <v>1096</v>
      </c>
      <c r="S8" s="397" t="s">
        <v>1097</v>
      </c>
      <c r="T8" s="1319" t="s">
        <v>1098</v>
      </c>
    </row>
    <row r="9" spans="1:21" s="9" customFormat="1" ht="4.9000000000000004" customHeight="1" thickBot="1">
      <c r="A9" s="954"/>
      <c r="B9" s="308"/>
      <c r="C9" s="1571"/>
      <c r="D9" s="349"/>
      <c r="E9" s="1763">
        <v>24.46</v>
      </c>
      <c r="F9" s="1766">
        <v>0.69</v>
      </c>
      <c r="G9" s="948">
        <v>2.93</v>
      </c>
      <c r="H9" s="1766">
        <v>6.12</v>
      </c>
      <c r="I9" s="948">
        <v>9.4</v>
      </c>
      <c r="J9" s="1766">
        <v>4.17</v>
      </c>
      <c r="K9" s="948">
        <v>12.71</v>
      </c>
      <c r="L9" s="1766">
        <v>4.93</v>
      </c>
      <c r="M9" s="948">
        <v>3.68</v>
      </c>
      <c r="N9" s="1766">
        <v>9.0500000000000007</v>
      </c>
      <c r="O9" s="948">
        <v>5.15</v>
      </c>
      <c r="P9" s="1766">
        <v>4.58</v>
      </c>
      <c r="Q9" s="948">
        <v>3.36</v>
      </c>
      <c r="R9" s="1766">
        <v>3.95</v>
      </c>
      <c r="S9" s="948">
        <v>0.57999999999999996</v>
      </c>
      <c r="T9" s="1775">
        <v>4.22</v>
      </c>
      <c r="U9" s="949">
        <f>SUM(E9:T9)</f>
        <v>99.98</v>
      </c>
    </row>
    <row r="10" spans="1:21" s="9" customFormat="1">
      <c r="A10" s="49">
        <v>1994.01</v>
      </c>
      <c r="B10" s="1751">
        <v>76.246694525567776</v>
      </c>
      <c r="C10" s="1344">
        <v>80.572637291960589</v>
      </c>
      <c r="D10" s="1759"/>
      <c r="E10" s="945"/>
      <c r="F10" s="1767"/>
      <c r="G10" s="946"/>
      <c r="H10" s="1767"/>
      <c r="I10" s="946"/>
      <c r="J10" s="1767"/>
      <c r="K10" s="946"/>
      <c r="L10" s="1767"/>
      <c r="M10" s="946"/>
      <c r="N10" s="1767"/>
      <c r="O10" s="946"/>
      <c r="P10" s="1771"/>
      <c r="Q10" s="944"/>
      <c r="R10" s="1581"/>
      <c r="S10" s="944"/>
      <c r="T10" s="1776"/>
    </row>
    <row r="11" spans="1:21">
      <c r="A11" s="49">
        <v>1994.02</v>
      </c>
      <c r="B11" s="1751">
        <v>65.001082999205195</v>
      </c>
      <c r="C11" s="1344">
        <v>80.555718427173844</v>
      </c>
      <c r="D11" s="946"/>
      <c r="E11" s="947"/>
      <c r="F11" s="1767"/>
      <c r="G11" s="946"/>
      <c r="H11" s="1767"/>
      <c r="I11" s="946"/>
      <c r="J11" s="1767"/>
      <c r="K11" s="946"/>
      <c r="L11" s="1767"/>
      <c r="M11" s="946"/>
      <c r="N11" s="1767"/>
      <c r="O11" s="946"/>
      <c r="P11" s="1767"/>
      <c r="Q11" s="944"/>
      <c r="R11" s="1581"/>
      <c r="S11" s="944"/>
      <c r="T11" s="1776"/>
    </row>
    <row r="12" spans="1:21">
      <c r="A12" s="49">
        <v>1994.03</v>
      </c>
      <c r="B12" s="1751">
        <v>80.498715075094012</v>
      </c>
      <c r="C12" s="1344">
        <v>80.337603651013495</v>
      </c>
      <c r="D12" s="946"/>
      <c r="E12" s="947"/>
      <c r="F12" s="1767"/>
      <c r="G12" s="946"/>
      <c r="H12" s="1767"/>
      <c r="I12" s="946"/>
      <c r="J12" s="1767"/>
      <c r="K12" s="946"/>
      <c r="L12" s="1767"/>
      <c r="M12" s="946"/>
      <c r="N12" s="1767"/>
      <c r="O12" s="946"/>
      <c r="P12" s="1767"/>
      <c r="Q12" s="944"/>
      <c r="R12" s="1581"/>
      <c r="S12" s="944"/>
      <c r="T12" s="1776"/>
    </row>
    <row r="13" spans="1:21">
      <c r="A13" s="49">
        <v>1994.04</v>
      </c>
      <c r="B13" s="1751">
        <v>78.626170745497291</v>
      </c>
      <c r="C13" s="1344">
        <v>81.215891514894452</v>
      </c>
      <c r="D13" s="946"/>
      <c r="E13" s="947"/>
      <c r="F13" s="1767"/>
      <c r="G13" s="946"/>
      <c r="H13" s="1767"/>
      <c r="I13" s="946"/>
      <c r="J13" s="1767"/>
      <c r="K13" s="946"/>
      <c r="L13" s="1767"/>
      <c r="M13" s="946"/>
      <c r="N13" s="1767"/>
      <c r="O13" s="946"/>
      <c r="P13" s="1767"/>
      <c r="Q13" s="944"/>
      <c r="R13" s="1581"/>
      <c r="S13" s="944"/>
      <c r="T13" s="1776"/>
    </row>
    <row r="14" spans="1:21">
      <c r="A14" s="49">
        <v>1994.05</v>
      </c>
      <c r="B14" s="1751">
        <v>80.9746103190799</v>
      </c>
      <c r="C14" s="1344">
        <v>81.605819065738572</v>
      </c>
      <c r="D14" s="946"/>
      <c r="E14" s="947"/>
      <c r="F14" s="1767"/>
      <c r="G14" s="946"/>
      <c r="H14" s="1767"/>
      <c r="I14" s="946"/>
      <c r="J14" s="1767"/>
      <c r="K14" s="946"/>
      <c r="L14" s="1767"/>
      <c r="M14" s="946"/>
      <c r="N14" s="1767"/>
      <c r="O14" s="946"/>
      <c r="P14" s="1767"/>
      <c r="Q14" s="944"/>
      <c r="R14" s="1581"/>
      <c r="S14" s="944"/>
      <c r="T14" s="1776"/>
    </row>
    <row r="15" spans="1:21">
      <c r="A15" s="49">
        <v>1994.06</v>
      </c>
      <c r="B15" s="1751">
        <v>78.036474464906064</v>
      </c>
      <c r="C15" s="1344">
        <v>80.396413212303671</v>
      </c>
      <c r="D15" s="946"/>
      <c r="E15" s="947"/>
      <c r="F15" s="1767"/>
      <c r="G15" s="946"/>
      <c r="H15" s="1767"/>
      <c r="I15" s="946"/>
      <c r="J15" s="1767"/>
      <c r="K15" s="946"/>
      <c r="L15" s="1767"/>
      <c r="M15" s="946"/>
      <c r="N15" s="1767"/>
      <c r="O15" s="946"/>
      <c r="P15" s="1767"/>
      <c r="Q15" s="944"/>
      <c r="R15" s="1581"/>
      <c r="S15" s="944"/>
      <c r="T15" s="1776"/>
    </row>
    <row r="16" spans="1:21">
      <c r="A16" s="49">
        <v>1994.07</v>
      </c>
      <c r="B16" s="1751">
        <v>82.009165197310125</v>
      </c>
      <c r="C16" s="1344">
        <v>80.389008773844623</v>
      </c>
      <c r="D16" s="946"/>
      <c r="E16" s="947"/>
      <c r="F16" s="1767"/>
      <c r="G16" s="946"/>
      <c r="H16" s="1767"/>
      <c r="I16" s="946"/>
      <c r="J16" s="1767"/>
      <c r="K16" s="946"/>
      <c r="L16" s="1767"/>
      <c r="M16" s="946"/>
      <c r="N16" s="1767"/>
      <c r="O16" s="946"/>
      <c r="P16" s="1767"/>
      <c r="Q16" s="944"/>
      <c r="R16" s="1581"/>
      <c r="S16" s="944"/>
      <c r="T16" s="1776"/>
    </row>
    <row r="17" spans="1:20">
      <c r="A17" s="49">
        <v>1994.08</v>
      </c>
      <c r="B17" s="1751">
        <v>86.706044344475373</v>
      </c>
      <c r="C17" s="1344">
        <v>82.843986568359782</v>
      </c>
      <c r="D17" s="946"/>
      <c r="E17" s="947"/>
      <c r="F17" s="1767"/>
      <c r="G17" s="946"/>
      <c r="H17" s="1767"/>
      <c r="I17" s="946"/>
      <c r="J17" s="1767"/>
      <c r="K17" s="946"/>
      <c r="L17" s="1767"/>
      <c r="M17" s="946"/>
      <c r="N17" s="1767"/>
      <c r="O17" s="946"/>
      <c r="P17" s="1767"/>
      <c r="Q17" s="944"/>
      <c r="R17" s="1581"/>
      <c r="S17" s="944"/>
      <c r="T17" s="1776"/>
    </row>
    <row r="18" spans="1:20">
      <c r="A18" s="49">
        <v>1994.09</v>
      </c>
      <c r="B18" s="1751">
        <v>86.819845381080697</v>
      </c>
      <c r="C18" s="1344">
        <v>82.697688100526321</v>
      </c>
      <c r="D18" s="946"/>
      <c r="E18" s="947"/>
      <c r="F18" s="1767"/>
      <c r="G18" s="946"/>
      <c r="H18" s="1767"/>
      <c r="I18" s="946"/>
      <c r="J18" s="1767"/>
      <c r="K18" s="946"/>
      <c r="L18" s="1767"/>
      <c r="M18" s="946"/>
      <c r="N18" s="1767"/>
      <c r="O18" s="946"/>
      <c r="P18" s="1767"/>
      <c r="Q18" s="944"/>
      <c r="R18" s="1581"/>
      <c r="S18" s="944"/>
      <c r="T18" s="1776"/>
    </row>
    <row r="19" spans="1:20">
      <c r="A19" s="49">
        <v>1994.1</v>
      </c>
      <c r="B19" s="1751">
        <v>83.219594404839512</v>
      </c>
      <c r="C19" s="1344">
        <v>81.682504481831955</v>
      </c>
      <c r="D19" s="946"/>
      <c r="E19" s="947"/>
      <c r="F19" s="1767"/>
      <c r="G19" s="946"/>
      <c r="H19" s="1767"/>
      <c r="I19" s="946"/>
      <c r="J19" s="1767"/>
      <c r="K19" s="946"/>
      <c r="L19" s="1767"/>
      <c r="M19" s="946"/>
      <c r="N19" s="1767"/>
      <c r="O19" s="946"/>
      <c r="P19" s="1767"/>
      <c r="Q19" s="944"/>
      <c r="R19" s="1581"/>
      <c r="S19" s="944"/>
      <c r="T19" s="1776"/>
    </row>
    <row r="20" spans="1:20">
      <c r="A20" s="49">
        <v>1994.11</v>
      </c>
      <c r="B20" s="1751">
        <v>84.336913673328155</v>
      </c>
      <c r="C20" s="1344">
        <v>83.447330938326814</v>
      </c>
      <c r="D20" s="946"/>
      <c r="E20" s="947"/>
      <c r="F20" s="1767"/>
      <c r="G20" s="946"/>
      <c r="H20" s="1767"/>
      <c r="I20" s="946"/>
      <c r="J20" s="1767"/>
      <c r="K20" s="946"/>
      <c r="L20" s="1767"/>
      <c r="M20" s="946"/>
      <c r="N20" s="1767"/>
      <c r="O20" s="946"/>
      <c r="P20" s="1767"/>
      <c r="Q20" s="944"/>
      <c r="R20" s="1581"/>
      <c r="S20" s="944"/>
      <c r="T20" s="1776"/>
    </row>
    <row r="21" spans="1:20">
      <c r="A21" s="49">
        <v>1994.12</v>
      </c>
      <c r="B21" s="1751">
        <v>79.453814648081476</v>
      </c>
      <c r="C21" s="1344">
        <v>83.699438799809101</v>
      </c>
      <c r="D21" s="946"/>
      <c r="E21" s="947"/>
      <c r="F21" s="1767"/>
      <c r="G21" s="946"/>
      <c r="H21" s="1767"/>
      <c r="I21" s="946"/>
      <c r="J21" s="1767"/>
      <c r="K21" s="946"/>
      <c r="L21" s="1767"/>
      <c r="M21" s="946"/>
      <c r="N21" s="1767"/>
      <c r="O21" s="946"/>
      <c r="P21" s="1767"/>
      <c r="Q21" s="944"/>
      <c r="R21" s="1581"/>
      <c r="S21" s="944"/>
      <c r="T21" s="1776"/>
    </row>
    <row r="22" spans="1:20">
      <c r="A22" s="49">
        <v>1995.01</v>
      </c>
      <c r="B22" s="1751">
        <v>71.208412268586557</v>
      </c>
      <c r="C22" s="1344">
        <v>81.43767302503052</v>
      </c>
      <c r="D22" s="946"/>
      <c r="E22" s="947"/>
      <c r="F22" s="1767"/>
      <c r="G22" s="946"/>
      <c r="H22" s="1767"/>
      <c r="I22" s="946"/>
      <c r="J22" s="1767"/>
      <c r="K22" s="946"/>
      <c r="L22" s="1767"/>
      <c r="M22" s="946"/>
      <c r="N22" s="1767"/>
      <c r="O22" s="946"/>
      <c r="P22" s="1767"/>
      <c r="Q22" s="944"/>
      <c r="R22" s="1581"/>
      <c r="S22" s="944"/>
      <c r="T22" s="1776"/>
    </row>
    <row r="23" spans="1:20">
      <c r="A23" s="49">
        <v>1995.02</v>
      </c>
      <c r="B23" s="1751">
        <v>72.263658244381389</v>
      </c>
      <c r="C23" s="1344">
        <v>81.512242186191457</v>
      </c>
      <c r="D23" s="946"/>
      <c r="E23" s="947"/>
      <c r="F23" s="1767"/>
      <c r="G23" s="946"/>
      <c r="H23" s="1767"/>
      <c r="I23" s="946"/>
      <c r="J23" s="1767"/>
      <c r="K23" s="946"/>
      <c r="L23" s="1767"/>
      <c r="M23" s="946"/>
      <c r="N23" s="1767"/>
      <c r="O23" s="946"/>
      <c r="P23" s="1767"/>
      <c r="Q23" s="944"/>
      <c r="R23" s="1581"/>
      <c r="S23" s="944"/>
      <c r="T23" s="1776"/>
    </row>
    <row r="24" spans="1:20">
      <c r="A24" s="49">
        <v>1995.03</v>
      </c>
      <c r="B24" s="1751">
        <v>81.233249038637467</v>
      </c>
      <c r="C24" s="1344">
        <v>81.39192296110005</v>
      </c>
      <c r="D24" s="946"/>
      <c r="E24" s="947"/>
      <c r="F24" s="1767"/>
      <c r="G24" s="946"/>
      <c r="H24" s="1767"/>
      <c r="I24" s="946"/>
      <c r="J24" s="1767"/>
      <c r="K24" s="946"/>
      <c r="L24" s="1767"/>
      <c r="M24" s="946"/>
      <c r="N24" s="1767"/>
      <c r="O24" s="946"/>
      <c r="P24" s="1767"/>
      <c r="Q24" s="944"/>
      <c r="R24" s="1581"/>
      <c r="S24" s="944"/>
      <c r="T24" s="1776"/>
    </row>
    <row r="25" spans="1:20">
      <c r="A25" s="49">
        <v>1995.04</v>
      </c>
      <c r="B25" s="1751">
        <v>70.763553670947573</v>
      </c>
      <c r="C25" s="1344">
        <v>79.488748474207</v>
      </c>
      <c r="D25" s="946"/>
      <c r="E25" s="947"/>
      <c r="F25" s="1767"/>
      <c r="G25" s="946"/>
      <c r="H25" s="1767"/>
      <c r="I25" s="946"/>
      <c r="J25" s="1767"/>
      <c r="K25" s="946"/>
      <c r="L25" s="1767"/>
      <c r="M25" s="946"/>
      <c r="N25" s="1767"/>
      <c r="O25" s="946"/>
      <c r="P25" s="1767"/>
      <c r="Q25" s="944"/>
      <c r="R25" s="1581"/>
      <c r="S25" s="944"/>
      <c r="T25" s="1776"/>
    </row>
    <row r="26" spans="1:20">
      <c r="A26" s="49">
        <v>1995.05</v>
      </c>
      <c r="B26" s="1751">
        <v>78.036474464906078</v>
      </c>
      <c r="C26" s="1344">
        <v>77.705831774899806</v>
      </c>
      <c r="D26" s="946"/>
      <c r="E26" s="947"/>
      <c r="F26" s="1767"/>
      <c r="G26" s="946"/>
      <c r="H26" s="1767"/>
      <c r="I26" s="946"/>
      <c r="J26" s="1767"/>
      <c r="K26" s="946"/>
      <c r="L26" s="1767"/>
      <c r="M26" s="946"/>
      <c r="N26" s="1767"/>
      <c r="O26" s="946"/>
      <c r="P26" s="1767"/>
      <c r="Q26" s="944"/>
      <c r="R26" s="1581"/>
      <c r="S26" s="944"/>
      <c r="T26" s="1776"/>
    </row>
    <row r="27" spans="1:20">
      <c r="A27" s="49">
        <v>1995.06</v>
      </c>
      <c r="B27" s="1751">
        <v>77.229521659886501</v>
      </c>
      <c r="C27" s="1344">
        <v>78.174362587461786</v>
      </c>
      <c r="D27" s="946"/>
      <c r="E27" s="947"/>
      <c r="F27" s="1767"/>
      <c r="G27" s="946"/>
      <c r="H27" s="1767"/>
      <c r="I27" s="946"/>
      <c r="J27" s="1767"/>
      <c r="K27" s="946"/>
      <c r="L27" s="1767"/>
      <c r="M27" s="946"/>
      <c r="N27" s="1767"/>
      <c r="O27" s="946"/>
      <c r="P27" s="1767"/>
      <c r="Q27" s="944"/>
      <c r="R27" s="1581"/>
      <c r="S27" s="944"/>
      <c r="T27" s="1776"/>
    </row>
    <row r="28" spans="1:20">
      <c r="A28" s="49">
        <v>1995.07</v>
      </c>
      <c r="B28" s="1751">
        <v>79.515887940775301</v>
      </c>
      <c r="C28" s="1344">
        <v>77.162269414171519</v>
      </c>
      <c r="D28" s="946"/>
      <c r="E28" s="947"/>
      <c r="F28" s="1767"/>
      <c r="G28" s="946"/>
      <c r="H28" s="1767"/>
      <c r="I28" s="946"/>
      <c r="J28" s="1767"/>
      <c r="K28" s="946"/>
      <c r="L28" s="1767"/>
      <c r="M28" s="946"/>
      <c r="N28" s="1767"/>
      <c r="O28" s="946"/>
      <c r="P28" s="1767"/>
      <c r="Q28" s="944"/>
      <c r="R28" s="1581"/>
      <c r="S28" s="944"/>
      <c r="T28" s="1776"/>
    </row>
    <row r="29" spans="1:20">
      <c r="A29" s="49">
        <v>1995.08</v>
      </c>
      <c r="B29" s="1751">
        <v>79.288285867564639</v>
      </c>
      <c r="C29" s="1344">
        <v>75.377578977922482</v>
      </c>
      <c r="D29" s="946"/>
      <c r="E29" s="947"/>
      <c r="F29" s="1767"/>
      <c r="G29" s="946"/>
      <c r="H29" s="1767"/>
      <c r="I29" s="946"/>
      <c r="J29" s="1767"/>
      <c r="K29" s="946"/>
      <c r="L29" s="1767"/>
      <c r="M29" s="946"/>
      <c r="N29" s="1767"/>
      <c r="O29" s="946"/>
      <c r="P29" s="1767"/>
      <c r="Q29" s="944"/>
      <c r="R29" s="1581"/>
      <c r="S29" s="944"/>
      <c r="T29" s="1776"/>
    </row>
    <row r="30" spans="1:20">
      <c r="A30" s="49">
        <v>1995.09</v>
      </c>
      <c r="B30" s="1751">
        <v>76.091511293833236</v>
      </c>
      <c r="C30" s="1344">
        <v>75.4705561983276</v>
      </c>
      <c r="D30" s="946"/>
      <c r="E30" s="947"/>
      <c r="F30" s="1767"/>
      <c r="G30" s="946"/>
      <c r="H30" s="1767"/>
      <c r="I30" s="946"/>
      <c r="J30" s="1767"/>
      <c r="K30" s="946"/>
      <c r="L30" s="1767"/>
      <c r="M30" s="946"/>
      <c r="N30" s="1767"/>
      <c r="O30" s="946"/>
      <c r="P30" s="1767"/>
      <c r="Q30" s="944"/>
      <c r="R30" s="1581"/>
      <c r="S30" s="944"/>
      <c r="T30" s="1776"/>
    </row>
    <row r="31" spans="1:20">
      <c r="A31" s="49">
        <v>1995.1</v>
      </c>
      <c r="B31" s="1751">
        <v>79.029647148007086</v>
      </c>
      <c r="C31" s="1344">
        <v>75.923062114058155</v>
      </c>
      <c r="D31" s="946"/>
      <c r="E31" s="947"/>
      <c r="F31" s="1767"/>
      <c r="G31" s="946"/>
      <c r="H31" s="1767"/>
      <c r="I31" s="946"/>
      <c r="J31" s="1767"/>
      <c r="K31" s="946"/>
      <c r="L31" s="1767"/>
      <c r="M31" s="946"/>
      <c r="N31" s="1767"/>
      <c r="O31" s="946"/>
      <c r="P31" s="1767"/>
      <c r="Q31" s="944"/>
      <c r="R31" s="1581"/>
      <c r="S31" s="944"/>
      <c r="T31" s="1776"/>
    </row>
    <row r="32" spans="1:20">
      <c r="A32" s="49">
        <v>1995.11</v>
      </c>
      <c r="B32" s="1751">
        <v>76.950191842764312</v>
      </c>
      <c r="C32" s="1344">
        <v>75.979903163675715</v>
      </c>
      <c r="D32" s="946"/>
      <c r="E32" s="947"/>
      <c r="F32" s="1767"/>
      <c r="G32" s="946"/>
      <c r="H32" s="1767"/>
      <c r="I32" s="946"/>
      <c r="J32" s="1767"/>
      <c r="K32" s="946"/>
      <c r="L32" s="1767"/>
      <c r="M32" s="946"/>
      <c r="N32" s="1767"/>
      <c r="O32" s="946"/>
      <c r="P32" s="1767"/>
      <c r="Q32" s="944"/>
      <c r="R32" s="1581"/>
      <c r="S32" s="944"/>
      <c r="T32" s="1776"/>
    </row>
    <row r="33" spans="1:20">
      <c r="A33" s="49">
        <v>1995.12</v>
      </c>
      <c r="B33" s="1751">
        <v>71.094611231981233</v>
      </c>
      <c r="C33" s="1344">
        <v>76.289465981734566</v>
      </c>
      <c r="D33" s="946"/>
      <c r="E33" s="947"/>
      <c r="F33" s="1767"/>
      <c r="G33" s="946"/>
      <c r="H33" s="1767"/>
      <c r="I33" s="946"/>
      <c r="J33" s="1767"/>
      <c r="K33" s="946"/>
      <c r="L33" s="1767"/>
      <c r="M33" s="946"/>
      <c r="N33" s="1767"/>
      <c r="O33" s="946"/>
      <c r="P33" s="1767"/>
      <c r="Q33" s="944"/>
      <c r="R33" s="1581"/>
      <c r="S33" s="944"/>
      <c r="T33" s="1776"/>
    </row>
    <row r="34" spans="1:20">
      <c r="A34" s="49">
        <v>1996.01</v>
      </c>
      <c r="B34" s="1751">
        <v>69.263449097513742</v>
      </c>
      <c r="C34" s="1344">
        <v>78.495941525909501</v>
      </c>
      <c r="D34" s="946"/>
      <c r="E34" s="947"/>
      <c r="F34" s="1767"/>
      <c r="G34" s="946"/>
      <c r="H34" s="1767"/>
      <c r="I34" s="946"/>
      <c r="J34" s="1767"/>
      <c r="K34" s="946"/>
      <c r="L34" s="1767"/>
      <c r="M34" s="946"/>
      <c r="N34" s="1767"/>
      <c r="O34" s="946"/>
      <c r="P34" s="1767"/>
      <c r="Q34" s="944"/>
      <c r="R34" s="1581"/>
      <c r="S34" s="944"/>
      <c r="T34" s="1776"/>
    </row>
    <row r="35" spans="1:20">
      <c r="A35" s="49">
        <v>1996.02</v>
      </c>
      <c r="B35" s="1751">
        <v>71.539469829620245</v>
      </c>
      <c r="C35" s="1344">
        <v>79.656834984834404</v>
      </c>
      <c r="D35" s="946"/>
      <c r="E35" s="947"/>
      <c r="F35" s="1767"/>
      <c r="G35" s="946"/>
      <c r="H35" s="1767"/>
      <c r="I35" s="946"/>
      <c r="J35" s="1767"/>
      <c r="K35" s="946"/>
      <c r="L35" s="1767"/>
      <c r="M35" s="946"/>
      <c r="N35" s="1767"/>
      <c r="O35" s="946"/>
      <c r="P35" s="1767"/>
      <c r="Q35" s="944"/>
      <c r="R35" s="1581"/>
      <c r="S35" s="944"/>
      <c r="T35" s="1776"/>
    </row>
    <row r="36" spans="1:20">
      <c r="A36" s="49">
        <v>1996.03</v>
      </c>
      <c r="B36" s="1751">
        <v>76.960537391546637</v>
      </c>
      <c r="C36" s="1344">
        <v>79.3900630741296</v>
      </c>
      <c r="D36" s="946"/>
      <c r="E36" s="947"/>
      <c r="F36" s="1767"/>
      <c r="G36" s="946"/>
      <c r="H36" s="1767"/>
      <c r="I36" s="946"/>
      <c r="J36" s="1767"/>
      <c r="K36" s="946"/>
      <c r="L36" s="1767"/>
      <c r="M36" s="946"/>
      <c r="N36" s="1767"/>
      <c r="O36" s="946"/>
      <c r="P36" s="1767"/>
      <c r="Q36" s="944"/>
      <c r="R36" s="1581"/>
      <c r="S36" s="944"/>
      <c r="T36" s="1776"/>
    </row>
    <row r="37" spans="1:20">
      <c r="A37" s="49">
        <v>1996.04</v>
      </c>
      <c r="B37" s="1751">
        <v>78.71928068453802</v>
      </c>
      <c r="C37" s="1344">
        <v>80.457721589492351</v>
      </c>
      <c r="D37" s="946"/>
      <c r="E37" s="947"/>
      <c r="F37" s="1767"/>
      <c r="G37" s="946"/>
      <c r="H37" s="1767"/>
      <c r="I37" s="946"/>
      <c r="J37" s="1767"/>
      <c r="K37" s="946"/>
      <c r="L37" s="1767"/>
      <c r="M37" s="946"/>
      <c r="N37" s="1767"/>
      <c r="O37" s="946"/>
      <c r="P37" s="1767"/>
      <c r="Q37" s="944"/>
      <c r="R37" s="1581"/>
      <c r="S37" s="944"/>
      <c r="T37" s="1776"/>
    </row>
    <row r="38" spans="1:20">
      <c r="A38" s="49">
        <v>1996.05</v>
      </c>
      <c r="B38" s="1751">
        <v>81.409123367936601</v>
      </c>
      <c r="C38" s="1344">
        <v>81.247451169779737</v>
      </c>
      <c r="D38" s="946"/>
      <c r="E38" s="947"/>
      <c r="F38" s="1767"/>
      <c r="G38" s="946"/>
      <c r="H38" s="1767"/>
      <c r="I38" s="946"/>
      <c r="J38" s="1767"/>
      <c r="K38" s="946"/>
      <c r="L38" s="1767"/>
      <c r="M38" s="946"/>
      <c r="N38" s="1767"/>
      <c r="O38" s="946"/>
      <c r="P38" s="1767"/>
      <c r="Q38" s="944"/>
      <c r="R38" s="1581"/>
      <c r="S38" s="944"/>
      <c r="T38" s="1776"/>
    </row>
    <row r="39" spans="1:20">
      <c r="A39" s="49">
        <v>1996.06</v>
      </c>
      <c r="B39" s="1751">
        <v>77.281249403798</v>
      </c>
      <c r="C39" s="1344">
        <v>81.128081202662017</v>
      </c>
      <c r="D39" s="946"/>
      <c r="E39" s="947"/>
      <c r="F39" s="1767"/>
      <c r="G39" s="946"/>
      <c r="H39" s="1767"/>
      <c r="I39" s="946"/>
      <c r="J39" s="1767"/>
      <c r="K39" s="946"/>
      <c r="L39" s="1767"/>
      <c r="M39" s="946"/>
      <c r="N39" s="1767"/>
      <c r="O39" s="946"/>
      <c r="P39" s="1767"/>
      <c r="Q39" s="944"/>
      <c r="R39" s="1581"/>
      <c r="S39" s="944"/>
      <c r="T39" s="1776"/>
    </row>
    <row r="40" spans="1:20">
      <c r="A40" s="49">
        <v>1996.07</v>
      </c>
      <c r="B40" s="1751">
        <v>86.468096722482414</v>
      </c>
      <c r="C40" s="1344">
        <v>82.047735610201826</v>
      </c>
      <c r="D40" s="946"/>
      <c r="E40" s="947"/>
      <c r="F40" s="1767"/>
      <c r="G40" s="946"/>
      <c r="H40" s="1767"/>
      <c r="I40" s="946"/>
      <c r="J40" s="1767"/>
      <c r="K40" s="946"/>
      <c r="L40" s="1767"/>
      <c r="M40" s="946"/>
      <c r="N40" s="1767"/>
      <c r="O40" s="946"/>
      <c r="P40" s="1767"/>
      <c r="Q40" s="944"/>
      <c r="R40" s="1581"/>
      <c r="S40" s="944"/>
      <c r="T40" s="1776"/>
    </row>
    <row r="41" spans="1:20">
      <c r="A41" s="49">
        <v>1996.08</v>
      </c>
      <c r="B41" s="1751">
        <v>85.288704161299947</v>
      </c>
      <c r="C41" s="1344">
        <v>82.401907535551246</v>
      </c>
      <c r="D41" s="946"/>
      <c r="E41" s="947"/>
      <c r="F41" s="1767"/>
      <c r="G41" s="946"/>
      <c r="H41" s="1767"/>
      <c r="I41" s="946"/>
      <c r="J41" s="1767"/>
      <c r="K41" s="946"/>
      <c r="L41" s="1767"/>
      <c r="M41" s="946"/>
      <c r="N41" s="1767"/>
      <c r="O41" s="946"/>
      <c r="P41" s="1767"/>
      <c r="Q41" s="944"/>
      <c r="R41" s="1581"/>
      <c r="S41" s="944"/>
      <c r="T41" s="1776"/>
    </row>
    <row r="42" spans="1:20">
      <c r="A42" s="49">
        <v>1996.09</v>
      </c>
      <c r="B42" s="1751">
        <v>81.647070989929546</v>
      </c>
      <c r="C42" s="1344">
        <v>80.885959132458538</v>
      </c>
      <c r="D42" s="946"/>
      <c r="E42" s="947"/>
      <c r="F42" s="1767"/>
      <c r="G42" s="946"/>
      <c r="H42" s="1767"/>
      <c r="I42" s="946"/>
      <c r="J42" s="1767"/>
      <c r="K42" s="946"/>
      <c r="L42" s="1767"/>
      <c r="M42" s="946"/>
      <c r="N42" s="1767"/>
      <c r="O42" s="946"/>
      <c r="P42" s="1767"/>
      <c r="Q42" s="944"/>
      <c r="R42" s="1581"/>
      <c r="S42" s="944"/>
      <c r="T42" s="1776"/>
    </row>
    <row r="43" spans="1:20">
      <c r="A43" s="49">
        <v>1996.1</v>
      </c>
      <c r="B43" s="1751">
        <v>87.388850564107301</v>
      </c>
      <c r="C43" s="1344">
        <v>82.944613171755776</v>
      </c>
      <c r="D43" s="946"/>
      <c r="E43" s="947"/>
      <c r="F43" s="1767"/>
      <c r="G43" s="946"/>
      <c r="H43" s="1767"/>
      <c r="I43" s="946"/>
      <c r="J43" s="1767"/>
      <c r="K43" s="946"/>
      <c r="L43" s="1767"/>
      <c r="M43" s="946"/>
      <c r="N43" s="1767"/>
      <c r="O43" s="946"/>
      <c r="P43" s="1767"/>
      <c r="Q43" s="944"/>
      <c r="R43" s="1581"/>
      <c r="S43" s="944"/>
      <c r="T43" s="1776"/>
    </row>
    <row r="44" spans="1:20">
      <c r="A44" s="49">
        <v>1996.11</v>
      </c>
      <c r="B44" s="1751">
        <v>82.505751538860636</v>
      </c>
      <c r="C44" s="1344">
        <v>82.625187214522228</v>
      </c>
      <c r="D44" s="946"/>
      <c r="E44" s="947"/>
      <c r="F44" s="1767"/>
      <c r="G44" s="946"/>
      <c r="H44" s="1767"/>
      <c r="I44" s="946"/>
      <c r="J44" s="1767"/>
      <c r="K44" s="946"/>
      <c r="L44" s="1767"/>
      <c r="M44" s="946"/>
      <c r="N44" s="1767"/>
      <c r="O44" s="946"/>
      <c r="P44" s="1767"/>
      <c r="Q44" s="944"/>
      <c r="R44" s="1581"/>
      <c r="S44" s="944"/>
      <c r="T44" s="1776"/>
    </row>
    <row r="45" spans="1:20">
      <c r="A45" s="49">
        <v>1996.12</v>
      </c>
      <c r="B45" s="1751">
        <v>78.688244038191101</v>
      </c>
      <c r="C45" s="1344">
        <v>83.210852958042821</v>
      </c>
      <c r="D45" s="946"/>
      <c r="E45" s="947"/>
      <c r="F45" s="1767"/>
      <c r="G45" s="946"/>
      <c r="H45" s="1767"/>
      <c r="I45" s="946"/>
      <c r="J45" s="1767"/>
      <c r="K45" s="946"/>
      <c r="L45" s="1767"/>
      <c r="M45" s="946"/>
      <c r="N45" s="1767"/>
      <c r="O45" s="946"/>
      <c r="P45" s="1767"/>
      <c r="Q45" s="944"/>
      <c r="R45" s="1581"/>
      <c r="S45" s="944"/>
      <c r="T45" s="1776"/>
    </row>
    <row r="46" spans="1:20">
      <c r="A46" s="49">
        <v>1997.01</v>
      </c>
      <c r="B46" s="1751">
        <v>74.529333427705595</v>
      </c>
      <c r="C46" s="1344">
        <v>83.809320989738993</v>
      </c>
      <c r="D46" s="946"/>
      <c r="E46" s="947"/>
      <c r="F46" s="1767"/>
      <c r="G46" s="946"/>
      <c r="H46" s="1767"/>
      <c r="I46" s="946"/>
      <c r="J46" s="1767"/>
      <c r="K46" s="946"/>
      <c r="L46" s="1767"/>
      <c r="M46" s="946"/>
      <c r="N46" s="1767"/>
      <c r="O46" s="946"/>
      <c r="P46" s="1767"/>
      <c r="Q46" s="944"/>
      <c r="R46" s="1581"/>
      <c r="S46" s="944"/>
      <c r="T46" s="1776"/>
    </row>
    <row r="47" spans="1:20">
      <c r="A47" s="49">
        <v>1997.02</v>
      </c>
      <c r="B47" s="1751">
        <v>74.094820378848894</v>
      </c>
      <c r="C47" s="1344">
        <v>84.545022173312418</v>
      </c>
      <c r="D47" s="946"/>
      <c r="E47" s="947"/>
      <c r="F47" s="1767"/>
      <c r="G47" s="946"/>
      <c r="H47" s="1767"/>
      <c r="I47" s="946"/>
      <c r="J47" s="1767"/>
      <c r="K47" s="946"/>
      <c r="L47" s="1767"/>
      <c r="M47" s="946"/>
      <c r="N47" s="1767"/>
      <c r="O47" s="946"/>
      <c r="P47" s="1767"/>
      <c r="Q47" s="944"/>
      <c r="R47" s="1581"/>
      <c r="S47" s="944"/>
      <c r="T47" s="1776"/>
    </row>
    <row r="48" spans="1:20">
      <c r="A48" s="49">
        <v>1997.03</v>
      </c>
      <c r="B48" s="1751">
        <v>81.584997697235735</v>
      </c>
      <c r="C48" s="1344">
        <v>84.419226839974371</v>
      </c>
      <c r="D48" s="946"/>
      <c r="E48" s="947"/>
      <c r="F48" s="1767"/>
      <c r="G48" s="946"/>
      <c r="H48" s="1767"/>
      <c r="I48" s="946"/>
      <c r="J48" s="1767"/>
      <c r="K48" s="946"/>
      <c r="L48" s="1767"/>
      <c r="M48" s="946"/>
      <c r="N48" s="1767"/>
      <c r="O48" s="946"/>
      <c r="P48" s="1767"/>
      <c r="Q48" s="944"/>
      <c r="R48" s="1581"/>
      <c r="S48" s="944"/>
      <c r="T48" s="1776"/>
    </row>
    <row r="49" spans="1:20">
      <c r="A49" s="49">
        <v>1997.04</v>
      </c>
      <c r="B49" s="1751">
        <v>87.037101905509033</v>
      </c>
      <c r="C49" s="1344">
        <v>86.402326722414628</v>
      </c>
      <c r="D49" s="946"/>
      <c r="E49" s="947"/>
      <c r="F49" s="1767"/>
      <c r="G49" s="946"/>
      <c r="H49" s="1767"/>
      <c r="I49" s="946"/>
      <c r="J49" s="1767"/>
      <c r="K49" s="946"/>
      <c r="L49" s="1767"/>
      <c r="M49" s="946"/>
      <c r="N49" s="1767"/>
      <c r="O49" s="946"/>
      <c r="P49" s="1767"/>
      <c r="Q49" s="944"/>
      <c r="R49" s="1581"/>
      <c r="S49" s="944"/>
      <c r="T49" s="1776"/>
    </row>
    <row r="50" spans="1:20">
      <c r="A50" s="49">
        <v>1997.05</v>
      </c>
      <c r="B50" s="1751">
        <v>86.995719710379831</v>
      </c>
      <c r="C50" s="1344">
        <v>88.106462381015135</v>
      </c>
      <c r="D50" s="946"/>
      <c r="E50" s="947"/>
      <c r="F50" s="1767"/>
      <c r="G50" s="946"/>
      <c r="H50" s="1767"/>
      <c r="I50" s="946"/>
      <c r="J50" s="1767"/>
      <c r="K50" s="946"/>
      <c r="L50" s="1767"/>
      <c r="M50" s="946"/>
      <c r="N50" s="1767"/>
      <c r="O50" s="946"/>
      <c r="P50" s="1767"/>
      <c r="Q50" s="944"/>
      <c r="R50" s="1581"/>
      <c r="S50" s="944"/>
      <c r="T50" s="1776"/>
    </row>
    <row r="51" spans="1:20">
      <c r="A51" s="49">
        <v>1997.06</v>
      </c>
      <c r="B51" s="1751">
        <v>85.464578490599095</v>
      </c>
      <c r="C51" s="1344">
        <v>88.283089358491594</v>
      </c>
      <c r="D51" s="946"/>
      <c r="E51" s="947"/>
      <c r="F51" s="1767"/>
      <c r="G51" s="946"/>
      <c r="H51" s="1767"/>
      <c r="I51" s="946"/>
      <c r="J51" s="1767"/>
      <c r="K51" s="946"/>
      <c r="L51" s="1767"/>
      <c r="M51" s="946"/>
      <c r="N51" s="1767"/>
      <c r="O51" s="946"/>
      <c r="P51" s="1767"/>
      <c r="Q51" s="944"/>
      <c r="R51" s="1581"/>
      <c r="S51" s="944"/>
      <c r="T51" s="1776"/>
    </row>
    <row r="52" spans="1:20">
      <c r="A52" s="49">
        <v>1997.07</v>
      </c>
      <c r="B52" s="1751">
        <v>94.072075077474594</v>
      </c>
      <c r="C52" s="1344">
        <v>89.776427489162074</v>
      </c>
      <c r="D52" s="946"/>
      <c r="E52" s="947"/>
      <c r="F52" s="1767"/>
      <c r="G52" s="946"/>
      <c r="H52" s="1767"/>
      <c r="I52" s="946"/>
      <c r="J52" s="1767"/>
      <c r="K52" s="946"/>
      <c r="L52" s="1767"/>
      <c r="M52" s="946"/>
      <c r="N52" s="1767"/>
      <c r="O52" s="946"/>
      <c r="P52" s="1767"/>
      <c r="Q52" s="944"/>
      <c r="R52" s="1581"/>
      <c r="S52" s="944"/>
      <c r="T52" s="1776"/>
    </row>
    <row r="53" spans="1:20">
      <c r="A53" s="49">
        <v>1997.08</v>
      </c>
      <c r="B53" s="1751">
        <v>91.289122455035269</v>
      </c>
      <c r="C53" s="1344">
        <v>89.583056747289149</v>
      </c>
      <c r="D53" s="946"/>
      <c r="E53" s="947"/>
      <c r="F53" s="1767"/>
      <c r="G53" s="946"/>
      <c r="H53" s="1767"/>
      <c r="I53" s="946"/>
      <c r="J53" s="1767"/>
      <c r="K53" s="946"/>
      <c r="L53" s="1767"/>
      <c r="M53" s="946"/>
      <c r="N53" s="1767"/>
      <c r="O53" s="946"/>
      <c r="P53" s="1767"/>
      <c r="Q53" s="944"/>
      <c r="R53" s="1581"/>
      <c r="S53" s="944"/>
      <c r="T53" s="1776"/>
    </row>
    <row r="54" spans="1:20">
      <c r="A54" s="49">
        <v>1997.09</v>
      </c>
      <c r="B54" s="1751">
        <v>93.699635321311703</v>
      </c>
      <c r="C54" s="1344">
        <v>91.557212650305033</v>
      </c>
      <c r="D54" s="946"/>
      <c r="E54" s="947"/>
      <c r="F54" s="1767"/>
      <c r="G54" s="946"/>
      <c r="H54" s="1767"/>
      <c r="I54" s="946"/>
      <c r="J54" s="1767"/>
      <c r="K54" s="946"/>
      <c r="L54" s="1767"/>
      <c r="M54" s="946"/>
      <c r="N54" s="1767"/>
      <c r="O54" s="946"/>
      <c r="P54" s="1767"/>
      <c r="Q54" s="944"/>
      <c r="R54" s="1581"/>
      <c r="S54" s="944"/>
      <c r="T54" s="1776"/>
    </row>
    <row r="55" spans="1:20">
      <c r="A55" s="49">
        <v>1997.1</v>
      </c>
      <c r="B55" s="1751">
        <v>98.01372916353175</v>
      </c>
      <c r="C55" s="1344">
        <v>90.88406032083968</v>
      </c>
      <c r="D55" s="946"/>
      <c r="E55" s="947"/>
      <c r="F55" s="1767"/>
      <c r="G55" s="946"/>
      <c r="H55" s="1767"/>
      <c r="I55" s="946"/>
      <c r="J55" s="1767"/>
      <c r="K55" s="946"/>
      <c r="L55" s="1767"/>
      <c r="M55" s="946"/>
      <c r="N55" s="1767"/>
      <c r="O55" s="946"/>
      <c r="P55" s="1767"/>
      <c r="Q55" s="944"/>
      <c r="R55" s="1581"/>
      <c r="S55" s="944"/>
      <c r="T55" s="1776"/>
    </row>
    <row r="56" spans="1:20">
      <c r="A56" s="49">
        <v>1997.11</v>
      </c>
      <c r="B56" s="1751">
        <v>89.757981235254547</v>
      </c>
      <c r="C56" s="1344">
        <v>90.834572414982233</v>
      </c>
      <c r="D56" s="946"/>
      <c r="E56" s="947"/>
      <c r="F56" s="1767"/>
      <c r="G56" s="946"/>
      <c r="H56" s="1767"/>
      <c r="I56" s="946"/>
      <c r="J56" s="1767"/>
      <c r="K56" s="946"/>
      <c r="L56" s="1767"/>
      <c r="M56" s="946"/>
      <c r="N56" s="1767"/>
      <c r="O56" s="946"/>
      <c r="P56" s="1767"/>
      <c r="Q56" s="944"/>
      <c r="R56" s="1581"/>
      <c r="S56" s="944"/>
      <c r="T56" s="1776"/>
    </row>
    <row r="57" spans="1:20">
      <c r="A57" s="49">
        <v>1997.12</v>
      </c>
      <c r="B57" s="1751">
        <v>87.306086173848911</v>
      </c>
      <c r="C57" s="1344">
        <v>90.953416638221483</v>
      </c>
      <c r="D57" s="946"/>
      <c r="E57" s="947"/>
      <c r="F57" s="1767"/>
      <c r="G57" s="946"/>
      <c r="H57" s="1767"/>
      <c r="I57" s="946"/>
      <c r="J57" s="1767"/>
      <c r="K57" s="946"/>
      <c r="L57" s="1767"/>
      <c r="M57" s="946"/>
      <c r="N57" s="1767"/>
      <c r="O57" s="946"/>
      <c r="P57" s="1767"/>
      <c r="Q57" s="944"/>
      <c r="R57" s="1581"/>
      <c r="S57" s="944"/>
      <c r="T57" s="1776"/>
    </row>
    <row r="58" spans="1:20">
      <c r="A58" s="49">
        <v>1998.01</v>
      </c>
      <c r="B58" s="1751">
        <v>79.898673245720474</v>
      </c>
      <c r="C58" s="1344">
        <v>90.002219087093806</v>
      </c>
      <c r="D58" s="946"/>
      <c r="E58" s="947"/>
      <c r="F58" s="1767"/>
      <c r="G58" s="946"/>
      <c r="H58" s="1767"/>
      <c r="I58" s="946"/>
      <c r="J58" s="1767"/>
      <c r="K58" s="946"/>
      <c r="L58" s="1767"/>
      <c r="M58" s="946"/>
      <c r="N58" s="1767"/>
      <c r="O58" s="946"/>
      <c r="P58" s="1767"/>
      <c r="Q58" s="944"/>
      <c r="R58" s="1581"/>
      <c r="S58" s="944"/>
      <c r="T58" s="1776"/>
    </row>
    <row r="59" spans="1:20">
      <c r="A59" s="49">
        <v>1998.02</v>
      </c>
      <c r="B59" s="1751">
        <v>79.215867026088517</v>
      </c>
      <c r="C59" s="1344">
        <v>90.615400067702168</v>
      </c>
      <c r="D59" s="946"/>
      <c r="E59" s="947"/>
      <c r="F59" s="1767"/>
      <c r="G59" s="946"/>
      <c r="H59" s="1767"/>
      <c r="I59" s="946"/>
      <c r="J59" s="1767"/>
      <c r="K59" s="946"/>
      <c r="L59" s="1767"/>
      <c r="M59" s="946"/>
      <c r="N59" s="1767"/>
      <c r="O59" s="946"/>
      <c r="P59" s="1767"/>
      <c r="Q59" s="944"/>
      <c r="R59" s="1581"/>
      <c r="S59" s="944"/>
      <c r="T59" s="1776"/>
    </row>
    <row r="60" spans="1:20">
      <c r="A60" s="49">
        <v>1998.03</v>
      </c>
      <c r="B60" s="1751">
        <v>90.326986418281166</v>
      </c>
      <c r="C60" s="1344">
        <v>92.23852677996986</v>
      </c>
      <c r="D60" s="946"/>
      <c r="E60" s="947"/>
      <c r="F60" s="1767"/>
      <c r="G60" s="946"/>
      <c r="H60" s="1767"/>
      <c r="I60" s="946"/>
      <c r="J60" s="1767"/>
      <c r="K60" s="946"/>
      <c r="L60" s="1767"/>
      <c r="M60" s="946"/>
      <c r="N60" s="1767"/>
      <c r="O60" s="946"/>
      <c r="P60" s="1767"/>
      <c r="Q60" s="944"/>
      <c r="R60" s="1581"/>
      <c r="S60" s="944"/>
      <c r="T60" s="1776"/>
    </row>
    <row r="61" spans="1:20">
      <c r="A61" s="49">
        <v>1998.04</v>
      </c>
      <c r="B61" s="1751">
        <v>90.213185381675828</v>
      </c>
      <c r="C61" s="1344">
        <v>92.541570191378227</v>
      </c>
      <c r="D61" s="946"/>
      <c r="E61" s="947"/>
      <c r="F61" s="1767"/>
      <c r="G61" s="946"/>
      <c r="H61" s="1767"/>
      <c r="I61" s="946"/>
      <c r="J61" s="1767"/>
      <c r="K61" s="946"/>
      <c r="L61" s="1767"/>
      <c r="M61" s="946"/>
      <c r="N61" s="1767"/>
      <c r="O61" s="946"/>
      <c r="P61" s="1767"/>
      <c r="Q61" s="944"/>
      <c r="R61" s="1581"/>
      <c r="S61" s="944"/>
      <c r="T61" s="1776"/>
    </row>
    <row r="62" spans="1:20">
      <c r="A62" s="49">
        <v>1998.05</v>
      </c>
      <c r="B62" s="1751">
        <v>88.599279771636674</v>
      </c>
      <c r="C62" s="1344">
        <v>91.894204011044494</v>
      </c>
      <c r="D62" s="946"/>
      <c r="E62" s="947"/>
      <c r="F62" s="1767"/>
      <c r="G62" s="946"/>
      <c r="H62" s="1767"/>
      <c r="I62" s="946"/>
      <c r="J62" s="1767"/>
      <c r="K62" s="946"/>
      <c r="L62" s="1767"/>
      <c r="M62" s="946"/>
      <c r="N62" s="1767"/>
      <c r="O62" s="946"/>
      <c r="P62" s="1767"/>
      <c r="Q62" s="944"/>
      <c r="R62" s="1581"/>
      <c r="S62" s="944"/>
      <c r="T62" s="1776"/>
    </row>
    <row r="63" spans="1:20">
      <c r="A63" s="49">
        <v>1998.06</v>
      </c>
      <c r="B63" s="1751">
        <v>92.840954772380599</v>
      </c>
      <c r="C63" s="1344">
        <v>93.474999176840598</v>
      </c>
      <c r="D63" s="946"/>
      <c r="E63" s="947"/>
      <c r="F63" s="1767"/>
      <c r="G63" s="946"/>
      <c r="H63" s="1767"/>
      <c r="I63" s="946"/>
      <c r="J63" s="1767"/>
      <c r="K63" s="946"/>
      <c r="L63" s="1767"/>
      <c r="M63" s="946"/>
      <c r="N63" s="1767"/>
      <c r="O63" s="946"/>
      <c r="P63" s="1767"/>
      <c r="Q63" s="944"/>
      <c r="R63" s="1581"/>
      <c r="S63" s="944"/>
      <c r="T63" s="1776"/>
    </row>
    <row r="64" spans="1:20">
      <c r="A64" s="49">
        <v>1998.07</v>
      </c>
      <c r="B64" s="1751">
        <v>96.141184833935043</v>
      </c>
      <c r="C64" s="1344">
        <v>92.254977007893316</v>
      </c>
      <c r="D64" s="946"/>
      <c r="E64" s="947"/>
      <c r="F64" s="1767"/>
      <c r="G64" s="946"/>
      <c r="H64" s="1767"/>
      <c r="I64" s="946"/>
      <c r="J64" s="1767"/>
      <c r="K64" s="946"/>
      <c r="L64" s="1767"/>
      <c r="M64" s="946"/>
      <c r="N64" s="1767"/>
      <c r="O64" s="946"/>
      <c r="P64" s="1767"/>
      <c r="Q64" s="944"/>
      <c r="R64" s="1581"/>
      <c r="S64" s="944"/>
      <c r="T64" s="1776"/>
    </row>
    <row r="65" spans="1:20">
      <c r="A65" s="49">
        <v>1998.08</v>
      </c>
      <c r="B65" s="1751">
        <v>93.792745260352419</v>
      </c>
      <c r="C65" s="1344">
        <v>92.160119823942537</v>
      </c>
      <c r="D65" s="946"/>
      <c r="E65" s="947"/>
      <c r="F65" s="1767"/>
      <c r="G65" s="946"/>
      <c r="H65" s="1767"/>
      <c r="I65" s="946"/>
      <c r="J65" s="1767"/>
      <c r="K65" s="946"/>
      <c r="L65" s="1767"/>
      <c r="M65" s="946"/>
      <c r="N65" s="1767"/>
      <c r="O65" s="946"/>
      <c r="P65" s="1767"/>
      <c r="Q65" s="944"/>
      <c r="R65" s="1581"/>
      <c r="S65" s="944"/>
      <c r="T65" s="1776"/>
    </row>
    <row r="66" spans="1:20">
      <c r="A66" s="49">
        <v>1998.09</v>
      </c>
      <c r="B66" s="1751">
        <v>92.903028065074423</v>
      </c>
      <c r="C66" s="1344">
        <v>90.166261078839298</v>
      </c>
      <c r="D66" s="946"/>
      <c r="E66" s="947"/>
      <c r="F66" s="1767"/>
      <c r="G66" s="946"/>
      <c r="H66" s="1767"/>
      <c r="I66" s="946"/>
      <c r="J66" s="1767"/>
      <c r="K66" s="946"/>
      <c r="L66" s="1767"/>
      <c r="M66" s="946"/>
      <c r="N66" s="1767"/>
      <c r="O66" s="946"/>
      <c r="P66" s="1767"/>
      <c r="Q66" s="944"/>
      <c r="R66" s="1581"/>
      <c r="S66" s="944"/>
      <c r="T66" s="1776"/>
    </row>
    <row r="67" spans="1:20">
      <c r="A67" s="49">
        <v>1998.1</v>
      </c>
      <c r="B67" s="1751">
        <v>92.603007150387668</v>
      </c>
      <c r="C67" s="1344">
        <v>89.152927568034698</v>
      </c>
      <c r="D67" s="946"/>
      <c r="E67" s="947"/>
      <c r="F67" s="1767"/>
      <c r="G67" s="946"/>
      <c r="H67" s="1767"/>
      <c r="I67" s="946"/>
      <c r="J67" s="1767"/>
      <c r="K67" s="946"/>
      <c r="L67" s="1767"/>
      <c r="M67" s="946"/>
      <c r="N67" s="1767"/>
      <c r="O67" s="946"/>
      <c r="P67" s="1767"/>
      <c r="Q67" s="944"/>
      <c r="R67" s="1581"/>
      <c r="S67" s="944"/>
      <c r="T67" s="1776"/>
    </row>
    <row r="68" spans="1:20">
      <c r="A68" s="49">
        <v>1998.11</v>
      </c>
      <c r="B68" s="1751">
        <v>87.740599222705598</v>
      </c>
      <c r="C68" s="1344">
        <v>87.634319938094848</v>
      </c>
      <c r="D68" s="946"/>
      <c r="E68" s="947"/>
      <c r="F68" s="1767"/>
      <c r="G68" s="946"/>
      <c r="H68" s="1767"/>
      <c r="I68" s="946"/>
      <c r="J68" s="1767"/>
      <c r="K68" s="946"/>
      <c r="L68" s="1767"/>
      <c r="M68" s="946"/>
      <c r="N68" s="1767"/>
      <c r="O68" s="946"/>
      <c r="P68" s="1767"/>
      <c r="Q68" s="944"/>
      <c r="R68" s="1581"/>
      <c r="S68" s="944"/>
      <c r="T68" s="1776"/>
    </row>
    <row r="69" spans="1:20">
      <c r="A69" s="49">
        <v>1998.12</v>
      </c>
      <c r="B69" s="1751">
        <v>82.112620685133166</v>
      </c>
      <c r="C69" s="1344">
        <v>85.694633993432035</v>
      </c>
      <c r="D69" s="946"/>
      <c r="E69" s="947"/>
      <c r="F69" s="1767"/>
      <c r="G69" s="946"/>
      <c r="H69" s="1767"/>
      <c r="I69" s="946"/>
      <c r="J69" s="1767"/>
      <c r="K69" s="946"/>
      <c r="L69" s="1767"/>
      <c r="M69" s="946"/>
      <c r="N69" s="1767"/>
      <c r="O69" s="946"/>
      <c r="P69" s="1767"/>
      <c r="Q69" s="944"/>
      <c r="R69" s="1581"/>
      <c r="S69" s="944"/>
      <c r="T69" s="1776"/>
    </row>
    <row r="70" spans="1:20">
      <c r="A70" s="49">
        <v>1999.01</v>
      </c>
      <c r="B70" s="1751">
        <v>75.801835927928778</v>
      </c>
      <c r="C70" s="1344">
        <v>86.188621024152852</v>
      </c>
      <c r="D70" s="946"/>
      <c r="E70" s="947"/>
      <c r="F70" s="1767"/>
      <c r="G70" s="946"/>
      <c r="H70" s="1767"/>
      <c r="I70" s="946"/>
      <c r="J70" s="1767"/>
      <c r="K70" s="946"/>
      <c r="L70" s="1767"/>
      <c r="M70" s="946"/>
      <c r="N70" s="1767"/>
      <c r="O70" s="946"/>
      <c r="P70" s="1767"/>
      <c r="Q70" s="944"/>
      <c r="R70" s="1581"/>
      <c r="S70" s="944"/>
      <c r="T70" s="1776"/>
    </row>
    <row r="71" spans="1:20">
      <c r="A71" s="49">
        <v>1999.02</v>
      </c>
      <c r="B71" s="1751">
        <v>73.008537756707156</v>
      </c>
      <c r="C71" s="1344">
        <v>84.729888190104617</v>
      </c>
      <c r="D71" s="946"/>
      <c r="E71" s="947"/>
      <c r="F71" s="1767"/>
      <c r="G71" s="946"/>
      <c r="H71" s="1767"/>
      <c r="I71" s="946"/>
      <c r="J71" s="1767"/>
      <c r="K71" s="946"/>
      <c r="L71" s="1767"/>
      <c r="M71" s="946"/>
      <c r="N71" s="1767"/>
      <c r="O71" s="946"/>
      <c r="P71" s="1767"/>
      <c r="Q71" s="944"/>
      <c r="R71" s="1581"/>
      <c r="S71" s="944"/>
      <c r="T71" s="1776"/>
    </row>
    <row r="72" spans="1:20">
      <c r="A72" s="49">
        <v>1999.03</v>
      </c>
      <c r="B72" s="1751">
        <v>83.167866660927999</v>
      </c>
      <c r="C72" s="1344">
        <v>83.860181205467242</v>
      </c>
      <c r="D72" s="946"/>
      <c r="E72" s="947"/>
      <c r="F72" s="1767"/>
      <c r="G72" s="946"/>
      <c r="H72" s="1767"/>
      <c r="I72" s="946"/>
      <c r="J72" s="1767"/>
      <c r="K72" s="946"/>
      <c r="L72" s="1767"/>
      <c r="M72" s="946"/>
      <c r="N72" s="1767"/>
      <c r="O72" s="946"/>
      <c r="P72" s="1767"/>
      <c r="Q72" s="944"/>
      <c r="R72" s="1581"/>
      <c r="S72" s="944"/>
      <c r="T72" s="1776"/>
    </row>
    <row r="73" spans="1:20">
      <c r="A73" s="49">
        <v>1999.04</v>
      </c>
      <c r="B73" s="1751">
        <v>80.840118184909983</v>
      </c>
      <c r="C73" s="1344">
        <v>83.347053767815552</v>
      </c>
      <c r="D73" s="946"/>
      <c r="E73" s="947"/>
      <c r="F73" s="1767"/>
      <c r="G73" s="946"/>
      <c r="H73" s="1767"/>
      <c r="I73" s="946"/>
      <c r="J73" s="1767"/>
      <c r="K73" s="946"/>
      <c r="L73" s="1767"/>
      <c r="M73" s="946"/>
      <c r="N73" s="1767"/>
      <c r="O73" s="946"/>
      <c r="P73" s="1767"/>
      <c r="Q73" s="944"/>
      <c r="R73" s="1581"/>
      <c r="S73" s="944"/>
      <c r="T73" s="1776"/>
    </row>
    <row r="74" spans="1:20">
      <c r="A74" s="49">
        <v>1999.05</v>
      </c>
      <c r="B74" s="1751">
        <v>80.622861660481647</v>
      </c>
      <c r="C74" s="1344">
        <v>83.040038436664773</v>
      </c>
      <c r="D74" s="946"/>
      <c r="E74" s="947"/>
      <c r="F74" s="1767"/>
      <c r="G74" s="946"/>
      <c r="H74" s="1767"/>
      <c r="I74" s="946"/>
      <c r="J74" s="1767"/>
      <c r="K74" s="946"/>
      <c r="L74" s="1767"/>
      <c r="M74" s="946"/>
      <c r="N74" s="1767"/>
      <c r="O74" s="946"/>
      <c r="P74" s="1767"/>
      <c r="Q74" s="944"/>
      <c r="R74" s="1581"/>
      <c r="S74" s="944"/>
      <c r="T74" s="1776"/>
    </row>
    <row r="75" spans="1:20">
      <c r="A75" s="49">
        <v>1999.06</v>
      </c>
      <c r="B75" s="1751">
        <v>80.829772636127686</v>
      </c>
      <c r="C75" s="1344">
        <v>82.396951097287527</v>
      </c>
      <c r="D75" s="946"/>
      <c r="E75" s="947"/>
      <c r="F75" s="1767"/>
      <c r="G75" s="946"/>
      <c r="H75" s="1767"/>
      <c r="I75" s="946"/>
      <c r="J75" s="1767"/>
      <c r="K75" s="946"/>
      <c r="L75" s="1767"/>
      <c r="M75" s="946"/>
      <c r="N75" s="1767"/>
      <c r="O75" s="946"/>
      <c r="P75" s="1767"/>
      <c r="Q75" s="944"/>
      <c r="R75" s="1581"/>
      <c r="S75" s="944"/>
      <c r="T75" s="1776"/>
    </row>
    <row r="76" spans="1:20">
      <c r="A76" s="49">
        <v>1999.07</v>
      </c>
      <c r="B76" s="1751">
        <v>82.53678818520757</v>
      </c>
      <c r="C76" s="1344">
        <v>83.497396595979509</v>
      </c>
      <c r="D76" s="946"/>
      <c r="E76" s="947"/>
      <c r="F76" s="1767"/>
      <c r="G76" s="946"/>
      <c r="H76" s="1767"/>
      <c r="I76" s="946"/>
      <c r="J76" s="1767"/>
      <c r="K76" s="946"/>
      <c r="L76" s="1767"/>
      <c r="M76" s="946"/>
      <c r="N76" s="1767"/>
      <c r="O76" s="946"/>
      <c r="P76" s="1767"/>
      <c r="Q76" s="944"/>
      <c r="R76" s="1581"/>
      <c r="S76" s="944"/>
      <c r="T76" s="1776"/>
    </row>
    <row r="77" spans="1:20">
      <c r="A77" s="49">
        <v>1999.08</v>
      </c>
      <c r="B77" s="1751">
        <v>86.726735442039981</v>
      </c>
      <c r="C77" s="1344">
        <v>84.44318005436493</v>
      </c>
      <c r="D77" s="946"/>
      <c r="E77" s="947"/>
      <c r="F77" s="1767"/>
      <c r="G77" s="946"/>
      <c r="H77" s="1767"/>
      <c r="I77" s="946"/>
      <c r="J77" s="1767"/>
      <c r="K77" s="946"/>
      <c r="L77" s="1767"/>
      <c r="M77" s="946"/>
      <c r="N77" s="1767"/>
      <c r="O77" s="946"/>
      <c r="P77" s="1767"/>
      <c r="Q77" s="944"/>
      <c r="R77" s="1581"/>
      <c r="S77" s="944"/>
      <c r="T77" s="1776"/>
    </row>
    <row r="78" spans="1:20">
      <c r="A78" s="49">
        <v>1999.09</v>
      </c>
      <c r="B78" s="1751">
        <v>88.744117454588931</v>
      </c>
      <c r="C78" s="1344">
        <v>85.595974855867965</v>
      </c>
      <c r="D78" s="946"/>
      <c r="E78" s="947"/>
      <c r="F78" s="1767"/>
      <c r="G78" s="946"/>
      <c r="H78" s="1767"/>
      <c r="I78" s="946"/>
      <c r="J78" s="1767"/>
      <c r="K78" s="946"/>
      <c r="L78" s="1767"/>
      <c r="M78" s="946"/>
      <c r="N78" s="1767"/>
      <c r="O78" s="946"/>
      <c r="P78" s="1767"/>
      <c r="Q78" s="944"/>
      <c r="R78" s="1581"/>
      <c r="S78" s="944"/>
      <c r="T78" s="1776"/>
    </row>
    <row r="79" spans="1:20">
      <c r="A79" s="49">
        <v>1999.1</v>
      </c>
      <c r="B79" s="1751">
        <v>88.092347881303908</v>
      </c>
      <c r="C79" s="1344">
        <v>85.862646268507618</v>
      </c>
      <c r="D79" s="946"/>
      <c r="E79" s="947"/>
      <c r="F79" s="1767"/>
      <c r="G79" s="946"/>
      <c r="H79" s="1767"/>
      <c r="I79" s="946"/>
      <c r="J79" s="1767"/>
      <c r="K79" s="946"/>
      <c r="L79" s="1767"/>
      <c r="M79" s="946"/>
      <c r="N79" s="1767"/>
      <c r="O79" s="946"/>
      <c r="P79" s="1767"/>
      <c r="Q79" s="944"/>
      <c r="R79" s="1581"/>
      <c r="S79" s="944"/>
      <c r="T79" s="1776"/>
    </row>
    <row r="80" spans="1:20">
      <c r="A80" s="49">
        <v>1999.11</v>
      </c>
      <c r="B80" s="1751">
        <v>88.77515410093585</v>
      </c>
      <c r="C80" s="1344">
        <v>87.491695721032698</v>
      </c>
      <c r="D80" s="946"/>
      <c r="E80" s="947"/>
      <c r="F80" s="1767"/>
      <c r="G80" s="946"/>
      <c r="H80" s="1767"/>
      <c r="I80" s="946"/>
      <c r="J80" s="1767"/>
      <c r="K80" s="946"/>
      <c r="L80" s="1767"/>
      <c r="M80" s="946"/>
      <c r="N80" s="1767"/>
      <c r="O80" s="946"/>
      <c r="P80" s="1767"/>
      <c r="Q80" s="944"/>
      <c r="R80" s="1581"/>
      <c r="S80" s="944"/>
      <c r="T80" s="1776"/>
    </row>
    <row r="81" spans="1:20">
      <c r="A81" s="49">
        <v>1999.12</v>
      </c>
      <c r="B81" s="1751">
        <v>87.523342698277276</v>
      </c>
      <c r="C81" s="1344">
        <v>87.204469165201232</v>
      </c>
      <c r="D81" s="946"/>
      <c r="E81" s="947"/>
      <c r="F81" s="1767"/>
      <c r="G81" s="946"/>
      <c r="H81" s="1767"/>
      <c r="I81" s="946"/>
      <c r="J81" s="1767"/>
      <c r="K81" s="946"/>
      <c r="L81" s="1767"/>
      <c r="M81" s="946"/>
      <c r="N81" s="1767"/>
      <c r="O81" s="946"/>
      <c r="P81" s="1767"/>
      <c r="Q81" s="944"/>
      <c r="R81" s="1581"/>
      <c r="S81" s="944"/>
      <c r="T81" s="1776"/>
    </row>
    <row r="82" spans="1:20">
      <c r="A82" s="49">
        <v>2000.01</v>
      </c>
      <c r="B82" s="1751">
        <v>77.001919586675868</v>
      </c>
      <c r="C82" s="1344">
        <v>86.990454510573613</v>
      </c>
      <c r="D82" s="946"/>
      <c r="E82" s="947"/>
      <c r="F82" s="1767"/>
      <c r="G82" s="946"/>
      <c r="H82" s="1767"/>
      <c r="I82" s="946"/>
      <c r="J82" s="1767"/>
      <c r="K82" s="946"/>
      <c r="L82" s="1767"/>
      <c r="M82" s="946"/>
      <c r="N82" s="1767"/>
      <c r="O82" s="946"/>
      <c r="P82" s="1767"/>
      <c r="Q82" s="944"/>
      <c r="R82" s="1581"/>
      <c r="S82" s="944"/>
      <c r="T82" s="1776"/>
    </row>
    <row r="83" spans="1:20">
      <c r="A83" s="49">
        <v>2000.02</v>
      </c>
      <c r="B83" s="1751">
        <v>75.543197208371225</v>
      </c>
      <c r="C83" s="1344">
        <v>85.734792597037199</v>
      </c>
      <c r="D83" s="946"/>
      <c r="E83" s="947"/>
      <c r="F83" s="1767"/>
      <c r="G83" s="946"/>
      <c r="H83" s="1767"/>
      <c r="I83" s="946"/>
      <c r="J83" s="1767"/>
      <c r="K83" s="946"/>
      <c r="L83" s="1767"/>
      <c r="M83" s="946"/>
      <c r="N83" s="1767"/>
      <c r="O83" s="946"/>
      <c r="P83" s="1767"/>
      <c r="Q83" s="944"/>
      <c r="R83" s="1581"/>
      <c r="S83" s="944"/>
      <c r="T83" s="1776"/>
    </row>
    <row r="84" spans="1:20">
      <c r="A84" s="49">
        <v>2000.03</v>
      </c>
      <c r="B84" s="1751">
        <v>86.602588856652361</v>
      </c>
      <c r="C84" s="1344">
        <v>86.5361276251205</v>
      </c>
      <c r="D84" s="946"/>
      <c r="E84" s="947"/>
      <c r="F84" s="1767"/>
      <c r="G84" s="946"/>
      <c r="H84" s="1767"/>
      <c r="I84" s="946"/>
      <c r="J84" s="1767"/>
      <c r="K84" s="946"/>
      <c r="L84" s="1767"/>
      <c r="M84" s="946"/>
      <c r="N84" s="1767"/>
      <c r="O84" s="946"/>
      <c r="P84" s="1767"/>
      <c r="Q84" s="944"/>
      <c r="R84" s="1581"/>
      <c r="S84" s="944"/>
      <c r="T84" s="1776"/>
    </row>
    <row r="85" spans="1:20">
      <c r="A85" s="49">
        <v>2000.04</v>
      </c>
      <c r="B85" s="1751">
        <v>79.39174135538768</v>
      </c>
      <c r="C85" s="1344">
        <v>83.998178915185875</v>
      </c>
      <c r="D85" s="946"/>
      <c r="E85" s="947"/>
      <c r="F85" s="1767"/>
      <c r="G85" s="946"/>
      <c r="H85" s="1767"/>
      <c r="I85" s="946"/>
      <c r="J85" s="1767"/>
      <c r="K85" s="946"/>
      <c r="L85" s="1767"/>
      <c r="M85" s="946"/>
      <c r="N85" s="1767"/>
      <c r="O85" s="946"/>
      <c r="P85" s="1767"/>
      <c r="Q85" s="944"/>
      <c r="R85" s="1581"/>
      <c r="S85" s="944"/>
      <c r="T85" s="1776"/>
    </row>
    <row r="86" spans="1:20">
      <c r="A86" s="49">
        <v>2000.05</v>
      </c>
      <c r="B86" s="1751">
        <v>83.302358795097945</v>
      </c>
      <c r="C86" s="1344">
        <v>83.861807690880426</v>
      </c>
      <c r="D86" s="946"/>
      <c r="E86" s="947"/>
      <c r="F86" s="1767"/>
      <c r="G86" s="946"/>
      <c r="H86" s="1767"/>
      <c r="I86" s="946"/>
      <c r="J86" s="1767"/>
      <c r="K86" s="946"/>
      <c r="L86" s="1767"/>
      <c r="M86" s="946"/>
      <c r="N86" s="1767"/>
      <c r="O86" s="946"/>
      <c r="P86" s="1767"/>
      <c r="Q86" s="944"/>
      <c r="R86" s="1581"/>
      <c r="S86" s="944"/>
      <c r="T86" s="1776"/>
    </row>
    <row r="87" spans="1:20">
      <c r="A87" s="49">
        <v>2000.06</v>
      </c>
      <c r="B87" s="1751">
        <v>81.326358977678211</v>
      </c>
      <c r="C87" s="1344">
        <v>82.5346846531924</v>
      </c>
      <c r="D87" s="946"/>
      <c r="E87" s="947"/>
      <c r="F87" s="1767"/>
      <c r="G87" s="946"/>
      <c r="H87" s="1767"/>
      <c r="I87" s="946"/>
      <c r="J87" s="1767"/>
      <c r="K87" s="946"/>
      <c r="L87" s="1767"/>
      <c r="M87" s="946"/>
      <c r="N87" s="1767"/>
      <c r="O87" s="946"/>
      <c r="P87" s="1767"/>
      <c r="Q87" s="944"/>
      <c r="R87" s="1581"/>
      <c r="S87" s="944"/>
      <c r="T87" s="1776"/>
    </row>
    <row r="88" spans="1:20">
      <c r="A88" s="49">
        <v>2000.07</v>
      </c>
      <c r="B88" s="1751">
        <v>84.978337697830924</v>
      </c>
      <c r="C88" s="1344">
        <v>83.618569777919276</v>
      </c>
      <c r="D88" s="946"/>
      <c r="E88" s="947"/>
      <c r="F88" s="1767"/>
      <c r="G88" s="946"/>
      <c r="H88" s="1767"/>
      <c r="I88" s="946"/>
      <c r="J88" s="1767"/>
      <c r="K88" s="946"/>
      <c r="L88" s="1767"/>
      <c r="M88" s="946"/>
      <c r="N88" s="1767"/>
      <c r="O88" s="946"/>
      <c r="P88" s="1767"/>
      <c r="Q88" s="944"/>
      <c r="R88" s="1581"/>
      <c r="S88" s="944"/>
      <c r="T88" s="1776"/>
    </row>
    <row r="89" spans="1:20">
      <c r="A89" s="49">
        <v>2000.08</v>
      </c>
      <c r="B89" s="1751">
        <v>85.961164832149635</v>
      </c>
      <c r="C89" s="1344">
        <v>83.102511476572502</v>
      </c>
      <c r="D89" s="946"/>
      <c r="E89" s="947"/>
      <c r="F89" s="1767"/>
      <c r="G89" s="946"/>
      <c r="H89" s="1767"/>
      <c r="I89" s="946"/>
      <c r="J89" s="1767"/>
      <c r="K89" s="946"/>
      <c r="L89" s="1767"/>
      <c r="M89" s="946"/>
      <c r="N89" s="1767"/>
      <c r="O89" s="946"/>
      <c r="P89" s="1767"/>
      <c r="Q89" s="944"/>
      <c r="R89" s="1581"/>
      <c r="S89" s="944"/>
      <c r="T89" s="1776"/>
    </row>
    <row r="90" spans="1:20">
      <c r="A90" s="49">
        <v>2000.09</v>
      </c>
      <c r="B90" s="1751">
        <v>86.106002515101864</v>
      </c>
      <c r="C90" s="1344">
        <v>84.111855504411892</v>
      </c>
      <c r="D90" s="946"/>
      <c r="E90" s="947"/>
      <c r="F90" s="1767"/>
      <c r="G90" s="946"/>
      <c r="H90" s="1767"/>
      <c r="I90" s="946"/>
      <c r="J90" s="1767"/>
      <c r="K90" s="946"/>
      <c r="L90" s="1767"/>
      <c r="M90" s="946"/>
      <c r="N90" s="1767"/>
      <c r="O90" s="946"/>
      <c r="P90" s="1767"/>
      <c r="Q90" s="944"/>
      <c r="R90" s="1581"/>
      <c r="S90" s="944"/>
      <c r="T90" s="1776"/>
    </row>
    <row r="91" spans="1:20">
      <c r="A91" s="49">
        <v>2000.1</v>
      </c>
      <c r="B91" s="1751">
        <v>86.219803551707187</v>
      </c>
      <c r="C91" s="1344">
        <v>83.405901827314381</v>
      </c>
      <c r="D91" s="946"/>
      <c r="E91" s="947"/>
      <c r="F91" s="1767"/>
      <c r="G91" s="946"/>
      <c r="H91" s="1767"/>
      <c r="I91" s="946"/>
      <c r="J91" s="1767"/>
      <c r="K91" s="946"/>
      <c r="L91" s="1767"/>
      <c r="M91" s="946"/>
      <c r="N91" s="1767"/>
      <c r="O91" s="946"/>
      <c r="P91" s="1767"/>
      <c r="Q91" s="944"/>
      <c r="R91" s="1581"/>
      <c r="S91" s="944"/>
      <c r="T91" s="1776"/>
    </row>
    <row r="92" spans="1:20">
      <c r="A92" s="49">
        <v>2000.11</v>
      </c>
      <c r="B92" s="1751">
        <v>83.612725258567011</v>
      </c>
      <c r="C92" s="1344">
        <v>82.57387384801973</v>
      </c>
      <c r="D92" s="946"/>
      <c r="E92" s="947"/>
      <c r="F92" s="1767"/>
      <c r="G92" s="946"/>
      <c r="H92" s="1767"/>
      <c r="I92" s="946"/>
      <c r="J92" s="1767"/>
      <c r="K92" s="946"/>
      <c r="L92" s="1767"/>
      <c r="M92" s="946"/>
      <c r="N92" s="1767"/>
      <c r="O92" s="946"/>
      <c r="P92" s="1767"/>
      <c r="Q92" s="944"/>
      <c r="R92" s="1581"/>
      <c r="S92" s="944"/>
      <c r="T92" s="1776"/>
    </row>
    <row r="93" spans="1:20">
      <c r="A93" s="49">
        <v>2000.12</v>
      </c>
      <c r="B93" s="1751">
        <v>83.829981782995375</v>
      </c>
      <c r="C93" s="1344">
        <v>83.204803235873172</v>
      </c>
      <c r="D93" s="946"/>
      <c r="E93" s="947"/>
      <c r="F93" s="1767"/>
      <c r="G93" s="946"/>
      <c r="H93" s="1767"/>
      <c r="I93" s="946"/>
      <c r="J93" s="1767"/>
      <c r="K93" s="946"/>
      <c r="L93" s="1767"/>
      <c r="M93" s="946"/>
      <c r="N93" s="1767"/>
      <c r="O93" s="946"/>
      <c r="P93" s="1767"/>
      <c r="Q93" s="944"/>
      <c r="R93" s="1581"/>
      <c r="S93" s="944"/>
      <c r="T93" s="1776"/>
    </row>
    <row r="94" spans="1:20">
      <c r="A94" s="49">
        <v>2001.01</v>
      </c>
      <c r="B94" s="1751">
        <v>75.915636964534116</v>
      </c>
      <c r="C94" s="1344">
        <v>83.422382128316897</v>
      </c>
      <c r="D94" s="946"/>
      <c r="E94" s="947"/>
      <c r="F94" s="1767"/>
      <c r="G94" s="946"/>
      <c r="H94" s="1767"/>
      <c r="I94" s="946"/>
      <c r="J94" s="1767"/>
      <c r="K94" s="946"/>
      <c r="L94" s="1767"/>
      <c r="M94" s="946"/>
      <c r="N94" s="1767"/>
      <c r="O94" s="946"/>
      <c r="P94" s="1767"/>
      <c r="Q94" s="944"/>
      <c r="R94" s="1581"/>
      <c r="S94" s="944"/>
      <c r="T94" s="1776"/>
    </row>
    <row r="95" spans="1:20">
      <c r="A95" s="49">
        <v>2001.02</v>
      </c>
      <c r="B95" s="1751">
        <v>71.322213305191909</v>
      </c>
      <c r="C95" s="1344">
        <v>82.311459988253347</v>
      </c>
      <c r="D95" s="946"/>
      <c r="E95" s="947"/>
      <c r="F95" s="1767"/>
      <c r="G95" s="946"/>
      <c r="H95" s="1767"/>
      <c r="I95" s="946"/>
      <c r="J95" s="1767"/>
      <c r="K95" s="946"/>
      <c r="L95" s="1767"/>
      <c r="M95" s="946"/>
      <c r="N95" s="1767"/>
      <c r="O95" s="946"/>
      <c r="P95" s="1767"/>
      <c r="Q95" s="944"/>
      <c r="R95" s="1581"/>
      <c r="S95" s="944"/>
      <c r="T95" s="1776"/>
    </row>
    <row r="96" spans="1:20">
      <c r="A96" s="49">
        <v>2001.03</v>
      </c>
      <c r="B96" s="1751">
        <v>79.45381464808149</v>
      </c>
      <c r="C96" s="1344">
        <v>81.217052237836938</v>
      </c>
      <c r="D96" s="946"/>
      <c r="E96" s="947"/>
      <c r="F96" s="1767"/>
      <c r="G96" s="946"/>
      <c r="H96" s="1767"/>
      <c r="I96" s="946"/>
      <c r="J96" s="1767"/>
      <c r="K96" s="946"/>
      <c r="L96" s="1767"/>
      <c r="M96" s="946"/>
      <c r="N96" s="1767"/>
      <c r="O96" s="946"/>
      <c r="P96" s="1767"/>
      <c r="Q96" s="944"/>
      <c r="R96" s="1581"/>
      <c r="S96" s="944"/>
      <c r="T96" s="1776"/>
    </row>
    <row r="97" spans="1:20">
      <c r="A97" s="49">
        <v>2001.04</v>
      </c>
      <c r="B97" s="1751">
        <v>78.212348794205226</v>
      </c>
      <c r="C97" s="1344">
        <v>81.757674553064504</v>
      </c>
      <c r="D97" s="946"/>
      <c r="E97" s="947"/>
      <c r="F97" s="1767"/>
      <c r="G97" s="946"/>
      <c r="H97" s="1767"/>
      <c r="I97" s="946"/>
      <c r="J97" s="1767"/>
      <c r="K97" s="946"/>
      <c r="L97" s="1767"/>
      <c r="M97" s="946"/>
      <c r="N97" s="1767"/>
      <c r="O97" s="946"/>
      <c r="P97" s="1767"/>
      <c r="Q97" s="944"/>
      <c r="R97" s="1581"/>
      <c r="S97" s="944"/>
      <c r="T97" s="1776"/>
    </row>
    <row r="98" spans="1:20">
      <c r="A98" s="49">
        <v>2001.05</v>
      </c>
      <c r="B98" s="1751">
        <v>80.653898306828566</v>
      </c>
      <c r="C98" s="1344">
        <v>81.041818647914511</v>
      </c>
      <c r="D98" s="946"/>
      <c r="E98" s="947"/>
      <c r="F98" s="1767"/>
      <c r="G98" s="946"/>
      <c r="H98" s="1767"/>
      <c r="I98" s="946"/>
      <c r="J98" s="1767"/>
      <c r="K98" s="946"/>
      <c r="L98" s="1767"/>
      <c r="M98" s="946"/>
      <c r="N98" s="1767"/>
      <c r="O98" s="946"/>
      <c r="P98" s="1767"/>
      <c r="Q98" s="944"/>
      <c r="R98" s="1581"/>
      <c r="S98" s="944"/>
      <c r="T98" s="1776"/>
    </row>
    <row r="99" spans="1:20">
      <c r="A99" s="49">
        <v>2001.06</v>
      </c>
      <c r="B99" s="1751">
        <v>79.795217757897476</v>
      </c>
      <c r="C99" s="1344">
        <v>81.416838226289556</v>
      </c>
      <c r="D99" s="946"/>
      <c r="E99" s="947"/>
      <c r="F99" s="1767"/>
      <c r="G99" s="946"/>
      <c r="H99" s="1767"/>
      <c r="I99" s="946"/>
      <c r="J99" s="1767"/>
      <c r="K99" s="946"/>
      <c r="L99" s="1767"/>
      <c r="M99" s="946"/>
      <c r="N99" s="1767"/>
      <c r="O99" s="946"/>
      <c r="P99" s="1767"/>
      <c r="Q99" s="944"/>
      <c r="R99" s="1581"/>
      <c r="S99" s="944"/>
      <c r="T99" s="1776"/>
    </row>
    <row r="100" spans="1:20">
      <c r="A100" s="49">
        <v>2001.07</v>
      </c>
      <c r="B100" s="1751">
        <v>81.191866843508294</v>
      </c>
      <c r="C100" s="1344">
        <v>79.244007294869903</v>
      </c>
      <c r="D100" s="946"/>
      <c r="E100" s="947"/>
      <c r="F100" s="1767"/>
      <c r="G100" s="946"/>
      <c r="H100" s="1767"/>
      <c r="I100" s="946"/>
      <c r="J100" s="1767"/>
      <c r="K100" s="946"/>
      <c r="L100" s="1767"/>
      <c r="M100" s="946"/>
      <c r="N100" s="1767"/>
      <c r="O100" s="946"/>
      <c r="P100" s="1767"/>
      <c r="Q100" s="944"/>
      <c r="R100" s="1581"/>
      <c r="S100" s="944"/>
      <c r="T100" s="1776"/>
    </row>
    <row r="101" spans="1:20">
      <c r="A101" s="49">
        <v>2001.08</v>
      </c>
      <c r="B101" s="1751">
        <v>79.27794031878237</v>
      </c>
      <c r="C101" s="1344">
        <v>76.539169308246215</v>
      </c>
      <c r="D101" s="946"/>
      <c r="E101" s="947"/>
      <c r="F101" s="1767"/>
      <c r="G101" s="946"/>
      <c r="H101" s="1767"/>
      <c r="I101" s="946"/>
      <c r="J101" s="1767"/>
      <c r="K101" s="946"/>
      <c r="L101" s="1767"/>
      <c r="M101" s="946"/>
      <c r="N101" s="1767"/>
      <c r="O101" s="946"/>
      <c r="P101" s="1767"/>
      <c r="Q101" s="944"/>
      <c r="R101" s="1581"/>
      <c r="S101" s="944"/>
      <c r="T101" s="1776"/>
    </row>
    <row r="102" spans="1:20">
      <c r="A102" s="49">
        <v>2001.09</v>
      </c>
      <c r="B102" s="1751">
        <v>75.812181476711103</v>
      </c>
      <c r="C102" s="1344">
        <v>75.249525313247915</v>
      </c>
      <c r="D102" s="946"/>
      <c r="E102" s="947"/>
      <c r="F102" s="1767"/>
      <c r="G102" s="946"/>
      <c r="H102" s="1767"/>
      <c r="I102" s="946"/>
      <c r="J102" s="1767"/>
      <c r="K102" s="946"/>
      <c r="L102" s="1767"/>
      <c r="M102" s="946"/>
      <c r="N102" s="1767"/>
      <c r="O102" s="946"/>
      <c r="P102" s="1767"/>
      <c r="Q102" s="944"/>
      <c r="R102" s="1581"/>
      <c r="S102" s="944"/>
      <c r="T102" s="1776"/>
    </row>
    <row r="103" spans="1:20">
      <c r="A103" s="49">
        <v>2001.1</v>
      </c>
      <c r="B103" s="1751">
        <v>77.560579220920189</v>
      </c>
      <c r="C103" s="1344">
        <v>73.971945027345001</v>
      </c>
      <c r="D103" s="946"/>
      <c r="E103" s="947"/>
      <c r="F103" s="1767"/>
      <c r="G103" s="946"/>
      <c r="H103" s="1767"/>
      <c r="I103" s="946"/>
      <c r="J103" s="1767"/>
      <c r="K103" s="946"/>
      <c r="L103" s="1767"/>
      <c r="M103" s="946"/>
      <c r="N103" s="1767"/>
      <c r="O103" s="946"/>
      <c r="P103" s="1767"/>
      <c r="Q103" s="944"/>
      <c r="R103" s="1581"/>
      <c r="S103" s="944"/>
      <c r="T103" s="1776"/>
    </row>
    <row r="104" spans="1:20">
      <c r="A104" s="49">
        <v>2001.11</v>
      </c>
      <c r="B104" s="1751">
        <v>73.887909403202883</v>
      </c>
      <c r="C104" s="1344">
        <v>72.318771337592437</v>
      </c>
      <c r="D104" s="946"/>
      <c r="E104" s="947"/>
      <c r="F104" s="1767"/>
      <c r="G104" s="946"/>
      <c r="H104" s="1767"/>
      <c r="I104" s="946"/>
      <c r="J104" s="1767"/>
      <c r="K104" s="946"/>
      <c r="L104" s="1767"/>
      <c r="M104" s="946"/>
      <c r="N104" s="1767"/>
      <c r="O104" s="946"/>
      <c r="P104" s="1767"/>
      <c r="Q104" s="944"/>
      <c r="R104" s="1581"/>
      <c r="S104" s="944"/>
      <c r="T104" s="1776"/>
    </row>
    <row r="105" spans="1:20">
      <c r="A105" s="49">
        <v>2001.12</v>
      </c>
      <c r="B105" s="1751">
        <v>65.528705987102654</v>
      </c>
      <c r="C105" s="1344">
        <v>69.787530922900118</v>
      </c>
      <c r="D105" s="946"/>
      <c r="E105" s="947"/>
      <c r="F105" s="1767"/>
      <c r="G105" s="946"/>
      <c r="H105" s="1767"/>
      <c r="I105" s="946"/>
      <c r="J105" s="1767"/>
      <c r="K105" s="946"/>
      <c r="L105" s="1767"/>
      <c r="M105" s="946"/>
      <c r="N105" s="1767"/>
      <c r="O105" s="946"/>
      <c r="P105" s="1767"/>
      <c r="Q105" s="944"/>
      <c r="R105" s="1581"/>
      <c r="S105" s="944"/>
      <c r="T105" s="1776"/>
    </row>
    <row r="106" spans="1:20">
      <c r="A106" s="49">
        <v>2002.01</v>
      </c>
      <c r="B106" s="1751">
        <v>60.749062449678995</v>
      </c>
      <c r="C106" s="1344">
        <v>67.637442720745938</v>
      </c>
      <c r="D106" s="1760"/>
      <c r="E106" s="947"/>
      <c r="F106" s="1767"/>
      <c r="G106" s="946"/>
      <c r="H106" s="1767"/>
      <c r="I106" s="946"/>
      <c r="J106" s="1767"/>
      <c r="K106" s="946"/>
      <c r="L106" s="1767"/>
      <c r="M106" s="946"/>
      <c r="N106" s="1767"/>
      <c r="O106" s="946"/>
      <c r="P106" s="1767"/>
      <c r="Q106" s="944"/>
      <c r="R106" s="1581"/>
      <c r="S106" s="944"/>
      <c r="T106" s="1776"/>
    </row>
    <row r="107" spans="1:20">
      <c r="A107" s="49">
        <v>2002.02</v>
      </c>
      <c r="B107" s="1751">
        <v>59.269648973809765</v>
      </c>
      <c r="C107" s="1344">
        <v>68.616702317294738</v>
      </c>
      <c r="D107" s="946"/>
      <c r="E107" s="947"/>
      <c r="F107" s="1767"/>
      <c r="G107" s="946"/>
      <c r="H107" s="1767"/>
      <c r="I107" s="946"/>
      <c r="J107" s="1767"/>
      <c r="K107" s="946"/>
      <c r="L107" s="1767"/>
      <c r="M107" s="946"/>
      <c r="N107" s="1767"/>
      <c r="O107" s="946"/>
      <c r="P107" s="1767"/>
      <c r="Q107" s="944"/>
      <c r="R107" s="1581"/>
      <c r="S107" s="944"/>
      <c r="T107" s="1776"/>
    </row>
    <row r="108" spans="1:20">
      <c r="A108" s="49">
        <v>2002.03</v>
      </c>
      <c r="B108" s="1751">
        <v>61.731889583997706</v>
      </c>
      <c r="C108" s="1344">
        <v>67.91116625527259</v>
      </c>
      <c r="D108" s="946"/>
      <c r="E108" s="947"/>
      <c r="F108" s="1767"/>
      <c r="G108" s="946"/>
      <c r="H108" s="1767"/>
      <c r="I108" s="946"/>
      <c r="J108" s="1767"/>
      <c r="K108" s="946"/>
      <c r="L108" s="1767"/>
      <c r="M108" s="946"/>
      <c r="N108" s="1767"/>
      <c r="O108" s="946"/>
      <c r="P108" s="1767"/>
      <c r="Q108" s="944"/>
      <c r="R108" s="1581"/>
      <c r="S108" s="944"/>
      <c r="T108" s="1776"/>
    </row>
    <row r="109" spans="1:20">
      <c r="A109" s="49">
        <v>2002.04</v>
      </c>
      <c r="B109" s="1751">
        <v>66.428768731162933</v>
      </c>
      <c r="C109" s="1344">
        <v>68.521721100859324</v>
      </c>
      <c r="D109" s="946"/>
      <c r="E109" s="947"/>
      <c r="F109" s="1767"/>
      <c r="G109" s="946"/>
      <c r="H109" s="1767"/>
      <c r="I109" s="946"/>
      <c r="J109" s="1767"/>
      <c r="K109" s="946"/>
      <c r="L109" s="1767"/>
      <c r="M109" s="946"/>
      <c r="N109" s="1767"/>
      <c r="O109" s="946"/>
      <c r="P109" s="1767"/>
      <c r="Q109" s="944"/>
      <c r="R109" s="1581"/>
      <c r="S109" s="944"/>
      <c r="T109" s="1776"/>
    </row>
    <row r="110" spans="1:20">
      <c r="A110" s="49">
        <v>2002.05</v>
      </c>
      <c r="B110" s="1751">
        <v>68.839281597439367</v>
      </c>
      <c r="C110" s="1344">
        <v>68.923898441547124</v>
      </c>
      <c r="D110" s="946"/>
      <c r="E110" s="947"/>
      <c r="F110" s="1767"/>
      <c r="G110" s="946"/>
      <c r="H110" s="1767"/>
      <c r="I110" s="946"/>
      <c r="J110" s="1767"/>
      <c r="K110" s="946"/>
      <c r="L110" s="1767"/>
      <c r="M110" s="946"/>
      <c r="N110" s="1767"/>
      <c r="O110" s="946"/>
      <c r="P110" s="1767"/>
      <c r="Q110" s="944"/>
      <c r="R110" s="1581"/>
      <c r="S110" s="944"/>
      <c r="T110" s="1776"/>
    </row>
    <row r="111" spans="1:20">
      <c r="A111" s="49">
        <v>2002.06</v>
      </c>
      <c r="B111" s="1751">
        <v>67.235721536182496</v>
      </c>
      <c r="C111" s="1344">
        <v>69.569941852637641</v>
      </c>
      <c r="D111" s="946"/>
      <c r="E111" s="947"/>
      <c r="F111" s="1767"/>
      <c r="G111" s="946"/>
      <c r="H111" s="1767"/>
      <c r="I111" s="946"/>
      <c r="J111" s="1767"/>
      <c r="K111" s="946"/>
      <c r="L111" s="1767"/>
      <c r="M111" s="946"/>
      <c r="N111" s="1767"/>
      <c r="O111" s="946"/>
      <c r="P111" s="1767"/>
      <c r="Q111" s="944"/>
      <c r="R111" s="1581"/>
      <c r="S111" s="944"/>
      <c r="T111" s="1776"/>
    </row>
    <row r="112" spans="1:20">
      <c r="A112" s="49">
        <v>2002.07</v>
      </c>
      <c r="B112" s="1751">
        <v>71.280831110062692</v>
      </c>
      <c r="C112" s="1344">
        <v>68.647879264219924</v>
      </c>
      <c r="D112" s="946"/>
      <c r="E112" s="947"/>
      <c r="F112" s="1767"/>
      <c r="G112" s="946"/>
      <c r="H112" s="1767"/>
      <c r="I112" s="946"/>
      <c r="J112" s="1767"/>
      <c r="K112" s="946"/>
      <c r="L112" s="1767"/>
      <c r="M112" s="946"/>
      <c r="N112" s="1767"/>
      <c r="O112" s="946"/>
      <c r="P112" s="1767"/>
      <c r="Q112" s="944"/>
      <c r="R112" s="1581"/>
      <c r="S112" s="944"/>
      <c r="T112" s="1776"/>
    </row>
    <row r="113" spans="1:20">
      <c r="A113" s="49">
        <v>2002.08</v>
      </c>
      <c r="B113" s="1751">
        <v>72.574024707850484</v>
      </c>
      <c r="C113" s="1344">
        <v>70.54749091781845</v>
      </c>
      <c r="D113" s="946"/>
      <c r="E113" s="947"/>
      <c r="F113" s="1767"/>
      <c r="G113" s="946"/>
      <c r="H113" s="1767"/>
      <c r="I113" s="946"/>
      <c r="J113" s="1767"/>
      <c r="K113" s="946"/>
      <c r="L113" s="1767"/>
      <c r="M113" s="946"/>
      <c r="N113" s="1767"/>
      <c r="O113" s="946"/>
      <c r="P113" s="1767"/>
      <c r="Q113" s="944"/>
      <c r="R113" s="1581"/>
      <c r="S113" s="944"/>
      <c r="T113" s="1776"/>
    </row>
    <row r="114" spans="1:20">
      <c r="A114" s="49">
        <v>2002.09</v>
      </c>
      <c r="B114" s="1751">
        <v>72.346422634639836</v>
      </c>
      <c r="C114" s="1344">
        <v>71.494734153611958</v>
      </c>
      <c r="D114" s="946"/>
      <c r="E114" s="947"/>
      <c r="F114" s="1767"/>
      <c r="G114" s="946"/>
      <c r="H114" s="1767"/>
      <c r="I114" s="946"/>
      <c r="J114" s="1767"/>
      <c r="K114" s="946"/>
      <c r="L114" s="1767"/>
      <c r="M114" s="946"/>
      <c r="N114" s="1767"/>
      <c r="O114" s="946"/>
      <c r="P114" s="1767"/>
      <c r="Q114" s="944"/>
      <c r="R114" s="1581"/>
      <c r="S114" s="944"/>
      <c r="T114" s="1776"/>
    </row>
    <row r="115" spans="1:20">
      <c r="A115" s="49">
        <v>2002.1</v>
      </c>
      <c r="B115" s="1751">
        <v>74.301731354494962</v>
      </c>
      <c r="C115" s="1344">
        <v>72.229804858552711</v>
      </c>
      <c r="D115" s="946"/>
      <c r="E115" s="947"/>
      <c r="F115" s="1767"/>
      <c r="G115" s="946"/>
      <c r="H115" s="1767"/>
      <c r="I115" s="946"/>
      <c r="J115" s="1767"/>
      <c r="K115" s="946"/>
      <c r="L115" s="1767"/>
      <c r="M115" s="946"/>
      <c r="N115" s="1767"/>
      <c r="O115" s="946"/>
      <c r="P115" s="1767"/>
      <c r="Q115" s="944"/>
      <c r="R115" s="1581"/>
      <c r="S115" s="944"/>
      <c r="T115" s="1776"/>
    </row>
    <row r="116" spans="1:20">
      <c r="A116" s="49">
        <v>2002.11</v>
      </c>
      <c r="B116" s="1751">
        <v>74.363804647188772</v>
      </c>
      <c r="C116" s="1344">
        <v>73.829143594064533</v>
      </c>
      <c r="D116" s="946"/>
      <c r="E116" s="947"/>
      <c r="F116" s="1767"/>
      <c r="G116" s="946"/>
      <c r="H116" s="1767"/>
      <c r="I116" s="946"/>
      <c r="J116" s="1767"/>
      <c r="K116" s="946"/>
      <c r="L116" s="1767"/>
      <c r="M116" s="946"/>
      <c r="N116" s="1767"/>
      <c r="O116" s="946"/>
      <c r="P116" s="1767"/>
      <c r="Q116" s="944"/>
      <c r="R116" s="1581"/>
      <c r="S116" s="944"/>
      <c r="T116" s="1776"/>
    </row>
    <row r="117" spans="1:20">
      <c r="A117" s="49">
        <v>2002.12</v>
      </c>
      <c r="B117" s="1751">
        <v>72.574024707850484</v>
      </c>
      <c r="C117" s="1344">
        <v>76.413550319714389</v>
      </c>
      <c r="D117" s="946"/>
      <c r="E117" s="947"/>
      <c r="F117" s="1767"/>
      <c r="G117" s="946"/>
      <c r="H117" s="1767"/>
      <c r="I117" s="946"/>
      <c r="J117" s="1767"/>
      <c r="K117" s="946"/>
      <c r="L117" s="1767"/>
      <c r="M117" s="946"/>
      <c r="N117" s="1767"/>
      <c r="O117" s="946"/>
      <c r="P117" s="1767"/>
      <c r="Q117" s="944"/>
      <c r="R117" s="1581"/>
      <c r="S117" s="944"/>
      <c r="T117" s="1776"/>
    </row>
    <row r="118" spans="1:20">
      <c r="A118" s="49">
        <v>2003.01</v>
      </c>
      <c r="B118" s="1751">
        <v>71.736035256484001</v>
      </c>
      <c r="C118" s="1344">
        <v>78.406751367907333</v>
      </c>
      <c r="D118" s="946"/>
      <c r="E118" s="947"/>
      <c r="F118" s="1767"/>
      <c r="G118" s="946"/>
      <c r="H118" s="1767"/>
      <c r="I118" s="946"/>
      <c r="J118" s="1767"/>
      <c r="K118" s="946"/>
      <c r="L118" s="1767"/>
      <c r="M118" s="946"/>
      <c r="N118" s="1767"/>
      <c r="O118" s="946"/>
      <c r="P118" s="1767"/>
      <c r="Q118" s="944"/>
      <c r="R118" s="1581"/>
      <c r="S118" s="944"/>
      <c r="T118" s="1776"/>
    </row>
    <row r="119" spans="1:20">
      <c r="A119" s="49">
        <v>2003.02</v>
      </c>
      <c r="B119" s="1751">
        <v>69.428977878030594</v>
      </c>
      <c r="C119" s="1344">
        <v>78.876945517657489</v>
      </c>
      <c r="D119" s="946"/>
      <c r="E119" s="947"/>
      <c r="F119" s="1767"/>
      <c r="G119" s="946"/>
      <c r="H119" s="1767"/>
      <c r="I119" s="946"/>
      <c r="J119" s="1767"/>
      <c r="K119" s="946"/>
      <c r="L119" s="1767"/>
      <c r="M119" s="946"/>
      <c r="N119" s="1767"/>
      <c r="O119" s="946"/>
      <c r="P119" s="1767"/>
      <c r="Q119" s="944"/>
      <c r="R119" s="1581"/>
      <c r="S119" s="944"/>
      <c r="T119" s="1776"/>
    </row>
    <row r="120" spans="1:20">
      <c r="A120" s="49">
        <v>2003.03</v>
      </c>
      <c r="B120" s="1751">
        <v>76.908809647635138</v>
      </c>
      <c r="C120" s="1344">
        <v>78.835057939154396</v>
      </c>
      <c r="D120" s="946"/>
      <c r="E120" s="947"/>
      <c r="F120" s="1767"/>
      <c r="G120" s="946"/>
      <c r="H120" s="1767"/>
      <c r="I120" s="946"/>
      <c r="J120" s="1767"/>
      <c r="K120" s="946"/>
      <c r="L120" s="1767"/>
      <c r="M120" s="946"/>
      <c r="N120" s="1767"/>
      <c r="O120" s="946"/>
      <c r="P120" s="1767"/>
      <c r="Q120" s="944"/>
      <c r="R120" s="1581"/>
      <c r="S120" s="944"/>
      <c r="T120" s="1776"/>
    </row>
    <row r="121" spans="1:20">
      <c r="A121" s="49">
        <v>2003.04</v>
      </c>
      <c r="B121" s="1751">
        <v>76.526024342689951</v>
      </c>
      <c r="C121" s="1344">
        <v>78.461301892501382</v>
      </c>
      <c r="D121" s="946"/>
      <c r="E121" s="947"/>
      <c r="F121" s="1767"/>
      <c r="G121" s="946"/>
      <c r="H121" s="1767"/>
      <c r="I121" s="946"/>
      <c r="J121" s="1767"/>
      <c r="K121" s="946"/>
      <c r="L121" s="1767"/>
      <c r="M121" s="946"/>
      <c r="N121" s="1767"/>
      <c r="O121" s="946"/>
      <c r="P121" s="1767"/>
      <c r="Q121" s="944"/>
      <c r="R121" s="1581"/>
      <c r="S121" s="944"/>
      <c r="T121" s="1776"/>
    </row>
    <row r="122" spans="1:20">
      <c r="A122" s="49">
        <v>2003.05</v>
      </c>
      <c r="B122" s="1751">
        <v>77.901982330736146</v>
      </c>
      <c r="C122" s="1344">
        <v>79.106113550154092</v>
      </c>
      <c r="D122" s="946"/>
      <c r="E122" s="947"/>
      <c r="F122" s="1767"/>
      <c r="G122" s="946"/>
      <c r="H122" s="1767"/>
      <c r="I122" s="946"/>
      <c r="J122" s="1767"/>
      <c r="K122" s="946"/>
      <c r="L122" s="1767"/>
      <c r="M122" s="946"/>
      <c r="N122" s="1767"/>
      <c r="O122" s="946"/>
      <c r="P122" s="1767"/>
      <c r="Q122" s="944"/>
      <c r="R122" s="1581"/>
      <c r="S122" s="944"/>
      <c r="T122" s="1776"/>
    </row>
    <row r="123" spans="1:20">
      <c r="A123" s="49">
        <v>2003.06</v>
      </c>
      <c r="B123" s="1751">
        <v>77.964055623429957</v>
      </c>
      <c r="C123" s="1344">
        <v>80.1754842469729</v>
      </c>
      <c r="D123" s="946"/>
      <c r="E123" s="947"/>
      <c r="F123" s="1767"/>
      <c r="G123" s="946"/>
      <c r="H123" s="1767"/>
      <c r="I123" s="946"/>
      <c r="J123" s="1767"/>
      <c r="K123" s="946"/>
      <c r="L123" s="1767"/>
      <c r="M123" s="946"/>
      <c r="N123" s="1767"/>
      <c r="O123" s="946"/>
      <c r="P123" s="1767"/>
      <c r="Q123" s="944"/>
      <c r="R123" s="1581"/>
      <c r="S123" s="944"/>
      <c r="T123" s="1776"/>
    </row>
    <row r="124" spans="1:20">
      <c r="A124" s="49">
        <v>2003.07</v>
      </c>
      <c r="B124" s="1751">
        <v>83.333395441444836</v>
      </c>
      <c r="C124" s="1344">
        <v>81.301220487123871</v>
      </c>
      <c r="D124" s="946"/>
      <c r="E124" s="947"/>
      <c r="F124" s="1767"/>
      <c r="G124" s="946"/>
      <c r="H124" s="1767"/>
      <c r="I124" s="946"/>
      <c r="J124" s="1767"/>
      <c r="K124" s="946"/>
      <c r="L124" s="1767"/>
      <c r="M124" s="946"/>
      <c r="N124" s="1767"/>
      <c r="O124" s="946"/>
      <c r="P124" s="1767"/>
      <c r="Q124" s="944"/>
      <c r="R124" s="1581"/>
      <c r="S124" s="944"/>
      <c r="T124" s="1776"/>
    </row>
    <row r="125" spans="1:20">
      <c r="A125" s="49">
        <v>2003.08</v>
      </c>
      <c r="B125" s="1751">
        <v>83.467887575614768</v>
      </c>
      <c r="C125" s="1344">
        <v>82.545849237173513</v>
      </c>
      <c r="D125" s="946"/>
      <c r="E125" s="947"/>
      <c r="F125" s="1767"/>
      <c r="G125" s="946"/>
      <c r="H125" s="1767"/>
      <c r="I125" s="946"/>
      <c r="J125" s="1767"/>
      <c r="K125" s="946"/>
      <c r="L125" s="1767"/>
      <c r="M125" s="946"/>
      <c r="N125" s="1767"/>
      <c r="O125" s="946"/>
      <c r="P125" s="1767"/>
      <c r="Q125" s="944"/>
      <c r="R125" s="1581"/>
      <c r="S125" s="944"/>
      <c r="T125" s="1776"/>
    </row>
    <row r="126" spans="1:20">
      <c r="A126" s="49">
        <v>2003.09</v>
      </c>
      <c r="B126" s="1751">
        <v>83.364432087791741</v>
      </c>
      <c r="C126" s="1344">
        <v>82.232740878550203</v>
      </c>
      <c r="D126" s="946"/>
      <c r="E126" s="947"/>
      <c r="F126" s="1767"/>
      <c r="G126" s="946"/>
      <c r="H126" s="1767"/>
      <c r="I126" s="946"/>
      <c r="J126" s="1767"/>
      <c r="K126" s="946"/>
      <c r="L126" s="1767"/>
      <c r="M126" s="946"/>
      <c r="N126" s="1767"/>
      <c r="O126" s="946"/>
      <c r="P126" s="1767"/>
      <c r="Q126" s="944"/>
      <c r="R126" s="1581"/>
      <c r="S126" s="944"/>
      <c r="T126" s="1776"/>
    </row>
    <row r="127" spans="1:20">
      <c r="A127" s="49">
        <v>2003.1</v>
      </c>
      <c r="B127" s="1751">
        <v>87.119866295767466</v>
      </c>
      <c r="C127" s="1344">
        <v>83.750480079845047</v>
      </c>
      <c r="D127" s="946"/>
      <c r="E127" s="947"/>
      <c r="F127" s="1767"/>
      <c r="G127" s="946"/>
      <c r="H127" s="1767"/>
      <c r="I127" s="946"/>
      <c r="J127" s="1767"/>
      <c r="K127" s="946"/>
      <c r="L127" s="1767"/>
      <c r="M127" s="946"/>
      <c r="N127" s="1767"/>
      <c r="O127" s="946"/>
      <c r="P127" s="1767"/>
      <c r="Q127" s="944"/>
      <c r="R127" s="1581"/>
      <c r="S127" s="944"/>
      <c r="T127" s="1776"/>
    </row>
    <row r="128" spans="1:20">
      <c r="A128" s="49">
        <v>2003.11</v>
      </c>
      <c r="B128" s="1751">
        <v>85.009374344177814</v>
      </c>
      <c r="C128" s="1344">
        <v>85.395880143663874</v>
      </c>
      <c r="D128" s="946"/>
      <c r="E128" s="947"/>
      <c r="F128" s="1767"/>
      <c r="G128" s="946"/>
      <c r="H128" s="1767"/>
      <c r="I128" s="946"/>
      <c r="J128" s="1767"/>
      <c r="K128" s="946"/>
      <c r="L128" s="1767"/>
      <c r="M128" s="946"/>
      <c r="N128" s="1767"/>
      <c r="O128" s="946"/>
      <c r="P128" s="1767"/>
      <c r="Q128" s="944"/>
      <c r="R128" s="1581"/>
      <c r="S128" s="944"/>
      <c r="T128" s="1776"/>
    </row>
    <row r="129" spans="1:20">
      <c r="A129" s="49">
        <v>2003.12</v>
      </c>
      <c r="B129" s="1751">
        <v>81.688453185058776</v>
      </c>
      <c r="C129" s="1344">
        <v>85.00298314765196</v>
      </c>
      <c r="D129" s="946"/>
      <c r="E129" s="947"/>
      <c r="F129" s="1767"/>
      <c r="G129" s="946"/>
      <c r="H129" s="1767"/>
      <c r="I129" s="946"/>
      <c r="J129" s="1767"/>
      <c r="K129" s="946"/>
      <c r="L129" s="1767"/>
      <c r="M129" s="946"/>
      <c r="N129" s="1767"/>
      <c r="O129" s="946"/>
      <c r="P129" s="1767"/>
      <c r="Q129" s="944"/>
      <c r="R129" s="1581"/>
      <c r="S129" s="944"/>
      <c r="T129" s="1776"/>
    </row>
    <row r="130" spans="1:20">
      <c r="A130" s="49">
        <v>2004.01</v>
      </c>
      <c r="B130" s="1751">
        <v>80.540097270223214</v>
      </c>
      <c r="C130" s="1344">
        <v>87.673323864363894</v>
      </c>
      <c r="D130" s="946"/>
      <c r="E130" s="947"/>
      <c r="F130" s="1767"/>
      <c r="G130" s="946"/>
      <c r="H130" s="1767"/>
      <c r="I130" s="946"/>
      <c r="J130" s="1767"/>
      <c r="K130" s="946"/>
      <c r="L130" s="1767"/>
      <c r="M130" s="946"/>
      <c r="N130" s="1767"/>
      <c r="O130" s="946"/>
      <c r="P130" s="1767"/>
      <c r="Q130" s="944"/>
      <c r="R130" s="1581"/>
      <c r="S130" s="944"/>
      <c r="T130" s="1776"/>
    </row>
    <row r="131" spans="1:20">
      <c r="A131" s="49">
        <v>2004.02</v>
      </c>
      <c r="B131" s="1751">
        <v>79.091720440700911</v>
      </c>
      <c r="C131" s="1344">
        <v>87.95015632381849</v>
      </c>
      <c r="D131" s="946"/>
      <c r="E131" s="947"/>
      <c r="F131" s="1767"/>
      <c r="G131" s="946"/>
      <c r="H131" s="1767"/>
      <c r="I131" s="946"/>
      <c r="J131" s="1767"/>
      <c r="K131" s="946"/>
      <c r="L131" s="1767"/>
      <c r="M131" s="946"/>
      <c r="N131" s="1767"/>
      <c r="O131" s="946"/>
      <c r="P131" s="1767"/>
      <c r="Q131" s="944"/>
      <c r="R131" s="1581"/>
      <c r="S131" s="944"/>
      <c r="T131" s="1776"/>
    </row>
    <row r="132" spans="1:20">
      <c r="A132" s="49">
        <v>2004.03</v>
      </c>
      <c r="B132" s="1751">
        <v>89.023447271711092</v>
      </c>
      <c r="C132" s="1344">
        <v>88.693401811781769</v>
      </c>
      <c r="D132" s="946"/>
      <c r="E132" s="947"/>
      <c r="F132" s="1767"/>
      <c r="G132" s="946"/>
      <c r="H132" s="1767"/>
      <c r="I132" s="946"/>
      <c r="J132" s="1767"/>
      <c r="K132" s="946"/>
      <c r="L132" s="1767"/>
      <c r="M132" s="946"/>
      <c r="N132" s="1767"/>
      <c r="O132" s="946"/>
      <c r="P132" s="1767"/>
      <c r="Q132" s="944"/>
      <c r="R132" s="1581"/>
      <c r="S132" s="944"/>
      <c r="T132" s="1776"/>
    </row>
    <row r="133" spans="1:20">
      <c r="A133" s="49">
        <v>2004.04</v>
      </c>
      <c r="B133" s="1751">
        <v>83.281667697533337</v>
      </c>
      <c r="C133" s="1344">
        <v>88.777188808615506</v>
      </c>
      <c r="D133" s="946"/>
      <c r="E133" s="947"/>
      <c r="F133" s="1767"/>
      <c r="G133" s="946"/>
      <c r="H133" s="1767"/>
      <c r="I133" s="946"/>
      <c r="J133" s="1767"/>
      <c r="K133" s="946"/>
      <c r="L133" s="1767"/>
      <c r="M133" s="946"/>
      <c r="N133" s="1767"/>
      <c r="O133" s="946"/>
      <c r="P133" s="1767"/>
      <c r="Q133" s="944"/>
      <c r="R133" s="1581"/>
      <c r="S133" s="944"/>
      <c r="T133" s="1776"/>
    </row>
    <row r="134" spans="1:20">
      <c r="A134" s="49">
        <v>2004.05</v>
      </c>
      <c r="B134" s="1751">
        <v>86.654316600563874</v>
      </c>
      <c r="C134" s="1344">
        <v>88.998237382558756</v>
      </c>
      <c r="D134" s="946"/>
      <c r="E134" s="947"/>
      <c r="F134" s="1767"/>
      <c r="G134" s="946"/>
      <c r="H134" s="1767"/>
      <c r="I134" s="946"/>
      <c r="J134" s="1767"/>
      <c r="K134" s="946"/>
      <c r="L134" s="1767"/>
      <c r="M134" s="946"/>
      <c r="N134" s="1767"/>
      <c r="O134" s="946"/>
      <c r="P134" s="1767"/>
      <c r="Q134" s="944"/>
      <c r="R134" s="1581"/>
      <c r="S134" s="944"/>
      <c r="T134" s="1776"/>
    </row>
    <row r="135" spans="1:20">
      <c r="A135" s="49">
        <v>2004.06</v>
      </c>
      <c r="B135" s="1751">
        <v>86.943991966468332</v>
      </c>
      <c r="C135" s="1344">
        <v>89.171328281714693</v>
      </c>
      <c r="D135" s="946"/>
      <c r="E135" s="947"/>
      <c r="F135" s="1767"/>
      <c r="G135" s="946"/>
      <c r="H135" s="1767"/>
      <c r="I135" s="946"/>
      <c r="J135" s="1767"/>
      <c r="K135" s="946"/>
      <c r="L135" s="1767"/>
      <c r="M135" s="946"/>
      <c r="N135" s="1767"/>
      <c r="O135" s="946"/>
      <c r="P135" s="1767"/>
      <c r="Q135" s="944"/>
      <c r="R135" s="1581"/>
      <c r="S135" s="944"/>
      <c r="T135" s="1776"/>
    </row>
    <row r="136" spans="1:20">
      <c r="A136" s="49">
        <v>2004.07</v>
      </c>
      <c r="B136" s="1751">
        <v>91.278776906252986</v>
      </c>
      <c r="C136" s="1344">
        <v>90.655106828030213</v>
      </c>
      <c r="D136" s="946"/>
      <c r="E136" s="947"/>
      <c r="F136" s="1767"/>
      <c r="G136" s="946"/>
      <c r="H136" s="1767"/>
      <c r="I136" s="946"/>
      <c r="J136" s="1767"/>
      <c r="K136" s="946"/>
      <c r="L136" s="1767"/>
      <c r="M136" s="946"/>
      <c r="N136" s="1767"/>
      <c r="O136" s="946"/>
      <c r="P136" s="1767"/>
      <c r="Q136" s="944"/>
      <c r="R136" s="1581"/>
      <c r="S136" s="944"/>
      <c r="T136" s="1776"/>
    </row>
    <row r="137" spans="1:20">
      <c r="A137" s="49">
        <v>2004.08</v>
      </c>
      <c r="B137" s="1751">
        <v>92.396096174741629</v>
      </c>
      <c r="C137" s="1344">
        <v>90.903226137424028</v>
      </c>
      <c r="D137" s="946"/>
      <c r="E137" s="947"/>
      <c r="F137" s="1767"/>
      <c r="G137" s="946"/>
      <c r="H137" s="1767"/>
      <c r="I137" s="946"/>
      <c r="J137" s="1767"/>
      <c r="K137" s="946"/>
      <c r="L137" s="1767"/>
      <c r="M137" s="946"/>
      <c r="N137" s="1767"/>
      <c r="O137" s="946"/>
      <c r="P137" s="1767"/>
      <c r="Q137" s="944"/>
      <c r="R137" s="1581"/>
      <c r="S137" s="944"/>
      <c r="T137" s="1776"/>
    </row>
    <row r="138" spans="1:20">
      <c r="A138" s="49">
        <v>2004.09</v>
      </c>
      <c r="B138" s="1751">
        <v>92.137457455184077</v>
      </c>
      <c r="C138" s="1344">
        <v>90.918441855103367</v>
      </c>
      <c r="D138" s="946"/>
      <c r="E138" s="947"/>
      <c r="F138" s="1767"/>
      <c r="G138" s="946"/>
      <c r="H138" s="1767"/>
      <c r="I138" s="946"/>
      <c r="J138" s="1767"/>
      <c r="K138" s="946"/>
      <c r="L138" s="1767"/>
      <c r="M138" s="946"/>
      <c r="N138" s="1767"/>
      <c r="O138" s="946"/>
      <c r="P138" s="1767"/>
      <c r="Q138" s="944"/>
      <c r="R138" s="1581"/>
      <c r="S138" s="944"/>
      <c r="T138" s="1776"/>
    </row>
    <row r="139" spans="1:20">
      <c r="A139" s="49">
        <v>2004.1</v>
      </c>
      <c r="B139" s="1751">
        <v>93.854818553046243</v>
      </c>
      <c r="C139" s="1344">
        <v>92.097400388014549</v>
      </c>
      <c r="D139" s="946"/>
      <c r="E139" s="947"/>
      <c r="F139" s="1767"/>
      <c r="G139" s="946"/>
      <c r="H139" s="1767"/>
      <c r="I139" s="946"/>
      <c r="J139" s="1767"/>
      <c r="K139" s="946"/>
      <c r="L139" s="1767"/>
      <c r="M139" s="946"/>
      <c r="N139" s="1767"/>
      <c r="O139" s="946"/>
      <c r="P139" s="1767"/>
      <c r="Q139" s="944"/>
      <c r="R139" s="1581"/>
      <c r="S139" s="944"/>
      <c r="T139" s="1776"/>
    </row>
    <row r="140" spans="1:20">
      <c r="A140" s="49">
        <v>2004.11</v>
      </c>
      <c r="B140" s="1751">
        <v>91.982274223449522</v>
      </c>
      <c r="C140" s="1344">
        <v>92.255459318896669</v>
      </c>
      <c r="D140" s="946"/>
      <c r="E140" s="947"/>
      <c r="F140" s="1767"/>
      <c r="G140" s="946"/>
      <c r="H140" s="1767"/>
      <c r="I140" s="946"/>
      <c r="J140" s="1767"/>
      <c r="K140" s="946"/>
      <c r="L140" s="1767"/>
      <c r="M140" s="946"/>
      <c r="N140" s="1767"/>
      <c r="O140" s="946"/>
      <c r="P140" s="1767"/>
      <c r="Q140" s="944"/>
      <c r="R140" s="1581"/>
      <c r="S140" s="944"/>
      <c r="T140" s="1776"/>
    </row>
    <row r="141" spans="1:20">
      <c r="A141" s="49">
        <v>2004.12</v>
      </c>
      <c r="B141" s="1751">
        <v>89.592452454737696</v>
      </c>
      <c r="C141" s="1344">
        <v>92.619031970350193</v>
      </c>
      <c r="D141" s="946"/>
      <c r="E141" s="947"/>
      <c r="F141" s="1767"/>
      <c r="G141" s="946"/>
      <c r="H141" s="1767"/>
      <c r="I141" s="946"/>
      <c r="J141" s="1767"/>
      <c r="K141" s="946"/>
      <c r="L141" s="1767"/>
      <c r="M141" s="946"/>
      <c r="N141" s="1767"/>
      <c r="O141" s="946"/>
      <c r="P141" s="1767"/>
      <c r="Q141" s="944"/>
      <c r="R141" s="1581"/>
      <c r="S141" s="944"/>
      <c r="T141" s="1776"/>
    </row>
    <row r="142" spans="1:20">
      <c r="A142" s="49">
        <v>2005.01</v>
      </c>
      <c r="B142" s="1751">
        <v>86.830190929863008</v>
      </c>
      <c r="C142" s="1344">
        <v>93.547064187163073</v>
      </c>
      <c r="D142" s="946"/>
      <c r="E142" s="947"/>
      <c r="F142" s="1767"/>
      <c r="G142" s="946"/>
      <c r="H142" s="1767"/>
      <c r="I142" s="946"/>
      <c r="J142" s="1767"/>
      <c r="K142" s="946"/>
      <c r="L142" s="1767"/>
      <c r="M142" s="946"/>
      <c r="N142" s="1767"/>
      <c r="O142" s="946"/>
      <c r="P142" s="1767"/>
      <c r="Q142" s="944"/>
      <c r="R142" s="1581"/>
      <c r="S142" s="944"/>
      <c r="T142" s="1776"/>
    </row>
    <row r="143" spans="1:20">
      <c r="A143" s="49">
        <v>2005.02</v>
      </c>
      <c r="B143" s="1751">
        <v>83.819636234213036</v>
      </c>
      <c r="C143" s="1344">
        <v>93.619549476743131</v>
      </c>
      <c r="D143" s="946"/>
      <c r="E143" s="947"/>
      <c r="F143" s="1767"/>
      <c r="G143" s="946"/>
      <c r="H143" s="1767"/>
      <c r="I143" s="946"/>
      <c r="J143" s="1767"/>
      <c r="K143" s="946"/>
      <c r="L143" s="1767"/>
      <c r="M143" s="946"/>
      <c r="N143" s="1767"/>
      <c r="O143" s="946"/>
      <c r="P143" s="1767"/>
      <c r="Q143" s="944"/>
      <c r="R143" s="1581"/>
      <c r="S143" s="944"/>
      <c r="T143" s="1776"/>
    </row>
    <row r="144" spans="1:20">
      <c r="A144" s="49">
        <v>2005.03</v>
      </c>
      <c r="B144" s="1751">
        <v>95.623907394819938</v>
      </c>
      <c r="C144" s="1344">
        <v>95.211604999787738</v>
      </c>
      <c r="D144" s="946"/>
      <c r="E144" s="947"/>
      <c r="F144" s="1767"/>
      <c r="G144" s="946"/>
      <c r="H144" s="1767"/>
      <c r="I144" s="946"/>
      <c r="J144" s="1767"/>
      <c r="K144" s="946"/>
      <c r="L144" s="1767"/>
      <c r="M144" s="946"/>
      <c r="N144" s="1767"/>
      <c r="O144" s="946"/>
      <c r="P144" s="1767"/>
      <c r="Q144" s="944"/>
      <c r="R144" s="1581"/>
      <c r="S144" s="944"/>
      <c r="T144" s="1776"/>
    </row>
    <row r="145" spans="1:20">
      <c r="A145" s="49">
        <v>2005.04</v>
      </c>
      <c r="B145" s="1751">
        <v>94.434169284855159</v>
      </c>
      <c r="C145" s="1344">
        <v>96.671552942132749</v>
      </c>
      <c r="D145" s="946"/>
      <c r="E145" s="947"/>
      <c r="F145" s="1767"/>
      <c r="G145" s="946"/>
      <c r="H145" s="1767"/>
      <c r="I145" s="946"/>
      <c r="J145" s="1767"/>
      <c r="K145" s="946"/>
      <c r="L145" s="1767"/>
      <c r="M145" s="946"/>
      <c r="N145" s="1767"/>
      <c r="O145" s="946"/>
      <c r="P145" s="1767"/>
      <c r="Q145" s="944"/>
      <c r="R145" s="1581"/>
      <c r="S145" s="944"/>
      <c r="T145" s="1776"/>
    </row>
    <row r="146" spans="1:20">
      <c r="A146" s="49">
        <v>2005.05</v>
      </c>
      <c r="B146" s="1751">
        <v>96.151530382717326</v>
      </c>
      <c r="C146" s="1344">
        <v>97.746018741760366</v>
      </c>
      <c r="D146" s="946"/>
      <c r="E146" s="947"/>
      <c r="F146" s="1767"/>
      <c r="G146" s="946"/>
      <c r="H146" s="1767"/>
      <c r="I146" s="946"/>
      <c r="J146" s="1767"/>
      <c r="K146" s="946"/>
      <c r="L146" s="1767"/>
      <c r="M146" s="946"/>
      <c r="N146" s="1767"/>
      <c r="O146" s="946"/>
      <c r="P146" s="1767"/>
      <c r="Q146" s="944"/>
      <c r="R146" s="1581"/>
      <c r="S146" s="944"/>
      <c r="T146" s="1776"/>
    </row>
    <row r="147" spans="1:20">
      <c r="A147" s="49">
        <v>2005.06</v>
      </c>
      <c r="B147" s="1751">
        <v>94.051383979909957</v>
      </c>
      <c r="C147" s="1344">
        <v>96.975329559861549</v>
      </c>
      <c r="D147" s="946"/>
      <c r="E147" s="947"/>
      <c r="F147" s="1767"/>
      <c r="G147" s="946"/>
      <c r="H147" s="1767"/>
      <c r="I147" s="946"/>
      <c r="J147" s="1767"/>
      <c r="K147" s="946"/>
      <c r="L147" s="1767"/>
      <c r="M147" s="946"/>
      <c r="N147" s="1767"/>
      <c r="O147" s="946"/>
      <c r="P147" s="1767"/>
      <c r="Q147" s="944"/>
      <c r="R147" s="1581"/>
      <c r="S147" s="944"/>
      <c r="T147" s="1776"/>
    </row>
    <row r="148" spans="1:20">
      <c r="A148" s="49">
        <v>2005.07</v>
      </c>
      <c r="B148" s="1751">
        <v>96.244640321758041</v>
      </c>
      <c r="C148" s="1344">
        <v>97.193094717045426</v>
      </c>
      <c r="D148" s="946"/>
      <c r="E148" s="947"/>
      <c r="F148" s="1767"/>
      <c r="G148" s="946"/>
      <c r="H148" s="1767"/>
      <c r="I148" s="946"/>
      <c r="J148" s="1767"/>
      <c r="K148" s="946"/>
      <c r="L148" s="1767"/>
      <c r="M148" s="946"/>
      <c r="N148" s="1767"/>
      <c r="O148" s="946"/>
      <c r="P148" s="1767"/>
      <c r="Q148" s="944"/>
      <c r="R148" s="1581"/>
      <c r="S148" s="944"/>
      <c r="T148" s="1776"/>
    </row>
    <row r="149" spans="1:20">
      <c r="A149" s="49">
        <v>2005.08</v>
      </c>
      <c r="B149" s="1751">
        <v>99.555215932094768</v>
      </c>
      <c r="C149" s="1344">
        <v>97.387327615182954</v>
      </c>
      <c r="D149" s="946"/>
      <c r="E149" s="947"/>
      <c r="F149" s="1767"/>
      <c r="G149" s="946"/>
      <c r="H149" s="1767"/>
      <c r="I149" s="946"/>
      <c r="J149" s="1767"/>
      <c r="K149" s="946"/>
      <c r="L149" s="1767"/>
      <c r="M149" s="946"/>
      <c r="N149" s="1767"/>
      <c r="O149" s="946"/>
      <c r="P149" s="1767"/>
      <c r="Q149" s="944"/>
      <c r="R149" s="1581"/>
      <c r="S149" s="944"/>
      <c r="T149" s="1776"/>
    </row>
    <row r="150" spans="1:20">
      <c r="A150" s="49">
        <v>2005.09</v>
      </c>
      <c r="B150" s="1751">
        <v>99.824200200434618</v>
      </c>
      <c r="C150" s="1344">
        <v>97.945516276040834</v>
      </c>
      <c r="D150" s="946"/>
      <c r="E150" s="947"/>
      <c r="F150" s="1767"/>
      <c r="G150" s="946"/>
      <c r="H150" s="1767"/>
      <c r="I150" s="946"/>
      <c r="J150" s="1767"/>
      <c r="K150" s="946"/>
      <c r="L150" s="1767"/>
      <c r="M150" s="946"/>
      <c r="N150" s="1767"/>
      <c r="O150" s="946"/>
      <c r="P150" s="1767"/>
      <c r="Q150" s="944"/>
      <c r="R150" s="1581"/>
      <c r="S150" s="944"/>
      <c r="T150" s="1776"/>
    </row>
    <row r="151" spans="1:20">
      <c r="A151" s="49">
        <v>2005.1</v>
      </c>
      <c r="B151" s="1751">
        <v>101.23119483482772</v>
      </c>
      <c r="C151" s="1344">
        <v>99.131271639225858</v>
      </c>
      <c r="D151" s="946"/>
      <c r="E151" s="947"/>
      <c r="F151" s="1767"/>
      <c r="G151" s="946"/>
      <c r="H151" s="1767"/>
      <c r="I151" s="946"/>
      <c r="J151" s="1767"/>
      <c r="K151" s="946"/>
      <c r="L151" s="1767"/>
      <c r="M151" s="946"/>
      <c r="N151" s="1767"/>
      <c r="O151" s="946"/>
      <c r="P151" s="1767"/>
      <c r="Q151" s="944"/>
      <c r="R151" s="1581"/>
      <c r="S151" s="944"/>
      <c r="T151" s="1776"/>
    </row>
    <row r="152" spans="1:20">
      <c r="A152" s="49">
        <v>2005.11</v>
      </c>
      <c r="B152" s="1751">
        <v>100.91048282257637</v>
      </c>
      <c r="C152" s="1344">
        <v>98.961634025395625</v>
      </c>
      <c r="D152" s="946"/>
      <c r="E152" s="947"/>
      <c r="F152" s="1767"/>
      <c r="G152" s="946"/>
      <c r="H152" s="1767"/>
      <c r="I152" s="946"/>
      <c r="J152" s="1767"/>
      <c r="K152" s="946"/>
      <c r="L152" s="1767"/>
      <c r="M152" s="946"/>
      <c r="N152" s="1767"/>
      <c r="O152" s="946"/>
      <c r="P152" s="1767"/>
      <c r="Q152" s="944"/>
      <c r="R152" s="1581"/>
      <c r="S152" s="944"/>
      <c r="T152" s="1776"/>
    </row>
    <row r="153" spans="1:20">
      <c r="A153" s="49">
        <v>2005.12</v>
      </c>
      <c r="B153" s="1751">
        <v>96.679153370614728</v>
      </c>
      <c r="C153" s="1344">
        <v>99.906837886650166</v>
      </c>
      <c r="D153" s="946"/>
      <c r="E153" s="947"/>
      <c r="F153" s="1767"/>
      <c r="G153" s="946"/>
      <c r="H153" s="1767"/>
      <c r="I153" s="946"/>
      <c r="J153" s="1767"/>
      <c r="K153" s="946"/>
      <c r="L153" s="1767"/>
      <c r="M153" s="946"/>
      <c r="N153" s="1767"/>
      <c r="O153" s="946"/>
      <c r="P153" s="1767"/>
      <c r="Q153" s="944"/>
      <c r="R153" s="1581"/>
      <c r="S153" s="944"/>
      <c r="T153" s="1776"/>
    </row>
    <row r="154" spans="1:20">
      <c r="A154" s="49">
        <v>2006.01</v>
      </c>
      <c r="B154" s="1751">
        <v>89.551070259608466</v>
      </c>
      <c r="C154" s="1344">
        <v>100.25030650243176</v>
      </c>
      <c r="D154" s="946"/>
      <c r="E154" s="947"/>
      <c r="F154" s="1767"/>
      <c r="G154" s="946"/>
      <c r="H154" s="1767"/>
      <c r="I154" s="946"/>
      <c r="J154" s="1767"/>
      <c r="K154" s="946"/>
      <c r="L154" s="1767"/>
      <c r="M154" s="946"/>
      <c r="N154" s="1767"/>
      <c r="O154" s="946"/>
      <c r="P154" s="1767"/>
      <c r="Q154" s="944"/>
      <c r="R154" s="1581"/>
      <c r="S154" s="944"/>
      <c r="T154" s="1776"/>
    </row>
    <row r="155" spans="1:20">
      <c r="A155" s="49">
        <v>2006.02</v>
      </c>
      <c r="B155" s="1751">
        <v>92.489206113782316</v>
      </c>
      <c r="C155" s="1344">
        <v>102.85441691434436</v>
      </c>
      <c r="D155" s="946"/>
      <c r="E155" s="947"/>
      <c r="F155" s="1767"/>
      <c r="G155" s="946"/>
      <c r="H155" s="1767"/>
      <c r="I155" s="946"/>
      <c r="J155" s="1767"/>
      <c r="K155" s="946"/>
      <c r="L155" s="1767"/>
      <c r="M155" s="946"/>
      <c r="N155" s="1767"/>
      <c r="O155" s="946"/>
      <c r="P155" s="1767"/>
      <c r="Q155" s="944"/>
      <c r="R155" s="1581"/>
      <c r="S155" s="944"/>
      <c r="T155" s="1776"/>
    </row>
    <row r="156" spans="1:20">
      <c r="A156" s="49">
        <v>2006.03</v>
      </c>
      <c r="B156" s="1751">
        <v>103.39341453032891</v>
      </c>
      <c r="C156" s="1344">
        <v>103.50485254075079</v>
      </c>
      <c r="D156" s="946"/>
      <c r="E156" s="947"/>
      <c r="F156" s="1767"/>
      <c r="G156" s="946"/>
      <c r="H156" s="1767"/>
      <c r="I156" s="946"/>
      <c r="J156" s="1767"/>
      <c r="K156" s="946"/>
      <c r="L156" s="1767"/>
      <c r="M156" s="946"/>
      <c r="N156" s="1767"/>
      <c r="O156" s="946"/>
      <c r="P156" s="1767"/>
      <c r="Q156" s="944"/>
      <c r="R156" s="1581"/>
      <c r="S156" s="944"/>
      <c r="T156" s="1776"/>
    </row>
    <row r="157" spans="1:20">
      <c r="A157" s="49">
        <v>2006.04</v>
      </c>
      <c r="B157" s="1751">
        <v>101.78985446907207</v>
      </c>
      <c r="C157" s="1344">
        <v>104.85026751763405</v>
      </c>
      <c r="D157" s="946"/>
      <c r="E157" s="947"/>
      <c r="F157" s="1767"/>
      <c r="G157" s="946"/>
      <c r="H157" s="1767"/>
      <c r="I157" s="946"/>
      <c r="J157" s="1767"/>
      <c r="K157" s="946"/>
      <c r="L157" s="1767"/>
      <c r="M157" s="946"/>
      <c r="N157" s="1767"/>
      <c r="O157" s="946"/>
      <c r="P157" s="1767"/>
      <c r="Q157" s="944"/>
      <c r="R157" s="1581"/>
      <c r="S157" s="944"/>
      <c r="T157" s="1776"/>
    </row>
    <row r="158" spans="1:20">
      <c r="A158" s="49">
        <v>2006.05</v>
      </c>
      <c r="B158" s="1751">
        <v>103.53825221328114</v>
      </c>
      <c r="C158" s="1344">
        <v>104.51798393844687</v>
      </c>
      <c r="D158" s="946"/>
      <c r="E158" s="947"/>
      <c r="F158" s="1767"/>
      <c r="G158" s="946"/>
      <c r="H158" s="1767"/>
      <c r="I158" s="946"/>
      <c r="J158" s="1767"/>
      <c r="K158" s="946"/>
      <c r="L158" s="1767"/>
      <c r="M158" s="946"/>
      <c r="N158" s="1767"/>
      <c r="O158" s="946"/>
      <c r="P158" s="1767"/>
      <c r="Q158" s="944"/>
      <c r="R158" s="1581"/>
      <c r="S158" s="944"/>
      <c r="T158" s="1776"/>
    </row>
    <row r="159" spans="1:20">
      <c r="A159" s="49">
        <v>2006.06</v>
      </c>
      <c r="B159" s="1751">
        <v>103.21754020102976</v>
      </c>
      <c r="C159" s="1344">
        <v>106.87993929359746</v>
      </c>
      <c r="D159" s="946"/>
      <c r="E159" s="947"/>
      <c r="F159" s="1767"/>
      <c r="G159" s="946"/>
      <c r="H159" s="1767"/>
      <c r="I159" s="946"/>
      <c r="J159" s="1767"/>
      <c r="K159" s="946"/>
      <c r="L159" s="1767"/>
      <c r="M159" s="946"/>
      <c r="N159" s="1767"/>
      <c r="O159" s="946"/>
      <c r="P159" s="1767"/>
      <c r="Q159" s="944"/>
      <c r="R159" s="1581"/>
      <c r="S159" s="944"/>
      <c r="T159" s="1776"/>
    </row>
    <row r="160" spans="1:20">
      <c r="A160" s="49">
        <v>2006.07</v>
      </c>
      <c r="B160" s="1751">
        <v>105.60736196974159</v>
      </c>
      <c r="C160" s="1344">
        <v>107.42439656070002</v>
      </c>
      <c r="D160" s="946"/>
      <c r="E160" s="947"/>
      <c r="F160" s="1767"/>
      <c r="G160" s="946"/>
      <c r="H160" s="1767"/>
      <c r="I160" s="946"/>
      <c r="J160" s="1767"/>
      <c r="K160" s="946"/>
      <c r="L160" s="1767"/>
      <c r="M160" s="946"/>
      <c r="N160" s="1767"/>
      <c r="O160" s="946"/>
      <c r="P160" s="1767"/>
      <c r="Q160" s="944"/>
      <c r="R160" s="1581"/>
      <c r="S160" s="944"/>
      <c r="T160" s="1776"/>
    </row>
    <row r="161" spans="1:20">
      <c r="A161" s="49">
        <v>2006.08</v>
      </c>
      <c r="B161" s="1751">
        <v>107.74889056767817</v>
      </c>
      <c r="C161" s="1344">
        <v>105.43391616969686</v>
      </c>
      <c r="D161" s="946"/>
      <c r="E161" s="947"/>
      <c r="F161" s="1767"/>
      <c r="G161" s="946"/>
      <c r="H161" s="1767"/>
      <c r="I161" s="946"/>
      <c r="J161" s="1767"/>
      <c r="K161" s="946"/>
      <c r="L161" s="1767"/>
      <c r="M161" s="946"/>
      <c r="N161" s="1767"/>
      <c r="O161" s="946"/>
      <c r="P161" s="1767"/>
      <c r="Q161" s="944"/>
      <c r="R161" s="1581"/>
      <c r="S161" s="944"/>
      <c r="T161" s="1776"/>
    </row>
    <row r="162" spans="1:20">
      <c r="A162" s="49">
        <v>2006.09</v>
      </c>
      <c r="B162" s="1751">
        <v>108.7834454459084</v>
      </c>
      <c r="C162" s="1344">
        <v>106.81941489783146</v>
      </c>
      <c r="D162" s="946"/>
      <c r="E162" s="947"/>
      <c r="F162" s="1767"/>
      <c r="G162" s="946"/>
      <c r="H162" s="1767"/>
      <c r="I162" s="946"/>
      <c r="J162" s="1767"/>
      <c r="K162" s="946"/>
      <c r="L162" s="1767"/>
      <c r="M162" s="946"/>
      <c r="N162" s="1767"/>
      <c r="O162" s="946"/>
      <c r="P162" s="1767"/>
      <c r="Q162" s="944"/>
      <c r="R162" s="1581"/>
      <c r="S162" s="944"/>
      <c r="T162" s="1776"/>
    </row>
    <row r="163" spans="1:20">
      <c r="A163" s="49">
        <v>2006.1</v>
      </c>
      <c r="B163" s="1751">
        <v>110.05594794613157</v>
      </c>
      <c r="C163" s="1344">
        <v>106.8779370839348</v>
      </c>
      <c r="D163" s="946"/>
      <c r="E163" s="947"/>
      <c r="F163" s="1767"/>
      <c r="G163" s="946"/>
      <c r="H163" s="1767"/>
      <c r="I163" s="946"/>
      <c r="J163" s="1767"/>
      <c r="K163" s="946"/>
      <c r="L163" s="1767"/>
      <c r="M163" s="946"/>
      <c r="N163" s="1767"/>
      <c r="O163" s="946"/>
      <c r="P163" s="1767"/>
      <c r="Q163" s="944"/>
      <c r="R163" s="1581"/>
      <c r="S163" s="944"/>
      <c r="T163" s="1776"/>
    </row>
    <row r="164" spans="1:20">
      <c r="A164" s="49">
        <v>2006.11</v>
      </c>
      <c r="B164" s="1751">
        <v>109.80765477535633</v>
      </c>
      <c r="C164" s="1344">
        <v>107.2970794964189</v>
      </c>
      <c r="D164" s="946"/>
      <c r="E164" s="947"/>
      <c r="F164" s="1767"/>
      <c r="G164" s="946"/>
      <c r="H164" s="1767"/>
      <c r="I164" s="946"/>
      <c r="J164" s="1767"/>
      <c r="K164" s="946"/>
      <c r="L164" s="1767"/>
      <c r="M164" s="946"/>
      <c r="N164" s="1767"/>
      <c r="O164" s="946"/>
      <c r="P164" s="1767"/>
      <c r="Q164" s="944"/>
      <c r="R164" s="1581"/>
      <c r="S164" s="944"/>
      <c r="T164" s="1776"/>
    </row>
    <row r="165" spans="1:20">
      <c r="A165" s="49">
        <v>2006.12</v>
      </c>
      <c r="B165" s="1751">
        <v>105.45217873800708</v>
      </c>
      <c r="C165" s="1344">
        <v>108.56001617395684</v>
      </c>
      <c r="D165" s="946"/>
      <c r="E165" s="947"/>
      <c r="F165" s="1767"/>
      <c r="G165" s="946"/>
      <c r="H165" s="1767"/>
      <c r="I165" s="946"/>
      <c r="J165" s="1767"/>
      <c r="K165" s="946"/>
      <c r="L165" s="1767"/>
      <c r="M165" s="946"/>
      <c r="N165" s="1767"/>
      <c r="O165" s="946"/>
      <c r="P165" s="1767"/>
      <c r="Q165" s="944"/>
      <c r="R165" s="1581"/>
      <c r="S165" s="944"/>
      <c r="T165" s="1776"/>
    </row>
    <row r="166" spans="1:20">
      <c r="A166" s="49">
        <v>2007.01</v>
      </c>
      <c r="B166" s="1751">
        <v>95.065247760575588</v>
      </c>
      <c r="C166" s="1344">
        <v>109.26630047491919</v>
      </c>
      <c r="D166" s="946"/>
      <c r="E166" s="947"/>
      <c r="F166" s="1767"/>
      <c r="G166" s="946"/>
      <c r="H166" s="1767"/>
      <c r="I166" s="946"/>
      <c r="J166" s="1767"/>
      <c r="K166" s="946"/>
      <c r="L166" s="1767"/>
      <c r="M166" s="946"/>
      <c r="N166" s="1767"/>
      <c r="O166" s="946"/>
      <c r="P166" s="1767"/>
      <c r="Q166" s="944"/>
      <c r="R166" s="1581"/>
      <c r="S166" s="944"/>
      <c r="T166" s="1776"/>
    </row>
    <row r="167" spans="1:20">
      <c r="A167" s="49">
        <v>2007.02</v>
      </c>
      <c r="B167" s="1751">
        <v>98.820681968551312</v>
      </c>
      <c r="C167" s="1344">
        <v>110.10143167437994</v>
      </c>
      <c r="D167" s="946"/>
      <c r="E167" s="947"/>
      <c r="F167" s="1767"/>
      <c r="G167" s="946"/>
      <c r="H167" s="1767"/>
      <c r="I167" s="946"/>
      <c r="J167" s="1767"/>
      <c r="K167" s="946"/>
      <c r="L167" s="1767"/>
      <c r="M167" s="946"/>
      <c r="N167" s="1767"/>
      <c r="O167" s="946"/>
      <c r="P167" s="1767"/>
      <c r="Q167" s="944"/>
      <c r="R167" s="1581"/>
      <c r="S167" s="944"/>
      <c r="T167" s="1776"/>
    </row>
    <row r="168" spans="1:20">
      <c r="A168" s="49">
        <v>2007.03</v>
      </c>
      <c r="B168" s="1751">
        <v>110.63529867794051</v>
      </c>
      <c r="C168" s="1344">
        <v>111.68337423185771</v>
      </c>
      <c r="D168" s="946"/>
      <c r="E168" s="947"/>
      <c r="F168" s="1767"/>
      <c r="G168" s="946"/>
      <c r="H168" s="1767"/>
      <c r="I168" s="946"/>
      <c r="J168" s="1767"/>
      <c r="K168" s="946"/>
      <c r="L168" s="1767"/>
      <c r="M168" s="946"/>
      <c r="N168" s="1767"/>
      <c r="O168" s="946"/>
      <c r="P168" s="1767"/>
      <c r="Q168" s="944"/>
      <c r="R168" s="1581"/>
      <c r="S168" s="944"/>
      <c r="T168" s="1776"/>
    </row>
    <row r="169" spans="1:20">
      <c r="A169" s="49">
        <v>2007.04</v>
      </c>
      <c r="B169" s="1751">
        <v>108.62826221417386</v>
      </c>
      <c r="C169" s="1344">
        <v>110.80058785935016</v>
      </c>
      <c r="D169" s="946"/>
      <c r="E169" s="947"/>
      <c r="F169" s="1767"/>
      <c r="G169" s="946"/>
      <c r="H169" s="1767"/>
      <c r="I169" s="946"/>
      <c r="J169" s="1767"/>
      <c r="K169" s="946"/>
      <c r="L169" s="1767"/>
      <c r="M169" s="946"/>
      <c r="N169" s="1767"/>
      <c r="O169" s="946"/>
      <c r="P169" s="1767"/>
      <c r="Q169" s="944"/>
      <c r="R169" s="1581"/>
      <c r="S169" s="944"/>
      <c r="T169" s="1776"/>
    </row>
    <row r="170" spans="1:20">
      <c r="A170" s="49">
        <v>2007.05</v>
      </c>
      <c r="B170" s="1751">
        <v>110.76979081211043</v>
      </c>
      <c r="C170" s="1344">
        <v>111.67982026978747</v>
      </c>
      <c r="D170" s="946"/>
      <c r="E170" s="947"/>
      <c r="F170" s="1767"/>
      <c r="G170" s="946"/>
      <c r="H170" s="1767"/>
      <c r="I170" s="946"/>
      <c r="J170" s="1767"/>
      <c r="K170" s="946"/>
      <c r="L170" s="1767"/>
      <c r="M170" s="946"/>
      <c r="N170" s="1767"/>
      <c r="O170" s="946"/>
      <c r="P170" s="1767"/>
      <c r="Q170" s="944"/>
      <c r="R170" s="1581"/>
      <c r="S170" s="944"/>
      <c r="T170" s="1776"/>
    </row>
    <row r="171" spans="1:20">
      <c r="A171" s="49">
        <v>2007.06</v>
      </c>
      <c r="B171" s="1751">
        <v>108.61791666539156</v>
      </c>
      <c r="C171" s="1344">
        <v>113.91598937735091</v>
      </c>
      <c r="D171" s="946"/>
      <c r="E171" s="947"/>
      <c r="F171" s="1767"/>
      <c r="G171" s="946"/>
      <c r="H171" s="1767"/>
      <c r="I171" s="946"/>
      <c r="J171" s="1767"/>
      <c r="K171" s="946"/>
      <c r="L171" s="1767"/>
      <c r="M171" s="946"/>
      <c r="N171" s="1767"/>
      <c r="O171" s="946"/>
      <c r="P171" s="1767"/>
      <c r="Q171" s="944"/>
      <c r="R171" s="1581"/>
      <c r="S171" s="944"/>
      <c r="T171" s="1776"/>
    </row>
    <row r="172" spans="1:20">
      <c r="A172" s="49">
        <v>2007.07</v>
      </c>
      <c r="B172" s="1751">
        <v>107.66612617741974</v>
      </c>
      <c r="C172" s="1344">
        <v>114.25112003612811</v>
      </c>
      <c r="D172" s="946"/>
      <c r="E172" s="947"/>
      <c r="F172" s="1767"/>
      <c r="G172" s="946"/>
      <c r="H172" s="1767"/>
      <c r="I172" s="946"/>
      <c r="J172" s="1767"/>
      <c r="K172" s="946"/>
      <c r="L172" s="1767"/>
      <c r="M172" s="946"/>
      <c r="N172" s="1767"/>
      <c r="O172" s="946"/>
      <c r="P172" s="1767"/>
      <c r="Q172" s="944"/>
      <c r="R172" s="1581"/>
      <c r="S172" s="944"/>
      <c r="T172" s="1776"/>
    </row>
    <row r="173" spans="1:20">
      <c r="A173" s="49">
        <v>2007.08</v>
      </c>
      <c r="B173" s="1751">
        <v>118.65309898422475</v>
      </c>
      <c r="C173" s="1344">
        <v>115.7630780922963</v>
      </c>
      <c r="D173" s="946"/>
      <c r="E173" s="947"/>
      <c r="F173" s="1767"/>
      <c r="G173" s="946"/>
      <c r="H173" s="1767"/>
      <c r="I173" s="946"/>
      <c r="J173" s="1767"/>
      <c r="K173" s="946"/>
      <c r="L173" s="1767"/>
      <c r="M173" s="946"/>
      <c r="N173" s="1767"/>
      <c r="O173" s="946"/>
      <c r="P173" s="1767"/>
      <c r="Q173" s="944"/>
      <c r="R173" s="1581"/>
      <c r="S173" s="944"/>
      <c r="T173" s="1776"/>
    </row>
    <row r="174" spans="1:20">
      <c r="A174" s="49">
        <v>2007.09</v>
      </c>
      <c r="B174" s="1751">
        <v>118.27031367927957</v>
      </c>
      <c r="C174" s="1344">
        <v>116.35766812000749</v>
      </c>
      <c r="D174" s="946"/>
      <c r="E174" s="947"/>
      <c r="F174" s="1767"/>
      <c r="G174" s="946"/>
      <c r="H174" s="1767"/>
      <c r="I174" s="946"/>
      <c r="J174" s="1767"/>
      <c r="K174" s="946"/>
      <c r="L174" s="1767"/>
      <c r="M174" s="946"/>
      <c r="N174" s="1767"/>
      <c r="O174" s="946"/>
      <c r="P174" s="1767"/>
      <c r="Q174" s="944"/>
      <c r="R174" s="1581"/>
      <c r="S174" s="944"/>
      <c r="T174" s="1776"/>
    </row>
    <row r="175" spans="1:20">
      <c r="A175" s="49">
        <v>2007.1</v>
      </c>
      <c r="B175" s="1751">
        <v>120.88773752120204</v>
      </c>
      <c r="C175" s="1344">
        <v>116.63036607775095</v>
      </c>
      <c r="D175" s="946"/>
      <c r="E175" s="947"/>
      <c r="F175" s="1767"/>
      <c r="G175" s="946"/>
      <c r="H175" s="1767"/>
      <c r="I175" s="946"/>
      <c r="J175" s="1767"/>
      <c r="K175" s="946"/>
      <c r="L175" s="1767"/>
      <c r="M175" s="946"/>
      <c r="N175" s="1767"/>
      <c r="O175" s="946"/>
      <c r="P175" s="1767"/>
      <c r="Q175" s="944"/>
      <c r="R175" s="1581"/>
      <c r="S175" s="944"/>
      <c r="T175" s="1776"/>
    </row>
    <row r="176" spans="1:20">
      <c r="A176" s="49">
        <v>2007.11</v>
      </c>
      <c r="B176" s="1751">
        <v>121.29121392371182</v>
      </c>
      <c r="C176" s="1344">
        <v>118.10035367784388</v>
      </c>
      <c r="D176" s="946"/>
      <c r="E176" s="947"/>
      <c r="F176" s="1767"/>
      <c r="G176" s="946"/>
      <c r="H176" s="1767"/>
      <c r="I176" s="946"/>
      <c r="J176" s="1767"/>
      <c r="K176" s="946"/>
      <c r="L176" s="1767"/>
      <c r="M176" s="946"/>
      <c r="N176" s="1767"/>
      <c r="O176" s="946"/>
      <c r="P176" s="1767"/>
      <c r="Q176" s="944"/>
      <c r="R176" s="1581"/>
      <c r="S176" s="944"/>
      <c r="T176" s="1776"/>
    </row>
    <row r="177" spans="1:20">
      <c r="A177" s="49">
        <v>2007.12</v>
      </c>
      <c r="B177" s="1751">
        <v>116.02532959351997</v>
      </c>
      <c r="C177" s="1344">
        <v>117.90888001750777</v>
      </c>
      <c r="D177" s="946"/>
      <c r="E177" s="947"/>
      <c r="F177" s="1767"/>
      <c r="G177" s="946"/>
      <c r="H177" s="1767"/>
      <c r="I177" s="946"/>
      <c r="J177" s="1767"/>
      <c r="K177" s="946"/>
      <c r="L177" s="1767"/>
      <c r="M177" s="946"/>
      <c r="N177" s="1767"/>
      <c r="O177" s="946"/>
      <c r="P177" s="1767"/>
      <c r="Q177" s="944"/>
      <c r="R177" s="1581"/>
      <c r="S177" s="944"/>
      <c r="T177" s="1776"/>
    </row>
    <row r="178" spans="1:20">
      <c r="A178" s="49">
        <v>2008.01</v>
      </c>
      <c r="B178" s="1751">
        <v>107.65578062863743</v>
      </c>
      <c r="C178" s="1344">
        <v>118.25198885411235</v>
      </c>
      <c r="D178" s="946"/>
      <c r="E178" s="947"/>
      <c r="F178" s="1767"/>
      <c r="G178" s="946"/>
      <c r="H178" s="1767"/>
      <c r="I178" s="946"/>
      <c r="J178" s="1767"/>
      <c r="K178" s="946"/>
      <c r="L178" s="1767"/>
      <c r="M178" s="946"/>
      <c r="N178" s="1767"/>
      <c r="O178" s="946"/>
      <c r="P178" s="1767"/>
      <c r="Q178" s="944"/>
      <c r="R178" s="1581"/>
      <c r="S178" s="944"/>
      <c r="T178" s="1776"/>
    </row>
    <row r="179" spans="1:20">
      <c r="A179" s="49">
        <v>2008.02</v>
      </c>
      <c r="B179" s="1751">
        <v>104.15898514021926</v>
      </c>
      <c r="C179" s="1344">
        <v>118.30917211350102</v>
      </c>
      <c r="D179" s="946"/>
      <c r="E179" s="947"/>
      <c r="F179" s="1767"/>
      <c r="G179" s="946"/>
      <c r="H179" s="1767"/>
      <c r="I179" s="946"/>
      <c r="J179" s="1767"/>
      <c r="K179" s="946"/>
      <c r="L179" s="1767"/>
      <c r="M179" s="946"/>
      <c r="N179" s="1767"/>
      <c r="O179" s="946"/>
      <c r="P179" s="1767"/>
      <c r="Q179" s="944"/>
      <c r="R179" s="1581"/>
      <c r="S179" s="944"/>
      <c r="T179" s="1776"/>
    </row>
    <row r="180" spans="1:20">
      <c r="A180" s="49">
        <v>2008.03</v>
      </c>
      <c r="B180" s="1751">
        <v>113.52170678820281</v>
      </c>
      <c r="C180" s="1344">
        <v>117.64065197511695</v>
      </c>
      <c r="D180" s="946"/>
      <c r="E180" s="947"/>
      <c r="F180" s="1767"/>
      <c r="G180" s="946"/>
      <c r="H180" s="1767"/>
      <c r="I180" s="946"/>
      <c r="J180" s="1767"/>
      <c r="K180" s="946"/>
      <c r="L180" s="1767"/>
      <c r="M180" s="946"/>
      <c r="N180" s="1767"/>
      <c r="O180" s="946"/>
      <c r="P180" s="1767"/>
      <c r="Q180" s="944"/>
      <c r="R180" s="1581"/>
      <c r="S180" s="944"/>
      <c r="T180" s="1776"/>
    </row>
    <row r="181" spans="1:20">
      <c r="A181" s="49">
        <v>2008.04</v>
      </c>
      <c r="B181" s="1751">
        <v>117.95994721581046</v>
      </c>
      <c r="C181" s="1344">
        <v>119.10008242704303</v>
      </c>
      <c r="D181" s="946"/>
      <c r="E181" s="947"/>
      <c r="F181" s="1767"/>
      <c r="G181" s="946"/>
      <c r="H181" s="1767"/>
      <c r="I181" s="946"/>
      <c r="J181" s="1767"/>
      <c r="K181" s="946"/>
      <c r="L181" s="1767"/>
      <c r="M181" s="946"/>
      <c r="N181" s="1767"/>
      <c r="O181" s="946"/>
      <c r="P181" s="1767"/>
      <c r="Q181" s="944"/>
      <c r="R181" s="1581"/>
      <c r="S181" s="944"/>
      <c r="T181" s="1776"/>
    </row>
    <row r="182" spans="1:20">
      <c r="A182" s="49">
        <v>2008.05</v>
      </c>
      <c r="B182" s="1751">
        <v>118.43584245979638</v>
      </c>
      <c r="C182" s="1344">
        <v>119.8779579989049</v>
      </c>
      <c r="D182" s="946"/>
      <c r="E182" s="947"/>
      <c r="F182" s="1767"/>
      <c r="G182" s="946"/>
      <c r="H182" s="1767"/>
      <c r="I182" s="946"/>
      <c r="J182" s="1767"/>
      <c r="K182" s="946"/>
      <c r="L182" s="1767"/>
      <c r="M182" s="946"/>
      <c r="N182" s="1767"/>
      <c r="O182" s="946"/>
      <c r="P182" s="1767"/>
      <c r="Q182" s="944"/>
      <c r="R182" s="1581"/>
      <c r="S182" s="944"/>
      <c r="T182" s="1776"/>
    </row>
    <row r="183" spans="1:20">
      <c r="A183" s="49">
        <v>2008.06</v>
      </c>
      <c r="B183" s="1751">
        <v>110.49046099498823</v>
      </c>
      <c r="C183" s="1344">
        <v>120.26404205876464</v>
      </c>
      <c r="D183" s="946"/>
      <c r="E183" s="947"/>
      <c r="F183" s="1767"/>
      <c r="G183" s="946"/>
      <c r="H183" s="1767"/>
      <c r="I183" s="946"/>
      <c r="J183" s="1767"/>
      <c r="K183" s="946"/>
      <c r="L183" s="1767"/>
      <c r="M183" s="946"/>
      <c r="N183" s="1767"/>
      <c r="O183" s="946"/>
      <c r="P183" s="1767"/>
      <c r="Q183" s="944"/>
      <c r="R183" s="1581"/>
      <c r="S183" s="944"/>
      <c r="T183" s="1776"/>
    </row>
    <row r="184" spans="1:20">
      <c r="A184" s="49">
        <v>2008.07</v>
      </c>
      <c r="B184" s="1751">
        <v>118.33238697197334</v>
      </c>
      <c r="C184" s="1344">
        <v>120.62670438234321</v>
      </c>
      <c r="D184" s="946"/>
      <c r="E184" s="947"/>
      <c r="F184" s="1767"/>
      <c r="G184" s="946"/>
      <c r="H184" s="1767"/>
      <c r="I184" s="946"/>
      <c r="J184" s="1767"/>
      <c r="K184" s="946"/>
      <c r="L184" s="1767"/>
      <c r="M184" s="946"/>
      <c r="N184" s="1767"/>
      <c r="O184" s="946"/>
      <c r="P184" s="1767"/>
      <c r="Q184" s="944"/>
      <c r="R184" s="1581"/>
      <c r="S184" s="944"/>
      <c r="T184" s="1776"/>
    </row>
    <row r="185" spans="1:20">
      <c r="A185" s="49">
        <v>2008.08</v>
      </c>
      <c r="B185" s="1751">
        <v>123.32928703382534</v>
      </c>
      <c r="C185" s="1344">
        <v>121.67246158695301</v>
      </c>
      <c r="D185" s="946"/>
      <c r="E185" s="947"/>
      <c r="F185" s="1767"/>
      <c r="G185" s="946"/>
      <c r="H185" s="1767"/>
      <c r="I185" s="946"/>
      <c r="J185" s="1767"/>
      <c r="K185" s="946"/>
      <c r="L185" s="1767"/>
      <c r="M185" s="946"/>
      <c r="N185" s="1767"/>
      <c r="O185" s="946"/>
      <c r="P185" s="1767"/>
      <c r="Q185" s="944"/>
      <c r="R185" s="1581"/>
      <c r="S185" s="944"/>
      <c r="T185" s="1776"/>
    </row>
    <row r="186" spans="1:20">
      <c r="A186" s="49">
        <v>2008.09</v>
      </c>
      <c r="B186" s="1751">
        <v>125.25355910733356</v>
      </c>
      <c r="C186" s="1344">
        <v>120.80380383522389</v>
      </c>
      <c r="D186" s="946"/>
      <c r="E186" s="947"/>
      <c r="F186" s="1767"/>
      <c r="G186" s="946"/>
      <c r="H186" s="1767"/>
      <c r="I186" s="946"/>
      <c r="J186" s="1767"/>
      <c r="K186" s="946"/>
      <c r="L186" s="1767"/>
      <c r="M186" s="946"/>
      <c r="N186" s="1767"/>
      <c r="O186" s="946"/>
      <c r="P186" s="1767"/>
      <c r="Q186" s="944"/>
      <c r="R186" s="1581"/>
      <c r="S186" s="944"/>
      <c r="T186" s="1776"/>
    </row>
    <row r="187" spans="1:20">
      <c r="A187" s="49">
        <v>2008.1</v>
      </c>
      <c r="B187" s="1751">
        <v>124.001747704675</v>
      </c>
      <c r="C187" s="1344">
        <v>119.52367560960481</v>
      </c>
      <c r="D187" s="946"/>
      <c r="E187" s="947"/>
      <c r="F187" s="1767"/>
      <c r="G187" s="946"/>
      <c r="H187" s="1767"/>
      <c r="I187" s="946"/>
      <c r="J187" s="1767"/>
      <c r="K187" s="946"/>
      <c r="L187" s="1767"/>
      <c r="M187" s="946"/>
      <c r="N187" s="1767"/>
      <c r="O187" s="946"/>
      <c r="P187" s="1767"/>
      <c r="Q187" s="944"/>
      <c r="R187" s="1581"/>
      <c r="S187" s="944"/>
      <c r="T187" s="1776"/>
    </row>
    <row r="188" spans="1:20">
      <c r="A188" s="49">
        <v>2008.11</v>
      </c>
      <c r="B188" s="1751">
        <v>120.68082654555599</v>
      </c>
      <c r="C188" s="1344">
        <v>118.44426042165458</v>
      </c>
      <c r="D188" s="946"/>
      <c r="E188" s="947"/>
      <c r="F188" s="1767"/>
      <c r="G188" s="946"/>
      <c r="H188" s="1767"/>
      <c r="I188" s="946"/>
      <c r="J188" s="1767"/>
      <c r="K188" s="946"/>
      <c r="L188" s="1767"/>
      <c r="M188" s="946"/>
      <c r="N188" s="1767"/>
      <c r="O188" s="946"/>
      <c r="P188" s="1767"/>
      <c r="Q188" s="944"/>
      <c r="R188" s="1581"/>
      <c r="S188" s="944"/>
      <c r="T188" s="1776"/>
    </row>
    <row r="189" spans="1:20">
      <c r="A189" s="49">
        <v>2008.12</v>
      </c>
      <c r="B189" s="1751">
        <v>118.12547599632732</v>
      </c>
      <c r="C189" s="1344">
        <v>116.47621093377123</v>
      </c>
      <c r="D189" s="946"/>
      <c r="E189" s="947"/>
      <c r="F189" s="1767"/>
      <c r="G189" s="946"/>
      <c r="H189" s="1767"/>
      <c r="I189" s="946"/>
      <c r="J189" s="1767"/>
      <c r="K189" s="946"/>
      <c r="L189" s="1767"/>
      <c r="M189" s="946"/>
      <c r="N189" s="1767"/>
      <c r="O189" s="946"/>
      <c r="P189" s="1767"/>
      <c r="Q189" s="944"/>
      <c r="R189" s="1581"/>
      <c r="S189" s="944"/>
      <c r="T189" s="1776"/>
    </row>
    <row r="190" spans="1:20">
      <c r="A190" s="49">
        <v>2009.01</v>
      </c>
      <c r="B190" s="1751">
        <v>102.0795298349765</v>
      </c>
      <c r="C190" s="1344">
        <v>116.65854703641835</v>
      </c>
      <c r="D190" s="946"/>
      <c r="E190" s="947"/>
      <c r="F190" s="1767"/>
      <c r="G190" s="946"/>
      <c r="H190" s="1767"/>
      <c r="I190" s="946"/>
      <c r="J190" s="1767"/>
      <c r="K190" s="946"/>
      <c r="L190" s="1767"/>
      <c r="M190" s="946"/>
      <c r="N190" s="1767"/>
      <c r="O190" s="946"/>
      <c r="P190" s="1767"/>
      <c r="Q190" s="944"/>
      <c r="R190" s="1581"/>
      <c r="S190" s="944"/>
      <c r="T190" s="1776"/>
    </row>
    <row r="191" spans="1:20">
      <c r="A191" s="49">
        <v>2009.02</v>
      </c>
      <c r="B191" s="1751">
        <v>102.13125757888801</v>
      </c>
      <c r="C191" s="1344">
        <v>114.93814750765863</v>
      </c>
      <c r="D191" s="946"/>
      <c r="E191" s="947"/>
      <c r="F191" s="1767"/>
      <c r="G191" s="946"/>
      <c r="H191" s="1767"/>
      <c r="I191" s="946"/>
      <c r="J191" s="1767"/>
      <c r="K191" s="946"/>
      <c r="L191" s="1767"/>
      <c r="M191" s="946"/>
      <c r="N191" s="1767"/>
      <c r="O191" s="946"/>
      <c r="P191" s="1767"/>
      <c r="Q191" s="944"/>
      <c r="R191" s="1581"/>
      <c r="S191" s="944"/>
      <c r="T191" s="1776"/>
    </row>
    <row r="192" spans="1:20">
      <c r="A192" s="49">
        <v>2009.03</v>
      </c>
      <c r="B192" s="1751">
        <v>111.94918337329287</v>
      </c>
      <c r="C192" s="1344">
        <v>115.64660432797652</v>
      </c>
      <c r="D192" s="946"/>
      <c r="E192" s="947"/>
      <c r="F192" s="1767"/>
      <c r="G192" s="946"/>
      <c r="H192" s="1767"/>
      <c r="I192" s="946"/>
      <c r="J192" s="1767"/>
      <c r="K192" s="946"/>
      <c r="L192" s="1767"/>
      <c r="M192" s="946"/>
      <c r="N192" s="1767"/>
      <c r="O192" s="946"/>
      <c r="P192" s="1767"/>
      <c r="Q192" s="944"/>
      <c r="R192" s="1581"/>
      <c r="S192" s="944"/>
      <c r="T192" s="1776"/>
    </row>
    <row r="193" spans="1:20">
      <c r="A193" s="49">
        <v>2009.04</v>
      </c>
      <c r="B193" s="1751">
        <v>115.84945526422084</v>
      </c>
      <c r="C193" s="1344">
        <v>116.44683629937693</v>
      </c>
      <c r="D193" s="946"/>
      <c r="E193" s="947"/>
      <c r="F193" s="1767"/>
      <c r="G193" s="946"/>
      <c r="H193" s="1767"/>
      <c r="I193" s="946"/>
      <c r="J193" s="1767"/>
      <c r="K193" s="946"/>
      <c r="L193" s="1767"/>
      <c r="M193" s="946"/>
      <c r="N193" s="1767"/>
      <c r="O193" s="946"/>
      <c r="P193" s="1767"/>
      <c r="Q193" s="944"/>
      <c r="R193" s="1581"/>
      <c r="S193" s="944"/>
      <c r="T193" s="1776"/>
    </row>
    <row r="194" spans="1:20">
      <c r="A194" s="49">
        <v>2009.05</v>
      </c>
      <c r="B194" s="1751">
        <v>115.84945526422084</v>
      </c>
      <c r="C194" s="1344">
        <v>117.39741872486817</v>
      </c>
      <c r="D194" s="946"/>
      <c r="E194" s="947"/>
      <c r="F194" s="1767"/>
      <c r="G194" s="946"/>
      <c r="H194" s="1767"/>
      <c r="I194" s="946"/>
      <c r="J194" s="1767"/>
      <c r="K194" s="946"/>
      <c r="L194" s="1767"/>
      <c r="M194" s="946"/>
      <c r="N194" s="1767"/>
      <c r="O194" s="946"/>
      <c r="P194" s="1767"/>
      <c r="Q194" s="944"/>
      <c r="R194" s="1581"/>
      <c r="S194" s="944"/>
      <c r="T194" s="1776"/>
    </row>
    <row r="195" spans="1:20">
      <c r="A195" s="49">
        <v>2009.06</v>
      </c>
      <c r="B195" s="1751">
        <v>110.66633532428739</v>
      </c>
      <c r="C195" s="1344">
        <v>117.72511162298088</v>
      </c>
      <c r="D195" s="946"/>
      <c r="E195" s="947"/>
      <c r="F195" s="1767"/>
      <c r="G195" s="946"/>
      <c r="H195" s="1767"/>
      <c r="I195" s="946"/>
      <c r="J195" s="1767"/>
      <c r="K195" s="946"/>
      <c r="L195" s="1767"/>
      <c r="M195" s="946"/>
      <c r="N195" s="1767"/>
      <c r="O195" s="946"/>
      <c r="P195" s="1767"/>
      <c r="Q195" s="944"/>
      <c r="R195" s="1581"/>
      <c r="S195" s="944"/>
      <c r="T195" s="1776"/>
    </row>
    <row r="196" spans="1:20">
      <c r="A196" s="49">
        <v>2009.07</v>
      </c>
      <c r="B196" s="1751">
        <v>115.89083745935004</v>
      </c>
      <c r="C196" s="1344">
        <v>119.14382637922029</v>
      </c>
      <c r="D196" s="946"/>
      <c r="E196" s="947"/>
      <c r="F196" s="1767"/>
      <c r="G196" s="946"/>
      <c r="H196" s="1767"/>
      <c r="I196" s="946"/>
      <c r="J196" s="1767"/>
      <c r="K196" s="946"/>
      <c r="L196" s="1767"/>
      <c r="M196" s="946"/>
      <c r="N196" s="1767"/>
      <c r="O196" s="946"/>
      <c r="P196" s="1767"/>
      <c r="Q196" s="944"/>
      <c r="R196" s="1581"/>
      <c r="S196" s="944"/>
      <c r="T196" s="1776"/>
    </row>
    <row r="197" spans="1:20">
      <c r="A197" s="49">
        <v>2009.08</v>
      </c>
      <c r="B197" s="1751">
        <v>121.08430294806578</v>
      </c>
      <c r="C197" s="1344">
        <v>119.85183517577777</v>
      </c>
      <c r="D197" s="946"/>
      <c r="E197" s="947"/>
      <c r="F197" s="1767"/>
      <c r="G197" s="946"/>
      <c r="H197" s="1767"/>
      <c r="I197" s="946"/>
      <c r="J197" s="1767"/>
      <c r="K197" s="946"/>
      <c r="L197" s="1767"/>
      <c r="M197" s="946"/>
      <c r="N197" s="1767"/>
      <c r="O197" s="946"/>
      <c r="P197" s="1767"/>
      <c r="Q197" s="944"/>
      <c r="R197" s="1581"/>
      <c r="S197" s="944"/>
      <c r="T197" s="1776"/>
    </row>
    <row r="198" spans="1:20">
      <c r="A198" s="49">
        <v>2009.09</v>
      </c>
      <c r="B198" s="1751">
        <v>124.97422929021143</v>
      </c>
      <c r="C198" s="1344">
        <v>120.27588954571326</v>
      </c>
      <c r="D198" s="946"/>
      <c r="E198" s="947"/>
      <c r="F198" s="1767"/>
      <c r="G198" s="946"/>
      <c r="H198" s="1767"/>
      <c r="I198" s="946"/>
      <c r="J198" s="1767"/>
      <c r="K198" s="946"/>
      <c r="L198" s="1767"/>
      <c r="M198" s="946"/>
      <c r="N198" s="1767"/>
      <c r="O198" s="946"/>
      <c r="P198" s="1767"/>
      <c r="Q198" s="944"/>
      <c r="R198" s="1581"/>
      <c r="S198" s="944"/>
      <c r="T198" s="1776"/>
    </row>
    <row r="199" spans="1:20">
      <c r="A199" s="49">
        <v>2009.1</v>
      </c>
      <c r="B199" s="1751">
        <v>125.62599886349648</v>
      </c>
      <c r="C199" s="1344">
        <v>122.07553528626947</v>
      </c>
      <c r="D199" s="946"/>
      <c r="E199" s="947"/>
      <c r="F199" s="1767"/>
      <c r="G199" s="946"/>
      <c r="H199" s="1767"/>
      <c r="I199" s="946"/>
      <c r="J199" s="1767"/>
      <c r="K199" s="946"/>
      <c r="L199" s="1767"/>
      <c r="M199" s="946"/>
      <c r="N199" s="1767"/>
      <c r="O199" s="946"/>
      <c r="P199" s="1767"/>
      <c r="Q199" s="944"/>
      <c r="R199" s="1581"/>
      <c r="S199" s="944"/>
      <c r="T199" s="1776"/>
    </row>
    <row r="200" spans="1:20">
      <c r="A200" s="49">
        <v>2009.11</v>
      </c>
      <c r="B200" s="1751">
        <v>125.60530776593187</v>
      </c>
      <c r="C200" s="1344">
        <v>121.58065379451038</v>
      </c>
      <c r="D200" s="946"/>
      <c r="E200" s="947"/>
      <c r="F200" s="1767"/>
      <c r="G200" s="946"/>
      <c r="H200" s="1767"/>
      <c r="I200" s="946"/>
      <c r="J200" s="1767"/>
      <c r="K200" s="946"/>
      <c r="L200" s="1767"/>
      <c r="M200" s="946"/>
      <c r="N200" s="1767"/>
      <c r="O200" s="946"/>
      <c r="P200" s="1767"/>
      <c r="Q200" s="944"/>
      <c r="R200" s="1581"/>
      <c r="S200" s="944"/>
      <c r="T200" s="1776"/>
    </row>
    <row r="201" spans="1:20">
      <c r="A201" s="49">
        <v>2009.12</v>
      </c>
      <c r="B201" s="1751">
        <v>131.11948526689898</v>
      </c>
      <c r="C201" s="1344">
        <v>123.61785902065135</v>
      </c>
      <c r="D201" s="946"/>
      <c r="E201" s="947"/>
      <c r="F201" s="1767"/>
      <c r="G201" s="946"/>
      <c r="H201" s="1767"/>
      <c r="I201" s="946"/>
      <c r="J201" s="1767"/>
      <c r="K201" s="946"/>
      <c r="L201" s="1767"/>
      <c r="M201" s="946"/>
      <c r="N201" s="1767"/>
      <c r="O201" s="946"/>
      <c r="P201" s="1767"/>
      <c r="Q201" s="944"/>
      <c r="R201" s="1581"/>
      <c r="S201" s="944"/>
      <c r="T201" s="1776"/>
    </row>
    <row r="202" spans="1:20">
      <c r="A202" s="49">
        <v>2010.01</v>
      </c>
      <c r="B202" s="1751">
        <v>107.35575971395066</v>
      </c>
      <c r="C202" s="1344">
        <v>124.37842094346436</v>
      </c>
      <c r="D202" s="946"/>
      <c r="E202" s="947"/>
      <c r="F202" s="1767"/>
      <c r="G202" s="946"/>
      <c r="H202" s="1767"/>
      <c r="I202" s="946"/>
      <c r="J202" s="1767"/>
      <c r="K202" s="946"/>
      <c r="L202" s="1767"/>
      <c r="M202" s="946"/>
      <c r="N202" s="1767"/>
      <c r="O202" s="946"/>
      <c r="P202" s="1767"/>
      <c r="Q202" s="944"/>
      <c r="R202" s="1581"/>
      <c r="S202" s="944"/>
      <c r="T202" s="1776"/>
    </row>
    <row r="203" spans="1:20">
      <c r="A203" s="49">
        <v>2010.02</v>
      </c>
      <c r="B203" s="1751">
        <v>113.35617800768597</v>
      </c>
      <c r="C203" s="1344">
        <v>126.61697193721795</v>
      </c>
      <c r="D203" s="946"/>
      <c r="E203" s="947"/>
      <c r="F203" s="1767"/>
      <c r="G203" s="946"/>
      <c r="H203" s="1767"/>
      <c r="I203" s="946"/>
      <c r="J203" s="1767"/>
      <c r="K203" s="946"/>
      <c r="L203" s="1767"/>
      <c r="M203" s="946"/>
      <c r="N203" s="1767"/>
      <c r="O203" s="946"/>
      <c r="P203" s="1767"/>
      <c r="Q203" s="944"/>
      <c r="R203" s="1581"/>
      <c r="S203" s="944"/>
      <c r="T203" s="1776"/>
    </row>
    <row r="204" spans="1:20">
      <c r="A204" s="49">
        <v>2010.03</v>
      </c>
      <c r="B204" s="1751">
        <v>123.81552782659358</v>
      </c>
      <c r="C204" s="1344">
        <v>127.15480530523485</v>
      </c>
      <c r="D204" s="946"/>
      <c r="E204" s="947"/>
      <c r="F204" s="1767"/>
      <c r="G204" s="946"/>
      <c r="H204" s="1767"/>
      <c r="I204" s="946"/>
      <c r="J204" s="1767"/>
      <c r="K204" s="946"/>
      <c r="L204" s="1767"/>
      <c r="M204" s="946"/>
      <c r="N204" s="1767"/>
      <c r="O204" s="946"/>
      <c r="P204" s="1767"/>
      <c r="Q204" s="944"/>
      <c r="R204" s="1581"/>
      <c r="S204" s="944"/>
      <c r="T204" s="1776"/>
    </row>
    <row r="205" spans="1:20">
      <c r="A205" s="49">
        <v>2010.04</v>
      </c>
      <c r="B205" s="1751">
        <v>127.6226897784808</v>
      </c>
      <c r="C205" s="1344">
        <v>127.7913211551265</v>
      </c>
      <c r="D205" s="946"/>
      <c r="E205" s="947"/>
      <c r="F205" s="1767"/>
      <c r="G205" s="946"/>
      <c r="H205" s="1767"/>
      <c r="I205" s="946"/>
      <c r="J205" s="1767"/>
      <c r="K205" s="946"/>
      <c r="L205" s="1767"/>
      <c r="M205" s="946"/>
      <c r="N205" s="1767"/>
      <c r="O205" s="946"/>
      <c r="P205" s="1767"/>
      <c r="Q205" s="944"/>
      <c r="R205" s="1581"/>
      <c r="S205" s="944"/>
      <c r="T205" s="1776"/>
    </row>
    <row r="206" spans="1:20">
      <c r="A206" s="49">
        <v>2010.05</v>
      </c>
      <c r="B206" s="1751">
        <v>127.68476307117461</v>
      </c>
      <c r="C206" s="1344">
        <v>129.0580119334748</v>
      </c>
      <c r="D206" s="946"/>
      <c r="E206" s="947"/>
      <c r="F206" s="1767"/>
      <c r="G206" s="946"/>
      <c r="H206" s="1767"/>
      <c r="I206" s="946"/>
      <c r="J206" s="1767"/>
      <c r="K206" s="946"/>
      <c r="L206" s="1767"/>
      <c r="M206" s="946"/>
      <c r="N206" s="1767"/>
      <c r="O206" s="946"/>
      <c r="P206" s="1767"/>
      <c r="Q206" s="944"/>
      <c r="R206" s="1581"/>
      <c r="S206" s="944"/>
      <c r="T206" s="1776"/>
    </row>
    <row r="207" spans="1:20">
      <c r="A207" s="49">
        <v>2010.06</v>
      </c>
      <c r="B207" s="1751">
        <v>121.47743380179324</v>
      </c>
      <c r="C207" s="1344">
        <v>129.6316827092289</v>
      </c>
      <c r="D207" s="946"/>
      <c r="E207" s="947"/>
      <c r="F207" s="1767"/>
      <c r="G207" s="946"/>
      <c r="H207" s="1767"/>
      <c r="I207" s="946"/>
      <c r="J207" s="1767"/>
      <c r="K207" s="946"/>
      <c r="L207" s="1767"/>
      <c r="M207" s="946"/>
      <c r="N207" s="1767"/>
      <c r="O207" s="946"/>
      <c r="P207" s="1767"/>
      <c r="Q207" s="944"/>
      <c r="R207" s="1581"/>
      <c r="S207" s="944"/>
      <c r="T207" s="1776"/>
    </row>
    <row r="208" spans="1:20">
      <c r="A208" s="49">
        <v>2010.07</v>
      </c>
      <c r="B208" s="1751">
        <v>124.71559057065384</v>
      </c>
      <c r="C208" s="1344">
        <v>129.86159483212381</v>
      </c>
      <c r="D208" s="946"/>
      <c r="E208" s="947"/>
      <c r="F208" s="1767"/>
      <c r="G208" s="946"/>
      <c r="H208" s="1767"/>
      <c r="I208" s="946"/>
      <c r="J208" s="1767"/>
      <c r="K208" s="946"/>
      <c r="L208" s="1767"/>
      <c r="M208" s="946"/>
      <c r="N208" s="1767"/>
      <c r="O208" s="946"/>
      <c r="P208" s="1767"/>
      <c r="Q208" s="944"/>
      <c r="R208" s="1581"/>
      <c r="S208" s="944"/>
      <c r="T208" s="1776"/>
    </row>
    <row r="209" spans="1:20">
      <c r="A209" s="49">
        <v>2010.08</v>
      </c>
      <c r="B209" s="1751">
        <v>133.28170496240014</v>
      </c>
      <c r="C209" s="1344">
        <v>132.00104938933239</v>
      </c>
      <c r="D209" s="946"/>
      <c r="E209" s="947"/>
      <c r="F209" s="1767"/>
      <c r="G209" s="946"/>
      <c r="H209" s="1767"/>
      <c r="I209" s="946"/>
      <c r="J209" s="1767"/>
      <c r="K209" s="946"/>
      <c r="L209" s="1767"/>
      <c r="M209" s="946"/>
      <c r="N209" s="1767"/>
      <c r="O209" s="946"/>
      <c r="P209" s="1767"/>
      <c r="Q209" s="944"/>
      <c r="R209" s="1581"/>
      <c r="S209" s="944"/>
      <c r="T209" s="1776"/>
    </row>
    <row r="210" spans="1:20">
      <c r="A210" s="49">
        <v>2010.09</v>
      </c>
      <c r="B210" s="1751">
        <v>137.55441660949097</v>
      </c>
      <c r="C210" s="1344">
        <v>133.26414980076876</v>
      </c>
      <c r="D210" s="946"/>
      <c r="E210" s="947"/>
      <c r="F210" s="1767"/>
      <c r="G210" s="946"/>
      <c r="H210" s="1767"/>
      <c r="I210" s="946"/>
      <c r="J210" s="1767"/>
      <c r="K210" s="946"/>
      <c r="L210" s="1767"/>
      <c r="M210" s="946"/>
      <c r="N210" s="1767"/>
      <c r="O210" s="946"/>
      <c r="P210" s="1767"/>
      <c r="Q210" s="944"/>
      <c r="R210" s="1581"/>
      <c r="S210" s="944"/>
      <c r="T210" s="1776"/>
    </row>
    <row r="211" spans="1:20">
      <c r="A211" s="49">
        <v>2010.1</v>
      </c>
      <c r="B211" s="1751">
        <v>136.11638532875097</v>
      </c>
      <c r="C211" s="1344">
        <v>133.65050135174286</v>
      </c>
      <c r="D211" s="946"/>
      <c r="E211" s="947"/>
      <c r="F211" s="1767"/>
      <c r="G211" s="946"/>
      <c r="H211" s="1767"/>
      <c r="I211" s="946"/>
      <c r="J211" s="1767"/>
      <c r="K211" s="946"/>
      <c r="L211" s="1767"/>
      <c r="M211" s="946"/>
      <c r="N211" s="1767"/>
      <c r="O211" s="946"/>
      <c r="P211" s="1767"/>
      <c r="Q211" s="944"/>
      <c r="R211" s="1581"/>
      <c r="S211" s="944"/>
      <c r="T211" s="1776"/>
    </row>
    <row r="212" spans="1:20">
      <c r="A212" s="49">
        <v>2010.11</v>
      </c>
      <c r="B212" s="1751">
        <v>141.63056282971809</v>
      </c>
      <c r="C212" s="1344">
        <v>135.97409140665604</v>
      </c>
      <c r="D212" s="946"/>
      <c r="E212" s="947"/>
      <c r="F212" s="1767"/>
      <c r="G212" s="946"/>
      <c r="H212" s="1767"/>
      <c r="I212" s="946"/>
      <c r="J212" s="1767"/>
      <c r="K212" s="946"/>
      <c r="L212" s="1767"/>
      <c r="M212" s="946"/>
      <c r="N212" s="1767"/>
      <c r="O212" s="946"/>
      <c r="P212" s="1767"/>
      <c r="Q212" s="944"/>
      <c r="R212" s="1581"/>
      <c r="S212" s="944"/>
      <c r="T212" s="1776"/>
    </row>
    <row r="213" spans="1:20">
      <c r="A213" s="49">
        <v>2010.12</v>
      </c>
      <c r="B213" s="1751">
        <v>144.96182953761942</v>
      </c>
      <c r="C213" s="1344">
        <v>136.14201710172208</v>
      </c>
      <c r="D213" s="946"/>
      <c r="E213" s="947"/>
      <c r="F213" s="1767"/>
      <c r="G213" s="946"/>
      <c r="H213" s="1767"/>
      <c r="I213" s="946"/>
      <c r="J213" s="1767"/>
      <c r="K213" s="946"/>
      <c r="L213" s="1767"/>
      <c r="M213" s="946"/>
      <c r="N213" s="1767"/>
      <c r="O213" s="946"/>
      <c r="P213" s="1767"/>
      <c r="Q213" s="944"/>
      <c r="R213" s="1581"/>
      <c r="S213" s="944"/>
      <c r="T213" s="1776"/>
    </row>
    <row r="214" spans="1:20">
      <c r="A214" s="49">
        <v>2011.01</v>
      </c>
      <c r="B214" s="1751">
        <v>118.44618800857869</v>
      </c>
      <c r="C214" s="1344">
        <v>136.83953551153817</v>
      </c>
      <c r="D214" s="946"/>
      <c r="E214" s="947"/>
      <c r="F214" s="1767"/>
      <c r="G214" s="946"/>
      <c r="H214" s="1767"/>
      <c r="I214" s="946"/>
      <c r="J214" s="1767"/>
      <c r="K214" s="946"/>
      <c r="L214" s="1767"/>
      <c r="M214" s="946"/>
      <c r="N214" s="1767"/>
      <c r="O214" s="946"/>
      <c r="P214" s="1767"/>
      <c r="Q214" s="944"/>
      <c r="R214" s="1581"/>
      <c r="S214" s="944"/>
      <c r="T214" s="1776"/>
    </row>
    <row r="215" spans="1:20">
      <c r="A215" s="49">
        <v>2011.02</v>
      </c>
      <c r="B215" s="1751">
        <v>123.51550691190681</v>
      </c>
      <c r="C215" s="1344">
        <v>137.26688819008015</v>
      </c>
      <c r="D215" s="946"/>
      <c r="E215" s="947"/>
      <c r="F215" s="1767"/>
      <c r="G215" s="946"/>
      <c r="H215" s="1767"/>
      <c r="I215" s="946"/>
      <c r="J215" s="1767"/>
      <c r="K215" s="946"/>
      <c r="L215" s="1767"/>
      <c r="M215" s="946"/>
      <c r="N215" s="1767"/>
      <c r="O215" s="946"/>
      <c r="P215" s="1767"/>
      <c r="Q215" s="944"/>
      <c r="R215" s="1581"/>
      <c r="S215" s="944"/>
      <c r="T215" s="1776"/>
    </row>
    <row r="216" spans="1:20">
      <c r="A216" s="49">
        <v>2011.03</v>
      </c>
      <c r="B216" s="1751">
        <v>134.32660538941269</v>
      </c>
      <c r="C216" s="1344">
        <v>137.98995547720813</v>
      </c>
      <c r="D216" s="946"/>
      <c r="E216" s="947"/>
      <c r="F216" s="1767"/>
      <c r="G216" s="946"/>
      <c r="H216" s="1767"/>
      <c r="I216" s="946"/>
      <c r="J216" s="1767"/>
      <c r="K216" s="946"/>
      <c r="L216" s="1767"/>
      <c r="M216" s="946"/>
      <c r="N216" s="1767"/>
      <c r="O216" s="946"/>
      <c r="P216" s="1767"/>
      <c r="Q216" s="944"/>
      <c r="R216" s="1581"/>
      <c r="S216" s="944"/>
      <c r="T216" s="1776"/>
    </row>
    <row r="217" spans="1:20">
      <c r="A217" s="49">
        <v>2011.04</v>
      </c>
      <c r="B217" s="1751">
        <v>138.11307624373532</v>
      </c>
      <c r="C217" s="1344">
        <v>138.95902125140432</v>
      </c>
      <c r="D217" s="946"/>
      <c r="E217" s="947"/>
      <c r="F217" s="1767"/>
      <c r="G217" s="946"/>
      <c r="H217" s="1767"/>
      <c r="I217" s="946"/>
      <c r="J217" s="1767"/>
      <c r="K217" s="946"/>
      <c r="L217" s="1767"/>
      <c r="M217" s="946"/>
      <c r="N217" s="1767"/>
      <c r="O217" s="946"/>
      <c r="P217" s="1767"/>
      <c r="Q217" s="944"/>
      <c r="R217" s="1581"/>
      <c r="S217" s="944"/>
      <c r="T217" s="1776"/>
    </row>
    <row r="218" spans="1:20">
      <c r="A218" s="49">
        <v>2011.05</v>
      </c>
      <c r="B218" s="1751">
        <v>139.30281435370009</v>
      </c>
      <c r="C218" s="1344">
        <v>139.89464405076214</v>
      </c>
      <c r="D218" s="946"/>
      <c r="E218" s="947"/>
      <c r="F218" s="1767"/>
      <c r="G218" s="946"/>
      <c r="H218" s="1767"/>
      <c r="I218" s="946"/>
      <c r="J218" s="1767"/>
      <c r="K218" s="946"/>
      <c r="L218" s="1767"/>
      <c r="M218" s="946"/>
      <c r="N218" s="1767"/>
      <c r="O218" s="946"/>
      <c r="P218" s="1767"/>
      <c r="Q218" s="944"/>
      <c r="R218" s="1581"/>
      <c r="S218" s="944"/>
      <c r="T218" s="1776"/>
    </row>
    <row r="219" spans="1:20">
      <c r="A219" s="49">
        <v>2011.06</v>
      </c>
      <c r="B219" s="1751">
        <v>131.38846953523884</v>
      </c>
      <c r="C219" s="1344">
        <v>140.00411761475269</v>
      </c>
      <c r="D219" s="946"/>
      <c r="E219" s="947"/>
      <c r="F219" s="1767"/>
      <c r="G219" s="946"/>
      <c r="H219" s="1767"/>
      <c r="I219" s="946"/>
      <c r="J219" s="1767"/>
      <c r="K219" s="946"/>
      <c r="L219" s="1767"/>
      <c r="M219" s="946"/>
      <c r="N219" s="1767"/>
      <c r="O219" s="946"/>
      <c r="P219" s="1767"/>
      <c r="Q219" s="944"/>
      <c r="R219" s="1581"/>
      <c r="S219" s="944"/>
      <c r="T219" s="1776"/>
    </row>
    <row r="220" spans="1:20">
      <c r="A220" s="49">
        <v>2011.07</v>
      </c>
      <c r="B220" s="1751">
        <v>133.5196525843931</v>
      </c>
      <c r="C220" s="1344">
        <v>139.99805819496794</v>
      </c>
      <c r="D220" s="946"/>
      <c r="E220" s="947"/>
      <c r="F220" s="1767"/>
      <c r="G220" s="946"/>
      <c r="H220" s="1767"/>
      <c r="I220" s="946"/>
      <c r="J220" s="1767"/>
      <c r="K220" s="946"/>
      <c r="L220" s="1767"/>
      <c r="M220" s="946"/>
      <c r="N220" s="1767"/>
      <c r="O220" s="946"/>
      <c r="P220" s="1767"/>
      <c r="Q220" s="944"/>
      <c r="R220" s="1581"/>
      <c r="S220" s="944"/>
      <c r="T220" s="1776"/>
    </row>
    <row r="221" spans="1:20">
      <c r="A221" s="49">
        <v>2011.08</v>
      </c>
      <c r="B221" s="1751">
        <v>140.18218600019577</v>
      </c>
      <c r="C221" s="1344">
        <v>138.69517510342652</v>
      </c>
      <c r="D221" s="946"/>
      <c r="E221" s="947"/>
      <c r="F221" s="1767"/>
      <c r="G221" s="946"/>
      <c r="H221" s="1767"/>
      <c r="I221" s="946"/>
      <c r="J221" s="1767"/>
      <c r="K221" s="946"/>
      <c r="L221" s="1767"/>
      <c r="M221" s="946"/>
      <c r="N221" s="1767"/>
      <c r="O221" s="946"/>
      <c r="P221" s="1767"/>
      <c r="Q221" s="944"/>
      <c r="R221" s="1581"/>
      <c r="S221" s="944"/>
      <c r="T221" s="1776"/>
    </row>
    <row r="222" spans="1:20">
      <c r="A222" s="49">
        <v>2011.09</v>
      </c>
      <c r="B222" s="1751">
        <v>144.55835313510963</v>
      </c>
      <c r="C222" s="1344">
        <v>140.87749423853504</v>
      </c>
      <c r="D222" s="946"/>
      <c r="E222" s="947"/>
      <c r="F222" s="1767"/>
      <c r="G222" s="946"/>
      <c r="H222" s="1767"/>
      <c r="I222" s="946"/>
      <c r="J222" s="1767"/>
      <c r="K222" s="946"/>
      <c r="L222" s="1767"/>
      <c r="M222" s="946"/>
      <c r="N222" s="1767"/>
      <c r="O222" s="946"/>
      <c r="P222" s="1767"/>
      <c r="Q222" s="944"/>
      <c r="R222" s="1581"/>
      <c r="S222" s="944"/>
      <c r="T222" s="1776"/>
    </row>
    <row r="223" spans="1:20">
      <c r="A223" s="49">
        <v>2011.1</v>
      </c>
      <c r="B223" s="1751">
        <v>141.72367276875883</v>
      </c>
      <c r="C223" s="1344">
        <v>139.12084220555946</v>
      </c>
      <c r="D223" s="946"/>
      <c r="E223" s="947"/>
      <c r="F223" s="1767"/>
      <c r="G223" s="946"/>
      <c r="H223" s="1767"/>
      <c r="I223" s="946"/>
      <c r="J223" s="1767"/>
      <c r="K223" s="946"/>
      <c r="L223" s="1767"/>
      <c r="M223" s="946"/>
      <c r="N223" s="1767"/>
      <c r="O223" s="946"/>
      <c r="P223" s="1767"/>
      <c r="Q223" s="944"/>
      <c r="R223" s="1581"/>
      <c r="S223" s="944"/>
      <c r="T223" s="1776"/>
    </row>
    <row r="224" spans="1:20">
      <c r="A224" s="49">
        <v>2011.11</v>
      </c>
      <c r="B224" s="1751">
        <v>147.25854136729055</v>
      </c>
      <c r="C224" s="1344">
        <v>141.30032334503807</v>
      </c>
      <c r="D224" s="946"/>
      <c r="E224" s="947"/>
      <c r="F224" s="1767"/>
      <c r="G224" s="946"/>
      <c r="H224" s="1767"/>
      <c r="I224" s="946"/>
      <c r="J224" s="1767"/>
      <c r="K224" s="946"/>
      <c r="L224" s="1767"/>
      <c r="M224" s="946"/>
      <c r="N224" s="1767"/>
      <c r="O224" s="946"/>
      <c r="P224" s="1767"/>
      <c r="Q224" s="944"/>
      <c r="R224" s="1581"/>
      <c r="S224" s="944"/>
      <c r="T224" s="1776"/>
    </row>
    <row r="225" spans="1:20">
      <c r="A225" s="49">
        <v>2011.12</v>
      </c>
      <c r="B225" s="1751">
        <v>147.99307533083402</v>
      </c>
      <c r="C225" s="1344">
        <v>142.26449654582609</v>
      </c>
      <c r="D225" s="946"/>
      <c r="E225" s="947"/>
      <c r="F225" s="1767"/>
      <c r="G225" s="946"/>
      <c r="H225" s="1767"/>
      <c r="I225" s="946"/>
      <c r="J225" s="1767"/>
      <c r="K225" s="946"/>
      <c r="L225" s="1767"/>
      <c r="M225" s="946"/>
      <c r="N225" s="1767"/>
      <c r="O225" s="946"/>
      <c r="P225" s="1767"/>
      <c r="Q225" s="944"/>
      <c r="R225" s="1581"/>
      <c r="S225" s="944"/>
      <c r="T225" s="1776"/>
    </row>
    <row r="226" spans="1:20">
      <c r="A226" s="49">
        <v>2012.01</v>
      </c>
      <c r="B226" s="1751">
        <v>121.08430294806581</v>
      </c>
      <c r="C226" s="1344">
        <v>139.30549980950468</v>
      </c>
      <c r="D226" s="946"/>
      <c r="E226" s="947"/>
      <c r="F226" s="1767"/>
      <c r="G226" s="946"/>
      <c r="H226" s="1767"/>
      <c r="I226" s="946"/>
      <c r="J226" s="1767"/>
      <c r="K226" s="946"/>
      <c r="L226" s="1767"/>
      <c r="M226" s="946"/>
      <c r="N226" s="1767"/>
      <c r="O226" s="946"/>
      <c r="P226" s="1767"/>
      <c r="Q226" s="944"/>
      <c r="R226" s="1581"/>
      <c r="S226" s="944"/>
      <c r="T226" s="1776"/>
    </row>
    <row r="227" spans="1:20">
      <c r="A227" s="49">
        <v>2012.02</v>
      </c>
      <c r="B227" s="1751">
        <v>126.89850136371967</v>
      </c>
      <c r="C227" s="1344">
        <v>139.34282813143756</v>
      </c>
      <c r="D227" s="946"/>
      <c r="E227" s="947"/>
      <c r="F227" s="1767"/>
      <c r="G227" s="946"/>
      <c r="H227" s="1767"/>
      <c r="I227" s="946"/>
      <c r="J227" s="1767"/>
      <c r="K227" s="946"/>
      <c r="L227" s="1767"/>
      <c r="M227" s="946"/>
      <c r="N227" s="1767"/>
      <c r="O227" s="946"/>
      <c r="P227" s="1767"/>
      <c r="Q227" s="944"/>
      <c r="R227" s="1581"/>
      <c r="S227" s="944"/>
      <c r="T227" s="1776"/>
    </row>
    <row r="228" spans="1:20">
      <c r="A228" s="49">
        <v>2012.03</v>
      </c>
      <c r="B228" s="1751">
        <v>137.26474124358657</v>
      </c>
      <c r="C228" s="1344">
        <v>138.34147591373107</v>
      </c>
      <c r="D228" s="946"/>
      <c r="E228" s="947"/>
      <c r="F228" s="1767"/>
      <c r="G228" s="946"/>
      <c r="H228" s="1767"/>
      <c r="I228" s="946"/>
      <c r="J228" s="1767"/>
      <c r="K228" s="946"/>
      <c r="L228" s="1767"/>
      <c r="M228" s="946"/>
      <c r="N228" s="1767"/>
      <c r="O228" s="946"/>
      <c r="P228" s="1767"/>
      <c r="Q228" s="944"/>
      <c r="R228" s="1581"/>
      <c r="S228" s="944"/>
      <c r="T228" s="1776"/>
    </row>
    <row r="229" spans="1:20">
      <c r="A229" s="49">
        <v>2012.04</v>
      </c>
      <c r="B229" s="1751">
        <v>137.43027002410341</v>
      </c>
      <c r="C229" s="1344">
        <v>138.13930903756204</v>
      </c>
      <c r="D229" s="946"/>
      <c r="E229" s="947"/>
      <c r="F229" s="1767"/>
      <c r="G229" s="946"/>
      <c r="H229" s="1767"/>
      <c r="I229" s="946"/>
      <c r="J229" s="1767"/>
      <c r="K229" s="946"/>
      <c r="L229" s="1767"/>
      <c r="M229" s="946"/>
      <c r="N229" s="1767"/>
      <c r="O229" s="946"/>
      <c r="P229" s="1767"/>
      <c r="Q229" s="944"/>
      <c r="R229" s="1581"/>
      <c r="S229" s="944"/>
      <c r="T229" s="1776"/>
    </row>
    <row r="230" spans="1:20">
      <c r="A230" s="49">
        <v>2012.05</v>
      </c>
      <c r="B230" s="1751">
        <v>132.61958984033285</v>
      </c>
      <c r="C230" s="1344">
        <v>136.35572311990455</v>
      </c>
      <c r="D230" s="946"/>
      <c r="E230" s="947"/>
      <c r="F230" s="1767"/>
      <c r="G230" s="946"/>
      <c r="H230" s="1767"/>
      <c r="I230" s="946"/>
      <c r="J230" s="1767"/>
      <c r="K230" s="946"/>
      <c r="L230" s="1767"/>
      <c r="M230" s="946"/>
      <c r="N230" s="1767"/>
      <c r="O230" s="946"/>
      <c r="P230" s="1767"/>
      <c r="Q230" s="944"/>
      <c r="R230" s="1581"/>
      <c r="S230" s="944"/>
      <c r="T230" s="1776"/>
    </row>
    <row r="231" spans="1:20">
      <c r="A231" s="49">
        <v>2012.06</v>
      </c>
      <c r="B231" s="1751">
        <v>125.22252246098672</v>
      </c>
      <c r="C231" s="1344">
        <v>134.32519154005988</v>
      </c>
      <c r="D231" s="946"/>
      <c r="E231" s="947"/>
      <c r="F231" s="1767"/>
      <c r="G231" s="946"/>
      <c r="H231" s="1767"/>
      <c r="I231" s="946"/>
      <c r="J231" s="1767"/>
      <c r="K231" s="946"/>
      <c r="L231" s="1767"/>
      <c r="M231" s="946"/>
      <c r="N231" s="1767"/>
      <c r="O231" s="946"/>
      <c r="P231" s="1767"/>
      <c r="Q231" s="944"/>
      <c r="R231" s="1581"/>
      <c r="S231" s="944"/>
      <c r="T231" s="1776"/>
    </row>
    <row r="232" spans="1:20">
      <c r="A232" s="49">
        <v>2012.07</v>
      </c>
      <c r="B232" s="1751">
        <v>130.70566331560693</v>
      </c>
      <c r="C232" s="1344">
        <v>135.77714933832135</v>
      </c>
      <c r="D232" s="946"/>
      <c r="E232" s="947"/>
      <c r="F232" s="1767"/>
      <c r="G232" s="946"/>
      <c r="H232" s="1767"/>
      <c r="I232" s="946"/>
      <c r="J232" s="1767"/>
      <c r="K232" s="946"/>
      <c r="L232" s="1767"/>
      <c r="M232" s="946"/>
      <c r="N232" s="1767"/>
      <c r="O232" s="946"/>
      <c r="P232" s="1767"/>
      <c r="Q232" s="944"/>
      <c r="R232" s="1581"/>
      <c r="S232" s="944"/>
      <c r="T232" s="1776"/>
    </row>
    <row r="233" spans="1:20">
      <c r="A233" s="49">
        <v>2012.08</v>
      </c>
      <c r="B233" s="1751">
        <v>138.8269191097142</v>
      </c>
      <c r="C233" s="1344">
        <v>137.29591796113598</v>
      </c>
      <c r="D233" s="946"/>
      <c r="E233" s="947"/>
      <c r="F233" s="1767"/>
      <c r="G233" s="946"/>
      <c r="H233" s="1767"/>
      <c r="I233" s="946"/>
      <c r="J233" s="1767"/>
      <c r="K233" s="946"/>
      <c r="L233" s="1767"/>
      <c r="M233" s="946"/>
      <c r="N233" s="1767"/>
      <c r="O233" s="946"/>
      <c r="P233" s="1767"/>
      <c r="Q233" s="944"/>
      <c r="R233" s="1581"/>
      <c r="S233" s="944"/>
      <c r="T233" s="1776"/>
    </row>
    <row r="234" spans="1:20">
      <c r="A234" s="49">
        <v>2012.09</v>
      </c>
      <c r="B234" s="1751">
        <v>138.20618618277607</v>
      </c>
      <c r="C234" s="1344">
        <v>136.99313343621864</v>
      </c>
      <c r="D234" s="946"/>
      <c r="E234" s="947"/>
      <c r="F234" s="1767"/>
      <c r="G234" s="946"/>
      <c r="H234" s="1767"/>
      <c r="I234" s="946"/>
      <c r="J234" s="1767"/>
      <c r="K234" s="946"/>
      <c r="L234" s="1767"/>
      <c r="M234" s="946"/>
      <c r="N234" s="1767"/>
      <c r="O234" s="946"/>
      <c r="P234" s="1767"/>
      <c r="Q234" s="944"/>
      <c r="R234" s="1581"/>
      <c r="S234" s="944"/>
      <c r="T234" s="1776"/>
    </row>
    <row r="235" spans="1:20">
      <c r="A235" s="49">
        <v>2012.1</v>
      </c>
      <c r="B235" s="1751">
        <v>144.72388191562646</v>
      </c>
      <c r="C235" s="1344">
        <v>139.60640978763271</v>
      </c>
      <c r="D235" s="946"/>
      <c r="E235" s="947"/>
      <c r="F235" s="1767"/>
      <c r="G235" s="946"/>
      <c r="H235" s="1767"/>
      <c r="I235" s="946"/>
      <c r="J235" s="1767"/>
      <c r="K235" s="946"/>
      <c r="L235" s="1767"/>
      <c r="M235" s="946"/>
      <c r="N235" s="1767"/>
      <c r="O235" s="946"/>
      <c r="P235" s="1767"/>
      <c r="Q235" s="944"/>
      <c r="R235" s="1581"/>
      <c r="S235" s="944"/>
      <c r="T235" s="1776"/>
    </row>
    <row r="236" spans="1:20">
      <c r="A236" s="49">
        <v>2012.11</v>
      </c>
      <c r="B236" s="1751">
        <v>145.11701276935398</v>
      </c>
      <c r="C236" s="1344">
        <v>139.2705296761479</v>
      </c>
      <c r="D236" s="946"/>
      <c r="E236" s="947"/>
      <c r="F236" s="1767"/>
      <c r="G236" s="946"/>
      <c r="H236" s="1767"/>
      <c r="I236" s="946"/>
      <c r="J236" s="1767"/>
      <c r="K236" s="946"/>
      <c r="L236" s="1767"/>
      <c r="M236" s="946"/>
      <c r="N236" s="1767"/>
      <c r="O236" s="946"/>
      <c r="P236" s="1767"/>
      <c r="Q236" s="944"/>
      <c r="R236" s="1581"/>
      <c r="S236" s="944"/>
      <c r="T236" s="1776"/>
    </row>
    <row r="237" spans="1:20">
      <c r="A237" s="49">
        <v>2012.12</v>
      </c>
      <c r="B237" s="1751">
        <v>143.17204959828112</v>
      </c>
      <c r="C237" s="1344">
        <v>138.80738115017809</v>
      </c>
      <c r="D237" s="946"/>
      <c r="E237" s="947"/>
      <c r="F237" s="1767"/>
      <c r="G237" s="946"/>
      <c r="H237" s="1767"/>
      <c r="I237" s="946"/>
      <c r="J237" s="1767"/>
      <c r="K237" s="946"/>
      <c r="L237" s="1767"/>
      <c r="M237" s="946"/>
      <c r="N237" s="1767"/>
      <c r="O237" s="946"/>
      <c r="P237" s="1767"/>
      <c r="Q237" s="944"/>
      <c r="R237" s="1581"/>
      <c r="S237" s="944"/>
      <c r="T237" s="1776"/>
    </row>
    <row r="238" spans="1:20">
      <c r="A238" s="49">
        <v>2013.01</v>
      </c>
      <c r="B238" s="1751">
        <v>121.27052282614721</v>
      </c>
      <c r="C238" s="1344">
        <v>138.61831742236271</v>
      </c>
      <c r="D238" s="946"/>
      <c r="E238" s="947"/>
      <c r="F238" s="1767"/>
      <c r="G238" s="946"/>
      <c r="H238" s="1767"/>
      <c r="I238" s="946"/>
      <c r="J238" s="1767"/>
      <c r="K238" s="946"/>
      <c r="L238" s="1767"/>
      <c r="M238" s="946"/>
      <c r="N238" s="1767"/>
      <c r="O238" s="946"/>
      <c r="P238" s="1767"/>
      <c r="Q238" s="944"/>
      <c r="R238" s="1581"/>
      <c r="S238" s="944"/>
      <c r="T238" s="1776"/>
    </row>
    <row r="239" spans="1:20">
      <c r="A239" s="49">
        <v>2013.02</v>
      </c>
      <c r="B239" s="1751">
        <v>121.37397831397023</v>
      </c>
      <c r="C239" s="1344">
        <v>139.54162222606121</v>
      </c>
      <c r="D239" s="946"/>
      <c r="E239" s="947"/>
      <c r="F239" s="1767"/>
      <c r="G239" s="946"/>
      <c r="H239" s="1767"/>
      <c r="I239" s="946"/>
      <c r="J239" s="1767"/>
      <c r="K239" s="946"/>
      <c r="L239" s="1767"/>
      <c r="M239" s="946"/>
      <c r="N239" s="1767"/>
      <c r="O239" s="946"/>
      <c r="P239" s="1767"/>
      <c r="Q239" s="944"/>
      <c r="R239" s="1581"/>
      <c r="S239" s="944"/>
      <c r="T239" s="1776"/>
    </row>
    <row r="240" spans="1:20">
      <c r="A240" s="49">
        <v>2013.03</v>
      </c>
      <c r="B240" s="1751">
        <v>137.5854532558379</v>
      </c>
      <c r="C240" s="1344">
        <v>139.6587645604549</v>
      </c>
      <c r="D240" s="946"/>
      <c r="E240" s="947"/>
      <c r="F240" s="1767"/>
      <c r="G240" s="946"/>
      <c r="H240" s="1767"/>
      <c r="I240" s="946"/>
      <c r="J240" s="1767"/>
      <c r="K240" s="946"/>
      <c r="L240" s="1767"/>
      <c r="M240" s="946"/>
      <c r="N240" s="1767"/>
      <c r="O240" s="946"/>
      <c r="P240" s="1767"/>
      <c r="Q240" s="944"/>
      <c r="R240" s="1581"/>
      <c r="S240" s="944"/>
      <c r="T240" s="1776"/>
    </row>
    <row r="241" spans="1:20">
      <c r="A241" s="49">
        <v>2013.04</v>
      </c>
      <c r="B241" s="1751">
        <v>139.72698185377445</v>
      </c>
      <c r="C241" s="1344">
        <v>139.94879678984879</v>
      </c>
      <c r="D241" s="946"/>
      <c r="E241" s="947"/>
      <c r="F241" s="1767"/>
      <c r="G241" s="946"/>
      <c r="H241" s="1767"/>
      <c r="I241" s="946"/>
      <c r="J241" s="1767"/>
      <c r="K241" s="946"/>
      <c r="L241" s="1767"/>
      <c r="M241" s="946"/>
      <c r="N241" s="1767"/>
      <c r="O241" s="946"/>
      <c r="P241" s="1767"/>
      <c r="Q241" s="944"/>
      <c r="R241" s="1581"/>
      <c r="S241" s="944"/>
      <c r="T241" s="1776"/>
    </row>
    <row r="242" spans="1:20">
      <c r="A242" s="49">
        <v>2013.05</v>
      </c>
      <c r="B242" s="1751">
        <v>139.47868868299918</v>
      </c>
      <c r="C242" s="1344">
        <v>139.9597710942196</v>
      </c>
      <c r="D242" s="946"/>
      <c r="E242" s="947"/>
      <c r="F242" s="1767"/>
      <c r="G242" s="946"/>
      <c r="H242" s="1767"/>
      <c r="I242" s="946"/>
      <c r="J242" s="1767"/>
      <c r="K242" s="946"/>
      <c r="L242" s="1767"/>
      <c r="M242" s="946"/>
      <c r="N242" s="1767"/>
      <c r="O242" s="946"/>
      <c r="P242" s="1767"/>
      <c r="Q242" s="944"/>
      <c r="R242" s="1581"/>
      <c r="S242" s="944"/>
      <c r="T242" s="1776"/>
    </row>
    <row r="243" spans="1:20">
      <c r="A243" s="49">
        <v>2013.06</v>
      </c>
      <c r="B243" s="1751">
        <v>130.01251154719262</v>
      </c>
      <c r="C243" s="1344">
        <v>138.85036943187242</v>
      </c>
      <c r="D243" s="946"/>
      <c r="E243" s="947"/>
      <c r="F243" s="1767"/>
      <c r="G243" s="946"/>
      <c r="H243" s="1767"/>
      <c r="I243" s="946"/>
      <c r="J243" s="1767"/>
      <c r="K243" s="946"/>
      <c r="L243" s="1767"/>
      <c r="M243" s="946"/>
      <c r="N243" s="1767"/>
      <c r="O243" s="946"/>
      <c r="P243" s="1767"/>
      <c r="Q243" s="944"/>
      <c r="R243" s="1581"/>
      <c r="S243" s="944"/>
      <c r="T243" s="1776"/>
    </row>
    <row r="244" spans="1:20">
      <c r="A244" s="49">
        <v>2013.07</v>
      </c>
      <c r="B244" s="1751">
        <v>134.38867868210647</v>
      </c>
      <c r="C244" s="1344">
        <v>137.58724898830346</v>
      </c>
      <c r="D244" s="946"/>
      <c r="E244" s="947"/>
      <c r="F244" s="1767"/>
      <c r="G244" s="946"/>
      <c r="H244" s="1767"/>
      <c r="I244" s="946"/>
      <c r="J244" s="1767"/>
      <c r="K244" s="946"/>
      <c r="L244" s="1767"/>
      <c r="M244" s="946"/>
      <c r="N244" s="1767"/>
      <c r="O244" s="946"/>
      <c r="P244" s="1767"/>
      <c r="Q244" s="944"/>
      <c r="R244" s="1581"/>
      <c r="S244" s="944"/>
      <c r="T244" s="1776"/>
    </row>
    <row r="245" spans="1:20">
      <c r="A245" s="49">
        <v>2013.08</v>
      </c>
      <c r="B245" s="1751">
        <v>138.20618618277601</v>
      </c>
      <c r="C245" s="1344">
        <v>137.55226406217324</v>
      </c>
      <c r="D245" s="946"/>
      <c r="E245" s="947"/>
      <c r="F245" s="1767"/>
      <c r="G245" s="946"/>
      <c r="H245" s="1767"/>
      <c r="I245" s="946"/>
      <c r="J245" s="1767"/>
      <c r="K245" s="946"/>
      <c r="L245" s="1767"/>
      <c r="M245" s="946"/>
      <c r="N245" s="1767"/>
      <c r="O245" s="946"/>
      <c r="P245" s="1767"/>
      <c r="Q245" s="944"/>
      <c r="R245" s="1581"/>
      <c r="S245" s="944"/>
      <c r="T245" s="1776"/>
    </row>
    <row r="246" spans="1:20">
      <c r="A246" s="49">
        <v>2013.09</v>
      </c>
      <c r="B246" s="1751">
        <v>137.95789301200074</v>
      </c>
      <c r="C246" s="1344">
        <v>136.49927128956341</v>
      </c>
      <c r="D246" s="946"/>
      <c r="E246" s="947"/>
      <c r="F246" s="1767"/>
      <c r="G246" s="946"/>
      <c r="H246" s="1767"/>
      <c r="I246" s="946"/>
      <c r="J246" s="1767"/>
      <c r="K246" s="946"/>
      <c r="L246" s="1767"/>
      <c r="M246" s="946"/>
      <c r="N246" s="1767"/>
      <c r="O246" s="946"/>
      <c r="P246" s="1767"/>
      <c r="Q246" s="944"/>
      <c r="R246" s="1581"/>
      <c r="S246" s="944"/>
      <c r="T246" s="1776"/>
    </row>
    <row r="247" spans="1:20">
      <c r="A247" s="49">
        <v>2013.1</v>
      </c>
      <c r="B247" s="1751">
        <v>144.05142124477678</v>
      </c>
      <c r="C247" s="1344">
        <v>135.59700970010766</v>
      </c>
      <c r="D247" s="946"/>
      <c r="E247" s="947"/>
      <c r="F247" s="1767"/>
      <c r="G247" s="946"/>
      <c r="H247" s="1767"/>
      <c r="I247" s="946"/>
      <c r="J247" s="1767"/>
      <c r="K247" s="946"/>
      <c r="L247" s="1767"/>
      <c r="M247" s="946"/>
      <c r="N247" s="1767"/>
      <c r="O247" s="946"/>
      <c r="P247" s="1767"/>
      <c r="Q247" s="944"/>
      <c r="R247" s="1581"/>
      <c r="S247" s="944"/>
      <c r="T247" s="1776"/>
    </row>
    <row r="248" spans="1:20">
      <c r="A248" s="49">
        <v>2013.11</v>
      </c>
      <c r="B248" s="1751">
        <v>138.36136941451053</v>
      </c>
      <c r="C248" s="1344">
        <v>133.92159401476039</v>
      </c>
      <c r="D248" s="946"/>
      <c r="E248" s="947"/>
      <c r="F248" s="1767"/>
      <c r="G248" s="946"/>
      <c r="H248" s="1767"/>
      <c r="I248" s="946"/>
      <c r="J248" s="1767"/>
      <c r="K248" s="946"/>
      <c r="L248" s="1767"/>
      <c r="M248" s="946"/>
      <c r="N248" s="1767"/>
      <c r="O248" s="946"/>
      <c r="P248" s="1767"/>
      <c r="Q248" s="944"/>
      <c r="R248" s="1581"/>
      <c r="S248" s="944"/>
      <c r="T248" s="1776"/>
    </row>
    <row r="249" spans="1:20">
      <c r="A249" s="49">
        <v>2013.12</v>
      </c>
      <c r="B249" s="1751">
        <v>135.38185136520747</v>
      </c>
      <c r="C249" s="1344">
        <v>134.70295742448488</v>
      </c>
      <c r="D249" s="946"/>
      <c r="E249" s="947"/>
      <c r="F249" s="1767"/>
      <c r="G249" s="946"/>
      <c r="H249" s="1767"/>
      <c r="I249" s="946"/>
      <c r="J249" s="1767"/>
      <c r="K249" s="946"/>
      <c r="L249" s="1767"/>
      <c r="M249" s="946"/>
      <c r="N249" s="1767"/>
      <c r="O249" s="946"/>
      <c r="P249" s="1767"/>
      <c r="Q249" s="944"/>
      <c r="R249" s="1581"/>
      <c r="S249" s="944"/>
      <c r="T249" s="1776"/>
    </row>
    <row r="250" spans="1:20">
      <c r="A250" s="49">
        <v>2014.01</v>
      </c>
      <c r="B250" s="1751">
        <v>118.1254759963273</v>
      </c>
      <c r="C250" s="1344">
        <v>134.67995002681982</v>
      </c>
      <c r="D250" s="946"/>
      <c r="E250" s="947"/>
      <c r="F250" s="1767"/>
      <c r="G250" s="946"/>
      <c r="H250" s="1767"/>
      <c r="I250" s="946"/>
      <c r="J250" s="1767"/>
      <c r="K250" s="946"/>
      <c r="L250" s="1767"/>
      <c r="M250" s="946"/>
      <c r="N250" s="1767"/>
      <c r="O250" s="946"/>
      <c r="P250" s="1767"/>
      <c r="Q250" s="944"/>
      <c r="R250" s="1581"/>
      <c r="S250" s="944"/>
      <c r="T250" s="1776"/>
    </row>
    <row r="251" spans="1:20">
      <c r="A251" s="49">
        <v>2014.02</v>
      </c>
      <c r="B251" s="1751">
        <v>120.71186319190286</v>
      </c>
      <c r="C251" s="1344">
        <v>135.0546907101494</v>
      </c>
      <c r="D251" s="946"/>
      <c r="E251" s="947"/>
      <c r="F251" s="1767"/>
      <c r="G251" s="946"/>
      <c r="H251" s="1767"/>
      <c r="I251" s="946"/>
      <c r="J251" s="1767"/>
      <c r="K251" s="946"/>
      <c r="L251" s="1767"/>
      <c r="M251" s="946"/>
      <c r="N251" s="1767"/>
      <c r="O251" s="946"/>
      <c r="P251" s="1767"/>
      <c r="Q251" s="944"/>
      <c r="R251" s="1581"/>
      <c r="S251" s="944"/>
      <c r="T251" s="1776"/>
    </row>
    <row r="252" spans="1:20">
      <c r="A252" s="49">
        <v>2014.03</v>
      </c>
      <c r="B252" s="1751">
        <v>129.42281526660136</v>
      </c>
      <c r="C252" s="1344">
        <v>135.73506236881829</v>
      </c>
      <c r="D252" s="946"/>
      <c r="E252" s="947"/>
      <c r="F252" s="1767"/>
      <c r="G252" s="946"/>
      <c r="H252" s="1767"/>
      <c r="I252" s="946"/>
      <c r="J252" s="1767"/>
      <c r="K252" s="946"/>
      <c r="L252" s="1767"/>
      <c r="M252" s="946"/>
      <c r="N252" s="1767"/>
      <c r="O252" s="946"/>
      <c r="P252" s="1767"/>
      <c r="Q252" s="944"/>
      <c r="R252" s="1581"/>
      <c r="S252" s="944"/>
      <c r="T252" s="1776"/>
    </row>
    <row r="253" spans="1:20">
      <c r="A253" s="49">
        <v>2014.04</v>
      </c>
      <c r="B253" s="1751">
        <v>134.07831221863739</v>
      </c>
      <c r="C253" s="1344">
        <v>134.90933729369797</v>
      </c>
      <c r="D253" s="946"/>
      <c r="E253" s="947"/>
      <c r="F253" s="1767"/>
      <c r="G253" s="946"/>
      <c r="H253" s="1767"/>
      <c r="I253" s="946"/>
      <c r="J253" s="1767"/>
      <c r="K253" s="946"/>
      <c r="L253" s="1767"/>
      <c r="M253" s="946"/>
      <c r="N253" s="1767"/>
      <c r="O253" s="946"/>
      <c r="P253" s="1767"/>
      <c r="Q253" s="944"/>
      <c r="R253" s="1581"/>
      <c r="S253" s="944"/>
      <c r="T253" s="1776"/>
    </row>
    <row r="254" spans="1:20">
      <c r="A254" s="49">
        <v>2014.05</v>
      </c>
      <c r="B254" s="1751">
        <v>132.58855319398586</v>
      </c>
      <c r="C254" s="1344">
        <v>134.35469575907339</v>
      </c>
      <c r="D254" s="946"/>
      <c r="E254" s="947"/>
      <c r="F254" s="1767"/>
      <c r="G254" s="946"/>
      <c r="H254" s="1767"/>
      <c r="I254" s="946"/>
      <c r="J254" s="1767"/>
      <c r="K254" s="946"/>
      <c r="L254" s="1767"/>
      <c r="M254" s="946"/>
      <c r="N254" s="1767"/>
      <c r="O254" s="946"/>
      <c r="P254" s="1767"/>
      <c r="Q254" s="944"/>
      <c r="R254" s="1581"/>
      <c r="S254" s="944"/>
      <c r="T254" s="1776"/>
    </row>
    <row r="255" spans="1:20">
      <c r="A255" s="49">
        <v>2014.06</v>
      </c>
      <c r="B255" s="1751">
        <v>129.5676529495536</v>
      </c>
      <c r="C255" s="1344">
        <v>135.9905957836344</v>
      </c>
      <c r="D255" s="946"/>
      <c r="E255" s="947"/>
      <c r="F255" s="1767"/>
      <c r="G255" s="946"/>
      <c r="H255" s="1767"/>
      <c r="I255" s="946"/>
      <c r="J255" s="1767"/>
      <c r="K255" s="946"/>
      <c r="L255" s="1767"/>
      <c r="M255" s="946"/>
      <c r="N255" s="1767"/>
      <c r="O255" s="946"/>
      <c r="P255" s="1767"/>
      <c r="Q255" s="944"/>
      <c r="R255" s="1581"/>
      <c r="S255" s="944"/>
      <c r="T255" s="1776"/>
    </row>
    <row r="256" spans="1:20">
      <c r="A256" s="49">
        <v>2014.07</v>
      </c>
      <c r="B256" s="1751">
        <v>133.42654264535236</v>
      </c>
      <c r="C256" s="1344">
        <v>135.44675774113819</v>
      </c>
      <c r="D256" s="946"/>
      <c r="E256" s="947"/>
      <c r="F256" s="1767"/>
      <c r="G256" s="946"/>
      <c r="H256" s="1767"/>
      <c r="I256" s="946"/>
      <c r="J256" s="1767"/>
      <c r="K256" s="946"/>
      <c r="L256" s="1767"/>
      <c r="M256" s="946"/>
      <c r="N256" s="1767"/>
      <c r="O256" s="946"/>
      <c r="P256" s="1767"/>
      <c r="Q256" s="944"/>
      <c r="R256" s="1581"/>
      <c r="S256" s="944"/>
      <c r="T256" s="1776"/>
    </row>
    <row r="257" spans="1:20">
      <c r="A257" s="49">
        <v>2014.08</v>
      </c>
      <c r="B257" s="1751">
        <v>134.1403855113312</v>
      </c>
      <c r="C257" s="1344">
        <v>134.3346366113802</v>
      </c>
      <c r="D257" s="946"/>
      <c r="E257" s="947"/>
      <c r="F257" s="1767"/>
      <c r="G257" s="946"/>
      <c r="H257" s="1767"/>
      <c r="I257" s="946"/>
      <c r="J257" s="1767"/>
      <c r="K257" s="946"/>
      <c r="L257" s="1767"/>
      <c r="M257" s="946"/>
      <c r="N257" s="1767"/>
      <c r="O257" s="946"/>
      <c r="P257" s="1767"/>
      <c r="Q257" s="944"/>
      <c r="R257" s="1581"/>
      <c r="S257" s="944"/>
      <c r="T257" s="1776"/>
    </row>
    <row r="258" spans="1:20">
      <c r="A258" s="49">
        <v>2014.09</v>
      </c>
      <c r="B258" s="1751">
        <v>135.61979898720043</v>
      </c>
      <c r="C258" s="1344">
        <v>133.95589421870966</v>
      </c>
      <c r="D258" s="946"/>
      <c r="E258" s="947"/>
      <c r="F258" s="1767"/>
      <c r="G258" s="946"/>
      <c r="H258" s="1767"/>
      <c r="I258" s="946"/>
      <c r="J258" s="1767"/>
      <c r="K258" s="946"/>
      <c r="L258" s="1767"/>
      <c r="M258" s="946"/>
      <c r="N258" s="1767"/>
      <c r="O258" s="946"/>
      <c r="P258" s="1767"/>
      <c r="Q258" s="944"/>
      <c r="R258" s="1581"/>
      <c r="S258" s="944"/>
      <c r="T258" s="1776"/>
    </row>
    <row r="259" spans="1:20">
      <c r="A259" s="49">
        <v>2014.1</v>
      </c>
      <c r="B259" s="1751">
        <v>141.40296075650741</v>
      </c>
      <c r="C259" s="1344">
        <v>133.59963269918239</v>
      </c>
      <c r="D259" s="946"/>
      <c r="E259" s="947"/>
      <c r="F259" s="1767"/>
      <c r="G259" s="946"/>
      <c r="H259" s="1767"/>
      <c r="I259" s="946"/>
      <c r="J259" s="1767"/>
      <c r="K259" s="946"/>
      <c r="L259" s="1767"/>
      <c r="M259" s="946"/>
      <c r="N259" s="1767"/>
      <c r="O259" s="946"/>
      <c r="P259" s="1767"/>
      <c r="Q259" s="944"/>
      <c r="R259" s="1581"/>
      <c r="S259" s="944"/>
      <c r="T259" s="1776"/>
    </row>
    <row r="260" spans="1:20">
      <c r="A260" s="49">
        <v>2014.11</v>
      </c>
      <c r="B260" s="1751">
        <v>135.45427020668359</v>
      </c>
      <c r="C260" s="1344">
        <v>132.07246922298893</v>
      </c>
      <c r="D260" s="946"/>
      <c r="E260" s="947"/>
      <c r="F260" s="1767"/>
      <c r="G260" s="946"/>
      <c r="H260" s="1767"/>
      <c r="I260" s="946"/>
      <c r="J260" s="1767"/>
      <c r="K260" s="946"/>
      <c r="L260" s="1767"/>
      <c r="M260" s="946"/>
      <c r="N260" s="1767"/>
      <c r="O260" s="946"/>
      <c r="P260" s="1767"/>
      <c r="Q260" s="944"/>
      <c r="R260" s="1581"/>
      <c r="S260" s="944"/>
      <c r="T260" s="1776"/>
    </row>
    <row r="261" spans="1:20">
      <c r="A261" s="49">
        <v>2014.12</v>
      </c>
      <c r="B261" s="1751">
        <v>132.21611343782297</v>
      </c>
      <c r="C261" s="1344">
        <v>132.2402657198011</v>
      </c>
      <c r="D261" s="946"/>
      <c r="E261" s="947"/>
      <c r="F261" s="1767"/>
      <c r="G261" s="946"/>
      <c r="H261" s="1767"/>
      <c r="I261" s="946"/>
      <c r="J261" s="1767"/>
      <c r="K261" s="946"/>
      <c r="L261" s="1767"/>
      <c r="M261" s="946"/>
      <c r="N261" s="1767"/>
      <c r="O261" s="946"/>
      <c r="P261" s="1767"/>
      <c r="Q261" s="944"/>
      <c r="R261" s="1581"/>
      <c r="S261" s="944"/>
      <c r="T261" s="1776"/>
    </row>
    <row r="262" spans="1:20">
      <c r="A262" s="49">
        <v>2015.01</v>
      </c>
      <c r="B262" s="1751">
        <v>115.66323538613933</v>
      </c>
      <c r="C262" s="1344">
        <v>131.83691757107886</v>
      </c>
      <c r="D262" s="946"/>
      <c r="E262" s="947"/>
      <c r="F262" s="1767"/>
      <c r="G262" s="946"/>
      <c r="H262" s="1767"/>
      <c r="I262" s="946"/>
      <c r="J262" s="1767"/>
      <c r="K262" s="946"/>
      <c r="L262" s="1767"/>
      <c r="M262" s="946"/>
      <c r="N262" s="1767"/>
      <c r="O262" s="946"/>
      <c r="P262" s="1767"/>
      <c r="Q262" s="944"/>
      <c r="R262" s="1581"/>
      <c r="S262" s="944"/>
      <c r="T262" s="1776"/>
    </row>
    <row r="263" spans="1:20">
      <c r="A263" s="49">
        <v>2015.02</v>
      </c>
      <c r="B263" s="1751">
        <v>118.14616709389189</v>
      </c>
      <c r="C263" s="1344">
        <v>132.59450148037854</v>
      </c>
      <c r="D263" s="946"/>
      <c r="E263" s="947"/>
      <c r="F263" s="1767"/>
      <c r="G263" s="946"/>
      <c r="H263" s="1767"/>
      <c r="I263" s="946"/>
      <c r="J263" s="1767"/>
      <c r="K263" s="946"/>
      <c r="L263" s="1767"/>
      <c r="M263" s="946"/>
      <c r="N263" s="1767"/>
      <c r="O263" s="946"/>
      <c r="P263" s="1767"/>
      <c r="Q263" s="944"/>
      <c r="R263" s="1581"/>
      <c r="S263" s="944"/>
      <c r="T263" s="1776"/>
    </row>
    <row r="264" spans="1:20">
      <c r="A264" s="49">
        <v>2015.03</v>
      </c>
      <c r="B264" s="1751">
        <v>127.35370551014091</v>
      </c>
      <c r="C264" s="1344">
        <v>133.51419476230654</v>
      </c>
      <c r="D264" s="946"/>
      <c r="E264" s="947"/>
      <c r="F264" s="1767"/>
      <c r="G264" s="946"/>
      <c r="H264" s="1767"/>
      <c r="I264" s="946"/>
      <c r="J264" s="1767"/>
      <c r="K264" s="946"/>
      <c r="L264" s="1767"/>
      <c r="M264" s="946"/>
      <c r="N264" s="1767"/>
      <c r="O264" s="946"/>
      <c r="P264" s="1767"/>
      <c r="Q264" s="944"/>
      <c r="R264" s="1581"/>
      <c r="S264" s="944"/>
      <c r="T264" s="1776"/>
    </row>
    <row r="265" spans="1:20">
      <c r="A265" s="49">
        <v>2015.04</v>
      </c>
      <c r="B265" s="1751">
        <v>132.00920246217694</v>
      </c>
      <c r="C265" s="1344">
        <v>133.49295446850573</v>
      </c>
      <c r="D265" s="946"/>
      <c r="E265" s="947"/>
      <c r="F265" s="1767"/>
      <c r="G265" s="946"/>
      <c r="H265" s="1767"/>
      <c r="I265" s="946"/>
      <c r="J265" s="1767"/>
      <c r="K265" s="946"/>
      <c r="L265" s="1767"/>
      <c r="M265" s="946"/>
      <c r="N265" s="1767"/>
      <c r="O265" s="946"/>
      <c r="P265" s="1767"/>
      <c r="Q265" s="944"/>
      <c r="R265" s="1581"/>
      <c r="S265" s="944"/>
      <c r="T265" s="1776"/>
    </row>
    <row r="266" spans="1:20">
      <c r="A266" s="49">
        <v>2015.05</v>
      </c>
      <c r="B266" s="1751">
        <v>131.38846953523881</v>
      </c>
      <c r="C266" s="1344">
        <v>134.20503422929022</v>
      </c>
      <c r="D266" s="946"/>
      <c r="E266" s="947"/>
      <c r="F266" s="1767"/>
      <c r="G266" s="946"/>
      <c r="H266" s="1767"/>
      <c r="I266" s="946"/>
      <c r="J266" s="1767"/>
      <c r="K266" s="946"/>
      <c r="L266" s="1767"/>
      <c r="M266" s="946"/>
      <c r="N266" s="1767"/>
      <c r="O266" s="946"/>
      <c r="P266" s="1767"/>
      <c r="Q266" s="944"/>
      <c r="R266" s="1581"/>
      <c r="S266" s="944"/>
      <c r="T266" s="1776"/>
    </row>
    <row r="267" spans="1:20">
      <c r="A267" s="49">
        <v>2015.06</v>
      </c>
      <c r="B267" s="1751">
        <v>130.76773660830068</v>
      </c>
      <c r="C267" s="1344">
        <v>135.18598923918583</v>
      </c>
      <c r="D267" s="946"/>
      <c r="E267" s="947"/>
      <c r="F267" s="1767"/>
      <c r="G267" s="946"/>
      <c r="H267" s="1767"/>
      <c r="I267" s="946"/>
      <c r="J267" s="1767"/>
      <c r="K267" s="946"/>
      <c r="L267" s="1767"/>
      <c r="M267" s="946"/>
      <c r="N267" s="1767"/>
      <c r="O267" s="946"/>
      <c r="P267" s="1767"/>
      <c r="Q267" s="944"/>
      <c r="R267" s="1581"/>
      <c r="S267" s="944"/>
      <c r="T267" s="1776"/>
    </row>
    <row r="268" spans="1:20">
      <c r="A268" s="49">
        <v>2015.07</v>
      </c>
      <c r="B268" s="1751">
        <v>134.28522319428345</v>
      </c>
      <c r="C268" s="1344">
        <v>135.20257226893227</v>
      </c>
      <c r="D268" s="946"/>
      <c r="E268" s="947"/>
      <c r="F268" s="1767"/>
      <c r="G268" s="946"/>
      <c r="H268" s="1767"/>
      <c r="I268" s="946"/>
      <c r="J268" s="1767"/>
      <c r="K268" s="946"/>
      <c r="L268" s="1767"/>
      <c r="M268" s="946"/>
      <c r="N268" s="1767"/>
      <c r="O268" s="946"/>
      <c r="P268" s="1767"/>
      <c r="Q268" s="944"/>
      <c r="R268" s="1581"/>
      <c r="S268" s="944"/>
      <c r="T268" s="1776"/>
    </row>
    <row r="269" spans="1:20">
      <c r="A269" s="49">
        <v>2015.08</v>
      </c>
      <c r="B269" s="1751">
        <v>134.90595612122158</v>
      </c>
      <c r="C269" s="1344">
        <v>135.2293910298373</v>
      </c>
      <c r="D269" s="946"/>
      <c r="E269" s="947"/>
      <c r="F269" s="1767"/>
      <c r="G269" s="946"/>
      <c r="H269" s="1767"/>
      <c r="I269" s="946"/>
      <c r="J269" s="1767"/>
      <c r="K269" s="946"/>
      <c r="L269" s="1767"/>
      <c r="M269" s="946"/>
      <c r="N269" s="1767"/>
      <c r="O269" s="946"/>
      <c r="P269" s="1767"/>
      <c r="Q269" s="944"/>
      <c r="R269" s="1581"/>
      <c r="S269" s="944"/>
      <c r="T269" s="1776"/>
    </row>
    <row r="270" spans="1:20">
      <c r="A270" s="49">
        <v>2015.09</v>
      </c>
      <c r="B270" s="1751">
        <v>135.94051099945182</v>
      </c>
      <c r="C270" s="1344">
        <v>135.26800384715526</v>
      </c>
      <c r="D270" s="946"/>
      <c r="E270" s="947"/>
      <c r="F270" s="1767"/>
      <c r="G270" s="946"/>
      <c r="H270" s="1767"/>
      <c r="I270" s="946"/>
      <c r="J270" s="1767"/>
      <c r="K270" s="946"/>
      <c r="L270" s="1767"/>
      <c r="M270" s="946"/>
      <c r="N270" s="1767"/>
      <c r="O270" s="946"/>
      <c r="P270" s="1767"/>
      <c r="Q270" s="944"/>
      <c r="R270" s="1581"/>
      <c r="S270" s="944"/>
      <c r="T270" s="1776"/>
    </row>
    <row r="271" spans="1:20">
      <c r="A271" s="49">
        <v>2015.1</v>
      </c>
      <c r="B271" s="1751">
        <v>138.76556248980708</v>
      </c>
      <c r="C271" s="1344">
        <v>134.95497858514335</v>
      </c>
      <c r="D271" s="946"/>
      <c r="E271" s="947"/>
      <c r="F271" s="1767"/>
      <c r="G271" s="946"/>
      <c r="H271" s="1767"/>
      <c r="I271" s="946"/>
      <c r="J271" s="1767"/>
      <c r="K271" s="946"/>
      <c r="L271" s="1767"/>
      <c r="M271" s="946"/>
      <c r="N271" s="1767"/>
      <c r="O271" s="946"/>
      <c r="P271" s="1767"/>
      <c r="Q271" s="944"/>
      <c r="R271" s="1581"/>
      <c r="S271" s="944"/>
      <c r="T271" s="1776"/>
    </row>
    <row r="272" spans="1:20">
      <c r="A272" s="49">
        <v>2015.11</v>
      </c>
      <c r="B272" s="1751">
        <v>138.78532021505498</v>
      </c>
      <c r="C272" s="1344">
        <v>134.35378049960596</v>
      </c>
      <c r="D272" s="946"/>
      <c r="E272" s="947"/>
      <c r="F272" s="1767"/>
      <c r="G272" s="946"/>
      <c r="H272" s="1767"/>
      <c r="I272" s="946"/>
      <c r="J272" s="1767"/>
      <c r="K272" s="946"/>
      <c r="L272" s="1767"/>
      <c r="M272" s="946"/>
      <c r="N272" s="1767"/>
      <c r="O272" s="946"/>
      <c r="P272" s="1767"/>
      <c r="Q272" s="944"/>
      <c r="R272" s="1581"/>
      <c r="S272" s="944"/>
      <c r="T272" s="1776"/>
    </row>
    <row r="273" spans="1:20" ht="13.5" thickBot="1">
      <c r="A273" s="49">
        <v>2015.12</v>
      </c>
      <c r="B273" s="1751">
        <v>137.94333541700342</v>
      </c>
      <c r="C273" s="1344">
        <v>132.80709898702847</v>
      </c>
      <c r="D273" s="946"/>
      <c r="E273" s="947"/>
      <c r="F273" s="1767"/>
      <c r="G273" s="946"/>
      <c r="H273" s="1767"/>
      <c r="I273" s="946"/>
      <c r="J273" s="1767"/>
      <c r="K273" s="946"/>
      <c r="L273" s="1767"/>
      <c r="M273" s="946"/>
      <c r="N273" s="1767"/>
      <c r="O273" s="946"/>
      <c r="P273" s="1767"/>
      <c r="Q273" s="944"/>
      <c r="R273" s="1581"/>
      <c r="S273" s="944"/>
      <c r="T273" s="1776"/>
    </row>
    <row r="274" spans="1:20">
      <c r="A274" s="49">
        <v>2016.01</v>
      </c>
      <c r="B274" s="541">
        <v>117.05119421077302</v>
      </c>
      <c r="C274" s="1352">
        <v>134.210584505897</v>
      </c>
      <c r="D274" s="1585">
        <v>133.40580917174901</v>
      </c>
      <c r="E274" s="541">
        <v>130.67616072746296</v>
      </c>
      <c r="F274" s="1352">
        <v>106.19948389078264</v>
      </c>
      <c r="G274" s="1583">
        <v>84.267648153137799</v>
      </c>
      <c r="H274" s="1352">
        <v>85.086863461117474</v>
      </c>
      <c r="I274" s="1583">
        <v>112.05220811386322</v>
      </c>
      <c r="J274" s="1352">
        <v>116.082454628975</v>
      </c>
      <c r="K274" s="1583">
        <v>137.15259136180319</v>
      </c>
      <c r="L274" s="1352">
        <v>119.0923090309344</v>
      </c>
      <c r="M274" s="1583">
        <v>162.74024047405936</v>
      </c>
      <c r="N274" s="1352">
        <v>94.796063398608794</v>
      </c>
      <c r="O274" s="1583">
        <v>109.0918228586668</v>
      </c>
      <c r="P274" s="1352">
        <v>118.26385336994944</v>
      </c>
      <c r="Q274" s="1583">
        <v>133.32012068812969</v>
      </c>
      <c r="R274" s="1352">
        <v>63.268128716067245</v>
      </c>
      <c r="S274" s="1583">
        <v>130.2030975868206</v>
      </c>
      <c r="T274" s="1777">
        <v>110.07757779040487</v>
      </c>
    </row>
    <row r="275" spans="1:20">
      <c r="A275" s="49">
        <v>2016.02</v>
      </c>
      <c r="B275" s="1758">
        <v>118.90029357259574</v>
      </c>
      <c r="C275" s="1354">
        <v>132.631635743267</v>
      </c>
      <c r="D275" s="943">
        <v>132.38457556557699</v>
      </c>
      <c r="E275" s="1758">
        <v>129.2639730718447</v>
      </c>
      <c r="F275" s="1354">
        <v>127.90479009035263</v>
      </c>
      <c r="G275" s="1758">
        <v>96.965228172780385</v>
      </c>
      <c r="H275" s="1354">
        <v>102.30285068061991</v>
      </c>
      <c r="I275" s="1758">
        <v>110.44869988099354</v>
      </c>
      <c r="J275" s="1354">
        <v>111.27368225233077</v>
      </c>
      <c r="K275" s="1758">
        <v>133.69415665335751</v>
      </c>
      <c r="L275" s="1354">
        <v>113.90864790192519</v>
      </c>
      <c r="M275" s="1758">
        <v>159.84835193167331</v>
      </c>
      <c r="N275" s="1354">
        <v>80.068261529251956</v>
      </c>
      <c r="O275" s="1758">
        <v>105.93590527958594</v>
      </c>
      <c r="P275" s="1354">
        <v>132.20384140671027</v>
      </c>
      <c r="Q275" s="1758">
        <v>157.27953051480023</v>
      </c>
      <c r="R275" s="1354">
        <v>113.13788419960012</v>
      </c>
      <c r="S275" s="1758">
        <v>143.32330289733605</v>
      </c>
      <c r="T275" s="1778">
        <v>104.75954868353593</v>
      </c>
    </row>
    <row r="276" spans="1:20">
      <c r="A276" s="49">
        <v>2016.03</v>
      </c>
      <c r="B276" s="1758">
        <v>136.80623010580314</v>
      </c>
      <c r="C276" s="1354">
        <v>132.42174674854701</v>
      </c>
      <c r="D276" s="943">
        <v>131.26221173715101</v>
      </c>
      <c r="E276" s="1758">
        <v>141.65062327052485</v>
      </c>
      <c r="F276" s="1354">
        <v>148.56314934240984</v>
      </c>
      <c r="G276" s="1758">
        <v>119.3409024118058</v>
      </c>
      <c r="H276" s="1354">
        <v>135.02520729455148</v>
      </c>
      <c r="I276" s="1758">
        <v>118.03318929102018</v>
      </c>
      <c r="J276" s="1354">
        <v>115.28262401793978</v>
      </c>
      <c r="K276" s="1758">
        <v>148.31859864284024</v>
      </c>
      <c r="L276" s="1354">
        <v>136.58945230719007</v>
      </c>
      <c r="M276" s="1758">
        <v>171.77895833246978</v>
      </c>
      <c r="N276" s="1354">
        <v>100.90171178426834</v>
      </c>
      <c r="O276" s="1758">
        <v>124.94458309102679</v>
      </c>
      <c r="P276" s="1354">
        <v>156.46993532510791</v>
      </c>
      <c r="Q276" s="1758">
        <v>187.5511417132777</v>
      </c>
      <c r="R276" s="1354">
        <v>151.33603399603416</v>
      </c>
      <c r="S276" s="1758">
        <v>174.82504820001336</v>
      </c>
      <c r="T276" s="1778">
        <v>130.56408129497115</v>
      </c>
    </row>
    <row r="277" spans="1:20">
      <c r="A277" s="49">
        <v>2016.04</v>
      </c>
      <c r="B277" s="1758">
        <v>132.0696490854989</v>
      </c>
      <c r="C277" s="1354">
        <v>132.83072006713201</v>
      </c>
      <c r="D277" s="943">
        <v>130.05489953791999</v>
      </c>
      <c r="E277" s="1758">
        <v>135.53429109059624</v>
      </c>
      <c r="F277" s="1354">
        <v>117.2505286415723</v>
      </c>
      <c r="G277" s="1758">
        <v>123.19031910088518</v>
      </c>
      <c r="H277" s="1354">
        <v>137.8840372572964</v>
      </c>
      <c r="I277" s="1758">
        <v>115.05218621844168</v>
      </c>
      <c r="J277" s="1354">
        <v>111.04323324435187</v>
      </c>
      <c r="K277" s="1758">
        <v>147.76129110892197</v>
      </c>
      <c r="L277" s="1354">
        <v>130.90445655692022</v>
      </c>
      <c r="M277" s="1758">
        <v>158.65511986968491</v>
      </c>
      <c r="N277" s="1354">
        <v>101.24516621314987</v>
      </c>
      <c r="O277" s="1758">
        <v>113.97378747830409</v>
      </c>
      <c r="P277" s="1354">
        <v>136.63591489652029</v>
      </c>
      <c r="Q277" s="1758">
        <v>175.24425744881489</v>
      </c>
      <c r="R277" s="1354">
        <v>140.17021883323557</v>
      </c>
      <c r="S277" s="1758">
        <v>172.21929218375618</v>
      </c>
      <c r="T277" s="1778">
        <v>137.48143822052026</v>
      </c>
    </row>
    <row r="278" spans="1:20">
      <c r="A278" s="49">
        <v>2016.05</v>
      </c>
      <c r="B278" s="1758">
        <v>132.12673005161108</v>
      </c>
      <c r="C278" s="1354">
        <v>127.914025766047</v>
      </c>
      <c r="D278" s="943">
        <v>128.86762637263001</v>
      </c>
      <c r="E278" s="1758">
        <v>139.57321559211331</v>
      </c>
      <c r="F278" s="1354">
        <v>85.525714324943593</v>
      </c>
      <c r="G278" s="1758">
        <v>134.89200489029912</v>
      </c>
      <c r="H278" s="1354">
        <v>125.5829472600583</v>
      </c>
      <c r="I278" s="1758">
        <v>112.82572099139914</v>
      </c>
      <c r="J278" s="1354">
        <v>111.67808109142982</v>
      </c>
      <c r="K278" s="1758">
        <v>147.22237407786781</v>
      </c>
      <c r="L278" s="1354">
        <v>124.96720653099499</v>
      </c>
      <c r="M278" s="1758">
        <v>167.37824275604584</v>
      </c>
      <c r="N278" s="1354">
        <v>102.46966081571969</v>
      </c>
      <c r="O278" s="1758">
        <v>115.33640085672624</v>
      </c>
      <c r="P278" s="1354">
        <v>146.98106790182371</v>
      </c>
      <c r="Q278" s="1758">
        <v>161.58221056050584</v>
      </c>
      <c r="R278" s="1354">
        <v>136.20395313548048</v>
      </c>
      <c r="S278" s="1758">
        <v>160.70105197900003</v>
      </c>
      <c r="T278" s="1778">
        <v>136.27415104720808</v>
      </c>
    </row>
    <row r="279" spans="1:20">
      <c r="A279" s="49">
        <v>2016.06</v>
      </c>
      <c r="B279" s="1758">
        <v>124.9916505365282</v>
      </c>
      <c r="C279" s="1354">
        <v>123.675137140804</v>
      </c>
      <c r="D279" s="943">
        <v>127.84093999855</v>
      </c>
      <c r="E279" s="1758">
        <v>134.04408137778398</v>
      </c>
      <c r="F279" s="1354">
        <v>54.457510243809779</v>
      </c>
      <c r="G279" s="1758">
        <v>130.64792456729958</v>
      </c>
      <c r="H279" s="1354">
        <v>112.10814824663827</v>
      </c>
      <c r="I279" s="1758">
        <v>107.27514984908085</v>
      </c>
      <c r="J279" s="1354">
        <v>113.29987978224041</v>
      </c>
      <c r="K279" s="1758">
        <v>135.75660397981281</v>
      </c>
      <c r="L279" s="1354">
        <v>114.31556632437254</v>
      </c>
      <c r="M279" s="1758">
        <v>156.69964915583628</v>
      </c>
      <c r="N279" s="1354">
        <v>92.974579098439023</v>
      </c>
      <c r="O279" s="1758">
        <v>111.5046359986854</v>
      </c>
      <c r="P279" s="1354">
        <v>147.24742750186587</v>
      </c>
      <c r="Q279" s="1758">
        <v>149.937904774553</v>
      </c>
      <c r="R279" s="1354">
        <v>133.6557079686809</v>
      </c>
      <c r="S279" s="1758">
        <v>152.07372489574666</v>
      </c>
      <c r="T279" s="1778">
        <v>131.48466334758101</v>
      </c>
    </row>
    <row r="280" spans="1:20">
      <c r="A280" s="49">
        <v>2016.07</v>
      </c>
      <c r="B280" s="1758">
        <v>126.76147447449927</v>
      </c>
      <c r="C280" s="1354">
        <v>125.922760587825</v>
      </c>
      <c r="D280" s="943">
        <v>127.116779908873</v>
      </c>
      <c r="E280" s="1758">
        <v>137.26341179592265</v>
      </c>
      <c r="F280" s="1354">
        <v>58.914621933981117</v>
      </c>
      <c r="G280" s="1758">
        <v>124.15173810271379</v>
      </c>
      <c r="H280" s="1354">
        <v>108.36203643335836</v>
      </c>
      <c r="I280" s="1758">
        <v>109.10479157528621</v>
      </c>
      <c r="J280" s="1354">
        <v>115.44027678462089</v>
      </c>
      <c r="K280" s="1758">
        <v>145.57893442430841</v>
      </c>
      <c r="L280" s="1354">
        <v>118.30104924141786</v>
      </c>
      <c r="M280" s="1758">
        <v>160.47095814056402</v>
      </c>
      <c r="N280" s="1354">
        <v>95.548472726987143</v>
      </c>
      <c r="O280" s="1758">
        <v>113.57456180127978</v>
      </c>
      <c r="P280" s="1354">
        <v>136.92596667642425</v>
      </c>
      <c r="Q280" s="1758">
        <v>144.36431609094819</v>
      </c>
      <c r="R280" s="1354">
        <v>129.05932147449377</v>
      </c>
      <c r="S280" s="1758">
        <v>154.18998162288725</v>
      </c>
      <c r="T280" s="1778">
        <v>131.87703089265747</v>
      </c>
    </row>
    <row r="281" spans="1:20">
      <c r="A281" s="49">
        <v>2016.08</v>
      </c>
      <c r="B281" s="1758">
        <v>133.7329827733621</v>
      </c>
      <c r="C281" s="1354">
        <v>125.50980934454201</v>
      </c>
      <c r="D281" s="943">
        <v>126.80350417107501</v>
      </c>
      <c r="E281" s="1758">
        <v>151.47051550639057</v>
      </c>
      <c r="F281" s="1354">
        <v>65.994223319716099</v>
      </c>
      <c r="G281" s="1758">
        <v>121.54443748097623</v>
      </c>
      <c r="H281" s="1354">
        <v>128.15449445873858</v>
      </c>
      <c r="I281" s="1758">
        <v>115.60619562020312</v>
      </c>
      <c r="J281" s="1354">
        <v>112.01827843613505</v>
      </c>
      <c r="K281" s="1758">
        <v>145.12974375773439</v>
      </c>
      <c r="L281" s="1354">
        <v>128.20030794803392</v>
      </c>
      <c r="M281" s="1758">
        <v>177.6376893441039</v>
      </c>
      <c r="N281" s="1354">
        <v>76.090782971599722</v>
      </c>
      <c r="O281" s="1758">
        <v>118.71793865872334</v>
      </c>
      <c r="P281" s="1354">
        <v>148.44097593621655</v>
      </c>
      <c r="Q281" s="1758">
        <v>161.56578953532099</v>
      </c>
      <c r="R281" s="1354">
        <v>146.19191001328073</v>
      </c>
      <c r="S281" s="1758">
        <v>174.55374077423312</v>
      </c>
      <c r="T281" s="1778">
        <v>140.77998828630686</v>
      </c>
    </row>
    <row r="282" spans="1:20">
      <c r="A282" s="49">
        <v>2016.09</v>
      </c>
      <c r="B282" s="1758">
        <v>135.51789212141713</v>
      </c>
      <c r="C282" s="1354">
        <v>129.04449227444999</v>
      </c>
      <c r="D282" s="943">
        <v>126.888901908834</v>
      </c>
      <c r="E282" s="1758">
        <v>146.86194873690607</v>
      </c>
      <c r="F282" s="1354">
        <v>69.438846684941495</v>
      </c>
      <c r="G282" s="1758">
        <v>107.79925009361489</v>
      </c>
      <c r="H282" s="1354">
        <v>128.20467559086268</v>
      </c>
      <c r="I282" s="1758">
        <v>112.3038622089752</v>
      </c>
      <c r="J282" s="1354">
        <v>115.66986166012596</v>
      </c>
      <c r="K282" s="1758">
        <v>153.5491565594138</v>
      </c>
      <c r="L282" s="1354">
        <v>133.63721097688818</v>
      </c>
      <c r="M282" s="1758">
        <v>174.20476604840681</v>
      </c>
      <c r="N282" s="1354">
        <v>95.362564310308741</v>
      </c>
      <c r="O282" s="1758">
        <v>121.44157684825966</v>
      </c>
      <c r="P282" s="1354">
        <v>159.62476225333626</v>
      </c>
      <c r="Q282" s="1758">
        <v>165.64788729693007</v>
      </c>
      <c r="R282" s="1354">
        <v>141.05773996372108</v>
      </c>
      <c r="S282" s="1758">
        <v>184.44227503832545</v>
      </c>
      <c r="T282" s="1778">
        <v>137.10090750204151</v>
      </c>
    </row>
    <row r="283" spans="1:20">
      <c r="A283" s="49">
        <v>2016.1</v>
      </c>
      <c r="B283" s="1758">
        <v>133.34114128281072</v>
      </c>
      <c r="C283" s="1354">
        <v>126.439241401079</v>
      </c>
      <c r="D283" s="943">
        <v>127.29595324296</v>
      </c>
      <c r="E283" s="1758">
        <v>144.68042812430696</v>
      </c>
      <c r="F283" s="1354">
        <v>46.364382744959926</v>
      </c>
      <c r="G283" s="1758">
        <v>92.943569100660781</v>
      </c>
      <c r="H283" s="1354">
        <v>122.99367627105732</v>
      </c>
      <c r="I283" s="1758">
        <v>116.20728885179832</v>
      </c>
      <c r="J283" s="1354">
        <v>117.10393156966144</v>
      </c>
      <c r="K283" s="1758">
        <v>150.57608224534826</v>
      </c>
      <c r="L283" s="1354">
        <v>129.46612223508538</v>
      </c>
      <c r="M283" s="1758">
        <v>169.28449214246567</v>
      </c>
      <c r="N283" s="1354">
        <v>98.446361929932451</v>
      </c>
      <c r="O283" s="1758">
        <v>114.80700557723982</v>
      </c>
      <c r="P283" s="1354">
        <v>163.43830595974003</v>
      </c>
      <c r="Q283" s="1758">
        <v>153.65794166055906</v>
      </c>
      <c r="R283" s="1354">
        <v>137.15451009978426</v>
      </c>
      <c r="S283" s="1758">
        <v>172.21683939907368</v>
      </c>
      <c r="T283" s="1778">
        <v>140.04755378962471</v>
      </c>
    </row>
    <row r="284" spans="1:20">
      <c r="A284" s="49">
        <v>2016.11</v>
      </c>
      <c r="B284" s="1758">
        <v>134.73703178156455</v>
      </c>
      <c r="C284" s="1354">
        <v>129.00302732630499</v>
      </c>
      <c r="D284" s="943">
        <v>127.861969333075</v>
      </c>
      <c r="E284" s="1758">
        <v>143.80846778552308</v>
      </c>
      <c r="F284" s="1354">
        <v>63.029838673082018</v>
      </c>
      <c r="G284" s="1758">
        <v>97.186968542728764</v>
      </c>
      <c r="H284" s="1354">
        <v>110.73824268573613</v>
      </c>
      <c r="I284" s="1758">
        <v>114.15025601506368</v>
      </c>
      <c r="J284" s="1354">
        <v>111.29837607729438</v>
      </c>
      <c r="K284" s="1758">
        <v>151.27980690093375</v>
      </c>
      <c r="L284" s="1354">
        <v>130.68289997617194</v>
      </c>
      <c r="M284" s="1758">
        <v>177.63508179515813</v>
      </c>
      <c r="N284" s="1354">
        <v>100.01489982179265</v>
      </c>
      <c r="O284" s="1758">
        <v>120.91649425678182</v>
      </c>
      <c r="P284" s="1354">
        <v>161.42481540854428</v>
      </c>
      <c r="Q284" s="1758">
        <v>169.28264965807207</v>
      </c>
      <c r="R284" s="1354">
        <v>162.49675009738945</v>
      </c>
      <c r="S284" s="1758">
        <v>178.82368039086467</v>
      </c>
      <c r="T284" s="1778">
        <v>144.05848853436692</v>
      </c>
    </row>
    <row r="285" spans="1:20">
      <c r="A285" s="49">
        <v>2016.12</v>
      </c>
      <c r="B285" s="1758">
        <v>124.08230099201045</v>
      </c>
      <c r="C285" s="1354">
        <v>129.433636616916</v>
      </c>
      <c r="D285" s="943">
        <v>128.44564839405299</v>
      </c>
      <c r="E285" s="1758">
        <v>139.17574439457098</v>
      </c>
      <c r="F285" s="1354">
        <v>67.060437333355083</v>
      </c>
      <c r="G285" s="1758">
        <v>75.124671294458295</v>
      </c>
      <c r="H285" s="1354">
        <v>108.3069567620411</v>
      </c>
      <c r="I285" s="1758">
        <v>105.82117002682234</v>
      </c>
      <c r="J285" s="1354">
        <v>121.3577722384782</v>
      </c>
      <c r="K285" s="1758">
        <v>132.46059489628283</v>
      </c>
      <c r="L285" s="1354">
        <v>114.67413966083166</v>
      </c>
      <c r="M285" s="1758">
        <v>160.53917893792149</v>
      </c>
      <c r="N285" s="1354">
        <v>92.933972360166777</v>
      </c>
      <c r="O285" s="1758">
        <v>113.50960482383616</v>
      </c>
      <c r="P285" s="1354">
        <v>153.17922117615291</v>
      </c>
      <c r="Q285" s="1758">
        <v>125.5901008243455</v>
      </c>
      <c r="R285" s="1354">
        <v>134.99984430027448</v>
      </c>
      <c r="S285" s="1758">
        <v>163.28749885699031</v>
      </c>
      <c r="T285" s="1778">
        <v>131.43650123486822</v>
      </c>
    </row>
    <row r="286" spans="1:20">
      <c r="A286" s="49">
        <v>2017.01</v>
      </c>
      <c r="B286" s="1758">
        <v>115.72788011075902</v>
      </c>
      <c r="C286" s="1354">
        <v>130.55381166231999</v>
      </c>
      <c r="D286" s="943">
        <v>129.01519522760199</v>
      </c>
      <c r="E286" s="1758">
        <v>131.42410366621419</v>
      </c>
      <c r="F286" s="1354">
        <v>99.648922598551607</v>
      </c>
      <c r="G286" s="1758">
        <v>72.936598329953796</v>
      </c>
      <c r="H286" s="1354">
        <v>82.689071248267467</v>
      </c>
      <c r="I286" s="1758">
        <v>106.30105462075983</v>
      </c>
      <c r="J286" s="1354">
        <v>117.56072285930875</v>
      </c>
      <c r="K286" s="1758">
        <v>139.72456018245254</v>
      </c>
      <c r="L286" s="1354">
        <v>120.92175312298728</v>
      </c>
      <c r="M286" s="1758">
        <v>152.98385497319688</v>
      </c>
      <c r="N286" s="1354">
        <v>89.117226180067092</v>
      </c>
      <c r="O286" s="1758">
        <v>103.36714805096747</v>
      </c>
      <c r="P286" s="1354">
        <v>116.62055334062943</v>
      </c>
      <c r="Q286" s="1758">
        <v>105.60853804780058</v>
      </c>
      <c r="R286" s="1354">
        <v>92.730003294431867</v>
      </c>
      <c r="S286" s="1758">
        <v>164.65862307304906</v>
      </c>
      <c r="T286" s="1778">
        <v>107.48870013622027</v>
      </c>
    </row>
    <row r="287" spans="1:20">
      <c r="A287" s="49">
        <v>2017.02</v>
      </c>
      <c r="B287" s="1758">
        <v>109.43840116663539</v>
      </c>
      <c r="C287" s="1354">
        <v>128.00138483117701</v>
      </c>
      <c r="D287" s="943">
        <v>129.631369928639</v>
      </c>
      <c r="E287" s="1758">
        <v>118.79586523543726</v>
      </c>
      <c r="F287" s="1354">
        <v>107.56162560199387</v>
      </c>
      <c r="G287" s="1758">
        <v>81.061621909272688</v>
      </c>
      <c r="H287" s="1354">
        <v>85.376028469020056</v>
      </c>
      <c r="I287" s="1758">
        <v>100.57074115936263</v>
      </c>
      <c r="J287" s="1354">
        <v>101.36978099622131</v>
      </c>
      <c r="K287" s="1758">
        <v>127.67128597023004</v>
      </c>
      <c r="L287" s="1354">
        <v>105.35725813671097</v>
      </c>
      <c r="M287" s="1758">
        <v>147.99382274674281</v>
      </c>
      <c r="N287" s="1354">
        <v>79.872064099209325</v>
      </c>
      <c r="O287" s="1758">
        <v>95.573676052389246</v>
      </c>
      <c r="P287" s="1354">
        <v>127.39685520904274</v>
      </c>
      <c r="Q287" s="1758">
        <v>131.4184565137584</v>
      </c>
      <c r="R287" s="1354">
        <v>103.17997263047486</v>
      </c>
      <c r="S287" s="1758">
        <v>157.92450530358633</v>
      </c>
      <c r="T287" s="1778">
        <v>96.640450620115132</v>
      </c>
    </row>
    <row r="288" spans="1:20">
      <c r="A288" s="49">
        <v>2017.03</v>
      </c>
      <c r="B288" s="1758">
        <v>135.73975556541561</v>
      </c>
      <c r="C288" s="1354">
        <v>130.39423793294901</v>
      </c>
      <c r="D288" s="943">
        <v>130.38092950531001</v>
      </c>
      <c r="E288" s="1758">
        <v>144.09184505470429</v>
      </c>
      <c r="F288" s="1354">
        <v>163.26213126740637</v>
      </c>
      <c r="G288" s="1758">
        <v>100.960958520188</v>
      </c>
      <c r="H288" s="1354">
        <v>121.66571279528672</v>
      </c>
      <c r="I288" s="1758">
        <v>116.81869524790285</v>
      </c>
      <c r="J288" s="1354">
        <v>113.33654129333712</v>
      </c>
      <c r="K288" s="1758">
        <v>145.92201154617871</v>
      </c>
      <c r="L288" s="1354">
        <v>130.61463109227239</v>
      </c>
      <c r="M288" s="1758">
        <v>182.70294893096832</v>
      </c>
      <c r="N288" s="1354">
        <v>104.11055659547146</v>
      </c>
      <c r="O288" s="1758">
        <v>122.32826712082235</v>
      </c>
      <c r="P288" s="1354">
        <v>154.63271530338679</v>
      </c>
      <c r="Q288" s="1758">
        <v>166.59512728566159</v>
      </c>
      <c r="R288" s="1354">
        <v>153.32901328995959</v>
      </c>
      <c r="S288" s="1758">
        <v>196.62418246287001</v>
      </c>
      <c r="T288" s="1778">
        <v>140.35432976211362</v>
      </c>
    </row>
    <row r="289" spans="1:20">
      <c r="A289" s="49">
        <v>2017.04</v>
      </c>
      <c r="B289" s="1758">
        <v>127.06229310335894</v>
      </c>
      <c r="C289" s="1354">
        <v>129.11693268925899</v>
      </c>
      <c r="D289" s="943">
        <v>131.32468215215701</v>
      </c>
      <c r="E289" s="1758">
        <v>131.43232635057879</v>
      </c>
      <c r="F289" s="1354">
        <v>117.49683078686658</v>
      </c>
      <c r="G289" s="1758">
        <v>99.139802703211146</v>
      </c>
      <c r="H289" s="1354">
        <v>106.83941989075456</v>
      </c>
      <c r="I289" s="1758">
        <v>105.79193479712029</v>
      </c>
      <c r="J289" s="1354">
        <v>112.5247981661584</v>
      </c>
      <c r="K289" s="1758">
        <v>145.70810714203691</v>
      </c>
      <c r="L289" s="1354">
        <v>124.16024811405454</v>
      </c>
      <c r="M289" s="1758">
        <v>160.66109578100532</v>
      </c>
      <c r="N289" s="1354">
        <v>104.02294771935216</v>
      </c>
      <c r="O289" s="1758">
        <v>111.41916907872479</v>
      </c>
      <c r="P289" s="1354">
        <v>164.48008703261743</v>
      </c>
      <c r="Q289" s="1758">
        <v>147.50692588353306</v>
      </c>
      <c r="R289" s="1354">
        <v>134.31656464746462</v>
      </c>
      <c r="S289" s="1758">
        <v>182.10383076896011</v>
      </c>
      <c r="T289" s="1778">
        <v>128.95025617393645</v>
      </c>
    </row>
    <row r="290" spans="1:20">
      <c r="A290" s="49">
        <v>2017.05</v>
      </c>
      <c r="B290" s="1758">
        <v>137.32629188497592</v>
      </c>
      <c r="C290" s="1354">
        <v>131.09444267712999</v>
      </c>
      <c r="D290" s="943">
        <v>132.38546524388701</v>
      </c>
      <c r="E290" s="1758">
        <v>145.25789351245908</v>
      </c>
      <c r="F290" s="1354">
        <v>95.952660958597676</v>
      </c>
      <c r="G290" s="1758">
        <v>120.86415518263202</v>
      </c>
      <c r="H290" s="1354">
        <v>110.56965487521485</v>
      </c>
      <c r="I290" s="1758">
        <v>114.46730852707539</v>
      </c>
      <c r="J290" s="1354">
        <v>114.06792773116712</v>
      </c>
      <c r="K290" s="1758">
        <v>150.87234271338519</v>
      </c>
      <c r="L290" s="1354">
        <v>131.64128525502036</v>
      </c>
      <c r="M290" s="1758">
        <v>172.52446537285158</v>
      </c>
      <c r="N290" s="1354">
        <v>110.58554866501684</v>
      </c>
      <c r="O290" s="1758">
        <v>125.3104153652006</v>
      </c>
      <c r="P290" s="1354">
        <v>163.937402320752</v>
      </c>
      <c r="Q290" s="1758">
        <v>170.52609056627708</v>
      </c>
      <c r="R290" s="1354">
        <v>157.17987253097672</v>
      </c>
      <c r="S290" s="1758">
        <v>216.85134797768927</v>
      </c>
      <c r="T290" s="1778">
        <v>144.57769814349138</v>
      </c>
    </row>
    <row r="291" spans="1:20">
      <c r="A291" s="49">
        <v>2017.06</v>
      </c>
      <c r="B291" s="1758">
        <v>134.50955603897785</v>
      </c>
      <c r="C291" s="1354">
        <v>133.846633741072</v>
      </c>
      <c r="D291" s="943">
        <v>133.44765699229899</v>
      </c>
      <c r="E291" s="1758">
        <v>139.32606914072568</v>
      </c>
      <c r="F291" s="1354">
        <v>78.865766717239083</v>
      </c>
      <c r="G291" s="1758">
        <v>125.63076691577835</v>
      </c>
      <c r="H291" s="1354">
        <v>98.051502763662796</v>
      </c>
      <c r="I291" s="1758">
        <v>112.65770347323408</v>
      </c>
      <c r="J291" s="1354">
        <v>115.55094812063341</v>
      </c>
      <c r="K291" s="1758">
        <v>147.90838474938775</v>
      </c>
      <c r="L291" s="1354">
        <v>125.74754986683639</v>
      </c>
      <c r="M291" s="1758">
        <v>180.87317294115982</v>
      </c>
      <c r="N291" s="1354">
        <v>107.24801914719652</v>
      </c>
      <c r="O291" s="1758">
        <v>118.23802546833608</v>
      </c>
      <c r="P291" s="1354">
        <v>174.83352606652392</v>
      </c>
      <c r="Q291" s="1758">
        <v>167.18154121316755</v>
      </c>
      <c r="R291" s="1354">
        <v>159.11463963723079</v>
      </c>
      <c r="S291" s="1758">
        <v>212.39517520535762</v>
      </c>
      <c r="T291" s="1778">
        <v>146.39725349245637</v>
      </c>
    </row>
    <row r="292" spans="1:20">
      <c r="A292" s="49">
        <v>2017.07</v>
      </c>
      <c r="B292" s="1758">
        <v>135.52441430007988</v>
      </c>
      <c r="C292" s="1354">
        <v>134.16881617478799</v>
      </c>
      <c r="D292" s="943">
        <v>134.35951456086701</v>
      </c>
      <c r="E292" s="1758">
        <v>143.78390590856162</v>
      </c>
      <c r="F292" s="1354">
        <v>70.785049729448303</v>
      </c>
      <c r="G292" s="1758">
        <v>120.19038784208007</v>
      </c>
      <c r="H292" s="1354">
        <v>104.04113393094433</v>
      </c>
      <c r="I292" s="1758">
        <v>118.16924034246746</v>
      </c>
      <c r="J292" s="1354">
        <v>111.33049274133295</v>
      </c>
      <c r="K292" s="1758">
        <v>141.53838232521252</v>
      </c>
      <c r="L292" s="1354">
        <v>128.71814115489323</v>
      </c>
      <c r="M292" s="1758">
        <v>177.70950227037812</v>
      </c>
      <c r="N292" s="1354">
        <v>117.26267698599706</v>
      </c>
      <c r="O292" s="1758">
        <v>125.46274200434135</v>
      </c>
      <c r="P292" s="1354">
        <v>168.81087039358138</v>
      </c>
      <c r="Q292" s="1758">
        <v>168.80750464638143</v>
      </c>
      <c r="R292" s="1354">
        <v>138.38203954158524</v>
      </c>
      <c r="S292" s="1758">
        <v>194.30859369648232</v>
      </c>
      <c r="T292" s="1778">
        <v>148.20982647820807</v>
      </c>
    </row>
    <row r="293" spans="1:20">
      <c r="A293" s="49">
        <v>2017.08</v>
      </c>
      <c r="B293" s="1758">
        <v>143.01220222320006</v>
      </c>
      <c r="C293" s="1354">
        <v>134.208774785331</v>
      </c>
      <c r="D293" s="943">
        <v>134.96721190344999</v>
      </c>
      <c r="E293" s="1758">
        <v>153.17775912975171</v>
      </c>
      <c r="F293" s="1354">
        <v>69.29506263745904</v>
      </c>
      <c r="G293" s="1758">
        <v>117.08425156975498</v>
      </c>
      <c r="H293" s="1354">
        <v>108.16089060540634</v>
      </c>
      <c r="I293" s="1758">
        <v>121.94587146293838</v>
      </c>
      <c r="J293" s="1354">
        <v>117.23208044954657</v>
      </c>
      <c r="K293" s="1758">
        <v>142.46974267602729</v>
      </c>
      <c r="L293" s="1354">
        <v>135.52641758346755</v>
      </c>
      <c r="M293" s="1758">
        <v>191.01239675524673</v>
      </c>
      <c r="N293" s="1354">
        <v>113.83032351418692</v>
      </c>
      <c r="O293" s="1758">
        <v>138.07492995139881</v>
      </c>
      <c r="P293" s="1354">
        <v>181.20590404548085</v>
      </c>
      <c r="Q293" s="1758">
        <v>209.84052224668139</v>
      </c>
      <c r="R293" s="1354">
        <v>162.35392291131251</v>
      </c>
      <c r="S293" s="1758">
        <v>212.95112876542117</v>
      </c>
      <c r="T293" s="1778">
        <v>151.78913651045443</v>
      </c>
    </row>
    <row r="294" spans="1:20">
      <c r="A294" s="49">
        <v>2017.09</v>
      </c>
      <c r="B294" s="1758">
        <v>140.47537228449835</v>
      </c>
      <c r="C294" s="1354">
        <v>136.13647842433301</v>
      </c>
      <c r="D294" s="943">
        <v>135.24239133644701</v>
      </c>
      <c r="E294" s="1758">
        <v>143.85892708402633</v>
      </c>
      <c r="F294" s="1354">
        <v>62.191024660692158</v>
      </c>
      <c r="G294" s="1758">
        <v>107.14552460144967</v>
      </c>
      <c r="H294" s="1354">
        <v>113.14753340739679</v>
      </c>
      <c r="I294" s="1758">
        <v>123.98741138155337</v>
      </c>
      <c r="J294" s="1354">
        <v>118.22881045618965</v>
      </c>
      <c r="K294" s="1758">
        <v>145.67165167414404</v>
      </c>
      <c r="L294" s="1354">
        <v>136.86144763155053</v>
      </c>
      <c r="M294" s="1758">
        <v>188.10465508432213</v>
      </c>
      <c r="N294" s="1354">
        <v>114.16900810212915</v>
      </c>
      <c r="O294" s="1758">
        <v>134.78279413198172</v>
      </c>
      <c r="P294" s="1354">
        <v>182.20667369175183</v>
      </c>
      <c r="Q294" s="1758">
        <v>193.81194853216564</v>
      </c>
      <c r="R294" s="1354">
        <v>164.26800031398034</v>
      </c>
      <c r="S294" s="1758">
        <v>201.28311137341848</v>
      </c>
      <c r="T294" s="1778">
        <v>147.10664722399522</v>
      </c>
    </row>
    <row r="295" spans="1:20">
      <c r="A295" s="49">
        <v>2017.1</v>
      </c>
      <c r="B295" s="1758">
        <v>142.91248117324935</v>
      </c>
      <c r="C295" s="1354">
        <v>134.7227955875</v>
      </c>
      <c r="D295" s="943">
        <v>135.24818148057099</v>
      </c>
      <c r="E295" s="1758">
        <v>146.48768862693058</v>
      </c>
      <c r="F295" s="1354">
        <v>59.466206357786518</v>
      </c>
      <c r="G295" s="1758">
        <v>103.67807946143984</v>
      </c>
      <c r="H295" s="1354">
        <v>117.86490165781865</v>
      </c>
      <c r="I295" s="1758">
        <v>122.06590275177314</v>
      </c>
      <c r="J295" s="1354">
        <v>111.00751325523794</v>
      </c>
      <c r="K295" s="1758">
        <v>155.5085604418048</v>
      </c>
      <c r="L295" s="1354">
        <v>137.97209368517267</v>
      </c>
      <c r="M295" s="1758">
        <v>197.90838810025843</v>
      </c>
      <c r="N295" s="1354">
        <v>94.983559888163256</v>
      </c>
      <c r="O295" s="1758">
        <v>137.90847680163898</v>
      </c>
      <c r="P295" s="1354">
        <v>209.38266029472015</v>
      </c>
      <c r="Q295" s="1758">
        <v>201.91706029224383</v>
      </c>
      <c r="R295" s="1354">
        <v>162.19002975279426</v>
      </c>
      <c r="S295" s="1758">
        <v>207.24025102483944</v>
      </c>
      <c r="T295" s="1778">
        <v>160.06704536281379</v>
      </c>
    </row>
    <row r="296" spans="1:20">
      <c r="A296" s="49">
        <v>2017.11</v>
      </c>
      <c r="B296" s="1758">
        <v>141.47192895606011</v>
      </c>
      <c r="C296" s="1354">
        <v>137.084710707146</v>
      </c>
      <c r="D296" s="943">
        <v>135.06745740933201</v>
      </c>
      <c r="E296" s="1758">
        <v>143.84183476565198</v>
      </c>
      <c r="F296" s="1354">
        <v>58.674951684179319</v>
      </c>
      <c r="G296" s="1758">
        <v>101.88570476598697</v>
      </c>
      <c r="H296" s="1354">
        <v>104.28557378935332</v>
      </c>
      <c r="I296" s="1758">
        <v>126.39860912227189</v>
      </c>
      <c r="J296" s="1354">
        <v>113.95692314439221</v>
      </c>
      <c r="K296" s="1758">
        <v>148.91840717021734</v>
      </c>
      <c r="L296" s="1354">
        <v>132.50457198416549</v>
      </c>
      <c r="M296" s="1758">
        <v>200.02599738544492</v>
      </c>
      <c r="N296" s="1354">
        <v>112.04786363045446</v>
      </c>
      <c r="O296" s="1758">
        <v>146.62210422484574</v>
      </c>
      <c r="P296" s="1354">
        <v>189.29213866287603</v>
      </c>
      <c r="Q296" s="1758">
        <v>191.25550771769301</v>
      </c>
      <c r="R296" s="1354">
        <v>163.26988703134336</v>
      </c>
      <c r="S296" s="1758">
        <v>204.18465981905987</v>
      </c>
      <c r="T296" s="1778">
        <v>156.65617783470793</v>
      </c>
    </row>
    <row r="297" spans="1:20">
      <c r="A297" s="49">
        <v>2017.12</v>
      </c>
      <c r="B297" s="1758">
        <v>126.4041221015147</v>
      </c>
      <c r="C297" s="1354">
        <v>134.68962832563</v>
      </c>
      <c r="D297" s="943">
        <v>134.808743504288</v>
      </c>
      <c r="E297" s="1758">
        <v>128.48627346553991</v>
      </c>
      <c r="F297" s="1354">
        <v>51.38731253908869</v>
      </c>
      <c r="G297" s="1758">
        <v>88.00604741515788</v>
      </c>
      <c r="H297" s="1354">
        <v>101.6508203099212</v>
      </c>
      <c r="I297" s="1758">
        <v>110.65483798507277</v>
      </c>
      <c r="J297" s="1354">
        <v>122.36176515833078</v>
      </c>
      <c r="K297" s="1758">
        <v>138.35641550628804</v>
      </c>
      <c r="L297" s="1354">
        <v>112.953210218631</v>
      </c>
      <c r="M297" s="1758">
        <v>177.07520094748534</v>
      </c>
      <c r="N297" s="1354">
        <v>110.73525121880392</v>
      </c>
      <c r="O297" s="1758">
        <v>127.84819192612093</v>
      </c>
      <c r="P297" s="1354">
        <v>152.38284512306518</v>
      </c>
      <c r="Q297" s="1758">
        <v>146.85779436339254</v>
      </c>
      <c r="R297" s="1354">
        <v>133.28539865835498</v>
      </c>
      <c r="S297" s="1758">
        <v>182.34623092135806</v>
      </c>
      <c r="T297" s="1778">
        <v>136.98771518669233</v>
      </c>
    </row>
    <row r="298" spans="1:20">
      <c r="A298" s="49">
        <v>2018.01</v>
      </c>
      <c r="B298" s="1758">
        <v>120.49879049928444</v>
      </c>
      <c r="C298" s="1354">
        <v>132.94327907365701</v>
      </c>
      <c r="D298" s="943">
        <v>134.445414038693</v>
      </c>
      <c r="E298" s="1758">
        <v>132.35087943589363</v>
      </c>
      <c r="F298" s="1354">
        <v>109.30244999172616</v>
      </c>
      <c r="G298" s="1758">
        <v>76.504189251659028</v>
      </c>
      <c r="H298" s="1354">
        <v>79.494312263847561</v>
      </c>
      <c r="I298" s="1758">
        <v>111.38693289774872</v>
      </c>
      <c r="J298" s="1354">
        <v>117.2185378345594</v>
      </c>
      <c r="K298" s="1758">
        <v>142.94755088723551</v>
      </c>
      <c r="L298" s="1354">
        <v>114.75965854331457</v>
      </c>
      <c r="M298" s="1758">
        <v>178.01417730592519</v>
      </c>
      <c r="N298" s="1354">
        <v>105.48521069930986</v>
      </c>
      <c r="O298" s="1758">
        <v>117.85896607513635</v>
      </c>
      <c r="P298" s="1354">
        <v>120.44776695666641</v>
      </c>
      <c r="Q298" s="1758">
        <v>117.77065267310012</v>
      </c>
      <c r="R298" s="1354">
        <v>85.987814636199559</v>
      </c>
      <c r="S298" s="1758">
        <v>193.11326460115123</v>
      </c>
      <c r="T298" s="1778">
        <v>116.19952307500795</v>
      </c>
    </row>
    <row r="299" spans="1:20">
      <c r="A299" s="49">
        <v>2018.02</v>
      </c>
      <c r="B299" s="1758">
        <v>116.47032626071217</v>
      </c>
      <c r="C299" s="1354">
        <v>134.58864297872199</v>
      </c>
      <c r="D299" s="943">
        <v>133.884536188456</v>
      </c>
      <c r="E299" s="1758">
        <v>121.85990797217029</v>
      </c>
      <c r="F299" s="1354">
        <v>112.66550049931645</v>
      </c>
      <c r="G299" s="1758">
        <v>72.874402641105021</v>
      </c>
      <c r="H299" s="1354">
        <v>83.281799099008538</v>
      </c>
      <c r="I299" s="1758">
        <v>105.71915457493132</v>
      </c>
      <c r="J299" s="1354">
        <v>107.0506013101529</v>
      </c>
      <c r="K299" s="1758">
        <v>123.03747785051902</v>
      </c>
      <c r="L299" s="1354">
        <v>105.64518440857236</v>
      </c>
      <c r="M299" s="1758">
        <v>168.28235240454686</v>
      </c>
      <c r="N299" s="1354">
        <v>105.72962570776954</v>
      </c>
      <c r="O299" s="1758">
        <v>105.02542387455516</v>
      </c>
      <c r="P299" s="1354">
        <v>142.94577335769273</v>
      </c>
      <c r="Q299" s="1758">
        <v>146.35567275830184</v>
      </c>
      <c r="R299" s="1354">
        <v>141.85392533473612</v>
      </c>
      <c r="S299" s="1758">
        <v>166.49422731248563</v>
      </c>
      <c r="T299" s="1778">
        <v>99.04232928894605</v>
      </c>
    </row>
    <row r="300" spans="1:20">
      <c r="A300" s="49">
        <v>2018.03</v>
      </c>
      <c r="B300" s="1758">
        <v>137.87384466026174</v>
      </c>
      <c r="C300" s="1354">
        <v>133.35048415292701</v>
      </c>
      <c r="D300" s="943">
        <v>133.01084456282999</v>
      </c>
      <c r="E300" s="1758">
        <v>142.84648197917423</v>
      </c>
      <c r="F300" s="1354">
        <v>127.47016707169418</v>
      </c>
      <c r="G300" s="1758">
        <v>101.73236614819174</v>
      </c>
      <c r="H300" s="1354">
        <v>109.66383577809167</v>
      </c>
      <c r="I300" s="1758">
        <v>118.45337586829685</v>
      </c>
      <c r="J300" s="1354">
        <v>119.77047612988432</v>
      </c>
      <c r="K300" s="1758">
        <v>142.27842658600716</v>
      </c>
      <c r="L300" s="1354">
        <v>126.88490604929278</v>
      </c>
      <c r="M300" s="1758">
        <v>192.51960078595232</v>
      </c>
      <c r="N300" s="1354">
        <v>119.30892495392719</v>
      </c>
      <c r="O300" s="1758">
        <v>127.46848143453632</v>
      </c>
      <c r="P300" s="1354">
        <v>162.83936570078029</v>
      </c>
      <c r="Q300" s="1758">
        <v>175.11294622640577</v>
      </c>
      <c r="R300" s="1354">
        <v>176.31000010642956</v>
      </c>
      <c r="S300" s="1758">
        <v>201.94896892447582</v>
      </c>
      <c r="T300" s="1778">
        <v>140.79953268940432</v>
      </c>
    </row>
    <row r="301" spans="1:20">
      <c r="A301" s="49">
        <v>2018.04</v>
      </c>
      <c r="B301" s="1758">
        <v>132.09178628946967</v>
      </c>
      <c r="C301" s="1354">
        <v>132.52514083784601</v>
      </c>
      <c r="D301" s="943">
        <v>131.71509559254201</v>
      </c>
      <c r="E301" s="1758">
        <v>136.44259326811439</v>
      </c>
      <c r="F301" s="1354">
        <v>103.14799907175457</v>
      </c>
      <c r="G301" s="1758">
        <v>109.58534964807154</v>
      </c>
      <c r="H301" s="1354">
        <v>110.85725555091086</v>
      </c>
      <c r="I301" s="1758">
        <v>111.83388852370857</v>
      </c>
      <c r="J301" s="1354">
        <v>110.44369430677337</v>
      </c>
      <c r="K301" s="1758">
        <v>139.20959516163177</v>
      </c>
      <c r="L301" s="1354">
        <v>125.0182359745008</v>
      </c>
      <c r="M301" s="1758">
        <v>180.39748092788435</v>
      </c>
      <c r="N301" s="1354">
        <v>113.28061175309443</v>
      </c>
      <c r="O301" s="1758">
        <v>124.53274756986379</v>
      </c>
      <c r="P301" s="1354">
        <v>153.9487370558042</v>
      </c>
      <c r="Q301" s="1758">
        <v>162.09769932534726</v>
      </c>
      <c r="R301" s="1354">
        <v>163.58179003395051</v>
      </c>
      <c r="S301" s="1758">
        <v>186.91265023518233</v>
      </c>
      <c r="T301" s="1778">
        <v>134.1717405657788</v>
      </c>
    </row>
    <row r="302" spans="1:20">
      <c r="A302" s="49">
        <v>2018.05</v>
      </c>
      <c r="B302" s="1758">
        <v>135.86546669164358</v>
      </c>
      <c r="C302" s="1354">
        <v>129.11734485163601</v>
      </c>
      <c r="D302" s="943">
        <v>129.97404730902801</v>
      </c>
      <c r="E302" s="1758">
        <v>144.40567193473868</v>
      </c>
      <c r="F302" s="1354">
        <v>95.931013143953479</v>
      </c>
      <c r="G302" s="1758">
        <v>118.37873292595246</v>
      </c>
      <c r="H302" s="1354">
        <v>112.33577519694096</v>
      </c>
      <c r="I302" s="1758">
        <v>118.00464960744863</v>
      </c>
      <c r="J302" s="1354">
        <v>108.61757778054515</v>
      </c>
      <c r="K302" s="1758">
        <v>142.86665048113835</v>
      </c>
      <c r="L302" s="1354">
        <v>127.05514082166242</v>
      </c>
      <c r="M302" s="1758">
        <v>178.44513563403316</v>
      </c>
      <c r="N302" s="1354">
        <v>109.48592888006706</v>
      </c>
      <c r="O302" s="1758">
        <v>130.21777964027754</v>
      </c>
      <c r="P302" s="1354">
        <v>145.27908989236417</v>
      </c>
      <c r="Q302" s="1758">
        <v>168.4391231902292</v>
      </c>
      <c r="R302" s="1354">
        <v>170.4915267369818</v>
      </c>
      <c r="S302" s="1758">
        <v>191.45385060054642</v>
      </c>
      <c r="T302" s="1778">
        <v>145.19303984650819</v>
      </c>
    </row>
    <row r="303" spans="1:20">
      <c r="A303" s="49">
        <v>2018.06</v>
      </c>
      <c r="B303" s="1758">
        <v>123.7285406594831</v>
      </c>
      <c r="C303" s="1354">
        <v>124.913810049304</v>
      </c>
      <c r="D303" s="943">
        <v>127.82866256025</v>
      </c>
      <c r="E303" s="1758">
        <v>132.20344344813157</v>
      </c>
      <c r="F303" s="1354">
        <v>64.719075734961976</v>
      </c>
      <c r="G303" s="1758">
        <v>120.95976402778784</v>
      </c>
      <c r="H303" s="1354">
        <v>93.494724091857833</v>
      </c>
      <c r="I303" s="1758">
        <v>110.758294518535</v>
      </c>
      <c r="J303" s="1354">
        <v>99.28844995611901</v>
      </c>
      <c r="K303" s="1758">
        <v>133.50144362895341</v>
      </c>
      <c r="L303" s="1354">
        <v>110.82873414059141</v>
      </c>
      <c r="M303" s="1758">
        <v>173.573295070163</v>
      </c>
      <c r="N303" s="1354">
        <v>104.98826262066633</v>
      </c>
      <c r="O303" s="1758">
        <v>122.05101055049299</v>
      </c>
      <c r="P303" s="1354">
        <v>135.76829317845744</v>
      </c>
      <c r="Q303" s="1758">
        <v>130.32664892953784</v>
      </c>
      <c r="R303" s="1354">
        <v>149.62421284334732</v>
      </c>
      <c r="S303" s="1758">
        <v>132.68158380574988</v>
      </c>
      <c r="T303" s="1778">
        <v>123.68167936315386</v>
      </c>
    </row>
    <row r="304" spans="1:20">
      <c r="A304" s="49">
        <v>2018.07</v>
      </c>
      <c r="B304" s="1758">
        <v>126.78055488105136</v>
      </c>
      <c r="C304" s="1354">
        <v>123.27844894660601</v>
      </c>
      <c r="D304" s="943">
        <v>125.39311585428401</v>
      </c>
      <c r="E304" s="1758">
        <v>142.96544284912292</v>
      </c>
      <c r="F304" s="1354">
        <v>60.240973737359802</v>
      </c>
      <c r="G304" s="1758">
        <v>115.29648964969286</v>
      </c>
      <c r="H304" s="1354">
        <v>93.128349728653717</v>
      </c>
      <c r="I304" s="1758">
        <v>114.43872361267883</v>
      </c>
      <c r="J304" s="1354">
        <v>102.36116422022437</v>
      </c>
      <c r="K304" s="1758">
        <v>127.8346431778504</v>
      </c>
      <c r="L304" s="1354">
        <v>113.1653977276021</v>
      </c>
      <c r="M304" s="1758">
        <v>177.15896598409796</v>
      </c>
      <c r="N304" s="1354">
        <v>112.10555894273875</v>
      </c>
      <c r="O304" s="1758">
        <v>124.45613199281595</v>
      </c>
      <c r="P304" s="1354">
        <v>128.34409703970292</v>
      </c>
      <c r="Q304" s="1758">
        <v>130.25651393031484</v>
      </c>
      <c r="R304" s="1354">
        <v>152.4302160661297</v>
      </c>
      <c r="S304" s="1758">
        <v>112.13854863282462</v>
      </c>
      <c r="T304" s="1778">
        <v>128.88608656342308</v>
      </c>
    </row>
    <row r="305" spans="1:20">
      <c r="A305" s="49">
        <v>2018.08</v>
      </c>
      <c r="B305" s="1758">
        <v>134.23017565612599</v>
      </c>
      <c r="C305" s="1354">
        <v>125.020162234761</v>
      </c>
      <c r="D305" s="943">
        <v>122.906532626372</v>
      </c>
      <c r="E305" s="1758">
        <v>150.16331743838091</v>
      </c>
      <c r="F305" s="1354">
        <v>64.64122074185579</v>
      </c>
      <c r="G305" s="1758">
        <v>102.72888051494709</v>
      </c>
      <c r="H305" s="1354">
        <v>102.57711976727015</v>
      </c>
      <c r="I305" s="1758">
        <v>117.98549463395324</v>
      </c>
      <c r="J305" s="1354">
        <v>111.6489710294033</v>
      </c>
      <c r="K305" s="1758">
        <v>130.19414077145842</v>
      </c>
      <c r="L305" s="1354">
        <v>118.29636339925977</v>
      </c>
      <c r="M305" s="1758">
        <v>188.56821410397811</v>
      </c>
      <c r="N305" s="1354">
        <v>119.08406331920983</v>
      </c>
      <c r="O305" s="1758">
        <v>129.72992679250933</v>
      </c>
      <c r="P305" s="1354">
        <v>148.89416410941772</v>
      </c>
      <c r="Q305" s="1758">
        <v>141.63082180155351</v>
      </c>
      <c r="R305" s="1354">
        <v>181.5508169871942</v>
      </c>
      <c r="S305" s="1758">
        <v>124.28590376159354</v>
      </c>
      <c r="T305" s="1778">
        <v>136.11674845573128</v>
      </c>
    </row>
    <row r="306" spans="1:20">
      <c r="A306" s="49">
        <v>2018.09</v>
      </c>
      <c r="B306" s="1758">
        <v>122.79085973979822</v>
      </c>
      <c r="C306" s="1354">
        <v>120.373158787012</v>
      </c>
      <c r="D306" s="943">
        <v>120.62411019329301</v>
      </c>
      <c r="E306" s="1758">
        <v>134.94465889897236</v>
      </c>
      <c r="F306" s="1354">
        <v>52.486307103491448</v>
      </c>
      <c r="G306" s="1758">
        <v>80.575357957577879</v>
      </c>
      <c r="H306" s="1354">
        <v>106.45722774552668</v>
      </c>
      <c r="I306" s="1758">
        <v>105.5406518924266</v>
      </c>
      <c r="J306" s="1354">
        <v>103.81695821075876</v>
      </c>
      <c r="K306" s="1758">
        <v>138.92489888673663</v>
      </c>
      <c r="L306" s="1354">
        <v>110.02841818080486</v>
      </c>
      <c r="M306" s="1758">
        <v>182.48246317887723</v>
      </c>
      <c r="N306" s="1354">
        <v>108.23117071496364</v>
      </c>
      <c r="O306" s="1758">
        <v>120.50238311202683</v>
      </c>
      <c r="P306" s="1354">
        <v>127.68559556929686</v>
      </c>
      <c r="Q306" s="1758">
        <v>110.23790240904714</v>
      </c>
      <c r="R306" s="1354">
        <v>140.18515784089686</v>
      </c>
      <c r="S306" s="1758">
        <v>115.94002473433014</v>
      </c>
      <c r="T306" s="1778">
        <v>111.62285032454147</v>
      </c>
    </row>
    <row r="307" spans="1:20">
      <c r="A307" s="49">
        <v>2018.1</v>
      </c>
      <c r="B307" s="1758">
        <v>130.95087535592188</v>
      </c>
      <c r="C307" s="1354">
        <v>121.641345487679</v>
      </c>
      <c r="D307" s="943">
        <v>118.796273474171</v>
      </c>
      <c r="E307" s="1758">
        <v>148.66527856073984</v>
      </c>
      <c r="F307" s="1354">
        <v>59.146317821009852</v>
      </c>
      <c r="G307" s="1758">
        <v>81.59808767906955</v>
      </c>
      <c r="H307" s="1354">
        <v>108.0202987718706</v>
      </c>
      <c r="I307" s="1758">
        <v>116.53245533945589</v>
      </c>
      <c r="J307" s="1354">
        <v>109.61259613402611</v>
      </c>
      <c r="K307" s="1758">
        <v>143.12693125535776</v>
      </c>
      <c r="L307" s="1354">
        <v>115.34588091424705</v>
      </c>
      <c r="M307" s="1758">
        <v>189.07567752306119</v>
      </c>
      <c r="N307" s="1354">
        <v>108.49313775182559</v>
      </c>
      <c r="O307" s="1758">
        <v>127.70112869026985</v>
      </c>
      <c r="P307" s="1354">
        <v>131.28477519771582</v>
      </c>
      <c r="Q307" s="1758">
        <v>131.0964212938824</v>
      </c>
      <c r="R307" s="1354">
        <v>160.31063872056859</v>
      </c>
      <c r="S307" s="1758">
        <v>133.29038841743136</v>
      </c>
      <c r="T307" s="1778">
        <v>115.44176437049984</v>
      </c>
    </row>
    <row r="308" spans="1:20">
      <c r="A308" s="49">
        <v>2018.11</v>
      </c>
      <c r="B308" s="1758">
        <v>121.7206486951649</v>
      </c>
      <c r="C308" s="1354">
        <v>118.71081224092801</v>
      </c>
      <c r="D308" s="943">
        <v>117.670784562565</v>
      </c>
      <c r="E308" s="1758">
        <v>134.35487702724652</v>
      </c>
      <c r="F308" s="1354">
        <v>60.002151440497101</v>
      </c>
      <c r="G308" s="1758">
        <v>70.151476491265342</v>
      </c>
      <c r="H308" s="1354">
        <v>89.261129818529099</v>
      </c>
      <c r="I308" s="1758">
        <v>110.64828677748349</v>
      </c>
      <c r="J308" s="1354">
        <v>105.26715291633289</v>
      </c>
      <c r="K308" s="1758">
        <v>140.28183605509227</v>
      </c>
      <c r="L308" s="1354">
        <v>109.86161322102481</v>
      </c>
      <c r="M308" s="1758">
        <v>178.75835006123944</v>
      </c>
      <c r="N308" s="1354">
        <v>101.80805352993417</v>
      </c>
      <c r="O308" s="1758">
        <v>125.39977263059299</v>
      </c>
      <c r="P308" s="1354">
        <v>115.47212086150871</v>
      </c>
      <c r="Q308" s="1758">
        <v>121.18746185974243</v>
      </c>
      <c r="R308" s="1354">
        <v>149.98157138078756</v>
      </c>
      <c r="S308" s="1758">
        <v>114.4735533240425</v>
      </c>
      <c r="T308" s="1778">
        <v>110.55618080113516</v>
      </c>
    </row>
    <row r="309" spans="1:20">
      <c r="A309" s="49">
        <v>2018.12</v>
      </c>
      <c r="B309" s="1758">
        <v>107.65050820288417</v>
      </c>
      <c r="C309" s="1354">
        <v>117.029629214434</v>
      </c>
      <c r="D309" s="943">
        <v>117.339264319492</v>
      </c>
      <c r="E309" s="1758">
        <v>125.32917208798432</v>
      </c>
      <c r="F309" s="1354">
        <v>46.130235953790432</v>
      </c>
      <c r="G309" s="1758">
        <v>55.670799348338996</v>
      </c>
      <c r="H309" s="1354">
        <v>90.133208433287351</v>
      </c>
      <c r="I309" s="1758">
        <v>93.66393919986443</v>
      </c>
      <c r="J309" s="1354">
        <v>113.15408876149468</v>
      </c>
      <c r="K309" s="1758">
        <v>123.03707656706496</v>
      </c>
      <c r="L309" s="1354">
        <v>92.889546405625723</v>
      </c>
      <c r="M309" s="1758">
        <v>149.29602719652482</v>
      </c>
      <c r="N309" s="1354">
        <v>87.111442146037376</v>
      </c>
      <c r="O309" s="1758">
        <v>110.37627214054775</v>
      </c>
      <c r="P309" s="1354">
        <v>108.97332970364764</v>
      </c>
      <c r="Q309" s="1758">
        <v>100.00469787450689</v>
      </c>
      <c r="R309" s="1354">
        <v>98.995134389018233</v>
      </c>
      <c r="S309" s="1758">
        <v>81.32228400576021</v>
      </c>
      <c r="T309" s="1778">
        <v>94.129004730504747</v>
      </c>
    </row>
    <row r="310" spans="1:20">
      <c r="A310" s="49">
        <v>2019.01</v>
      </c>
      <c r="B310" s="1758">
        <v>107.03848029567479</v>
      </c>
      <c r="C310" s="1354">
        <v>118.78104801544301</v>
      </c>
      <c r="D310" s="943">
        <v>117.712339758149</v>
      </c>
      <c r="E310" s="1758">
        <v>129.09821247871486</v>
      </c>
      <c r="F310" s="1354">
        <v>115.72098840376614</v>
      </c>
      <c r="G310" s="1758">
        <v>53.526108691342692</v>
      </c>
      <c r="H310" s="1354">
        <v>72.009163821627979</v>
      </c>
      <c r="I310" s="1758">
        <v>103.93005257805021</v>
      </c>
      <c r="J310" s="1354">
        <v>111.5081799308125</v>
      </c>
      <c r="K310" s="1758">
        <v>132.11160651240621</v>
      </c>
      <c r="L310" s="1354">
        <v>98.851950072005863</v>
      </c>
      <c r="M310" s="1758">
        <v>144.83613201010496</v>
      </c>
      <c r="N310" s="1354">
        <v>89.429314165509041</v>
      </c>
      <c r="O310" s="1758">
        <v>112.43607023742975</v>
      </c>
      <c r="P310" s="1354">
        <v>66.283608654010862</v>
      </c>
      <c r="Q310" s="1758">
        <v>87.412965163261319</v>
      </c>
      <c r="R310" s="1354">
        <v>69.933824901469208</v>
      </c>
      <c r="S310" s="1758">
        <v>78.952426175053034</v>
      </c>
      <c r="T310" s="1778">
        <v>99.031139248650376</v>
      </c>
    </row>
    <row r="311" spans="1:20">
      <c r="A311" s="49">
        <v>2019.02</v>
      </c>
      <c r="B311" s="1758">
        <v>106.67393616491125</v>
      </c>
      <c r="C311" s="1354">
        <v>124.179044206892</v>
      </c>
      <c r="D311" s="943">
        <v>118.557526356366</v>
      </c>
      <c r="E311" s="1758">
        <v>121.42717088361483</v>
      </c>
      <c r="F311" s="1354">
        <v>124.5254433857083</v>
      </c>
      <c r="G311" s="1758">
        <v>66.219225846719596</v>
      </c>
      <c r="H311" s="1354">
        <v>79.847454397822602</v>
      </c>
      <c r="I311" s="1758">
        <v>101.83935179022723</v>
      </c>
      <c r="J311" s="1354">
        <v>97.868361028029298</v>
      </c>
      <c r="K311" s="1758">
        <v>120.75448165022195</v>
      </c>
      <c r="L311" s="1354">
        <v>99.577959958162594</v>
      </c>
      <c r="M311" s="1758">
        <v>160.53461943845193</v>
      </c>
      <c r="N311" s="1354">
        <v>69.70593223424099</v>
      </c>
      <c r="O311" s="1758">
        <v>102.65395863155706</v>
      </c>
      <c r="P311" s="1354">
        <v>98.771112039777805</v>
      </c>
      <c r="Q311" s="1758">
        <v>106.5938951694057</v>
      </c>
      <c r="R311" s="1354">
        <v>126.30380385256267</v>
      </c>
      <c r="S311" s="1758">
        <v>96.37762508567107</v>
      </c>
      <c r="T311" s="1778">
        <v>99.545660571421706</v>
      </c>
    </row>
    <row r="312" spans="1:20">
      <c r="A312" s="49">
        <v>2019.03</v>
      </c>
      <c r="B312" s="1758">
        <v>118.41802463310189</v>
      </c>
      <c r="C312" s="1354">
        <v>114.865627236135</v>
      </c>
      <c r="D312" s="943">
        <v>119.519044192737</v>
      </c>
      <c r="E312" s="1758">
        <v>130.64714488314834</v>
      </c>
      <c r="F312" s="1354">
        <v>121.71241968409404</v>
      </c>
      <c r="G312" s="1758">
        <v>81.939796559649594</v>
      </c>
      <c r="H312" s="1354">
        <v>92.940789515325235</v>
      </c>
      <c r="I312" s="1758">
        <v>108.59494981990727</v>
      </c>
      <c r="J312" s="1354">
        <v>112.23820892172266</v>
      </c>
      <c r="K312" s="1758">
        <v>133.10582985142975</v>
      </c>
      <c r="L312" s="1354">
        <v>105.81304920634695</v>
      </c>
      <c r="M312" s="1758">
        <v>170.61630338197847</v>
      </c>
      <c r="N312" s="1354">
        <v>101.0022146976753</v>
      </c>
      <c r="O312" s="1758">
        <v>115.42589579414081</v>
      </c>
      <c r="P312" s="1354">
        <v>119.58140914834325</v>
      </c>
      <c r="Q312" s="1758">
        <v>118.82439120515022</v>
      </c>
      <c r="R312" s="1354">
        <v>122.80126978388257</v>
      </c>
      <c r="S312" s="1758">
        <v>93.398636853395374</v>
      </c>
      <c r="T312" s="1778">
        <v>101.01195807791628</v>
      </c>
    </row>
    <row r="313" spans="1:20">
      <c r="A313" s="49">
        <v>2019.04</v>
      </c>
      <c r="B313" s="1758">
        <v>120.37257298567555</v>
      </c>
      <c r="C313" s="1354">
        <v>119.432761098136</v>
      </c>
      <c r="D313" s="943">
        <v>120.24924457635601</v>
      </c>
      <c r="E313" s="1758">
        <v>134.42458181488936</v>
      </c>
      <c r="F313" s="1354">
        <v>84.953378775982955</v>
      </c>
      <c r="G313" s="1758">
        <v>90.118038632754192</v>
      </c>
      <c r="H313" s="1354">
        <v>91.477112902790211</v>
      </c>
      <c r="I313" s="1758">
        <v>108.55309225725138</v>
      </c>
      <c r="J313" s="1354">
        <v>101.30046984937597</v>
      </c>
      <c r="K313" s="1758">
        <v>137.00099875812094</v>
      </c>
      <c r="L313" s="1354">
        <v>108.43415362973133</v>
      </c>
      <c r="M313" s="1758">
        <v>167.22750648310353</v>
      </c>
      <c r="N313" s="1354">
        <v>107.99154235610483</v>
      </c>
      <c r="O313" s="1758">
        <v>116.25908819649636</v>
      </c>
      <c r="P313" s="1354">
        <v>118.07272429190947</v>
      </c>
      <c r="Q313" s="1758">
        <v>122.53617876964559</v>
      </c>
      <c r="R313" s="1354">
        <v>126.63886317696237</v>
      </c>
      <c r="S313" s="1758">
        <v>96.424613652044215</v>
      </c>
      <c r="T313" s="1778">
        <v>105.58451468976443</v>
      </c>
    </row>
    <row r="314" spans="1:20">
      <c r="A314" s="49">
        <v>2019.05</v>
      </c>
      <c r="B314" s="1758">
        <v>126.47961261497039</v>
      </c>
      <c r="C314" s="1354">
        <v>119.167308916835</v>
      </c>
      <c r="D314" s="943">
        <v>120.536226580739</v>
      </c>
      <c r="E314" s="1758">
        <v>142.71759402530401</v>
      </c>
      <c r="F314" s="1354">
        <v>82.310215356339228</v>
      </c>
      <c r="G314" s="1758">
        <v>95.167593202194581</v>
      </c>
      <c r="H314" s="1354">
        <v>98.276414214758162</v>
      </c>
      <c r="I314" s="1758">
        <v>113.601119375644</v>
      </c>
      <c r="J314" s="1354">
        <v>111.72279504087436</v>
      </c>
      <c r="K314" s="1758">
        <v>139.42235615836037</v>
      </c>
      <c r="L314" s="1354">
        <v>110.86030188390767</v>
      </c>
      <c r="M314" s="1758">
        <v>170.23756597809799</v>
      </c>
      <c r="N314" s="1354">
        <v>113.09442032293096</v>
      </c>
      <c r="O314" s="1758">
        <v>123.36120025182343</v>
      </c>
      <c r="P314" s="1354">
        <v>122.79438987625326</v>
      </c>
      <c r="Q314" s="1758">
        <v>136.34543246795715</v>
      </c>
      <c r="R314" s="1354">
        <v>132.33303448494706</v>
      </c>
      <c r="S314" s="1758">
        <v>104.58567071662527</v>
      </c>
      <c r="T314" s="1778">
        <v>112.78262826485957</v>
      </c>
    </row>
    <row r="315" spans="1:20">
      <c r="A315" s="49">
        <v>2019.06</v>
      </c>
      <c r="B315" s="1758">
        <v>114.85187278421954</v>
      </c>
      <c r="C315" s="1354">
        <v>117.583440016937</v>
      </c>
      <c r="D315" s="943">
        <v>120.34042292648699</v>
      </c>
      <c r="E315" s="1758">
        <v>133.64666936246317</v>
      </c>
      <c r="F315" s="1354">
        <v>64.382349201203269</v>
      </c>
      <c r="G315" s="1758">
        <v>98.947763879061824</v>
      </c>
      <c r="H315" s="1354">
        <v>80.493046823996977</v>
      </c>
      <c r="I315" s="1758">
        <v>106.70505307514536</v>
      </c>
      <c r="J315" s="1354">
        <v>102.05208189747209</v>
      </c>
      <c r="K315" s="1758">
        <v>119.41783298080908</v>
      </c>
      <c r="L315" s="1354">
        <v>103.60364092473051</v>
      </c>
      <c r="M315" s="1758">
        <v>159.5769803270635</v>
      </c>
      <c r="N315" s="1354">
        <v>100.04476741147381</v>
      </c>
      <c r="O315" s="1758">
        <v>107.36160801056036</v>
      </c>
      <c r="P315" s="1354">
        <v>122.72184363535678</v>
      </c>
      <c r="Q315" s="1758">
        <v>119.95521623041624</v>
      </c>
      <c r="R315" s="1354">
        <v>106.70280408380624</v>
      </c>
      <c r="S315" s="1758">
        <v>89.177079526388397</v>
      </c>
      <c r="T315" s="1778">
        <v>105.6823530848344</v>
      </c>
    </row>
    <row r="316" spans="1:20">
      <c r="A316" s="49">
        <v>2019.07</v>
      </c>
      <c r="B316" s="1758">
        <v>124.59825669196819</v>
      </c>
      <c r="C316" s="1354">
        <v>118.91589170496199</v>
      </c>
      <c r="D316" s="943">
        <v>119.776579139671</v>
      </c>
      <c r="E316" s="1758">
        <v>149.35142869627148</v>
      </c>
      <c r="F316" s="1354">
        <v>61.206140469435518</v>
      </c>
      <c r="G316" s="1758">
        <v>117.4306444011098</v>
      </c>
      <c r="H316" s="1354">
        <v>85.963048484769857</v>
      </c>
      <c r="I316" s="1758">
        <v>111.6445632987643</v>
      </c>
      <c r="J316" s="1354">
        <v>107.16503703272446</v>
      </c>
      <c r="K316" s="1758">
        <v>121.61542330059011</v>
      </c>
      <c r="L316" s="1354">
        <v>111.90391177005749</v>
      </c>
      <c r="M316" s="1758">
        <v>169.19805952792399</v>
      </c>
      <c r="N316" s="1354">
        <v>107.1196084608507</v>
      </c>
      <c r="O316" s="1758">
        <v>114.94630550072793</v>
      </c>
      <c r="P316" s="1354">
        <v>129.75150819462581</v>
      </c>
      <c r="Q316" s="1758">
        <v>142.38129651139798</v>
      </c>
      <c r="R316" s="1354">
        <v>112.36332183905586</v>
      </c>
      <c r="S316" s="1758">
        <v>93.256672201348792</v>
      </c>
      <c r="T316" s="1778">
        <v>128.77262645085673</v>
      </c>
    </row>
    <row r="317" spans="1:20">
      <c r="A317" s="49">
        <v>2019.08</v>
      </c>
      <c r="B317" s="1758">
        <v>125.6565333781152</v>
      </c>
      <c r="C317" s="1354">
        <v>117.73656151709901</v>
      </c>
      <c r="D317" s="943">
        <v>118.954432351948</v>
      </c>
      <c r="E317" s="1758">
        <v>151.0965112904712</v>
      </c>
      <c r="F317" s="1354">
        <v>56.543871245394264</v>
      </c>
      <c r="G317" s="1758">
        <v>104.2608889311598</v>
      </c>
      <c r="H317" s="1354">
        <v>90.563370621399116</v>
      </c>
      <c r="I317" s="1758">
        <v>110.99874553080906</v>
      </c>
      <c r="J317" s="1354">
        <v>110.12199781033559</v>
      </c>
      <c r="K317" s="1758">
        <v>124.32665848835246</v>
      </c>
      <c r="L317" s="1354">
        <v>108.58828345195398</v>
      </c>
      <c r="M317" s="1758">
        <v>184.05230405648086</v>
      </c>
      <c r="N317" s="1354">
        <v>108.10097060774758</v>
      </c>
      <c r="O317" s="1758">
        <v>114.33157915482629</v>
      </c>
      <c r="P317" s="1354">
        <v>127.61840777167725</v>
      </c>
      <c r="Q317" s="1758">
        <v>137.88508163695377</v>
      </c>
      <c r="R317" s="1354">
        <v>131.3105211864484</v>
      </c>
      <c r="S317" s="1758">
        <v>98.656805280470067</v>
      </c>
      <c r="T317" s="1778">
        <v>114.29326084052781</v>
      </c>
    </row>
    <row r="318" spans="1:20">
      <c r="A318" s="49">
        <v>2019.09</v>
      </c>
      <c r="B318" s="1758">
        <v>116.66765831856677</v>
      </c>
      <c r="C318" s="1354">
        <v>113.196336576034</v>
      </c>
      <c r="D318" s="943">
        <v>117.92315882443501</v>
      </c>
      <c r="E318" s="1758">
        <v>136.26837981817951</v>
      </c>
      <c r="F318" s="1354">
        <v>58.165644395870864</v>
      </c>
      <c r="G318" s="1758">
        <v>99.420910395624972</v>
      </c>
      <c r="H318" s="1354">
        <v>87.805300241626981</v>
      </c>
      <c r="I318" s="1758">
        <v>109.82928781890742</v>
      </c>
      <c r="J318" s="1354">
        <v>101.54248651094704</v>
      </c>
      <c r="K318" s="1758">
        <v>121.79565488143237</v>
      </c>
      <c r="L318" s="1354">
        <v>105.79092105560198</v>
      </c>
      <c r="M318" s="1758">
        <v>174.96101707300383</v>
      </c>
      <c r="N318" s="1354">
        <v>98.872418412363302</v>
      </c>
      <c r="O318" s="1758">
        <v>109.06020871304055</v>
      </c>
      <c r="P318" s="1354">
        <v>116.38497427978736</v>
      </c>
      <c r="Q318" s="1758">
        <v>113.2852214143105</v>
      </c>
      <c r="R318" s="1354">
        <v>117.65049796772288</v>
      </c>
      <c r="S318" s="1758">
        <v>92.919219984334092</v>
      </c>
      <c r="T318" s="1778">
        <v>95.875616282885957</v>
      </c>
    </row>
    <row r="319" spans="1:20">
      <c r="A319" s="49">
        <v>2019.1</v>
      </c>
      <c r="B319" s="1758">
        <v>128.57781819763605</v>
      </c>
      <c r="C319" s="1354">
        <v>119.785251081182</v>
      </c>
      <c r="D319" s="943">
        <v>116.56130956401699</v>
      </c>
      <c r="E319" s="1758">
        <v>149.4223891940168</v>
      </c>
      <c r="F319" s="1354">
        <v>62.649403063862252</v>
      </c>
      <c r="G319" s="1758">
        <v>94.272409893848121</v>
      </c>
      <c r="H319" s="1354">
        <v>98.849648504289462</v>
      </c>
      <c r="I319" s="1758">
        <v>116.44039089797178</v>
      </c>
      <c r="J319" s="1354">
        <v>113.95350261098075</v>
      </c>
      <c r="K319" s="1758">
        <v>141.3206343797419</v>
      </c>
      <c r="L319" s="1354">
        <v>115.27403849734247</v>
      </c>
      <c r="M319" s="1758">
        <v>175.88896246133802</v>
      </c>
      <c r="N319" s="1354">
        <v>111.88747365677135</v>
      </c>
      <c r="O319" s="1758">
        <v>116.77533974611198</v>
      </c>
      <c r="P319" s="1354">
        <v>133.0535987019758</v>
      </c>
      <c r="Q319" s="1758">
        <v>123.06726755072043</v>
      </c>
      <c r="R319" s="1354">
        <v>134.11301781306338</v>
      </c>
      <c r="S319" s="1758">
        <v>98.19602188651092</v>
      </c>
      <c r="T319" s="1778">
        <v>111.58426096204096</v>
      </c>
    </row>
    <row r="320" spans="1:20">
      <c r="A320" s="49">
        <v>2019.11</v>
      </c>
      <c r="B320" s="1758">
        <v>116.4504456095095</v>
      </c>
      <c r="C320" s="1354">
        <v>116.126272047424</v>
      </c>
      <c r="D320" s="943">
        <v>114.65747635313301</v>
      </c>
      <c r="E320" s="1758">
        <v>132.22617897982343</v>
      </c>
      <c r="F320" s="1354">
        <v>56.10365898798301</v>
      </c>
      <c r="G320" s="1758">
        <v>77.82030618931536</v>
      </c>
      <c r="H320" s="1354">
        <v>83.377755723197481</v>
      </c>
      <c r="I320" s="1758">
        <v>108.74393913864824</v>
      </c>
      <c r="J320" s="1354">
        <v>109.08127090081264</v>
      </c>
      <c r="K320" s="1758">
        <v>135.27247703218725</v>
      </c>
      <c r="L320" s="1354">
        <v>112.50631567501713</v>
      </c>
      <c r="M320" s="1758">
        <v>168.30640777136105</v>
      </c>
      <c r="N320" s="1354">
        <v>95.960633486361317</v>
      </c>
      <c r="O320" s="1758">
        <v>106.70787828646989</v>
      </c>
      <c r="P320" s="1354">
        <v>112.84308462897307</v>
      </c>
      <c r="Q320" s="1758">
        <v>107.51535168519072</v>
      </c>
      <c r="R320" s="1354">
        <v>114.12115863032969</v>
      </c>
      <c r="S320" s="1758">
        <v>87.256466640707302</v>
      </c>
      <c r="T320" s="1778">
        <v>109.89006255473215</v>
      </c>
    </row>
    <row r="321" spans="1:20">
      <c r="A321" s="49">
        <v>2019.12</v>
      </c>
      <c r="B321" s="1758">
        <v>109.19722086584407</v>
      </c>
      <c r="C321" s="1354">
        <v>117.66399128192</v>
      </c>
      <c r="D321" s="943">
        <v>112.079715309473</v>
      </c>
      <c r="E321" s="1758">
        <v>134.60980174100263</v>
      </c>
      <c r="F321" s="1354">
        <v>44.401768166867761</v>
      </c>
      <c r="G321" s="1758">
        <v>61.347927875649724</v>
      </c>
      <c r="H321" s="1354">
        <v>84.243162787945934</v>
      </c>
      <c r="I321" s="1758">
        <v>101.51867409215006</v>
      </c>
      <c r="J321" s="1354">
        <v>115.36449566142679</v>
      </c>
      <c r="K321" s="1758">
        <v>121.37538788530081</v>
      </c>
      <c r="L321" s="1354">
        <v>94.889137602963444</v>
      </c>
      <c r="M321" s="1758">
        <v>144.03676653629469</v>
      </c>
      <c r="N321" s="1354">
        <v>87.96530189651979</v>
      </c>
      <c r="O321" s="1758">
        <v>92.829167896543609</v>
      </c>
      <c r="P321" s="1354">
        <v>118.94333199528498</v>
      </c>
      <c r="Q321" s="1758">
        <v>95.987368785138088</v>
      </c>
      <c r="R321" s="1354">
        <v>82.794638444158807</v>
      </c>
      <c r="S321" s="1758">
        <v>78.145738336206847</v>
      </c>
      <c r="T321" s="1778">
        <v>97.029142678705369</v>
      </c>
    </row>
    <row r="322" spans="1:20">
      <c r="A322" s="49">
        <v>2020.01</v>
      </c>
      <c r="B322" s="1758">
        <v>106.96676586826234</v>
      </c>
      <c r="C322" s="1354">
        <v>118.284598273578</v>
      </c>
      <c r="D322" s="943">
        <v>108.96696735542299</v>
      </c>
      <c r="E322" s="1758">
        <v>135.14458755144926</v>
      </c>
      <c r="F322" s="1354">
        <v>107.49832079298531</v>
      </c>
      <c r="G322" s="1758">
        <v>53.685557510100892</v>
      </c>
      <c r="H322" s="1354">
        <v>63.638295741588763</v>
      </c>
      <c r="I322" s="1758">
        <v>100.31885236439214</v>
      </c>
      <c r="J322" s="1354">
        <v>116.07244396174279</v>
      </c>
      <c r="K322" s="1758">
        <v>133.23206984450249</v>
      </c>
      <c r="L322" s="1354">
        <v>98.072353952860439</v>
      </c>
      <c r="M322" s="1758">
        <v>133.42068368639494</v>
      </c>
      <c r="N322" s="1354">
        <v>85.853670655206244</v>
      </c>
      <c r="O322" s="1758">
        <v>89.892002194059998</v>
      </c>
      <c r="P322" s="1354">
        <v>86.483838609886249</v>
      </c>
      <c r="Q322" s="1758">
        <v>88.836802183062531</v>
      </c>
      <c r="R322" s="1354">
        <v>76.223056342131443</v>
      </c>
      <c r="S322" s="1758">
        <v>75.578967687317871</v>
      </c>
      <c r="T322" s="1778">
        <v>93.374302820236224</v>
      </c>
    </row>
    <row r="323" spans="1:20">
      <c r="A323" s="49">
        <v>2020.02</v>
      </c>
      <c r="B323" s="1758">
        <v>105.96615315429496</v>
      </c>
      <c r="C323" s="1354">
        <v>118.989334046347</v>
      </c>
      <c r="D323" s="943">
        <v>105.743762270112</v>
      </c>
      <c r="E323" s="1758">
        <v>128.59472599974649</v>
      </c>
      <c r="F323" s="1354">
        <v>108.89521576359849</v>
      </c>
      <c r="G323" s="1758">
        <v>61.238377253105263</v>
      </c>
      <c r="H323" s="1354">
        <v>70.669146163234984</v>
      </c>
      <c r="I323" s="1758">
        <v>102.02788212082739</v>
      </c>
      <c r="J323" s="1354">
        <v>105.46350899621559</v>
      </c>
      <c r="K323" s="1758">
        <v>123.89018090753201</v>
      </c>
      <c r="L323" s="1354">
        <v>94.629951149984677</v>
      </c>
      <c r="M323" s="1758">
        <v>138.3530779501744</v>
      </c>
      <c r="N323" s="1354">
        <v>77.374495780295135</v>
      </c>
      <c r="O323" s="1758">
        <v>89.44186103816196</v>
      </c>
      <c r="P323" s="1354">
        <v>108.67847857658433</v>
      </c>
      <c r="Q323" s="1758">
        <v>96.520827684021114</v>
      </c>
      <c r="R323" s="1354">
        <v>108.46822366574609</v>
      </c>
      <c r="S323" s="1758">
        <v>76.833299505790634</v>
      </c>
      <c r="T323" s="1778">
        <v>84.634268285208023</v>
      </c>
    </row>
    <row r="324" spans="1:20">
      <c r="A324" s="49">
        <v>2020.03</v>
      </c>
      <c r="B324" s="1758">
        <v>98.85080173419037</v>
      </c>
      <c r="C324" s="1354">
        <v>93.518237554805694</v>
      </c>
      <c r="D324" s="943">
        <v>103.06844175983601</v>
      </c>
      <c r="E324" s="1758">
        <v>128.6580919307722</v>
      </c>
      <c r="F324" s="1354">
        <v>92.365113433644368</v>
      </c>
      <c r="G324" s="1758">
        <v>56.467679177743754</v>
      </c>
      <c r="H324" s="1354">
        <v>55.037513636578325</v>
      </c>
      <c r="I324" s="1758">
        <v>99.351559885544546</v>
      </c>
      <c r="J324" s="1354">
        <v>101.20360349271742</v>
      </c>
      <c r="K324" s="1758">
        <v>129.60172043850076</v>
      </c>
      <c r="L324" s="1354">
        <v>84.824650234956707</v>
      </c>
      <c r="M324" s="1758">
        <v>101.33182092609687</v>
      </c>
      <c r="N324" s="1354">
        <v>72.167008689141255</v>
      </c>
      <c r="O324" s="1758">
        <v>76.253709135348217</v>
      </c>
      <c r="P324" s="1354">
        <v>91.759450586010374</v>
      </c>
      <c r="Q324" s="1758">
        <v>71.560555052557106</v>
      </c>
      <c r="R324" s="1354">
        <v>79.855053121149837</v>
      </c>
      <c r="S324" s="1758">
        <v>67.970125444903601</v>
      </c>
      <c r="T324" s="1778">
        <v>74.612529701421394</v>
      </c>
    </row>
    <row r="325" spans="1:20">
      <c r="A325" s="49">
        <v>2020.04</v>
      </c>
      <c r="B325" s="1758">
        <v>80.3695831755266</v>
      </c>
      <c r="C325" s="1354">
        <v>79.767370630230104</v>
      </c>
      <c r="D325" s="943">
        <v>101.583435933121</v>
      </c>
      <c r="E325" s="1758">
        <v>133.76928370619399</v>
      </c>
      <c r="F325" s="1354">
        <v>34.952047626628996</v>
      </c>
      <c r="G325" s="1758">
        <v>39.164815012520222</v>
      </c>
      <c r="H325" s="1354">
        <v>19.930023401032091</v>
      </c>
      <c r="I325" s="1758">
        <v>99.988402951783314</v>
      </c>
      <c r="J325" s="1354">
        <v>66.425531763209065</v>
      </c>
      <c r="K325" s="1758">
        <v>121.95674853973888</v>
      </c>
      <c r="L325" s="1354">
        <v>66.513689892042464</v>
      </c>
      <c r="M325" s="1758">
        <v>48.917476349248957</v>
      </c>
      <c r="N325" s="1354">
        <v>37.239417996580066</v>
      </c>
      <c r="O325" s="1758">
        <v>44.164379847481875</v>
      </c>
      <c r="P325" s="1354">
        <v>65.220669661685349</v>
      </c>
      <c r="Q325" s="1758">
        <v>30.69276727043205</v>
      </c>
      <c r="R325" s="1354">
        <v>14.478824246210547</v>
      </c>
      <c r="S325" s="1758">
        <v>15.855073604277885</v>
      </c>
      <c r="T325" s="1778">
        <v>46.333628514520129</v>
      </c>
    </row>
    <row r="326" spans="1:20">
      <c r="A326" s="49">
        <v>2020.05</v>
      </c>
      <c r="B326" s="1758">
        <v>93.397270578977967</v>
      </c>
      <c r="C326" s="1354">
        <v>88.854272618256005</v>
      </c>
      <c r="D326" s="943">
        <v>101.67145271299199</v>
      </c>
      <c r="E326" s="1758">
        <v>135.78331991993463</v>
      </c>
      <c r="F326" s="1354">
        <v>93.477718133084679</v>
      </c>
      <c r="G326" s="1758">
        <v>58.254191906723058</v>
      </c>
      <c r="H326" s="1354">
        <v>31.224234059840388</v>
      </c>
      <c r="I326" s="1758">
        <v>103.07732126970157</v>
      </c>
      <c r="J326" s="1354">
        <v>79.883245638221396</v>
      </c>
      <c r="K326" s="1758">
        <v>125.05695622089542</v>
      </c>
      <c r="L326" s="1354">
        <v>79.441006279644455</v>
      </c>
      <c r="M326" s="1758">
        <v>88.09535611448463</v>
      </c>
      <c r="N326" s="1354">
        <v>51.267371333448608</v>
      </c>
      <c r="O326" s="1758">
        <v>69.059181605470243</v>
      </c>
      <c r="P326" s="1354">
        <v>92.612685193070362</v>
      </c>
      <c r="Q326" s="1758">
        <v>66.096004488177158</v>
      </c>
      <c r="R326" s="1354">
        <v>34.667041104432762</v>
      </c>
      <c r="S326" s="1758">
        <v>26.933470451291964</v>
      </c>
      <c r="T326" s="1778">
        <v>86.515839644345874</v>
      </c>
    </row>
    <row r="327" spans="1:20">
      <c r="A327" s="49">
        <v>2020.06</v>
      </c>
      <c r="B327" s="1758">
        <v>107.68552518388505</v>
      </c>
      <c r="C327" s="1354">
        <v>106.757700254212</v>
      </c>
      <c r="D327" s="943">
        <v>103.34397025825599</v>
      </c>
      <c r="E327" s="1758">
        <v>140.70120790119668</v>
      </c>
      <c r="F327" s="1354">
        <v>124.00446935185676</v>
      </c>
      <c r="G327" s="1758">
        <v>85.650353766375517</v>
      </c>
      <c r="H327" s="1354">
        <v>50.209336371714194</v>
      </c>
      <c r="I327" s="1758">
        <v>105.9060445495474</v>
      </c>
      <c r="J327" s="1354">
        <v>90.12312933279803</v>
      </c>
      <c r="K327" s="1758">
        <v>128.9908324810402</v>
      </c>
      <c r="L327" s="1354">
        <v>97.510341003832281</v>
      </c>
      <c r="M327" s="1758">
        <v>137.26707464607378</v>
      </c>
      <c r="N327" s="1354">
        <v>61.971140820657986</v>
      </c>
      <c r="O327" s="1758">
        <v>89.228183906926134</v>
      </c>
      <c r="P327" s="1354">
        <v>120.03161052126887</v>
      </c>
      <c r="Q327" s="1758">
        <v>101.01232459994969</v>
      </c>
      <c r="R327" s="1354">
        <v>72.87636767510368</v>
      </c>
      <c r="S327" s="1758">
        <v>48.419823110318497</v>
      </c>
      <c r="T327" s="1778">
        <v>108.8529860524809</v>
      </c>
    </row>
    <row r="328" spans="1:20">
      <c r="A328" s="49">
        <v>2020.07</v>
      </c>
      <c r="B328" s="1758">
        <v>116.4396784123465</v>
      </c>
      <c r="C328" s="1354">
        <v>110.238131906796</v>
      </c>
      <c r="D328" s="943">
        <v>106.236454018735</v>
      </c>
      <c r="E328" s="1758">
        <v>148.4514457539955</v>
      </c>
      <c r="F328" s="1354">
        <v>97.190708550388749</v>
      </c>
      <c r="G328" s="1758">
        <v>90.088027792478385</v>
      </c>
      <c r="H328" s="1354">
        <v>57.259231484246392</v>
      </c>
      <c r="I328" s="1758">
        <v>110.74784478911826</v>
      </c>
      <c r="J328" s="1354">
        <v>99.020700470388107</v>
      </c>
      <c r="K328" s="1758">
        <v>138.44740883517349</v>
      </c>
      <c r="L328" s="1354">
        <v>100.23836147887918</v>
      </c>
      <c r="M328" s="1758">
        <v>157.35953904450207</v>
      </c>
      <c r="N328" s="1354">
        <v>75.032822096375284</v>
      </c>
      <c r="O328" s="1758">
        <v>96.819421231977699</v>
      </c>
      <c r="P328" s="1354">
        <v>126.3164621006881</v>
      </c>
      <c r="Q328" s="1758">
        <v>116.12216442212063</v>
      </c>
      <c r="R328" s="1354">
        <v>89.429041832126117</v>
      </c>
      <c r="S328" s="1758">
        <v>52.835810942438002</v>
      </c>
      <c r="T328" s="1778">
        <v>121.39358663741463</v>
      </c>
    </row>
    <row r="329" spans="1:20">
      <c r="A329" s="49">
        <v>2020.08</v>
      </c>
      <c r="B329" s="1758">
        <v>116.62865541586976</v>
      </c>
      <c r="C329" s="1354">
        <v>110.143299464032</v>
      </c>
      <c r="D329" s="943">
        <v>109.75687742323601</v>
      </c>
      <c r="E329" s="1758">
        <v>144.03787808419085</v>
      </c>
      <c r="F329" s="1354">
        <v>61.091435751165747</v>
      </c>
      <c r="G329" s="1758">
        <v>84.863498205609076</v>
      </c>
      <c r="H329" s="1354">
        <v>61.122607308647211</v>
      </c>
      <c r="I329" s="1758">
        <v>108.39117117781288</v>
      </c>
      <c r="J329" s="1354">
        <v>96.115556819915739</v>
      </c>
      <c r="K329" s="1758">
        <v>138.23028260317162</v>
      </c>
      <c r="L329" s="1354">
        <v>104.71116812751701</v>
      </c>
      <c r="M329" s="1758">
        <v>171.09603180717409</v>
      </c>
      <c r="N329" s="1354">
        <v>80.593063090285497</v>
      </c>
      <c r="O329" s="1758">
        <v>101.28824610119862</v>
      </c>
      <c r="P329" s="1354">
        <v>134.08557286528654</v>
      </c>
      <c r="Q329" s="1758">
        <v>97.663808005937554</v>
      </c>
      <c r="R329" s="1354">
        <v>108.86441925548857</v>
      </c>
      <c r="S329" s="1758">
        <v>57.006523295478928</v>
      </c>
      <c r="T329" s="1778">
        <v>117.04706770801938</v>
      </c>
    </row>
    <row r="330" spans="1:20">
      <c r="A330" s="49">
        <v>2020.09</v>
      </c>
      <c r="B330" s="1758">
        <v>120.98271248501304</v>
      </c>
      <c r="C330" s="1354">
        <v>116.09412476457101</v>
      </c>
      <c r="D330" s="943">
        <v>113.322175203474</v>
      </c>
      <c r="E330" s="1758">
        <v>145.26513332768457</v>
      </c>
      <c r="F330" s="1354">
        <v>62.730772575563464</v>
      </c>
      <c r="G330" s="1758">
        <v>80.614305984664455</v>
      </c>
      <c r="H330" s="1354">
        <v>66.677306963122902</v>
      </c>
      <c r="I330" s="1758">
        <v>117.93702252378742</v>
      </c>
      <c r="J330" s="1354">
        <v>81.672943846704996</v>
      </c>
      <c r="K330" s="1758">
        <v>141.73771041484639</v>
      </c>
      <c r="L330" s="1354">
        <v>112.384546052193</v>
      </c>
      <c r="M330" s="1758">
        <v>184.07789850686325</v>
      </c>
      <c r="N330" s="1354">
        <v>82.81742368873725</v>
      </c>
      <c r="O330" s="1758">
        <v>103.83194075108943</v>
      </c>
      <c r="P330" s="1354">
        <v>142.37042113220949</v>
      </c>
      <c r="Q330" s="1758">
        <v>125.41297801766542</v>
      </c>
      <c r="R330" s="1354">
        <v>128.86437560729536</v>
      </c>
      <c r="S330" s="1758">
        <v>64.906295691387299</v>
      </c>
      <c r="T330" s="1778">
        <v>111.07854887857188</v>
      </c>
    </row>
    <row r="331" spans="1:20">
      <c r="A331" s="49">
        <v>2020.1</v>
      </c>
      <c r="B331" s="1758">
        <v>124.93316804669958</v>
      </c>
      <c r="C331" s="1354">
        <v>118.339186184357</v>
      </c>
      <c r="D331" s="943">
        <v>116.524392190303</v>
      </c>
      <c r="E331" s="1758">
        <v>146.05757921304874</v>
      </c>
      <c r="F331" s="1354">
        <v>54.174445680287199</v>
      </c>
      <c r="G331" s="1758">
        <v>82.723803934845591</v>
      </c>
      <c r="H331" s="1354">
        <v>75.174325439194689</v>
      </c>
      <c r="I331" s="1758">
        <v>116.42640319095658</v>
      </c>
      <c r="J331" s="1354">
        <v>89.31780293640611</v>
      </c>
      <c r="K331" s="1758">
        <v>140.32913712700872</v>
      </c>
      <c r="L331" s="1354">
        <v>118.98921893550937</v>
      </c>
      <c r="M331" s="1758">
        <v>186.66826616393138</v>
      </c>
      <c r="N331" s="1354">
        <v>99.402210029005886</v>
      </c>
      <c r="O331" s="1758">
        <v>101.79164210496367</v>
      </c>
      <c r="P331" s="1354">
        <v>167.28800080236741</v>
      </c>
      <c r="Q331" s="1758">
        <v>128.19841789713377</v>
      </c>
      <c r="R331" s="1354">
        <v>122.23085143519442</v>
      </c>
      <c r="S331" s="1758">
        <v>69.77347410798798</v>
      </c>
      <c r="T331" s="1778">
        <v>120.94524213666953</v>
      </c>
    </row>
    <row r="332" spans="1:20">
      <c r="A332" s="49">
        <v>2020.11</v>
      </c>
      <c r="B332" s="1758">
        <v>121.63746716478752</v>
      </c>
      <c r="C332" s="1354">
        <v>122.05947935688999</v>
      </c>
      <c r="D332" s="943">
        <v>119.221665161093</v>
      </c>
      <c r="E332" s="1758">
        <v>138.41444969538819</v>
      </c>
      <c r="F332" s="1354">
        <v>55.056281297443405</v>
      </c>
      <c r="G332" s="1758">
        <v>76.184926560787588</v>
      </c>
      <c r="H332" s="1354">
        <v>67.121624986640114</v>
      </c>
      <c r="I332" s="1758">
        <v>114.62386501311047</v>
      </c>
      <c r="J332" s="1354">
        <v>91.622046150923893</v>
      </c>
      <c r="K332" s="1758">
        <v>139.45747352272875</v>
      </c>
      <c r="L332" s="1354">
        <v>119.0858107166454</v>
      </c>
      <c r="M332" s="1758">
        <v>194.0172376273469</v>
      </c>
      <c r="N332" s="1354">
        <v>97.304553818516212</v>
      </c>
      <c r="O332" s="1758">
        <v>101.58558684981567</v>
      </c>
      <c r="P332" s="1354">
        <v>145.92901088136375</v>
      </c>
      <c r="Q332" s="1758">
        <v>139.34241284640464</v>
      </c>
      <c r="R332" s="1354">
        <v>131.50461874938921</v>
      </c>
      <c r="S332" s="1758">
        <v>74.715396569907242</v>
      </c>
      <c r="T332" s="1778">
        <v>110.78231209045292</v>
      </c>
    </row>
    <row r="333" spans="1:20">
      <c r="A333" s="49">
        <v>2020.12</v>
      </c>
      <c r="B333" s="1758">
        <v>115.3045653308336</v>
      </c>
      <c r="C333" s="1354">
        <v>122.327409285751</v>
      </c>
      <c r="D333" s="943">
        <v>121.439233017139</v>
      </c>
      <c r="E333" s="1758">
        <v>127.76929107064245</v>
      </c>
      <c r="F333" s="1354">
        <v>47.818829789454291</v>
      </c>
      <c r="G333" s="1758">
        <v>66.083074419060878</v>
      </c>
      <c r="H333" s="1354">
        <v>82.130994036887728</v>
      </c>
      <c r="I333" s="1758">
        <v>103.26207725994266</v>
      </c>
      <c r="J333" s="1354">
        <v>99.793144761429872</v>
      </c>
      <c r="K333" s="1758">
        <v>130.99954834394134</v>
      </c>
      <c r="L333" s="1354">
        <v>107.04203667813886</v>
      </c>
      <c r="M333" s="1758">
        <v>182.20616474816251</v>
      </c>
      <c r="N333" s="1354">
        <v>96.677425070116456</v>
      </c>
      <c r="O333" s="1758">
        <v>91.970908224881882</v>
      </c>
      <c r="P333" s="1354">
        <v>159.91433261453156</v>
      </c>
      <c r="Q333" s="1758">
        <v>121.60613373277037</v>
      </c>
      <c r="R333" s="1354">
        <v>116.34413764325313</v>
      </c>
      <c r="S333" s="1758">
        <v>69.338415587011767</v>
      </c>
      <c r="T333" s="1778">
        <v>102.88522893519989</v>
      </c>
    </row>
    <row r="334" spans="1:20">
      <c r="A334" s="49">
        <f>A322+1</f>
        <v>2021.01</v>
      </c>
      <c r="B334" s="1758">
        <v>111.77271865397569</v>
      </c>
      <c r="C334" s="1354">
        <v>125.899742197496</v>
      </c>
      <c r="D334" s="943">
        <v>123.278304587279</v>
      </c>
      <c r="E334" s="1758">
        <v>137.57433212438934</v>
      </c>
      <c r="F334" s="1354">
        <v>87.717784710067804</v>
      </c>
      <c r="G334" s="1758">
        <v>55.675821902074503</v>
      </c>
      <c r="H334" s="1354">
        <v>56.7787545244055</v>
      </c>
      <c r="I334" s="1758">
        <v>104.2275529824085</v>
      </c>
      <c r="J334" s="1354">
        <v>106.59139381888794</v>
      </c>
      <c r="K334" s="1758">
        <v>131.48426372588634</v>
      </c>
      <c r="L334" s="1354">
        <v>112.07163743881951</v>
      </c>
      <c r="M334" s="1758">
        <v>175.41382420665749</v>
      </c>
      <c r="N334" s="1354">
        <v>99.207323040461176</v>
      </c>
      <c r="O334" s="1758">
        <v>93.031681794026142</v>
      </c>
      <c r="P334" s="1354">
        <v>108.64832916851773</v>
      </c>
      <c r="Q334" s="1758">
        <v>95.074984790116616</v>
      </c>
      <c r="R334" s="1354">
        <v>88.419485754492499</v>
      </c>
      <c r="S334" s="1758">
        <v>60.841220424292608</v>
      </c>
      <c r="T334" s="1778">
        <v>87.002035018392263</v>
      </c>
    </row>
    <row r="335" spans="1:20">
      <c r="A335" s="49">
        <f t="shared" ref="A335:A398" si="0">A323+1</f>
        <v>2021.02</v>
      </c>
      <c r="B335" s="1758">
        <v>107.75378473233181</v>
      </c>
      <c r="C335" s="1354">
        <v>124.321065464913</v>
      </c>
      <c r="D335" s="943">
        <v>124.78648701044401</v>
      </c>
      <c r="E335" s="1758">
        <v>130.0444462580827</v>
      </c>
      <c r="F335" s="1354">
        <v>106.5851328609818</v>
      </c>
      <c r="G335" s="1758">
        <v>67.018376381694992</v>
      </c>
      <c r="H335" s="1354">
        <v>64.28532182668576</v>
      </c>
      <c r="I335" s="1758">
        <v>97.644097948629081</v>
      </c>
      <c r="J335" s="1354">
        <v>94.292768092918237</v>
      </c>
      <c r="K335" s="1758">
        <v>119.66761472864567</v>
      </c>
      <c r="L335" s="1354">
        <v>98.276693638118132</v>
      </c>
      <c r="M335" s="1758">
        <v>158.21662298176796</v>
      </c>
      <c r="N335" s="1354">
        <v>90.924427362653049</v>
      </c>
      <c r="O335" s="1758">
        <v>91.982806004437592</v>
      </c>
      <c r="P335" s="1354">
        <v>124.99066410349191</v>
      </c>
      <c r="Q335" s="1758">
        <v>111.7035464142123</v>
      </c>
      <c r="R335" s="1354">
        <v>100.83667783780032</v>
      </c>
      <c r="S335" s="1758">
        <v>60.115564203218582</v>
      </c>
      <c r="T335" s="1778">
        <v>83.60785214854927</v>
      </c>
    </row>
    <row r="336" spans="1:20">
      <c r="A336" s="49">
        <f t="shared" si="0"/>
        <v>2021.03</v>
      </c>
      <c r="B336" s="1758">
        <v>131.64720668610988</v>
      </c>
      <c r="C336" s="1354">
        <v>124.46399177516</v>
      </c>
      <c r="D336" s="943">
        <v>125.933783676508</v>
      </c>
      <c r="E336" s="1758">
        <v>150.52192345221209</v>
      </c>
      <c r="F336" s="1354">
        <v>127.84312163849263</v>
      </c>
      <c r="G336" s="1758">
        <v>86.161077496051831</v>
      </c>
      <c r="H336" s="1354">
        <v>88.719965457967604</v>
      </c>
      <c r="I336" s="1758">
        <v>113.06006762047311</v>
      </c>
      <c r="J336" s="1354">
        <v>107.05067642501527</v>
      </c>
      <c r="K336" s="1758">
        <v>146.75718824489536</v>
      </c>
      <c r="L336" s="1354">
        <v>122.23709571297506</v>
      </c>
      <c r="M336" s="1758">
        <v>186.81965859181085</v>
      </c>
      <c r="N336" s="1354">
        <v>103.06839461537588</v>
      </c>
      <c r="O336" s="1758">
        <v>111.24099562277711</v>
      </c>
      <c r="P336" s="1354">
        <v>174.01461530168629</v>
      </c>
      <c r="Q336" s="1758">
        <v>146.29930694014919</v>
      </c>
      <c r="R336" s="1354">
        <v>157.5202921044872</v>
      </c>
      <c r="S336" s="1758">
        <v>77.319093247512754</v>
      </c>
      <c r="T336" s="1778">
        <v>111.5582704780047</v>
      </c>
    </row>
    <row r="337" spans="1:20">
      <c r="A337" s="49">
        <f t="shared" si="0"/>
        <v>2021.04</v>
      </c>
      <c r="B337" s="1758">
        <v>125.52085964453052</v>
      </c>
      <c r="C337" s="1354">
        <v>125.272893180702</v>
      </c>
      <c r="D337" s="943">
        <v>126.667293706219</v>
      </c>
      <c r="E337" s="1758">
        <v>143.52364647290867</v>
      </c>
      <c r="F337" s="1354">
        <v>120.70238541799969</v>
      </c>
      <c r="G337" s="1758">
        <v>92.551830996029722</v>
      </c>
      <c r="H337" s="1354">
        <v>80.985024385814427</v>
      </c>
      <c r="I337" s="1758">
        <v>111.88408968991098</v>
      </c>
      <c r="J337" s="1354">
        <v>99.790755677066286</v>
      </c>
      <c r="K337" s="1758">
        <v>143.44439802758907</v>
      </c>
      <c r="L337" s="1354">
        <v>111.1842589212125</v>
      </c>
      <c r="M337" s="1758">
        <v>179.2347819990604</v>
      </c>
      <c r="N337" s="1354">
        <v>99.76847326002526</v>
      </c>
      <c r="O337" s="1758">
        <v>111.5722887711409</v>
      </c>
      <c r="P337" s="1354">
        <v>168.68455897165188</v>
      </c>
      <c r="Q337" s="1758">
        <v>127.81603969265731</v>
      </c>
      <c r="R337" s="1354">
        <v>123.84197058781169</v>
      </c>
      <c r="S337" s="1758">
        <v>76.309913862599842</v>
      </c>
      <c r="T337" s="1778">
        <v>113.09744636486414</v>
      </c>
    </row>
    <row r="338" spans="1:20">
      <c r="A338" s="49">
        <f t="shared" si="0"/>
        <v>2021.05</v>
      </c>
      <c r="B338" s="1758">
        <v>121.68405865362826</v>
      </c>
      <c r="C338" s="1354">
        <v>117.27824808091199</v>
      </c>
      <c r="D338" s="943">
        <v>126.985320215738</v>
      </c>
      <c r="E338" s="1758">
        <v>141.01851678197335</v>
      </c>
      <c r="F338" s="1354">
        <v>80.668419162743618</v>
      </c>
      <c r="G338" s="1758">
        <v>95.738290378444361</v>
      </c>
      <c r="H338" s="1354">
        <v>74.167269492411961</v>
      </c>
      <c r="I338" s="1758">
        <v>108.05617839051979</v>
      </c>
      <c r="J338" s="1354">
        <v>103.88946186108612</v>
      </c>
      <c r="K338" s="1758">
        <v>143.2495504496647</v>
      </c>
      <c r="L338" s="1354">
        <v>110.50005335028374</v>
      </c>
      <c r="M338" s="1758">
        <v>166.27609085175698</v>
      </c>
      <c r="N338" s="1354">
        <v>95.222420791532357</v>
      </c>
      <c r="O338" s="1758">
        <v>105.20167555499469</v>
      </c>
      <c r="P338" s="1354">
        <v>159.8667920936895</v>
      </c>
      <c r="Q338" s="1758">
        <v>117.76396202500453</v>
      </c>
      <c r="R338" s="1354">
        <v>129.91690016629198</v>
      </c>
      <c r="S338" s="1758">
        <v>70.445174249512746</v>
      </c>
      <c r="T338" s="1778">
        <v>98.302999401533356</v>
      </c>
    </row>
    <row r="339" spans="1:20">
      <c r="A339" s="49">
        <f t="shared" si="0"/>
        <v>2021.06</v>
      </c>
      <c r="B339" s="1758">
        <v>128.59837307531353</v>
      </c>
      <c r="C339" s="1354">
        <v>126.863980149611</v>
      </c>
      <c r="D339" s="943">
        <v>126.970408213989</v>
      </c>
      <c r="E339" s="1758">
        <v>149.45064483240066</v>
      </c>
      <c r="F339" s="1354">
        <v>66.271580230205771</v>
      </c>
      <c r="G339" s="1758">
        <v>106.00555077525306</v>
      </c>
      <c r="H339" s="1354">
        <v>79.987013179788974</v>
      </c>
      <c r="I339" s="1758">
        <v>112.92344163871257</v>
      </c>
      <c r="J339" s="1354">
        <v>100.31606047923927</v>
      </c>
      <c r="K339" s="1758">
        <v>144.98478882249901</v>
      </c>
      <c r="L339" s="1354">
        <v>117.34899172649547</v>
      </c>
      <c r="M339" s="1758">
        <v>178.97638621496236</v>
      </c>
      <c r="N339" s="1354">
        <v>100.63978766036797</v>
      </c>
      <c r="O339" s="1758">
        <v>116.04364893983146</v>
      </c>
      <c r="P339" s="1354">
        <v>165.37724274645129</v>
      </c>
      <c r="Q339" s="1758">
        <v>137.95530637463915</v>
      </c>
      <c r="R339" s="1354">
        <v>147.91409697042198</v>
      </c>
      <c r="S339" s="1758">
        <v>102.72121951810986</v>
      </c>
      <c r="T339" s="1778">
        <v>100.2063095202121</v>
      </c>
    </row>
    <row r="340" spans="1:20">
      <c r="A340" s="49">
        <f t="shared" si="0"/>
        <v>2021.07</v>
      </c>
      <c r="B340" s="1758">
        <v>131.05026656085312</v>
      </c>
      <c r="C340" s="1354">
        <v>126.133645614987</v>
      </c>
      <c r="D340" s="943">
        <v>126.829641064426</v>
      </c>
      <c r="E340" s="1758">
        <v>152.33239169937622</v>
      </c>
      <c r="F340" s="1354">
        <v>56.01907833807357</v>
      </c>
      <c r="G340" s="1758">
        <v>106.57792690437904</v>
      </c>
      <c r="H340" s="1354">
        <v>87.211138039498863</v>
      </c>
      <c r="I340" s="1758">
        <v>116.52208257646457</v>
      </c>
      <c r="J340" s="1354">
        <v>105.34277328251991</v>
      </c>
      <c r="K340" s="1758">
        <v>148.49125360088277</v>
      </c>
      <c r="L340" s="1354">
        <v>113.7643376929672</v>
      </c>
      <c r="M340" s="1758">
        <v>188.91569816340458</v>
      </c>
      <c r="N340" s="1354">
        <v>105.55248032688503</v>
      </c>
      <c r="O340" s="1758">
        <v>112.9671896563531</v>
      </c>
      <c r="P340" s="1354">
        <v>165.03491864029183</v>
      </c>
      <c r="Q340" s="1758">
        <v>136.58628661859549</v>
      </c>
      <c r="R340" s="1354">
        <v>130.92872194467711</v>
      </c>
      <c r="S340" s="1758">
        <v>99.13370061960336</v>
      </c>
      <c r="T340" s="1778">
        <v>115.46054042551002</v>
      </c>
    </row>
    <row r="341" spans="1:20">
      <c r="A341" s="49">
        <f t="shared" si="0"/>
        <v>2021.08</v>
      </c>
      <c r="B341" s="1758">
        <v>132.9987929128236</v>
      </c>
      <c r="C341" s="1354">
        <v>125.100653826276</v>
      </c>
      <c r="D341" s="943">
        <v>126.840647169956</v>
      </c>
      <c r="E341" s="1758">
        <v>155.33312403939058</v>
      </c>
      <c r="F341" s="1354">
        <v>59.541539803967638</v>
      </c>
      <c r="G341" s="1758">
        <v>95.95148457041158</v>
      </c>
      <c r="H341" s="1354">
        <v>90.129926124399276</v>
      </c>
      <c r="I341" s="1758">
        <v>117.73098872956106</v>
      </c>
      <c r="J341" s="1354">
        <v>108.88562751974013</v>
      </c>
      <c r="K341" s="1758">
        <v>146.60460583378349</v>
      </c>
      <c r="L341" s="1354">
        <v>121.69301089069833</v>
      </c>
      <c r="M341" s="1758">
        <v>197.66307217824809</v>
      </c>
      <c r="N341" s="1354">
        <v>104.36870037056093</v>
      </c>
      <c r="O341" s="1758">
        <v>111.84486173367634</v>
      </c>
      <c r="P341" s="1354">
        <v>178.3303928961094</v>
      </c>
      <c r="Q341" s="1758">
        <v>137.81001653835639</v>
      </c>
      <c r="R341" s="1354">
        <v>146.17180368133361</v>
      </c>
      <c r="S341" s="1758">
        <v>107.05713421278961</v>
      </c>
      <c r="T341" s="1778">
        <v>102.5327211229211</v>
      </c>
    </row>
    <row r="342" spans="1:20">
      <c r="A342" s="49">
        <f t="shared" si="0"/>
        <v>2021.09</v>
      </c>
      <c r="B342" s="1758">
        <v>132.80407745438578</v>
      </c>
      <c r="C342" s="1354">
        <v>127.821659110569</v>
      </c>
      <c r="D342" s="943">
        <v>127.221210963597</v>
      </c>
      <c r="E342" s="1758">
        <v>152.8250100921924</v>
      </c>
      <c r="F342" s="1354">
        <v>64.668235909328061</v>
      </c>
      <c r="G342" s="1758">
        <v>96.799140691549198</v>
      </c>
      <c r="H342" s="1354">
        <v>96.227087590529152</v>
      </c>
      <c r="I342" s="1758">
        <v>115.47153172852322</v>
      </c>
      <c r="J342" s="1354">
        <v>103.76657793351826</v>
      </c>
      <c r="K342" s="1758">
        <v>146.7370378622314</v>
      </c>
      <c r="L342" s="1354">
        <v>125.80313696203484</v>
      </c>
      <c r="M342" s="1758">
        <v>190.5263646025536</v>
      </c>
      <c r="N342" s="1354">
        <v>100.52337547521989</v>
      </c>
      <c r="O342" s="1758">
        <v>114.69713678765311</v>
      </c>
      <c r="P342" s="1354">
        <v>192.70259822015635</v>
      </c>
      <c r="Q342" s="1758">
        <v>136.52797553161733</v>
      </c>
      <c r="R342" s="1354">
        <v>152.64318446157822</v>
      </c>
      <c r="S342" s="1758">
        <v>114.85783336276529</v>
      </c>
      <c r="T342" s="1778">
        <v>96.341339274420775</v>
      </c>
    </row>
    <row r="343" spans="1:20">
      <c r="A343" s="49">
        <f t="shared" si="0"/>
        <v>2021.1</v>
      </c>
      <c r="B343" s="1758">
        <v>130.03163702788962</v>
      </c>
      <c r="C343" s="1354">
        <v>125.841834639303</v>
      </c>
      <c r="D343" s="943">
        <v>128.07568022448001</v>
      </c>
      <c r="E343" s="1758">
        <v>145.28261800593506</v>
      </c>
      <c r="F343" s="1354">
        <v>59.505356370756331</v>
      </c>
      <c r="G343" s="1758">
        <v>87.632288472491027</v>
      </c>
      <c r="H343" s="1354">
        <v>105.99922091262491</v>
      </c>
      <c r="I343" s="1758">
        <v>114.62452685380714</v>
      </c>
      <c r="J343" s="1354">
        <v>109.2498693175925</v>
      </c>
      <c r="K343" s="1758">
        <v>145.14130729025888</v>
      </c>
      <c r="L343" s="1354">
        <v>119.84896429578899</v>
      </c>
      <c r="M343" s="1758">
        <v>195.35493706944609</v>
      </c>
      <c r="N343" s="1354">
        <v>104.77385620644124</v>
      </c>
      <c r="O343" s="1758">
        <v>107.99854427099102</v>
      </c>
      <c r="P343" s="1354">
        <v>179.19472166574769</v>
      </c>
      <c r="Q343" s="1758">
        <v>120.09087154815734</v>
      </c>
      <c r="R343" s="1354">
        <v>144.2716563057464</v>
      </c>
      <c r="S343" s="1758">
        <v>112.54853839513439</v>
      </c>
      <c r="T343" s="1778">
        <v>106.40825677382874</v>
      </c>
    </row>
    <row r="344" spans="1:20">
      <c r="A344" s="49">
        <f t="shared" si="0"/>
        <v>2021.11</v>
      </c>
      <c r="B344" s="1758">
        <v>133.59559668960429</v>
      </c>
      <c r="C344" s="1354">
        <v>132.868142892712</v>
      </c>
      <c r="D344" s="943">
        <v>129.33523936024801</v>
      </c>
      <c r="E344" s="1758">
        <v>148.90185302379865</v>
      </c>
      <c r="F344" s="1354">
        <v>58.559575713998782</v>
      </c>
      <c r="G344" s="1758">
        <v>87.655113540958965</v>
      </c>
      <c r="H344" s="1354">
        <v>103.70517661065523</v>
      </c>
      <c r="I344" s="1758">
        <v>118.70578641414514</v>
      </c>
      <c r="J344" s="1354">
        <v>108.26268494760077</v>
      </c>
      <c r="K344" s="1758">
        <v>153.77690800318484</v>
      </c>
      <c r="L344" s="1354">
        <v>126.59677834912463</v>
      </c>
      <c r="M344" s="1758">
        <v>196.50808949334629</v>
      </c>
      <c r="N344" s="1354">
        <v>101.26217921772495</v>
      </c>
      <c r="O344" s="1758">
        <v>111.91606521472413</v>
      </c>
      <c r="P344" s="1354">
        <v>172.53070886957127</v>
      </c>
      <c r="Q344" s="1758">
        <v>133.70704417418455</v>
      </c>
      <c r="R344" s="1354">
        <v>161.79856813035374</v>
      </c>
      <c r="S344" s="1758">
        <v>124.30226495619486</v>
      </c>
      <c r="T344" s="1778">
        <v>111.43557855181272</v>
      </c>
    </row>
    <row r="345" spans="1:20">
      <c r="A345" s="49">
        <f t="shared" si="0"/>
        <v>2021.12</v>
      </c>
      <c r="B345" s="1758">
        <v>127.32258878895958</v>
      </c>
      <c r="C345" s="1354">
        <v>134.06422998864201</v>
      </c>
      <c r="D345" s="943">
        <v>130.812717865389</v>
      </c>
      <c r="E345" s="1758">
        <v>144.10732905845262</v>
      </c>
      <c r="F345" s="1354">
        <v>54.33722793468818</v>
      </c>
      <c r="G345" s="1758">
        <v>68.237545253245173</v>
      </c>
      <c r="H345" s="1354">
        <v>110.86847515087294</v>
      </c>
      <c r="I345" s="1758">
        <v>103.7563936808674</v>
      </c>
      <c r="J345" s="1354">
        <v>115.02566956046049</v>
      </c>
      <c r="K345" s="1758">
        <v>139.91891454393956</v>
      </c>
      <c r="L345" s="1354">
        <v>112.89016872725188</v>
      </c>
      <c r="M345" s="1758">
        <v>185.2034985863057</v>
      </c>
      <c r="N345" s="1354">
        <v>102.7808697473765</v>
      </c>
      <c r="O345" s="1758">
        <v>100.56239396098483</v>
      </c>
      <c r="P345" s="1354">
        <v>182.1705145418002</v>
      </c>
      <c r="Q345" s="1758">
        <v>129.89496249577343</v>
      </c>
      <c r="R345" s="1354">
        <v>138.41014012875203</v>
      </c>
      <c r="S345" s="1758">
        <v>114.69399709799269</v>
      </c>
      <c r="T345" s="1778">
        <v>114.97517026048234</v>
      </c>
    </row>
    <row r="346" spans="1:20">
      <c r="A346" s="49">
        <f t="shared" si="0"/>
        <v>2022.01</v>
      </c>
      <c r="B346" s="1758">
        <v>110.45223892022884</v>
      </c>
      <c r="C346" s="1354">
        <v>124.49612768777</v>
      </c>
      <c r="D346" s="943">
        <v>132.29801462554201</v>
      </c>
      <c r="E346" s="1758">
        <v>131.5927788718501</v>
      </c>
      <c r="F346" s="1354">
        <v>82.768271218446984</v>
      </c>
      <c r="G346" s="1758">
        <v>53.125895730550901</v>
      </c>
      <c r="H346" s="1354">
        <v>61.759571053498703</v>
      </c>
      <c r="I346" s="1758">
        <v>107.28234753714601</v>
      </c>
      <c r="J346" s="1354">
        <v>110.78290340012028</v>
      </c>
      <c r="K346" s="1758">
        <v>140.66907765801307</v>
      </c>
      <c r="L346" s="1354">
        <v>103.26049896106915</v>
      </c>
      <c r="M346" s="1758">
        <v>160.43963999811805</v>
      </c>
      <c r="N346" s="1354">
        <v>95.044645483673918</v>
      </c>
      <c r="O346" s="1758">
        <v>88.956896816489021</v>
      </c>
      <c r="P346" s="1354">
        <v>123.96685403151069</v>
      </c>
      <c r="Q346" s="1758">
        <v>95.491007685797399</v>
      </c>
      <c r="R346" s="1354">
        <v>71.784295468388038</v>
      </c>
      <c r="S346" s="1758">
        <v>91.599978393453924</v>
      </c>
      <c r="T346" s="1778">
        <v>78.787193302043363</v>
      </c>
    </row>
    <row r="347" spans="1:20">
      <c r="A347" s="49">
        <f t="shared" si="0"/>
        <v>2022.02</v>
      </c>
      <c r="B347" s="1758">
        <v>116.86553670599886</v>
      </c>
      <c r="C347" s="1354">
        <v>133.12721548085599</v>
      </c>
      <c r="D347" s="943">
        <v>133.58507441675599</v>
      </c>
      <c r="E347" s="1758">
        <v>136.15568319316452</v>
      </c>
      <c r="F347" s="1354">
        <v>116.26985413615181</v>
      </c>
      <c r="G347" s="1758">
        <v>70.600425979269787</v>
      </c>
      <c r="H347" s="1354">
        <v>74.583587971279329</v>
      </c>
      <c r="I347" s="1758">
        <v>107.04845692965867</v>
      </c>
      <c r="J347" s="1354">
        <v>90.078465168653224</v>
      </c>
      <c r="K347" s="1758">
        <v>133.74041991248686</v>
      </c>
      <c r="L347" s="1354">
        <v>107.95590537307817</v>
      </c>
      <c r="M347" s="1758">
        <v>166.90933091586362</v>
      </c>
      <c r="N347" s="1354">
        <v>92.230433796420101</v>
      </c>
      <c r="O347" s="1758">
        <v>95.48676644066154</v>
      </c>
      <c r="P347" s="1354">
        <v>158.81091195909025</v>
      </c>
      <c r="Q347" s="1758">
        <v>117.2742121326919</v>
      </c>
      <c r="R347" s="1354">
        <v>130.78417841332228</v>
      </c>
      <c r="S347" s="1758">
        <v>92.547663514305782</v>
      </c>
      <c r="T347" s="1778">
        <v>86.280956285031522</v>
      </c>
    </row>
    <row r="348" spans="1:20">
      <c r="A348" s="49">
        <f t="shared" si="0"/>
        <v>2022.03</v>
      </c>
      <c r="B348" s="1758">
        <v>136.06417977063688</v>
      </c>
      <c r="C348" s="1354">
        <v>128.89746186569599</v>
      </c>
      <c r="D348" s="943">
        <v>134.54745575812001</v>
      </c>
      <c r="E348" s="1758">
        <v>154.01939252930475</v>
      </c>
      <c r="F348" s="1354">
        <v>156.0712392738493</v>
      </c>
      <c r="G348" s="1758">
        <v>86.479870941489452</v>
      </c>
      <c r="H348" s="1354">
        <v>103.30235852589327</v>
      </c>
      <c r="I348" s="1758">
        <v>122.70497413217204</v>
      </c>
      <c r="J348" s="1354">
        <v>103.86215082180229</v>
      </c>
      <c r="K348" s="1758">
        <v>153.37685610980435</v>
      </c>
      <c r="L348" s="1354">
        <v>129.04477286217448</v>
      </c>
      <c r="M348" s="1758">
        <v>185.84774724821645</v>
      </c>
      <c r="N348" s="1354">
        <v>103.89042913379325</v>
      </c>
      <c r="O348" s="1758">
        <v>111.50091221436641</v>
      </c>
      <c r="P348" s="1354">
        <v>187.75188426605331</v>
      </c>
      <c r="Q348" s="1758">
        <v>136.40829226625945</v>
      </c>
      <c r="R348" s="1354">
        <v>161.36639271508631</v>
      </c>
      <c r="S348" s="1758">
        <v>114.01147670261248</v>
      </c>
      <c r="T348" s="1778">
        <v>106.84129908818808</v>
      </c>
    </row>
    <row r="349" spans="1:20">
      <c r="A349" s="49">
        <f t="shared" si="0"/>
        <v>2022.04</v>
      </c>
      <c r="B349" s="1758">
        <v>131.11057688323166</v>
      </c>
      <c r="C349" s="1354">
        <v>132.80663316005601</v>
      </c>
      <c r="D349" s="943">
        <v>135.08943895966701</v>
      </c>
      <c r="E349" s="1758">
        <v>148.71692013407508</v>
      </c>
      <c r="F349" s="1354">
        <v>99.565839958587361</v>
      </c>
      <c r="G349" s="1758">
        <v>87.62532934492134</v>
      </c>
      <c r="H349" s="1354">
        <v>105.01625264005015</v>
      </c>
      <c r="I349" s="1758">
        <v>114.04912032283795</v>
      </c>
      <c r="J349" s="1354">
        <v>109.06001634780814</v>
      </c>
      <c r="K349" s="1758">
        <v>145.95000373064158</v>
      </c>
      <c r="L349" s="1354">
        <v>128.03934353424586</v>
      </c>
      <c r="M349" s="1758">
        <v>190.7473492855095</v>
      </c>
      <c r="N349" s="1354">
        <v>79.341537002024808</v>
      </c>
      <c r="O349" s="1758">
        <v>109.24669639453225</v>
      </c>
      <c r="P349" s="1354">
        <v>208.34463994521329</v>
      </c>
      <c r="Q349" s="1758">
        <v>119.41205090775456</v>
      </c>
      <c r="R349" s="1354">
        <v>155.07986400057612</v>
      </c>
      <c r="S349" s="1758">
        <v>113.9889253368339</v>
      </c>
      <c r="T349" s="1778">
        <v>112.04535619821606</v>
      </c>
    </row>
    <row r="350" spans="1:20">
      <c r="A350" s="49">
        <f t="shared" si="0"/>
        <v>2022.05</v>
      </c>
      <c r="B350" s="1758">
        <v>135.95623391042966</v>
      </c>
      <c r="C350" s="1354">
        <v>130.45408208539001</v>
      </c>
      <c r="D350" s="943">
        <v>135.18056798555301</v>
      </c>
      <c r="E350" s="1758">
        <v>154.17253864178863</v>
      </c>
      <c r="F350" s="1354">
        <v>66.937583978050355</v>
      </c>
      <c r="G350" s="1758">
        <v>96.439563559951935</v>
      </c>
      <c r="H350" s="1354">
        <v>101.56984924428082</v>
      </c>
      <c r="I350" s="1758">
        <v>120.16192747874278</v>
      </c>
      <c r="J350" s="1354">
        <v>116.56343564715917</v>
      </c>
      <c r="K350" s="1758">
        <v>150.21629008691735</v>
      </c>
      <c r="L350" s="1354">
        <v>123.2748504142875</v>
      </c>
      <c r="M350" s="1758">
        <v>199.82033123672178</v>
      </c>
      <c r="N350" s="1354">
        <v>101.05877683299822</v>
      </c>
      <c r="O350" s="1758">
        <v>111.22955495241814</v>
      </c>
      <c r="P350" s="1354">
        <v>188.18410182732873</v>
      </c>
      <c r="Q350" s="1758">
        <v>147.15250840689404</v>
      </c>
      <c r="R350" s="1354">
        <v>160.14294341738722</v>
      </c>
      <c r="S350" s="1758">
        <v>115.33826199213681</v>
      </c>
      <c r="T350" s="1778">
        <v>109.06908449836013</v>
      </c>
    </row>
    <row r="351" spans="1:20">
      <c r="A351" s="49">
        <f t="shared" si="0"/>
        <v>2022.06</v>
      </c>
      <c r="B351" s="1758">
        <v>137.74172355073372</v>
      </c>
      <c r="C351" s="1354">
        <v>134.98232771574399</v>
      </c>
      <c r="D351" s="943">
        <v>134.858083366735</v>
      </c>
      <c r="E351" s="1758">
        <v>154.71737900027372</v>
      </c>
      <c r="F351" s="1354">
        <v>54.703863401919691</v>
      </c>
      <c r="G351" s="1758">
        <v>106.47017643866842</v>
      </c>
      <c r="H351" s="1354">
        <v>100.73965157380657</v>
      </c>
      <c r="I351" s="1758">
        <v>114.27687083048747</v>
      </c>
      <c r="J351" s="1354">
        <v>113.47875288464472</v>
      </c>
      <c r="K351" s="1758">
        <v>149.950850595736</v>
      </c>
      <c r="L351" s="1354">
        <v>121.73287788065646</v>
      </c>
      <c r="M351" s="1758">
        <v>197.05700962359697</v>
      </c>
      <c r="N351" s="1354">
        <v>109.06011926211488</v>
      </c>
      <c r="O351" s="1758">
        <v>107.69796037698598</v>
      </c>
      <c r="P351" s="1354">
        <v>201.69032069833273</v>
      </c>
      <c r="Q351" s="1758">
        <v>178.67784923815066</v>
      </c>
      <c r="R351" s="1354">
        <v>164.37414307404848</v>
      </c>
      <c r="S351" s="1758">
        <v>114.60218147351385</v>
      </c>
      <c r="T351" s="1778">
        <v>109.10270810852667</v>
      </c>
    </row>
    <row r="352" spans="1:20">
      <c r="A352" s="49">
        <f t="shared" si="0"/>
        <v>2022.07</v>
      </c>
      <c r="B352" s="1758">
        <v>137.83236809148204</v>
      </c>
      <c r="C352" s="1354">
        <v>134.30394791568801</v>
      </c>
      <c r="D352" s="943">
        <v>134.193542197017</v>
      </c>
      <c r="E352" s="1758">
        <v>156.97538804557581</v>
      </c>
      <c r="F352" s="1354">
        <v>65.386550949454914</v>
      </c>
      <c r="G352" s="1758">
        <v>106.36791478147643</v>
      </c>
      <c r="H352" s="1354">
        <v>82.32083305691819</v>
      </c>
      <c r="I352" s="1758">
        <v>118.43568123398524</v>
      </c>
      <c r="J352" s="1354">
        <v>114.47330565099583</v>
      </c>
      <c r="K352" s="1758">
        <v>150.51873535126774</v>
      </c>
      <c r="L352" s="1354">
        <v>121.68220171390097</v>
      </c>
      <c r="M352" s="1758">
        <v>199.26206223625564</v>
      </c>
      <c r="N352" s="1354">
        <v>109.41314444253219</v>
      </c>
      <c r="O352" s="1758">
        <v>116.03191667259463</v>
      </c>
      <c r="P352" s="1354">
        <v>203.01397357875464</v>
      </c>
      <c r="Q352" s="1758">
        <v>157.97617509968251</v>
      </c>
      <c r="R352" s="1354">
        <v>159.06343206492221</v>
      </c>
      <c r="S352" s="1758">
        <v>114.79700413881703</v>
      </c>
      <c r="T352" s="1778">
        <v>118.48554680092532</v>
      </c>
    </row>
    <row r="353" spans="1:20">
      <c r="A353" s="49">
        <f t="shared" si="0"/>
        <v>2022.08</v>
      </c>
      <c r="B353" s="1758">
        <v>142.69539492532036</v>
      </c>
      <c r="C353" s="1354">
        <v>133.539750793135</v>
      </c>
      <c r="D353" s="943">
        <v>133.32445856321999</v>
      </c>
      <c r="E353" s="1758">
        <v>164.16538187316272</v>
      </c>
      <c r="F353" s="1354">
        <v>63.943884364031625</v>
      </c>
      <c r="G353" s="1758">
        <v>110.65754545207405</v>
      </c>
      <c r="H353" s="1354">
        <v>90.872773803739392</v>
      </c>
      <c r="I353" s="1758">
        <v>123.47067292503974</v>
      </c>
      <c r="J353" s="1354">
        <v>117.14790379693792</v>
      </c>
      <c r="K353" s="1758">
        <v>155.9031706083745</v>
      </c>
      <c r="L353" s="1354">
        <v>129.6089606567563</v>
      </c>
      <c r="M353" s="1758">
        <v>210.37889139459051</v>
      </c>
      <c r="N353" s="1354">
        <v>112.42653825885162</v>
      </c>
      <c r="O353" s="1758">
        <v>122.40248370085261</v>
      </c>
      <c r="P353" s="1354">
        <v>203.21265275958785</v>
      </c>
      <c r="Q353" s="1758">
        <v>132.41508946135568</v>
      </c>
      <c r="R353" s="1354">
        <v>181.46914449729672</v>
      </c>
      <c r="S353" s="1758">
        <v>121.49738261146469</v>
      </c>
      <c r="T353" s="1778">
        <v>111.86883070884652</v>
      </c>
    </row>
    <row r="354" spans="1:20">
      <c r="A354" s="49">
        <f t="shared" si="0"/>
        <v>2022.09</v>
      </c>
      <c r="B354" s="1758">
        <v>137.89850280383965</v>
      </c>
      <c r="C354" s="1354">
        <v>132.575502428443</v>
      </c>
      <c r="D354" s="943">
        <v>132.435869433704</v>
      </c>
      <c r="E354" s="1758">
        <v>157.74108826318769</v>
      </c>
      <c r="F354" s="1354">
        <v>62.124198949768868</v>
      </c>
      <c r="G354" s="1758">
        <v>99.036244419597949</v>
      </c>
      <c r="H354" s="1354">
        <v>94.677418559988553</v>
      </c>
      <c r="I354" s="1758">
        <v>119.25206129638991</v>
      </c>
      <c r="J354" s="1354">
        <v>110.0430368889002</v>
      </c>
      <c r="K354" s="1758">
        <v>149.77122130097604</v>
      </c>
      <c r="L354" s="1354">
        <v>123.42684087830081</v>
      </c>
      <c r="M354" s="1758">
        <v>206.47603935210071</v>
      </c>
      <c r="N354" s="1354">
        <v>106.73890287564772</v>
      </c>
      <c r="O354" s="1758">
        <v>120.78961589728965</v>
      </c>
      <c r="P354" s="1354">
        <v>205.75470034113553</v>
      </c>
      <c r="Q354" s="1758">
        <v>135.2703277852452</v>
      </c>
      <c r="R354" s="1354">
        <v>174.09334694825284</v>
      </c>
      <c r="S354" s="1758">
        <v>122.80121600620312</v>
      </c>
      <c r="T354" s="1778">
        <v>99.661158889838873</v>
      </c>
    </row>
    <row r="355" spans="1:20">
      <c r="A355" s="49">
        <f t="shared" si="0"/>
        <v>2022.1</v>
      </c>
      <c r="B355" s="1758">
        <v>133.92179942776679</v>
      </c>
      <c r="C355" s="1354">
        <v>130.556148386296</v>
      </c>
      <c r="D355" s="943">
        <v>131.73185918667201</v>
      </c>
      <c r="E355" s="1758">
        <v>149.2889481777417</v>
      </c>
      <c r="F355" s="1354">
        <v>58.724956033420128</v>
      </c>
      <c r="G355" s="1758">
        <v>82.246203300857161</v>
      </c>
      <c r="H355" s="1354">
        <v>97.862740138280856</v>
      </c>
      <c r="I355" s="1758">
        <v>113.83796244591302</v>
      </c>
      <c r="J355" s="1354">
        <v>112.63305073051683</v>
      </c>
      <c r="K355" s="1758">
        <v>151.67798865389213</v>
      </c>
      <c r="L355" s="1354">
        <v>128.07858209549894</v>
      </c>
      <c r="M355" s="1758">
        <v>202.5825915197147</v>
      </c>
      <c r="N355" s="1354">
        <v>111.3306403487873</v>
      </c>
      <c r="O355" s="1758">
        <v>114.18017665385335</v>
      </c>
      <c r="P355" s="1354">
        <v>176.51439506868607</v>
      </c>
      <c r="Q355" s="1758">
        <v>138.47888612610902</v>
      </c>
      <c r="R355" s="1354">
        <v>165.75147904746194</v>
      </c>
      <c r="S355" s="1758">
        <v>111.3591088197829</v>
      </c>
      <c r="T355" s="1778">
        <v>100.51726777545684</v>
      </c>
    </row>
    <row r="356" spans="1:20">
      <c r="A356" s="49">
        <f t="shared" si="0"/>
        <v>2022.11</v>
      </c>
      <c r="B356" s="1758">
        <v>134.14810212988814</v>
      </c>
      <c r="C356" s="1354">
        <v>133.393392368967</v>
      </c>
      <c r="D356" s="943">
        <v>131.33763622595001</v>
      </c>
      <c r="E356" s="1758">
        <v>149.99608199510072</v>
      </c>
      <c r="F356" s="1354">
        <v>62.913885308342543</v>
      </c>
      <c r="G356" s="1758">
        <v>83.027818944829235</v>
      </c>
      <c r="H356" s="1354">
        <v>99.835502731669891</v>
      </c>
      <c r="I356" s="1758">
        <v>111.46527665281354</v>
      </c>
      <c r="J356" s="1354">
        <v>113.35740700166367</v>
      </c>
      <c r="K356" s="1758">
        <v>152.48930086850399</v>
      </c>
      <c r="L356" s="1354">
        <v>123.08706790068305</v>
      </c>
      <c r="M356" s="1758">
        <v>202.58180985470656</v>
      </c>
      <c r="N356" s="1354">
        <v>106.32694402189701</v>
      </c>
      <c r="O356" s="1758">
        <v>119.0984866493247</v>
      </c>
      <c r="P356" s="1354">
        <v>164.08466920096612</v>
      </c>
      <c r="Q356" s="1758">
        <v>146.85170349595322</v>
      </c>
      <c r="R356" s="1354">
        <v>173.6140912400439</v>
      </c>
      <c r="S356" s="1758">
        <v>122.23611480991687</v>
      </c>
      <c r="T356" s="1778">
        <v>108.34828538715519</v>
      </c>
    </row>
    <row r="357" spans="1:20">
      <c r="A357" s="49">
        <f t="shared" si="0"/>
        <v>2022.12</v>
      </c>
      <c r="B357" s="1758">
        <v>123.35551311628166</v>
      </c>
      <c r="C357" s="1354">
        <v>131.216800733909</v>
      </c>
      <c r="D357" s="943">
        <v>131.28486210797399</v>
      </c>
      <c r="E357" s="1758">
        <v>142.08303945319</v>
      </c>
      <c r="F357" s="1354">
        <v>57.336858347823686</v>
      </c>
      <c r="G357" s="1758">
        <v>61.450160789147475</v>
      </c>
      <c r="H357" s="1354">
        <v>98.739001415585491</v>
      </c>
      <c r="I357" s="1758">
        <v>100.43920171446626</v>
      </c>
      <c r="J357" s="1354">
        <v>120.60603384161772</v>
      </c>
      <c r="K357" s="1758">
        <v>132.33982054506953</v>
      </c>
      <c r="L357" s="1354">
        <v>104.4454101798777</v>
      </c>
      <c r="M357" s="1758">
        <v>182.09245159171007</v>
      </c>
      <c r="N357" s="1354">
        <v>104.53544941401199</v>
      </c>
      <c r="O357" s="1758">
        <v>102.41559330169545</v>
      </c>
      <c r="P357" s="1354">
        <v>186.13116883322581</v>
      </c>
      <c r="Q357" s="1758">
        <v>126.19906299774257</v>
      </c>
      <c r="R357" s="1354">
        <v>128.17406470966984</v>
      </c>
      <c r="S357" s="1758">
        <v>100.40122577555596</v>
      </c>
      <c r="T357" s="1778">
        <v>95.980280167101483</v>
      </c>
    </row>
    <row r="358" spans="1:20">
      <c r="A358" s="49">
        <f t="shared" si="0"/>
        <v>2023.01</v>
      </c>
      <c r="B358" s="1758">
        <v>117.39313345014332</v>
      </c>
      <c r="C358" s="1354">
        <v>130.059197868871</v>
      </c>
      <c r="D358" s="943">
        <v>131.470008046077</v>
      </c>
      <c r="E358" s="1758">
        <v>143.4872651805762</v>
      </c>
      <c r="F358" s="1354">
        <v>87.21491127207851</v>
      </c>
      <c r="G358" s="1758">
        <v>53.915171221587862</v>
      </c>
      <c r="H358" s="1354">
        <v>66.033994195472829</v>
      </c>
      <c r="I358" s="1758">
        <v>108.80491414894099</v>
      </c>
      <c r="J358" s="1354">
        <v>120.03152036938033</v>
      </c>
      <c r="K358" s="1758">
        <v>134.0597230488986</v>
      </c>
      <c r="L358" s="1354">
        <v>112.21952782825026</v>
      </c>
      <c r="M358" s="1758">
        <v>172.28284542067263</v>
      </c>
      <c r="N358" s="1354">
        <v>104.91203493378393</v>
      </c>
      <c r="O358" s="1758">
        <v>106.46457982877315</v>
      </c>
      <c r="P358" s="1354">
        <v>132.73790951501556</v>
      </c>
      <c r="Q358" s="1758">
        <v>96.276943227247116</v>
      </c>
      <c r="R358" s="1354">
        <v>88.218418427153409</v>
      </c>
      <c r="S358" s="1758">
        <v>88.94628527069861</v>
      </c>
      <c r="T358" s="1778">
        <v>85.683608067944434</v>
      </c>
    </row>
    <row r="359" spans="1:20">
      <c r="A359" s="49">
        <f t="shared" si="0"/>
        <v>2023.02</v>
      </c>
      <c r="B359" s="1758">
        <v>115.00861797274676</v>
      </c>
      <c r="C359" s="1354">
        <v>130.96668622076999</v>
      </c>
      <c r="D359" s="943">
        <v>131.732621513445</v>
      </c>
      <c r="E359" s="1758">
        <v>127.79031758068055</v>
      </c>
      <c r="F359" s="1354">
        <v>106.18143306613166</v>
      </c>
      <c r="G359" s="1758">
        <v>68.608574955380618</v>
      </c>
      <c r="H359" s="1354">
        <v>76.396093650241397</v>
      </c>
      <c r="I359" s="1758">
        <v>102.36709947692981</v>
      </c>
      <c r="J359" s="1354">
        <v>110.60765143929332</v>
      </c>
      <c r="K359" s="1758">
        <v>124.72056211422414</v>
      </c>
      <c r="L359" s="1354">
        <v>107.60686262344039</v>
      </c>
      <c r="M359" s="1758">
        <v>171.64751193645517</v>
      </c>
      <c r="N359" s="1354">
        <v>93.246888400327251</v>
      </c>
      <c r="O359" s="1758">
        <v>99.169686942531897</v>
      </c>
      <c r="P359" s="1354">
        <v>156.41835662589395</v>
      </c>
      <c r="Q359" s="1758">
        <v>117.26676772817387</v>
      </c>
      <c r="R359" s="1354">
        <v>142.26214018947798</v>
      </c>
      <c r="S359" s="1758">
        <v>100.49773392889902</v>
      </c>
      <c r="T359" s="1778">
        <v>88.843164046420569</v>
      </c>
    </row>
    <row r="360" spans="1:20">
      <c r="A360" s="49">
        <f t="shared" si="0"/>
        <v>2023.03</v>
      </c>
      <c r="B360" s="1758">
        <v>140.66582440864306</v>
      </c>
      <c r="C360" s="1354">
        <v>133.49235901286701</v>
      </c>
      <c r="D360" s="943">
        <v>131.89408421903499</v>
      </c>
      <c r="E360" s="1758">
        <v>153.93855700695872</v>
      </c>
      <c r="F360" s="1354">
        <v>158.05481874157454</v>
      </c>
      <c r="G360" s="1758">
        <v>84.654707661830201</v>
      </c>
      <c r="H360" s="1354">
        <v>110.4982109172538</v>
      </c>
      <c r="I360" s="1758">
        <v>118.28092584233248</v>
      </c>
      <c r="J360" s="1354">
        <v>121.68611163493446</v>
      </c>
      <c r="K360" s="1758">
        <v>147.56034158478099</v>
      </c>
      <c r="L360" s="1354">
        <v>131.05951303264146</v>
      </c>
      <c r="M360" s="1758">
        <v>195.60883659783516</v>
      </c>
      <c r="N360" s="1354">
        <v>112.31122918250439</v>
      </c>
      <c r="O360" s="1758">
        <v>119.15760107493597</v>
      </c>
      <c r="P360" s="1354">
        <v>201.55858062378087</v>
      </c>
      <c r="Q360" s="1758">
        <v>160.27807329365868</v>
      </c>
      <c r="R360" s="1354">
        <v>189.23623126946194</v>
      </c>
      <c r="S360" s="1758">
        <v>129.77179978265204</v>
      </c>
      <c r="T360" s="1778">
        <v>116.04292765806125</v>
      </c>
    </row>
    <row r="361" spans="1:20">
      <c r="A361" s="49">
        <f t="shared" si="0"/>
        <v>2023.04</v>
      </c>
      <c r="B361" s="1758">
        <v>133.42902876249246</v>
      </c>
      <c r="C361" s="1354">
        <v>136.87813334971099</v>
      </c>
      <c r="D361" s="943">
        <v>131.868067290921</v>
      </c>
      <c r="E361" s="1758">
        <v>146.85856285331678</v>
      </c>
      <c r="F361" s="1354">
        <v>99.308021159305298</v>
      </c>
      <c r="G361" s="1758">
        <v>87.051519969857509</v>
      </c>
      <c r="H361" s="1354">
        <v>101.45084567263163</v>
      </c>
      <c r="I361" s="1758">
        <v>110.93822719831665</v>
      </c>
      <c r="J361" s="1354">
        <v>121.0107426266718</v>
      </c>
      <c r="K361" s="1758">
        <v>144.06566866885368</v>
      </c>
      <c r="L361" s="1354">
        <v>124.64386900502005</v>
      </c>
      <c r="M361" s="1758">
        <v>180.629128885927</v>
      </c>
      <c r="N361" s="1354">
        <v>108.62158595833719</v>
      </c>
      <c r="O361" s="1758">
        <v>111.16009491859768</v>
      </c>
      <c r="P361" s="1354">
        <v>203.38830751080997</v>
      </c>
      <c r="Q361" s="1758">
        <v>134.93674985152265</v>
      </c>
      <c r="R361" s="1354">
        <v>162.20904753837755</v>
      </c>
      <c r="S361" s="1758">
        <v>117.82911486112206</v>
      </c>
      <c r="T361" s="1778">
        <v>117.59807732762341</v>
      </c>
    </row>
    <row r="362" spans="1:20">
      <c r="A362" s="49">
        <f t="shared" si="0"/>
        <v>2023.05</v>
      </c>
      <c r="B362" s="1758">
        <v>137.39142685060648</v>
      </c>
      <c r="C362" s="1354">
        <v>130.765230325022</v>
      </c>
      <c r="D362" s="943">
        <v>131.61232117907599</v>
      </c>
      <c r="E362" s="1758">
        <v>154.36639267525666</v>
      </c>
      <c r="F362" s="1354">
        <v>74.921817723842068</v>
      </c>
      <c r="G362" s="1758">
        <v>97.103781666592212</v>
      </c>
      <c r="H362" s="1354">
        <v>107.66213597716606</v>
      </c>
      <c r="I362" s="1758">
        <v>113.31829534342531</v>
      </c>
      <c r="J362" s="1354">
        <v>121.00748279029546</v>
      </c>
      <c r="K362" s="1758">
        <v>152.41733428131329</v>
      </c>
      <c r="L362" s="1354">
        <v>127.93722474135163</v>
      </c>
      <c r="M362" s="1758">
        <v>189.30406150650902</v>
      </c>
      <c r="N362" s="1354">
        <v>110.92408404415602</v>
      </c>
      <c r="O362" s="1758">
        <v>110.39911618835379</v>
      </c>
      <c r="P362" s="1354">
        <v>183.8520935494968</v>
      </c>
      <c r="Q362" s="1758">
        <v>140.73669301013692</v>
      </c>
      <c r="R362" s="1354">
        <v>168.18366587391981</v>
      </c>
      <c r="S362" s="1758">
        <v>120.47585384433999</v>
      </c>
      <c r="T362" s="1778">
        <v>120.71230745817729</v>
      </c>
    </row>
    <row r="363" spans="1:20">
      <c r="A363" s="49">
        <f t="shared" si="0"/>
        <v>2023.06</v>
      </c>
      <c r="B363" s="1758">
        <v>134.30139094270459</v>
      </c>
      <c r="C363" s="1354">
        <v>130.90671224424099</v>
      </c>
      <c r="D363" s="943">
        <v>131.082346340806</v>
      </c>
      <c r="E363" s="1758">
        <v>148.27971263005935</v>
      </c>
      <c r="F363" s="1354">
        <v>60.676839711493223</v>
      </c>
      <c r="G363" s="1758">
        <v>103.40035400416072</v>
      </c>
      <c r="H363" s="1354">
        <v>99.984760563817773</v>
      </c>
      <c r="I363" s="1758">
        <v>110.10851678685964</v>
      </c>
      <c r="J363" s="1354">
        <v>116.50531382378071</v>
      </c>
      <c r="K363" s="1758">
        <v>149.420275859816</v>
      </c>
      <c r="L363" s="1354">
        <v>122.69198762707124</v>
      </c>
      <c r="M363" s="1758">
        <v>190.49972932327998</v>
      </c>
      <c r="N363" s="1354">
        <v>111.96104811794659</v>
      </c>
      <c r="O363" s="1758">
        <v>109.76965840954276</v>
      </c>
      <c r="P363" s="1354">
        <v>190.88913380706816</v>
      </c>
      <c r="Q363" s="1758">
        <v>142.16233802184394</v>
      </c>
      <c r="R363" s="1354">
        <v>166.92834809561401</v>
      </c>
      <c r="S363" s="1758">
        <v>117.46562189794071</v>
      </c>
      <c r="T363" s="1778">
        <v>108.93505673665524</v>
      </c>
    </row>
    <row r="364" spans="1:20">
      <c r="A364" s="49">
        <f t="shared" si="0"/>
        <v>2023.07</v>
      </c>
      <c r="B364" s="1758">
        <v>132.27647361529247</v>
      </c>
      <c r="C364" s="1354">
        <v>128.896079454199</v>
      </c>
      <c r="D364" s="943">
        <v>130.23623030398301</v>
      </c>
      <c r="E364" s="1758">
        <v>147.40637839802693</v>
      </c>
      <c r="F364" s="1354">
        <v>65.542900390912223</v>
      </c>
      <c r="G364" s="1758">
        <v>110.73726097182463</v>
      </c>
      <c r="H364" s="1354">
        <v>95.242073213207618</v>
      </c>
      <c r="I364" s="1758">
        <v>113.3885189423993</v>
      </c>
      <c r="J364" s="1354">
        <v>118.55719227245037</v>
      </c>
      <c r="K364" s="1758">
        <v>150.94847652280512</v>
      </c>
      <c r="L364" s="1354">
        <v>125.07989256172907</v>
      </c>
      <c r="M364" s="1758">
        <v>191.56648487347044</v>
      </c>
      <c r="N364" s="1354">
        <v>98.644268097343542</v>
      </c>
      <c r="O364" s="1758">
        <v>110.7719501345878</v>
      </c>
      <c r="P364" s="1354">
        <v>176.90167438837688</v>
      </c>
      <c r="Q364" s="1758">
        <v>125.29912900733559</v>
      </c>
      <c r="R364" s="1354">
        <v>154.64218141985492</v>
      </c>
      <c r="S364" s="1758">
        <v>110.31667663889728</v>
      </c>
      <c r="T364" s="1778">
        <v>117.82790700703599</v>
      </c>
    </row>
    <row r="365" spans="1:20">
      <c r="A365" s="49">
        <f t="shared" si="0"/>
        <v>2023.08</v>
      </c>
      <c r="B365" s="1758">
        <v>138.41830131707417</v>
      </c>
      <c r="C365" s="1354">
        <v>129.28588619176199</v>
      </c>
      <c r="D365" s="943">
        <v>129.02515313386701</v>
      </c>
      <c r="E365" s="1758">
        <v>153.08575661747707</v>
      </c>
      <c r="F365" s="1354">
        <v>65.435228351671469</v>
      </c>
      <c r="G365" s="1758">
        <v>104.98999963066152</v>
      </c>
      <c r="H365" s="1354">
        <v>95.138512428085789</v>
      </c>
      <c r="I365" s="1758">
        <v>122.53812523616024</v>
      </c>
      <c r="J365" s="1354">
        <v>109.25572220683735</v>
      </c>
      <c r="K365" s="1758">
        <v>149.26264939019043</v>
      </c>
      <c r="L365" s="1354">
        <v>128.59026058391612</v>
      </c>
      <c r="M365" s="1758">
        <v>208.56424082425244</v>
      </c>
      <c r="N365" s="1354">
        <v>105.72014055356333</v>
      </c>
      <c r="O365" s="1758">
        <v>122.65979746008826</v>
      </c>
      <c r="P365" s="1354">
        <v>198.0824060082079</v>
      </c>
      <c r="Q365" s="1758">
        <v>146.54421034016943</v>
      </c>
      <c r="R365" s="1354">
        <v>188.58007040409217</v>
      </c>
      <c r="S365" s="1758">
        <v>117.67176588454157</v>
      </c>
      <c r="T365" s="1778">
        <v>107.14040477485693</v>
      </c>
    </row>
    <row r="366" spans="1:20">
      <c r="A366" s="49">
        <f t="shared" si="0"/>
        <v>2023.09</v>
      </c>
      <c r="B366" s="1758">
        <v>133.44864570443673</v>
      </c>
      <c r="C366" s="1354">
        <v>129.38065945407499</v>
      </c>
      <c r="D366" s="943">
        <v>127.379438670299</v>
      </c>
      <c r="E366" s="1758">
        <v>141.99328606748207</v>
      </c>
      <c r="F366" s="1354">
        <v>58.434881671417372</v>
      </c>
      <c r="G366" s="1758">
        <v>100.87145461323864</v>
      </c>
      <c r="H366" s="1354">
        <v>97.646650340297995</v>
      </c>
      <c r="I366" s="1758">
        <v>116.69433128114017</v>
      </c>
      <c r="J366" s="1354">
        <v>116.96469725274227</v>
      </c>
      <c r="K366" s="1758">
        <v>153.91960439832215</v>
      </c>
      <c r="L366" s="1354">
        <v>128.77055494613307</v>
      </c>
      <c r="M366" s="1758">
        <v>200.58653593881311</v>
      </c>
      <c r="N366" s="1354">
        <v>105.47543912563366</v>
      </c>
      <c r="O366" s="1758">
        <v>116.64554475390885</v>
      </c>
      <c r="P366" s="1354">
        <v>185.8478436546431</v>
      </c>
      <c r="Q366" s="1758">
        <v>136.54440875301697</v>
      </c>
      <c r="R366" s="1354">
        <v>175.25324000819563</v>
      </c>
      <c r="S366" s="1758">
        <v>125.33694102691898</v>
      </c>
      <c r="T366" s="1778">
        <v>92.714253987390592</v>
      </c>
    </row>
    <row r="367" spans="1:20">
      <c r="A367" s="49">
        <f t="shared" si="0"/>
        <v>2023.1</v>
      </c>
      <c r="B367" s="1758">
        <v>132.9510631984009</v>
      </c>
      <c r="C367" s="1354">
        <v>128.69486169876899</v>
      </c>
      <c r="D367" s="943">
        <v>125.275124502138</v>
      </c>
      <c r="E367" s="1758">
        <v>146.1578554795002</v>
      </c>
      <c r="F367" s="1354">
        <v>54.337750721921864</v>
      </c>
      <c r="G367" s="1758">
        <v>95.918325728603136</v>
      </c>
      <c r="H367" s="1354">
        <v>106.53267316214426</v>
      </c>
      <c r="I367" s="1758">
        <v>111.91743893912025</v>
      </c>
      <c r="J367" s="1354">
        <v>105.95104788758788</v>
      </c>
      <c r="K367" s="1758">
        <v>148.39239700155457</v>
      </c>
      <c r="L367" s="1354">
        <v>127.80881625267443</v>
      </c>
      <c r="M367" s="1758">
        <v>197.75758782569591</v>
      </c>
      <c r="N367" s="1354">
        <v>109.02638974386608</v>
      </c>
      <c r="O367" s="1758">
        <v>113.62500776658162</v>
      </c>
      <c r="P367" s="1354">
        <v>184.52410837067046</v>
      </c>
      <c r="Q367" s="1758">
        <v>135.51872903328299</v>
      </c>
      <c r="R367" s="1354">
        <v>159.43157736863981</v>
      </c>
      <c r="S367" s="1758">
        <v>121.67919424230327</v>
      </c>
      <c r="T367" s="1778">
        <v>103.39348707956427</v>
      </c>
    </row>
    <row r="368" spans="1:20">
      <c r="A368" s="49">
        <f t="shared" si="0"/>
        <v>2023.11</v>
      </c>
      <c r="B368" s="1758">
        <v>127.71163306287794</v>
      </c>
      <c r="C368" s="1354">
        <v>126.809329887217</v>
      </c>
      <c r="D368" s="943">
        <v>122.80778576092899</v>
      </c>
      <c r="E368" s="1758">
        <v>139.61171730352387</v>
      </c>
      <c r="F368" s="1354">
        <v>59.368894329898168</v>
      </c>
      <c r="G368" s="1758">
        <v>88.58874874157614</v>
      </c>
      <c r="H368" s="1354">
        <v>98.393497187756665</v>
      </c>
      <c r="I368" s="1758">
        <v>111.95458085118976</v>
      </c>
      <c r="J368" s="1354">
        <v>115.79291296540154</v>
      </c>
      <c r="K368" s="1758">
        <v>143.46180727687994</v>
      </c>
      <c r="L368" s="1354">
        <v>123.75611734398828</v>
      </c>
      <c r="M368" s="1758">
        <v>194.62866842714445</v>
      </c>
      <c r="N368" s="1354">
        <v>98.857865948976396</v>
      </c>
      <c r="O368" s="1758">
        <v>111.9173466017872</v>
      </c>
      <c r="P368" s="1354">
        <v>152.66203152420675</v>
      </c>
      <c r="Q368" s="1758">
        <v>122.29000526571848</v>
      </c>
      <c r="R368" s="1354">
        <v>171.7632799480719</v>
      </c>
      <c r="S368" s="1758">
        <v>134.79420291545941</v>
      </c>
      <c r="T368" s="1778">
        <v>101.47557282403967</v>
      </c>
    </row>
    <row r="369" spans="1:20">
      <c r="A369" s="49">
        <f t="shared" si="0"/>
        <v>2023.12</v>
      </c>
      <c r="B369" s="1758">
        <v>107.55209853511307</v>
      </c>
      <c r="C369" s="1354">
        <v>116.630258719241</v>
      </c>
      <c r="D369" s="943">
        <v>120.202618881495</v>
      </c>
      <c r="E369" s="1758">
        <v>131.39925994334388</v>
      </c>
      <c r="F369" s="1354">
        <v>51.165521689312868</v>
      </c>
      <c r="G369" s="1758">
        <v>61.7874851576548</v>
      </c>
      <c r="H369" s="1354">
        <v>85.96948792613901</v>
      </c>
      <c r="I369" s="1758">
        <v>92.437960944155918</v>
      </c>
      <c r="J369" s="1354">
        <v>121.08471745160199</v>
      </c>
      <c r="K369" s="1758">
        <v>120.15050147885736</v>
      </c>
      <c r="L369" s="1354">
        <v>103.14567418604466</v>
      </c>
      <c r="M369" s="1758">
        <v>165.13497162014963</v>
      </c>
      <c r="N369" s="1354">
        <v>77.837591721929215</v>
      </c>
      <c r="O369" s="1758">
        <v>85.108406976932187</v>
      </c>
      <c r="P369" s="1354">
        <v>117.4367417020889</v>
      </c>
      <c r="Q369" s="1758">
        <v>73.016687588969589</v>
      </c>
      <c r="R369" s="1354">
        <v>124.35670616672844</v>
      </c>
      <c r="S369" s="1758">
        <v>112.34987152653194</v>
      </c>
      <c r="T369" s="1778">
        <v>70.443807865537039</v>
      </c>
    </row>
    <row r="370" spans="1:20">
      <c r="A370" s="49">
        <f t="shared" si="0"/>
        <v>2024.01</v>
      </c>
      <c r="B370" s="1758">
        <v>103.27106016823397</v>
      </c>
      <c r="C370" s="1354">
        <v>114.674072951177</v>
      </c>
      <c r="D370" s="943">
        <v>117.716388410403</v>
      </c>
      <c r="E370" s="1758">
        <v>134.58343223648544</v>
      </c>
      <c r="F370" s="1354">
        <v>99.486711521179416</v>
      </c>
      <c r="G370" s="1758">
        <v>50.516820316854997</v>
      </c>
      <c r="H370" s="1354">
        <v>57.115589358369107</v>
      </c>
      <c r="I370" s="1758">
        <v>100.22996698521865</v>
      </c>
      <c r="J370" s="1354">
        <v>118.6154169714351</v>
      </c>
      <c r="K370" s="1758">
        <v>119.36704392550436</v>
      </c>
      <c r="L370" s="1354">
        <v>98.229363699865104</v>
      </c>
      <c r="M370" s="1758">
        <v>145.56540881506939</v>
      </c>
      <c r="N370" s="1354">
        <v>85.609189316548097</v>
      </c>
      <c r="O370" s="1758">
        <v>90.150911068576931</v>
      </c>
      <c r="P370" s="1354">
        <v>88.081034643349099</v>
      </c>
      <c r="Q370" s="1758">
        <v>64.733241652804665</v>
      </c>
      <c r="R370" s="1354">
        <v>77.24783007744486</v>
      </c>
      <c r="S370" s="1758">
        <v>96.654934769058528</v>
      </c>
      <c r="T370" s="1778">
        <v>64.545193146405325</v>
      </c>
    </row>
    <row r="371" spans="1:20">
      <c r="A371" s="49">
        <f t="shared" si="0"/>
        <v>2024.02</v>
      </c>
      <c r="B371" s="1758">
        <v>103.6379056330241</v>
      </c>
      <c r="C371" s="1354">
        <v>113.897395326604</v>
      </c>
      <c r="D371" s="943">
        <v>115.59508953081701</v>
      </c>
      <c r="E371" s="1758">
        <v>125.61498111350402</v>
      </c>
      <c r="F371" s="1354">
        <v>124.43374590744601</v>
      </c>
      <c r="G371" s="1758">
        <v>62.333539024880096</v>
      </c>
      <c r="H371" s="1354">
        <v>66.719003205689091</v>
      </c>
      <c r="I371" s="1758">
        <v>97.035193538454052</v>
      </c>
      <c r="J371" s="1354">
        <v>109.05008561224983</v>
      </c>
      <c r="K371" s="1758">
        <v>123.69409771107367</v>
      </c>
      <c r="L371" s="1354">
        <v>98.395111985848828</v>
      </c>
      <c r="M371" s="1758">
        <v>139.7288798548891</v>
      </c>
      <c r="N371" s="1354">
        <v>71.600754843396544</v>
      </c>
      <c r="O371" s="1758">
        <v>91.93999061938041</v>
      </c>
      <c r="P371" s="1354">
        <v>103.19005822016079</v>
      </c>
      <c r="Q371" s="1758">
        <v>79.33151688827941</v>
      </c>
      <c r="R371" s="1354">
        <v>124.56495450399757</v>
      </c>
      <c r="S371" s="1758">
        <v>100.09982065774228</v>
      </c>
      <c r="T371" s="1778">
        <v>62.472897637860569</v>
      </c>
    </row>
    <row r="372" spans="1:20">
      <c r="A372" s="49">
        <f t="shared" si="0"/>
        <v>2024.03</v>
      </c>
      <c r="B372" s="1758">
        <v>110.90845385254669</v>
      </c>
      <c r="C372" s="1354">
        <v>106.757973482433</v>
      </c>
      <c r="D372" s="943">
        <v>113.984213364037</v>
      </c>
      <c r="E372" s="1758">
        <v>132.05434374120355</v>
      </c>
      <c r="F372" s="1354">
        <v>126.14678723231518</v>
      </c>
      <c r="G372" s="1758">
        <v>63.42650409675079</v>
      </c>
      <c r="H372" s="1354">
        <v>86.973775101121859</v>
      </c>
      <c r="I372" s="1758">
        <v>95.490375725004412</v>
      </c>
      <c r="J372" s="1354">
        <v>116.79105222964466</v>
      </c>
      <c r="K372" s="1758">
        <v>140.46488003071704</v>
      </c>
      <c r="L372" s="1354">
        <v>100.53158107719746</v>
      </c>
      <c r="M372" s="1758">
        <v>125.48650352368018</v>
      </c>
      <c r="N372" s="1354">
        <v>74.08845195375946</v>
      </c>
      <c r="O372" s="1758">
        <v>89.863193858659599</v>
      </c>
      <c r="P372" s="1354">
        <v>125.23645355977119</v>
      </c>
      <c r="Q372" s="1758">
        <v>91.619920987329834</v>
      </c>
      <c r="R372" s="1354">
        <v>141.62249186480346</v>
      </c>
      <c r="S372" s="1758">
        <v>104.08393222662177</v>
      </c>
      <c r="T372" s="1778">
        <v>69.12266398628428</v>
      </c>
    </row>
    <row r="373" spans="1:20">
      <c r="A373" s="49">
        <f t="shared" si="0"/>
        <v>2024.04</v>
      </c>
      <c r="B373" s="1758" t="e">
        <v>#N/A</v>
      </c>
      <c r="C373" s="1354" t="e">
        <v>#N/A</v>
      </c>
      <c r="D373" s="943" t="e">
        <v>#N/A</v>
      </c>
      <c r="E373" s="1758" t="e">
        <v>#N/A</v>
      </c>
      <c r="F373" s="1354" t="e">
        <v>#N/A</v>
      </c>
      <c r="G373" s="1758" t="e">
        <v>#N/A</v>
      </c>
      <c r="H373" s="1354" t="e">
        <v>#N/A</v>
      </c>
      <c r="I373" s="1758" t="e">
        <v>#N/A</v>
      </c>
      <c r="J373" s="1354" t="e">
        <v>#N/A</v>
      </c>
      <c r="K373" s="1758" t="e">
        <v>#N/A</v>
      </c>
      <c r="L373" s="1354" t="e">
        <v>#N/A</v>
      </c>
      <c r="M373" s="1758" t="e">
        <v>#N/A</v>
      </c>
      <c r="N373" s="1354" t="e">
        <v>#N/A</v>
      </c>
      <c r="O373" s="1758" t="e">
        <v>#N/A</v>
      </c>
      <c r="P373" s="1354" t="e">
        <v>#N/A</v>
      </c>
      <c r="Q373" s="1758" t="e">
        <v>#N/A</v>
      </c>
      <c r="R373" s="1354" t="e">
        <v>#N/A</v>
      </c>
      <c r="S373" s="1758" t="e">
        <v>#N/A</v>
      </c>
      <c r="T373" s="1778" t="e">
        <v>#N/A</v>
      </c>
    </row>
    <row r="374" spans="1:20">
      <c r="A374" s="49">
        <f t="shared" si="0"/>
        <v>2024.05</v>
      </c>
      <c r="B374" s="1758" t="e">
        <v>#N/A</v>
      </c>
      <c r="C374" s="1354" t="e">
        <v>#N/A</v>
      </c>
      <c r="D374" s="943" t="e">
        <v>#N/A</v>
      </c>
      <c r="E374" s="1758" t="e">
        <v>#N/A</v>
      </c>
      <c r="F374" s="1354" t="e">
        <v>#N/A</v>
      </c>
      <c r="G374" s="1758" t="e">
        <v>#N/A</v>
      </c>
      <c r="H374" s="1354" t="e">
        <v>#N/A</v>
      </c>
      <c r="I374" s="1758" t="e">
        <v>#N/A</v>
      </c>
      <c r="J374" s="1354" t="e">
        <v>#N/A</v>
      </c>
      <c r="K374" s="1758" t="e">
        <v>#N/A</v>
      </c>
      <c r="L374" s="1354" t="e">
        <v>#N/A</v>
      </c>
      <c r="M374" s="1758" t="e">
        <v>#N/A</v>
      </c>
      <c r="N374" s="1354" t="e">
        <v>#N/A</v>
      </c>
      <c r="O374" s="1758" t="e">
        <v>#N/A</v>
      </c>
      <c r="P374" s="1354" t="e">
        <v>#N/A</v>
      </c>
      <c r="Q374" s="1758" t="e">
        <v>#N/A</v>
      </c>
      <c r="R374" s="1354" t="e">
        <v>#N/A</v>
      </c>
      <c r="S374" s="1758" t="e">
        <v>#N/A</v>
      </c>
      <c r="T374" s="1778" t="e">
        <v>#N/A</v>
      </c>
    </row>
    <row r="375" spans="1:20">
      <c r="A375" s="49">
        <f t="shared" si="0"/>
        <v>2024.06</v>
      </c>
      <c r="B375" s="1758" t="e">
        <v>#N/A</v>
      </c>
      <c r="C375" s="1354" t="e">
        <v>#N/A</v>
      </c>
      <c r="D375" s="943" t="e">
        <v>#N/A</v>
      </c>
      <c r="E375" s="1758" t="e">
        <v>#N/A</v>
      </c>
      <c r="F375" s="1354" t="e">
        <v>#N/A</v>
      </c>
      <c r="G375" s="1758" t="e">
        <v>#N/A</v>
      </c>
      <c r="H375" s="1354" t="e">
        <v>#N/A</v>
      </c>
      <c r="I375" s="1758" t="e">
        <v>#N/A</v>
      </c>
      <c r="J375" s="1354" t="e">
        <v>#N/A</v>
      </c>
      <c r="K375" s="1758" t="e">
        <v>#N/A</v>
      </c>
      <c r="L375" s="1354" t="e">
        <v>#N/A</v>
      </c>
      <c r="M375" s="1758" t="e">
        <v>#N/A</v>
      </c>
      <c r="N375" s="1354" t="e">
        <v>#N/A</v>
      </c>
      <c r="O375" s="1758" t="e">
        <v>#N/A</v>
      </c>
      <c r="P375" s="1354" t="e">
        <v>#N/A</v>
      </c>
      <c r="Q375" s="1758" t="e">
        <v>#N/A</v>
      </c>
      <c r="R375" s="1354" t="e">
        <v>#N/A</v>
      </c>
      <c r="S375" s="1758" t="e">
        <v>#N/A</v>
      </c>
      <c r="T375" s="1778" t="e">
        <v>#N/A</v>
      </c>
    </row>
    <row r="376" spans="1:20">
      <c r="A376" s="49">
        <f t="shared" si="0"/>
        <v>2024.07</v>
      </c>
      <c r="B376" s="1758" t="e">
        <v>#N/A</v>
      </c>
      <c r="C376" s="1354" t="e">
        <v>#N/A</v>
      </c>
      <c r="D376" s="943" t="e">
        <v>#N/A</v>
      </c>
      <c r="E376" s="1758" t="e">
        <v>#N/A</v>
      </c>
      <c r="F376" s="1354" t="e">
        <v>#N/A</v>
      </c>
      <c r="G376" s="1758" t="e">
        <v>#N/A</v>
      </c>
      <c r="H376" s="1354" t="e">
        <v>#N/A</v>
      </c>
      <c r="I376" s="1758" t="e">
        <v>#N/A</v>
      </c>
      <c r="J376" s="1354" t="e">
        <v>#N/A</v>
      </c>
      <c r="K376" s="1758" t="e">
        <v>#N/A</v>
      </c>
      <c r="L376" s="1354" t="e">
        <v>#N/A</v>
      </c>
      <c r="M376" s="1758" t="e">
        <v>#N/A</v>
      </c>
      <c r="N376" s="1354" t="e">
        <v>#N/A</v>
      </c>
      <c r="O376" s="1758" t="e">
        <v>#N/A</v>
      </c>
      <c r="P376" s="1354" t="e">
        <v>#N/A</v>
      </c>
      <c r="Q376" s="1758" t="e">
        <v>#N/A</v>
      </c>
      <c r="R376" s="1354" t="e">
        <v>#N/A</v>
      </c>
      <c r="S376" s="1758" t="e">
        <v>#N/A</v>
      </c>
      <c r="T376" s="1778" t="e">
        <v>#N/A</v>
      </c>
    </row>
    <row r="377" spans="1:20">
      <c r="A377" s="49">
        <f t="shared" si="0"/>
        <v>2024.08</v>
      </c>
      <c r="B377" s="1758" t="e">
        <v>#N/A</v>
      </c>
      <c r="C377" s="1354" t="e">
        <v>#N/A</v>
      </c>
      <c r="D377" s="943" t="e">
        <v>#N/A</v>
      </c>
      <c r="E377" s="1758" t="e">
        <v>#N/A</v>
      </c>
      <c r="F377" s="1354" t="e">
        <v>#N/A</v>
      </c>
      <c r="G377" s="1758" t="e">
        <v>#N/A</v>
      </c>
      <c r="H377" s="1354" t="e">
        <v>#N/A</v>
      </c>
      <c r="I377" s="1758" t="e">
        <v>#N/A</v>
      </c>
      <c r="J377" s="1354" t="e">
        <v>#N/A</v>
      </c>
      <c r="K377" s="1758" t="e">
        <v>#N/A</v>
      </c>
      <c r="L377" s="1354" t="e">
        <v>#N/A</v>
      </c>
      <c r="M377" s="1758" t="e">
        <v>#N/A</v>
      </c>
      <c r="N377" s="1354" t="e">
        <v>#N/A</v>
      </c>
      <c r="O377" s="1758" t="e">
        <v>#N/A</v>
      </c>
      <c r="P377" s="1354" t="e">
        <v>#N/A</v>
      </c>
      <c r="Q377" s="1758" t="e">
        <v>#N/A</v>
      </c>
      <c r="R377" s="1354" t="e">
        <v>#N/A</v>
      </c>
      <c r="S377" s="1758" t="e">
        <v>#N/A</v>
      </c>
      <c r="T377" s="1778" t="e">
        <v>#N/A</v>
      </c>
    </row>
    <row r="378" spans="1:20">
      <c r="A378" s="49">
        <f t="shared" si="0"/>
        <v>2024.09</v>
      </c>
      <c r="B378" s="1758" t="e">
        <v>#N/A</v>
      </c>
      <c r="C378" s="1354" t="e">
        <v>#N/A</v>
      </c>
      <c r="D378" s="943" t="e">
        <v>#N/A</v>
      </c>
      <c r="E378" s="1758" t="e">
        <v>#N/A</v>
      </c>
      <c r="F378" s="1354" t="e">
        <v>#N/A</v>
      </c>
      <c r="G378" s="1758" t="e">
        <v>#N/A</v>
      </c>
      <c r="H378" s="1354" t="e">
        <v>#N/A</v>
      </c>
      <c r="I378" s="1758" t="e">
        <v>#N/A</v>
      </c>
      <c r="J378" s="1354" t="e">
        <v>#N/A</v>
      </c>
      <c r="K378" s="1758" t="e">
        <v>#N/A</v>
      </c>
      <c r="L378" s="1354" t="e">
        <v>#N/A</v>
      </c>
      <c r="M378" s="1758" t="e">
        <v>#N/A</v>
      </c>
      <c r="N378" s="1354" t="e">
        <v>#N/A</v>
      </c>
      <c r="O378" s="1758" t="e">
        <v>#N/A</v>
      </c>
      <c r="P378" s="1354" t="e">
        <v>#N/A</v>
      </c>
      <c r="Q378" s="1758" t="e">
        <v>#N/A</v>
      </c>
      <c r="R378" s="1354" t="e">
        <v>#N/A</v>
      </c>
      <c r="S378" s="1758" t="e">
        <v>#N/A</v>
      </c>
      <c r="T378" s="1778" t="e">
        <v>#N/A</v>
      </c>
    </row>
    <row r="379" spans="1:20">
      <c r="A379" s="49">
        <f t="shared" si="0"/>
        <v>2024.1</v>
      </c>
      <c r="B379" s="1758" t="e">
        <v>#N/A</v>
      </c>
      <c r="C379" s="1354" t="e">
        <v>#N/A</v>
      </c>
      <c r="D379" s="943" t="e">
        <v>#N/A</v>
      </c>
      <c r="E379" s="1758" t="e">
        <v>#N/A</v>
      </c>
      <c r="F379" s="1354" t="e">
        <v>#N/A</v>
      </c>
      <c r="G379" s="1758" t="e">
        <v>#N/A</v>
      </c>
      <c r="H379" s="1354" t="e">
        <v>#N/A</v>
      </c>
      <c r="I379" s="1758" t="e">
        <v>#N/A</v>
      </c>
      <c r="J379" s="1354" t="e">
        <v>#N/A</v>
      </c>
      <c r="K379" s="1758" t="e">
        <v>#N/A</v>
      </c>
      <c r="L379" s="1354" t="e">
        <v>#N/A</v>
      </c>
      <c r="M379" s="1758" t="e">
        <v>#N/A</v>
      </c>
      <c r="N379" s="1354" t="e">
        <v>#N/A</v>
      </c>
      <c r="O379" s="1758" t="e">
        <v>#N/A</v>
      </c>
      <c r="P379" s="1354" t="e">
        <v>#N/A</v>
      </c>
      <c r="Q379" s="1758" t="e">
        <v>#N/A</v>
      </c>
      <c r="R379" s="1354" t="e">
        <v>#N/A</v>
      </c>
      <c r="S379" s="1758" t="e">
        <v>#N/A</v>
      </c>
      <c r="T379" s="1778" t="e">
        <v>#N/A</v>
      </c>
    </row>
    <row r="380" spans="1:20">
      <c r="A380" s="49">
        <f t="shared" si="0"/>
        <v>2024.11</v>
      </c>
      <c r="B380" s="1758" t="e">
        <v>#N/A</v>
      </c>
      <c r="C380" s="1354" t="e">
        <v>#N/A</v>
      </c>
      <c r="D380" s="943" t="e">
        <v>#N/A</v>
      </c>
      <c r="E380" s="1758" t="e">
        <v>#N/A</v>
      </c>
      <c r="F380" s="1354" t="e">
        <v>#N/A</v>
      </c>
      <c r="G380" s="1758" t="e">
        <v>#N/A</v>
      </c>
      <c r="H380" s="1354" t="e">
        <v>#N/A</v>
      </c>
      <c r="I380" s="1758" t="e">
        <v>#N/A</v>
      </c>
      <c r="J380" s="1354" t="e">
        <v>#N/A</v>
      </c>
      <c r="K380" s="1758" t="e">
        <v>#N/A</v>
      </c>
      <c r="L380" s="1354" t="e">
        <v>#N/A</v>
      </c>
      <c r="M380" s="1758" t="e">
        <v>#N/A</v>
      </c>
      <c r="N380" s="1354" t="e">
        <v>#N/A</v>
      </c>
      <c r="O380" s="1758" t="e">
        <v>#N/A</v>
      </c>
      <c r="P380" s="1354" t="e">
        <v>#N/A</v>
      </c>
      <c r="Q380" s="1758" t="e">
        <v>#N/A</v>
      </c>
      <c r="R380" s="1354" t="e">
        <v>#N/A</v>
      </c>
      <c r="S380" s="1758" t="e">
        <v>#N/A</v>
      </c>
      <c r="T380" s="1778" t="e">
        <v>#N/A</v>
      </c>
    </row>
    <row r="381" spans="1:20">
      <c r="A381" s="49">
        <f t="shared" si="0"/>
        <v>2024.12</v>
      </c>
      <c r="B381" s="1758" t="e">
        <v>#N/A</v>
      </c>
      <c r="C381" s="1354" t="e">
        <v>#N/A</v>
      </c>
      <c r="D381" s="943" t="e">
        <v>#N/A</v>
      </c>
      <c r="E381" s="1758" t="e">
        <v>#N/A</v>
      </c>
      <c r="F381" s="1354" t="e">
        <v>#N/A</v>
      </c>
      <c r="G381" s="1758" t="e">
        <v>#N/A</v>
      </c>
      <c r="H381" s="1354" t="e">
        <v>#N/A</v>
      </c>
      <c r="I381" s="1758" t="e">
        <v>#N/A</v>
      </c>
      <c r="J381" s="1354" t="e">
        <v>#N/A</v>
      </c>
      <c r="K381" s="1758" t="e">
        <v>#N/A</v>
      </c>
      <c r="L381" s="1354" t="e">
        <v>#N/A</v>
      </c>
      <c r="M381" s="1758" t="e">
        <v>#N/A</v>
      </c>
      <c r="N381" s="1354" t="e">
        <v>#N/A</v>
      </c>
      <c r="O381" s="1758" t="e">
        <v>#N/A</v>
      </c>
      <c r="P381" s="1354" t="e">
        <v>#N/A</v>
      </c>
      <c r="Q381" s="1758" t="e">
        <v>#N/A</v>
      </c>
      <c r="R381" s="1354" t="e">
        <v>#N/A</v>
      </c>
      <c r="S381" s="1758" t="e">
        <v>#N/A</v>
      </c>
      <c r="T381" s="1778" t="e">
        <v>#N/A</v>
      </c>
    </row>
    <row r="382" spans="1:20">
      <c r="A382" s="49">
        <f t="shared" si="0"/>
        <v>2025.01</v>
      </c>
      <c r="B382" s="1758" t="e">
        <v>#N/A</v>
      </c>
      <c r="C382" s="1354" t="e">
        <v>#N/A</v>
      </c>
      <c r="D382" s="943" t="e">
        <v>#N/A</v>
      </c>
      <c r="E382" s="1758" t="e">
        <v>#N/A</v>
      </c>
      <c r="F382" s="1354" t="e">
        <v>#N/A</v>
      </c>
      <c r="G382" s="1758" t="e">
        <v>#N/A</v>
      </c>
      <c r="H382" s="1354" t="e">
        <v>#N/A</v>
      </c>
      <c r="I382" s="1758" t="e">
        <v>#N/A</v>
      </c>
      <c r="J382" s="1354" t="e">
        <v>#N/A</v>
      </c>
      <c r="K382" s="1758" t="e">
        <v>#N/A</v>
      </c>
      <c r="L382" s="1354" t="e">
        <v>#N/A</v>
      </c>
      <c r="M382" s="1758" t="e">
        <v>#N/A</v>
      </c>
      <c r="N382" s="1354" t="e">
        <v>#N/A</v>
      </c>
      <c r="O382" s="1758" t="e">
        <v>#N/A</v>
      </c>
      <c r="P382" s="1354" t="e">
        <v>#N/A</v>
      </c>
      <c r="Q382" s="1758" t="e">
        <v>#N/A</v>
      </c>
      <c r="R382" s="1354" t="e">
        <v>#N/A</v>
      </c>
      <c r="S382" s="1758" t="e">
        <v>#N/A</v>
      </c>
      <c r="T382" s="1778" t="e">
        <v>#N/A</v>
      </c>
    </row>
    <row r="383" spans="1:20">
      <c r="A383" s="49">
        <f t="shared" si="0"/>
        <v>2025.02</v>
      </c>
      <c r="B383" s="1758" t="e">
        <v>#N/A</v>
      </c>
      <c r="C383" s="1354" t="e">
        <v>#N/A</v>
      </c>
      <c r="D383" s="943" t="e">
        <v>#N/A</v>
      </c>
      <c r="E383" s="1758" t="e">
        <v>#N/A</v>
      </c>
      <c r="F383" s="1354" t="e">
        <v>#N/A</v>
      </c>
      <c r="G383" s="1758" t="e">
        <v>#N/A</v>
      </c>
      <c r="H383" s="1354" t="e">
        <v>#N/A</v>
      </c>
      <c r="I383" s="1758" t="e">
        <v>#N/A</v>
      </c>
      <c r="J383" s="1354" t="e">
        <v>#N/A</v>
      </c>
      <c r="K383" s="1758" t="e">
        <v>#N/A</v>
      </c>
      <c r="L383" s="1354" t="e">
        <v>#N/A</v>
      </c>
      <c r="M383" s="1758" t="e">
        <v>#N/A</v>
      </c>
      <c r="N383" s="1354" t="e">
        <v>#N/A</v>
      </c>
      <c r="O383" s="1758" t="e">
        <v>#N/A</v>
      </c>
      <c r="P383" s="1354" t="e">
        <v>#N/A</v>
      </c>
      <c r="Q383" s="1758" t="e">
        <v>#N/A</v>
      </c>
      <c r="R383" s="1354" t="e">
        <v>#N/A</v>
      </c>
      <c r="S383" s="1758" t="e">
        <v>#N/A</v>
      </c>
      <c r="T383" s="1778" t="e">
        <v>#N/A</v>
      </c>
    </row>
    <row r="384" spans="1:20">
      <c r="A384" s="49">
        <f t="shared" si="0"/>
        <v>2025.03</v>
      </c>
      <c r="B384" s="1758" t="e">
        <v>#N/A</v>
      </c>
      <c r="C384" s="1354" t="e">
        <v>#N/A</v>
      </c>
      <c r="D384" s="943" t="e">
        <v>#N/A</v>
      </c>
      <c r="E384" s="1758" t="e">
        <v>#N/A</v>
      </c>
      <c r="F384" s="1354" t="e">
        <v>#N/A</v>
      </c>
      <c r="G384" s="1758" t="e">
        <v>#N/A</v>
      </c>
      <c r="H384" s="1354" t="e">
        <v>#N/A</v>
      </c>
      <c r="I384" s="1758" t="e">
        <v>#N/A</v>
      </c>
      <c r="J384" s="1354" t="e">
        <v>#N/A</v>
      </c>
      <c r="K384" s="1758" t="e">
        <v>#N/A</v>
      </c>
      <c r="L384" s="1354" t="e">
        <v>#N/A</v>
      </c>
      <c r="M384" s="1758" t="e">
        <v>#N/A</v>
      </c>
      <c r="N384" s="1354" t="e">
        <v>#N/A</v>
      </c>
      <c r="O384" s="1758" t="e">
        <v>#N/A</v>
      </c>
      <c r="P384" s="1354" t="e">
        <v>#N/A</v>
      </c>
      <c r="Q384" s="1758" t="e">
        <v>#N/A</v>
      </c>
      <c r="R384" s="1354" t="e">
        <v>#N/A</v>
      </c>
      <c r="S384" s="1758" t="e">
        <v>#N/A</v>
      </c>
      <c r="T384" s="1778" t="e">
        <v>#N/A</v>
      </c>
    </row>
    <row r="385" spans="1:20">
      <c r="A385" s="49">
        <f t="shared" si="0"/>
        <v>2025.04</v>
      </c>
      <c r="B385" s="1758" t="e">
        <v>#N/A</v>
      </c>
      <c r="C385" s="1354" t="e">
        <v>#N/A</v>
      </c>
      <c r="D385" s="943" t="e">
        <v>#N/A</v>
      </c>
      <c r="E385" s="1758" t="e">
        <v>#N/A</v>
      </c>
      <c r="F385" s="1354" t="e">
        <v>#N/A</v>
      </c>
      <c r="G385" s="1758" t="e">
        <v>#N/A</v>
      </c>
      <c r="H385" s="1354" t="e">
        <v>#N/A</v>
      </c>
      <c r="I385" s="1758" t="e">
        <v>#N/A</v>
      </c>
      <c r="J385" s="1354" t="e">
        <v>#N/A</v>
      </c>
      <c r="K385" s="1758" t="e">
        <v>#N/A</v>
      </c>
      <c r="L385" s="1354" t="e">
        <v>#N/A</v>
      </c>
      <c r="M385" s="1758" t="e">
        <v>#N/A</v>
      </c>
      <c r="N385" s="1354" t="e">
        <v>#N/A</v>
      </c>
      <c r="O385" s="1758" t="e">
        <v>#N/A</v>
      </c>
      <c r="P385" s="1354" t="e">
        <v>#N/A</v>
      </c>
      <c r="Q385" s="1758" t="e">
        <v>#N/A</v>
      </c>
      <c r="R385" s="1354" t="e">
        <v>#N/A</v>
      </c>
      <c r="S385" s="1758" t="e">
        <v>#N/A</v>
      </c>
      <c r="T385" s="1778" t="e">
        <v>#N/A</v>
      </c>
    </row>
    <row r="386" spans="1:20">
      <c r="A386" s="49">
        <f t="shared" si="0"/>
        <v>2025.05</v>
      </c>
      <c r="B386" s="1758" t="e">
        <v>#N/A</v>
      </c>
      <c r="C386" s="1354" t="e">
        <v>#N/A</v>
      </c>
      <c r="D386" s="943" t="e">
        <v>#N/A</v>
      </c>
      <c r="E386" s="1758" t="e">
        <v>#N/A</v>
      </c>
      <c r="F386" s="1354" t="e">
        <v>#N/A</v>
      </c>
      <c r="G386" s="1758" t="e">
        <v>#N/A</v>
      </c>
      <c r="H386" s="1354" t="e">
        <v>#N/A</v>
      </c>
      <c r="I386" s="1758" t="e">
        <v>#N/A</v>
      </c>
      <c r="J386" s="1354" t="e">
        <v>#N/A</v>
      </c>
      <c r="K386" s="1758" t="e">
        <v>#N/A</v>
      </c>
      <c r="L386" s="1354" t="e">
        <v>#N/A</v>
      </c>
      <c r="M386" s="1758" t="e">
        <v>#N/A</v>
      </c>
      <c r="N386" s="1354" t="e">
        <v>#N/A</v>
      </c>
      <c r="O386" s="1758" t="e">
        <v>#N/A</v>
      </c>
      <c r="P386" s="1354" t="e">
        <v>#N/A</v>
      </c>
      <c r="Q386" s="1758" t="e">
        <v>#N/A</v>
      </c>
      <c r="R386" s="1354" t="e">
        <v>#N/A</v>
      </c>
      <c r="S386" s="1758" t="e">
        <v>#N/A</v>
      </c>
      <c r="T386" s="1778" t="e">
        <v>#N/A</v>
      </c>
    </row>
    <row r="387" spans="1:20">
      <c r="A387" s="49">
        <f t="shared" si="0"/>
        <v>2025.06</v>
      </c>
      <c r="B387" s="1758" t="e">
        <v>#N/A</v>
      </c>
      <c r="C387" s="1354" t="e">
        <v>#N/A</v>
      </c>
      <c r="D387" s="943" t="e">
        <v>#N/A</v>
      </c>
      <c r="E387" s="1758" t="e">
        <v>#N/A</v>
      </c>
      <c r="F387" s="1354" t="e">
        <v>#N/A</v>
      </c>
      <c r="G387" s="1758" t="e">
        <v>#N/A</v>
      </c>
      <c r="H387" s="1354" t="e">
        <v>#N/A</v>
      </c>
      <c r="I387" s="1758" t="e">
        <v>#N/A</v>
      </c>
      <c r="J387" s="1354" t="e">
        <v>#N/A</v>
      </c>
      <c r="K387" s="1758" t="e">
        <v>#N/A</v>
      </c>
      <c r="L387" s="1354" t="e">
        <v>#N/A</v>
      </c>
      <c r="M387" s="1758" t="e">
        <v>#N/A</v>
      </c>
      <c r="N387" s="1354" t="e">
        <v>#N/A</v>
      </c>
      <c r="O387" s="1758" t="e">
        <v>#N/A</v>
      </c>
      <c r="P387" s="1354" t="e">
        <v>#N/A</v>
      </c>
      <c r="Q387" s="1758" t="e">
        <v>#N/A</v>
      </c>
      <c r="R387" s="1354" t="e">
        <v>#N/A</v>
      </c>
      <c r="S387" s="1758" t="e">
        <v>#N/A</v>
      </c>
      <c r="T387" s="1778" t="e">
        <v>#N/A</v>
      </c>
    </row>
    <row r="388" spans="1:20">
      <c r="A388" s="49">
        <f t="shared" si="0"/>
        <v>2025.07</v>
      </c>
      <c r="B388" s="1758" t="e">
        <v>#N/A</v>
      </c>
      <c r="C388" s="1354" t="e">
        <v>#N/A</v>
      </c>
      <c r="D388" s="943" t="e">
        <v>#N/A</v>
      </c>
      <c r="E388" s="1758" t="e">
        <v>#N/A</v>
      </c>
      <c r="F388" s="1354" t="e">
        <v>#N/A</v>
      </c>
      <c r="G388" s="1758" t="e">
        <v>#N/A</v>
      </c>
      <c r="H388" s="1354" t="e">
        <v>#N/A</v>
      </c>
      <c r="I388" s="1758" t="e">
        <v>#N/A</v>
      </c>
      <c r="J388" s="1354" t="e">
        <v>#N/A</v>
      </c>
      <c r="K388" s="1758" t="e">
        <v>#N/A</v>
      </c>
      <c r="L388" s="1354" t="e">
        <v>#N/A</v>
      </c>
      <c r="M388" s="1758" t="e">
        <v>#N/A</v>
      </c>
      <c r="N388" s="1354" t="e">
        <v>#N/A</v>
      </c>
      <c r="O388" s="1758" t="e">
        <v>#N/A</v>
      </c>
      <c r="P388" s="1354" t="e">
        <v>#N/A</v>
      </c>
      <c r="Q388" s="1758" t="e">
        <v>#N/A</v>
      </c>
      <c r="R388" s="1354" t="e">
        <v>#N/A</v>
      </c>
      <c r="S388" s="1758" t="e">
        <v>#N/A</v>
      </c>
      <c r="T388" s="1778" t="e">
        <v>#N/A</v>
      </c>
    </row>
    <row r="389" spans="1:20">
      <c r="A389" s="49">
        <f t="shared" si="0"/>
        <v>2025.08</v>
      </c>
      <c r="B389" s="1758" t="e">
        <v>#N/A</v>
      </c>
      <c r="C389" s="1354" t="e">
        <v>#N/A</v>
      </c>
      <c r="D389" s="943" t="e">
        <v>#N/A</v>
      </c>
      <c r="E389" s="1758" t="e">
        <v>#N/A</v>
      </c>
      <c r="F389" s="1354" t="e">
        <v>#N/A</v>
      </c>
      <c r="G389" s="1758" t="e">
        <v>#N/A</v>
      </c>
      <c r="H389" s="1354" t="e">
        <v>#N/A</v>
      </c>
      <c r="I389" s="1758" t="e">
        <v>#N/A</v>
      </c>
      <c r="J389" s="1354" t="e">
        <v>#N/A</v>
      </c>
      <c r="K389" s="1758" t="e">
        <v>#N/A</v>
      </c>
      <c r="L389" s="1354" t="e">
        <v>#N/A</v>
      </c>
      <c r="M389" s="1758" t="e">
        <v>#N/A</v>
      </c>
      <c r="N389" s="1354" t="e">
        <v>#N/A</v>
      </c>
      <c r="O389" s="1758" t="e">
        <v>#N/A</v>
      </c>
      <c r="P389" s="1354" t="e">
        <v>#N/A</v>
      </c>
      <c r="Q389" s="1758" t="e">
        <v>#N/A</v>
      </c>
      <c r="R389" s="1354" t="e">
        <v>#N/A</v>
      </c>
      <c r="S389" s="1758" t="e">
        <v>#N/A</v>
      </c>
      <c r="T389" s="1778" t="e">
        <v>#N/A</v>
      </c>
    </row>
    <row r="390" spans="1:20">
      <c r="A390" s="49">
        <f t="shared" si="0"/>
        <v>2025.09</v>
      </c>
      <c r="B390" s="1758" t="e">
        <v>#N/A</v>
      </c>
      <c r="C390" s="1354" t="e">
        <v>#N/A</v>
      </c>
      <c r="D390" s="943" t="e">
        <v>#N/A</v>
      </c>
      <c r="E390" s="1758" t="e">
        <v>#N/A</v>
      </c>
      <c r="F390" s="1354" t="e">
        <v>#N/A</v>
      </c>
      <c r="G390" s="1758" t="e">
        <v>#N/A</v>
      </c>
      <c r="H390" s="1354" t="e">
        <v>#N/A</v>
      </c>
      <c r="I390" s="1758" t="e">
        <v>#N/A</v>
      </c>
      <c r="J390" s="1354" t="e">
        <v>#N/A</v>
      </c>
      <c r="K390" s="1758" t="e">
        <v>#N/A</v>
      </c>
      <c r="L390" s="1354" t="e">
        <v>#N/A</v>
      </c>
      <c r="M390" s="1758" t="e">
        <v>#N/A</v>
      </c>
      <c r="N390" s="1354" t="e">
        <v>#N/A</v>
      </c>
      <c r="O390" s="1758" t="e">
        <v>#N/A</v>
      </c>
      <c r="P390" s="1354" t="e">
        <v>#N/A</v>
      </c>
      <c r="Q390" s="1758" t="e">
        <v>#N/A</v>
      </c>
      <c r="R390" s="1354" t="e">
        <v>#N/A</v>
      </c>
      <c r="S390" s="1758" t="e">
        <v>#N/A</v>
      </c>
      <c r="T390" s="1778" t="e">
        <v>#N/A</v>
      </c>
    </row>
    <row r="391" spans="1:20">
      <c r="A391" s="49">
        <f t="shared" si="0"/>
        <v>2025.1</v>
      </c>
      <c r="B391" s="1758" t="e">
        <v>#N/A</v>
      </c>
      <c r="C391" s="1354" t="e">
        <v>#N/A</v>
      </c>
      <c r="D391" s="943" t="e">
        <v>#N/A</v>
      </c>
      <c r="E391" s="1758" t="e">
        <v>#N/A</v>
      </c>
      <c r="F391" s="1354" t="e">
        <v>#N/A</v>
      </c>
      <c r="G391" s="1758" t="e">
        <v>#N/A</v>
      </c>
      <c r="H391" s="1354" t="e">
        <v>#N/A</v>
      </c>
      <c r="I391" s="1758" t="e">
        <v>#N/A</v>
      </c>
      <c r="J391" s="1354" t="e">
        <v>#N/A</v>
      </c>
      <c r="K391" s="1758" t="e">
        <v>#N/A</v>
      </c>
      <c r="L391" s="1354" t="e">
        <v>#N/A</v>
      </c>
      <c r="M391" s="1758" t="e">
        <v>#N/A</v>
      </c>
      <c r="N391" s="1354" t="e">
        <v>#N/A</v>
      </c>
      <c r="O391" s="1758" t="e">
        <v>#N/A</v>
      </c>
      <c r="P391" s="1354" t="e">
        <v>#N/A</v>
      </c>
      <c r="Q391" s="1758" t="e">
        <v>#N/A</v>
      </c>
      <c r="R391" s="1354" t="e">
        <v>#N/A</v>
      </c>
      <c r="S391" s="1758" t="e">
        <v>#N/A</v>
      </c>
      <c r="T391" s="1778" t="e">
        <v>#N/A</v>
      </c>
    </row>
    <row r="392" spans="1:20">
      <c r="A392" s="49">
        <f t="shared" si="0"/>
        <v>2025.11</v>
      </c>
      <c r="B392" s="1758" t="e">
        <v>#N/A</v>
      </c>
      <c r="C392" s="1354" t="e">
        <v>#N/A</v>
      </c>
      <c r="D392" s="943" t="e">
        <v>#N/A</v>
      </c>
      <c r="E392" s="1758" t="e">
        <v>#N/A</v>
      </c>
      <c r="F392" s="1354" t="e">
        <v>#N/A</v>
      </c>
      <c r="G392" s="1758" t="e">
        <v>#N/A</v>
      </c>
      <c r="H392" s="1354" t="e">
        <v>#N/A</v>
      </c>
      <c r="I392" s="1758" t="e">
        <v>#N/A</v>
      </c>
      <c r="J392" s="1354" t="e">
        <v>#N/A</v>
      </c>
      <c r="K392" s="1758" t="e">
        <v>#N/A</v>
      </c>
      <c r="L392" s="1354" t="e">
        <v>#N/A</v>
      </c>
      <c r="M392" s="1758" t="e">
        <v>#N/A</v>
      </c>
      <c r="N392" s="1354" t="e">
        <v>#N/A</v>
      </c>
      <c r="O392" s="1758" t="e">
        <v>#N/A</v>
      </c>
      <c r="P392" s="1354" t="e">
        <v>#N/A</v>
      </c>
      <c r="Q392" s="1758" t="e">
        <v>#N/A</v>
      </c>
      <c r="R392" s="1354" t="e">
        <v>#N/A</v>
      </c>
      <c r="S392" s="1758" t="e">
        <v>#N/A</v>
      </c>
      <c r="T392" s="1778" t="e">
        <v>#N/A</v>
      </c>
    </row>
    <row r="393" spans="1:20">
      <c r="A393" s="49">
        <f t="shared" si="0"/>
        <v>2025.12</v>
      </c>
      <c r="B393" s="1758" t="e">
        <v>#N/A</v>
      </c>
      <c r="C393" s="1354" t="e">
        <v>#N/A</v>
      </c>
      <c r="D393" s="943" t="e">
        <v>#N/A</v>
      </c>
      <c r="E393" s="1758" t="e">
        <v>#N/A</v>
      </c>
      <c r="F393" s="1354" t="e">
        <v>#N/A</v>
      </c>
      <c r="G393" s="1758" t="e">
        <v>#N/A</v>
      </c>
      <c r="H393" s="1354" t="e">
        <v>#N/A</v>
      </c>
      <c r="I393" s="1758" t="e">
        <v>#N/A</v>
      </c>
      <c r="J393" s="1354" t="e">
        <v>#N/A</v>
      </c>
      <c r="K393" s="1758" t="e">
        <v>#N/A</v>
      </c>
      <c r="L393" s="1354" t="e">
        <v>#N/A</v>
      </c>
      <c r="M393" s="1758" t="e">
        <v>#N/A</v>
      </c>
      <c r="N393" s="1354" t="e">
        <v>#N/A</v>
      </c>
      <c r="O393" s="1758" t="e">
        <v>#N/A</v>
      </c>
      <c r="P393" s="1354" t="e">
        <v>#N/A</v>
      </c>
      <c r="Q393" s="1758" t="e">
        <v>#N/A</v>
      </c>
      <c r="R393" s="1354" t="e">
        <v>#N/A</v>
      </c>
      <c r="S393" s="1758" t="e">
        <v>#N/A</v>
      </c>
      <c r="T393" s="1778" t="e">
        <v>#N/A</v>
      </c>
    </row>
    <row r="394" spans="1:20">
      <c r="A394" s="49">
        <f t="shared" si="0"/>
        <v>2026.01</v>
      </c>
      <c r="B394" s="1758" t="e">
        <v>#N/A</v>
      </c>
      <c r="C394" s="1354" t="e">
        <v>#N/A</v>
      </c>
      <c r="D394" s="943" t="e">
        <v>#N/A</v>
      </c>
      <c r="E394" s="1758" t="e">
        <v>#N/A</v>
      </c>
      <c r="F394" s="1354" t="e">
        <v>#N/A</v>
      </c>
      <c r="G394" s="1758" t="e">
        <v>#N/A</v>
      </c>
      <c r="H394" s="1354" t="e">
        <v>#N/A</v>
      </c>
      <c r="I394" s="1758" t="e">
        <v>#N/A</v>
      </c>
      <c r="J394" s="1354" t="e">
        <v>#N/A</v>
      </c>
      <c r="K394" s="1758" t="e">
        <v>#N/A</v>
      </c>
      <c r="L394" s="1354" t="e">
        <v>#N/A</v>
      </c>
      <c r="M394" s="1758" t="e">
        <v>#N/A</v>
      </c>
      <c r="N394" s="1354" t="e">
        <v>#N/A</v>
      </c>
      <c r="O394" s="1758" t="e">
        <v>#N/A</v>
      </c>
      <c r="P394" s="1354" t="e">
        <v>#N/A</v>
      </c>
      <c r="Q394" s="1758" t="e">
        <v>#N/A</v>
      </c>
      <c r="R394" s="1354" t="e">
        <v>#N/A</v>
      </c>
      <c r="S394" s="1758" t="e">
        <v>#N/A</v>
      </c>
      <c r="T394" s="1778" t="e">
        <v>#N/A</v>
      </c>
    </row>
    <row r="395" spans="1:20">
      <c r="A395" s="49">
        <f t="shared" si="0"/>
        <v>2026.02</v>
      </c>
      <c r="B395" s="1758" t="e">
        <v>#N/A</v>
      </c>
      <c r="C395" s="1354" t="e">
        <v>#N/A</v>
      </c>
      <c r="D395" s="943" t="e">
        <v>#N/A</v>
      </c>
      <c r="E395" s="1758" t="e">
        <v>#N/A</v>
      </c>
      <c r="F395" s="1354" t="e">
        <v>#N/A</v>
      </c>
      <c r="G395" s="1758" t="e">
        <v>#N/A</v>
      </c>
      <c r="H395" s="1354" t="e">
        <v>#N/A</v>
      </c>
      <c r="I395" s="1758" t="e">
        <v>#N/A</v>
      </c>
      <c r="J395" s="1354" t="e">
        <v>#N/A</v>
      </c>
      <c r="K395" s="1758" t="e">
        <v>#N/A</v>
      </c>
      <c r="L395" s="1354" t="e">
        <v>#N/A</v>
      </c>
      <c r="M395" s="1758" t="e">
        <v>#N/A</v>
      </c>
      <c r="N395" s="1354" t="e">
        <v>#N/A</v>
      </c>
      <c r="O395" s="1758" t="e">
        <v>#N/A</v>
      </c>
      <c r="P395" s="1354" t="e">
        <v>#N/A</v>
      </c>
      <c r="Q395" s="1758" t="e">
        <v>#N/A</v>
      </c>
      <c r="R395" s="1354" t="e">
        <v>#N/A</v>
      </c>
      <c r="S395" s="1758" t="e">
        <v>#N/A</v>
      </c>
      <c r="T395" s="1778" t="e">
        <v>#N/A</v>
      </c>
    </row>
    <row r="396" spans="1:20">
      <c r="A396" s="49">
        <f t="shared" si="0"/>
        <v>2026.03</v>
      </c>
      <c r="B396" s="1758" t="e">
        <v>#N/A</v>
      </c>
      <c r="C396" s="1354" t="e">
        <v>#N/A</v>
      </c>
      <c r="D396" s="943" t="e">
        <v>#N/A</v>
      </c>
      <c r="E396" s="1758" t="e">
        <v>#N/A</v>
      </c>
      <c r="F396" s="1354" t="e">
        <v>#N/A</v>
      </c>
      <c r="G396" s="1758" t="e">
        <v>#N/A</v>
      </c>
      <c r="H396" s="1354" t="e">
        <v>#N/A</v>
      </c>
      <c r="I396" s="1758" t="e">
        <v>#N/A</v>
      </c>
      <c r="J396" s="1354" t="e">
        <v>#N/A</v>
      </c>
      <c r="K396" s="1758" t="e">
        <v>#N/A</v>
      </c>
      <c r="L396" s="1354" t="e">
        <v>#N/A</v>
      </c>
      <c r="M396" s="1758" t="e">
        <v>#N/A</v>
      </c>
      <c r="N396" s="1354" t="e">
        <v>#N/A</v>
      </c>
      <c r="O396" s="1758" t="e">
        <v>#N/A</v>
      </c>
      <c r="P396" s="1354" t="e">
        <v>#N/A</v>
      </c>
      <c r="Q396" s="1758" t="e">
        <v>#N/A</v>
      </c>
      <c r="R396" s="1354" t="e">
        <v>#N/A</v>
      </c>
      <c r="S396" s="1758" t="e">
        <v>#N/A</v>
      </c>
      <c r="T396" s="1778" t="e">
        <v>#N/A</v>
      </c>
    </row>
    <row r="397" spans="1:20">
      <c r="A397" s="49">
        <f t="shared" si="0"/>
        <v>2026.04</v>
      </c>
      <c r="B397" s="1758" t="e">
        <v>#N/A</v>
      </c>
      <c r="C397" s="1354" t="e">
        <v>#N/A</v>
      </c>
      <c r="D397" s="943" t="e">
        <v>#N/A</v>
      </c>
      <c r="E397" s="1758" t="e">
        <v>#N/A</v>
      </c>
      <c r="F397" s="1354" t="e">
        <v>#N/A</v>
      </c>
      <c r="G397" s="1758" t="e">
        <v>#N/A</v>
      </c>
      <c r="H397" s="1354" t="e">
        <v>#N/A</v>
      </c>
      <c r="I397" s="1758" t="e">
        <v>#N/A</v>
      </c>
      <c r="J397" s="1354" t="e">
        <v>#N/A</v>
      </c>
      <c r="K397" s="1758" t="e">
        <v>#N/A</v>
      </c>
      <c r="L397" s="1354" t="e">
        <v>#N/A</v>
      </c>
      <c r="M397" s="1758" t="e">
        <v>#N/A</v>
      </c>
      <c r="N397" s="1354" t="e">
        <v>#N/A</v>
      </c>
      <c r="O397" s="1758" t="e">
        <v>#N/A</v>
      </c>
      <c r="P397" s="1354" t="e">
        <v>#N/A</v>
      </c>
      <c r="Q397" s="1758" t="e">
        <v>#N/A</v>
      </c>
      <c r="R397" s="1354" t="e">
        <v>#N/A</v>
      </c>
      <c r="S397" s="1758" t="e">
        <v>#N/A</v>
      </c>
      <c r="T397" s="1778" t="e">
        <v>#N/A</v>
      </c>
    </row>
    <row r="398" spans="1:20">
      <c r="A398" s="49">
        <f t="shared" si="0"/>
        <v>2026.05</v>
      </c>
      <c r="B398" s="1758" t="e">
        <v>#N/A</v>
      </c>
      <c r="C398" s="1354" t="e">
        <v>#N/A</v>
      </c>
      <c r="D398" s="943" t="e">
        <v>#N/A</v>
      </c>
      <c r="E398" s="1758" t="e">
        <v>#N/A</v>
      </c>
      <c r="F398" s="1354" t="e">
        <v>#N/A</v>
      </c>
      <c r="G398" s="1758" t="e">
        <v>#N/A</v>
      </c>
      <c r="H398" s="1354" t="e">
        <v>#N/A</v>
      </c>
      <c r="I398" s="1758" t="e">
        <v>#N/A</v>
      </c>
      <c r="J398" s="1354" t="e">
        <v>#N/A</v>
      </c>
      <c r="K398" s="1758" t="e">
        <v>#N/A</v>
      </c>
      <c r="L398" s="1354" t="e">
        <v>#N/A</v>
      </c>
      <c r="M398" s="1758" t="e">
        <v>#N/A</v>
      </c>
      <c r="N398" s="1354" t="e">
        <v>#N/A</v>
      </c>
      <c r="O398" s="1758" t="e">
        <v>#N/A</v>
      </c>
      <c r="P398" s="1354" t="e">
        <v>#N/A</v>
      </c>
      <c r="Q398" s="1758" t="e">
        <v>#N/A</v>
      </c>
      <c r="R398" s="1354" t="e">
        <v>#N/A</v>
      </c>
      <c r="S398" s="1758" t="e">
        <v>#N/A</v>
      </c>
      <c r="T398" s="1778" t="e">
        <v>#N/A</v>
      </c>
    </row>
    <row r="399" spans="1:20">
      <c r="A399" s="49">
        <f t="shared" ref="A399:A453" si="1">A387+1</f>
        <v>2026.06</v>
      </c>
      <c r="B399" s="1758" t="e">
        <v>#N/A</v>
      </c>
      <c r="C399" s="1354" t="e">
        <v>#N/A</v>
      </c>
      <c r="D399" s="943" t="e">
        <v>#N/A</v>
      </c>
      <c r="E399" s="1758" t="e">
        <v>#N/A</v>
      </c>
      <c r="F399" s="1354" t="e">
        <v>#N/A</v>
      </c>
      <c r="G399" s="1758" t="e">
        <v>#N/A</v>
      </c>
      <c r="H399" s="1354" t="e">
        <v>#N/A</v>
      </c>
      <c r="I399" s="1758" t="e">
        <v>#N/A</v>
      </c>
      <c r="J399" s="1354" t="e">
        <v>#N/A</v>
      </c>
      <c r="K399" s="1758" t="e">
        <v>#N/A</v>
      </c>
      <c r="L399" s="1354" t="e">
        <v>#N/A</v>
      </c>
      <c r="M399" s="1758" t="e">
        <v>#N/A</v>
      </c>
      <c r="N399" s="1354" t="e">
        <v>#N/A</v>
      </c>
      <c r="O399" s="1758" t="e">
        <v>#N/A</v>
      </c>
      <c r="P399" s="1354" t="e">
        <v>#N/A</v>
      </c>
      <c r="Q399" s="1758" t="e">
        <v>#N/A</v>
      </c>
      <c r="R399" s="1354" t="e">
        <v>#N/A</v>
      </c>
      <c r="S399" s="1758" t="e">
        <v>#N/A</v>
      </c>
      <c r="T399" s="1778" t="e">
        <v>#N/A</v>
      </c>
    </row>
    <row r="400" spans="1:20">
      <c r="A400" s="49">
        <f t="shared" si="1"/>
        <v>2026.07</v>
      </c>
      <c r="B400" s="1758" t="e">
        <v>#N/A</v>
      </c>
      <c r="C400" s="1354" t="e">
        <v>#N/A</v>
      </c>
      <c r="D400" s="943" t="e">
        <v>#N/A</v>
      </c>
      <c r="E400" s="1758" t="e">
        <v>#N/A</v>
      </c>
      <c r="F400" s="1354" t="e">
        <v>#N/A</v>
      </c>
      <c r="G400" s="1758" t="e">
        <v>#N/A</v>
      </c>
      <c r="H400" s="1354" t="e">
        <v>#N/A</v>
      </c>
      <c r="I400" s="1758" t="e">
        <v>#N/A</v>
      </c>
      <c r="J400" s="1354" t="e">
        <v>#N/A</v>
      </c>
      <c r="K400" s="1758" t="e">
        <v>#N/A</v>
      </c>
      <c r="L400" s="1354" t="e">
        <v>#N/A</v>
      </c>
      <c r="M400" s="1758" t="e">
        <v>#N/A</v>
      </c>
      <c r="N400" s="1354" t="e">
        <v>#N/A</v>
      </c>
      <c r="O400" s="1758" t="e">
        <v>#N/A</v>
      </c>
      <c r="P400" s="1354" t="e">
        <v>#N/A</v>
      </c>
      <c r="Q400" s="1758" t="e">
        <v>#N/A</v>
      </c>
      <c r="R400" s="1354" t="e">
        <v>#N/A</v>
      </c>
      <c r="S400" s="1758" t="e">
        <v>#N/A</v>
      </c>
      <c r="T400" s="1778" t="e">
        <v>#N/A</v>
      </c>
    </row>
    <row r="401" spans="1:20">
      <c r="A401" s="49">
        <f t="shared" si="1"/>
        <v>2026.08</v>
      </c>
      <c r="B401" s="1758" t="e">
        <v>#N/A</v>
      </c>
      <c r="C401" s="1354" t="e">
        <v>#N/A</v>
      </c>
      <c r="D401" s="943" t="e">
        <v>#N/A</v>
      </c>
      <c r="E401" s="1758" t="e">
        <v>#N/A</v>
      </c>
      <c r="F401" s="1354" t="e">
        <v>#N/A</v>
      </c>
      <c r="G401" s="1758" t="e">
        <v>#N/A</v>
      </c>
      <c r="H401" s="1354" t="e">
        <v>#N/A</v>
      </c>
      <c r="I401" s="1758" t="e">
        <v>#N/A</v>
      </c>
      <c r="J401" s="1354" t="e">
        <v>#N/A</v>
      </c>
      <c r="K401" s="1758" t="e">
        <v>#N/A</v>
      </c>
      <c r="L401" s="1354" t="e">
        <v>#N/A</v>
      </c>
      <c r="M401" s="1758" t="e">
        <v>#N/A</v>
      </c>
      <c r="N401" s="1354" t="e">
        <v>#N/A</v>
      </c>
      <c r="O401" s="1758" t="e">
        <v>#N/A</v>
      </c>
      <c r="P401" s="1354" t="e">
        <v>#N/A</v>
      </c>
      <c r="Q401" s="1758" t="e">
        <v>#N/A</v>
      </c>
      <c r="R401" s="1354" t="e">
        <v>#N/A</v>
      </c>
      <c r="S401" s="1758" t="e">
        <v>#N/A</v>
      </c>
      <c r="T401" s="1778" t="e">
        <v>#N/A</v>
      </c>
    </row>
    <row r="402" spans="1:20">
      <c r="A402" s="49">
        <f t="shared" si="1"/>
        <v>2026.09</v>
      </c>
      <c r="B402" s="1758" t="e">
        <v>#N/A</v>
      </c>
      <c r="C402" s="1354" t="e">
        <v>#N/A</v>
      </c>
      <c r="D402" s="943" t="e">
        <v>#N/A</v>
      </c>
      <c r="E402" s="1758" t="e">
        <v>#N/A</v>
      </c>
      <c r="F402" s="1354" t="e">
        <v>#N/A</v>
      </c>
      <c r="G402" s="1758" t="e">
        <v>#N/A</v>
      </c>
      <c r="H402" s="1354" t="e">
        <v>#N/A</v>
      </c>
      <c r="I402" s="1758" t="e">
        <v>#N/A</v>
      </c>
      <c r="J402" s="1354" t="e">
        <v>#N/A</v>
      </c>
      <c r="K402" s="1758" t="e">
        <v>#N/A</v>
      </c>
      <c r="L402" s="1354" t="e">
        <v>#N/A</v>
      </c>
      <c r="M402" s="1758" t="e">
        <v>#N/A</v>
      </c>
      <c r="N402" s="1354" t="e">
        <v>#N/A</v>
      </c>
      <c r="O402" s="1758" t="e">
        <v>#N/A</v>
      </c>
      <c r="P402" s="1354" t="e">
        <v>#N/A</v>
      </c>
      <c r="Q402" s="1758" t="e">
        <v>#N/A</v>
      </c>
      <c r="R402" s="1354" t="e">
        <v>#N/A</v>
      </c>
      <c r="S402" s="1758" t="e">
        <v>#N/A</v>
      </c>
      <c r="T402" s="1778" t="e">
        <v>#N/A</v>
      </c>
    </row>
    <row r="403" spans="1:20">
      <c r="A403" s="49">
        <f t="shared" si="1"/>
        <v>2026.1</v>
      </c>
      <c r="B403" s="1758" t="e">
        <v>#N/A</v>
      </c>
      <c r="C403" s="1354" t="e">
        <v>#N/A</v>
      </c>
      <c r="D403" s="943" t="e">
        <v>#N/A</v>
      </c>
      <c r="E403" s="1758" t="e">
        <v>#N/A</v>
      </c>
      <c r="F403" s="1354" t="e">
        <v>#N/A</v>
      </c>
      <c r="G403" s="1758" t="e">
        <v>#N/A</v>
      </c>
      <c r="H403" s="1354" t="e">
        <v>#N/A</v>
      </c>
      <c r="I403" s="1758" t="e">
        <v>#N/A</v>
      </c>
      <c r="J403" s="1354" t="e">
        <v>#N/A</v>
      </c>
      <c r="K403" s="1758" t="e">
        <v>#N/A</v>
      </c>
      <c r="L403" s="1354" t="e">
        <v>#N/A</v>
      </c>
      <c r="M403" s="1758" t="e">
        <v>#N/A</v>
      </c>
      <c r="N403" s="1354" t="e">
        <v>#N/A</v>
      </c>
      <c r="O403" s="1758" t="e">
        <v>#N/A</v>
      </c>
      <c r="P403" s="1354" t="e">
        <v>#N/A</v>
      </c>
      <c r="Q403" s="1758" t="e">
        <v>#N/A</v>
      </c>
      <c r="R403" s="1354" t="e">
        <v>#N/A</v>
      </c>
      <c r="S403" s="1758" t="e">
        <v>#N/A</v>
      </c>
      <c r="T403" s="1778" t="e">
        <v>#N/A</v>
      </c>
    </row>
    <row r="404" spans="1:20">
      <c r="A404" s="49">
        <f t="shared" si="1"/>
        <v>2026.11</v>
      </c>
      <c r="B404" s="1758" t="e">
        <v>#N/A</v>
      </c>
      <c r="C404" s="1354" t="e">
        <v>#N/A</v>
      </c>
      <c r="D404" s="943" t="e">
        <v>#N/A</v>
      </c>
      <c r="E404" s="1758" t="e">
        <v>#N/A</v>
      </c>
      <c r="F404" s="1354" t="e">
        <v>#N/A</v>
      </c>
      <c r="G404" s="1758" t="e">
        <v>#N/A</v>
      </c>
      <c r="H404" s="1354" t="e">
        <v>#N/A</v>
      </c>
      <c r="I404" s="1758" t="e">
        <v>#N/A</v>
      </c>
      <c r="J404" s="1354" t="e">
        <v>#N/A</v>
      </c>
      <c r="K404" s="1758" t="e">
        <v>#N/A</v>
      </c>
      <c r="L404" s="1354" t="e">
        <v>#N/A</v>
      </c>
      <c r="M404" s="1758" t="e">
        <v>#N/A</v>
      </c>
      <c r="N404" s="1354" t="e">
        <v>#N/A</v>
      </c>
      <c r="O404" s="1758" t="e">
        <v>#N/A</v>
      </c>
      <c r="P404" s="1354" t="e">
        <v>#N/A</v>
      </c>
      <c r="Q404" s="1758" t="e">
        <v>#N/A</v>
      </c>
      <c r="R404" s="1354" t="e">
        <v>#N/A</v>
      </c>
      <c r="S404" s="1758" t="e">
        <v>#N/A</v>
      </c>
      <c r="T404" s="1778" t="e">
        <v>#N/A</v>
      </c>
    </row>
    <row r="405" spans="1:20">
      <c r="A405" s="49">
        <f t="shared" si="1"/>
        <v>2026.12</v>
      </c>
      <c r="B405" s="1758" t="e">
        <v>#N/A</v>
      </c>
      <c r="C405" s="1354" t="e">
        <v>#N/A</v>
      </c>
      <c r="D405" s="943" t="e">
        <v>#N/A</v>
      </c>
      <c r="E405" s="1758" t="e">
        <v>#N/A</v>
      </c>
      <c r="F405" s="1354" t="e">
        <v>#N/A</v>
      </c>
      <c r="G405" s="1758" t="e">
        <v>#N/A</v>
      </c>
      <c r="H405" s="1354" t="e">
        <v>#N/A</v>
      </c>
      <c r="I405" s="1758" t="e">
        <v>#N/A</v>
      </c>
      <c r="J405" s="1354" t="e">
        <v>#N/A</v>
      </c>
      <c r="K405" s="1758" t="e">
        <v>#N/A</v>
      </c>
      <c r="L405" s="1354" t="e">
        <v>#N/A</v>
      </c>
      <c r="M405" s="1758" t="e">
        <v>#N/A</v>
      </c>
      <c r="N405" s="1354" t="e">
        <v>#N/A</v>
      </c>
      <c r="O405" s="1758" t="e">
        <v>#N/A</v>
      </c>
      <c r="P405" s="1354" t="e">
        <v>#N/A</v>
      </c>
      <c r="Q405" s="1758" t="e">
        <v>#N/A</v>
      </c>
      <c r="R405" s="1354" t="e">
        <v>#N/A</v>
      </c>
      <c r="S405" s="1758" t="e">
        <v>#N/A</v>
      </c>
      <c r="T405" s="1778" t="e">
        <v>#N/A</v>
      </c>
    </row>
    <row r="406" spans="1:20">
      <c r="A406" s="49">
        <f t="shared" si="1"/>
        <v>2027.01</v>
      </c>
      <c r="B406" s="1758" t="e">
        <v>#N/A</v>
      </c>
      <c r="C406" s="1354" t="e">
        <v>#N/A</v>
      </c>
      <c r="D406" s="943" t="e">
        <v>#N/A</v>
      </c>
      <c r="E406" s="1758" t="e">
        <v>#N/A</v>
      </c>
      <c r="F406" s="1354" t="e">
        <v>#N/A</v>
      </c>
      <c r="G406" s="1758" t="e">
        <v>#N/A</v>
      </c>
      <c r="H406" s="1354" t="e">
        <v>#N/A</v>
      </c>
      <c r="I406" s="1758" t="e">
        <v>#N/A</v>
      </c>
      <c r="J406" s="1354" t="e">
        <v>#N/A</v>
      </c>
      <c r="K406" s="1758" t="e">
        <v>#N/A</v>
      </c>
      <c r="L406" s="1354" t="e">
        <v>#N/A</v>
      </c>
      <c r="M406" s="1758" t="e">
        <v>#N/A</v>
      </c>
      <c r="N406" s="1354" t="e">
        <v>#N/A</v>
      </c>
      <c r="O406" s="1758" t="e">
        <v>#N/A</v>
      </c>
      <c r="P406" s="1354" t="e">
        <v>#N/A</v>
      </c>
      <c r="Q406" s="1758" t="e">
        <v>#N/A</v>
      </c>
      <c r="R406" s="1354" t="e">
        <v>#N/A</v>
      </c>
      <c r="S406" s="1758" t="e">
        <v>#N/A</v>
      </c>
      <c r="T406" s="1778" t="e">
        <v>#N/A</v>
      </c>
    </row>
    <row r="407" spans="1:20">
      <c r="A407" s="49">
        <f t="shared" si="1"/>
        <v>2027.02</v>
      </c>
      <c r="B407" s="1758" t="e">
        <v>#N/A</v>
      </c>
      <c r="C407" s="1354" t="e">
        <v>#N/A</v>
      </c>
      <c r="D407" s="943" t="e">
        <v>#N/A</v>
      </c>
      <c r="E407" s="1758" t="e">
        <v>#N/A</v>
      </c>
      <c r="F407" s="1354" t="e">
        <v>#N/A</v>
      </c>
      <c r="G407" s="1758" t="e">
        <v>#N/A</v>
      </c>
      <c r="H407" s="1354" t="e">
        <v>#N/A</v>
      </c>
      <c r="I407" s="1758" t="e">
        <v>#N/A</v>
      </c>
      <c r="J407" s="1354" t="e">
        <v>#N/A</v>
      </c>
      <c r="K407" s="1758" t="e">
        <v>#N/A</v>
      </c>
      <c r="L407" s="1354" t="e">
        <v>#N/A</v>
      </c>
      <c r="M407" s="1758" t="e">
        <v>#N/A</v>
      </c>
      <c r="N407" s="1354" t="e">
        <v>#N/A</v>
      </c>
      <c r="O407" s="1758" t="e">
        <v>#N/A</v>
      </c>
      <c r="P407" s="1354" t="e">
        <v>#N/A</v>
      </c>
      <c r="Q407" s="1758" t="e">
        <v>#N/A</v>
      </c>
      <c r="R407" s="1354" t="e">
        <v>#N/A</v>
      </c>
      <c r="S407" s="1758" t="e">
        <v>#N/A</v>
      </c>
      <c r="T407" s="1778" t="e">
        <v>#N/A</v>
      </c>
    </row>
    <row r="408" spans="1:20">
      <c r="A408" s="49">
        <f t="shared" si="1"/>
        <v>2027.03</v>
      </c>
      <c r="B408" s="1758" t="e">
        <v>#N/A</v>
      </c>
      <c r="C408" s="1354" t="e">
        <v>#N/A</v>
      </c>
      <c r="D408" s="943" t="e">
        <v>#N/A</v>
      </c>
      <c r="E408" s="1758" t="e">
        <v>#N/A</v>
      </c>
      <c r="F408" s="1354" t="e">
        <v>#N/A</v>
      </c>
      <c r="G408" s="1758" t="e">
        <v>#N/A</v>
      </c>
      <c r="H408" s="1354" t="e">
        <v>#N/A</v>
      </c>
      <c r="I408" s="1758" t="e">
        <v>#N/A</v>
      </c>
      <c r="J408" s="1354" t="e">
        <v>#N/A</v>
      </c>
      <c r="K408" s="1758" t="e">
        <v>#N/A</v>
      </c>
      <c r="L408" s="1354" t="e">
        <v>#N/A</v>
      </c>
      <c r="M408" s="1758" t="e">
        <v>#N/A</v>
      </c>
      <c r="N408" s="1354" t="e">
        <v>#N/A</v>
      </c>
      <c r="O408" s="1758" t="e">
        <v>#N/A</v>
      </c>
      <c r="P408" s="1354" t="e">
        <v>#N/A</v>
      </c>
      <c r="Q408" s="1758" t="e">
        <v>#N/A</v>
      </c>
      <c r="R408" s="1354" t="e">
        <v>#N/A</v>
      </c>
      <c r="S408" s="1758" t="e">
        <v>#N/A</v>
      </c>
      <c r="T408" s="1778" t="e">
        <v>#N/A</v>
      </c>
    </row>
    <row r="409" spans="1:20">
      <c r="A409" s="49">
        <f t="shared" si="1"/>
        <v>2027.04</v>
      </c>
      <c r="B409" s="1758" t="e">
        <v>#N/A</v>
      </c>
      <c r="C409" s="1354" t="e">
        <v>#N/A</v>
      </c>
      <c r="D409" s="943" t="e">
        <v>#N/A</v>
      </c>
      <c r="E409" s="1758" t="e">
        <v>#N/A</v>
      </c>
      <c r="F409" s="1354" t="e">
        <v>#N/A</v>
      </c>
      <c r="G409" s="1758" t="e">
        <v>#N/A</v>
      </c>
      <c r="H409" s="1354" t="e">
        <v>#N/A</v>
      </c>
      <c r="I409" s="1758" t="e">
        <v>#N/A</v>
      </c>
      <c r="J409" s="1354" t="e">
        <v>#N/A</v>
      </c>
      <c r="K409" s="1758" t="e">
        <v>#N/A</v>
      </c>
      <c r="L409" s="1354" t="e">
        <v>#N/A</v>
      </c>
      <c r="M409" s="1758" t="e">
        <v>#N/A</v>
      </c>
      <c r="N409" s="1354" t="e">
        <v>#N/A</v>
      </c>
      <c r="O409" s="1758" t="e">
        <v>#N/A</v>
      </c>
      <c r="P409" s="1354" t="e">
        <v>#N/A</v>
      </c>
      <c r="Q409" s="1758" t="e">
        <v>#N/A</v>
      </c>
      <c r="R409" s="1354" t="e">
        <v>#N/A</v>
      </c>
      <c r="S409" s="1758" t="e">
        <v>#N/A</v>
      </c>
      <c r="T409" s="1778" t="e">
        <v>#N/A</v>
      </c>
    </row>
    <row r="410" spans="1:20">
      <c r="A410" s="49">
        <f t="shared" si="1"/>
        <v>2027.05</v>
      </c>
      <c r="B410" s="1758" t="e">
        <v>#N/A</v>
      </c>
      <c r="C410" s="1354" t="e">
        <v>#N/A</v>
      </c>
      <c r="D410" s="943" t="e">
        <v>#N/A</v>
      </c>
      <c r="E410" s="1758" t="e">
        <v>#N/A</v>
      </c>
      <c r="F410" s="1354" t="e">
        <v>#N/A</v>
      </c>
      <c r="G410" s="1758" t="e">
        <v>#N/A</v>
      </c>
      <c r="H410" s="1354" t="e">
        <v>#N/A</v>
      </c>
      <c r="I410" s="1758" t="e">
        <v>#N/A</v>
      </c>
      <c r="J410" s="1354" t="e">
        <v>#N/A</v>
      </c>
      <c r="K410" s="1758" t="e">
        <v>#N/A</v>
      </c>
      <c r="L410" s="1354" t="e">
        <v>#N/A</v>
      </c>
      <c r="M410" s="1758" t="e">
        <v>#N/A</v>
      </c>
      <c r="N410" s="1354" t="e">
        <v>#N/A</v>
      </c>
      <c r="O410" s="1758" t="e">
        <v>#N/A</v>
      </c>
      <c r="P410" s="1354" t="e">
        <v>#N/A</v>
      </c>
      <c r="Q410" s="1758" t="e">
        <v>#N/A</v>
      </c>
      <c r="R410" s="1354" t="e">
        <v>#N/A</v>
      </c>
      <c r="S410" s="1758" t="e">
        <v>#N/A</v>
      </c>
      <c r="T410" s="1778" t="e">
        <v>#N/A</v>
      </c>
    </row>
    <row r="411" spans="1:20">
      <c r="A411" s="49">
        <f t="shared" si="1"/>
        <v>2027.06</v>
      </c>
      <c r="B411" s="1758" t="e">
        <v>#N/A</v>
      </c>
      <c r="C411" s="1354" t="e">
        <v>#N/A</v>
      </c>
      <c r="D411" s="943" t="e">
        <v>#N/A</v>
      </c>
      <c r="E411" s="1758" t="e">
        <v>#N/A</v>
      </c>
      <c r="F411" s="1354" t="e">
        <v>#N/A</v>
      </c>
      <c r="G411" s="1758" t="e">
        <v>#N/A</v>
      </c>
      <c r="H411" s="1354" t="e">
        <v>#N/A</v>
      </c>
      <c r="I411" s="1758" t="e">
        <v>#N/A</v>
      </c>
      <c r="J411" s="1354" t="e">
        <v>#N/A</v>
      </c>
      <c r="K411" s="1758" t="e">
        <v>#N/A</v>
      </c>
      <c r="L411" s="1354" t="e">
        <v>#N/A</v>
      </c>
      <c r="M411" s="1758" t="e">
        <v>#N/A</v>
      </c>
      <c r="N411" s="1354" t="e">
        <v>#N/A</v>
      </c>
      <c r="O411" s="1758" t="e">
        <v>#N/A</v>
      </c>
      <c r="P411" s="1354" t="e">
        <v>#N/A</v>
      </c>
      <c r="Q411" s="1758" t="e">
        <v>#N/A</v>
      </c>
      <c r="R411" s="1354" t="e">
        <v>#N/A</v>
      </c>
      <c r="S411" s="1758" t="e">
        <v>#N/A</v>
      </c>
      <c r="T411" s="1778" t="e">
        <v>#N/A</v>
      </c>
    </row>
    <row r="412" spans="1:20">
      <c r="A412" s="49">
        <f t="shared" si="1"/>
        <v>2027.07</v>
      </c>
      <c r="B412" s="1758" t="e">
        <v>#N/A</v>
      </c>
      <c r="C412" s="1354" t="e">
        <v>#N/A</v>
      </c>
      <c r="D412" s="943" t="e">
        <v>#N/A</v>
      </c>
      <c r="E412" s="1758" t="e">
        <v>#N/A</v>
      </c>
      <c r="F412" s="1354" t="e">
        <v>#N/A</v>
      </c>
      <c r="G412" s="1758" t="e">
        <v>#N/A</v>
      </c>
      <c r="H412" s="1354" t="e">
        <v>#N/A</v>
      </c>
      <c r="I412" s="1758" t="e">
        <v>#N/A</v>
      </c>
      <c r="J412" s="1354" t="e">
        <v>#N/A</v>
      </c>
      <c r="K412" s="1758" t="e">
        <v>#N/A</v>
      </c>
      <c r="L412" s="1354" t="e">
        <v>#N/A</v>
      </c>
      <c r="M412" s="1758" t="e">
        <v>#N/A</v>
      </c>
      <c r="N412" s="1354" t="e">
        <v>#N/A</v>
      </c>
      <c r="O412" s="1758" t="e">
        <v>#N/A</v>
      </c>
      <c r="P412" s="1354" t="e">
        <v>#N/A</v>
      </c>
      <c r="Q412" s="1758" t="e">
        <v>#N/A</v>
      </c>
      <c r="R412" s="1354" t="e">
        <v>#N/A</v>
      </c>
      <c r="S412" s="1758" t="e">
        <v>#N/A</v>
      </c>
      <c r="T412" s="1778" t="e">
        <v>#N/A</v>
      </c>
    </row>
    <row r="413" spans="1:20">
      <c r="A413" s="49">
        <f t="shared" si="1"/>
        <v>2027.08</v>
      </c>
      <c r="B413" s="1758" t="e">
        <v>#N/A</v>
      </c>
      <c r="C413" s="1354" t="e">
        <v>#N/A</v>
      </c>
      <c r="D413" s="943" t="e">
        <v>#N/A</v>
      </c>
      <c r="E413" s="1758" t="e">
        <v>#N/A</v>
      </c>
      <c r="F413" s="1354" t="e">
        <v>#N/A</v>
      </c>
      <c r="G413" s="1758" t="e">
        <v>#N/A</v>
      </c>
      <c r="H413" s="1354" t="e">
        <v>#N/A</v>
      </c>
      <c r="I413" s="1758" t="e">
        <v>#N/A</v>
      </c>
      <c r="J413" s="1354" t="e">
        <v>#N/A</v>
      </c>
      <c r="K413" s="1758" t="e">
        <v>#N/A</v>
      </c>
      <c r="L413" s="1354" t="e">
        <v>#N/A</v>
      </c>
      <c r="M413" s="1758" t="e">
        <v>#N/A</v>
      </c>
      <c r="N413" s="1354" t="e">
        <v>#N/A</v>
      </c>
      <c r="O413" s="1758" t="e">
        <v>#N/A</v>
      </c>
      <c r="P413" s="1354" t="e">
        <v>#N/A</v>
      </c>
      <c r="Q413" s="1758" t="e">
        <v>#N/A</v>
      </c>
      <c r="R413" s="1354" t="e">
        <v>#N/A</v>
      </c>
      <c r="S413" s="1758" t="e">
        <v>#N/A</v>
      </c>
      <c r="T413" s="1778" t="e">
        <v>#N/A</v>
      </c>
    </row>
    <row r="414" spans="1:20">
      <c r="A414" s="49">
        <f t="shared" si="1"/>
        <v>2027.09</v>
      </c>
      <c r="B414" s="1758" t="e">
        <v>#N/A</v>
      </c>
      <c r="C414" s="1354" t="e">
        <v>#N/A</v>
      </c>
      <c r="D414" s="943" t="e">
        <v>#N/A</v>
      </c>
      <c r="E414" s="1758" t="e">
        <v>#N/A</v>
      </c>
      <c r="F414" s="1354" t="e">
        <v>#N/A</v>
      </c>
      <c r="G414" s="1758" t="e">
        <v>#N/A</v>
      </c>
      <c r="H414" s="1354" t="e">
        <v>#N/A</v>
      </c>
      <c r="I414" s="1758" t="e">
        <v>#N/A</v>
      </c>
      <c r="J414" s="1354" t="e">
        <v>#N/A</v>
      </c>
      <c r="K414" s="1758" t="e">
        <v>#N/A</v>
      </c>
      <c r="L414" s="1354" t="e">
        <v>#N/A</v>
      </c>
      <c r="M414" s="1758" t="e">
        <v>#N/A</v>
      </c>
      <c r="N414" s="1354" t="e">
        <v>#N/A</v>
      </c>
      <c r="O414" s="1758" t="e">
        <v>#N/A</v>
      </c>
      <c r="P414" s="1354" t="e">
        <v>#N/A</v>
      </c>
      <c r="Q414" s="1758" t="e">
        <v>#N/A</v>
      </c>
      <c r="R414" s="1354" t="e">
        <v>#N/A</v>
      </c>
      <c r="S414" s="1758" t="e">
        <v>#N/A</v>
      </c>
      <c r="T414" s="1778" t="e">
        <v>#N/A</v>
      </c>
    </row>
    <row r="415" spans="1:20">
      <c r="A415" s="49">
        <f t="shared" si="1"/>
        <v>2027.1</v>
      </c>
      <c r="B415" s="1758" t="e">
        <v>#N/A</v>
      </c>
      <c r="C415" s="1354" t="e">
        <v>#N/A</v>
      </c>
      <c r="D415" s="943" t="e">
        <v>#N/A</v>
      </c>
      <c r="E415" s="1758" t="e">
        <v>#N/A</v>
      </c>
      <c r="F415" s="1354" t="e">
        <v>#N/A</v>
      </c>
      <c r="G415" s="1758" t="e">
        <v>#N/A</v>
      </c>
      <c r="H415" s="1354" t="e">
        <v>#N/A</v>
      </c>
      <c r="I415" s="1758" t="e">
        <v>#N/A</v>
      </c>
      <c r="J415" s="1354" t="e">
        <v>#N/A</v>
      </c>
      <c r="K415" s="1758" t="e">
        <v>#N/A</v>
      </c>
      <c r="L415" s="1354" t="e">
        <v>#N/A</v>
      </c>
      <c r="M415" s="1758" t="e">
        <v>#N/A</v>
      </c>
      <c r="N415" s="1354" t="e">
        <v>#N/A</v>
      </c>
      <c r="O415" s="1758" t="e">
        <v>#N/A</v>
      </c>
      <c r="P415" s="1354" t="e">
        <v>#N/A</v>
      </c>
      <c r="Q415" s="1758" t="e">
        <v>#N/A</v>
      </c>
      <c r="R415" s="1354" t="e">
        <v>#N/A</v>
      </c>
      <c r="S415" s="1758" t="e">
        <v>#N/A</v>
      </c>
      <c r="T415" s="1778" t="e">
        <v>#N/A</v>
      </c>
    </row>
    <row r="416" spans="1:20">
      <c r="A416" s="49">
        <f t="shared" si="1"/>
        <v>2027.11</v>
      </c>
      <c r="B416" s="1758" t="e">
        <v>#N/A</v>
      </c>
      <c r="C416" s="1354" t="e">
        <v>#N/A</v>
      </c>
      <c r="D416" s="943" t="e">
        <v>#N/A</v>
      </c>
      <c r="E416" s="1758" t="e">
        <v>#N/A</v>
      </c>
      <c r="F416" s="1354" t="e">
        <v>#N/A</v>
      </c>
      <c r="G416" s="1758" t="e">
        <v>#N/A</v>
      </c>
      <c r="H416" s="1354" t="e">
        <v>#N/A</v>
      </c>
      <c r="I416" s="1758" t="e">
        <v>#N/A</v>
      </c>
      <c r="J416" s="1354" t="e">
        <v>#N/A</v>
      </c>
      <c r="K416" s="1758" t="e">
        <v>#N/A</v>
      </c>
      <c r="L416" s="1354" t="e">
        <v>#N/A</v>
      </c>
      <c r="M416" s="1758" t="e">
        <v>#N/A</v>
      </c>
      <c r="N416" s="1354" t="e">
        <v>#N/A</v>
      </c>
      <c r="O416" s="1758" t="e">
        <v>#N/A</v>
      </c>
      <c r="P416" s="1354" t="e">
        <v>#N/A</v>
      </c>
      <c r="Q416" s="1758" t="e">
        <v>#N/A</v>
      </c>
      <c r="R416" s="1354" t="e">
        <v>#N/A</v>
      </c>
      <c r="S416" s="1758" t="e">
        <v>#N/A</v>
      </c>
      <c r="T416" s="1778" t="e">
        <v>#N/A</v>
      </c>
    </row>
    <row r="417" spans="1:20">
      <c r="A417" s="49">
        <f t="shared" si="1"/>
        <v>2027.12</v>
      </c>
      <c r="B417" s="1758" t="e">
        <v>#N/A</v>
      </c>
      <c r="C417" s="1354" t="e">
        <v>#N/A</v>
      </c>
      <c r="D417" s="943" t="e">
        <v>#N/A</v>
      </c>
      <c r="E417" s="1758" t="e">
        <v>#N/A</v>
      </c>
      <c r="F417" s="1354" t="e">
        <v>#N/A</v>
      </c>
      <c r="G417" s="1758" t="e">
        <v>#N/A</v>
      </c>
      <c r="H417" s="1354" t="e">
        <v>#N/A</v>
      </c>
      <c r="I417" s="1758" t="e">
        <v>#N/A</v>
      </c>
      <c r="J417" s="1354" t="e">
        <v>#N/A</v>
      </c>
      <c r="K417" s="1758" t="e">
        <v>#N/A</v>
      </c>
      <c r="L417" s="1354" t="e">
        <v>#N/A</v>
      </c>
      <c r="M417" s="1758" t="e">
        <v>#N/A</v>
      </c>
      <c r="N417" s="1354" t="e">
        <v>#N/A</v>
      </c>
      <c r="O417" s="1758" t="e">
        <v>#N/A</v>
      </c>
      <c r="P417" s="1354" t="e">
        <v>#N/A</v>
      </c>
      <c r="Q417" s="1758" t="e">
        <v>#N/A</v>
      </c>
      <c r="R417" s="1354" t="e">
        <v>#N/A</v>
      </c>
      <c r="S417" s="1758" t="e">
        <v>#N/A</v>
      </c>
      <c r="T417" s="1778" t="e">
        <v>#N/A</v>
      </c>
    </row>
    <row r="418" spans="1:20">
      <c r="A418" s="49">
        <f t="shared" si="1"/>
        <v>2028.01</v>
      </c>
      <c r="B418" s="1758" t="e">
        <v>#N/A</v>
      </c>
      <c r="C418" s="1354" t="e">
        <v>#N/A</v>
      </c>
      <c r="D418" s="943" t="e">
        <v>#N/A</v>
      </c>
      <c r="E418" s="1758" t="e">
        <v>#N/A</v>
      </c>
      <c r="F418" s="1354" t="e">
        <v>#N/A</v>
      </c>
      <c r="G418" s="1758" t="e">
        <v>#N/A</v>
      </c>
      <c r="H418" s="1354" t="e">
        <v>#N/A</v>
      </c>
      <c r="I418" s="1758" t="e">
        <v>#N/A</v>
      </c>
      <c r="J418" s="1354" t="e">
        <v>#N/A</v>
      </c>
      <c r="K418" s="1758" t="e">
        <v>#N/A</v>
      </c>
      <c r="L418" s="1354" t="e">
        <v>#N/A</v>
      </c>
      <c r="M418" s="1758" t="e">
        <v>#N/A</v>
      </c>
      <c r="N418" s="1354" t="e">
        <v>#N/A</v>
      </c>
      <c r="O418" s="1758" t="e">
        <v>#N/A</v>
      </c>
      <c r="P418" s="1354" t="e">
        <v>#N/A</v>
      </c>
      <c r="Q418" s="1758" t="e">
        <v>#N/A</v>
      </c>
      <c r="R418" s="1354" t="e">
        <v>#N/A</v>
      </c>
      <c r="S418" s="1758" t="e">
        <v>#N/A</v>
      </c>
      <c r="T418" s="1778" t="e">
        <v>#N/A</v>
      </c>
    </row>
    <row r="419" spans="1:20">
      <c r="A419" s="49">
        <f t="shared" si="1"/>
        <v>2028.02</v>
      </c>
      <c r="B419" s="1758" t="e">
        <v>#N/A</v>
      </c>
      <c r="C419" s="1354" t="e">
        <v>#N/A</v>
      </c>
      <c r="D419" s="943" t="e">
        <v>#N/A</v>
      </c>
      <c r="E419" s="1758" t="e">
        <v>#N/A</v>
      </c>
      <c r="F419" s="1354" t="e">
        <v>#N/A</v>
      </c>
      <c r="G419" s="1758" t="e">
        <v>#N/A</v>
      </c>
      <c r="H419" s="1354" t="e">
        <v>#N/A</v>
      </c>
      <c r="I419" s="1758" t="e">
        <v>#N/A</v>
      </c>
      <c r="J419" s="1354" t="e">
        <v>#N/A</v>
      </c>
      <c r="K419" s="1758" t="e">
        <v>#N/A</v>
      </c>
      <c r="L419" s="1354" t="e">
        <v>#N/A</v>
      </c>
      <c r="M419" s="1758" t="e">
        <v>#N/A</v>
      </c>
      <c r="N419" s="1354" t="e">
        <v>#N/A</v>
      </c>
      <c r="O419" s="1758" t="e">
        <v>#N/A</v>
      </c>
      <c r="P419" s="1354" t="e">
        <v>#N/A</v>
      </c>
      <c r="Q419" s="1758" t="e">
        <v>#N/A</v>
      </c>
      <c r="R419" s="1354" t="e">
        <v>#N/A</v>
      </c>
      <c r="S419" s="1758" t="e">
        <v>#N/A</v>
      </c>
      <c r="T419" s="1778" t="e">
        <v>#N/A</v>
      </c>
    </row>
    <row r="420" spans="1:20">
      <c r="A420" s="49">
        <f t="shared" si="1"/>
        <v>2028.03</v>
      </c>
      <c r="B420" s="1758" t="e">
        <v>#N/A</v>
      </c>
      <c r="C420" s="1354" t="e">
        <v>#N/A</v>
      </c>
      <c r="D420" s="943" t="e">
        <v>#N/A</v>
      </c>
      <c r="E420" s="1758" t="e">
        <v>#N/A</v>
      </c>
      <c r="F420" s="1354" t="e">
        <v>#N/A</v>
      </c>
      <c r="G420" s="1758" t="e">
        <v>#N/A</v>
      </c>
      <c r="H420" s="1354" t="e">
        <v>#N/A</v>
      </c>
      <c r="I420" s="1758" t="e">
        <v>#N/A</v>
      </c>
      <c r="J420" s="1354" t="e">
        <v>#N/A</v>
      </c>
      <c r="K420" s="1758" t="e">
        <v>#N/A</v>
      </c>
      <c r="L420" s="1354" t="e">
        <v>#N/A</v>
      </c>
      <c r="M420" s="1758" t="e">
        <v>#N/A</v>
      </c>
      <c r="N420" s="1354" t="e">
        <v>#N/A</v>
      </c>
      <c r="O420" s="1758" t="e">
        <v>#N/A</v>
      </c>
      <c r="P420" s="1354" t="e">
        <v>#N/A</v>
      </c>
      <c r="Q420" s="1758" t="e">
        <v>#N/A</v>
      </c>
      <c r="R420" s="1354" t="e">
        <v>#N/A</v>
      </c>
      <c r="S420" s="1758" t="e">
        <v>#N/A</v>
      </c>
      <c r="T420" s="1778" t="e">
        <v>#N/A</v>
      </c>
    </row>
    <row r="421" spans="1:20">
      <c r="A421" s="49">
        <f t="shared" si="1"/>
        <v>2028.04</v>
      </c>
      <c r="B421" s="1758" t="e">
        <v>#N/A</v>
      </c>
      <c r="C421" s="1354" t="e">
        <v>#N/A</v>
      </c>
      <c r="D421" s="943" t="e">
        <v>#N/A</v>
      </c>
      <c r="E421" s="1758" t="e">
        <v>#N/A</v>
      </c>
      <c r="F421" s="1354" t="e">
        <v>#N/A</v>
      </c>
      <c r="G421" s="1758" t="e">
        <v>#N/A</v>
      </c>
      <c r="H421" s="1354" t="e">
        <v>#N/A</v>
      </c>
      <c r="I421" s="1758" t="e">
        <v>#N/A</v>
      </c>
      <c r="J421" s="1354" t="e">
        <v>#N/A</v>
      </c>
      <c r="K421" s="1758" t="e">
        <v>#N/A</v>
      </c>
      <c r="L421" s="1354" t="e">
        <v>#N/A</v>
      </c>
      <c r="M421" s="1758" t="e">
        <v>#N/A</v>
      </c>
      <c r="N421" s="1354" t="e">
        <v>#N/A</v>
      </c>
      <c r="O421" s="1758" t="e">
        <v>#N/A</v>
      </c>
      <c r="P421" s="1354" t="e">
        <v>#N/A</v>
      </c>
      <c r="Q421" s="1758" t="e">
        <v>#N/A</v>
      </c>
      <c r="R421" s="1354" t="e">
        <v>#N/A</v>
      </c>
      <c r="S421" s="1758" t="e">
        <v>#N/A</v>
      </c>
      <c r="T421" s="1778" t="e">
        <v>#N/A</v>
      </c>
    </row>
    <row r="422" spans="1:20">
      <c r="A422" s="49">
        <f t="shared" si="1"/>
        <v>2028.05</v>
      </c>
      <c r="B422" s="1758" t="e">
        <v>#N/A</v>
      </c>
      <c r="C422" s="1354" t="e">
        <v>#N/A</v>
      </c>
      <c r="D422" s="943" t="e">
        <v>#N/A</v>
      </c>
      <c r="E422" s="1758" t="e">
        <v>#N/A</v>
      </c>
      <c r="F422" s="1354" t="e">
        <v>#N/A</v>
      </c>
      <c r="G422" s="1758" t="e">
        <v>#N/A</v>
      </c>
      <c r="H422" s="1354" t="e">
        <v>#N/A</v>
      </c>
      <c r="I422" s="1758" t="e">
        <v>#N/A</v>
      </c>
      <c r="J422" s="1354" t="e">
        <v>#N/A</v>
      </c>
      <c r="K422" s="1758" t="e">
        <v>#N/A</v>
      </c>
      <c r="L422" s="1354" t="e">
        <v>#N/A</v>
      </c>
      <c r="M422" s="1758" t="e">
        <v>#N/A</v>
      </c>
      <c r="N422" s="1354" t="e">
        <v>#N/A</v>
      </c>
      <c r="O422" s="1758" t="e">
        <v>#N/A</v>
      </c>
      <c r="P422" s="1354" t="e">
        <v>#N/A</v>
      </c>
      <c r="Q422" s="1758" t="e">
        <v>#N/A</v>
      </c>
      <c r="R422" s="1354" t="e">
        <v>#N/A</v>
      </c>
      <c r="S422" s="1758" t="e">
        <v>#N/A</v>
      </c>
      <c r="T422" s="1778" t="e">
        <v>#N/A</v>
      </c>
    </row>
    <row r="423" spans="1:20">
      <c r="A423" s="49">
        <f t="shared" si="1"/>
        <v>2028.06</v>
      </c>
      <c r="B423" s="1758" t="e">
        <v>#N/A</v>
      </c>
      <c r="C423" s="1354" t="e">
        <v>#N/A</v>
      </c>
      <c r="D423" s="943" t="e">
        <v>#N/A</v>
      </c>
      <c r="E423" s="1758" t="e">
        <v>#N/A</v>
      </c>
      <c r="F423" s="1354" t="e">
        <v>#N/A</v>
      </c>
      <c r="G423" s="1758" t="e">
        <v>#N/A</v>
      </c>
      <c r="H423" s="1354" t="e">
        <v>#N/A</v>
      </c>
      <c r="I423" s="1758" t="e">
        <v>#N/A</v>
      </c>
      <c r="J423" s="1354" t="e">
        <v>#N/A</v>
      </c>
      <c r="K423" s="1758" t="e">
        <v>#N/A</v>
      </c>
      <c r="L423" s="1354" t="e">
        <v>#N/A</v>
      </c>
      <c r="M423" s="1758" t="e">
        <v>#N/A</v>
      </c>
      <c r="N423" s="1354" t="e">
        <v>#N/A</v>
      </c>
      <c r="O423" s="1758" t="e">
        <v>#N/A</v>
      </c>
      <c r="P423" s="1354" t="e">
        <v>#N/A</v>
      </c>
      <c r="Q423" s="1758" t="e">
        <v>#N/A</v>
      </c>
      <c r="R423" s="1354" t="e">
        <v>#N/A</v>
      </c>
      <c r="S423" s="1758" t="e">
        <v>#N/A</v>
      </c>
      <c r="T423" s="1778" t="e">
        <v>#N/A</v>
      </c>
    </row>
    <row r="424" spans="1:20">
      <c r="A424" s="49">
        <f t="shared" si="1"/>
        <v>2028.07</v>
      </c>
      <c r="B424" s="1758" t="e">
        <v>#N/A</v>
      </c>
      <c r="C424" s="1354" t="e">
        <v>#N/A</v>
      </c>
      <c r="D424" s="943" t="e">
        <v>#N/A</v>
      </c>
      <c r="E424" s="1758" t="e">
        <v>#N/A</v>
      </c>
      <c r="F424" s="1354" t="e">
        <v>#N/A</v>
      </c>
      <c r="G424" s="1758" t="e">
        <v>#N/A</v>
      </c>
      <c r="H424" s="1354" t="e">
        <v>#N/A</v>
      </c>
      <c r="I424" s="1758" t="e">
        <v>#N/A</v>
      </c>
      <c r="J424" s="1354" t="e">
        <v>#N/A</v>
      </c>
      <c r="K424" s="1758" t="e">
        <v>#N/A</v>
      </c>
      <c r="L424" s="1354" t="e">
        <v>#N/A</v>
      </c>
      <c r="M424" s="1758" t="e">
        <v>#N/A</v>
      </c>
      <c r="N424" s="1354" t="e">
        <v>#N/A</v>
      </c>
      <c r="O424" s="1758" t="e">
        <v>#N/A</v>
      </c>
      <c r="P424" s="1354" t="e">
        <v>#N/A</v>
      </c>
      <c r="Q424" s="1758" t="e">
        <v>#N/A</v>
      </c>
      <c r="R424" s="1354" t="e">
        <v>#N/A</v>
      </c>
      <c r="S424" s="1758" t="e">
        <v>#N/A</v>
      </c>
      <c r="T424" s="1778" t="e">
        <v>#N/A</v>
      </c>
    </row>
    <row r="425" spans="1:20">
      <c r="A425" s="49">
        <f t="shared" si="1"/>
        <v>2028.08</v>
      </c>
      <c r="B425" s="1758" t="e">
        <v>#N/A</v>
      </c>
      <c r="C425" s="1354" t="e">
        <v>#N/A</v>
      </c>
      <c r="D425" s="943" t="e">
        <v>#N/A</v>
      </c>
      <c r="E425" s="1758" t="e">
        <v>#N/A</v>
      </c>
      <c r="F425" s="1354" t="e">
        <v>#N/A</v>
      </c>
      <c r="G425" s="1758" t="e">
        <v>#N/A</v>
      </c>
      <c r="H425" s="1354" t="e">
        <v>#N/A</v>
      </c>
      <c r="I425" s="1758" t="e">
        <v>#N/A</v>
      </c>
      <c r="J425" s="1354" t="e">
        <v>#N/A</v>
      </c>
      <c r="K425" s="1758" t="e">
        <v>#N/A</v>
      </c>
      <c r="L425" s="1354" t="e">
        <v>#N/A</v>
      </c>
      <c r="M425" s="1758" t="e">
        <v>#N/A</v>
      </c>
      <c r="N425" s="1354" t="e">
        <v>#N/A</v>
      </c>
      <c r="O425" s="1758" t="e">
        <v>#N/A</v>
      </c>
      <c r="P425" s="1354" t="e">
        <v>#N/A</v>
      </c>
      <c r="Q425" s="1758" t="e">
        <v>#N/A</v>
      </c>
      <c r="R425" s="1354" t="e">
        <v>#N/A</v>
      </c>
      <c r="S425" s="1758" t="e">
        <v>#N/A</v>
      </c>
      <c r="T425" s="1778" t="e">
        <v>#N/A</v>
      </c>
    </row>
    <row r="426" spans="1:20">
      <c r="A426" s="49">
        <f t="shared" si="1"/>
        <v>2028.09</v>
      </c>
      <c r="B426" s="1758" t="e">
        <v>#N/A</v>
      </c>
      <c r="C426" s="1354" t="e">
        <v>#N/A</v>
      </c>
      <c r="D426" s="943" t="e">
        <v>#N/A</v>
      </c>
      <c r="E426" s="1758" t="e">
        <v>#N/A</v>
      </c>
      <c r="F426" s="1354" t="e">
        <v>#N/A</v>
      </c>
      <c r="G426" s="1758" t="e">
        <v>#N/A</v>
      </c>
      <c r="H426" s="1354" t="e">
        <v>#N/A</v>
      </c>
      <c r="I426" s="1758" t="e">
        <v>#N/A</v>
      </c>
      <c r="J426" s="1354" t="e">
        <v>#N/A</v>
      </c>
      <c r="K426" s="1758" t="e">
        <v>#N/A</v>
      </c>
      <c r="L426" s="1354" t="e">
        <v>#N/A</v>
      </c>
      <c r="M426" s="1758" t="e">
        <v>#N/A</v>
      </c>
      <c r="N426" s="1354" t="e">
        <v>#N/A</v>
      </c>
      <c r="O426" s="1758" t="e">
        <v>#N/A</v>
      </c>
      <c r="P426" s="1354" t="e">
        <v>#N/A</v>
      </c>
      <c r="Q426" s="1758" t="e">
        <v>#N/A</v>
      </c>
      <c r="R426" s="1354" t="e">
        <v>#N/A</v>
      </c>
      <c r="S426" s="1758" t="e">
        <v>#N/A</v>
      </c>
      <c r="T426" s="1778" t="e">
        <v>#N/A</v>
      </c>
    </row>
    <row r="427" spans="1:20">
      <c r="A427" s="49">
        <f t="shared" si="1"/>
        <v>2028.1</v>
      </c>
      <c r="B427" s="1758" t="e">
        <v>#N/A</v>
      </c>
      <c r="C427" s="1354" t="e">
        <v>#N/A</v>
      </c>
      <c r="D427" s="943" t="e">
        <v>#N/A</v>
      </c>
      <c r="E427" s="1758" t="e">
        <v>#N/A</v>
      </c>
      <c r="F427" s="1354" t="e">
        <v>#N/A</v>
      </c>
      <c r="G427" s="1758" t="e">
        <v>#N/A</v>
      </c>
      <c r="H427" s="1354" t="e">
        <v>#N/A</v>
      </c>
      <c r="I427" s="1758" t="e">
        <v>#N/A</v>
      </c>
      <c r="J427" s="1354" t="e">
        <v>#N/A</v>
      </c>
      <c r="K427" s="1758" t="e">
        <v>#N/A</v>
      </c>
      <c r="L427" s="1354" t="e">
        <v>#N/A</v>
      </c>
      <c r="M427" s="1758" t="e">
        <v>#N/A</v>
      </c>
      <c r="N427" s="1354" t="e">
        <v>#N/A</v>
      </c>
      <c r="O427" s="1758" t="e">
        <v>#N/A</v>
      </c>
      <c r="P427" s="1354" t="e">
        <v>#N/A</v>
      </c>
      <c r="Q427" s="1758" t="e">
        <v>#N/A</v>
      </c>
      <c r="R427" s="1354" t="e">
        <v>#N/A</v>
      </c>
      <c r="S427" s="1758" t="e">
        <v>#N/A</v>
      </c>
      <c r="T427" s="1778" t="e">
        <v>#N/A</v>
      </c>
    </row>
    <row r="428" spans="1:20">
      <c r="A428" s="49">
        <f t="shared" si="1"/>
        <v>2028.11</v>
      </c>
      <c r="B428" s="1758" t="e">
        <v>#N/A</v>
      </c>
      <c r="C428" s="1354" t="e">
        <v>#N/A</v>
      </c>
      <c r="D428" s="943" t="e">
        <v>#N/A</v>
      </c>
      <c r="E428" s="1758" t="e">
        <v>#N/A</v>
      </c>
      <c r="F428" s="1354" t="e">
        <v>#N/A</v>
      </c>
      <c r="G428" s="1758" t="e">
        <v>#N/A</v>
      </c>
      <c r="H428" s="1354" t="e">
        <v>#N/A</v>
      </c>
      <c r="I428" s="1758" t="e">
        <v>#N/A</v>
      </c>
      <c r="J428" s="1354" t="e">
        <v>#N/A</v>
      </c>
      <c r="K428" s="1758" t="e">
        <v>#N/A</v>
      </c>
      <c r="L428" s="1354" t="e">
        <v>#N/A</v>
      </c>
      <c r="M428" s="1758" t="e">
        <v>#N/A</v>
      </c>
      <c r="N428" s="1354" t="e">
        <v>#N/A</v>
      </c>
      <c r="O428" s="1758" t="e">
        <v>#N/A</v>
      </c>
      <c r="P428" s="1354" t="e">
        <v>#N/A</v>
      </c>
      <c r="Q428" s="1758" t="e">
        <v>#N/A</v>
      </c>
      <c r="R428" s="1354" t="e">
        <v>#N/A</v>
      </c>
      <c r="S428" s="1758" t="e">
        <v>#N/A</v>
      </c>
      <c r="T428" s="1778" t="e">
        <v>#N/A</v>
      </c>
    </row>
    <row r="429" spans="1:20">
      <c r="A429" s="49">
        <f t="shared" si="1"/>
        <v>2028.12</v>
      </c>
      <c r="B429" s="1758" t="e">
        <v>#N/A</v>
      </c>
      <c r="C429" s="1354" t="e">
        <v>#N/A</v>
      </c>
      <c r="D429" s="943" t="e">
        <v>#N/A</v>
      </c>
      <c r="E429" s="1758" t="e">
        <v>#N/A</v>
      </c>
      <c r="F429" s="1354" t="e">
        <v>#N/A</v>
      </c>
      <c r="G429" s="1758" t="e">
        <v>#N/A</v>
      </c>
      <c r="H429" s="1354" t="e">
        <v>#N/A</v>
      </c>
      <c r="I429" s="1758" t="e">
        <v>#N/A</v>
      </c>
      <c r="J429" s="1354" t="e">
        <v>#N/A</v>
      </c>
      <c r="K429" s="1758" t="e">
        <v>#N/A</v>
      </c>
      <c r="L429" s="1354" t="e">
        <v>#N/A</v>
      </c>
      <c r="M429" s="1758" t="e">
        <v>#N/A</v>
      </c>
      <c r="N429" s="1354" t="e">
        <v>#N/A</v>
      </c>
      <c r="O429" s="1758" t="e">
        <v>#N/A</v>
      </c>
      <c r="P429" s="1354" t="e">
        <v>#N/A</v>
      </c>
      <c r="Q429" s="1758" t="e">
        <v>#N/A</v>
      </c>
      <c r="R429" s="1354" t="e">
        <v>#N/A</v>
      </c>
      <c r="S429" s="1758" t="e">
        <v>#N/A</v>
      </c>
      <c r="T429" s="1778" t="e">
        <v>#N/A</v>
      </c>
    </row>
    <row r="430" spans="1:20">
      <c r="A430" s="49">
        <f t="shared" si="1"/>
        <v>2029.01</v>
      </c>
      <c r="B430" s="1758" t="e">
        <v>#N/A</v>
      </c>
      <c r="C430" s="1354" t="e">
        <v>#N/A</v>
      </c>
      <c r="D430" s="943" t="e">
        <v>#N/A</v>
      </c>
      <c r="E430" s="1758" t="e">
        <v>#N/A</v>
      </c>
      <c r="F430" s="1354" t="e">
        <v>#N/A</v>
      </c>
      <c r="G430" s="1758" t="e">
        <v>#N/A</v>
      </c>
      <c r="H430" s="1354" t="e">
        <v>#N/A</v>
      </c>
      <c r="I430" s="1758" t="e">
        <v>#N/A</v>
      </c>
      <c r="J430" s="1354" t="e">
        <v>#N/A</v>
      </c>
      <c r="K430" s="1758" t="e">
        <v>#N/A</v>
      </c>
      <c r="L430" s="1354" t="e">
        <v>#N/A</v>
      </c>
      <c r="M430" s="1758" t="e">
        <v>#N/A</v>
      </c>
      <c r="N430" s="1354" t="e">
        <v>#N/A</v>
      </c>
      <c r="O430" s="1758" t="e">
        <v>#N/A</v>
      </c>
      <c r="P430" s="1354" t="e">
        <v>#N/A</v>
      </c>
      <c r="Q430" s="1758" t="e">
        <v>#N/A</v>
      </c>
      <c r="R430" s="1354" t="e">
        <v>#N/A</v>
      </c>
      <c r="S430" s="1758" t="e">
        <v>#N/A</v>
      </c>
      <c r="T430" s="1778" t="e">
        <v>#N/A</v>
      </c>
    </row>
    <row r="431" spans="1:20">
      <c r="A431" s="49">
        <f t="shared" si="1"/>
        <v>2029.02</v>
      </c>
      <c r="B431" s="1758" t="e">
        <v>#N/A</v>
      </c>
      <c r="C431" s="1354" t="e">
        <v>#N/A</v>
      </c>
      <c r="D431" s="943" t="e">
        <v>#N/A</v>
      </c>
      <c r="E431" s="1758" t="e">
        <v>#N/A</v>
      </c>
      <c r="F431" s="1354" t="e">
        <v>#N/A</v>
      </c>
      <c r="G431" s="1758" t="e">
        <v>#N/A</v>
      </c>
      <c r="H431" s="1354" t="e">
        <v>#N/A</v>
      </c>
      <c r="I431" s="1758" t="e">
        <v>#N/A</v>
      </c>
      <c r="J431" s="1354" t="e">
        <v>#N/A</v>
      </c>
      <c r="K431" s="1758" t="e">
        <v>#N/A</v>
      </c>
      <c r="L431" s="1354" t="e">
        <v>#N/A</v>
      </c>
      <c r="M431" s="1758" t="e">
        <v>#N/A</v>
      </c>
      <c r="N431" s="1354" t="e">
        <v>#N/A</v>
      </c>
      <c r="O431" s="1758" t="e">
        <v>#N/A</v>
      </c>
      <c r="P431" s="1354" t="e">
        <v>#N/A</v>
      </c>
      <c r="Q431" s="1758" t="e">
        <v>#N/A</v>
      </c>
      <c r="R431" s="1354" t="e">
        <v>#N/A</v>
      </c>
      <c r="S431" s="1758" t="e">
        <v>#N/A</v>
      </c>
      <c r="T431" s="1778" t="e">
        <v>#N/A</v>
      </c>
    </row>
    <row r="432" spans="1:20">
      <c r="A432" s="49">
        <f t="shared" si="1"/>
        <v>2029.03</v>
      </c>
      <c r="B432" s="1758" t="e">
        <v>#N/A</v>
      </c>
      <c r="C432" s="1354" t="e">
        <v>#N/A</v>
      </c>
      <c r="D432" s="943" t="e">
        <v>#N/A</v>
      </c>
      <c r="E432" s="1758" t="e">
        <v>#N/A</v>
      </c>
      <c r="F432" s="1354" t="e">
        <v>#N/A</v>
      </c>
      <c r="G432" s="1758" t="e">
        <v>#N/A</v>
      </c>
      <c r="H432" s="1354" t="e">
        <v>#N/A</v>
      </c>
      <c r="I432" s="1758" t="e">
        <v>#N/A</v>
      </c>
      <c r="J432" s="1354" t="e">
        <v>#N/A</v>
      </c>
      <c r="K432" s="1758" t="e">
        <v>#N/A</v>
      </c>
      <c r="L432" s="1354" t="e">
        <v>#N/A</v>
      </c>
      <c r="M432" s="1758" t="e">
        <v>#N/A</v>
      </c>
      <c r="N432" s="1354" t="e">
        <v>#N/A</v>
      </c>
      <c r="O432" s="1758" t="e">
        <v>#N/A</v>
      </c>
      <c r="P432" s="1354" t="e">
        <v>#N/A</v>
      </c>
      <c r="Q432" s="1758" t="e">
        <v>#N/A</v>
      </c>
      <c r="R432" s="1354" t="e">
        <v>#N/A</v>
      </c>
      <c r="S432" s="1758" t="e">
        <v>#N/A</v>
      </c>
      <c r="T432" s="1778" t="e">
        <v>#N/A</v>
      </c>
    </row>
    <row r="433" spans="1:20">
      <c r="A433" s="49">
        <f t="shared" si="1"/>
        <v>2029.04</v>
      </c>
      <c r="B433" s="1758" t="e">
        <v>#N/A</v>
      </c>
      <c r="C433" s="1354" t="e">
        <v>#N/A</v>
      </c>
      <c r="D433" s="943" t="e">
        <v>#N/A</v>
      </c>
      <c r="E433" s="1758" t="e">
        <v>#N/A</v>
      </c>
      <c r="F433" s="1354" t="e">
        <v>#N/A</v>
      </c>
      <c r="G433" s="1758" t="e">
        <v>#N/A</v>
      </c>
      <c r="H433" s="1354" t="e">
        <v>#N/A</v>
      </c>
      <c r="I433" s="1758" t="e">
        <v>#N/A</v>
      </c>
      <c r="J433" s="1354" t="e">
        <v>#N/A</v>
      </c>
      <c r="K433" s="1758" t="e">
        <v>#N/A</v>
      </c>
      <c r="L433" s="1354" t="e">
        <v>#N/A</v>
      </c>
      <c r="M433" s="1758" t="e">
        <v>#N/A</v>
      </c>
      <c r="N433" s="1354" t="e">
        <v>#N/A</v>
      </c>
      <c r="O433" s="1758" t="e">
        <v>#N/A</v>
      </c>
      <c r="P433" s="1354" t="e">
        <v>#N/A</v>
      </c>
      <c r="Q433" s="1758" t="e">
        <v>#N/A</v>
      </c>
      <c r="R433" s="1354" t="e">
        <v>#N/A</v>
      </c>
      <c r="S433" s="1758" t="e">
        <v>#N/A</v>
      </c>
      <c r="T433" s="1778" t="e">
        <v>#N/A</v>
      </c>
    </row>
    <row r="434" spans="1:20">
      <c r="A434" s="49">
        <f t="shared" si="1"/>
        <v>2029.05</v>
      </c>
      <c r="B434" s="1758" t="e">
        <v>#N/A</v>
      </c>
      <c r="C434" s="1354" t="e">
        <v>#N/A</v>
      </c>
      <c r="D434" s="943" t="e">
        <v>#N/A</v>
      </c>
      <c r="E434" s="1758" t="e">
        <v>#N/A</v>
      </c>
      <c r="F434" s="1354" t="e">
        <v>#N/A</v>
      </c>
      <c r="G434" s="1758" t="e">
        <v>#N/A</v>
      </c>
      <c r="H434" s="1354" t="e">
        <v>#N/A</v>
      </c>
      <c r="I434" s="1758" t="e">
        <v>#N/A</v>
      </c>
      <c r="J434" s="1354" t="e">
        <v>#N/A</v>
      </c>
      <c r="K434" s="1758" t="e">
        <v>#N/A</v>
      </c>
      <c r="L434" s="1354" t="e">
        <v>#N/A</v>
      </c>
      <c r="M434" s="1758" t="e">
        <v>#N/A</v>
      </c>
      <c r="N434" s="1354" t="e">
        <v>#N/A</v>
      </c>
      <c r="O434" s="1758" t="e">
        <v>#N/A</v>
      </c>
      <c r="P434" s="1354" t="e">
        <v>#N/A</v>
      </c>
      <c r="Q434" s="1758" t="e">
        <v>#N/A</v>
      </c>
      <c r="R434" s="1354" t="e">
        <v>#N/A</v>
      </c>
      <c r="S434" s="1758" t="e">
        <v>#N/A</v>
      </c>
      <c r="T434" s="1778" t="e">
        <v>#N/A</v>
      </c>
    </row>
    <row r="435" spans="1:20">
      <c r="A435" s="49">
        <f t="shared" si="1"/>
        <v>2029.06</v>
      </c>
      <c r="B435" s="1758" t="e">
        <v>#N/A</v>
      </c>
      <c r="C435" s="1354" t="e">
        <v>#N/A</v>
      </c>
      <c r="D435" s="943" t="e">
        <v>#N/A</v>
      </c>
      <c r="E435" s="1758" t="e">
        <v>#N/A</v>
      </c>
      <c r="F435" s="1354" t="e">
        <v>#N/A</v>
      </c>
      <c r="G435" s="1758" t="e">
        <v>#N/A</v>
      </c>
      <c r="H435" s="1354" t="e">
        <v>#N/A</v>
      </c>
      <c r="I435" s="1758" t="e">
        <v>#N/A</v>
      </c>
      <c r="J435" s="1354" t="e">
        <v>#N/A</v>
      </c>
      <c r="K435" s="1758" t="e">
        <v>#N/A</v>
      </c>
      <c r="L435" s="1354" t="e">
        <v>#N/A</v>
      </c>
      <c r="M435" s="1758" t="e">
        <v>#N/A</v>
      </c>
      <c r="N435" s="1354" t="e">
        <v>#N/A</v>
      </c>
      <c r="O435" s="1758" t="e">
        <v>#N/A</v>
      </c>
      <c r="P435" s="1354" t="e">
        <v>#N/A</v>
      </c>
      <c r="Q435" s="1758" t="e">
        <v>#N/A</v>
      </c>
      <c r="R435" s="1354" t="e">
        <v>#N/A</v>
      </c>
      <c r="S435" s="1758" t="e">
        <v>#N/A</v>
      </c>
      <c r="T435" s="1778" t="e">
        <v>#N/A</v>
      </c>
    </row>
    <row r="436" spans="1:20">
      <c r="A436" s="49">
        <f t="shared" si="1"/>
        <v>2029.07</v>
      </c>
      <c r="B436" s="1758" t="e">
        <v>#N/A</v>
      </c>
      <c r="C436" s="1354" t="e">
        <v>#N/A</v>
      </c>
      <c r="D436" s="943" t="e">
        <v>#N/A</v>
      </c>
      <c r="E436" s="1758" t="e">
        <v>#N/A</v>
      </c>
      <c r="F436" s="1354" t="e">
        <v>#N/A</v>
      </c>
      <c r="G436" s="1758" t="e">
        <v>#N/A</v>
      </c>
      <c r="H436" s="1354" t="e">
        <v>#N/A</v>
      </c>
      <c r="I436" s="1758" t="e">
        <v>#N/A</v>
      </c>
      <c r="J436" s="1354" t="e">
        <v>#N/A</v>
      </c>
      <c r="K436" s="1758" t="e">
        <v>#N/A</v>
      </c>
      <c r="L436" s="1354" t="e">
        <v>#N/A</v>
      </c>
      <c r="M436" s="1758" t="e">
        <v>#N/A</v>
      </c>
      <c r="N436" s="1354" t="e">
        <v>#N/A</v>
      </c>
      <c r="O436" s="1758" t="e">
        <v>#N/A</v>
      </c>
      <c r="P436" s="1354" t="e">
        <v>#N/A</v>
      </c>
      <c r="Q436" s="1758" t="e">
        <v>#N/A</v>
      </c>
      <c r="R436" s="1354" t="e">
        <v>#N/A</v>
      </c>
      <c r="S436" s="1758" t="e">
        <v>#N/A</v>
      </c>
      <c r="T436" s="1778" t="e">
        <v>#N/A</v>
      </c>
    </row>
    <row r="437" spans="1:20">
      <c r="A437" s="49">
        <f t="shared" si="1"/>
        <v>2029.08</v>
      </c>
      <c r="B437" s="1758" t="e">
        <v>#N/A</v>
      </c>
      <c r="C437" s="1354" t="e">
        <v>#N/A</v>
      </c>
      <c r="D437" s="943" t="e">
        <v>#N/A</v>
      </c>
      <c r="E437" s="1758" t="e">
        <v>#N/A</v>
      </c>
      <c r="F437" s="1354" t="e">
        <v>#N/A</v>
      </c>
      <c r="G437" s="1758" t="e">
        <v>#N/A</v>
      </c>
      <c r="H437" s="1354" t="e">
        <v>#N/A</v>
      </c>
      <c r="I437" s="1758" t="e">
        <v>#N/A</v>
      </c>
      <c r="J437" s="1354" t="e">
        <v>#N/A</v>
      </c>
      <c r="K437" s="1758" t="e">
        <v>#N/A</v>
      </c>
      <c r="L437" s="1354" t="e">
        <v>#N/A</v>
      </c>
      <c r="M437" s="1758" t="e">
        <v>#N/A</v>
      </c>
      <c r="N437" s="1354" t="e">
        <v>#N/A</v>
      </c>
      <c r="O437" s="1758" t="e">
        <v>#N/A</v>
      </c>
      <c r="P437" s="1354" t="e">
        <v>#N/A</v>
      </c>
      <c r="Q437" s="1758" t="e">
        <v>#N/A</v>
      </c>
      <c r="R437" s="1354" t="e">
        <v>#N/A</v>
      </c>
      <c r="S437" s="1758" t="e">
        <v>#N/A</v>
      </c>
      <c r="T437" s="1778" t="e">
        <v>#N/A</v>
      </c>
    </row>
    <row r="438" spans="1:20">
      <c r="A438" s="49">
        <f t="shared" si="1"/>
        <v>2029.09</v>
      </c>
      <c r="B438" s="1758" t="e">
        <v>#N/A</v>
      </c>
      <c r="C438" s="1354" t="e">
        <v>#N/A</v>
      </c>
      <c r="D438" s="943" t="e">
        <v>#N/A</v>
      </c>
      <c r="E438" s="1758" t="e">
        <v>#N/A</v>
      </c>
      <c r="F438" s="1354" t="e">
        <v>#N/A</v>
      </c>
      <c r="G438" s="1758" t="e">
        <v>#N/A</v>
      </c>
      <c r="H438" s="1354" t="e">
        <v>#N/A</v>
      </c>
      <c r="I438" s="1758" t="e">
        <v>#N/A</v>
      </c>
      <c r="J438" s="1354" t="e">
        <v>#N/A</v>
      </c>
      <c r="K438" s="1758" t="e">
        <v>#N/A</v>
      </c>
      <c r="L438" s="1354" t="e">
        <v>#N/A</v>
      </c>
      <c r="M438" s="1758" t="e">
        <v>#N/A</v>
      </c>
      <c r="N438" s="1354" t="e">
        <v>#N/A</v>
      </c>
      <c r="O438" s="1758" t="e">
        <v>#N/A</v>
      </c>
      <c r="P438" s="1354" t="e">
        <v>#N/A</v>
      </c>
      <c r="Q438" s="1758" t="e">
        <v>#N/A</v>
      </c>
      <c r="R438" s="1354" t="e">
        <v>#N/A</v>
      </c>
      <c r="S438" s="1758" t="e">
        <v>#N/A</v>
      </c>
      <c r="T438" s="1778" t="e">
        <v>#N/A</v>
      </c>
    </row>
    <row r="439" spans="1:20">
      <c r="A439" s="49">
        <f t="shared" si="1"/>
        <v>2029.1</v>
      </c>
      <c r="B439" s="1758" t="e">
        <v>#N/A</v>
      </c>
      <c r="C439" s="1354" t="e">
        <v>#N/A</v>
      </c>
      <c r="D439" s="943" t="e">
        <v>#N/A</v>
      </c>
      <c r="E439" s="1758" t="e">
        <v>#N/A</v>
      </c>
      <c r="F439" s="1354" t="e">
        <v>#N/A</v>
      </c>
      <c r="G439" s="1758" t="e">
        <v>#N/A</v>
      </c>
      <c r="H439" s="1354" t="e">
        <v>#N/A</v>
      </c>
      <c r="I439" s="1758" t="e">
        <v>#N/A</v>
      </c>
      <c r="J439" s="1354" t="e">
        <v>#N/A</v>
      </c>
      <c r="K439" s="1758" t="e">
        <v>#N/A</v>
      </c>
      <c r="L439" s="1354" t="e">
        <v>#N/A</v>
      </c>
      <c r="M439" s="1758" t="e">
        <v>#N/A</v>
      </c>
      <c r="N439" s="1354" t="e">
        <v>#N/A</v>
      </c>
      <c r="O439" s="1758" t="e">
        <v>#N/A</v>
      </c>
      <c r="P439" s="1354" t="e">
        <v>#N/A</v>
      </c>
      <c r="Q439" s="1758" t="e">
        <v>#N/A</v>
      </c>
      <c r="R439" s="1354" t="e">
        <v>#N/A</v>
      </c>
      <c r="S439" s="1758" t="e">
        <v>#N/A</v>
      </c>
      <c r="T439" s="1778" t="e">
        <v>#N/A</v>
      </c>
    </row>
    <row r="440" spans="1:20">
      <c r="A440" s="49">
        <f t="shared" si="1"/>
        <v>2029.11</v>
      </c>
      <c r="B440" s="1758" t="e">
        <v>#N/A</v>
      </c>
      <c r="C440" s="1354" t="e">
        <v>#N/A</v>
      </c>
      <c r="D440" s="943" t="e">
        <v>#N/A</v>
      </c>
      <c r="E440" s="1758" t="e">
        <v>#N/A</v>
      </c>
      <c r="F440" s="1354" t="e">
        <v>#N/A</v>
      </c>
      <c r="G440" s="1758" t="e">
        <v>#N/A</v>
      </c>
      <c r="H440" s="1354" t="e">
        <v>#N/A</v>
      </c>
      <c r="I440" s="1758" t="e">
        <v>#N/A</v>
      </c>
      <c r="J440" s="1354" t="e">
        <v>#N/A</v>
      </c>
      <c r="K440" s="1758" t="e">
        <v>#N/A</v>
      </c>
      <c r="L440" s="1354" t="e">
        <v>#N/A</v>
      </c>
      <c r="M440" s="1758" t="e">
        <v>#N/A</v>
      </c>
      <c r="N440" s="1354" t="e">
        <v>#N/A</v>
      </c>
      <c r="O440" s="1758" t="e">
        <v>#N/A</v>
      </c>
      <c r="P440" s="1354" t="e">
        <v>#N/A</v>
      </c>
      <c r="Q440" s="1758" t="e">
        <v>#N/A</v>
      </c>
      <c r="R440" s="1354" t="e">
        <v>#N/A</v>
      </c>
      <c r="S440" s="1758" t="e">
        <v>#N/A</v>
      </c>
      <c r="T440" s="1778" t="e">
        <v>#N/A</v>
      </c>
    </row>
    <row r="441" spans="1:20">
      <c r="A441" s="49">
        <f t="shared" si="1"/>
        <v>2029.12</v>
      </c>
      <c r="B441" s="1758" t="e">
        <v>#N/A</v>
      </c>
      <c r="C441" s="1354" t="e">
        <v>#N/A</v>
      </c>
      <c r="D441" s="943" t="e">
        <v>#N/A</v>
      </c>
      <c r="E441" s="1758" t="e">
        <v>#N/A</v>
      </c>
      <c r="F441" s="1354" t="e">
        <v>#N/A</v>
      </c>
      <c r="G441" s="1758" t="e">
        <v>#N/A</v>
      </c>
      <c r="H441" s="1354" t="e">
        <v>#N/A</v>
      </c>
      <c r="I441" s="1758" t="e">
        <v>#N/A</v>
      </c>
      <c r="J441" s="1354" t="e">
        <v>#N/A</v>
      </c>
      <c r="K441" s="1758" t="e">
        <v>#N/A</v>
      </c>
      <c r="L441" s="1354" t="e">
        <v>#N/A</v>
      </c>
      <c r="M441" s="1758" t="e">
        <v>#N/A</v>
      </c>
      <c r="N441" s="1354" t="e">
        <v>#N/A</v>
      </c>
      <c r="O441" s="1758" t="e">
        <v>#N/A</v>
      </c>
      <c r="P441" s="1354" t="e">
        <v>#N/A</v>
      </c>
      <c r="Q441" s="1758" t="e">
        <v>#N/A</v>
      </c>
      <c r="R441" s="1354" t="e">
        <v>#N/A</v>
      </c>
      <c r="S441" s="1758" t="e">
        <v>#N/A</v>
      </c>
      <c r="T441" s="1778" t="e">
        <v>#N/A</v>
      </c>
    </row>
    <row r="442" spans="1:20">
      <c r="A442" s="49">
        <f t="shared" si="1"/>
        <v>2030.01</v>
      </c>
      <c r="B442" s="1758" t="e">
        <v>#N/A</v>
      </c>
      <c r="C442" s="1354" t="e">
        <v>#N/A</v>
      </c>
      <c r="D442" s="943" t="e">
        <v>#N/A</v>
      </c>
      <c r="E442" s="1758" t="e">
        <v>#N/A</v>
      </c>
      <c r="F442" s="1354" t="e">
        <v>#N/A</v>
      </c>
      <c r="G442" s="1758" t="e">
        <v>#N/A</v>
      </c>
      <c r="H442" s="1354" t="e">
        <v>#N/A</v>
      </c>
      <c r="I442" s="1758" t="e">
        <v>#N/A</v>
      </c>
      <c r="J442" s="1354" t="e">
        <v>#N/A</v>
      </c>
      <c r="K442" s="1758" t="e">
        <v>#N/A</v>
      </c>
      <c r="L442" s="1354" t="e">
        <v>#N/A</v>
      </c>
      <c r="M442" s="1758" t="e">
        <v>#N/A</v>
      </c>
      <c r="N442" s="1354" t="e">
        <v>#N/A</v>
      </c>
      <c r="O442" s="1758" t="e">
        <v>#N/A</v>
      </c>
      <c r="P442" s="1354" t="e">
        <v>#N/A</v>
      </c>
      <c r="Q442" s="1758" t="e">
        <v>#N/A</v>
      </c>
      <c r="R442" s="1354" t="e">
        <v>#N/A</v>
      </c>
      <c r="S442" s="1758" t="e">
        <v>#N/A</v>
      </c>
      <c r="T442" s="1778" t="e">
        <v>#N/A</v>
      </c>
    </row>
    <row r="443" spans="1:20">
      <c r="A443" s="49">
        <f t="shared" si="1"/>
        <v>2030.02</v>
      </c>
      <c r="B443" s="1758" t="e">
        <v>#N/A</v>
      </c>
      <c r="C443" s="1354" t="e">
        <v>#N/A</v>
      </c>
      <c r="D443" s="943" t="e">
        <v>#N/A</v>
      </c>
      <c r="E443" s="1758" t="e">
        <v>#N/A</v>
      </c>
      <c r="F443" s="1354" t="e">
        <v>#N/A</v>
      </c>
      <c r="G443" s="1758" t="e">
        <v>#N/A</v>
      </c>
      <c r="H443" s="1354" t="e">
        <v>#N/A</v>
      </c>
      <c r="I443" s="1758" t="e">
        <v>#N/A</v>
      </c>
      <c r="J443" s="1354" t="e">
        <v>#N/A</v>
      </c>
      <c r="K443" s="1758" t="e">
        <v>#N/A</v>
      </c>
      <c r="L443" s="1354" t="e">
        <v>#N/A</v>
      </c>
      <c r="M443" s="1758" t="e">
        <v>#N/A</v>
      </c>
      <c r="N443" s="1354" t="e">
        <v>#N/A</v>
      </c>
      <c r="O443" s="1758" t="e">
        <v>#N/A</v>
      </c>
      <c r="P443" s="1354" t="e">
        <v>#N/A</v>
      </c>
      <c r="Q443" s="1758" t="e">
        <v>#N/A</v>
      </c>
      <c r="R443" s="1354" t="e">
        <v>#N/A</v>
      </c>
      <c r="S443" s="1758" t="e">
        <v>#N/A</v>
      </c>
      <c r="T443" s="1778" t="e">
        <v>#N/A</v>
      </c>
    </row>
    <row r="444" spans="1:20">
      <c r="A444" s="49">
        <f t="shared" si="1"/>
        <v>2030.03</v>
      </c>
      <c r="B444" s="1758" t="e">
        <v>#N/A</v>
      </c>
      <c r="C444" s="1354" t="e">
        <v>#N/A</v>
      </c>
      <c r="D444" s="943" t="e">
        <v>#N/A</v>
      </c>
      <c r="E444" s="1758" t="e">
        <v>#N/A</v>
      </c>
      <c r="F444" s="1354" t="e">
        <v>#N/A</v>
      </c>
      <c r="G444" s="1758" t="e">
        <v>#N/A</v>
      </c>
      <c r="H444" s="1354" t="e">
        <v>#N/A</v>
      </c>
      <c r="I444" s="1758" t="e">
        <v>#N/A</v>
      </c>
      <c r="J444" s="1354" t="e">
        <v>#N/A</v>
      </c>
      <c r="K444" s="1758" t="e">
        <v>#N/A</v>
      </c>
      <c r="L444" s="1354" t="e">
        <v>#N/A</v>
      </c>
      <c r="M444" s="1758" t="e">
        <v>#N/A</v>
      </c>
      <c r="N444" s="1354" t="e">
        <v>#N/A</v>
      </c>
      <c r="O444" s="1758" t="e">
        <v>#N/A</v>
      </c>
      <c r="P444" s="1354" t="e">
        <v>#N/A</v>
      </c>
      <c r="Q444" s="1758" t="e">
        <v>#N/A</v>
      </c>
      <c r="R444" s="1354" t="e">
        <v>#N/A</v>
      </c>
      <c r="S444" s="1758" t="e">
        <v>#N/A</v>
      </c>
      <c r="T444" s="1778" t="e">
        <v>#N/A</v>
      </c>
    </row>
    <row r="445" spans="1:20">
      <c r="A445" s="49">
        <f t="shared" si="1"/>
        <v>2030.04</v>
      </c>
      <c r="B445" s="1758" t="e">
        <v>#N/A</v>
      </c>
      <c r="C445" s="1354" t="e">
        <v>#N/A</v>
      </c>
      <c r="D445" s="943" t="e">
        <v>#N/A</v>
      </c>
      <c r="E445" s="1758" t="e">
        <v>#N/A</v>
      </c>
      <c r="F445" s="1354" t="e">
        <v>#N/A</v>
      </c>
      <c r="G445" s="1758" t="e">
        <v>#N/A</v>
      </c>
      <c r="H445" s="1354" t="e">
        <v>#N/A</v>
      </c>
      <c r="I445" s="1758" t="e">
        <v>#N/A</v>
      </c>
      <c r="J445" s="1354" t="e">
        <v>#N/A</v>
      </c>
      <c r="K445" s="1758" t="e">
        <v>#N/A</v>
      </c>
      <c r="L445" s="1354" t="e">
        <v>#N/A</v>
      </c>
      <c r="M445" s="1758" t="e">
        <v>#N/A</v>
      </c>
      <c r="N445" s="1354" t="e">
        <v>#N/A</v>
      </c>
      <c r="O445" s="1758" t="e">
        <v>#N/A</v>
      </c>
      <c r="P445" s="1354" t="e">
        <v>#N/A</v>
      </c>
      <c r="Q445" s="1758" t="e">
        <v>#N/A</v>
      </c>
      <c r="R445" s="1354" t="e">
        <v>#N/A</v>
      </c>
      <c r="S445" s="1758" t="e">
        <v>#N/A</v>
      </c>
      <c r="T445" s="1778" t="e">
        <v>#N/A</v>
      </c>
    </row>
    <row r="446" spans="1:20">
      <c r="A446" s="49">
        <f t="shared" si="1"/>
        <v>2030.05</v>
      </c>
      <c r="B446" s="1758" t="e">
        <v>#N/A</v>
      </c>
      <c r="C446" s="1354" t="e">
        <v>#N/A</v>
      </c>
      <c r="D446" s="943" t="e">
        <v>#N/A</v>
      </c>
      <c r="E446" s="1758" t="e">
        <v>#N/A</v>
      </c>
      <c r="F446" s="1354" t="e">
        <v>#N/A</v>
      </c>
      <c r="G446" s="1758" t="e">
        <v>#N/A</v>
      </c>
      <c r="H446" s="1354" t="e">
        <v>#N/A</v>
      </c>
      <c r="I446" s="1758" t="e">
        <v>#N/A</v>
      </c>
      <c r="J446" s="1354" t="e">
        <v>#N/A</v>
      </c>
      <c r="K446" s="1758" t="e">
        <v>#N/A</v>
      </c>
      <c r="L446" s="1354" t="e">
        <v>#N/A</v>
      </c>
      <c r="M446" s="1758" t="e">
        <v>#N/A</v>
      </c>
      <c r="N446" s="1354" t="e">
        <v>#N/A</v>
      </c>
      <c r="O446" s="1758" t="e">
        <v>#N/A</v>
      </c>
      <c r="P446" s="1354" t="e">
        <v>#N/A</v>
      </c>
      <c r="Q446" s="1758" t="e">
        <v>#N/A</v>
      </c>
      <c r="R446" s="1354" t="e">
        <v>#N/A</v>
      </c>
      <c r="S446" s="1758" t="e">
        <v>#N/A</v>
      </c>
      <c r="T446" s="1778" t="e">
        <v>#N/A</v>
      </c>
    </row>
    <row r="447" spans="1:20">
      <c r="A447" s="49">
        <f t="shared" si="1"/>
        <v>2030.06</v>
      </c>
      <c r="B447" s="1758" t="e">
        <v>#N/A</v>
      </c>
      <c r="C447" s="1354" t="e">
        <v>#N/A</v>
      </c>
      <c r="D447" s="943" t="e">
        <v>#N/A</v>
      </c>
      <c r="E447" s="1758" t="e">
        <v>#N/A</v>
      </c>
      <c r="F447" s="1354" t="e">
        <v>#N/A</v>
      </c>
      <c r="G447" s="1758" t="e">
        <v>#N/A</v>
      </c>
      <c r="H447" s="1354" t="e">
        <v>#N/A</v>
      </c>
      <c r="I447" s="1758" t="e">
        <v>#N/A</v>
      </c>
      <c r="J447" s="1354" t="e">
        <v>#N/A</v>
      </c>
      <c r="K447" s="1758" t="e">
        <v>#N/A</v>
      </c>
      <c r="L447" s="1354" t="e">
        <v>#N/A</v>
      </c>
      <c r="M447" s="1758" t="e">
        <v>#N/A</v>
      </c>
      <c r="N447" s="1354" t="e">
        <v>#N/A</v>
      </c>
      <c r="O447" s="1758" t="e">
        <v>#N/A</v>
      </c>
      <c r="P447" s="1354" t="e">
        <v>#N/A</v>
      </c>
      <c r="Q447" s="1758" t="e">
        <v>#N/A</v>
      </c>
      <c r="R447" s="1354" t="e">
        <v>#N/A</v>
      </c>
      <c r="S447" s="1758" t="e">
        <v>#N/A</v>
      </c>
      <c r="T447" s="1778" t="e">
        <v>#N/A</v>
      </c>
    </row>
    <row r="448" spans="1:20">
      <c r="A448" s="49">
        <f t="shared" si="1"/>
        <v>2030.07</v>
      </c>
      <c r="B448" s="1758" t="e">
        <v>#N/A</v>
      </c>
      <c r="C448" s="1354" t="e">
        <v>#N/A</v>
      </c>
      <c r="D448" s="943" t="e">
        <v>#N/A</v>
      </c>
      <c r="E448" s="1758" t="e">
        <v>#N/A</v>
      </c>
      <c r="F448" s="1354" t="e">
        <v>#N/A</v>
      </c>
      <c r="G448" s="1758" t="e">
        <v>#N/A</v>
      </c>
      <c r="H448" s="1354" t="e">
        <v>#N/A</v>
      </c>
      <c r="I448" s="1758" t="e">
        <v>#N/A</v>
      </c>
      <c r="J448" s="1354" t="e">
        <v>#N/A</v>
      </c>
      <c r="K448" s="1758" t="e">
        <v>#N/A</v>
      </c>
      <c r="L448" s="1354" t="e">
        <v>#N/A</v>
      </c>
      <c r="M448" s="1758" t="e">
        <v>#N/A</v>
      </c>
      <c r="N448" s="1354" t="e">
        <v>#N/A</v>
      </c>
      <c r="O448" s="1758" t="e">
        <v>#N/A</v>
      </c>
      <c r="P448" s="1354" t="e">
        <v>#N/A</v>
      </c>
      <c r="Q448" s="1758" t="e">
        <v>#N/A</v>
      </c>
      <c r="R448" s="1354" t="e">
        <v>#N/A</v>
      </c>
      <c r="S448" s="1758" t="e">
        <v>#N/A</v>
      </c>
      <c r="T448" s="1778" t="e">
        <v>#N/A</v>
      </c>
    </row>
    <row r="449" spans="1:20">
      <c r="A449" s="49">
        <f t="shared" si="1"/>
        <v>2030.08</v>
      </c>
      <c r="B449" s="1758" t="e">
        <v>#N/A</v>
      </c>
      <c r="C449" s="1354" t="e">
        <v>#N/A</v>
      </c>
      <c r="D449" s="943" t="e">
        <v>#N/A</v>
      </c>
      <c r="E449" s="1758" t="e">
        <v>#N/A</v>
      </c>
      <c r="F449" s="1354" t="e">
        <v>#N/A</v>
      </c>
      <c r="G449" s="1758" t="e">
        <v>#N/A</v>
      </c>
      <c r="H449" s="1354" t="e">
        <v>#N/A</v>
      </c>
      <c r="I449" s="1758" t="e">
        <v>#N/A</v>
      </c>
      <c r="J449" s="1354" t="e">
        <v>#N/A</v>
      </c>
      <c r="K449" s="1758" t="e">
        <v>#N/A</v>
      </c>
      <c r="L449" s="1354" t="e">
        <v>#N/A</v>
      </c>
      <c r="M449" s="1758" t="e">
        <v>#N/A</v>
      </c>
      <c r="N449" s="1354" t="e">
        <v>#N/A</v>
      </c>
      <c r="O449" s="1758" t="e">
        <v>#N/A</v>
      </c>
      <c r="P449" s="1354" t="e">
        <v>#N/A</v>
      </c>
      <c r="Q449" s="1758" t="e">
        <v>#N/A</v>
      </c>
      <c r="R449" s="1354" t="e">
        <v>#N/A</v>
      </c>
      <c r="S449" s="1758" t="e">
        <v>#N/A</v>
      </c>
      <c r="T449" s="1778" t="e">
        <v>#N/A</v>
      </c>
    </row>
    <row r="450" spans="1:20">
      <c r="A450" s="49">
        <f t="shared" si="1"/>
        <v>2030.09</v>
      </c>
      <c r="B450" s="1758" t="e">
        <v>#N/A</v>
      </c>
      <c r="C450" s="1354" t="e">
        <v>#N/A</v>
      </c>
      <c r="D450" s="943" t="e">
        <v>#N/A</v>
      </c>
      <c r="E450" s="1758" t="e">
        <v>#N/A</v>
      </c>
      <c r="F450" s="1354" t="e">
        <v>#N/A</v>
      </c>
      <c r="G450" s="1758" t="e">
        <v>#N/A</v>
      </c>
      <c r="H450" s="1354" t="e">
        <v>#N/A</v>
      </c>
      <c r="I450" s="1758" t="e">
        <v>#N/A</v>
      </c>
      <c r="J450" s="1354" t="e">
        <v>#N/A</v>
      </c>
      <c r="K450" s="1758" t="e">
        <v>#N/A</v>
      </c>
      <c r="L450" s="1354" t="e">
        <v>#N/A</v>
      </c>
      <c r="M450" s="1758" t="e">
        <v>#N/A</v>
      </c>
      <c r="N450" s="1354" t="e">
        <v>#N/A</v>
      </c>
      <c r="O450" s="1758" t="e">
        <v>#N/A</v>
      </c>
      <c r="P450" s="1354" t="e">
        <v>#N/A</v>
      </c>
      <c r="Q450" s="1758" t="e">
        <v>#N/A</v>
      </c>
      <c r="R450" s="1354" t="e">
        <v>#N/A</v>
      </c>
      <c r="S450" s="1758" t="e">
        <v>#N/A</v>
      </c>
      <c r="T450" s="1778" t="e">
        <v>#N/A</v>
      </c>
    </row>
    <row r="451" spans="1:20">
      <c r="A451" s="49">
        <f t="shared" si="1"/>
        <v>2030.1</v>
      </c>
      <c r="B451" s="1758" t="e">
        <v>#N/A</v>
      </c>
      <c r="C451" s="1354" t="e">
        <v>#N/A</v>
      </c>
      <c r="D451" s="943" t="e">
        <v>#N/A</v>
      </c>
      <c r="E451" s="1758" t="e">
        <v>#N/A</v>
      </c>
      <c r="F451" s="1354" t="e">
        <v>#N/A</v>
      </c>
      <c r="G451" s="1758" t="e">
        <v>#N/A</v>
      </c>
      <c r="H451" s="1354" t="e">
        <v>#N/A</v>
      </c>
      <c r="I451" s="1758" t="e">
        <v>#N/A</v>
      </c>
      <c r="J451" s="1354" t="e">
        <v>#N/A</v>
      </c>
      <c r="K451" s="1758" t="e">
        <v>#N/A</v>
      </c>
      <c r="L451" s="1354" t="e">
        <v>#N/A</v>
      </c>
      <c r="M451" s="1758" t="e">
        <v>#N/A</v>
      </c>
      <c r="N451" s="1354" t="e">
        <v>#N/A</v>
      </c>
      <c r="O451" s="1758" t="e">
        <v>#N/A</v>
      </c>
      <c r="P451" s="1354" t="e">
        <v>#N/A</v>
      </c>
      <c r="Q451" s="1758" t="e">
        <v>#N/A</v>
      </c>
      <c r="R451" s="1354" t="e">
        <v>#N/A</v>
      </c>
      <c r="S451" s="1758" t="e">
        <v>#N/A</v>
      </c>
      <c r="T451" s="1778" t="e">
        <v>#N/A</v>
      </c>
    </row>
    <row r="452" spans="1:20">
      <c r="A452" s="49">
        <f t="shared" si="1"/>
        <v>2030.11</v>
      </c>
      <c r="B452" s="1758" t="e">
        <v>#N/A</v>
      </c>
      <c r="C452" s="1354" t="e">
        <v>#N/A</v>
      </c>
      <c r="D452" s="943" t="e">
        <v>#N/A</v>
      </c>
      <c r="E452" s="1758" t="e">
        <v>#N/A</v>
      </c>
      <c r="F452" s="1354" t="e">
        <v>#N/A</v>
      </c>
      <c r="G452" s="1758" t="e">
        <v>#N/A</v>
      </c>
      <c r="H452" s="1354" t="e">
        <v>#N/A</v>
      </c>
      <c r="I452" s="1758" t="e">
        <v>#N/A</v>
      </c>
      <c r="J452" s="1354" t="e">
        <v>#N/A</v>
      </c>
      <c r="K452" s="1758" t="e">
        <v>#N/A</v>
      </c>
      <c r="L452" s="1354" t="e">
        <v>#N/A</v>
      </c>
      <c r="M452" s="1758" t="e">
        <v>#N/A</v>
      </c>
      <c r="N452" s="1354" t="e">
        <v>#N/A</v>
      </c>
      <c r="O452" s="1758" t="e">
        <v>#N/A</v>
      </c>
      <c r="P452" s="1354" t="e">
        <v>#N/A</v>
      </c>
      <c r="Q452" s="1758" t="e">
        <v>#N/A</v>
      </c>
      <c r="R452" s="1354" t="e">
        <v>#N/A</v>
      </c>
      <c r="S452" s="1758" t="e">
        <v>#N/A</v>
      </c>
      <c r="T452" s="1778" t="e">
        <v>#N/A</v>
      </c>
    </row>
    <row r="453" spans="1:20">
      <c r="A453" s="49">
        <f t="shared" si="1"/>
        <v>2030.12</v>
      </c>
      <c r="B453" s="1758" t="e">
        <v>#N/A</v>
      </c>
      <c r="C453" s="1354" t="e">
        <v>#N/A</v>
      </c>
      <c r="D453" s="943" t="e">
        <v>#N/A</v>
      </c>
      <c r="E453" s="1758" t="e">
        <v>#N/A</v>
      </c>
      <c r="F453" s="1354" t="e">
        <v>#N/A</v>
      </c>
      <c r="G453" s="1758" t="e">
        <v>#N/A</v>
      </c>
      <c r="H453" s="1354" t="e">
        <v>#N/A</v>
      </c>
      <c r="I453" s="1758" t="e">
        <v>#N/A</v>
      </c>
      <c r="J453" s="1354" t="e">
        <v>#N/A</v>
      </c>
      <c r="K453" s="1758" t="e">
        <v>#N/A</v>
      </c>
      <c r="L453" s="1354" t="e">
        <v>#N/A</v>
      </c>
      <c r="M453" s="1758" t="e">
        <v>#N/A</v>
      </c>
      <c r="N453" s="1354" t="e">
        <v>#N/A</v>
      </c>
      <c r="O453" s="1758" t="e">
        <v>#N/A</v>
      </c>
      <c r="P453" s="1354" t="e">
        <v>#N/A</v>
      </c>
      <c r="Q453" s="1758" t="e">
        <v>#N/A</v>
      </c>
      <c r="R453" s="1354" t="e">
        <v>#N/A</v>
      </c>
      <c r="S453" s="1758" t="e">
        <v>#N/A</v>
      </c>
      <c r="T453" s="1778" t="e">
        <v>#N/A</v>
      </c>
    </row>
  </sheetData>
  <hyperlinks>
    <hyperlink ref="A4" location="INDICE!A13" display="VOLVER AL INDICE" xr:uid="{00000000-0004-0000-1E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333"/>
  <sheetViews>
    <sheetView zoomScaleNormal="100" workbookViewId="0">
      <pane xSplit="1" ySplit="9" topLeftCell="B230"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1.25"/>
  <cols>
    <col min="1" max="1" width="12.7109375" style="995" customWidth="1"/>
    <col min="2" max="2" width="19.28515625" style="988" customWidth="1"/>
    <col min="3" max="18" width="16.28515625" style="988" customWidth="1"/>
    <col min="19" max="19" width="17" style="988" bestFit="1" customWidth="1"/>
    <col min="20" max="16384" width="11.42578125" style="988"/>
  </cols>
  <sheetData>
    <row r="1" spans="1:22" ht="4.5" customHeight="1">
      <c r="A1" s="987"/>
      <c r="C1" s="2732"/>
      <c r="S1" s="989"/>
    </row>
    <row r="2" spans="1:22" ht="33.75">
      <c r="A2" s="994" t="s">
        <v>212</v>
      </c>
      <c r="B2" s="992" t="s">
        <v>1170</v>
      </c>
      <c r="C2" s="1779" t="s">
        <v>1171</v>
      </c>
      <c r="D2" s="991"/>
      <c r="E2" s="991"/>
      <c r="F2" s="991"/>
      <c r="G2" s="991"/>
      <c r="H2" s="991"/>
      <c r="I2" s="991"/>
      <c r="J2" s="991"/>
      <c r="K2" s="991"/>
      <c r="L2" s="991"/>
      <c r="M2" s="991"/>
      <c r="N2" s="991"/>
      <c r="O2" s="991"/>
      <c r="P2" s="991"/>
      <c r="Q2" s="991"/>
      <c r="R2" s="991"/>
      <c r="S2" s="1005"/>
    </row>
    <row r="3" spans="1:22" s="993" customFormat="1" ht="20.25" customHeight="1">
      <c r="A3" s="994" t="s">
        <v>330</v>
      </c>
      <c r="B3" s="2731" t="s">
        <v>1136</v>
      </c>
      <c r="C3" s="990"/>
      <c r="D3" s="991"/>
      <c r="E3" s="991"/>
      <c r="F3" s="991"/>
      <c r="G3" s="991"/>
      <c r="H3" s="991"/>
      <c r="I3" s="991"/>
      <c r="J3" s="991"/>
      <c r="K3" s="991"/>
      <c r="L3" s="991"/>
      <c r="M3" s="991"/>
      <c r="N3" s="991"/>
      <c r="O3" s="991"/>
      <c r="P3" s="991"/>
      <c r="Q3" s="991"/>
      <c r="R3" s="991"/>
      <c r="S3" s="1005"/>
    </row>
    <row r="4" spans="1:22" ht="0.75" hidden="1" customHeight="1">
      <c r="B4" s="1780"/>
      <c r="S4" s="989"/>
    </row>
    <row r="5" spans="1:22" s="997" customFormat="1" ht="33.75">
      <c r="A5" s="952" t="s">
        <v>213</v>
      </c>
      <c r="B5" s="996" t="s">
        <v>241</v>
      </c>
      <c r="C5" s="1781" t="s">
        <v>1137</v>
      </c>
      <c r="D5" s="1786" t="s">
        <v>1138</v>
      </c>
      <c r="E5" s="1781" t="s">
        <v>164</v>
      </c>
      <c r="F5" s="1786" t="s">
        <v>242</v>
      </c>
      <c r="G5" s="1781" t="s">
        <v>1139</v>
      </c>
      <c r="H5" s="1786" t="s">
        <v>1140</v>
      </c>
      <c r="I5" s="1781" t="s">
        <v>372</v>
      </c>
      <c r="J5" s="1786" t="s">
        <v>1105</v>
      </c>
      <c r="K5" s="2668" t="s">
        <v>1141</v>
      </c>
      <c r="L5" s="2669" t="s">
        <v>1142</v>
      </c>
      <c r="M5" s="1781" t="s">
        <v>1143</v>
      </c>
      <c r="N5" s="1786" t="s">
        <v>1144</v>
      </c>
      <c r="O5" s="1781" t="s">
        <v>1145</v>
      </c>
      <c r="P5" s="1786" t="s">
        <v>1146</v>
      </c>
      <c r="Q5" s="1781" t="s">
        <v>1147</v>
      </c>
      <c r="R5" s="1786" t="s">
        <v>1148</v>
      </c>
      <c r="S5" s="2670" t="s">
        <v>1149</v>
      </c>
      <c r="V5" s="997" t="s">
        <v>74</v>
      </c>
    </row>
    <row r="6" spans="1:22" ht="2.25" customHeight="1">
      <c r="A6" s="998"/>
      <c r="B6" s="1780"/>
      <c r="D6" s="1787"/>
      <c r="F6" s="1787"/>
      <c r="H6" s="1787"/>
      <c r="J6" s="1787"/>
      <c r="L6" s="1787"/>
      <c r="N6" s="1787"/>
      <c r="P6" s="1787"/>
      <c r="R6" s="1787"/>
      <c r="S6" s="989"/>
    </row>
    <row r="7" spans="1:22" s="997" customFormat="1" ht="22.5">
      <c r="A7" s="986" t="s">
        <v>210</v>
      </c>
      <c r="B7" s="996" t="s">
        <v>955</v>
      </c>
      <c r="C7" s="1781" t="s">
        <v>955</v>
      </c>
      <c r="D7" s="1786" t="s">
        <v>955</v>
      </c>
      <c r="E7" s="1781" t="s">
        <v>955</v>
      </c>
      <c r="F7" s="1786" t="s">
        <v>955</v>
      </c>
      <c r="G7" s="1781" t="s">
        <v>955</v>
      </c>
      <c r="H7" s="1786" t="s">
        <v>955</v>
      </c>
      <c r="I7" s="1781" t="s">
        <v>955</v>
      </c>
      <c r="J7" s="1786" t="s">
        <v>955</v>
      </c>
      <c r="K7" s="1781" t="s">
        <v>955</v>
      </c>
      <c r="L7" s="1786" t="s">
        <v>955</v>
      </c>
      <c r="M7" s="1781" t="s">
        <v>955</v>
      </c>
      <c r="N7" s="1786" t="s">
        <v>955</v>
      </c>
      <c r="O7" s="1781" t="s">
        <v>955</v>
      </c>
      <c r="P7" s="1786" t="s">
        <v>955</v>
      </c>
      <c r="Q7" s="1781" t="s">
        <v>955</v>
      </c>
      <c r="R7" s="1786" t="s">
        <v>955</v>
      </c>
      <c r="S7" s="1795" t="s">
        <v>955</v>
      </c>
    </row>
    <row r="8" spans="1:22" ht="13.15" customHeight="1">
      <c r="A8" s="986" t="s">
        <v>412</v>
      </c>
      <c r="B8" s="999" t="s">
        <v>1151</v>
      </c>
      <c r="C8" s="1782" t="s">
        <v>1152</v>
      </c>
      <c r="D8" s="1788" t="s">
        <v>1153</v>
      </c>
      <c r="E8" s="1782" t="s">
        <v>1154</v>
      </c>
      <c r="F8" s="1788" t="s">
        <v>1155</v>
      </c>
      <c r="G8" s="1782" t="s">
        <v>1156</v>
      </c>
      <c r="H8" s="1788" t="s">
        <v>1157</v>
      </c>
      <c r="I8" s="1782" t="s">
        <v>1158</v>
      </c>
      <c r="J8" s="1788" t="s">
        <v>1159</v>
      </c>
      <c r="K8" s="1782" t="s">
        <v>1160</v>
      </c>
      <c r="L8" s="1788" t="s">
        <v>1161</v>
      </c>
      <c r="M8" s="1782" t="s">
        <v>1162</v>
      </c>
      <c r="N8" s="1788" t="s">
        <v>1163</v>
      </c>
      <c r="O8" s="1782" t="s">
        <v>1164</v>
      </c>
      <c r="P8" s="1788" t="s">
        <v>1165</v>
      </c>
      <c r="Q8" s="1782" t="s">
        <v>1166</v>
      </c>
      <c r="R8" s="1788" t="s">
        <v>1167</v>
      </c>
      <c r="S8" s="1796" t="s">
        <v>1168</v>
      </c>
    </row>
    <row r="9" spans="1:22" s="993" customFormat="1" ht="13.15" customHeight="1">
      <c r="A9" s="1000" t="s">
        <v>1150</v>
      </c>
      <c r="B9" s="999"/>
      <c r="C9" s="1783">
        <v>0.05</v>
      </c>
      <c r="D9" s="1789">
        <v>0.17</v>
      </c>
      <c r="E9" s="1792">
        <v>0.06</v>
      </c>
      <c r="F9" s="1789">
        <v>7.0000000000000007E-2</v>
      </c>
      <c r="G9" s="1792">
        <v>0.06</v>
      </c>
      <c r="H9" s="1789">
        <v>0.04</v>
      </c>
      <c r="I9" s="1792">
        <v>0.01</v>
      </c>
      <c r="J9" s="1789">
        <v>0.06</v>
      </c>
      <c r="K9" s="1792">
        <v>0.04</v>
      </c>
      <c r="L9" s="1789">
        <v>0.09</v>
      </c>
      <c r="M9" s="1792">
        <v>0.09</v>
      </c>
      <c r="N9" s="1789">
        <v>0.02</v>
      </c>
      <c r="O9" s="1792">
        <v>7.0000000000000007E-2</v>
      </c>
      <c r="P9" s="1789">
        <v>0.02</v>
      </c>
      <c r="Q9" s="1792">
        <v>0.01</v>
      </c>
      <c r="R9" s="1789">
        <v>0.02</v>
      </c>
      <c r="S9" s="1797">
        <v>0.12</v>
      </c>
    </row>
    <row r="10" spans="1:22" ht="13.15" customHeight="1">
      <c r="A10" s="1001">
        <v>2004.01</v>
      </c>
      <c r="B10" s="1002">
        <v>84.742834462855939</v>
      </c>
      <c r="C10" s="1784">
        <v>93.426951894696302</v>
      </c>
      <c r="D10" s="1790">
        <v>101.38748754745619</v>
      </c>
      <c r="E10" s="1793">
        <v>80.82231389758995</v>
      </c>
      <c r="F10" s="1790">
        <v>83.410612468084452</v>
      </c>
      <c r="G10" s="1793">
        <v>108.85119478432681</v>
      </c>
      <c r="H10" s="1790">
        <v>79.744765100431124</v>
      </c>
      <c r="I10" s="1793">
        <v>40.441820225035428</v>
      </c>
      <c r="J10" s="1790">
        <v>90.840309311584932</v>
      </c>
      <c r="K10" s="1793">
        <v>113.36828658931331</v>
      </c>
      <c r="L10" s="1790">
        <v>67.871713039768878</v>
      </c>
      <c r="M10" s="1793">
        <v>45.277611586446838</v>
      </c>
      <c r="N10" s="1790">
        <v>93.194885743053746</v>
      </c>
      <c r="O10" s="1793">
        <v>82.295763974024112</v>
      </c>
      <c r="P10" s="1790">
        <v>79.632991778183353</v>
      </c>
      <c r="Q10" s="1793">
        <v>104.60247866277902</v>
      </c>
      <c r="R10" s="1790">
        <v>70.5294320944123</v>
      </c>
      <c r="S10" s="1798">
        <v>85.769950899597433</v>
      </c>
    </row>
    <row r="11" spans="1:22" ht="13.15" customHeight="1">
      <c r="A11" s="1001">
        <v>2004.02</v>
      </c>
      <c r="B11" s="1003">
        <v>80.101973281648526</v>
      </c>
      <c r="C11" s="1785">
        <v>92.111555481089582</v>
      </c>
      <c r="D11" s="1791">
        <v>70.605229615781241</v>
      </c>
      <c r="E11" s="1794">
        <v>70.541262069152722</v>
      </c>
      <c r="F11" s="1791">
        <v>78.053072456369392</v>
      </c>
      <c r="G11" s="1794">
        <v>95.650024469272537</v>
      </c>
      <c r="H11" s="1791">
        <v>70.462137282174439</v>
      </c>
      <c r="I11" s="1794">
        <v>68.279398121467921</v>
      </c>
      <c r="J11" s="1791">
        <v>87.695757110119615</v>
      </c>
      <c r="K11" s="1794">
        <v>93.285365134903898</v>
      </c>
      <c r="L11" s="1791">
        <v>55.312171100137526</v>
      </c>
      <c r="M11" s="1794">
        <v>86.940692813747859</v>
      </c>
      <c r="N11" s="1791">
        <v>91.638388054905462</v>
      </c>
      <c r="O11" s="1794">
        <v>83.929376174387485</v>
      </c>
      <c r="P11" s="1791">
        <v>86.322531473494479</v>
      </c>
      <c r="Q11" s="1794">
        <v>103.24909950888221</v>
      </c>
      <c r="R11" s="1791">
        <v>88.652070547247405</v>
      </c>
      <c r="S11" s="1006">
        <v>86.371000269264982</v>
      </c>
    </row>
    <row r="12" spans="1:22" ht="13.15" customHeight="1">
      <c r="A12" s="1001">
        <v>2004.03</v>
      </c>
      <c r="B12" s="1003">
        <v>100.56814021350024</v>
      </c>
      <c r="C12" s="1785">
        <v>103.90516504888845</v>
      </c>
      <c r="D12" s="1791">
        <v>78.815561075674225</v>
      </c>
      <c r="E12" s="1794">
        <v>79.347947402471092</v>
      </c>
      <c r="F12" s="1791">
        <v>107.59136962026547</v>
      </c>
      <c r="G12" s="1794">
        <v>105.57703503712985</v>
      </c>
      <c r="H12" s="1791">
        <v>90.030449955611729</v>
      </c>
      <c r="I12" s="1794">
        <v>99.81608978920498</v>
      </c>
      <c r="J12" s="1791">
        <v>113.4930967076899</v>
      </c>
      <c r="K12" s="1794">
        <v>107.09136070909572</v>
      </c>
      <c r="L12" s="1791">
        <v>94.495663059122734</v>
      </c>
      <c r="M12" s="1794">
        <v>127.43478981588109</v>
      </c>
      <c r="N12" s="1791">
        <v>96.84422182515975</v>
      </c>
      <c r="O12" s="1794">
        <v>111.30911524078174</v>
      </c>
      <c r="P12" s="1791">
        <v>111.76882887767167</v>
      </c>
      <c r="Q12" s="1794">
        <v>102.26632264119773</v>
      </c>
      <c r="R12" s="1791">
        <v>101.347165789652</v>
      </c>
      <c r="S12" s="1006">
        <v>103.97864805805601</v>
      </c>
    </row>
    <row r="13" spans="1:22" ht="13.15" customHeight="1">
      <c r="A13" s="1001">
        <v>2004.04</v>
      </c>
      <c r="B13" s="1003">
        <v>97.865164221083603</v>
      </c>
      <c r="C13" s="1785">
        <v>82.296320186025312</v>
      </c>
      <c r="D13" s="1791">
        <v>106.60080910185421</v>
      </c>
      <c r="E13" s="1794">
        <v>91.36537162592208</v>
      </c>
      <c r="F13" s="1791">
        <v>101.46604456658982</v>
      </c>
      <c r="G13" s="1794">
        <v>108.29482702344858</v>
      </c>
      <c r="H13" s="1791">
        <v>96.355893402581614</v>
      </c>
      <c r="I13" s="1794">
        <v>61.241585361964752</v>
      </c>
      <c r="J13" s="1791">
        <v>84.06899324243156</v>
      </c>
      <c r="K13" s="1794">
        <v>98.84526473597208</v>
      </c>
      <c r="L13" s="1791">
        <v>110.42894611193172</v>
      </c>
      <c r="M13" s="1794">
        <v>85.27835051729231</v>
      </c>
      <c r="N13" s="1791">
        <v>99.740962613373327</v>
      </c>
      <c r="O13" s="1794">
        <v>91.975594311210898</v>
      </c>
      <c r="P13" s="1791">
        <v>107.8707914745162</v>
      </c>
      <c r="Q13" s="1794">
        <v>101.70906445271184</v>
      </c>
      <c r="R13" s="1791">
        <v>93.212850533808407</v>
      </c>
      <c r="S13" s="1006">
        <v>101.66905483427453</v>
      </c>
    </row>
    <row r="14" spans="1:22" ht="13.15" customHeight="1">
      <c r="A14" s="1001">
        <v>2004.05</v>
      </c>
      <c r="B14" s="1003">
        <v>104.23990840025316</v>
      </c>
      <c r="C14" s="1785">
        <v>100.89911852875947</v>
      </c>
      <c r="D14" s="1791">
        <v>123.13407729785327</v>
      </c>
      <c r="E14" s="1794">
        <v>88.306235405077501</v>
      </c>
      <c r="F14" s="1791">
        <v>97.611196154461553</v>
      </c>
      <c r="G14" s="1794">
        <v>96.245781880378971</v>
      </c>
      <c r="H14" s="1791">
        <v>87.124925767582894</v>
      </c>
      <c r="I14" s="1794">
        <v>94.308155313118249</v>
      </c>
      <c r="J14" s="1791">
        <v>89.018075463597413</v>
      </c>
      <c r="K14" s="1794">
        <v>102.96083350230732</v>
      </c>
      <c r="L14" s="1791">
        <v>104.69913197738438</v>
      </c>
      <c r="M14" s="1794">
        <v>117.49722959902334</v>
      </c>
      <c r="N14" s="1791">
        <v>103.53661030755049</v>
      </c>
      <c r="O14" s="1794">
        <v>99.559061861734776</v>
      </c>
      <c r="P14" s="1791">
        <v>98.42817294444454</v>
      </c>
      <c r="Q14" s="1794">
        <v>100.31014212886438</v>
      </c>
      <c r="R14" s="1791">
        <v>99.692542133641098</v>
      </c>
      <c r="S14" s="1006">
        <v>104.47640222022406</v>
      </c>
    </row>
    <row r="15" spans="1:22" ht="13.15" customHeight="1">
      <c r="A15" s="1001">
        <v>2004.06</v>
      </c>
      <c r="B15" s="1003">
        <v>105.5587001034846</v>
      </c>
      <c r="C15" s="1785">
        <v>106.22206890505262</v>
      </c>
      <c r="D15" s="1791">
        <v>116.64713486500055</v>
      </c>
      <c r="E15" s="1794">
        <v>95.160228988716923</v>
      </c>
      <c r="F15" s="1791">
        <v>105.66869376361058</v>
      </c>
      <c r="G15" s="1794">
        <v>98.351023578334761</v>
      </c>
      <c r="H15" s="1791">
        <v>108.98722943500803</v>
      </c>
      <c r="I15" s="1794">
        <v>61.738901956175702</v>
      </c>
      <c r="J15" s="1791">
        <v>87.285392305734732</v>
      </c>
      <c r="K15" s="1794">
        <v>97.276333481900124</v>
      </c>
      <c r="L15" s="1791">
        <v>123.79281812542088</v>
      </c>
      <c r="M15" s="1794">
        <v>129.39951851039154</v>
      </c>
      <c r="N15" s="1791">
        <v>93.38624014716487</v>
      </c>
      <c r="O15" s="1794">
        <v>92.172780908515378</v>
      </c>
      <c r="P15" s="1791">
        <v>100.11094750678603</v>
      </c>
      <c r="Q15" s="1794">
        <v>99.945990412645799</v>
      </c>
      <c r="R15" s="1791">
        <v>105.8882022048</v>
      </c>
      <c r="S15" s="1006">
        <v>95.246954350833917</v>
      </c>
    </row>
    <row r="16" spans="1:22" ht="13.15" customHeight="1">
      <c r="A16" s="1001">
        <v>2004.07</v>
      </c>
      <c r="B16" s="1003">
        <v>103.5934893634787</v>
      </c>
      <c r="C16" s="1785">
        <v>100.01276419319559</v>
      </c>
      <c r="D16" s="1791">
        <v>110.01624525512264</v>
      </c>
      <c r="E16" s="1794">
        <v>107.89646344477123</v>
      </c>
      <c r="F16" s="1791">
        <v>105.50454433935225</v>
      </c>
      <c r="G16" s="1794">
        <v>110.25096552847336</v>
      </c>
      <c r="H16" s="1791">
        <v>107.79111094425562</v>
      </c>
      <c r="I16" s="1794">
        <v>113.98938279657644</v>
      </c>
      <c r="J16" s="1791">
        <v>92.444476093187319</v>
      </c>
      <c r="K16" s="1794">
        <v>93.937101989555472</v>
      </c>
      <c r="L16" s="1791">
        <v>130.59785812527329</v>
      </c>
      <c r="M16" s="1794">
        <v>90.010388344818224</v>
      </c>
      <c r="N16" s="1791">
        <v>97.686801875999336</v>
      </c>
      <c r="O16" s="1794">
        <v>87.6524197227683</v>
      </c>
      <c r="P16" s="1791">
        <v>120.01558353746223</v>
      </c>
      <c r="Q16" s="1794">
        <v>99.792025314823761</v>
      </c>
      <c r="R16" s="1791">
        <v>79.886904338998406</v>
      </c>
      <c r="S16" s="1006">
        <v>97.800726344050005</v>
      </c>
    </row>
    <row r="17" spans="1:19" ht="13.15" customHeight="1">
      <c r="A17" s="1001">
        <v>2004.08</v>
      </c>
      <c r="B17" s="1003">
        <v>110.6972012408787</v>
      </c>
      <c r="C17" s="1785">
        <v>102.85234988955158</v>
      </c>
      <c r="D17" s="1791">
        <v>109.24753764997774</v>
      </c>
      <c r="E17" s="1794">
        <v>109.93939729409919</v>
      </c>
      <c r="F17" s="1791">
        <v>104.18166640462411</v>
      </c>
      <c r="G17" s="1794">
        <v>97.514279856823507</v>
      </c>
      <c r="H17" s="1791">
        <v>108.57157749710841</v>
      </c>
      <c r="I17" s="1794">
        <v>149.02838144499069</v>
      </c>
      <c r="J17" s="1791">
        <v>96.181737886196004</v>
      </c>
      <c r="K17" s="1794">
        <v>101.64539747942716</v>
      </c>
      <c r="L17" s="1791">
        <v>174.21803062160618</v>
      </c>
      <c r="M17" s="1794">
        <v>92.084532281322836</v>
      </c>
      <c r="N17" s="1791">
        <v>105.84313432507116</v>
      </c>
      <c r="O17" s="1794">
        <v>105.85350946135974</v>
      </c>
      <c r="P17" s="1791">
        <v>112.55610021032552</v>
      </c>
      <c r="Q17" s="1794">
        <v>99.020356549182907</v>
      </c>
      <c r="R17" s="1791">
        <v>121.68019507178499</v>
      </c>
      <c r="S17" s="1006">
        <v>103.10307995102012</v>
      </c>
    </row>
    <row r="18" spans="1:19" ht="13.15" customHeight="1">
      <c r="A18" s="1001">
        <v>2004.09</v>
      </c>
      <c r="B18" s="1003">
        <v>106.51706061280431</v>
      </c>
      <c r="C18" s="1785">
        <v>106.57211918141529</v>
      </c>
      <c r="D18" s="1791">
        <v>101.6241545143838</v>
      </c>
      <c r="E18" s="1794">
        <v>116.58608646925589</v>
      </c>
      <c r="F18" s="1791">
        <v>96.753367600242882</v>
      </c>
      <c r="G18" s="1794">
        <v>123.33245402506506</v>
      </c>
      <c r="H18" s="1791">
        <v>115.98881915403841</v>
      </c>
      <c r="I18" s="1794">
        <v>181.51555478672435</v>
      </c>
      <c r="J18" s="1791">
        <v>107.54652189925766</v>
      </c>
      <c r="K18" s="1794">
        <v>103.12284751580442</v>
      </c>
      <c r="L18" s="1791">
        <v>72.229289176505105</v>
      </c>
      <c r="M18" s="1794">
        <v>126.00608175871562</v>
      </c>
      <c r="N18" s="1791">
        <v>93.623438104402481</v>
      </c>
      <c r="O18" s="1794">
        <v>106.10806283863</v>
      </c>
      <c r="P18" s="1791">
        <v>99.633382099406091</v>
      </c>
      <c r="Q18" s="1794">
        <v>98.142313105938626</v>
      </c>
      <c r="R18" s="1791">
        <v>117.180969726643</v>
      </c>
      <c r="S18" s="1006">
        <v>108.38834543431764</v>
      </c>
    </row>
    <row r="19" spans="1:19" ht="13.15" customHeight="1">
      <c r="A19" s="1001">
        <v>2004.1</v>
      </c>
      <c r="B19" s="1003">
        <v>104.51621750629869</v>
      </c>
      <c r="C19" s="1785">
        <v>93.517931620491026</v>
      </c>
      <c r="D19" s="1791">
        <v>104.07713313021448</v>
      </c>
      <c r="E19" s="1794">
        <v>115.72097444395185</v>
      </c>
      <c r="F19" s="1791">
        <v>99.841503930066267</v>
      </c>
      <c r="G19" s="1794">
        <v>84.176355117855223</v>
      </c>
      <c r="H19" s="1791">
        <v>108.47861946841009</v>
      </c>
      <c r="I19" s="1794">
        <v>81.482876046372056</v>
      </c>
      <c r="J19" s="1791">
        <v>108.37787716213327</v>
      </c>
      <c r="K19" s="1794">
        <v>97.177673543190309</v>
      </c>
      <c r="L19" s="1791">
        <v>87.109012749929391</v>
      </c>
      <c r="M19" s="1794">
        <v>132.05258223542435</v>
      </c>
      <c r="N19" s="1791">
        <v>108.69985187028848</v>
      </c>
      <c r="O19" s="1794">
        <v>106.53511711618053</v>
      </c>
      <c r="P19" s="1791">
        <v>88.122785184242417</v>
      </c>
      <c r="Q19" s="1794">
        <v>97.473437366059258</v>
      </c>
      <c r="R19" s="1791">
        <v>114.358677754615</v>
      </c>
      <c r="S19" s="1006">
        <v>111.84448239442737</v>
      </c>
    </row>
    <row r="20" spans="1:19" ht="13.15" customHeight="1">
      <c r="A20" s="1001">
        <v>2004.11</v>
      </c>
      <c r="B20" s="1003">
        <v>102.7734875886256</v>
      </c>
      <c r="C20" s="1785">
        <v>114.43156760034104</v>
      </c>
      <c r="D20" s="1791">
        <v>96.51768034911791</v>
      </c>
      <c r="E20" s="1794">
        <v>128.06693651358788</v>
      </c>
      <c r="F20" s="1791">
        <v>104.52948100479351</v>
      </c>
      <c r="G20" s="1794">
        <v>89.464673362010458</v>
      </c>
      <c r="H20" s="1791">
        <v>119.44180751198982</v>
      </c>
      <c r="I20" s="1794">
        <v>132.20855395533718</v>
      </c>
      <c r="J20" s="1791">
        <v>131.56605005195055</v>
      </c>
      <c r="K20" s="1794">
        <v>101.84428407942731</v>
      </c>
      <c r="L20" s="1791">
        <v>83.405865105175295</v>
      </c>
      <c r="M20" s="1794">
        <v>82.221913616968621</v>
      </c>
      <c r="N20" s="1791">
        <v>103.62391233543475</v>
      </c>
      <c r="O20" s="1794">
        <v>109.35301811629601</v>
      </c>
      <c r="P20" s="1791">
        <v>98.829201361877864</v>
      </c>
      <c r="Q20" s="1794">
        <v>97.288298543375376</v>
      </c>
      <c r="R20" s="1791">
        <v>112.595394813265</v>
      </c>
      <c r="S20" s="1006">
        <v>101.42377031743509</v>
      </c>
    </row>
    <row r="21" spans="1:19" ht="13.15" customHeight="1">
      <c r="A21" s="1001">
        <v>2004.12</v>
      </c>
      <c r="B21" s="1003">
        <v>98.825823005087869</v>
      </c>
      <c r="C21" s="1785">
        <v>103.75208747049368</v>
      </c>
      <c r="D21" s="1791">
        <v>81.326949597563754</v>
      </c>
      <c r="E21" s="1794">
        <v>116.24678244540368</v>
      </c>
      <c r="F21" s="1791">
        <v>115.38844769153955</v>
      </c>
      <c r="G21" s="1794">
        <v>82.291385336881007</v>
      </c>
      <c r="H21" s="1791">
        <v>107.02266448080775</v>
      </c>
      <c r="I21" s="1794">
        <v>115.94930020303229</v>
      </c>
      <c r="J21" s="1791">
        <v>111.48171276611693</v>
      </c>
      <c r="K21" s="1794">
        <v>89.445251239103001</v>
      </c>
      <c r="L21" s="1791">
        <v>95.839500807744614</v>
      </c>
      <c r="M21" s="1794">
        <v>85.796308919967416</v>
      </c>
      <c r="N21" s="1791">
        <v>112.181552797596</v>
      </c>
      <c r="O21" s="1794">
        <v>123.25618027411102</v>
      </c>
      <c r="P21" s="1791">
        <v>96.708683551589559</v>
      </c>
      <c r="Q21" s="1794">
        <v>96.200471313538998</v>
      </c>
      <c r="R21" s="1791">
        <v>94.9755949911317</v>
      </c>
      <c r="S21" s="1006">
        <v>99.927584926498881</v>
      </c>
    </row>
    <row r="22" spans="1:19" ht="13.15" customHeight="1">
      <c r="A22" s="1001">
        <f>A10+1</f>
        <v>2005.01</v>
      </c>
      <c r="B22" s="1003">
        <v>97.837254608816465</v>
      </c>
      <c r="C22" s="1785">
        <v>93.305655022155378</v>
      </c>
      <c r="D22" s="1791">
        <v>102.88341035496632</v>
      </c>
      <c r="E22" s="1794">
        <v>105.51867580977384</v>
      </c>
      <c r="F22" s="1791">
        <v>106.07143252564575</v>
      </c>
      <c r="G22" s="1794">
        <v>100.65085848347711</v>
      </c>
      <c r="H22" s="1791">
        <v>91.961401534967351</v>
      </c>
      <c r="I22" s="1794">
        <v>76.141201621995307</v>
      </c>
      <c r="J22" s="1791">
        <v>124.03812964534968</v>
      </c>
      <c r="K22" s="1794">
        <v>96.8375083927953</v>
      </c>
      <c r="L22" s="1791">
        <v>50.041359131235339</v>
      </c>
      <c r="M22" s="1794">
        <v>117.34180784274629</v>
      </c>
      <c r="N22" s="1791">
        <v>87.97184186944807</v>
      </c>
      <c r="O22" s="1794">
        <v>118.56983564460192</v>
      </c>
      <c r="P22" s="1791">
        <v>84.807628815267933</v>
      </c>
      <c r="Q22" s="1794">
        <v>91.905112227809525</v>
      </c>
      <c r="R22" s="1791">
        <v>61.213158780650701</v>
      </c>
      <c r="S22" s="1006">
        <v>94.167089502651748</v>
      </c>
    </row>
    <row r="23" spans="1:19" ht="13.15" customHeight="1">
      <c r="A23" s="1001">
        <f t="shared" ref="A23:A86" si="0">A11+1</f>
        <v>2005.02</v>
      </c>
      <c r="B23" s="1003">
        <v>92.590869919756955</v>
      </c>
      <c r="C23" s="1785">
        <v>90.446541698667247</v>
      </c>
      <c r="D23" s="1791">
        <v>95.043601896719238</v>
      </c>
      <c r="E23" s="1794">
        <v>96.286319025857736</v>
      </c>
      <c r="F23" s="1791">
        <v>105.09314755914161</v>
      </c>
      <c r="G23" s="1794">
        <v>97.773693474425514</v>
      </c>
      <c r="H23" s="1791">
        <v>97.56031053688767</v>
      </c>
      <c r="I23" s="1794">
        <v>87.784902074349318</v>
      </c>
      <c r="J23" s="1791">
        <v>108.80561547181547</v>
      </c>
      <c r="K23" s="1794">
        <v>80.41491486347509</v>
      </c>
      <c r="L23" s="1791">
        <v>96.851958851328348</v>
      </c>
      <c r="M23" s="1794">
        <v>75.424450358465123</v>
      </c>
      <c r="N23" s="1791">
        <v>93.115792714272274</v>
      </c>
      <c r="O23" s="1794">
        <v>90.582110727138243</v>
      </c>
      <c r="P23" s="1791">
        <v>96.007353456911034</v>
      </c>
      <c r="Q23" s="1794">
        <v>85.973550737772456</v>
      </c>
      <c r="R23" s="1791">
        <v>85.823768197389299</v>
      </c>
      <c r="S23" s="1006">
        <v>85.226758063909827</v>
      </c>
    </row>
    <row r="24" spans="1:19" ht="13.15" customHeight="1">
      <c r="A24" s="1001">
        <f t="shared" si="0"/>
        <v>2005.03</v>
      </c>
      <c r="B24" s="1003">
        <v>100.64660100145447</v>
      </c>
      <c r="C24" s="1785">
        <v>85.769565664759938</v>
      </c>
      <c r="D24" s="1791">
        <v>101.45575115717949</v>
      </c>
      <c r="E24" s="1794">
        <v>88.694769225309344</v>
      </c>
      <c r="F24" s="1791">
        <v>123.1042168481458</v>
      </c>
      <c r="G24" s="1794">
        <v>97.83782158194046</v>
      </c>
      <c r="H24" s="1791">
        <v>128.85873407381553</v>
      </c>
      <c r="I24" s="1794">
        <v>112.95393189476944</v>
      </c>
      <c r="J24" s="1791">
        <v>118.29599041094161</v>
      </c>
      <c r="K24" s="1794">
        <v>90.223305577717539</v>
      </c>
      <c r="L24" s="1791">
        <v>58.006636318383748</v>
      </c>
      <c r="M24" s="1794">
        <v>121.55462084701729</v>
      </c>
      <c r="N24" s="1791">
        <v>96.156096713035396</v>
      </c>
      <c r="O24" s="1794">
        <v>108.29151960008268</v>
      </c>
      <c r="P24" s="1791">
        <v>111.651843264422</v>
      </c>
      <c r="Q24" s="1794">
        <v>94.830887246632543</v>
      </c>
      <c r="R24" s="1791">
        <v>116.420400305485</v>
      </c>
      <c r="S24" s="1006">
        <v>93.106152524530827</v>
      </c>
    </row>
    <row r="25" spans="1:19" ht="13.15" customHeight="1">
      <c r="A25" s="1001">
        <f t="shared" si="0"/>
        <v>2005.04</v>
      </c>
      <c r="B25" s="1003">
        <v>111.02704505921889</v>
      </c>
      <c r="C25" s="1785">
        <v>79.833534058261009</v>
      </c>
      <c r="D25" s="1791">
        <v>114.41058157182304</v>
      </c>
      <c r="E25" s="1794">
        <v>82.108709241733692</v>
      </c>
      <c r="F25" s="1791">
        <v>111.35172902786606</v>
      </c>
      <c r="G25" s="1794">
        <v>111.77917646055204</v>
      </c>
      <c r="H25" s="1791">
        <v>95.441213666967073</v>
      </c>
      <c r="I25" s="1794">
        <v>119.26799765547773</v>
      </c>
      <c r="J25" s="1791">
        <v>112.50124571023491</v>
      </c>
      <c r="K25" s="1794">
        <v>97.942352297531571</v>
      </c>
      <c r="L25" s="1791">
        <v>146.17906538563503</v>
      </c>
      <c r="M25" s="1794">
        <v>110.98080707759298</v>
      </c>
      <c r="N25" s="1791">
        <v>97.915860942710026</v>
      </c>
      <c r="O25" s="1794">
        <v>130.31582044945907</v>
      </c>
      <c r="P25" s="1791">
        <v>125.58422433387267</v>
      </c>
      <c r="Q25" s="1794">
        <v>102.28064608444367</v>
      </c>
      <c r="R25" s="1791">
        <v>99.733642326262597</v>
      </c>
      <c r="S25" s="1006">
        <v>106.57173534899597</v>
      </c>
    </row>
    <row r="26" spans="1:19" ht="13.15" customHeight="1">
      <c r="A26" s="1001">
        <f t="shared" si="0"/>
        <v>2005.05</v>
      </c>
      <c r="B26" s="1003">
        <v>108.48793467800114</v>
      </c>
      <c r="C26" s="1785">
        <v>89.264982408283444</v>
      </c>
      <c r="D26" s="1791">
        <v>138.23214761916563</v>
      </c>
      <c r="E26" s="1794">
        <v>77.41267476968325</v>
      </c>
      <c r="F26" s="1791">
        <v>109.42812396445794</v>
      </c>
      <c r="G26" s="1794">
        <v>108.44337379955341</v>
      </c>
      <c r="H26" s="1791">
        <v>110.64927021636917</v>
      </c>
      <c r="I26" s="1794">
        <v>111.672380899974</v>
      </c>
      <c r="J26" s="1791">
        <v>112.6667983523909</v>
      </c>
      <c r="K26" s="1794">
        <v>102.90101362628673</v>
      </c>
      <c r="L26" s="1791">
        <v>88.234461300350318</v>
      </c>
      <c r="M26" s="1794">
        <v>123.24531134770758</v>
      </c>
      <c r="N26" s="1791">
        <v>98.224199418742415</v>
      </c>
      <c r="O26" s="1794">
        <v>119.47482638183722</v>
      </c>
      <c r="P26" s="1791">
        <v>123.67221014337234</v>
      </c>
      <c r="Q26" s="1794">
        <v>97.593002522544083</v>
      </c>
      <c r="R26" s="1791">
        <v>96.199587369510795</v>
      </c>
      <c r="S26" s="1006">
        <v>89.163693991631092</v>
      </c>
    </row>
    <row r="27" spans="1:19" ht="13.15" customHeight="1">
      <c r="A27" s="1001">
        <f t="shared" si="0"/>
        <v>2005.06</v>
      </c>
      <c r="B27" s="1003">
        <v>121.73032628704118</v>
      </c>
      <c r="C27" s="1785">
        <v>93.848967764088925</v>
      </c>
      <c r="D27" s="1791">
        <v>135.29770279597358</v>
      </c>
      <c r="E27" s="1794">
        <v>91.536643725668455</v>
      </c>
      <c r="F27" s="1791">
        <v>109.08676396998939</v>
      </c>
      <c r="G27" s="1794">
        <v>83.283746170808058</v>
      </c>
      <c r="H27" s="1791">
        <v>93.906178849611706</v>
      </c>
      <c r="I27" s="1794">
        <v>106.40322230073616</v>
      </c>
      <c r="J27" s="1791">
        <v>103.72911709950486</v>
      </c>
      <c r="K27" s="1794">
        <v>87.286285768731247</v>
      </c>
      <c r="L27" s="1791">
        <v>179.18473665561845</v>
      </c>
      <c r="M27" s="1794">
        <v>197.15675383839141</v>
      </c>
      <c r="N27" s="1791">
        <v>101.65329433277542</v>
      </c>
      <c r="O27" s="1794">
        <v>119.03934332882285</v>
      </c>
      <c r="P27" s="1791">
        <v>112.3510555373631</v>
      </c>
      <c r="Q27" s="1794">
        <v>107.12753409702034</v>
      </c>
      <c r="R27" s="1791">
        <v>104.177365001423</v>
      </c>
      <c r="S27" s="1006">
        <v>101.25232537418465</v>
      </c>
    </row>
    <row r="28" spans="1:19" ht="13.15" customHeight="1">
      <c r="A28" s="1001">
        <f t="shared" si="0"/>
        <v>2005.07</v>
      </c>
      <c r="B28" s="1003">
        <v>113.38937899451507</v>
      </c>
      <c r="C28" s="1785">
        <v>93.808851790376409</v>
      </c>
      <c r="D28" s="1791">
        <v>145.73283433623953</v>
      </c>
      <c r="E28" s="1794">
        <v>85.746996772793906</v>
      </c>
      <c r="F28" s="1791">
        <v>114.62391628940289</v>
      </c>
      <c r="G28" s="1794">
        <v>90.820789576288405</v>
      </c>
      <c r="H28" s="1791">
        <v>98.456654508017465</v>
      </c>
      <c r="I28" s="1794">
        <v>138.53497489913889</v>
      </c>
      <c r="J28" s="1791">
        <v>100.29296693708936</v>
      </c>
      <c r="K28" s="1794">
        <v>94.163171789644309</v>
      </c>
      <c r="L28" s="1791">
        <v>74.987851277086676</v>
      </c>
      <c r="M28" s="1794">
        <v>167.01740644475828</v>
      </c>
      <c r="N28" s="1791">
        <v>116.01079204550629</v>
      </c>
      <c r="O28" s="1794">
        <v>117.12948345501061</v>
      </c>
      <c r="P28" s="1791">
        <v>139.70410605604454</v>
      </c>
      <c r="Q28" s="1794">
        <v>98.683980854948487</v>
      </c>
      <c r="R28" s="1791">
        <v>117.46819851362</v>
      </c>
      <c r="S28" s="1006">
        <v>97.577146050727748</v>
      </c>
    </row>
    <row r="29" spans="1:19" ht="13.15" customHeight="1">
      <c r="A29" s="1001">
        <f t="shared" si="0"/>
        <v>2005.08</v>
      </c>
      <c r="B29" s="1003">
        <v>129.54895112852287</v>
      </c>
      <c r="C29" s="1785">
        <v>100.24150092799061</v>
      </c>
      <c r="D29" s="1791">
        <v>134.7576486035714</v>
      </c>
      <c r="E29" s="1794">
        <v>97.594868276438049</v>
      </c>
      <c r="F29" s="1791">
        <v>119.01583298148856</v>
      </c>
      <c r="G29" s="1794">
        <v>123.40429185223506</v>
      </c>
      <c r="H29" s="1791">
        <v>100.49487602544106</v>
      </c>
      <c r="I29" s="1794">
        <v>195.75256135967859</v>
      </c>
      <c r="J29" s="1791">
        <v>109.29537768887371</v>
      </c>
      <c r="K29" s="1794">
        <v>98.430066735713154</v>
      </c>
      <c r="L29" s="1791">
        <v>211.10640954655128</v>
      </c>
      <c r="M29" s="1794">
        <v>161.73253048636917</v>
      </c>
      <c r="N29" s="1791">
        <v>117.28022768521153</v>
      </c>
      <c r="O29" s="1794">
        <v>119.80668066584452</v>
      </c>
      <c r="P29" s="1791">
        <v>155.57184022190452</v>
      </c>
      <c r="Q29" s="1794">
        <v>119.86631907024153</v>
      </c>
      <c r="R29" s="1791">
        <v>129.15314225137001</v>
      </c>
      <c r="S29" s="1006">
        <v>102.75498351495071</v>
      </c>
    </row>
    <row r="30" spans="1:19" ht="13.15" customHeight="1">
      <c r="A30" s="1001">
        <f t="shared" si="0"/>
        <v>2005.09</v>
      </c>
      <c r="B30" s="1003">
        <v>120.827596638958</v>
      </c>
      <c r="C30" s="1785">
        <v>111.20161149257142</v>
      </c>
      <c r="D30" s="1791">
        <v>137.9753577272848</v>
      </c>
      <c r="E30" s="1794">
        <v>100.00247647067133</v>
      </c>
      <c r="F30" s="1791">
        <v>112.68854998083673</v>
      </c>
      <c r="G30" s="1794">
        <v>81.813558643441823</v>
      </c>
      <c r="H30" s="1791">
        <v>107.03840095798293</v>
      </c>
      <c r="I30" s="1794">
        <v>222.58050312190508</v>
      </c>
      <c r="J30" s="1791">
        <v>123.76058639066308</v>
      </c>
      <c r="K30" s="1794">
        <v>104.55483651656755</v>
      </c>
      <c r="L30" s="1791">
        <v>110.62437550090826</v>
      </c>
      <c r="M30" s="1794">
        <v>163.29095860622212</v>
      </c>
      <c r="N30" s="1791">
        <v>119.77535018171392</v>
      </c>
      <c r="O30" s="1794">
        <v>110.03376487903496</v>
      </c>
      <c r="P30" s="1791">
        <v>134.94606257349849</v>
      </c>
      <c r="Q30" s="1794">
        <v>106.13519623118285</v>
      </c>
      <c r="R30" s="1791">
        <v>110.593028915099</v>
      </c>
      <c r="S30" s="1006">
        <v>114.19418619425589</v>
      </c>
    </row>
    <row r="31" spans="1:19" ht="13.15" customHeight="1">
      <c r="A31" s="1001">
        <f t="shared" si="0"/>
        <v>2005.1</v>
      </c>
      <c r="B31" s="1003">
        <v>127.366177268993</v>
      </c>
      <c r="C31" s="1785">
        <v>105.57606822607929</v>
      </c>
      <c r="D31" s="1791">
        <v>118.19214811185081</v>
      </c>
      <c r="E31" s="1794">
        <v>95.798342948898849</v>
      </c>
      <c r="F31" s="1791">
        <v>115.39206483601353</v>
      </c>
      <c r="G31" s="1794">
        <v>96.664422797174353</v>
      </c>
      <c r="H31" s="1791">
        <v>93.504021303953735</v>
      </c>
      <c r="I31" s="1794">
        <v>120.56778473888906</v>
      </c>
      <c r="J31" s="1791">
        <v>130.25171718235268</v>
      </c>
      <c r="K31" s="1794">
        <v>103.29696114374947</v>
      </c>
      <c r="L31" s="1791">
        <v>179.69521977071071</v>
      </c>
      <c r="M31" s="1794">
        <v>230.93251598556279</v>
      </c>
      <c r="N31" s="1791">
        <v>118.27122501874609</v>
      </c>
      <c r="O31" s="1794">
        <v>106.78757953342758</v>
      </c>
      <c r="P31" s="1791">
        <v>132.15927091031855</v>
      </c>
      <c r="Q31" s="1794">
        <v>117.67520641974839</v>
      </c>
      <c r="R31" s="1791">
        <v>120.431283495382</v>
      </c>
      <c r="S31" s="1006">
        <v>105.15656056133595</v>
      </c>
    </row>
    <row r="32" spans="1:19" ht="13.15" customHeight="1">
      <c r="A32" s="1001">
        <f t="shared" si="0"/>
        <v>2005.11</v>
      </c>
      <c r="B32" s="1003">
        <v>120.21562685941974</v>
      </c>
      <c r="C32" s="1785">
        <v>109.1519478315815</v>
      </c>
      <c r="D32" s="1791">
        <v>100.2395904302136</v>
      </c>
      <c r="E32" s="1794">
        <v>106.44264167383285</v>
      </c>
      <c r="F32" s="1791">
        <v>120.73229208318851</v>
      </c>
      <c r="G32" s="1794">
        <v>98.069318820164426</v>
      </c>
      <c r="H32" s="1791">
        <v>80.755237619925467</v>
      </c>
      <c r="I32" s="1794">
        <v>123.63515103365879</v>
      </c>
      <c r="J32" s="1791">
        <v>128.74429673797277</v>
      </c>
      <c r="K32" s="1794">
        <v>105.82364482251936</v>
      </c>
      <c r="L32" s="1791">
        <v>149.42899595852492</v>
      </c>
      <c r="M32" s="1794">
        <v>192.88953258023747</v>
      </c>
      <c r="N32" s="1791">
        <v>116.3804341308639</v>
      </c>
      <c r="O32" s="1794">
        <v>120.32150128214562</v>
      </c>
      <c r="P32" s="1791">
        <v>128.82559379064432</v>
      </c>
      <c r="Q32" s="1794">
        <v>109.73495790023273</v>
      </c>
      <c r="R32" s="1791">
        <v>101.919881968607</v>
      </c>
      <c r="S32" s="1006">
        <v>110.1824605639974</v>
      </c>
    </row>
    <row r="33" spans="1:19" ht="13.15" customHeight="1">
      <c r="A33" s="1001">
        <f t="shared" si="0"/>
        <v>2005.12</v>
      </c>
      <c r="B33" s="1003">
        <v>116.02112953800398</v>
      </c>
      <c r="C33" s="1785">
        <v>100.18930154676129</v>
      </c>
      <c r="D33" s="1791">
        <v>129.20686737849783</v>
      </c>
      <c r="E33" s="1794">
        <v>118.78231087218262</v>
      </c>
      <c r="F33" s="1791">
        <v>123.70693576650422</v>
      </c>
      <c r="G33" s="1794">
        <v>93.495331358987599</v>
      </c>
      <c r="H33" s="1791">
        <v>75.914671746107203</v>
      </c>
      <c r="I33" s="1794">
        <v>144.33228508210274</v>
      </c>
      <c r="J33" s="1791">
        <v>121.08670565214574</v>
      </c>
      <c r="K33" s="1794">
        <v>120.28294269320762</v>
      </c>
      <c r="L33" s="1791">
        <v>110.98307169850241</v>
      </c>
      <c r="M33" s="1794">
        <v>147.32352797888711</v>
      </c>
      <c r="N33" s="1791">
        <v>94.537137558550498</v>
      </c>
      <c r="O33" s="1794">
        <v>99.30120818017194</v>
      </c>
      <c r="P33" s="1791">
        <v>136.91431194201553</v>
      </c>
      <c r="Q33" s="1794">
        <v>106.53428200480306</v>
      </c>
      <c r="R33" s="1791">
        <v>115.89980892449699</v>
      </c>
      <c r="S33" s="1006">
        <v>105.29974696952709</v>
      </c>
    </row>
    <row r="34" spans="1:19" ht="13.15" customHeight="1">
      <c r="A34" s="1001">
        <f t="shared" si="0"/>
        <v>2006.01</v>
      </c>
      <c r="B34" s="1003">
        <v>113.91261484514283</v>
      </c>
      <c r="C34" s="1785">
        <v>100.57278372538578</v>
      </c>
      <c r="D34" s="1791">
        <v>130.20321928215472</v>
      </c>
      <c r="E34" s="1794">
        <v>99.103802539179782</v>
      </c>
      <c r="F34" s="1791">
        <v>110.71583626800169</v>
      </c>
      <c r="G34" s="1794">
        <v>107.51969349267617</v>
      </c>
      <c r="H34" s="1791">
        <v>95.430573954858417</v>
      </c>
      <c r="I34" s="1794">
        <v>69.059436056958646</v>
      </c>
      <c r="J34" s="1791">
        <v>114.96581201194152</v>
      </c>
      <c r="K34" s="1794">
        <v>98.180464813554778</v>
      </c>
      <c r="L34" s="1791">
        <v>83.700514612370128</v>
      </c>
      <c r="M34" s="1794">
        <v>191.56388267310888</v>
      </c>
      <c r="N34" s="1791">
        <v>84.050363987398413</v>
      </c>
      <c r="O34" s="1794">
        <v>97.110440364242521</v>
      </c>
      <c r="P34" s="1791">
        <v>131.64389181660522</v>
      </c>
      <c r="Q34" s="1794">
        <v>108.51871047363167</v>
      </c>
      <c r="R34" s="1791">
        <v>107.84059990423</v>
      </c>
      <c r="S34" s="1006">
        <v>102.85015411947414</v>
      </c>
    </row>
    <row r="35" spans="1:19" ht="13.15" customHeight="1">
      <c r="A35" s="1001">
        <f t="shared" si="0"/>
        <v>2006.02</v>
      </c>
      <c r="B35" s="1003">
        <v>103.10940953242357</v>
      </c>
      <c r="C35" s="1785">
        <v>89.357824440082922</v>
      </c>
      <c r="D35" s="1791">
        <v>104.91042404612365</v>
      </c>
      <c r="E35" s="1794">
        <v>96.874429947696953</v>
      </c>
      <c r="F35" s="1791">
        <v>104.34578750281327</v>
      </c>
      <c r="G35" s="1794">
        <v>98.091444807683899</v>
      </c>
      <c r="H35" s="1791">
        <v>86.937009814561989</v>
      </c>
      <c r="I35" s="1794">
        <v>89.934170182998727</v>
      </c>
      <c r="J35" s="1791">
        <v>122.96719096454446</v>
      </c>
      <c r="K35" s="1794">
        <v>88.10406809233352</v>
      </c>
      <c r="L35" s="1791">
        <v>107.42571377192792</v>
      </c>
      <c r="M35" s="1794">
        <v>118.93282666494639</v>
      </c>
      <c r="N35" s="1791">
        <v>82.919070553681848</v>
      </c>
      <c r="O35" s="1794">
        <v>101.53136092400965</v>
      </c>
      <c r="P35" s="1791">
        <v>124.60883080736124</v>
      </c>
      <c r="Q35" s="1794">
        <v>99.98676195925411</v>
      </c>
      <c r="R35" s="1791">
        <v>130.52016468644399</v>
      </c>
      <c r="S35" s="1006">
        <v>93.827326998834053</v>
      </c>
    </row>
    <row r="36" spans="1:19" ht="13.15" customHeight="1">
      <c r="A36" s="1001">
        <f t="shared" si="0"/>
        <v>2006.03</v>
      </c>
      <c r="B36" s="1003">
        <v>115.31435066090879</v>
      </c>
      <c r="C36" s="1785">
        <v>97.614147651753385</v>
      </c>
      <c r="D36" s="1791">
        <v>120.68418538437533</v>
      </c>
      <c r="E36" s="1794">
        <v>106.48798687834396</v>
      </c>
      <c r="F36" s="1791">
        <v>129.01804417600181</v>
      </c>
      <c r="G36" s="1794">
        <v>123.16268666761398</v>
      </c>
      <c r="H36" s="1791">
        <v>97.962714334099289</v>
      </c>
      <c r="I36" s="1794">
        <v>114.85888654205449</v>
      </c>
      <c r="J36" s="1791">
        <v>109.50471762165009</v>
      </c>
      <c r="K36" s="1794">
        <v>110.9007373132378</v>
      </c>
      <c r="L36" s="1791">
        <v>72.106427010809483</v>
      </c>
      <c r="M36" s="1794">
        <v>124.97512434488222</v>
      </c>
      <c r="N36" s="1791">
        <v>106.58050210515373</v>
      </c>
      <c r="O36" s="1794">
        <v>109.67283411084472</v>
      </c>
      <c r="P36" s="1791">
        <v>146.86914638003867</v>
      </c>
      <c r="Q36" s="1794">
        <v>108.43246681910749</v>
      </c>
      <c r="R36" s="1791">
        <v>136.57590182163199</v>
      </c>
      <c r="S36" s="1006">
        <v>137.09361762414255</v>
      </c>
    </row>
    <row r="37" spans="1:19" ht="13.15" customHeight="1">
      <c r="A37" s="1001">
        <f t="shared" si="0"/>
        <v>2006.04</v>
      </c>
      <c r="B37" s="1003">
        <v>129.33982938854163</v>
      </c>
      <c r="C37" s="1785">
        <v>65.111996596955066</v>
      </c>
      <c r="D37" s="1791">
        <v>153.317099455479</v>
      </c>
      <c r="E37" s="1794">
        <v>92.758186506301271</v>
      </c>
      <c r="F37" s="1791">
        <v>116.02576677307762</v>
      </c>
      <c r="G37" s="1794">
        <v>97.707170642960847</v>
      </c>
      <c r="H37" s="1791">
        <v>86.813030118609632</v>
      </c>
      <c r="I37" s="1794">
        <v>95.834679687166613</v>
      </c>
      <c r="J37" s="1791">
        <v>115.63250739824564</v>
      </c>
      <c r="K37" s="1794">
        <v>100.45719776310705</v>
      </c>
      <c r="L37" s="1791">
        <v>131.11101254253691</v>
      </c>
      <c r="M37" s="1794">
        <v>199.36510461096097</v>
      </c>
      <c r="N37" s="1791">
        <v>112.47055602957903</v>
      </c>
      <c r="O37" s="1794">
        <v>116.55896660073329</v>
      </c>
      <c r="P37" s="1791">
        <v>150.91036765898113</v>
      </c>
      <c r="Q37" s="1794">
        <v>123.05938447441808</v>
      </c>
      <c r="R37" s="1791">
        <v>145.417935717728</v>
      </c>
      <c r="S37" s="1006">
        <v>149.35984132197143</v>
      </c>
    </row>
    <row r="38" spans="1:19" ht="13.15" customHeight="1">
      <c r="A38" s="1001">
        <f t="shared" si="0"/>
        <v>2006.05</v>
      </c>
      <c r="B38" s="1003">
        <v>142.99332041653884</v>
      </c>
      <c r="C38" s="1785">
        <v>76.145509900084306</v>
      </c>
      <c r="D38" s="1791">
        <v>169.943324880023</v>
      </c>
      <c r="E38" s="1794">
        <v>83.070534470609928</v>
      </c>
      <c r="F38" s="1791">
        <v>119.51728744185907</v>
      </c>
      <c r="G38" s="1794">
        <v>107.25984702062208</v>
      </c>
      <c r="H38" s="1791">
        <v>112.06312887349006</v>
      </c>
      <c r="I38" s="1794">
        <v>116.36172388915831</v>
      </c>
      <c r="J38" s="1791">
        <v>137.68793856271637</v>
      </c>
      <c r="K38" s="1794">
        <v>110.3876520254947</v>
      </c>
      <c r="L38" s="1791">
        <v>280.51461601985471</v>
      </c>
      <c r="M38" s="1794">
        <v>126.98735909451061</v>
      </c>
      <c r="N38" s="1791">
        <v>105.98357216072618</v>
      </c>
      <c r="O38" s="1794">
        <v>128.12092717978393</v>
      </c>
      <c r="P38" s="1791">
        <v>160.69202681611563</v>
      </c>
      <c r="Q38" s="1794">
        <v>134.82472257220709</v>
      </c>
      <c r="R38" s="1791">
        <v>140.12786010951601</v>
      </c>
      <c r="S38" s="1006">
        <v>144.9981851686602</v>
      </c>
    </row>
    <row r="39" spans="1:19" ht="13.15" customHeight="1">
      <c r="A39" s="1001">
        <f t="shared" si="0"/>
        <v>2006.06</v>
      </c>
      <c r="B39" s="1003">
        <v>120.75813663312113</v>
      </c>
      <c r="C39" s="1785">
        <v>110.17533986806549</v>
      </c>
      <c r="D39" s="1791">
        <v>158.39252851823596</v>
      </c>
      <c r="E39" s="1794">
        <v>87.809172206045417</v>
      </c>
      <c r="F39" s="1791">
        <v>124.86898868718016</v>
      </c>
      <c r="G39" s="1794">
        <v>87.63762164204077</v>
      </c>
      <c r="H39" s="1791">
        <v>75.395973082500959</v>
      </c>
      <c r="I39" s="1794">
        <v>108.14625315146434</v>
      </c>
      <c r="J39" s="1791">
        <v>126.85731691155927</v>
      </c>
      <c r="K39" s="1794">
        <v>115.09178526397797</v>
      </c>
      <c r="L39" s="1791">
        <v>95.063380094845613</v>
      </c>
      <c r="M39" s="1794">
        <v>107.7766944215299</v>
      </c>
      <c r="N39" s="1791">
        <v>84.820548904298988</v>
      </c>
      <c r="O39" s="1794">
        <v>124.14451538227812</v>
      </c>
      <c r="P39" s="1791">
        <v>155.87224332456159</v>
      </c>
      <c r="Q39" s="1794">
        <v>108.81776195616283</v>
      </c>
      <c r="R39" s="1791">
        <v>123.270270821458</v>
      </c>
      <c r="S39" s="1006">
        <v>141.78665994898719</v>
      </c>
    </row>
    <row r="40" spans="1:19" ht="13.15" customHeight="1">
      <c r="A40" s="1001">
        <f t="shared" si="0"/>
        <v>2006.07</v>
      </c>
      <c r="B40" s="1003">
        <v>127.30115459378318</v>
      </c>
      <c r="C40" s="1785">
        <v>113.37194954495718</v>
      </c>
      <c r="D40" s="1791">
        <v>158.1367477405858</v>
      </c>
      <c r="E40" s="1794">
        <v>97.711677366250782</v>
      </c>
      <c r="F40" s="1791">
        <v>124.75062104846491</v>
      </c>
      <c r="G40" s="1794">
        <v>94.915059278691913</v>
      </c>
      <c r="H40" s="1791">
        <v>57.95887963094583</v>
      </c>
      <c r="I40" s="1794">
        <v>135.03642287519463</v>
      </c>
      <c r="J40" s="1791">
        <v>125.45926977056743</v>
      </c>
      <c r="K40" s="1794">
        <v>105.71156043847711</v>
      </c>
      <c r="L40" s="1791">
        <v>139.76875409920922</v>
      </c>
      <c r="M40" s="1794">
        <v>121.62640771276946</v>
      </c>
      <c r="N40" s="1791">
        <v>107.78008505356827</v>
      </c>
      <c r="O40" s="1794">
        <v>109.88686649625718</v>
      </c>
      <c r="P40" s="1791">
        <v>174.25279637479068</v>
      </c>
      <c r="Q40" s="1794">
        <v>116.63873363207186</v>
      </c>
      <c r="R40" s="1791">
        <v>135.029267973852</v>
      </c>
      <c r="S40" s="1006">
        <v>147.79081939289932</v>
      </c>
    </row>
    <row r="41" spans="1:19" ht="13.15" customHeight="1">
      <c r="A41" s="1001">
        <f t="shared" si="0"/>
        <v>2006.08</v>
      </c>
      <c r="B41" s="1003">
        <v>137.74598848647858</v>
      </c>
      <c r="C41" s="1785">
        <v>118.91784938678757</v>
      </c>
      <c r="D41" s="1791">
        <v>143.95714944818519</v>
      </c>
      <c r="E41" s="1794">
        <v>107.55270714361664</v>
      </c>
      <c r="F41" s="1791">
        <v>124.81054240079465</v>
      </c>
      <c r="G41" s="1794">
        <v>144.35911352007955</v>
      </c>
      <c r="H41" s="1791">
        <v>65.87436879933415</v>
      </c>
      <c r="I41" s="1794">
        <v>169.84191657009015</v>
      </c>
      <c r="J41" s="1791">
        <v>145.79105587788527</v>
      </c>
      <c r="K41" s="1794">
        <v>125.9304357375582</v>
      </c>
      <c r="L41" s="1791">
        <v>133.10485936837793</v>
      </c>
      <c r="M41" s="1794">
        <v>193.25024814554749</v>
      </c>
      <c r="N41" s="1791">
        <v>106.86483094638737</v>
      </c>
      <c r="O41" s="1794">
        <v>117.77049333974895</v>
      </c>
      <c r="P41" s="1791">
        <v>182.05959599056501</v>
      </c>
      <c r="Q41" s="1794">
        <v>127.37488346930532</v>
      </c>
      <c r="R41" s="1791">
        <v>160.49930733714399</v>
      </c>
      <c r="S41" s="1006">
        <v>141.12840271415905</v>
      </c>
    </row>
    <row r="42" spans="1:19" ht="13.15" customHeight="1">
      <c r="A42" s="1001">
        <f t="shared" si="0"/>
        <v>2006.09</v>
      </c>
      <c r="B42" s="1003">
        <v>141.72344589609389</v>
      </c>
      <c r="C42" s="1785">
        <v>124.4673352271312</v>
      </c>
      <c r="D42" s="1791">
        <v>157.28404621565096</v>
      </c>
      <c r="E42" s="1794">
        <v>103.89399191850325</v>
      </c>
      <c r="F42" s="1791">
        <v>120.69779820688019</v>
      </c>
      <c r="G42" s="1794">
        <v>114.71583468582176</v>
      </c>
      <c r="H42" s="1791">
        <v>64.569349185801642</v>
      </c>
      <c r="I42" s="1794">
        <v>192.36142274862513</v>
      </c>
      <c r="J42" s="1791">
        <v>157.13529808798424</v>
      </c>
      <c r="K42" s="1794">
        <v>130.83093251823519</v>
      </c>
      <c r="L42" s="1791">
        <v>177.4631998354977</v>
      </c>
      <c r="M42" s="1794">
        <v>162.70377510426971</v>
      </c>
      <c r="N42" s="1791">
        <v>105.6514945691501</v>
      </c>
      <c r="O42" s="1794">
        <v>125.13467069986417</v>
      </c>
      <c r="P42" s="1791">
        <v>166.41730902537392</v>
      </c>
      <c r="Q42" s="1794">
        <v>130.69326065270661</v>
      </c>
      <c r="R42" s="1791">
        <v>123.107690849126</v>
      </c>
      <c r="S42" s="1006">
        <v>156.76522829662497</v>
      </c>
    </row>
    <row r="43" spans="1:19" ht="13.15" customHeight="1">
      <c r="A43" s="1001">
        <f t="shared" si="0"/>
        <v>2006.1</v>
      </c>
      <c r="B43" s="1003">
        <v>131.97878222564543</v>
      </c>
      <c r="C43" s="1785">
        <v>131.59797483224207</v>
      </c>
      <c r="D43" s="1791">
        <v>140.00361797131532</v>
      </c>
      <c r="E43" s="1794">
        <v>129.0688399196124</v>
      </c>
      <c r="F43" s="1791">
        <v>122.94705142610822</v>
      </c>
      <c r="G43" s="1794">
        <v>102.58135237290263</v>
      </c>
      <c r="H43" s="1791">
        <v>61.372974818260211</v>
      </c>
      <c r="I43" s="1794">
        <v>148.84806058274694</v>
      </c>
      <c r="J43" s="1791">
        <v>145.54584008423384</v>
      </c>
      <c r="K43" s="1794">
        <v>130.07240733291144</v>
      </c>
      <c r="L43" s="1791">
        <v>110.0660079122683</v>
      </c>
      <c r="M43" s="1794">
        <v>165.87224653134527</v>
      </c>
      <c r="N43" s="1791">
        <v>118.22878031347996</v>
      </c>
      <c r="O43" s="1794">
        <v>131.43683331680069</v>
      </c>
      <c r="P43" s="1791">
        <v>147.36901054739806</v>
      </c>
      <c r="Q43" s="1794">
        <v>125.7160517601088</v>
      </c>
      <c r="R43" s="1791">
        <v>98.313760763171899</v>
      </c>
      <c r="S43" s="1006">
        <v>150.79888434201084</v>
      </c>
    </row>
    <row r="44" spans="1:19" ht="13.15" customHeight="1">
      <c r="A44" s="1001">
        <f t="shared" si="0"/>
        <v>2006.11</v>
      </c>
      <c r="B44" s="1003">
        <v>131.89951073650968</v>
      </c>
      <c r="C44" s="1785">
        <v>109.13285432476131</v>
      </c>
      <c r="D44" s="1791">
        <v>137.33154284810323</v>
      </c>
      <c r="E44" s="1794">
        <v>83.512049612681054</v>
      </c>
      <c r="F44" s="1791">
        <v>123.72289305062465</v>
      </c>
      <c r="G44" s="1794">
        <v>102.37800329394518</v>
      </c>
      <c r="H44" s="1791">
        <v>108.12971898168624</v>
      </c>
      <c r="I44" s="1794">
        <v>125.11567838388439</v>
      </c>
      <c r="J44" s="1791">
        <v>170.09901699892976</v>
      </c>
      <c r="K44" s="1794">
        <v>131.72720401906167</v>
      </c>
      <c r="L44" s="1791">
        <v>130.6448136575184</v>
      </c>
      <c r="M44" s="1794">
        <v>121.22252922649892</v>
      </c>
      <c r="N44" s="1791">
        <v>105.59053359489732</v>
      </c>
      <c r="O44" s="1794">
        <v>154.27492971184631</v>
      </c>
      <c r="P44" s="1791">
        <v>153.35374312397406</v>
      </c>
      <c r="Q44" s="1794">
        <v>123.36256015937224</v>
      </c>
      <c r="R44" s="1791">
        <v>161.522960793431</v>
      </c>
      <c r="S44" s="1006">
        <v>156.29510404773717</v>
      </c>
    </row>
    <row r="45" spans="1:19" ht="13.15" customHeight="1">
      <c r="A45" s="1001">
        <f t="shared" si="0"/>
        <v>2006.12</v>
      </c>
      <c r="B45" s="1003">
        <v>128.21023653764493</v>
      </c>
      <c r="C45" s="1785">
        <v>95.7239277768698</v>
      </c>
      <c r="D45" s="1791">
        <v>135.62786122839179</v>
      </c>
      <c r="E45" s="1794">
        <v>121.7745284113487</v>
      </c>
      <c r="F45" s="1791">
        <v>131.43407273928875</v>
      </c>
      <c r="G45" s="1794">
        <v>161.27602571460511</v>
      </c>
      <c r="H45" s="1791">
        <v>94.238452008354301</v>
      </c>
      <c r="I45" s="1794">
        <v>122.73362710950704</v>
      </c>
      <c r="J45" s="1791">
        <v>133.74125455354638</v>
      </c>
      <c r="K45" s="1794">
        <v>106.99229347476781</v>
      </c>
      <c r="L45" s="1791">
        <v>83.768538045696374</v>
      </c>
      <c r="M45" s="1794">
        <v>160.09728723308407</v>
      </c>
      <c r="N45" s="1791">
        <v>80.375885544643182</v>
      </c>
      <c r="O45" s="1794">
        <v>135.83949583819532</v>
      </c>
      <c r="P45" s="1791">
        <v>150.92594307915624</v>
      </c>
      <c r="Q45" s="1794">
        <v>125.10120583235468</v>
      </c>
      <c r="R45" s="1791">
        <v>154.43031927955701</v>
      </c>
      <c r="S45" s="1006">
        <v>136.73001808383046</v>
      </c>
    </row>
    <row r="46" spans="1:19" ht="13.15" customHeight="1">
      <c r="A46" s="1001">
        <f t="shared" si="0"/>
        <v>2007.01</v>
      </c>
      <c r="B46" s="1003">
        <v>119.93914723367149</v>
      </c>
      <c r="C46" s="1785">
        <v>98.253805277273031</v>
      </c>
      <c r="D46" s="1791">
        <v>127.9270730953377</v>
      </c>
      <c r="E46" s="1794">
        <v>94.750322745044585</v>
      </c>
      <c r="F46" s="1791">
        <v>117.07068325471768</v>
      </c>
      <c r="G46" s="1794">
        <v>95.897663860662959</v>
      </c>
      <c r="H46" s="1791">
        <v>79.109313282892074</v>
      </c>
      <c r="I46" s="1794">
        <v>91.518715294990329</v>
      </c>
      <c r="J46" s="1791">
        <v>142.01813927319475</v>
      </c>
      <c r="K46" s="1794">
        <v>119.26962030811137</v>
      </c>
      <c r="L46" s="1791">
        <v>93.36496469016393</v>
      </c>
      <c r="M46" s="1794">
        <v>135.96252420650902</v>
      </c>
      <c r="N46" s="1791">
        <v>113.92925312770861</v>
      </c>
      <c r="O46" s="1794">
        <v>132.46574921418249</v>
      </c>
      <c r="P46" s="1791">
        <v>150.40855130839665</v>
      </c>
      <c r="Q46" s="1794">
        <v>107.17273011702204</v>
      </c>
      <c r="R46" s="1791">
        <v>132.36407630137899</v>
      </c>
      <c r="S46" s="1006">
        <v>141.96925104272879</v>
      </c>
    </row>
    <row r="47" spans="1:19" ht="13.15" customHeight="1">
      <c r="A47" s="1001">
        <f t="shared" si="0"/>
        <v>2007.02</v>
      </c>
      <c r="B47" s="1003">
        <v>113.90164068166482</v>
      </c>
      <c r="C47" s="1785">
        <v>100.15503861140861</v>
      </c>
      <c r="D47" s="1791">
        <v>106.72427719596243</v>
      </c>
      <c r="E47" s="1794">
        <v>67.373031660104814</v>
      </c>
      <c r="F47" s="1791">
        <v>118.78765428895902</v>
      </c>
      <c r="G47" s="1794">
        <v>102.61764582255665</v>
      </c>
      <c r="H47" s="1791">
        <v>87.372461647809885</v>
      </c>
      <c r="I47" s="1794">
        <v>107.38505465826633</v>
      </c>
      <c r="J47" s="1791">
        <v>123.526663187097</v>
      </c>
      <c r="K47" s="1794">
        <v>115.81590379008318</v>
      </c>
      <c r="L47" s="1791">
        <v>94.007095848866101</v>
      </c>
      <c r="M47" s="1794">
        <v>134.08905643442247</v>
      </c>
      <c r="N47" s="1791">
        <v>94.690247494642549</v>
      </c>
      <c r="O47" s="1794">
        <v>150.27058998337162</v>
      </c>
      <c r="P47" s="1791">
        <v>147.57938518657681</v>
      </c>
      <c r="Q47" s="1794">
        <v>107.96083852303464</v>
      </c>
      <c r="R47" s="1791">
        <v>119.56938635190799</v>
      </c>
      <c r="S47" s="1006">
        <v>132.59537513187033</v>
      </c>
    </row>
    <row r="48" spans="1:19" ht="13.15" customHeight="1">
      <c r="A48" s="1001">
        <f t="shared" si="0"/>
        <v>2007.03</v>
      </c>
      <c r="B48" s="1003">
        <v>130.79617233377326</v>
      </c>
      <c r="C48" s="1785">
        <v>111.75550613707556</v>
      </c>
      <c r="D48" s="1791">
        <v>130.6310837159682</v>
      </c>
      <c r="E48" s="1794">
        <v>66.536954506673098</v>
      </c>
      <c r="F48" s="1791">
        <v>133.26552939060721</v>
      </c>
      <c r="G48" s="1794">
        <v>117.98271288055618</v>
      </c>
      <c r="H48" s="1791">
        <v>91.310543566637776</v>
      </c>
      <c r="I48" s="1794">
        <v>109.98002495880883</v>
      </c>
      <c r="J48" s="1791">
        <v>157.54322361912259</v>
      </c>
      <c r="K48" s="1794">
        <v>123.64354345588461</v>
      </c>
      <c r="L48" s="1791">
        <v>131.20392741239493</v>
      </c>
      <c r="M48" s="1794">
        <v>124.13739241607554</v>
      </c>
      <c r="N48" s="1791">
        <v>104.60531152033812</v>
      </c>
      <c r="O48" s="1794">
        <v>158.16816207793647</v>
      </c>
      <c r="P48" s="1791">
        <v>178.43624751698007</v>
      </c>
      <c r="Q48" s="1794">
        <v>117.07352573462302</v>
      </c>
      <c r="R48" s="1791">
        <v>132.74898010577601</v>
      </c>
      <c r="S48" s="1006">
        <v>161.74224713733625</v>
      </c>
    </row>
    <row r="49" spans="1:19" ht="13.15" customHeight="1">
      <c r="A49" s="1001">
        <f t="shared" si="0"/>
        <v>2007.04</v>
      </c>
      <c r="B49" s="1003">
        <v>127.41354669425496</v>
      </c>
      <c r="C49" s="1785">
        <v>104.24940722359922</v>
      </c>
      <c r="D49" s="1791">
        <v>161.67547390898056</v>
      </c>
      <c r="E49" s="1794">
        <v>53.287093433282756</v>
      </c>
      <c r="F49" s="1791">
        <v>126.76460419988828</v>
      </c>
      <c r="G49" s="1794">
        <v>113.38694705570023</v>
      </c>
      <c r="H49" s="1791">
        <v>88.508792145326794</v>
      </c>
      <c r="I49" s="1794">
        <v>140.22956647386093</v>
      </c>
      <c r="J49" s="1791">
        <v>135.67501879288284</v>
      </c>
      <c r="K49" s="1794">
        <v>121.38292839668226</v>
      </c>
      <c r="L49" s="1791">
        <v>118.85639382374727</v>
      </c>
      <c r="M49" s="1794">
        <v>110.83073673885713</v>
      </c>
      <c r="N49" s="1791">
        <v>107.52107579946032</v>
      </c>
      <c r="O49" s="1794">
        <v>130.72348949354136</v>
      </c>
      <c r="P49" s="1791">
        <v>166.3915980637895</v>
      </c>
      <c r="Q49" s="1794">
        <v>112.18486812508614</v>
      </c>
      <c r="R49" s="1791">
        <v>180.677136235803</v>
      </c>
      <c r="S49" s="1006">
        <v>144.92111143483115</v>
      </c>
    </row>
    <row r="50" spans="1:19" ht="13.15" customHeight="1">
      <c r="A50" s="1001">
        <f t="shared" si="0"/>
        <v>2007.05</v>
      </c>
      <c r="B50" s="1003">
        <v>145.13185586363497</v>
      </c>
      <c r="C50" s="1785">
        <v>107.38976064357371</v>
      </c>
      <c r="D50" s="1791">
        <v>177.7015731645659</v>
      </c>
      <c r="E50" s="1794">
        <v>60.448550839791153</v>
      </c>
      <c r="F50" s="1791">
        <v>138.10438878928377</v>
      </c>
      <c r="G50" s="1794">
        <v>132.12476499138509</v>
      </c>
      <c r="H50" s="1791">
        <v>107.26549598531143</v>
      </c>
      <c r="I50" s="1794">
        <v>116.9442101075838</v>
      </c>
      <c r="J50" s="1791">
        <v>147.41162109560418</v>
      </c>
      <c r="K50" s="1794">
        <v>135.01999888322737</v>
      </c>
      <c r="L50" s="1791">
        <v>120.38288531529619</v>
      </c>
      <c r="M50" s="1794">
        <v>182.18385375945951</v>
      </c>
      <c r="N50" s="1791">
        <v>116.10353289312587</v>
      </c>
      <c r="O50" s="1794">
        <v>167.95860822891044</v>
      </c>
      <c r="P50" s="1791">
        <v>188.14133851361316</v>
      </c>
      <c r="Q50" s="1794">
        <v>135.47322266037366</v>
      </c>
      <c r="R50" s="1791">
        <v>162.00030534222199</v>
      </c>
      <c r="S50" s="1006">
        <v>156.81177149732537</v>
      </c>
    </row>
    <row r="51" spans="1:19" ht="13.15" customHeight="1">
      <c r="A51" s="1001">
        <f t="shared" si="0"/>
        <v>2007.06</v>
      </c>
      <c r="B51" s="1003">
        <v>137.47081884172104</v>
      </c>
      <c r="C51" s="1785">
        <v>102.47754198996819</v>
      </c>
      <c r="D51" s="1791">
        <v>169.69882243789237</v>
      </c>
      <c r="E51" s="1794">
        <v>50.504638525969078</v>
      </c>
      <c r="F51" s="1791">
        <v>142.46149348806486</v>
      </c>
      <c r="G51" s="1794">
        <v>107.31188518405554</v>
      </c>
      <c r="H51" s="1791">
        <v>92.37882285115127</v>
      </c>
      <c r="I51" s="1794">
        <v>149.87590893541352</v>
      </c>
      <c r="J51" s="1791">
        <v>149.78283219141488</v>
      </c>
      <c r="K51" s="1794">
        <v>102.992543168621</v>
      </c>
      <c r="L51" s="1791">
        <v>108.23428676292657</v>
      </c>
      <c r="M51" s="1794">
        <v>163.05487211880478</v>
      </c>
      <c r="N51" s="1791">
        <v>101.97433301970403</v>
      </c>
      <c r="O51" s="1794">
        <v>154.90929889227706</v>
      </c>
      <c r="P51" s="1791">
        <v>198.50859453176059</v>
      </c>
      <c r="Q51" s="1794">
        <v>124.23646390082936</v>
      </c>
      <c r="R51" s="1791">
        <v>169.360513326275</v>
      </c>
      <c r="S51" s="1006">
        <v>160.87474541290615</v>
      </c>
    </row>
    <row r="52" spans="1:19" ht="13.15" customHeight="1">
      <c r="A52" s="1001">
        <f t="shared" si="0"/>
        <v>2007.07</v>
      </c>
      <c r="B52" s="1003">
        <v>162.30093078534722</v>
      </c>
      <c r="C52" s="1785">
        <v>115.69420879503902</v>
      </c>
      <c r="D52" s="1791">
        <v>148.36828454884358</v>
      </c>
      <c r="E52" s="1794">
        <v>55.793988852969719</v>
      </c>
      <c r="F52" s="1791">
        <v>135.26983809906628</v>
      </c>
      <c r="G52" s="1794">
        <v>108.40604859500729</v>
      </c>
      <c r="H52" s="1791">
        <v>109.36700427521248</v>
      </c>
      <c r="I52" s="1794">
        <v>139.72299208927589</v>
      </c>
      <c r="J52" s="1791">
        <v>153.33390981215928</v>
      </c>
      <c r="K52" s="1794">
        <v>136.85854858583502</v>
      </c>
      <c r="L52" s="1791">
        <v>386.75160073241267</v>
      </c>
      <c r="M52" s="1794">
        <v>187.34504229532104</v>
      </c>
      <c r="N52" s="1791">
        <v>105.50166802069811</v>
      </c>
      <c r="O52" s="1794">
        <v>164.34074817698388</v>
      </c>
      <c r="P52" s="1791">
        <v>208.57744233904933</v>
      </c>
      <c r="Q52" s="1794">
        <v>152.0474594325978</v>
      </c>
      <c r="R52" s="1791">
        <v>158.55483118700201</v>
      </c>
      <c r="S52" s="1006">
        <v>145.79881687265635</v>
      </c>
    </row>
    <row r="53" spans="1:19" ht="13.15" customHeight="1">
      <c r="A53" s="1001">
        <f t="shared" si="0"/>
        <v>2007.08</v>
      </c>
      <c r="B53" s="1003">
        <v>150.84209756584488</v>
      </c>
      <c r="C53" s="1785">
        <v>123.73421949127288</v>
      </c>
      <c r="D53" s="1791">
        <v>158.63738711833037</v>
      </c>
      <c r="E53" s="1794">
        <v>67.031961839558136</v>
      </c>
      <c r="F53" s="1791">
        <v>141.17128839088613</v>
      </c>
      <c r="G53" s="1794">
        <v>109.88795319097335</v>
      </c>
      <c r="H53" s="1791">
        <v>111.05971439918056</v>
      </c>
      <c r="I53" s="1794">
        <v>180.18405288423133</v>
      </c>
      <c r="J53" s="1791">
        <v>192.05733117337959</v>
      </c>
      <c r="K53" s="1794">
        <v>141.63403701379249</v>
      </c>
      <c r="L53" s="1791">
        <v>153.17862661458352</v>
      </c>
      <c r="M53" s="1794">
        <v>184.81985442856376</v>
      </c>
      <c r="N53" s="1791">
        <v>122.34914216077743</v>
      </c>
      <c r="O53" s="1794">
        <v>169.12431990163122</v>
      </c>
      <c r="P53" s="1791">
        <v>198.13443769717276</v>
      </c>
      <c r="Q53" s="1794">
        <v>139.86431010986621</v>
      </c>
      <c r="R53" s="1791">
        <v>215.233509069685</v>
      </c>
      <c r="S53" s="1006">
        <v>156.56356380771317</v>
      </c>
    </row>
    <row r="54" spans="1:19" ht="13.15" customHeight="1">
      <c r="A54" s="1001">
        <f t="shared" si="0"/>
        <v>2007.09</v>
      </c>
      <c r="B54" s="1003">
        <v>158.88505024351664</v>
      </c>
      <c r="C54" s="1785">
        <v>103.92403236067324</v>
      </c>
      <c r="D54" s="1791">
        <v>185.25040056640989</v>
      </c>
      <c r="E54" s="1794">
        <v>65.165928430602648</v>
      </c>
      <c r="F54" s="1791">
        <v>126.37934501971252</v>
      </c>
      <c r="G54" s="1794">
        <v>109.58205347828978</v>
      </c>
      <c r="H54" s="1791">
        <v>127.64148660463775</v>
      </c>
      <c r="I54" s="1794">
        <v>290.32589254225741</v>
      </c>
      <c r="J54" s="1791">
        <v>167.15412092275312</v>
      </c>
      <c r="K54" s="1794">
        <v>142.73229432461932</v>
      </c>
      <c r="L54" s="1791">
        <v>248.01633668615634</v>
      </c>
      <c r="M54" s="1794">
        <v>168.75081075039375</v>
      </c>
      <c r="N54" s="1791">
        <v>101.87441627222282</v>
      </c>
      <c r="O54" s="1794">
        <v>181.6923190789561</v>
      </c>
      <c r="P54" s="1791">
        <v>179.40313740472473</v>
      </c>
      <c r="Q54" s="1794">
        <v>139.03614802553139</v>
      </c>
      <c r="R54" s="1791">
        <v>141.58498377657401</v>
      </c>
      <c r="S54" s="1006">
        <v>155.05527643553674</v>
      </c>
    </row>
    <row r="55" spans="1:19" ht="13.15" customHeight="1">
      <c r="A55" s="1001">
        <f t="shared" si="0"/>
        <v>2007.1</v>
      </c>
      <c r="B55" s="1003">
        <v>157.43084160085434</v>
      </c>
      <c r="C55" s="1785">
        <v>98.935645917209058</v>
      </c>
      <c r="D55" s="1791">
        <v>189.48761186142548</v>
      </c>
      <c r="E55" s="1794">
        <v>76.396152736253796</v>
      </c>
      <c r="F55" s="1791">
        <v>145.89818171637913</v>
      </c>
      <c r="G55" s="1794">
        <v>114.82570520486559</v>
      </c>
      <c r="H55" s="1791">
        <v>95.717561026898522</v>
      </c>
      <c r="I55" s="1794">
        <v>135.10562934227192</v>
      </c>
      <c r="J55" s="1791">
        <v>197.63153628058316</v>
      </c>
      <c r="K55" s="1794">
        <v>148.66214377105348</v>
      </c>
      <c r="L55" s="1791">
        <v>170.73000535868132</v>
      </c>
      <c r="M55" s="1794">
        <v>155.98526055918182</v>
      </c>
      <c r="N55" s="1791">
        <v>116.61311422381219</v>
      </c>
      <c r="O55" s="1794">
        <v>175.24620281509169</v>
      </c>
      <c r="P55" s="1791">
        <v>201.97566392931654</v>
      </c>
      <c r="Q55" s="1794">
        <v>142.81718614260691</v>
      </c>
      <c r="R55" s="1791">
        <v>189.952029807793</v>
      </c>
      <c r="S55" s="1006">
        <v>182.99493276789525</v>
      </c>
    </row>
    <row r="56" spans="1:19" ht="13.15" customHeight="1">
      <c r="A56" s="1001">
        <f t="shared" si="0"/>
        <v>2007.11</v>
      </c>
      <c r="B56" s="1003">
        <v>162.09233325380276</v>
      </c>
      <c r="C56" s="1785">
        <v>107.4630923077232</v>
      </c>
      <c r="D56" s="1791">
        <v>179.33016481358172</v>
      </c>
      <c r="E56" s="1794">
        <v>63.444138826056246</v>
      </c>
      <c r="F56" s="1791">
        <v>138.77249158759875</v>
      </c>
      <c r="G56" s="1794">
        <v>105.83789414967092</v>
      </c>
      <c r="H56" s="1791">
        <v>92.281489320472588</v>
      </c>
      <c r="I56" s="1794">
        <v>134.35696397699269</v>
      </c>
      <c r="J56" s="1791">
        <v>199.8913073717323</v>
      </c>
      <c r="K56" s="1794">
        <v>145.31439588787435</v>
      </c>
      <c r="L56" s="1791">
        <v>184.98261427360927</v>
      </c>
      <c r="M56" s="1794">
        <v>235.21075102323366</v>
      </c>
      <c r="N56" s="1791">
        <v>125.06420977763172</v>
      </c>
      <c r="O56" s="1794">
        <v>190.94822737390237</v>
      </c>
      <c r="P56" s="1791">
        <v>188.21289226524311</v>
      </c>
      <c r="Q56" s="1794">
        <v>146.01867721733862</v>
      </c>
      <c r="R56" s="1791">
        <v>227.466845627005</v>
      </c>
      <c r="S56" s="1006">
        <v>165.84354622462772</v>
      </c>
    </row>
    <row r="57" spans="1:19" ht="13.15" customHeight="1">
      <c r="A57" s="1001">
        <f t="shared" si="0"/>
        <v>2007.12</v>
      </c>
      <c r="B57" s="1003">
        <v>145.85788637941005</v>
      </c>
      <c r="C57" s="1785">
        <v>107.09007443074147</v>
      </c>
      <c r="D57" s="1791">
        <v>188.06250512904569</v>
      </c>
      <c r="E57" s="1794">
        <v>79.768442191796723</v>
      </c>
      <c r="F57" s="1791">
        <v>149.02817344334733</v>
      </c>
      <c r="G57" s="1794">
        <v>95.09057791294893</v>
      </c>
      <c r="H57" s="1791">
        <v>85.167937586611487</v>
      </c>
      <c r="I57" s="1794">
        <v>116.43709405805237</v>
      </c>
      <c r="J57" s="1791">
        <v>146.89057803533956</v>
      </c>
      <c r="K57" s="1794">
        <v>127.48044230911989</v>
      </c>
      <c r="L57" s="1791">
        <v>167.6424990766601</v>
      </c>
      <c r="M57" s="1794">
        <v>182.75498926988612</v>
      </c>
      <c r="N57" s="1791">
        <v>102.51628756350611</v>
      </c>
      <c r="O57" s="1794">
        <v>165.7557270312054</v>
      </c>
      <c r="P57" s="1791">
        <v>142.63963057259582</v>
      </c>
      <c r="Q57" s="1794">
        <v>127.98687998513289</v>
      </c>
      <c r="R57" s="1791">
        <v>147.762660038262</v>
      </c>
      <c r="S57" s="1006">
        <v>141.68556451825415</v>
      </c>
    </row>
    <row r="58" spans="1:19" ht="13.15" customHeight="1">
      <c r="A58" s="1001">
        <f t="shared" si="0"/>
        <v>2008.01</v>
      </c>
      <c r="B58" s="1003">
        <v>142.49023195578852</v>
      </c>
      <c r="C58" s="1785">
        <v>106.60041515233806</v>
      </c>
      <c r="D58" s="1791">
        <v>154.4847039800504</v>
      </c>
      <c r="E58" s="1794">
        <v>83.749621190589465</v>
      </c>
      <c r="F58" s="1791">
        <v>142.56465234655761</v>
      </c>
      <c r="G58" s="1794">
        <v>80.751774794282056</v>
      </c>
      <c r="H58" s="1791">
        <v>92.932371155863194</v>
      </c>
      <c r="I58" s="1794">
        <v>76.613441100258683</v>
      </c>
      <c r="J58" s="1791">
        <v>156.0291986992288</v>
      </c>
      <c r="K58" s="1794">
        <v>134.89762693581403</v>
      </c>
      <c r="L58" s="1791">
        <v>226.12127341104863</v>
      </c>
      <c r="M58" s="1794">
        <v>140.33157851612333</v>
      </c>
      <c r="N58" s="1791">
        <v>117.86242619090528</v>
      </c>
      <c r="O58" s="1794">
        <v>160.24341636081115</v>
      </c>
      <c r="P58" s="1791">
        <v>137.83212028537736</v>
      </c>
      <c r="Q58" s="1794">
        <v>130.15530503624572</v>
      </c>
      <c r="R58" s="1791">
        <v>163.809781266274</v>
      </c>
      <c r="S58" s="1006">
        <v>150.84262234007019</v>
      </c>
    </row>
    <row r="59" spans="1:19" ht="13.15" customHeight="1">
      <c r="A59" s="1001">
        <f t="shared" si="0"/>
        <v>2008.02</v>
      </c>
      <c r="B59" s="1003">
        <v>130.73448207332279</v>
      </c>
      <c r="C59" s="1785">
        <v>104.74085483582145</v>
      </c>
      <c r="D59" s="1791">
        <v>114.42554020630153</v>
      </c>
      <c r="E59" s="1794">
        <v>71.278955265706571</v>
      </c>
      <c r="F59" s="1791">
        <v>149.66463941026092</v>
      </c>
      <c r="G59" s="1794">
        <v>94.935096593243102</v>
      </c>
      <c r="H59" s="1791">
        <v>90.300662580618294</v>
      </c>
      <c r="I59" s="1794">
        <v>79.881881474975941</v>
      </c>
      <c r="J59" s="1791">
        <v>168.3754395513125</v>
      </c>
      <c r="K59" s="1794">
        <v>128.76377107477691</v>
      </c>
      <c r="L59" s="1791">
        <v>134.05864521882162</v>
      </c>
      <c r="M59" s="1794">
        <v>176.23409790581624</v>
      </c>
      <c r="N59" s="1791">
        <v>118.1112917884231</v>
      </c>
      <c r="O59" s="1794">
        <v>143.36048684439612</v>
      </c>
      <c r="P59" s="1791">
        <v>159.13707051607568</v>
      </c>
      <c r="Q59" s="1794">
        <v>118.9219653089477</v>
      </c>
      <c r="R59" s="1791">
        <v>161.62827207583501</v>
      </c>
      <c r="S59" s="1006">
        <v>147.96215723884612</v>
      </c>
    </row>
    <row r="60" spans="1:19" ht="13.15" customHeight="1">
      <c r="A60" s="1001">
        <f t="shared" si="0"/>
        <v>2008.03</v>
      </c>
      <c r="B60" s="1003">
        <v>119.57185744286606</v>
      </c>
      <c r="C60" s="1785">
        <v>75.124672823476203</v>
      </c>
      <c r="D60" s="1791">
        <v>68.436227616399464</v>
      </c>
      <c r="E60" s="1794">
        <v>58.122548312908002</v>
      </c>
      <c r="F60" s="1791">
        <v>144.85745571827007</v>
      </c>
      <c r="G60" s="1794">
        <v>76.479300695597999</v>
      </c>
      <c r="H60" s="1791">
        <v>96.046283857613304</v>
      </c>
      <c r="I60" s="1794">
        <v>115.18360523557664</v>
      </c>
      <c r="J60" s="1791">
        <v>154.05264867766886</v>
      </c>
      <c r="K60" s="1794">
        <v>116.77330563468396</v>
      </c>
      <c r="L60" s="1791">
        <v>183.7312796863861</v>
      </c>
      <c r="M60" s="1794">
        <v>141.31159924533915</v>
      </c>
      <c r="N60" s="1791">
        <v>95.709396313330984</v>
      </c>
      <c r="O60" s="1794">
        <v>149.9857383027981</v>
      </c>
      <c r="P60" s="1791">
        <v>166.41012345982287</v>
      </c>
      <c r="Q60" s="1794">
        <v>109.43564008922371</v>
      </c>
      <c r="R60" s="1791">
        <v>138.64231017962899</v>
      </c>
      <c r="S60" s="1006">
        <v>148.06662133494012</v>
      </c>
    </row>
    <row r="61" spans="1:19" ht="13.15" customHeight="1">
      <c r="A61" s="1001">
        <f t="shared" si="0"/>
        <v>2008.04</v>
      </c>
      <c r="B61" s="1003">
        <v>161.92863585672586</v>
      </c>
      <c r="C61" s="1785">
        <v>92.171721327916643</v>
      </c>
      <c r="D61" s="1791">
        <v>158.20578302589729</v>
      </c>
      <c r="E61" s="1794">
        <v>82.678940524912704</v>
      </c>
      <c r="F61" s="1791">
        <v>164.23171228800223</v>
      </c>
      <c r="G61" s="1794">
        <v>115.9134620986452</v>
      </c>
      <c r="H61" s="1791">
        <v>108.79156658843772</v>
      </c>
      <c r="I61" s="1794">
        <v>131.62645876912012</v>
      </c>
      <c r="J61" s="1791">
        <v>174.30893639710129</v>
      </c>
      <c r="K61" s="1794">
        <v>128.93690423093048</v>
      </c>
      <c r="L61" s="1791">
        <v>207.8848786567811</v>
      </c>
      <c r="M61" s="1794">
        <v>278.05425066151076</v>
      </c>
      <c r="N61" s="1791">
        <v>105.1103178114906</v>
      </c>
      <c r="O61" s="1794">
        <v>161.60031006757947</v>
      </c>
      <c r="P61" s="1791">
        <v>201.33688166716169</v>
      </c>
      <c r="Q61" s="1794">
        <v>141.8712160230867</v>
      </c>
      <c r="R61" s="1791">
        <v>188.660738448334</v>
      </c>
      <c r="S61" s="1006">
        <v>161.9521613366357</v>
      </c>
    </row>
    <row r="62" spans="1:19" ht="13.15" customHeight="1">
      <c r="A62" s="1001">
        <f t="shared" si="0"/>
        <v>2008.05</v>
      </c>
      <c r="B62" s="1003">
        <v>168.53622647591021</v>
      </c>
      <c r="C62" s="1785">
        <v>94.739466357728077</v>
      </c>
      <c r="D62" s="1791">
        <v>181.86321961160084</v>
      </c>
      <c r="E62" s="1794">
        <v>80.877897428200171</v>
      </c>
      <c r="F62" s="1791">
        <v>159.39545991335302</v>
      </c>
      <c r="G62" s="1794">
        <v>100.36695112219336</v>
      </c>
      <c r="H62" s="1791">
        <v>109.47188025651596</v>
      </c>
      <c r="I62" s="1794">
        <v>115.45909432138515</v>
      </c>
      <c r="J62" s="1791">
        <v>159.08013464564405</v>
      </c>
      <c r="K62" s="1794">
        <v>126.50854493690808</v>
      </c>
      <c r="L62" s="1791">
        <v>267.82075403624572</v>
      </c>
      <c r="M62" s="1794">
        <v>249.90709137193133</v>
      </c>
      <c r="N62" s="1791">
        <v>150.09523757847606</v>
      </c>
      <c r="O62" s="1794">
        <v>181.97140128378899</v>
      </c>
      <c r="P62" s="1791">
        <v>204.72087997372347</v>
      </c>
      <c r="Q62" s="1794">
        <v>151.81108189642941</v>
      </c>
      <c r="R62" s="1791">
        <v>145.20569904828099</v>
      </c>
      <c r="S62" s="1006">
        <v>167.92592055093843</v>
      </c>
    </row>
    <row r="63" spans="1:19" ht="13.15" customHeight="1">
      <c r="A63" s="1001">
        <f t="shared" si="0"/>
        <v>2008.06</v>
      </c>
      <c r="B63" s="1003">
        <v>134.65963652621645</v>
      </c>
      <c r="C63" s="1785">
        <v>89.53036522384906</v>
      </c>
      <c r="D63" s="1791">
        <v>103.75593800655123</v>
      </c>
      <c r="E63" s="1794">
        <v>58.389543369513603</v>
      </c>
      <c r="F63" s="1791">
        <v>148.92626997110972</v>
      </c>
      <c r="G63" s="1794">
        <v>94.047525615046652</v>
      </c>
      <c r="H63" s="1791">
        <v>103.98220070076304</v>
      </c>
      <c r="I63" s="1794">
        <v>137.48974098167849</v>
      </c>
      <c r="J63" s="1791">
        <v>153.11124308467114</v>
      </c>
      <c r="K63" s="1794">
        <v>125.18288074848678</v>
      </c>
      <c r="L63" s="1791">
        <v>271.34344945204123</v>
      </c>
      <c r="M63" s="1794">
        <v>118.21091756332365</v>
      </c>
      <c r="N63" s="1791">
        <v>115.76433234860383</v>
      </c>
      <c r="O63" s="1794">
        <v>150.00329283756153</v>
      </c>
      <c r="P63" s="1791">
        <v>169.46018207366842</v>
      </c>
      <c r="Q63" s="1794">
        <v>122.00055499409484</v>
      </c>
      <c r="R63" s="1791">
        <v>105.01193581112101</v>
      </c>
      <c r="S63" s="1006">
        <v>153.45791554610145</v>
      </c>
    </row>
    <row r="64" spans="1:19" ht="13.15" customHeight="1">
      <c r="A64" s="1001">
        <f t="shared" si="0"/>
        <v>2008.07</v>
      </c>
      <c r="B64" s="1003">
        <v>163.20453578385644</v>
      </c>
      <c r="C64" s="1785">
        <v>112.06351544486469</v>
      </c>
      <c r="D64" s="1791">
        <v>188.94761702868394</v>
      </c>
      <c r="E64" s="1794">
        <v>77.256796667482774</v>
      </c>
      <c r="F64" s="1791">
        <v>172.55691449827935</v>
      </c>
      <c r="G64" s="1794">
        <v>97.094089988919691</v>
      </c>
      <c r="H64" s="1791">
        <v>128.55227494950677</v>
      </c>
      <c r="I64" s="1794">
        <v>193.50684644212231</v>
      </c>
      <c r="J64" s="1791">
        <v>172.44926687758405</v>
      </c>
      <c r="K64" s="1794">
        <v>122.22526155311269</v>
      </c>
      <c r="L64" s="1791">
        <v>135.6047005628196</v>
      </c>
      <c r="M64" s="1794">
        <v>236.10829789872295</v>
      </c>
      <c r="N64" s="1791">
        <v>138.82035026560982</v>
      </c>
      <c r="O64" s="1794">
        <v>186.39226563693791</v>
      </c>
      <c r="P64" s="1791">
        <v>214.97872262420259</v>
      </c>
      <c r="Q64" s="1794">
        <v>136.85283022577104</v>
      </c>
      <c r="R64" s="1791">
        <v>194.703214426459</v>
      </c>
      <c r="S64" s="1006">
        <v>178.03389917556737</v>
      </c>
    </row>
    <row r="65" spans="1:19" ht="13.15" customHeight="1">
      <c r="A65" s="1001">
        <f t="shared" si="0"/>
        <v>2008.08</v>
      </c>
      <c r="B65" s="1003">
        <v>152.65301950186779</v>
      </c>
      <c r="C65" s="1785">
        <v>116.50354217726694</v>
      </c>
      <c r="D65" s="1791">
        <v>164.83228002088865</v>
      </c>
      <c r="E65" s="1794">
        <v>71.274028805472483</v>
      </c>
      <c r="F65" s="1791">
        <v>158.17416746091988</v>
      </c>
      <c r="G65" s="1794">
        <v>90.010477147368789</v>
      </c>
      <c r="H65" s="1791">
        <v>106.28257741171946</v>
      </c>
      <c r="I65" s="1794">
        <v>219.17440242988081</v>
      </c>
      <c r="J65" s="1791">
        <v>192.39896128950068</v>
      </c>
      <c r="K65" s="1794">
        <v>124.16565854142827</v>
      </c>
      <c r="L65" s="1791">
        <v>127.22918850879931</v>
      </c>
      <c r="M65" s="1794">
        <v>179.14872559497354</v>
      </c>
      <c r="N65" s="1791">
        <v>119.56597240839922</v>
      </c>
      <c r="O65" s="1794">
        <v>202.404619135519</v>
      </c>
      <c r="P65" s="1791">
        <v>191.69065508700564</v>
      </c>
      <c r="Q65" s="1794">
        <v>134.70529620010171</v>
      </c>
      <c r="R65" s="1791">
        <v>178.44598483033599</v>
      </c>
      <c r="S65" s="1006">
        <v>178.61219397991601</v>
      </c>
    </row>
    <row r="66" spans="1:19" ht="13.15" customHeight="1">
      <c r="A66" s="1001">
        <f t="shared" si="0"/>
        <v>2008.09</v>
      </c>
      <c r="B66" s="1003">
        <v>165.51394778700356</v>
      </c>
      <c r="C66" s="1785">
        <v>132.10360356720133</v>
      </c>
      <c r="D66" s="1791">
        <v>173.22235253316609</v>
      </c>
      <c r="E66" s="1794">
        <v>75.374569112863725</v>
      </c>
      <c r="F66" s="1791">
        <v>164.17948728012888</v>
      </c>
      <c r="G66" s="1794">
        <v>87.147655985037105</v>
      </c>
      <c r="H66" s="1791">
        <v>110.00209614286661</v>
      </c>
      <c r="I66" s="1794">
        <v>240.64636660834543</v>
      </c>
      <c r="J66" s="1791">
        <v>191.38775484668082</v>
      </c>
      <c r="K66" s="1794">
        <v>129.87067383782372</v>
      </c>
      <c r="L66" s="1791">
        <v>189.91182528779731</v>
      </c>
      <c r="M66" s="1794">
        <v>233.40892965634916</v>
      </c>
      <c r="N66" s="1791">
        <v>123.5695113509689</v>
      </c>
      <c r="O66" s="1794">
        <v>193.67461758791123</v>
      </c>
      <c r="P66" s="1791">
        <v>171.17832560421743</v>
      </c>
      <c r="Q66" s="1794">
        <v>145.64007602320362</v>
      </c>
      <c r="R66" s="1791">
        <v>224.78768100152399</v>
      </c>
      <c r="S66" s="1006">
        <v>172.44084016609153</v>
      </c>
    </row>
    <row r="67" spans="1:19" ht="13.15" customHeight="1">
      <c r="A67" s="1001">
        <f t="shared" si="0"/>
        <v>2008.1</v>
      </c>
      <c r="B67" s="1003">
        <v>145.24555929027821</v>
      </c>
      <c r="C67" s="1785">
        <v>125.32322793518756</v>
      </c>
      <c r="D67" s="1791">
        <v>148.85473696769779</v>
      </c>
      <c r="E67" s="1794">
        <v>85.700223736439995</v>
      </c>
      <c r="F67" s="1791">
        <v>162.35778008046179</v>
      </c>
      <c r="G67" s="1794">
        <v>68.772137859483678</v>
      </c>
      <c r="H67" s="1791">
        <v>119.39829580648666</v>
      </c>
      <c r="I67" s="1794">
        <v>122.8480594886171</v>
      </c>
      <c r="J67" s="1791">
        <v>184.26460233497508</v>
      </c>
      <c r="K67" s="1794">
        <v>110.9235245630221</v>
      </c>
      <c r="L67" s="1791">
        <v>156.35171503678413</v>
      </c>
      <c r="M67" s="1794">
        <v>151.42758797067634</v>
      </c>
      <c r="N67" s="1791">
        <v>122.37124416190731</v>
      </c>
      <c r="O67" s="1794">
        <v>178.93774412299783</v>
      </c>
      <c r="P67" s="1791">
        <v>171.21696669907993</v>
      </c>
      <c r="Q67" s="1794">
        <v>132.45863855467709</v>
      </c>
      <c r="R67" s="1791">
        <v>186.12073468658599</v>
      </c>
      <c r="S67" s="1006">
        <v>167.11108592982353</v>
      </c>
    </row>
    <row r="68" spans="1:19" ht="13.15" customHeight="1">
      <c r="A68" s="1001">
        <f t="shared" si="0"/>
        <v>2008.11</v>
      </c>
      <c r="B68" s="1003">
        <v>130.87069114371144</v>
      </c>
      <c r="C68" s="1785">
        <v>110.8707014233126</v>
      </c>
      <c r="D68" s="1791">
        <v>131.17517436529312</v>
      </c>
      <c r="E68" s="1794">
        <v>75.760340959734592</v>
      </c>
      <c r="F68" s="1791">
        <v>147.72685330123915</v>
      </c>
      <c r="G68" s="1794">
        <v>62.385758529203855</v>
      </c>
      <c r="H68" s="1791">
        <v>93.796807528940974</v>
      </c>
      <c r="I68" s="1794">
        <v>111.32562797376852</v>
      </c>
      <c r="J68" s="1791">
        <v>159.51230530969951</v>
      </c>
      <c r="K68" s="1794">
        <v>96.068913244487703</v>
      </c>
      <c r="L68" s="1791">
        <v>201.69442505598983</v>
      </c>
      <c r="M68" s="1794">
        <v>194.0010299545269</v>
      </c>
      <c r="N68" s="1791">
        <v>145.5795216542453</v>
      </c>
      <c r="O68" s="1794">
        <v>91.958755219518366</v>
      </c>
      <c r="P68" s="1791">
        <v>108.55661783223856</v>
      </c>
      <c r="Q68" s="1794">
        <v>111.4210139678337</v>
      </c>
      <c r="R68" s="1791">
        <v>108.973886393787</v>
      </c>
      <c r="S68" s="1006">
        <v>131.1948265362374</v>
      </c>
    </row>
    <row r="69" spans="1:19" ht="13.15" customHeight="1">
      <c r="A69" s="1001">
        <f t="shared" si="0"/>
        <v>2008.12</v>
      </c>
      <c r="B69" s="1003">
        <v>125.32353043377519</v>
      </c>
      <c r="C69" s="1785">
        <v>140.52084820178609</v>
      </c>
      <c r="D69" s="1791">
        <v>122.9731532578882</v>
      </c>
      <c r="E69" s="1794">
        <v>89.437397103908296</v>
      </c>
      <c r="F69" s="1791">
        <v>161.0816851191735</v>
      </c>
      <c r="G69" s="1794">
        <v>66.940946598125265</v>
      </c>
      <c r="H69" s="1791">
        <v>109.69530004134845</v>
      </c>
      <c r="I69" s="1794">
        <v>144.33785754143577</v>
      </c>
      <c r="J69" s="1791">
        <v>152.92263409956465</v>
      </c>
      <c r="K69" s="1794">
        <v>105.99247548877523</v>
      </c>
      <c r="L69" s="1791">
        <v>135.82626364752187</v>
      </c>
      <c r="M69" s="1794">
        <v>200.42121283669735</v>
      </c>
      <c r="N69" s="1791">
        <v>126.23765158724429</v>
      </c>
      <c r="O69" s="1794">
        <v>108.48132989323418</v>
      </c>
      <c r="P69" s="1791">
        <v>122.54729525777101</v>
      </c>
      <c r="Q69" s="1794">
        <v>110.90886325494141</v>
      </c>
      <c r="R69" s="1791">
        <v>65.027221673466897</v>
      </c>
      <c r="S69" s="1006">
        <v>100.78689560485698</v>
      </c>
    </row>
    <row r="70" spans="1:19" ht="13.15" customHeight="1">
      <c r="A70" s="1001">
        <f t="shared" si="0"/>
        <v>2009.01</v>
      </c>
      <c r="B70" s="1003">
        <v>109.14688414488694</v>
      </c>
      <c r="C70" s="1785">
        <v>113.10608670391547</v>
      </c>
      <c r="D70" s="1791">
        <v>130.81860088389504</v>
      </c>
      <c r="E70" s="1794">
        <v>83.668044253785169</v>
      </c>
      <c r="F70" s="1791">
        <v>159.77798575217605</v>
      </c>
      <c r="G70" s="1794">
        <v>62.586130422919041</v>
      </c>
      <c r="H70" s="1791">
        <v>82.473401646946627</v>
      </c>
      <c r="I70" s="1794">
        <v>95.563694972623111</v>
      </c>
      <c r="J70" s="1791">
        <v>149.54602501045173</v>
      </c>
      <c r="K70" s="1794">
        <v>91.623259733003167</v>
      </c>
      <c r="L70" s="1791">
        <v>101.24014777239088</v>
      </c>
      <c r="M70" s="1794">
        <v>118.00511226186654</v>
      </c>
      <c r="N70" s="1791">
        <v>99.9298516130075</v>
      </c>
      <c r="O70" s="1794">
        <v>104.81462038566082</v>
      </c>
      <c r="P70" s="1791">
        <v>95.140086656076335</v>
      </c>
      <c r="Q70" s="1794">
        <v>94.994239684292808</v>
      </c>
      <c r="R70" s="1791">
        <v>83.493130250074998</v>
      </c>
      <c r="S70" s="1006">
        <v>89.889499334102737</v>
      </c>
    </row>
    <row r="71" spans="1:19" ht="13.15" customHeight="1">
      <c r="A71" s="1001">
        <f t="shared" si="0"/>
        <v>2009.02</v>
      </c>
      <c r="B71" s="1003">
        <v>103.14239846389842</v>
      </c>
      <c r="C71" s="1785">
        <v>109.76617061183588</v>
      </c>
      <c r="D71" s="1791">
        <v>111.82279716670405</v>
      </c>
      <c r="E71" s="1794">
        <v>79.666682008991899</v>
      </c>
      <c r="F71" s="1791">
        <v>164.14976542358585</v>
      </c>
      <c r="G71" s="1794">
        <v>51.731842996858582</v>
      </c>
      <c r="H71" s="1791">
        <v>87.309002123536885</v>
      </c>
      <c r="I71" s="1794">
        <v>67.950519780735036</v>
      </c>
      <c r="J71" s="1791">
        <v>112.79605722836548</v>
      </c>
      <c r="K71" s="1794">
        <v>98.894497865571864</v>
      </c>
      <c r="L71" s="1791">
        <v>136.51233497138978</v>
      </c>
      <c r="M71" s="1794">
        <v>105.79528085807124</v>
      </c>
      <c r="N71" s="1791">
        <v>102.55556217807528</v>
      </c>
      <c r="O71" s="1794">
        <v>73.424807582324362</v>
      </c>
      <c r="P71" s="1791">
        <v>129.88198826863993</v>
      </c>
      <c r="Q71" s="1794">
        <v>96.092003989247345</v>
      </c>
      <c r="R71" s="1791">
        <v>81.301344686385704</v>
      </c>
      <c r="S71" s="1006">
        <v>84.366076413464128</v>
      </c>
    </row>
    <row r="72" spans="1:19" ht="13.15" customHeight="1">
      <c r="A72" s="1001">
        <f t="shared" si="0"/>
        <v>2009.03</v>
      </c>
      <c r="B72" s="1003">
        <v>111.31110270497732</v>
      </c>
      <c r="C72" s="1785">
        <v>90.457517739207418</v>
      </c>
      <c r="D72" s="1791">
        <v>114.56598516334961</v>
      </c>
      <c r="E72" s="1794">
        <v>96.372202635108579</v>
      </c>
      <c r="F72" s="1791">
        <v>184.47644510157076</v>
      </c>
      <c r="G72" s="1794">
        <v>101.46583919733803</v>
      </c>
      <c r="H72" s="1791">
        <v>105.33660904152532</v>
      </c>
      <c r="I72" s="1794">
        <v>99.672044212610928</v>
      </c>
      <c r="J72" s="1791">
        <v>172.78366829368889</v>
      </c>
      <c r="K72" s="1794">
        <v>107.40478486585118</v>
      </c>
      <c r="L72" s="1791">
        <v>92.59785285158803</v>
      </c>
      <c r="M72" s="1794">
        <v>72.962909117120518</v>
      </c>
      <c r="N72" s="1791">
        <v>146.147975581064</v>
      </c>
      <c r="O72" s="1794">
        <v>99.791497154699428</v>
      </c>
      <c r="P72" s="1791">
        <v>161.09855657940057</v>
      </c>
      <c r="Q72" s="1794">
        <v>98.61955526359101</v>
      </c>
      <c r="R72" s="1791">
        <v>107.211606457513</v>
      </c>
      <c r="S72" s="1006">
        <v>93.413699404171012</v>
      </c>
    </row>
    <row r="73" spans="1:19" ht="13.15" customHeight="1">
      <c r="A73" s="1001">
        <f t="shared" si="0"/>
        <v>2009.04</v>
      </c>
      <c r="B73" s="1003">
        <v>129.93968417939433</v>
      </c>
      <c r="C73" s="1785">
        <v>98.976749801467051</v>
      </c>
      <c r="D73" s="1791">
        <v>174.30441978677121</v>
      </c>
      <c r="E73" s="1794">
        <v>89.986025442554336</v>
      </c>
      <c r="F73" s="1791">
        <v>171.06977792746605</v>
      </c>
      <c r="G73" s="1794">
        <v>70.805107758863187</v>
      </c>
      <c r="H73" s="1791">
        <v>107.58748218501165</v>
      </c>
      <c r="I73" s="1794">
        <v>152.12527500228515</v>
      </c>
      <c r="J73" s="1791">
        <v>162.99503931879403</v>
      </c>
      <c r="K73" s="1794">
        <v>108.93720290823738</v>
      </c>
      <c r="L73" s="1791">
        <v>173.14318486077076</v>
      </c>
      <c r="M73" s="1794">
        <v>103.90853018963868</v>
      </c>
      <c r="N73" s="1791">
        <v>123.93450336885155</v>
      </c>
      <c r="O73" s="1794">
        <v>96.685397934252819</v>
      </c>
      <c r="P73" s="1791">
        <v>169.31594255095311</v>
      </c>
      <c r="Q73" s="1794">
        <v>114.42218879520297</v>
      </c>
      <c r="R73" s="1791">
        <v>98.107073195667894</v>
      </c>
      <c r="S73" s="1006">
        <v>107.49382676010782</v>
      </c>
    </row>
    <row r="74" spans="1:19" ht="13.15" customHeight="1">
      <c r="A74" s="1001">
        <f t="shared" si="0"/>
        <v>2009.05</v>
      </c>
      <c r="B74" s="1003">
        <v>125.65691830905142</v>
      </c>
      <c r="C74" s="1785">
        <v>108.39976147449971</v>
      </c>
      <c r="D74" s="1791">
        <v>195.7832974677317</v>
      </c>
      <c r="E74" s="1794">
        <v>80.266177871706645</v>
      </c>
      <c r="F74" s="1791">
        <v>175.42060174057409</v>
      </c>
      <c r="G74" s="1794">
        <v>81.686092088865024</v>
      </c>
      <c r="H74" s="1791">
        <v>98.514200828368416</v>
      </c>
      <c r="I74" s="1794">
        <v>113.6153298361989</v>
      </c>
      <c r="J74" s="1791">
        <v>185.74277603196126</v>
      </c>
      <c r="K74" s="1794">
        <v>107.45678422749143</v>
      </c>
      <c r="L74" s="1791">
        <v>95.167721319639114</v>
      </c>
      <c r="M74" s="1794">
        <v>106.81245982408633</v>
      </c>
      <c r="N74" s="1791">
        <v>123.17780352419173</v>
      </c>
      <c r="O74" s="1794">
        <v>82.442167252036114</v>
      </c>
      <c r="P74" s="1791">
        <v>154.32904517504701</v>
      </c>
      <c r="Q74" s="1794">
        <v>106.48865577437709</v>
      </c>
      <c r="R74" s="1791">
        <v>81.735157014402702</v>
      </c>
      <c r="S74" s="1006">
        <v>100.54050185860297</v>
      </c>
    </row>
    <row r="75" spans="1:19" ht="13.15" customHeight="1">
      <c r="A75" s="1001">
        <f t="shared" si="0"/>
        <v>2009.06</v>
      </c>
      <c r="B75" s="1003">
        <v>139.45267314434594</v>
      </c>
      <c r="C75" s="1785">
        <v>113.56312796283434</v>
      </c>
      <c r="D75" s="1791">
        <v>167.41282254741091</v>
      </c>
      <c r="E75" s="1794">
        <v>79.08024660397912</v>
      </c>
      <c r="F75" s="1791">
        <v>178.51954485560455</v>
      </c>
      <c r="G75" s="1794">
        <v>90.43343868805529</v>
      </c>
      <c r="H75" s="1791">
        <v>95.393110913649366</v>
      </c>
      <c r="I75" s="1794">
        <v>116.67313921664102</v>
      </c>
      <c r="J75" s="1791">
        <v>184.25623055877375</v>
      </c>
      <c r="K75" s="1794">
        <v>116.20277734231192</v>
      </c>
      <c r="L75" s="1791">
        <v>149.15042549757541</v>
      </c>
      <c r="M75" s="1794">
        <v>182.02984637703972</v>
      </c>
      <c r="N75" s="1791">
        <v>114.48782199067865</v>
      </c>
      <c r="O75" s="1794">
        <v>122.09316873298432</v>
      </c>
      <c r="P75" s="1791">
        <v>198.34309344922593</v>
      </c>
      <c r="Q75" s="1794">
        <v>121.41741622501168</v>
      </c>
      <c r="R75" s="1791">
        <v>125.003639027284</v>
      </c>
      <c r="S75" s="1006">
        <v>111.8252539302691</v>
      </c>
    </row>
    <row r="76" spans="1:19" ht="13.15" customHeight="1">
      <c r="A76" s="1001">
        <f t="shared" si="0"/>
        <v>2009.07</v>
      </c>
      <c r="B76" s="1003">
        <v>128.29833616662745</v>
      </c>
      <c r="C76" s="1785">
        <v>114.96879218981599</v>
      </c>
      <c r="D76" s="1791">
        <v>147.0621345763642</v>
      </c>
      <c r="E76" s="1794">
        <v>83.227445018264845</v>
      </c>
      <c r="F76" s="1791">
        <v>182.52404132132128</v>
      </c>
      <c r="G76" s="1794">
        <v>84.919360545832987</v>
      </c>
      <c r="H76" s="1791">
        <v>100.05442787674714</v>
      </c>
      <c r="I76" s="1794">
        <v>192.339747423821</v>
      </c>
      <c r="J76" s="1791">
        <v>172.61703776067705</v>
      </c>
      <c r="K76" s="1794">
        <v>125.24001865544453</v>
      </c>
      <c r="L76" s="1791">
        <v>133.29135735676957</v>
      </c>
      <c r="M76" s="1794">
        <v>95.223744714853737</v>
      </c>
      <c r="N76" s="1791">
        <v>123.44341053886907</v>
      </c>
      <c r="O76" s="1794">
        <v>120.97337196386991</v>
      </c>
      <c r="P76" s="1791">
        <v>215.22648392024831</v>
      </c>
      <c r="Q76" s="1794">
        <v>114.40575689927179</v>
      </c>
      <c r="R76" s="1791">
        <v>90.621586194063397</v>
      </c>
      <c r="S76" s="1006">
        <v>114.70594194102212</v>
      </c>
    </row>
    <row r="77" spans="1:19" ht="13.15" customHeight="1">
      <c r="A77" s="1001">
        <f t="shared" si="0"/>
        <v>2009.08</v>
      </c>
      <c r="B77" s="1003">
        <v>128.34695092922627</v>
      </c>
      <c r="C77" s="1785">
        <v>107.35918577657255</v>
      </c>
      <c r="D77" s="1791">
        <v>116.13029029990429</v>
      </c>
      <c r="E77" s="1794">
        <v>83.893569322386213</v>
      </c>
      <c r="F77" s="1791">
        <v>171.93156292643073</v>
      </c>
      <c r="G77" s="1794">
        <v>93.639595368483612</v>
      </c>
      <c r="H77" s="1791">
        <v>87.463546972601819</v>
      </c>
      <c r="I77" s="1794">
        <v>211.00013346971679</v>
      </c>
      <c r="J77" s="1791">
        <v>198.95740843534651</v>
      </c>
      <c r="K77" s="1794">
        <v>116.41494088122266</v>
      </c>
      <c r="L77" s="1791">
        <v>167.42569239656191</v>
      </c>
      <c r="M77" s="1794">
        <v>123.33011509391974</v>
      </c>
      <c r="N77" s="1791">
        <v>109.8119869264727</v>
      </c>
      <c r="O77" s="1794">
        <v>105.92660935290594</v>
      </c>
      <c r="P77" s="1791">
        <v>209.79827505928804</v>
      </c>
      <c r="Q77" s="1794">
        <v>114.99354028147592</v>
      </c>
      <c r="R77" s="1791">
        <v>83.6673495294811</v>
      </c>
      <c r="S77" s="1006">
        <v>121.2859106735128</v>
      </c>
    </row>
    <row r="78" spans="1:19" ht="13.15" customHeight="1">
      <c r="A78" s="1001">
        <f t="shared" si="0"/>
        <v>2009.09</v>
      </c>
      <c r="B78" s="1003">
        <v>133.26523742368161</v>
      </c>
      <c r="C78" s="1785">
        <v>105.28929479449961</v>
      </c>
      <c r="D78" s="1791">
        <v>122.28084153597277</v>
      </c>
      <c r="E78" s="1794">
        <v>86.808029172340824</v>
      </c>
      <c r="F78" s="1791">
        <v>167.87508715502963</v>
      </c>
      <c r="G78" s="1794">
        <v>88.430798864129244</v>
      </c>
      <c r="H78" s="1791">
        <v>105.79023100715284</v>
      </c>
      <c r="I78" s="1794">
        <v>237.3032322492885</v>
      </c>
      <c r="J78" s="1791">
        <v>230.0305737212496</v>
      </c>
      <c r="K78" s="1794">
        <v>134.70791584382928</v>
      </c>
      <c r="L78" s="1791">
        <v>164.81481804177616</v>
      </c>
      <c r="M78" s="1794">
        <v>106.06429511235605</v>
      </c>
      <c r="N78" s="1791">
        <v>140.09856467040981</v>
      </c>
      <c r="O78" s="1794">
        <v>121.82051384803337</v>
      </c>
      <c r="P78" s="1791">
        <v>180.34741060344143</v>
      </c>
      <c r="Q78" s="1794">
        <v>118.64029541601997</v>
      </c>
      <c r="R78" s="1791">
        <v>98.9201326638686</v>
      </c>
      <c r="S78" s="1006">
        <v>130.80499989540883</v>
      </c>
    </row>
    <row r="79" spans="1:19" ht="13.15" customHeight="1">
      <c r="A79" s="1001">
        <f t="shared" si="0"/>
        <v>2009.1</v>
      </c>
      <c r="B79" s="1003">
        <v>133.60119707203228</v>
      </c>
      <c r="C79" s="1785">
        <v>124.98904159683235</v>
      </c>
      <c r="D79" s="1791">
        <v>127.29073753339537</v>
      </c>
      <c r="E79" s="1794">
        <v>88.356071808020374</v>
      </c>
      <c r="F79" s="1791">
        <v>181.32868717011786</v>
      </c>
      <c r="G79" s="1794">
        <v>96.096200668949535</v>
      </c>
      <c r="H79" s="1791">
        <v>148.10152410308899</v>
      </c>
      <c r="I79" s="1794">
        <v>128.11626897427243</v>
      </c>
      <c r="J79" s="1791">
        <v>183.72262303481966</v>
      </c>
      <c r="K79" s="1794">
        <v>124.78915837019237</v>
      </c>
      <c r="L79" s="1791">
        <v>154.12721043715004</v>
      </c>
      <c r="M79" s="1794">
        <v>101.9296957855655</v>
      </c>
      <c r="N79" s="1791">
        <v>128.93603882752947</v>
      </c>
      <c r="O79" s="1794">
        <v>144.90721782390617</v>
      </c>
      <c r="P79" s="1791">
        <v>158.95159513935715</v>
      </c>
      <c r="Q79" s="1794">
        <v>121.25218964116047</v>
      </c>
      <c r="R79" s="1791">
        <v>86.125124405570304</v>
      </c>
      <c r="S79" s="1006">
        <v>138.40479955645463</v>
      </c>
    </row>
    <row r="80" spans="1:19" ht="13.15" customHeight="1">
      <c r="A80" s="1001">
        <f t="shared" si="0"/>
        <v>2009.11</v>
      </c>
      <c r="B80" s="1003">
        <v>124.6694414711022</v>
      </c>
      <c r="C80" s="1785">
        <v>108.04813357833389</v>
      </c>
      <c r="D80" s="1791">
        <v>121.78863123003754</v>
      </c>
      <c r="E80" s="1794">
        <v>73.52527849977109</v>
      </c>
      <c r="F80" s="1791">
        <v>177.28412437610024</v>
      </c>
      <c r="G80" s="1794">
        <v>106.95099720567633</v>
      </c>
      <c r="H80" s="1791">
        <v>124.50911345040963</v>
      </c>
      <c r="I80" s="1794">
        <v>136.3059082670627</v>
      </c>
      <c r="J80" s="1791">
        <v>183.47489338399538</v>
      </c>
      <c r="K80" s="1794">
        <v>125.05298713776092</v>
      </c>
      <c r="L80" s="1791">
        <v>86.799902637678088</v>
      </c>
      <c r="M80" s="1794">
        <v>111.76258993634926</v>
      </c>
      <c r="N80" s="1791">
        <v>117.42169691862598</v>
      </c>
      <c r="O80" s="1794">
        <v>169.32386848463764</v>
      </c>
      <c r="P80" s="1791">
        <v>141.55017601130189</v>
      </c>
      <c r="Q80" s="1794">
        <v>109.50961267115002</v>
      </c>
      <c r="R80" s="1791">
        <v>85.514597716672796</v>
      </c>
      <c r="S80" s="1006">
        <v>124.82454416097889</v>
      </c>
    </row>
    <row r="81" spans="1:19" ht="13.15" customHeight="1">
      <c r="A81" s="1001">
        <f t="shared" si="0"/>
        <v>2009.12</v>
      </c>
      <c r="B81" s="1003">
        <v>127.89619857411274</v>
      </c>
      <c r="C81" s="1785">
        <v>109.71850769427887</v>
      </c>
      <c r="D81" s="1791">
        <v>105.03519805276569</v>
      </c>
      <c r="E81" s="1794">
        <v>73.9909393085332</v>
      </c>
      <c r="F81" s="1791">
        <v>190.29431626930597</v>
      </c>
      <c r="G81" s="1794">
        <v>89.070934961977272</v>
      </c>
      <c r="H81" s="1791">
        <v>115.37882120370374</v>
      </c>
      <c r="I81" s="1794">
        <v>129.76314520348834</v>
      </c>
      <c r="J81" s="1791">
        <v>186.82911543379177</v>
      </c>
      <c r="K81" s="1794">
        <v>121.41610096331601</v>
      </c>
      <c r="L81" s="1791">
        <v>103.88655907974639</v>
      </c>
      <c r="M81" s="1794">
        <v>138.58514070000817</v>
      </c>
      <c r="N81" s="1791">
        <v>129.97893360454117</v>
      </c>
      <c r="O81" s="1794">
        <v>185.7931628248368</v>
      </c>
      <c r="P81" s="1791">
        <v>152.20860863036904</v>
      </c>
      <c r="Q81" s="1794">
        <v>112.88047614733225</v>
      </c>
      <c r="R81" s="1791">
        <v>84.9570705619346</v>
      </c>
      <c r="S81" s="1006">
        <v>131.83098740375272</v>
      </c>
    </row>
    <row r="82" spans="1:19" ht="13.15" customHeight="1">
      <c r="A82" s="1001">
        <f t="shared" si="0"/>
        <v>2010.01</v>
      </c>
      <c r="B82" s="1003">
        <v>118.0199889096416</v>
      </c>
      <c r="C82" s="1785">
        <v>106.62892540585203</v>
      </c>
      <c r="D82" s="1791">
        <v>88.691940130439889</v>
      </c>
      <c r="E82" s="1794">
        <v>62.082218312340125</v>
      </c>
      <c r="F82" s="1791">
        <v>178.58641755734763</v>
      </c>
      <c r="G82" s="1794">
        <v>81.891140497356091</v>
      </c>
      <c r="H82" s="1791">
        <v>98.563840234879137</v>
      </c>
      <c r="I82" s="1794">
        <v>81.638734048862787</v>
      </c>
      <c r="J82" s="1791">
        <v>189.98396155344457</v>
      </c>
      <c r="K82" s="1794">
        <v>106.38662335064939</v>
      </c>
      <c r="L82" s="1791">
        <v>80.872687784407091</v>
      </c>
      <c r="M82" s="1794">
        <v>202.82850629781814</v>
      </c>
      <c r="N82" s="1791">
        <v>88.019145402253869</v>
      </c>
      <c r="O82" s="1794">
        <v>140.70779217929629</v>
      </c>
      <c r="P82" s="1791">
        <v>156.63497250321799</v>
      </c>
      <c r="Q82" s="1794">
        <v>109.08025297493182</v>
      </c>
      <c r="R82" s="1791">
        <v>56.7984398056198</v>
      </c>
      <c r="S82" s="1006">
        <v>110.8136095058854</v>
      </c>
    </row>
    <row r="83" spans="1:19" ht="13.15" customHeight="1">
      <c r="A83" s="1001">
        <f t="shared" si="0"/>
        <v>2010.02</v>
      </c>
      <c r="B83" s="1003">
        <v>107.46191519227992</v>
      </c>
      <c r="C83" s="1785">
        <v>75.443616579717954</v>
      </c>
      <c r="D83" s="1791">
        <v>68.513157736574598</v>
      </c>
      <c r="E83" s="1794">
        <v>58.923589569343207</v>
      </c>
      <c r="F83" s="1791">
        <v>177.1811323291536</v>
      </c>
      <c r="G83" s="1794">
        <v>106.99031922186849</v>
      </c>
      <c r="H83" s="1791">
        <v>102.44549358822577</v>
      </c>
      <c r="I83" s="1794">
        <v>78.717455001324595</v>
      </c>
      <c r="J83" s="1791">
        <v>160.42733549961582</v>
      </c>
      <c r="K83" s="1794">
        <v>93.247337724426245</v>
      </c>
      <c r="L83" s="1791">
        <v>129.3896916231337</v>
      </c>
      <c r="M83" s="1794">
        <v>89.397041029060205</v>
      </c>
      <c r="N83" s="1791">
        <v>103.51871772357778</v>
      </c>
      <c r="O83" s="1794">
        <v>158.78882221159276</v>
      </c>
      <c r="P83" s="1791">
        <v>152.55386245920633</v>
      </c>
      <c r="Q83" s="1794">
        <v>101.38373154881502</v>
      </c>
      <c r="R83" s="1791">
        <v>72.513782373542</v>
      </c>
      <c r="S83" s="1006">
        <v>107.63443354281705</v>
      </c>
    </row>
    <row r="84" spans="1:19" ht="13.15" customHeight="1">
      <c r="A84" s="1001">
        <f t="shared" si="0"/>
        <v>2010.03</v>
      </c>
      <c r="B84" s="1003">
        <v>119.42021127382955</v>
      </c>
      <c r="C84" s="1785">
        <v>71.718866245975192</v>
      </c>
      <c r="D84" s="1791">
        <v>92.128448963231591</v>
      </c>
      <c r="E84" s="1794">
        <v>70.13908375979851</v>
      </c>
      <c r="F84" s="1791">
        <v>185.80359514985741</v>
      </c>
      <c r="G84" s="1794">
        <v>96.667317505925553</v>
      </c>
      <c r="H84" s="1791">
        <v>113.19186809725801</v>
      </c>
      <c r="I84" s="1794">
        <v>98.396713623707129</v>
      </c>
      <c r="J84" s="1791">
        <v>166.77591147982594</v>
      </c>
      <c r="K84" s="1794">
        <v>108.3079991808689</v>
      </c>
      <c r="L84" s="1791">
        <v>153.03393503085221</v>
      </c>
      <c r="M84" s="1794">
        <v>85.988669684229421</v>
      </c>
      <c r="N84" s="1791">
        <v>119.35650989804815</v>
      </c>
      <c r="O84" s="1794">
        <v>154.46371775482132</v>
      </c>
      <c r="P84" s="1791">
        <v>188.12988025039309</v>
      </c>
      <c r="Q84" s="1794">
        <v>107.53013306459738</v>
      </c>
      <c r="R84" s="1791">
        <v>89.1618576579002</v>
      </c>
      <c r="S84" s="1006">
        <v>130.61526456000277</v>
      </c>
    </row>
    <row r="85" spans="1:19" ht="13.15" customHeight="1">
      <c r="A85" s="1001">
        <f t="shared" si="0"/>
        <v>2010.04</v>
      </c>
      <c r="B85" s="1003">
        <v>158.97504683390764</v>
      </c>
      <c r="C85" s="1785">
        <v>67.661623869445236</v>
      </c>
      <c r="D85" s="1791">
        <v>192.61687509080173</v>
      </c>
      <c r="E85" s="1794">
        <v>58.099262488727092</v>
      </c>
      <c r="F85" s="1791">
        <v>181.11426948702245</v>
      </c>
      <c r="G85" s="1794">
        <v>104.61170096110828</v>
      </c>
      <c r="H85" s="1791">
        <v>106.39266399583539</v>
      </c>
      <c r="I85" s="1794">
        <v>150.93382593548034</v>
      </c>
      <c r="J85" s="1791">
        <v>153.74453575817864</v>
      </c>
      <c r="K85" s="1794">
        <v>132.40076740551598</v>
      </c>
      <c r="L85" s="1791">
        <v>297.48010090639798</v>
      </c>
      <c r="M85" s="1794">
        <v>169.10569233886858</v>
      </c>
      <c r="N85" s="1791">
        <v>113.15816194359866</v>
      </c>
      <c r="O85" s="1794">
        <v>177.11149750543211</v>
      </c>
      <c r="P85" s="1791">
        <v>204.63670743355044</v>
      </c>
      <c r="Q85" s="1794">
        <v>135.2661167425035</v>
      </c>
      <c r="R85" s="1791">
        <v>77.452073833290697</v>
      </c>
      <c r="S85" s="1006">
        <v>139.77378421271561</v>
      </c>
    </row>
    <row r="86" spans="1:19" ht="13.15" customHeight="1">
      <c r="A86" s="1001">
        <f t="shared" si="0"/>
        <v>2010.05</v>
      </c>
      <c r="B86" s="1003">
        <v>142.40250058448601</v>
      </c>
      <c r="C86" s="1785">
        <v>64.13566766004098</v>
      </c>
      <c r="D86" s="1791">
        <v>208.72221949332669</v>
      </c>
      <c r="E86" s="1794">
        <v>60.090455340361387</v>
      </c>
      <c r="F86" s="1791">
        <v>173.36587350020534</v>
      </c>
      <c r="G86" s="1794">
        <v>117.4686489312172</v>
      </c>
      <c r="H86" s="1791">
        <v>110.56853192915304</v>
      </c>
      <c r="I86" s="1794">
        <v>125.87207034212926</v>
      </c>
      <c r="J86" s="1791">
        <v>161.46967299775613</v>
      </c>
      <c r="K86" s="1794">
        <v>102.60043087579422</v>
      </c>
      <c r="L86" s="1791">
        <v>118.59303395857337</v>
      </c>
      <c r="M86" s="1794">
        <v>144.49916841138304</v>
      </c>
      <c r="N86" s="1791">
        <v>104.28733849922421</v>
      </c>
      <c r="O86" s="1794">
        <v>196.81287036818199</v>
      </c>
      <c r="P86" s="1791">
        <v>164.33493327076093</v>
      </c>
      <c r="Q86" s="1794">
        <v>120.76072604047532</v>
      </c>
      <c r="R86" s="1791">
        <v>76.070032604936998</v>
      </c>
      <c r="S86" s="1006">
        <v>135.06113989378886</v>
      </c>
    </row>
    <row r="87" spans="1:19" ht="13.15" customHeight="1">
      <c r="A87" s="1001">
        <f t="shared" ref="A87:A150" si="1">A75+1</f>
        <v>2010.06</v>
      </c>
      <c r="B87" s="1003">
        <v>144.85020803952594</v>
      </c>
      <c r="C87" s="1785">
        <v>63.58024497143581</v>
      </c>
      <c r="D87" s="1791">
        <v>180.59321967244449</v>
      </c>
      <c r="E87" s="1794">
        <v>59.512544020144837</v>
      </c>
      <c r="F87" s="1791">
        <v>181.71914073817524</v>
      </c>
      <c r="G87" s="1794">
        <v>107.75737127484538</v>
      </c>
      <c r="H87" s="1791">
        <v>106.66235285247332</v>
      </c>
      <c r="I87" s="1794">
        <v>147.78499268455721</v>
      </c>
      <c r="J87" s="1791">
        <v>165.11259819248767</v>
      </c>
      <c r="K87" s="1794">
        <v>123.80365910460633</v>
      </c>
      <c r="L87" s="1791">
        <v>149.83570121978144</v>
      </c>
      <c r="M87" s="1794">
        <v>164.46352869224674</v>
      </c>
      <c r="N87" s="1791">
        <v>103.1821377441526</v>
      </c>
      <c r="O87" s="1794">
        <v>194.65362491328773</v>
      </c>
      <c r="P87" s="1791">
        <v>192.82616179396589</v>
      </c>
      <c r="Q87" s="1794">
        <v>127.68912547594462</v>
      </c>
      <c r="R87" s="1791">
        <v>74.308673400573795</v>
      </c>
      <c r="S87" s="1006">
        <v>141.98409344956724</v>
      </c>
    </row>
    <row r="88" spans="1:19" ht="13.15" customHeight="1">
      <c r="A88" s="1001">
        <f t="shared" si="1"/>
        <v>2010.07</v>
      </c>
      <c r="B88" s="1003">
        <v>146.72916028229062</v>
      </c>
      <c r="C88" s="1785">
        <v>62.819080537355632</v>
      </c>
      <c r="D88" s="1791">
        <v>172.64460495626454</v>
      </c>
      <c r="E88" s="1794">
        <v>65.887130279785083</v>
      </c>
      <c r="F88" s="1791">
        <v>179.76382409949107</v>
      </c>
      <c r="G88" s="1794">
        <v>108.67656664801061</v>
      </c>
      <c r="H88" s="1791">
        <v>110.01970037528014</v>
      </c>
      <c r="I88" s="1794">
        <v>166.52897141146252</v>
      </c>
      <c r="J88" s="1791">
        <v>167.48150393370224</v>
      </c>
      <c r="K88" s="1794">
        <v>127.41727956367667</v>
      </c>
      <c r="L88" s="1791">
        <v>172.14134210192873</v>
      </c>
      <c r="M88" s="1794">
        <v>145.36878811167003</v>
      </c>
      <c r="N88" s="1791">
        <v>123.00673499426637</v>
      </c>
      <c r="O88" s="1794">
        <v>176.41227319397152</v>
      </c>
      <c r="P88" s="1791">
        <v>229.97212754385083</v>
      </c>
      <c r="Q88" s="1794">
        <v>132.27384578324774</v>
      </c>
      <c r="R88" s="1791">
        <v>89.294919679396003</v>
      </c>
      <c r="S88" s="1006">
        <v>154.75596815567195</v>
      </c>
    </row>
    <row r="89" spans="1:19" ht="13.15" customHeight="1">
      <c r="A89" s="1001">
        <f t="shared" si="1"/>
        <v>2010.08</v>
      </c>
      <c r="B89" s="1003">
        <v>150.0534689220475</v>
      </c>
      <c r="C89" s="1785">
        <v>72.850132126106004</v>
      </c>
      <c r="D89" s="1791">
        <v>199.99047277446905</v>
      </c>
      <c r="E89" s="1794">
        <v>80.354708066988664</v>
      </c>
      <c r="F89" s="1791">
        <v>194.77396148369903</v>
      </c>
      <c r="G89" s="1794">
        <v>105.99703404189876</v>
      </c>
      <c r="H89" s="1791">
        <v>133.8820342685525</v>
      </c>
      <c r="I89" s="1794">
        <v>172.82779796467449</v>
      </c>
      <c r="J89" s="1791">
        <v>148.86643830020913</v>
      </c>
      <c r="K89" s="1794">
        <v>111.61056809813633</v>
      </c>
      <c r="L89" s="1791">
        <v>131.24543996476487</v>
      </c>
      <c r="M89" s="1794">
        <v>137.26376876816624</v>
      </c>
      <c r="N89" s="1791">
        <v>122.74105399795921</v>
      </c>
      <c r="O89" s="1794">
        <v>204.35867681193474</v>
      </c>
      <c r="P89" s="1791">
        <v>216.82787303633791</v>
      </c>
      <c r="Q89" s="1794">
        <v>127.59633609781</v>
      </c>
      <c r="R89" s="1791">
        <v>89.792839187326905</v>
      </c>
      <c r="S89" s="1006">
        <v>155.70732655250109</v>
      </c>
    </row>
    <row r="90" spans="1:19" ht="13.15" customHeight="1">
      <c r="A90" s="1001">
        <f t="shared" si="1"/>
        <v>2010.09</v>
      </c>
      <c r="B90" s="1003">
        <v>158.8442720750827</v>
      </c>
      <c r="C90" s="1785">
        <v>66.930363912394725</v>
      </c>
      <c r="D90" s="1791">
        <v>193.96980047585672</v>
      </c>
      <c r="E90" s="1794">
        <v>75.027768483459013</v>
      </c>
      <c r="F90" s="1791">
        <v>181.91622407781892</v>
      </c>
      <c r="G90" s="1794">
        <v>100.23355682983214</v>
      </c>
      <c r="H90" s="1791">
        <v>110.83836341539553</v>
      </c>
      <c r="I90" s="1794">
        <v>301.79376665139262</v>
      </c>
      <c r="J90" s="1791">
        <v>180.00281519603539</v>
      </c>
      <c r="K90" s="1794">
        <v>134.13462193885672</v>
      </c>
      <c r="L90" s="1791">
        <v>135.75014847233584</v>
      </c>
      <c r="M90" s="1794">
        <v>195.71463694022759</v>
      </c>
      <c r="N90" s="1791">
        <v>109.82109826960068</v>
      </c>
      <c r="O90" s="1794">
        <v>229.0239557906157</v>
      </c>
      <c r="P90" s="1791">
        <v>208.80045709045049</v>
      </c>
      <c r="Q90" s="1794">
        <v>139.20078554309362</v>
      </c>
      <c r="R90" s="1791">
        <v>84.849130366040697</v>
      </c>
      <c r="S90" s="1006">
        <v>164.40589031108613</v>
      </c>
    </row>
    <row r="91" spans="1:19" ht="13.15" customHeight="1">
      <c r="A91" s="1001">
        <f t="shared" si="1"/>
        <v>2010.1</v>
      </c>
      <c r="B91" s="1003">
        <v>149.34554529704124</v>
      </c>
      <c r="C91" s="1785">
        <v>54.801787374465974</v>
      </c>
      <c r="D91" s="1791">
        <v>186.51488005712773</v>
      </c>
      <c r="E91" s="1794">
        <v>75.435052539014535</v>
      </c>
      <c r="F91" s="1791">
        <v>183.87894516985142</v>
      </c>
      <c r="G91" s="1794">
        <v>116.54294548139394</v>
      </c>
      <c r="H91" s="1791">
        <v>115.6474702259847</v>
      </c>
      <c r="I91" s="1794">
        <v>136.11265085525579</v>
      </c>
      <c r="J91" s="1791">
        <v>162.6417940599224</v>
      </c>
      <c r="K91" s="1794">
        <v>122.1540369360505</v>
      </c>
      <c r="L91" s="1791">
        <v>177.58058258968879</v>
      </c>
      <c r="M91" s="1794">
        <v>124.57065209602665</v>
      </c>
      <c r="N91" s="1791">
        <v>109.68155881843104</v>
      </c>
      <c r="O91" s="1794">
        <v>207.37847193915474</v>
      </c>
      <c r="P91" s="1791">
        <v>163.73153519660079</v>
      </c>
      <c r="Q91" s="1794">
        <v>131.42131094737374</v>
      </c>
      <c r="R91" s="1791">
        <v>79.363607865040606</v>
      </c>
      <c r="S91" s="1006">
        <v>167.13495494211068</v>
      </c>
    </row>
    <row r="92" spans="1:19" ht="13.15" customHeight="1">
      <c r="A92" s="1001">
        <f t="shared" si="1"/>
        <v>2010.11</v>
      </c>
      <c r="B92" s="1003">
        <v>156.332053643986</v>
      </c>
      <c r="C92" s="1785">
        <v>54.382581211865514</v>
      </c>
      <c r="D92" s="1791">
        <v>159.3971907743809</v>
      </c>
      <c r="E92" s="1794">
        <v>77.076252445585197</v>
      </c>
      <c r="F92" s="1791">
        <v>190.48526909977448</v>
      </c>
      <c r="G92" s="1794">
        <v>104.63937239783591</v>
      </c>
      <c r="H92" s="1791">
        <v>114.63739952223089</v>
      </c>
      <c r="I92" s="1794">
        <v>144.85325560836708</v>
      </c>
      <c r="J92" s="1791">
        <v>186.61104296124464</v>
      </c>
      <c r="K92" s="1794">
        <v>125.66537476134621</v>
      </c>
      <c r="L92" s="1791">
        <v>152.23628002240417</v>
      </c>
      <c r="M92" s="1794">
        <v>196.51434177333664</v>
      </c>
      <c r="N92" s="1791">
        <v>131.02521498263013</v>
      </c>
      <c r="O92" s="1794">
        <v>199.87897299798342</v>
      </c>
      <c r="P92" s="1791">
        <v>187.99602447980828</v>
      </c>
      <c r="Q92" s="1794">
        <v>139.84305508669968</v>
      </c>
      <c r="R92" s="1791">
        <v>75.1466434761941</v>
      </c>
      <c r="S92" s="1006">
        <v>210.11780749088888</v>
      </c>
    </row>
    <row r="93" spans="1:19" ht="13.15" customHeight="1">
      <c r="A93" s="1001">
        <f t="shared" si="1"/>
        <v>2010.12</v>
      </c>
      <c r="B93" s="1003">
        <v>145.7565055533106</v>
      </c>
      <c r="C93" s="1785">
        <v>58.535656877702714</v>
      </c>
      <c r="D93" s="1791">
        <v>137.37790274305445</v>
      </c>
      <c r="E93" s="1794">
        <v>77.400279928990201</v>
      </c>
      <c r="F93" s="1791">
        <v>186.68396616104164</v>
      </c>
      <c r="G93" s="1794">
        <v>85.052797857621073</v>
      </c>
      <c r="H93" s="1791">
        <v>123.93345151438007</v>
      </c>
      <c r="I93" s="1794">
        <v>142.76039981533975</v>
      </c>
      <c r="J93" s="1791">
        <v>187.55289780526817</v>
      </c>
      <c r="K93" s="1794">
        <v>123.20143123770778</v>
      </c>
      <c r="L93" s="1791">
        <v>151.02406985517928</v>
      </c>
      <c r="M93" s="1794">
        <v>220.89119680096786</v>
      </c>
      <c r="N93" s="1791">
        <v>126.3176240466707</v>
      </c>
      <c r="O93" s="1794">
        <v>215.35722912655791</v>
      </c>
      <c r="P93" s="1791">
        <v>171.67496794429127</v>
      </c>
      <c r="Q93" s="1794">
        <v>127.21748206141555</v>
      </c>
      <c r="R93" s="1791">
        <v>86.922666500082101</v>
      </c>
      <c r="S93" s="1006">
        <v>139.62513000757244</v>
      </c>
    </row>
    <row r="94" spans="1:19" ht="13.15" customHeight="1">
      <c r="A94" s="1001">
        <f t="shared" si="1"/>
        <v>2011.01</v>
      </c>
      <c r="B94" s="1003">
        <v>135.24534619567027</v>
      </c>
      <c r="C94" s="1785">
        <v>60.393400466766366</v>
      </c>
      <c r="D94" s="1791">
        <v>118.59021399602854</v>
      </c>
      <c r="E94" s="1794">
        <v>71.617873817912667</v>
      </c>
      <c r="F94" s="1791">
        <v>169.56417557525234</v>
      </c>
      <c r="G94" s="1794">
        <v>86.528435745777998</v>
      </c>
      <c r="H94" s="1791">
        <v>119.37409007019392</v>
      </c>
      <c r="I94" s="1794">
        <v>93.931148149216057</v>
      </c>
      <c r="J94" s="1791">
        <v>137.63135144790127</v>
      </c>
      <c r="K94" s="1794">
        <v>113.79104125758462</v>
      </c>
      <c r="L94" s="1791">
        <v>288.32332060494014</v>
      </c>
      <c r="M94" s="1794">
        <v>133.99070174424543</v>
      </c>
      <c r="N94" s="1791">
        <v>93.800666464104452</v>
      </c>
      <c r="O94" s="1794">
        <v>192.36470876507457</v>
      </c>
      <c r="P94" s="1791">
        <v>191.14049738041322</v>
      </c>
      <c r="Q94" s="1794">
        <v>121.23308559707343</v>
      </c>
      <c r="R94" s="1791">
        <v>79.262524612698698</v>
      </c>
      <c r="S94" s="1006">
        <v>105.70298123558133</v>
      </c>
    </row>
    <row r="95" spans="1:19" ht="13.15" customHeight="1">
      <c r="A95" s="1001">
        <f t="shared" si="1"/>
        <v>2011.02</v>
      </c>
      <c r="B95" s="1003">
        <v>122.1398040283902</v>
      </c>
      <c r="C95" s="1785">
        <v>56.230310271766101</v>
      </c>
      <c r="D95" s="1791">
        <v>98.791214710867266</v>
      </c>
      <c r="E95" s="1794">
        <v>62.879548098788575</v>
      </c>
      <c r="F95" s="1791">
        <v>166.574215133222</v>
      </c>
      <c r="G95" s="1794">
        <v>104.69691079251598</v>
      </c>
      <c r="H95" s="1791">
        <v>126.65578327971494</v>
      </c>
      <c r="I95" s="1794">
        <v>119.33330978544332</v>
      </c>
      <c r="J95" s="1791">
        <v>152.17328992160148</v>
      </c>
      <c r="K95" s="1794">
        <v>108.32367117143863</v>
      </c>
      <c r="L95" s="1791">
        <v>90.913918323268248</v>
      </c>
      <c r="M95" s="1794">
        <v>168.80730612884031</v>
      </c>
      <c r="N95" s="1791">
        <v>94.622424815692256</v>
      </c>
      <c r="O95" s="1794">
        <v>181.82267182433353</v>
      </c>
      <c r="P95" s="1791">
        <v>174.34471092746168</v>
      </c>
      <c r="Q95" s="1794">
        <v>115.03236116701305</v>
      </c>
      <c r="R95" s="1791">
        <v>76.4050540014712</v>
      </c>
      <c r="S95" s="1006">
        <v>140.26332347678891</v>
      </c>
    </row>
    <row r="96" spans="1:19" ht="13.15" customHeight="1">
      <c r="A96" s="1001">
        <f t="shared" si="1"/>
        <v>2011.03</v>
      </c>
      <c r="B96" s="1003">
        <v>136.55318411154283</v>
      </c>
      <c r="C96" s="1785">
        <v>60.586428357312656</v>
      </c>
      <c r="D96" s="1791">
        <v>150.72812785714743</v>
      </c>
      <c r="E96" s="1794">
        <v>66.013314850522207</v>
      </c>
      <c r="F96" s="1791">
        <v>185.46768462621341</v>
      </c>
      <c r="G96" s="1794">
        <v>91.298541945722846</v>
      </c>
      <c r="H96" s="1791">
        <v>128.44112117877955</v>
      </c>
      <c r="I96" s="1794">
        <v>104.54801054536755</v>
      </c>
      <c r="J96" s="1791">
        <v>188.8222807987317</v>
      </c>
      <c r="K96" s="1794">
        <v>107.52241781348488</v>
      </c>
      <c r="L96" s="1791">
        <v>112.19895837284206</v>
      </c>
      <c r="M96" s="1794">
        <v>154.3190182778834</v>
      </c>
      <c r="N96" s="1791">
        <v>103.89962074258297</v>
      </c>
      <c r="O96" s="1794">
        <v>176.31215663926267</v>
      </c>
      <c r="P96" s="1791">
        <v>203.56125576399819</v>
      </c>
      <c r="Q96" s="1794">
        <v>120.10504697592172</v>
      </c>
      <c r="R96" s="1791">
        <v>76.206154742662704</v>
      </c>
      <c r="S96" s="1006">
        <v>152.96876928948893</v>
      </c>
    </row>
    <row r="97" spans="1:19" ht="13.15" customHeight="1">
      <c r="A97" s="1001">
        <f t="shared" si="1"/>
        <v>2011.04</v>
      </c>
      <c r="B97" s="1003">
        <v>150.81612237695902</v>
      </c>
      <c r="C97" s="1785">
        <v>69.541750028223916</v>
      </c>
      <c r="D97" s="1791">
        <v>196.11399013709558</v>
      </c>
      <c r="E97" s="1794">
        <v>64.632686252898694</v>
      </c>
      <c r="F97" s="1791">
        <v>176.36173617628586</v>
      </c>
      <c r="G97" s="1794">
        <v>98.682508758998736</v>
      </c>
      <c r="H97" s="1791">
        <v>112.03485354167971</v>
      </c>
      <c r="I97" s="1794">
        <v>147.21669183534641</v>
      </c>
      <c r="J97" s="1791">
        <v>179.24992889064546</v>
      </c>
      <c r="K97" s="1794">
        <v>116.91109708529682</v>
      </c>
      <c r="L97" s="1791">
        <v>88.246223420784048</v>
      </c>
      <c r="M97" s="1794">
        <v>202.47733886877677</v>
      </c>
      <c r="N97" s="1791">
        <v>98.247470336428592</v>
      </c>
      <c r="O97" s="1794">
        <v>220.64729850107048</v>
      </c>
      <c r="P97" s="1791">
        <v>256.60668157287535</v>
      </c>
      <c r="Q97" s="1794">
        <v>131.70663495677175</v>
      </c>
      <c r="R97" s="1791">
        <v>73.158791908509301</v>
      </c>
      <c r="S97" s="1006">
        <v>155.59806631207681</v>
      </c>
    </row>
    <row r="98" spans="1:19" ht="13.15" customHeight="1">
      <c r="A98" s="1001">
        <f t="shared" si="1"/>
        <v>2011.05</v>
      </c>
      <c r="B98" s="1003">
        <v>166.04795154153862</v>
      </c>
      <c r="C98" s="1785">
        <v>73.32301520833208</v>
      </c>
      <c r="D98" s="1791">
        <v>207.77662009950757</v>
      </c>
      <c r="E98" s="1794">
        <v>65.779474097196569</v>
      </c>
      <c r="F98" s="1791">
        <v>177.45537061666263</v>
      </c>
      <c r="G98" s="1794">
        <v>108.71703780537635</v>
      </c>
      <c r="H98" s="1791">
        <v>129.07345914074631</v>
      </c>
      <c r="I98" s="1794">
        <v>122.90302816971494</v>
      </c>
      <c r="J98" s="1791">
        <v>175.04833683911622</v>
      </c>
      <c r="K98" s="1794">
        <v>118.42590850796574</v>
      </c>
      <c r="L98" s="1791">
        <v>222.31290680009809</v>
      </c>
      <c r="M98" s="1794">
        <v>171.57194681446401</v>
      </c>
      <c r="N98" s="1791">
        <v>110.230976576609</v>
      </c>
      <c r="O98" s="1794">
        <v>254.07642170297996</v>
      </c>
      <c r="P98" s="1791">
        <v>245.55017915598651</v>
      </c>
      <c r="Q98" s="1794">
        <v>150.09690253189635</v>
      </c>
      <c r="R98" s="1791">
        <v>22.0846778759154</v>
      </c>
      <c r="S98" s="1006">
        <v>170.55847967943728</v>
      </c>
    </row>
    <row r="99" spans="1:19" ht="13.15" customHeight="1">
      <c r="A99" s="1001">
        <f t="shared" si="1"/>
        <v>2011.06</v>
      </c>
      <c r="B99" s="1003">
        <v>150.37683392939701</v>
      </c>
      <c r="C99" s="1785">
        <v>64.217601066273645</v>
      </c>
      <c r="D99" s="1791">
        <v>170.89159545857044</v>
      </c>
      <c r="E99" s="1794">
        <v>76.370633489213745</v>
      </c>
      <c r="F99" s="1791">
        <v>185.55257418480423</v>
      </c>
      <c r="G99" s="1794">
        <v>83.476507194115968</v>
      </c>
      <c r="H99" s="1791">
        <v>128.48493233281985</v>
      </c>
      <c r="I99" s="1794">
        <v>144.49540719091027</v>
      </c>
      <c r="J99" s="1791">
        <v>176.2358859272978</v>
      </c>
      <c r="K99" s="1794">
        <v>133.10773420024563</v>
      </c>
      <c r="L99" s="1791">
        <v>149.41587559416399</v>
      </c>
      <c r="M99" s="1794">
        <v>182.60814152140588</v>
      </c>
      <c r="N99" s="1791">
        <v>103.26164352333754</v>
      </c>
      <c r="O99" s="1794">
        <v>195.85402002306685</v>
      </c>
      <c r="P99" s="1791">
        <v>262.76507092095682</v>
      </c>
      <c r="Q99" s="1794">
        <v>136.52874286986403</v>
      </c>
      <c r="R99" s="1791">
        <v>62.5822447364826</v>
      </c>
      <c r="S99" s="1006">
        <v>160.13491522766461</v>
      </c>
    </row>
    <row r="100" spans="1:19" ht="13.15" customHeight="1">
      <c r="A100" s="1001">
        <f t="shared" si="1"/>
        <v>2011.07</v>
      </c>
      <c r="B100" s="1003">
        <v>170.37806629458305</v>
      </c>
      <c r="C100" s="1785">
        <v>69.398377515545022</v>
      </c>
      <c r="D100" s="1791">
        <v>163.01071011516811</v>
      </c>
      <c r="E100" s="1794">
        <v>84.285800446895564</v>
      </c>
      <c r="F100" s="1791">
        <v>187.82814179591946</v>
      </c>
      <c r="G100" s="1794">
        <v>108.17942233953481</v>
      </c>
      <c r="H100" s="1791">
        <v>117.08177985037383</v>
      </c>
      <c r="I100" s="1794">
        <v>177.94563723750858</v>
      </c>
      <c r="J100" s="1791">
        <v>184.56726234828258</v>
      </c>
      <c r="K100" s="1794">
        <v>126.2222493018416</v>
      </c>
      <c r="L100" s="1791">
        <v>150.55147139740617</v>
      </c>
      <c r="M100" s="1794">
        <v>363.89059772232099</v>
      </c>
      <c r="N100" s="1791">
        <v>113.42761166568818</v>
      </c>
      <c r="O100" s="1794">
        <v>227.13197203669324</v>
      </c>
      <c r="P100" s="1791">
        <v>265.62142096701911</v>
      </c>
      <c r="Q100" s="1794">
        <v>150.29435330781965</v>
      </c>
      <c r="R100" s="1791">
        <v>71.108822631043793</v>
      </c>
      <c r="S100" s="1006">
        <v>159.57875495400165</v>
      </c>
    </row>
    <row r="101" spans="1:19" ht="13.15" customHeight="1">
      <c r="A101" s="1001">
        <f t="shared" si="1"/>
        <v>2011.08</v>
      </c>
      <c r="B101" s="1003">
        <v>153.22523259427771</v>
      </c>
      <c r="C101" s="1785">
        <v>70.891849010059133</v>
      </c>
      <c r="D101" s="1791">
        <v>152.84821749617092</v>
      </c>
      <c r="E101" s="1794">
        <v>90.849758554781005</v>
      </c>
      <c r="F101" s="1791">
        <v>195.06380991710512</v>
      </c>
      <c r="G101" s="1794">
        <v>119.21798317731125</v>
      </c>
      <c r="H101" s="1791">
        <v>129.57500255970015</v>
      </c>
      <c r="I101" s="1794">
        <v>227.21825085683764</v>
      </c>
      <c r="J101" s="1791">
        <v>187.61897764195939</v>
      </c>
      <c r="K101" s="1794">
        <v>142.8756781324966</v>
      </c>
      <c r="L101" s="1791">
        <v>139.63873217213327</v>
      </c>
      <c r="M101" s="1794">
        <v>152.25900594499313</v>
      </c>
      <c r="N101" s="1791">
        <v>127.59167564395989</v>
      </c>
      <c r="O101" s="1794">
        <v>207.63559377866019</v>
      </c>
      <c r="P101" s="1791">
        <v>277.74870228629362</v>
      </c>
      <c r="Q101" s="1794">
        <v>139.28310773357654</v>
      </c>
      <c r="R101" s="1791">
        <v>78.842570270222495</v>
      </c>
      <c r="S101" s="1006">
        <v>169.33146502168273</v>
      </c>
    </row>
    <row r="102" spans="1:19" ht="13.15" customHeight="1">
      <c r="A102" s="1001">
        <f t="shared" si="1"/>
        <v>2011.09</v>
      </c>
      <c r="B102" s="1003">
        <v>162.00381960224126</v>
      </c>
      <c r="C102" s="1785">
        <v>70.427119243196699</v>
      </c>
      <c r="D102" s="1791">
        <v>194.90334985856819</v>
      </c>
      <c r="E102" s="1794">
        <v>94.504910942719249</v>
      </c>
      <c r="F102" s="1791">
        <v>194.27589373445787</v>
      </c>
      <c r="G102" s="1794">
        <v>93.104135312314838</v>
      </c>
      <c r="H102" s="1791">
        <v>147.33645718607971</v>
      </c>
      <c r="I102" s="1794">
        <v>335.22360906603922</v>
      </c>
      <c r="J102" s="1791">
        <v>187.02530145292621</v>
      </c>
      <c r="K102" s="1794">
        <v>149.27891181457349</v>
      </c>
      <c r="L102" s="1791">
        <v>128.6705812100565</v>
      </c>
      <c r="M102" s="1794">
        <v>160.47637090686891</v>
      </c>
      <c r="N102" s="1791">
        <v>157.84316007584502</v>
      </c>
      <c r="O102" s="1794">
        <v>229.81096864913749</v>
      </c>
      <c r="P102" s="1791">
        <v>219.54397322394834</v>
      </c>
      <c r="Q102" s="1794">
        <v>139.4926280779182</v>
      </c>
      <c r="R102" s="1791">
        <v>90.909680206819004</v>
      </c>
      <c r="S102" s="1006">
        <v>170.28957380651724</v>
      </c>
    </row>
    <row r="103" spans="1:19" ht="13.15" customHeight="1">
      <c r="A103" s="1001">
        <f t="shared" si="1"/>
        <v>2011.1</v>
      </c>
      <c r="B103" s="1003">
        <v>142.50243218233223</v>
      </c>
      <c r="C103" s="1785">
        <v>71.861928009687091</v>
      </c>
      <c r="D103" s="1791">
        <v>170.98027879155009</v>
      </c>
      <c r="E103" s="1794">
        <v>91.408113109401825</v>
      </c>
      <c r="F103" s="1791">
        <v>186.11095232152508</v>
      </c>
      <c r="G103" s="1794">
        <v>87.022400911130958</v>
      </c>
      <c r="H103" s="1791">
        <v>120.86604223542517</v>
      </c>
      <c r="I103" s="1794">
        <v>155.77966634619497</v>
      </c>
      <c r="J103" s="1791">
        <v>186.70675545632483</v>
      </c>
      <c r="K103" s="1794">
        <v>126.20409276117891</v>
      </c>
      <c r="L103" s="1791">
        <v>118.33887546224304</v>
      </c>
      <c r="M103" s="1794">
        <v>117.05131474956821</v>
      </c>
      <c r="N103" s="1791">
        <v>117.3010003195056</v>
      </c>
      <c r="O103" s="1794">
        <v>175.46558528333861</v>
      </c>
      <c r="P103" s="1791">
        <v>214.61977925473283</v>
      </c>
      <c r="Q103" s="1794">
        <v>123.62678771931913</v>
      </c>
      <c r="R103" s="1791">
        <v>90.212204433026301</v>
      </c>
      <c r="S103" s="1006">
        <v>165.6165223051882</v>
      </c>
    </row>
    <row r="104" spans="1:19" ht="13.15" customHeight="1">
      <c r="A104" s="1001">
        <f t="shared" si="1"/>
        <v>2011.11</v>
      </c>
      <c r="B104" s="1003">
        <v>154.05336784179349</v>
      </c>
      <c r="C104" s="1785">
        <v>74.698981441410936</v>
      </c>
      <c r="D104" s="1791">
        <v>154.35435016530923</v>
      </c>
      <c r="E104" s="1794">
        <v>80.362538731629215</v>
      </c>
      <c r="F104" s="1791">
        <v>194.62495411237171</v>
      </c>
      <c r="G104" s="1794">
        <v>93.192075025962723</v>
      </c>
      <c r="H104" s="1791">
        <v>112.7023664126675</v>
      </c>
      <c r="I104" s="1794">
        <v>134.32944282823942</v>
      </c>
      <c r="J104" s="1791">
        <v>191.96975271501972</v>
      </c>
      <c r="K104" s="1794">
        <v>144.07663739521942</v>
      </c>
      <c r="L104" s="1791">
        <v>140.12341416719858</v>
      </c>
      <c r="M104" s="1794">
        <v>163.78547145573017</v>
      </c>
      <c r="N104" s="1791">
        <v>142.92691362959798</v>
      </c>
      <c r="O104" s="1794">
        <v>289.15853453711907</v>
      </c>
      <c r="P104" s="1791">
        <v>203.1394649805676</v>
      </c>
      <c r="Q104" s="1794">
        <v>135.90332339369115</v>
      </c>
      <c r="R104" s="1791">
        <v>91.399980172626798</v>
      </c>
      <c r="S104" s="1006">
        <v>159.59923649188642</v>
      </c>
    </row>
    <row r="105" spans="1:19" ht="13.15" customHeight="1">
      <c r="A105" s="1001">
        <f t="shared" si="1"/>
        <v>2011.12</v>
      </c>
      <c r="B105" s="1003">
        <v>143.18771072735899</v>
      </c>
      <c r="C105" s="1785">
        <v>73.408613529091312</v>
      </c>
      <c r="D105" s="1791">
        <v>143.80738502441835</v>
      </c>
      <c r="E105" s="1794">
        <v>89.174172725316126</v>
      </c>
      <c r="F105" s="1791">
        <v>220.074473382246</v>
      </c>
      <c r="G105" s="1794">
        <v>82.837312952867364</v>
      </c>
      <c r="H105" s="1791">
        <v>124.02441431870353</v>
      </c>
      <c r="I105" s="1794">
        <v>111.30014169870299</v>
      </c>
      <c r="J105" s="1791">
        <v>184.55583867178711</v>
      </c>
      <c r="K105" s="1794">
        <v>127.20516660883361</v>
      </c>
      <c r="L105" s="1791">
        <v>89.088387206030745</v>
      </c>
      <c r="M105" s="1794">
        <v>174.64716463239</v>
      </c>
      <c r="N105" s="1791">
        <v>116.90323347842669</v>
      </c>
      <c r="O105" s="1794">
        <v>221.59521132231811</v>
      </c>
      <c r="P105" s="1791">
        <v>186.18472632324986</v>
      </c>
      <c r="Q105" s="1794">
        <v>127.41134779586766</v>
      </c>
      <c r="R105" s="1791">
        <v>99.149064728975006</v>
      </c>
      <c r="S105" s="1006">
        <v>154.20626833466602</v>
      </c>
    </row>
    <row r="106" spans="1:19" ht="13.15" customHeight="1">
      <c r="A106" s="1001">
        <f t="shared" si="1"/>
        <v>2012.01</v>
      </c>
      <c r="B106" s="1003">
        <v>114.92012017282724</v>
      </c>
      <c r="C106" s="1785">
        <v>79.01335178033365</v>
      </c>
      <c r="D106" s="1791">
        <v>125.88569436630817</v>
      </c>
      <c r="E106" s="1794">
        <v>84.02328105205244</v>
      </c>
      <c r="F106" s="1791">
        <v>184.76881780831874</v>
      </c>
      <c r="G106" s="1794">
        <v>71.764735719787993</v>
      </c>
      <c r="H106" s="1791">
        <v>122.42045126882037</v>
      </c>
      <c r="I106" s="1794">
        <v>85.783943424792568</v>
      </c>
      <c r="J106" s="1791">
        <v>149.3510216739468</v>
      </c>
      <c r="K106" s="1794">
        <v>110.22793689291385</v>
      </c>
      <c r="L106" s="1791">
        <v>63.857951506775258</v>
      </c>
      <c r="M106" s="1794">
        <v>72.942697889956065</v>
      </c>
      <c r="N106" s="1791">
        <v>116.73333674908308</v>
      </c>
      <c r="O106" s="1794">
        <v>184.94841975272695</v>
      </c>
      <c r="P106" s="1791">
        <v>185.79227930099245</v>
      </c>
      <c r="Q106" s="1794">
        <v>98.633455219179055</v>
      </c>
      <c r="R106" s="1791">
        <v>75.880456194784202</v>
      </c>
      <c r="S106" s="1006">
        <v>117.72850396053083</v>
      </c>
    </row>
    <row r="107" spans="1:19" ht="13.15" customHeight="1">
      <c r="A107" s="1001">
        <f t="shared" si="1"/>
        <v>2012.02</v>
      </c>
      <c r="B107" s="1003">
        <v>126.29799466650474</v>
      </c>
      <c r="C107" s="1785">
        <v>66.382964643637621</v>
      </c>
      <c r="D107" s="1791">
        <v>113.43215628567609</v>
      </c>
      <c r="E107" s="1794">
        <v>76.86017464714493</v>
      </c>
      <c r="F107" s="1791">
        <v>175.38969138173977</v>
      </c>
      <c r="G107" s="1794">
        <v>49.602519387324129</v>
      </c>
      <c r="H107" s="1791">
        <v>92.220111229200114</v>
      </c>
      <c r="I107" s="1794">
        <v>98.762546315310757</v>
      </c>
      <c r="J107" s="1791">
        <v>159.52251895544271</v>
      </c>
      <c r="K107" s="1794">
        <v>95.777529642811913</v>
      </c>
      <c r="L107" s="1791">
        <v>80.570310226404899</v>
      </c>
      <c r="M107" s="1794">
        <v>261.97917808079302</v>
      </c>
      <c r="N107" s="1791">
        <v>95.508264831125672</v>
      </c>
      <c r="O107" s="1794">
        <v>177.33047708599284</v>
      </c>
      <c r="P107" s="1791">
        <v>168.3129898968163</v>
      </c>
      <c r="Q107" s="1794">
        <v>118.48778513283791</v>
      </c>
      <c r="R107" s="1791">
        <v>81.093064739174196</v>
      </c>
      <c r="S107" s="1006">
        <v>120.40955660239909</v>
      </c>
    </row>
    <row r="108" spans="1:19" ht="13.15" customHeight="1">
      <c r="A108" s="1001">
        <f t="shared" si="1"/>
        <v>2012.03</v>
      </c>
      <c r="B108" s="1003">
        <v>138.59839968479628</v>
      </c>
      <c r="C108" s="1785">
        <v>72.098692121836692</v>
      </c>
      <c r="D108" s="1791">
        <v>122.48836290953157</v>
      </c>
      <c r="E108" s="1794">
        <v>91.234419938873302</v>
      </c>
      <c r="F108" s="1791">
        <v>187.79542615379336</v>
      </c>
      <c r="G108" s="1794">
        <v>87.374941270354327</v>
      </c>
      <c r="H108" s="1791">
        <v>124.78202961254989</v>
      </c>
      <c r="I108" s="1794">
        <v>115.20030552753668</v>
      </c>
      <c r="J108" s="1791">
        <v>184.49416352448833</v>
      </c>
      <c r="K108" s="1794">
        <v>113.81710674675277</v>
      </c>
      <c r="L108" s="1791">
        <v>108.11098698039849</v>
      </c>
      <c r="M108" s="1794">
        <v>149.17562755530511</v>
      </c>
      <c r="N108" s="1791">
        <v>118.4716574018607</v>
      </c>
      <c r="O108" s="1794">
        <v>209.34334578904623</v>
      </c>
      <c r="P108" s="1791">
        <v>251.70280339740438</v>
      </c>
      <c r="Q108" s="1794">
        <v>123.4579148118586</v>
      </c>
      <c r="R108" s="1791">
        <v>80.932674922646896</v>
      </c>
      <c r="S108" s="1006">
        <v>166.35294266152113</v>
      </c>
    </row>
    <row r="109" spans="1:19" ht="13.15" customHeight="1">
      <c r="A109" s="1001">
        <f t="shared" si="1"/>
        <v>2012.04</v>
      </c>
      <c r="B109" s="1003">
        <v>138.9871007113228</v>
      </c>
      <c r="C109" s="1785">
        <v>61.450001733183157</v>
      </c>
      <c r="D109" s="1791">
        <v>188.32184748633355</v>
      </c>
      <c r="E109" s="1794">
        <v>87.916655705760533</v>
      </c>
      <c r="F109" s="1791">
        <v>181.62654513109965</v>
      </c>
      <c r="G109" s="1794">
        <v>60.150783036911562</v>
      </c>
      <c r="H109" s="1791">
        <v>107.52105910180055</v>
      </c>
      <c r="I109" s="1794">
        <v>134.49678623854541</v>
      </c>
      <c r="J109" s="1791">
        <v>164.38670362479277</v>
      </c>
      <c r="K109" s="1794">
        <v>103.30323326357278</v>
      </c>
      <c r="L109" s="1791">
        <v>98.350222665486868</v>
      </c>
      <c r="M109" s="1794">
        <v>138.42442054223295</v>
      </c>
      <c r="N109" s="1791">
        <v>94.52800512410326</v>
      </c>
      <c r="O109" s="1794">
        <v>196.05241391657054</v>
      </c>
      <c r="P109" s="1791">
        <v>232.53729731110207</v>
      </c>
      <c r="Q109" s="1794">
        <v>115.61705803634821</v>
      </c>
      <c r="R109" s="1791">
        <v>80.124187581492393</v>
      </c>
      <c r="S109" s="1006">
        <v>150.16141915402454</v>
      </c>
    </row>
    <row r="110" spans="1:19" ht="13.15" customHeight="1">
      <c r="A110" s="1001">
        <f t="shared" si="1"/>
        <v>2012.05</v>
      </c>
      <c r="B110" s="1003">
        <v>148.13745201389312</v>
      </c>
      <c r="C110" s="1785">
        <v>75.034542148895738</v>
      </c>
      <c r="D110" s="1791">
        <v>194.43256839012</v>
      </c>
      <c r="E110" s="1794">
        <v>89.579355166125197</v>
      </c>
      <c r="F110" s="1791">
        <v>188.89220426734445</v>
      </c>
      <c r="G110" s="1794">
        <v>82.204244860076415</v>
      </c>
      <c r="H110" s="1791">
        <v>115.94342592058997</v>
      </c>
      <c r="I110" s="1794">
        <v>126.27727371827794</v>
      </c>
      <c r="J110" s="1791">
        <v>190.06068630075242</v>
      </c>
      <c r="K110" s="1794">
        <v>126.31933010859841</v>
      </c>
      <c r="L110" s="1791">
        <v>109.49375663780678</v>
      </c>
      <c r="M110" s="1794">
        <v>146.80911911838626</v>
      </c>
      <c r="N110" s="1791">
        <v>110.97553700823279</v>
      </c>
      <c r="O110" s="1794">
        <v>191.55246114353471</v>
      </c>
      <c r="P110" s="1791">
        <v>247.1687465167025</v>
      </c>
      <c r="Q110" s="1794">
        <v>129.97973394326601</v>
      </c>
      <c r="R110" s="1791">
        <v>80.5576554140805</v>
      </c>
      <c r="S110" s="1006">
        <v>154.78046830811562</v>
      </c>
    </row>
    <row r="111" spans="1:19" ht="13.15" customHeight="1">
      <c r="A111" s="1001">
        <f t="shared" si="1"/>
        <v>2012.06</v>
      </c>
      <c r="B111" s="1003">
        <v>146.56063035233777</v>
      </c>
      <c r="C111" s="1785">
        <v>66.924590392960837</v>
      </c>
      <c r="D111" s="1791">
        <v>162.22858722672112</v>
      </c>
      <c r="E111" s="1794">
        <v>83.545358709824569</v>
      </c>
      <c r="F111" s="1791">
        <v>172.60570813720727</v>
      </c>
      <c r="G111" s="1794">
        <v>78.196993518535763</v>
      </c>
      <c r="H111" s="1791">
        <v>112.85546874656696</v>
      </c>
      <c r="I111" s="1794">
        <v>108.03852878055662</v>
      </c>
      <c r="J111" s="1791">
        <v>178.1980219556782</v>
      </c>
      <c r="K111" s="1794">
        <v>124.81695196933239</v>
      </c>
      <c r="L111" s="1791">
        <v>147.62544016586119</v>
      </c>
      <c r="M111" s="1794">
        <v>168.40550609312305</v>
      </c>
      <c r="N111" s="1791">
        <v>113.34365644138101</v>
      </c>
      <c r="O111" s="1794">
        <v>231.50149259345991</v>
      </c>
      <c r="P111" s="1791">
        <v>238.43192996658695</v>
      </c>
      <c r="Q111" s="1794">
        <v>131.91815889449964</v>
      </c>
      <c r="R111" s="1791">
        <v>70.8622445054948</v>
      </c>
      <c r="S111" s="1006">
        <v>150.41026525065041</v>
      </c>
    </row>
    <row r="112" spans="1:19" ht="13.15" customHeight="1">
      <c r="A112" s="1001">
        <f t="shared" si="1"/>
        <v>2012.07</v>
      </c>
      <c r="B112" s="1003">
        <v>140.60412143587473</v>
      </c>
      <c r="C112" s="1785">
        <v>84.56938529716281</v>
      </c>
      <c r="D112" s="1791">
        <v>146.50189809934818</v>
      </c>
      <c r="E112" s="1794">
        <v>91.479064394376991</v>
      </c>
      <c r="F112" s="1791">
        <v>192.5785351845671</v>
      </c>
      <c r="G112" s="1794">
        <v>79.319353774610576</v>
      </c>
      <c r="H112" s="1791">
        <v>104.14809061055348</v>
      </c>
      <c r="I112" s="1794">
        <v>193.55762008761153</v>
      </c>
      <c r="J112" s="1791">
        <v>194.93860573905525</v>
      </c>
      <c r="K112" s="1794">
        <v>116.4262179302097</v>
      </c>
      <c r="L112" s="1791">
        <v>129.69230872069014</v>
      </c>
      <c r="M112" s="1794">
        <v>125.63850470293086</v>
      </c>
      <c r="N112" s="1791">
        <v>116.04440063659814</v>
      </c>
      <c r="O112" s="1794">
        <v>177.45600927921714</v>
      </c>
      <c r="P112" s="1791">
        <v>252.90401693026701</v>
      </c>
      <c r="Q112" s="1794">
        <v>126.79802951658223</v>
      </c>
      <c r="R112" s="1791">
        <v>85.925678953336202</v>
      </c>
      <c r="S112" s="1006">
        <v>155.06166951169374</v>
      </c>
    </row>
    <row r="113" spans="1:19" ht="13.15" customHeight="1">
      <c r="A113" s="1001">
        <f t="shared" si="1"/>
        <v>2012.08</v>
      </c>
      <c r="B113" s="1003">
        <v>158.14137386929278</v>
      </c>
      <c r="C113" s="1785">
        <v>84.937439709723634</v>
      </c>
      <c r="D113" s="1791">
        <v>137.10152416316606</v>
      </c>
      <c r="E113" s="1794">
        <v>98.49455954831059</v>
      </c>
      <c r="F113" s="1791">
        <v>206.53432021453719</v>
      </c>
      <c r="G113" s="1794">
        <v>57.336170392972747</v>
      </c>
      <c r="H113" s="1791">
        <v>139.23273232373361</v>
      </c>
      <c r="I113" s="1794">
        <v>203.73930476641252</v>
      </c>
      <c r="J113" s="1791">
        <v>206.95854741670016</v>
      </c>
      <c r="K113" s="1794">
        <v>124.48020468023769</v>
      </c>
      <c r="L113" s="1791">
        <v>222.0253344021524</v>
      </c>
      <c r="M113" s="1794">
        <v>179.90115826476421</v>
      </c>
      <c r="N113" s="1791">
        <v>115.28377375071905</v>
      </c>
      <c r="O113" s="1794">
        <v>221.91693817436743</v>
      </c>
      <c r="P113" s="1791">
        <v>263.71920931040813</v>
      </c>
      <c r="Q113" s="1794">
        <v>145.45799663169132</v>
      </c>
      <c r="R113" s="1791">
        <v>79.729480147950994</v>
      </c>
      <c r="S113" s="1006">
        <v>157.49076846630649</v>
      </c>
    </row>
    <row r="114" spans="1:19" ht="13.15" customHeight="1">
      <c r="A114" s="1001">
        <f t="shared" si="1"/>
        <v>2012.09</v>
      </c>
      <c r="B114" s="1003">
        <v>140.09152263576769</v>
      </c>
      <c r="C114" s="1785">
        <v>76.505536254722927</v>
      </c>
      <c r="D114" s="1791">
        <v>151.68001937499324</v>
      </c>
      <c r="E114" s="1794">
        <v>105.00580414781533</v>
      </c>
      <c r="F114" s="1791">
        <v>192.43126048890909</v>
      </c>
      <c r="G114" s="1794">
        <v>65.939431333080833</v>
      </c>
      <c r="H114" s="1791">
        <v>109.11819670540008</v>
      </c>
      <c r="I114" s="1794">
        <v>256.59063190070339</v>
      </c>
      <c r="J114" s="1791">
        <v>217.19090120183901</v>
      </c>
      <c r="K114" s="1794">
        <v>116.54036889149071</v>
      </c>
      <c r="L114" s="1791">
        <v>82.929815051532856</v>
      </c>
      <c r="M114" s="1794">
        <v>138.3377945539066</v>
      </c>
      <c r="N114" s="1791">
        <v>130.16243936866977</v>
      </c>
      <c r="O114" s="1794">
        <v>198.87496089003366</v>
      </c>
      <c r="P114" s="1791">
        <v>198.12107737086757</v>
      </c>
      <c r="Q114" s="1794">
        <v>122.83009721596066</v>
      </c>
      <c r="R114" s="1791">
        <v>75.163929528093803</v>
      </c>
      <c r="S114" s="1006">
        <v>150.88639867291187</v>
      </c>
    </row>
    <row r="115" spans="1:19" ht="13.15" customHeight="1">
      <c r="A115" s="1001">
        <f t="shared" si="1"/>
        <v>2012.1</v>
      </c>
      <c r="B115" s="1003">
        <v>142.03888147330966</v>
      </c>
      <c r="C115" s="1785">
        <v>89.485967085917508</v>
      </c>
      <c r="D115" s="1791">
        <v>116.03650203611056</v>
      </c>
      <c r="E115" s="1794">
        <v>107.8137040727474</v>
      </c>
      <c r="F115" s="1791">
        <v>214.130273329842</v>
      </c>
      <c r="G115" s="1794">
        <v>51.527683255647318</v>
      </c>
      <c r="H115" s="1791">
        <v>113.44331001797184</v>
      </c>
      <c r="I115" s="1794">
        <v>125.14258924571706</v>
      </c>
      <c r="J115" s="1791">
        <v>198.82115464257598</v>
      </c>
      <c r="K115" s="1794">
        <v>131.77921651596645</v>
      </c>
      <c r="L115" s="1791">
        <v>108.23556441454468</v>
      </c>
      <c r="M115" s="1794">
        <v>180.59858084056074</v>
      </c>
      <c r="N115" s="1791">
        <v>135.86320597673952</v>
      </c>
      <c r="O115" s="1794">
        <v>205.61299080040598</v>
      </c>
      <c r="P115" s="1791">
        <v>222.23928749217907</v>
      </c>
      <c r="Q115" s="1794">
        <v>128.73072847350423</v>
      </c>
      <c r="R115" s="1791">
        <v>68.745713709087198</v>
      </c>
      <c r="S115" s="1006">
        <v>162.85070510949393</v>
      </c>
    </row>
    <row r="116" spans="1:19" ht="13.15" customHeight="1">
      <c r="A116" s="1001">
        <f t="shared" si="1"/>
        <v>2012.11</v>
      </c>
      <c r="B116" s="1003">
        <v>139.32828364005877</v>
      </c>
      <c r="C116" s="1785">
        <v>92.14603172795141</v>
      </c>
      <c r="D116" s="1791">
        <v>109.04268746114725</v>
      </c>
      <c r="E116" s="1794">
        <v>98.615848756337002</v>
      </c>
      <c r="F116" s="1791">
        <v>237.95461533512267</v>
      </c>
      <c r="G116" s="1794">
        <v>55.872121973899432</v>
      </c>
      <c r="H116" s="1791">
        <v>105.8604783830954</v>
      </c>
      <c r="I116" s="1794">
        <v>133.04223410131087</v>
      </c>
      <c r="J116" s="1791">
        <v>235.09355485986262</v>
      </c>
      <c r="K116" s="1794">
        <v>135.63754418728078</v>
      </c>
      <c r="L116" s="1791">
        <v>113.50495970481911</v>
      </c>
      <c r="M116" s="1794">
        <v>138.17040316130993</v>
      </c>
      <c r="N116" s="1791">
        <v>136.24951690503659</v>
      </c>
      <c r="O116" s="1794">
        <v>235.28397330201</v>
      </c>
      <c r="P116" s="1791">
        <v>159.39729650916391</v>
      </c>
      <c r="Q116" s="1794">
        <v>129.59546186851037</v>
      </c>
      <c r="R116" s="1791">
        <v>77.203736685794794</v>
      </c>
      <c r="S116" s="1006">
        <v>141.27915282131394</v>
      </c>
    </row>
    <row r="117" spans="1:19" ht="13.15" customHeight="1">
      <c r="A117" s="1001">
        <f t="shared" si="1"/>
        <v>2012.12</v>
      </c>
      <c r="B117" s="1003">
        <v>146.45854440619036</v>
      </c>
      <c r="C117" s="1785">
        <v>83.949476149173591</v>
      </c>
      <c r="D117" s="1791">
        <v>91.299550662208944</v>
      </c>
      <c r="E117" s="1794">
        <v>86.396745437824023</v>
      </c>
      <c r="F117" s="1791">
        <v>221.02671534465583</v>
      </c>
      <c r="G117" s="1794">
        <v>69.524727517965331</v>
      </c>
      <c r="H117" s="1791">
        <v>93.148207390902172</v>
      </c>
      <c r="I117" s="1794">
        <v>129.86453765514818</v>
      </c>
      <c r="J117" s="1791">
        <v>199.92658654782312</v>
      </c>
      <c r="K117" s="1794">
        <v>105.27415617636186</v>
      </c>
      <c r="L117" s="1791">
        <v>206.3263594007658</v>
      </c>
      <c r="M117" s="1794">
        <v>203.85215682208306</v>
      </c>
      <c r="N117" s="1791">
        <v>165.44161733984336</v>
      </c>
      <c r="O117" s="1794">
        <v>252.42984618624627</v>
      </c>
      <c r="P117" s="1791">
        <v>183.99418159581006</v>
      </c>
      <c r="Q117" s="1794">
        <v>134.30543489656893</v>
      </c>
      <c r="R117" s="1791">
        <v>81.363683177810003</v>
      </c>
      <c r="S117" s="1006">
        <v>134.00531240214724</v>
      </c>
    </row>
    <row r="118" spans="1:19" ht="13.15" customHeight="1">
      <c r="A118" s="1001">
        <f t="shared" si="1"/>
        <v>2013.01</v>
      </c>
      <c r="B118" s="1003">
        <v>110.62194718075331</v>
      </c>
      <c r="C118" s="1785">
        <v>85.432859853384045</v>
      </c>
      <c r="D118" s="1791">
        <v>86.171528940134749</v>
      </c>
      <c r="E118" s="1794">
        <v>90.683394388538147</v>
      </c>
      <c r="F118" s="1791">
        <v>185.82623252033483</v>
      </c>
      <c r="G118" s="1794">
        <v>48.05821513197116</v>
      </c>
      <c r="H118" s="1791">
        <v>89.263002827625101</v>
      </c>
      <c r="I118" s="1794">
        <v>92.531363338093101</v>
      </c>
      <c r="J118" s="1791">
        <v>163.17820275521152</v>
      </c>
      <c r="K118" s="1794">
        <v>112.85232899623649</v>
      </c>
      <c r="L118" s="1791">
        <v>113.66960945425001</v>
      </c>
      <c r="M118" s="1794">
        <v>80.700454925342186</v>
      </c>
      <c r="N118" s="1791">
        <v>122.87699873407291</v>
      </c>
      <c r="O118" s="1794">
        <v>180.80249304387823</v>
      </c>
      <c r="P118" s="1791">
        <v>177.54908201880599</v>
      </c>
      <c r="Q118" s="1794">
        <v>99.75643910718577</v>
      </c>
      <c r="R118" s="1791">
        <v>86.217678655269495</v>
      </c>
      <c r="S118" s="1006">
        <v>102.32302685575705</v>
      </c>
    </row>
    <row r="119" spans="1:19" ht="13.15" customHeight="1">
      <c r="A119" s="1001">
        <f t="shared" si="1"/>
        <v>2013.02</v>
      </c>
      <c r="B119" s="1003">
        <v>111.94537087017669</v>
      </c>
      <c r="C119" s="1785">
        <v>74.783609167947816</v>
      </c>
      <c r="D119" s="1791">
        <v>57.801113379474586</v>
      </c>
      <c r="E119" s="1794">
        <v>76.346126200494055</v>
      </c>
      <c r="F119" s="1791">
        <v>184.15389594582066</v>
      </c>
      <c r="G119" s="1794">
        <v>61.003220798944255</v>
      </c>
      <c r="H119" s="1791">
        <v>88.238048987428868</v>
      </c>
      <c r="I119" s="1794">
        <v>99.686993557860802</v>
      </c>
      <c r="J119" s="1791">
        <v>164.57233299490943</v>
      </c>
      <c r="K119" s="1794">
        <v>92.463528895812189</v>
      </c>
      <c r="L119" s="1791">
        <v>201.70075366975669</v>
      </c>
      <c r="M119" s="1794">
        <v>101.81243717990792</v>
      </c>
      <c r="N119" s="1791">
        <v>99.352378296565149</v>
      </c>
      <c r="O119" s="1794">
        <v>135.66362737881971</v>
      </c>
      <c r="P119" s="1791">
        <v>178.68060319672082</v>
      </c>
      <c r="Q119" s="1794">
        <v>105.60807102481199</v>
      </c>
      <c r="R119" s="1791">
        <v>65.280829819967494</v>
      </c>
      <c r="S119" s="1006">
        <v>116.83974359776101</v>
      </c>
    </row>
    <row r="120" spans="1:19" ht="13.15" customHeight="1">
      <c r="A120" s="1001">
        <f t="shared" si="1"/>
        <v>2013.03</v>
      </c>
      <c r="B120" s="1003">
        <v>133.92792537333767</v>
      </c>
      <c r="C120" s="1785">
        <v>85.0730687078335</v>
      </c>
      <c r="D120" s="1791">
        <v>87.786408507545275</v>
      </c>
      <c r="E120" s="1794">
        <v>81.449378295341887</v>
      </c>
      <c r="F120" s="1791">
        <v>210.49999662118233</v>
      </c>
      <c r="G120" s="1794">
        <v>69.806931676861439</v>
      </c>
      <c r="H120" s="1791">
        <v>98.473877822223074</v>
      </c>
      <c r="I120" s="1794">
        <v>95.76253905447993</v>
      </c>
      <c r="J120" s="1791">
        <v>213.3583869542959</v>
      </c>
      <c r="K120" s="1794">
        <v>109.55015008318726</v>
      </c>
      <c r="L120" s="1791">
        <v>151.12274967169014</v>
      </c>
      <c r="M120" s="1794">
        <v>182.8163367139735</v>
      </c>
      <c r="N120" s="1791">
        <v>107.43294268542348</v>
      </c>
      <c r="O120" s="1794">
        <v>168.15811789267153</v>
      </c>
      <c r="P120" s="1791">
        <v>221.3426938937734</v>
      </c>
      <c r="Q120" s="1794">
        <v>117.4397470455304</v>
      </c>
      <c r="R120" s="1791">
        <v>73.305356360603895</v>
      </c>
      <c r="S120" s="1006">
        <v>144.29164478369344</v>
      </c>
    </row>
    <row r="121" spans="1:19" ht="13.15" customHeight="1">
      <c r="A121" s="1001">
        <f t="shared" si="1"/>
        <v>2013.04</v>
      </c>
      <c r="B121" s="1003">
        <v>138.81753682260899</v>
      </c>
      <c r="C121" s="1785">
        <v>86.456399932603901</v>
      </c>
      <c r="D121" s="1791">
        <v>180.74417128942392</v>
      </c>
      <c r="E121" s="1794">
        <v>76.576802514271009</v>
      </c>
      <c r="F121" s="1791">
        <v>191.07910001556724</v>
      </c>
      <c r="G121" s="1794">
        <v>68.524605423575466</v>
      </c>
      <c r="H121" s="1791">
        <v>100.46590520244422</v>
      </c>
      <c r="I121" s="1794">
        <v>144.02925605006064</v>
      </c>
      <c r="J121" s="1791">
        <v>190.11354361306746</v>
      </c>
      <c r="K121" s="1794">
        <v>115.98609124576635</v>
      </c>
      <c r="L121" s="1791">
        <v>89.535826590193921</v>
      </c>
      <c r="M121" s="1794">
        <v>115.61306351479324</v>
      </c>
      <c r="N121" s="1791">
        <v>126.46277194912962</v>
      </c>
      <c r="O121" s="1794">
        <v>210.27969484758043</v>
      </c>
      <c r="P121" s="1791">
        <v>237.7240583592677</v>
      </c>
      <c r="Q121" s="1794">
        <v>120.57342973218468</v>
      </c>
      <c r="R121" s="1791">
        <v>84.250699966363598</v>
      </c>
      <c r="S121" s="1006">
        <v>135.5393335162839</v>
      </c>
    </row>
    <row r="122" spans="1:19" ht="13.15" customHeight="1">
      <c r="A122" s="1001">
        <f t="shared" si="1"/>
        <v>2013.05</v>
      </c>
      <c r="B122" s="1003">
        <v>155.05512957052352</v>
      </c>
      <c r="C122" s="1785">
        <v>95.28745277335986</v>
      </c>
      <c r="D122" s="1791">
        <v>197.3689720821128</v>
      </c>
      <c r="E122" s="1794">
        <v>87.47312542957286</v>
      </c>
      <c r="F122" s="1791">
        <v>196.38899300734997</v>
      </c>
      <c r="G122" s="1794">
        <v>75.756436024081324</v>
      </c>
      <c r="H122" s="1791">
        <v>115.58921988876168</v>
      </c>
      <c r="I122" s="1794">
        <v>148.58856649119025</v>
      </c>
      <c r="J122" s="1791">
        <v>199.29775177873245</v>
      </c>
      <c r="K122" s="1794">
        <v>112.71003148488623</v>
      </c>
      <c r="L122" s="1791">
        <v>155.54279413061798</v>
      </c>
      <c r="M122" s="1794">
        <v>161.5058699627622</v>
      </c>
      <c r="N122" s="1791">
        <v>137.90244198939209</v>
      </c>
      <c r="O122" s="1794">
        <v>207.11893069379195</v>
      </c>
      <c r="P122" s="1791">
        <v>252.54795038240812</v>
      </c>
      <c r="Q122" s="1794">
        <v>132.5167274550808</v>
      </c>
      <c r="R122" s="1791">
        <v>81.9509622866683</v>
      </c>
      <c r="S122" s="1006">
        <v>137.61588789308303</v>
      </c>
    </row>
    <row r="123" spans="1:19" ht="13.15" customHeight="1">
      <c r="A123" s="1001">
        <f t="shared" si="1"/>
        <v>2013.06</v>
      </c>
      <c r="B123" s="1003">
        <v>170.53587206730421</v>
      </c>
      <c r="C123" s="1785">
        <v>76.37243601064354</v>
      </c>
      <c r="D123" s="1791">
        <v>201.51263255197716</v>
      </c>
      <c r="E123" s="1794">
        <v>78.540853159229698</v>
      </c>
      <c r="F123" s="1791">
        <v>179.48909316450872</v>
      </c>
      <c r="G123" s="1794">
        <v>64.52372231780484</v>
      </c>
      <c r="H123" s="1791">
        <v>86.869161536080654</v>
      </c>
      <c r="I123" s="1794">
        <v>121.98288908478609</v>
      </c>
      <c r="J123" s="1791">
        <v>206.42443795191153</v>
      </c>
      <c r="K123" s="1794">
        <v>101.23614957630311</v>
      </c>
      <c r="L123" s="1791">
        <v>293.47334514378286</v>
      </c>
      <c r="M123" s="1794">
        <v>257.42134961186446</v>
      </c>
      <c r="N123" s="1791">
        <v>134.81190904279688</v>
      </c>
      <c r="O123" s="1794">
        <v>203.24239850203745</v>
      </c>
      <c r="P123" s="1791">
        <v>215.31575471502219</v>
      </c>
      <c r="Q123" s="1794">
        <v>147.38572269275289</v>
      </c>
      <c r="R123" s="1791">
        <v>84.920036185479304</v>
      </c>
      <c r="S123" s="1006">
        <v>138.26670322823304</v>
      </c>
    </row>
    <row r="124" spans="1:19" ht="13.15" customHeight="1">
      <c r="A124" s="1001">
        <f t="shared" si="1"/>
        <v>2013.07</v>
      </c>
      <c r="B124" s="1003">
        <v>157.19380675833031</v>
      </c>
      <c r="C124" s="1785">
        <v>93.080340826069474</v>
      </c>
      <c r="D124" s="1791">
        <v>186.01424067938319</v>
      </c>
      <c r="E124" s="1794">
        <v>97.294823978717105</v>
      </c>
      <c r="F124" s="1791">
        <v>198.33719590355227</v>
      </c>
      <c r="G124" s="1794">
        <v>77.07772106965885</v>
      </c>
      <c r="H124" s="1791">
        <v>116.36915703506264</v>
      </c>
      <c r="I124" s="1794">
        <v>132.68808265471364</v>
      </c>
      <c r="J124" s="1791">
        <v>179.06477622932493</v>
      </c>
      <c r="K124" s="1794">
        <v>103.57320263855451</v>
      </c>
      <c r="L124" s="1791">
        <v>188.05846763259461</v>
      </c>
      <c r="M124" s="1794">
        <v>197.95464848503087</v>
      </c>
      <c r="N124" s="1791">
        <v>132.01634431630561</v>
      </c>
      <c r="O124" s="1794">
        <v>159.38166798026273</v>
      </c>
      <c r="P124" s="1791">
        <v>285.7769554314097</v>
      </c>
      <c r="Q124" s="1794">
        <v>135.77676524288219</v>
      </c>
      <c r="R124" s="1791">
        <v>83.035078394905895</v>
      </c>
      <c r="S124" s="1006">
        <v>150.60402152200425</v>
      </c>
    </row>
    <row r="125" spans="1:19" ht="13.15" customHeight="1">
      <c r="A125" s="1001">
        <f t="shared" si="1"/>
        <v>2013.08</v>
      </c>
      <c r="B125" s="1003">
        <v>148.90286581753733</v>
      </c>
      <c r="C125" s="1785">
        <v>96.545516284778401</v>
      </c>
      <c r="D125" s="1791">
        <v>183.7010540643337</v>
      </c>
      <c r="E125" s="1794">
        <v>97.877163012709829</v>
      </c>
      <c r="F125" s="1791">
        <v>186.95280528146736</v>
      </c>
      <c r="G125" s="1794">
        <v>85.472979661382368</v>
      </c>
      <c r="H125" s="1791">
        <v>115.57524593432932</v>
      </c>
      <c r="I125" s="1794">
        <v>234.77734452950648</v>
      </c>
      <c r="J125" s="1791">
        <v>191.00030914951375</v>
      </c>
      <c r="K125" s="1794">
        <v>109.03663424501421</v>
      </c>
      <c r="L125" s="1791">
        <v>99.053111466121621</v>
      </c>
      <c r="M125" s="1794">
        <v>146.06217249773022</v>
      </c>
      <c r="N125" s="1791">
        <v>125.34700271315242</v>
      </c>
      <c r="O125" s="1794">
        <v>186.09635675496941</v>
      </c>
      <c r="P125" s="1791">
        <v>272.87337294690582</v>
      </c>
      <c r="Q125" s="1794">
        <v>132.97733155860391</v>
      </c>
      <c r="R125" s="1791">
        <v>77.216809307209203</v>
      </c>
      <c r="S125" s="1006">
        <v>158.5505284381249</v>
      </c>
    </row>
    <row r="126" spans="1:19" ht="13.15" customHeight="1">
      <c r="A126" s="1001">
        <f t="shared" si="1"/>
        <v>2013.09</v>
      </c>
      <c r="B126" s="1003">
        <v>151.95648895403713</v>
      </c>
      <c r="C126" s="1785">
        <v>94.879368387762796</v>
      </c>
      <c r="D126" s="1791">
        <v>185.04893387823523</v>
      </c>
      <c r="E126" s="1794">
        <v>96.954141562910351</v>
      </c>
      <c r="F126" s="1791">
        <v>165.31726022746491</v>
      </c>
      <c r="G126" s="1794">
        <v>62.325126279904936</v>
      </c>
      <c r="H126" s="1791">
        <v>121.52578396780714</v>
      </c>
      <c r="I126" s="1794">
        <v>267.63306522185559</v>
      </c>
      <c r="J126" s="1791">
        <v>206.91089839149819</v>
      </c>
      <c r="K126" s="1794">
        <v>132.33168474587782</v>
      </c>
      <c r="L126" s="1791">
        <v>94.515696771537279</v>
      </c>
      <c r="M126" s="1794">
        <v>182.28319431596563</v>
      </c>
      <c r="N126" s="1791">
        <v>140.13410655652478</v>
      </c>
      <c r="O126" s="1794">
        <v>221.40697611077991</v>
      </c>
      <c r="P126" s="1791">
        <v>210.93889182065004</v>
      </c>
      <c r="Q126" s="1794">
        <v>128.97768544740595</v>
      </c>
      <c r="R126" s="1791">
        <v>71.221730529102103</v>
      </c>
      <c r="S126" s="1006">
        <v>153.76551867438224</v>
      </c>
    </row>
    <row r="127" spans="1:19" ht="13.15" customHeight="1">
      <c r="A127" s="1001">
        <f t="shared" si="1"/>
        <v>2013.1</v>
      </c>
      <c r="B127" s="1003">
        <v>155.52448024477729</v>
      </c>
      <c r="C127" s="1785">
        <v>103.97734983941039</v>
      </c>
      <c r="D127" s="1791">
        <v>148.07421679008777</v>
      </c>
      <c r="E127" s="1794">
        <v>102.22040723748668</v>
      </c>
      <c r="F127" s="1791">
        <v>232.48677193372401</v>
      </c>
      <c r="G127" s="1794">
        <v>80.907099003308375</v>
      </c>
      <c r="H127" s="1791">
        <v>121.61498638380642</v>
      </c>
      <c r="I127" s="1794">
        <v>155.31110009550605</v>
      </c>
      <c r="J127" s="1791">
        <v>224.20303926468236</v>
      </c>
      <c r="K127" s="1794">
        <v>144.96103351323723</v>
      </c>
      <c r="L127" s="1791">
        <v>165.67884989659638</v>
      </c>
      <c r="M127" s="1794">
        <v>160.71779523073079</v>
      </c>
      <c r="N127" s="1791">
        <v>135.60579183053378</v>
      </c>
      <c r="O127" s="1794">
        <v>201.41930361559858</v>
      </c>
      <c r="P127" s="1791">
        <v>204.92225994958025</v>
      </c>
      <c r="Q127" s="1794">
        <v>138.65180135344829</v>
      </c>
      <c r="R127" s="1791">
        <v>82.948850501320194</v>
      </c>
      <c r="S127" s="1006">
        <v>154.47401655863791</v>
      </c>
    </row>
    <row r="128" spans="1:19" ht="13.15" customHeight="1">
      <c r="A128" s="1001">
        <f t="shared" si="1"/>
        <v>2013.11</v>
      </c>
      <c r="B128" s="1003">
        <v>145.44442973092745</v>
      </c>
      <c r="C128" s="1785">
        <v>86.797283746799692</v>
      </c>
      <c r="D128" s="1791">
        <v>121.01107903545893</v>
      </c>
      <c r="E128" s="1794">
        <v>93.785611196640517</v>
      </c>
      <c r="F128" s="1791">
        <v>209.40667808620893</v>
      </c>
      <c r="G128" s="1794">
        <v>70.794736637396525</v>
      </c>
      <c r="H128" s="1791">
        <v>107.66090763634838</v>
      </c>
      <c r="I128" s="1794">
        <v>168.33455575068007</v>
      </c>
      <c r="J128" s="1791">
        <v>216.49890416622912</v>
      </c>
      <c r="K128" s="1794">
        <v>135.23770516709092</v>
      </c>
      <c r="L128" s="1791">
        <v>142.05324734623142</v>
      </c>
      <c r="M128" s="1794">
        <v>205.98855152976114</v>
      </c>
      <c r="N128" s="1791">
        <v>166.86762699229322</v>
      </c>
      <c r="O128" s="1794">
        <v>146.73805640078535</v>
      </c>
      <c r="P128" s="1791">
        <v>222.93201672159395</v>
      </c>
      <c r="Q128" s="1794">
        <v>129.36710179806497</v>
      </c>
      <c r="R128" s="1791">
        <v>81.523078918150304</v>
      </c>
      <c r="S128" s="1006">
        <v>155.04578031436003</v>
      </c>
    </row>
    <row r="129" spans="1:19" ht="13.15" customHeight="1">
      <c r="A129" s="1001">
        <f t="shared" si="1"/>
        <v>2013.12</v>
      </c>
      <c r="B129" s="1003">
        <v>172.82066635446895</v>
      </c>
      <c r="C129" s="1785">
        <v>88.275815901631844</v>
      </c>
      <c r="D129" s="1791">
        <v>84.131278044657165</v>
      </c>
      <c r="E129" s="1794">
        <v>96.684874893852992</v>
      </c>
      <c r="F129" s="1791">
        <v>229.94009993483564</v>
      </c>
      <c r="G129" s="1794">
        <v>72.593153101243203</v>
      </c>
      <c r="H129" s="1791">
        <v>111.6411470623294</v>
      </c>
      <c r="I129" s="1794">
        <v>170.17754210504677</v>
      </c>
      <c r="J129" s="1791">
        <v>272.40094278990335</v>
      </c>
      <c r="K129" s="1794">
        <v>121.52559127817749</v>
      </c>
      <c r="L129" s="1791">
        <v>312.73262608159143</v>
      </c>
      <c r="M129" s="1794">
        <v>345.23609633393608</v>
      </c>
      <c r="N129" s="1791">
        <v>142.32536277854734</v>
      </c>
      <c r="O129" s="1794">
        <v>191.78099393883019</v>
      </c>
      <c r="P129" s="1791">
        <v>186.29471792701807</v>
      </c>
      <c r="Q129" s="1794">
        <v>161.54889134557772</v>
      </c>
      <c r="R129" s="1791">
        <v>88.461176033444303</v>
      </c>
      <c r="S129" s="1006">
        <v>149.60439084637579</v>
      </c>
    </row>
    <row r="130" spans="1:19" ht="13.15" customHeight="1">
      <c r="A130" s="1001">
        <f t="shared" si="1"/>
        <v>2014.01</v>
      </c>
      <c r="B130" s="1003">
        <v>120.8439266857701</v>
      </c>
      <c r="C130" s="1785">
        <v>85.424378812880818</v>
      </c>
      <c r="D130" s="1791">
        <v>94.8085376406286</v>
      </c>
      <c r="E130" s="1794">
        <v>100.14177944529698</v>
      </c>
      <c r="F130" s="1791">
        <v>265.63342446864982</v>
      </c>
      <c r="G130" s="1794">
        <v>66.331236496031124</v>
      </c>
      <c r="H130" s="1791">
        <v>99.201767711750989</v>
      </c>
      <c r="I130" s="1794">
        <v>96.162117271922753</v>
      </c>
      <c r="J130" s="1791">
        <v>240.8343118928793</v>
      </c>
      <c r="K130" s="1794">
        <v>102.95472116609211</v>
      </c>
      <c r="L130" s="1791">
        <v>82.853123526834224</v>
      </c>
      <c r="M130" s="1794">
        <v>92.667862246887722</v>
      </c>
      <c r="N130" s="1791">
        <v>210.54354351473785</v>
      </c>
      <c r="O130" s="1794">
        <v>107.92490467668483</v>
      </c>
      <c r="P130" s="1791">
        <v>141.87120711590146</v>
      </c>
      <c r="Q130" s="1794">
        <v>108.55868838244015</v>
      </c>
      <c r="R130" s="1791">
        <v>81.722734219177397</v>
      </c>
      <c r="S130" s="1006">
        <v>123.32616480565216</v>
      </c>
    </row>
    <row r="131" spans="1:19" ht="13.15" customHeight="1">
      <c r="A131" s="1001">
        <f t="shared" si="1"/>
        <v>2014.02</v>
      </c>
      <c r="B131" s="1003">
        <v>118.10016537149856</v>
      </c>
      <c r="C131" s="1785">
        <v>71.169822322428757</v>
      </c>
      <c r="D131" s="1791">
        <v>76.206525912050054</v>
      </c>
      <c r="E131" s="1794">
        <v>88.036988286937984</v>
      </c>
      <c r="F131" s="1791">
        <v>233.69079608707588</v>
      </c>
      <c r="G131" s="1794">
        <v>63.042684945841948</v>
      </c>
      <c r="H131" s="1791">
        <v>86.727212899121469</v>
      </c>
      <c r="I131" s="1794">
        <v>104.5553741487319</v>
      </c>
      <c r="J131" s="1791">
        <v>228.05081462083706</v>
      </c>
      <c r="K131" s="1794">
        <v>109.23299075873753</v>
      </c>
      <c r="L131" s="1791">
        <v>108.88233416388896</v>
      </c>
      <c r="M131" s="1794">
        <v>118.93518304468193</v>
      </c>
      <c r="N131" s="1791">
        <v>193.28483853765147</v>
      </c>
      <c r="O131" s="1794">
        <v>112.45887979792964</v>
      </c>
      <c r="P131" s="1791">
        <v>185.66381449664314</v>
      </c>
      <c r="Q131" s="1794">
        <v>110.69615382510804</v>
      </c>
      <c r="R131" s="1791">
        <v>68.616464809771401</v>
      </c>
      <c r="S131" s="1006">
        <v>120.89249129105778</v>
      </c>
    </row>
    <row r="132" spans="1:19" ht="13.15" customHeight="1">
      <c r="A132" s="1001">
        <f t="shared" si="1"/>
        <v>2014.03</v>
      </c>
      <c r="B132" s="1003">
        <v>131.58738278196262</v>
      </c>
      <c r="C132" s="1785">
        <v>74.831780636592129</v>
      </c>
      <c r="D132" s="1791">
        <v>107.56344471827386</v>
      </c>
      <c r="E132" s="1794">
        <v>86.150840886260283</v>
      </c>
      <c r="F132" s="1791">
        <v>243.95282685951486</v>
      </c>
      <c r="G132" s="1794">
        <v>69.105772038051668</v>
      </c>
      <c r="H132" s="1791">
        <v>94.145160303686268</v>
      </c>
      <c r="I132" s="1794">
        <v>94.883839357857752</v>
      </c>
      <c r="J132" s="1791">
        <v>261.34029648305022</v>
      </c>
      <c r="K132" s="1794">
        <v>106.27970786060573</v>
      </c>
      <c r="L132" s="1791">
        <v>120.86238920393484</v>
      </c>
      <c r="M132" s="1794">
        <v>122.77720912710525</v>
      </c>
      <c r="N132" s="1791">
        <v>192.93682514520947</v>
      </c>
      <c r="O132" s="1794">
        <v>122.60028481447988</v>
      </c>
      <c r="P132" s="1791">
        <v>181.16408989861401</v>
      </c>
      <c r="Q132" s="1794">
        <v>121.06760096917502</v>
      </c>
      <c r="R132" s="1791">
        <v>74.688964658359794</v>
      </c>
      <c r="S132" s="1006">
        <v>144.1108965302993</v>
      </c>
    </row>
    <row r="133" spans="1:19" ht="13.15" customHeight="1">
      <c r="A133" s="1001">
        <f t="shared" si="1"/>
        <v>2014.04</v>
      </c>
      <c r="B133" s="1003">
        <v>146.79330752582555</v>
      </c>
      <c r="C133" s="1785">
        <v>82.874017938933221</v>
      </c>
      <c r="D133" s="1791">
        <v>203.73096242934162</v>
      </c>
      <c r="E133" s="1794">
        <v>85.832537660282853</v>
      </c>
      <c r="F133" s="1791">
        <v>240.89219019642226</v>
      </c>
      <c r="G133" s="1794">
        <v>75.696019725802927</v>
      </c>
      <c r="H133" s="1791">
        <v>88.85260176917896</v>
      </c>
      <c r="I133" s="1794">
        <v>104.80531618536317</v>
      </c>
      <c r="J133" s="1791">
        <v>220.48724846847816</v>
      </c>
      <c r="K133" s="1794">
        <v>124.94431293020472</v>
      </c>
      <c r="L133" s="1791">
        <v>103.17077439671026</v>
      </c>
      <c r="M133" s="1794">
        <v>151.52123745107568</v>
      </c>
      <c r="N133" s="1791">
        <v>181.28997447571322</v>
      </c>
      <c r="O133" s="1794">
        <v>125.01548618014488</v>
      </c>
      <c r="P133" s="1791">
        <v>196.0792835330856</v>
      </c>
      <c r="Q133" s="1794">
        <v>113.35730865167713</v>
      </c>
      <c r="R133" s="1791">
        <v>83.253284233259905</v>
      </c>
      <c r="S133" s="1006">
        <v>136.59537925755626</v>
      </c>
    </row>
    <row r="134" spans="1:19" ht="13.15" customHeight="1">
      <c r="A134" s="1001">
        <f t="shared" si="1"/>
        <v>2014.05</v>
      </c>
      <c r="B134" s="1003">
        <v>155.40797865374003</v>
      </c>
      <c r="C134" s="1785">
        <v>79.284323607319195</v>
      </c>
      <c r="D134" s="1791">
        <v>239.84543931565435</v>
      </c>
      <c r="E134" s="1794">
        <v>84.343438160525679</v>
      </c>
      <c r="F134" s="1791">
        <v>257.12276596122814</v>
      </c>
      <c r="G134" s="1794">
        <v>75.529705498962954</v>
      </c>
      <c r="H134" s="1791">
        <v>109.34048075214469</v>
      </c>
      <c r="I134" s="1794">
        <v>173.15760173254262</v>
      </c>
      <c r="J134" s="1791">
        <v>247.26254811995412</v>
      </c>
      <c r="K134" s="1794">
        <v>120.81248839985972</v>
      </c>
      <c r="L134" s="1791">
        <v>131.69899268368664</v>
      </c>
      <c r="M134" s="1794">
        <v>131.90466323650355</v>
      </c>
      <c r="N134" s="1791">
        <v>184.15382915153862</v>
      </c>
      <c r="O134" s="1794">
        <v>114.56214057264962</v>
      </c>
      <c r="P134" s="1791">
        <v>191.59144911337987</v>
      </c>
      <c r="Q134" s="1794">
        <v>106.21594053829114</v>
      </c>
      <c r="R134" s="1791">
        <v>69.716698967610895</v>
      </c>
      <c r="S134" s="1006">
        <v>128.03066630655536</v>
      </c>
    </row>
    <row r="135" spans="1:19" ht="13.15" customHeight="1">
      <c r="A135" s="1001">
        <f t="shared" si="1"/>
        <v>2014.06</v>
      </c>
      <c r="B135" s="1003">
        <v>150.95108551864246</v>
      </c>
      <c r="C135" s="1785">
        <v>76.567451061116316</v>
      </c>
      <c r="D135" s="1791">
        <v>215.64492119485658</v>
      </c>
      <c r="E135" s="1794">
        <v>83.266273057756365</v>
      </c>
      <c r="F135" s="1791">
        <v>230.53946160232175</v>
      </c>
      <c r="G135" s="1794">
        <v>65.857978004318724</v>
      </c>
      <c r="H135" s="1791">
        <v>93.425376841911444</v>
      </c>
      <c r="I135" s="1794">
        <v>82.541407336988925</v>
      </c>
      <c r="J135" s="1791">
        <v>258.98302435845022</v>
      </c>
      <c r="K135" s="1794">
        <v>112.71592482852435</v>
      </c>
      <c r="L135" s="1791">
        <v>114.522402500404</v>
      </c>
      <c r="M135" s="1794">
        <v>214.01001148576094</v>
      </c>
      <c r="N135" s="1791">
        <v>189.07976359919141</v>
      </c>
      <c r="O135" s="1794">
        <v>130.14828878553519</v>
      </c>
      <c r="P135" s="1791">
        <v>185.56749990953338</v>
      </c>
      <c r="Q135" s="1794">
        <v>64.696982331831833</v>
      </c>
      <c r="R135" s="1791">
        <v>63.405038369345696</v>
      </c>
      <c r="S135" s="1006">
        <v>106.91374563077822</v>
      </c>
    </row>
    <row r="136" spans="1:19" ht="13.15" customHeight="1">
      <c r="A136" s="1001">
        <f t="shared" si="1"/>
        <v>2014.07</v>
      </c>
      <c r="B136" s="1003">
        <v>147.19114009920594</v>
      </c>
      <c r="C136" s="1785">
        <v>87.562104345362272</v>
      </c>
      <c r="D136" s="1791">
        <v>195.50032996551352</v>
      </c>
      <c r="E136" s="1794">
        <v>89.849832110490127</v>
      </c>
      <c r="F136" s="1791">
        <v>256.89745554203523</v>
      </c>
      <c r="G136" s="1794">
        <v>67.39452489465215</v>
      </c>
      <c r="H136" s="1791">
        <v>108.74408786052577</v>
      </c>
      <c r="I136" s="1794">
        <v>142.82002160732975</v>
      </c>
      <c r="J136" s="1791">
        <v>223.31220182374312</v>
      </c>
      <c r="K136" s="1794">
        <v>117.02019005593343</v>
      </c>
      <c r="L136" s="1791">
        <v>120.23145975721492</v>
      </c>
      <c r="M136" s="1794">
        <v>139.55647545174872</v>
      </c>
      <c r="N136" s="1791">
        <v>229.73653742676132</v>
      </c>
      <c r="O136" s="1794">
        <v>102.20656372131801</v>
      </c>
      <c r="P136" s="1791">
        <v>228.51361342709893</v>
      </c>
      <c r="Q136" s="1794">
        <v>146.60848283222191</v>
      </c>
      <c r="R136" s="1791">
        <v>84.5254632206764</v>
      </c>
      <c r="S136" s="1006">
        <v>125.05119382963889</v>
      </c>
    </row>
    <row r="137" spans="1:19" ht="13.15" customHeight="1">
      <c r="A137" s="1001">
        <f t="shared" si="1"/>
        <v>2014.08</v>
      </c>
      <c r="B137" s="1003">
        <v>142.39521108767931</v>
      </c>
      <c r="C137" s="1785">
        <v>76.516837573844256</v>
      </c>
      <c r="D137" s="1791">
        <v>176.05380834516694</v>
      </c>
      <c r="E137" s="1794">
        <v>95.251068536368237</v>
      </c>
      <c r="F137" s="1791">
        <v>242.40750799447611</v>
      </c>
      <c r="G137" s="1794">
        <v>72.145438010595441</v>
      </c>
      <c r="H137" s="1791">
        <v>106.91430368270453</v>
      </c>
      <c r="I137" s="1794">
        <v>151.41601559680853</v>
      </c>
      <c r="J137" s="1791">
        <v>212.96589992798337</v>
      </c>
      <c r="K137" s="1794">
        <v>102.25071194745721</v>
      </c>
      <c r="L137" s="1791">
        <v>156.265260586978</v>
      </c>
      <c r="M137" s="1794">
        <v>115.37744823514232</v>
      </c>
      <c r="N137" s="1791">
        <v>185.2571190995485</v>
      </c>
      <c r="O137" s="1794">
        <v>110.40142675294125</v>
      </c>
      <c r="P137" s="1791">
        <v>193.94476439777006</v>
      </c>
      <c r="Q137" s="1794">
        <v>152.3715122196985</v>
      </c>
      <c r="R137" s="1791">
        <v>61.334974923567103</v>
      </c>
      <c r="S137" s="1006">
        <v>134.76108440845218</v>
      </c>
    </row>
    <row r="138" spans="1:19" ht="13.15" customHeight="1">
      <c r="A138" s="1001">
        <f t="shared" si="1"/>
        <v>2014.09</v>
      </c>
      <c r="B138" s="1003">
        <v>157.06865802226014</v>
      </c>
      <c r="C138" s="1785">
        <v>85.142610234861337</v>
      </c>
      <c r="D138" s="1791">
        <v>169.36023493366483</v>
      </c>
      <c r="E138" s="1794">
        <v>100.75816967150099</v>
      </c>
      <c r="F138" s="1791">
        <v>252.56101511244981</v>
      </c>
      <c r="G138" s="1794">
        <v>76.652038415512195</v>
      </c>
      <c r="H138" s="1791">
        <v>97.481426089544428</v>
      </c>
      <c r="I138" s="1794">
        <v>190.57287534270665</v>
      </c>
      <c r="J138" s="1791">
        <v>342.88372381976075</v>
      </c>
      <c r="K138" s="1794">
        <v>121.34157597937697</v>
      </c>
      <c r="L138" s="1791">
        <v>130.79312107128001</v>
      </c>
      <c r="M138" s="1794">
        <v>156.21009929596963</v>
      </c>
      <c r="N138" s="1791">
        <v>215.71253588479632</v>
      </c>
      <c r="O138" s="1794">
        <v>126.0822985374689</v>
      </c>
      <c r="P138" s="1791">
        <v>236.17577767678006</v>
      </c>
      <c r="Q138" s="1794">
        <v>115.42321006939633</v>
      </c>
      <c r="R138" s="1791">
        <v>63.270757133759801</v>
      </c>
      <c r="S138" s="1006">
        <v>144.84625390488199</v>
      </c>
    </row>
    <row r="139" spans="1:19" ht="13.15" customHeight="1">
      <c r="A139" s="1001">
        <f t="shared" si="1"/>
        <v>2014.1</v>
      </c>
      <c r="B139" s="1003">
        <v>151.30504809841989</v>
      </c>
      <c r="C139" s="1785">
        <v>97.638669362754328</v>
      </c>
      <c r="D139" s="1791">
        <v>150.15192363142222</v>
      </c>
      <c r="E139" s="1794">
        <v>109.00013653162266</v>
      </c>
      <c r="F139" s="1791">
        <v>278.87779931758621</v>
      </c>
      <c r="G139" s="1794">
        <v>82.419176181773636</v>
      </c>
      <c r="H139" s="1791">
        <v>106.41827084862615</v>
      </c>
      <c r="I139" s="1794">
        <v>116.97046913432719</v>
      </c>
      <c r="J139" s="1791">
        <v>246.99461942243389</v>
      </c>
      <c r="K139" s="1794">
        <v>130.21545639557081</v>
      </c>
      <c r="L139" s="1791">
        <v>116.40813365928804</v>
      </c>
      <c r="M139" s="1794">
        <v>160.61724082990361</v>
      </c>
      <c r="N139" s="1791">
        <v>217.35854319431795</v>
      </c>
      <c r="O139" s="1794">
        <v>134.34201205008537</v>
      </c>
      <c r="P139" s="1791">
        <v>203.63776260798943</v>
      </c>
      <c r="Q139" s="1794">
        <v>199.95768408794041</v>
      </c>
      <c r="R139" s="1791">
        <v>77.625760936039597</v>
      </c>
      <c r="S139" s="1006">
        <v>148.08278544772929</v>
      </c>
    </row>
    <row r="140" spans="1:19" ht="13.15" customHeight="1">
      <c r="A140" s="1001">
        <f t="shared" si="1"/>
        <v>2014.11</v>
      </c>
      <c r="B140" s="1003">
        <v>149.13668719892021</v>
      </c>
      <c r="C140" s="1785">
        <v>88.656391114955852</v>
      </c>
      <c r="D140" s="1791">
        <v>154.28080354578998</v>
      </c>
      <c r="E140" s="1794">
        <v>85.872115987484221</v>
      </c>
      <c r="F140" s="1791">
        <v>246.95404303176315</v>
      </c>
      <c r="G140" s="1794">
        <v>66.849887263973102</v>
      </c>
      <c r="H140" s="1791">
        <v>89.696278074173961</v>
      </c>
      <c r="I140" s="1794">
        <v>113.33618212175824</v>
      </c>
      <c r="J140" s="1791">
        <v>229.24333886632979</v>
      </c>
      <c r="K140" s="1794">
        <v>120.47782702616992</v>
      </c>
      <c r="L140" s="1791">
        <v>186.47279651891486</v>
      </c>
      <c r="M140" s="1794">
        <v>154.2450795462546</v>
      </c>
      <c r="N140" s="1791">
        <v>207.04146561988259</v>
      </c>
      <c r="O140" s="1794">
        <v>145.95831705382636</v>
      </c>
      <c r="P140" s="1791">
        <v>226.40296832983594</v>
      </c>
      <c r="Q140" s="1794">
        <v>119.30862498616281</v>
      </c>
      <c r="R140" s="1791">
        <v>71.355333338454201</v>
      </c>
      <c r="S140" s="1006">
        <v>134.74584220280687</v>
      </c>
    </row>
    <row r="141" spans="1:19" ht="13.15" customHeight="1">
      <c r="A141" s="1001">
        <f t="shared" si="1"/>
        <v>2014.12</v>
      </c>
      <c r="B141" s="1003">
        <v>141.78252678770036</v>
      </c>
      <c r="C141" s="1785">
        <v>91.880269734913654</v>
      </c>
      <c r="D141" s="1791">
        <v>121.74274621237136</v>
      </c>
      <c r="E141" s="1794">
        <v>90.057145294609413</v>
      </c>
      <c r="F141" s="1791">
        <v>261.70119325958598</v>
      </c>
      <c r="G141" s="1794">
        <v>62.473544055952864</v>
      </c>
      <c r="H141" s="1791">
        <v>93.731649286681062</v>
      </c>
      <c r="I141" s="1794">
        <v>120.10361283437751</v>
      </c>
      <c r="J141" s="1791">
        <v>306.0368434842801</v>
      </c>
      <c r="K141" s="1794">
        <v>113.73743975181712</v>
      </c>
      <c r="L141" s="1791">
        <v>93.149496421331349</v>
      </c>
      <c r="M141" s="1794">
        <v>171.36500095843323</v>
      </c>
      <c r="N141" s="1791">
        <v>217.33482992884822</v>
      </c>
      <c r="O141" s="1794">
        <v>138.73615810577505</v>
      </c>
      <c r="P141" s="1791">
        <v>234.45724990036564</v>
      </c>
      <c r="Q141" s="1794">
        <v>128.51331515345078</v>
      </c>
      <c r="R141" s="1791">
        <v>73.579394594851493</v>
      </c>
      <c r="S141" s="1006">
        <v>125.19416780167835</v>
      </c>
    </row>
    <row r="142" spans="1:19" ht="13.15" customHeight="1">
      <c r="A142" s="1001">
        <f t="shared" si="1"/>
        <v>2015.01</v>
      </c>
      <c r="B142" s="1003">
        <v>110.45005424984539</v>
      </c>
      <c r="C142" s="1785">
        <v>85.881797316102293</v>
      </c>
      <c r="D142" s="1791">
        <v>86.979829438919126</v>
      </c>
      <c r="E142" s="1794">
        <v>86.556624936497968</v>
      </c>
      <c r="F142" s="1791">
        <v>259.06509929653566</v>
      </c>
      <c r="G142" s="1794">
        <v>60.053572226767741</v>
      </c>
      <c r="H142" s="1791">
        <v>100.19457044527452</v>
      </c>
      <c r="I142" s="1794">
        <v>89.976637905827872</v>
      </c>
      <c r="J142" s="1791">
        <v>202.90182033236951</v>
      </c>
      <c r="K142" s="1794">
        <v>103.93710970717514</v>
      </c>
      <c r="L142" s="1791">
        <v>89.297231703719447</v>
      </c>
      <c r="M142" s="1794">
        <v>96.152171535835834</v>
      </c>
      <c r="N142" s="1791">
        <v>225.06963530507502</v>
      </c>
      <c r="O142" s="1794">
        <v>48.230328417213073</v>
      </c>
      <c r="P142" s="1791">
        <v>143.00878862638081</v>
      </c>
      <c r="Q142" s="1794">
        <v>100.05244069483987</v>
      </c>
      <c r="R142" s="1791">
        <v>65.181133986644596</v>
      </c>
      <c r="S142" s="1006">
        <v>108.23563281649767</v>
      </c>
    </row>
    <row r="143" spans="1:19" ht="13.15" customHeight="1">
      <c r="A143" s="1001">
        <f t="shared" si="1"/>
        <v>2015.02</v>
      </c>
      <c r="B143" s="1003">
        <v>114.12706525500859</v>
      </c>
      <c r="C143" s="1785">
        <v>80.516358679872937</v>
      </c>
      <c r="D143" s="1791">
        <v>100.54380869093696</v>
      </c>
      <c r="E143" s="1794">
        <v>85.299707114166623</v>
      </c>
      <c r="F143" s="1791">
        <v>212.61114327935732</v>
      </c>
      <c r="G143" s="1794">
        <v>56.129610590938555</v>
      </c>
      <c r="H143" s="1791">
        <v>92.163427494514423</v>
      </c>
      <c r="I143" s="1794">
        <v>104.066630145782</v>
      </c>
      <c r="J143" s="1791">
        <v>207.4676256858784</v>
      </c>
      <c r="K143" s="1794">
        <v>95.507680886860811</v>
      </c>
      <c r="L143" s="1791">
        <v>90.036352857103225</v>
      </c>
      <c r="M143" s="1794">
        <v>110.51103966258576</v>
      </c>
      <c r="N143" s="1791">
        <v>171.78184352828941</v>
      </c>
      <c r="O143" s="1794">
        <v>113.95813952227769</v>
      </c>
      <c r="P143" s="1791">
        <v>179.74304180453157</v>
      </c>
      <c r="Q143" s="1794">
        <v>118.13527887639017</v>
      </c>
      <c r="R143" s="1791">
        <v>63.955016463240703</v>
      </c>
      <c r="S143" s="1006">
        <v>105.04735523199558</v>
      </c>
    </row>
    <row r="144" spans="1:19" ht="13.15" customHeight="1">
      <c r="A144" s="1001">
        <f t="shared" si="1"/>
        <v>2015.03</v>
      </c>
      <c r="B144" s="1003">
        <v>128.59440176114077</v>
      </c>
      <c r="C144" s="1785">
        <v>85.777613011263185</v>
      </c>
      <c r="D144" s="1791">
        <v>118.07241967636222</v>
      </c>
      <c r="E144" s="1794">
        <v>91.635862189128019</v>
      </c>
      <c r="F144" s="1791">
        <v>223.15786903372407</v>
      </c>
      <c r="G144" s="1794">
        <v>59.604353210753835</v>
      </c>
      <c r="H144" s="1791">
        <v>88.289178692891738</v>
      </c>
      <c r="I144" s="1794">
        <v>92.687101278995215</v>
      </c>
      <c r="J144" s="1791">
        <v>233.15851574449351</v>
      </c>
      <c r="K144" s="1794">
        <v>105.38450397292637</v>
      </c>
      <c r="L144" s="1791">
        <v>103.20534846913681</v>
      </c>
      <c r="M144" s="1794">
        <v>151.40201771579126</v>
      </c>
      <c r="N144" s="1791">
        <v>196.34523283704144</v>
      </c>
      <c r="O144" s="1794">
        <v>118.97873883140765</v>
      </c>
      <c r="P144" s="1791">
        <v>201.42256747257207</v>
      </c>
      <c r="Q144" s="1794">
        <v>127.24582631894512</v>
      </c>
      <c r="R144" s="1791">
        <v>63.644882446305701</v>
      </c>
      <c r="S144" s="1006">
        <v>121.77994538748455</v>
      </c>
    </row>
    <row r="145" spans="1:19" ht="13.15" customHeight="1">
      <c r="A145" s="1001">
        <f t="shared" si="1"/>
        <v>2015.04</v>
      </c>
      <c r="B145" s="1003">
        <v>151.17783596266042</v>
      </c>
      <c r="C145" s="1785">
        <v>87.491875785357294</v>
      </c>
      <c r="D145" s="1791">
        <v>223.26468339115212</v>
      </c>
      <c r="E145" s="1794">
        <v>95.767969209661373</v>
      </c>
      <c r="F145" s="1791">
        <v>244.29158499376277</v>
      </c>
      <c r="G145" s="1794">
        <v>73.306063432003313</v>
      </c>
      <c r="H145" s="1791">
        <v>91.430708211673306</v>
      </c>
      <c r="I145" s="1794">
        <v>108.05778436854702</v>
      </c>
      <c r="J145" s="1791">
        <v>229.28485172870438</v>
      </c>
      <c r="K145" s="1794">
        <v>107.90344717368401</v>
      </c>
      <c r="L145" s="1791">
        <v>94.491185187397065</v>
      </c>
      <c r="M145" s="1794">
        <v>169.08912187995668</v>
      </c>
      <c r="N145" s="1791">
        <v>215.0743155635264</v>
      </c>
      <c r="O145" s="1794">
        <v>95.737078551748723</v>
      </c>
      <c r="P145" s="1791">
        <v>239.20734596832401</v>
      </c>
      <c r="Q145" s="1794">
        <v>152.70473984362852</v>
      </c>
      <c r="R145" s="1791">
        <v>74.899113003181498</v>
      </c>
      <c r="S145" s="1006">
        <v>132.62856128972587</v>
      </c>
    </row>
    <row r="146" spans="1:19" ht="13.15" customHeight="1">
      <c r="A146" s="1001">
        <f t="shared" si="1"/>
        <v>2015.05</v>
      </c>
      <c r="B146" s="1003">
        <v>136.4839694898412</v>
      </c>
      <c r="C146" s="1785">
        <v>81.407286453540692</v>
      </c>
      <c r="D146" s="1791">
        <v>185.14539332675727</v>
      </c>
      <c r="E146" s="1794">
        <v>94.20885941239348</v>
      </c>
      <c r="F146" s="1791">
        <v>225.73392726785426</v>
      </c>
      <c r="G146" s="1794">
        <v>58.657983444011911</v>
      </c>
      <c r="H146" s="1791">
        <v>96.34349724051566</v>
      </c>
      <c r="I146" s="1794">
        <v>104.23890292647056</v>
      </c>
      <c r="J146" s="1791">
        <v>199.57234929752019</v>
      </c>
      <c r="K146" s="1794">
        <v>101.85187079378203</v>
      </c>
      <c r="L146" s="1791">
        <v>88.768833149426513</v>
      </c>
      <c r="M146" s="1794">
        <v>133.85689626245951</v>
      </c>
      <c r="N146" s="1791">
        <v>242.02756213673973</v>
      </c>
      <c r="O146" s="1794">
        <v>85.871236545130287</v>
      </c>
      <c r="P146" s="1791">
        <v>263.59384822653294</v>
      </c>
      <c r="Q146" s="1794">
        <v>118.86020016108002</v>
      </c>
      <c r="R146" s="1791">
        <v>68.217239743783196</v>
      </c>
      <c r="S146" s="1006">
        <v>130.3982650989731</v>
      </c>
    </row>
    <row r="147" spans="1:19" ht="13.15" customHeight="1">
      <c r="A147" s="1001">
        <f t="shared" si="1"/>
        <v>2015.06</v>
      </c>
      <c r="B147" s="1003">
        <v>166.57966386147197</v>
      </c>
      <c r="C147" s="1785">
        <v>83.131327370441483</v>
      </c>
      <c r="D147" s="1791">
        <v>235.20315769650685</v>
      </c>
      <c r="E147" s="1794">
        <v>100.86406332720037</v>
      </c>
      <c r="F147" s="1791">
        <v>241.51615914302283</v>
      </c>
      <c r="G147" s="1794">
        <v>73.362164517504851</v>
      </c>
      <c r="H147" s="1791">
        <v>105.23660368120241</v>
      </c>
      <c r="I147" s="1794">
        <v>120.19610469463069</v>
      </c>
      <c r="J147" s="1791">
        <v>259.31708272337784</v>
      </c>
      <c r="K147" s="1794">
        <v>112.87425390161791</v>
      </c>
      <c r="L147" s="1791">
        <v>120.74764368811866</v>
      </c>
      <c r="M147" s="1794">
        <v>237.0306354309003</v>
      </c>
      <c r="N147" s="1791">
        <v>239.74693784527329</v>
      </c>
      <c r="O147" s="1794">
        <v>116.41485317419539</v>
      </c>
      <c r="P147" s="1791">
        <v>248.88333310774277</v>
      </c>
      <c r="Q147" s="1794">
        <v>152.87146132216722</v>
      </c>
      <c r="R147" s="1791">
        <v>70.627698230239403</v>
      </c>
      <c r="S147" s="1006">
        <v>136.51812615105294</v>
      </c>
    </row>
    <row r="148" spans="1:19" ht="13.15" customHeight="1">
      <c r="A148" s="1001">
        <f t="shared" si="1"/>
        <v>2015.07</v>
      </c>
      <c r="B148" s="1003">
        <v>154.2599162709254</v>
      </c>
      <c r="C148" s="1785">
        <v>81.635605261486191</v>
      </c>
      <c r="D148" s="1791">
        <v>248.86976980175208</v>
      </c>
      <c r="E148" s="1794">
        <v>108.30285239874065</v>
      </c>
      <c r="F148" s="1791">
        <v>269.55347745552211</v>
      </c>
      <c r="G148" s="1794">
        <v>69.144559769979153</v>
      </c>
      <c r="H148" s="1791">
        <v>92.13346586630378</v>
      </c>
      <c r="I148" s="1794">
        <v>116.50943525042327</v>
      </c>
      <c r="J148" s="1791">
        <v>188.39901506244834</v>
      </c>
      <c r="K148" s="1794">
        <v>107.39653537797496</v>
      </c>
      <c r="L148" s="1791">
        <v>109.41729069068658</v>
      </c>
      <c r="M148" s="1794">
        <v>111.24439960575552</v>
      </c>
      <c r="N148" s="1791">
        <v>266.37395408115236</v>
      </c>
      <c r="O148" s="1794">
        <v>98.250174712017099</v>
      </c>
      <c r="P148" s="1791">
        <v>302.3216286572096</v>
      </c>
      <c r="Q148" s="1794">
        <v>164.7272105528013</v>
      </c>
      <c r="R148" s="1791">
        <v>67.712484177218499</v>
      </c>
      <c r="S148" s="1006">
        <v>135.55855203909965</v>
      </c>
    </row>
    <row r="149" spans="1:19" ht="13.15" customHeight="1">
      <c r="A149" s="1001">
        <f t="shared" si="1"/>
        <v>2015.08</v>
      </c>
      <c r="B149" s="1003">
        <v>144.51754900842292</v>
      </c>
      <c r="C149" s="1785">
        <v>75.441349948267998</v>
      </c>
      <c r="D149" s="1791">
        <v>217.37270283678333</v>
      </c>
      <c r="E149" s="1794">
        <v>116.85033230386873</v>
      </c>
      <c r="F149" s="1791">
        <v>243.67626494628755</v>
      </c>
      <c r="G149" s="1794">
        <v>65.725768866461465</v>
      </c>
      <c r="H149" s="1791">
        <v>96.068839765178012</v>
      </c>
      <c r="I149" s="1794">
        <v>109.859546738175</v>
      </c>
      <c r="J149" s="1791">
        <v>181.43033834769227</v>
      </c>
      <c r="K149" s="1794">
        <v>102.80630997579529</v>
      </c>
      <c r="L149" s="1791">
        <v>113.54146697429699</v>
      </c>
      <c r="M149" s="1794">
        <v>116.99176946372781</v>
      </c>
      <c r="N149" s="1791">
        <v>218.31052703405456</v>
      </c>
      <c r="O149" s="1794">
        <v>101.89739678856498</v>
      </c>
      <c r="P149" s="1791">
        <v>243.58697180162736</v>
      </c>
      <c r="Q149" s="1794">
        <v>150.52533194102051</v>
      </c>
      <c r="R149" s="1791">
        <v>57.028292263000701</v>
      </c>
      <c r="S149" s="1006">
        <v>131.78525968697119</v>
      </c>
    </row>
    <row r="150" spans="1:19" ht="13.15" customHeight="1">
      <c r="A150" s="1001">
        <f t="shared" si="1"/>
        <v>2015.09</v>
      </c>
      <c r="B150" s="1003">
        <v>157.644390268156</v>
      </c>
      <c r="C150" s="1785">
        <v>82.51507552089366</v>
      </c>
      <c r="D150" s="1791">
        <v>194.43221223215625</v>
      </c>
      <c r="E150" s="1794">
        <v>131.52239516624581</v>
      </c>
      <c r="F150" s="1791">
        <v>246.43672598370091</v>
      </c>
      <c r="G150" s="1794">
        <v>73.661927823663248</v>
      </c>
      <c r="H150" s="1791">
        <v>101.80350166227736</v>
      </c>
      <c r="I150" s="1794">
        <v>224.48855215259832</v>
      </c>
      <c r="J150" s="1791">
        <v>235.24666149958111</v>
      </c>
      <c r="K150" s="1794">
        <v>120.51775575844729</v>
      </c>
      <c r="L150" s="1791">
        <v>121.53479353146699</v>
      </c>
      <c r="M150" s="1794">
        <v>171.39138623842877</v>
      </c>
      <c r="N150" s="1791">
        <v>260.6618825246822</v>
      </c>
      <c r="O150" s="1794">
        <v>111.66388191186452</v>
      </c>
      <c r="P150" s="1791">
        <v>259.27319976848844</v>
      </c>
      <c r="Q150" s="1794">
        <v>167.21513095675323</v>
      </c>
      <c r="R150" s="1791">
        <v>63.882744678752502</v>
      </c>
      <c r="S150" s="1006">
        <v>144.12885645932971</v>
      </c>
    </row>
    <row r="151" spans="1:19" ht="13.15" customHeight="1">
      <c r="A151" s="1001">
        <f t="shared" ref="A151:A214" si="2">A139+1</f>
        <v>2015.1</v>
      </c>
      <c r="B151" s="1003">
        <v>157.64343451460289</v>
      </c>
      <c r="C151" s="1785">
        <v>79.505833855170593</v>
      </c>
      <c r="D151" s="1791">
        <v>196.2304537912496</v>
      </c>
      <c r="E151" s="1794">
        <v>125.90154141555551</v>
      </c>
      <c r="F151" s="1791">
        <v>261.57970708001324</v>
      </c>
      <c r="G151" s="1794">
        <v>66.772369275707106</v>
      </c>
      <c r="H151" s="1791">
        <v>118.52522487346251</v>
      </c>
      <c r="I151" s="1794">
        <v>93.466278426291012</v>
      </c>
      <c r="J151" s="1791">
        <v>200.44521486700313</v>
      </c>
      <c r="K151" s="1794">
        <v>123.46396150848025</v>
      </c>
      <c r="L151" s="1791">
        <v>112.11623561094611</v>
      </c>
      <c r="M151" s="1794">
        <v>159.24723417536424</v>
      </c>
      <c r="N151" s="1791">
        <v>319.10636196669702</v>
      </c>
      <c r="O151" s="1794">
        <v>113.87168227248003</v>
      </c>
      <c r="P151" s="1791">
        <v>315.33292950305736</v>
      </c>
      <c r="Q151" s="1794">
        <v>154.29686352170268</v>
      </c>
      <c r="R151" s="1791">
        <v>64.583028042577794</v>
      </c>
      <c r="S151" s="1006">
        <v>160.8549868206037</v>
      </c>
    </row>
    <row r="152" spans="1:19" ht="13.15" customHeight="1">
      <c r="A152" s="1001">
        <f t="shared" si="2"/>
        <v>2015.11</v>
      </c>
      <c r="B152" s="1003">
        <v>149.10027630272253</v>
      </c>
      <c r="C152" s="1785">
        <v>70.316433100346771</v>
      </c>
      <c r="D152" s="1791">
        <v>157.34382139390434</v>
      </c>
      <c r="E152" s="1794">
        <v>128.30064376068373</v>
      </c>
      <c r="F152" s="1791">
        <v>252.39846447114314</v>
      </c>
      <c r="G152" s="1794">
        <v>66.819889054123735</v>
      </c>
      <c r="H152" s="1791">
        <v>106.92460410463934</v>
      </c>
      <c r="I152" s="1794">
        <v>94.432526720242663</v>
      </c>
      <c r="J152" s="1791">
        <v>204.99221046575451</v>
      </c>
      <c r="K152" s="1794">
        <v>122.31489561543707</v>
      </c>
      <c r="L152" s="1791">
        <v>107.60672829578726</v>
      </c>
      <c r="M152" s="1794">
        <v>211.68894756751746</v>
      </c>
      <c r="N152" s="1791">
        <v>226.05321055181244</v>
      </c>
      <c r="O152" s="1794">
        <v>93.206024235409146</v>
      </c>
      <c r="P152" s="1791">
        <v>298.36363731403827</v>
      </c>
      <c r="Q152" s="1794">
        <v>145.96141598736719</v>
      </c>
      <c r="R152" s="1791">
        <v>79.296901052467305</v>
      </c>
      <c r="S152" s="1006">
        <v>147.45432104774034</v>
      </c>
    </row>
    <row r="153" spans="1:19" ht="13.15" customHeight="1">
      <c r="A153" s="1001">
        <f t="shared" si="2"/>
        <v>2015.12</v>
      </c>
      <c r="B153" s="1003">
        <v>149.79117960881644</v>
      </c>
      <c r="C153" s="1785">
        <v>68.189399597104043</v>
      </c>
      <c r="D153" s="1791">
        <v>137.92947270961861</v>
      </c>
      <c r="E153" s="1794">
        <v>124.30352922497292</v>
      </c>
      <c r="F153" s="1791">
        <v>277.16939574259544</v>
      </c>
      <c r="G153" s="1794">
        <v>50.513551813803296</v>
      </c>
      <c r="H153" s="1791">
        <v>120.00376602170968</v>
      </c>
      <c r="I153" s="1794">
        <v>97.210508344707335</v>
      </c>
      <c r="J153" s="1791">
        <v>250.52685452213098</v>
      </c>
      <c r="K153" s="1794">
        <v>102.24698231680235</v>
      </c>
      <c r="L153" s="1791">
        <v>105.62784024573686</v>
      </c>
      <c r="M153" s="1794">
        <v>237.4525378090384</v>
      </c>
      <c r="N153" s="1791">
        <v>228.66995612201373</v>
      </c>
      <c r="O153" s="1794">
        <v>103.7951149506974</v>
      </c>
      <c r="P153" s="1791">
        <v>308.00957530947727</v>
      </c>
      <c r="Q153" s="1794">
        <v>127.3194413323089</v>
      </c>
      <c r="R153" s="1791">
        <v>89.744438029065805</v>
      </c>
      <c r="S153" s="1006">
        <v>130.08853605133839</v>
      </c>
    </row>
    <row r="154" spans="1:19" ht="13.15" customHeight="1">
      <c r="A154" s="1001">
        <f t="shared" si="2"/>
        <v>2016.01</v>
      </c>
      <c r="B154" s="1003">
        <v>120.98622806543</v>
      </c>
      <c r="C154" s="1785">
        <v>73.199630837037532</v>
      </c>
      <c r="D154" s="1791">
        <v>201.02439934330408</v>
      </c>
      <c r="E154" s="1794">
        <v>105.97633935780317</v>
      </c>
      <c r="F154" s="1791">
        <v>245.55309721136061</v>
      </c>
      <c r="G154" s="1794">
        <v>61.091235124247824</v>
      </c>
      <c r="H154" s="1791">
        <v>91.664832264985435</v>
      </c>
      <c r="I154" s="1794">
        <v>66.766546528394869</v>
      </c>
      <c r="J154" s="1791">
        <v>163.65647033351942</v>
      </c>
      <c r="K154" s="1794">
        <v>89.860876378688772</v>
      </c>
      <c r="L154" s="1791">
        <v>77.165566559189116</v>
      </c>
      <c r="M154" s="1794">
        <v>79.768687457703223</v>
      </c>
      <c r="N154" s="1791">
        <v>205.71838144936453</v>
      </c>
      <c r="O154" s="1794">
        <v>57.362308834803557</v>
      </c>
      <c r="P154" s="1791">
        <v>109.71843609873446</v>
      </c>
      <c r="Q154" s="1794">
        <v>136.3646021368539</v>
      </c>
      <c r="R154" s="1791">
        <v>89.905754698729098</v>
      </c>
      <c r="S154" s="1006">
        <v>91.343623030463476</v>
      </c>
    </row>
    <row r="155" spans="1:19" ht="13.15" customHeight="1">
      <c r="A155" s="1001">
        <f t="shared" si="2"/>
        <v>2016.02</v>
      </c>
      <c r="B155" s="1003">
        <v>123.6012594628489</v>
      </c>
      <c r="C155" s="1785">
        <v>76.182315815320251</v>
      </c>
      <c r="D155" s="1791">
        <v>165.84798317391062</v>
      </c>
      <c r="E155" s="1794">
        <v>110.0465869468611</v>
      </c>
      <c r="F155" s="1791">
        <v>242.83323393529338</v>
      </c>
      <c r="G155" s="1794">
        <v>62.534391101486818</v>
      </c>
      <c r="H155" s="1791">
        <v>91.577524477377011</v>
      </c>
      <c r="I155" s="1794">
        <v>70.113828441028346</v>
      </c>
      <c r="J155" s="1791">
        <v>184.0122620006216</v>
      </c>
      <c r="K155" s="1794">
        <v>94.31791673948068</v>
      </c>
      <c r="L155" s="1791">
        <v>107.88193548293157</v>
      </c>
      <c r="M155" s="1794">
        <v>97.233856537970624</v>
      </c>
      <c r="N155" s="1791">
        <v>180.45731579726032</v>
      </c>
      <c r="O155" s="1794">
        <v>81.150493309165924</v>
      </c>
      <c r="P155" s="1791">
        <v>171.15031749039184</v>
      </c>
      <c r="Q155" s="1794">
        <v>112.10104749987843</v>
      </c>
      <c r="R155" s="1791">
        <v>84.806464730216703</v>
      </c>
      <c r="S155" s="1006">
        <v>92.513566786668065</v>
      </c>
    </row>
    <row r="156" spans="1:19" ht="13.15" customHeight="1">
      <c r="A156" s="1001">
        <f t="shared" si="2"/>
        <v>2016.03</v>
      </c>
      <c r="B156" s="1003">
        <v>143.34114896253465</v>
      </c>
      <c r="C156" s="1785">
        <v>83.517673505567046</v>
      </c>
      <c r="D156" s="1791">
        <v>171.21783615338714</v>
      </c>
      <c r="E156" s="1794">
        <v>122.29434605415423</v>
      </c>
      <c r="F156" s="1791">
        <v>268.87632491601909</v>
      </c>
      <c r="G156" s="1794">
        <v>79.58712448495838</v>
      </c>
      <c r="H156" s="1791">
        <v>100.74379452151604</v>
      </c>
      <c r="I156" s="1794">
        <v>94.143687219365162</v>
      </c>
      <c r="J156" s="1791">
        <v>209.89786855078489</v>
      </c>
      <c r="K156" s="1794">
        <v>111.11524588822046</v>
      </c>
      <c r="L156" s="1791">
        <v>132.23404994841079</v>
      </c>
      <c r="M156" s="1794">
        <v>158.40460596958852</v>
      </c>
      <c r="N156" s="1791">
        <v>253.94960397256949</v>
      </c>
      <c r="O156" s="1794">
        <v>102.12095679490821</v>
      </c>
      <c r="P156" s="1791">
        <v>193.98472950698638</v>
      </c>
      <c r="Q156" s="1794">
        <v>163.09179406381946</v>
      </c>
      <c r="R156" s="1791">
        <v>80.164122917763905</v>
      </c>
      <c r="S156" s="1006">
        <v>97.711635275373609</v>
      </c>
    </row>
    <row r="157" spans="1:19" ht="13.15" customHeight="1">
      <c r="A157" s="1001">
        <f t="shared" si="2"/>
        <v>2016.04</v>
      </c>
      <c r="B157" s="1003">
        <v>133.42855272430782</v>
      </c>
      <c r="C157" s="1785">
        <v>70.376651985609314</v>
      </c>
      <c r="D157" s="1791">
        <v>195.92528577595616</v>
      </c>
      <c r="E157" s="1794">
        <v>90.227604669961863</v>
      </c>
      <c r="F157" s="1791">
        <v>251.98743545051479</v>
      </c>
      <c r="G157" s="1794">
        <v>60.730097003807856</v>
      </c>
      <c r="H157" s="1791">
        <v>100.93790694875082</v>
      </c>
      <c r="I157" s="1794">
        <v>107.42563726400701</v>
      </c>
      <c r="J157" s="1791">
        <v>163.53469498946785</v>
      </c>
      <c r="K157" s="1794">
        <v>107.7695643949028</v>
      </c>
      <c r="L157" s="1791">
        <v>97.293537683917776</v>
      </c>
      <c r="M157" s="1794">
        <v>141.00295566559709</v>
      </c>
      <c r="N157" s="1791">
        <v>195.1966232226483</v>
      </c>
      <c r="O157" s="1794">
        <v>96.940171697699412</v>
      </c>
      <c r="P157" s="1791">
        <v>203.61972812014199</v>
      </c>
      <c r="Q157" s="1794">
        <v>161.67125720548609</v>
      </c>
      <c r="R157" s="1791">
        <v>66.938427108305007</v>
      </c>
      <c r="S157" s="1006">
        <v>96.136805965946735</v>
      </c>
    </row>
    <row r="158" spans="1:19" ht="13.15" customHeight="1">
      <c r="A158" s="1001">
        <f t="shared" si="2"/>
        <v>2016.05</v>
      </c>
      <c r="B158" s="1003">
        <v>139.38575423960134</v>
      </c>
      <c r="C158" s="1785">
        <v>66.310563867750872</v>
      </c>
      <c r="D158" s="1791">
        <v>222.87148499914596</v>
      </c>
      <c r="E158" s="1794">
        <v>80.347688975077418</v>
      </c>
      <c r="F158" s="1791">
        <v>254.88603657445273</v>
      </c>
      <c r="G158" s="1794">
        <v>68.251985089799689</v>
      </c>
      <c r="H158" s="1791">
        <v>89.492559931896992</v>
      </c>
      <c r="I158" s="1794">
        <v>92.588442736112469</v>
      </c>
      <c r="J158" s="1791">
        <v>177.73657166210091</v>
      </c>
      <c r="K158" s="1794">
        <v>99.41583406983888</v>
      </c>
      <c r="L158" s="1791">
        <v>108.78788523008281</v>
      </c>
      <c r="M158" s="1794">
        <v>149.10489871403783</v>
      </c>
      <c r="N158" s="1791">
        <v>276.05345386681972</v>
      </c>
      <c r="O158" s="1794">
        <v>88.950614511158022</v>
      </c>
      <c r="P158" s="1791">
        <v>141.65833919759237</v>
      </c>
      <c r="Q158" s="1794">
        <v>160.15626975631341</v>
      </c>
      <c r="R158" s="1791">
        <v>79.615176972577999</v>
      </c>
      <c r="S158" s="1006">
        <v>97.739873517933518</v>
      </c>
    </row>
    <row r="159" spans="1:19" ht="13.15" customHeight="1">
      <c r="A159" s="1001">
        <f t="shared" si="2"/>
        <v>2016.06</v>
      </c>
      <c r="B159" s="1003">
        <v>141.30486640777463</v>
      </c>
      <c r="C159" s="1785">
        <v>59.829070118346174</v>
      </c>
      <c r="D159" s="1791">
        <v>235.20315769650685</v>
      </c>
      <c r="E159" s="1794">
        <v>88.204702320474922</v>
      </c>
      <c r="F159" s="1791">
        <v>247.80118150224706</v>
      </c>
      <c r="G159" s="1794">
        <v>65.830732477837344</v>
      </c>
      <c r="H159" s="1791">
        <v>85.650987829385343</v>
      </c>
      <c r="I159" s="1794">
        <v>91.098941981797495</v>
      </c>
      <c r="J159" s="1791">
        <v>203.72965559773212</v>
      </c>
      <c r="K159" s="1794">
        <v>102.0003551858881</v>
      </c>
      <c r="L159" s="1791">
        <v>114.52674449572709</v>
      </c>
      <c r="M159" s="1794">
        <v>124.10600507415627</v>
      </c>
      <c r="N159" s="1791">
        <v>211.11699028566758</v>
      </c>
      <c r="O159" s="1794">
        <v>88.0354926472599</v>
      </c>
      <c r="P159" s="1791">
        <v>237.08954272401687</v>
      </c>
      <c r="Q159" s="1794">
        <v>154.16303237033193</v>
      </c>
      <c r="R159" s="1791">
        <v>72.773753971275795</v>
      </c>
      <c r="S159" s="1006">
        <v>95.709015771728644</v>
      </c>
    </row>
    <row r="160" spans="1:19" ht="13.15" customHeight="1">
      <c r="A160" s="1001">
        <f t="shared" si="2"/>
        <v>2016.07</v>
      </c>
      <c r="B160" s="1003">
        <v>141.77980004847339</v>
      </c>
      <c r="C160" s="1785">
        <v>66.960993350323619</v>
      </c>
      <c r="D160" s="1791">
        <v>248.86976980175208</v>
      </c>
      <c r="E160" s="1794">
        <v>88.764167577496593</v>
      </c>
      <c r="F160" s="1791">
        <v>238.72775893090198</v>
      </c>
      <c r="G160" s="1794">
        <v>57.114215773340604</v>
      </c>
      <c r="H160" s="1791">
        <v>88.029903527702288</v>
      </c>
      <c r="I160" s="1794">
        <v>98.079276064192356</v>
      </c>
      <c r="J160" s="1791">
        <v>186.65433823158725</v>
      </c>
      <c r="K160" s="1794">
        <v>107.67180894019205</v>
      </c>
      <c r="L160" s="1791">
        <v>113.22784256089204</v>
      </c>
      <c r="M160" s="1794">
        <v>145.44128399255771</v>
      </c>
      <c r="N160" s="1791">
        <v>195.97041543316917</v>
      </c>
      <c r="O160" s="1794">
        <v>85.200613423594689</v>
      </c>
      <c r="P160" s="1791">
        <v>209.85209059505561</v>
      </c>
      <c r="Q160" s="1794">
        <v>145.72654260237343</v>
      </c>
      <c r="R160" s="1791">
        <v>77.194023022035097</v>
      </c>
      <c r="S160" s="1006">
        <v>87.242901106459087</v>
      </c>
    </row>
    <row r="161" spans="1:19" ht="13.15" customHeight="1">
      <c r="A161" s="1001">
        <f t="shared" si="2"/>
        <v>2016.08</v>
      </c>
      <c r="B161" s="1003">
        <v>154.16798057114357</v>
      </c>
      <c r="C161" s="1785">
        <v>73.449839494004209</v>
      </c>
      <c r="D161" s="1791">
        <v>189.65524354304162</v>
      </c>
      <c r="E161" s="1794">
        <v>103.90804934815127</v>
      </c>
      <c r="F161" s="1791">
        <v>255.73120207030337</v>
      </c>
      <c r="G161" s="1794">
        <v>72.930045522873201</v>
      </c>
      <c r="H161" s="1791">
        <v>85.64895236288946</v>
      </c>
      <c r="I161" s="1794">
        <v>91.921263627456483</v>
      </c>
      <c r="J161" s="1791">
        <v>200.25046326872553</v>
      </c>
      <c r="K161" s="1794">
        <v>116.35987496536092</v>
      </c>
      <c r="L161" s="1791">
        <v>127.50331161584768</v>
      </c>
      <c r="M161" s="1794">
        <v>260.18714107773019</v>
      </c>
      <c r="N161" s="1791">
        <v>249.29980019197552</v>
      </c>
      <c r="O161" s="1794">
        <v>135.41904625337179</v>
      </c>
      <c r="P161" s="1791">
        <v>232.02009439091668</v>
      </c>
      <c r="Q161" s="1794">
        <v>138.78524176327372</v>
      </c>
      <c r="R161" s="1791">
        <v>72.184160221484603</v>
      </c>
      <c r="S161" s="1006">
        <v>100.5317433245507</v>
      </c>
    </row>
    <row r="162" spans="1:19" ht="13.15" customHeight="1">
      <c r="A162" s="1001">
        <f t="shared" si="2"/>
        <v>2016.09</v>
      </c>
      <c r="B162" s="1003">
        <v>156.78339949768142</v>
      </c>
      <c r="C162" s="1785">
        <v>75.352150822622221</v>
      </c>
      <c r="D162" s="1791">
        <v>175.44127600713682</v>
      </c>
      <c r="E162" s="1794">
        <v>100.85152034135905</v>
      </c>
      <c r="F162" s="1791">
        <v>232.73510364774035</v>
      </c>
      <c r="G162" s="1794">
        <v>73.080239485240526</v>
      </c>
      <c r="H162" s="1791">
        <v>94.443964542190798</v>
      </c>
      <c r="I162" s="1794">
        <v>140.43667787528685</v>
      </c>
      <c r="J162" s="1791">
        <v>228.13652971793633</v>
      </c>
      <c r="K162" s="1794">
        <v>123.55117300587182</v>
      </c>
      <c r="L162" s="1791">
        <v>128.38319257712811</v>
      </c>
      <c r="M162" s="1794">
        <v>280.2867452802189</v>
      </c>
      <c r="N162" s="1791">
        <v>261.12410011564168</v>
      </c>
      <c r="O162" s="1794">
        <v>146.09813293002037</v>
      </c>
      <c r="P162" s="1791">
        <v>289.17748242642836</v>
      </c>
      <c r="Q162" s="1794">
        <v>165.53256272547756</v>
      </c>
      <c r="R162" s="1791">
        <v>64.233417522015202</v>
      </c>
      <c r="S162" s="1006">
        <v>95.160995790902007</v>
      </c>
    </row>
    <row r="163" spans="1:19" ht="13.15" customHeight="1">
      <c r="A163" s="1001">
        <f t="shared" si="2"/>
        <v>2016.1</v>
      </c>
      <c r="B163" s="1003">
        <v>144.46480453684669</v>
      </c>
      <c r="C163" s="1785">
        <v>74.339495229661267</v>
      </c>
      <c r="D163" s="1791">
        <v>185.12010611132933</v>
      </c>
      <c r="E163" s="1794">
        <v>97.736591916725942</v>
      </c>
      <c r="F163" s="1791">
        <v>233.52887516525195</v>
      </c>
      <c r="G163" s="1794">
        <v>62.277496827753218</v>
      </c>
      <c r="H163" s="1791">
        <v>83.41939073729192</v>
      </c>
      <c r="I163" s="1794">
        <v>97.860653897522212</v>
      </c>
      <c r="J163" s="1791">
        <v>203.78843096250938</v>
      </c>
      <c r="K163" s="1794">
        <v>109.70656875543261</v>
      </c>
      <c r="L163" s="1791">
        <v>126.95121527442387</v>
      </c>
      <c r="M163" s="1794">
        <v>209.93042201215201</v>
      </c>
      <c r="N163" s="1791">
        <v>229.61028375007362</v>
      </c>
      <c r="O163" s="1794">
        <v>132.19427556652084</v>
      </c>
      <c r="P163" s="1791">
        <v>227.44187509852611</v>
      </c>
      <c r="Q163" s="1794">
        <v>141.64442656111453</v>
      </c>
      <c r="R163" s="1791">
        <v>49.519760766224799</v>
      </c>
      <c r="S163" s="1006">
        <v>94.08406192442574</v>
      </c>
    </row>
    <row r="164" spans="1:19" ht="13.15" customHeight="1">
      <c r="A164" s="1001">
        <f t="shared" si="2"/>
        <v>2016.11</v>
      </c>
      <c r="B164" s="1003">
        <v>155.38187959619393</v>
      </c>
      <c r="C164" s="1785">
        <v>81.512149988719528</v>
      </c>
      <c r="D164" s="1791">
        <v>193.98422487338956</v>
      </c>
      <c r="E164" s="1794">
        <v>108.38930509843588</v>
      </c>
      <c r="F164" s="1791">
        <v>243.07634100805072</v>
      </c>
      <c r="G164" s="1794">
        <v>58.966768344430982</v>
      </c>
      <c r="H164" s="1791">
        <v>82.34503693012357</v>
      </c>
      <c r="I164" s="1794">
        <v>85.31556201286817</v>
      </c>
      <c r="J164" s="1791">
        <v>225.96573107540715</v>
      </c>
      <c r="K164" s="1794">
        <v>112.77008583194863</v>
      </c>
      <c r="L164" s="1791">
        <v>135.02668146422835</v>
      </c>
      <c r="M164" s="1794">
        <v>298.76589695971262</v>
      </c>
      <c r="N164" s="1791">
        <v>209.6469356313473</v>
      </c>
      <c r="O164" s="1794">
        <v>117.89514811672272</v>
      </c>
      <c r="P164" s="1791">
        <v>227.41309611048953</v>
      </c>
      <c r="Q164" s="1794">
        <v>99.975420707700295</v>
      </c>
      <c r="R164" s="1791">
        <v>51.589445611219297</v>
      </c>
      <c r="S164" s="1006">
        <v>92.999066259138289</v>
      </c>
    </row>
    <row r="165" spans="1:19" ht="13.15" customHeight="1">
      <c r="A165" s="1001">
        <f t="shared" si="2"/>
        <v>2016.12</v>
      </c>
      <c r="B165" s="1003">
        <v>152.43981071959189</v>
      </c>
      <c r="C165" s="1785">
        <v>91.854018478797656</v>
      </c>
      <c r="D165" s="1791">
        <v>169.29713561441625</v>
      </c>
      <c r="E165" s="1794">
        <v>91.885071034629505</v>
      </c>
      <c r="F165" s="1791">
        <v>263.56348495651343</v>
      </c>
      <c r="G165" s="1794">
        <v>50.345877606910847</v>
      </c>
      <c r="H165" s="1791">
        <v>82.3045956961505</v>
      </c>
      <c r="I165" s="1794">
        <v>106.66362895598823</v>
      </c>
      <c r="J165" s="1791">
        <v>250.14912600009697</v>
      </c>
      <c r="K165" s="1794">
        <v>115.8317230322352</v>
      </c>
      <c r="L165" s="1791">
        <v>138.43657677741169</v>
      </c>
      <c r="M165" s="1794">
        <v>263.5046855865678</v>
      </c>
      <c r="N165" s="1791">
        <v>252.19361668774084</v>
      </c>
      <c r="O165" s="1794">
        <v>147.14646954539944</v>
      </c>
      <c r="P165" s="1791">
        <v>196.44456997174183</v>
      </c>
      <c r="Q165" s="1794">
        <v>114.93652877714707</v>
      </c>
      <c r="R165" s="1791">
        <v>60.659208685792102</v>
      </c>
      <c r="S165" s="1006">
        <v>86.005047069909409</v>
      </c>
    </row>
    <row r="166" spans="1:19" ht="13.15" customHeight="1">
      <c r="A166" s="1001">
        <f t="shared" si="2"/>
        <v>2017.01</v>
      </c>
      <c r="B166" s="1003">
        <v>124.57768143491808</v>
      </c>
      <c r="C166" s="1785">
        <v>83.438743308314685</v>
      </c>
      <c r="D166" s="1791">
        <v>148.97399052590137</v>
      </c>
      <c r="E166" s="1794">
        <v>78.219355763160721</v>
      </c>
      <c r="F166" s="1791">
        <v>242.35711933363299</v>
      </c>
      <c r="G166" s="1794">
        <v>73.22281733272078</v>
      </c>
      <c r="H166" s="1791">
        <v>109.90991408757671</v>
      </c>
      <c r="I166" s="1794">
        <v>60.140787273697214</v>
      </c>
      <c r="J166" s="1791">
        <v>177.72211428260275</v>
      </c>
      <c r="K166" s="1794">
        <v>93.530150370319788</v>
      </c>
      <c r="L166" s="1791">
        <v>90.875003911966033</v>
      </c>
      <c r="M166" s="1794">
        <v>140.70680980315083</v>
      </c>
      <c r="N166" s="1791">
        <v>225.78938233912038</v>
      </c>
      <c r="O166" s="1794">
        <v>131.76213284228123</v>
      </c>
      <c r="P166" s="1791">
        <v>181.79211207137078</v>
      </c>
      <c r="Q166" s="1794">
        <v>86.499312252979749</v>
      </c>
      <c r="R166" s="1791">
        <v>54.503491776308501</v>
      </c>
      <c r="S166" s="1006">
        <v>79.9421050239457</v>
      </c>
    </row>
    <row r="167" spans="1:19" ht="13.15" customHeight="1">
      <c r="A167" s="1001">
        <f t="shared" si="2"/>
        <v>2017.02</v>
      </c>
      <c r="B167" s="1003">
        <v>125.05097000235143</v>
      </c>
      <c r="C167" s="1785">
        <v>76.112361557931237</v>
      </c>
      <c r="D167" s="1791">
        <v>134.75094096192032</v>
      </c>
      <c r="E167" s="1794">
        <v>64.868221719151762</v>
      </c>
      <c r="F167" s="1791">
        <v>228.62366618047338</v>
      </c>
      <c r="G167" s="1794">
        <v>56.472487778745837</v>
      </c>
      <c r="H167" s="1791">
        <v>74.016586115713025</v>
      </c>
      <c r="I167" s="1794">
        <v>75.014406522924631</v>
      </c>
      <c r="J167" s="1791">
        <v>171.81323870049994</v>
      </c>
      <c r="K167" s="1794">
        <v>103.26268253239108</v>
      </c>
      <c r="L167" s="1791">
        <v>127.26393272011394</v>
      </c>
      <c r="M167" s="1794">
        <v>209.29185550746823</v>
      </c>
      <c r="N167" s="1791">
        <v>218.51413070697456</v>
      </c>
      <c r="O167" s="1794">
        <v>89.59899602337498</v>
      </c>
      <c r="P167" s="1791">
        <v>196.13016165799664</v>
      </c>
      <c r="Q167" s="1794">
        <v>87.111256045089178</v>
      </c>
      <c r="R167" s="1791">
        <v>48.314002679524798</v>
      </c>
      <c r="S167" s="1006">
        <v>84.259223766455975</v>
      </c>
    </row>
    <row r="168" spans="1:19" ht="13.15" customHeight="1">
      <c r="A168" s="1001">
        <f t="shared" si="2"/>
        <v>2017.03</v>
      </c>
      <c r="B168" s="1003">
        <v>151.42330914116499</v>
      </c>
      <c r="C168" s="1785">
        <v>85.885147141326641</v>
      </c>
      <c r="D168" s="1791">
        <v>174.29883997867208</v>
      </c>
      <c r="E168" s="1794">
        <v>96.86731666425608</v>
      </c>
      <c r="F168" s="1791">
        <v>264.25774616400747</v>
      </c>
      <c r="G168" s="1794">
        <v>66.162718552451565</v>
      </c>
      <c r="H168" s="1791">
        <v>102.53988977123747</v>
      </c>
      <c r="I168" s="1794">
        <v>83.59354270174596</v>
      </c>
      <c r="J168" s="1791">
        <v>215.19173275752766</v>
      </c>
      <c r="K168" s="1794">
        <v>130.97865766014255</v>
      </c>
      <c r="L168" s="1791">
        <v>120.66855543590066</v>
      </c>
      <c r="M168" s="1794">
        <v>248.25464619506255</v>
      </c>
      <c r="N168" s="1791">
        <v>260.63608997253692</v>
      </c>
      <c r="O168" s="1794">
        <v>113.72353055356096</v>
      </c>
      <c r="P168" s="1791">
        <v>235.99333949808118</v>
      </c>
      <c r="Q168" s="1794">
        <v>125.73667267722008</v>
      </c>
      <c r="R168" s="1791">
        <v>65.807119216951406</v>
      </c>
      <c r="S168" s="1006">
        <v>103.65750805563096</v>
      </c>
    </row>
    <row r="169" spans="1:19" ht="13.15" customHeight="1">
      <c r="A169" s="1001">
        <f t="shared" si="2"/>
        <v>2017.04</v>
      </c>
      <c r="B169" s="1003">
        <v>148.40719016467267</v>
      </c>
      <c r="C169" s="1785">
        <v>69.028639150859945</v>
      </c>
      <c r="D169" s="1791">
        <v>211.36503030384876</v>
      </c>
      <c r="E169" s="1794">
        <v>87.700407678734081</v>
      </c>
      <c r="F169" s="1791">
        <v>245.57412108570571</v>
      </c>
      <c r="G169" s="1794">
        <v>58.934117320169911</v>
      </c>
      <c r="H169" s="1791">
        <v>82.344392759846727</v>
      </c>
      <c r="I169" s="1794">
        <v>75.229281665857627</v>
      </c>
      <c r="J169" s="1791">
        <v>176.13911447501198</v>
      </c>
      <c r="K169" s="1794">
        <v>111.87864489043488</v>
      </c>
      <c r="L169" s="1791">
        <v>132.4909045073544</v>
      </c>
      <c r="M169" s="1794">
        <v>230.91582807408523</v>
      </c>
      <c r="N169" s="1791">
        <v>218.04843434415514</v>
      </c>
      <c r="O169" s="1794">
        <v>133.94805770762218</v>
      </c>
      <c r="P169" s="1791">
        <v>213.96229785230267</v>
      </c>
      <c r="Q169" s="1794">
        <v>92.325553948978055</v>
      </c>
      <c r="R169" s="1791">
        <v>56.6062480022225</v>
      </c>
      <c r="S169" s="1006">
        <v>95.639522808852902</v>
      </c>
    </row>
    <row r="170" spans="1:19" ht="13.15" customHeight="1">
      <c r="A170" s="1001">
        <f t="shared" si="2"/>
        <v>2017.05</v>
      </c>
      <c r="B170" s="1003">
        <v>167.69700711734936</v>
      </c>
      <c r="C170" s="1785">
        <v>76.303578173264569</v>
      </c>
      <c r="D170" s="1791">
        <v>235.82037944772662</v>
      </c>
      <c r="E170" s="1794">
        <v>96.692382381052539</v>
      </c>
      <c r="F170" s="1791">
        <v>264.47685030538389</v>
      </c>
      <c r="G170" s="1794">
        <v>64.174764783397436</v>
      </c>
      <c r="H170" s="1791">
        <v>95.177375011603104</v>
      </c>
      <c r="I170" s="1794">
        <v>78.372103950230169</v>
      </c>
      <c r="J170" s="1791">
        <v>197.91224670584324</v>
      </c>
      <c r="K170" s="1794">
        <v>140.31281655370245</v>
      </c>
      <c r="L170" s="1791">
        <v>149.0033776387105</v>
      </c>
      <c r="M170" s="1794">
        <v>247.64549444541649</v>
      </c>
      <c r="N170" s="1791">
        <v>259.94322984868563</v>
      </c>
      <c r="O170" s="1794">
        <v>162.91462100479714</v>
      </c>
      <c r="P170" s="1791">
        <v>274.07879522274868</v>
      </c>
      <c r="Q170" s="1794">
        <v>114.61636627142933</v>
      </c>
      <c r="R170" s="1791">
        <v>60.9286311516449</v>
      </c>
      <c r="S170" s="1006">
        <v>113.21812195336049</v>
      </c>
    </row>
    <row r="171" spans="1:19" ht="13.15" customHeight="1">
      <c r="A171" s="1001">
        <f t="shared" si="2"/>
        <v>2017.06</v>
      </c>
      <c r="B171" s="1003">
        <v>152.58552268661452</v>
      </c>
      <c r="C171" s="1785">
        <v>76.006635510417269</v>
      </c>
      <c r="D171" s="1791">
        <v>193.5085759127698</v>
      </c>
      <c r="E171" s="1794">
        <v>96.739951409193353</v>
      </c>
      <c r="F171" s="1791">
        <v>253.51367710923822</v>
      </c>
      <c r="G171" s="1794">
        <v>56.969700257553455</v>
      </c>
      <c r="H171" s="1791">
        <v>73.947750803065333</v>
      </c>
      <c r="I171" s="1794">
        <v>90.251293890890949</v>
      </c>
      <c r="J171" s="1791">
        <v>204.13760389673001</v>
      </c>
      <c r="K171" s="1794">
        <v>122.9261041843347</v>
      </c>
      <c r="L171" s="1791">
        <v>135.24342161293694</v>
      </c>
      <c r="M171" s="1794">
        <v>220.33219331185978</v>
      </c>
      <c r="N171" s="1791">
        <v>257.3847510456888</v>
      </c>
      <c r="O171" s="1794">
        <v>151.21865051195059</v>
      </c>
      <c r="P171" s="1791">
        <v>254.07119320107461</v>
      </c>
      <c r="Q171" s="1794">
        <v>99.446462894341138</v>
      </c>
      <c r="R171" s="1791">
        <v>58.9089715619576</v>
      </c>
      <c r="S171" s="1006">
        <v>106.46855303688083</v>
      </c>
    </row>
    <row r="172" spans="1:19" ht="13.15" customHeight="1">
      <c r="A172" s="1001">
        <f t="shared" si="2"/>
        <v>2017.07</v>
      </c>
      <c r="B172" s="1003">
        <v>155.17757918029437</v>
      </c>
      <c r="C172" s="1785">
        <v>74.336886997150557</v>
      </c>
      <c r="D172" s="1791">
        <v>222.26595710107006</v>
      </c>
      <c r="E172" s="1794">
        <v>98.62605198303919</v>
      </c>
      <c r="F172" s="1791">
        <v>269.76049281222714</v>
      </c>
      <c r="G172" s="1794">
        <v>61.056653443925512</v>
      </c>
      <c r="H172" s="1791">
        <v>91.820744299961987</v>
      </c>
      <c r="I172" s="1794">
        <v>103.92517019149224</v>
      </c>
      <c r="J172" s="1791">
        <v>198.44593501634526</v>
      </c>
      <c r="K172" s="1794">
        <v>140.43894084349967</v>
      </c>
      <c r="L172" s="1791">
        <v>145.50604519664503</v>
      </c>
      <c r="M172" s="1794">
        <v>166.24763811752652</v>
      </c>
      <c r="N172" s="1791">
        <v>264.32942550283684</v>
      </c>
      <c r="O172" s="1794">
        <v>115.35031926894305</v>
      </c>
      <c r="P172" s="1791">
        <v>259.20901459866872</v>
      </c>
      <c r="Q172" s="1794">
        <v>136.6389911536227</v>
      </c>
      <c r="R172" s="1791">
        <v>63.964262964135003</v>
      </c>
      <c r="S172" s="1006">
        <v>113.24737820853851</v>
      </c>
    </row>
    <row r="173" spans="1:19" ht="13.15" customHeight="1">
      <c r="A173" s="1001">
        <f t="shared" si="2"/>
        <v>2017.08</v>
      </c>
      <c r="B173" s="1003">
        <v>156.60282431933535</v>
      </c>
      <c r="C173" s="1785">
        <v>79.479520181487786</v>
      </c>
      <c r="D173" s="1791">
        <v>188.22408212527768</v>
      </c>
      <c r="E173" s="1794">
        <v>104.50910859807053</v>
      </c>
      <c r="F173" s="1791">
        <v>267.77215622841169</v>
      </c>
      <c r="G173" s="1794">
        <v>65.03436006586125</v>
      </c>
      <c r="H173" s="1791">
        <v>96.986210363712289</v>
      </c>
      <c r="I173" s="1794">
        <v>113.20966475838833</v>
      </c>
      <c r="J173" s="1791">
        <v>209.63472922164038</v>
      </c>
      <c r="K173" s="1794">
        <v>149.95980884135244</v>
      </c>
      <c r="L173" s="1791">
        <v>133.68934133576852</v>
      </c>
      <c r="M173" s="1794">
        <v>195.8030886143965</v>
      </c>
      <c r="N173" s="1791">
        <v>286.85494352512353</v>
      </c>
      <c r="O173" s="1794">
        <v>147.3989999846624</v>
      </c>
      <c r="P173" s="1791">
        <v>280.8539887095294</v>
      </c>
      <c r="Q173" s="1794">
        <v>93.843048004135753</v>
      </c>
      <c r="R173" s="1791">
        <v>61.351867317629903</v>
      </c>
      <c r="S173" s="1006">
        <v>118.72388738885564</v>
      </c>
    </row>
    <row r="174" spans="1:19" ht="13.15" customHeight="1">
      <c r="A174" s="1001">
        <f t="shared" si="2"/>
        <v>2017.09</v>
      </c>
      <c r="B174" s="1003">
        <v>159.17565224836719</v>
      </c>
      <c r="C174" s="1785">
        <v>81.254074932883654</v>
      </c>
      <c r="D174" s="1791">
        <v>172.04744677033733</v>
      </c>
      <c r="E174" s="1794">
        <v>97.392455665743228</v>
      </c>
      <c r="F174" s="1791">
        <v>255.80974719679821</v>
      </c>
      <c r="G174" s="1794">
        <v>66.014875298243751</v>
      </c>
      <c r="H174" s="1791">
        <v>88.825066630728827</v>
      </c>
      <c r="I174" s="1794">
        <v>149.85997131970979</v>
      </c>
      <c r="J174" s="1791">
        <v>210.55611842084897</v>
      </c>
      <c r="K174" s="1794">
        <v>148.85527917568086</v>
      </c>
      <c r="L174" s="1791">
        <v>159.56643740364126</v>
      </c>
      <c r="M174" s="1794">
        <v>211.51827710366416</v>
      </c>
      <c r="N174" s="1791">
        <v>269.29706405844286</v>
      </c>
      <c r="O174" s="1794">
        <v>163.96775874651976</v>
      </c>
      <c r="P174" s="1791">
        <v>308.99618532842845</v>
      </c>
      <c r="Q174" s="1794">
        <v>120.52044681360046</v>
      </c>
      <c r="R174" s="1791">
        <v>65.967809628955195</v>
      </c>
      <c r="S174" s="1006">
        <v>124.07795732366252</v>
      </c>
    </row>
    <row r="175" spans="1:19" ht="13.15" customHeight="1">
      <c r="A175" s="1001">
        <f t="shared" si="2"/>
        <v>2017.1</v>
      </c>
      <c r="B175" s="1003">
        <v>162.82488588333706</v>
      </c>
      <c r="C175" s="1785">
        <v>92.988599214938517</v>
      </c>
      <c r="D175" s="1791">
        <v>181.15642413249196</v>
      </c>
      <c r="E175" s="1794">
        <v>100.51532222868558</v>
      </c>
      <c r="F175" s="1791">
        <v>274.44965470637419</v>
      </c>
      <c r="G175" s="1794">
        <v>55.473600975816623</v>
      </c>
      <c r="H175" s="1791">
        <v>93.00485246966862</v>
      </c>
      <c r="I175" s="1794">
        <v>75.155208996525914</v>
      </c>
      <c r="J175" s="1791">
        <v>219.34321223776931</v>
      </c>
      <c r="K175" s="1794">
        <v>126.6168927592569</v>
      </c>
      <c r="L175" s="1791">
        <v>162.74666386171941</v>
      </c>
      <c r="M175" s="1794">
        <v>257.53671210829191</v>
      </c>
      <c r="N175" s="1791">
        <v>272.99845497311247</v>
      </c>
      <c r="O175" s="1794">
        <v>144.63893426079471</v>
      </c>
      <c r="P175" s="1791">
        <v>283.3593906131062</v>
      </c>
      <c r="Q175" s="1794">
        <v>102.30246539349356</v>
      </c>
      <c r="R175" s="1791">
        <v>60.640786923074501</v>
      </c>
      <c r="S175" s="1006">
        <v>121.6803806899058</v>
      </c>
    </row>
    <row r="176" spans="1:19" ht="13.15" customHeight="1">
      <c r="A176" s="1001">
        <f t="shared" si="2"/>
        <v>2017.11</v>
      </c>
      <c r="B176" s="1003">
        <v>153.55196009684514</v>
      </c>
      <c r="C176" s="1785">
        <v>91.095894936147559</v>
      </c>
      <c r="D176" s="1791">
        <v>158.66219945647327</v>
      </c>
      <c r="E176" s="1794">
        <v>104.58722057778071</v>
      </c>
      <c r="F176" s="1791">
        <v>268.24596024815128</v>
      </c>
      <c r="G176" s="1794">
        <v>49.675548875966477</v>
      </c>
      <c r="H176" s="1791">
        <v>86.422787375258736</v>
      </c>
      <c r="I176" s="1794">
        <v>85.354441168339463</v>
      </c>
      <c r="J176" s="1791">
        <v>215.86062326040525</v>
      </c>
      <c r="K176" s="1794">
        <v>147.71947729702524</v>
      </c>
      <c r="L176" s="1791">
        <v>146.96759773439877</v>
      </c>
      <c r="M176" s="1794">
        <v>215.46102471027868</v>
      </c>
      <c r="N176" s="1791">
        <v>246.43641755141101</v>
      </c>
      <c r="O176" s="1794">
        <v>142.62756162963294</v>
      </c>
      <c r="P176" s="1791">
        <v>279.00545342386209</v>
      </c>
      <c r="Q176" s="1794">
        <v>114.02256564603829</v>
      </c>
      <c r="R176" s="1791">
        <v>67.752730662141403</v>
      </c>
      <c r="S176" s="1006">
        <v>123.03118330870545</v>
      </c>
    </row>
    <row r="177" spans="1:19" ht="13.15" customHeight="1">
      <c r="A177" s="1001">
        <f t="shared" si="2"/>
        <v>2017.12</v>
      </c>
      <c r="B177" s="1003">
        <v>150.31412898956916</v>
      </c>
      <c r="C177" s="1785">
        <v>95.745492137307735</v>
      </c>
      <c r="D177" s="1791">
        <v>102.60768473134485</v>
      </c>
      <c r="E177" s="1794">
        <v>88.60539775600364</v>
      </c>
      <c r="F177" s="1791">
        <v>267.61497249491316</v>
      </c>
      <c r="G177" s="1794">
        <v>52.074827488911929</v>
      </c>
      <c r="H177" s="1791">
        <v>80.763763018498736</v>
      </c>
      <c r="I177" s="1794">
        <v>86.463865427512189</v>
      </c>
      <c r="J177" s="1791">
        <v>225.4267810257098</v>
      </c>
      <c r="K177" s="1794">
        <v>119.36658831934854</v>
      </c>
      <c r="L177" s="1791">
        <v>137.59248092627942</v>
      </c>
      <c r="M177" s="1794">
        <v>323.481404784277</v>
      </c>
      <c r="N177" s="1791">
        <v>279.86023714492757</v>
      </c>
      <c r="O177" s="1794">
        <v>161.87237202395133</v>
      </c>
      <c r="P177" s="1791">
        <v>228.20588988603237</v>
      </c>
      <c r="Q177" s="1794">
        <v>110.61747389532005</v>
      </c>
      <c r="R177" s="1791">
        <v>45.483304901541899</v>
      </c>
      <c r="S177" s="1006">
        <v>110.75695410401481</v>
      </c>
    </row>
    <row r="178" spans="1:19" ht="13.15" customHeight="1">
      <c r="A178" s="1001">
        <f t="shared" si="2"/>
        <v>2018.01</v>
      </c>
      <c r="B178" s="1003">
        <v>135.48946452003344</v>
      </c>
      <c r="C178" s="1785">
        <v>101.22991931798158</v>
      </c>
      <c r="D178" s="1791">
        <v>144.06969536473767</v>
      </c>
      <c r="E178" s="1794">
        <v>92.568419765117355</v>
      </c>
      <c r="F178" s="1791">
        <v>286.05763405984851</v>
      </c>
      <c r="G178" s="1794">
        <v>48.764294352060858</v>
      </c>
      <c r="H178" s="1791">
        <v>89.620934017379923</v>
      </c>
      <c r="I178" s="1794">
        <v>71.749747781318376</v>
      </c>
      <c r="J178" s="1791">
        <v>181.50890955011783</v>
      </c>
      <c r="K178" s="1794">
        <v>92.413441676527825</v>
      </c>
      <c r="L178" s="1791">
        <v>108.89726819004805</v>
      </c>
      <c r="M178" s="1794">
        <v>205.19781747673136</v>
      </c>
      <c r="N178" s="1791">
        <v>227.89635767464736</v>
      </c>
      <c r="O178" s="1794">
        <v>105.92634438650751</v>
      </c>
      <c r="P178" s="1791">
        <v>211.70328661308974</v>
      </c>
      <c r="Q178" s="1794">
        <v>95.398477071118862</v>
      </c>
      <c r="R178" s="1791">
        <v>44.048135742114397</v>
      </c>
      <c r="S178" s="1006">
        <v>100.47790601805417</v>
      </c>
    </row>
    <row r="179" spans="1:19" ht="13.15" customHeight="1">
      <c r="A179" s="1001">
        <f t="shared" si="2"/>
        <v>2018.02</v>
      </c>
      <c r="B179" s="1003">
        <v>132.09837666790014</v>
      </c>
      <c r="C179" s="1785">
        <v>88.828799249992571</v>
      </c>
      <c r="D179" s="1791">
        <v>119.91909871852882</v>
      </c>
      <c r="E179" s="1794">
        <v>92.590408716858065</v>
      </c>
      <c r="F179" s="1791">
        <v>253.94122084985673</v>
      </c>
      <c r="G179" s="1794">
        <v>56.201817360127038</v>
      </c>
      <c r="H179" s="1791">
        <v>89.422781694689562</v>
      </c>
      <c r="I179" s="1794">
        <v>64.80788907563786</v>
      </c>
      <c r="J179" s="1791">
        <v>174.55995689926397</v>
      </c>
      <c r="K179" s="1794">
        <v>76.661349804029911</v>
      </c>
      <c r="L179" s="1791">
        <v>107.66966561401921</v>
      </c>
      <c r="M179" s="1794">
        <v>222.57755363375915</v>
      </c>
      <c r="N179" s="1791">
        <v>205.58153325144869</v>
      </c>
      <c r="O179" s="1794">
        <v>145.24265865131696</v>
      </c>
      <c r="P179" s="1791">
        <v>216.69151835526191</v>
      </c>
      <c r="Q179" s="1794">
        <v>82.163948359921676</v>
      </c>
      <c r="R179" s="1791">
        <v>48.123445118240099</v>
      </c>
      <c r="S179" s="1006">
        <v>104.67680156585484</v>
      </c>
    </row>
    <row r="180" spans="1:19" ht="13.15" customHeight="1">
      <c r="A180" s="1001">
        <f t="shared" si="2"/>
        <v>2018.03</v>
      </c>
      <c r="B180" s="1003">
        <v>153.56599129315032</v>
      </c>
      <c r="C180" s="1785">
        <v>111.47171133134665</v>
      </c>
      <c r="D180" s="1791">
        <v>158.78234340958625</v>
      </c>
      <c r="E180" s="1794">
        <v>106.25307360941889</v>
      </c>
      <c r="F180" s="1791">
        <v>282.74025168768952</v>
      </c>
      <c r="G180" s="1794">
        <v>62.291330414591364</v>
      </c>
      <c r="H180" s="1791">
        <v>91.366820301204385</v>
      </c>
      <c r="I180" s="1794">
        <v>83.906270061176727</v>
      </c>
      <c r="J180" s="1791">
        <v>197.18661738917783</v>
      </c>
      <c r="K180" s="1794">
        <v>108.94541035343175</v>
      </c>
      <c r="L180" s="1791">
        <v>136.43251306935136</v>
      </c>
      <c r="M180" s="1794">
        <v>227.95272588563364</v>
      </c>
      <c r="N180" s="1791">
        <v>237.62555928585309</v>
      </c>
      <c r="O180" s="1794">
        <v>162.5885466216489</v>
      </c>
      <c r="P180" s="1791">
        <v>253.60490247630727</v>
      </c>
      <c r="Q180" s="1794">
        <v>125.70593544470358</v>
      </c>
      <c r="R180" s="1799"/>
      <c r="S180" s="1006">
        <v>123.36340605611578</v>
      </c>
    </row>
    <row r="181" spans="1:19" ht="13.15" customHeight="1">
      <c r="A181" s="1001">
        <f t="shared" si="2"/>
        <v>2018.04</v>
      </c>
      <c r="B181" s="1003">
        <v>145.5035459908361</v>
      </c>
      <c r="C181" s="1785">
        <v>92.634287015810088</v>
      </c>
      <c r="D181" s="1791">
        <v>176.01546200440063</v>
      </c>
      <c r="E181" s="1794">
        <v>102.48509141601546</v>
      </c>
      <c r="F181" s="1791">
        <v>266.49592921108643</v>
      </c>
      <c r="G181" s="1794">
        <v>63.596995284385123</v>
      </c>
      <c r="H181" s="1791">
        <v>89.07267672677493</v>
      </c>
      <c r="I181" s="1794">
        <v>71.798507191274922</v>
      </c>
      <c r="J181" s="1791">
        <v>194.15000868469929</v>
      </c>
      <c r="K181" s="1794">
        <v>100.06085986526469</v>
      </c>
      <c r="L181" s="1791">
        <v>109.49772257338088</v>
      </c>
      <c r="M181" s="1794">
        <v>227.53444767660264</v>
      </c>
      <c r="N181" s="1791">
        <v>261.41445689176533</v>
      </c>
      <c r="O181" s="1794">
        <v>89.416128064549724</v>
      </c>
      <c r="P181" s="1791">
        <v>230.66151287190138</v>
      </c>
      <c r="Q181" s="1794">
        <v>105.35846485719443</v>
      </c>
      <c r="R181" s="1799"/>
      <c r="S181" s="1006">
        <v>122.11520249802724</v>
      </c>
    </row>
    <row r="182" spans="1:19" ht="13.15" customHeight="1">
      <c r="A182" s="1001">
        <f t="shared" si="2"/>
        <v>2018.05</v>
      </c>
      <c r="B182" s="1003">
        <v>153.15778046086865</v>
      </c>
      <c r="C182" s="1785">
        <v>101.47891913103012</v>
      </c>
      <c r="D182" s="1791">
        <v>193.32598559667517</v>
      </c>
      <c r="E182" s="1794">
        <v>100.82170137867105</v>
      </c>
      <c r="F182" s="1791">
        <v>263.66103394106932</v>
      </c>
      <c r="G182" s="1794">
        <v>73.334156017607967</v>
      </c>
      <c r="H182" s="1791">
        <v>89.723020558563249</v>
      </c>
      <c r="I182" s="1794">
        <v>80.272343009731046</v>
      </c>
      <c r="J182" s="1791">
        <v>227.23683458670553</v>
      </c>
      <c r="K182" s="1794">
        <v>115.08127754237887</v>
      </c>
      <c r="L182" s="1791">
        <v>128.23827665068251</v>
      </c>
      <c r="M182" s="1794">
        <v>215.6487049454328</v>
      </c>
      <c r="N182" s="1791">
        <v>232.00268826919014</v>
      </c>
      <c r="O182" s="1794">
        <v>92.085738041744662</v>
      </c>
      <c r="P182" s="1791">
        <v>253.17073289305262</v>
      </c>
      <c r="Q182" s="1794">
        <v>93.802824617758986</v>
      </c>
      <c r="R182" s="1799"/>
      <c r="S182" s="1006">
        <v>127.53423349303877</v>
      </c>
    </row>
    <row r="183" spans="1:19" ht="13.15" customHeight="1">
      <c r="A183" s="1001">
        <f t="shared" si="2"/>
        <v>2018.06</v>
      </c>
      <c r="B183" s="1003">
        <v>147.75607448056905</v>
      </c>
      <c r="C183" s="1785">
        <v>93.005430039831893</v>
      </c>
      <c r="D183" s="1791">
        <v>169.11715712338929</v>
      </c>
      <c r="E183" s="1794">
        <v>88.291769136397747</v>
      </c>
      <c r="F183" s="1791">
        <v>248.32669810975668</v>
      </c>
      <c r="G183" s="1794">
        <v>65.463400130883088</v>
      </c>
      <c r="H183" s="1791">
        <v>86.772157293414551</v>
      </c>
      <c r="I183" s="1794">
        <v>68.337448939850631</v>
      </c>
      <c r="J183" s="1791">
        <v>209.74363731819892</v>
      </c>
      <c r="K183" s="1794">
        <v>104.37704934383949</v>
      </c>
      <c r="L183" s="1791">
        <v>128.77768168785087</v>
      </c>
      <c r="M183" s="1794">
        <v>184.7702262707862</v>
      </c>
      <c r="N183" s="1791">
        <v>224.38788280131499</v>
      </c>
      <c r="O183" s="1794">
        <v>176.91741631087697</v>
      </c>
      <c r="P183" s="1791">
        <v>246.3138514050238</v>
      </c>
      <c r="Q183" s="1794">
        <v>166.84816919787784</v>
      </c>
      <c r="R183" s="1799"/>
      <c r="S183" s="1006">
        <v>124.88957563612728</v>
      </c>
    </row>
    <row r="184" spans="1:19" ht="13.15" customHeight="1">
      <c r="A184" s="1001">
        <f t="shared" si="2"/>
        <v>2018.07</v>
      </c>
      <c r="B184" s="1003">
        <v>148.70914266072148</v>
      </c>
      <c r="C184" s="1785">
        <v>101.15058912879269</v>
      </c>
      <c r="D184" s="1791">
        <v>177.55216489876284</v>
      </c>
      <c r="E184" s="1794">
        <v>123.62366159983593</v>
      </c>
      <c r="F184" s="1791">
        <v>243.44358812457989</v>
      </c>
      <c r="G184" s="1794">
        <v>80.110622712016607</v>
      </c>
      <c r="H184" s="1791">
        <v>92.415891274553374</v>
      </c>
      <c r="I184" s="1794">
        <v>69.577048059185714</v>
      </c>
      <c r="J184" s="1791">
        <v>211.83664829616313</v>
      </c>
      <c r="K184" s="1794">
        <v>96.077910475365186</v>
      </c>
      <c r="L184" s="1791">
        <v>123.99749924582015</v>
      </c>
      <c r="M184" s="1794">
        <v>184.74599581129976</v>
      </c>
      <c r="N184" s="1791">
        <v>219.73735942152518</v>
      </c>
      <c r="O184" s="1794">
        <v>141.28952837097799</v>
      </c>
      <c r="P184" s="1791">
        <v>256.10276111804791</v>
      </c>
      <c r="Q184" s="1794">
        <v>129.30292124168142</v>
      </c>
      <c r="R184" s="1799"/>
      <c r="S184" s="1006">
        <v>121.37551646367963</v>
      </c>
    </row>
    <row r="185" spans="1:19" ht="13.15" customHeight="1">
      <c r="A185" s="1001">
        <f t="shared" si="2"/>
        <v>2018.08</v>
      </c>
      <c r="B185" s="1003">
        <v>149.31628323712161</v>
      </c>
      <c r="C185" s="1785">
        <v>104.20118519290973</v>
      </c>
      <c r="D185" s="1791">
        <v>156.26703715009521</v>
      </c>
      <c r="E185" s="1794">
        <v>123.58449959106225</v>
      </c>
      <c r="F185" s="1791">
        <v>262.17141489023243</v>
      </c>
      <c r="G185" s="1794">
        <v>74.739810303785632</v>
      </c>
      <c r="H185" s="1791">
        <v>98.602913349967466</v>
      </c>
      <c r="I185" s="1794">
        <v>98.239573025281359</v>
      </c>
      <c r="J185" s="1791">
        <v>222.6895333971076</v>
      </c>
      <c r="K185" s="1794">
        <v>96.853126786906401</v>
      </c>
      <c r="L185" s="1791">
        <v>121.57250937056752</v>
      </c>
      <c r="M185" s="1794">
        <v>192.31707332761093</v>
      </c>
      <c r="N185" s="1791">
        <v>281.75442721908973</v>
      </c>
      <c r="O185" s="1794">
        <v>142.3262962587979</v>
      </c>
      <c r="P185" s="1791">
        <v>225.39354016045752</v>
      </c>
      <c r="Q185" s="1794">
        <v>131.50435382373669</v>
      </c>
      <c r="R185" s="1799"/>
      <c r="S185" s="1006">
        <v>126.52174771703353</v>
      </c>
    </row>
    <row r="186" spans="1:19" ht="13.15" customHeight="1">
      <c r="A186" s="1001">
        <f t="shared" si="2"/>
        <v>2018.09</v>
      </c>
      <c r="B186" s="1003">
        <v>137.16908858787679</v>
      </c>
      <c r="C186" s="1785">
        <v>99.281672955673201</v>
      </c>
      <c r="D186" s="1791">
        <v>149.83286545554162</v>
      </c>
      <c r="E186" s="1794">
        <v>113.18540207436919</v>
      </c>
      <c r="F186" s="1791">
        <v>228.62605302692288</v>
      </c>
      <c r="G186" s="1794">
        <v>86.154615929989902</v>
      </c>
      <c r="H186" s="1791">
        <v>100.4326849618953</v>
      </c>
      <c r="I186" s="1794">
        <v>95.344162574996801</v>
      </c>
      <c r="J186" s="1791">
        <v>249.90763881038168</v>
      </c>
      <c r="K186" s="1794">
        <v>105.562147867321</v>
      </c>
      <c r="L186" s="1791">
        <v>126.45893579955948</v>
      </c>
      <c r="M186" s="1794">
        <v>149.27449729037616</v>
      </c>
      <c r="N186" s="1791">
        <v>199.1823508720621</v>
      </c>
      <c r="O186" s="1794">
        <v>97.266235389205193</v>
      </c>
      <c r="P186" s="1791">
        <v>151.48838976807281</v>
      </c>
      <c r="Q186" s="1794">
        <v>106.03128186140499</v>
      </c>
      <c r="R186" s="1799"/>
      <c r="S186" s="1006">
        <v>122.85156577424797</v>
      </c>
    </row>
    <row r="187" spans="1:19" ht="13.15" customHeight="1">
      <c r="A187" s="1001">
        <f t="shared" si="2"/>
        <v>2018.1</v>
      </c>
      <c r="B187" s="1003">
        <v>141.50817799750021</v>
      </c>
      <c r="C187" s="1785">
        <v>128.36642629598634</v>
      </c>
      <c r="D187" s="1791">
        <v>171.47587259814119</v>
      </c>
      <c r="E187" s="1794">
        <v>118.06219805396196</v>
      </c>
      <c r="F187" s="1791">
        <v>238.93480581631934</v>
      </c>
      <c r="G187" s="1794">
        <v>62.664280578158646</v>
      </c>
      <c r="H187" s="1791">
        <v>104.99223423498199</v>
      </c>
      <c r="I187" s="1794">
        <v>52.711757120251839</v>
      </c>
      <c r="J187" s="1791">
        <v>202.46983663580878</v>
      </c>
      <c r="K187" s="1794">
        <v>108.59738613660926</v>
      </c>
      <c r="L187" s="1791">
        <v>151.84278423645608</v>
      </c>
      <c r="M187" s="1794">
        <v>188.22958460741987</v>
      </c>
      <c r="N187" s="1791">
        <v>247.21037003855361</v>
      </c>
      <c r="O187" s="1794">
        <v>70.831090015442825</v>
      </c>
      <c r="P187" s="1791">
        <v>201.5863357059493</v>
      </c>
      <c r="Q187" s="1794">
        <v>99.735808577099263</v>
      </c>
      <c r="R187" s="1799"/>
      <c r="S187" s="1006">
        <v>96.641758192132471</v>
      </c>
    </row>
    <row r="188" spans="1:19" ht="13.15" customHeight="1">
      <c r="A188" s="1001">
        <f t="shared" si="2"/>
        <v>2018.11</v>
      </c>
      <c r="B188" s="1003">
        <v>127.75359729927749</v>
      </c>
      <c r="C188" s="1785">
        <v>123.84406769107289</v>
      </c>
      <c r="D188" s="1791">
        <v>140.85163008306048</v>
      </c>
      <c r="E188" s="1794">
        <v>103.19584181678668</v>
      </c>
      <c r="F188" s="1791">
        <v>228.79705804497664</v>
      </c>
      <c r="G188" s="1794">
        <v>63.981096035054456</v>
      </c>
      <c r="H188" s="1791">
        <v>85.419999549084537</v>
      </c>
      <c r="I188" s="1794">
        <v>57.211600009095214</v>
      </c>
      <c r="J188" s="1791">
        <v>202.56243088364192</v>
      </c>
      <c r="K188" s="1794">
        <v>105.53917483068977</v>
      </c>
      <c r="L188" s="1791">
        <v>105.41330767819704</v>
      </c>
      <c r="M188" s="1794">
        <v>157.71380578486256</v>
      </c>
      <c r="N188" s="1791">
        <v>194.99669263544936</v>
      </c>
      <c r="O188" s="1794">
        <v>133.5190174335344</v>
      </c>
      <c r="P188" s="1791">
        <v>159.7597653809236</v>
      </c>
      <c r="Q188" s="1794">
        <v>97.850373638377278</v>
      </c>
      <c r="R188" s="1799"/>
      <c r="S188" s="1006">
        <v>84.073642617306533</v>
      </c>
    </row>
    <row r="189" spans="1:19" ht="13.15" customHeight="1">
      <c r="A189" s="1001">
        <f t="shared" si="2"/>
        <v>2018.12</v>
      </c>
      <c r="B189" s="1003">
        <v>125.23386085199452</v>
      </c>
      <c r="C189" s="1785">
        <v>115.79225428695142</v>
      </c>
      <c r="D189" s="1791">
        <v>140.85163008306048</v>
      </c>
      <c r="E189" s="1794">
        <v>105.67653228638962</v>
      </c>
      <c r="F189" s="1791">
        <v>228.13476562910191</v>
      </c>
      <c r="G189" s="1794">
        <v>54.848795637797927</v>
      </c>
      <c r="H189" s="1791">
        <v>82.571683108079185</v>
      </c>
      <c r="I189" s="1794">
        <v>57.31108216370432</v>
      </c>
      <c r="J189" s="1791">
        <v>237.19688406499642</v>
      </c>
      <c r="K189" s="1794">
        <v>86.299983660364248</v>
      </c>
      <c r="L189" s="1791">
        <v>112.22719491248547</v>
      </c>
      <c r="M189" s="1794">
        <v>163.17238737949043</v>
      </c>
      <c r="N189" s="1791">
        <v>192.39915056071791</v>
      </c>
      <c r="O189" s="1794">
        <v>106.51323998335539</v>
      </c>
      <c r="P189" s="1791">
        <v>100.84582944519721</v>
      </c>
      <c r="Q189" s="1794">
        <v>93.736957717534906</v>
      </c>
      <c r="R189" s="1799"/>
      <c r="S189" s="1006">
        <v>79.139139406267475</v>
      </c>
    </row>
    <row r="190" spans="1:19" ht="13.15" customHeight="1">
      <c r="A190" s="1001">
        <f t="shared" si="2"/>
        <v>2019.01</v>
      </c>
      <c r="B190" s="1003">
        <v>114.99691046218017</v>
      </c>
      <c r="C190" s="1785">
        <v>102.08954336930684</v>
      </c>
      <c r="D190" s="1791">
        <v>129.63508797027507</v>
      </c>
      <c r="E190" s="1794">
        <v>98.528200780746545</v>
      </c>
      <c r="F190" s="1791">
        <v>234.97526062455856</v>
      </c>
      <c r="G190" s="1794">
        <v>61.237525010813457</v>
      </c>
      <c r="H190" s="1791">
        <v>81.873114704655492</v>
      </c>
      <c r="I190" s="1794">
        <v>42.089709464917789</v>
      </c>
      <c r="J190" s="1791">
        <v>173.99489731590879</v>
      </c>
      <c r="K190" s="1794">
        <v>77.745182873805632</v>
      </c>
      <c r="L190" s="1791">
        <v>118.40371841788088</v>
      </c>
      <c r="M190" s="1794">
        <v>159.41964583694141</v>
      </c>
      <c r="N190" s="1791">
        <v>167.6067179013759</v>
      </c>
      <c r="O190" s="1794">
        <v>65.230683959172438</v>
      </c>
      <c r="P190" s="1791">
        <v>102.40657803802307</v>
      </c>
      <c r="Q190" s="1794">
        <v>107.13209629116604</v>
      </c>
      <c r="R190" s="1799"/>
      <c r="S190" s="1006">
        <v>74.084700179306893</v>
      </c>
    </row>
    <row r="191" spans="1:19" ht="13.15" customHeight="1">
      <c r="A191" s="1001">
        <f t="shared" si="2"/>
        <v>2019.02</v>
      </c>
      <c r="B191" s="1003">
        <v>114.59184430749318</v>
      </c>
      <c r="C191" s="1785">
        <v>84.706456222434241</v>
      </c>
      <c r="D191" s="1791">
        <v>114.88183791755627</v>
      </c>
      <c r="E191" s="1794">
        <v>86.138024947316623</v>
      </c>
      <c r="F191" s="1791">
        <v>223.62353068247052</v>
      </c>
      <c r="G191" s="1794">
        <v>51.539266860840662</v>
      </c>
      <c r="H191" s="1791">
        <v>78.056381198397347</v>
      </c>
      <c r="I191" s="1794">
        <v>49.832983180203854</v>
      </c>
      <c r="J191" s="1791">
        <v>199.53877503103473</v>
      </c>
      <c r="K191" s="1794">
        <v>73.974823107890813</v>
      </c>
      <c r="L191" s="1791">
        <v>97.399947150268304</v>
      </c>
      <c r="M191" s="1794">
        <v>186.64880515742888</v>
      </c>
      <c r="N191" s="1791">
        <v>169.86108185943579</v>
      </c>
      <c r="O191" s="1794">
        <v>75.279414028599689</v>
      </c>
      <c r="P191" s="1791">
        <v>175.99185243615094</v>
      </c>
      <c r="Q191" s="1794">
        <v>55.913278047942683</v>
      </c>
      <c r="R191" s="1799"/>
      <c r="S191" s="1006">
        <v>82.384384919493058</v>
      </c>
    </row>
    <row r="192" spans="1:19" ht="13.15" customHeight="1">
      <c r="A192" s="1001">
        <f t="shared" si="2"/>
        <v>2019.03</v>
      </c>
      <c r="B192" s="1003">
        <v>127.55184023938995</v>
      </c>
      <c r="C192" s="1785">
        <v>93.725833849567749</v>
      </c>
      <c r="D192" s="1791">
        <v>154.77390424663463</v>
      </c>
      <c r="E192" s="1794">
        <v>83.442858014777073</v>
      </c>
      <c r="F192" s="1791">
        <v>205.23760949462121</v>
      </c>
      <c r="G192" s="1794">
        <v>65.936505062465741</v>
      </c>
      <c r="H192" s="1791">
        <v>90.670732251396103</v>
      </c>
      <c r="I192" s="1794">
        <v>50.238438398731525</v>
      </c>
      <c r="J192" s="1791">
        <v>201.12124653601322</v>
      </c>
      <c r="K192" s="1794">
        <v>93.690408235579326</v>
      </c>
      <c r="L192" s="1791">
        <v>109.32591281383441</v>
      </c>
      <c r="M192" s="1794">
        <v>184.60091486255087</v>
      </c>
      <c r="N192" s="1791">
        <v>203.4628974223308</v>
      </c>
      <c r="O192" s="1794">
        <v>95.703386931409312</v>
      </c>
      <c r="P192" s="1791">
        <v>158.15216091284242</v>
      </c>
      <c r="Q192" s="1794">
        <v>79.899411019935485</v>
      </c>
      <c r="R192" s="1799"/>
      <c r="S192" s="1006">
        <v>101.38666838877461</v>
      </c>
    </row>
    <row r="193" spans="1:20" ht="13.15" customHeight="1">
      <c r="A193" s="1001">
        <f t="shared" si="2"/>
        <v>2019.04</v>
      </c>
      <c r="B193" s="1003">
        <v>134.1243385980585</v>
      </c>
      <c r="C193" s="1785">
        <v>98.595695706490019</v>
      </c>
      <c r="D193" s="1791">
        <v>203.30695637346903</v>
      </c>
      <c r="E193" s="1794">
        <v>91.0321052155806</v>
      </c>
      <c r="F193" s="1791">
        <v>228.51876043125407</v>
      </c>
      <c r="G193" s="1794">
        <v>60.703733748053899</v>
      </c>
      <c r="H193" s="1791">
        <v>89.361865494109594</v>
      </c>
      <c r="I193" s="1794">
        <v>57.796497015964256</v>
      </c>
      <c r="J193" s="1791">
        <v>194.36100659537982</v>
      </c>
      <c r="K193" s="1794">
        <v>95.321901844833704</v>
      </c>
      <c r="L193" s="1791">
        <v>104.45136030358834</v>
      </c>
      <c r="M193" s="1794">
        <v>163.2926606598088</v>
      </c>
      <c r="N193" s="1791">
        <v>193.87714113771335</v>
      </c>
      <c r="O193" s="1794">
        <v>84.188011033511614</v>
      </c>
      <c r="P193" s="1791">
        <v>191.31418186676433</v>
      </c>
      <c r="Q193" s="1794">
        <v>71.678442668433576</v>
      </c>
      <c r="R193" s="1799"/>
      <c r="S193" s="1006">
        <v>95.984146781212871</v>
      </c>
    </row>
    <row r="194" spans="1:20" ht="13.15" customHeight="1">
      <c r="A194" s="1001">
        <f t="shared" si="2"/>
        <v>2019.05</v>
      </c>
      <c r="B194" s="1003">
        <v>144.7163505415356</v>
      </c>
      <c r="C194" s="1785">
        <v>111.27453980042326</v>
      </c>
      <c r="D194" s="1791">
        <v>210.41005208365021</v>
      </c>
      <c r="E194" s="1794">
        <v>90.350670458150148</v>
      </c>
      <c r="F194" s="1791">
        <v>247.42120987582649</v>
      </c>
      <c r="G194" s="1794">
        <v>76.586222917861591</v>
      </c>
      <c r="H194" s="1791">
        <v>94.443073420981833</v>
      </c>
      <c r="I194" s="1794">
        <v>77.874426470983181</v>
      </c>
      <c r="J194" s="1791">
        <v>210.12087103418389</v>
      </c>
      <c r="K194" s="1794">
        <v>101.402039377647</v>
      </c>
      <c r="L194" s="1791">
        <v>137.21098995735881</v>
      </c>
      <c r="M194" s="1794">
        <v>152.69669191377903</v>
      </c>
      <c r="N194" s="1791">
        <v>239.93323843957941</v>
      </c>
      <c r="O194" s="1794">
        <v>109.41923434726743</v>
      </c>
      <c r="P194" s="1791">
        <v>186.7458424261896</v>
      </c>
      <c r="Q194" s="1794">
        <v>73.3170035844296</v>
      </c>
      <c r="R194" s="1799"/>
      <c r="S194" s="1006">
        <v>98.87969307366113</v>
      </c>
    </row>
    <row r="195" spans="1:20" s="1165" customFormat="1" ht="13.15" customHeight="1">
      <c r="A195" s="1001">
        <f t="shared" si="2"/>
        <v>2019.06</v>
      </c>
      <c r="B195" s="1003">
        <v>136.40585467423767</v>
      </c>
      <c r="C195" s="1785">
        <v>105.66754994930552</v>
      </c>
      <c r="D195" s="1791">
        <v>227.49055699098756</v>
      </c>
      <c r="E195" s="1794">
        <v>79.770940138162175</v>
      </c>
      <c r="F195" s="1791">
        <v>225.197984051991</v>
      </c>
      <c r="G195" s="1794">
        <v>58.574988804132033</v>
      </c>
      <c r="H195" s="1791">
        <v>80.70308201016924</v>
      </c>
      <c r="I195" s="1794">
        <v>88.937009507962159</v>
      </c>
      <c r="J195" s="1791">
        <v>196.40098610072005</v>
      </c>
      <c r="K195" s="1794">
        <v>95.642597938213598</v>
      </c>
      <c r="L195" s="1791">
        <v>113.14904565885828</v>
      </c>
      <c r="M195" s="1794">
        <v>150.83334445757799</v>
      </c>
      <c r="N195" s="1791">
        <v>208.83850702374914</v>
      </c>
      <c r="O195" s="1794">
        <v>65.592838264797933</v>
      </c>
      <c r="P195" s="1791">
        <v>173.46337132204678</v>
      </c>
      <c r="Q195" s="1794">
        <v>88.847732067210316</v>
      </c>
      <c r="R195" s="1799"/>
      <c r="S195" s="1006">
        <v>97.688578096985765</v>
      </c>
      <c r="T195" s="1164"/>
    </row>
    <row r="196" spans="1:20" ht="13.15" customHeight="1">
      <c r="A196" s="1001">
        <f t="shared" si="2"/>
        <v>2019.07</v>
      </c>
      <c r="B196" s="1003">
        <v>148.34587210904201</v>
      </c>
      <c r="C196" s="1785">
        <v>120.14282010731441</v>
      </c>
      <c r="D196" s="1791">
        <v>236.44199381383294</v>
      </c>
      <c r="E196" s="1794">
        <v>90.702254642220481</v>
      </c>
      <c r="F196" s="1791">
        <v>231.48112675315505</v>
      </c>
      <c r="G196" s="1794">
        <v>72.58003145803174</v>
      </c>
      <c r="H196" s="1791">
        <v>80.359714404100728</v>
      </c>
      <c r="I196" s="1794">
        <v>56.905512926445994</v>
      </c>
      <c r="J196" s="1791">
        <v>196.54440805155008</v>
      </c>
      <c r="K196" s="1794">
        <v>95.556391796219998</v>
      </c>
      <c r="L196" s="1791">
        <v>133.90317780520795</v>
      </c>
      <c r="M196" s="1794">
        <v>165.94872788675619</v>
      </c>
      <c r="N196" s="1791">
        <v>265.06915784503576</v>
      </c>
      <c r="O196" s="1794">
        <v>116.71128545531576</v>
      </c>
      <c r="P196" s="1791">
        <v>213.95902894755378</v>
      </c>
      <c r="Q196" s="1794">
        <v>96.965750844611094</v>
      </c>
      <c r="R196" s="1799"/>
      <c r="S196" s="1006">
        <v>92.811571320767939</v>
      </c>
    </row>
    <row r="197" spans="1:20" ht="13.15" customHeight="1">
      <c r="A197" s="1001">
        <f t="shared" si="2"/>
        <v>2019.08</v>
      </c>
      <c r="B197" s="1003">
        <v>148.1220351153589</v>
      </c>
      <c r="C197" s="1785">
        <v>131.28910165448048</v>
      </c>
      <c r="D197" s="1791">
        <v>224.50357886813887</v>
      </c>
      <c r="E197" s="1791">
        <v>106.31478419050443</v>
      </c>
      <c r="F197" s="1791">
        <v>217.89552904798848</v>
      </c>
      <c r="G197" s="1791">
        <v>78.295931655442146</v>
      </c>
      <c r="H197" s="1791">
        <v>88.146551930722794</v>
      </c>
      <c r="I197" s="1791">
        <v>52.942885483525046</v>
      </c>
      <c r="J197" s="1791">
        <v>226.76365314375187</v>
      </c>
      <c r="K197" s="1791">
        <v>108.14039261854707</v>
      </c>
      <c r="L197" s="1791">
        <v>110.00803679865611</v>
      </c>
      <c r="M197" s="1791">
        <v>184.94438522155338</v>
      </c>
      <c r="N197" s="1791">
        <v>247.27086759296992</v>
      </c>
      <c r="O197" s="1791">
        <v>89.667186287445517</v>
      </c>
      <c r="P197" s="1791">
        <v>193.49325357565417</v>
      </c>
      <c r="Q197" s="1794">
        <v>98.91127086202998</v>
      </c>
      <c r="R197" s="1799"/>
      <c r="S197" s="1006">
        <v>103.8657233998829</v>
      </c>
    </row>
    <row r="198" spans="1:20" ht="13.15" customHeight="1">
      <c r="A198" s="1001">
        <f t="shared" si="2"/>
        <v>2019.09</v>
      </c>
      <c r="B198" s="1003">
        <v>138.57061217783962</v>
      </c>
      <c r="C198" s="1791">
        <v>147.25384681060288</v>
      </c>
      <c r="D198" s="1791">
        <v>164.00498443070302</v>
      </c>
      <c r="E198" s="1791">
        <v>106.67759280720176</v>
      </c>
      <c r="F198" s="1791">
        <v>221.73067694742289</v>
      </c>
      <c r="G198" s="1791">
        <v>69.204216936155163</v>
      </c>
      <c r="H198" s="1791">
        <v>70.406749382294066</v>
      </c>
      <c r="I198" s="1791">
        <v>91.854565811108742</v>
      </c>
      <c r="J198" s="1791">
        <v>242.43211952999462</v>
      </c>
      <c r="K198" s="1791">
        <v>108.38239138316568</v>
      </c>
      <c r="L198" s="1791">
        <v>125.89253919996484</v>
      </c>
      <c r="M198" s="1791">
        <v>181.58548941328806</v>
      </c>
      <c r="N198" s="1791">
        <v>244.42287492037971</v>
      </c>
      <c r="O198" s="1791">
        <v>82.499360980175723</v>
      </c>
      <c r="P198" s="1791">
        <v>189.29950943679276</v>
      </c>
      <c r="Q198" s="1791">
        <v>88.08952186811446</v>
      </c>
      <c r="R198" s="1799"/>
      <c r="S198" s="1006">
        <v>92.869627849423253</v>
      </c>
    </row>
    <row r="199" spans="1:20" ht="13.15" customHeight="1">
      <c r="A199" s="1001">
        <f t="shared" si="2"/>
        <v>2019.1</v>
      </c>
      <c r="B199" s="1003">
        <v>151.55457322334681</v>
      </c>
      <c r="C199" s="1791">
        <v>157.20832411068341</v>
      </c>
      <c r="D199" s="1791">
        <v>211.52001837775094</v>
      </c>
      <c r="E199" s="1791">
        <v>128.44546098557282</v>
      </c>
      <c r="F199" s="1791">
        <v>242.52149826900302</v>
      </c>
      <c r="G199" s="1791">
        <v>75.686562784533265</v>
      </c>
      <c r="H199" s="1791">
        <v>76.774417637062413</v>
      </c>
      <c r="I199" s="1791">
        <v>64.766216138357862</v>
      </c>
      <c r="J199" s="1791">
        <v>228.60635976117325</v>
      </c>
      <c r="K199" s="1791">
        <v>118.49880560076727</v>
      </c>
      <c r="L199" s="1791">
        <v>114.36988395802507</v>
      </c>
      <c r="M199" s="1791">
        <v>222.22566927217517</v>
      </c>
      <c r="N199" s="1791">
        <v>253.41181654996137</v>
      </c>
      <c r="O199" s="1791">
        <v>65.780091188724199</v>
      </c>
      <c r="P199" s="1791">
        <v>163.92306640483167</v>
      </c>
      <c r="Q199" s="1791">
        <v>97.406155391157228</v>
      </c>
      <c r="R199" s="1799"/>
      <c r="S199" s="1006">
        <v>100.81918339932389</v>
      </c>
    </row>
    <row r="200" spans="1:20" ht="13.15" customHeight="1">
      <c r="A200" s="1001">
        <f t="shared" si="2"/>
        <v>2019.11</v>
      </c>
      <c r="B200" s="1003">
        <v>131.13477004636684</v>
      </c>
      <c r="C200" s="1791">
        <v>145.7315579780014</v>
      </c>
      <c r="D200" s="1791">
        <v>157.11825468351432</v>
      </c>
      <c r="E200" s="1791">
        <v>107.35260740041591</v>
      </c>
      <c r="F200" s="1791">
        <v>224.77249044371547</v>
      </c>
      <c r="G200" s="1791">
        <v>56.844555367001121</v>
      </c>
      <c r="H200" s="1791">
        <v>82.263290928561688</v>
      </c>
      <c r="I200" s="1791">
        <v>58.251041157142495</v>
      </c>
      <c r="J200" s="1791">
        <v>205.48200580804956</v>
      </c>
      <c r="K200" s="1791">
        <v>95.371441065546492</v>
      </c>
      <c r="L200" s="1791">
        <v>106.67460489626939</v>
      </c>
      <c r="M200" s="1791">
        <v>160.54768477466152</v>
      </c>
      <c r="N200" s="1791">
        <v>189.70930094039224</v>
      </c>
      <c r="O200" s="1791">
        <v>94.606425971014986</v>
      </c>
      <c r="P200" s="1791">
        <v>221.55694179978664</v>
      </c>
      <c r="Q200" s="1791">
        <v>103.73302590695955</v>
      </c>
      <c r="R200" s="1799"/>
      <c r="S200" s="1006">
        <v>92.7717135288853</v>
      </c>
    </row>
    <row r="201" spans="1:20" ht="13.15" customHeight="1">
      <c r="A201" s="1001">
        <f t="shared" si="2"/>
        <v>2019.12</v>
      </c>
      <c r="B201" s="1003">
        <v>127.64330175515747</v>
      </c>
      <c r="C201" s="1791">
        <v>125.31207583691028</v>
      </c>
      <c r="D201" s="1791">
        <v>139.34199519394508</v>
      </c>
      <c r="E201" s="1791">
        <v>96.714185084189197</v>
      </c>
      <c r="F201" s="1791">
        <v>226.82684594966648</v>
      </c>
      <c r="G201" s="1791">
        <v>58.796415552338637</v>
      </c>
      <c r="H201" s="1791">
        <v>81.59117852555471</v>
      </c>
      <c r="I201" s="1791">
        <v>47.277529113785938</v>
      </c>
      <c r="J201" s="1791">
        <v>234.13253804519735</v>
      </c>
      <c r="K201" s="1791">
        <v>107.03116185166891</v>
      </c>
      <c r="L201" s="1791">
        <v>88.134754402205601</v>
      </c>
      <c r="M201" s="1791">
        <v>145.50583263059252</v>
      </c>
      <c r="N201" s="1791">
        <v>197.02790649818701</v>
      </c>
      <c r="O201" s="1791">
        <v>139.42056635394286</v>
      </c>
      <c r="P201" s="1791">
        <v>201.3011653342769</v>
      </c>
      <c r="Q201" s="1791">
        <v>100.82243943098393</v>
      </c>
      <c r="R201" s="1799"/>
      <c r="S201" s="1006">
        <v>85.946508630019707</v>
      </c>
    </row>
    <row r="202" spans="1:20" ht="13.15" customHeight="1">
      <c r="A202" s="1001">
        <f t="shared" si="2"/>
        <v>2020.01</v>
      </c>
      <c r="B202" s="1003">
        <v>107.54477067679773</v>
      </c>
      <c r="C202" s="1791">
        <v>103.38400627430946</v>
      </c>
      <c r="D202" s="1791">
        <v>118.84178023777403</v>
      </c>
      <c r="E202" s="1791">
        <v>100.08010520445472</v>
      </c>
      <c r="F202" s="1791">
        <v>218.56760519884881</v>
      </c>
      <c r="G202" s="1791">
        <v>60.882504436844371</v>
      </c>
      <c r="H202" s="1791">
        <v>81.205007372774958</v>
      </c>
      <c r="I202" s="1791">
        <v>21.459382594038448</v>
      </c>
      <c r="J202" s="1791">
        <v>190.37793541430739</v>
      </c>
      <c r="K202" s="1791">
        <v>77.115591551379609</v>
      </c>
      <c r="L202" s="1791">
        <v>71.588105019610168</v>
      </c>
      <c r="M202" s="1791">
        <v>146.34394803308979</v>
      </c>
      <c r="N202" s="1791">
        <v>198.23711712984766</v>
      </c>
      <c r="O202" s="1791">
        <v>62.03682037045035</v>
      </c>
      <c r="P202" s="1791">
        <v>148.45919616733116</v>
      </c>
      <c r="Q202" s="1791">
        <v>60.819996985444206</v>
      </c>
      <c r="R202" s="1799"/>
      <c r="S202" s="1006">
        <v>64.439415040118732</v>
      </c>
    </row>
    <row r="203" spans="1:20" ht="13.15" customHeight="1">
      <c r="A203" s="1001">
        <f t="shared" si="2"/>
        <v>2020.02</v>
      </c>
      <c r="B203" s="1003">
        <v>107.12172557018545</v>
      </c>
      <c r="C203" s="1791">
        <v>80.140701077629174</v>
      </c>
      <c r="D203" s="1791">
        <v>139.59094961062289</v>
      </c>
      <c r="E203" s="1791">
        <v>90.388478761271699</v>
      </c>
      <c r="F203" s="1791">
        <v>212.10864836918762</v>
      </c>
      <c r="G203" s="1791">
        <v>48.078803218689728</v>
      </c>
      <c r="H203" s="1791">
        <v>71.127434554480516</v>
      </c>
      <c r="I203" s="1791">
        <v>34.779720993707024</v>
      </c>
      <c r="J203" s="1791">
        <v>176.11715884636206</v>
      </c>
      <c r="K203" s="1791">
        <v>84.735793083388955</v>
      </c>
      <c r="L203" s="1791">
        <v>77.238270059036509</v>
      </c>
      <c r="M203" s="1791">
        <v>139.82910553299408</v>
      </c>
      <c r="N203" s="1791">
        <v>183.97607885597606</v>
      </c>
      <c r="O203" s="1791">
        <v>59.546489089592569</v>
      </c>
      <c r="P203" s="1791">
        <v>145.27917887635829</v>
      </c>
      <c r="Q203" s="1791">
        <v>72.289762451688048</v>
      </c>
      <c r="R203" s="1799"/>
      <c r="S203" s="1006">
        <v>67.666525458809545</v>
      </c>
    </row>
    <row r="204" spans="1:20" ht="13.15" customHeight="1">
      <c r="A204" s="1001">
        <f t="shared" si="2"/>
        <v>2020.03</v>
      </c>
      <c r="B204" s="1003">
        <v>100.77974665150822</v>
      </c>
      <c r="C204" s="1791">
        <v>90.621907729441489</v>
      </c>
      <c r="D204" s="1791">
        <v>145.48405799854359</v>
      </c>
      <c r="E204" s="1791">
        <v>97.681500974754584</v>
      </c>
      <c r="F204" s="1791">
        <v>205.29957544441649</v>
      </c>
      <c r="G204" s="1791">
        <v>47.259482057760991</v>
      </c>
      <c r="H204" s="1791">
        <v>63.693401838954514</v>
      </c>
      <c r="I204" s="1791">
        <v>23.660843241665681</v>
      </c>
      <c r="J204" s="1791">
        <v>147.46776100716065</v>
      </c>
      <c r="K204" s="1791">
        <v>63.121200142224296</v>
      </c>
      <c r="L204" s="1791">
        <v>60.258187912126033</v>
      </c>
      <c r="M204" s="1791">
        <v>152.16278164186227</v>
      </c>
      <c r="N204" s="1791">
        <v>188.02122547379915</v>
      </c>
      <c r="O204" s="1791">
        <v>35.87266258291897</v>
      </c>
      <c r="P204" s="1791">
        <v>121.72202358200609</v>
      </c>
      <c r="Q204" s="1791">
        <v>61.059579901830041</v>
      </c>
      <c r="R204" s="1799"/>
      <c r="S204" s="1006">
        <v>50.613500032142703</v>
      </c>
    </row>
    <row r="205" spans="1:20" ht="13.15" customHeight="1">
      <c r="A205" s="1001">
        <f t="shared" si="2"/>
        <v>2020.04</v>
      </c>
      <c r="B205" s="1003">
        <v>102.10068282838235</v>
      </c>
      <c r="C205" s="1791">
        <v>96.369366096070081</v>
      </c>
      <c r="D205" s="1791">
        <v>195.94623973615819</v>
      </c>
      <c r="E205" s="1791">
        <v>105.05190350633315</v>
      </c>
      <c r="F205" s="1791">
        <v>229.26957284829481</v>
      </c>
      <c r="G205" s="1791">
        <v>22.890206229018546</v>
      </c>
      <c r="H205" s="1791">
        <v>66.65486480016142</v>
      </c>
      <c r="I205" s="1791">
        <v>21.043946225220765</v>
      </c>
      <c r="J205" s="1791">
        <v>137.63789591932283</v>
      </c>
      <c r="K205" s="1791">
        <v>44.288450999243075</v>
      </c>
      <c r="L205" s="1791">
        <v>49.435987306806169</v>
      </c>
      <c r="M205" s="1791">
        <v>170.8727975114646</v>
      </c>
      <c r="N205" s="1791">
        <v>70.803903128312612</v>
      </c>
      <c r="O205" s="1791">
        <v>17.593235761038258</v>
      </c>
      <c r="P205" s="1791">
        <v>46.005652401195718</v>
      </c>
      <c r="Q205" s="1791">
        <v>86.080079553104042</v>
      </c>
      <c r="R205" s="1799"/>
      <c r="S205" s="1006">
        <v>33.018992116172981</v>
      </c>
    </row>
    <row r="206" spans="1:20" ht="13.15" customHeight="1">
      <c r="A206" s="1001">
        <f t="shared" si="2"/>
        <v>2020.05</v>
      </c>
      <c r="B206" s="1003">
        <v>125.4697516713824</v>
      </c>
      <c r="C206" s="1791">
        <v>102.5723776355463</v>
      </c>
      <c r="D206" s="1791">
        <v>213.2261931032088</v>
      </c>
      <c r="E206" s="1791">
        <v>102.45040969943925</v>
      </c>
      <c r="F206" s="1791">
        <v>222.31597440634076</v>
      </c>
      <c r="G206" s="1791">
        <v>34.423918968053933</v>
      </c>
      <c r="H206" s="1791">
        <v>76.891752855027491</v>
      </c>
      <c r="I206" s="1791">
        <v>25.034671028732273</v>
      </c>
      <c r="J206" s="1791">
        <v>174.20083158345082</v>
      </c>
      <c r="K206" s="1791">
        <v>76.211647239100003</v>
      </c>
      <c r="L206" s="1791">
        <v>102.65264872186674</v>
      </c>
      <c r="M206" s="1791">
        <v>182.34452512268069</v>
      </c>
      <c r="N206" s="1791">
        <v>168.21958782114623</v>
      </c>
      <c r="O206" s="1791">
        <v>38.463742870679326</v>
      </c>
      <c r="P206" s="1791">
        <v>144.76940664569142</v>
      </c>
      <c r="Q206" s="1791">
        <v>69.672880586640986</v>
      </c>
      <c r="R206" s="1799"/>
      <c r="S206" s="1006">
        <v>71.531627076395679</v>
      </c>
    </row>
    <row r="207" spans="1:20" ht="13.15" customHeight="1">
      <c r="A207" s="1001">
        <f t="shared" si="2"/>
        <v>2020.06</v>
      </c>
      <c r="B207" s="1003">
        <v>135.57362146649717</v>
      </c>
      <c r="C207" s="1791">
        <v>102.76639606138262</v>
      </c>
      <c r="D207" s="1791">
        <v>187.86275987102928</v>
      </c>
      <c r="E207" s="1791">
        <v>113.2493051034086</v>
      </c>
      <c r="F207" s="1791">
        <v>233.24469864077741</v>
      </c>
      <c r="G207" s="1791">
        <v>51.461517968297244</v>
      </c>
      <c r="H207" s="1791">
        <v>76.080122404350192</v>
      </c>
      <c r="I207" s="1791">
        <v>25.257853776655612</v>
      </c>
      <c r="J207" s="1791">
        <v>183.49638901269083</v>
      </c>
      <c r="K207" s="1791">
        <v>114.69864327193551</v>
      </c>
      <c r="L207" s="1791">
        <v>106.37683909133955</v>
      </c>
      <c r="M207" s="1791">
        <v>212.65633722392158</v>
      </c>
      <c r="N207" s="1791">
        <v>208.12795743162931</v>
      </c>
      <c r="O207" s="1791">
        <v>61.395552942476314</v>
      </c>
      <c r="P207" s="1791">
        <v>228.06146811964325</v>
      </c>
      <c r="Q207" s="1791">
        <v>68.244582233971968</v>
      </c>
      <c r="R207" s="1799"/>
      <c r="S207" s="1006">
        <v>91.063439131499493</v>
      </c>
    </row>
    <row r="208" spans="1:20" ht="13.15" customHeight="1">
      <c r="A208" s="1001">
        <f t="shared" si="2"/>
        <v>2020.07</v>
      </c>
      <c r="B208" s="1003">
        <v>131.97403558066543</v>
      </c>
      <c r="C208" s="1791">
        <v>107.96675430380384</v>
      </c>
      <c r="D208" s="1791">
        <v>177.69450936495105</v>
      </c>
      <c r="E208" s="1791">
        <v>128.03070783308695</v>
      </c>
      <c r="F208" s="1791">
        <v>225.33602039252531</v>
      </c>
      <c r="G208" s="1791">
        <v>48.305720616063617</v>
      </c>
      <c r="H208" s="1791">
        <v>76.5361571344542</v>
      </c>
      <c r="I208" s="1791">
        <v>32.803417513771421</v>
      </c>
      <c r="J208" s="1791">
        <v>175.12068158832642</v>
      </c>
      <c r="K208" s="1791">
        <v>95.605148313778173</v>
      </c>
      <c r="L208" s="1791">
        <v>114.86356446743505</v>
      </c>
      <c r="M208" s="1791">
        <v>182.31421156089627</v>
      </c>
      <c r="N208" s="1791">
        <v>206.54140350629743</v>
      </c>
      <c r="O208" s="1791">
        <v>66.790765963615371</v>
      </c>
      <c r="P208" s="1791">
        <v>233.42148280688031</v>
      </c>
      <c r="Q208" s="1791">
        <v>98.945689718606587</v>
      </c>
      <c r="R208" s="1799"/>
      <c r="S208" s="1006">
        <v>91.280423042770678</v>
      </c>
    </row>
    <row r="209" spans="1:19" ht="13.15" customHeight="1">
      <c r="A209" s="1001">
        <f t="shared" si="2"/>
        <v>2020.08</v>
      </c>
      <c r="B209" s="1003">
        <v>135.32982150946225</v>
      </c>
      <c r="C209" s="1791">
        <v>95.510178307829719</v>
      </c>
      <c r="D209" s="1791">
        <v>181.83686392228157</v>
      </c>
      <c r="E209" s="1791">
        <v>122.15273181603004</v>
      </c>
      <c r="F209" s="1791">
        <v>225.38875400788757</v>
      </c>
      <c r="G209" s="1791">
        <v>40.904947874420166</v>
      </c>
      <c r="H209" s="1791">
        <v>74.304631097808723</v>
      </c>
      <c r="I209" s="1791">
        <v>34.416323728850884</v>
      </c>
      <c r="J209" s="1791">
        <v>184.17519845126358</v>
      </c>
      <c r="K209" s="1791">
        <v>98.557067128936851</v>
      </c>
      <c r="L209" s="1791">
        <v>116.23998875203516</v>
      </c>
      <c r="M209" s="1791">
        <v>226.11279294886515</v>
      </c>
      <c r="N209" s="1791">
        <v>213.85499844289231</v>
      </c>
      <c r="O209" s="1791">
        <v>80.172981492734905</v>
      </c>
      <c r="P209" s="1791">
        <v>205.4703426190394</v>
      </c>
      <c r="Q209" s="1791">
        <v>71.018024969050586</v>
      </c>
      <c r="R209" s="1799"/>
      <c r="S209" s="1006">
        <v>86.447779266539257</v>
      </c>
    </row>
    <row r="210" spans="1:19" ht="13.15" customHeight="1">
      <c r="A210" s="1001">
        <f t="shared" si="2"/>
        <v>2020.09</v>
      </c>
      <c r="B210" s="1003">
        <v>141.04050646375956</v>
      </c>
      <c r="C210" s="1791">
        <v>101.56902931658986</v>
      </c>
      <c r="D210" s="1791">
        <v>172.52612307364916</v>
      </c>
      <c r="E210" s="1791">
        <v>131.83278200327354</v>
      </c>
      <c r="F210" s="1791">
        <v>244.80600480894583</v>
      </c>
      <c r="G210" s="1791">
        <v>39.070519425855224</v>
      </c>
      <c r="H210" s="1791">
        <v>79.054203567071184</v>
      </c>
      <c r="I210" s="1791">
        <v>67.257309550746712</v>
      </c>
      <c r="J210" s="1791">
        <v>203.69395332779544</v>
      </c>
      <c r="K210" s="1791">
        <v>106.91931978019315</v>
      </c>
      <c r="L210" s="1791">
        <v>117.58528756260409</v>
      </c>
      <c r="M210" s="1791">
        <v>227.99640660687382</v>
      </c>
      <c r="N210" s="1791">
        <v>223.91260380301222</v>
      </c>
      <c r="O210" s="1791">
        <v>90.032731269920916</v>
      </c>
      <c r="P210" s="1791">
        <v>244.35309323904903</v>
      </c>
      <c r="Q210" s="1791">
        <v>103.42579216486357</v>
      </c>
      <c r="R210" s="1799"/>
      <c r="S210" s="1006">
        <v>90.852669483797271</v>
      </c>
    </row>
    <row r="211" spans="1:19" ht="13.15" customHeight="1">
      <c r="A211" s="1001">
        <f t="shared" si="2"/>
        <v>2020.1</v>
      </c>
      <c r="B211" s="1003">
        <v>142.69944585104375</v>
      </c>
      <c r="C211" s="1791">
        <v>115.57641413075559</v>
      </c>
      <c r="D211" s="1791">
        <v>160.7497006418115</v>
      </c>
      <c r="E211" s="1791">
        <v>137.9288330743768</v>
      </c>
      <c r="F211" s="1791">
        <v>252.6910903725948</v>
      </c>
      <c r="G211" s="1791">
        <v>48.154423540690296</v>
      </c>
      <c r="H211" s="1791">
        <v>68.52228526735577</v>
      </c>
      <c r="I211" s="1791">
        <v>48.851216572983731</v>
      </c>
      <c r="J211" s="1791">
        <v>196.75932878574494</v>
      </c>
      <c r="K211" s="1791">
        <v>129.522389832502</v>
      </c>
      <c r="L211" s="1791">
        <v>121.33027432849445</v>
      </c>
      <c r="M211" s="1791">
        <v>237.93331639672141</v>
      </c>
      <c r="N211" s="1791">
        <v>213.31785539275234</v>
      </c>
      <c r="O211" s="1791">
        <v>83.912875004835385</v>
      </c>
      <c r="P211" s="1791">
        <v>257.61794145350098</v>
      </c>
      <c r="Q211" s="1791">
        <v>84.311045442261673</v>
      </c>
      <c r="R211" s="1799"/>
      <c r="S211" s="1006">
        <v>97.675818191116974</v>
      </c>
    </row>
    <row r="212" spans="1:19" ht="13.15" customHeight="1">
      <c r="A212" s="1001">
        <f t="shared" si="2"/>
        <v>2020.11</v>
      </c>
      <c r="B212" s="1003">
        <v>129.94696765750848</v>
      </c>
      <c r="C212" s="1791">
        <v>102.88554216491717</v>
      </c>
      <c r="D212" s="1791">
        <v>153.19375008069204</v>
      </c>
      <c r="E212" s="1791">
        <v>118.90973769331355</v>
      </c>
      <c r="F212" s="1791">
        <v>227.91851251425825</v>
      </c>
      <c r="G212" s="1791">
        <v>44.883031515531236</v>
      </c>
      <c r="H212" s="1791">
        <v>70.763276600425868</v>
      </c>
      <c r="I212" s="1791">
        <v>42.037920190498788</v>
      </c>
      <c r="J212" s="1791">
        <v>185.3266633517494</v>
      </c>
      <c r="K212" s="1791">
        <v>110.31724945264726</v>
      </c>
      <c r="L212" s="1791">
        <v>106.2345648271864</v>
      </c>
      <c r="M212" s="1791">
        <v>224.14979695471536</v>
      </c>
      <c r="N212" s="1791">
        <v>208.97019541498022</v>
      </c>
      <c r="O212" s="1791">
        <v>69.840337602489768</v>
      </c>
      <c r="P212" s="1791">
        <v>198.08861889561831</v>
      </c>
      <c r="Q212" s="1791">
        <v>82.350812268176</v>
      </c>
      <c r="R212" s="1799"/>
      <c r="S212" s="1006">
        <v>87.808482391110246</v>
      </c>
    </row>
    <row r="213" spans="1:19" ht="13.15" customHeight="1">
      <c r="A213" s="1001">
        <f t="shared" si="2"/>
        <v>2020.12</v>
      </c>
      <c r="B213" s="1003">
        <v>111.46062854312962</v>
      </c>
      <c r="C213" s="1791">
        <v>77.307513941806789</v>
      </c>
      <c r="D213" s="1791">
        <v>32.6875249588823</v>
      </c>
      <c r="E213" s="1791">
        <v>137.40485521553893</v>
      </c>
      <c r="F213" s="1791">
        <v>240.1212891642821</v>
      </c>
      <c r="G213" s="1791">
        <v>38.574084099520284</v>
      </c>
      <c r="H213" s="1791">
        <v>63.639092876075608</v>
      </c>
      <c r="I213" s="1791">
        <v>44.958958876241979</v>
      </c>
      <c r="J213" s="1791">
        <v>214.22684037141505</v>
      </c>
      <c r="K213" s="1791">
        <v>98.212935279731155</v>
      </c>
      <c r="L213" s="1791">
        <v>92.64499303607586</v>
      </c>
      <c r="M213" s="1791">
        <v>228.6802819554845</v>
      </c>
      <c r="N213" s="1791">
        <v>186.50668860950131</v>
      </c>
      <c r="O213" s="1791">
        <v>69.126833118570403</v>
      </c>
      <c r="P213" s="1791">
        <v>223.76270106187781</v>
      </c>
      <c r="Q213" s="1791">
        <v>87.032909343904819</v>
      </c>
      <c r="R213" s="1799"/>
      <c r="S213" s="1006">
        <v>95.238652119452539</v>
      </c>
    </row>
    <row r="214" spans="1:19" ht="13.15" customHeight="1">
      <c r="A214" s="1001">
        <f t="shared" si="2"/>
        <v>2021.01</v>
      </c>
      <c r="B214" s="2437">
        <v>122.3147641238174</v>
      </c>
      <c r="C214" s="1791">
        <v>80.580419758001923</v>
      </c>
      <c r="D214" s="1791">
        <v>172.72681808623565</v>
      </c>
      <c r="E214" s="1791">
        <v>104.44601357147106</v>
      </c>
      <c r="F214" s="1791">
        <v>229.22209546003674</v>
      </c>
      <c r="G214" s="1791">
        <v>39.759424489588909</v>
      </c>
      <c r="H214" s="1791">
        <v>66.038474036829157</v>
      </c>
      <c r="I214" s="1791">
        <v>22.462191028404835</v>
      </c>
      <c r="J214" s="1791">
        <v>167.88386787242908</v>
      </c>
      <c r="K214" s="1791">
        <v>97.40447330334257</v>
      </c>
      <c r="L214" s="1791">
        <v>86.744918856430189</v>
      </c>
      <c r="M214" s="1791">
        <v>174.64901575312459</v>
      </c>
      <c r="N214" s="1791">
        <v>167.24813685371066</v>
      </c>
      <c r="O214" s="1791">
        <v>67.401259144459999</v>
      </c>
      <c r="P214" s="1791">
        <v>166.8340760476768</v>
      </c>
      <c r="Q214" s="1791">
        <v>77.972658998794145</v>
      </c>
      <c r="R214" s="1799"/>
      <c r="S214" s="1006">
        <v>98.346287304165898</v>
      </c>
    </row>
    <row r="215" spans="1:19" ht="13.15" customHeight="1">
      <c r="A215" s="1001">
        <f t="shared" ref="A215:A278" si="3">A203+1</f>
        <v>2021.02</v>
      </c>
      <c r="B215" s="2437">
        <v>119.52968110663346</v>
      </c>
      <c r="C215" s="1791">
        <v>69.491513143857844</v>
      </c>
      <c r="D215" s="1791">
        <v>150.86186517254444</v>
      </c>
      <c r="E215" s="1791">
        <v>98.038177537077232</v>
      </c>
      <c r="F215" s="1791">
        <v>215.18565230863103</v>
      </c>
      <c r="G215" s="1791">
        <v>52.746351935602725</v>
      </c>
      <c r="H215" s="1791">
        <v>57.882957543962377</v>
      </c>
      <c r="I215" s="1791">
        <v>38.892035230469688</v>
      </c>
      <c r="J215" s="1791">
        <v>172.65739560796098</v>
      </c>
      <c r="K215" s="1791">
        <v>82.028846130901144</v>
      </c>
      <c r="L215" s="1791">
        <v>100.70015230386083</v>
      </c>
      <c r="M215" s="1791">
        <v>198.94885322974241</v>
      </c>
      <c r="N215" s="1791">
        <v>163.72385362825909</v>
      </c>
      <c r="O215" s="1791">
        <v>60.132971073696552</v>
      </c>
      <c r="P215" s="1791">
        <v>193.13331166646492</v>
      </c>
      <c r="Q215" s="1791">
        <v>47.718248469075888</v>
      </c>
      <c r="R215" s="1799"/>
      <c r="S215" s="1006">
        <v>92.367208008215357</v>
      </c>
    </row>
    <row r="216" spans="1:19" ht="13.15" customHeight="1">
      <c r="A216" s="1001">
        <f t="shared" si="3"/>
        <v>2021.03</v>
      </c>
      <c r="B216" s="2437">
        <v>145.55853680347954</v>
      </c>
      <c r="C216" s="1791">
        <v>92.15623827421004</v>
      </c>
      <c r="D216" s="1791">
        <v>181.84814225780107</v>
      </c>
      <c r="E216" s="1791">
        <v>104.61537004793482</v>
      </c>
      <c r="F216" s="1791">
        <v>251.90966242953797</v>
      </c>
      <c r="G216" s="1791">
        <v>62.022982034980004</v>
      </c>
      <c r="H216" s="1791">
        <v>74.646871209426465</v>
      </c>
      <c r="I216" s="1791">
        <v>39.597247101052815</v>
      </c>
      <c r="J216" s="1791">
        <v>243.89154677896846</v>
      </c>
      <c r="K216" s="1791">
        <v>108.96982496476211</v>
      </c>
      <c r="L216" s="1791">
        <v>124.5793474041091</v>
      </c>
      <c r="M216" s="1791">
        <v>235.38847719481356</v>
      </c>
      <c r="N216" s="1791">
        <v>220.5392074969688</v>
      </c>
      <c r="O216" s="1791">
        <v>88.806206856178065</v>
      </c>
      <c r="P216" s="1791">
        <v>195.45956241157594</v>
      </c>
      <c r="Q216" s="1791">
        <v>100.83874643731232</v>
      </c>
      <c r="R216" s="1799"/>
      <c r="S216" s="1006">
        <v>101.67360030081086</v>
      </c>
    </row>
    <row r="217" spans="1:19" ht="13.15" customHeight="1">
      <c r="A217" s="1001">
        <f t="shared" si="3"/>
        <v>2021.04</v>
      </c>
      <c r="B217" s="2437">
        <v>147.45465442777561</v>
      </c>
      <c r="C217" s="1791">
        <v>79.785773080726969</v>
      </c>
      <c r="D217" s="1791">
        <v>230.93994687013577</v>
      </c>
      <c r="E217" s="1791">
        <v>107.08215162272326</v>
      </c>
      <c r="F217" s="1791">
        <v>251.72013221275759</v>
      </c>
      <c r="G217" s="1791">
        <v>53.835282154501343</v>
      </c>
      <c r="H217" s="1791">
        <v>61.988908437565264</v>
      </c>
      <c r="I217" s="1791">
        <v>39.711249086574242</v>
      </c>
      <c r="J217" s="1791">
        <v>201.9710445653098</v>
      </c>
      <c r="K217" s="1791">
        <v>104.16973244096137</v>
      </c>
      <c r="L217" s="1791">
        <v>131.44791491458687</v>
      </c>
      <c r="M217" s="1791">
        <v>241.33695644148753</v>
      </c>
      <c r="N217" s="1791">
        <v>206.45057185208753</v>
      </c>
      <c r="O217" s="1791">
        <v>91.293834753618469</v>
      </c>
      <c r="P217" s="1791">
        <v>196.04887933789698</v>
      </c>
      <c r="Q217" s="1791">
        <v>75.478327580755604</v>
      </c>
      <c r="R217" s="1799"/>
      <c r="S217" s="1006">
        <v>78.954792769938877</v>
      </c>
    </row>
    <row r="218" spans="1:19" ht="13.15" customHeight="1">
      <c r="A218" s="1001">
        <f t="shared" si="3"/>
        <v>2021.05</v>
      </c>
      <c r="B218" s="2437">
        <v>139.44964219565617</v>
      </c>
      <c r="C218" s="1791">
        <v>79.88054971303859</v>
      </c>
      <c r="D218" s="1791">
        <v>233.15898906342773</v>
      </c>
      <c r="E218" s="1791">
        <v>98.066423802296299</v>
      </c>
      <c r="F218" s="1791">
        <v>226.68838592134051</v>
      </c>
      <c r="G218" s="1791">
        <v>58.505866659023461</v>
      </c>
      <c r="H218" s="1791">
        <v>69.055459566873523</v>
      </c>
      <c r="I218" s="1791">
        <v>49.010949168566832</v>
      </c>
      <c r="J218" s="1791">
        <v>190.4371916623754</v>
      </c>
      <c r="K218" s="1791">
        <v>98.128846980054206</v>
      </c>
      <c r="L218" s="1791">
        <v>110.990550248178</v>
      </c>
      <c r="M218" s="1791">
        <v>205.26075731941143</v>
      </c>
      <c r="N218" s="1791">
        <v>191.1958478647592</v>
      </c>
      <c r="O218" s="1791">
        <v>68.3167294318297</v>
      </c>
      <c r="P218" s="1791">
        <v>180.022376428336</v>
      </c>
      <c r="Q218" s="1791">
        <v>72.911475375393948</v>
      </c>
      <c r="R218" s="1799"/>
      <c r="S218" s="1006">
        <v>90.554325682716183</v>
      </c>
    </row>
    <row r="219" spans="1:19" ht="13.15" customHeight="1">
      <c r="A219" s="1001">
        <f t="shared" si="3"/>
        <v>2021.06</v>
      </c>
      <c r="B219" s="2437">
        <v>151.23799810017925</v>
      </c>
      <c r="C219" s="1791">
        <v>68.684237609996387</v>
      </c>
      <c r="D219" s="1791">
        <v>224.480844118118</v>
      </c>
      <c r="E219" s="1791">
        <v>116.59835044890706</v>
      </c>
      <c r="F219" s="1791">
        <v>229.23243118690476</v>
      </c>
      <c r="G219" s="1791">
        <v>57.0250954710787</v>
      </c>
      <c r="H219" s="1791">
        <v>69.593377470709413</v>
      </c>
      <c r="I219" s="1791">
        <v>49.606320598040938</v>
      </c>
      <c r="J219" s="1791">
        <v>225.76577459185299</v>
      </c>
      <c r="K219" s="1791">
        <v>114.01655244776612</v>
      </c>
      <c r="L219" s="1791">
        <v>125.98437835261021</v>
      </c>
      <c r="M219" s="1791">
        <v>237.38867757611109</v>
      </c>
      <c r="N219" s="1791">
        <v>195.14397737222896</v>
      </c>
      <c r="O219" s="1791">
        <v>104.4879701848687</v>
      </c>
      <c r="P219" s="1791">
        <v>197.70847457882141</v>
      </c>
      <c r="Q219" s="1791">
        <v>78.424203085854799</v>
      </c>
      <c r="R219" s="1799"/>
      <c r="S219" s="1006">
        <v>111.89710038586256</v>
      </c>
    </row>
    <row r="220" spans="1:19" ht="13.15" customHeight="1">
      <c r="A220" s="1001">
        <f t="shared" si="3"/>
        <v>2021.07</v>
      </c>
      <c r="B220" s="2437">
        <v>152.8544308299879</v>
      </c>
      <c r="C220" s="1791">
        <v>96.466506472819901</v>
      </c>
      <c r="D220" s="1791">
        <v>204.35756300694078</v>
      </c>
      <c r="E220" s="1791">
        <v>105.74195734679827</v>
      </c>
      <c r="F220" s="1791">
        <v>269.02428278344445</v>
      </c>
      <c r="G220" s="1791">
        <v>58.898989674351384</v>
      </c>
      <c r="H220" s="1791">
        <v>80.262140676688929</v>
      </c>
      <c r="I220" s="1791">
        <v>53.622622820701046</v>
      </c>
      <c r="J220" s="1791">
        <v>240.8414156238407</v>
      </c>
      <c r="K220" s="1791">
        <v>108.71837596216625</v>
      </c>
      <c r="L220" s="1791">
        <v>123.48282173108888</v>
      </c>
      <c r="M220" s="1791">
        <v>280.05781348009901</v>
      </c>
      <c r="N220" s="1791">
        <v>192.42627598879713</v>
      </c>
      <c r="O220" s="1791">
        <v>79.369860111369064</v>
      </c>
      <c r="P220" s="1791">
        <v>176.09714955649449</v>
      </c>
      <c r="Q220" s="1791">
        <v>62.345739314429736</v>
      </c>
      <c r="R220" s="1799"/>
      <c r="S220" s="1006">
        <v>103.65027262992309</v>
      </c>
    </row>
    <row r="221" spans="1:19" ht="13.15" customHeight="1">
      <c r="A221" s="1001">
        <f t="shared" si="3"/>
        <v>2021.08</v>
      </c>
      <c r="B221" s="2437">
        <v>153.3286694113317</v>
      </c>
      <c r="C221" s="1791">
        <v>104.07823086279501</v>
      </c>
      <c r="D221" s="1791">
        <v>190.13006146841258</v>
      </c>
      <c r="E221" s="1791">
        <v>119.2960174264762</v>
      </c>
      <c r="F221" s="1791">
        <v>274.2391671156094</v>
      </c>
      <c r="G221" s="1791">
        <v>56.826156736423258</v>
      </c>
      <c r="H221" s="1791">
        <v>87.692558729667937</v>
      </c>
      <c r="I221" s="1791">
        <v>57.900869067959704</v>
      </c>
      <c r="J221" s="1791">
        <v>221.47617815322928</v>
      </c>
      <c r="K221" s="1791">
        <v>111.47535158105322</v>
      </c>
      <c r="L221" s="1791">
        <v>130.04608343327811</v>
      </c>
      <c r="M221" s="1791">
        <v>279.73899003681578</v>
      </c>
      <c r="N221" s="1791">
        <v>192.94152346910406</v>
      </c>
      <c r="O221" s="1791">
        <v>93.857327268050767</v>
      </c>
      <c r="P221" s="1791">
        <v>181.64682982162594</v>
      </c>
      <c r="Q221" s="1791">
        <v>87.330802370091575</v>
      </c>
      <c r="R221" s="1799"/>
      <c r="S221" s="1006">
        <v>105.66631144881457</v>
      </c>
    </row>
    <row r="222" spans="1:19" ht="13.15" customHeight="1">
      <c r="A222" s="1001">
        <f t="shared" si="3"/>
        <v>2021.09</v>
      </c>
      <c r="B222" s="2437">
        <v>155.43612573177754</v>
      </c>
      <c r="C222" s="1791">
        <v>96.470053079104318</v>
      </c>
      <c r="D222" s="1791">
        <v>192.43363181844018</v>
      </c>
      <c r="E222" s="1791">
        <v>113.20449031737662</v>
      </c>
      <c r="F222" s="1791">
        <v>277.48212683839762</v>
      </c>
      <c r="G222" s="1791">
        <v>51.121434949173434</v>
      </c>
      <c r="H222" s="1791">
        <v>76.38694447354797</v>
      </c>
      <c r="I222" s="1791">
        <v>52.061495794735244</v>
      </c>
      <c r="J222" s="1791">
        <v>245.34291689158798</v>
      </c>
      <c r="K222" s="1791">
        <v>124.3857204321627</v>
      </c>
      <c r="L222" s="1791">
        <v>142.82003149973426</v>
      </c>
      <c r="M222" s="1791">
        <v>269.51253500328102</v>
      </c>
      <c r="N222" s="1791">
        <v>182.27682944717901</v>
      </c>
      <c r="O222" s="1791">
        <v>104.08706289573362</v>
      </c>
      <c r="P222" s="1791">
        <v>189.9791646174134</v>
      </c>
      <c r="Q222" s="1791">
        <v>104.70542776188549</v>
      </c>
      <c r="R222" s="1799"/>
      <c r="S222" s="1006">
        <v>105.68867533568546</v>
      </c>
    </row>
    <row r="223" spans="1:19" ht="13.15" customHeight="1">
      <c r="A223" s="1001">
        <f t="shared" si="3"/>
        <v>2021.1</v>
      </c>
      <c r="B223" s="2437">
        <v>153.57143163461666</v>
      </c>
      <c r="C223" s="1791">
        <v>96.158256207534407</v>
      </c>
      <c r="D223" s="1791">
        <v>182.37573092147116</v>
      </c>
      <c r="E223" s="1791">
        <v>115.07162177421826</v>
      </c>
      <c r="F223" s="1791">
        <v>269.61936122332361</v>
      </c>
      <c r="G223" s="1791">
        <v>60.951656640591153</v>
      </c>
      <c r="H223" s="1791">
        <v>73.504546147331993</v>
      </c>
      <c r="I223" s="1791">
        <v>52.621975909382783</v>
      </c>
      <c r="J223" s="1791">
        <v>246.22749955521857</v>
      </c>
      <c r="K223" s="1791">
        <v>120.64099554889327</v>
      </c>
      <c r="L223" s="1791">
        <v>116.40373793891267</v>
      </c>
      <c r="M223" s="1791">
        <v>288.13581218679894</v>
      </c>
      <c r="N223" s="1791">
        <v>210.02825282190483</v>
      </c>
      <c r="O223" s="1791">
        <v>103.68667564211755</v>
      </c>
      <c r="P223" s="1791">
        <v>179.7880506228891</v>
      </c>
      <c r="Q223" s="1791">
        <v>77.41410845676269</v>
      </c>
      <c r="R223" s="1799"/>
      <c r="S223" s="1006">
        <v>110.02789017936968</v>
      </c>
    </row>
    <row r="224" spans="1:19" ht="13.15" customHeight="1">
      <c r="A224" s="1001">
        <f t="shared" si="3"/>
        <v>2021.11</v>
      </c>
      <c r="B224" s="2437">
        <v>148.53169976964318</v>
      </c>
      <c r="C224" s="1791">
        <v>93.926024490749256</v>
      </c>
      <c r="D224" s="1791">
        <v>149.32415316395154</v>
      </c>
      <c r="E224" s="1791">
        <v>133.50808373861594</v>
      </c>
      <c r="F224" s="1791">
        <v>287.69805792600886</v>
      </c>
      <c r="G224" s="1791">
        <v>51.571853181945571</v>
      </c>
      <c r="H224" s="1791">
        <v>79.748817470280528</v>
      </c>
      <c r="I224" s="1791">
        <v>42.940666014558843</v>
      </c>
      <c r="J224" s="1791">
        <v>250.12170726686614</v>
      </c>
      <c r="K224" s="1791">
        <v>120.7981488687622</v>
      </c>
      <c r="L224" s="1791">
        <v>129.51574217941433</v>
      </c>
      <c r="M224" s="1791">
        <v>247.39443556050665</v>
      </c>
      <c r="N224" s="1791">
        <v>221.72038160429938</v>
      </c>
      <c r="O224" s="1791">
        <v>102.57724687376249</v>
      </c>
      <c r="P224" s="1791">
        <v>215.19344631322582</v>
      </c>
      <c r="Q224" s="1791">
        <v>99.242159886973269</v>
      </c>
      <c r="R224" s="1799"/>
      <c r="S224" s="1006">
        <v>107.40510989220368</v>
      </c>
    </row>
    <row r="225" spans="1:19" ht="13.15" customHeight="1">
      <c r="A225" s="1001">
        <f t="shared" si="3"/>
        <v>2021.12</v>
      </c>
      <c r="B225" s="2437">
        <v>144.07646366077603</v>
      </c>
      <c r="C225" s="1791">
        <v>88.723305167685268</v>
      </c>
      <c r="D225" s="1791">
        <v>149.38677760591509</v>
      </c>
      <c r="E225" s="1791">
        <v>139.58546159678357</v>
      </c>
      <c r="F225" s="1791">
        <v>264.39937897150838</v>
      </c>
      <c r="G225" s="1791">
        <v>61.584149137844349</v>
      </c>
      <c r="H225" s="1791">
        <v>75.497356188146512</v>
      </c>
      <c r="I225" s="1791">
        <v>52.555176485304663</v>
      </c>
      <c r="J225" s="1791">
        <v>212.29810716899675</v>
      </c>
      <c r="K225" s="1791">
        <v>116.6672562089778</v>
      </c>
      <c r="L225" s="1791">
        <v>125.7132213835135</v>
      </c>
      <c r="M225" s="1791">
        <v>254.7215564068099</v>
      </c>
      <c r="N225" s="1791">
        <v>225.34027823526623</v>
      </c>
      <c r="O225" s="1791">
        <v>90.687061806010519</v>
      </c>
      <c r="P225" s="1791">
        <v>211.81621667631308</v>
      </c>
      <c r="Q225" s="1791">
        <v>102.26158389186762</v>
      </c>
      <c r="R225" s="1799"/>
      <c r="S225" s="1006">
        <v>103.30602408122802</v>
      </c>
    </row>
    <row r="226" spans="1:19" ht="13.15" customHeight="1">
      <c r="A226" s="1001">
        <f t="shared" si="3"/>
        <v>2022.01</v>
      </c>
      <c r="B226" s="2437">
        <v>117.93193453190685</v>
      </c>
      <c r="C226" s="1791">
        <v>79.008535667011898</v>
      </c>
      <c r="D226" s="1791">
        <v>128.34472766752299</v>
      </c>
      <c r="E226" s="1791">
        <v>107.3362020564123</v>
      </c>
      <c r="F226" s="1791">
        <v>243.72549154980527</v>
      </c>
      <c r="G226" s="1791">
        <v>53.805611790916799</v>
      </c>
      <c r="H226" s="1791">
        <v>73.017768534772316</v>
      </c>
      <c r="I226" s="1791">
        <v>44.056820333059292</v>
      </c>
      <c r="J226" s="1791">
        <v>182.30223867044171</v>
      </c>
      <c r="K226" s="1791">
        <v>86.162975599984691</v>
      </c>
      <c r="L226" s="1791">
        <v>90.95749928419275</v>
      </c>
      <c r="M226" s="1791">
        <v>192.01331276227171</v>
      </c>
      <c r="N226" s="1791">
        <v>161.28120390407179</v>
      </c>
      <c r="O226" s="1791">
        <v>66.320074781444575</v>
      </c>
      <c r="P226" s="1791">
        <v>166.79683718928032</v>
      </c>
      <c r="Q226" s="1791">
        <v>102.00190870539042</v>
      </c>
      <c r="R226" s="1799"/>
      <c r="S226" s="1006">
        <v>83.791988411144757</v>
      </c>
    </row>
    <row r="227" spans="1:19" ht="13.15" customHeight="1">
      <c r="A227" s="1001">
        <f t="shared" si="3"/>
        <v>2022.02</v>
      </c>
      <c r="B227" s="2437">
        <v>128.7855019642744</v>
      </c>
      <c r="C227" s="1791">
        <v>76.289032124629102</v>
      </c>
      <c r="D227" s="1791">
        <v>138.07781250153036</v>
      </c>
      <c r="E227" s="1791">
        <v>91.861584443015232</v>
      </c>
      <c r="F227" s="1791">
        <v>250.86127026417719</v>
      </c>
      <c r="G227" s="1791">
        <v>46.332505649671319</v>
      </c>
      <c r="H227" s="1791">
        <v>73.220601923967664</v>
      </c>
      <c r="I227" s="1791">
        <v>39.188161657854018</v>
      </c>
      <c r="J227" s="1791">
        <v>198.78049296070378</v>
      </c>
      <c r="K227" s="1791">
        <v>97.862088506217773</v>
      </c>
      <c r="L227" s="1791">
        <v>102.06301937731897</v>
      </c>
      <c r="M227" s="1791">
        <v>223.613691212361</v>
      </c>
      <c r="N227" s="1791">
        <v>202.98257232487512</v>
      </c>
      <c r="O227" s="1791">
        <v>106.25784953597355</v>
      </c>
      <c r="P227" s="1791">
        <v>148.01724221490076</v>
      </c>
      <c r="Q227" s="1791">
        <v>84.563233845287115</v>
      </c>
      <c r="R227" s="1799"/>
      <c r="S227" s="1006">
        <v>100.6711393468652</v>
      </c>
    </row>
    <row r="228" spans="1:19" ht="13.15" customHeight="1">
      <c r="A228" s="1001">
        <f t="shared" si="3"/>
        <v>2022.03</v>
      </c>
      <c r="B228" s="2437">
        <v>151.60425438383805</v>
      </c>
      <c r="C228" s="1791">
        <v>89.582692142903582</v>
      </c>
      <c r="D228" s="1791">
        <v>159.81015593337651</v>
      </c>
      <c r="E228" s="1791">
        <v>108.19561842602583</v>
      </c>
      <c r="F228" s="1791">
        <v>258.26583670355581</v>
      </c>
      <c r="G228" s="1791">
        <v>55.729342889333289</v>
      </c>
      <c r="H228" s="1791">
        <v>75.247890729981293</v>
      </c>
      <c r="I228" s="1791">
        <v>41.922026175303529</v>
      </c>
      <c r="J228" s="1791">
        <v>239.65616030244504</v>
      </c>
      <c r="K228" s="1791">
        <v>122.77590604135038</v>
      </c>
      <c r="L228" s="1791">
        <v>130.355936986769</v>
      </c>
      <c r="M228" s="1791">
        <v>300.64185053798678</v>
      </c>
      <c r="N228" s="1791">
        <v>235.1785012606303</v>
      </c>
      <c r="O228" s="1791">
        <v>113.75254590461499</v>
      </c>
      <c r="P228" s="1791">
        <v>213.69819803711795</v>
      </c>
      <c r="Q228" s="1791">
        <v>95.378884192879539</v>
      </c>
      <c r="R228" s="1799"/>
      <c r="S228" s="1006">
        <v>106.2230147011859</v>
      </c>
    </row>
    <row r="229" spans="1:19" ht="13.15" customHeight="1">
      <c r="A229" s="1001">
        <f t="shared" si="3"/>
        <v>2022.04</v>
      </c>
      <c r="B229" s="2437">
        <v>163.67836323353154</v>
      </c>
      <c r="C229" s="1791">
        <v>77.060724172434135</v>
      </c>
      <c r="D229" s="1791">
        <v>212.88451889662858</v>
      </c>
      <c r="E229" s="1791">
        <v>100.82881167358471</v>
      </c>
      <c r="F229" s="1791">
        <v>240.5824634737416</v>
      </c>
      <c r="G229" s="1791">
        <v>52.081515250083363</v>
      </c>
      <c r="H229" s="1791">
        <v>73.385525155342165</v>
      </c>
      <c r="I229" s="1791">
        <v>38.840594087291898</v>
      </c>
      <c r="J229" s="1791">
        <v>331.19199475063374</v>
      </c>
      <c r="K229" s="1791">
        <v>117.90059797669278</v>
      </c>
      <c r="L229" s="1791">
        <v>129.57671992691331</v>
      </c>
      <c r="M229" s="1791">
        <v>295.46739084284434</v>
      </c>
      <c r="N229" s="1791">
        <v>234.79661932824504</v>
      </c>
      <c r="O229" s="1791">
        <v>122.96723171622313</v>
      </c>
      <c r="P229" s="1791">
        <v>231.51530389895854</v>
      </c>
      <c r="Q229" s="1791">
        <v>93.650301080854476</v>
      </c>
      <c r="R229" s="1799"/>
      <c r="S229" s="1006">
        <v>105.71751526395438</v>
      </c>
    </row>
    <row r="230" spans="1:19" ht="13.15" customHeight="1">
      <c r="A230" s="1001">
        <f t="shared" si="3"/>
        <v>2022.05</v>
      </c>
      <c r="B230" s="2437">
        <v>168.00332228208134</v>
      </c>
      <c r="C230" s="1791">
        <v>85.823576622318356</v>
      </c>
      <c r="D230" s="1791">
        <v>224.89938908521273</v>
      </c>
      <c r="E230" s="1791">
        <v>132.44146459138602</v>
      </c>
      <c r="F230" s="1791">
        <v>259.40750240115426</v>
      </c>
      <c r="G230" s="1791">
        <v>68.392247928099152</v>
      </c>
      <c r="H230" s="1791">
        <v>86.930750313992704</v>
      </c>
      <c r="I230" s="1791">
        <v>36.620374250443803</v>
      </c>
      <c r="J230" s="1791">
        <v>293.6464358855697</v>
      </c>
      <c r="K230" s="1791">
        <v>131.11829182729858</v>
      </c>
      <c r="L230" s="1791">
        <v>126.19676570658302</v>
      </c>
      <c r="M230" s="1791">
        <v>295.59052709657021</v>
      </c>
      <c r="N230" s="1791">
        <v>199.18708584724459</v>
      </c>
      <c r="O230" s="1791">
        <v>122.48144149540755</v>
      </c>
      <c r="P230" s="1791">
        <v>212.22743071152337</v>
      </c>
      <c r="Q230" s="1791">
        <v>107.98434415507711</v>
      </c>
      <c r="R230" s="1799"/>
      <c r="S230" s="1006">
        <v>109.49163342963526</v>
      </c>
    </row>
    <row r="231" spans="1:19" ht="13.15" customHeight="1">
      <c r="A231" s="1001">
        <f t="shared" si="3"/>
        <v>2022.06</v>
      </c>
      <c r="B231" s="2437">
        <v>165.36652443613892</v>
      </c>
      <c r="C231" s="1791">
        <v>93.807090472358951</v>
      </c>
      <c r="D231" s="1791">
        <v>212.78384491220189</v>
      </c>
      <c r="E231" s="1791">
        <v>115.77537129946961</v>
      </c>
      <c r="F231" s="1791">
        <v>247.9834356524548</v>
      </c>
      <c r="G231" s="1791">
        <v>59.033593238708313</v>
      </c>
      <c r="H231" s="1791">
        <v>71.352352930504225</v>
      </c>
      <c r="I231" s="1791">
        <v>43.695958755719978</v>
      </c>
      <c r="J231" s="1791">
        <v>339.58570232511914</v>
      </c>
      <c r="K231" s="1791">
        <v>123.13904715741164</v>
      </c>
      <c r="L231" s="1791">
        <v>127.83668222487911</v>
      </c>
      <c r="M231" s="1791">
        <v>284.4503039134753</v>
      </c>
      <c r="N231" s="1791">
        <v>216.30278693216638</v>
      </c>
      <c r="O231" s="1791">
        <v>109.15948261927159</v>
      </c>
      <c r="P231" s="1791">
        <v>220.01145602562849</v>
      </c>
      <c r="Q231" s="1791">
        <v>118.30054421089859</v>
      </c>
      <c r="R231" s="1799"/>
      <c r="S231" s="1006">
        <v>112.04622888306579</v>
      </c>
    </row>
    <row r="232" spans="1:19" ht="13.15" customHeight="1">
      <c r="A232" s="1001">
        <f t="shared" si="3"/>
        <v>2022.07</v>
      </c>
      <c r="B232" s="2437">
        <v>157.92811805173369</v>
      </c>
      <c r="C232" s="1791">
        <v>104.04341059400157</v>
      </c>
      <c r="D232" s="1791">
        <v>184.12114238260477</v>
      </c>
      <c r="E232" s="1791">
        <v>115.46252332493151</v>
      </c>
      <c r="F232" s="1791">
        <v>267.34638322937508</v>
      </c>
      <c r="G232" s="1791">
        <v>52.495341439803546</v>
      </c>
      <c r="H232" s="1791">
        <v>73.975894224876257</v>
      </c>
      <c r="I232" s="1791">
        <v>53.145908222949608</v>
      </c>
      <c r="J232" s="1791">
        <v>294.10618007644223</v>
      </c>
      <c r="K232" s="1791">
        <v>109.07845189063642</v>
      </c>
      <c r="L232" s="1791">
        <v>124.38998553822886</v>
      </c>
      <c r="M232" s="1791">
        <v>295.59418188061579</v>
      </c>
      <c r="N232" s="1791">
        <v>201.21075704663636</v>
      </c>
      <c r="O232" s="1791">
        <v>82.162444547345018</v>
      </c>
      <c r="P232" s="1791">
        <v>206.41429220221895</v>
      </c>
      <c r="Q232" s="1791">
        <v>100.65830038554522</v>
      </c>
      <c r="R232" s="1799"/>
      <c r="S232" s="1006">
        <v>119.61721896118203</v>
      </c>
    </row>
    <row r="233" spans="1:19" ht="13.15" customHeight="1">
      <c r="A233" s="1001">
        <f t="shared" si="3"/>
        <v>2022.08</v>
      </c>
      <c r="B233" s="2437">
        <v>162.24175978716698</v>
      </c>
      <c r="C233" s="1791">
        <v>105.97607411523637</v>
      </c>
      <c r="D233" s="1791">
        <v>162.13390856801792</v>
      </c>
      <c r="E233" s="1791">
        <v>140.02775062037517</v>
      </c>
      <c r="F233" s="1791">
        <v>279.2104923079836</v>
      </c>
      <c r="G233" s="1791">
        <v>57.988979257559791</v>
      </c>
      <c r="H233" s="1791">
        <v>70.297626999734675</v>
      </c>
      <c r="I233" s="1791">
        <v>60.515073754174502</v>
      </c>
      <c r="J233" s="1791">
        <v>311.42671291709536</v>
      </c>
      <c r="K233" s="1791">
        <v>131.93455837006582</v>
      </c>
      <c r="L233" s="1791">
        <v>147.4347262142125</v>
      </c>
      <c r="M233" s="1791">
        <v>282.5586724701339</v>
      </c>
      <c r="N233" s="1791">
        <v>204.27396632815388</v>
      </c>
      <c r="O233" s="1791">
        <v>96.014255679378422</v>
      </c>
      <c r="P233" s="1791">
        <v>224.04670178243694</v>
      </c>
      <c r="Q233" s="1791">
        <v>119.88615647558834</v>
      </c>
      <c r="R233" s="1799"/>
      <c r="S233" s="1006">
        <v>126.28904116061229</v>
      </c>
    </row>
    <row r="234" spans="1:19" ht="13.15" customHeight="1">
      <c r="A234" s="1001">
        <f t="shared" si="3"/>
        <v>2022.09</v>
      </c>
      <c r="B234" s="2437">
        <v>160.82404882326082</v>
      </c>
      <c r="C234" s="1791">
        <v>100.36294509699604</v>
      </c>
      <c r="D234" s="1791">
        <v>157.81567133624384</v>
      </c>
      <c r="E234" s="1791">
        <v>146.94205606569506</v>
      </c>
      <c r="F234" s="1791">
        <v>250.81426301821634</v>
      </c>
      <c r="G234" s="1791">
        <v>51.704615781249402</v>
      </c>
      <c r="H234" s="1791">
        <v>69.366476326447071</v>
      </c>
      <c r="I234" s="1791">
        <v>55.31861097067906</v>
      </c>
      <c r="J234" s="1791">
        <v>361.08334479141172</v>
      </c>
      <c r="K234" s="1791">
        <v>144.52753236225016</v>
      </c>
      <c r="L234" s="1791">
        <v>132.20691836582458</v>
      </c>
      <c r="M234" s="1791">
        <v>272.0708640062341</v>
      </c>
      <c r="N234" s="1791">
        <v>205.80405140895991</v>
      </c>
      <c r="O234" s="1791">
        <v>114.18204408492097</v>
      </c>
      <c r="P234" s="1791">
        <v>175.17946082729242</v>
      </c>
      <c r="Q234" s="1791">
        <v>105.18809425207942</v>
      </c>
      <c r="R234" s="1799"/>
      <c r="S234" s="1006">
        <v>129.47076950973852</v>
      </c>
    </row>
    <row r="235" spans="1:19" ht="13.15" customHeight="1">
      <c r="A235" s="1001">
        <f t="shared" si="3"/>
        <v>2022.1</v>
      </c>
      <c r="B235" s="2437">
        <v>151.6536323128104</v>
      </c>
      <c r="C235" s="1791">
        <v>102.3332559958999</v>
      </c>
      <c r="D235" s="1791">
        <v>148.01990270061228</v>
      </c>
      <c r="E235" s="1791">
        <v>116.96919750104459</v>
      </c>
      <c r="F235" s="1791">
        <v>258.3808250656096</v>
      </c>
      <c r="G235" s="1791">
        <v>46.062116764601249</v>
      </c>
      <c r="H235" s="1791">
        <v>73.44333545547012</v>
      </c>
      <c r="I235" s="1791">
        <v>48.99815593116017</v>
      </c>
      <c r="J235" s="1791">
        <v>281.70806382657105</v>
      </c>
      <c r="K235" s="1791">
        <v>138.67733112479473</v>
      </c>
      <c r="L235" s="1791">
        <v>130.22819879339085</v>
      </c>
      <c r="M235" s="1791">
        <v>292.6838763955962</v>
      </c>
      <c r="N235" s="1791">
        <v>173.03616946637848</v>
      </c>
      <c r="O235" s="1791">
        <v>96.045155565563178</v>
      </c>
      <c r="P235" s="1791">
        <v>170.77474603126748</v>
      </c>
      <c r="Q235" s="1791">
        <v>120.24239498666735</v>
      </c>
      <c r="R235" s="1799"/>
      <c r="S235" s="1006">
        <v>123.0949202664541</v>
      </c>
    </row>
    <row r="236" spans="1:19" ht="13.15" customHeight="1">
      <c r="A236" s="1001">
        <f t="shared" si="3"/>
        <v>2022.11</v>
      </c>
      <c r="B236" s="2437">
        <v>153.33034670277428</v>
      </c>
      <c r="C236" s="1791">
        <v>100.48009634632606</v>
      </c>
      <c r="D236" s="1791">
        <v>172.1696089519117</v>
      </c>
      <c r="E236" s="1791">
        <v>108.76589180003637</v>
      </c>
      <c r="F236" s="1791">
        <v>258.82296468735973</v>
      </c>
      <c r="G236" s="1791">
        <v>50.724517895176426</v>
      </c>
      <c r="H236" s="1791">
        <v>87.018270665214516</v>
      </c>
      <c r="I236" s="1791">
        <v>42.799473969121273</v>
      </c>
      <c r="J236" s="1791">
        <v>298.95627659648596</v>
      </c>
      <c r="K236" s="1791">
        <v>108.05297018431243</v>
      </c>
      <c r="L236" s="1791">
        <v>126.6191916466217</v>
      </c>
      <c r="M236" s="1791">
        <v>255.476606488057</v>
      </c>
      <c r="N236" s="1791">
        <v>171.46559350377737</v>
      </c>
      <c r="O236" s="1791">
        <v>93.836833229289994</v>
      </c>
      <c r="P236" s="1791">
        <v>218.68762538317202</v>
      </c>
      <c r="Q236" s="1791">
        <v>106.04908714476728</v>
      </c>
      <c r="R236" s="1799"/>
      <c r="S236" s="1006">
        <v>126.62914608040468</v>
      </c>
    </row>
    <row r="237" spans="1:19" ht="13.15" customHeight="1">
      <c r="A237" s="1001">
        <f t="shared" si="3"/>
        <v>2022.12</v>
      </c>
      <c r="B237" s="2437">
        <v>139.95255647290026</v>
      </c>
      <c r="C237" s="1791">
        <v>106.78867968977508</v>
      </c>
      <c r="D237" s="1791">
        <v>135.11849598053479</v>
      </c>
      <c r="E237" s="1791">
        <v>112.01543735947799</v>
      </c>
      <c r="F237" s="1791">
        <v>245.16113082603573</v>
      </c>
      <c r="G237" s="1791">
        <v>45.377936287512675</v>
      </c>
      <c r="H237" s="1791">
        <v>78.713242586389441</v>
      </c>
      <c r="I237" s="1791">
        <v>47.276657377043222</v>
      </c>
      <c r="J237" s="1791">
        <v>288.97331022217708</v>
      </c>
      <c r="K237" s="1791">
        <v>102.54748547390193</v>
      </c>
      <c r="L237" s="1791">
        <v>123.27708519663982</v>
      </c>
      <c r="M237" s="1791">
        <v>242.358753656419</v>
      </c>
      <c r="N237" s="1791">
        <v>196.44257717243184</v>
      </c>
      <c r="O237" s="1791">
        <v>92.057063840195667</v>
      </c>
      <c r="P237" s="1791">
        <v>163.83003881933627</v>
      </c>
      <c r="Q237" s="1791">
        <v>88.300025327393726</v>
      </c>
      <c r="R237" s="1799"/>
      <c r="S237" s="1006">
        <v>103.77985802037396</v>
      </c>
    </row>
    <row r="238" spans="1:19" ht="13.15" customHeight="1">
      <c r="A238" s="1001">
        <f t="shared" si="3"/>
        <v>2023.01</v>
      </c>
      <c r="B238" s="2437">
        <v>123.85511973194583</v>
      </c>
      <c r="C238" s="1791">
        <v>106.34796425961011</v>
      </c>
      <c r="D238" s="1791">
        <v>92.271208947044201</v>
      </c>
      <c r="E238" s="1791">
        <v>115.80311386011145</v>
      </c>
      <c r="F238" s="1791">
        <v>238.76006690206304</v>
      </c>
      <c r="G238" s="1791">
        <v>38.848879271394722</v>
      </c>
      <c r="H238" s="1791">
        <v>79.60264772987361</v>
      </c>
      <c r="I238" s="1791">
        <v>51.31724724344857</v>
      </c>
      <c r="J238" s="1791">
        <v>310.27439271806503</v>
      </c>
      <c r="K238" s="1791">
        <v>105.62269599137299</v>
      </c>
      <c r="L238" s="1791">
        <v>80.678237685766845</v>
      </c>
      <c r="M238" s="1791">
        <v>209.96305959102784</v>
      </c>
      <c r="N238" s="1791">
        <v>174.01803489164058</v>
      </c>
      <c r="O238" s="1791">
        <v>65.603295783951552</v>
      </c>
      <c r="P238" s="1791">
        <v>191.03832177197575</v>
      </c>
      <c r="Q238" s="1791">
        <v>91.892631737445313</v>
      </c>
      <c r="R238" s="1799"/>
      <c r="S238" s="1006">
        <v>89.714206006324076</v>
      </c>
    </row>
    <row r="239" spans="1:19" ht="13.15" customHeight="1">
      <c r="A239" s="1001">
        <f t="shared" si="3"/>
        <v>2023.02</v>
      </c>
      <c r="B239" s="2437">
        <v>112.32084671172079</v>
      </c>
      <c r="C239" s="1791">
        <v>70.176899669127081</v>
      </c>
      <c r="D239" s="1791">
        <v>77.594651575858009</v>
      </c>
      <c r="E239" s="1791">
        <v>109.6594814489598</v>
      </c>
      <c r="F239" s="1791">
        <v>225.62690252168616</v>
      </c>
      <c r="G239" s="1791">
        <v>41.913119858090383</v>
      </c>
      <c r="H239" s="1791">
        <v>75.023342630833099</v>
      </c>
      <c r="I239" s="1791">
        <v>40.933381697072242</v>
      </c>
      <c r="J239" s="1791">
        <v>274.58024801494491</v>
      </c>
      <c r="K239" s="1791">
        <v>89.602569539147524</v>
      </c>
      <c r="L239" s="1791">
        <v>102.63066582386861</v>
      </c>
      <c r="M239" s="1791">
        <v>165.07336424273589</v>
      </c>
      <c r="N239" s="1791">
        <v>163.31134558290216</v>
      </c>
      <c r="O239" s="1791">
        <v>88.300086000096883</v>
      </c>
      <c r="P239" s="1791">
        <v>163.87585287896528</v>
      </c>
      <c r="Q239" s="1791">
        <v>97.748126691640763</v>
      </c>
      <c r="R239" s="1799"/>
      <c r="S239" s="1006">
        <v>77.051251342575668</v>
      </c>
    </row>
    <row r="240" spans="1:19" ht="13.15" customHeight="1">
      <c r="A240" s="1001">
        <f t="shared" si="3"/>
        <v>2023.03</v>
      </c>
      <c r="B240" s="2437">
        <v>145.31129517033168</v>
      </c>
      <c r="C240" s="1791">
        <v>92.410637292727174</v>
      </c>
      <c r="D240" s="1791">
        <v>118.52011023682576</v>
      </c>
      <c r="E240" s="1791">
        <v>118.09448781882452</v>
      </c>
      <c r="F240" s="1791">
        <v>277.95326366321842</v>
      </c>
      <c r="G240" s="1791">
        <v>51.716961147248796</v>
      </c>
      <c r="H240" s="1791">
        <v>88.030538849497958</v>
      </c>
      <c r="I240" s="1791">
        <v>41.076078653951697</v>
      </c>
      <c r="J240" s="1791">
        <v>304.80782725444931</v>
      </c>
      <c r="K240" s="1791">
        <v>139.9821399566261</v>
      </c>
      <c r="L240" s="1791">
        <v>117.7864722247931</v>
      </c>
      <c r="M240" s="1791">
        <v>223.78423898629615</v>
      </c>
      <c r="N240" s="1791">
        <v>237.03640969061317</v>
      </c>
      <c r="O240" s="1791">
        <v>116.71580034178723</v>
      </c>
      <c r="P240" s="1791">
        <v>252.25231240359574</v>
      </c>
      <c r="Q240" s="1791">
        <v>113.97780525094501</v>
      </c>
      <c r="R240" s="1799"/>
      <c r="S240" s="1006">
        <v>106.64503017317946</v>
      </c>
    </row>
    <row r="241" spans="1:19" ht="13.15" customHeight="1">
      <c r="A241" s="1001">
        <f t="shared" si="3"/>
        <v>2023.04</v>
      </c>
      <c r="B241" s="2437">
        <v>145.45404994593136</v>
      </c>
      <c r="C241" s="1791">
        <v>82.535787633857694</v>
      </c>
      <c r="D241" s="1791">
        <v>159.42835459621111</v>
      </c>
      <c r="E241" s="1791">
        <v>93.841831822303021</v>
      </c>
      <c r="F241" s="1791">
        <v>256.21394611956589</v>
      </c>
      <c r="G241" s="1791">
        <v>50.748327958702454</v>
      </c>
      <c r="H241" s="1791">
        <v>100.16016071345287</v>
      </c>
      <c r="I241" s="1791">
        <v>43.035633421389377</v>
      </c>
      <c r="J241" s="1791">
        <v>293.2364917477575</v>
      </c>
      <c r="K241" s="1791">
        <v>108.87027853053713</v>
      </c>
      <c r="L241" s="1791">
        <v>104.24040379693628</v>
      </c>
      <c r="M241" s="1791">
        <v>235.03200288577349</v>
      </c>
      <c r="N241" s="1791">
        <v>208.05332950338769</v>
      </c>
      <c r="O241" s="1791">
        <v>104.99420487859581</v>
      </c>
      <c r="P241" s="1791">
        <v>233.10685557610972</v>
      </c>
      <c r="Q241" s="1791">
        <v>87.957112777592812</v>
      </c>
      <c r="R241" s="1799"/>
      <c r="S241" s="1006">
        <v>112.01608043094545</v>
      </c>
    </row>
    <row r="242" spans="1:19" ht="13.15" customHeight="1">
      <c r="A242" s="1001">
        <f t="shared" si="3"/>
        <v>2023.05</v>
      </c>
      <c r="B242" s="2437">
        <v>148.68107059585338</v>
      </c>
      <c r="C242" s="1791">
        <v>96.448532654589101</v>
      </c>
      <c r="D242" s="1791">
        <v>185.79170131168524</v>
      </c>
      <c r="E242" s="1791">
        <v>106.19209742783745</v>
      </c>
      <c r="F242" s="1791">
        <v>253.95312655211885</v>
      </c>
      <c r="G242" s="1791">
        <v>47.881117422840781</v>
      </c>
      <c r="H242" s="1791">
        <v>83.189808918559265</v>
      </c>
      <c r="I242" s="1791">
        <v>48.993501822416995</v>
      </c>
      <c r="J242" s="1791">
        <v>317.62738105339253</v>
      </c>
      <c r="K242" s="1791">
        <v>105.30326036786832</v>
      </c>
      <c r="L242" s="1791">
        <v>100.43862536434658</v>
      </c>
      <c r="M242" s="1791">
        <v>200.16014788206439</v>
      </c>
      <c r="N242" s="1791">
        <v>212.57256181805275</v>
      </c>
      <c r="O242" s="1791">
        <v>107.42318737627515</v>
      </c>
      <c r="P242" s="1791">
        <v>246.30567575105945</v>
      </c>
      <c r="Q242" s="1791">
        <v>79.017947456406134</v>
      </c>
      <c r="R242" s="1799"/>
      <c r="S242" s="1006">
        <v>110.06821493137518</v>
      </c>
    </row>
    <row r="243" spans="1:19" ht="13.15" customHeight="1">
      <c r="A243" s="1001">
        <f t="shared" si="3"/>
        <v>2023.06</v>
      </c>
      <c r="B243" s="2437">
        <v>147.60981241528461</v>
      </c>
      <c r="C243" s="1791">
        <v>91.095431884962679</v>
      </c>
      <c r="D243" s="1791">
        <v>163.96610385299104</v>
      </c>
      <c r="E243" s="1791">
        <v>119.76156261328468</v>
      </c>
      <c r="F243" s="1791">
        <v>244.51505942286556</v>
      </c>
      <c r="G243" s="1791">
        <v>56.243699340526938</v>
      </c>
      <c r="H243" s="1791">
        <v>91.382817690769315</v>
      </c>
      <c r="I243" s="1791">
        <v>31.699670604548594</v>
      </c>
      <c r="J243" s="1791">
        <v>316.02800321830216</v>
      </c>
      <c r="K243" s="1791">
        <v>92.799583497843074</v>
      </c>
      <c r="L243" s="1791">
        <v>97.599985595778449</v>
      </c>
      <c r="M243" s="1791">
        <v>233.59949357027463</v>
      </c>
      <c r="N243" s="1791">
        <v>229.52885790210235</v>
      </c>
      <c r="O243" s="1791">
        <v>102.87289700179834</v>
      </c>
      <c r="P243" s="1791">
        <v>238.61840857601075</v>
      </c>
      <c r="Q243" s="1791">
        <v>83.289071283425784</v>
      </c>
      <c r="R243" s="1799"/>
      <c r="S243" s="1006">
        <v>111.72380154266168</v>
      </c>
    </row>
    <row r="244" spans="1:19" ht="13.15" customHeight="1">
      <c r="A244" s="1001">
        <f t="shared" si="3"/>
        <v>2023.07</v>
      </c>
      <c r="B244" s="2777" t="s">
        <v>230</v>
      </c>
      <c r="C244" s="3130" t="s">
        <v>230</v>
      </c>
      <c r="D244" s="3131" t="s">
        <v>230</v>
      </c>
      <c r="E244" s="3130" t="s">
        <v>230</v>
      </c>
      <c r="F244" s="3131" t="s">
        <v>230</v>
      </c>
      <c r="G244" s="3130" t="s">
        <v>230</v>
      </c>
      <c r="H244" s="3131" t="s">
        <v>230</v>
      </c>
      <c r="I244" s="3130" t="s">
        <v>230</v>
      </c>
      <c r="J244" s="3131" t="s">
        <v>230</v>
      </c>
      <c r="K244" s="3130" t="s">
        <v>230</v>
      </c>
      <c r="L244" s="3131" t="s">
        <v>230</v>
      </c>
      <c r="M244" s="3130" t="s">
        <v>230</v>
      </c>
      <c r="N244" s="3131" t="s">
        <v>230</v>
      </c>
      <c r="O244" s="3130" t="s">
        <v>230</v>
      </c>
      <c r="P244" s="3131" t="s">
        <v>230</v>
      </c>
      <c r="Q244" s="3130" t="s">
        <v>230</v>
      </c>
      <c r="R244" s="3131" t="s">
        <v>230</v>
      </c>
      <c r="S244" s="3132" t="s">
        <v>230</v>
      </c>
    </row>
    <row r="245" spans="1:19" ht="13.15" customHeight="1">
      <c r="A245" s="1001">
        <f t="shared" si="3"/>
        <v>2023.08</v>
      </c>
      <c r="B245" s="3133"/>
      <c r="C245" s="3127"/>
      <c r="D245" s="3128"/>
      <c r="E245" s="3127"/>
      <c r="F245" s="3128"/>
      <c r="G245" s="3127"/>
      <c r="H245" s="3128"/>
      <c r="I245" s="3127"/>
      <c r="J245" s="3128"/>
      <c r="K245" s="3127"/>
      <c r="L245" s="3128"/>
      <c r="M245" s="3127"/>
      <c r="N245" s="3128"/>
      <c r="O245" s="3127"/>
      <c r="P245" s="3128"/>
      <c r="Q245" s="3127"/>
      <c r="R245" s="3128"/>
      <c r="S245" s="3129"/>
    </row>
    <row r="246" spans="1:19" ht="13.15" customHeight="1">
      <c r="A246" s="1001">
        <f t="shared" si="3"/>
        <v>2023.09</v>
      </c>
      <c r="B246" s="3133"/>
      <c r="C246" s="3127"/>
      <c r="D246" s="3128"/>
      <c r="E246" s="3127"/>
      <c r="F246" s="3128"/>
      <c r="G246" s="3127"/>
      <c r="H246" s="3128"/>
      <c r="I246" s="3127"/>
      <c r="J246" s="3128"/>
      <c r="K246" s="3127"/>
      <c r="L246" s="3128"/>
      <c r="M246" s="3127"/>
      <c r="N246" s="3128"/>
      <c r="O246" s="3127"/>
      <c r="P246" s="3128"/>
      <c r="Q246" s="3127"/>
      <c r="R246" s="3128"/>
      <c r="S246" s="3129"/>
    </row>
    <row r="247" spans="1:19" ht="13.15" customHeight="1">
      <c r="A247" s="1001">
        <f t="shared" si="3"/>
        <v>2023.1</v>
      </c>
      <c r="B247" s="3133"/>
      <c r="C247" s="3127"/>
      <c r="D247" s="3128"/>
      <c r="E247" s="3127"/>
      <c r="F247" s="3128"/>
      <c r="G247" s="3127"/>
      <c r="H247" s="3128"/>
      <c r="I247" s="3127"/>
      <c r="J247" s="3128"/>
      <c r="K247" s="3127"/>
      <c r="L247" s="3128"/>
      <c r="M247" s="3127"/>
      <c r="N247" s="3128"/>
      <c r="O247" s="3127"/>
      <c r="P247" s="3128"/>
      <c r="Q247" s="3127"/>
      <c r="R247" s="3128"/>
      <c r="S247" s="3129"/>
    </row>
    <row r="248" spans="1:19" ht="13.15" customHeight="1">
      <c r="A248" s="1001">
        <f t="shared" si="3"/>
        <v>2023.11</v>
      </c>
      <c r="B248" s="3133"/>
      <c r="C248" s="3127"/>
      <c r="D248" s="3128"/>
      <c r="E248" s="3127"/>
      <c r="F248" s="3128"/>
      <c r="G248" s="3127"/>
      <c r="H248" s="3128"/>
      <c r="I248" s="3127"/>
      <c r="J248" s="3128"/>
      <c r="K248" s="3127"/>
      <c r="L248" s="3128"/>
      <c r="M248" s="3127"/>
      <c r="N248" s="3128"/>
      <c r="O248" s="3127"/>
      <c r="P248" s="3128"/>
      <c r="Q248" s="3127"/>
      <c r="R248" s="3128"/>
      <c r="S248" s="3129"/>
    </row>
    <row r="249" spans="1:19" ht="13.15" customHeight="1">
      <c r="A249" s="1001">
        <f t="shared" si="3"/>
        <v>2023.12</v>
      </c>
      <c r="B249" s="3133"/>
      <c r="C249" s="3127"/>
      <c r="D249" s="3128"/>
      <c r="E249" s="3127"/>
      <c r="F249" s="3128"/>
      <c r="G249" s="3127"/>
      <c r="H249" s="3128"/>
      <c r="I249" s="3127"/>
      <c r="J249" s="3128"/>
      <c r="K249" s="3127"/>
      <c r="L249" s="3128"/>
      <c r="M249" s="3127"/>
      <c r="N249" s="3128"/>
      <c r="O249" s="3127"/>
      <c r="P249" s="3128"/>
      <c r="Q249" s="3127"/>
      <c r="R249" s="3128"/>
      <c r="S249" s="3129"/>
    </row>
    <row r="250" spans="1:19" ht="13.15" customHeight="1">
      <c r="A250" s="1001">
        <f t="shared" si="3"/>
        <v>2024.01</v>
      </c>
      <c r="B250" s="3133"/>
      <c r="C250" s="3127"/>
      <c r="D250" s="3128"/>
      <c r="E250" s="3127"/>
      <c r="F250" s="3128"/>
      <c r="G250" s="3127"/>
      <c r="H250" s="3128"/>
      <c r="I250" s="3127"/>
      <c r="J250" s="3128"/>
      <c r="K250" s="3127"/>
      <c r="L250" s="3128"/>
      <c r="M250" s="3127"/>
      <c r="N250" s="3128"/>
      <c r="O250" s="3127"/>
      <c r="P250" s="3128"/>
      <c r="Q250" s="3127"/>
      <c r="R250" s="3128"/>
      <c r="S250" s="3129"/>
    </row>
    <row r="251" spans="1:19" ht="13.15" customHeight="1">
      <c r="A251" s="1004">
        <f t="shared" si="3"/>
        <v>2024.02</v>
      </c>
      <c r="B251" s="3133"/>
      <c r="C251" s="3127"/>
      <c r="D251" s="3128"/>
      <c r="E251" s="3127"/>
      <c r="F251" s="3128"/>
      <c r="G251" s="3127"/>
      <c r="H251" s="3128"/>
      <c r="I251" s="3127"/>
      <c r="J251" s="3128"/>
      <c r="K251" s="3127"/>
      <c r="L251" s="3128"/>
      <c r="M251" s="3127"/>
      <c r="N251" s="3128"/>
      <c r="O251" s="3127"/>
      <c r="P251" s="3128"/>
      <c r="Q251" s="3127"/>
      <c r="R251" s="3128"/>
      <c r="S251" s="3129"/>
    </row>
    <row r="252" spans="1:19" ht="13.15" customHeight="1">
      <c r="A252" s="1004">
        <f t="shared" si="3"/>
        <v>2024.03</v>
      </c>
      <c r="B252" s="3133"/>
      <c r="C252" s="3127"/>
      <c r="D252" s="3128"/>
      <c r="E252" s="3127"/>
      <c r="F252" s="3128"/>
      <c r="G252" s="3127"/>
      <c r="H252" s="3128"/>
      <c r="I252" s="3127"/>
      <c r="J252" s="3128"/>
      <c r="K252" s="3127"/>
      <c r="L252" s="3128"/>
      <c r="M252" s="3127"/>
      <c r="N252" s="3128"/>
      <c r="O252" s="3127"/>
      <c r="P252" s="3128"/>
      <c r="Q252" s="3127"/>
      <c r="R252" s="3128"/>
      <c r="S252" s="3129"/>
    </row>
    <row r="253" spans="1:19" ht="13.15" customHeight="1">
      <c r="A253" s="1004">
        <f t="shared" si="3"/>
        <v>2024.04</v>
      </c>
      <c r="B253" s="3133"/>
      <c r="C253" s="3127"/>
      <c r="D253" s="3128"/>
      <c r="E253" s="3127"/>
      <c r="F253" s="3128"/>
      <c r="G253" s="3127"/>
      <c r="H253" s="3128"/>
      <c r="I253" s="3127"/>
      <c r="J253" s="3128"/>
      <c r="K253" s="3127"/>
      <c r="L253" s="3128"/>
      <c r="M253" s="3127"/>
      <c r="N253" s="3128"/>
      <c r="O253" s="3127"/>
      <c r="P253" s="3128"/>
      <c r="Q253" s="3127"/>
      <c r="R253" s="3128"/>
      <c r="S253" s="3129"/>
    </row>
    <row r="254" spans="1:19" ht="13.15" customHeight="1">
      <c r="A254" s="1004">
        <f t="shared" si="3"/>
        <v>2024.05</v>
      </c>
      <c r="B254" s="3133"/>
      <c r="C254" s="3127"/>
      <c r="D254" s="3128"/>
      <c r="E254" s="3127"/>
      <c r="F254" s="3128"/>
      <c r="G254" s="3127"/>
      <c r="H254" s="3128"/>
      <c r="I254" s="3127"/>
      <c r="J254" s="3128"/>
      <c r="K254" s="3127"/>
      <c r="L254" s="3128"/>
      <c r="M254" s="3127"/>
      <c r="N254" s="3128"/>
      <c r="O254" s="3127"/>
      <c r="P254" s="3128"/>
      <c r="Q254" s="3127"/>
      <c r="R254" s="3128"/>
      <c r="S254" s="3129"/>
    </row>
    <row r="255" spans="1:19" ht="13.15" customHeight="1">
      <c r="A255" s="1004">
        <f t="shared" si="3"/>
        <v>2024.06</v>
      </c>
      <c r="B255" s="3133"/>
      <c r="C255" s="3127"/>
      <c r="D255" s="3128"/>
      <c r="E255" s="3127"/>
      <c r="F255" s="3128"/>
      <c r="G255" s="3127"/>
      <c r="H255" s="3128"/>
      <c r="I255" s="3127"/>
      <c r="J255" s="3128"/>
      <c r="K255" s="3127"/>
      <c r="L255" s="3128"/>
      <c r="M255" s="3127"/>
      <c r="N255" s="3128"/>
      <c r="O255" s="3127"/>
      <c r="P255" s="3128"/>
      <c r="Q255" s="3127"/>
      <c r="R255" s="3128"/>
      <c r="S255" s="3129"/>
    </row>
    <row r="256" spans="1:19" ht="13.15" customHeight="1">
      <c r="A256" s="1004">
        <f t="shared" si="3"/>
        <v>2024.07</v>
      </c>
      <c r="B256" s="3133"/>
      <c r="C256" s="3127"/>
      <c r="D256" s="3128"/>
      <c r="E256" s="3127"/>
      <c r="F256" s="3128"/>
      <c r="G256" s="3127"/>
      <c r="H256" s="3128"/>
      <c r="I256" s="3127"/>
      <c r="J256" s="3128"/>
      <c r="K256" s="3127"/>
      <c r="L256" s="3128"/>
      <c r="M256" s="3127"/>
      <c r="N256" s="3128"/>
      <c r="O256" s="3127"/>
      <c r="P256" s="3128"/>
      <c r="Q256" s="3127"/>
      <c r="R256" s="3128"/>
      <c r="S256" s="3129"/>
    </row>
    <row r="257" spans="1:19" ht="13.15" customHeight="1">
      <c r="A257" s="1004">
        <f t="shared" si="3"/>
        <v>2024.08</v>
      </c>
      <c r="B257" s="3133"/>
      <c r="C257" s="3127"/>
      <c r="D257" s="3128"/>
      <c r="E257" s="3127"/>
      <c r="F257" s="3128"/>
      <c r="G257" s="3127"/>
      <c r="H257" s="3128"/>
      <c r="I257" s="3127"/>
      <c r="J257" s="3128"/>
      <c r="K257" s="3127"/>
      <c r="L257" s="3128"/>
      <c r="M257" s="3127"/>
      <c r="N257" s="3128"/>
      <c r="O257" s="3127"/>
      <c r="P257" s="3128"/>
      <c r="Q257" s="3127"/>
      <c r="R257" s="3128"/>
      <c r="S257" s="3129"/>
    </row>
    <row r="258" spans="1:19" ht="13.15" customHeight="1">
      <c r="A258" s="1004">
        <f t="shared" si="3"/>
        <v>2024.09</v>
      </c>
      <c r="B258" s="3133"/>
      <c r="C258" s="3127"/>
      <c r="D258" s="3128"/>
      <c r="E258" s="3127"/>
      <c r="F258" s="3128"/>
      <c r="G258" s="3127"/>
      <c r="H258" s="3128"/>
      <c r="I258" s="3127"/>
      <c r="J258" s="3128"/>
      <c r="K258" s="3127"/>
      <c r="L258" s="3128"/>
      <c r="M258" s="3127"/>
      <c r="N258" s="3128"/>
      <c r="O258" s="3127"/>
      <c r="P258" s="3128"/>
      <c r="Q258" s="3127"/>
      <c r="R258" s="3128"/>
      <c r="S258" s="3129"/>
    </row>
    <row r="259" spans="1:19" ht="13.15" customHeight="1">
      <c r="A259" s="1004">
        <f t="shared" si="3"/>
        <v>2024.1</v>
      </c>
      <c r="B259" s="3133"/>
      <c r="C259" s="3127"/>
      <c r="D259" s="3128"/>
      <c r="E259" s="3127"/>
      <c r="F259" s="3128"/>
      <c r="G259" s="3127"/>
      <c r="H259" s="3128"/>
      <c r="I259" s="3127"/>
      <c r="J259" s="3128"/>
      <c r="K259" s="3127"/>
      <c r="L259" s="3128"/>
      <c r="M259" s="3127"/>
      <c r="N259" s="3128"/>
      <c r="O259" s="3127"/>
      <c r="P259" s="3128"/>
      <c r="Q259" s="3127"/>
      <c r="R259" s="3128"/>
      <c r="S259" s="3129"/>
    </row>
    <row r="260" spans="1:19" ht="13.15" customHeight="1">
      <c r="A260" s="1004">
        <f t="shared" si="3"/>
        <v>2024.11</v>
      </c>
      <c r="B260" s="3133"/>
      <c r="C260" s="3127"/>
      <c r="D260" s="3128"/>
      <c r="E260" s="3127"/>
      <c r="F260" s="3128"/>
      <c r="G260" s="3127"/>
      <c r="H260" s="3128"/>
      <c r="I260" s="3127"/>
      <c r="J260" s="3128"/>
      <c r="K260" s="3127"/>
      <c r="L260" s="3128"/>
      <c r="M260" s="3127"/>
      <c r="N260" s="3128"/>
      <c r="O260" s="3127"/>
      <c r="P260" s="3128"/>
      <c r="Q260" s="3127"/>
      <c r="R260" s="3128"/>
      <c r="S260" s="3129"/>
    </row>
    <row r="261" spans="1:19" ht="13.15" customHeight="1">
      <c r="A261" s="1004">
        <f t="shared" si="3"/>
        <v>2024.12</v>
      </c>
      <c r="B261" s="3133"/>
      <c r="C261" s="3127"/>
      <c r="D261" s="3128"/>
      <c r="E261" s="3127"/>
      <c r="F261" s="3128"/>
      <c r="G261" s="3127"/>
      <c r="H261" s="3128"/>
      <c r="I261" s="3127"/>
      <c r="J261" s="3128"/>
      <c r="K261" s="3127"/>
      <c r="L261" s="3128"/>
      <c r="M261" s="3127"/>
      <c r="N261" s="3128"/>
      <c r="O261" s="3127"/>
      <c r="P261" s="3128"/>
      <c r="Q261" s="3127"/>
      <c r="R261" s="3128"/>
      <c r="S261" s="3129"/>
    </row>
    <row r="262" spans="1:19" ht="13.15" customHeight="1">
      <c r="A262" s="1004">
        <f t="shared" si="3"/>
        <v>2025.01</v>
      </c>
      <c r="B262" s="3133"/>
      <c r="C262" s="3127"/>
      <c r="D262" s="3128"/>
      <c r="E262" s="3127"/>
      <c r="F262" s="3128"/>
      <c r="G262" s="3127"/>
      <c r="H262" s="3128"/>
      <c r="I262" s="3127"/>
      <c r="J262" s="3128"/>
      <c r="K262" s="3127"/>
      <c r="L262" s="3128"/>
      <c r="M262" s="3127"/>
      <c r="N262" s="3128"/>
      <c r="O262" s="3127"/>
      <c r="P262" s="3128"/>
      <c r="Q262" s="3127"/>
      <c r="R262" s="3128"/>
      <c r="S262" s="3129"/>
    </row>
    <row r="263" spans="1:19" ht="13.15" customHeight="1">
      <c r="A263" s="1004">
        <f t="shared" si="3"/>
        <v>2025.02</v>
      </c>
      <c r="B263" s="3133"/>
      <c r="C263" s="3127"/>
      <c r="D263" s="3128"/>
      <c r="E263" s="3127"/>
      <c r="F263" s="3128"/>
      <c r="G263" s="3127"/>
      <c r="H263" s="3128"/>
      <c r="I263" s="3127"/>
      <c r="J263" s="3128"/>
      <c r="K263" s="3127"/>
      <c r="L263" s="3128"/>
      <c r="M263" s="3127"/>
      <c r="N263" s="3128"/>
      <c r="O263" s="3127"/>
      <c r="P263" s="3128"/>
      <c r="Q263" s="3127"/>
      <c r="R263" s="3128"/>
      <c r="S263" s="3129"/>
    </row>
    <row r="264" spans="1:19" ht="13.15" customHeight="1">
      <c r="A264" s="1004">
        <f t="shared" si="3"/>
        <v>2025.03</v>
      </c>
      <c r="B264" s="3133"/>
      <c r="C264" s="3127"/>
      <c r="D264" s="3128"/>
      <c r="E264" s="3127"/>
      <c r="F264" s="3128"/>
      <c r="G264" s="3127"/>
      <c r="H264" s="3128"/>
      <c r="I264" s="3127"/>
      <c r="J264" s="3128"/>
      <c r="K264" s="3127"/>
      <c r="L264" s="3128"/>
      <c r="M264" s="3127"/>
      <c r="N264" s="3128"/>
      <c r="O264" s="3127"/>
      <c r="P264" s="3128"/>
      <c r="Q264" s="3127"/>
      <c r="R264" s="3128"/>
      <c r="S264" s="3129"/>
    </row>
    <row r="265" spans="1:19" ht="13.15" customHeight="1">
      <c r="A265" s="1004">
        <f t="shared" si="3"/>
        <v>2025.04</v>
      </c>
      <c r="B265" s="3133"/>
      <c r="C265" s="3127"/>
      <c r="D265" s="3128"/>
      <c r="E265" s="3127"/>
      <c r="F265" s="3128"/>
      <c r="G265" s="3127"/>
      <c r="H265" s="3128"/>
      <c r="I265" s="3127"/>
      <c r="J265" s="3128"/>
      <c r="K265" s="3127"/>
      <c r="L265" s="3128"/>
      <c r="M265" s="3127"/>
      <c r="N265" s="3128"/>
      <c r="O265" s="3127"/>
      <c r="P265" s="3128"/>
      <c r="Q265" s="3127"/>
      <c r="R265" s="3128"/>
      <c r="S265" s="3129"/>
    </row>
    <row r="266" spans="1:19" ht="13.15" customHeight="1">
      <c r="A266" s="1004">
        <f t="shared" si="3"/>
        <v>2025.05</v>
      </c>
      <c r="B266" s="3133"/>
      <c r="C266" s="3127"/>
      <c r="D266" s="3128"/>
      <c r="E266" s="3127"/>
      <c r="F266" s="3128"/>
      <c r="G266" s="3127"/>
      <c r="H266" s="3128"/>
      <c r="I266" s="3127"/>
      <c r="J266" s="3128"/>
      <c r="K266" s="3127"/>
      <c r="L266" s="3128"/>
      <c r="M266" s="3127"/>
      <c r="N266" s="3128"/>
      <c r="O266" s="3127"/>
      <c r="P266" s="3128"/>
      <c r="Q266" s="3127"/>
      <c r="R266" s="3128"/>
      <c r="S266" s="3129"/>
    </row>
    <row r="267" spans="1:19" ht="13.15" customHeight="1">
      <c r="A267" s="1004">
        <f t="shared" si="3"/>
        <v>2025.06</v>
      </c>
      <c r="B267" s="3133"/>
      <c r="C267" s="3127"/>
      <c r="D267" s="3128"/>
      <c r="E267" s="3127"/>
      <c r="F267" s="3128"/>
      <c r="G267" s="3127"/>
      <c r="H267" s="3128"/>
      <c r="I267" s="3127"/>
      <c r="J267" s="3128"/>
      <c r="K267" s="3127"/>
      <c r="L267" s="3128"/>
      <c r="M267" s="3127"/>
      <c r="N267" s="3128"/>
      <c r="O267" s="3127"/>
      <c r="P267" s="3128"/>
      <c r="Q267" s="3127"/>
      <c r="R267" s="3128"/>
      <c r="S267" s="3129"/>
    </row>
    <row r="268" spans="1:19" ht="13.15" customHeight="1">
      <c r="A268" s="1004">
        <f t="shared" si="3"/>
        <v>2025.07</v>
      </c>
      <c r="B268" s="3133"/>
      <c r="C268" s="3127"/>
      <c r="D268" s="3128"/>
      <c r="E268" s="3127"/>
      <c r="F268" s="3128"/>
      <c r="G268" s="3127"/>
      <c r="H268" s="3128"/>
      <c r="I268" s="3127"/>
      <c r="J268" s="3128"/>
      <c r="K268" s="3127"/>
      <c r="L268" s="3128"/>
      <c r="M268" s="3127"/>
      <c r="N268" s="3128"/>
      <c r="O268" s="3127"/>
      <c r="P268" s="3128"/>
      <c r="Q268" s="3127"/>
      <c r="R268" s="3128"/>
      <c r="S268" s="3129"/>
    </row>
    <row r="269" spans="1:19" ht="13.15" customHeight="1">
      <c r="A269" s="1004">
        <f t="shared" si="3"/>
        <v>2025.08</v>
      </c>
      <c r="B269" s="3133"/>
      <c r="C269" s="3127"/>
      <c r="D269" s="3128"/>
      <c r="E269" s="3127"/>
      <c r="F269" s="3128"/>
      <c r="G269" s="3127"/>
      <c r="H269" s="3128"/>
      <c r="I269" s="3127"/>
      <c r="J269" s="3128"/>
      <c r="K269" s="3127"/>
      <c r="L269" s="3128"/>
      <c r="M269" s="3127"/>
      <c r="N269" s="3128"/>
      <c r="O269" s="3127"/>
      <c r="P269" s="3128"/>
      <c r="Q269" s="3127"/>
      <c r="R269" s="3128"/>
      <c r="S269" s="3129"/>
    </row>
    <row r="270" spans="1:19" ht="13.15" customHeight="1">
      <c r="A270" s="1004">
        <f t="shared" si="3"/>
        <v>2025.09</v>
      </c>
      <c r="B270" s="3133"/>
      <c r="C270" s="3127"/>
      <c r="D270" s="3128"/>
      <c r="E270" s="3127"/>
      <c r="F270" s="3128"/>
      <c r="G270" s="3127"/>
      <c r="H270" s="3128"/>
      <c r="I270" s="3127"/>
      <c r="J270" s="3128"/>
      <c r="K270" s="3127"/>
      <c r="L270" s="3128"/>
      <c r="M270" s="3127"/>
      <c r="N270" s="3128"/>
      <c r="O270" s="3127"/>
      <c r="P270" s="3128"/>
      <c r="Q270" s="3127"/>
      <c r="R270" s="3128"/>
      <c r="S270" s="3129"/>
    </row>
    <row r="271" spans="1:19" ht="13.15" customHeight="1">
      <c r="A271" s="1004">
        <f t="shared" si="3"/>
        <v>2025.1</v>
      </c>
      <c r="B271" s="3133"/>
      <c r="C271" s="3127"/>
      <c r="D271" s="3128"/>
      <c r="E271" s="3127"/>
      <c r="F271" s="3128"/>
      <c r="G271" s="3127"/>
      <c r="H271" s="3128"/>
      <c r="I271" s="3127"/>
      <c r="J271" s="3128"/>
      <c r="K271" s="3127"/>
      <c r="L271" s="3128"/>
      <c r="M271" s="3127"/>
      <c r="N271" s="3128"/>
      <c r="O271" s="3127"/>
      <c r="P271" s="3128"/>
      <c r="Q271" s="3127"/>
      <c r="R271" s="3128"/>
      <c r="S271" s="3129"/>
    </row>
    <row r="272" spans="1:19" ht="13.15" customHeight="1">
      <c r="A272" s="1004">
        <f t="shared" si="3"/>
        <v>2025.11</v>
      </c>
      <c r="B272" s="3133"/>
      <c r="C272" s="3127"/>
      <c r="D272" s="3128"/>
      <c r="E272" s="3127"/>
      <c r="F272" s="3128"/>
      <c r="G272" s="3127"/>
      <c r="H272" s="3128"/>
      <c r="I272" s="3127"/>
      <c r="J272" s="3128"/>
      <c r="K272" s="3127"/>
      <c r="L272" s="3128"/>
      <c r="M272" s="3127"/>
      <c r="N272" s="3128"/>
      <c r="O272" s="3127"/>
      <c r="P272" s="3128"/>
      <c r="Q272" s="3127"/>
      <c r="R272" s="3128"/>
      <c r="S272" s="3129"/>
    </row>
    <row r="273" spans="1:19" ht="13.15" customHeight="1">
      <c r="A273" s="1004">
        <f t="shared" si="3"/>
        <v>2025.12</v>
      </c>
      <c r="B273" s="3133"/>
      <c r="C273" s="3127"/>
      <c r="D273" s="3128"/>
      <c r="E273" s="3127"/>
      <c r="F273" s="3128"/>
      <c r="G273" s="3127"/>
      <c r="H273" s="3128"/>
      <c r="I273" s="3127"/>
      <c r="J273" s="3128"/>
      <c r="K273" s="3127"/>
      <c r="L273" s="3128"/>
      <c r="M273" s="3127"/>
      <c r="N273" s="3128"/>
      <c r="O273" s="3127"/>
      <c r="P273" s="3128"/>
      <c r="Q273" s="3127"/>
      <c r="R273" s="3128"/>
      <c r="S273" s="3129"/>
    </row>
    <row r="274" spans="1:19">
      <c r="A274" s="1004">
        <f t="shared" si="3"/>
        <v>2026.01</v>
      </c>
      <c r="B274" s="3133"/>
      <c r="C274" s="3127"/>
      <c r="D274" s="3128"/>
      <c r="E274" s="3127"/>
      <c r="F274" s="3128"/>
      <c r="G274" s="3127"/>
      <c r="H274" s="3128"/>
      <c r="I274" s="3127"/>
      <c r="J274" s="3128"/>
      <c r="K274" s="3127"/>
      <c r="L274" s="3128"/>
      <c r="M274" s="3127"/>
      <c r="N274" s="3128"/>
      <c r="O274" s="3127"/>
      <c r="P274" s="3128"/>
      <c r="Q274" s="3127"/>
      <c r="R274" s="3128"/>
      <c r="S274" s="3129"/>
    </row>
    <row r="275" spans="1:19">
      <c r="A275" s="1004">
        <f t="shared" si="3"/>
        <v>2026.02</v>
      </c>
      <c r="B275" s="3133"/>
      <c r="C275" s="3127"/>
      <c r="D275" s="3128"/>
      <c r="E275" s="3127"/>
      <c r="F275" s="3128"/>
      <c r="G275" s="3127"/>
      <c r="H275" s="3128"/>
      <c r="I275" s="3127"/>
      <c r="J275" s="3128"/>
      <c r="K275" s="3127"/>
      <c r="L275" s="3128"/>
      <c r="M275" s="3127"/>
      <c r="N275" s="3128"/>
      <c r="O275" s="3127"/>
      <c r="P275" s="3128"/>
      <c r="Q275" s="3127"/>
      <c r="R275" s="3128"/>
      <c r="S275" s="3129"/>
    </row>
    <row r="276" spans="1:19">
      <c r="A276" s="1004">
        <f t="shared" si="3"/>
        <v>2026.03</v>
      </c>
      <c r="B276" s="3133"/>
      <c r="C276" s="3127"/>
      <c r="D276" s="3128"/>
      <c r="E276" s="3127"/>
      <c r="F276" s="3128"/>
      <c r="G276" s="3127"/>
      <c r="H276" s="3128"/>
      <c r="I276" s="3127"/>
      <c r="J276" s="3128"/>
      <c r="K276" s="3127"/>
      <c r="L276" s="3128"/>
      <c r="M276" s="3127"/>
      <c r="N276" s="3128"/>
      <c r="O276" s="3127"/>
      <c r="P276" s="3128"/>
      <c r="Q276" s="3127"/>
      <c r="R276" s="3128"/>
      <c r="S276" s="3129"/>
    </row>
    <row r="277" spans="1:19">
      <c r="A277" s="1004">
        <f t="shared" si="3"/>
        <v>2026.04</v>
      </c>
      <c r="B277" s="3133"/>
      <c r="C277" s="3127"/>
      <c r="D277" s="3128"/>
      <c r="E277" s="3127"/>
      <c r="F277" s="3128"/>
      <c r="G277" s="3127"/>
      <c r="H277" s="3128"/>
      <c r="I277" s="3127"/>
      <c r="J277" s="3128"/>
      <c r="K277" s="3127"/>
      <c r="L277" s="3128"/>
      <c r="M277" s="3127"/>
      <c r="N277" s="3128"/>
      <c r="O277" s="3127"/>
      <c r="P277" s="3128"/>
      <c r="Q277" s="3127"/>
      <c r="R277" s="3128"/>
      <c r="S277" s="3129"/>
    </row>
    <row r="278" spans="1:19">
      <c r="A278" s="1004">
        <f t="shared" si="3"/>
        <v>2026.05</v>
      </c>
      <c r="B278" s="3133"/>
      <c r="C278" s="3127"/>
      <c r="D278" s="3128"/>
      <c r="E278" s="3127"/>
      <c r="F278" s="3128"/>
      <c r="G278" s="3127"/>
      <c r="H278" s="3128"/>
      <c r="I278" s="3127"/>
      <c r="J278" s="3128"/>
      <c r="K278" s="3127"/>
      <c r="L278" s="3128"/>
      <c r="M278" s="3127"/>
      <c r="N278" s="3128"/>
      <c r="O278" s="3127"/>
      <c r="P278" s="3128"/>
      <c r="Q278" s="3127"/>
      <c r="R278" s="3128"/>
      <c r="S278" s="3129"/>
    </row>
    <row r="279" spans="1:19">
      <c r="A279" s="1004">
        <f t="shared" ref="A279:A333" si="4">A267+1</f>
        <v>2026.06</v>
      </c>
      <c r="B279" s="3133"/>
      <c r="C279" s="3127"/>
      <c r="D279" s="3128"/>
      <c r="E279" s="3127"/>
      <c r="F279" s="3128"/>
      <c r="G279" s="3127"/>
      <c r="H279" s="3128"/>
      <c r="I279" s="3127"/>
      <c r="J279" s="3128"/>
      <c r="K279" s="3127"/>
      <c r="L279" s="3128"/>
      <c r="M279" s="3127"/>
      <c r="N279" s="3128"/>
      <c r="O279" s="3127"/>
      <c r="P279" s="3128"/>
      <c r="Q279" s="3127"/>
      <c r="R279" s="3128"/>
      <c r="S279" s="3129"/>
    </row>
    <row r="280" spans="1:19">
      <c r="A280" s="1004">
        <f t="shared" si="4"/>
        <v>2026.07</v>
      </c>
      <c r="B280" s="3133"/>
      <c r="C280" s="3127"/>
      <c r="D280" s="3128"/>
      <c r="E280" s="3127"/>
      <c r="F280" s="3128"/>
      <c r="G280" s="3127"/>
      <c r="H280" s="3128"/>
      <c r="I280" s="3127"/>
      <c r="J280" s="3128"/>
      <c r="K280" s="3127"/>
      <c r="L280" s="3128"/>
      <c r="M280" s="3127"/>
      <c r="N280" s="3128"/>
      <c r="O280" s="3127"/>
      <c r="P280" s="3128"/>
      <c r="Q280" s="3127"/>
      <c r="R280" s="3128"/>
      <c r="S280" s="3129"/>
    </row>
    <row r="281" spans="1:19">
      <c r="A281" s="1004">
        <f t="shared" si="4"/>
        <v>2026.08</v>
      </c>
      <c r="B281" s="3133"/>
      <c r="C281" s="3127"/>
      <c r="D281" s="3128"/>
      <c r="E281" s="3127"/>
      <c r="F281" s="3128"/>
      <c r="G281" s="3127"/>
      <c r="H281" s="3128"/>
      <c r="I281" s="3127"/>
      <c r="J281" s="3128"/>
      <c r="K281" s="3127"/>
      <c r="L281" s="3128"/>
      <c r="M281" s="3127"/>
      <c r="N281" s="3128"/>
      <c r="O281" s="3127"/>
      <c r="P281" s="3128"/>
      <c r="Q281" s="3127"/>
      <c r="R281" s="3128"/>
      <c r="S281" s="3129"/>
    </row>
    <row r="282" spans="1:19">
      <c r="A282" s="1004">
        <f t="shared" si="4"/>
        <v>2026.09</v>
      </c>
      <c r="B282" s="3133"/>
      <c r="C282" s="3127"/>
      <c r="D282" s="3128"/>
      <c r="E282" s="3127"/>
      <c r="F282" s="3128"/>
      <c r="G282" s="3127"/>
      <c r="H282" s="3128"/>
      <c r="I282" s="3127"/>
      <c r="J282" s="3128"/>
      <c r="K282" s="3127"/>
      <c r="L282" s="3128"/>
      <c r="M282" s="3127"/>
      <c r="N282" s="3128"/>
      <c r="O282" s="3127"/>
      <c r="P282" s="3128"/>
      <c r="Q282" s="3127"/>
      <c r="R282" s="3128"/>
      <c r="S282" s="3129"/>
    </row>
    <row r="283" spans="1:19">
      <c r="A283" s="1004">
        <f t="shared" si="4"/>
        <v>2026.1</v>
      </c>
      <c r="B283" s="3133"/>
      <c r="C283" s="3127"/>
      <c r="D283" s="3128"/>
      <c r="E283" s="3127"/>
      <c r="F283" s="3128"/>
      <c r="G283" s="3127"/>
      <c r="H283" s="3128"/>
      <c r="I283" s="3127"/>
      <c r="J283" s="3128"/>
      <c r="K283" s="3127"/>
      <c r="L283" s="3128"/>
      <c r="M283" s="3127"/>
      <c r="N283" s="3128"/>
      <c r="O283" s="3127"/>
      <c r="P283" s="3128"/>
      <c r="Q283" s="3127"/>
      <c r="R283" s="3128"/>
      <c r="S283" s="3129"/>
    </row>
    <row r="284" spans="1:19">
      <c r="A284" s="1004">
        <f t="shared" si="4"/>
        <v>2026.11</v>
      </c>
      <c r="B284" s="3133"/>
      <c r="C284" s="3127"/>
      <c r="D284" s="3128"/>
      <c r="E284" s="3127"/>
      <c r="F284" s="3128"/>
      <c r="G284" s="3127"/>
      <c r="H284" s="3128"/>
      <c r="I284" s="3127"/>
      <c r="J284" s="3128"/>
      <c r="K284" s="3127"/>
      <c r="L284" s="3128"/>
      <c r="M284" s="3127"/>
      <c r="N284" s="3128"/>
      <c r="O284" s="3127"/>
      <c r="P284" s="3128"/>
      <c r="Q284" s="3127"/>
      <c r="R284" s="3128"/>
      <c r="S284" s="3129"/>
    </row>
    <row r="285" spans="1:19">
      <c r="A285" s="1004">
        <f t="shared" si="4"/>
        <v>2026.12</v>
      </c>
      <c r="B285" s="3133"/>
      <c r="C285" s="3127"/>
      <c r="D285" s="3128"/>
      <c r="E285" s="3127"/>
      <c r="F285" s="3128"/>
      <c r="G285" s="3127"/>
      <c r="H285" s="3128"/>
      <c r="I285" s="3127"/>
      <c r="J285" s="3128"/>
      <c r="K285" s="3127"/>
      <c r="L285" s="3128"/>
      <c r="M285" s="3127"/>
      <c r="N285" s="3128"/>
      <c r="O285" s="3127"/>
      <c r="P285" s="3128"/>
      <c r="Q285" s="3127"/>
      <c r="R285" s="3128"/>
      <c r="S285" s="3129"/>
    </row>
    <row r="286" spans="1:19">
      <c r="A286" s="1004">
        <f t="shared" si="4"/>
        <v>2027.01</v>
      </c>
      <c r="B286" s="3133"/>
      <c r="C286" s="3127"/>
      <c r="D286" s="3128"/>
      <c r="E286" s="3127"/>
      <c r="F286" s="3128"/>
      <c r="G286" s="3127"/>
      <c r="H286" s="3128"/>
      <c r="I286" s="3127"/>
      <c r="J286" s="3128"/>
      <c r="K286" s="3127"/>
      <c r="L286" s="3128"/>
      <c r="M286" s="3127"/>
      <c r="N286" s="3128"/>
      <c r="O286" s="3127"/>
      <c r="P286" s="3128"/>
      <c r="Q286" s="3127"/>
      <c r="R286" s="3128"/>
      <c r="S286" s="3129"/>
    </row>
    <row r="287" spans="1:19">
      <c r="A287" s="1004">
        <f t="shared" si="4"/>
        <v>2027.02</v>
      </c>
      <c r="B287" s="3133"/>
      <c r="C287" s="3127"/>
      <c r="D287" s="3128"/>
      <c r="E287" s="3127"/>
      <c r="F287" s="3128"/>
      <c r="G287" s="3127"/>
      <c r="H287" s="3128"/>
      <c r="I287" s="3127"/>
      <c r="J287" s="3128"/>
      <c r="K287" s="3127"/>
      <c r="L287" s="3128"/>
      <c r="M287" s="3127"/>
      <c r="N287" s="3128"/>
      <c r="O287" s="3127"/>
      <c r="P287" s="3128"/>
      <c r="Q287" s="3127"/>
      <c r="R287" s="3128"/>
      <c r="S287" s="3129"/>
    </row>
    <row r="288" spans="1:19">
      <c r="A288" s="1004">
        <f t="shared" si="4"/>
        <v>2027.03</v>
      </c>
      <c r="B288" s="3133"/>
      <c r="C288" s="3127"/>
      <c r="D288" s="3128"/>
      <c r="E288" s="3127"/>
      <c r="F288" s="3128"/>
      <c r="G288" s="3127"/>
      <c r="H288" s="3128"/>
      <c r="I288" s="3127"/>
      <c r="J288" s="3128"/>
      <c r="K288" s="3127"/>
      <c r="L288" s="3128"/>
      <c r="M288" s="3127"/>
      <c r="N288" s="3128"/>
      <c r="O288" s="3127"/>
      <c r="P288" s="3128"/>
      <c r="Q288" s="3127"/>
      <c r="R288" s="3128"/>
      <c r="S288" s="3129"/>
    </row>
    <row r="289" spans="1:19">
      <c r="A289" s="1004">
        <f t="shared" si="4"/>
        <v>2027.04</v>
      </c>
      <c r="B289" s="3133"/>
      <c r="C289" s="3127"/>
      <c r="D289" s="3128"/>
      <c r="E289" s="3127"/>
      <c r="F289" s="3128"/>
      <c r="G289" s="3127"/>
      <c r="H289" s="3128"/>
      <c r="I289" s="3127"/>
      <c r="J289" s="3128"/>
      <c r="K289" s="3127"/>
      <c r="L289" s="3128"/>
      <c r="M289" s="3127"/>
      <c r="N289" s="3128"/>
      <c r="O289" s="3127"/>
      <c r="P289" s="3128"/>
      <c r="Q289" s="3127"/>
      <c r="R289" s="3128"/>
      <c r="S289" s="3129"/>
    </row>
    <row r="290" spans="1:19">
      <c r="A290" s="1004">
        <f t="shared" si="4"/>
        <v>2027.05</v>
      </c>
      <c r="B290" s="3133"/>
      <c r="C290" s="3127"/>
      <c r="D290" s="3128"/>
      <c r="E290" s="3127"/>
      <c r="F290" s="3128"/>
      <c r="G290" s="3127"/>
      <c r="H290" s="3128"/>
      <c r="I290" s="3127"/>
      <c r="J290" s="3128"/>
      <c r="K290" s="3127"/>
      <c r="L290" s="3128"/>
      <c r="M290" s="3127"/>
      <c r="N290" s="3128"/>
      <c r="O290" s="3127"/>
      <c r="P290" s="3128"/>
      <c r="Q290" s="3127"/>
      <c r="R290" s="3128"/>
      <c r="S290" s="3129"/>
    </row>
    <row r="291" spans="1:19">
      <c r="A291" s="1004">
        <f t="shared" si="4"/>
        <v>2027.06</v>
      </c>
      <c r="B291" s="3133"/>
      <c r="C291" s="3127"/>
      <c r="D291" s="3128"/>
      <c r="E291" s="3127"/>
      <c r="F291" s="3128"/>
      <c r="G291" s="3127"/>
      <c r="H291" s="3128"/>
      <c r="I291" s="3127"/>
      <c r="J291" s="3128"/>
      <c r="K291" s="3127"/>
      <c r="L291" s="3128"/>
      <c r="M291" s="3127"/>
      <c r="N291" s="3128"/>
      <c r="O291" s="3127"/>
      <c r="P291" s="3128"/>
      <c r="Q291" s="3127"/>
      <c r="R291" s="3128"/>
      <c r="S291" s="3129"/>
    </row>
    <row r="292" spans="1:19">
      <c r="A292" s="1004">
        <f t="shared" si="4"/>
        <v>2027.07</v>
      </c>
      <c r="B292" s="3133"/>
      <c r="C292" s="3127"/>
      <c r="D292" s="3128"/>
      <c r="E292" s="3127"/>
      <c r="F292" s="3128"/>
      <c r="G292" s="3127"/>
      <c r="H292" s="3128"/>
      <c r="I292" s="3127"/>
      <c r="J292" s="3128"/>
      <c r="K292" s="3127"/>
      <c r="L292" s="3128"/>
      <c r="M292" s="3127"/>
      <c r="N292" s="3128"/>
      <c r="O292" s="3127"/>
      <c r="P292" s="3128"/>
      <c r="Q292" s="3127"/>
      <c r="R292" s="3128"/>
      <c r="S292" s="3129"/>
    </row>
    <row r="293" spans="1:19">
      <c r="A293" s="1004">
        <f t="shared" si="4"/>
        <v>2027.08</v>
      </c>
      <c r="B293" s="3133"/>
      <c r="C293" s="3127"/>
      <c r="D293" s="3128"/>
      <c r="E293" s="3127"/>
      <c r="F293" s="3128"/>
      <c r="G293" s="3127"/>
      <c r="H293" s="3128"/>
      <c r="I293" s="3127"/>
      <c r="J293" s="3128"/>
      <c r="K293" s="3127"/>
      <c r="L293" s="3128"/>
      <c r="M293" s="3127"/>
      <c r="N293" s="3128"/>
      <c r="O293" s="3127"/>
      <c r="P293" s="3128"/>
      <c r="Q293" s="3127"/>
      <c r="R293" s="3128"/>
      <c r="S293" s="3129"/>
    </row>
    <row r="294" spans="1:19">
      <c r="A294" s="1004">
        <f t="shared" si="4"/>
        <v>2027.09</v>
      </c>
      <c r="B294" s="3133"/>
      <c r="C294" s="3127"/>
      <c r="D294" s="3128"/>
      <c r="E294" s="3127"/>
      <c r="F294" s="3128"/>
      <c r="G294" s="3127"/>
      <c r="H294" s="3128"/>
      <c r="I294" s="3127"/>
      <c r="J294" s="3128"/>
      <c r="K294" s="3127"/>
      <c r="L294" s="3128"/>
      <c r="M294" s="3127"/>
      <c r="N294" s="3128"/>
      <c r="O294" s="3127"/>
      <c r="P294" s="3128"/>
      <c r="Q294" s="3127"/>
      <c r="R294" s="3128"/>
      <c r="S294" s="3129"/>
    </row>
    <row r="295" spans="1:19">
      <c r="A295" s="1004">
        <f t="shared" si="4"/>
        <v>2027.1</v>
      </c>
      <c r="B295" s="3133"/>
      <c r="C295" s="3127"/>
      <c r="D295" s="3128"/>
      <c r="E295" s="3127"/>
      <c r="F295" s="3128"/>
      <c r="G295" s="3127"/>
      <c r="H295" s="3128"/>
      <c r="I295" s="3127"/>
      <c r="J295" s="3128"/>
      <c r="K295" s="3127"/>
      <c r="L295" s="3128"/>
      <c r="M295" s="3127"/>
      <c r="N295" s="3128"/>
      <c r="O295" s="3127"/>
      <c r="P295" s="3128"/>
      <c r="Q295" s="3127"/>
      <c r="R295" s="3128"/>
      <c r="S295" s="3129"/>
    </row>
    <row r="296" spans="1:19">
      <c r="A296" s="1004">
        <f t="shared" si="4"/>
        <v>2027.11</v>
      </c>
      <c r="B296" s="3133"/>
      <c r="C296" s="3127"/>
      <c r="D296" s="3128"/>
      <c r="E296" s="3127"/>
      <c r="F296" s="3128"/>
      <c r="G296" s="3127"/>
      <c r="H296" s="3128"/>
      <c r="I296" s="3127"/>
      <c r="J296" s="3128"/>
      <c r="K296" s="3127"/>
      <c r="L296" s="3128"/>
      <c r="M296" s="3127"/>
      <c r="N296" s="3128"/>
      <c r="O296" s="3127"/>
      <c r="P296" s="3128"/>
      <c r="Q296" s="3127"/>
      <c r="R296" s="3128"/>
      <c r="S296" s="3129"/>
    </row>
    <row r="297" spans="1:19">
      <c r="A297" s="1004">
        <f t="shared" si="4"/>
        <v>2027.12</v>
      </c>
      <c r="B297" s="3133"/>
      <c r="C297" s="3127"/>
      <c r="D297" s="3128"/>
      <c r="E297" s="3127"/>
      <c r="F297" s="3128"/>
      <c r="G297" s="3127"/>
      <c r="H297" s="3128"/>
      <c r="I297" s="3127"/>
      <c r="J297" s="3128"/>
      <c r="K297" s="3127"/>
      <c r="L297" s="3128"/>
      <c r="M297" s="3127"/>
      <c r="N297" s="3128"/>
      <c r="O297" s="3127"/>
      <c r="P297" s="3128"/>
      <c r="Q297" s="3127"/>
      <c r="R297" s="3128"/>
      <c r="S297" s="3129"/>
    </row>
    <row r="298" spans="1:19">
      <c r="A298" s="1004">
        <f t="shared" si="4"/>
        <v>2028.01</v>
      </c>
      <c r="B298" s="3133"/>
      <c r="C298" s="3127"/>
      <c r="D298" s="3128"/>
      <c r="E298" s="3127"/>
      <c r="F298" s="3128"/>
      <c r="G298" s="3127"/>
      <c r="H298" s="3128"/>
      <c r="I298" s="3127"/>
      <c r="J298" s="3128"/>
      <c r="K298" s="3127"/>
      <c r="L298" s="3128"/>
      <c r="M298" s="3127"/>
      <c r="N298" s="3128"/>
      <c r="O298" s="3127"/>
      <c r="P298" s="3128"/>
      <c r="Q298" s="3127"/>
      <c r="R298" s="3128"/>
      <c r="S298" s="3129"/>
    </row>
    <row r="299" spans="1:19">
      <c r="A299" s="1004">
        <f t="shared" si="4"/>
        <v>2028.02</v>
      </c>
      <c r="B299" s="3133"/>
      <c r="C299" s="3127"/>
      <c r="D299" s="3128"/>
      <c r="E299" s="3127"/>
      <c r="F299" s="3128"/>
      <c r="G299" s="3127"/>
      <c r="H299" s="3128"/>
      <c r="I299" s="3127"/>
      <c r="J299" s="3128"/>
      <c r="K299" s="3127"/>
      <c r="L299" s="3128"/>
      <c r="M299" s="3127"/>
      <c r="N299" s="3128"/>
      <c r="O299" s="3127"/>
      <c r="P299" s="3128"/>
      <c r="Q299" s="3127"/>
      <c r="R299" s="3128"/>
      <c r="S299" s="3129"/>
    </row>
    <row r="300" spans="1:19">
      <c r="A300" s="1004">
        <f t="shared" si="4"/>
        <v>2028.03</v>
      </c>
      <c r="B300" s="3133"/>
      <c r="C300" s="3127"/>
      <c r="D300" s="3128"/>
      <c r="E300" s="3127"/>
      <c r="F300" s="3128"/>
      <c r="G300" s="3127"/>
      <c r="H300" s="3128"/>
      <c r="I300" s="3127"/>
      <c r="J300" s="3128"/>
      <c r="K300" s="3127"/>
      <c r="L300" s="3128"/>
      <c r="M300" s="3127"/>
      <c r="N300" s="3128"/>
      <c r="O300" s="3127"/>
      <c r="P300" s="3128"/>
      <c r="Q300" s="3127"/>
      <c r="R300" s="3128"/>
      <c r="S300" s="3129"/>
    </row>
    <row r="301" spans="1:19">
      <c r="A301" s="1004">
        <f t="shared" si="4"/>
        <v>2028.04</v>
      </c>
      <c r="B301" s="3133"/>
      <c r="C301" s="3127"/>
      <c r="D301" s="3128"/>
      <c r="E301" s="3127"/>
      <c r="F301" s="3128"/>
      <c r="G301" s="3127"/>
      <c r="H301" s="3128"/>
      <c r="I301" s="3127"/>
      <c r="J301" s="3128"/>
      <c r="K301" s="3127"/>
      <c r="L301" s="3128"/>
      <c r="M301" s="3127"/>
      <c r="N301" s="3128"/>
      <c r="O301" s="3127"/>
      <c r="P301" s="3128"/>
      <c r="Q301" s="3127"/>
      <c r="R301" s="3128"/>
      <c r="S301" s="3129"/>
    </row>
    <row r="302" spans="1:19">
      <c r="A302" s="1004">
        <f t="shared" si="4"/>
        <v>2028.05</v>
      </c>
      <c r="B302" s="3133"/>
      <c r="C302" s="3127"/>
      <c r="D302" s="3128"/>
      <c r="E302" s="3127"/>
      <c r="F302" s="3128"/>
      <c r="G302" s="3127"/>
      <c r="H302" s="3128"/>
      <c r="I302" s="3127"/>
      <c r="J302" s="3128"/>
      <c r="K302" s="3127"/>
      <c r="L302" s="3128"/>
      <c r="M302" s="3127"/>
      <c r="N302" s="3128"/>
      <c r="O302" s="3127"/>
      <c r="P302" s="3128"/>
      <c r="Q302" s="3127"/>
      <c r="R302" s="3128"/>
      <c r="S302" s="3129"/>
    </row>
    <row r="303" spans="1:19">
      <c r="A303" s="1004">
        <f t="shared" si="4"/>
        <v>2028.06</v>
      </c>
      <c r="B303" s="3133"/>
      <c r="C303" s="3127"/>
      <c r="D303" s="3128"/>
      <c r="E303" s="3127"/>
      <c r="F303" s="3128"/>
      <c r="G303" s="3127"/>
      <c r="H303" s="3128"/>
      <c r="I303" s="3127"/>
      <c r="J303" s="3128"/>
      <c r="K303" s="3127"/>
      <c r="L303" s="3128"/>
      <c r="M303" s="3127"/>
      <c r="N303" s="3128"/>
      <c r="O303" s="3127"/>
      <c r="P303" s="3128"/>
      <c r="Q303" s="3127"/>
      <c r="R303" s="3128"/>
      <c r="S303" s="3129"/>
    </row>
    <row r="304" spans="1:19">
      <c r="A304" s="1004">
        <f t="shared" si="4"/>
        <v>2028.07</v>
      </c>
      <c r="B304" s="3133"/>
      <c r="C304" s="3127"/>
      <c r="D304" s="3128"/>
      <c r="E304" s="3127"/>
      <c r="F304" s="3128"/>
      <c r="G304" s="3127"/>
      <c r="H304" s="3128"/>
      <c r="I304" s="3127"/>
      <c r="J304" s="3128"/>
      <c r="K304" s="3127"/>
      <c r="L304" s="3128"/>
      <c r="M304" s="3127"/>
      <c r="N304" s="3128"/>
      <c r="O304" s="3127"/>
      <c r="P304" s="3128"/>
      <c r="Q304" s="3127"/>
      <c r="R304" s="3128"/>
      <c r="S304" s="3129"/>
    </row>
    <row r="305" spans="1:19">
      <c r="A305" s="1004">
        <f t="shared" si="4"/>
        <v>2028.08</v>
      </c>
      <c r="B305" s="3133"/>
      <c r="C305" s="3127"/>
      <c r="D305" s="3128"/>
      <c r="E305" s="3127"/>
      <c r="F305" s="3128"/>
      <c r="G305" s="3127"/>
      <c r="H305" s="3128"/>
      <c r="I305" s="3127"/>
      <c r="J305" s="3128"/>
      <c r="K305" s="3127"/>
      <c r="L305" s="3128"/>
      <c r="M305" s="3127"/>
      <c r="N305" s="3128"/>
      <c r="O305" s="3127"/>
      <c r="P305" s="3128"/>
      <c r="Q305" s="3127"/>
      <c r="R305" s="3128"/>
      <c r="S305" s="3129"/>
    </row>
    <row r="306" spans="1:19">
      <c r="A306" s="1004">
        <f t="shared" si="4"/>
        <v>2028.09</v>
      </c>
      <c r="B306" s="3133"/>
      <c r="C306" s="3127"/>
      <c r="D306" s="3128"/>
      <c r="E306" s="3127"/>
      <c r="F306" s="3128"/>
      <c r="G306" s="3127"/>
      <c r="H306" s="3128"/>
      <c r="I306" s="3127"/>
      <c r="J306" s="3128"/>
      <c r="K306" s="3127"/>
      <c r="L306" s="3128"/>
      <c r="M306" s="3127"/>
      <c r="N306" s="3128"/>
      <c r="O306" s="3127"/>
      <c r="P306" s="3128"/>
      <c r="Q306" s="3127"/>
      <c r="R306" s="3128"/>
      <c r="S306" s="3129"/>
    </row>
    <row r="307" spans="1:19">
      <c r="A307" s="1004">
        <f t="shared" si="4"/>
        <v>2028.1</v>
      </c>
      <c r="B307" s="3133"/>
      <c r="C307" s="3127"/>
      <c r="D307" s="3128"/>
      <c r="E307" s="3127"/>
      <c r="F307" s="3128"/>
      <c r="G307" s="3127"/>
      <c r="H307" s="3128"/>
      <c r="I307" s="3127"/>
      <c r="J307" s="3128"/>
      <c r="K307" s="3127"/>
      <c r="L307" s="3128"/>
      <c r="M307" s="3127"/>
      <c r="N307" s="3128"/>
      <c r="O307" s="3127"/>
      <c r="P307" s="3128"/>
      <c r="Q307" s="3127"/>
      <c r="R307" s="3128"/>
      <c r="S307" s="3129"/>
    </row>
    <row r="308" spans="1:19">
      <c r="A308" s="1004">
        <f t="shared" si="4"/>
        <v>2028.11</v>
      </c>
      <c r="B308" s="3133"/>
      <c r="C308" s="3127"/>
      <c r="D308" s="3128"/>
      <c r="E308" s="3127"/>
      <c r="F308" s="3128"/>
      <c r="G308" s="3127"/>
      <c r="H308" s="3128"/>
      <c r="I308" s="3127"/>
      <c r="J308" s="3128"/>
      <c r="K308" s="3127"/>
      <c r="L308" s="3128"/>
      <c r="M308" s="3127"/>
      <c r="N308" s="3128"/>
      <c r="O308" s="3127"/>
      <c r="P308" s="3128"/>
      <c r="Q308" s="3127"/>
      <c r="R308" s="3128"/>
      <c r="S308" s="3129"/>
    </row>
    <row r="309" spans="1:19">
      <c r="A309" s="1004">
        <f t="shared" si="4"/>
        <v>2028.12</v>
      </c>
      <c r="B309" s="3133"/>
      <c r="C309" s="3127"/>
      <c r="D309" s="3128"/>
      <c r="E309" s="3127"/>
      <c r="F309" s="3128"/>
      <c r="G309" s="3127"/>
      <c r="H309" s="3128"/>
      <c r="I309" s="3127"/>
      <c r="J309" s="3128"/>
      <c r="K309" s="3127"/>
      <c r="L309" s="3128"/>
      <c r="M309" s="3127"/>
      <c r="N309" s="3128"/>
      <c r="O309" s="3127"/>
      <c r="P309" s="3128"/>
      <c r="Q309" s="3127"/>
      <c r="R309" s="3128"/>
      <c r="S309" s="3129"/>
    </row>
    <row r="310" spans="1:19">
      <c r="A310" s="1004">
        <f t="shared" si="4"/>
        <v>2029.01</v>
      </c>
      <c r="B310" s="3133"/>
      <c r="C310" s="3127"/>
      <c r="D310" s="3128"/>
      <c r="E310" s="3127"/>
      <c r="F310" s="3128"/>
      <c r="G310" s="3127"/>
      <c r="H310" s="3128"/>
      <c r="I310" s="3127"/>
      <c r="J310" s="3128"/>
      <c r="K310" s="3127"/>
      <c r="L310" s="3128"/>
      <c r="M310" s="3127"/>
      <c r="N310" s="3128"/>
      <c r="O310" s="3127"/>
      <c r="P310" s="3128"/>
      <c r="Q310" s="3127"/>
      <c r="R310" s="3128"/>
      <c r="S310" s="3129"/>
    </row>
    <row r="311" spans="1:19">
      <c r="A311" s="1004">
        <f t="shared" si="4"/>
        <v>2029.02</v>
      </c>
      <c r="B311" s="3133"/>
      <c r="C311" s="3127"/>
      <c r="D311" s="3128"/>
      <c r="E311" s="3127"/>
      <c r="F311" s="3128"/>
      <c r="G311" s="3127"/>
      <c r="H311" s="3128"/>
      <c r="I311" s="3127"/>
      <c r="J311" s="3128"/>
      <c r="K311" s="3127"/>
      <c r="L311" s="3128"/>
      <c r="M311" s="3127"/>
      <c r="N311" s="3128"/>
      <c r="O311" s="3127"/>
      <c r="P311" s="3128"/>
      <c r="Q311" s="3127"/>
      <c r="R311" s="3128"/>
      <c r="S311" s="3129"/>
    </row>
    <row r="312" spans="1:19">
      <c r="A312" s="1004">
        <f t="shared" si="4"/>
        <v>2029.03</v>
      </c>
      <c r="B312" s="3133"/>
      <c r="C312" s="3127"/>
      <c r="D312" s="3128"/>
      <c r="E312" s="3127"/>
      <c r="F312" s="3128"/>
      <c r="G312" s="3127"/>
      <c r="H312" s="3128"/>
      <c r="I312" s="3127"/>
      <c r="J312" s="3128"/>
      <c r="K312" s="3127"/>
      <c r="L312" s="3128"/>
      <c r="M312" s="3127"/>
      <c r="N312" s="3128"/>
      <c r="O312" s="3127"/>
      <c r="P312" s="3128"/>
      <c r="Q312" s="3127"/>
      <c r="R312" s="3128"/>
      <c r="S312" s="3129"/>
    </row>
    <row r="313" spans="1:19">
      <c r="A313" s="1004">
        <f t="shared" si="4"/>
        <v>2029.04</v>
      </c>
      <c r="B313" s="3133"/>
      <c r="C313" s="3127"/>
      <c r="D313" s="3128"/>
      <c r="E313" s="3127"/>
      <c r="F313" s="3128"/>
      <c r="G313" s="3127"/>
      <c r="H313" s="3128"/>
      <c r="I313" s="3127"/>
      <c r="J313" s="3128"/>
      <c r="K313" s="3127"/>
      <c r="L313" s="3128"/>
      <c r="M313" s="3127"/>
      <c r="N313" s="3128"/>
      <c r="O313" s="3127"/>
      <c r="P313" s="3128"/>
      <c r="Q313" s="3127"/>
      <c r="R313" s="3128"/>
      <c r="S313" s="3129"/>
    </row>
    <row r="314" spans="1:19">
      <c r="A314" s="1004">
        <f t="shared" si="4"/>
        <v>2029.05</v>
      </c>
      <c r="B314" s="3133"/>
      <c r="C314" s="3127"/>
      <c r="D314" s="3128"/>
      <c r="E314" s="3127"/>
      <c r="F314" s="3128"/>
      <c r="G314" s="3127"/>
      <c r="H314" s="3128"/>
      <c r="I314" s="3127"/>
      <c r="J314" s="3128"/>
      <c r="K314" s="3127"/>
      <c r="L314" s="3128"/>
      <c r="M314" s="3127"/>
      <c r="N314" s="3128"/>
      <c r="O314" s="3127"/>
      <c r="P314" s="3128"/>
      <c r="Q314" s="3127"/>
      <c r="R314" s="3128"/>
      <c r="S314" s="3129"/>
    </row>
    <row r="315" spans="1:19">
      <c r="A315" s="1004">
        <f t="shared" si="4"/>
        <v>2029.06</v>
      </c>
      <c r="B315" s="3133"/>
      <c r="C315" s="3127"/>
      <c r="D315" s="3128"/>
      <c r="E315" s="3127"/>
      <c r="F315" s="3128"/>
      <c r="G315" s="3127"/>
      <c r="H315" s="3128"/>
      <c r="I315" s="3127"/>
      <c r="J315" s="3128"/>
      <c r="K315" s="3127"/>
      <c r="L315" s="3128"/>
      <c r="M315" s="3127"/>
      <c r="N315" s="3128"/>
      <c r="O315" s="3127"/>
      <c r="P315" s="3128"/>
      <c r="Q315" s="3127"/>
      <c r="R315" s="3128"/>
      <c r="S315" s="3129"/>
    </row>
    <row r="316" spans="1:19">
      <c r="A316" s="1004">
        <f t="shared" si="4"/>
        <v>2029.07</v>
      </c>
      <c r="B316" s="3133"/>
      <c r="C316" s="3127"/>
      <c r="D316" s="3128"/>
      <c r="E316" s="3127"/>
      <c r="F316" s="3128"/>
      <c r="G316" s="3127"/>
      <c r="H316" s="3128"/>
      <c r="I316" s="3127"/>
      <c r="J316" s="3128"/>
      <c r="K316" s="3127"/>
      <c r="L316" s="3128"/>
      <c r="M316" s="3127"/>
      <c r="N316" s="3128"/>
      <c r="O316" s="3127"/>
      <c r="P316" s="3128"/>
      <c r="Q316" s="3127"/>
      <c r="R316" s="3128"/>
      <c r="S316" s="3129"/>
    </row>
    <row r="317" spans="1:19">
      <c r="A317" s="1004">
        <f t="shared" si="4"/>
        <v>2029.08</v>
      </c>
      <c r="B317" s="3133"/>
      <c r="C317" s="3127"/>
      <c r="D317" s="3128"/>
      <c r="E317" s="3127"/>
      <c r="F317" s="3128"/>
      <c r="G317" s="3127"/>
      <c r="H317" s="3128"/>
      <c r="I317" s="3127"/>
      <c r="J317" s="3128"/>
      <c r="K317" s="3127"/>
      <c r="L317" s="3128"/>
      <c r="M317" s="3127"/>
      <c r="N317" s="3128"/>
      <c r="O317" s="3127"/>
      <c r="P317" s="3128"/>
      <c r="Q317" s="3127"/>
      <c r="R317" s="3128"/>
      <c r="S317" s="3129"/>
    </row>
    <row r="318" spans="1:19">
      <c r="A318" s="1004">
        <f t="shared" si="4"/>
        <v>2029.09</v>
      </c>
      <c r="B318" s="3133"/>
      <c r="C318" s="3127"/>
      <c r="D318" s="3128"/>
      <c r="E318" s="3127"/>
      <c r="F318" s="3128"/>
      <c r="G318" s="3127"/>
      <c r="H318" s="3128"/>
      <c r="I318" s="3127"/>
      <c r="J318" s="3128"/>
      <c r="K318" s="3127"/>
      <c r="L318" s="3128"/>
      <c r="M318" s="3127"/>
      <c r="N318" s="3128"/>
      <c r="O318" s="3127"/>
      <c r="P318" s="3128"/>
      <c r="Q318" s="3127"/>
      <c r="R318" s="3128"/>
      <c r="S318" s="3129"/>
    </row>
    <row r="319" spans="1:19">
      <c r="A319" s="1004">
        <f t="shared" si="4"/>
        <v>2029.1</v>
      </c>
      <c r="B319" s="3133"/>
      <c r="C319" s="3127"/>
      <c r="D319" s="3128"/>
      <c r="E319" s="3127"/>
      <c r="F319" s="3128"/>
      <c r="G319" s="3127"/>
      <c r="H319" s="3128"/>
      <c r="I319" s="3127"/>
      <c r="J319" s="3128"/>
      <c r="K319" s="3127"/>
      <c r="L319" s="3128"/>
      <c r="M319" s="3127"/>
      <c r="N319" s="3128"/>
      <c r="O319" s="3127"/>
      <c r="P319" s="3128"/>
      <c r="Q319" s="3127"/>
      <c r="R319" s="3128"/>
      <c r="S319" s="3129"/>
    </row>
    <row r="320" spans="1:19">
      <c r="A320" s="1004">
        <f t="shared" si="4"/>
        <v>2029.11</v>
      </c>
      <c r="B320" s="3133"/>
      <c r="C320" s="3127"/>
      <c r="D320" s="3128"/>
      <c r="E320" s="3127"/>
      <c r="F320" s="3128"/>
      <c r="G320" s="3127"/>
      <c r="H320" s="3128"/>
      <c r="I320" s="3127"/>
      <c r="J320" s="3128"/>
      <c r="K320" s="3127"/>
      <c r="L320" s="3128"/>
      <c r="M320" s="3127"/>
      <c r="N320" s="3128"/>
      <c r="O320" s="3127"/>
      <c r="P320" s="3128"/>
      <c r="Q320" s="3127"/>
      <c r="R320" s="3128"/>
      <c r="S320" s="3129"/>
    </row>
    <row r="321" spans="1:19">
      <c r="A321" s="1004">
        <f t="shared" si="4"/>
        <v>2029.12</v>
      </c>
      <c r="B321" s="3133"/>
      <c r="C321" s="3127"/>
      <c r="D321" s="3128"/>
      <c r="E321" s="3127"/>
      <c r="F321" s="3128"/>
      <c r="G321" s="3127"/>
      <c r="H321" s="3128"/>
      <c r="I321" s="3127"/>
      <c r="J321" s="3128"/>
      <c r="K321" s="3127"/>
      <c r="L321" s="3128"/>
      <c r="M321" s="3127"/>
      <c r="N321" s="3128"/>
      <c r="O321" s="3127"/>
      <c r="P321" s="3128"/>
      <c r="Q321" s="3127"/>
      <c r="R321" s="3128"/>
      <c r="S321" s="3129"/>
    </row>
    <row r="322" spans="1:19">
      <c r="A322" s="1004">
        <f t="shared" si="4"/>
        <v>2030.01</v>
      </c>
      <c r="B322" s="3133"/>
      <c r="C322" s="3127"/>
      <c r="D322" s="3128"/>
      <c r="E322" s="3127"/>
      <c r="F322" s="3128"/>
      <c r="G322" s="3127"/>
      <c r="H322" s="3128"/>
      <c r="I322" s="3127"/>
      <c r="J322" s="3128"/>
      <c r="K322" s="3127"/>
      <c r="L322" s="3128"/>
      <c r="M322" s="3127"/>
      <c r="N322" s="3128"/>
      <c r="O322" s="3127"/>
      <c r="P322" s="3128"/>
      <c r="Q322" s="3127"/>
      <c r="R322" s="3128"/>
      <c r="S322" s="3129"/>
    </row>
    <row r="323" spans="1:19">
      <c r="A323" s="1004">
        <f t="shared" si="4"/>
        <v>2030.02</v>
      </c>
      <c r="B323" s="3133"/>
      <c r="C323" s="3127"/>
      <c r="D323" s="3128"/>
      <c r="E323" s="3127"/>
      <c r="F323" s="3128"/>
      <c r="G323" s="3127"/>
      <c r="H323" s="3128"/>
      <c r="I323" s="3127"/>
      <c r="J323" s="3128"/>
      <c r="K323" s="3127"/>
      <c r="L323" s="3128"/>
      <c r="M323" s="3127"/>
      <c r="N323" s="3128"/>
      <c r="O323" s="3127"/>
      <c r="P323" s="3128"/>
      <c r="Q323" s="3127"/>
      <c r="R323" s="3128"/>
      <c r="S323" s="3129"/>
    </row>
    <row r="324" spans="1:19">
      <c r="A324" s="1004">
        <f t="shared" si="4"/>
        <v>2030.03</v>
      </c>
      <c r="B324" s="3133"/>
      <c r="C324" s="3127"/>
      <c r="D324" s="3128"/>
      <c r="E324" s="3127"/>
      <c r="F324" s="3128"/>
      <c r="G324" s="3127"/>
      <c r="H324" s="3128"/>
      <c r="I324" s="3127"/>
      <c r="J324" s="3128"/>
      <c r="K324" s="3127"/>
      <c r="L324" s="3128"/>
      <c r="M324" s="3127"/>
      <c r="N324" s="3128"/>
      <c r="O324" s="3127"/>
      <c r="P324" s="3128"/>
      <c r="Q324" s="3127"/>
      <c r="R324" s="3128"/>
      <c r="S324" s="3129"/>
    </row>
    <row r="325" spans="1:19">
      <c r="A325" s="1004">
        <f t="shared" si="4"/>
        <v>2030.04</v>
      </c>
      <c r="B325" s="3133"/>
      <c r="C325" s="3127"/>
      <c r="D325" s="3128"/>
      <c r="E325" s="3127"/>
      <c r="F325" s="3128"/>
      <c r="G325" s="3127"/>
      <c r="H325" s="3128"/>
      <c r="I325" s="3127"/>
      <c r="J325" s="3128"/>
      <c r="K325" s="3127"/>
      <c r="L325" s="3128"/>
      <c r="M325" s="3127"/>
      <c r="N325" s="3128"/>
      <c r="O325" s="3127"/>
      <c r="P325" s="3128"/>
      <c r="Q325" s="3127"/>
      <c r="R325" s="3128"/>
      <c r="S325" s="3129"/>
    </row>
    <row r="326" spans="1:19">
      <c r="A326" s="1004">
        <f t="shared" si="4"/>
        <v>2030.05</v>
      </c>
      <c r="B326" s="3133"/>
      <c r="C326" s="3127"/>
      <c r="D326" s="3128"/>
      <c r="E326" s="3127"/>
      <c r="F326" s="3128"/>
      <c r="G326" s="3127"/>
      <c r="H326" s="3128"/>
      <c r="I326" s="3127"/>
      <c r="J326" s="3128"/>
      <c r="K326" s="3127"/>
      <c r="L326" s="3128"/>
      <c r="M326" s="3127"/>
      <c r="N326" s="3128"/>
      <c r="O326" s="3127"/>
      <c r="P326" s="3128"/>
      <c r="Q326" s="3127"/>
      <c r="R326" s="3128"/>
      <c r="S326" s="3129"/>
    </row>
    <row r="327" spans="1:19">
      <c r="A327" s="1004">
        <f t="shared" si="4"/>
        <v>2030.06</v>
      </c>
      <c r="B327" s="3133"/>
      <c r="C327" s="3127"/>
      <c r="D327" s="3128"/>
      <c r="E327" s="3127"/>
      <c r="F327" s="3128"/>
      <c r="G327" s="3127"/>
      <c r="H327" s="3128"/>
      <c r="I327" s="3127"/>
      <c r="J327" s="3128"/>
      <c r="K327" s="3127"/>
      <c r="L327" s="3128"/>
      <c r="M327" s="3127"/>
      <c r="N327" s="3128"/>
      <c r="O327" s="3127"/>
      <c r="P327" s="3128"/>
      <c r="Q327" s="3127"/>
      <c r="R327" s="3128"/>
      <c r="S327" s="3129"/>
    </row>
    <row r="328" spans="1:19">
      <c r="A328" s="1004">
        <f t="shared" si="4"/>
        <v>2030.07</v>
      </c>
      <c r="B328" s="3133"/>
      <c r="C328" s="3127"/>
      <c r="D328" s="3128"/>
      <c r="E328" s="3127"/>
      <c r="F328" s="3128"/>
      <c r="G328" s="3127"/>
      <c r="H328" s="3128"/>
      <c r="I328" s="3127"/>
      <c r="J328" s="3128"/>
      <c r="K328" s="3127"/>
      <c r="L328" s="3128"/>
      <c r="M328" s="3127"/>
      <c r="N328" s="3128"/>
      <c r="O328" s="3127"/>
      <c r="P328" s="3128"/>
      <c r="Q328" s="3127"/>
      <c r="R328" s="3128"/>
      <c r="S328" s="3129"/>
    </row>
    <row r="329" spans="1:19">
      <c r="A329" s="1004">
        <f t="shared" si="4"/>
        <v>2030.08</v>
      </c>
      <c r="B329" s="3133"/>
      <c r="C329" s="3127"/>
      <c r="D329" s="3128"/>
      <c r="E329" s="3127"/>
      <c r="F329" s="3128"/>
      <c r="G329" s="3127"/>
      <c r="H329" s="3128"/>
      <c r="I329" s="3127"/>
      <c r="J329" s="3128"/>
      <c r="K329" s="3127"/>
      <c r="L329" s="3128"/>
      <c r="M329" s="3127"/>
      <c r="N329" s="3128"/>
      <c r="O329" s="3127"/>
      <c r="P329" s="3128"/>
      <c r="Q329" s="3127"/>
      <c r="R329" s="3128"/>
      <c r="S329" s="3129"/>
    </row>
    <row r="330" spans="1:19">
      <c r="A330" s="1004">
        <f t="shared" si="4"/>
        <v>2030.09</v>
      </c>
      <c r="B330" s="3133"/>
      <c r="C330" s="3127"/>
      <c r="D330" s="3128"/>
      <c r="E330" s="3127"/>
      <c r="F330" s="3128"/>
      <c r="G330" s="3127"/>
      <c r="H330" s="3128"/>
      <c r="I330" s="3127"/>
      <c r="J330" s="3128"/>
      <c r="K330" s="3127"/>
      <c r="L330" s="3128"/>
      <c r="M330" s="3127"/>
      <c r="N330" s="3128"/>
      <c r="O330" s="3127"/>
      <c r="P330" s="3128"/>
      <c r="Q330" s="3127"/>
      <c r="R330" s="3128"/>
      <c r="S330" s="3129"/>
    </row>
    <row r="331" spans="1:19">
      <c r="A331" s="1004">
        <f t="shared" si="4"/>
        <v>2030.1</v>
      </c>
      <c r="B331" s="3133"/>
      <c r="C331" s="3127"/>
      <c r="D331" s="3128"/>
      <c r="E331" s="3127"/>
      <c r="F331" s="3128"/>
      <c r="G331" s="3127"/>
      <c r="H331" s="3128"/>
      <c r="I331" s="3127"/>
      <c r="J331" s="3128"/>
      <c r="K331" s="3127"/>
      <c r="L331" s="3128"/>
      <c r="M331" s="3127"/>
      <c r="N331" s="3128"/>
      <c r="O331" s="3127"/>
      <c r="P331" s="3128"/>
      <c r="Q331" s="3127"/>
      <c r="R331" s="3128"/>
      <c r="S331" s="3129"/>
    </row>
    <row r="332" spans="1:19">
      <c r="A332" s="1004">
        <f t="shared" si="4"/>
        <v>2030.11</v>
      </c>
      <c r="B332" s="3133"/>
      <c r="C332" s="3127"/>
      <c r="D332" s="3128"/>
      <c r="E332" s="3127"/>
      <c r="F332" s="3128"/>
      <c r="G332" s="3127"/>
      <c r="H332" s="3128"/>
      <c r="I332" s="3127"/>
      <c r="J332" s="3128"/>
      <c r="K332" s="3127"/>
      <c r="L332" s="3128"/>
      <c r="M332" s="3127"/>
      <c r="N332" s="3128"/>
      <c r="O332" s="3127"/>
      <c r="P332" s="3128"/>
      <c r="Q332" s="3127"/>
      <c r="R332" s="3128"/>
      <c r="S332" s="3129"/>
    </row>
    <row r="333" spans="1:19">
      <c r="A333" s="1004">
        <f t="shared" si="4"/>
        <v>2030.12</v>
      </c>
      <c r="B333" s="3133"/>
      <c r="C333" s="3127"/>
      <c r="D333" s="3128"/>
      <c r="E333" s="3127"/>
      <c r="F333" s="3128"/>
      <c r="G333" s="3127"/>
      <c r="H333" s="3128"/>
      <c r="I333" s="3127"/>
      <c r="J333" s="3128"/>
      <c r="K333" s="3127"/>
      <c r="L333" s="3128"/>
      <c r="M333" s="3127"/>
      <c r="N333" s="3128"/>
      <c r="O333" s="3127"/>
      <c r="P333" s="3128"/>
      <c r="Q333" s="3127"/>
      <c r="R333" s="3128"/>
      <c r="S333" s="3129"/>
    </row>
  </sheetData>
  <hyperlinks>
    <hyperlink ref="A5" location="INDICE!A13" display="VOLVER AL INDICE" xr:uid="{00000000-0004-0000-1F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D180"/>
  <sheetViews>
    <sheetView zoomScale="110" zoomScaleNormal="110" workbookViewId="0">
      <pane xSplit="1" ySplit="9" topLeftCell="B133"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1.5703125" style="19" customWidth="1"/>
    <col min="2" max="7" width="11.42578125" style="19" customWidth="1"/>
    <col min="8" max="8" width="13.140625" style="19" bestFit="1" customWidth="1"/>
    <col min="9" max="9" width="14" style="19" bestFit="1" customWidth="1"/>
    <col min="10" max="10" width="13.140625" style="19" customWidth="1"/>
    <col min="11" max="11" width="12.5703125" style="19" customWidth="1"/>
    <col min="12" max="12" width="12" style="19" customWidth="1"/>
    <col min="13" max="13" width="12.42578125" style="19" customWidth="1"/>
    <col min="14" max="14" width="11.42578125" style="19" customWidth="1"/>
    <col min="15" max="15" width="13.5703125" style="19" customWidth="1"/>
    <col min="16" max="16" width="11.42578125" style="1" customWidth="1"/>
    <col min="17" max="16384" width="11.42578125" style="1"/>
  </cols>
  <sheetData>
    <row r="1" spans="1:16" ht="3.75" customHeight="1">
      <c r="A1" s="47"/>
      <c r="B1" s="5"/>
      <c r="C1" s="5"/>
      <c r="D1" s="5"/>
      <c r="E1" s="5"/>
      <c r="F1" s="5"/>
      <c r="G1" s="5"/>
      <c r="H1" s="5"/>
      <c r="I1" s="123"/>
      <c r="J1" s="5"/>
      <c r="K1" s="5"/>
      <c r="L1" s="5"/>
      <c r="M1" s="5"/>
      <c r="N1" s="5"/>
      <c r="O1" s="5"/>
      <c r="P1" s="357"/>
    </row>
    <row r="2" spans="1:16" ht="22.5">
      <c r="A2" s="47" t="s">
        <v>212</v>
      </c>
      <c r="B2" s="77" t="s">
        <v>290</v>
      </c>
      <c r="C2" s="77"/>
      <c r="D2" s="77"/>
      <c r="E2" s="77"/>
      <c r="F2" s="77"/>
      <c r="G2" s="77"/>
      <c r="H2" s="77"/>
      <c r="I2" s="115" t="s">
        <v>292</v>
      </c>
      <c r="J2" s="77"/>
      <c r="K2" s="77"/>
      <c r="L2" s="77"/>
      <c r="M2" s="77"/>
      <c r="N2" s="77"/>
      <c r="O2" s="77"/>
      <c r="P2" s="41" t="s">
        <v>361</v>
      </c>
    </row>
    <row r="3" spans="1:16">
      <c r="A3" s="47" t="s">
        <v>211</v>
      </c>
      <c r="B3" s="77" t="s">
        <v>291</v>
      </c>
      <c r="C3" s="79"/>
      <c r="D3" s="79"/>
      <c r="E3" s="79"/>
      <c r="F3" s="79"/>
      <c r="G3" s="79"/>
      <c r="H3" s="79"/>
      <c r="I3" s="115" t="s">
        <v>291</v>
      </c>
      <c r="J3" s="79"/>
      <c r="K3" s="79"/>
      <c r="L3" s="79"/>
      <c r="M3" s="79"/>
      <c r="N3" s="79"/>
      <c r="O3" s="79"/>
      <c r="P3" s="41" t="s">
        <v>359</v>
      </c>
    </row>
    <row r="4" spans="1:16" ht="3.75" customHeight="1">
      <c r="A4" s="47"/>
      <c r="B4" s="5"/>
      <c r="C4" s="5"/>
      <c r="D4" s="5"/>
      <c r="E4" s="5"/>
      <c r="F4" s="5"/>
      <c r="G4" s="5"/>
      <c r="H4" s="5"/>
      <c r="I4" s="72"/>
      <c r="J4" s="5"/>
      <c r="K4" s="5"/>
      <c r="L4" s="5"/>
      <c r="M4" s="5"/>
      <c r="N4" s="5"/>
      <c r="O4" s="5"/>
      <c r="P4" s="358"/>
    </row>
    <row r="5" spans="1:16" ht="22.5">
      <c r="A5" s="45" t="s">
        <v>213</v>
      </c>
      <c r="B5" s="124" t="s">
        <v>794</v>
      </c>
      <c r="C5" s="291"/>
      <c r="D5" s="291"/>
      <c r="E5" s="291"/>
      <c r="F5" s="291"/>
      <c r="G5" s="291"/>
      <c r="H5" s="291"/>
      <c r="I5" s="127" t="str">
        <f>B5</f>
        <v>Depósitos y préstamos. Sector privado y público no financiero. Total de residentes en el país y extranjeros.</v>
      </c>
      <c r="J5" s="291"/>
      <c r="K5" s="291"/>
      <c r="L5" s="291"/>
      <c r="M5" s="291"/>
      <c r="N5" s="292"/>
      <c r="O5" s="291"/>
      <c r="P5" s="358"/>
    </row>
    <row r="6" spans="1:16" ht="22.5">
      <c r="A6" s="224"/>
      <c r="B6" s="124" t="s">
        <v>293</v>
      </c>
      <c r="C6" s="1802" t="s">
        <v>294</v>
      </c>
      <c r="D6" s="1957" t="s">
        <v>296</v>
      </c>
      <c r="E6" s="1801" t="s">
        <v>295</v>
      </c>
      <c r="F6" s="1800" t="s">
        <v>795</v>
      </c>
      <c r="G6" s="1956" t="s">
        <v>796</v>
      </c>
      <c r="H6" s="1748" t="s">
        <v>120</v>
      </c>
      <c r="I6" s="127" t="s">
        <v>293</v>
      </c>
      <c r="J6" s="1802" t="s">
        <v>294</v>
      </c>
      <c r="K6" s="76" t="s">
        <v>296</v>
      </c>
      <c r="L6" s="84" t="s">
        <v>295</v>
      </c>
      <c r="M6" s="1800" t="s">
        <v>795</v>
      </c>
      <c r="N6" s="1801" t="s">
        <v>796</v>
      </c>
      <c r="O6" s="1748" t="s">
        <v>120</v>
      </c>
      <c r="P6" s="82" t="s">
        <v>362</v>
      </c>
    </row>
    <row r="7" spans="1:16" ht="56.25">
      <c r="A7" s="47" t="s">
        <v>210</v>
      </c>
      <c r="B7" s="124" t="s">
        <v>215</v>
      </c>
      <c r="C7" s="213"/>
      <c r="D7" s="213"/>
      <c r="E7" s="213"/>
      <c r="F7" s="213"/>
      <c r="G7" s="213"/>
      <c r="H7" s="298"/>
      <c r="I7" s="127" t="s">
        <v>215</v>
      </c>
      <c r="J7" s="213"/>
      <c r="K7" s="213"/>
      <c r="L7" s="213"/>
      <c r="M7" s="213"/>
      <c r="N7" s="293"/>
      <c r="O7" s="213"/>
      <c r="P7" s="82" t="s">
        <v>360</v>
      </c>
    </row>
    <row r="8" spans="1:16" ht="14.25" customHeight="1">
      <c r="A8" s="225" t="s">
        <v>412</v>
      </c>
      <c r="B8" s="397" t="s">
        <v>583</v>
      </c>
      <c r="C8" s="1290" t="s">
        <v>584</v>
      </c>
      <c r="D8" s="397" t="s">
        <v>585</v>
      </c>
      <c r="E8" s="1290" t="s">
        <v>586</v>
      </c>
      <c r="F8" s="397" t="s">
        <v>587</v>
      </c>
      <c r="G8" s="1290" t="s">
        <v>588</v>
      </c>
      <c r="H8" s="396" t="s">
        <v>589</v>
      </c>
      <c r="I8" s="398" t="s">
        <v>590</v>
      </c>
      <c r="J8" s="1290" t="s">
        <v>591</v>
      </c>
      <c r="K8" s="397" t="s">
        <v>592</v>
      </c>
      <c r="L8" s="1290" t="s">
        <v>593</v>
      </c>
      <c r="M8" s="397" t="s">
        <v>594</v>
      </c>
      <c r="N8" s="1290" t="s">
        <v>595</v>
      </c>
      <c r="O8" s="396" t="s">
        <v>596</v>
      </c>
      <c r="P8" s="395" t="s">
        <v>597</v>
      </c>
    </row>
    <row r="9" spans="1:16" ht="13.5" thickBot="1">
      <c r="A9" s="194"/>
      <c r="B9" s="299"/>
      <c r="C9" s="1580"/>
      <c r="D9" s="1582"/>
      <c r="E9" s="1580"/>
      <c r="F9" s="1582"/>
      <c r="G9" s="1580"/>
      <c r="H9" s="301"/>
      <c r="I9" s="299"/>
      <c r="J9" s="1580"/>
      <c r="K9" s="1582"/>
      <c r="L9" s="1580"/>
      <c r="M9" s="1582"/>
      <c r="N9" s="1580"/>
      <c r="O9" s="301"/>
      <c r="P9" s="359"/>
    </row>
    <row r="10" spans="1:16">
      <c r="A10" s="296">
        <v>1991.1</v>
      </c>
      <c r="B10" s="898">
        <f t="shared" ref="B10:B45" si="0">C10+D10</f>
        <v>586682.4</v>
      </c>
      <c r="C10" s="1803">
        <v>513214.1</v>
      </c>
      <c r="D10" s="1805">
        <v>73468.3</v>
      </c>
      <c r="E10" s="1806">
        <f>5410076/10</f>
        <v>541007.6</v>
      </c>
      <c r="F10" s="1805">
        <v>521120.9</v>
      </c>
      <c r="G10" s="1809">
        <v>19886.7</v>
      </c>
      <c r="H10" s="1808"/>
      <c r="I10" s="1810">
        <f>93330094/10</f>
        <v>9333009.4000000004</v>
      </c>
      <c r="J10" s="1803">
        <f>76729511/10</f>
        <v>7672951.0999999996</v>
      </c>
      <c r="K10" s="1805">
        <f>16600583/10</f>
        <v>1660058.3</v>
      </c>
      <c r="L10" s="1806">
        <f>119230533/10</f>
        <v>11923053.300000001</v>
      </c>
      <c r="M10" s="1805">
        <f>107577740/10</f>
        <v>10757774</v>
      </c>
      <c r="N10" s="1809">
        <f>11652793/10</f>
        <v>1165279.3</v>
      </c>
      <c r="O10" s="1813"/>
      <c r="P10" s="361">
        <v>1</v>
      </c>
    </row>
    <row r="11" spans="1:16">
      <c r="A11" s="296">
        <v>1991.2</v>
      </c>
      <c r="B11" s="480">
        <f t="shared" si="0"/>
        <v>766142.1</v>
      </c>
      <c r="C11" s="1804">
        <v>646805.1</v>
      </c>
      <c r="D11" s="294">
        <v>119337</v>
      </c>
      <c r="E11" s="1807">
        <f>7764797/10</f>
        <v>776479.7</v>
      </c>
      <c r="F11" s="294">
        <v>763198</v>
      </c>
      <c r="G11" s="1804">
        <v>13281.7</v>
      </c>
      <c r="H11" s="364"/>
      <c r="I11" s="1811">
        <f>115140210/10</f>
        <v>11514021</v>
      </c>
      <c r="J11" s="1804">
        <f>91751988/10</f>
        <v>9175198.8000000007</v>
      </c>
      <c r="K11" s="294">
        <f>23388222/10</f>
        <v>2338822.2000000002</v>
      </c>
      <c r="L11" s="1807">
        <f>153327998/10</f>
        <v>15332799.800000001</v>
      </c>
      <c r="M11" s="294">
        <f>138462539/10</f>
        <v>13846253.9</v>
      </c>
      <c r="N11" s="1804">
        <f>14865459/10</f>
        <v>1486545.9</v>
      </c>
      <c r="O11" s="362"/>
      <c r="P11" s="356">
        <v>1</v>
      </c>
    </row>
    <row r="12" spans="1:16">
      <c r="A12" s="296">
        <v>1991.3</v>
      </c>
      <c r="B12" s="480">
        <f t="shared" si="0"/>
        <v>900071.5</v>
      </c>
      <c r="C12" s="1804">
        <v>791131.5</v>
      </c>
      <c r="D12" s="294">
        <v>108940</v>
      </c>
      <c r="E12" s="1807">
        <f>9539254/10</f>
        <v>953925.4</v>
      </c>
      <c r="F12" s="294">
        <v>940712.3</v>
      </c>
      <c r="G12" s="1804">
        <v>13213.1</v>
      </c>
      <c r="H12" s="364"/>
      <c r="I12" s="1811">
        <f>134505535/10</f>
        <v>13450553.5</v>
      </c>
      <c r="J12" s="1804">
        <f>110079732/10</f>
        <v>11007973.199999999</v>
      </c>
      <c r="K12" s="294">
        <f>24425803/10</f>
        <v>2442580.2999999998</v>
      </c>
      <c r="L12" s="1807">
        <f>173193569/10</f>
        <v>17319356.899999999</v>
      </c>
      <c r="M12" s="294">
        <f>158928316/10</f>
        <v>15892831.6</v>
      </c>
      <c r="N12" s="1804">
        <f>14265253/10</f>
        <v>1426525.3</v>
      </c>
      <c r="O12" s="362"/>
      <c r="P12" s="356">
        <v>1</v>
      </c>
    </row>
    <row r="13" spans="1:16">
      <c r="A13" s="296">
        <v>1991.4</v>
      </c>
      <c r="B13" s="480">
        <f t="shared" si="0"/>
        <v>951440.1</v>
      </c>
      <c r="C13" s="1804">
        <v>847513.1</v>
      </c>
      <c r="D13" s="294">
        <v>103927</v>
      </c>
      <c r="E13" s="1807">
        <f>12240063/10</f>
        <v>1224006.3</v>
      </c>
      <c r="F13" s="294">
        <v>1202811</v>
      </c>
      <c r="G13" s="1804">
        <v>21195.3</v>
      </c>
      <c r="H13" s="364"/>
      <c r="I13" s="1811">
        <f>152114128/10</f>
        <v>15211412.800000001</v>
      </c>
      <c r="J13" s="1804">
        <f>121906493/10</f>
        <v>12190649.300000001</v>
      </c>
      <c r="K13" s="294">
        <f>30207635/10</f>
        <v>3020763.5</v>
      </c>
      <c r="L13" s="1807">
        <f>200124607/10</f>
        <v>20012460.699999999</v>
      </c>
      <c r="M13" s="294">
        <f>184138113/10</f>
        <v>18413811.300000001</v>
      </c>
      <c r="N13" s="1804">
        <f>15986494/10</f>
        <v>1598649.4</v>
      </c>
      <c r="O13" s="362"/>
      <c r="P13" s="356">
        <v>1</v>
      </c>
    </row>
    <row r="14" spans="1:16">
      <c r="A14" s="296">
        <v>1992.1</v>
      </c>
      <c r="B14" s="480">
        <f t="shared" si="0"/>
        <v>1165881</v>
      </c>
      <c r="C14" s="1804">
        <v>1027907</v>
      </c>
      <c r="D14" s="294">
        <v>137974</v>
      </c>
      <c r="E14" s="1807">
        <v>1407007</v>
      </c>
      <c r="F14" s="294">
        <v>1393825</v>
      </c>
      <c r="G14" s="1804">
        <v>13182</v>
      </c>
      <c r="H14" s="364"/>
      <c r="I14" s="1811">
        <v>18541301</v>
      </c>
      <c r="J14" s="1804">
        <v>15028114</v>
      </c>
      <c r="K14" s="294">
        <v>3513187</v>
      </c>
      <c r="L14" s="1807">
        <v>22191597</v>
      </c>
      <c r="M14" s="294">
        <v>20394866</v>
      </c>
      <c r="N14" s="1804">
        <v>1796731</v>
      </c>
      <c r="O14" s="362"/>
      <c r="P14" s="356">
        <v>1</v>
      </c>
    </row>
    <row r="15" spans="1:16">
      <c r="A15" s="296">
        <v>1992.2</v>
      </c>
      <c r="B15" s="480">
        <f t="shared" si="0"/>
        <v>1418664</v>
      </c>
      <c r="C15" s="1804">
        <v>1201186</v>
      </c>
      <c r="D15" s="294">
        <v>217478</v>
      </c>
      <c r="E15" s="1807">
        <v>1616382</v>
      </c>
      <c r="F15" s="294">
        <v>1603070</v>
      </c>
      <c r="G15" s="1804">
        <v>13312</v>
      </c>
      <c r="H15" s="364"/>
      <c r="I15" s="1811">
        <v>21947715</v>
      </c>
      <c r="J15" s="1804">
        <v>17590703</v>
      </c>
      <c r="K15" s="294">
        <v>4357012</v>
      </c>
      <c r="L15" s="1807">
        <v>26983785</v>
      </c>
      <c r="M15" s="294">
        <v>25210074</v>
      </c>
      <c r="N15" s="1804">
        <v>1773711</v>
      </c>
      <c r="O15" s="362"/>
      <c r="P15" s="356">
        <v>1</v>
      </c>
    </row>
    <row r="16" spans="1:16">
      <c r="A16" s="296">
        <v>1992.3</v>
      </c>
      <c r="B16" s="480">
        <f t="shared" si="0"/>
        <v>1546817</v>
      </c>
      <c r="C16" s="1804">
        <v>1292944</v>
      </c>
      <c r="D16" s="294">
        <v>253873</v>
      </c>
      <c r="E16" s="1807">
        <v>1925665</v>
      </c>
      <c r="F16" s="294">
        <v>1913049</v>
      </c>
      <c r="G16" s="1804">
        <v>12616</v>
      </c>
      <c r="H16" s="364"/>
      <c r="I16" s="1811">
        <v>24668924</v>
      </c>
      <c r="J16" s="1804">
        <v>19567289</v>
      </c>
      <c r="K16" s="294">
        <v>5101635</v>
      </c>
      <c r="L16" s="1807">
        <v>30638013</v>
      </c>
      <c r="M16" s="294">
        <v>28302438</v>
      </c>
      <c r="N16" s="1804">
        <v>2335575</v>
      </c>
      <c r="O16" s="362"/>
      <c r="P16" s="356">
        <v>1</v>
      </c>
    </row>
    <row r="17" spans="1:16">
      <c r="A17" s="296">
        <v>1992.4</v>
      </c>
      <c r="B17" s="480">
        <f t="shared" si="0"/>
        <v>1605820</v>
      </c>
      <c r="C17" s="1804">
        <v>1346040</v>
      </c>
      <c r="D17" s="294">
        <v>259780</v>
      </c>
      <c r="E17" s="1807">
        <v>2140351</v>
      </c>
      <c r="F17" s="294">
        <v>2127001</v>
      </c>
      <c r="G17" s="1804">
        <v>13350</v>
      </c>
      <c r="H17" s="364"/>
      <c r="I17" s="1811">
        <v>25359219</v>
      </c>
      <c r="J17" s="1804">
        <v>20389185</v>
      </c>
      <c r="K17" s="294">
        <v>4970034</v>
      </c>
      <c r="L17" s="1807">
        <v>33538840</v>
      </c>
      <c r="M17" s="294">
        <v>30886303</v>
      </c>
      <c r="N17" s="1804">
        <v>2652537</v>
      </c>
      <c r="O17" s="362"/>
      <c r="P17" s="356">
        <v>1</v>
      </c>
    </row>
    <row r="18" spans="1:16">
      <c r="A18" s="296">
        <v>1993.1</v>
      </c>
      <c r="B18" s="480">
        <f t="shared" si="0"/>
        <v>1831203</v>
      </c>
      <c r="C18" s="1804">
        <v>1539283</v>
      </c>
      <c r="D18" s="294">
        <v>291920</v>
      </c>
      <c r="E18" s="1807">
        <v>2305045</v>
      </c>
      <c r="F18" s="294">
        <v>2292408</v>
      </c>
      <c r="G18" s="1804">
        <v>12637</v>
      </c>
      <c r="H18" s="364"/>
      <c r="I18" s="1811">
        <v>31382989</v>
      </c>
      <c r="J18" s="1804">
        <v>24167448</v>
      </c>
      <c r="K18" s="294">
        <v>7215541</v>
      </c>
      <c r="L18" s="1807">
        <v>38145445</v>
      </c>
      <c r="M18" s="294">
        <v>34257353</v>
      </c>
      <c r="N18" s="1804">
        <v>3888092</v>
      </c>
      <c r="O18" s="362"/>
      <c r="P18" s="356">
        <v>1</v>
      </c>
    </row>
    <row r="19" spans="1:16">
      <c r="A19" s="296">
        <v>1993.2</v>
      </c>
      <c r="B19" s="480">
        <f t="shared" si="0"/>
        <v>2079997</v>
      </c>
      <c r="C19" s="1804">
        <v>1711967</v>
      </c>
      <c r="D19" s="294">
        <v>368030</v>
      </c>
      <c r="E19" s="1807">
        <v>2497008</v>
      </c>
      <c r="F19" s="294">
        <v>2434482</v>
      </c>
      <c r="G19" s="1804">
        <v>62526</v>
      </c>
      <c r="H19" s="364"/>
      <c r="I19" s="1811">
        <v>33050370</v>
      </c>
      <c r="J19" s="1804">
        <v>26485231</v>
      </c>
      <c r="K19" s="294">
        <v>6565139</v>
      </c>
      <c r="L19" s="1807">
        <v>39350344</v>
      </c>
      <c r="M19" s="294">
        <v>35826530</v>
      </c>
      <c r="N19" s="1804">
        <v>3523814</v>
      </c>
      <c r="O19" s="362"/>
      <c r="P19" s="356">
        <v>1</v>
      </c>
    </row>
    <row r="20" spans="1:16">
      <c r="A20" s="296">
        <v>1993.3</v>
      </c>
      <c r="B20" s="480">
        <f t="shared" si="0"/>
        <v>2303085</v>
      </c>
      <c r="C20" s="1804">
        <v>1862498</v>
      </c>
      <c r="D20" s="294">
        <v>440587</v>
      </c>
      <c r="E20" s="1807">
        <v>2737026</v>
      </c>
      <c r="F20" s="294">
        <v>2593739</v>
      </c>
      <c r="G20" s="1804">
        <v>143287</v>
      </c>
      <c r="H20" s="364"/>
      <c r="I20" s="1811">
        <v>37562866</v>
      </c>
      <c r="J20" s="1804">
        <v>29993899</v>
      </c>
      <c r="K20" s="294">
        <v>7568967</v>
      </c>
      <c r="L20" s="1807">
        <v>42062740</v>
      </c>
      <c r="M20" s="294">
        <v>37654169</v>
      </c>
      <c r="N20" s="1804">
        <v>4408571</v>
      </c>
      <c r="O20" s="362"/>
      <c r="P20" s="356">
        <v>1</v>
      </c>
    </row>
    <row r="21" spans="1:16">
      <c r="A21" s="296">
        <v>1993.4</v>
      </c>
      <c r="B21" s="480">
        <f t="shared" si="0"/>
        <v>2394880</v>
      </c>
      <c r="C21" s="1804">
        <v>1939782</v>
      </c>
      <c r="D21" s="294">
        <v>455098</v>
      </c>
      <c r="E21" s="1807">
        <v>2981317</v>
      </c>
      <c r="F21" s="294">
        <v>2873686</v>
      </c>
      <c r="G21" s="1804">
        <v>107631</v>
      </c>
      <c r="H21" s="364"/>
      <c r="I21" s="1811">
        <v>39951130</v>
      </c>
      <c r="J21" s="1804">
        <v>32226657</v>
      </c>
      <c r="K21" s="294">
        <v>7724473</v>
      </c>
      <c r="L21" s="1807">
        <v>44745723</v>
      </c>
      <c r="M21" s="294">
        <v>41000759</v>
      </c>
      <c r="N21" s="1804">
        <v>3744964</v>
      </c>
      <c r="O21" s="362"/>
      <c r="P21" s="356">
        <v>1</v>
      </c>
    </row>
    <row r="22" spans="1:16">
      <c r="A22" s="296">
        <v>1994.1</v>
      </c>
      <c r="B22" s="480">
        <f t="shared" si="0"/>
        <v>2564869</v>
      </c>
      <c r="C22" s="1804">
        <v>2052402</v>
      </c>
      <c r="D22" s="294">
        <v>512467</v>
      </c>
      <c r="E22" s="1807">
        <v>3187436</v>
      </c>
      <c r="F22" s="294">
        <v>2555451</v>
      </c>
      <c r="G22" s="1804">
        <v>162446</v>
      </c>
      <c r="H22" s="364"/>
      <c r="I22" s="1811">
        <v>42338287</v>
      </c>
      <c r="J22" s="1804">
        <v>34264968</v>
      </c>
      <c r="K22" s="294">
        <v>8073319</v>
      </c>
      <c r="L22" s="1807">
        <v>47438781</v>
      </c>
      <c r="M22" s="294">
        <v>37022196</v>
      </c>
      <c r="N22" s="1804">
        <v>4455582</v>
      </c>
      <c r="O22" s="362"/>
      <c r="P22" s="356">
        <v>1</v>
      </c>
    </row>
    <row r="23" spans="1:16">
      <c r="A23" s="296">
        <v>1994.2</v>
      </c>
      <c r="B23" s="480">
        <f t="shared" si="0"/>
        <v>2738138</v>
      </c>
      <c r="C23" s="1804">
        <v>2214901</v>
      </c>
      <c r="D23" s="294">
        <v>523237</v>
      </c>
      <c r="E23" s="1807">
        <v>3267657</v>
      </c>
      <c r="F23" s="294">
        <v>2630881</v>
      </c>
      <c r="G23" s="1804">
        <v>162330</v>
      </c>
      <c r="H23" s="364"/>
      <c r="I23" s="1811">
        <v>43889419</v>
      </c>
      <c r="J23" s="1804">
        <v>35309633</v>
      </c>
      <c r="K23" s="294">
        <v>8579786</v>
      </c>
      <c r="L23" s="1807">
        <v>49966418</v>
      </c>
      <c r="M23" s="294">
        <v>39128532</v>
      </c>
      <c r="N23" s="1804">
        <v>4584306</v>
      </c>
      <c r="O23" s="362"/>
      <c r="P23" s="356">
        <v>1</v>
      </c>
    </row>
    <row r="24" spans="1:16">
      <c r="A24" s="296">
        <v>1994.3</v>
      </c>
      <c r="B24" s="480">
        <f t="shared" si="0"/>
        <v>2805755</v>
      </c>
      <c r="C24" s="1804">
        <v>2307498</v>
      </c>
      <c r="D24" s="294">
        <v>498257</v>
      </c>
      <c r="E24" s="1807">
        <v>3187436</v>
      </c>
      <c r="F24" s="294">
        <v>2805949</v>
      </c>
      <c r="G24" s="1804">
        <v>156737</v>
      </c>
      <c r="H24" s="364"/>
      <c r="I24" s="1811">
        <v>44708136</v>
      </c>
      <c r="J24" s="1804">
        <v>37544816</v>
      </c>
      <c r="K24" s="294">
        <v>7163320</v>
      </c>
      <c r="L24" s="1807">
        <v>51665046</v>
      </c>
      <c r="M24" s="294">
        <v>41123269</v>
      </c>
      <c r="N24" s="1804">
        <v>4438925</v>
      </c>
      <c r="O24" s="362"/>
      <c r="P24" s="356">
        <v>1</v>
      </c>
    </row>
    <row r="25" spans="1:16">
      <c r="A25" s="296">
        <v>1994.4</v>
      </c>
      <c r="B25" s="480">
        <f t="shared" si="0"/>
        <v>2794374</v>
      </c>
      <c r="C25" s="1804">
        <v>2296783</v>
      </c>
      <c r="D25" s="294">
        <v>497591</v>
      </c>
      <c r="E25" s="1807">
        <v>3598005</v>
      </c>
      <c r="F25" s="294">
        <v>3012526</v>
      </c>
      <c r="G25" s="1804">
        <v>138956</v>
      </c>
      <c r="H25" s="364"/>
      <c r="I25" s="1811">
        <v>44503913</v>
      </c>
      <c r="J25" s="1804">
        <v>38517514</v>
      </c>
      <c r="K25" s="294">
        <v>5986399</v>
      </c>
      <c r="L25" s="1807">
        <v>53054206</v>
      </c>
      <c r="M25" s="294">
        <v>43280827</v>
      </c>
      <c r="N25" s="1804">
        <v>3753123</v>
      </c>
      <c r="O25" s="362"/>
      <c r="P25" s="356">
        <v>1</v>
      </c>
    </row>
    <row r="26" spans="1:16">
      <c r="A26" s="296">
        <v>1995.1</v>
      </c>
      <c r="B26" s="480">
        <f t="shared" si="0"/>
        <v>2463812</v>
      </c>
      <c r="C26" s="1804">
        <v>1997322</v>
      </c>
      <c r="D26" s="294">
        <v>466490</v>
      </c>
      <c r="E26" s="1807">
        <v>3496524</v>
      </c>
      <c r="F26" s="294">
        <v>3365236</v>
      </c>
      <c r="G26" s="1804">
        <v>131288</v>
      </c>
      <c r="H26" s="364"/>
      <c r="I26" s="1811">
        <v>39222040</v>
      </c>
      <c r="J26" s="1804">
        <v>34064562</v>
      </c>
      <c r="K26" s="294">
        <v>5157478</v>
      </c>
      <c r="L26" s="1807">
        <v>52454616</v>
      </c>
      <c r="M26" s="294">
        <v>48893373</v>
      </c>
      <c r="N26" s="1804">
        <v>3561243</v>
      </c>
      <c r="O26" s="362"/>
      <c r="P26" s="356">
        <v>1</v>
      </c>
    </row>
    <row r="27" spans="1:16">
      <c r="A27" s="296">
        <v>1995.2</v>
      </c>
      <c r="B27" s="480">
        <f t="shared" si="0"/>
        <v>2493499</v>
      </c>
      <c r="C27" s="1804">
        <v>2030269</v>
      </c>
      <c r="D27" s="294">
        <v>463230</v>
      </c>
      <c r="E27" s="1807">
        <v>3247937</v>
      </c>
      <c r="F27" s="294">
        <v>3126703</v>
      </c>
      <c r="G27" s="1804">
        <v>121234</v>
      </c>
      <c r="H27" s="364"/>
      <c r="I27" s="1811">
        <v>40058172</v>
      </c>
      <c r="J27" s="1804">
        <v>34768832</v>
      </c>
      <c r="K27" s="294">
        <v>5289340</v>
      </c>
      <c r="L27" s="1807">
        <v>52487929</v>
      </c>
      <c r="M27" s="294">
        <v>48613290</v>
      </c>
      <c r="N27" s="1804">
        <v>3874639</v>
      </c>
      <c r="O27" s="362"/>
      <c r="P27" s="356">
        <v>1</v>
      </c>
    </row>
    <row r="28" spans="1:16">
      <c r="A28" s="296">
        <v>1995.3</v>
      </c>
      <c r="B28" s="480">
        <f t="shared" si="0"/>
        <v>2501315</v>
      </c>
      <c r="C28" s="1804">
        <v>2104252</v>
      </c>
      <c r="D28" s="294">
        <v>397063</v>
      </c>
      <c r="E28" s="1807">
        <v>2843516</v>
      </c>
      <c r="F28" s="294">
        <v>2722612</v>
      </c>
      <c r="G28" s="1804">
        <v>120904</v>
      </c>
      <c r="H28" s="364"/>
      <c r="I28" s="1811">
        <v>41627480</v>
      </c>
      <c r="J28" s="1804">
        <v>36376828</v>
      </c>
      <c r="K28" s="294">
        <v>5250652</v>
      </c>
      <c r="L28" s="1807">
        <v>51698965</v>
      </c>
      <c r="M28" s="294">
        <v>47620587</v>
      </c>
      <c r="N28" s="1804">
        <v>4078378</v>
      </c>
      <c r="O28" s="362"/>
      <c r="P28" s="356">
        <v>1</v>
      </c>
    </row>
    <row r="29" spans="1:16">
      <c r="A29" s="296">
        <v>1995.4</v>
      </c>
      <c r="B29" s="480">
        <f t="shared" si="0"/>
        <v>2535290</v>
      </c>
      <c r="C29" s="1804">
        <v>2212343</v>
      </c>
      <c r="D29" s="294">
        <v>322947</v>
      </c>
      <c r="E29" s="1807">
        <v>2775722</v>
      </c>
      <c r="F29" s="294">
        <v>2678922</v>
      </c>
      <c r="G29" s="1804">
        <v>96800</v>
      </c>
      <c r="H29" s="364"/>
      <c r="I29" s="1811">
        <v>43320410</v>
      </c>
      <c r="J29" s="1804">
        <v>38152010</v>
      </c>
      <c r="K29" s="294">
        <v>5168400</v>
      </c>
      <c r="L29" s="1807">
        <v>53878895</v>
      </c>
      <c r="M29" s="294">
        <v>49797884</v>
      </c>
      <c r="N29" s="1804">
        <v>4081011</v>
      </c>
      <c r="O29" s="362"/>
      <c r="P29" s="356">
        <v>1</v>
      </c>
    </row>
    <row r="30" spans="1:16">
      <c r="A30" s="296">
        <v>1996.1</v>
      </c>
      <c r="B30" s="480">
        <f t="shared" si="0"/>
        <v>2738865</v>
      </c>
      <c r="C30" s="1804">
        <v>2443100</v>
      </c>
      <c r="D30" s="294">
        <v>295765</v>
      </c>
      <c r="E30" s="1807">
        <v>2754556</v>
      </c>
      <c r="F30" s="294">
        <v>2693801</v>
      </c>
      <c r="G30" s="1804">
        <v>60755</v>
      </c>
      <c r="H30" s="364"/>
      <c r="I30" s="1811">
        <v>47524224</v>
      </c>
      <c r="J30" s="1804">
        <v>42122579</v>
      </c>
      <c r="K30" s="294">
        <v>5401645</v>
      </c>
      <c r="L30" s="1807">
        <v>53557277</v>
      </c>
      <c r="M30" s="294">
        <v>50046220</v>
      </c>
      <c r="N30" s="1804">
        <v>3511057</v>
      </c>
      <c r="O30" s="362"/>
      <c r="P30" s="356">
        <v>1</v>
      </c>
    </row>
    <row r="31" spans="1:16">
      <c r="A31" s="296">
        <v>1996.2</v>
      </c>
      <c r="B31" s="480">
        <f t="shared" si="0"/>
        <v>2926912</v>
      </c>
      <c r="C31" s="1804">
        <v>2625061</v>
      </c>
      <c r="D31" s="294">
        <v>301851</v>
      </c>
      <c r="E31" s="1807">
        <v>2695476</v>
      </c>
      <c r="F31" s="294">
        <v>2678207</v>
      </c>
      <c r="G31" s="1804">
        <v>17269</v>
      </c>
      <c r="H31" s="364"/>
      <c r="I31" s="1811">
        <v>50476983</v>
      </c>
      <c r="J31" s="1804">
        <v>43927949</v>
      </c>
      <c r="K31" s="294">
        <v>6549034</v>
      </c>
      <c r="L31" s="1807">
        <v>55551900</v>
      </c>
      <c r="M31" s="294">
        <v>51713177</v>
      </c>
      <c r="N31" s="1804">
        <v>3838723</v>
      </c>
      <c r="O31" s="362"/>
      <c r="P31" s="356">
        <v>1</v>
      </c>
    </row>
    <row r="32" spans="1:16">
      <c r="A32" s="296">
        <v>1996.3</v>
      </c>
      <c r="B32" s="480">
        <f t="shared" si="0"/>
        <v>2940661</v>
      </c>
      <c r="C32" s="1804">
        <v>2645245</v>
      </c>
      <c r="D32" s="294">
        <v>295416</v>
      </c>
      <c r="E32" s="1807">
        <v>2771932</v>
      </c>
      <c r="F32" s="294">
        <v>2752640</v>
      </c>
      <c r="G32" s="1804">
        <v>19292</v>
      </c>
      <c r="H32" s="364"/>
      <c r="I32" s="1811">
        <v>50796373</v>
      </c>
      <c r="J32" s="1804">
        <v>44789154</v>
      </c>
      <c r="K32" s="294">
        <v>6007219</v>
      </c>
      <c r="L32" s="1807">
        <v>55169063</v>
      </c>
      <c r="M32" s="294">
        <v>51342944</v>
      </c>
      <c r="N32" s="1804">
        <v>3826119</v>
      </c>
      <c r="O32" s="362"/>
      <c r="P32" s="356">
        <v>1</v>
      </c>
    </row>
    <row r="33" spans="1:16">
      <c r="A33" s="296">
        <v>1996.4</v>
      </c>
      <c r="B33" s="480">
        <f t="shared" si="0"/>
        <v>2975891</v>
      </c>
      <c r="C33" s="1804">
        <v>2638488</v>
      </c>
      <c r="D33" s="294">
        <v>337403</v>
      </c>
      <c r="E33" s="1807">
        <v>2846469</v>
      </c>
      <c r="F33" s="294">
        <v>2843795</v>
      </c>
      <c r="G33" s="1804">
        <v>2674</v>
      </c>
      <c r="H33" s="364"/>
      <c r="I33" s="1811">
        <v>52914789</v>
      </c>
      <c r="J33" s="1804">
        <v>46175017</v>
      </c>
      <c r="K33" s="294">
        <v>6739772</v>
      </c>
      <c r="L33" s="1807">
        <v>58578603</v>
      </c>
      <c r="M33" s="294">
        <v>54777736</v>
      </c>
      <c r="N33" s="1804">
        <v>3800867</v>
      </c>
      <c r="O33" s="362"/>
      <c r="P33" s="356">
        <v>1</v>
      </c>
    </row>
    <row r="34" spans="1:16">
      <c r="A34" s="296">
        <v>1997.1</v>
      </c>
      <c r="B34" s="480">
        <f t="shared" si="0"/>
        <v>3063661</v>
      </c>
      <c r="C34" s="1804">
        <v>2718068</v>
      </c>
      <c r="D34" s="294">
        <v>345593</v>
      </c>
      <c r="E34" s="1807">
        <v>2862011</v>
      </c>
      <c r="F34" s="294">
        <v>2551805</v>
      </c>
      <c r="G34" s="1804">
        <v>5681</v>
      </c>
      <c r="H34" s="364"/>
      <c r="I34" s="1811">
        <v>57215916</v>
      </c>
      <c r="J34" s="1804">
        <v>49612602</v>
      </c>
      <c r="K34" s="294">
        <v>7603314</v>
      </c>
      <c r="L34" s="1807">
        <v>60013238</v>
      </c>
      <c r="M34" s="294">
        <v>56285428</v>
      </c>
      <c r="N34" s="1804">
        <v>3727810</v>
      </c>
      <c r="O34" s="362"/>
      <c r="P34" s="356">
        <v>1</v>
      </c>
    </row>
    <row r="35" spans="1:16">
      <c r="A35" s="296">
        <v>1997.2</v>
      </c>
      <c r="B35" s="480">
        <f t="shared" si="0"/>
        <v>3331201</v>
      </c>
      <c r="C35" s="1804">
        <v>2793700</v>
      </c>
      <c r="D35" s="294">
        <v>537501</v>
      </c>
      <c r="E35" s="1807">
        <v>2877429</v>
      </c>
      <c r="F35" s="294">
        <v>2558226</v>
      </c>
      <c r="G35" s="1804">
        <v>63245</v>
      </c>
      <c r="H35" s="364"/>
      <c r="I35" s="1811">
        <v>62688628</v>
      </c>
      <c r="J35" s="1804">
        <v>54132888</v>
      </c>
      <c r="K35" s="294">
        <v>8555740</v>
      </c>
      <c r="L35" s="1807">
        <v>62620457</v>
      </c>
      <c r="M35" s="294">
        <v>59175068</v>
      </c>
      <c r="N35" s="1804">
        <v>3445389</v>
      </c>
      <c r="O35" s="362"/>
      <c r="P35" s="356">
        <v>1</v>
      </c>
    </row>
    <row r="36" spans="1:16">
      <c r="A36" s="296">
        <v>1997.3</v>
      </c>
      <c r="B36" s="480">
        <f t="shared" si="0"/>
        <v>3437594</v>
      </c>
      <c r="C36" s="1804">
        <v>2947545</v>
      </c>
      <c r="D36" s="294">
        <v>490049</v>
      </c>
      <c r="E36" s="1807">
        <v>2978894</v>
      </c>
      <c r="F36" s="294">
        <v>2640705</v>
      </c>
      <c r="G36" s="1804">
        <v>42235</v>
      </c>
      <c r="H36" s="364"/>
      <c r="I36" s="1811">
        <v>65525450</v>
      </c>
      <c r="J36" s="1804">
        <v>56946699</v>
      </c>
      <c r="K36" s="294">
        <v>8578751</v>
      </c>
      <c r="L36" s="1807">
        <v>65051990</v>
      </c>
      <c r="M36" s="294">
        <v>61409429</v>
      </c>
      <c r="N36" s="1804">
        <v>3642561</v>
      </c>
      <c r="O36" s="362"/>
      <c r="P36" s="356">
        <v>1</v>
      </c>
    </row>
    <row r="37" spans="1:16">
      <c r="A37" s="296">
        <v>1997.4</v>
      </c>
      <c r="B37" s="480">
        <f t="shared" si="0"/>
        <v>3379940</v>
      </c>
      <c r="C37" s="1804">
        <v>2918255</v>
      </c>
      <c r="D37" s="294">
        <v>461685</v>
      </c>
      <c r="E37" s="1807">
        <v>3061549</v>
      </c>
      <c r="F37" s="294">
        <v>2729072</v>
      </c>
      <c r="G37" s="1804">
        <v>86090</v>
      </c>
      <c r="H37" s="364"/>
      <c r="I37" s="1811">
        <v>67199420</v>
      </c>
      <c r="J37" s="1804">
        <v>58607462</v>
      </c>
      <c r="K37" s="294">
        <v>8591958</v>
      </c>
      <c r="L37" s="1807">
        <v>67884574</v>
      </c>
      <c r="M37" s="294">
        <v>64121463</v>
      </c>
      <c r="N37" s="1804">
        <v>3763111</v>
      </c>
      <c r="O37" s="362"/>
      <c r="P37" s="356">
        <v>1</v>
      </c>
    </row>
    <row r="38" spans="1:16">
      <c r="A38" s="296">
        <v>1998.1</v>
      </c>
      <c r="B38" s="480">
        <f t="shared" si="0"/>
        <v>3656031</v>
      </c>
      <c r="C38" s="1804">
        <v>3180928</v>
      </c>
      <c r="D38" s="294">
        <v>475103</v>
      </c>
      <c r="E38" s="1807">
        <v>3371891</v>
      </c>
      <c r="F38" s="294">
        <v>3285851</v>
      </c>
      <c r="G38" s="1804">
        <v>86040</v>
      </c>
      <c r="H38" s="364"/>
      <c r="I38" s="1811">
        <v>76273848</v>
      </c>
      <c r="J38" s="1804">
        <v>66150695</v>
      </c>
      <c r="K38" s="294">
        <v>10123153</v>
      </c>
      <c r="L38" s="1807">
        <v>74765471</v>
      </c>
      <c r="M38" s="294">
        <v>70961841</v>
      </c>
      <c r="N38" s="1804">
        <v>3803630</v>
      </c>
      <c r="O38" s="362"/>
      <c r="P38" s="356">
        <v>1</v>
      </c>
    </row>
    <row r="39" spans="1:16">
      <c r="A39" s="296">
        <v>1998.2</v>
      </c>
      <c r="B39" s="480">
        <f t="shared" si="0"/>
        <v>3634307</v>
      </c>
      <c r="C39" s="1804">
        <v>3165370</v>
      </c>
      <c r="D39" s="294">
        <v>468937</v>
      </c>
      <c r="E39" s="1807">
        <v>3287664</v>
      </c>
      <c r="F39" s="294">
        <v>3201644</v>
      </c>
      <c r="G39" s="1804">
        <v>86020</v>
      </c>
      <c r="H39" s="364"/>
      <c r="I39" s="1811">
        <v>74954528</v>
      </c>
      <c r="J39" s="1804">
        <v>64666239</v>
      </c>
      <c r="K39" s="294">
        <v>10288289</v>
      </c>
      <c r="L39" s="1807">
        <v>72020050</v>
      </c>
      <c r="M39" s="294">
        <v>68298468</v>
      </c>
      <c r="N39" s="1804">
        <v>3721582</v>
      </c>
      <c r="O39" s="362"/>
      <c r="P39" s="356">
        <v>1</v>
      </c>
    </row>
    <row r="40" spans="1:16">
      <c r="A40" s="296">
        <v>1998.3</v>
      </c>
      <c r="B40" s="480">
        <f t="shared" si="0"/>
        <v>3656031</v>
      </c>
      <c r="C40" s="1804">
        <v>3180928</v>
      </c>
      <c r="D40" s="294">
        <v>475103</v>
      </c>
      <c r="E40" s="1807">
        <v>3371891</v>
      </c>
      <c r="F40" s="294">
        <v>3285851</v>
      </c>
      <c r="G40" s="1804">
        <v>86040</v>
      </c>
      <c r="H40" s="364"/>
      <c r="I40" s="1811">
        <v>76273848</v>
      </c>
      <c r="J40" s="1804">
        <v>66150695</v>
      </c>
      <c r="K40" s="294">
        <v>10123153</v>
      </c>
      <c r="L40" s="1807">
        <v>74765471</v>
      </c>
      <c r="M40" s="294">
        <v>70961841</v>
      </c>
      <c r="N40" s="1804">
        <v>3803630</v>
      </c>
      <c r="O40" s="362"/>
      <c r="P40" s="356">
        <v>1</v>
      </c>
    </row>
    <row r="41" spans="1:16">
      <c r="A41" s="296">
        <v>1998.4</v>
      </c>
      <c r="B41" s="480">
        <f t="shared" si="0"/>
        <v>3590947</v>
      </c>
      <c r="C41" s="1804">
        <v>3152461</v>
      </c>
      <c r="D41" s="294">
        <v>438486</v>
      </c>
      <c r="E41" s="1807">
        <v>3149036</v>
      </c>
      <c r="F41" s="294">
        <v>3019977</v>
      </c>
      <c r="G41" s="1804">
        <v>129059</v>
      </c>
      <c r="H41" s="364"/>
      <c r="I41" s="1811">
        <v>74716790</v>
      </c>
      <c r="J41" s="1804">
        <v>66114976</v>
      </c>
      <c r="K41" s="294">
        <v>8601814</v>
      </c>
      <c r="L41" s="1807">
        <v>75634508</v>
      </c>
      <c r="M41" s="294">
        <v>72349274</v>
      </c>
      <c r="N41" s="1804">
        <v>3285234</v>
      </c>
      <c r="O41" s="362"/>
      <c r="P41" s="356">
        <v>1</v>
      </c>
    </row>
    <row r="42" spans="1:16">
      <c r="A42" s="296">
        <v>1999.1</v>
      </c>
      <c r="B42" s="480">
        <f t="shared" si="0"/>
        <v>3619023</v>
      </c>
      <c r="C42" s="1804">
        <v>3197121</v>
      </c>
      <c r="D42" s="294">
        <v>421902</v>
      </c>
      <c r="E42" s="1807">
        <v>3301550</v>
      </c>
      <c r="F42" s="294">
        <v>3161164</v>
      </c>
      <c r="G42" s="1804">
        <v>140386</v>
      </c>
      <c r="H42" s="364"/>
      <c r="I42" s="1811">
        <v>77498362</v>
      </c>
      <c r="J42" s="1804">
        <v>69122934</v>
      </c>
      <c r="K42" s="294">
        <v>8375428</v>
      </c>
      <c r="L42" s="1807">
        <v>75930351</v>
      </c>
      <c r="M42" s="294">
        <v>72471707</v>
      </c>
      <c r="N42" s="1804">
        <v>3458644</v>
      </c>
      <c r="O42" s="362"/>
      <c r="P42" s="356">
        <v>1</v>
      </c>
    </row>
    <row r="43" spans="1:16">
      <c r="A43" s="296">
        <v>1999.2</v>
      </c>
      <c r="B43" s="480">
        <f t="shared" si="0"/>
        <v>3781972</v>
      </c>
      <c r="C43" s="1804">
        <v>3336091</v>
      </c>
      <c r="D43" s="294">
        <v>445881</v>
      </c>
      <c r="E43" s="1807">
        <v>3219363</v>
      </c>
      <c r="F43" s="294">
        <v>3069959</v>
      </c>
      <c r="G43" s="1804">
        <v>149404</v>
      </c>
      <c r="H43" s="364"/>
      <c r="I43" s="1811">
        <v>80252797</v>
      </c>
      <c r="J43" s="1804">
        <v>71112551</v>
      </c>
      <c r="K43" s="294">
        <v>9140246</v>
      </c>
      <c r="L43" s="1807">
        <v>75920707</v>
      </c>
      <c r="M43" s="294">
        <v>72514045</v>
      </c>
      <c r="N43" s="1804">
        <v>3406662</v>
      </c>
      <c r="O43" s="362"/>
      <c r="P43" s="356">
        <v>1</v>
      </c>
    </row>
    <row r="44" spans="1:16">
      <c r="A44" s="296">
        <v>1999.3</v>
      </c>
      <c r="B44" s="480">
        <f t="shared" si="0"/>
        <v>3782504</v>
      </c>
      <c r="C44" s="1804">
        <v>3337728</v>
      </c>
      <c r="D44" s="294">
        <v>444776</v>
      </c>
      <c r="E44" s="1807">
        <v>3244474</v>
      </c>
      <c r="F44" s="294">
        <v>3058500</v>
      </c>
      <c r="G44" s="1804">
        <v>185974</v>
      </c>
      <c r="H44" s="364"/>
      <c r="I44" s="1811">
        <v>80815105</v>
      </c>
      <c r="J44" s="1804">
        <v>72062853</v>
      </c>
      <c r="K44" s="294">
        <v>8752252</v>
      </c>
      <c r="L44" s="1807">
        <v>76801690</v>
      </c>
      <c r="M44" s="294">
        <v>72821234</v>
      </c>
      <c r="N44" s="1804">
        <v>3980456</v>
      </c>
      <c r="O44" s="362"/>
      <c r="P44" s="356">
        <v>1</v>
      </c>
    </row>
    <row r="45" spans="1:16">
      <c r="A45" s="296">
        <v>1999.4</v>
      </c>
      <c r="B45" s="480">
        <f t="shared" si="0"/>
        <v>3691797</v>
      </c>
      <c r="C45" s="1804">
        <v>3249145</v>
      </c>
      <c r="D45" s="294">
        <v>442652</v>
      </c>
      <c r="E45" s="1807">
        <v>3273001</v>
      </c>
      <c r="F45" s="294">
        <v>3167524</v>
      </c>
      <c r="G45" s="1804">
        <v>105477</v>
      </c>
      <c r="H45" s="364"/>
      <c r="I45" s="1811">
        <v>78722851</v>
      </c>
      <c r="J45" s="1804">
        <v>70593763</v>
      </c>
      <c r="K45" s="294">
        <v>8129088</v>
      </c>
      <c r="L45" s="1807">
        <v>77714645</v>
      </c>
      <c r="M45" s="294">
        <v>73735087</v>
      </c>
      <c r="N45" s="1804">
        <v>3979558</v>
      </c>
      <c r="O45" s="362"/>
      <c r="P45" s="356">
        <v>1</v>
      </c>
    </row>
    <row r="46" spans="1:16">
      <c r="A46" s="296">
        <v>2000.1</v>
      </c>
      <c r="B46" s="480">
        <f t="shared" ref="B46:B93" si="1">C46+D46</f>
        <v>4108499.6244975058</v>
      </c>
      <c r="C46" s="1804">
        <v>3594341.0406489428</v>
      </c>
      <c r="D46" s="294">
        <v>514158.58384856291</v>
      </c>
      <c r="E46" s="1807">
        <f t="shared" ref="E46:E93" si="2">F46+G46</f>
        <v>3559600.2934395038</v>
      </c>
      <c r="F46" s="294">
        <v>3474730.2962215925</v>
      </c>
      <c r="G46" s="1804">
        <v>84869.997217911179</v>
      </c>
      <c r="H46" s="360">
        <v>230135.66307012684</v>
      </c>
      <c r="I46" s="1811">
        <f t="shared" ref="I46:I109" si="3">J46+K46</f>
        <v>83379033</v>
      </c>
      <c r="J46" s="1804">
        <v>74105540</v>
      </c>
      <c r="K46" s="294">
        <v>9273493</v>
      </c>
      <c r="L46" s="1807">
        <f t="shared" ref="L46:L109" si="4">M46+N46</f>
        <v>77218936</v>
      </c>
      <c r="M46" s="294">
        <v>64734652</v>
      </c>
      <c r="N46" s="1804">
        <v>12484284</v>
      </c>
      <c r="O46" s="363">
        <v>3026382</v>
      </c>
      <c r="P46" s="356">
        <v>1</v>
      </c>
    </row>
    <row r="47" spans="1:16">
      <c r="A47" s="296">
        <v>2000.2</v>
      </c>
      <c r="B47" s="480">
        <f t="shared" si="1"/>
        <v>4178839.6468502712</v>
      </c>
      <c r="C47" s="1804">
        <v>3698042.9584356085</v>
      </c>
      <c r="D47" s="294">
        <v>480796.68841466238</v>
      </c>
      <c r="E47" s="1807">
        <f t="shared" si="2"/>
        <v>3627191.6725617321</v>
      </c>
      <c r="F47" s="294">
        <v>3462548.2597401659</v>
      </c>
      <c r="G47" s="1804">
        <v>164643.41282156619</v>
      </c>
      <c r="H47" s="294">
        <v>248769.27119925752</v>
      </c>
      <c r="I47" s="1811">
        <f t="shared" si="3"/>
        <v>86467142.771832019</v>
      </c>
      <c r="J47" s="1804">
        <v>76246785.771832019</v>
      </c>
      <c r="K47" s="294">
        <v>10220357</v>
      </c>
      <c r="L47" s="1807">
        <f t="shared" si="4"/>
        <v>76770636.730175704</v>
      </c>
      <c r="M47" s="294">
        <v>63641842.844385192</v>
      </c>
      <c r="N47" s="1804">
        <v>13128793.885790516</v>
      </c>
      <c r="O47" s="295">
        <v>3126717.5346245402</v>
      </c>
      <c r="P47" s="356">
        <v>1</v>
      </c>
    </row>
    <row r="48" spans="1:16">
      <c r="A48" s="296">
        <v>2000.3</v>
      </c>
      <c r="B48" s="480">
        <f t="shared" si="1"/>
        <v>4206234.8397670537</v>
      </c>
      <c r="C48" s="1804">
        <v>3765921.6030053301</v>
      </c>
      <c r="D48" s="294">
        <v>440313.2367617237</v>
      </c>
      <c r="E48" s="1807">
        <f t="shared" si="2"/>
        <v>3699036.3332922696</v>
      </c>
      <c r="F48" s="294">
        <v>3506476.3120165067</v>
      </c>
      <c r="G48" s="1804">
        <v>192560.02127576285</v>
      </c>
      <c r="H48" s="294">
        <v>244384.53265947435</v>
      </c>
      <c r="I48" s="1811">
        <f t="shared" si="3"/>
        <v>87459254</v>
      </c>
      <c r="J48" s="1804">
        <v>77308564</v>
      </c>
      <c r="K48" s="294">
        <v>10150690</v>
      </c>
      <c r="L48" s="1807">
        <f t="shared" si="4"/>
        <v>77140601</v>
      </c>
      <c r="M48" s="294">
        <v>63350843</v>
      </c>
      <c r="N48" s="1804">
        <v>13789758</v>
      </c>
      <c r="O48" s="295">
        <v>2952953</v>
      </c>
      <c r="P48" s="356">
        <v>1</v>
      </c>
    </row>
    <row r="49" spans="1:16">
      <c r="A49" s="296">
        <v>2000.4</v>
      </c>
      <c r="B49" s="480">
        <f t="shared" si="1"/>
        <v>4103797.1128751868</v>
      </c>
      <c r="C49" s="1804">
        <v>3744371.6590970913</v>
      </c>
      <c r="D49" s="294">
        <v>359425.45377809549</v>
      </c>
      <c r="E49" s="1807">
        <f t="shared" si="2"/>
        <v>3898364.5241348851</v>
      </c>
      <c r="F49" s="294">
        <v>3588348.7331438451</v>
      </c>
      <c r="G49" s="1804">
        <v>310015.79099103995</v>
      </c>
      <c r="H49" s="294">
        <v>242012.72315541084</v>
      </c>
      <c r="I49" s="1811">
        <f t="shared" si="3"/>
        <v>85314116</v>
      </c>
      <c r="J49" s="1804">
        <v>76282082</v>
      </c>
      <c r="K49" s="294">
        <v>9032034</v>
      </c>
      <c r="L49" s="1807">
        <f t="shared" si="4"/>
        <v>77339021</v>
      </c>
      <c r="M49" s="294">
        <v>62378284</v>
      </c>
      <c r="N49" s="1804">
        <v>14960737</v>
      </c>
      <c r="O49" s="295">
        <v>3223545</v>
      </c>
      <c r="P49" s="356">
        <v>1</v>
      </c>
    </row>
    <row r="50" spans="1:16">
      <c r="A50" s="296">
        <v>2001.1</v>
      </c>
      <c r="B50" s="480">
        <f t="shared" si="1"/>
        <v>3973514.9220002005</v>
      </c>
      <c r="C50" s="1804">
        <v>3615915.63690376</v>
      </c>
      <c r="D50" s="294">
        <v>357599.28509644023</v>
      </c>
      <c r="E50" s="1807">
        <f t="shared" si="2"/>
        <v>3702989.441921657</v>
      </c>
      <c r="F50" s="294">
        <v>3478633.9053927548</v>
      </c>
      <c r="G50" s="1804">
        <v>224355.53652890198</v>
      </c>
      <c r="H50" s="294">
        <v>234359.50147008905</v>
      </c>
      <c r="I50" s="1811">
        <f t="shared" si="3"/>
        <v>82326209</v>
      </c>
      <c r="J50" s="1804">
        <v>74799860</v>
      </c>
      <c r="K50" s="294">
        <v>7526349</v>
      </c>
      <c r="L50" s="1807">
        <f t="shared" si="4"/>
        <v>73237667</v>
      </c>
      <c r="M50" s="294">
        <v>58469069</v>
      </c>
      <c r="N50" s="1804">
        <v>14768598</v>
      </c>
      <c r="O50" s="295">
        <v>3029655</v>
      </c>
      <c r="P50" s="356">
        <v>1</v>
      </c>
    </row>
    <row r="51" spans="1:16">
      <c r="A51" s="296">
        <v>2001.2</v>
      </c>
      <c r="B51" s="480">
        <f t="shared" si="1"/>
        <v>4035386.935313954</v>
      </c>
      <c r="C51" s="1804">
        <v>3664146.7444849135</v>
      </c>
      <c r="D51" s="294">
        <v>371240.19082904072</v>
      </c>
      <c r="E51" s="1807">
        <f t="shared" si="2"/>
        <v>3683753.9341429309</v>
      </c>
      <c r="F51" s="294">
        <v>3449217.4127412206</v>
      </c>
      <c r="G51" s="1804">
        <v>234536.52140171034</v>
      </c>
      <c r="H51" s="294">
        <v>229535.56636252237</v>
      </c>
      <c r="I51" s="1811">
        <f t="shared" si="3"/>
        <v>83564675</v>
      </c>
      <c r="J51" s="1804">
        <v>75572909</v>
      </c>
      <c r="K51" s="294">
        <v>7991766</v>
      </c>
      <c r="L51" s="1807">
        <f t="shared" si="4"/>
        <v>72322641</v>
      </c>
      <c r="M51" s="294">
        <v>57658986</v>
      </c>
      <c r="N51" s="1804">
        <v>14663655</v>
      </c>
      <c r="O51" s="295">
        <v>2901441</v>
      </c>
      <c r="P51" s="356">
        <v>1</v>
      </c>
    </row>
    <row r="52" spans="1:16">
      <c r="A52" s="296">
        <v>2001.3</v>
      </c>
      <c r="B52" s="480">
        <f t="shared" si="1"/>
        <v>3749786.4286570232</v>
      </c>
      <c r="C52" s="1804">
        <v>3317898.5049480451</v>
      </c>
      <c r="D52" s="294">
        <v>431887.92370897834</v>
      </c>
      <c r="E52" s="1807">
        <f t="shared" si="2"/>
        <v>3705634.3976339181</v>
      </c>
      <c r="F52" s="294">
        <v>3503782.6516082739</v>
      </c>
      <c r="G52" s="1804">
        <v>201851.74602564445</v>
      </c>
      <c r="H52" s="294">
        <v>225206.88470720002</v>
      </c>
      <c r="I52" s="1811">
        <f t="shared" si="3"/>
        <v>76450005</v>
      </c>
      <c r="J52" s="1804">
        <v>68530217</v>
      </c>
      <c r="K52" s="294">
        <v>7919787.9999999991</v>
      </c>
      <c r="L52" s="1807">
        <f t="shared" si="4"/>
        <v>68862208</v>
      </c>
      <c r="M52" s="294">
        <v>54288342</v>
      </c>
      <c r="N52" s="1804">
        <v>14573866</v>
      </c>
      <c r="O52" s="295">
        <v>2861216</v>
      </c>
      <c r="P52" s="356">
        <v>1</v>
      </c>
    </row>
    <row r="53" spans="1:16">
      <c r="A53" s="296">
        <v>2001.4</v>
      </c>
      <c r="B53" s="480">
        <f t="shared" si="1"/>
        <v>3502560.6018752926</v>
      </c>
      <c r="C53" s="1804">
        <v>3197833.2697649803</v>
      </c>
      <c r="D53" s="294">
        <v>304727.33211031219</v>
      </c>
      <c r="E53" s="1807">
        <f t="shared" si="2"/>
        <v>3529731.5674519264</v>
      </c>
      <c r="F53" s="294">
        <v>3047238.8822851945</v>
      </c>
      <c r="G53" s="1804">
        <v>482492.68516673183</v>
      </c>
      <c r="H53" s="294">
        <v>175874.9671368062</v>
      </c>
      <c r="I53" s="1811">
        <f t="shared" si="3"/>
        <v>66862038.000000007</v>
      </c>
      <c r="J53" s="1804">
        <v>60859420.000000007</v>
      </c>
      <c r="K53" s="294">
        <v>6002618</v>
      </c>
      <c r="L53" s="1807">
        <f t="shared" si="4"/>
        <v>72836507</v>
      </c>
      <c r="M53" s="294">
        <v>50500095</v>
      </c>
      <c r="N53" s="1804">
        <v>22336412</v>
      </c>
      <c r="O53" s="295">
        <v>2555050</v>
      </c>
      <c r="P53" s="356">
        <v>1</v>
      </c>
    </row>
    <row r="54" spans="1:16">
      <c r="A54" s="296">
        <v>2002.1</v>
      </c>
      <c r="B54" s="480">
        <f t="shared" si="1"/>
        <v>2896801.6498595942</v>
      </c>
      <c r="C54" s="1804">
        <v>2631029.9524192209</v>
      </c>
      <c r="D54" s="294">
        <v>265771.69744037301</v>
      </c>
      <c r="E54" s="1807">
        <f t="shared" si="2"/>
        <v>2410445.3537452715</v>
      </c>
      <c r="F54" s="294">
        <v>2015784.2684584891</v>
      </c>
      <c r="G54" s="1804">
        <v>394661.08528678224</v>
      </c>
      <c r="H54" s="294">
        <v>157343.30479388608</v>
      </c>
      <c r="I54" s="1811">
        <f t="shared" si="3"/>
        <v>71741916</v>
      </c>
      <c r="J54" s="1804">
        <v>65099739</v>
      </c>
      <c r="K54" s="294">
        <v>6642176.9999999991</v>
      </c>
      <c r="L54" s="1807">
        <f t="shared" si="4"/>
        <v>75315961</v>
      </c>
      <c r="M54" s="294">
        <v>45767811</v>
      </c>
      <c r="N54" s="1804">
        <v>29548150</v>
      </c>
      <c r="O54" s="295">
        <v>2967224</v>
      </c>
      <c r="P54" s="356">
        <v>2.8517000000000001</v>
      </c>
    </row>
    <row r="55" spans="1:16">
      <c r="A55" s="296">
        <v>2002.2</v>
      </c>
      <c r="B55" s="480">
        <f t="shared" si="1"/>
        <v>3388641.1021278878</v>
      </c>
      <c r="C55" s="1804">
        <v>3106812.9721866064</v>
      </c>
      <c r="D55" s="294">
        <v>281828.12994128122</v>
      </c>
      <c r="E55" s="1807">
        <f t="shared" si="2"/>
        <v>2194875.0620314437</v>
      </c>
      <c r="F55" s="294">
        <v>1789486.5667922129</v>
      </c>
      <c r="G55" s="1804">
        <v>405388.4952392308</v>
      </c>
      <c r="H55" s="294">
        <v>187684.2903861432</v>
      </c>
      <c r="I55" s="1811">
        <f t="shared" si="3"/>
        <v>65100647</v>
      </c>
      <c r="J55" s="1804">
        <v>56234515</v>
      </c>
      <c r="K55" s="294">
        <v>8866132</v>
      </c>
      <c r="L55" s="1807">
        <f t="shared" si="4"/>
        <v>73215685</v>
      </c>
      <c r="M55" s="294">
        <v>41531615</v>
      </c>
      <c r="N55" s="1804">
        <v>31684070.000000004</v>
      </c>
      <c r="O55" s="295">
        <v>2911254</v>
      </c>
      <c r="P55" s="356">
        <v>3.8037000000000001</v>
      </c>
    </row>
    <row r="56" spans="1:16">
      <c r="A56" s="296">
        <v>2002.3</v>
      </c>
      <c r="B56" s="480">
        <f t="shared" si="1"/>
        <v>3259119.2030284549</v>
      </c>
      <c r="C56" s="1804">
        <v>2955455.9000315918</v>
      </c>
      <c r="D56" s="294">
        <v>303663.3029968632</v>
      </c>
      <c r="E56" s="1807">
        <f t="shared" si="2"/>
        <v>2112999.5213827863</v>
      </c>
      <c r="F56" s="294">
        <v>1635926.590540224</v>
      </c>
      <c r="G56" s="1804">
        <v>477072.93084256258</v>
      </c>
      <c r="H56" s="294">
        <v>201771.21229369356</v>
      </c>
      <c r="I56" s="1811">
        <f t="shared" si="3"/>
        <v>67352997</v>
      </c>
      <c r="J56" s="1804">
        <v>58436622.000000007</v>
      </c>
      <c r="K56" s="294">
        <v>8916375</v>
      </c>
      <c r="L56" s="1807">
        <f t="shared" si="4"/>
        <v>70916005</v>
      </c>
      <c r="M56" s="294">
        <v>38127822</v>
      </c>
      <c r="N56" s="1804">
        <v>32788183.000000004</v>
      </c>
      <c r="O56" s="295">
        <v>3557876</v>
      </c>
      <c r="P56" s="356">
        <v>3.7267000000000001</v>
      </c>
    </row>
    <row r="57" spans="1:16">
      <c r="A57" s="296">
        <v>2002.4</v>
      </c>
      <c r="B57" s="480">
        <f t="shared" si="1"/>
        <v>3496886.8664583932</v>
      </c>
      <c r="C57" s="1804">
        <v>3083639.5776042016</v>
      </c>
      <c r="D57" s="294">
        <v>413247.28885419155</v>
      </c>
      <c r="E57" s="1807">
        <f t="shared" si="2"/>
        <v>2006834.9329094591</v>
      </c>
      <c r="F57" s="294">
        <v>1495546.6375432278</v>
      </c>
      <c r="G57" s="1804">
        <v>511288.29536623141</v>
      </c>
      <c r="H57" s="294">
        <v>230641.39499200985</v>
      </c>
      <c r="I57" s="1811">
        <f t="shared" si="3"/>
        <v>70025028.288528606</v>
      </c>
      <c r="J57" s="1804">
        <v>59394368.288528606</v>
      </c>
      <c r="K57" s="294">
        <v>10630660</v>
      </c>
      <c r="L57" s="1807">
        <f t="shared" si="4"/>
        <v>68388989.071573198</v>
      </c>
      <c r="M57" s="294">
        <v>35564800.301410735</v>
      </c>
      <c r="N57" s="1804">
        <v>32824188.770162467</v>
      </c>
      <c r="O57" s="295">
        <v>3929678.2428484736</v>
      </c>
      <c r="P57" s="356">
        <v>3.363</v>
      </c>
    </row>
    <row r="58" spans="1:16">
      <c r="A58" s="296">
        <v>2003.1</v>
      </c>
      <c r="B58" s="480">
        <f t="shared" si="1"/>
        <v>3863014.9794029756</v>
      </c>
      <c r="C58" s="1804">
        <v>3365852.7377918405</v>
      </c>
      <c r="D58" s="294">
        <v>497162.24161113531</v>
      </c>
      <c r="E58" s="1807">
        <f t="shared" si="2"/>
        <v>1917002.6838554128</v>
      </c>
      <c r="F58" s="294">
        <v>1387106.1366547325</v>
      </c>
      <c r="G58" s="1804">
        <v>529896.54720068024</v>
      </c>
      <c r="H58" s="294">
        <v>237581.97596933998</v>
      </c>
      <c r="I58" s="1811">
        <f t="shared" si="3"/>
        <v>73611355</v>
      </c>
      <c r="J58" s="1804">
        <v>62174859</v>
      </c>
      <c r="K58" s="294">
        <v>11436496</v>
      </c>
      <c r="L58" s="1807">
        <f t="shared" si="4"/>
        <v>65792966.999999993</v>
      </c>
      <c r="M58" s="294">
        <v>32263524.999999996</v>
      </c>
      <c r="N58" s="1804">
        <v>33529441.999999996</v>
      </c>
      <c r="O58" s="295">
        <v>3846291</v>
      </c>
      <c r="P58" s="356">
        <v>2.9624999999999901</v>
      </c>
    </row>
    <row r="59" spans="1:16">
      <c r="A59" s="296">
        <v>2003.2</v>
      </c>
      <c r="B59" s="480">
        <f t="shared" si="1"/>
        <v>4573610.8686424419</v>
      </c>
      <c r="C59" s="1804">
        <v>3611533.284240677</v>
      </c>
      <c r="D59" s="294">
        <v>962077.58440176479</v>
      </c>
      <c r="E59" s="1807">
        <f t="shared" si="2"/>
        <v>2223228.1975680338</v>
      </c>
      <c r="F59" s="294">
        <v>1381532.2969357483</v>
      </c>
      <c r="G59" s="1804">
        <v>841695.90063228575</v>
      </c>
      <c r="H59" s="294">
        <v>257760.1531387557</v>
      </c>
      <c r="I59" s="1811">
        <f t="shared" si="3"/>
        <v>83910990</v>
      </c>
      <c r="J59" s="1804">
        <v>69026896</v>
      </c>
      <c r="K59" s="294">
        <v>14884094.000000002</v>
      </c>
      <c r="L59" s="1807">
        <f t="shared" si="4"/>
        <v>65187474</v>
      </c>
      <c r="M59" s="294">
        <v>31039414</v>
      </c>
      <c r="N59" s="1804">
        <v>34148060</v>
      </c>
      <c r="O59" s="295">
        <v>4228391</v>
      </c>
      <c r="P59" s="356">
        <v>2.8075000000000001</v>
      </c>
    </row>
    <row r="60" spans="1:16">
      <c r="A60" s="296">
        <v>2003.3</v>
      </c>
      <c r="B60" s="480">
        <f t="shared" si="1"/>
        <v>5221543.3047451871</v>
      </c>
      <c r="C60" s="1804">
        <v>4224058.5601910409</v>
      </c>
      <c r="D60" s="294">
        <v>997484.74455414584</v>
      </c>
      <c r="E60" s="1807">
        <f t="shared" si="2"/>
        <v>2190901.2503000293</v>
      </c>
      <c r="F60" s="294">
        <v>1380899.9785394603</v>
      </c>
      <c r="G60" s="1804">
        <v>810001.27176056872</v>
      </c>
      <c r="H60" s="294">
        <v>291378.59726622922</v>
      </c>
      <c r="I60" s="1811">
        <f t="shared" si="3"/>
        <v>88269058</v>
      </c>
      <c r="J60" s="1804">
        <v>71245849</v>
      </c>
      <c r="K60" s="294">
        <v>17023209</v>
      </c>
      <c r="L60" s="1807">
        <f t="shared" si="4"/>
        <v>55733054</v>
      </c>
      <c r="M60" s="294">
        <v>30429823</v>
      </c>
      <c r="N60" s="1804">
        <v>25303230.999999996</v>
      </c>
      <c r="O60" s="295">
        <v>4461037</v>
      </c>
      <c r="P60" s="356">
        <v>2.911</v>
      </c>
    </row>
    <row r="61" spans="1:16">
      <c r="A61" s="296">
        <v>2003.4</v>
      </c>
      <c r="B61" s="480">
        <f t="shared" si="1"/>
        <v>5092409.0046479404</v>
      </c>
      <c r="C61" s="1804">
        <v>4310145.696120264</v>
      </c>
      <c r="D61" s="294">
        <v>782263.30852767651</v>
      </c>
      <c r="E61" s="1807">
        <f t="shared" si="2"/>
        <v>2079214.0872681476</v>
      </c>
      <c r="F61" s="294">
        <v>1491335.8143714156</v>
      </c>
      <c r="G61" s="1804">
        <v>587878.27289673197</v>
      </c>
      <c r="H61" s="294">
        <v>354622.58074305864</v>
      </c>
      <c r="I61" s="1811">
        <f t="shared" si="3"/>
        <v>92722729</v>
      </c>
      <c r="J61" s="1804">
        <v>74396803</v>
      </c>
      <c r="K61" s="294">
        <v>18325926</v>
      </c>
      <c r="L61" s="1807">
        <f t="shared" si="4"/>
        <v>54533911</v>
      </c>
      <c r="M61" s="294">
        <v>30981702</v>
      </c>
      <c r="N61" s="1804">
        <v>23552209</v>
      </c>
      <c r="O61" s="295">
        <v>5295016</v>
      </c>
      <c r="P61" s="356">
        <v>2.9329999999999901</v>
      </c>
    </row>
    <row r="62" spans="1:16">
      <c r="A62" s="296">
        <v>2004.1</v>
      </c>
      <c r="B62" s="480">
        <f t="shared" si="1"/>
        <v>5481622.9638822842</v>
      </c>
      <c r="C62" s="1804">
        <v>4549069.4317293148</v>
      </c>
      <c r="D62" s="294">
        <v>932553.53215296939</v>
      </c>
      <c r="E62" s="1807">
        <f t="shared" si="2"/>
        <v>2085210.3822163031</v>
      </c>
      <c r="F62" s="294">
        <v>1505741.2111419414</v>
      </c>
      <c r="G62" s="1804">
        <v>579469.17107436177</v>
      </c>
      <c r="H62" s="294">
        <v>364187.32817083993</v>
      </c>
      <c r="I62" s="1811">
        <f t="shared" si="3"/>
        <v>98608663</v>
      </c>
      <c r="J62" s="1804">
        <v>76007072</v>
      </c>
      <c r="K62" s="294">
        <v>22601591</v>
      </c>
      <c r="L62" s="1807">
        <f t="shared" si="4"/>
        <v>55663947</v>
      </c>
      <c r="M62" s="294">
        <v>31526471.000000004</v>
      </c>
      <c r="N62" s="1804">
        <v>24137476</v>
      </c>
      <c r="O62" s="295">
        <v>4893571</v>
      </c>
      <c r="P62" s="356">
        <v>2.855</v>
      </c>
    </row>
    <row r="63" spans="1:16">
      <c r="A63" s="296">
        <v>2004.2</v>
      </c>
      <c r="B63" s="480">
        <f t="shared" si="1"/>
        <v>6115052.6686335765</v>
      </c>
      <c r="C63" s="1804">
        <v>4776458.9454735192</v>
      </c>
      <c r="D63" s="294">
        <v>1338593.7231600573</v>
      </c>
      <c r="E63" s="1807">
        <f t="shared" si="2"/>
        <v>2404892.440117843</v>
      </c>
      <c r="F63" s="294">
        <v>1823549.9178196788</v>
      </c>
      <c r="G63" s="1804">
        <v>581342.52229816432</v>
      </c>
      <c r="H63" s="294">
        <v>391855.92505127308</v>
      </c>
      <c r="I63" s="1811">
        <f t="shared" si="3"/>
        <v>109977494</v>
      </c>
      <c r="J63" s="1804">
        <v>77559978</v>
      </c>
      <c r="K63" s="294">
        <v>32417516.000000004</v>
      </c>
      <c r="L63" s="1807">
        <f t="shared" si="4"/>
        <v>58266107</v>
      </c>
      <c r="M63" s="294">
        <v>34254112</v>
      </c>
      <c r="N63" s="1804">
        <v>24011995</v>
      </c>
      <c r="O63" s="295">
        <v>5579614</v>
      </c>
      <c r="P63" s="356">
        <v>2.9607000000000001</v>
      </c>
    </row>
    <row r="64" spans="1:16">
      <c r="A64" s="296">
        <v>2004.3</v>
      </c>
      <c r="B64" s="480">
        <f t="shared" si="1"/>
        <v>6284541.420368596</v>
      </c>
      <c r="C64" s="1804">
        <v>4739153.4721039375</v>
      </c>
      <c r="D64" s="294">
        <v>1545387.9482646587</v>
      </c>
      <c r="E64" s="1807">
        <f t="shared" si="2"/>
        <v>2699365.3100418956</v>
      </c>
      <c r="F64" s="294">
        <v>2116055.2310833917</v>
      </c>
      <c r="G64" s="1804">
        <v>583310.0789585039</v>
      </c>
      <c r="H64" s="294">
        <v>339775.38983356481</v>
      </c>
      <c r="I64" s="1811">
        <f t="shared" si="3"/>
        <v>112306208</v>
      </c>
      <c r="J64" s="1804">
        <v>77718342</v>
      </c>
      <c r="K64" s="294">
        <v>34587866</v>
      </c>
      <c r="L64" s="1807">
        <f t="shared" si="4"/>
        <v>60381416</v>
      </c>
      <c r="M64" s="294">
        <v>36752011</v>
      </c>
      <c r="N64" s="1804">
        <v>23629405</v>
      </c>
      <c r="O64" s="295">
        <v>4991598</v>
      </c>
      <c r="P64" s="356">
        <v>2.9824999999999902</v>
      </c>
    </row>
    <row r="65" spans="1:16">
      <c r="A65" s="296">
        <v>2004.4</v>
      </c>
      <c r="B65" s="480">
        <f t="shared" si="1"/>
        <v>6641874.2979329471</v>
      </c>
      <c r="C65" s="1804">
        <v>4807681.4349163109</v>
      </c>
      <c r="D65" s="294">
        <v>1834192.8630166366</v>
      </c>
      <c r="E65" s="1807">
        <f t="shared" si="2"/>
        <v>2888719.4783734703</v>
      </c>
      <c r="F65" s="294">
        <v>2303046.4600202995</v>
      </c>
      <c r="G65" s="1804">
        <v>585673.01835317083</v>
      </c>
      <c r="H65" s="294">
        <v>342426.04008437216</v>
      </c>
      <c r="I65" s="1811">
        <f t="shared" si="3"/>
        <v>116245745</v>
      </c>
      <c r="J65" s="1804">
        <v>82295992</v>
      </c>
      <c r="K65" s="294">
        <v>33949753</v>
      </c>
      <c r="L65" s="1807">
        <f t="shared" si="4"/>
        <v>59887733</v>
      </c>
      <c r="M65" s="294">
        <v>39168377</v>
      </c>
      <c r="N65" s="1804">
        <v>20719356</v>
      </c>
      <c r="O65" s="295">
        <v>5246296</v>
      </c>
      <c r="P65" s="356">
        <v>2.9738000000000002</v>
      </c>
    </row>
    <row r="66" spans="1:16">
      <c r="A66" s="296">
        <v>2005.1</v>
      </c>
      <c r="B66" s="480">
        <f t="shared" si="1"/>
        <v>7351514.8985467739</v>
      </c>
      <c r="C66" s="1804">
        <v>5137843.1156531293</v>
      </c>
      <c r="D66" s="294">
        <v>2213671.7828936446</v>
      </c>
      <c r="E66" s="1807">
        <f t="shared" si="2"/>
        <v>2916398.4920264231</v>
      </c>
      <c r="F66" s="294">
        <v>2330179.3631868232</v>
      </c>
      <c r="G66" s="1804">
        <v>586219.12883960002</v>
      </c>
      <c r="H66" s="294">
        <v>400380.29356600228</v>
      </c>
      <c r="I66" s="1811">
        <f t="shared" si="3"/>
        <v>121552094.99689856</v>
      </c>
      <c r="J66" s="1804">
        <v>88409478.996898562</v>
      </c>
      <c r="K66" s="294">
        <v>33142616</v>
      </c>
      <c r="L66" s="1807">
        <f t="shared" si="4"/>
        <v>61074583.378813565</v>
      </c>
      <c r="M66" s="294">
        <v>41584735.378813565</v>
      </c>
      <c r="N66" s="1804">
        <v>19489848</v>
      </c>
      <c r="O66" s="295">
        <v>5577685</v>
      </c>
      <c r="P66" s="356">
        <v>2.92329999999999</v>
      </c>
    </row>
    <row r="67" spans="1:16">
      <c r="A67" s="296">
        <v>2005.2</v>
      </c>
      <c r="B67" s="480">
        <f t="shared" si="1"/>
        <v>8128077.4238085197</v>
      </c>
      <c r="C67" s="1804">
        <v>5674980.1440851595</v>
      </c>
      <c r="D67" s="294">
        <v>2453097.2797233602</v>
      </c>
      <c r="E67" s="1807">
        <f t="shared" si="2"/>
        <v>3125894.277635071</v>
      </c>
      <c r="F67" s="294">
        <v>2545096</v>
      </c>
      <c r="G67" s="1804">
        <v>580798.27763507096</v>
      </c>
      <c r="H67" s="294">
        <v>426067.52559485642</v>
      </c>
      <c r="I67" s="1811">
        <f t="shared" si="3"/>
        <v>128623729.97438252</v>
      </c>
      <c r="J67" s="1804">
        <v>92500706.97438252</v>
      </c>
      <c r="K67" s="294">
        <v>36123023</v>
      </c>
      <c r="L67" s="1807">
        <f t="shared" si="4"/>
        <v>63186632.25130301</v>
      </c>
      <c r="M67" s="294">
        <v>45423922.147588417</v>
      </c>
      <c r="N67" s="1804">
        <v>17762710.103714593</v>
      </c>
      <c r="O67" s="295">
        <v>6009704.1909824396</v>
      </c>
      <c r="P67" s="356">
        <v>2.8908</v>
      </c>
    </row>
    <row r="68" spans="1:16">
      <c r="A68" s="296">
        <v>2005.3</v>
      </c>
      <c r="B68" s="480">
        <f t="shared" si="1"/>
        <v>8245832.6747263884</v>
      </c>
      <c r="C68" s="1804">
        <v>5716664.1588665014</v>
      </c>
      <c r="D68" s="294">
        <v>2529168.515859887</v>
      </c>
      <c r="E68" s="1807">
        <f t="shared" si="2"/>
        <v>3373069.7556707147</v>
      </c>
      <c r="F68" s="294">
        <v>2788101.0716474685</v>
      </c>
      <c r="G68" s="1804">
        <v>584968.68402324629</v>
      </c>
      <c r="H68" s="294">
        <v>423596.39418870059</v>
      </c>
      <c r="I68" s="1811">
        <f t="shared" si="3"/>
        <v>132689071.43956223</v>
      </c>
      <c r="J68" s="1804">
        <v>95126227.439562231</v>
      </c>
      <c r="K68" s="294">
        <v>37562844</v>
      </c>
      <c r="L68" s="1807">
        <f t="shared" si="4"/>
        <v>65366987.257662915</v>
      </c>
      <c r="M68" s="294">
        <v>48782420.673266277</v>
      </c>
      <c r="N68" s="1804">
        <v>16584566.58439664</v>
      </c>
      <c r="O68" s="295">
        <v>5917425.1493408037</v>
      </c>
      <c r="P68" s="356">
        <v>2.9125000000000001</v>
      </c>
    </row>
    <row r="69" spans="1:16">
      <c r="A69" s="296">
        <v>2005.4</v>
      </c>
      <c r="B69" s="480">
        <f t="shared" si="1"/>
        <v>8445433.2997402474</v>
      </c>
      <c r="C69" s="1804">
        <v>6026199.8578728838</v>
      </c>
      <c r="D69" s="294">
        <v>2419233.4418673636</v>
      </c>
      <c r="E69" s="1807">
        <f t="shared" si="2"/>
        <v>3716545.1472201278</v>
      </c>
      <c r="F69" s="294">
        <v>3152037.4055170892</v>
      </c>
      <c r="G69" s="1804">
        <v>564507.74170303857</v>
      </c>
      <c r="H69" s="294">
        <v>479772.08585071471</v>
      </c>
      <c r="I69" s="1811">
        <f t="shared" si="3"/>
        <v>136474325</v>
      </c>
      <c r="J69" s="1804">
        <v>100014754</v>
      </c>
      <c r="K69" s="294">
        <v>36459571</v>
      </c>
      <c r="L69" s="1807">
        <f t="shared" si="4"/>
        <v>70192456</v>
      </c>
      <c r="M69" s="294">
        <v>53921154</v>
      </c>
      <c r="N69" s="1804">
        <v>16271302</v>
      </c>
      <c r="O69" s="295">
        <v>6098125</v>
      </c>
      <c r="P69" s="356">
        <v>3.0314999999999901</v>
      </c>
    </row>
    <row r="70" spans="1:16">
      <c r="A70" s="296">
        <v>2006.1</v>
      </c>
      <c r="B70" s="480">
        <f t="shared" si="1"/>
        <v>8723809.962664593</v>
      </c>
      <c r="C70" s="1804">
        <v>6303043</v>
      </c>
      <c r="D70" s="294">
        <v>2420766.9626645939</v>
      </c>
      <c r="E70" s="1807">
        <f t="shared" si="2"/>
        <v>4034600.224018801</v>
      </c>
      <c r="F70" s="294">
        <v>3472417</v>
      </c>
      <c r="G70" s="1804">
        <v>562183.22401880112</v>
      </c>
      <c r="H70" s="294">
        <v>451586.86223840091</v>
      </c>
      <c r="I70" s="1811">
        <f t="shared" si="3"/>
        <v>143504776.81641495</v>
      </c>
      <c r="J70" s="1804">
        <v>104572395.80063033</v>
      </c>
      <c r="K70" s="294">
        <v>38932381.015784614</v>
      </c>
      <c r="L70" s="1807">
        <f t="shared" si="4"/>
        <v>72719652.405757606</v>
      </c>
      <c r="M70" s="294">
        <v>57324291.875309244</v>
      </c>
      <c r="N70" s="1804">
        <v>15395360.530448364</v>
      </c>
      <c r="O70" s="295">
        <v>6155324.9999999991</v>
      </c>
      <c r="P70" s="356">
        <v>3.0808</v>
      </c>
    </row>
    <row r="71" spans="1:16">
      <c r="A71" s="296">
        <v>2006.2</v>
      </c>
      <c r="B71" s="480">
        <f t="shared" si="1"/>
        <v>9190147.6942306794</v>
      </c>
      <c r="C71" s="1804">
        <v>6724310.559611598</v>
      </c>
      <c r="D71" s="294">
        <v>2465837.1346190809</v>
      </c>
      <c r="E71" s="1807">
        <f t="shared" si="2"/>
        <v>4722973.9870362384</v>
      </c>
      <c r="F71" s="294">
        <v>4021155</v>
      </c>
      <c r="G71" s="1804">
        <v>701818.98703623831</v>
      </c>
      <c r="H71" s="294">
        <v>457438.19420701044</v>
      </c>
      <c r="I71" s="1811">
        <f t="shared" si="3"/>
        <v>154800085.69753206</v>
      </c>
      <c r="J71" s="1804">
        <v>111091440.60834043</v>
      </c>
      <c r="K71" s="294">
        <v>43708645.089191645</v>
      </c>
      <c r="L71" s="1807">
        <f t="shared" si="4"/>
        <v>78291751.68250154</v>
      </c>
      <c r="M71" s="294">
        <v>63760420.168330565</v>
      </c>
      <c r="N71" s="1804">
        <v>14531331.51417098</v>
      </c>
      <c r="O71" s="295">
        <v>6677798.6923659444</v>
      </c>
      <c r="P71" s="356">
        <v>3.0848</v>
      </c>
    </row>
    <row r="72" spans="1:16">
      <c r="A72" s="296">
        <v>2006.3</v>
      </c>
      <c r="B72" s="480">
        <f t="shared" si="1"/>
        <v>9627006.8181786332</v>
      </c>
      <c r="C72" s="1804">
        <v>7099260</v>
      </c>
      <c r="D72" s="294">
        <v>2527746.8181786328</v>
      </c>
      <c r="E72" s="1807">
        <f t="shared" si="2"/>
        <v>5201973.157882574</v>
      </c>
      <c r="F72" s="294">
        <v>4493267</v>
      </c>
      <c r="G72" s="1804">
        <v>708706.15788257413</v>
      </c>
      <c r="H72" s="294">
        <v>395566.97140382789</v>
      </c>
      <c r="I72" s="1811">
        <f t="shared" si="3"/>
        <v>162828636.63240045</v>
      </c>
      <c r="J72" s="1804">
        <v>116439052.45312005</v>
      </c>
      <c r="K72" s="294">
        <v>46389584.179280385</v>
      </c>
      <c r="L72" s="1807">
        <f t="shared" si="4"/>
        <v>83822489.715925887</v>
      </c>
      <c r="M72" s="294">
        <v>69689474.314202279</v>
      </c>
      <c r="N72" s="1804">
        <v>14133015.401723605</v>
      </c>
      <c r="O72" s="295">
        <v>5738863.0253539057</v>
      </c>
      <c r="P72" s="356">
        <v>3.1042999999999901</v>
      </c>
    </row>
    <row r="73" spans="1:16">
      <c r="A73" s="296">
        <v>2006.4</v>
      </c>
      <c r="B73" s="480">
        <f t="shared" si="1"/>
        <v>9829319.4431374911</v>
      </c>
      <c r="C73" s="1804">
        <v>7392546.5648944331</v>
      </c>
      <c r="D73" s="294">
        <v>2436772.8782430585</v>
      </c>
      <c r="E73" s="1807">
        <f t="shared" si="2"/>
        <v>5691426.7169489833</v>
      </c>
      <c r="F73" s="294">
        <v>4985216</v>
      </c>
      <c r="G73" s="1804">
        <v>706210.71694898338</v>
      </c>
      <c r="H73" s="294">
        <v>523695.09578805976</v>
      </c>
      <c r="I73" s="1811">
        <f t="shared" si="3"/>
        <v>170886603</v>
      </c>
      <c r="J73" s="1804">
        <v>122865925.99999999</v>
      </c>
      <c r="K73" s="294">
        <v>48020677</v>
      </c>
      <c r="L73" s="1807">
        <f t="shared" si="4"/>
        <v>88861751</v>
      </c>
      <c r="M73" s="294">
        <v>75790855</v>
      </c>
      <c r="N73" s="1804">
        <v>13070896.000000002</v>
      </c>
      <c r="O73" s="295">
        <v>6901939</v>
      </c>
      <c r="P73" s="356">
        <v>3.0695000000000001</v>
      </c>
    </row>
    <row r="74" spans="1:16">
      <c r="A74" s="296">
        <v>2007.1</v>
      </c>
      <c r="B74" s="480">
        <f>C74+D74</f>
        <v>10437689.04328577</v>
      </c>
      <c r="C74" s="1804">
        <v>7874879</v>
      </c>
      <c r="D74" s="294">
        <v>2562810.0432857708</v>
      </c>
      <c r="E74" s="1807">
        <f t="shared" si="2"/>
        <v>6028976.8970098319</v>
      </c>
      <c r="F74" s="294">
        <v>5318325.0307165254</v>
      </c>
      <c r="G74" s="1804">
        <v>710651.86629330623</v>
      </c>
      <c r="H74" s="294">
        <v>524925.83414309064</v>
      </c>
      <c r="I74" s="1811">
        <f t="shared" si="3"/>
        <v>180842668</v>
      </c>
      <c r="J74" s="1804">
        <v>132424222</v>
      </c>
      <c r="K74" s="294">
        <v>48418446</v>
      </c>
      <c r="L74" s="1807">
        <f t="shared" si="4"/>
        <v>93513811</v>
      </c>
      <c r="M74" s="294">
        <v>80812425</v>
      </c>
      <c r="N74" s="1804">
        <v>12701386</v>
      </c>
      <c r="O74" s="295">
        <v>7574995.7634199988</v>
      </c>
      <c r="P74" s="356">
        <v>3.10069999999999</v>
      </c>
    </row>
    <row r="75" spans="1:16">
      <c r="A75" s="296">
        <v>2007.2</v>
      </c>
      <c r="B75" s="480">
        <f t="shared" si="1"/>
        <v>11465574.634563724</v>
      </c>
      <c r="C75" s="1804">
        <v>8884120</v>
      </c>
      <c r="D75" s="294">
        <v>2581454.6345637236</v>
      </c>
      <c r="E75" s="1807">
        <f t="shared" si="2"/>
        <v>6353258.930245758</v>
      </c>
      <c r="F75" s="294">
        <v>5649786</v>
      </c>
      <c r="G75" s="1804">
        <v>703472.93024575792</v>
      </c>
      <c r="H75" s="294">
        <v>523279.96194790903</v>
      </c>
      <c r="I75" s="1811">
        <f t="shared" si="3"/>
        <v>191885479</v>
      </c>
      <c r="J75" s="1812">
        <v>139490413</v>
      </c>
      <c r="K75" s="294">
        <v>52395066</v>
      </c>
      <c r="L75" s="1807">
        <f t="shared" si="4"/>
        <v>98043667</v>
      </c>
      <c r="M75" s="294">
        <v>87451070</v>
      </c>
      <c r="N75" s="1804">
        <v>10592597</v>
      </c>
      <c r="O75" s="295">
        <v>6909017.3936856883</v>
      </c>
      <c r="P75" s="356">
        <v>3.0908000000000002</v>
      </c>
    </row>
    <row r="76" spans="1:16">
      <c r="A76" s="296">
        <v>2007.3</v>
      </c>
      <c r="B76" s="480">
        <f t="shared" si="1"/>
        <v>11729795.036557365</v>
      </c>
      <c r="C76" s="1804">
        <v>9151511</v>
      </c>
      <c r="D76" s="294">
        <v>2578284.0365573652</v>
      </c>
      <c r="E76" s="1807">
        <f t="shared" si="2"/>
        <v>7322602.1015265426</v>
      </c>
      <c r="F76" s="294">
        <v>6584816.9637546102</v>
      </c>
      <c r="G76" s="1804">
        <v>737785.13777193264</v>
      </c>
      <c r="H76" s="294">
        <v>534866.69182790723</v>
      </c>
      <c r="I76" s="1811">
        <f t="shared" si="3"/>
        <v>205345765.19299483</v>
      </c>
      <c r="J76" s="1812">
        <v>145745876</v>
      </c>
      <c r="K76" s="294">
        <v>59599889.192994826</v>
      </c>
      <c r="L76" s="1807">
        <f t="shared" si="4"/>
        <v>108507117.83406174</v>
      </c>
      <c r="M76" s="294">
        <v>97827407</v>
      </c>
      <c r="N76" s="1804">
        <v>10679710.834061746</v>
      </c>
      <c r="O76" s="295">
        <v>7360852.5149760731</v>
      </c>
      <c r="P76" s="356">
        <v>3.1495000000000002</v>
      </c>
    </row>
    <row r="77" spans="1:16">
      <c r="A77" s="296">
        <v>2007.4</v>
      </c>
      <c r="B77" s="480">
        <f t="shared" si="1"/>
        <v>11872722.519636599</v>
      </c>
      <c r="C77" s="1804">
        <v>9339724</v>
      </c>
      <c r="D77" s="294">
        <v>2532998.5196365993</v>
      </c>
      <c r="E77" s="1807">
        <f t="shared" si="2"/>
        <v>8130990.9094574051</v>
      </c>
      <c r="F77" s="294">
        <v>7376260</v>
      </c>
      <c r="G77" s="1804">
        <v>754730.90945740498</v>
      </c>
      <c r="H77" s="294">
        <v>765483.26515494008</v>
      </c>
      <c r="I77" s="1811">
        <f t="shared" si="3"/>
        <v>206612533</v>
      </c>
      <c r="J77" s="1812">
        <v>153970308</v>
      </c>
      <c r="K77" s="294">
        <v>52642225</v>
      </c>
      <c r="L77" s="1807">
        <f t="shared" si="4"/>
        <v>118158487</v>
      </c>
      <c r="M77" s="294">
        <v>107566011</v>
      </c>
      <c r="N77" s="1804">
        <v>10592476</v>
      </c>
      <c r="O77" s="295">
        <v>9744709</v>
      </c>
      <c r="P77" s="356">
        <v>3.15099999999999</v>
      </c>
    </row>
    <row r="78" spans="1:16">
      <c r="A78" s="296">
        <f t="shared" ref="A78:A141" si="5">A74+1</f>
        <v>2008.1</v>
      </c>
      <c r="B78" s="480">
        <f>C78+D78</f>
        <v>12506082.324709468</v>
      </c>
      <c r="C78" s="1804">
        <v>9857182</v>
      </c>
      <c r="D78" s="294">
        <v>2648900.3247094685</v>
      </c>
      <c r="E78" s="1807">
        <f t="shared" si="2"/>
        <v>8548938.5623338521</v>
      </c>
      <c r="F78" s="294">
        <v>7798394</v>
      </c>
      <c r="G78" s="1804">
        <v>750544.56233385263</v>
      </c>
      <c r="H78" s="294">
        <v>639613.92071446206</v>
      </c>
      <c r="I78" s="1811">
        <f t="shared" si="3"/>
        <v>230095283</v>
      </c>
      <c r="J78" s="1804">
        <v>163103270</v>
      </c>
      <c r="K78" s="294">
        <v>66992013</v>
      </c>
      <c r="L78" s="1807">
        <f t="shared" si="4"/>
        <v>124115929</v>
      </c>
      <c r="M78" s="294">
        <v>112902792</v>
      </c>
      <c r="N78" s="1804">
        <v>11213137</v>
      </c>
      <c r="O78" s="295">
        <v>9052485</v>
      </c>
      <c r="P78" s="356">
        <v>3.16529999999999</v>
      </c>
    </row>
    <row r="79" spans="1:16">
      <c r="A79" s="296">
        <f t="shared" si="5"/>
        <v>2008.2</v>
      </c>
      <c r="B79" s="480">
        <f t="shared" si="1"/>
        <v>12318059.333184026</v>
      </c>
      <c r="C79" s="1804">
        <v>9483459</v>
      </c>
      <c r="D79" s="294">
        <v>2834600.3331840253</v>
      </c>
      <c r="E79" s="1807">
        <f t="shared" si="2"/>
        <v>9071385.0631597321</v>
      </c>
      <c r="F79" s="294">
        <v>8363475</v>
      </c>
      <c r="G79" s="1804">
        <v>707910.06315973145</v>
      </c>
      <c r="H79" s="294">
        <v>690842.3451653677</v>
      </c>
      <c r="I79" s="1811">
        <f t="shared" si="3"/>
        <v>232757233</v>
      </c>
      <c r="J79" s="1804">
        <v>162633918</v>
      </c>
      <c r="K79" s="294">
        <v>70123315</v>
      </c>
      <c r="L79" s="1807">
        <f t="shared" si="4"/>
        <v>131445309</v>
      </c>
      <c r="M79" s="294">
        <v>120431360</v>
      </c>
      <c r="N79" s="1804">
        <v>11013949</v>
      </c>
      <c r="O79" s="295">
        <v>9942040</v>
      </c>
      <c r="P79" s="356">
        <v>3.0242</v>
      </c>
    </row>
    <row r="80" spans="1:16">
      <c r="A80" s="296">
        <f t="shared" si="5"/>
        <v>2008.3</v>
      </c>
      <c r="B80" s="480">
        <f t="shared" si="1"/>
        <v>13340924.864232587</v>
      </c>
      <c r="C80" s="1804">
        <v>10253499</v>
      </c>
      <c r="D80" s="294">
        <v>3087425.8642325872</v>
      </c>
      <c r="E80" s="1807">
        <f t="shared" si="2"/>
        <v>9535899.1329404879</v>
      </c>
      <c r="F80" s="294">
        <v>8837970</v>
      </c>
      <c r="G80" s="1804">
        <v>697929.13294048712</v>
      </c>
      <c r="H80" s="294">
        <v>681088.40412679804</v>
      </c>
      <c r="I80" s="1811">
        <f t="shared" si="3"/>
        <v>247962670</v>
      </c>
      <c r="J80" s="1804">
        <v>171294293</v>
      </c>
      <c r="K80" s="294">
        <v>76668377</v>
      </c>
      <c r="L80" s="1807">
        <f t="shared" si="4"/>
        <v>137832065</v>
      </c>
      <c r="M80" s="294">
        <v>126688788</v>
      </c>
      <c r="N80" s="1804">
        <v>11143277</v>
      </c>
      <c r="O80" s="295">
        <v>9742129</v>
      </c>
      <c r="P80" s="356">
        <v>3.1301999999999901</v>
      </c>
    </row>
    <row r="81" spans="1:16">
      <c r="A81" s="296">
        <f t="shared" si="5"/>
        <v>2008.4</v>
      </c>
      <c r="B81" s="480">
        <f t="shared" si="1"/>
        <v>12853563.428287048</v>
      </c>
      <c r="C81" s="1804">
        <v>10107911</v>
      </c>
      <c r="D81" s="294">
        <v>2745652.4282870488</v>
      </c>
      <c r="E81" s="1807">
        <f t="shared" si="2"/>
        <v>9921007.9981663134</v>
      </c>
      <c r="F81" s="294">
        <v>9229489</v>
      </c>
      <c r="G81" s="1804">
        <v>691518.99816631281</v>
      </c>
      <c r="H81" s="294">
        <v>980822.94960387342</v>
      </c>
      <c r="I81" s="1811">
        <f t="shared" si="3"/>
        <v>237353517</v>
      </c>
      <c r="J81" s="1804">
        <v>166004190</v>
      </c>
      <c r="K81" s="294">
        <v>71349327</v>
      </c>
      <c r="L81" s="1807">
        <f t="shared" si="4"/>
        <v>141000992</v>
      </c>
      <c r="M81" s="294">
        <v>130134059</v>
      </c>
      <c r="N81" s="1804">
        <v>10866933</v>
      </c>
      <c r="O81" s="295">
        <v>12924645</v>
      </c>
      <c r="P81" s="356">
        <v>3.4537</v>
      </c>
    </row>
    <row r="82" spans="1:16">
      <c r="A82" s="296">
        <f t="shared" si="5"/>
        <v>2009.1</v>
      </c>
      <c r="B82" s="480">
        <f t="shared" si="1"/>
        <v>12847767.443414461</v>
      </c>
      <c r="C82" s="1804">
        <f>10585607.2532627+84.2495114828411</f>
        <v>10585691.502774183</v>
      </c>
      <c r="D82" s="294">
        <v>2262075.9406402772</v>
      </c>
      <c r="E82" s="1807">
        <f t="shared" si="2"/>
        <v>9473766.1987274811</v>
      </c>
      <c r="F82" s="294">
        <f>9071563.29759356+1658.15652423057</f>
        <v>9073221.4541177899</v>
      </c>
      <c r="G82" s="1804">
        <v>400544.74460969109</v>
      </c>
      <c r="H82" s="294">
        <v>855996.68541391334</v>
      </c>
      <c r="I82" s="1811">
        <f t="shared" si="3"/>
        <v>247679242</v>
      </c>
      <c r="J82" s="1804">
        <f>171064888+1080513</f>
        <v>172145401</v>
      </c>
      <c r="K82" s="294">
        <v>75533841</v>
      </c>
      <c r="L82" s="1807">
        <f t="shared" si="4"/>
        <v>141761458</v>
      </c>
      <c r="M82" s="294">
        <f>132203526+289699</f>
        <v>132493225</v>
      </c>
      <c r="N82" s="1804">
        <v>9268233</v>
      </c>
      <c r="O82" s="295">
        <v>12091994</v>
      </c>
      <c r="P82" s="356">
        <v>3.71349999999999</v>
      </c>
    </row>
    <row r="83" spans="1:16">
      <c r="A83" s="296">
        <f t="shared" si="5"/>
        <v>2009.2</v>
      </c>
      <c r="B83" s="480">
        <f t="shared" si="1"/>
        <v>13918958.851633295</v>
      </c>
      <c r="C83" s="1804">
        <f>11428584.1237766+406.810875004645</f>
        <v>11428990.934651604</v>
      </c>
      <c r="D83" s="294">
        <v>2489967.9169816906</v>
      </c>
      <c r="E83" s="1807">
        <f t="shared" si="2"/>
        <v>9398138.0535042081</v>
      </c>
      <c r="F83" s="294">
        <f>9027058.15739694+1908.42630145224</f>
        <v>9028966.5836983919</v>
      </c>
      <c r="G83" s="1804">
        <v>369171.46980581636</v>
      </c>
      <c r="H83" s="294">
        <v>948464.8542923443</v>
      </c>
      <c r="I83" s="1811">
        <f t="shared" si="3"/>
        <v>255020777</v>
      </c>
      <c r="J83" s="1804">
        <f>177397742+1261482</f>
        <v>178659224</v>
      </c>
      <c r="K83" s="294">
        <v>76361553</v>
      </c>
      <c r="L83" s="1807">
        <f t="shared" si="4"/>
        <v>146821780</v>
      </c>
      <c r="M83" s="294">
        <f>135212454+272348</f>
        <v>135484802</v>
      </c>
      <c r="N83" s="1804">
        <v>11336978</v>
      </c>
      <c r="O83" s="295">
        <v>12290355</v>
      </c>
      <c r="P83" s="356">
        <v>3.7951999999999901</v>
      </c>
    </row>
    <row r="84" spans="1:16">
      <c r="A84" s="296">
        <f t="shared" si="5"/>
        <v>2009.3</v>
      </c>
      <c r="B84" s="480">
        <f t="shared" si="1"/>
        <v>14191683.928449403</v>
      </c>
      <c r="C84" s="1804">
        <f>11796421.4364778+65.5796037366596</f>
        <v>11796487.016081538</v>
      </c>
      <c r="D84" s="294">
        <v>2395196.9123678659</v>
      </c>
      <c r="E84" s="1807">
        <f t="shared" si="2"/>
        <v>9400131.2523862757</v>
      </c>
      <c r="F84" s="294">
        <f>9088559.73205634+867.126702792058</f>
        <v>9089426.8587591331</v>
      </c>
      <c r="G84" s="1804">
        <v>310704.39362714323</v>
      </c>
      <c r="H84" s="294">
        <v>787727.10448737501</v>
      </c>
      <c r="I84" s="1811">
        <f t="shared" si="3"/>
        <v>267127280</v>
      </c>
      <c r="J84" s="1804">
        <f>183449678+931682</f>
        <v>184381360</v>
      </c>
      <c r="K84" s="294">
        <v>82745920</v>
      </c>
      <c r="L84" s="1807">
        <f t="shared" si="4"/>
        <v>151565301</v>
      </c>
      <c r="M84" s="294">
        <f>134712101+256732</f>
        <v>134968833</v>
      </c>
      <c r="N84" s="1804">
        <v>16596468</v>
      </c>
      <c r="O84" s="295">
        <v>12042666</v>
      </c>
      <c r="P84" s="356">
        <v>3.84269999999999</v>
      </c>
    </row>
    <row r="85" spans="1:16">
      <c r="A85" s="296">
        <f t="shared" si="5"/>
        <v>2009.4</v>
      </c>
      <c r="B85" s="480">
        <f t="shared" si="1"/>
        <v>13896358.168917093</v>
      </c>
      <c r="C85" s="1804">
        <f>12255861.4540784+219.487105228339</f>
        <v>12256080.941183629</v>
      </c>
      <c r="D85" s="294">
        <v>1640277.2277334651</v>
      </c>
      <c r="E85" s="1807">
        <f t="shared" si="2"/>
        <v>10147813.256289346</v>
      </c>
      <c r="F85" s="294">
        <f>9835178.22867809+2578.48286436738</f>
        <v>9837756.7115424573</v>
      </c>
      <c r="G85" s="1804">
        <v>310056.54474688793</v>
      </c>
      <c r="H85" s="294">
        <v>1087268.0416182473</v>
      </c>
      <c r="I85" s="1811">
        <f t="shared" si="3"/>
        <v>274453810</v>
      </c>
      <c r="J85" s="1804">
        <f>197370893+1417007</f>
        <v>198787900</v>
      </c>
      <c r="K85" s="294">
        <v>75665910</v>
      </c>
      <c r="L85" s="1807">
        <f t="shared" si="4"/>
        <v>160407137</v>
      </c>
      <c r="M85" s="294">
        <f>142084304+666192</f>
        <v>142750496</v>
      </c>
      <c r="N85" s="1804">
        <v>17656641</v>
      </c>
      <c r="O85" s="295">
        <v>15562944</v>
      </c>
      <c r="P85" s="356">
        <v>3.7967</v>
      </c>
    </row>
    <row r="86" spans="1:16">
      <c r="A86" s="296">
        <f t="shared" si="5"/>
        <v>2010.1</v>
      </c>
      <c r="B86" s="480">
        <f t="shared" si="1"/>
        <v>14582353.905784428</v>
      </c>
      <c r="C86" s="1804">
        <f>12281177.5161082+301.698995933233</f>
        <v>12281479.215104133</v>
      </c>
      <c r="D86" s="294">
        <v>2300874.6906802943</v>
      </c>
      <c r="E86" s="1807">
        <f t="shared" si="2"/>
        <v>10579470.939297017</v>
      </c>
      <c r="F86" s="294">
        <f>10299684.8297117+614.589799019115</f>
        <v>10300299.419510718</v>
      </c>
      <c r="G86" s="1804">
        <v>279171.51978629798</v>
      </c>
      <c r="H86" s="294">
        <v>999595.0217055711</v>
      </c>
      <c r="I86" s="1811">
        <f t="shared" si="3"/>
        <v>303797838</v>
      </c>
      <c r="J86" s="1804">
        <f>203342396+1019889</f>
        <v>204362285</v>
      </c>
      <c r="K86" s="294">
        <v>99435553</v>
      </c>
      <c r="L86" s="1807">
        <f t="shared" si="4"/>
        <v>166416109</v>
      </c>
      <c r="M86" s="294">
        <f>146505552+419745</f>
        <v>146925297</v>
      </c>
      <c r="N86" s="1804">
        <v>19490812</v>
      </c>
      <c r="O86" s="295">
        <v>14923962</v>
      </c>
      <c r="P86" s="356">
        <v>3.8763000000000001</v>
      </c>
    </row>
    <row r="87" spans="1:16">
      <c r="A87" s="296">
        <f t="shared" si="5"/>
        <v>2010.2</v>
      </c>
      <c r="B87" s="480">
        <f t="shared" si="1"/>
        <v>16835244.144834742</v>
      </c>
      <c r="C87" s="1804">
        <f>13912485.2158089+123.272102870606</f>
        <v>13912608.48791177</v>
      </c>
      <c r="D87" s="294">
        <v>2922635.6569229704</v>
      </c>
      <c r="E87" s="1807">
        <f t="shared" si="2"/>
        <v>11006738.089440959</v>
      </c>
      <c r="F87" s="294">
        <f>10752102.9463588+134.277377111144</f>
        <v>10752237.223735912</v>
      </c>
      <c r="G87" s="1804">
        <v>254500.86570504704</v>
      </c>
      <c r="H87" s="294">
        <v>895303.42605199316</v>
      </c>
      <c r="I87" s="1811">
        <f t="shared" si="3"/>
        <v>341625084</v>
      </c>
      <c r="J87" s="1804">
        <f>218223882+1153998</f>
        <v>219377880</v>
      </c>
      <c r="K87" s="294">
        <v>122247204</v>
      </c>
      <c r="L87" s="1807">
        <f t="shared" si="4"/>
        <v>180752116</v>
      </c>
      <c r="M87" s="294">
        <f>159573151+621494</f>
        <v>160194645</v>
      </c>
      <c r="N87" s="1804">
        <v>20557471</v>
      </c>
      <c r="O87" s="295">
        <v>14632595</v>
      </c>
      <c r="P87" s="356">
        <v>3.9318</v>
      </c>
    </row>
    <row r="88" spans="1:16">
      <c r="A88" s="296">
        <f t="shared" si="5"/>
        <v>2010.3</v>
      </c>
      <c r="B88" s="480">
        <f t="shared" si="1"/>
        <v>18728309.598943103</v>
      </c>
      <c r="C88" s="1804">
        <f>14799899.5951336+368.302678477133</f>
        <v>14800267.897812078</v>
      </c>
      <c r="D88" s="294">
        <v>3928041.7011310267</v>
      </c>
      <c r="E88" s="1807">
        <f t="shared" si="2"/>
        <v>12152947.629677143</v>
      </c>
      <c r="F88" s="294">
        <f>12017412.07935+159.221847761698</f>
        <v>12017571.301197762</v>
      </c>
      <c r="G88" s="1804">
        <v>135376.32847938087</v>
      </c>
      <c r="H88" s="294">
        <v>1102476.6160703285</v>
      </c>
      <c r="I88" s="1811">
        <f>J88+M88</f>
        <v>410010650</v>
      </c>
      <c r="J88" s="1804">
        <f>234230941+916501</f>
        <v>235147442</v>
      </c>
      <c r="K88" s="294">
        <v>131758981</v>
      </c>
      <c r="L88" s="1807">
        <f t="shared" si="4"/>
        <v>195581010</v>
      </c>
      <c r="M88" s="294">
        <f>174369682+493526</f>
        <v>174863208</v>
      </c>
      <c r="N88" s="1804">
        <v>20717802</v>
      </c>
      <c r="O88" s="295">
        <v>15753461</v>
      </c>
      <c r="P88" s="356">
        <v>3.9607000000000001</v>
      </c>
    </row>
    <row r="89" spans="1:16">
      <c r="A89" s="296">
        <f t="shared" si="5"/>
        <v>2010.4</v>
      </c>
      <c r="B89" s="480">
        <f t="shared" si="1"/>
        <v>19693618.703896198</v>
      </c>
      <c r="C89" s="1804">
        <f>16017000.2614406+307.501537632352</f>
        <v>16017307.762978232</v>
      </c>
      <c r="D89" s="294">
        <v>3676310.9409179655</v>
      </c>
      <c r="E89" s="1807">
        <f t="shared" si="2"/>
        <v>14338762.99833009</v>
      </c>
      <c r="F89" s="294">
        <v>14202422.338109141</v>
      </c>
      <c r="G89" s="1804">
        <v>136340.66022094979</v>
      </c>
      <c r="H89" s="294">
        <v>844898.95603461214</v>
      </c>
      <c r="I89" s="1811">
        <f t="shared" si="3"/>
        <v>382273932</v>
      </c>
      <c r="J89" s="1804">
        <f>255831822+1014569</f>
        <v>256846391</v>
      </c>
      <c r="K89" s="294">
        <v>125427541</v>
      </c>
      <c r="L89" s="1807">
        <f t="shared" si="4"/>
        <v>218123439</v>
      </c>
      <c r="M89" s="294">
        <f>195746155+421550</f>
        <v>196167705</v>
      </c>
      <c r="N89" s="1804">
        <v>21955734</v>
      </c>
      <c r="O89" s="295">
        <v>14525339.999999998</v>
      </c>
      <c r="P89" s="356">
        <v>3.9758</v>
      </c>
    </row>
    <row r="90" spans="1:16">
      <c r="A90" s="296">
        <f t="shared" si="5"/>
        <v>2011.1</v>
      </c>
      <c r="B90" s="480">
        <f>C90+D90</f>
        <v>20352743.523719896</v>
      </c>
      <c r="C90" s="1804">
        <f>16483359.2370578+581.550871775975</f>
        <v>16483940.787929576</v>
      </c>
      <c r="D90" s="294">
        <v>3868802.7357903197</v>
      </c>
      <c r="E90" s="1807">
        <f t="shared" si="2"/>
        <v>15441116.10111125</v>
      </c>
      <c r="F90" s="294">
        <f>15305089.4235456+17.185628742515</f>
        <v>15305106.609174343</v>
      </c>
      <c r="G90" s="1804">
        <v>136009.49193690714</v>
      </c>
      <c r="H90" s="294">
        <v>1386241.2786914615</v>
      </c>
      <c r="I90" s="1811">
        <f t="shared" si="3"/>
        <v>422059083</v>
      </c>
      <c r="J90" s="1804">
        <f>270596736+1247877</f>
        <v>271844613</v>
      </c>
      <c r="K90" s="294">
        <v>150214470</v>
      </c>
      <c r="L90" s="1807">
        <f t="shared" si="4"/>
        <v>231931277</v>
      </c>
      <c r="M90" s="294">
        <f>209319993+456174</f>
        <v>209776167</v>
      </c>
      <c r="N90" s="1804">
        <v>22155110</v>
      </c>
      <c r="O90" s="295">
        <v>20363427</v>
      </c>
      <c r="P90" s="356">
        <v>4.0519999999999898</v>
      </c>
    </row>
    <row r="91" spans="1:16">
      <c r="A91" s="296">
        <f t="shared" si="5"/>
        <v>2011.2</v>
      </c>
      <c r="B91" s="480">
        <f t="shared" si="1"/>
        <v>22731133.494245581</v>
      </c>
      <c r="C91" s="1804">
        <f>18914446.8598411+260.738439337921</f>
        <v>18914707.598280437</v>
      </c>
      <c r="D91" s="294">
        <v>3816425.8959651459</v>
      </c>
      <c r="E91" s="1807">
        <f t="shared" si="2"/>
        <v>17076238.625057437</v>
      </c>
      <c r="F91" s="294">
        <f>16945808.6156443+1.38461538461538</f>
        <v>16945810.000259683</v>
      </c>
      <c r="G91" s="1804">
        <v>130428.62479775315</v>
      </c>
      <c r="H91" s="294">
        <v>1367348.8353973054</v>
      </c>
      <c r="I91" s="1811">
        <f t="shared" si="3"/>
        <v>459440164</v>
      </c>
      <c r="J91" s="1804">
        <f>296443448+1546537</f>
        <v>297989985</v>
      </c>
      <c r="K91" s="294">
        <v>161450179.00000003</v>
      </c>
      <c r="L91" s="1807">
        <f t="shared" si="4"/>
        <v>261078634</v>
      </c>
      <c r="M91" s="294">
        <f>234888370+601892</f>
        <v>235490262</v>
      </c>
      <c r="N91" s="1804">
        <v>25588372</v>
      </c>
      <c r="O91" s="295">
        <v>23534584</v>
      </c>
      <c r="P91" s="356">
        <v>4.11099999999999</v>
      </c>
    </row>
    <row r="92" spans="1:16">
      <c r="A92" s="296">
        <f t="shared" si="5"/>
        <v>2011.3</v>
      </c>
      <c r="B92" s="480">
        <f t="shared" si="1"/>
        <v>23064567.130770471</v>
      </c>
      <c r="C92" s="1804">
        <f>19324344.0756327+588.687996402006</f>
        <v>19324932.763629101</v>
      </c>
      <c r="D92" s="294">
        <v>3739634.3671413707</v>
      </c>
      <c r="E92" s="1807">
        <f t="shared" si="2"/>
        <v>19478426.936783142</v>
      </c>
      <c r="F92" s="294">
        <f>19347649.7634739+753.331236932591</f>
        <v>19348403.094710831</v>
      </c>
      <c r="G92" s="1804">
        <v>130023.84207231159</v>
      </c>
      <c r="H92" s="294">
        <v>1409864.4711417579</v>
      </c>
      <c r="I92" s="1811">
        <f t="shared" si="3"/>
        <v>483322908</v>
      </c>
      <c r="J92" s="1804">
        <f>309942304+1483361</f>
        <v>311425665</v>
      </c>
      <c r="K92" s="294">
        <v>171897243.00000003</v>
      </c>
      <c r="L92" s="1807">
        <f t="shared" si="4"/>
        <v>290879490</v>
      </c>
      <c r="M92" s="294">
        <f>265242094+533445</f>
        <v>265775539</v>
      </c>
      <c r="N92" s="1804">
        <v>25103951</v>
      </c>
      <c r="O92" s="295">
        <v>22715794</v>
      </c>
      <c r="P92" s="356">
        <v>4.2045000000000003</v>
      </c>
    </row>
    <row r="93" spans="1:16">
      <c r="A93" s="296">
        <f t="shared" si="5"/>
        <v>2011.4</v>
      </c>
      <c r="B93" s="480">
        <f t="shared" si="1"/>
        <v>22951257.956339136</v>
      </c>
      <c r="C93" s="1804">
        <f>19646241.5310774+740.338648402532</f>
        <v>19646981.869725801</v>
      </c>
      <c r="D93" s="294">
        <v>3304276.0866133361</v>
      </c>
      <c r="E93" s="1807">
        <f t="shared" si="2"/>
        <v>21023785.887702662</v>
      </c>
      <c r="F93" s="294">
        <f>20907363.1189492+570.599819109048</f>
        <v>20907933.71876831</v>
      </c>
      <c r="G93" s="1804">
        <v>115852.16893435302</v>
      </c>
      <c r="H93" s="294">
        <v>1637935.8898974133</v>
      </c>
      <c r="I93" s="1811">
        <f t="shared" si="3"/>
        <v>470984695</v>
      </c>
      <c r="J93" s="1804">
        <f>324274293+2079367</f>
        <v>326353660</v>
      </c>
      <c r="K93" s="294">
        <v>144631035</v>
      </c>
      <c r="L93" s="1807">
        <f t="shared" si="4"/>
        <v>314723184</v>
      </c>
      <c r="M93" s="294">
        <f>286791658+290426</f>
        <v>287082084</v>
      </c>
      <c r="N93" s="1804">
        <v>27641100</v>
      </c>
      <c r="O93" s="295">
        <v>26217442</v>
      </c>
      <c r="P93" s="356">
        <v>4.3032000000000004</v>
      </c>
    </row>
    <row r="94" spans="1:16">
      <c r="A94" s="296">
        <f t="shared" si="5"/>
        <v>2012.1</v>
      </c>
      <c r="B94" s="480">
        <f t="shared" ref="B94:B129" si="6">C94+D94</f>
        <v>23949599.844575953</v>
      </c>
      <c r="C94" s="1804">
        <f>20342646.2134846+271.061186583423</f>
        <v>20342917.274671182</v>
      </c>
      <c r="D94" s="294">
        <v>3606682.5699047698</v>
      </c>
      <c r="E94" s="1807">
        <f t="shared" ref="E94:E129" si="7">F94+G94</f>
        <v>21600382.090082891</v>
      </c>
      <c r="F94" s="294">
        <f>21485767.9705646+442.544053612121</f>
        <v>21486210.51461821</v>
      </c>
      <c r="G94" s="1804">
        <v>114171.57546468206</v>
      </c>
      <c r="H94" s="294">
        <v>1442561.5785591479</v>
      </c>
      <c r="I94" s="1811">
        <f t="shared" si="3"/>
        <v>522441247</v>
      </c>
      <c r="J94" s="1804">
        <f>346361584+1534851</f>
        <v>347896435</v>
      </c>
      <c r="K94" s="294">
        <v>174544812</v>
      </c>
      <c r="L94" s="1807">
        <f t="shared" si="4"/>
        <v>328981385</v>
      </c>
      <c r="M94" s="294">
        <f>299427344+497857</f>
        <v>299925201</v>
      </c>
      <c r="N94" s="1804">
        <v>29056184</v>
      </c>
      <c r="O94" s="295">
        <v>25597983</v>
      </c>
      <c r="P94" s="356">
        <v>4.3784999999999901</v>
      </c>
    </row>
    <row r="95" spans="1:16">
      <c r="A95" s="296">
        <f t="shared" si="5"/>
        <v>2012.2</v>
      </c>
      <c r="B95" s="480">
        <f t="shared" si="6"/>
        <v>26091624.040200569</v>
      </c>
      <c r="C95" s="1804">
        <f>22159855.8523574+743.689095949447</f>
        <v>22160599.541453347</v>
      </c>
      <c r="D95" s="294">
        <v>3931024.4987472235</v>
      </c>
      <c r="E95" s="1807">
        <f t="shared" si="7"/>
        <v>22398371.287864387</v>
      </c>
      <c r="F95" s="294">
        <f>22295939.2260098+1598.97428134357</f>
        <v>22297538.200291146</v>
      </c>
      <c r="G95" s="1804">
        <v>100833.08757324234</v>
      </c>
      <c r="H95" s="294">
        <v>1445606.725962504</v>
      </c>
      <c r="I95" s="1811">
        <f t="shared" si="3"/>
        <v>548640613</v>
      </c>
      <c r="J95" s="1804">
        <f>364895490+1807573</f>
        <v>366703063</v>
      </c>
      <c r="K95" s="294">
        <v>181937550</v>
      </c>
      <c r="L95" s="1807">
        <f t="shared" si="4"/>
        <v>349470664</v>
      </c>
      <c r="M95" s="294">
        <f>318778971+627722</f>
        <v>319406693</v>
      </c>
      <c r="N95" s="1804">
        <v>30063971.000000004</v>
      </c>
      <c r="O95" s="295">
        <v>25199158.000000004</v>
      </c>
      <c r="P95" s="356">
        <v>4.5252999999999899</v>
      </c>
    </row>
    <row r="96" spans="1:16">
      <c r="A96" s="296">
        <f t="shared" si="5"/>
        <v>2012.3</v>
      </c>
      <c r="B96" s="480">
        <f t="shared" si="6"/>
        <v>26920510.505722456</v>
      </c>
      <c r="C96" s="1804">
        <f>22938698.8676837+734.734286275877</f>
        <v>22939433.601969976</v>
      </c>
      <c r="D96" s="294">
        <v>3981076.9037524783</v>
      </c>
      <c r="E96" s="1807">
        <f t="shared" si="7"/>
        <v>24274588.815723035</v>
      </c>
      <c r="F96" s="294">
        <f>24172921.9526246+2274.53241805292</f>
        <v>24175196.485042654</v>
      </c>
      <c r="G96" s="1804">
        <v>99392.330680381827</v>
      </c>
      <c r="H96" s="294">
        <v>1493967.4983466337</v>
      </c>
      <c r="I96" s="1811">
        <f t="shared" si="3"/>
        <v>593590881</v>
      </c>
      <c r="J96" s="1804">
        <f>381490793+1371527</f>
        <v>382862320</v>
      </c>
      <c r="K96" s="294">
        <v>210728561</v>
      </c>
      <c r="L96" s="1807">
        <f t="shared" si="4"/>
        <v>372293841</v>
      </c>
      <c r="M96" s="294">
        <f>339449758+713296</f>
        <v>340163054</v>
      </c>
      <c r="N96" s="1804">
        <v>32130787</v>
      </c>
      <c r="O96" s="295">
        <v>23217255</v>
      </c>
      <c r="P96" s="356">
        <v>4.6942000000000004</v>
      </c>
    </row>
    <row r="97" spans="1:16">
      <c r="A97" s="296">
        <f t="shared" si="5"/>
        <v>2012.4</v>
      </c>
      <c r="B97" s="480">
        <f t="shared" si="6"/>
        <v>28840275.719403207</v>
      </c>
      <c r="C97" s="1804">
        <f>24976682.988288+864.454714706685</f>
        <v>24977547.443002708</v>
      </c>
      <c r="D97" s="294">
        <v>3862728.2764005009</v>
      </c>
      <c r="E97" s="1807">
        <f t="shared" si="7"/>
        <v>27947576.00526477</v>
      </c>
      <c r="F97" s="294">
        <f>27858940.8714433+1572.40257383185</f>
        <v>27860513.274017133</v>
      </c>
      <c r="G97" s="1804">
        <v>87062.731247636315</v>
      </c>
      <c r="H97" s="294">
        <v>2018300.8801810211</v>
      </c>
      <c r="I97" s="1811">
        <f t="shared" si="3"/>
        <v>616142228</v>
      </c>
      <c r="J97" s="1804">
        <f>423136011+2347054</f>
        <v>425483065</v>
      </c>
      <c r="K97" s="294">
        <v>190659163</v>
      </c>
      <c r="L97" s="1807">
        <f t="shared" si="4"/>
        <v>413109624</v>
      </c>
      <c r="M97" s="294">
        <f>376538028+683094</f>
        <v>377221122</v>
      </c>
      <c r="N97" s="1804">
        <v>35888502</v>
      </c>
      <c r="O97" s="295">
        <v>31467362.999999996</v>
      </c>
      <c r="P97" s="356">
        <v>4.9173</v>
      </c>
    </row>
    <row r="98" spans="1:16">
      <c r="A98" s="296">
        <f t="shared" si="5"/>
        <v>2013.1</v>
      </c>
      <c r="B98" s="480">
        <f t="shared" si="6"/>
        <v>30423859.648866542</v>
      </c>
      <c r="C98" s="1804">
        <f>25433671.5950305+1078.42970936149</f>
        <v>25434750.024739861</v>
      </c>
      <c r="D98" s="294">
        <v>4989109.6241266802</v>
      </c>
      <c r="E98" s="1807">
        <f t="shared" si="7"/>
        <v>29425479.866416879</v>
      </c>
      <c r="F98" s="294">
        <f>29339393.9741433+1132.02584130942</f>
        <v>29340525.999984611</v>
      </c>
      <c r="G98" s="1804">
        <v>84953.866432267794</v>
      </c>
      <c r="H98" s="294">
        <v>2194428.2283570301</v>
      </c>
      <c r="I98" s="1811">
        <f t="shared" si="3"/>
        <v>666517138</v>
      </c>
      <c r="J98" s="1804">
        <f>441684951+909101</f>
        <v>442594052</v>
      </c>
      <c r="K98" s="294">
        <v>223923086</v>
      </c>
      <c r="L98" s="1807">
        <f t="shared" si="4"/>
        <v>428856052</v>
      </c>
      <c r="M98" s="294">
        <f>392029004+666431</f>
        <v>392695435</v>
      </c>
      <c r="N98" s="1804">
        <v>36160617</v>
      </c>
      <c r="O98" s="295">
        <v>30495188</v>
      </c>
      <c r="P98" s="356">
        <v>5.1223000000000001</v>
      </c>
    </row>
    <row r="99" spans="1:16">
      <c r="A99" s="296">
        <f t="shared" si="5"/>
        <v>2013.2</v>
      </c>
      <c r="B99" s="480">
        <f t="shared" si="6"/>
        <v>33900743.200223118</v>
      </c>
      <c r="C99" s="1804">
        <f>28506762.526875+2486.94993174319</f>
        <v>28509249.476806745</v>
      </c>
      <c r="D99" s="294">
        <v>5391493.7234163759</v>
      </c>
      <c r="E99" s="1807">
        <f>F99+G99</f>
        <v>31624573.145354021</v>
      </c>
      <c r="F99" s="294">
        <f>31551689.6437598+1132.02584130942</f>
        <v>31552821.669601109</v>
      </c>
      <c r="G99" s="1804">
        <v>71751.475752914004</v>
      </c>
      <c r="H99" s="294">
        <v>1861601.1132024773</v>
      </c>
      <c r="I99" s="1811">
        <f t="shared" si="3"/>
        <v>706467787</v>
      </c>
      <c r="J99" s="1804">
        <f>474232430+974106</f>
        <v>475206536</v>
      </c>
      <c r="K99" s="294">
        <v>231261251</v>
      </c>
      <c r="L99" s="1807">
        <f t="shared" si="4"/>
        <v>459982144</v>
      </c>
      <c r="M99" s="294">
        <f>421911603+711929</f>
        <v>422623532</v>
      </c>
      <c r="N99" s="1804">
        <v>37358612</v>
      </c>
      <c r="O99" s="295">
        <v>27078974</v>
      </c>
      <c r="P99" s="356">
        <v>5.3852000000000002</v>
      </c>
    </row>
    <row r="100" spans="1:16">
      <c r="A100" s="296">
        <f t="shared" si="5"/>
        <v>2013.3</v>
      </c>
      <c r="B100" s="480">
        <f t="shared" si="6"/>
        <v>36421739.506601386</v>
      </c>
      <c r="C100" s="1804">
        <f>30217544.7304921+2625.79531627453</f>
        <v>30220170.525808375</v>
      </c>
      <c r="D100" s="294">
        <v>6201568.9807930104</v>
      </c>
      <c r="E100" s="1807">
        <f t="shared" si="7"/>
        <v>34257612.436453514</v>
      </c>
      <c r="F100" s="294">
        <f>34176886.6509443+4793.33367594847</f>
        <v>34181679.984620251</v>
      </c>
      <c r="G100" s="1804">
        <v>75932.451833260304</v>
      </c>
      <c r="H100" s="294">
        <v>1960519.8448089003</v>
      </c>
      <c r="I100" s="1811">
        <f t="shared" si="3"/>
        <v>752131563</v>
      </c>
      <c r="J100" s="1804">
        <f>500101098+1251243</f>
        <v>501352341</v>
      </c>
      <c r="K100" s="294">
        <v>250779222</v>
      </c>
      <c r="L100" s="1807">
        <f t="shared" si="4"/>
        <v>491129341</v>
      </c>
      <c r="M100" s="294">
        <f>453476151+346392</f>
        <v>453822543</v>
      </c>
      <c r="N100" s="1804">
        <v>37306798</v>
      </c>
      <c r="O100" s="295">
        <v>27500845</v>
      </c>
      <c r="P100" s="356">
        <v>5.7915000000000001</v>
      </c>
    </row>
    <row r="101" spans="1:16">
      <c r="A101" s="296">
        <f t="shared" si="5"/>
        <v>2013.4</v>
      </c>
      <c r="B101" s="480">
        <f t="shared" si="6"/>
        <v>37294877.542332053</v>
      </c>
      <c r="C101" s="1804">
        <f>32145082.0682862+2974.745108305</f>
        <v>32148056.813394506</v>
      </c>
      <c r="D101" s="294">
        <v>5146820.7289375504</v>
      </c>
      <c r="E101" s="1807">
        <f t="shared" si="7"/>
        <v>37115471.697590709</v>
      </c>
      <c r="F101" s="294">
        <f>37032818.2071702+3651.64846725506</f>
        <v>37036469.855637461</v>
      </c>
      <c r="G101" s="1804">
        <v>79001.841953250303</v>
      </c>
      <c r="H101" s="294">
        <v>2493684.8106475556</v>
      </c>
      <c r="I101" s="1811">
        <f>J101+K101</f>
        <v>777021557</v>
      </c>
      <c r="J101" s="1804">
        <f>540811774+1445137</f>
        <v>542256911</v>
      </c>
      <c r="K101" s="294">
        <v>234764646</v>
      </c>
      <c r="L101" s="1807">
        <f>M101+N101</f>
        <v>537920691</v>
      </c>
      <c r="M101" s="294">
        <f>492894985+726661</f>
        <v>493621646</v>
      </c>
      <c r="N101" s="1804">
        <v>44299045</v>
      </c>
      <c r="O101" s="295">
        <v>36138756</v>
      </c>
      <c r="P101" s="356">
        <v>6.51799999999999</v>
      </c>
    </row>
    <row r="102" spans="1:16">
      <c r="A102" s="296">
        <f t="shared" si="5"/>
        <v>2014.1</v>
      </c>
      <c r="B102" s="480">
        <f t="shared" si="6"/>
        <v>39075542.76679185</v>
      </c>
      <c r="C102" s="1804">
        <f>33267082.1752397+2172.82036308738</f>
        <v>33269254.995602787</v>
      </c>
      <c r="D102" s="294">
        <v>5806287.7711890601</v>
      </c>
      <c r="E102" s="1807">
        <f>F102+G102</f>
        <v>38671373.532402322</v>
      </c>
      <c r="F102" s="294">
        <f>38596638.8615171+3050.6918937432</f>
        <v>38599689.553410843</v>
      </c>
      <c r="G102" s="1804">
        <v>71683.978991481461</v>
      </c>
      <c r="H102" s="294">
        <v>2122261.960544168</v>
      </c>
      <c r="I102" s="1811">
        <f t="shared" si="3"/>
        <v>841080659</v>
      </c>
      <c r="J102" s="1804">
        <f>570891576+1496155</f>
        <v>572387731</v>
      </c>
      <c r="K102" s="294">
        <v>268692928</v>
      </c>
      <c r="L102" s="1807">
        <f t="shared" si="4"/>
        <v>552199869</v>
      </c>
      <c r="M102" s="294">
        <f>507275383+350421</f>
        <v>507625804</v>
      </c>
      <c r="N102" s="1804">
        <v>44574065</v>
      </c>
      <c r="O102" s="295">
        <v>32901965</v>
      </c>
      <c r="P102" s="356">
        <v>8.0098000000000003</v>
      </c>
    </row>
    <row r="103" spans="1:16">
      <c r="A103" s="296">
        <f t="shared" si="5"/>
        <v>2014.2</v>
      </c>
      <c r="B103" s="480">
        <f t="shared" si="6"/>
        <v>44162406.809413098</v>
      </c>
      <c r="C103" s="1804">
        <f>38236773.9040589+3041.78140027736</f>
        <v>38239815.685459182</v>
      </c>
      <c r="D103" s="294">
        <v>5922591.123953918</v>
      </c>
      <c r="E103" s="1807">
        <f t="shared" si="7"/>
        <v>39772364.344791718</v>
      </c>
      <c r="F103" s="294">
        <f>39661108.6566828+2333.42358761759</f>
        <v>39663442.080270417</v>
      </c>
      <c r="G103" s="1804">
        <v>108922.26452129819</v>
      </c>
      <c r="H103" s="294">
        <v>2269766.8769866219</v>
      </c>
      <c r="I103" s="1811">
        <f t="shared" si="3"/>
        <v>888021150</v>
      </c>
      <c r="J103" s="1804">
        <f>625887369+2106083</f>
        <v>627993452</v>
      </c>
      <c r="K103" s="294">
        <v>260027698</v>
      </c>
      <c r="L103" s="1807">
        <f t="shared" si="4"/>
        <v>571181068</v>
      </c>
      <c r="M103" s="294">
        <f>525081872+760825</f>
        <v>525842697</v>
      </c>
      <c r="N103" s="1804">
        <v>45338371</v>
      </c>
      <c r="O103" s="295">
        <v>33756331</v>
      </c>
      <c r="P103" s="356">
        <v>8.1326999999999892</v>
      </c>
    </row>
    <row r="104" spans="1:16">
      <c r="A104" s="296">
        <f t="shared" si="5"/>
        <v>2014.3</v>
      </c>
      <c r="B104" s="480">
        <f t="shared" si="6"/>
        <v>45058909.949172929</v>
      </c>
      <c r="C104" s="1804">
        <f>38655361.9855806+1637.55856814546</f>
        <v>38656999.544148743</v>
      </c>
      <c r="D104" s="294">
        <v>6401910.4050241839</v>
      </c>
      <c r="E104" s="1807">
        <f t="shared" si="7"/>
        <v>42223423.451547541</v>
      </c>
      <c r="F104" s="294">
        <f>42094366.01298+112.734487828903+2333.42358761759</f>
        <v>42096812.171055451</v>
      </c>
      <c r="G104" s="1804">
        <v>126611.28049208989</v>
      </c>
      <c r="H104" s="294">
        <v>2809458.7428416209</v>
      </c>
      <c r="I104" s="1811">
        <f t="shared" si="3"/>
        <v>934853084</v>
      </c>
      <c r="J104" s="1804">
        <f>653046170+1751052</f>
        <v>654797222</v>
      </c>
      <c r="K104" s="294">
        <v>280055862</v>
      </c>
      <c r="L104" s="1807">
        <f t="shared" si="4"/>
        <v>598314725</v>
      </c>
      <c r="M104" s="294">
        <f>551929112+454090</f>
        <v>552383202</v>
      </c>
      <c r="N104" s="1804">
        <v>45931523</v>
      </c>
      <c r="O104" s="295">
        <v>38184142</v>
      </c>
      <c r="P104" s="356">
        <v>8.4642999999999908</v>
      </c>
    </row>
    <row r="105" spans="1:16">
      <c r="A105" s="296">
        <f t="shared" si="5"/>
        <v>2014.4</v>
      </c>
      <c r="B105" s="480">
        <f t="shared" si="6"/>
        <v>48645209.316699237</v>
      </c>
      <c r="C105" s="1804">
        <f>42698058.7414726+5225.15427692143</f>
        <v>42703283.895749524</v>
      </c>
      <c r="D105" s="294">
        <v>5941925.4209497115</v>
      </c>
      <c r="E105" s="1807">
        <f t="shared" si="7"/>
        <v>44757160.348511316</v>
      </c>
      <c r="F105" s="294">
        <f>44661819.1610331+1089.03355258669</f>
        <v>44662908.194585688</v>
      </c>
      <c r="G105" s="1804">
        <v>94252.153925626088</v>
      </c>
      <c r="H105" s="294">
        <v>3177650.6102307779</v>
      </c>
      <c r="I105" s="1811">
        <f t="shared" si="3"/>
        <v>1014709735</v>
      </c>
      <c r="J105" s="1804">
        <f>712149015+1392758</f>
        <v>713541773</v>
      </c>
      <c r="K105" s="294">
        <v>301167962</v>
      </c>
      <c r="L105" s="1807">
        <f t="shared" si="4"/>
        <v>638399610</v>
      </c>
      <c r="M105" s="294">
        <f>592658957+367095</f>
        <v>593026052</v>
      </c>
      <c r="N105" s="1804">
        <v>45373558</v>
      </c>
      <c r="O105" s="295">
        <v>51063319</v>
      </c>
      <c r="P105" s="356">
        <v>8.5519999999999907</v>
      </c>
    </row>
    <row r="106" spans="1:16">
      <c r="A106" s="296">
        <f t="shared" si="5"/>
        <v>2015.1</v>
      </c>
      <c r="B106" s="480">
        <f t="shared" si="6"/>
        <v>52905631.004467286</v>
      </c>
      <c r="C106" s="1804">
        <f>45360882.5042985+3295.98683916622</f>
        <v>45364178.491137668</v>
      </c>
      <c r="D106" s="294">
        <v>7541452.5133296186</v>
      </c>
      <c r="E106" s="1807">
        <f t="shared" si="7"/>
        <v>48707549.248961702</v>
      </c>
      <c r="F106" s="294">
        <f>48622195.2262194+256.604861217218</f>
        <v>48622451.831080616</v>
      </c>
      <c r="G106" s="1804">
        <v>85097.417881088288</v>
      </c>
      <c r="H106" s="294">
        <v>2954266.0832827962</v>
      </c>
      <c r="I106" s="1811">
        <f t="shared" si="3"/>
        <v>1099918767</v>
      </c>
      <c r="J106" s="1804">
        <f>770797765+1681684</f>
        <v>772479449</v>
      </c>
      <c r="K106" s="294">
        <v>327439318</v>
      </c>
      <c r="L106" s="1807">
        <f t="shared" si="4"/>
        <v>676729770</v>
      </c>
      <c r="M106" s="294">
        <f>622651179+1100034</f>
        <v>623751213</v>
      </c>
      <c r="N106" s="1804">
        <v>52978557</v>
      </c>
      <c r="O106" s="295">
        <v>45884529</v>
      </c>
      <c r="P106" s="356">
        <v>8.8196999999999903</v>
      </c>
    </row>
    <row r="107" spans="1:16">
      <c r="A107" s="296">
        <f t="shared" si="5"/>
        <v>2015.2</v>
      </c>
      <c r="B107" s="480">
        <f t="shared" si="6"/>
        <v>62067850.704023436</v>
      </c>
      <c r="C107" s="1804">
        <f>52211151.0139863+3242.1258575827</f>
        <v>52214393.139843881</v>
      </c>
      <c r="D107" s="294">
        <v>9853457.5641795509</v>
      </c>
      <c r="E107" s="1807">
        <f t="shared" si="7"/>
        <v>52272703.610108599</v>
      </c>
      <c r="F107" s="294">
        <f>51746922.2448672+518.971923732469</f>
        <v>51747441.216790929</v>
      </c>
      <c r="G107" s="1804">
        <v>525262.39331767301</v>
      </c>
      <c r="H107" s="294">
        <v>3100608.8769606403</v>
      </c>
      <c r="I107" s="1811">
        <f t="shared" si="3"/>
        <v>1194287349</v>
      </c>
      <c r="J107" s="1804">
        <f>864858625+2085376</f>
        <v>866944001</v>
      </c>
      <c r="K107" s="294">
        <v>327343348</v>
      </c>
      <c r="L107" s="1807">
        <f t="shared" si="4"/>
        <v>730082088</v>
      </c>
      <c r="M107" s="294">
        <f>672993804+2818991</f>
        <v>675812795</v>
      </c>
      <c r="N107" s="1804">
        <v>54269293</v>
      </c>
      <c r="O107" s="295">
        <v>48422027</v>
      </c>
      <c r="P107" s="356">
        <v>9.0864999999999903</v>
      </c>
    </row>
    <row r="108" spans="1:16">
      <c r="A108" s="296">
        <f t="shared" si="5"/>
        <v>2015.3</v>
      </c>
      <c r="B108" s="480">
        <f t="shared" si="6"/>
        <v>63635324.028387427</v>
      </c>
      <c r="C108" s="1804">
        <f>54290718.9595369+2919.1775233472</f>
        <v>54293638.137060247</v>
      </c>
      <c r="D108" s="294">
        <v>9341685.8913271818</v>
      </c>
      <c r="E108" s="1807">
        <f t="shared" si="7"/>
        <v>57228728.974945307</v>
      </c>
      <c r="F108" s="294">
        <f>56660043.4840025+6612.06310519991</f>
        <v>56666655.547107704</v>
      </c>
      <c r="G108" s="1804">
        <v>562073.4278376007</v>
      </c>
      <c r="H108" s="294">
        <v>2658826.3998805159</v>
      </c>
      <c r="I108" s="1811">
        <f t="shared" si="3"/>
        <v>1251447859</v>
      </c>
      <c r="J108" s="1804">
        <f>909023623+1540793</f>
        <v>910564416</v>
      </c>
      <c r="K108" s="294">
        <v>340883443</v>
      </c>
      <c r="L108" s="1807">
        <f t="shared" si="4"/>
        <v>773696867</v>
      </c>
      <c r="M108" s="294">
        <f>722796319+456187</f>
        <v>723252506</v>
      </c>
      <c r="N108" s="1804">
        <v>50444361</v>
      </c>
      <c r="O108" s="295">
        <v>46673937.999999993</v>
      </c>
      <c r="P108" s="356">
        <v>9.4192</v>
      </c>
    </row>
    <row r="109" spans="1:16">
      <c r="A109" s="296">
        <f t="shared" si="5"/>
        <v>2015.4</v>
      </c>
      <c r="B109" s="480">
        <f t="shared" si="6"/>
        <v>68863325.837429166</v>
      </c>
      <c r="C109" s="1804">
        <f>62034063.560939+2891.28489375808</f>
        <v>62036954.845832758</v>
      </c>
      <c r="D109" s="294">
        <v>6826370.9915964101</v>
      </c>
      <c r="E109" s="1807">
        <f t="shared" si="7"/>
        <v>63496443.726997368</v>
      </c>
      <c r="F109" s="294">
        <f>63410357.3239343+7947.75934594197</f>
        <v>63418305.083280243</v>
      </c>
      <c r="G109" s="1804">
        <v>78138.643717125771</v>
      </c>
      <c r="H109" s="294">
        <v>4072558.2176210135</v>
      </c>
      <c r="I109" s="1811">
        <f t="shared" si="3"/>
        <v>1387840817</v>
      </c>
      <c r="J109" s="1804">
        <f>1048727719+2153194</f>
        <v>1050880913</v>
      </c>
      <c r="K109" s="294">
        <v>336959904</v>
      </c>
      <c r="L109" s="1807">
        <f t="shared" si="4"/>
        <v>875925037</v>
      </c>
      <c r="M109" s="294">
        <f>812732000+300025</f>
        <v>813032025</v>
      </c>
      <c r="N109" s="1804">
        <v>62893012</v>
      </c>
      <c r="O109" s="295">
        <v>73453133</v>
      </c>
      <c r="P109" s="356">
        <v>13.005000000000001</v>
      </c>
    </row>
    <row r="110" spans="1:16">
      <c r="A110" s="296">
        <f t="shared" si="5"/>
        <v>2016.1</v>
      </c>
      <c r="B110" s="480">
        <f t="shared" si="6"/>
        <v>80282788.385360539</v>
      </c>
      <c r="C110" s="1804">
        <f>67670758.5810491+5185.85581527518</f>
        <v>67675944.436864376</v>
      </c>
      <c r="D110" s="294">
        <v>12606843.948496163</v>
      </c>
      <c r="E110" s="1807">
        <f t="shared" si="7"/>
        <v>65984829.67689079</v>
      </c>
      <c r="F110" s="294">
        <f>65185654.4950392+8517.74476172131</f>
        <v>65194172.239800923</v>
      </c>
      <c r="G110" s="1804">
        <v>790657.4370898701</v>
      </c>
      <c r="H110" s="294">
        <v>3573111.9994604765</v>
      </c>
      <c r="I110" s="1811">
        <f t="shared" ref="I110:I129" si="8">J110+K110</f>
        <v>1479443852</v>
      </c>
      <c r="J110" s="1804">
        <f>1106851829+2110925</f>
        <v>1108962754</v>
      </c>
      <c r="K110" s="294">
        <v>370481098.00000006</v>
      </c>
      <c r="L110" s="1807">
        <f t="shared" ref="L110:L129" si="9">M110+N110</f>
        <v>892713490</v>
      </c>
      <c r="M110" s="294">
        <f>831277243+675198</f>
        <v>831952441</v>
      </c>
      <c r="N110" s="1804">
        <v>60761049</v>
      </c>
      <c r="O110" s="295">
        <v>70037557</v>
      </c>
      <c r="P110" s="356">
        <v>14.5817</v>
      </c>
    </row>
    <row r="111" spans="1:16">
      <c r="A111" s="296">
        <f t="shared" si="5"/>
        <v>2016.2</v>
      </c>
      <c r="B111" s="480">
        <f t="shared" si="6"/>
        <v>92804924.372775212</v>
      </c>
      <c r="C111" s="1804">
        <f>77370026.6360943+4974.58182051843</f>
        <v>77375001.21791482</v>
      </c>
      <c r="D111" s="294">
        <v>15429923.154860398</v>
      </c>
      <c r="E111" s="1807">
        <f t="shared" si="7"/>
        <v>70146204.256903112</v>
      </c>
      <c r="F111" s="294">
        <f>69353623.0897801+1580.34069283001</f>
        <v>69355203.43047294</v>
      </c>
      <c r="G111" s="1804">
        <v>791000.82643016987</v>
      </c>
      <c r="H111" s="294">
        <v>3368828.8634150024</v>
      </c>
      <c r="I111" s="1811">
        <f t="shared" si="8"/>
        <v>1608113530</v>
      </c>
      <c r="J111" s="1804">
        <f>1183328995+2579638</f>
        <v>1185908633</v>
      </c>
      <c r="K111" s="294">
        <v>422204897</v>
      </c>
      <c r="L111" s="1807">
        <f t="shared" si="9"/>
        <v>958609127</v>
      </c>
      <c r="M111" s="294">
        <f>889843756+834527</f>
        <v>890678283</v>
      </c>
      <c r="N111" s="1804">
        <v>67930844</v>
      </c>
      <c r="O111" s="295">
        <v>63294685</v>
      </c>
      <c r="P111" s="356">
        <v>14.92</v>
      </c>
    </row>
    <row r="112" spans="1:16">
      <c r="A112" s="296">
        <f t="shared" si="5"/>
        <v>2016.3</v>
      </c>
      <c r="B112" s="480">
        <f t="shared" si="6"/>
        <v>99313167.300612926</v>
      </c>
      <c r="C112" s="1804">
        <f>83321286.3121982+5164.91050772078</f>
        <v>83326451.22270593</v>
      </c>
      <c r="D112" s="294">
        <v>15986716.07790699</v>
      </c>
      <c r="E112" s="1807">
        <f t="shared" si="7"/>
        <v>73617117.830232427</v>
      </c>
      <c r="F112" s="294">
        <f>72869940.6335063+6966.96274383167</f>
        <v>72876907.596250132</v>
      </c>
      <c r="G112" s="1804">
        <v>740210.23398229224</v>
      </c>
      <c r="H112" s="294">
        <v>3762652.1779257562</v>
      </c>
      <c r="I112" s="1811">
        <f t="shared" si="8"/>
        <v>1661746371</v>
      </c>
      <c r="J112" s="1804">
        <f>1247342540+3720677</f>
        <v>1251063217</v>
      </c>
      <c r="K112" s="294">
        <v>410683154</v>
      </c>
      <c r="L112" s="1807">
        <f t="shared" si="9"/>
        <v>1015359965</v>
      </c>
      <c r="M112" s="294">
        <f>947264340+1318451</f>
        <v>948582791</v>
      </c>
      <c r="N112" s="1804">
        <v>66777174</v>
      </c>
      <c r="O112" s="295">
        <v>65495865</v>
      </c>
      <c r="P112" s="356">
        <v>15.2632999999999</v>
      </c>
    </row>
    <row r="113" spans="1:16">
      <c r="A113" s="296">
        <f t="shared" si="5"/>
        <v>2016.4</v>
      </c>
      <c r="B113" s="480">
        <f t="shared" si="6"/>
        <v>115001208.82813765</v>
      </c>
      <c r="C113" s="1804">
        <f>99286107.9424592+5287.70945636909</f>
        <v>99291395.651915565</v>
      </c>
      <c r="D113" s="294">
        <v>15709813.176222084</v>
      </c>
      <c r="E113" s="1807">
        <f t="shared" si="7"/>
        <v>83524037.994382203</v>
      </c>
      <c r="F113" s="294">
        <f>83383462.7159692+7575.58112636431</f>
        <v>83391038.297095567</v>
      </c>
      <c r="G113" s="1804">
        <v>132999.69728663226</v>
      </c>
      <c r="H113" s="294">
        <v>5145824.1611116873</v>
      </c>
      <c r="I113" s="1811">
        <f t="shared" si="8"/>
        <v>1988654637</v>
      </c>
      <c r="J113" s="1804">
        <f>1510069447+3471631</f>
        <v>1513541078</v>
      </c>
      <c r="K113" s="294">
        <v>475113559</v>
      </c>
      <c r="L113" s="1807">
        <f t="shared" si="9"/>
        <v>1106277275</v>
      </c>
      <c r="M113" s="294">
        <f>1060617509+1674010</f>
        <v>1062291519</v>
      </c>
      <c r="N113" s="1804">
        <v>43985756.000000007</v>
      </c>
      <c r="O113" s="295">
        <v>120652599</v>
      </c>
      <c r="P113" s="356">
        <v>15.8501999999999</v>
      </c>
    </row>
    <row r="114" spans="1:16">
      <c r="A114" s="296">
        <f t="shared" si="5"/>
        <v>2017.1</v>
      </c>
      <c r="B114" s="480">
        <f t="shared" si="6"/>
        <v>127346480.25499913</v>
      </c>
      <c r="C114" s="1804">
        <v>101412850.92552426</v>
      </c>
      <c r="D114" s="294">
        <v>25933629.329474874</v>
      </c>
      <c r="E114" s="1807">
        <f t="shared" si="7"/>
        <v>89048280.600410506</v>
      </c>
      <c r="F114" s="294">
        <v>88756896.855190009</v>
      </c>
      <c r="G114" s="1804">
        <v>291383.74522050406</v>
      </c>
      <c r="H114" s="294">
        <v>4673179.7441787161</v>
      </c>
      <c r="I114" s="1811">
        <f t="shared" si="8"/>
        <v>2172185034</v>
      </c>
      <c r="J114" s="1804">
        <v>1536274828</v>
      </c>
      <c r="K114" s="294">
        <v>635910206</v>
      </c>
      <c r="L114" s="1807">
        <f t="shared" si="9"/>
        <v>1161680536</v>
      </c>
      <c r="M114" s="294">
        <v>1122833152</v>
      </c>
      <c r="N114" s="1804">
        <v>38847384</v>
      </c>
      <c r="O114" s="295">
        <v>112141602</v>
      </c>
      <c r="P114" s="356">
        <v>15.3818</v>
      </c>
    </row>
    <row r="115" spans="1:16">
      <c r="A115" s="296">
        <f t="shared" si="5"/>
        <v>2017.2</v>
      </c>
      <c r="B115" s="480">
        <f t="shared" si="6"/>
        <v>135970136.33301803</v>
      </c>
      <c r="C115" s="1804">
        <v>111221805.70265301</v>
      </c>
      <c r="D115" s="294">
        <v>24748330.630365029</v>
      </c>
      <c r="E115" s="1807">
        <f t="shared" si="7"/>
        <v>95908609.212760165</v>
      </c>
      <c r="F115" s="294">
        <v>95613170.689912349</v>
      </c>
      <c r="G115" s="1804">
        <v>295438.52284782275</v>
      </c>
      <c r="H115" s="294">
        <v>5255639.6790866535</v>
      </c>
      <c r="I115" s="1811">
        <f t="shared" si="8"/>
        <v>2173114507</v>
      </c>
      <c r="J115" s="1804">
        <v>1644529544.0000002</v>
      </c>
      <c r="K115" s="294">
        <v>528584962.99999994</v>
      </c>
      <c r="L115" s="1807">
        <f t="shared" si="9"/>
        <v>1288479115</v>
      </c>
      <c r="M115" s="294">
        <v>1251806144</v>
      </c>
      <c r="N115" s="1804">
        <v>36672971</v>
      </c>
      <c r="O115" s="295">
        <v>93238465</v>
      </c>
      <c r="P115" s="356">
        <v>16.598500000000001</v>
      </c>
    </row>
    <row r="116" spans="1:16">
      <c r="A116" s="296">
        <f t="shared" si="5"/>
        <v>2017.3</v>
      </c>
      <c r="B116" s="480">
        <f t="shared" si="6"/>
        <v>138932636.70755723</v>
      </c>
      <c r="C116" s="1804">
        <v>114629762.10545391</v>
      </c>
      <c r="D116" s="294">
        <v>24302874.602103312</v>
      </c>
      <c r="E116" s="1807">
        <f t="shared" si="7"/>
        <v>110353018.87437564</v>
      </c>
      <c r="F116" s="294">
        <v>109357877.01932335</v>
      </c>
      <c r="G116" s="1804">
        <v>995141.85505229072</v>
      </c>
      <c r="H116" s="294">
        <v>5590110.9819066199</v>
      </c>
      <c r="I116" s="1811">
        <f t="shared" si="8"/>
        <v>2294915295</v>
      </c>
      <c r="J116" s="1804">
        <v>1713898709</v>
      </c>
      <c r="K116" s="294">
        <v>581016586</v>
      </c>
      <c r="L116" s="1807">
        <f t="shared" si="9"/>
        <v>1452570194</v>
      </c>
      <c r="M116" s="294">
        <v>1418377060</v>
      </c>
      <c r="N116" s="1804">
        <v>34193134</v>
      </c>
      <c r="O116" s="295">
        <v>92421238</v>
      </c>
      <c r="P116" s="356">
        <v>17.318300000000001</v>
      </c>
    </row>
    <row r="117" spans="1:16">
      <c r="A117" s="296">
        <f t="shared" si="5"/>
        <v>2017.4</v>
      </c>
      <c r="B117" s="480">
        <f>C117+D117</f>
        <v>149446478.77519566</v>
      </c>
      <c r="C117" s="1804">
        <v>129653020.23765101</v>
      </c>
      <c r="D117" s="294">
        <v>19793458.537544642</v>
      </c>
      <c r="E117" s="1807">
        <f t="shared" si="7"/>
        <v>126880560.64647692</v>
      </c>
      <c r="F117" s="294">
        <v>126672908.11299083</v>
      </c>
      <c r="G117" s="1804">
        <v>207652.53348609898</v>
      </c>
      <c r="H117" s="294">
        <v>7065203.3929790324</v>
      </c>
      <c r="I117" s="1811">
        <f t="shared" si="8"/>
        <v>2578876834</v>
      </c>
      <c r="J117" s="1804">
        <v>1960474335</v>
      </c>
      <c r="K117" s="294">
        <v>618402499</v>
      </c>
      <c r="L117" s="1807">
        <f t="shared" si="9"/>
        <v>1642600434.0000002</v>
      </c>
      <c r="M117" s="294">
        <v>1612860766.0000002</v>
      </c>
      <c r="N117" s="1804">
        <v>29739668</v>
      </c>
      <c r="O117" s="295">
        <v>132988897</v>
      </c>
      <c r="P117" s="356">
        <v>18.7742</v>
      </c>
    </row>
    <row r="118" spans="1:16" s="693" customFormat="1">
      <c r="A118" s="296">
        <f t="shared" si="5"/>
        <v>2018.1</v>
      </c>
      <c r="B118" s="480">
        <f t="shared" si="6"/>
        <v>153472177.07733613</v>
      </c>
      <c r="C118" s="1804">
        <v>132887153.74676831</v>
      </c>
      <c r="D118" s="294">
        <v>20585023.330567818</v>
      </c>
      <c r="E118" s="1807">
        <f t="shared" si="7"/>
        <v>137628821.08098099</v>
      </c>
      <c r="F118" s="294">
        <v>137393362.27946123</v>
      </c>
      <c r="G118" s="1804">
        <v>235458.80151974154</v>
      </c>
      <c r="H118" s="294">
        <v>6948093.407279701</v>
      </c>
      <c r="I118" s="1811">
        <f t="shared" si="8"/>
        <v>2836521020</v>
      </c>
      <c r="J118" s="1804">
        <v>2026693101.0000002</v>
      </c>
      <c r="K118" s="294">
        <v>809827919</v>
      </c>
      <c r="L118" s="1807">
        <f t="shared" si="9"/>
        <v>1783697559.0000002</v>
      </c>
      <c r="M118" s="294">
        <v>1754509527.0000002</v>
      </c>
      <c r="N118" s="1804">
        <v>29188032</v>
      </c>
      <c r="O118" s="295">
        <v>127836559</v>
      </c>
      <c r="P118" s="356">
        <v>20.1433</v>
      </c>
    </row>
    <row r="119" spans="1:16">
      <c r="A119" s="296">
        <f t="shared" si="5"/>
        <v>2018.2</v>
      </c>
      <c r="B119" s="480">
        <f t="shared" si="6"/>
        <v>183488649.89920896</v>
      </c>
      <c r="C119" s="1804">
        <f>157400397.730255+11043.9140658636</f>
        <v>157411441.64432088</v>
      </c>
      <c r="D119" s="294">
        <v>26077208.254888099</v>
      </c>
      <c r="E119" s="1807">
        <f>F119+G119</f>
        <v>167255925.48078871</v>
      </c>
      <c r="F119" s="294">
        <v>166811468.575701</v>
      </c>
      <c r="G119" s="1804">
        <v>444456.90508769703</v>
      </c>
      <c r="H119" s="294">
        <v>7223077.6569863297</v>
      </c>
      <c r="I119" s="1811">
        <f t="shared" si="8"/>
        <v>3324135399</v>
      </c>
      <c r="J119" s="1804">
        <f>2384085380+23530172</f>
        <v>2407615552</v>
      </c>
      <c r="K119" s="294">
        <v>916519847</v>
      </c>
      <c r="L119" s="1807">
        <f t="shared" si="9"/>
        <v>2042608244</v>
      </c>
      <c r="M119" s="294">
        <f>2008661542+2730745</f>
        <v>2011392287</v>
      </c>
      <c r="N119" s="1804">
        <v>31215957</v>
      </c>
      <c r="O119" s="295">
        <v>146430375</v>
      </c>
      <c r="P119" s="356">
        <v>28.861699999999999</v>
      </c>
    </row>
    <row r="120" spans="1:16">
      <c r="A120" s="296">
        <f t="shared" si="5"/>
        <v>2018.3</v>
      </c>
      <c r="B120" s="480">
        <f t="shared" si="6"/>
        <v>205036263.99408653</v>
      </c>
      <c r="C120" s="1804">
        <v>177339996.29581702</v>
      </c>
      <c r="D120" s="294">
        <v>27696267.698269527</v>
      </c>
      <c r="E120" s="1807">
        <f t="shared" si="7"/>
        <v>180963288.06057227</v>
      </c>
      <c r="F120" s="294">
        <v>180559512.42434791</v>
      </c>
      <c r="G120" s="1804">
        <v>403775.63622435613</v>
      </c>
      <c r="H120" s="294">
        <v>9078555.8342444189</v>
      </c>
      <c r="I120" s="1811">
        <f t="shared" si="8"/>
        <v>3948760374</v>
      </c>
      <c r="J120" s="1804">
        <v>2854540869</v>
      </c>
      <c r="K120" s="294">
        <v>1094219505</v>
      </c>
      <c r="L120" s="1807">
        <f t="shared" si="9"/>
        <v>2267515046</v>
      </c>
      <c r="M120" s="294">
        <v>2236618259</v>
      </c>
      <c r="N120" s="1804">
        <v>30896787</v>
      </c>
      <c r="O120" s="295">
        <v>192445337</v>
      </c>
      <c r="P120" s="356">
        <v>40.896700000000003</v>
      </c>
    </row>
    <row r="121" spans="1:16">
      <c r="A121" s="296">
        <f t="shared" si="5"/>
        <v>2018.4</v>
      </c>
      <c r="B121" s="480">
        <f t="shared" si="6"/>
        <v>224508523.37625727</v>
      </c>
      <c r="C121" s="1804">
        <v>193270700.242457</v>
      </c>
      <c r="D121" s="294">
        <v>31237823.133800268</v>
      </c>
      <c r="E121" s="1807">
        <f t="shared" si="7"/>
        <v>173455016.97612548</v>
      </c>
      <c r="F121" s="294">
        <v>173072971.2466155</v>
      </c>
      <c r="G121" s="1804">
        <v>382045.72950999241</v>
      </c>
      <c r="H121" s="294">
        <v>9907454.1388376392</v>
      </c>
      <c r="I121" s="1811">
        <f t="shared" si="8"/>
        <v>4201097633</v>
      </c>
      <c r="J121" s="1804">
        <v>3163106118</v>
      </c>
      <c r="K121" s="294">
        <v>1037991515</v>
      </c>
      <c r="L121" s="1807">
        <f t="shared" si="9"/>
        <v>2181123709</v>
      </c>
      <c r="M121" s="294">
        <v>2151073991</v>
      </c>
      <c r="N121" s="1804">
        <v>30049718</v>
      </c>
      <c r="O121" s="295">
        <v>306385891</v>
      </c>
      <c r="P121" s="356">
        <v>37.808300000000003</v>
      </c>
    </row>
    <row r="122" spans="1:16">
      <c r="A122" s="296">
        <f t="shared" si="5"/>
        <v>2019.1</v>
      </c>
      <c r="B122" s="480">
        <f t="shared" si="6"/>
        <v>240413916.55221501</v>
      </c>
      <c r="C122" s="1804">
        <v>210144599.67193446</v>
      </c>
      <c r="D122" s="294">
        <v>30269316.880280551</v>
      </c>
      <c r="E122" s="1807">
        <f t="shared" si="7"/>
        <v>178425677.57189858</v>
      </c>
      <c r="F122" s="294">
        <v>178073371.68210903</v>
      </c>
      <c r="G122" s="1804">
        <v>352305.88978953881</v>
      </c>
      <c r="H122" s="294">
        <v>8638174.2691452391</v>
      </c>
      <c r="I122" s="1811">
        <f t="shared" si="8"/>
        <v>4493650812</v>
      </c>
      <c r="J122" s="1804">
        <v>3514537702</v>
      </c>
      <c r="K122" s="294">
        <v>979113110</v>
      </c>
      <c r="L122" s="1807">
        <f t="shared" si="9"/>
        <v>2247348047.9999995</v>
      </c>
      <c r="M122" s="294">
        <v>2219059957.9999995</v>
      </c>
      <c r="N122" s="1804">
        <v>28288090</v>
      </c>
      <c r="O122" s="295">
        <v>272369205</v>
      </c>
      <c r="P122" s="356">
        <v>43.353299999999997</v>
      </c>
    </row>
    <row r="123" spans="1:16">
      <c r="A123" s="296">
        <f t="shared" si="5"/>
        <v>2019.2</v>
      </c>
      <c r="B123" s="480">
        <f t="shared" si="6"/>
        <v>266179624.73180771</v>
      </c>
      <c r="C123" s="1804">
        <v>236265626.49866071</v>
      </c>
      <c r="D123" s="294">
        <v>29913998.23314698</v>
      </c>
      <c r="E123" s="1807">
        <f t="shared" si="7"/>
        <v>174971353.81814757</v>
      </c>
      <c r="F123" s="294">
        <v>174092815.08166873</v>
      </c>
      <c r="G123" s="1804">
        <v>878538.73647883534</v>
      </c>
      <c r="H123" s="294">
        <v>8614778.1747847162</v>
      </c>
      <c r="I123" s="1811">
        <f t="shared" si="8"/>
        <v>4656399798</v>
      </c>
      <c r="J123" s="1804">
        <v>3755354029</v>
      </c>
      <c r="K123" s="294">
        <v>901045769</v>
      </c>
      <c r="L123" s="1807">
        <f t="shared" si="9"/>
        <v>2243927890</v>
      </c>
      <c r="M123" s="294">
        <v>2213786300</v>
      </c>
      <c r="N123" s="1804">
        <v>30141589.999999996</v>
      </c>
      <c r="O123" s="295">
        <v>245893334</v>
      </c>
      <c r="P123" s="356">
        <v>42.448300000000003</v>
      </c>
    </row>
    <row r="124" spans="1:16">
      <c r="A124" s="296">
        <f t="shared" si="5"/>
        <v>2019.3</v>
      </c>
      <c r="B124" s="480">
        <f t="shared" si="6"/>
        <v>271787996.18333483</v>
      </c>
      <c r="C124" s="1804">
        <v>239422109.33539972</v>
      </c>
      <c r="D124" s="294">
        <v>32365886.84793511</v>
      </c>
      <c r="E124" s="1807">
        <f t="shared" si="7"/>
        <v>202962228.40727454</v>
      </c>
      <c r="F124" s="294">
        <v>202414962.38200682</v>
      </c>
      <c r="G124" s="1804">
        <v>547266.0252677073</v>
      </c>
      <c r="H124" s="294">
        <v>13854787.592490651</v>
      </c>
      <c r="I124" s="1811">
        <f t="shared" si="8"/>
        <v>4705436948</v>
      </c>
      <c r="J124" s="1804">
        <v>3734226819.0000005</v>
      </c>
      <c r="K124" s="294">
        <v>971210129</v>
      </c>
      <c r="L124" s="1807">
        <f t="shared" si="9"/>
        <v>2463416382</v>
      </c>
      <c r="M124" s="294">
        <v>2429806670</v>
      </c>
      <c r="N124" s="1804">
        <v>33609712</v>
      </c>
      <c r="O124" s="295">
        <v>310351481</v>
      </c>
      <c r="P124" s="356">
        <v>57.558300000000003</v>
      </c>
    </row>
    <row r="125" spans="1:16">
      <c r="A125" s="296">
        <f t="shared" si="5"/>
        <v>2019.4</v>
      </c>
      <c r="B125" s="480">
        <f t="shared" si="6"/>
        <v>285378137.7077353</v>
      </c>
      <c r="C125" s="1804">
        <v>250383668.78165802</v>
      </c>
      <c r="D125" s="294">
        <v>34994468.926077269</v>
      </c>
      <c r="E125" s="1807">
        <f t="shared" si="7"/>
        <v>204308929.20529664</v>
      </c>
      <c r="F125" s="294">
        <v>203785367.31383529</v>
      </c>
      <c r="G125" s="1804">
        <v>523561.89146133838</v>
      </c>
      <c r="H125" s="294">
        <v>17668192.143961251</v>
      </c>
      <c r="I125" s="1811">
        <f t="shared" si="8"/>
        <v>5069002965</v>
      </c>
      <c r="J125" s="1804">
        <v>4004278450</v>
      </c>
      <c r="K125" s="294">
        <v>1064724515.0000001</v>
      </c>
      <c r="L125" s="1807">
        <f t="shared" si="9"/>
        <v>2560485520</v>
      </c>
      <c r="M125" s="294">
        <v>2484211127</v>
      </c>
      <c r="N125" s="1804">
        <v>76274393</v>
      </c>
      <c r="O125" s="295">
        <v>404608248</v>
      </c>
      <c r="P125" s="356">
        <v>59.895000000000003</v>
      </c>
    </row>
    <row r="126" spans="1:16">
      <c r="A126" s="296">
        <f t="shared" si="5"/>
        <v>2020.1</v>
      </c>
      <c r="B126" s="480">
        <f t="shared" si="6"/>
        <v>335297553.94999313</v>
      </c>
      <c r="C126" s="1804">
        <v>284827986.2066251</v>
      </c>
      <c r="D126" s="294">
        <v>50469567.743368059</v>
      </c>
      <c r="E126" s="1807">
        <f t="shared" si="7"/>
        <v>206978236.76980266</v>
      </c>
      <c r="F126" s="294">
        <v>206453502.63224131</v>
      </c>
      <c r="G126" s="1804">
        <v>524734.13756134966</v>
      </c>
      <c r="H126" s="294">
        <v>16075743.470623776</v>
      </c>
      <c r="I126" s="1811">
        <f t="shared" si="8"/>
        <v>5868785442</v>
      </c>
      <c r="J126" s="1804">
        <v>4709238454</v>
      </c>
      <c r="K126" s="294">
        <v>1159546988</v>
      </c>
      <c r="L126" s="1807">
        <f t="shared" si="9"/>
        <v>2638605385</v>
      </c>
      <c r="M126" s="294">
        <v>2561693461</v>
      </c>
      <c r="N126" s="1804">
        <v>76911924</v>
      </c>
      <c r="O126" s="295">
        <v>400473356</v>
      </c>
      <c r="P126" s="356">
        <v>64.469700000000003</v>
      </c>
    </row>
    <row r="127" spans="1:16">
      <c r="A127" s="296">
        <f t="shared" si="5"/>
        <v>2020.2</v>
      </c>
      <c r="B127" s="480">
        <f t="shared" si="6"/>
        <v>404474559.64724529</v>
      </c>
      <c r="C127" s="1804">
        <v>336323392.33310556</v>
      </c>
      <c r="D127" s="294">
        <v>68151167.314139694</v>
      </c>
      <c r="E127" s="1807">
        <f t="shared" si="7"/>
        <v>234315141.59248117</v>
      </c>
      <c r="F127" s="294">
        <v>228571517.42751828</v>
      </c>
      <c r="G127" s="1804">
        <v>5743624.1649628878</v>
      </c>
      <c r="H127" s="294">
        <v>18607697.612361297</v>
      </c>
      <c r="I127" s="1811">
        <f t="shared" si="8"/>
        <v>6947710481</v>
      </c>
      <c r="J127" s="1804">
        <v>5580952422</v>
      </c>
      <c r="K127" s="294">
        <v>1366758059</v>
      </c>
      <c r="L127" s="1807">
        <f t="shared" si="9"/>
        <v>2829809128</v>
      </c>
      <c r="M127" s="294">
        <v>2774775784</v>
      </c>
      <c r="N127" s="1804">
        <v>55033344</v>
      </c>
      <c r="O127" s="295">
        <v>392366630</v>
      </c>
      <c r="P127" s="356">
        <v>70.454999999999998</v>
      </c>
    </row>
    <row r="128" spans="1:16">
      <c r="A128" s="296">
        <f t="shared" si="5"/>
        <v>2020.3</v>
      </c>
      <c r="B128" s="480">
        <f t="shared" si="6"/>
        <v>420146400.29147094</v>
      </c>
      <c r="C128" s="1804">
        <v>343592190.79881501</v>
      </c>
      <c r="D128" s="294">
        <v>76554209.492655948</v>
      </c>
      <c r="E128" s="1807">
        <f t="shared" si="7"/>
        <v>255188545.69622228</v>
      </c>
      <c r="F128" s="294">
        <v>249603510.29164332</v>
      </c>
      <c r="G128" s="1804">
        <v>5585035.4045789409</v>
      </c>
      <c r="H128" s="294">
        <v>16980232.523589257</v>
      </c>
      <c r="I128" s="1811">
        <f t="shared" si="8"/>
        <v>7610319234</v>
      </c>
      <c r="J128" s="1804">
        <v>5978626904</v>
      </c>
      <c r="K128" s="294">
        <v>1631692330</v>
      </c>
      <c r="L128" s="1807">
        <f t="shared" si="9"/>
        <v>2986541822</v>
      </c>
      <c r="M128" s="294">
        <v>2935670804</v>
      </c>
      <c r="N128" s="1804">
        <v>50871018</v>
      </c>
      <c r="O128" s="295">
        <v>366742367</v>
      </c>
      <c r="P128" s="356">
        <v>76.174999999999997</v>
      </c>
    </row>
    <row r="129" spans="1:16">
      <c r="A129" s="296">
        <f t="shared" si="5"/>
        <v>2020.4</v>
      </c>
      <c r="B129" s="480">
        <f t="shared" si="6"/>
        <v>464726039.42605883</v>
      </c>
      <c r="C129" s="1804">
        <v>373734693.41945225</v>
      </c>
      <c r="D129" s="294">
        <v>90991346.006606579</v>
      </c>
      <c r="E129" s="1807">
        <f t="shared" si="7"/>
        <v>284439418.506841</v>
      </c>
      <c r="F129" s="294">
        <v>274866631.87877703</v>
      </c>
      <c r="G129" s="1804">
        <v>9572786.6280639749</v>
      </c>
      <c r="H129" s="294">
        <v>28088570.874568835</v>
      </c>
      <c r="I129" s="1811">
        <f t="shared" si="8"/>
        <v>8349463731</v>
      </c>
      <c r="J129" s="1804">
        <v>6520626616</v>
      </c>
      <c r="K129" s="294">
        <v>1828837115</v>
      </c>
      <c r="L129" s="1807">
        <f t="shared" si="9"/>
        <v>3292026492</v>
      </c>
      <c r="M129" s="294">
        <v>3225773424</v>
      </c>
      <c r="N129" s="1804">
        <v>66253068</v>
      </c>
      <c r="O129" s="295">
        <v>582482594</v>
      </c>
      <c r="P129" s="356">
        <v>84.144999999999996</v>
      </c>
    </row>
    <row r="130" spans="1:16">
      <c r="A130" s="296">
        <f t="shared" si="5"/>
        <v>2021.1</v>
      </c>
      <c r="B130" s="480">
        <f t="shared" ref="B130:B149" si="10">C130+D130</f>
        <v>498274144.38278592</v>
      </c>
      <c r="C130" s="1804">
        <v>405870044.33781356</v>
      </c>
      <c r="D130" s="294">
        <v>92404100.04497239</v>
      </c>
      <c r="E130" s="1807">
        <f t="shared" ref="E130:E149" si="11">F130+G130</f>
        <v>298904726.25614113</v>
      </c>
      <c r="F130" s="294">
        <v>289055829.2269792</v>
      </c>
      <c r="G130" s="1804">
        <v>9848897.0291619301</v>
      </c>
      <c r="H130" s="294">
        <v>23172289.257177781</v>
      </c>
      <c r="I130" s="1811">
        <f t="shared" ref="I130:I149" si="12">J130+K130</f>
        <v>9048061777</v>
      </c>
      <c r="J130" s="1804">
        <v>7105990319</v>
      </c>
      <c r="K130" s="294">
        <v>1942071458</v>
      </c>
      <c r="L130" s="1807">
        <f t="shared" ref="L130:L149" si="13">M130+N130</f>
        <v>3423750712</v>
      </c>
      <c r="M130" s="294">
        <v>3363283611</v>
      </c>
      <c r="N130" s="1804">
        <v>60467101</v>
      </c>
      <c r="O130" s="295">
        <v>512203028</v>
      </c>
      <c r="P130" s="356">
        <v>91.984999999999999</v>
      </c>
    </row>
    <row r="131" spans="1:16" s="693" customFormat="1">
      <c r="A131" s="296">
        <f t="shared" si="5"/>
        <v>2021.2</v>
      </c>
      <c r="B131" s="480">
        <f t="shared" si="10"/>
        <v>584836439.73702919</v>
      </c>
      <c r="C131" s="1804">
        <v>475019989.31120896</v>
      </c>
      <c r="D131" s="294">
        <v>109816450.42582025</v>
      </c>
      <c r="E131" s="1807">
        <f t="shared" si="11"/>
        <v>280644787.91494286</v>
      </c>
      <c r="F131" s="294">
        <v>271742963.56871349</v>
      </c>
      <c r="G131" s="1804">
        <v>8901824.3462293725</v>
      </c>
      <c r="H131" s="294">
        <v>20109153.470136326</v>
      </c>
      <c r="I131" s="1811">
        <f t="shared" si="12"/>
        <v>10212551585</v>
      </c>
      <c r="J131" s="1804">
        <v>7962865260</v>
      </c>
      <c r="K131" s="294">
        <v>2249686325</v>
      </c>
      <c r="L131" s="1807">
        <f t="shared" si="13"/>
        <v>3676968027.9999995</v>
      </c>
      <c r="M131" s="294">
        <v>3604147284.9999995</v>
      </c>
      <c r="N131" s="1804">
        <v>72820743</v>
      </c>
      <c r="O131" s="295">
        <v>489748276</v>
      </c>
      <c r="P131" s="356">
        <v>95.726699999999994</v>
      </c>
    </row>
    <row r="132" spans="1:16">
      <c r="A132" s="296">
        <f t="shared" si="5"/>
        <v>2021.3</v>
      </c>
      <c r="B132" s="480">
        <f t="shared" si="10"/>
        <v>633215763.77269506</v>
      </c>
      <c r="C132" s="1804">
        <v>504291631.0091449</v>
      </c>
      <c r="D132" s="294">
        <v>128924132.7635501</v>
      </c>
      <c r="E132" s="1807">
        <f t="shared" si="11"/>
        <v>349338503.33084792</v>
      </c>
      <c r="F132" s="294">
        <v>340858768.92813408</v>
      </c>
      <c r="G132" s="1804">
        <v>8479734.4027138613</v>
      </c>
      <c r="H132" s="294">
        <v>22463209.014773518</v>
      </c>
      <c r="I132" s="1811">
        <f t="shared" si="12"/>
        <v>11205609837</v>
      </c>
      <c r="J132" s="1804">
        <v>8734980589</v>
      </c>
      <c r="K132" s="294">
        <v>2470629248</v>
      </c>
      <c r="L132" s="1807">
        <f t="shared" si="13"/>
        <v>4017358297.9999995</v>
      </c>
      <c r="M132" s="294">
        <v>3948785585.9999995</v>
      </c>
      <c r="N132" s="1804">
        <v>68572712</v>
      </c>
      <c r="O132" s="295">
        <v>503686302</v>
      </c>
      <c r="P132" s="356">
        <v>98.734999999999999</v>
      </c>
    </row>
    <row r="133" spans="1:16">
      <c r="A133" s="296">
        <f t="shared" si="5"/>
        <v>2021.4</v>
      </c>
      <c r="B133" s="480">
        <f t="shared" si="10"/>
        <v>674006537</v>
      </c>
      <c r="C133" s="1804">
        <v>558466291</v>
      </c>
      <c r="D133" s="294">
        <v>115540246</v>
      </c>
      <c r="E133" s="1807">
        <f t="shared" si="11"/>
        <v>405963817</v>
      </c>
      <c r="F133" s="294">
        <v>393281396</v>
      </c>
      <c r="G133" s="1804">
        <v>12682421</v>
      </c>
      <c r="H133" s="294">
        <v>29983224</v>
      </c>
      <c r="I133" s="1811">
        <f t="shared" si="12"/>
        <v>12802202921</v>
      </c>
      <c r="J133" s="1804">
        <v>9809555004</v>
      </c>
      <c r="K133" s="294">
        <v>2992647917</v>
      </c>
      <c r="L133" s="1807">
        <f t="shared" si="13"/>
        <v>4630801800</v>
      </c>
      <c r="M133" s="294">
        <v>4553980171</v>
      </c>
      <c r="N133" s="1804">
        <v>76821629</v>
      </c>
      <c r="O133" s="295">
        <v>618400131</v>
      </c>
      <c r="P133" s="356">
        <v>102.75</v>
      </c>
    </row>
    <row r="134" spans="1:16">
      <c r="A134" s="296">
        <f t="shared" si="5"/>
        <v>2022.1</v>
      </c>
      <c r="B134" s="480">
        <f t="shared" si="10"/>
        <v>719898360.77712131</v>
      </c>
      <c r="C134" s="1804">
        <v>604293150.66362929</v>
      </c>
      <c r="D134" s="294">
        <v>115605210.11349201</v>
      </c>
      <c r="E134" s="1807">
        <f t="shared" si="11"/>
        <v>438465988.65251499</v>
      </c>
      <c r="F134" s="294">
        <v>425957694.72435415</v>
      </c>
      <c r="G134" s="1804">
        <v>12508293.928160837</v>
      </c>
      <c r="H134" s="294">
        <v>25393820.567781784</v>
      </c>
      <c r="I134" s="1811">
        <f t="shared" si="12"/>
        <v>13418180673</v>
      </c>
      <c r="J134" s="1804">
        <v>10582007805</v>
      </c>
      <c r="K134" s="294">
        <v>2836172868</v>
      </c>
      <c r="L134" s="1807">
        <f t="shared" si="13"/>
        <v>5031544550</v>
      </c>
      <c r="M134" s="294">
        <v>4948936521</v>
      </c>
      <c r="N134" s="1804">
        <v>82608029</v>
      </c>
      <c r="O134" s="295">
        <v>636120109</v>
      </c>
      <c r="P134" s="356">
        <v>110.9783</v>
      </c>
    </row>
    <row r="135" spans="1:16">
      <c r="A135" s="296">
        <f t="shared" si="5"/>
        <v>2022.2</v>
      </c>
      <c r="B135" s="480">
        <f t="shared" si="10"/>
        <v>904325146.64866734</v>
      </c>
      <c r="C135" s="1804">
        <v>762476085.89073563</v>
      </c>
      <c r="D135" s="294">
        <v>141849060.75793177</v>
      </c>
      <c r="E135" s="1807">
        <f t="shared" si="11"/>
        <v>504968510.79658788</v>
      </c>
      <c r="F135" s="294">
        <v>492100172.31341374</v>
      </c>
      <c r="G135" s="1804">
        <v>12868338.483174153</v>
      </c>
      <c r="H135" s="294">
        <v>29490829.074773625</v>
      </c>
      <c r="I135" s="1811">
        <f t="shared" si="12"/>
        <v>16468758260</v>
      </c>
      <c r="J135" s="1804">
        <v>13039356176</v>
      </c>
      <c r="K135" s="294">
        <v>3429402084</v>
      </c>
      <c r="L135" s="1807">
        <f t="shared" si="13"/>
        <v>5945633645</v>
      </c>
      <c r="M135" s="294">
        <v>5847381751</v>
      </c>
      <c r="N135" s="1804">
        <v>98251894</v>
      </c>
      <c r="O135" s="295">
        <v>672687424</v>
      </c>
      <c r="P135" s="356">
        <v>125.215</v>
      </c>
    </row>
    <row r="136" spans="1:16">
      <c r="A136" s="296">
        <f t="shared" si="5"/>
        <v>2022.3</v>
      </c>
      <c r="B136" s="480">
        <f>C136+D136</f>
        <v>1007543433.3690659</v>
      </c>
      <c r="C136" s="1804">
        <v>851402685.21359003</v>
      </c>
      <c r="D136" s="294">
        <v>156140748.15547585</v>
      </c>
      <c r="E136" s="1807">
        <f t="shared" si="11"/>
        <v>579688668.46584487</v>
      </c>
      <c r="F136" s="294">
        <v>563439037.48638594</v>
      </c>
      <c r="G136" s="1804">
        <v>16249630.979458893</v>
      </c>
      <c r="H136" s="294">
        <v>36059745.226015732</v>
      </c>
      <c r="I136" s="1811">
        <f t="shared" si="12"/>
        <v>19545058366</v>
      </c>
      <c r="J136" s="1804">
        <v>15264257394</v>
      </c>
      <c r="K136" s="294">
        <v>4280800972</v>
      </c>
      <c r="L136" s="1807">
        <f t="shared" si="13"/>
        <v>6619282115</v>
      </c>
      <c r="M136" s="294">
        <v>6515572473</v>
      </c>
      <c r="N136" s="1804">
        <v>103709642</v>
      </c>
      <c r="O136" s="295">
        <v>878220002</v>
      </c>
      <c r="P136" s="356">
        <v>147.315</v>
      </c>
    </row>
    <row r="137" spans="1:16">
      <c r="A137" s="296">
        <f t="shared" si="5"/>
        <v>2022.4</v>
      </c>
      <c r="B137" s="480">
        <f t="shared" si="10"/>
        <v>1267679162.9503319</v>
      </c>
      <c r="C137" s="1804">
        <v>1058224241.4852552</v>
      </c>
      <c r="D137" s="294">
        <v>209454921.46507677</v>
      </c>
      <c r="E137" s="1807">
        <f t="shared" si="11"/>
        <v>675266602.13091636</v>
      </c>
      <c r="F137" s="294">
        <v>658851123.9710784</v>
      </c>
      <c r="G137" s="1804">
        <v>16415478.159837954</v>
      </c>
      <c r="H137" s="294">
        <v>50925732.689327538</v>
      </c>
      <c r="I137" s="1811">
        <f t="shared" si="12"/>
        <v>23791828391</v>
      </c>
      <c r="J137" s="1804">
        <v>19048006616</v>
      </c>
      <c r="K137" s="294">
        <v>4743821775</v>
      </c>
      <c r="L137" s="1807">
        <f t="shared" si="13"/>
        <v>7663534110.000001</v>
      </c>
      <c r="M137" s="294">
        <v>7539140513.000001</v>
      </c>
      <c r="N137" s="1804">
        <v>124393597</v>
      </c>
      <c r="O137" s="295">
        <v>1146355664</v>
      </c>
      <c r="P137" s="356">
        <v>177.1283</v>
      </c>
    </row>
    <row r="138" spans="1:16">
      <c r="A138" s="296">
        <f t="shared" si="5"/>
        <v>2023.1</v>
      </c>
      <c r="B138" s="480">
        <f t="shared" si="10"/>
        <v>1349880584.6265407</v>
      </c>
      <c r="C138" s="1804">
        <v>1141500533.153059</v>
      </c>
      <c r="D138" s="294">
        <v>208380051.47348168</v>
      </c>
      <c r="E138" s="1807">
        <f t="shared" si="11"/>
        <v>805681878.78419363</v>
      </c>
      <c r="F138" s="294">
        <v>789869687.17701983</v>
      </c>
      <c r="G138" s="1804">
        <v>15812191.607173817</v>
      </c>
      <c r="H138" s="294">
        <v>53015910.781804636</v>
      </c>
      <c r="I138" s="1811">
        <f t="shared" si="12"/>
        <v>27195548964</v>
      </c>
      <c r="J138" s="1804">
        <v>22238480041</v>
      </c>
      <c r="K138" s="294">
        <v>4957068923</v>
      </c>
      <c r="L138" s="1807">
        <f t="shared" si="13"/>
        <v>8970716979</v>
      </c>
      <c r="M138" s="294">
        <v>8826476118</v>
      </c>
      <c r="N138" s="1804">
        <v>144240861</v>
      </c>
      <c r="O138" s="295">
        <v>1255130115</v>
      </c>
      <c r="P138" s="356">
        <v>208.98830000000001</v>
      </c>
    </row>
    <row r="139" spans="1:16">
      <c r="A139" s="296">
        <f t="shared" si="5"/>
        <v>2023.2</v>
      </c>
      <c r="B139" s="480">
        <f t="shared" si="10"/>
        <v>1731299132.2582674</v>
      </c>
      <c r="C139" s="1804">
        <v>1469229998.7040417</v>
      </c>
      <c r="D139" s="294">
        <v>262069133.55422556</v>
      </c>
      <c r="E139" s="1807">
        <f t="shared" si="11"/>
        <v>1014136709.6781893</v>
      </c>
      <c r="F139" s="294">
        <v>971844969.60597098</v>
      </c>
      <c r="G139" s="1804">
        <v>42291740.072218254</v>
      </c>
      <c r="H139" s="294">
        <v>64806486.473920196</v>
      </c>
      <c r="I139" s="1811">
        <f t="shared" si="12"/>
        <v>33830233265.000004</v>
      </c>
      <c r="J139" s="1804">
        <v>27396320843.000004</v>
      </c>
      <c r="K139" s="294">
        <v>6433912422.000001</v>
      </c>
      <c r="L139" s="1807">
        <f t="shared" si="13"/>
        <v>11336500442.000002</v>
      </c>
      <c r="M139" s="294">
        <v>11081323818.000002</v>
      </c>
      <c r="N139" s="1804">
        <v>255176624</v>
      </c>
      <c r="O139" s="295">
        <v>1646482761</v>
      </c>
      <c r="P139" s="356">
        <v>256.67500000000001</v>
      </c>
    </row>
    <row r="140" spans="1:16">
      <c r="A140" s="296">
        <f t="shared" si="5"/>
        <v>2023.3</v>
      </c>
      <c r="B140" s="480">
        <f t="shared" si="10"/>
        <v>2029530761.4973214</v>
      </c>
      <c r="C140" s="1804">
        <v>1686630011.9803894</v>
      </c>
      <c r="D140" s="294">
        <v>342900749.51693195</v>
      </c>
      <c r="E140" s="1807">
        <f t="shared" si="11"/>
        <v>1286556654.1234503</v>
      </c>
      <c r="F140" s="294">
        <v>1245245954.4606104</v>
      </c>
      <c r="G140" s="1804">
        <v>41310699.66283989</v>
      </c>
      <c r="H140" s="294">
        <v>86692523.793660998</v>
      </c>
      <c r="I140" s="1811">
        <f t="shared" si="12"/>
        <v>43242930472</v>
      </c>
      <c r="J140" s="1804">
        <v>34600985154</v>
      </c>
      <c r="K140" s="294">
        <v>8641945318</v>
      </c>
      <c r="L140" s="1807">
        <f t="shared" si="13"/>
        <v>14234710797.000002</v>
      </c>
      <c r="M140" s="294">
        <v>13963346349.000002</v>
      </c>
      <c r="N140" s="1804">
        <v>271364448</v>
      </c>
      <c r="O140" s="295">
        <v>2131704932.9999998</v>
      </c>
      <c r="P140" s="356">
        <v>350.00830000000002</v>
      </c>
    </row>
    <row r="141" spans="1:16">
      <c r="A141" s="296">
        <f t="shared" si="5"/>
        <v>2023.4</v>
      </c>
      <c r="B141" s="480">
        <f t="shared" si="10"/>
        <v>3037900433.2055345</v>
      </c>
      <c r="C141" s="1804">
        <v>2501996243.9654365</v>
      </c>
      <c r="D141" s="294">
        <v>535904189.24009788</v>
      </c>
      <c r="E141" s="1807">
        <f t="shared" si="11"/>
        <v>1892980911.575284</v>
      </c>
      <c r="F141" s="294">
        <v>1853882687.8921878</v>
      </c>
      <c r="G141" s="1804">
        <v>39098223.683096074</v>
      </c>
      <c r="H141" s="294">
        <v>224117921.67270088</v>
      </c>
      <c r="I141" s="1811">
        <f t="shared" si="12"/>
        <v>63187190366</v>
      </c>
      <c r="J141" s="1804">
        <v>51597950099</v>
      </c>
      <c r="K141" s="294">
        <v>11589240267</v>
      </c>
      <c r="L141" s="1807">
        <f t="shared" si="13"/>
        <v>19077492535</v>
      </c>
      <c r="M141" s="294">
        <v>18736693492</v>
      </c>
      <c r="N141" s="1804">
        <v>340799043</v>
      </c>
      <c r="O141" s="295">
        <v>5695863359</v>
      </c>
      <c r="P141" s="356">
        <v>808.48329999999999</v>
      </c>
    </row>
    <row r="142" spans="1:16">
      <c r="A142" s="296">
        <f t="shared" ref="A142:A169" si="14">A138+1</f>
        <v>2024.1</v>
      </c>
      <c r="B142" s="480" t="e">
        <f t="shared" si="10"/>
        <v>#N/A</v>
      </c>
      <c r="C142" s="1804" t="e">
        <v>#N/A</v>
      </c>
      <c r="D142" s="294" t="e">
        <v>#N/A</v>
      </c>
      <c r="E142" s="1807" t="e">
        <f t="shared" si="11"/>
        <v>#N/A</v>
      </c>
      <c r="F142" s="294" t="e">
        <v>#N/A</v>
      </c>
      <c r="G142" s="1804" t="e">
        <v>#N/A</v>
      </c>
      <c r="H142" s="294" t="e">
        <v>#N/A</v>
      </c>
      <c r="I142" s="1811" t="e">
        <f t="shared" si="12"/>
        <v>#N/A</v>
      </c>
      <c r="J142" s="1804" t="e">
        <v>#N/A</v>
      </c>
      <c r="K142" s="294" t="e">
        <v>#N/A</v>
      </c>
      <c r="L142" s="1807" t="e">
        <f t="shared" si="13"/>
        <v>#N/A</v>
      </c>
      <c r="M142" s="294" t="e">
        <v>#N/A</v>
      </c>
      <c r="N142" s="1804" t="e">
        <v>#N/A</v>
      </c>
      <c r="O142" s="295" t="e">
        <v>#N/A</v>
      </c>
      <c r="P142" s="356" t="e">
        <v>#N/A</v>
      </c>
    </row>
    <row r="143" spans="1:16">
      <c r="A143" s="296">
        <f t="shared" si="14"/>
        <v>2024.2</v>
      </c>
      <c r="B143" s="480" t="e">
        <f t="shared" si="10"/>
        <v>#N/A</v>
      </c>
      <c r="C143" s="1804" t="e">
        <v>#N/A</v>
      </c>
      <c r="D143" s="294" t="e">
        <v>#N/A</v>
      </c>
      <c r="E143" s="1807" t="e">
        <f t="shared" si="11"/>
        <v>#N/A</v>
      </c>
      <c r="F143" s="294" t="e">
        <v>#N/A</v>
      </c>
      <c r="G143" s="1804" t="e">
        <v>#N/A</v>
      </c>
      <c r="H143" s="294" t="e">
        <v>#N/A</v>
      </c>
      <c r="I143" s="1811" t="e">
        <f t="shared" si="12"/>
        <v>#N/A</v>
      </c>
      <c r="J143" s="1804" t="e">
        <v>#N/A</v>
      </c>
      <c r="K143" s="294" t="e">
        <v>#N/A</v>
      </c>
      <c r="L143" s="1807" t="e">
        <f t="shared" si="13"/>
        <v>#N/A</v>
      </c>
      <c r="M143" s="294" t="e">
        <v>#N/A</v>
      </c>
      <c r="N143" s="1804" t="e">
        <v>#N/A</v>
      </c>
      <c r="O143" s="295" t="e">
        <v>#N/A</v>
      </c>
      <c r="P143" s="356" t="e">
        <v>#N/A</v>
      </c>
    </row>
    <row r="144" spans="1:16">
      <c r="A144" s="296">
        <f t="shared" si="14"/>
        <v>2024.3</v>
      </c>
      <c r="B144" s="480" t="e">
        <f t="shared" si="10"/>
        <v>#N/A</v>
      </c>
      <c r="C144" s="1804" t="e">
        <v>#N/A</v>
      </c>
      <c r="D144" s="294" t="e">
        <v>#N/A</v>
      </c>
      <c r="E144" s="1807" t="e">
        <f t="shared" si="11"/>
        <v>#N/A</v>
      </c>
      <c r="F144" s="294" t="e">
        <v>#N/A</v>
      </c>
      <c r="G144" s="1804" t="e">
        <v>#N/A</v>
      </c>
      <c r="H144" s="294" t="e">
        <v>#N/A</v>
      </c>
      <c r="I144" s="1811" t="e">
        <f t="shared" si="12"/>
        <v>#N/A</v>
      </c>
      <c r="J144" s="1804" t="e">
        <v>#N/A</v>
      </c>
      <c r="K144" s="294" t="e">
        <v>#N/A</v>
      </c>
      <c r="L144" s="1807" t="e">
        <f t="shared" si="13"/>
        <v>#N/A</v>
      </c>
      <c r="M144" s="294" t="e">
        <v>#N/A</v>
      </c>
      <c r="N144" s="1804" t="e">
        <v>#N/A</v>
      </c>
      <c r="O144" s="295" t="e">
        <v>#N/A</v>
      </c>
      <c r="P144" s="356" t="e">
        <v>#N/A</v>
      </c>
    </row>
    <row r="145" spans="1:16">
      <c r="A145" s="296">
        <f t="shared" si="14"/>
        <v>2024.4</v>
      </c>
      <c r="B145" s="480" t="e">
        <f t="shared" si="10"/>
        <v>#N/A</v>
      </c>
      <c r="C145" s="1804" t="e">
        <v>#N/A</v>
      </c>
      <c r="D145" s="294" t="e">
        <v>#N/A</v>
      </c>
      <c r="E145" s="1807" t="e">
        <f t="shared" si="11"/>
        <v>#N/A</v>
      </c>
      <c r="F145" s="294" t="e">
        <v>#N/A</v>
      </c>
      <c r="G145" s="1804" t="e">
        <v>#N/A</v>
      </c>
      <c r="H145" s="294" t="e">
        <v>#N/A</v>
      </c>
      <c r="I145" s="1811" t="e">
        <f t="shared" si="12"/>
        <v>#N/A</v>
      </c>
      <c r="J145" s="1804" t="e">
        <v>#N/A</v>
      </c>
      <c r="K145" s="294" t="e">
        <v>#N/A</v>
      </c>
      <c r="L145" s="1807" t="e">
        <f t="shared" si="13"/>
        <v>#N/A</v>
      </c>
      <c r="M145" s="294" t="e">
        <v>#N/A</v>
      </c>
      <c r="N145" s="1804" t="e">
        <v>#N/A</v>
      </c>
      <c r="O145" s="295" t="e">
        <v>#N/A</v>
      </c>
      <c r="P145" s="356" t="e">
        <v>#N/A</v>
      </c>
    </row>
    <row r="146" spans="1:16">
      <c r="A146" s="296">
        <f t="shared" si="14"/>
        <v>2025.1</v>
      </c>
      <c r="B146" s="480" t="e">
        <f t="shared" si="10"/>
        <v>#N/A</v>
      </c>
      <c r="C146" s="1804" t="e">
        <v>#N/A</v>
      </c>
      <c r="D146" s="294" t="e">
        <v>#N/A</v>
      </c>
      <c r="E146" s="1807" t="e">
        <f t="shared" si="11"/>
        <v>#N/A</v>
      </c>
      <c r="F146" s="294" t="e">
        <v>#N/A</v>
      </c>
      <c r="G146" s="1804" t="e">
        <v>#N/A</v>
      </c>
      <c r="H146" s="294" t="e">
        <v>#N/A</v>
      </c>
      <c r="I146" s="1811" t="e">
        <f t="shared" si="12"/>
        <v>#N/A</v>
      </c>
      <c r="J146" s="1804" t="e">
        <v>#N/A</v>
      </c>
      <c r="K146" s="294" t="e">
        <v>#N/A</v>
      </c>
      <c r="L146" s="1807" t="e">
        <f t="shared" si="13"/>
        <v>#N/A</v>
      </c>
      <c r="M146" s="294" t="e">
        <v>#N/A</v>
      </c>
      <c r="N146" s="1804" t="e">
        <v>#N/A</v>
      </c>
      <c r="O146" s="295" t="e">
        <v>#N/A</v>
      </c>
      <c r="P146" s="356" t="e">
        <v>#N/A</v>
      </c>
    </row>
    <row r="147" spans="1:16">
      <c r="A147" s="296">
        <f t="shared" si="14"/>
        <v>2025.2</v>
      </c>
      <c r="B147" s="480" t="e">
        <f t="shared" si="10"/>
        <v>#N/A</v>
      </c>
      <c r="C147" s="1804" t="e">
        <v>#N/A</v>
      </c>
      <c r="D147" s="294" t="e">
        <v>#N/A</v>
      </c>
      <c r="E147" s="1807" t="e">
        <f t="shared" si="11"/>
        <v>#N/A</v>
      </c>
      <c r="F147" s="294" t="e">
        <v>#N/A</v>
      </c>
      <c r="G147" s="1804" t="e">
        <v>#N/A</v>
      </c>
      <c r="H147" s="294" t="e">
        <v>#N/A</v>
      </c>
      <c r="I147" s="1811" t="e">
        <f t="shared" si="12"/>
        <v>#N/A</v>
      </c>
      <c r="J147" s="1804" t="e">
        <v>#N/A</v>
      </c>
      <c r="K147" s="294" t="e">
        <v>#N/A</v>
      </c>
      <c r="L147" s="1807" t="e">
        <f t="shared" si="13"/>
        <v>#N/A</v>
      </c>
      <c r="M147" s="294" t="e">
        <v>#N/A</v>
      </c>
      <c r="N147" s="1804" t="e">
        <v>#N/A</v>
      </c>
      <c r="O147" s="295" t="e">
        <v>#N/A</v>
      </c>
      <c r="P147" s="356" t="e">
        <v>#N/A</v>
      </c>
    </row>
    <row r="148" spans="1:16">
      <c r="A148" s="296">
        <f t="shared" si="14"/>
        <v>2025.3</v>
      </c>
      <c r="B148" s="480" t="e">
        <f t="shared" si="10"/>
        <v>#N/A</v>
      </c>
      <c r="C148" s="1804" t="e">
        <v>#N/A</v>
      </c>
      <c r="D148" s="294" t="e">
        <v>#N/A</v>
      </c>
      <c r="E148" s="1807" t="e">
        <f t="shared" si="11"/>
        <v>#N/A</v>
      </c>
      <c r="F148" s="294" t="e">
        <v>#N/A</v>
      </c>
      <c r="G148" s="1804" t="e">
        <v>#N/A</v>
      </c>
      <c r="H148" s="294" t="e">
        <v>#N/A</v>
      </c>
      <c r="I148" s="1811" t="e">
        <f t="shared" si="12"/>
        <v>#N/A</v>
      </c>
      <c r="J148" s="1804" t="e">
        <v>#N/A</v>
      </c>
      <c r="K148" s="294" t="e">
        <v>#N/A</v>
      </c>
      <c r="L148" s="1807" t="e">
        <f t="shared" si="13"/>
        <v>#N/A</v>
      </c>
      <c r="M148" s="294" t="e">
        <v>#N/A</v>
      </c>
      <c r="N148" s="1804" t="e">
        <v>#N/A</v>
      </c>
      <c r="O148" s="295" t="e">
        <v>#N/A</v>
      </c>
      <c r="P148" s="356" t="e">
        <v>#N/A</v>
      </c>
    </row>
    <row r="149" spans="1:16">
      <c r="A149" s="296">
        <f t="shared" si="14"/>
        <v>2025.4</v>
      </c>
      <c r="B149" s="480" t="e">
        <f t="shared" si="10"/>
        <v>#N/A</v>
      </c>
      <c r="C149" s="1804" t="e">
        <v>#N/A</v>
      </c>
      <c r="D149" s="294" t="e">
        <v>#N/A</v>
      </c>
      <c r="E149" s="1807" t="e">
        <f t="shared" si="11"/>
        <v>#N/A</v>
      </c>
      <c r="F149" s="294" t="e">
        <v>#N/A</v>
      </c>
      <c r="G149" s="1804" t="e">
        <v>#N/A</v>
      </c>
      <c r="H149" s="294" t="e">
        <v>#N/A</v>
      </c>
      <c r="I149" s="1811" t="e">
        <f t="shared" si="12"/>
        <v>#N/A</v>
      </c>
      <c r="J149" s="1804" t="e">
        <v>#N/A</v>
      </c>
      <c r="K149" s="294" t="e">
        <v>#N/A</v>
      </c>
      <c r="L149" s="1807" t="e">
        <f t="shared" si="13"/>
        <v>#N/A</v>
      </c>
      <c r="M149" s="294" t="e">
        <v>#N/A</v>
      </c>
      <c r="N149" s="1804" t="e">
        <v>#N/A</v>
      </c>
      <c r="O149" s="295" t="e">
        <v>#N/A</v>
      </c>
      <c r="P149" s="356" t="e">
        <v>#N/A</v>
      </c>
    </row>
    <row r="150" spans="1:16">
      <c r="A150" s="296">
        <f t="shared" si="14"/>
        <v>2026.1</v>
      </c>
      <c r="B150" s="480" t="e">
        <f t="shared" ref="B150:B162" si="15">C150+D150</f>
        <v>#N/A</v>
      </c>
      <c r="C150" s="1804" t="e">
        <v>#N/A</v>
      </c>
      <c r="D150" s="294" t="e">
        <v>#N/A</v>
      </c>
      <c r="E150" s="1807" t="e">
        <f t="shared" ref="E150:E162" si="16">F150+G150</f>
        <v>#N/A</v>
      </c>
      <c r="F150" s="294" t="e">
        <v>#N/A</v>
      </c>
      <c r="G150" s="1804" t="e">
        <v>#N/A</v>
      </c>
      <c r="H150" s="294" t="e">
        <v>#N/A</v>
      </c>
      <c r="I150" s="1811" t="e">
        <f t="shared" ref="I150:I162" si="17">J150+K150</f>
        <v>#N/A</v>
      </c>
      <c r="J150" s="1804" t="e">
        <v>#N/A</v>
      </c>
      <c r="K150" s="294" t="e">
        <v>#N/A</v>
      </c>
      <c r="L150" s="1807" t="e">
        <f t="shared" ref="L150:L162" si="18">M150+N150</f>
        <v>#N/A</v>
      </c>
      <c r="M150" s="294" t="e">
        <v>#N/A</v>
      </c>
      <c r="N150" s="1804" t="e">
        <v>#N/A</v>
      </c>
      <c r="O150" s="295" t="e">
        <v>#N/A</v>
      </c>
      <c r="P150" s="356" t="e">
        <v>#N/A</v>
      </c>
    </row>
    <row r="151" spans="1:16">
      <c r="A151" s="296">
        <f t="shared" si="14"/>
        <v>2026.2</v>
      </c>
      <c r="B151" s="480" t="e">
        <f t="shared" si="15"/>
        <v>#N/A</v>
      </c>
      <c r="C151" s="1804" t="e">
        <v>#N/A</v>
      </c>
      <c r="D151" s="294" t="e">
        <v>#N/A</v>
      </c>
      <c r="E151" s="1807" t="e">
        <f t="shared" si="16"/>
        <v>#N/A</v>
      </c>
      <c r="F151" s="294" t="e">
        <v>#N/A</v>
      </c>
      <c r="G151" s="1804" t="e">
        <v>#N/A</v>
      </c>
      <c r="H151" s="294" t="e">
        <v>#N/A</v>
      </c>
      <c r="I151" s="1811" t="e">
        <f t="shared" si="17"/>
        <v>#N/A</v>
      </c>
      <c r="J151" s="1804" t="e">
        <v>#N/A</v>
      </c>
      <c r="K151" s="294" t="e">
        <v>#N/A</v>
      </c>
      <c r="L151" s="1807" t="e">
        <f t="shared" si="18"/>
        <v>#N/A</v>
      </c>
      <c r="M151" s="294" t="e">
        <v>#N/A</v>
      </c>
      <c r="N151" s="1804" t="e">
        <v>#N/A</v>
      </c>
      <c r="O151" s="295" t="e">
        <v>#N/A</v>
      </c>
      <c r="P151" s="356" t="e">
        <v>#N/A</v>
      </c>
    </row>
    <row r="152" spans="1:16">
      <c r="A152" s="296">
        <f t="shared" si="14"/>
        <v>2026.3</v>
      </c>
      <c r="B152" s="480" t="e">
        <f t="shared" si="15"/>
        <v>#N/A</v>
      </c>
      <c r="C152" s="1804" t="e">
        <v>#N/A</v>
      </c>
      <c r="D152" s="294" t="e">
        <v>#N/A</v>
      </c>
      <c r="E152" s="1807" t="e">
        <f t="shared" si="16"/>
        <v>#N/A</v>
      </c>
      <c r="F152" s="294" t="e">
        <v>#N/A</v>
      </c>
      <c r="G152" s="1804" t="e">
        <v>#N/A</v>
      </c>
      <c r="H152" s="294" t="e">
        <v>#N/A</v>
      </c>
      <c r="I152" s="1811" t="e">
        <f t="shared" si="17"/>
        <v>#N/A</v>
      </c>
      <c r="J152" s="1804" t="e">
        <v>#N/A</v>
      </c>
      <c r="K152" s="294" t="e">
        <v>#N/A</v>
      </c>
      <c r="L152" s="1807" t="e">
        <f t="shared" si="18"/>
        <v>#N/A</v>
      </c>
      <c r="M152" s="294" t="e">
        <v>#N/A</v>
      </c>
      <c r="N152" s="1804" t="e">
        <v>#N/A</v>
      </c>
      <c r="O152" s="295" t="e">
        <v>#N/A</v>
      </c>
      <c r="P152" s="356" t="e">
        <v>#N/A</v>
      </c>
    </row>
    <row r="153" spans="1:16">
      <c r="A153" s="296">
        <f t="shared" si="14"/>
        <v>2026.4</v>
      </c>
      <c r="B153" s="480" t="e">
        <f t="shared" si="15"/>
        <v>#N/A</v>
      </c>
      <c r="C153" s="1804" t="e">
        <v>#N/A</v>
      </c>
      <c r="D153" s="294" t="e">
        <v>#N/A</v>
      </c>
      <c r="E153" s="1807" t="e">
        <f t="shared" si="16"/>
        <v>#N/A</v>
      </c>
      <c r="F153" s="294" t="e">
        <v>#N/A</v>
      </c>
      <c r="G153" s="1804" t="e">
        <v>#N/A</v>
      </c>
      <c r="H153" s="294" t="e">
        <v>#N/A</v>
      </c>
      <c r="I153" s="1811" t="e">
        <f t="shared" si="17"/>
        <v>#N/A</v>
      </c>
      <c r="J153" s="1804" t="e">
        <v>#N/A</v>
      </c>
      <c r="K153" s="294" t="e">
        <v>#N/A</v>
      </c>
      <c r="L153" s="1807" t="e">
        <f t="shared" si="18"/>
        <v>#N/A</v>
      </c>
      <c r="M153" s="294" t="e">
        <v>#N/A</v>
      </c>
      <c r="N153" s="1804" t="e">
        <v>#N/A</v>
      </c>
      <c r="O153" s="295" t="e">
        <v>#N/A</v>
      </c>
      <c r="P153" s="356" t="e">
        <v>#N/A</v>
      </c>
    </row>
    <row r="154" spans="1:16">
      <c r="A154" s="296">
        <f t="shared" si="14"/>
        <v>2027.1</v>
      </c>
      <c r="B154" s="480" t="e">
        <f t="shared" si="15"/>
        <v>#N/A</v>
      </c>
      <c r="C154" s="1804" t="e">
        <v>#N/A</v>
      </c>
      <c r="D154" s="294" t="e">
        <v>#N/A</v>
      </c>
      <c r="E154" s="1807" t="e">
        <f t="shared" si="16"/>
        <v>#N/A</v>
      </c>
      <c r="F154" s="294" t="e">
        <v>#N/A</v>
      </c>
      <c r="G154" s="1804" t="e">
        <v>#N/A</v>
      </c>
      <c r="H154" s="294" t="e">
        <v>#N/A</v>
      </c>
      <c r="I154" s="1811" t="e">
        <f t="shared" si="17"/>
        <v>#N/A</v>
      </c>
      <c r="J154" s="1804" t="e">
        <v>#N/A</v>
      </c>
      <c r="K154" s="294" t="e">
        <v>#N/A</v>
      </c>
      <c r="L154" s="1807" t="e">
        <f t="shared" si="18"/>
        <v>#N/A</v>
      </c>
      <c r="M154" s="294" t="e">
        <v>#N/A</v>
      </c>
      <c r="N154" s="1804" t="e">
        <v>#N/A</v>
      </c>
      <c r="O154" s="295" t="e">
        <v>#N/A</v>
      </c>
      <c r="P154" s="356" t="e">
        <v>#N/A</v>
      </c>
    </row>
    <row r="155" spans="1:16">
      <c r="A155" s="296">
        <f t="shared" si="14"/>
        <v>2027.2</v>
      </c>
      <c r="B155" s="480" t="e">
        <f t="shared" si="15"/>
        <v>#N/A</v>
      </c>
      <c r="C155" s="1804" t="e">
        <v>#N/A</v>
      </c>
      <c r="D155" s="294" t="e">
        <v>#N/A</v>
      </c>
      <c r="E155" s="1807" t="e">
        <f t="shared" si="16"/>
        <v>#N/A</v>
      </c>
      <c r="F155" s="294" t="e">
        <v>#N/A</v>
      </c>
      <c r="G155" s="1804" t="e">
        <v>#N/A</v>
      </c>
      <c r="H155" s="294" t="e">
        <v>#N/A</v>
      </c>
      <c r="I155" s="1811" t="e">
        <f t="shared" si="17"/>
        <v>#N/A</v>
      </c>
      <c r="J155" s="1804" t="e">
        <v>#N/A</v>
      </c>
      <c r="K155" s="294" t="e">
        <v>#N/A</v>
      </c>
      <c r="L155" s="1807" t="e">
        <f t="shared" si="18"/>
        <v>#N/A</v>
      </c>
      <c r="M155" s="294" t="e">
        <v>#N/A</v>
      </c>
      <c r="N155" s="1804" t="e">
        <v>#N/A</v>
      </c>
      <c r="O155" s="295" t="e">
        <v>#N/A</v>
      </c>
      <c r="P155" s="356" t="e">
        <v>#N/A</v>
      </c>
    </row>
    <row r="156" spans="1:16">
      <c r="A156" s="296">
        <f t="shared" si="14"/>
        <v>2027.3</v>
      </c>
      <c r="B156" s="480" t="e">
        <f t="shared" si="15"/>
        <v>#N/A</v>
      </c>
      <c r="C156" s="1804" t="e">
        <v>#N/A</v>
      </c>
      <c r="D156" s="294" t="e">
        <v>#N/A</v>
      </c>
      <c r="E156" s="1807" t="e">
        <f t="shared" si="16"/>
        <v>#N/A</v>
      </c>
      <c r="F156" s="294" t="e">
        <v>#N/A</v>
      </c>
      <c r="G156" s="1804" t="e">
        <v>#N/A</v>
      </c>
      <c r="H156" s="294" t="e">
        <v>#N/A</v>
      </c>
      <c r="I156" s="1811" t="e">
        <f t="shared" si="17"/>
        <v>#N/A</v>
      </c>
      <c r="J156" s="1804" t="e">
        <v>#N/A</v>
      </c>
      <c r="K156" s="294" t="e">
        <v>#N/A</v>
      </c>
      <c r="L156" s="1807" t="e">
        <f t="shared" si="18"/>
        <v>#N/A</v>
      </c>
      <c r="M156" s="294" t="e">
        <v>#N/A</v>
      </c>
      <c r="N156" s="1804" t="e">
        <v>#N/A</v>
      </c>
      <c r="O156" s="295" t="e">
        <v>#N/A</v>
      </c>
      <c r="P156" s="356" t="e">
        <v>#N/A</v>
      </c>
    </row>
    <row r="157" spans="1:16">
      <c r="A157" s="296">
        <f t="shared" si="14"/>
        <v>2027.4</v>
      </c>
      <c r="B157" s="480" t="e">
        <f t="shared" si="15"/>
        <v>#N/A</v>
      </c>
      <c r="C157" s="1804" t="e">
        <v>#N/A</v>
      </c>
      <c r="D157" s="294" t="e">
        <v>#N/A</v>
      </c>
      <c r="E157" s="1807" t="e">
        <f t="shared" si="16"/>
        <v>#N/A</v>
      </c>
      <c r="F157" s="294" t="e">
        <v>#N/A</v>
      </c>
      <c r="G157" s="1804" t="e">
        <v>#N/A</v>
      </c>
      <c r="H157" s="294" t="e">
        <v>#N/A</v>
      </c>
      <c r="I157" s="1811" t="e">
        <f t="shared" si="17"/>
        <v>#N/A</v>
      </c>
      <c r="J157" s="1804" t="e">
        <v>#N/A</v>
      </c>
      <c r="K157" s="294" t="e">
        <v>#N/A</v>
      </c>
      <c r="L157" s="1807" t="e">
        <f t="shared" si="18"/>
        <v>#N/A</v>
      </c>
      <c r="M157" s="294" t="e">
        <v>#N/A</v>
      </c>
      <c r="N157" s="1804" t="e">
        <v>#N/A</v>
      </c>
      <c r="O157" s="295" t="e">
        <v>#N/A</v>
      </c>
      <c r="P157" s="356" t="e">
        <v>#N/A</v>
      </c>
    </row>
    <row r="158" spans="1:16">
      <c r="A158" s="296">
        <f t="shared" si="14"/>
        <v>2028.1</v>
      </c>
      <c r="B158" s="480" t="e">
        <f t="shared" si="15"/>
        <v>#N/A</v>
      </c>
      <c r="C158" s="1804" t="e">
        <v>#N/A</v>
      </c>
      <c r="D158" s="294" t="e">
        <v>#N/A</v>
      </c>
      <c r="E158" s="1807" t="e">
        <f t="shared" si="16"/>
        <v>#N/A</v>
      </c>
      <c r="F158" s="294" t="e">
        <v>#N/A</v>
      </c>
      <c r="G158" s="1804" t="e">
        <v>#N/A</v>
      </c>
      <c r="H158" s="294" t="e">
        <v>#N/A</v>
      </c>
      <c r="I158" s="1811" t="e">
        <f t="shared" si="17"/>
        <v>#N/A</v>
      </c>
      <c r="J158" s="1804" t="e">
        <v>#N/A</v>
      </c>
      <c r="K158" s="294" t="e">
        <v>#N/A</v>
      </c>
      <c r="L158" s="1807" t="e">
        <f t="shared" si="18"/>
        <v>#N/A</v>
      </c>
      <c r="M158" s="294" t="e">
        <v>#N/A</v>
      </c>
      <c r="N158" s="1804" t="e">
        <v>#N/A</v>
      </c>
      <c r="O158" s="295" t="e">
        <v>#N/A</v>
      </c>
      <c r="P158" s="356" t="e">
        <v>#N/A</v>
      </c>
    </row>
    <row r="159" spans="1:16">
      <c r="A159" s="296">
        <f t="shared" si="14"/>
        <v>2028.2</v>
      </c>
      <c r="B159" s="480" t="e">
        <f t="shared" si="15"/>
        <v>#N/A</v>
      </c>
      <c r="C159" s="1804" t="e">
        <v>#N/A</v>
      </c>
      <c r="D159" s="294" t="e">
        <v>#N/A</v>
      </c>
      <c r="E159" s="1807" t="e">
        <f t="shared" si="16"/>
        <v>#N/A</v>
      </c>
      <c r="F159" s="294" t="e">
        <v>#N/A</v>
      </c>
      <c r="G159" s="1804" t="e">
        <v>#N/A</v>
      </c>
      <c r="H159" s="294" t="e">
        <v>#N/A</v>
      </c>
      <c r="I159" s="1811" t="e">
        <f t="shared" si="17"/>
        <v>#N/A</v>
      </c>
      <c r="J159" s="1804" t="e">
        <v>#N/A</v>
      </c>
      <c r="K159" s="294" t="e">
        <v>#N/A</v>
      </c>
      <c r="L159" s="1807" t="e">
        <f t="shared" si="18"/>
        <v>#N/A</v>
      </c>
      <c r="M159" s="294" t="e">
        <v>#N/A</v>
      </c>
      <c r="N159" s="1804" t="e">
        <v>#N/A</v>
      </c>
      <c r="O159" s="295" t="e">
        <v>#N/A</v>
      </c>
      <c r="P159" s="356" t="e">
        <v>#N/A</v>
      </c>
    </row>
    <row r="160" spans="1:16">
      <c r="A160" s="296">
        <f t="shared" si="14"/>
        <v>2028.3</v>
      </c>
      <c r="B160" s="480" t="e">
        <f t="shared" si="15"/>
        <v>#N/A</v>
      </c>
      <c r="C160" s="1804" t="e">
        <v>#N/A</v>
      </c>
      <c r="D160" s="294" t="e">
        <v>#N/A</v>
      </c>
      <c r="E160" s="1807" t="e">
        <f t="shared" si="16"/>
        <v>#N/A</v>
      </c>
      <c r="F160" s="294" t="e">
        <v>#N/A</v>
      </c>
      <c r="G160" s="1804" t="e">
        <v>#N/A</v>
      </c>
      <c r="H160" s="294" t="e">
        <v>#N/A</v>
      </c>
      <c r="I160" s="1811" t="e">
        <f t="shared" si="17"/>
        <v>#N/A</v>
      </c>
      <c r="J160" s="1804" t="e">
        <v>#N/A</v>
      </c>
      <c r="K160" s="294" t="e">
        <v>#N/A</v>
      </c>
      <c r="L160" s="1807" t="e">
        <f t="shared" si="18"/>
        <v>#N/A</v>
      </c>
      <c r="M160" s="294" t="e">
        <v>#N/A</v>
      </c>
      <c r="N160" s="1804" t="e">
        <v>#N/A</v>
      </c>
      <c r="O160" s="295" t="e">
        <v>#N/A</v>
      </c>
      <c r="P160" s="356" t="e">
        <v>#N/A</v>
      </c>
    </row>
    <row r="161" spans="1:16">
      <c r="A161" s="296">
        <f t="shared" si="14"/>
        <v>2028.4</v>
      </c>
      <c r="B161" s="480" t="e">
        <f t="shared" si="15"/>
        <v>#N/A</v>
      </c>
      <c r="C161" s="1804" t="e">
        <v>#N/A</v>
      </c>
      <c r="D161" s="294" t="e">
        <v>#N/A</v>
      </c>
      <c r="E161" s="1807" t="e">
        <f t="shared" si="16"/>
        <v>#N/A</v>
      </c>
      <c r="F161" s="294" t="e">
        <v>#N/A</v>
      </c>
      <c r="G161" s="1804" t="e">
        <v>#N/A</v>
      </c>
      <c r="H161" s="294" t="e">
        <v>#N/A</v>
      </c>
      <c r="I161" s="1811" t="e">
        <f t="shared" si="17"/>
        <v>#N/A</v>
      </c>
      <c r="J161" s="1804" t="e">
        <v>#N/A</v>
      </c>
      <c r="K161" s="294" t="e">
        <v>#N/A</v>
      </c>
      <c r="L161" s="1807" t="e">
        <f t="shared" si="18"/>
        <v>#N/A</v>
      </c>
      <c r="M161" s="294" t="e">
        <v>#N/A</v>
      </c>
      <c r="N161" s="1804" t="e">
        <v>#N/A</v>
      </c>
      <c r="O161" s="295" t="e">
        <v>#N/A</v>
      </c>
      <c r="P161" s="356" t="e">
        <v>#N/A</v>
      </c>
    </row>
    <row r="162" spans="1:16">
      <c r="A162" s="296">
        <f t="shared" si="14"/>
        <v>2029.1</v>
      </c>
      <c r="B162" s="480" t="e">
        <f t="shared" si="15"/>
        <v>#N/A</v>
      </c>
      <c r="C162" s="1804" t="e">
        <v>#N/A</v>
      </c>
      <c r="D162" s="294" t="e">
        <v>#N/A</v>
      </c>
      <c r="E162" s="1807" t="e">
        <f t="shared" si="16"/>
        <v>#N/A</v>
      </c>
      <c r="F162" s="294" t="e">
        <v>#N/A</v>
      </c>
      <c r="G162" s="1804" t="e">
        <v>#N/A</v>
      </c>
      <c r="H162" s="294" t="e">
        <v>#N/A</v>
      </c>
      <c r="I162" s="1811" t="e">
        <f t="shared" si="17"/>
        <v>#N/A</v>
      </c>
      <c r="J162" s="1804" t="e">
        <v>#N/A</v>
      </c>
      <c r="K162" s="294" t="e">
        <v>#N/A</v>
      </c>
      <c r="L162" s="1807" t="e">
        <f t="shared" si="18"/>
        <v>#N/A</v>
      </c>
      <c r="M162" s="294" t="e">
        <v>#N/A</v>
      </c>
      <c r="N162" s="1804" t="e">
        <v>#N/A</v>
      </c>
      <c r="O162" s="295" t="e">
        <v>#N/A</v>
      </c>
      <c r="P162" s="356" t="e">
        <v>#N/A</v>
      </c>
    </row>
    <row r="163" spans="1:16">
      <c r="A163" s="296">
        <f t="shared" si="14"/>
        <v>2029.2</v>
      </c>
      <c r="B163" s="480" t="e">
        <f t="shared" ref="B163:B169" si="19">C163+D163</f>
        <v>#N/A</v>
      </c>
      <c r="C163" s="1804" t="e">
        <v>#N/A</v>
      </c>
      <c r="D163" s="294" t="e">
        <v>#N/A</v>
      </c>
      <c r="E163" s="1807" t="e">
        <f t="shared" ref="E163:E169" si="20">F163+G163</f>
        <v>#N/A</v>
      </c>
      <c r="F163" s="294" t="e">
        <v>#N/A</v>
      </c>
      <c r="G163" s="1804" t="e">
        <v>#N/A</v>
      </c>
      <c r="H163" s="294" t="e">
        <v>#N/A</v>
      </c>
      <c r="I163" s="1811" t="e">
        <f t="shared" ref="I163:I169" si="21">J163+K163</f>
        <v>#N/A</v>
      </c>
      <c r="J163" s="1804" t="e">
        <v>#N/A</v>
      </c>
      <c r="K163" s="294" t="e">
        <v>#N/A</v>
      </c>
      <c r="L163" s="1807" t="e">
        <f t="shared" ref="L163:L169" si="22">M163+N163</f>
        <v>#N/A</v>
      </c>
      <c r="M163" s="294" t="e">
        <v>#N/A</v>
      </c>
      <c r="N163" s="1804" t="e">
        <v>#N/A</v>
      </c>
      <c r="O163" s="295" t="e">
        <v>#N/A</v>
      </c>
      <c r="P163" s="356" t="e">
        <v>#N/A</v>
      </c>
    </row>
    <row r="164" spans="1:16">
      <c r="A164" s="296">
        <f t="shared" si="14"/>
        <v>2029.3</v>
      </c>
      <c r="B164" s="480" t="e">
        <f t="shared" si="19"/>
        <v>#N/A</v>
      </c>
      <c r="C164" s="1804" t="e">
        <v>#N/A</v>
      </c>
      <c r="D164" s="294" t="e">
        <v>#N/A</v>
      </c>
      <c r="E164" s="1807" t="e">
        <f t="shared" si="20"/>
        <v>#N/A</v>
      </c>
      <c r="F164" s="294" t="e">
        <v>#N/A</v>
      </c>
      <c r="G164" s="1804" t="e">
        <v>#N/A</v>
      </c>
      <c r="H164" s="294" t="e">
        <v>#N/A</v>
      </c>
      <c r="I164" s="1811" t="e">
        <f t="shared" si="21"/>
        <v>#N/A</v>
      </c>
      <c r="J164" s="1804" t="e">
        <v>#N/A</v>
      </c>
      <c r="K164" s="294" t="e">
        <v>#N/A</v>
      </c>
      <c r="L164" s="1807" t="e">
        <f t="shared" si="22"/>
        <v>#N/A</v>
      </c>
      <c r="M164" s="294" t="e">
        <v>#N/A</v>
      </c>
      <c r="N164" s="1804" t="e">
        <v>#N/A</v>
      </c>
      <c r="O164" s="295" t="e">
        <v>#N/A</v>
      </c>
      <c r="P164" s="356" t="e">
        <v>#N/A</v>
      </c>
    </row>
    <row r="165" spans="1:16">
      <c r="A165" s="296">
        <f t="shared" si="14"/>
        <v>2029.4</v>
      </c>
      <c r="B165" s="480" t="e">
        <f t="shared" si="19"/>
        <v>#N/A</v>
      </c>
      <c r="C165" s="1804" t="e">
        <v>#N/A</v>
      </c>
      <c r="D165" s="294" t="e">
        <v>#N/A</v>
      </c>
      <c r="E165" s="1807" t="e">
        <f t="shared" si="20"/>
        <v>#N/A</v>
      </c>
      <c r="F165" s="294" t="e">
        <v>#N/A</v>
      </c>
      <c r="G165" s="1804" t="e">
        <v>#N/A</v>
      </c>
      <c r="H165" s="294" t="e">
        <v>#N/A</v>
      </c>
      <c r="I165" s="1811" t="e">
        <f t="shared" si="21"/>
        <v>#N/A</v>
      </c>
      <c r="J165" s="1804" t="e">
        <v>#N/A</v>
      </c>
      <c r="K165" s="294" t="e">
        <v>#N/A</v>
      </c>
      <c r="L165" s="1807" t="e">
        <f t="shared" si="22"/>
        <v>#N/A</v>
      </c>
      <c r="M165" s="294" t="e">
        <v>#N/A</v>
      </c>
      <c r="N165" s="1804" t="e">
        <v>#N/A</v>
      </c>
      <c r="O165" s="295" t="e">
        <v>#N/A</v>
      </c>
      <c r="P165" s="356" t="e">
        <v>#N/A</v>
      </c>
    </row>
    <row r="166" spans="1:16">
      <c r="A166" s="296">
        <f t="shared" si="14"/>
        <v>2030.1</v>
      </c>
      <c r="B166" s="480" t="e">
        <f t="shared" si="19"/>
        <v>#N/A</v>
      </c>
      <c r="C166" s="1804" t="e">
        <v>#N/A</v>
      </c>
      <c r="D166" s="294" t="e">
        <v>#N/A</v>
      </c>
      <c r="E166" s="1807" t="e">
        <f t="shared" si="20"/>
        <v>#N/A</v>
      </c>
      <c r="F166" s="294" t="e">
        <v>#N/A</v>
      </c>
      <c r="G166" s="1804" t="e">
        <v>#N/A</v>
      </c>
      <c r="H166" s="294" t="e">
        <v>#N/A</v>
      </c>
      <c r="I166" s="1811" t="e">
        <f t="shared" si="21"/>
        <v>#N/A</v>
      </c>
      <c r="J166" s="1804" t="e">
        <v>#N/A</v>
      </c>
      <c r="K166" s="294" t="e">
        <v>#N/A</v>
      </c>
      <c r="L166" s="1807" t="e">
        <f t="shared" si="22"/>
        <v>#N/A</v>
      </c>
      <c r="M166" s="294" t="e">
        <v>#N/A</v>
      </c>
      <c r="N166" s="1804" t="e">
        <v>#N/A</v>
      </c>
      <c r="O166" s="295" t="e">
        <v>#N/A</v>
      </c>
      <c r="P166" s="356" t="e">
        <v>#N/A</v>
      </c>
    </row>
    <row r="167" spans="1:16">
      <c r="A167" s="296">
        <f t="shared" si="14"/>
        <v>2030.2</v>
      </c>
      <c r="B167" s="480" t="e">
        <f t="shared" si="19"/>
        <v>#N/A</v>
      </c>
      <c r="C167" s="1804" t="e">
        <v>#N/A</v>
      </c>
      <c r="D167" s="294" t="e">
        <v>#N/A</v>
      </c>
      <c r="E167" s="1807" t="e">
        <f t="shared" si="20"/>
        <v>#N/A</v>
      </c>
      <c r="F167" s="294" t="e">
        <v>#N/A</v>
      </c>
      <c r="G167" s="1804" t="e">
        <v>#N/A</v>
      </c>
      <c r="H167" s="294" t="e">
        <v>#N/A</v>
      </c>
      <c r="I167" s="1811" t="e">
        <f t="shared" si="21"/>
        <v>#N/A</v>
      </c>
      <c r="J167" s="1804" t="e">
        <v>#N/A</v>
      </c>
      <c r="K167" s="294" t="e">
        <v>#N/A</v>
      </c>
      <c r="L167" s="1807" t="e">
        <f t="shared" si="22"/>
        <v>#N/A</v>
      </c>
      <c r="M167" s="294" t="e">
        <v>#N/A</v>
      </c>
      <c r="N167" s="1804" t="e">
        <v>#N/A</v>
      </c>
      <c r="O167" s="295" t="e">
        <v>#N/A</v>
      </c>
      <c r="P167" s="356" t="e">
        <v>#N/A</v>
      </c>
    </row>
    <row r="168" spans="1:16">
      <c r="A168" s="296">
        <f t="shared" si="14"/>
        <v>2030.3</v>
      </c>
      <c r="B168" s="480" t="e">
        <f t="shared" si="19"/>
        <v>#N/A</v>
      </c>
      <c r="C168" s="1804" t="e">
        <v>#N/A</v>
      </c>
      <c r="D168" s="294" t="e">
        <v>#N/A</v>
      </c>
      <c r="E168" s="1807" t="e">
        <f t="shared" si="20"/>
        <v>#N/A</v>
      </c>
      <c r="F168" s="294" t="e">
        <v>#N/A</v>
      </c>
      <c r="G168" s="1804" t="e">
        <v>#N/A</v>
      </c>
      <c r="H168" s="294" t="e">
        <v>#N/A</v>
      </c>
      <c r="I168" s="1811" t="e">
        <f t="shared" si="21"/>
        <v>#N/A</v>
      </c>
      <c r="J168" s="1804" t="e">
        <v>#N/A</v>
      </c>
      <c r="K168" s="294" t="e">
        <v>#N/A</v>
      </c>
      <c r="L168" s="1807" t="e">
        <f t="shared" si="22"/>
        <v>#N/A</v>
      </c>
      <c r="M168" s="294" t="e">
        <v>#N/A</v>
      </c>
      <c r="N168" s="1804" t="e">
        <v>#N/A</v>
      </c>
      <c r="O168" s="295" t="e">
        <v>#N/A</v>
      </c>
      <c r="P168" s="356" t="e">
        <v>#N/A</v>
      </c>
    </row>
    <row r="169" spans="1:16">
      <c r="A169" s="296">
        <f t="shared" si="14"/>
        <v>2030.4</v>
      </c>
      <c r="B169" s="480" t="e">
        <f t="shared" si="19"/>
        <v>#N/A</v>
      </c>
      <c r="C169" s="1804" t="e">
        <v>#N/A</v>
      </c>
      <c r="D169" s="294" t="e">
        <v>#N/A</v>
      </c>
      <c r="E169" s="1807" t="e">
        <f t="shared" si="20"/>
        <v>#N/A</v>
      </c>
      <c r="F169" s="294" t="e">
        <v>#N/A</v>
      </c>
      <c r="G169" s="1804" t="e">
        <v>#N/A</v>
      </c>
      <c r="H169" s="294" t="e">
        <v>#N/A</v>
      </c>
      <c r="I169" s="1811" t="e">
        <f t="shared" si="21"/>
        <v>#N/A</v>
      </c>
      <c r="J169" s="1804" t="e">
        <v>#N/A</v>
      </c>
      <c r="K169" s="294" t="e">
        <v>#N/A</v>
      </c>
      <c r="L169" s="1807" t="e">
        <f t="shared" si="22"/>
        <v>#N/A</v>
      </c>
      <c r="M169" s="294" t="e">
        <v>#N/A</v>
      </c>
      <c r="N169" s="1804" t="e">
        <v>#N/A</v>
      </c>
      <c r="O169" s="295" t="e">
        <v>#N/A</v>
      </c>
      <c r="P169" s="356" t="e">
        <v>#N/A</v>
      </c>
    </row>
    <row r="170" spans="1:16">
      <c r="P170" s="19"/>
    </row>
    <row r="171" spans="1:16">
      <c r="P171" s="19"/>
    </row>
    <row r="172" spans="1:16">
      <c r="P172" s="19"/>
    </row>
    <row r="173" spans="1:16">
      <c r="P173" s="19"/>
    </row>
    <row r="174" spans="1:16">
      <c r="P174" s="19"/>
    </row>
    <row r="175" spans="1:16">
      <c r="P175" s="19"/>
    </row>
    <row r="176" spans="1:16">
      <c r="P176" s="19"/>
    </row>
    <row r="177" spans="16:30">
      <c r="P177" s="19"/>
    </row>
    <row r="178" spans="16:30">
      <c r="P178" s="19"/>
      <c r="Q178" s="19"/>
      <c r="R178" s="19"/>
      <c r="S178" s="19"/>
      <c r="T178" s="19"/>
      <c r="U178" s="19"/>
      <c r="V178" s="19"/>
      <c r="W178" s="19"/>
      <c r="X178" s="19"/>
      <c r="Y178" s="19"/>
      <c r="Z178" s="19"/>
      <c r="AA178" s="19"/>
      <c r="AB178" s="19"/>
      <c r="AC178" s="19"/>
      <c r="AD178" s="19"/>
    </row>
    <row r="179" spans="16:30">
      <c r="P179" s="19"/>
      <c r="Q179" s="19"/>
      <c r="R179" s="19"/>
      <c r="S179" s="19"/>
      <c r="T179" s="19"/>
      <c r="U179" s="19"/>
      <c r="V179" s="19"/>
      <c r="W179" s="19"/>
      <c r="X179" s="19"/>
      <c r="Y179" s="19"/>
      <c r="Z179" s="19"/>
      <c r="AA179" s="19"/>
      <c r="AB179" s="19"/>
      <c r="AC179" s="19"/>
      <c r="AD179" s="19"/>
    </row>
    <row r="180" spans="16:30">
      <c r="P180" s="19"/>
      <c r="Q180" s="19"/>
      <c r="R180" s="19"/>
      <c r="S180" s="19"/>
      <c r="T180" s="19"/>
      <c r="U180" s="19"/>
      <c r="V180" s="19"/>
      <c r="W180" s="19"/>
      <c r="X180" s="19"/>
      <c r="Y180" s="19"/>
      <c r="Z180" s="19"/>
      <c r="AA180" s="19"/>
      <c r="AB180" s="19"/>
      <c r="AC180" s="19"/>
      <c r="AD180" s="19"/>
    </row>
  </sheetData>
  <phoneticPr fontId="0" type="noConversion"/>
  <hyperlinks>
    <hyperlink ref="A5" location="INDICE!A13" display="VOLVER AL INDICE" xr:uid="{00000000-0004-0000-2000-000000000000}"/>
  </hyperlinks>
  <pageMargins left="0.75" right="0.75" top="1" bottom="1" header="0" footer="0"/>
  <pageSetup paperSize="9"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2"/>
  <dimension ref="A1:G453"/>
  <sheetViews>
    <sheetView zoomScale="115" zoomScaleNormal="115" workbookViewId="0">
      <pane xSplit="1" ySplit="9" topLeftCell="B361"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 style="19" customWidth="1"/>
    <col min="2" max="5" width="14.5703125" style="19" customWidth="1"/>
    <col min="6" max="6" width="13.140625" style="2" customWidth="1"/>
    <col min="7" max="16384" width="11.42578125" style="2"/>
  </cols>
  <sheetData>
    <row r="1" spans="1:6" ht="3" customHeight="1">
      <c r="A1" s="47"/>
      <c r="B1" s="265"/>
      <c r="C1" s="265"/>
      <c r="D1" s="1150"/>
      <c r="E1" s="265"/>
      <c r="F1" s="1080"/>
    </row>
    <row r="2" spans="1:6" ht="45">
      <c r="A2" s="47" t="s">
        <v>212</v>
      </c>
      <c r="B2" s="2307" t="s">
        <v>1245</v>
      </c>
      <c r="C2" s="2308" t="s">
        <v>1244</v>
      </c>
      <c r="D2" s="1151" t="s">
        <v>1242</v>
      </c>
      <c r="E2" s="1148" t="s">
        <v>1174</v>
      </c>
      <c r="F2" s="2309" t="s">
        <v>1205</v>
      </c>
    </row>
    <row r="3" spans="1:6" ht="33.75">
      <c r="A3" s="47" t="s">
        <v>211</v>
      </c>
      <c r="B3" s="137" t="s">
        <v>1172</v>
      </c>
      <c r="C3" s="803"/>
      <c r="D3" s="805" t="s">
        <v>855</v>
      </c>
      <c r="E3" s="77" t="s">
        <v>252</v>
      </c>
      <c r="F3" s="41" t="s">
        <v>1172</v>
      </c>
    </row>
    <row r="4" spans="1:6" ht="3" customHeight="1">
      <c r="A4" s="47"/>
      <c r="B4" s="265"/>
      <c r="C4" s="265"/>
      <c r="D4" s="1150"/>
      <c r="E4" s="265"/>
      <c r="F4" s="1080"/>
    </row>
    <row r="5" spans="1:6" s="264" customFormat="1" ht="22.5">
      <c r="A5" s="45" t="s">
        <v>213</v>
      </c>
      <c r="B5" s="114"/>
      <c r="C5" s="113"/>
      <c r="D5" s="83" t="s">
        <v>1243</v>
      </c>
      <c r="E5" s="106" t="s">
        <v>1194</v>
      </c>
      <c r="F5" s="82"/>
    </row>
    <row r="6" spans="1:6" ht="3" customHeight="1">
      <c r="A6" s="225"/>
      <c r="B6" s="113"/>
      <c r="C6" s="113"/>
      <c r="D6" s="22"/>
      <c r="E6" s="113"/>
      <c r="F6" s="112"/>
    </row>
    <row r="7" spans="1:6" ht="33.75">
      <c r="A7" s="47" t="s">
        <v>210</v>
      </c>
      <c r="B7" s="1079" t="s">
        <v>1336</v>
      </c>
      <c r="C7" s="1155" t="s">
        <v>1335</v>
      </c>
      <c r="D7" s="22" t="s">
        <v>852</v>
      </c>
      <c r="E7" s="1149" t="s">
        <v>227</v>
      </c>
      <c r="F7" s="1021" t="s">
        <v>1575</v>
      </c>
    </row>
    <row r="8" spans="1:6">
      <c r="A8" s="225" t="s">
        <v>412</v>
      </c>
      <c r="B8" s="398" t="s">
        <v>853</v>
      </c>
      <c r="C8" s="1156" t="s">
        <v>854</v>
      </c>
      <c r="D8" s="394" t="s">
        <v>1173</v>
      </c>
      <c r="E8" s="397" t="s">
        <v>1175</v>
      </c>
      <c r="F8" s="395" t="s">
        <v>1206</v>
      </c>
    </row>
    <row r="9" spans="1:6" ht="13.5" thickBot="1">
      <c r="A9" s="194"/>
      <c r="B9" s="566"/>
      <c r="C9" s="566"/>
      <c r="D9" s="1016"/>
      <c r="E9" s="566"/>
      <c r="F9" s="1144"/>
    </row>
    <row r="10" spans="1:6">
      <c r="A10" s="49">
        <v>1994.01</v>
      </c>
      <c r="B10" s="1146">
        <v>683.12</v>
      </c>
      <c r="C10" s="1147">
        <v>23245.79</v>
      </c>
      <c r="D10" s="1017"/>
      <c r="E10" s="1072"/>
      <c r="F10" s="1145">
        <v>481.60998499999999</v>
      </c>
    </row>
    <row r="11" spans="1:6">
      <c r="A11" s="49">
        <v>1994.02</v>
      </c>
      <c r="B11" s="1007">
        <v>652.01</v>
      </c>
      <c r="C11" s="1152">
        <v>21925.78</v>
      </c>
      <c r="D11" s="1017"/>
      <c r="E11" s="1073"/>
      <c r="F11" s="1076">
        <v>467.14001500000001</v>
      </c>
    </row>
    <row r="12" spans="1:6">
      <c r="A12" s="49">
        <v>1994.03</v>
      </c>
      <c r="B12" s="1007">
        <v>558.75</v>
      </c>
      <c r="C12" s="1152">
        <v>19210.43</v>
      </c>
      <c r="D12" s="1017"/>
      <c r="E12" s="1073"/>
      <c r="F12" s="1076">
        <v>445.76998900000001</v>
      </c>
    </row>
    <row r="13" spans="1:6">
      <c r="A13" s="49">
        <v>1994.04</v>
      </c>
      <c r="B13" s="1007">
        <v>545.84</v>
      </c>
      <c r="C13" s="1152">
        <v>19119.28</v>
      </c>
      <c r="D13" s="1017"/>
      <c r="E13" s="1073"/>
      <c r="F13" s="1076">
        <v>450.91000400000001</v>
      </c>
    </row>
    <row r="14" spans="1:6">
      <c r="A14" s="49">
        <v>1994.05</v>
      </c>
      <c r="B14" s="1007">
        <v>605.28</v>
      </c>
      <c r="C14" s="1152">
        <v>21058.97</v>
      </c>
      <c r="D14" s="1017"/>
      <c r="E14" s="1073"/>
      <c r="F14" s="1076">
        <v>456.5</v>
      </c>
    </row>
    <row r="15" spans="1:6">
      <c r="A15" s="49">
        <v>1994.06</v>
      </c>
      <c r="B15" s="1007">
        <v>519.1</v>
      </c>
      <c r="C15" s="1152">
        <v>18001.439999999999</v>
      </c>
      <c r="D15" s="1017"/>
      <c r="E15" s="1073"/>
      <c r="F15" s="1076">
        <v>444.26998900000001</v>
      </c>
    </row>
    <row r="16" spans="1:6">
      <c r="A16" s="49">
        <v>1994.07</v>
      </c>
      <c r="B16" s="1007">
        <v>545.53</v>
      </c>
      <c r="C16" s="1152">
        <v>19532.18</v>
      </c>
      <c r="D16" s="1017"/>
      <c r="E16" s="1073"/>
      <c r="F16" s="1076">
        <v>458.26001000000002</v>
      </c>
    </row>
    <row r="17" spans="1:6">
      <c r="A17" s="49">
        <v>1994.08</v>
      </c>
      <c r="B17" s="1007">
        <v>603.26</v>
      </c>
      <c r="C17" s="1152">
        <v>21235.37</v>
      </c>
      <c r="D17" s="1017"/>
      <c r="E17" s="1073"/>
      <c r="F17" s="1076">
        <v>475.48998999999998</v>
      </c>
    </row>
    <row r="18" spans="1:6">
      <c r="A18" s="49">
        <v>1994.09</v>
      </c>
      <c r="B18" s="1007">
        <v>604.54999999999995</v>
      </c>
      <c r="C18" s="1152">
        <v>20534.650000000001</v>
      </c>
      <c r="D18" s="1017"/>
      <c r="E18" s="1073"/>
      <c r="F18" s="1076">
        <v>462.709991</v>
      </c>
    </row>
    <row r="19" spans="1:6">
      <c r="A19" s="49">
        <v>1994.1</v>
      </c>
      <c r="B19" s="1007">
        <v>574.51</v>
      </c>
      <c r="C19" s="1152">
        <v>19317.740000000002</v>
      </c>
      <c r="D19" s="1017"/>
      <c r="E19" s="1073"/>
      <c r="F19" s="1076">
        <v>472.35000600000001</v>
      </c>
    </row>
    <row r="20" spans="1:6">
      <c r="A20" s="49">
        <v>1994.11</v>
      </c>
      <c r="B20" s="1007">
        <v>525.28</v>
      </c>
      <c r="C20" s="1152">
        <v>17929.2</v>
      </c>
      <c r="D20" s="1017"/>
      <c r="E20" s="1073"/>
      <c r="F20" s="1076">
        <v>453.69000199999999</v>
      </c>
    </row>
    <row r="21" spans="1:6">
      <c r="A21" s="49">
        <v>1994.12</v>
      </c>
      <c r="B21" s="1007">
        <v>460.49</v>
      </c>
      <c r="C21" s="1152">
        <v>15855.62</v>
      </c>
      <c r="D21" s="1017"/>
      <c r="E21" s="1073"/>
      <c r="F21" s="1076">
        <v>459.26998900000001</v>
      </c>
    </row>
    <row r="22" spans="1:6">
      <c r="A22" s="49">
        <f t="shared" ref="A22:A41" si="0">A10+1</f>
        <v>1995.01</v>
      </c>
      <c r="B22" s="1007">
        <v>435</v>
      </c>
      <c r="C22" s="1152">
        <v>15016.51</v>
      </c>
      <c r="D22" s="1017"/>
      <c r="E22" s="1073"/>
      <c r="F22" s="1076">
        <v>470.42001299999998</v>
      </c>
    </row>
    <row r="23" spans="1:6">
      <c r="A23" s="49">
        <f t="shared" si="0"/>
        <v>1995.02</v>
      </c>
      <c r="B23" s="1007">
        <v>322.54000000000002</v>
      </c>
      <c r="C23" s="1152">
        <v>11992.69</v>
      </c>
      <c r="D23" s="1017"/>
      <c r="E23" s="1073"/>
      <c r="F23" s="1076">
        <v>487.39001500000001</v>
      </c>
    </row>
    <row r="24" spans="1:6">
      <c r="A24" s="49">
        <f t="shared" si="0"/>
        <v>1995.03</v>
      </c>
      <c r="B24" s="1007">
        <v>382.46</v>
      </c>
      <c r="C24" s="1152">
        <v>13958.11</v>
      </c>
      <c r="D24" s="1017"/>
      <c r="E24" s="1073"/>
      <c r="F24" s="1076">
        <v>500.709991</v>
      </c>
    </row>
    <row r="25" spans="1:6">
      <c r="A25" s="49">
        <f t="shared" si="0"/>
        <v>1995.04</v>
      </c>
      <c r="B25" s="1007">
        <v>391.99</v>
      </c>
      <c r="C25" s="1152">
        <v>14211.59</v>
      </c>
      <c r="D25" s="1017"/>
      <c r="E25" s="1073"/>
      <c r="F25" s="1076">
        <v>514.71002199999998</v>
      </c>
    </row>
    <row r="26" spans="1:6">
      <c r="A26" s="49">
        <f t="shared" si="0"/>
        <v>1995.05</v>
      </c>
      <c r="B26" s="1007">
        <v>434</v>
      </c>
      <c r="C26" s="1152">
        <v>15303.64</v>
      </c>
      <c r="D26" s="1017"/>
      <c r="E26" s="1073"/>
      <c r="F26" s="1076">
        <v>533.40002400000003</v>
      </c>
    </row>
    <row r="27" spans="1:6">
      <c r="A27" s="49">
        <f t="shared" si="0"/>
        <v>1995.06</v>
      </c>
      <c r="B27" s="1007">
        <v>405.55</v>
      </c>
      <c r="C27" s="1152">
        <v>14384.3</v>
      </c>
      <c r="D27" s="1017"/>
      <c r="E27" s="1073"/>
      <c r="F27" s="1076">
        <v>544.75</v>
      </c>
    </row>
    <row r="28" spans="1:6">
      <c r="A28" s="49">
        <f t="shared" si="0"/>
        <v>1995.07</v>
      </c>
      <c r="B28" s="1007">
        <v>456.99</v>
      </c>
      <c r="C28" s="1152">
        <v>15137.61</v>
      </c>
      <c r="D28" s="1017"/>
      <c r="E28" s="1073"/>
      <c r="F28" s="1076">
        <v>562.05999799999995</v>
      </c>
    </row>
    <row r="29" spans="1:6">
      <c r="A29" s="49">
        <f t="shared" si="0"/>
        <v>1995.08</v>
      </c>
      <c r="B29" s="1007">
        <v>453.86</v>
      </c>
      <c r="C29" s="1152">
        <v>14552.71</v>
      </c>
      <c r="D29" s="1017"/>
      <c r="E29" s="1073"/>
      <c r="F29" s="1076">
        <v>561.88000499999998</v>
      </c>
    </row>
    <row r="30" spans="1:6">
      <c r="A30" s="49">
        <f t="shared" si="0"/>
        <v>1995.09</v>
      </c>
      <c r="B30" s="1007">
        <v>431.74</v>
      </c>
      <c r="C30" s="1152">
        <v>14117.71</v>
      </c>
      <c r="D30" s="1017"/>
      <c r="E30" s="1073"/>
      <c r="F30" s="1076">
        <v>584.40997300000004</v>
      </c>
    </row>
    <row r="31" spans="1:6">
      <c r="A31" s="49">
        <f t="shared" si="0"/>
        <v>1995.1</v>
      </c>
      <c r="B31" s="1007">
        <v>406.82</v>
      </c>
      <c r="C31" s="1152">
        <v>13288.84</v>
      </c>
      <c r="D31" s="1017"/>
      <c r="E31" s="1073"/>
      <c r="F31" s="1076">
        <v>581.5</v>
      </c>
    </row>
    <row r="32" spans="1:6">
      <c r="A32" s="49">
        <f t="shared" si="0"/>
        <v>1995.11</v>
      </c>
      <c r="B32" s="1007">
        <v>472.2</v>
      </c>
      <c r="C32" s="1152">
        <v>15052.6</v>
      </c>
      <c r="D32" s="1017"/>
      <c r="E32" s="1073"/>
      <c r="F32" s="1076">
        <v>605.36999500000002</v>
      </c>
    </row>
    <row r="33" spans="1:6">
      <c r="A33" s="49">
        <f t="shared" si="0"/>
        <v>1995.12</v>
      </c>
      <c r="B33" s="1007">
        <v>518.96</v>
      </c>
      <c r="C33" s="1152">
        <v>16237.81</v>
      </c>
      <c r="D33" s="1017"/>
      <c r="E33" s="1073"/>
      <c r="F33" s="1076">
        <v>615.92999299999997</v>
      </c>
    </row>
    <row r="34" spans="1:6">
      <c r="A34" s="49">
        <f t="shared" si="0"/>
        <v>1996.01</v>
      </c>
      <c r="B34" s="1007">
        <v>563.25</v>
      </c>
      <c r="C34" s="1152">
        <v>18191.57</v>
      </c>
      <c r="D34" s="1017"/>
      <c r="E34" s="1073"/>
      <c r="F34" s="1076">
        <v>636.02002000000005</v>
      </c>
    </row>
    <row r="35" spans="1:6">
      <c r="A35" s="49">
        <f t="shared" si="0"/>
        <v>1996.02</v>
      </c>
      <c r="B35" s="1007">
        <v>495.78</v>
      </c>
      <c r="C35" s="1152">
        <v>15818.59</v>
      </c>
      <c r="D35" s="1017"/>
      <c r="E35" s="1073"/>
      <c r="F35" s="1076">
        <v>640.42999299999997</v>
      </c>
    </row>
    <row r="36" spans="1:6">
      <c r="A36" s="49">
        <f t="shared" si="0"/>
        <v>1996.03</v>
      </c>
      <c r="B36" s="1007">
        <v>509.35</v>
      </c>
      <c r="C36" s="1152">
        <v>16074.17</v>
      </c>
      <c r="D36" s="1017"/>
      <c r="E36" s="1073"/>
      <c r="F36" s="1076">
        <v>645.5</v>
      </c>
    </row>
    <row r="37" spans="1:6">
      <c r="A37" s="49">
        <f t="shared" si="0"/>
        <v>1996.04</v>
      </c>
      <c r="B37" s="1007">
        <v>566.11</v>
      </c>
      <c r="C37" s="1152">
        <v>17580.310000000001</v>
      </c>
      <c r="D37" s="1017"/>
      <c r="E37" s="1073"/>
      <c r="F37" s="1076">
        <v>654.169983</v>
      </c>
    </row>
    <row r="38" spans="1:6">
      <c r="A38" s="49">
        <f t="shared" si="0"/>
        <v>1996.05</v>
      </c>
      <c r="B38" s="1007">
        <v>600.44000000000005</v>
      </c>
      <c r="C38" s="1152">
        <v>18214.810000000001</v>
      </c>
      <c r="D38" s="1017"/>
      <c r="E38" s="1073"/>
      <c r="F38" s="1076">
        <v>669.11999500000002</v>
      </c>
    </row>
    <row r="39" spans="1:6">
      <c r="A39" s="49">
        <f t="shared" si="0"/>
        <v>1996.06</v>
      </c>
      <c r="B39" s="1007">
        <v>607.4</v>
      </c>
      <c r="C39" s="1152">
        <v>18440.080000000002</v>
      </c>
      <c r="D39" s="1017"/>
      <c r="E39" s="1073"/>
      <c r="F39" s="1076">
        <v>670.63000499999998</v>
      </c>
    </row>
    <row r="40" spans="1:6">
      <c r="A40" s="49">
        <f t="shared" si="0"/>
        <v>1996.07</v>
      </c>
      <c r="B40" s="1007">
        <v>529.09</v>
      </c>
      <c r="C40" s="1152">
        <v>16026.89</v>
      </c>
      <c r="D40" s="1017"/>
      <c r="E40" s="1073"/>
      <c r="F40" s="1076">
        <v>639.95001200000002</v>
      </c>
    </row>
    <row r="41" spans="1:6">
      <c r="A41" s="49">
        <f t="shared" si="0"/>
        <v>1996.08</v>
      </c>
      <c r="B41" s="1007">
        <v>509.43</v>
      </c>
      <c r="C41" s="1152">
        <v>15714.82</v>
      </c>
      <c r="D41" s="1017"/>
      <c r="E41" s="1073"/>
      <c r="F41" s="1076">
        <v>651.98999000000003</v>
      </c>
    </row>
    <row r="42" spans="1:6">
      <c r="A42" s="49">
        <f t="shared" ref="A42:A73" si="1">A30+1</f>
        <v>1996.09</v>
      </c>
      <c r="B42" s="1007">
        <v>558.86</v>
      </c>
      <c r="C42" s="1152">
        <v>16951.77</v>
      </c>
      <c r="D42" s="1017"/>
      <c r="E42" s="1073"/>
      <c r="F42" s="1076">
        <v>687.330017</v>
      </c>
    </row>
    <row r="43" spans="1:6">
      <c r="A43" s="49">
        <f t="shared" si="1"/>
        <v>1996.1</v>
      </c>
      <c r="B43" s="1007">
        <v>570.45000000000005</v>
      </c>
      <c r="C43" s="1152">
        <v>16742.86</v>
      </c>
      <c r="D43" s="1017"/>
      <c r="E43" s="1073"/>
      <c r="F43" s="1076">
        <v>705.27002000000005</v>
      </c>
    </row>
    <row r="44" spans="1:6">
      <c r="A44" s="49">
        <f t="shared" si="1"/>
        <v>1996.11</v>
      </c>
      <c r="B44" s="1007">
        <v>617.03</v>
      </c>
      <c r="C44" s="1152">
        <v>17748.68</v>
      </c>
      <c r="D44" s="1017"/>
      <c r="E44" s="1073"/>
      <c r="F44" s="1076">
        <v>757.02002000000005</v>
      </c>
    </row>
    <row r="45" spans="1:6">
      <c r="A45" s="49">
        <f t="shared" si="1"/>
        <v>1996.12</v>
      </c>
      <c r="B45" s="1007">
        <v>649.37</v>
      </c>
      <c r="C45" s="1152">
        <v>18494.87</v>
      </c>
      <c r="D45" s="1017"/>
      <c r="E45" s="1073"/>
      <c r="F45" s="1076">
        <v>740.73999000000003</v>
      </c>
    </row>
    <row r="46" spans="1:6">
      <c r="A46" s="49">
        <f t="shared" si="1"/>
        <v>1997.01</v>
      </c>
      <c r="B46" s="1007">
        <v>692.51</v>
      </c>
      <c r="C46" s="1152">
        <v>20129.14</v>
      </c>
      <c r="D46" s="1017"/>
      <c r="E46" s="1073"/>
      <c r="F46" s="1076">
        <v>786.15997300000004</v>
      </c>
    </row>
    <row r="47" spans="1:6">
      <c r="A47" s="49">
        <f t="shared" si="1"/>
        <v>1997.02</v>
      </c>
      <c r="B47" s="1007">
        <v>717.65</v>
      </c>
      <c r="C47" s="1152">
        <v>20413.509999999998</v>
      </c>
      <c r="D47" s="1017"/>
      <c r="E47" s="1073"/>
      <c r="F47" s="1076">
        <v>790.82000700000003</v>
      </c>
    </row>
    <row r="48" spans="1:6">
      <c r="A48" s="49">
        <f t="shared" si="1"/>
        <v>1997.03</v>
      </c>
      <c r="B48" s="1007">
        <v>706.08</v>
      </c>
      <c r="C48" s="1152">
        <v>20149.71</v>
      </c>
      <c r="D48" s="1017"/>
      <c r="E48" s="1073"/>
      <c r="F48" s="1076">
        <v>757.11999500000002</v>
      </c>
    </row>
    <row r="49" spans="1:6">
      <c r="A49" s="49">
        <f t="shared" si="1"/>
        <v>1997.04</v>
      </c>
      <c r="B49" s="1007">
        <v>722.6</v>
      </c>
      <c r="C49" s="1152">
        <v>21027.9</v>
      </c>
      <c r="D49" s="1017"/>
      <c r="E49" s="1073"/>
      <c r="F49" s="1076">
        <v>801.34002699999996</v>
      </c>
    </row>
    <row r="50" spans="1:6">
      <c r="A50" s="49">
        <f t="shared" si="1"/>
        <v>1997.05</v>
      </c>
      <c r="B50" s="1007">
        <v>778.08</v>
      </c>
      <c r="C50" s="1152">
        <v>22386.89</v>
      </c>
      <c r="D50" s="1017"/>
      <c r="E50" s="1073"/>
      <c r="F50" s="1076">
        <v>848.28002900000001</v>
      </c>
    </row>
    <row r="51" spans="1:6">
      <c r="A51" s="49">
        <f t="shared" si="1"/>
        <v>1997.06</v>
      </c>
      <c r="B51" s="1007">
        <v>809.41</v>
      </c>
      <c r="C51" s="1152">
        <v>22793.84</v>
      </c>
      <c r="D51" s="1017"/>
      <c r="E51" s="1073"/>
      <c r="F51" s="1076">
        <v>885.14001499999995</v>
      </c>
    </row>
    <row r="52" spans="1:6">
      <c r="A52" s="49">
        <f t="shared" si="1"/>
        <v>1997.07</v>
      </c>
      <c r="B52" s="1007">
        <v>850.03</v>
      </c>
      <c r="C52" s="1152">
        <v>24602.29</v>
      </c>
      <c r="D52" s="1017"/>
      <c r="E52" s="1073"/>
      <c r="F52" s="1076">
        <v>954.30999799999995</v>
      </c>
    </row>
    <row r="53" spans="1:6">
      <c r="A53" s="49">
        <f t="shared" si="1"/>
        <v>1997.08</v>
      </c>
      <c r="B53" s="1007">
        <v>832.93</v>
      </c>
      <c r="C53" s="1152">
        <v>24028.32</v>
      </c>
      <c r="D53" s="1017"/>
      <c r="E53" s="1073"/>
      <c r="F53" s="1076">
        <v>899.46997099999999</v>
      </c>
    </row>
    <row r="54" spans="1:6">
      <c r="A54" s="49">
        <f t="shared" si="1"/>
        <v>1997.09</v>
      </c>
      <c r="B54" s="1007">
        <v>822.47</v>
      </c>
      <c r="C54" s="1152">
        <v>24761.43</v>
      </c>
      <c r="D54" s="1017"/>
      <c r="E54" s="1073"/>
      <c r="F54" s="1076">
        <v>947.28002900000001</v>
      </c>
    </row>
    <row r="55" spans="1:6">
      <c r="A55" s="49">
        <f t="shared" si="1"/>
        <v>1997.1</v>
      </c>
      <c r="B55" s="1007">
        <v>660.24</v>
      </c>
      <c r="C55" s="1152">
        <v>20418.11</v>
      </c>
      <c r="D55" s="1017"/>
      <c r="E55" s="1073"/>
      <c r="F55" s="1076">
        <v>914.61999500000002</v>
      </c>
    </row>
    <row r="56" spans="1:6">
      <c r="A56" s="49">
        <f t="shared" si="1"/>
        <v>1997.11</v>
      </c>
      <c r="B56" s="1007">
        <v>655.6</v>
      </c>
      <c r="C56" s="1152">
        <v>21846.95</v>
      </c>
      <c r="D56" s="1017"/>
      <c r="E56" s="1073"/>
      <c r="F56" s="1076">
        <v>955.40002400000003</v>
      </c>
    </row>
    <row r="57" spans="1:6">
      <c r="A57" s="49">
        <f t="shared" si="1"/>
        <v>1997.12</v>
      </c>
      <c r="B57" s="1007">
        <v>687.5</v>
      </c>
      <c r="C57" s="1152">
        <v>23071.71</v>
      </c>
      <c r="D57" s="1017"/>
      <c r="E57" s="1073"/>
      <c r="F57" s="1076">
        <v>970.42999299999997</v>
      </c>
    </row>
    <row r="58" spans="1:6">
      <c r="A58" s="49">
        <f t="shared" si="1"/>
        <v>1998.01</v>
      </c>
      <c r="B58" s="1007">
        <v>612.38</v>
      </c>
      <c r="C58" s="1152">
        <v>21045.69</v>
      </c>
      <c r="D58" s="1017"/>
      <c r="E58" s="1073"/>
      <c r="F58" s="1076">
        <v>980.28002900000001</v>
      </c>
    </row>
    <row r="59" spans="1:6">
      <c r="A59" s="49">
        <f t="shared" si="1"/>
        <v>1998.02</v>
      </c>
      <c r="B59" s="1007">
        <v>686.64</v>
      </c>
      <c r="C59" s="1152">
        <v>22724.560000000001</v>
      </c>
      <c r="D59" s="1017"/>
      <c r="E59" s="1073"/>
      <c r="F59" s="1076">
        <v>1049.339966</v>
      </c>
    </row>
    <row r="60" spans="1:6">
      <c r="A60" s="49">
        <f t="shared" si="1"/>
        <v>1998.03</v>
      </c>
      <c r="B60" s="1007">
        <v>709.97</v>
      </c>
      <c r="C60" s="1152">
        <v>23394.93</v>
      </c>
      <c r="D60" s="1017"/>
      <c r="E60" s="1073"/>
      <c r="F60" s="1076">
        <v>1101.75</v>
      </c>
    </row>
    <row r="61" spans="1:6">
      <c r="A61" s="49">
        <f t="shared" si="1"/>
        <v>1998.04</v>
      </c>
      <c r="B61" s="1007">
        <v>698.9</v>
      </c>
      <c r="C61" s="1152">
        <v>23229.56</v>
      </c>
      <c r="D61" s="1017"/>
      <c r="E61" s="1073"/>
      <c r="F61" s="1076">
        <v>1111.75</v>
      </c>
    </row>
    <row r="62" spans="1:6">
      <c r="A62" s="49">
        <f t="shared" si="1"/>
        <v>1998.05</v>
      </c>
      <c r="B62" s="1007">
        <v>602.01</v>
      </c>
      <c r="C62" s="1152">
        <v>20542.759999999998</v>
      </c>
      <c r="D62" s="1017"/>
      <c r="E62" s="1073"/>
      <c r="F62" s="1076">
        <v>1090.8199460000001</v>
      </c>
    </row>
    <row r="63" spans="1:6">
      <c r="A63" s="49">
        <f t="shared" si="1"/>
        <v>1998.06</v>
      </c>
      <c r="B63" s="1007">
        <v>550.44000000000005</v>
      </c>
      <c r="C63" s="1152">
        <v>19551.03</v>
      </c>
      <c r="D63" s="1017"/>
      <c r="E63" s="1073"/>
      <c r="F63" s="1076">
        <v>1133.839966</v>
      </c>
    </row>
    <row r="64" spans="1:6">
      <c r="A64" s="49">
        <f t="shared" si="1"/>
        <v>1998.07</v>
      </c>
      <c r="B64" s="1007">
        <v>588.79</v>
      </c>
      <c r="C64" s="1152">
        <v>20908.53</v>
      </c>
      <c r="D64" s="1017"/>
      <c r="E64" s="1073"/>
      <c r="F64" s="1076">
        <v>1120.670044</v>
      </c>
    </row>
    <row r="65" spans="1:6">
      <c r="A65" s="49">
        <f t="shared" si="1"/>
        <v>1998.08</v>
      </c>
      <c r="B65" s="1007">
        <v>358.49</v>
      </c>
      <c r="C65" s="1152">
        <v>14504.63</v>
      </c>
      <c r="D65" s="1017"/>
      <c r="E65" s="1073"/>
      <c r="F65" s="1076">
        <v>957.28002900000001</v>
      </c>
    </row>
    <row r="66" spans="1:6">
      <c r="A66" s="49">
        <f t="shared" si="1"/>
        <v>1998.09</v>
      </c>
      <c r="B66" s="1007">
        <v>380.28</v>
      </c>
      <c r="C66" s="1152">
        <v>16344.33</v>
      </c>
      <c r="D66" s="1017"/>
      <c r="E66" s="1073"/>
      <c r="F66" s="1076">
        <v>1017.01001</v>
      </c>
    </row>
    <row r="67" spans="1:6">
      <c r="A67" s="49">
        <f t="shared" si="1"/>
        <v>1998.1</v>
      </c>
      <c r="B67" s="1007">
        <v>457.46</v>
      </c>
      <c r="C67" s="1152">
        <v>18263.63</v>
      </c>
      <c r="D67" s="1017"/>
      <c r="E67" s="1073"/>
      <c r="F67" s="1076">
        <v>1098.670044</v>
      </c>
    </row>
    <row r="68" spans="1:6">
      <c r="A68" s="49">
        <f t="shared" si="1"/>
        <v>1998.11</v>
      </c>
      <c r="B68" s="1007">
        <v>488.8</v>
      </c>
      <c r="C68" s="1152">
        <v>18958.18</v>
      </c>
      <c r="D68" s="1017"/>
      <c r="E68" s="1073"/>
      <c r="F68" s="1076">
        <v>1163.630005</v>
      </c>
    </row>
    <row r="69" spans="1:6">
      <c r="A69" s="49">
        <f t="shared" si="1"/>
        <v>1998.12</v>
      </c>
      <c r="B69" s="1007">
        <v>430.06</v>
      </c>
      <c r="C69" s="1152">
        <v>17408.759999999998</v>
      </c>
      <c r="D69" s="1017"/>
      <c r="E69" s="1073"/>
      <c r="F69" s="1076">
        <v>1229.2299800000001</v>
      </c>
    </row>
    <row r="70" spans="1:6">
      <c r="A70" s="49">
        <f t="shared" si="1"/>
        <v>1999.01</v>
      </c>
      <c r="B70" s="1007">
        <v>371.9</v>
      </c>
      <c r="C70" s="1152">
        <v>15868.49</v>
      </c>
      <c r="D70" s="1017"/>
      <c r="E70" s="1073"/>
      <c r="F70" s="1076">
        <v>1279.6400149999999</v>
      </c>
    </row>
    <row r="71" spans="1:6">
      <c r="A71" s="49">
        <f t="shared" si="1"/>
        <v>1999.02</v>
      </c>
      <c r="B71" s="1007">
        <v>380.77</v>
      </c>
      <c r="C71" s="1152">
        <v>16277.13</v>
      </c>
      <c r="D71" s="1017"/>
      <c r="E71" s="1073"/>
      <c r="F71" s="1076">
        <v>1238.329956</v>
      </c>
    </row>
    <row r="72" spans="1:6">
      <c r="A72" s="49">
        <f t="shared" si="1"/>
        <v>1999.03</v>
      </c>
      <c r="B72" s="1007">
        <v>419.78</v>
      </c>
      <c r="C72" s="1152">
        <v>17298.28</v>
      </c>
      <c r="D72" s="1017"/>
      <c r="E72" s="1073"/>
      <c r="F72" s="1076">
        <v>1286.369995</v>
      </c>
    </row>
    <row r="73" spans="1:6">
      <c r="A73" s="49">
        <f t="shared" si="1"/>
        <v>1999.04</v>
      </c>
      <c r="B73" s="1007">
        <v>563.66999999999996</v>
      </c>
      <c r="C73" s="1152">
        <v>21986.74</v>
      </c>
      <c r="D73" s="1017"/>
      <c r="E73" s="1073"/>
      <c r="F73" s="1076">
        <v>1335.1800539999999</v>
      </c>
    </row>
    <row r="74" spans="1:6">
      <c r="A74" s="49">
        <f t="shared" ref="A74:A105" si="2">A62+1</f>
        <v>1999.05</v>
      </c>
      <c r="B74" s="1007">
        <v>524.1</v>
      </c>
      <c r="C74" s="1152">
        <v>20678.09</v>
      </c>
      <c r="D74" s="1017"/>
      <c r="E74" s="1073"/>
      <c r="F74" s="1076">
        <v>1301.839966</v>
      </c>
    </row>
    <row r="75" spans="1:6">
      <c r="A75" s="49">
        <f t="shared" si="2"/>
        <v>1999.06</v>
      </c>
      <c r="B75" s="1007">
        <v>498.72</v>
      </c>
      <c r="C75" s="1152">
        <v>19782.169999999998</v>
      </c>
      <c r="D75" s="1017"/>
      <c r="E75" s="1073"/>
      <c r="F75" s="1076">
        <v>1372.709961</v>
      </c>
    </row>
    <row r="76" spans="1:6">
      <c r="A76" s="49">
        <f t="shared" si="2"/>
        <v>1999.07</v>
      </c>
      <c r="B76" s="1007">
        <v>475.68</v>
      </c>
      <c r="C76" s="1152">
        <v>19088.62</v>
      </c>
      <c r="D76" s="1017"/>
      <c r="E76" s="1073"/>
      <c r="F76" s="1076">
        <v>1328.719971</v>
      </c>
    </row>
    <row r="77" spans="1:6">
      <c r="A77" s="49">
        <f t="shared" si="2"/>
        <v>1999.08</v>
      </c>
      <c r="B77" s="1007">
        <v>506.74</v>
      </c>
      <c r="C77" s="1152">
        <v>19437.73</v>
      </c>
      <c r="D77" s="1017"/>
      <c r="E77" s="1073"/>
      <c r="F77" s="1076">
        <v>1320.410034</v>
      </c>
    </row>
    <row r="78" spans="1:6">
      <c r="A78" s="49">
        <f t="shared" si="2"/>
        <v>1999.09</v>
      </c>
      <c r="B78" s="1007">
        <v>534.4</v>
      </c>
      <c r="C78" s="1152">
        <v>19884.759999999998</v>
      </c>
      <c r="D78" s="1017"/>
      <c r="E78" s="1073"/>
      <c r="F78" s="1076">
        <v>1282.709961</v>
      </c>
    </row>
    <row r="79" spans="1:6">
      <c r="A79" s="49">
        <f t="shared" si="2"/>
        <v>1999.1</v>
      </c>
      <c r="B79" s="1007">
        <v>538.69000000000005</v>
      </c>
      <c r="C79" s="1152">
        <v>20095.080000000002</v>
      </c>
      <c r="D79" s="1017"/>
      <c r="E79" s="1073"/>
      <c r="F79" s="1076">
        <v>1362.9300539999999</v>
      </c>
    </row>
    <row r="80" spans="1:6">
      <c r="A80" s="49">
        <f t="shared" si="2"/>
        <v>1999.11</v>
      </c>
      <c r="B80" s="1007">
        <v>536.11</v>
      </c>
      <c r="C80" s="1152">
        <v>20258.240000000002</v>
      </c>
      <c r="D80" s="1017"/>
      <c r="E80" s="1073"/>
      <c r="F80" s="1076">
        <v>1388.910034</v>
      </c>
    </row>
    <row r="81" spans="1:6">
      <c r="A81" s="49">
        <f t="shared" si="2"/>
        <v>1999.12</v>
      </c>
      <c r="B81" s="1007">
        <v>550.47</v>
      </c>
      <c r="C81" s="1152">
        <v>21227.75</v>
      </c>
      <c r="D81" s="1017"/>
      <c r="E81" s="1073"/>
      <c r="F81" s="1076">
        <v>1469.25</v>
      </c>
    </row>
    <row r="82" spans="1:6">
      <c r="A82" s="49">
        <f t="shared" si="2"/>
        <v>2000.01</v>
      </c>
      <c r="B82" s="1007">
        <v>566.28</v>
      </c>
      <c r="C82" s="1152">
        <v>20528.509999999998</v>
      </c>
      <c r="D82" s="1017"/>
      <c r="E82" s="1073"/>
      <c r="F82" s="1076">
        <v>1394.459961</v>
      </c>
    </row>
    <row r="83" spans="1:6">
      <c r="A83" s="49">
        <f t="shared" si="2"/>
        <v>2000.02</v>
      </c>
      <c r="B83" s="1007">
        <v>631.64</v>
      </c>
      <c r="C83" s="1152">
        <v>21399.119999999999</v>
      </c>
      <c r="D83" s="1017"/>
      <c r="E83" s="1073"/>
      <c r="F83" s="1076">
        <v>1366.420044</v>
      </c>
    </row>
    <row r="84" spans="1:6">
      <c r="A84" s="49">
        <f t="shared" si="2"/>
        <v>2000.03</v>
      </c>
      <c r="B84" s="1007">
        <v>569.24</v>
      </c>
      <c r="C84" s="1152">
        <v>19566.03</v>
      </c>
      <c r="D84" s="1017"/>
      <c r="E84" s="1073"/>
      <c r="F84" s="1076">
        <v>1498.579956</v>
      </c>
    </row>
    <row r="85" spans="1:6">
      <c r="A85" s="49">
        <f t="shared" si="2"/>
        <v>2000.04</v>
      </c>
      <c r="B85" s="1007">
        <v>509.51</v>
      </c>
      <c r="C85" s="1152">
        <v>18920.63</v>
      </c>
      <c r="D85" s="1017"/>
      <c r="E85" s="1073"/>
      <c r="F85" s="1076">
        <v>1452.4300539999999</v>
      </c>
    </row>
    <row r="86" spans="1:6">
      <c r="A86" s="49">
        <f t="shared" si="2"/>
        <v>2000.05</v>
      </c>
      <c r="B86" s="1007">
        <v>464.3</v>
      </c>
      <c r="C86" s="1152">
        <v>19570.98</v>
      </c>
      <c r="D86" s="1017"/>
      <c r="E86" s="1073"/>
      <c r="F86" s="1076">
        <v>1420.599976</v>
      </c>
    </row>
    <row r="87" spans="1:6">
      <c r="A87" s="49">
        <f t="shared" si="2"/>
        <v>2000.06</v>
      </c>
      <c r="B87" s="1007">
        <v>496.9</v>
      </c>
      <c r="C87" s="1152">
        <v>19493.400000000001</v>
      </c>
      <c r="D87" s="1017"/>
      <c r="E87" s="1073"/>
      <c r="F87" s="1076">
        <v>1454.599976</v>
      </c>
    </row>
    <row r="88" spans="1:6">
      <c r="A88" s="49">
        <f t="shared" si="2"/>
        <v>2000.07</v>
      </c>
      <c r="B88" s="1007">
        <v>502.01</v>
      </c>
      <c r="C88" s="1152">
        <v>19170.060000000001</v>
      </c>
      <c r="D88" s="1017"/>
      <c r="E88" s="1073"/>
      <c r="F88" s="1076">
        <v>1430.829956</v>
      </c>
    </row>
    <row r="89" spans="1:6">
      <c r="A89" s="49">
        <f t="shared" si="2"/>
        <v>2000.08</v>
      </c>
      <c r="B89" s="1007">
        <v>474.66</v>
      </c>
      <c r="C89" s="1152">
        <v>18934.86</v>
      </c>
      <c r="D89" s="1017"/>
      <c r="E89" s="1073"/>
      <c r="F89" s="1076">
        <v>1517.6800539999999</v>
      </c>
    </row>
    <row r="90" spans="1:6">
      <c r="A90" s="49">
        <f t="shared" si="2"/>
        <v>2000.09</v>
      </c>
      <c r="B90" s="1007">
        <v>475.42</v>
      </c>
      <c r="C90" s="1152">
        <v>18032.45</v>
      </c>
      <c r="D90" s="1017"/>
      <c r="E90" s="1073"/>
      <c r="F90" s="1076">
        <v>1436.51001</v>
      </c>
    </row>
    <row r="91" spans="1:6">
      <c r="A91" s="49">
        <f t="shared" si="2"/>
        <v>2000.1</v>
      </c>
      <c r="B91" s="1007">
        <v>440.9</v>
      </c>
      <c r="C91" s="1152">
        <v>16056.44</v>
      </c>
      <c r="D91" s="1017"/>
      <c r="E91" s="1073"/>
      <c r="F91" s="1076">
        <v>1429.400024</v>
      </c>
    </row>
    <row r="92" spans="1:6">
      <c r="A92" s="49">
        <f t="shared" si="2"/>
        <v>2000.11</v>
      </c>
      <c r="B92" s="1007">
        <v>399.49</v>
      </c>
      <c r="C92" s="1152">
        <v>16331.21</v>
      </c>
      <c r="D92" s="1017"/>
      <c r="E92" s="1073"/>
      <c r="F92" s="1076">
        <v>1314.9499510000001</v>
      </c>
    </row>
    <row r="93" spans="1:6">
      <c r="A93" s="49">
        <f t="shared" si="2"/>
        <v>2000.12</v>
      </c>
      <c r="B93" s="1007">
        <v>416.77</v>
      </c>
      <c r="C93" s="1152">
        <v>19814.740000000002</v>
      </c>
      <c r="D93" s="1017"/>
      <c r="E93" s="1073"/>
      <c r="F93" s="1076">
        <v>1320.280029</v>
      </c>
    </row>
    <row r="94" spans="1:6">
      <c r="A94" s="49">
        <f t="shared" si="2"/>
        <v>2001.01</v>
      </c>
      <c r="B94" s="1007">
        <v>532.79999999999995</v>
      </c>
      <c r="C94" s="1152">
        <v>17256.34</v>
      </c>
      <c r="D94" s="1017"/>
      <c r="E94" s="1073"/>
      <c r="F94" s="1076">
        <v>1366.01001</v>
      </c>
    </row>
    <row r="95" spans="1:6">
      <c r="A95" s="49">
        <f t="shared" si="2"/>
        <v>2001.02</v>
      </c>
      <c r="B95" s="1007">
        <v>435.85</v>
      </c>
      <c r="C95" s="1152">
        <v>17256.03</v>
      </c>
      <c r="D95" s="1017"/>
      <c r="E95" s="1073"/>
      <c r="F95" s="1076">
        <v>1239.9399410000001</v>
      </c>
    </row>
    <row r="96" spans="1:6">
      <c r="A96" s="49">
        <f t="shared" si="2"/>
        <v>2001.03</v>
      </c>
      <c r="B96" s="1007">
        <v>443.81</v>
      </c>
      <c r="C96" s="1152">
        <v>17136.57</v>
      </c>
      <c r="D96" s="1017"/>
      <c r="E96" s="1073"/>
      <c r="F96" s="1076">
        <v>1160.329956</v>
      </c>
    </row>
    <row r="97" spans="1:6">
      <c r="A97" s="49">
        <f t="shared" si="2"/>
        <v>2001.04</v>
      </c>
      <c r="B97" s="1007">
        <v>435.63</v>
      </c>
      <c r="C97" s="1152">
        <v>17010.48</v>
      </c>
      <c r="D97" s="1017"/>
      <c r="E97" s="1073"/>
      <c r="F97" s="1076">
        <v>1249.459961</v>
      </c>
    </row>
    <row r="98" spans="1:6">
      <c r="A98" s="49">
        <f t="shared" si="2"/>
        <v>2001.05</v>
      </c>
      <c r="B98" s="1007">
        <v>439.22</v>
      </c>
      <c r="C98" s="1152">
        <v>15812.88</v>
      </c>
      <c r="D98" s="1017"/>
      <c r="E98" s="1073"/>
      <c r="F98" s="1076">
        <v>1255.8199460000001</v>
      </c>
    </row>
    <row r="99" spans="1:6">
      <c r="A99" s="49">
        <f t="shared" si="2"/>
        <v>2001.06</v>
      </c>
      <c r="B99" s="1007">
        <v>402.25</v>
      </c>
      <c r="C99" s="1152">
        <v>13082.5</v>
      </c>
      <c r="D99" s="1017"/>
      <c r="E99" s="1073"/>
      <c r="F99" s="1076">
        <v>1224.380005</v>
      </c>
    </row>
    <row r="100" spans="1:6">
      <c r="A100" s="49">
        <f t="shared" si="2"/>
        <v>2001.07</v>
      </c>
      <c r="B100" s="1007">
        <v>320.79000000000002</v>
      </c>
      <c r="C100" s="1152">
        <v>13062.63</v>
      </c>
      <c r="D100" s="1017"/>
      <c r="E100" s="1073"/>
      <c r="F100" s="1076">
        <v>1211.2299800000001</v>
      </c>
    </row>
    <row r="101" spans="1:6">
      <c r="A101" s="49">
        <f t="shared" si="2"/>
        <v>2001.08</v>
      </c>
      <c r="B101" s="1007">
        <v>319.89</v>
      </c>
      <c r="C101" s="1152">
        <v>10699.45</v>
      </c>
      <c r="D101" s="1017"/>
      <c r="E101" s="1073"/>
      <c r="F101" s="1076">
        <v>1133.579956</v>
      </c>
    </row>
    <row r="102" spans="1:6">
      <c r="A102" s="49">
        <f t="shared" si="2"/>
        <v>2001.09</v>
      </c>
      <c r="B102" s="1007">
        <v>243.55</v>
      </c>
      <c r="C102" s="1152">
        <v>9550.77</v>
      </c>
      <c r="D102" s="1017"/>
      <c r="E102" s="1073"/>
      <c r="F102" s="1076">
        <v>1040.9399410000001</v>
      </c>
    </row>
    <row r="103" spans="1:6">
      <c r="A103" s="49">
        <f t="shared" si="2"/>
        <v>2001.1</v>
      </c>
      <c r="B103" s="1007">
        <v>224.75</v>
      </c>
      <c r="C103" s="1152">
        <v>9491.5</v>
      </c>
      <c r="D103" s="1017"/>
      <c r="E103" s="1073"/>
      <c r="F103" s="1076">
        <v>1059.780029</v>
      </c>
    </row>
    <row r="104" spans="1:6">
      <c r="A104" s="49">
        <f t="shared" si="2"/>
        <v>2001.11</v>
      </c>
      <c r="B104" s="1007">
        <v>202.45</v>
      </c>
      <c r="C104" s="1152">
        <v>13341.51</v>
      </c>
      <c r="D104" s="1017"/>
      <c r="E104" s="1073"/>
      <c r="F104" s="1076">
        <v>1139.4499510000001</v>
      </c>
    </row>
    <row r="105" spans="1:6">
      <c r="A105" s="49">
        <f t="shared" si="2"/>
        <v>2001.12</v>
      </c>
      <c r="B105" s="1007">
        <v>295.39</v>
      </c>
      <c r="C105" s="1152">
        <v>20635.46</v>
      </c>
      <c r="D105" s="1017"/>
      <c r="E105" s="1073"/>
      <c r="F105" s="1076">
        <v>1148.079956</v>
      </c>
    </row>
    <row r="106" spans="1:6">
      <c r="A106" s="49">
        <f t="shared" ref="A106:A137" si="3">A94+1</f>
        <v>2002.01</v>
      </c>
      <c r="B106" s="1007">
        <v>439.2</v>
      </c>
      <c r="C106" s="1152">
        <v>19695.04</v>
      </c>
      <c r="D106" s="1017"/>
      <c r="E106" s="1073"/>
      <c r="F106" s="1076">
        <v>1130.1999510000001</v>
      </c>
    </row>
    <row r="107" spans="1:6">
      <c r="A107" s="49">
        <f t="shared" si="3"/>
        <v>2002.02</v>
      </c>
      <c r="B107" s="1007">
        <v>398.25</v>
      </c>
      <c r="C107" s="1152">
        <v>22842.31</v>
      </c>
      <c r="D107" s="1017"/>
      <c r="E107" s="1073"/>
      <c r="F107" s="1076">
        <v>1106.7299800000001</v>
      </c>
    </row>
    <row r="108" spans="1:6">
      <c r="A108" s="49">
        <f t="shared" si="3"/>
        <v>2002.03</v>
      </c>
      <c r="B108" s="1007">
        <v>436.13</v>
      </c>
      <c r="C108" s="1152">
        <v>19895.62</v>
      </c>
      <c r="D108" s="1017"/>
      <c r="E108" s="1073"/>
      <c r="F108" s="1076">
        <v>1147.3900149999999</v>
      </c>
    </row>
    <row r="109" spans="1:6">
      <c r="A109" s="49">
        <f t="shared" si="3"/>
        <v>2002.04</v>
      </c>
      <c r="B109" s="1007">
        <v>387.79</v>
      </c>
      <c r="C109" s="1152">
        <v>18218.97</v>
      </c>
      <c r="D109" s="1017"/>
      <c r="E109" s="1073"/>
      <c r="F109" s="1076">
        <v>1076.920044</v>
      </c>
    </row>
    <row r="110" spans="1:6">
      <c r="A110" s="49">
        <f t="shared" si="3"/>
        <v>2002.05</v>
      </c>
      <c r="B110" s="1007">
        <v>317.55</v>
      </c>
      <c r="C110" s="1152">
        <v>19643.330000000002</v>
      </c>
      <c r="D110" s="1017"/>
      <c r="E110" s="1073"/>
      <c r="F110" s="1076">
        <v>1067.1400149999999</v>
      </c>
    </row>
    <row r="111" spans="1:6">
      <c r="A111" s="49">
        <f t="shared" si="3"/>
        <v>2002.06</v>
      </c>
      <c r="B111" s="1007">
        <v>350.65</v>
      </c>
      <c r="C111" s="1152">
        <v>20786.11</v>
      </c>
      <c r="D111" s="1017"/>
      <c r="E111" s="1073"/>
      <c r="F111" s="1076">
        <v>989.82000700000003</v>
      </c>
    </row>
    <row r="112" spans="1:6">
      <c r="A112" s="49">
        <f t="shared" si="3"/>
        <v>2002.07</v>
      </c>
      <c r="B112" s="1007">
        <v>359.32</v>
      </c>
      <c r="C112" s="1152">
        <v>20976.13</v>
      </c>
      <c r="D112" s="1017"/>
      <c r="E112" s="1073"/>
      <c r="F112" s="1076">
        <v>911.61999500000002</v>
      </c>
    </row>
    <row r="113" spans="1:6">
      <c r="A113" s="49">
        <f t="shared" si="3"/>
        <v>2002.08</v>
      </c>
      <c r="B113" s="1007">
        <v>375.16</v>
      </c>
      <c r="C113" s="1152">
        <v>21091.18</v>
      </c>
      <c r="D113" s="1017"/>
      <c r="E113" s="1073"/>
      <c r="F113" s="1076">
        <v>916.07000700000003</v>
      </c>
    </row>
    <row r="114" spans="1:6">
      <c r="A114" s="49">
        <f t="shared" si="3"/>
        <v>2002.09</v>
      </c>
      <c r="B114" s="1007">
        <v>395.19</v>
      </c>
      <c r="C114" s="1152">
        <v>22226.43</v>
      </c>
      <c r="D114" s="1017"/>
      <c r="E114" s="1073"/>
      <c r="F114" s="1076">
        <v>815.28002900000001</v>
      </c>
    </row>
    <row r="115" spans="1:6">
      <c r="A115" s="49">
        <f t="shared" si="3"/>
        <v>2002.1</v>
      </c>
      <c r="B115" s="1007">
        <v>434.84</v>
      </c>
      <c r="C115" s="1152">
        <v>25163.75</v>
      </c>
      <c r="D115" s="1017"/>
      <c r="E115" s="1073"/>
      <c r="F115" s="1076">
        <v>885.76000999999997</v>
      </c>
    </row>
    <row r="116" spans="1:6">
      <c r="A116" s="49">
        <f t="shared" si="3"/>
        <v>2002.11</v>
      </c>
      <c r="B116" s="1007">
        <v>497.79</v>
      </c>
      <c r="C116" s="1152">
        <v>25509.41</v>
      </c>
      <c r="D116" s="1017"/>
      <c r="E116" s="1073"/>
      <c r="F116" s="1076">
        <v>936.30999799999995</v>
      </c>
    </row>
    <row r="117" spans="1:6">
      <c r="A117" s="49">
        <f t="shared" si="3"/>
        <v>2002.12</v>
      </c>
      <c r="B117" s="1007">
        <v>524.95000000000005</v>
      </c>
      <c r="C117" s="1152">
        <v>26462.83</v>
      </c>
      <c r="D117" s="1017"/>
      <c r="E117" s="1073"/>
      <c r="F117" s="1076">
        <v>879.82000700000003</v>
      </c>
    </row>
    <row r="118" spans="1:6">
      <c r="A118" s="49">
        <f t="shared" si="3"/>
        <v>2003.01</v>
      </c>
      <c r="B118" s="1007">
        <v>549.85</v>
      </c>
      <c r="C118" s="1152">
        <v>28329.84</v>
      </c>
      <c r="D118" s="1017"/>
      <c r="E118" s="1073"/>
      <c r="F118" s="1076">
        <v>855.70001200000002</v>
      </c>
    </row>
    <row r="119" spans="1:6">
      <c r="A119" s="49">
        <f t="shared" si="3"/>
        <v>2003.02</v>
      </c>
      <c r="B119" s="1007">
        <v>593.82000000000005</v>
      </c>
      <c r="C119" s="1152">
        <v>26921.29</v>
      </c>
      <c r="D119" s="1017"/>
      <c r="E119" s="1073"/>
      <c r="F119" s="1076">
        <v>841.15002400000003</v>
      </c>
    </row>
    <row r="120" spans="1:6">
      <c r="A120" s="49">
        <f t="shared" si="3"/>
        <v>2003.03</v>
      </c>
      <c r="B120" s="1007">
        <v>566.46</v>
      </c>
      <c r="C120" s="1152">
        <v>29383.66</v>
      </c>
      <c r="D120" s="1017"/>
      <c r="E120" s="1073"/>
      <c r="F120" s="1076">
        <v>848.17999299999997</v>
      </c>
    </row>
    <row r="121" spans="1:6">
      <c r="A121" s="49">
        <f t="shared" si="3"/>
        <v>2003.04</v>
      </c>
      <c r="B121" s="1007">
        <v>635.95000000000005</v>
      </c>
      <c r="C121" s="1152">
        <v>30377.57</v>
      </c>
      <c r="D121" s="1017"/>
      <c r="E121" s="1073"/>
      <c r="F121" s="1076">
        <v>916.919983</v>
      </c>
    </row>
    <row r="122" spans="1:6">
      <c r="A122" s="49">
        <f t="shared" si="3"/>
        <v>2003.05</v>
      </c>
      <c r="B122" s="1007">
        <v>678.31</v>
      </c>
      <c r="C122" s="1152">
        <v>32952.15</v>
      </c>
      <c r="D122" s="1017"/>
      <c r="E122" s="1073"/>
      <c r="F122" s="1076">
        <v>963.59002699999996</v>
      </c>
    </row>
    <row r="123" spans="1:6">
      <c r="A123" s="49">
        <f t="shared" si="3"/>
        <v>2003.06</v>
      </c>
      <c r="B123" s="1007">
        <v>765.61</v>
      </c>
      <c r="C123" s="1152">
        <v>32524.39</v>
      </c>
      <c r="D123" s="1017"/>
      <c r="E123" s="1073"/>
      <c r="F123" s="1076">
        <v>974.5</v>
      </c>
    </row>
    <row r="124" spans="1:6">
      <c r="A124" s="49">
        <f t="shared" si="3"/>
        <v>2003.07</v>
      </c>
      <c r="B124" s="1007">
        <v>755.34</v>
      </c>
      <c r="C124" s="1152">
        <v>31239.03</v>
      </c>
      <c r="D124" s="1017"/>
      <c r="E124" s="1073"/>
      <c r="F124" s="1076">
        <v>990.30999799999995</v>
      </c>
    </row>
    <row r="125" spans="1:6">
      <c r="A125" s="49">
        <f t="shared" si="3"/>
        <v>2003.08</v>
      </c>
      <c r="B125" s="1007">
        <v>713.33</v>
      </c>
      <c r="C125" s="1152">
        <v>35512.85</v>
      </c>
      <c r="D125" s="1017"/>
      <c r="E125" s="1073"/>
      <c r="F125" s="1076">
        <v>1008.01001</v>
      </c>
    </row>
    <row r="126" spans="1:6">
      <c r="A126" s="49">
        <f t="shared" si="3"/>
        <v>2003.09</v>
      </c>
      <c r="B126" s="1007">
        <v>827.69</v>
      </c>
      <c r="C126" s="1152">
        <v>38662.31</v>
      </c>
      <c r="D126" s="1017"/>
      <c r="E126" s="1073"/>
      <c r="F126" s="1076">
        <v>995.96997099999999</v>
      </c>
    </row>
    <row r="127" spans="1:6">
      <c r="A127" s="49">
        <f t="shared" si="3"/>
        <v>2003.1</v>
      </c>
      <c r="B127" s="1007">
        <v>929.89</v>
      </c>
      <c r="C127" s="1152">
        <v>41414.33</v>
      </c>
      <c r="D127" s="1017"/>
      <c r="E127" s="1073"/>
      <c r="F127" s="1076">
        <v>1050.709961</v>
      </c>
    </row>
    <row r="128" spans="1:6">
      <c r="A128" s="49">
        <f t="shared" si="3"/>
        <v>2003.11</v>
      </c>
      <c r="B128" s="1007">
        <v>996.56</v>
      </c>
      <c r="C128" s="1152">
        <v>48255.63</v>
      </c>
      <c r="D128" s="1017"/>
      <c r="E128" s="1073"/>
      <c r="F128" s="1076">
        <v>1058.1999510000001</v>
      </c>
    </row>
    <row r="129" spans="1:6">
      <c r="A129" s="49">
        <f t="shared" si="3"/>
        <v>2003.12</v>
      </c>
      <c r="B129" s="1007">
        <v>1071.95</v>
      </c>
      <c r="C129" s="1152">
        <v>50924.13</v>
      </c>
      <c r="D129" s="1017"/>
      <c r="E129" s="1073"/>
      <c r="F129" s="1076">
        <v>1111.920044</v>
      </c>
    </row>
    <row r="130" spans="1:6">
      <c r="A130" s="49">
        <f t="shared" si="3"/>
        <v>2004.01</v>
      </c>
      <c r="B130" s="1007">
        <v>1140.81</v>
      </c>
      <c r="C130" s="1152">
        <v>52208.45</v>
      </c>
      <c r="D130" s="1017"/>
      <c r="E130" s="1073"/>
      <c r="F130" s="1076">
        <v>1131.130005</v>
      </c>
    </row>
    <row r="131" spans="1:6">
      <c r="A131" s="49">
        <f t="shared" si="3"/>
        <v>2004.02</v>
      </c>
      <c r="B131" s="1007">
        <v>1183.1400000000001</v>
      </c>
      <c r="C131" s="1152">
        <v>51947.8</v>
      </c>
      <c r="D131" s="1017"/>
      <c r="E131" s="1073"/>
      <c r="F131" s="1076">
        <v>1144.9399410000001</v>
      </c>
    </row>
    <row r="132" spans="1:6">
      <c r="A132" s="49">
        <f t="shared" si="3"/>
        <v>2004.03</v>
      </c>
      <c r="B132" s="1007">
        <v>1201.6600000000001</v>
      </c>
      <c r="C132" s="1152">
        <v>46155.75</v>
      </c>
      <c r="D132" s="1017"/>
      <c r="E132" s="1073"/>
      <c r="F132" s="1076">
        <v>1126.209961</v>
      </c>
    </row>
    <row r="133" spans="1:6">
      <c r="A133" s="49">
        <f t="shared" si="3"/>
        <v>2004.04</v>
      </c>
      <c r="B133" s="1007">
        <v>1077.93</v>
      </c>
      <c r="C133" s="1152">
        <v>41504.089999999997</v>
      </c>
      <c r="D133" s="1017"/>
      <c r="E133" s="1073"/>
      <c r="F133" s="1076">
        <v>1107.3000489999999</v>
      </c>
    </row>
    <row r="134" spans="1:6">
      <c r="A134" s="49">
        <f t="shared" si="3"/>
        <v>2004.05</v>
      </c>
      <c r="B134" s="1007">
        <v>952.62</v>
      </c>
      <c r="C134" s="1152">
        <v>41560.1</v>
      </c>
      <c r="D134" s="1017"/>
      <c r="E134" s="1073"/>
      <c r="F134" s="1076">
        <v>1120.6800539999999</v>
      </c>
    </row>
    <row r="135" spans="1:6">
      <c r="A135" s="49">
        <f t="shared" si="3"/>
        <v>2004.06</v>
      </c>
      <c r="B135" s="1007">
        <v>945.45</v>
      </c>
      <c r="C135" s="1152">
        <v>43240.66</v>
      </c>
      <c r="D135" s="1017"/>
      <c r="E135" s="1073"/>
      <c r="F135" s="1076">
        <v>1140.839966</v>
      </c>
    </row>
    <row r="136" spans="1:6">
      <c r="A136" s="49">
        <f t="shared" si="3"/>
        <v>2004.07</v>
      </c>
      <c r="B136" s="1007">
        <v>966.1</v>
      </c>
      <c r="C136" s="1152">
        <v>43774.77</v>
      </c>
      <c r="D136" s="1017"/>
      <c r="E136" s="1073"/>
      <c r="F136" s="1076">
        <v>1101.719971</v>
      </c>
    </row>
    <row r="137" spans="1:6">
      <c r="A137" s="49">
        <f t="shared" si="3"/>
        <v>2004.08</v>
      </c>
      <c r="B137" s="1007">
        <v>952.14</v>
      </c>
      <c r="C137" s="1152">
        <v>50676.43</v>
      </c>
      <c r="D137" s="1017"/>
      <c r="E137" s="1073"/>
      <c r="F137" s="1076">
        <v>1104.23999</v>
      </c>
    </row>
    <row r="138" spans="1:6">
      <c r="A138" s="49">
        <f t="shared" ref="A138:A169" si="4">A126+1</f>
        <v>2004.09</v>
      </c>
      <c r="B138" s="1007">
        <v>1142.5</v>
      </c>
      <c r="C138" s="1152">
        <v>53055.199999999997</v>
      </c>
      <c r="D138" s="1017"/>
      <c r="E138" s="1073"/>
      <c r="F138" s="1076">
        <v>1114.579956</v>
      </c>
    </row>
    <row r="139" spans="1:6">
      <c r="A139" s="49">
        <f t="shared" si="4"/>
        <v>2004.1</v>
      </c>
      <c r="B139" s="1007">
        <v>1287.1400000000001</v>
      </c>
      <c r="C139" s="1152">
        <v>52184.19</v>
      </c>
      <c r="D139" s="1017"/>
      <c r="E139" s="1073"/>
      <c r="F139" s="1076">
        <v>1130.1999510000001</v>
      </c>
    </row>
    <row r="140" spans="1:6">
      <c r="A140" s="49">
        <f t="shared" si="4"/>
        <v>2004.11</v>
      </c>
      <c r="B140" s="1007">
        <v>1213.0899999999999</v>
      </c>
      <c r="C140" s="1152">
        <v>56639.12</v>
      </c>
      <c r="D140" s="1017"/>
      <c r="E140" s="1073"/>
      <c r="F140" s="1076">
        <v>1173.8199460000001</v>
      </c>
    </row>
    <row r="141" spans="1:6">
      <c r="A141" s="49">
        <f t="shared" si="4"/>
        <v>2004.12</v>
      </c>
      <c r="B141" s="1007">
        <v>1375.37</v>
      </c>
      <c r="C141" s="1152">
        <v>56939.7</v>
      </c>
      <c r="D141" s="1017"/>
      <c r="E141" s="1073"/>
      <c r="F141" s="1076">
        <v>1211.920044</v>
      </c>
    </row>
    <row r="142" spans="1:6">
      <c r="A142" s="49">
        <f t="shared" si="4"/>
        <v>2005.01</v>
      </c>
      <c r="B142" s="1007">
        <v>1373.79</v>
      </c>
      <c r="C142" s="1152">
        <v>66296.800000000003</v>
      </c>
      <c r="D142" s="1017"/>
      <c r="E142" s="1073"/>
      <c r="F142" s="1076">
        <v>1181.2700199999999</v>
      </c>
    </row>
    <row r="143" spans="1:6">
      <c r="A143" s="49">
        <f t="shared" si="4"/>
        <v>2005.02</v>
      </c>
      <c r="B143" s="1007">
        <v>1558.62</v>
      </c>
      <c r="C143" s="1152">
        <v>60382.77</v>
      </c>
      <c r="D143" s="1017"/>
      <c r="E143" s="1073"/>
      <c r="F143" s="1076">
        <v>1203.599976</v>
      </c>
    </row>
    <row r="144" spans="1:6">
      <c r="A144" s="49">
        <f t="shared" si="4"/>
        <v>2005.03</v>
      </c>
      <c r="B144" s="1007">
        <v>1400.42</v>
      </c>
      <c r="C144" s="1152">
        <v>57597.72</v>
      </c>
      <c r="D144" s="1017"/>
      <c r="E144" s="1073"/>
      <c r="F144" s="1076">
        <v>1180.589966</v>
      </c>
    </row>
    <row r="145" spans="1:6">
      <c r="A145" s="49">
        <f t="shared" si="4"/>
        <v>2005.04</v>
      </c>
      <c r="B145" s="1007">
        <v>1348.35</v>
      </c>
      <c r="C145" s="1152">
        <v>62202.92</v>
      </c>
      <c r="D145" s="1017"/>
      <c r="E145" s="1073"/>
      <c r="F145" s="1076">
        <v>1156.849976</v>
      </c>
    </row>
    <row r="146" spans="1:6">
      <c r="A146" s="49">
        <f t="shared" si="4"/>
        <v>2005.05</v>
      </c>
      <c r="B146" s="1007">
        <v>1485.55</v>
      </c>
      <c r="C146" s="1152">
        <v>59154.77</v>
      </c>
      <c r="D146" s="1017"/>
      <c r="E146" s="1073"/>
      <c r="F146" s="1076">
        <v>1191.5</v>
      </c>
    </row>
    <row r="147" spans="1:6">
      <c r="A147" s="49">
        <f t="shared" si="4"/>
        <v>2005.06</v>
      </c>
      <c r="B147" s="1007">
        <v>1367.41</v>
      </c>
      <c r="C147" s="1152">
        <v>64351.34</v>
      </c>
      <c r="D147" s="1017"/>
      <c r="E147" s="1073"/>
      <c r="F147" s="1076">
        <v>1191.329956</v>
      </c>
    </row>
    <row r="148" spans="1:6">
      <c r="A148" s="49">
        <f t="shared" si="4"/>
        <v>2005.07</v>
      </c>
      <c r="B148" s="1007">
        <v>1507.59</v>
      </c>
      <c r="C148" s="1152">
        <v>68074.5</v>
      </c>
      <c r="D148" s="1017"/>
      <c r="E148" s="1073"/>
      <c r="F148" s="1076">
        <v>1234.1800539999999</v>
      </c>
    </row>
    <row r="149" spans="1:6">
      <c r="A149" s="49">
        <f t="shared" si="4"/>
        <v>2005.08</v>
      </c>
      <c r="B149" s="1007">
        <v>1581.65</v>
      </c>
      <c r="C149" s="1152">
        <v>74533.990000000005</v>
      </c>
      <c r="D149" s="1017"/>
      <c r="E149" s="1073"/>
      <c r="F149" s="1076">
        <v>1220.329956</v>
      </c>
    </row>
    <row r="150" spans="1:6">
      <c r="A150" s="49">
        <f t="shared" si="4"/>
        <v>2005.09</v>
      </c>
      <c r="B150" s="1007">
        <v>1694.83</v>
      </c>
      <c r="C150" s="1152">
        <v>69808.740000000005</v>
      </c>
      <c r="D150" s="1017"/>
      <c r="E150" s="1073"/>
      <c r="F150" s="1076">
        <v>1228.8100589999999</v>
      </c>
    </row>
    <row r="151" spans="1:6">
      <c r="A151" s="49">
        <f t="shared" si="4"/>
        <v>2005.1</v>
      </c>
      <c r="B151" s="1007">
        <v>1608.86</v>
      </c>
      <c r="C151" s="1152">
        <v>68199.89</v>
      </c>
      <c r="D151" s="1017"/>
      <c r="E151" s="1073"/>
      <c r="F151" s="1076">
        <v>1207.01001</v>
      </c>
    </row>
    <row r="152" spans="1:6">
      <c r="A152" s="49">
        <f t="shared" si="4"/>
        <v>2005.11</v>
      </c>
      <c r="B152" s="1007">
        <v>1554.67</v>
      </c>
      <c r="C152" s="1152">
        <v>68822.649999999994</v>
      </c>
      <c r="D152" s="1017"/>
      <c r="E152" s="1073"/>
      <c r="F152" s="1076">
        <v>1249.4799800000001</v>
      </c>
    </row>
    <row r="153" spans="1:6">
      <c r="A153" s="49">
        <f t="shared" si="4"/>
        <v>2005.12</v>
      </c>
      <c r="B153" s="1007">
        <v>1543.31</v>
      </c>
      <c r="C153" s="1152">
        <v>81085.710000000006</v>
      </c>
      <c r="D153" s="1017"/>
      <c r="E153" s="1073"/>
      <c r="F153" s="1076">
        <v>1248.290039</v>
      </c>
    </row>
    <row r="154" spans="1:6">
      <c r="A154" s="49">
        <f t="shared" si="4"/>
        <v>2006.01</v>
      </c>
      <c r="B154" s="1007">
        <v>1793.97</v>
      </c>
      <c r="C154" s="1152">
        <v>77346.14</v>
      </c>
      <c r="D154" s="1017"/>
      <c r="E154" s="1073"/>
      <c r="F154" s="1076">
        <v>1280.079956</v>
      </c>
    </row>
    <row r="155" spans="1:6">
      <c r="A155" s="49">
        <f t="shared" si="4"/>
        <v>2006.02</v>
      </c>
      <c r="B155" s="1007">
        <v>1714.05</v>
      </c>
      <c r="C155" s="1152">
        <v>81682.78</v>
      </c>
      <c r="D155" s="1017"/>
      <c r="E155" s="1073"/>
      <c r="F155" s="1076">
        <v>1280.660034</v>
      </c>
    </row>
    <row r="156" spans="1:6">
      <c r="A156" s="49">
        <f t="shared" si="4"/>
        <v>2006.03</v>
      </c>
      <c r="B156" s="1007">
        <v>1800.58</v>
      </c>
      <c r="C156" s="1152">
        <v>90025.91</v>
      </c>
      <c r="D156" s="1017"/>
      <c r="E156" s="1073"/>
      <c r="F156" s="1076">
        <v>1294.869995</v>
      </c>
    </row>
    <row r="157" spans="1:6">
      <c r="A157" s="49">
        <f t="shared" si="4"/>
        <v>2006.04</v>
      </c>
      <c r="B157" s="1007">
        <v>1908.61</v>
      </c>
      <c r="C157" s="1152">
        <v>78251.42</v>
      </c>
      <c r="D157" s="567">
        <v>4448310227</v>
      </c>
      <c r="E157" s="1073"/>
      <c r="F157" s="1076">
        <v>1310.6099850000001</v>
      </c>
    </row>
    <row r="158" spans="1:6">
      <c r="A158" s="49">
        <f t="shared" si="4"/>
        <v>2006.05</v>
      </c>
      <c r="B158" s="1007">
        <v>1653.72</v>
      </c>
      <c r="C158" s="1152">
        <v>80982.899999999994</v>
      </c>
      <c r="D158" s="911">
        <v>5607686604</v>
      </c>
      <c r="E158" s="1073"/>
      <c r="F158" s="1076">
        <v>1270.089966</v>
      </c>
    </row>
    <row r="159" spans="1:6">
      <c r="A159" s="49">
        <f t="shared" si="4"/>
        <v>2006.06</v>
      </c>
      <c r="B159" s="1007">
        <v>1711.09</v>
      </c>
      <c r="C159" s="1152">
        <v>82167.429999999993</v>
      </c>
      <c r="D159" s="1018" t="e">
        <v>#N/A</v>
      </c>
      <c r="E159" s="1073"/>
      <c r="F159" s="1076">
        <v>1270.1999510000001</v>
      </c>
    </row>
    <row r="160" spans="1:6">
      <c r="A160" s="49">
        <f t="shared" si="4"/>
        <v>2006.07</v>
      </c>
      <c r="B160" s="1007">
        <v>1701.58</v>
      </c>
      <c r="C160" s="1152">
        <v>82826.48</v>
      </c>
      <c r="D160" s="911">
        <v>7834315486</v>
      </c>
      <c r="E160" s="1073"/>
      <c r="F160" s="1076">
        <v>1276.660034</v>
      </c>
    </row>
    <row r="161" spans="1:6">
      <c r="A161" s="49">
        <f t="shared" si="4"/>
        <v>2006.08</v>
      </c>
      <c r="B161" s="1007">
        <v>1662.84</v>
      </c>
      <c r="C161" s="1152">
        <v>81076.89</v>
      </c>
      <c r="D161" s="911">
        <v>7120323897.7899971</v>
      </c>
      <c r="E161" s="1073"/>
      <c r="F161" s="1076">
        <v>1303.8199460000001</v>
      </c>
    </row>
    <row r="162" spans="1:6">
      <c r="A162" s="49">
        <f t="shared" si="4"/>
        <v>2006.09</v>
      </c>
      <c r="B162" s="1007">
        <v>1637.27</v>
      </c>
      <c r="C162" s="1152">
        <v>80581.399999999994</v>
      </c>
      <c r="D162" s="911">
        <v>6455120705.9299908</v>
      </c>
      <c r="E162" s="1073"/>
      <c r="F162" s="1076">
        <v>1335.849976</v>
      </c>
    </row>
    <row r="163" spans="1:6">
      <c r="A163" s="49">
        <f t="shared" si="4"/>
        <v>2006.1</v>
      </c>
      <c r="B163" s="1007">
        <v>1781.68</v>
      </c>
      <c r="C163" s="1152">
        <v>87048.1</v>
      </c>
      <c r="D163" s="911">
        <v>7777815787.8000078</v>
      </c>
      <c r="E163" s="1073"/>
      <c r="F163" s="1076">
        <v>1377.9399410000001</v>
      </c>
    </row>
    <row r="164" spans="1:6">
      <c r="A164" s="49">
        <f t="shared" si="4"/>
        <v>2006.11</v>
      </c>
      <c r="B164" s="1007">
        <v>1967.02</v>
      </c>
      <c r="C164" s="1152">
        <v>97394.48</v>
      </c>
      <c r="D164" s="911">
        <v>7422538477.7799911</v>
      </c>
      <c r="E164" s="1073"/>
      <c r="F164" s="1076">
        <v>1400.630005</v>
      </c>
    </row>
    <row r="165" spans="1:6">
      <c r="A165" s="49">
        <f t="shared" si="4"/>
        <v>2006.12</v>
      </c>
      <c r="B165" s="1007">
        <v>2090.46</v>
      </c>
      <c r="C165" s="1152">
        <v>103164.27</v>
      </c>
      <c r="D165" s="911">
        <v>6877123750</v>
      </c>
      <c r="E165" s="1073"/>
      <c r="F165" s="1076">
        <v>1418.3000489999999</v>
      </c>
    </row>
    <row r="166" spans="1:6">
      <c r="A166" s="49">
        <f t="shared" si="4"/>
        <v>2007.01</v>
      </c>
      <c r="B166" s="1007">
        <v>2070.64</v>
      </c>
      <c r="C166" s="1152">
        <v>105258.69</v>
      </c>
      <c r="D166" s="911">
        <v>9304744942</v>
      </c>
      <c r="E166" s="1073"/>
      <c r="F166" s="1076">
        <v>1438.23999</v>
      </c>
    </row>
    <row r="167" spans="1:6">
      <c r="A167" s="49">
        <f t="shared" si="4"/>
        <v>2007.02</v>
      </c>
      <c r="B167" s="1007">
        <v>2067.64</v>
      </c>
      <c r="C167" s="1152">
        <v>103980.19</v>
      </c>
      <c r="D167" s="911">
        <v>9779327212</v>
      </c>
      <c r="E167" s="1073"/>
      <c r="F167" s="1076">
        <v>1406.8199460000001</v>
      </c>
    </row>
    <row r="168" spans="1:6">
      <c r="A168" s="49">
        <f t="shared" si="4"/>
        <v>2007.03</v>
      </c>
      <c r="B168" s="1007">
        <v>2102.7800000000002</v>
      </c>
      <c r="C168" s="1152">
        <v>106276.24</v>
      </c>
      <c r="D168" s="911">
        <v>9641737941</v>
      </c>
      <c r="E168" s="1073"/>
      <c r="F168" s="1076">
        <v>1420.8599850000001</v>
      </c>
    </row>
    <row r="169" spans="1:6">
      <c r="A169" s="49">
        <f t="shared" si="4"/>
        <v>2007.04</v>
      </c>
      <c r="B169" s="1007">
        <v>2154.5500000000002</v>
      </c>
      <c r="C169" s="1152">
        <v>109410.4</v>
      </c>
      <c r="D169" s="911">
        <v>8394848280</v>
      </c>
      <c r="E169" s="1073"/>
      <c r="F169" s="1076">
        <v>1482.369995</v>
      </c>
    </row>
    <row r="170" spans="1:6">
      <c r="A170" s="49">
        <f t="shared" ref="A170:A201" si="5">A158+1</f>
        <v>2007.05</v>
      </c>
      <c r="B170" s="1007">
        <v>2243.0300000000002</v>
      </c>
      <c r="C170" s="1152">
        <v>119447.55</v>
      </c>
      <c r="D170" s="911">
        <v>9598190072</v>
      </c>
      <c r="E170" s="1073"/>
      <c r="F170" s="1076">
        <v>1530.619995</v>
      </c>
    </row>
    <row r="171" spans="1:6">
      <c r="A171" s="49">
        <f t="shared" si="5"/>
        <v>2007.06</v>
      </c>
      <c r="B171" s="1007">
        <v>2190.87</v>
      </c>
      <c r="C171" s="1152">
        <v>117202.2</v>
      </c>
      <c r="D171" s="911">
        <v>9937986514</v>
      </c>
      <c r="E171" s="1073"/>
      <c r="F171" s="1076">
        <v>1503.349976</v>
      </c>
    </row>
    <row r="172" spans="1:6">
      <c r="A172" s="49">
        <f t="shared" si="5"/>
        <v>2007.07</v>
      </c>
      <c r="B172" s="1007">
        <v>2180.25</v>
      </c>
      <c r="C172" s="1152">
        <v>116325.22</v>
      </c>
      <c r="D172" s="911">
        <v>7834315486</v>
      </c>
      <c r="E172" s="1073"/>
      <c r="F172" s="1076">
        <v>1455.2700199999999</v>
      </c>
    </row>
    <row r="173" spans="1:6">
      <c r="A173" s="49">
        <f t="shared" si="5"/>
        <v>2007.08</v>
      </c>
      <c r="B173" s="1007">
        <v>2062.08</v>
      </c>
      <c r="C173" s="1152">
        <v>113707.87</v>
      </c>
      <c r="D173" s="911">
        <v>7670753167</v>
      </c>
      <c r="E173" s="1073"/>
      <c r="F173" s="1076">
        <v>1473.98999</v>
      </c>
    </row>
    <row r="174" spans="1:6">
      <c r="A174" s="49">
        <f t="shared" si="5"/>
        <v>2007.09</v>
      </c>
      <c r="B174" s="1007">
        <v>2187.9699999999998</v>
      </c>
      <c r="C174" s="1152">
        <v>119864.2</v>
      </c>
      <c r="D174" s="911">
        <v>6864642457.4899969</v>
      </c>
      <c r="E174" s="1073"/>
      <c r="F174" s="1076">
        <v>1526.75</v>
      </c>
    </row>
    <row r="175" spans="1:6">
      <c r="A175" s="49">
        <f t="shared" si="5"/>
        <v>2007.1</v>
      </c>
      <c r="B175" s="1007">
        <v>2351.44</v>
      </c>
      <c r="C175" s="1152">
        <v>130047.39</v>
      </c>
      <c r="D175" s="911">
        <v>7433402985</v>
      </c>
      <c r="E175" s="1073"/>
      <c r="F175" s="1076">
        <v>1549.380005</v>
      </c>
    </row>
    <row r="176" spans="1:6">
      <c r="A176" s="49">
        <f t="shared" si="5"/>
        <v>2007.11</v>
      </c>
      <c r="B176" s="1007">
        <v>2207.16</v>
      </c>
      <c r="C176" s="1152">
        <v>124636.35</v>
      </c>
      <c r="D176" s="911">
        <v>6792436097</v>
      </c>
      <c r="E176" s="1073"/>
      <c r="F176" s="1076">
        <v>1481.1400149999999</v>
      </c>
    </row>
    <row r="177" spans="1:6">
      <c r="A177" s="49">
        <f t="shared" si="5"/>
        <v>2007.12</v>
      </c>
      <c r="B177" s="1007">
        <v>2151.73</v>
      </c>
      <c r="C177" s="1152">
        <v>121652.6</v>
      </c>
      <c r="D177" s="911">
        <v>5172894050</v>
      </c>
      <c r="E177" s="1073"/>
      <c r="F177" s="1076">
        <v>1468.3599850000001</v>
      </c>
    </row>
    <row r="178" spans="1:6">
      <c r="A178" s="49">
        <f t="shared" si="5"/>
        <v>2008.01</v>
      </c>
      <c r="B178" s="1007">
        <v>2007.27</v>
      </c>
      <c r="C178" s="1152">
        <v>113425.52</v>
      </c>
      <c r="D178" s="911">
        <v>7715431887</v>
      </c>
      <c r="E178" s="1073"/>
      <c r="F178" s="1076">
        <v>1378.5500489999999</v>
      </c>
    </row>
    <row r="179" spans="1:6">
      <c r="A179" s="49">
        <f t="shared" si="5"/>
        <v>2008.02</v>
      </c>
      <c r="B179" s="1007">
        <v>2162.1999999999998</v>
      </c>
      <c r="C179" s="1152">
        <v>121179.43</v>
      </c>
      <c r="D179" s="911">
        <v>7845480875</v>
      </c>
      <c r="E179" s="1073"/>
      <c r="F179" s="1076">
        <v>1330.630005</v>
      </c>
    </row>
    <row r="180" spans="1:6">
      <c r="A180" s="49">
        <f t="shared" si="5"/>
        <v>2008.03</v>
      </c>
      <c r="B180" s="1007">
        <v>2103.7199999999998</v>
      </c>
      <c r="C180" s="1152">
        <v>118473.47</v>
      </c>
      <c r="D180" s="911">
        <v>7073416993</v>
      </c>
      <c r="E180" s="1073"/>
      <c r="F180" s="1076">
        <v>1322.6999510000001</v>
      </c>
    </row>
    <row r="181" spans="1:6">
      <c r="A181" s="49">
        <f t="shared" si="5"/>
        <v>2008.04</v>
      </c>
      <c r="B181" s="1007">
        <v>2095.5300000000002</v>
      </c>
      <c r="C181" s="1152">
        <v>118272.73</v>
      </c>
      <c r="D181" s="911">
        <v>8852719214</v>
      </c>
      <c r="E181" s="1073"/>
      <c r="F181" s="1076">
        <v>1385.589966</v>
      </c>
    </row>
    <row r="182" spans="1:6">
      <c r="A182" s="49">
        <f t="shared" si="5"/>
        <v>2008.05</v>
      </c>
      <c r="B182" s="1007">
        <v>2205.7199999999998</v>
      </c>
      <c r="C182" s="1152">
        <v>126100.07</v>
      </c>
      <c r="D182" s="911">
        <v>10557706831</v>
      </c>
      <c r="E182" s="1073"/>
      <c r="F182" s="1076">
        <v>1400.380005</v>
      </c>
    </row>
    <row r="183" spans="1:6">
      <c r="A183" s="49">
        <f t="shared" si="5"/>
        <v>2008.06</v>
      </c>
      <c r="B183" s="1007">
        <v>2107.87</v>
      </c>
      <c r="C183" s="1152">
        <v>121989.52</v>
      </c>
      <c r="D183" s="911">
        <v>12427124509</v>
      </c>
      <c r="E183" s="1073"/>
      <c r="F183" s="1076">
        <v>1280</v>
      </c>
    </row>
    <row r="184" spans="1:6">
      <c r="A184" s="49">
        <f t="shared" si="5"/>
        <v>2008.07</v>
      </c>
      <c r="B184" s="1007">
        <v>1919.82</v>
      </c>
      <c r="C184" s="1152">
        <v>107220.29</v>
      </c>
      <c r="D184" s="911">
        <v>12263630013</v>
      </c>
      <c r="E184" s="1073"/>
      <c r="F184" s="1076">
        <v>1267.380005</v>
      </c>
    </row>
    <row r="185" spans="1:6">
      <c r="A185" s="49">
        <f t="shared" si="5"/>
        <v>2008.08</v>
      </c>
      <c r="B185" s="1007">
        <v>1777.14</v>
      </c>
      <c r="C185" s="1152">
        <v>99679.69</v>
      </c>
      <c r="D185" s="911">
        <v>9636277266</v>
      </c>
      <c r="E185" s="1073"/>
      <c r="F185" s="1076">
        <v>1282.829956</v>
      </c>
    </row>
    <row r="186" spans="1:6">
      <c r="A186" s="49">
        <f t="shared" si="5"/>
        <v>2008.09</v>
      </c>
      <c r="B186" s="1007">
        <v>1598.17</v>
      </c>
      <c r="C186" s="1152">
        <v>90289.95</v>
      </c>
      <c r="D186" s="911">
        <v>8118296702</v>
      </c>
      <c r="E186" s="1073"/>
      <c r="F186" s="1076">
        <v>1166.3599850000001</v>
      </c>
    </row>
    <row r="187" spans="1:6">
      <c r="A187" s="49">
        <f t="shared" si="5"/>
        <v>2008.1</v>
      </c>
      <c r="B187" s="1007">
        <v>1010.79</v>
      </c>
      <c r="C187" s="1152">
        <v>61927.68</v>
      </c>
      <c r="D187" s="911">
        <v>6189841287</v>
      </c>
      <c r="E187" s="1073"/>
      <c r="F187" s="1076">
        <v>968.75</v>
      </c>
    </row>
    <row r="188" spans="1:6">
      <c r="A188" s="49">
        <f t="shared" si="5"/>
        <v>2008.11</v>
      </c>
      <c r="B188" s="1007">
        <v>993.99</v>
      </c>
      <c r="C188" s="1152">
        <v>59247.55</v>
      </c>
      <c r="D188" s="911">
        <v>1868033345</v>
      </c>
      <c r="E188" s="1073"/>
      <c r="F188" s="1076">
        <v>896.23999000000003</v>
      </c>
    </row>
    <row r="189" spans="1:6">
      <c r="A189" s="49">
        <f t="shared" si="5"/>
        <v>2008.12</v>
      </c>
      <c r="B189" s="1007">
        <v>1079.6600000000001</v>
      </c>
      <c r="C189" s="1152">
        <v>62180.160000000003</v>
      </c>
      <c r="D189" s="911">
        <v>1880069453</v>
      </c>
      <c r="E189" s="1073"/>
      <c r="F189" s="1076">
        <v>903.25</v>
      </c>
    </row>
    <row r="190" spans="1:6">
      <c r="A190" s="49">
        <f t="shared" si="5"/>
        <v>2009.01</v>
      </c>
      <c r="B190" s="1007">
        <v>1077.0899999999999</v>
      </c>
      <c r="C190" s="1152">
        <v>61878.720000000001</v>
      </c>
      <c r="D190" s="911">
        <v>2511874491</v>
      </c>
      <c r="E190" s="1073"/>
      <c r="F190" s="1076">
        <v>825.88000499999998</v>
      </c>
    </row>
    <row r="191" spans="1:6">
      <c r="A191" s="49">
        <f t="shared" si="5"/>
        <v>2009.02</v>
      </c>
      <c r="B191" s="1007">
        <v>1019.29</v>
      </c>
      <c r="C191" s="1152">
        <v>57471.12</v>
      </c>
      <c r="D191" s="911">
        <v>2011692382</v>
      </c>
      <c r="E191" s="1073"/>
      <c r="F191" s="1076">
        <v>735.09002699999996</v>
      </c>
    </row>
    <row r="192" spans="1:6">
      <c r="A192" s="49">
        <f t="shared" si="5"/>
        <v>2009.03</v>
      </c>
      <c r="B192" s="1007">
        <v>1125.95</v>
      </c>
      <c r="C192" s="1152">
        <v>63090.27</v>
      </c>
      <c r="D192" s="911">
        <v>2641719426</v>
      </c>
      <c r="E192" s="1073"/>
      <c r="F192" s="1076">
        <v>797.86999500000002</v>
      </c>
    </row>
    <row r="193" spans="1:6">
      <c r="A193" s="49">
        <f t="shared" si="5"/>
        <v>2009.04</v>
      </c>
      <c r="B193" s="1007">
        <v>1275.25</v>
      </c>
      <c r="C193" s="1152">
        <v>71231.570000000007</v>
      </c>
      <c r="D193" s="911">
        <v>2581872830</v>
      </c>
      <c r="E193" s="1073"/>
      <c r="F193" s="1076">
        <v>872.80999799999995</v>
      </c>
    </row>
    <row r="194" spans="1:6">
      <c r="A194" s="49">
        <f t="shared" si="5"/>
        <v>2009.05</v>
      </c>
      <c r="B194" s="1007">
        <v>1587.21</v>
      </c>
      <c r="C194" s="1152">
        <v>86250.55</v>
      </c>
      <c r="D194" s="911">
        <v>3190792840</v>
      </c>
      <c r="E194" s="1073"/>
      <c r="F194" s="1076">
        <v>919.14001499999995</v>
      </c>
    </row>
    <row r="195" spans="1:6">
      <c r="A195" s="49">
        <f t="shared" si="5"/>
        <v>2009.06</v>
      </c>
      <c r="B195" s="1007">
        <v>1587.97</v>
      </c>
      <c r="C195" s="1152">
        <v>87135.66</v>
      </c>
      <c r="D195" s="911">
        <v>4470933820</v>
      </c>
      <c r="E195" s="1073"/>
      <c r="F195" s="1076">
        <v>919.32000700000003</v>
      </c>
    </row>
    <row r="196" spans="1:6">
      <c r="A196" s="49">
        <f t="shared" si="5"/>
        <v>2009.07</v>
      </c>
      <c r="B196" s="1007">
        <v>1719.87</v>
      </c>
      <c r="C196" s="1152">
        <v>94060.81</v>
      </c>
      <c r="D196" s="911">
        <v>2524309934</v>
      </c>
      <c r="E196" s="1073"/>
      <c r="F196" s="1076">
        <v>987.47997999999995</v>
      </c>
    </row>
    <row r="197" spans="1:6">
      <c r="A197" s="49">
        <f t="shared" si="5"/>
        <v>2009.08</v>
      </c>
      <c r="B197" s="1007">
        <v>1781.89</v>
      </c>
      <c r="C197" s="1152">
        <v>96258.25</v>
      </c>
      <c r="D197" s="911">
        <v>3131287492</v>
      </c>
      <c r="E197" s="1073"/>
      <c r="F197" s="1076">
        <v>1020.619995</v>
      </c>
    </row>
    <row r="198" spans="1:6">
      <c r="A198" s="49">
        <f t="shared" si="5"/>
        <v>2009.09</v>
      </c>
      <c r="B198" s="1007">
        <v>2075.14</v>
      </c>
      <c r="C198" s="1152">
        <v>112194.17</v>
      </c>
      <c r="D198" s="911">
        <v>3678666657</v>
      </c>
      <c r="E198" s="1073"/>
      <c r="F198" s="1076">
        <v>1057.079956</v>
      </c>
    </row>
    <row r="199" spans="1:6">
      <c r="A199" s="49">
        <f t="shared" si="5"/>
        <v>2009.1</v>
      </c>
      <c r="B199" s="1007">
        <v>2115.7600000000002</v>
      </c>
      <c r="C199" s="1152">
        <v>113136.89</v>
      </c>
      <c r="D199" s="911">
        <v>4043097622</v>
      </c>
      <c r="E199" s="1073"/>
      <c r="F199" s="1076">
        <v>1036.1899410000001</v>
      </c>
    </row>
    <row r="200" spans="1:6">
      <c r="A200" s="49">
        <f t="shared" si="5"/>
        <v>2009.11</v>
      </c>
      <c r="B200" s="1007">
        <v>2147.25</v>
      </c>
      <c r="C200" s="1152">
        <v>117899.35</v>
      </c>
      <c r="D200" s="911">
        <v>3876581499</v>
      </c>
      <c r="E200" s="1073"/>
      <c r="F200" s="1076">
        <v>1095.630005</v>
      </c>
    </row>
    <row r="201" spans="1:6">
      <c r="A201" s="49">
        <f t="shared" si="5"/>
        <v>2009.12</v>
      </c>
      <c r="B201" s="1007">
        <v>2320.73</v>
      </c>
      <c r="C201" s="1152">
        <v>126569.62</v>
      </c>
      <c r="D201" s="911">
        <v>4100661746</v>
      </c>
      <c r="E201" s="1073"/>
      <c r="F201" s="1076">
        <v>1115.099976</v>
      </c>
    </row>
    <row r="202" spans="1:6">
      <c r="A202" s="49">
        <v>2010.01</v>
      </c>
      <c r="B202" s="1007">
        <v>2298.5500000000002</v>
      </c>
      <c r="C202" s="1152">
        <v>127937.15</v>
      </c>
      <c r="D202" s="911">
        <v>3441943152</v>
      </c>
      <c r="E202" s="1074">
        <v>626.2600000000001</v>
      </c>
      <c r="F202" s="1076">
        <v>1073.869995</v>
      </c>
    </row>
    <row r="203" spans="1:6">
      <c r="A203" s="49">
        <v>2010.02</v>
      </c>
      <c r="B203" s="1007">
        <v>2221.38</v>
      </c>
      <c r="C203" s="1152">
        <v>124970.09</v>
      </c>
      <c r="D203" s="911">
        <v>2882745785</v>
      </c>
      <c r="E203" s="479">
        <v>628.68000000000006</v>
      </c>
      <c r="F203" s="1076">
        <v>1104.48999</v>
      </c>
    </row>
    <row r="204" spans="1:6">
      <c r="A204" s="49">
        <v>2010.03</v>
      </c>
      <c r="B204" s="1007">
        <v>2373.71</v>
      </c>
      <c r="C204" s="1152">
        <v>134195.35</v>
      </c>
      <c r="D204" s="911">
        <v>4541445091</v>
      </c>
      <c r="E204" s="479">
        <v>1241.21</v>
      </c>
      <c r="F204" s="1076">
        <v>1169.4300539999999</v>
      </c>
    </row>
    <row r="205" spans="1:6">
      <c r="A205" s="49">
        <v>2010.04</v>
      </c>
      <c r="B205" s="1007">
        <v>2396.27</v>
      </c>
      <c r="C205" s="1152">
        <v>136118.24</v>
      </c>
      <c r="D205" s="911">
        <v>5132962429</v>
      </c>
      <c r="E205" s="479">
        <v>2995.625</v>
      </c>
      <c r="F205" s="1076">
        <v>1186.6899410000001</v>
      </c>
    </row>
    <row r="206" spans="1:6">
      <c r="A206" s="49">
        <v>2010.05</v>
      </c>
      <c r="B206" s="1007">
        <v>2203.6</v>
      </c>
      <c r="C206" s="1152">
        <v>124539.47</v>
      </c>
      <c r="D206" s="911">
        <v>5568306345</v>
      </c>
      <c r="E206" s="479">
        <v>703.03</v>
      </c>
      <c r="F206" s="1076">
        <v>1089.410034</v>
      </c>
    </row>
    <row r="207" spans="1:6">
      <c r="A207" s="49">
        <v>2010.06</v>
      </c>
      <c r="B207" s="1007">
        <v>2185.0100000000002</v>
      </c>
      <c r="C207" s="1152">
        <v>123883.53</v>
      </c>
      <c r="D207" s="911">
        <v>5545496439</v>
      </c>
      <c r="E207" s="479">
        <v>1123.18</v>
      </c>
      <c r="F207" s="1076">
        <v>1030.709961</v>
      </c>
    </row>
    <row r="208" spans="1:6">
      <c r="A208" s="49">
        <v>2010.07</v>
      </c>
      <c r="B208" s="1007">
        <v>2394.16</v>
      </c>
      <c r="C208" s="1152">
        <v>135703.97</v>
      </c>
      <c r="D208" s="911">
        <v>4847670371</v>
      </c>
      <c r="E208" s="479">
        <v>7956.41</v>
      </c>
      <c r="F208" s="1076">
        <v>1101.599976</v>
      </c>
    </row>
    <row r="209" spans="1:6">
      <c r="A209" s="49">
        <v>2010.08</v>
      </c>
      <c r="B209" s="1007">
        <v>2336.89</v>
      </c>
      <c r="C209" s="1152">
        <v>129923.55</v>
      </c>
      <c r="D209" s="911">
        <v>6786286039</v>
      </c>
      <c r="E209" s="479">
        <v>951.59</v>
      </c>
      <c r="F209" s="1076">
        <v>1049.329956</v>
      </c>
    </row>
    <row r="210" spans="1:6">
      <c r="A210" s="49">
        <v>2010.09</v>
      </c>
      <c r="B210" s="1007">
        <v>2643.42</v>
      </c>
      <c r="C210" s="1152">
        <v>145193.03</v>
      </c>
      <c r="D210" s="911">
        <v>9335841746</v>
      </c>
      <c r="E210" s="479">
        <v>1145.05</v>
      </c>
      <c r="F210" s="1076">
        <v>1141.1999510000001</v>
      </c>
    </row>
    <row r="211" spans="1:6">
      <c r="A211" s="49">
        <v>2010.1</v>
      </c>
      <c r="B211" s="1007">
        <v>3007.41</v>
      </c>
      <c r="C211" s="1152">
        <v>158855.16</v>
      </c>
      <c r="D211" s="911">
        <v>6503615497</v>
      </c>
      <c r="E211" s="479">
        <v>1711.69</v>
      </c>
      <c r="F211" s="1076">
        <v>1183.26001</v>
      </c>
    </row>
    <row r="212" spans="1:6">
      <c r="A212" s="49">
        <v>2010.11</v>
      </c>
      <c r="B212" s="1007">
        <v>3261.49</v>
      </c>
      <c r="C212" s="1152">
        <v>169624.83</v>
      </c>
      <c r="D212" s="911">
        <v>6302939767</v>
      </c>
      <c r="E212" s="479">
        <v>2986.24</v>
      </c>
      <c r="F212" s="1076">
        <v>1180.5500489999999</v>
      </c>
    </row>
    <row r="213" spans="1:6">
      <c r="A213" s="49">
        <v>2010.12</v>
      </c>
      <c r="B213" s="1007">
        <v>3523.59</v>
      </c>
      <c r="C213" s="1152">
        <v>188392.43</v>
      </c>
      <c r="D213" s="911">
        <v>5092585790</v>
      </c>
      <c r="E213" s="479">
        <v>3656.1239999999998</v>
      </c>
      <c r="F213" s="1076">
        <v>1257.6400149999999</v>
      </c>
    </row>
    <row r="214" spans="1:6">
      <c r="A214" s="49">
        <v>2011.01</v>
      </c>
      <c r="B214" s="1007">
        <v>3593.13</v>
      </c>
      <c r="C214" s="1152">
        <v>195789.81</v>
      </c>
      <c r="D214" s="911">
        <v>6173796319</v>
      </c>
      <c r="E214" s="479">
        <v>1602.81</v>
      </c>
      <c r="F214" s="1076">
        <v>1286.119995</v>
      </c>
    </row>
    <row r="215" spans="1:6">
      <c r="A215" s="49">
        <v>2011.02</v>
      </c>
      <c r="B215" s="1007">
        <v>3455.65</v>
      </c>
      <c r="C215" s="1152">
        <v>188118.06</v>
      </c>
      <c r="D215" s="911">
        <v>6373755956</v>
      </c>
      <c r="E215" s="479">
        <v>1662.77</v>
      </c>
      <c r="F215" s="1076">
        <v>1327.219971</v>
      </c>
    </row>
    <row r="216" spans="1:6">
      <c r="A216" s="49">
        <v>2011.03</v>
      </c>
      <c r="B216" s="1007">
        <v>3388.03</v>
      </c>
      <c r="C216" s="1152">
        <v>189288.65</v>
      </c>
      <c r="D216" s="911">
        <v>7893939293</v>
      </c>
      <c r="E216" s="479">
        <v>2440.7500000000005</v>
      </c>
      <c r="F216" s="1076">
        <v>1325.829956</v>
      </c>
    </row>
    <row r="217" spans="1:6">
      <c r="A217" s="49">
        <v>2011.04</v>
      </c>
      <c r="B217" s="1007">
        <v>3406.02</v>
      </c>
      <c r="C217" s="1152">
        <v>188451.94</v>
      </c>
      <c r="D217" s="911">
        <v>6878859619</v>
      </c>
      <c r="E217" s="479">
        <v>6888.24</v>
      </c>
      <c r="F217" s="1076">
        <v>1363.6099850000001</v>
      </c>
    </row>
    <row r="218" spans="1:6">
      <c r="A218" s="49">
        <v>2011.05</v>
      </c>
      <c r="B218" s="1007">
        <v>3250.91</v>
      </c>
      <c r="C218" s="1152">
        <v>182577.26</v>
      </c>
      <c r="D218" s="911">
        <v>7887463346</v>
      </c>
      <c r="E218" s="479">
        <v>3448.63</v>
      </c>
      <c r="F218" s="1076">
        <v>1345.1999510000001</v>
      </c>
    </row>
    <row r="219" spans="1:6">
      <c r="A219" s="49">
        <v>2011.06</v>
      </c>
      <c r="B219" s="1007">
        <v>3360.64</v>
      </c>
      <c r="C219" s="1152">
        <v>184950.8</v>
      </c>
      <c r="D219" s="911">
        <v>7445840901</v>
      </c>
      <c r="E219" s="479">
        <v>1785.23</v>
      </c>
      <c r="F219" s="1076">
        <v>1320.6400149999999</v>
      </c>
    </row>
    <row r="220" spans="1:6">
      <c r="A220" s="49">
        <v>2011.07</v>
      </c>
      <c r="B220" s="1007">
        <v>3321.85</v>
      </c>
      <c r="C220" s="1152">
        <v>181305.87</v>
      </c>
      <c r="D220" s="911">
        <v>5794697542</v>
      </c>
      <c r="E220" s="479">
        <v>1328.71</v>
      </c>
      <c r="F220" s="1076">
        <v>1292.280029</v>
      </c>
    </row>
    <row r="221" spans="1:6">
      <c r="A221" s="49">
        <v>2011.08</v>
      </c>
      <c r="B221" s="1007">
        <v>2964.79</v>
      </c>
      <c r="C221" s="1152">
        <v>163306.42000000001</v>
      </c>
      <c r="D221" s="911">
        <v>7436364775</v>
      </c>
      <c r="E221" s="479">
        <v>2411.17</v>
      </c>
      <c r="F221" s="1076">
        <v>1218.8900149999999</v>
      </c>
    </row>
    <row r="222" spans="1:6">
      <c r="A222" s="49">
        <v>2011.09</v>
      </c>
      <c r="B222" s="1007">
        <v>2455.79</v>
      </c>
      <c r="C222" s="1152">
        <v>136684.85</v>
      </c>
      <c r="D222" s="911">
        <v>7106940583</v>
      </c>
      <c r="E222" s="479">
        <v>2555.1099999999997</v>
      </c>
      <c r="F222" s="1076">
        <v>1131.420044</v>
      </c>
    </row>
    <row r="223" spans="1:6">
      <c r="A223" s="49">
        <v>2011.1</v>
      </c>
      <c r="B223" s="1007">
        <v>2905.54</v>
      </c>
      <c r="C223" s="1152">
        <v>161858.43</v>
      </c>
      <c r="D223" s="911">
        <v>7455044551</v>
      </c>
      <c r="E223" s="479">
        <v>1301.75</v>
      </c>
      <c r="F223" s="1076">
        <v>1253.3000489999999</v>
      </c>
    </row>
    <row r="224" spans="1:6">
      <c r="A224" s="49">
        <v>2011.11</v>
      </c>
      <c r="B224" s="1007">
        <v>2562.85</v>
      </c>
      <c r="C224" s="1152">
        <v>146893.34</v>
      </c>
      <c r="D224" s="911">
        <v>5847183657</v>
      </c>
      <c r="E224" s="479">
        <v>1496.81</v>
      </c>
      <c r="F224" s="1076">
        <v>1246.959961</v>
      </c>
    </row>
    <row r="225" spans="1:6">
      <c r="A225" s="49">
        <v>2011.12</v>
      </c>
      <c r="B225" s="1007">
        <v>2462.63</v>
      </c>
      <c r="C225" s="1152">
        <v>144517.98000000001</v>
      </c>
      <c r="D225" s="911">
        <v>4554483036</v>
      </c>
      <c r="E225" s="479">
        <v>2770.83</v>
      </c>
      <c r="F225" s="1076">
        <v>1257.599976</v>
      </c>
    </row>
    <row r="226" spans="1:6">
      <c r="A226" s="49">
        <v>2012.01</v>
      </c>
      <c r="B226" s="1007">
        <v>2787.17</v>
      </c>
      <c r="C226" s="1152">
        <v>158345.12</v>
      </c>
      <c r="D226" s="911">
        <v>6848557944</v>
      </c>
      <c r="E226" s="479">
        <v>1738.7599999999998</v>
      </c>
      <c r="F226" s="1076">
        <v>1312.410034</v>
      </c>
    </row>
    <row r="227" spans="1:6">
      <c r="A227" s="49">
        <v>2012.02</v>
      </c>
      <c r="B227" s="1007">
        <v>2648.22</v>
      </c>
      <c r="C227" s="1152">
        <v>154269.5</v>
      </c>
      <c r="D227" s="911">
        <v>5747533216</v>
      </c>
      <c r="E227" s="479">
        <v>1736.8</v>
      </c>
      <c r="F227" s="1076">
        <v>1365.6800539999999</v>
      </c>
    </row>
    <row r="228" spans="1:6">
      <c r="A228" s="49">
        <v>2012.03</v>
      </c>
      <c r="B228" s="1007">
        <v>2683.99</v>
      </c>
      <c r="C228" s="1152">
        <v>155480.5</v>
      </c>
      <c r="D228" s="911">
        <v>8672096600</v>
      </c>
      <c r="E228" s="479">
        <v>1604.07</v>
      </c>
      <c r="F228" s="1076">
        <v>1408.469971</v>
      </c>
    </row>
    <row r="229" spans="1:6">
      <c r="A229" s="49">
        <v>2012.04</v>
      </c>
      <c r="B229" s="1007">
        <v>2271.86</v>
      </c>
      <c r="C229" s="1152">
        <v>137210.78</v>
      </c>
      <c r="D229" s="911">
        <v>6583165801</v>
      </c>
      <c r="E229" s="479">
        <v>2086.6999999999998</v>
      </c>
      <c r="F229" s="1076">
        <v>1397.910034</v>
      </c>
    </row>
    <row r="230" spans="1:6">
      <c r="A230" s="49">
        <v>2012.05</v>
      </c>
      <c r="B230" s="1007">
        <v>2256.7399999999998</v>
      </c>
      <c r="C230" s="1152">
        <v>138333.01999999999</v>
      </c>
      <c r="D230" s="911">
        <v>9041923287</v>
      </c>
      <c r="E230" s="479">
        <v>4538.57</v>
      </c>
      <c r="F230" s="1076">
        <v>1310.329956</v>
      </c>
    </row>
    <row r="231" spans="1:6">
      <c r="A231" s="49">
        <v>2012.06</v>
      </c>
      <c r="B231" s="1007">
        <v>2346.6799999999998</v>
      </c>
      <c r="C231" s="1152">
        <v>143818.98000000001</v>
      </c>
      <c r="D231" s="911">
        <v>6630258276</v>
      </c>
      <c r="E231" s="479">
        <v>1422.03</v>
      </c>
      <c r="F231" s="1076">
        <v>1362.160034</v>
      </c>
    </row>
    <row r="232" spans="1:6">
      <c r="A232" s="49">
        <v>2012.07</v>
      </c>
      <c r="B232" s="1007">
        <v>2400.31</v>
      </c>
      <c r="C232" s="1152">
        <v>150111.22</v>
      </c>
      <c r="D232" s="911">
        <v>5490674052</v>
      </c>
      <c r="E232" s="479">
        <v>1965.23</v>
      </c>
      <c r="F232" s="1076">
        <v>1379.3199460000001</v>
      </c>
    </row>
    <row r="233" spans="1:6">
      <c r="A233" s="49">
        <v>2012.08</v>
      </c>
      <c r="B233" s="1007">
        <v>2408.38</v>
      </c>
      <c r="C233" s="1152">
        <v>147725.91</v>
      </c>
      <c r="D233" s="911">
        <v>6826432694</v>
      </c>
      <c r="E233" s="479">
        <v>3577.35</v>
      </c>
      <c r="F233" s="1076">
        <v>1406.579956</v>
      </c>
    </row>
    <row r="234" spans="1:6">
      <c r="A234" s="49">
        <v>2012.09</v>
      </c>
      <c r="B234" s="1007">
        <v>2451.73</v>
      </c>
      <c r="C234" s="1152">
        <v>146370.88</v>
      </c>
      <c r="D234" s="911">
        <v>6332127455</v>
      </c>
      <c r="E234" s="479">
        <v>3994.58</v>
      </c>
      <c r="F234" s="1076">
        <v>1440.670044</v>
      </c>
    </row>
    <row r="235" spans="1:6">
      <c r="A235" s="49">
        <v>2012.1</v>
      </c>
      <c r="B235" s="1007">
        <v>2323.39</v>
      </c>
      <c r="C235" s="1152">
        <v>142466.76999999999</v>
      </c>
      <c r="D235" s="911">
        <v>7510764388</v>
      </c>
      <c r="E235" s="479">
        <v>3949.1600000000003</v>
      </c>
      <c r="F235" s="1076">
        <v>1412.160034</v>
      </c>
    </row>
    <row r="236" spans="1:6">
      <c r="A236" s="49">
        <v>2012.11</v>
      </c>
      <c r="B236" s="1007">
        <v>2419.3000000000002</v>
      </c>
      <c r="C236" s="1152">
        <v>146115.35999999999</v>
      </c>
      <c r="D236" s="911">
        <v>8283449903</v>
      </c>
      <c r="E236" s="479">
        <v>5414.3400000000011</v>
      </c>
      <c r="F236" s="1076">
        <v>1416.1800539999999</v>
      </c>
    </row>
    <row r="237" spans="1:6">
      <c r="A237" s="49">
        <v>2012.12</v>
      </c>
      <c r="B237" s="1007">
        <v>2854.29</v>
      </c>
      <c r="C237" s="1152">
        <v>164018.92000000001</v>
      </c>
      <c r="D237" s="911">
        <v>6345507847</v>
      </c>
      <c r="E237" s="479">
        <v>6486.0999999999995</v>
      </c>
      <c r="F237" s="1076">
        <v>1426.1899410000001</v>
      </c>
    </row>
    <row r="238" spans="1:6">
      <c r="A238" s="49">
        <v>2013.01</v>
      </c>
      <c r="B238" s="1007">
        <v>3462.42</v>
      </c>
      <c r="C238" s="1152">
        <v>197267.71</v>
      </c>
      <c r="D238" s="911">
        <v>9022747678</v>
      </c>
      <c r="E238" s="479">
        <v>2855.32</v>
      </c>
      <c r="F238" s="1076">
        <v>1498.1099850000001</v>
      </c>
    </row>
    <row r="239" spans="1:6">
      <c r="A239" s="49">
        <v>2013.02</v>
      </c>
      <c r="B239" s="1007">
        <v>3048.55</v>
      </c>
      <c r="C239" s="1152">
        <v>182443.01</v>
      </c>
      <c r="D239" s="911">
        <v>8130812129</v>
      </c>
      <c r="E239" s="479">
        <v>3432.3999999999996</v>
      </c>
      <c r="F239" s="1076">
        <v>1514.6800539999999</v>
      </c>
    </row>
    <row r="240" spans="1:6">
      <c r="A240" s="49">
        <v>2013.03</v>
      </c>
      <c r="B240" s="1007">
        <v>3380.78</v>
      </c>
      <c r="C240" s="1152">
        <v>198283.31</v>
      </c>
      <c r="D240" s="911">
        <v>9624465499</v>
      </c>
      <c r="E240" s="479">
        <v>4032.7000000000003</v>
      </c>
      <c r="F240" s="1076">
        <v>1569.1899410000001</v>
      </c>
    </row>
    <row r="241" spans="1:6">
      <c r="A241" s="49">
        <v>2013.04</v>
      </c>
      <c r="B241" s="1007">
        <v>3845.94</v>
      </c>
      <c r="C241" s="1152">
        <v>228743.2</v>
      </c>
      <c r="D241" s="911">
        <v>11427898592</v>
      </c>
      <c r="E241" s="479">
        <v>6302.34</v>
      </c>
      <c r="F241" s="1076">
        <v>1597.5699460000001</v>
      </c>
    </row>
    <row r="242" spans="1:6">
      <c r="A242" s="49">
        <v>2013.05</v>
      </c>
      <c r="B242" s="1007">
        <v>3489.43</v>
      </c>
      <c r="C242" s="1152">
        <v>203767.38</v>
      </c>
      <c r="D242" s="911">
        <v>10847835096</v>
      </c>
      <c r="E242" s="479">
        <v>4267.53</v>
      </c>
      <c r="F242" s="1076">
        <v>1630.73999</v>
      </c>
    </row>
    <row r="243" spans="1:6">
      <c r="A243" s="49">
        <v>2013.06</v>
      </c>
      <c r="B243" s="1007">
        <v>2976.27</v>
      </c>
      <c r="C243" s="1152">
        <v>175050.69</v>
      </c>
      <c r="D243" s="911">
        <v>8268213862</v>
      </c>
      <c r="E243" s="479">
        <v>3936.94</v>
      </c>
      <c r="F243" s="1076">
        <v>1606.280029</v>
      </c>
    </row>
    <row r="244" spans="1:6">
      <c r="A244" s="49">
        <v>2013.07</v>
      </c>
      <c r="B244" s="1007">
        <v>3357.86</v>
      </c>
      <c r="C244" s="1152">
        <v>194992.06</v>
      </c>
      <c r="D244" s="911">
        <v>9358474750</v>
      </c>
      <c r="E244" s="479">
        <v>5148.13</v>
      </c>
      <c r="F244" s="1076">
        <v>1685.7299800000001</v>
      </c>
    </row>
    <row r="245" spans="1:6">
      <c r="A245" s="49">
        <v>2013.08</v>
      </c>
      <c r="B245" s="1007">
        <v>3935.89</v>
      </c>
      <c r="C245" s="1152">
        <v>226987.15</v>
      </c>
      <c r="D245" s="911">
        <v>10303749644</v>
      </c>
      <c r="E245" s="479">
        <v>4040.22</v>
      </c>
      <c r="F245" s="1076">
        <v>1632.969971</v>
      </c>
    </row>
    <row r="246" spans="1:6">
      <c r="A246" s="49">
        <v>2013.09</v>
      </c>
      <c r="B246" s="1007">
        <v>4783.7700000000004</v>
      </c>
      <c r="C246" s="1152">
        <v>258046.22</v>
      </c>
      <c r="D246" s="911">
        <v>10653032933</v>
      </c>
      <c r="E246" s="479">
        <v>3476.69</v>
      </c>
      <c r="F246" s="1076">
        <v>1681.5500489999999</v>
      </c>
    </row>
    <row r="247" spans="1:6">
      <c r="A247" s="49">
        <v>2013.1</v>
      </c>
      <c r="B247" s="1007">
        <v>5165.09</v>
      </c>
      <c r="C247" s="1152">
        <v>281415.01</v>
      </c>
      <c r="D247" s="911">
        <v>10909778053</v>
      </c>
      <c r="E247" s="479">
        <v>19338.12</v>
      </c>
      <c r="F247" s="1076">
        <v>1756.540039</v>
      </c>
    </row>
    <row r="248" spans="1:6">
      <c r="A248" s="49">
        <v>2013.11</v>
      </c>
      <c r="B248" s="1007">
        <v>5718.68</v>
      </c>
      <c r="C248" s="1152">
        <v>287678.84000000003</v>
      </c>
      <c r="D248" s="911">
        <v>7221889683</v>
      </c>
      <c r="E248" s="479">
        <v>5882.61</v>
      </c>
      <c r="F248" s="1076">
        <v>1805.8100589999999</v>
      </c>
    </row>
    <row r="249" spans="1:6">
      <c r="A249" s="49">
        <v>2013.12</v>
      </c>
      <c r="B249" s="1007">
        <v>5391.03</v>
      </c>
      <c r="C249" s="1152">
        <v>265324.57</v>
      </c>
      <c r="D249" s="911">
        <v>6390639376</v>
      </c>
      <c r="E249" s="479">
        <v>7405.7300000000005</v>
      </c>
      <c r="F249" s="1076">
        <v>1848.3599850000001</v>
      </c>
    </row>
    <row r="250" spans="1:6">
      <c r="A250" s="49">
        <v>2014.01</v>
      </c>
      <c r="B250" s="1007">
        <v>6018.65</v>
      </c>
      <c r="C250" s="1152">
        <v>309833.96000000002</v>
      </c>
      <c r="D250" s="911">
        <v>8695340313</v>
      </c>
      <c r="E250" s="479">
        <v>2894.37</v>
      </c>
      <c r="F250" s="1076">
        <v>1782.589966</v>
      </c>
    </row>
    <row r="251" spans="1:6">
      <c r="A251" s="49">
        <v>2014.02</v>
      </c>
      <c r="B251" s="1007">
        <v>5784.39</v>
      </c>
      <c r="C251" s="1152">
        <v>285091.11</v>
      </c>
      <c r="D251" s="911">
        <v>8158982315</v>
      </c>
      <c r="E251" s="479">
        <v>4995.0600000000004</v>
      </c>
      <c r="F251" s="1076">
        <v>1859.4499510000001</v>
      </c>
    </row>
    <row r="252" spans="1:6">
      <c r="A252" s="49">
        <v>2014.03</v>
      </c>
      <c r="B252" s="1007">
        <v>6373.82</v>
      </c>
      <c r="C252" s="1152">
        <v>304237.58</v>
      </c>
      <c r="D252" s="911">
        <v>8069433871</v>
      </c>
      <c r="E252" s="479">
        <v>3769.2599999999998</v>
      </c>
      <c r="F252" s="1076">
        <v>1872.339966</v>
      </c>
    </row>
    <row r="253" spans="1:6">
      <c r="A253" s="49">
        <v>2014.04</v>
      </c>
      <c r="B253" s="1007">
        <v>6782.01</v>
      </c>
      <c r="C253" s="1152">
        <v>327213.74</v>
      </c>
      <c r="D253" s="911">
        <v>10284783986</v>
      </c>
      <c r="E253" s="479">
        <v>11610.06</v>
      </c>
      <c r="F253" s="1076">
        <v>1883.9499510000001</v>
      </c>
    </row>
    <row r="254" spans="1:6">
      <c r="A254" s="49">
        <v>2014.05</v>
      </c>
      <c r="B254" s="1007">
        <v>7712.23</v>
      </c>
      <c r="C254" s="1152">
        <v>373628.03</v>
      </c>
      <c r="D254" s="911">
        <v>11579152584</v>
      </c>
      <c r="E254" s="479">
        <v>3417.1000000000004</v>
      </c>
      <c r="F254" s="1076">
        <v>1923.5699460000001</v>
      </c>
    </row>
    <row r="255" spans="1:6">
      <c r="A255" s="49">
        <v>2014.06</v>
      </c>
      <c r="B255" s="1007">
        <v>7887.33</v>
      </c>
      <c r="C255" s="1152">
        <v>376028.88</v>
      </c>
      <c r="D255" s="911">
        <v>10209468288</v>
      </c>
      <c r="E255" s="479">
        <v>6124.47</v>
      </c>
      <c r="F255" s="1076">
        <v>1960.2299800000001</v>
      </c>
    </row>
    <row r="256" spans="1:6">
      <c r="A256" s="49">
        <v>2014.07</v>
      </c>
      <c r="B256" s="1007">
        <v>8187.99</v>
      </c>
      <c r="C256" s="1152">
        <v>379664.48</v>
      </c>
      <c r="D256" s="911">
        <v>12579014820</v>
      </c>
      <c r="E256" s="479">
        <v>4822.1499999999996</v>
      </c>
      <c r="F256" s="1076">
        <v>1930.670044</v>
      </c>
    </row>
    <row r="257" spans="1:6">
      <c r="A257" s="49">
        <v>2014.08</v>
      </c>
      <c r="B257" s="1007">
        <v>9817.2999999999993</v>
      </c>
      <c r="C257" s="1152">
        <v>454971.48</v>
      </c>
      <c r="D257" s="911">
        <v>9711719601.5600014</v>
      </c>
      <c r="E257" s="479">
        <v>4191.84</v>
      </c>
      <c r="F257" s="1076">
        <v>2003.369995</v>
      </c>
    </row>
    <row r="258" spans="1:6">
      <c r="A258" s="49">
        <v>2014.09</v>
      </c>
      <c r="B258" s="1007">
        <v>12548.99</v>
      </c>
      <c r="C258" s="1152">
        <v>583490.12</v>
      </c>
      <c r="D258" s="911">
        <v>14158959593</v>
      </c>
      <c r="E258" s="479">
        <v>7290.81</v>
      </c>
      <c r="F258" s="1076">
        <v>1972.290039</v>
      </c>
    </row>
    <row r="259" spans="1:6">
      <c r="A259" s="49">
        <v>2014.1</v>
      </c>
      <c r="B259" s="1008">
        <v>11019.43</v>
      </c>
      <c r="C259" s="1152">
        <v>514136.02</v>
      </c>
      <c r="D259" s="1019">
        <v>10516706864</v>
      </c>
      <c r="E259" s="479">
        <v>5914.39</v>
      </c>
      <c r="F259" s="1077">
        <v>2018.0500489999999</v>
      </c>
    </row>
    <row r="260" spans="1:6">
      <c r="A260" s="49">
        <v>2014.11</v>
      </c>
      <c r="B260" s="1008">
        <v>9808.6</v>
      </c>
      <c r="C260" s="1153">
        <v>451231.72</v>
      </c>
      <c r="D260" s="1019">
        <v>9945503299</v>
      </c>
      <c r="E260" s="294">
        <v>4633.6500000000005</v>
      </c>
      <c r="F260" s="1077">
        <v>2067.5600589999999</v>
      </c>
    </row>
    <row r="261" spans="1:6">
      <c r="A261" s="49">
        <v>2014.12</v>
      </c>
      <c r="B261" s="1009">
        <v>8579.02</v>
      </c>
      <c r="C261" s="1153">
        <v>414609.45</v>
      </c>
      <c r="D261" s="1019">
        <v>10747107897</v>
      </c>
      <c r="E261" s="294">
        <v>17887.07</v>
      </c>
      <c r="F261" s="1078">
        <v>2058.8999020000001</v>
      </c>
    </row>
    <row r="262" spans="1:6">
      <c r="A262" s="49">
        <v>2015.01</v>
      </c>
      <c r="B262" s="1008">
        <v>8490.4599999999991</v>
      </c>
      <c r="C262" s="1154">
        <v>406573.91</v>
      </c>
      <c r="D262" s="1019">
        <v>10329917711</v>
      </c>
      <c r="E262" s="1075">
        <v>2434.52</v>
      </c>
      <c r="F262" s="1077">
        <v>1994.98999</v>
      </c>
    </row>
    <row r="263" spans="1:6">
      <c r="A263" s="49">
        <v>2015.02</v>
      </c>
      <c r="B263" s="1008">
        <v>9601.61</v>
      </c>
      <c r="C263" s="1153">
        <v>450984.34</v>
      </c>
      <c r="D263" s="1019">
        <v>9780548788</v>
      </c>
      <c r="E263" s="294">
        <v>8962</v>
      </c>
      <c r="F263" s="1077">
        <v>2104.5</v>
      </c>
    </row>
    <row r="264" spans="1:6">
      <c r="A264" s="49">
        <v>2015.03</v>
      </c>
      <c r="B264" s="1008">
        <v>10837.23</v>
      </c>
      <c r="C264" s="1153">
        <v>488584.7</v>
      </c>
      <c r="D264" s="1019">
        <v>9313706952</v>
      </c>
      <c r="E264" s="294">
        <v>4383</v>
      </c>
      <c r="F264" s="1077">
        <v>2067.889893</v>
      </c>
    </row>
    <row r="265" spans="1:6">
      <c r="A265" s="49">
        <v>2015.04</v>
      </c>
      <c r="B265" s="1008">
        <v>12050.19</v>
      </c>
      <c r="C265" s="1153">
        <v>516772.45</v>
      </c>
      <c r="D265" s="1019">
        <v>10799130640</v>
      </c>
      <c r="E265" s="294">
        <v>18429</v>
      </c>
      <c r="F265" s="1077">
        <v>2085.51001</v>
      </c>
    </row>
    <row r="266" spans="1:6">
      <c r="A266" s="49">
        <v>2015.05</v>
      </c>
      <c r="B266" s="1008">
        <v>10800.86</v>
      </c>
      <c r="C266" s="1153">
        <v>469119.9</v>
      </c>
      <c r="D266" s="1019">
        <v>9343739822</v>
      </c>
      <c r="E266" s="294">
        <v>4572</v>
      </c>
      <c r="F266" s="1077">
        <v>2107.389893</v>
      </c>
    </row>
    <row r="267" spans="1:6">
      <c r="A267" s="49">
        <v>2015.06</v>
      </c>
      <c r="B267" s="1008">
        <v>11656.81</v>
      </c>
      <c r="C267" s="1153">
        <v>493583.63</v>
      </c>
      <c r="D267" s="1019">
        <v>13200489131</v>
      </c>
      <c r="E267" s="294">
        <v>5484</v>
      </c>
      <c r="F267" s="1077">
        <v>2063.110107</v>
      </c>
    </row>
    <row r="268" spans="1:6">
      <c r="A268" s="49">
        <v>2015.07</v>
      </c>
      <c r="B268" s="1008">
        <v>11101.02</v>
      </c>
      <c r="C268" s="1153">
        <v>454640.48</v>
      </c>
      <c r="D268" s="1019">
        <v>10730535946</v>
      </c>
      <c r="E268" s="294">
        <v>7957</v>
      </c>
      <c r="F268" s="1077">
        <v>2103.8400879999999</v>
      </c>
    </row>
    <row r="269" spans="1:6">
      <c r="A269" s="49">
        <v>2015.08</v>
      </c>
      <c r="B269" s="1008">
        <v>11032.87</v>
      </c>
      <c r="C269" s="1153">
        <v>452975.62</v>
      </c>
      <c r="D269" s="1019">
        <v>11594325899</v>
      </c>
      <c r="E269" s="294">
        <v>4751</v>
      </c>
      <c r="F269" s="1077">
        <v>1972.1800539999999</v>
      </c>
    </row>
    <row r="270" spans="1:6">
      <c r="A270" s="49">
        <v>2015.09</v>
      </c>
      <c r="B270" s="1008">
        <v>9814.6200000000008</v>
      </c>
      <c r="C270" s="1153">
        <v>393960.66</v>
      </c>
      <c r="D270" s="1019">
        <v>14696115167</v>
      </c>
      <c r="E270" s="294">
        <v>9377</v>
      </c>
      <c r="F270" s="1077">
        <v>1920.030029</v>
      </c>
    </row>
    <row r="271" spans="1:6">
      <c r="A271" s="49">
        <v>2015.1</v>
      </c>
      <c r="B271" s="1008">
        <v>12461.25</v>
      </c>
      <c r="C271" s="1153">
        <v>497760.73</v>
      </c>
      <c r="D271" s="1019">
        <v>11804819908</v>
      </c>
      <c r="E271" s="294">
        <v>9639</v>
      </c>
      <c r="F271" s="1077">
        <v>2079.360107</v>
      </c>
    </row>
    <row r="272" spans="1:6">
      <c r="A272" s="49">
        <v>2015.11</v>
      </c>
      <c r="B272" s="1008">
        <v>12972.14</v>
      </c>
      <c r="C272" s="1153">
        <v>530955.26</v>
      </c>
      <c r="D272" s="1019">
        <v>14088143634</v>
      </c>
      <c r="E272" s="294">
        <v>15739</v>
      </c>
      <c r="F272" s="1077">
        <v>2080.4099120000001</v>
      </c>
    </row>
    <row r="273" spans="1:6">
      <c r="A273" s="49">
        <v>2015.12</v>
      </c>
      <c r="B273" s="1008">
        <v>11675.18</v>
      </c>
      <c r="C273" s="1153">
        <v>479544.15</v>
      </c>
      <c r="D273" s="1019">
        <v>10153360984</v>
      </c>
      <c r="E273" s="294">
        <v>9721</v>
      </c>
      <c r="F273" s="1077">
        <v>2043.9399410000001</v>
      </c>
    </row>
    <row r="274" spans="1:6">
      <c r="A274" s="49">
        <f>A262+1</f>
        <v>2016.01</v>
      </c>
      <c r="B274" s="1008">
        <v>11306.02</v>
      </c>
      <c r="C274" s="1153">
        <v>462255.15</v>
      </c>
      <c r="D274" s="1019">
        <v>9726707064</v>
      </c>
      <c r="E274" s="294">
        <v>5904</v>
      </c>
      <c r="F274" s="1077">
        <v>1940.23999</v>
      </c>
    </row>
    <row r="275" spans="1:6">
      <c r="A275" s="49">
        <f t="shared" ref="A275:A338" si="6">A263+1</f>
        <v>2016.02</v>
      </c>
      <c r="B275" s="1008">
        <v>13115.95</v>
      </c>
      <c r="C275" s="1153">
        <v>546421.04</v>
      </c>
      <c r="D275" s="1019">
        <v>10983728069</v>
      </c>
      <c r="E275" s="294">
        <v>5772</v>
      </c>
      <c r="F275" s="1077">
        <v>1932.2299800000001</v>
      </c>
    </row>
    <row r="276" spans="1:6">
      <c r="A276" s="49">
        <f t="shared" si="6"/>
        <v>2016.03</v>
      </c>
      <c r="B276" s="1008">
        <v>12992.43</v>
      </c>
      <c r="C276" s="1153">
        <v>553781.85</v>
      </c>
      <c r="D276" s="1019">
        <v>17867814957</v>
      </c>
      <c r="E276" s="294">
        <v>26370</v>
      </c>
      <c r="F276" s="1077">
        <v>2059.73999</v>
      </c>
    </row>
    <row r="277" spans="1:6">
      <c r="A277" s="49">
        <f t="shared" si="6"/>
        <v>2016.04</v>
      </c>
      <c r="B277" s="1008">
        <v>13724.07</v>
      </c>
      <c r="C277" s="1153">
        <v>589289.71</v>
      </c>
      <c r="D277" s="1019">
        <v>20603364052</v>
      </c>
      <c r="E277" s="294">
        <v>7544</v>
      </c>
      <c r="F277" s="1077">
        <v>2065.3000489999999</v>
      </c>
    </row>
    <row r="278" spans="1:6">
      <c r="A278" s="49">
        <f t="shared" si="6"/>
        <v>2016.05</v>
      </c>
      <c r="B278" s="1008">
        <v>12681.74</v>
      </c>
      <c r="C278" s="1153">
        <v>546718.73</v>
      </c>
      <c r="D278" s="1019">
        <v>26590773077</v>
      </c>
      <c r="E278" s="294">
        <v>13809</v>
      </c>
      <c r="F278" s="1077">
        <v>2096.9499510000001</v>
      </c>
    </row>
    <row r="279" spans="1:6">
      <c r="A279" s="49">
        <f t="shared" si="6"/>
        <v>2016.06</v>
      </c>
      <c r="B279" s="1008">
        <v>14683.49</v>
      </c>
      <c r="C279" s="1153">
        <v>623243.06999999995</v>
      </c>
      <c r="D279" s="1019">
        <v>26914300351</v>
      </c>
      <c r="E279" s="294">
        <v>31141</v>
      </c>
      <c r="F279" s="1077">
        <v>2098.860107</v>
      </c>
    </row>
    <row r="280" spans="1:6">
      <c r="A280" s="49">
        <f t="shared" si="6"/>
        <v>2016.07</v>
      </c>
      <c r="B280" s="1008">
        <v>15803.5</v>
      </c>
      <c r="C280" s="1153">
        <v>679109.55</v>
      </c>
      <c r="D280" s="1019">
        <v>21939102554</v>
      </c>
      <c r="E280" s="294">
        <v>24941</v>
      </c>
      <c r="F280" s="1077">
        <v>2173.6000979999999</v>
      </c>
    </row>
    <row r="281" spans="1:6">
      <c r="A281" s="49">
        <f t="shared" si="6"/>
        <v>2016.08</v>
      </c>
      <c r="B281" s="1008">
        <v>15649.47</v>
      </c>
      <c r="C281" s="1153">
        <v>675045.16</v>
      </c>
      <c r="D281" s="1019">
        <v>26716502804</v>
      </c>
      <c r="E281" s="294">
        <v>15635</v>
      </c>
      <c r="F281" s="1077">
        <v>2170.9499510000001</v>
      </c>
    </row>
    <row r="282" spans="1:6">
      <c r="A282" s="49">
        <f t="shared" si="6"/>
        <v>2016.09</v>
      </c>
      <c r="B282" s="1008">
        <v>16675.68</v>
      </c>
      <c r="C282" s="1153">
        <v>733050.48</v>
      </c>
      <c r="D282" s="1019">
        <v>26335298192</v>
      </c>
      <c r="E282" s="294">
        <v>16760</v>
      </c>
      <c r="F282" s="1077">
        <v>2168.2700199999999</v>
      </c>
    </row>
    <row r="283" spans="1:6">
      <c r="A283" s="49">
        <f t="shared" si="6"/>
        <v>2016.1</v>
      </c>
      <c r="B283" s="1008">
        <v>17610.13</v>
      </c>
      <c r="C283" s="1153">
        <v>763888.28</v>
      </c>
      <c r="D283" s="1019">
        <v>23350731418</v>
      </c>
      <c r="E283" s="294">
        <v>15794</v>
      </c>
      <c r="F283" s="1077">
        <v>2126.1499020000001</v>
      </c>
    </row>
    <row r="284" spans="1:6">
      <c r="A284" s="49">
        <f t="shared" si="6"/>
        <v>2016.11</v>
      </c>
      <c r="B284" s="1008">
        <v>17442.400000000001</v>
      </c>
      <c r="C284" s="1153">
        <v>755947.62</v>
      </c>
      <c r="D284" s="1019">
        <v>20967263638</v>
      </c>
      <c r="E284" s="294">
        <v>20122</v>
      </c>
      <c r="F284" s="1077">
        <v>2198.8100589999999</v>
      </c>
    </row>
    <row r="285" spans="1:6">
      <c r="A285" s="49">
        <f t="shared" si="6"/>
        <v>2016.12</v>
      </c>
      <c r="B285" s="1008">
        <v>16917.86</v>
      </c>
      <c r="C285" s="1153">
        <v>747347.65</v>
      </c>
      <c r="D285" s="1019">
        <v>21202578585</v>
      </c>
      <c r="E285" s="294">
        <v>10900</v>
      </c>
      <c r="F285" s="1077">
        <v>2238.830078</v>
      </c>
    </row>
    <row r="286" spans="1:6">
      <c r="A286" s="49">
        <f t="shared" si="6"/>
        <v>2017.01</v>
      </c>
      <c r="B286" s="1008">
        <v>19062.59</v>
      </c>
      <c r="C286" s="1153">
        <v>827928.93</v>
      </c>
      <c r="D286" s="1019">
        <v>22569475677</v>
      </c>
      <c r="E286" s="294">
        <v>34586</v>
      </c>
      <c r="F286" s="1077">
        <v>2278.8701169999999</v>
      </c>
    </row>
    <row r="287" spans="1:6">
      <c r="A287" s="49">
        <f t="shared" si="6"/>
        <v>2017.02</v>
      </c>
      <c r="B287" s="1008">
        <v>19117.45</v>
      </c>
      <c r="C287" s="1153">
        <v>835707.88</v>
      </c>
      <c r="D287" s="1019">
        <v>18997795152</v>
      </c>
      <c r="E287" s="294">
        <v>16874</v>
      </c>
      <c r="F287" s="1077">
        <v>2363.639893</v>
      </c>
    </row>
    <row r="288" spans="1:6">
      <c r="A288" s="49">
        <f t="shared" si="6"/>
        <v>2017.03</v>
      </c>
      <c r="B288" s="1008">
        <v>20265.32</v>
      </c>
      <c r="C288" s="1153">
        <v>879071.41</v>
      </c>
      <c r="D288" s="1019">
        <v>38905262693.120102</v>
      </c>
      <c r="E288" s="294">
        <v>14020</v>
      </c>
      <c r="F288" s="1077">
        <v>2362.719971</v>
      </c>
    </row>
    <row r="289" spans="1:6">
      <c r="A289" s="49">
        <f t="shared" si="6"/>
        <v>2017.04</v>
      </c>
      <c r="B289" s="1008">
        <v>21019.91</v>
      </c>
      <c r="C289" s="1153">
        <v>909427.46</v>
      </c>
      <c r="D289" s="1019">
        <v>38491321898</v>
      </c>
      <c r="E289" s="294">
        <v>13638</v>
      </c>
      <c r="F289" s="1077">
        <v>2384.1999510000001</v>
      </c>
    </row>
    <row r="290" spans="1:6">
      <c r="A290" s="49">
        <f t="shared" si="6"/>
        <v>2017.05</v>
      </c>
      <c r="B290" s="1008">
        <v>22348.61</v>
      </c>
      <c r="C290" s="1153">
        <v>960233.41</v>
      </c>
      <c r="D290" s="1019">
        <v>54480793744</v>
      </c>
      <c r="E290" s="294">
        <v>28565</v>
      </c>
      <c r="F290" s="1077">
        <v>2411.8000489999999</v>
      </c>
    </row>
    <row r="291" spans="1:6">
      <c r="A291" s="49">
        <f t="shared" si="6"/>
        <v>2017.06</v>
      </c>
      <c r="B291" s="1008">
        <v>21912.63</v>
      </c>
      <c r="C291" s="1153">
        <v>944323.46</v>
      </c>
      <c r="D291" s="1019">
        <v>43171334161</v>
      </c>
      <c r="E291" s="294">
        <v>24151</v>
      </c>
      <c r="F291" s="1077">
        <v>2423.4099120000001</v>
      </c>
    </row>
    <row r="292" spans="1:6">
      <c r="A292" s="49">
        <f t="shared" si="6"/>
        <v>2017.07</v>
      </c>
      <c r="B292" s="1008">
        <v>21582.400000000001</v>
      </c>
      <c r="C292" s="1153">
        <v>941808.94</v>
      </c>
      <c r="D292" s="1019">
        <v>51402931421</v>
      </c>
      <c r="E292" s="294">
        <v>33199</v>
      </c>
      <c r="F292" s="1077">
        <v>2470.3000489999999</v>
      </c>
    </row>
    <row r="293" spans="1:6">
      <c r="A293" s="49">
        <f t="shared" si="6"/>
        <v>2017.08</v>
      </c>
      <c r="B293" s="1008">
        <v>23588.98</v>
      </c>
      <c r="C293" s="1153">
        <v>989359.12</v>
      </c>
      <c r="D293" s="1019">
        <v>57086853432</v>
      </c>
      <c r="E293" s="294">
        <v>12071</v>
      </c>
      <c r="F293" s="1077">
        <v>2471.6499020000001</v>
      </c>
    </row>
    <row r="294" spans="1:6">
      <c r="A294" s="49">
        <f t="shared" si="6"/>
        <v>2017.09</v>
      </c>
      <c r="B294" s="1008">
        <v>26078.29</v>
      </c>
      <c r="C294" s="1153">
        <v>1087341.74</v>
      </c>
      <c r="D294" s="1019">
        <v>51078795270</v>
      </c>
      <c r="E294" s="294">
        <v>29045</v>
      </c>
      <c r="F294" s="1077">
        <v>2519.360107</v>
      </c>
    </row>
    <row r="295" spans="1:6">
      <c r="A295" s="49">
        <f t="shared" si="6"/>
        <v>2017.1</v>
      </c>
      <c r="B295" s="1008">
        <v>27935.279999999999</v>
      </c>
      <c r="C295" s="1153">
        <v>1194786.8</v>
      </c>
      <c r="D295" s="1019">
        <v>50215766009</v>
      </c>
      <c r="E295" s="294">
        <v>26475</v>
      </c>
      <c r="F295" s="1077">
        <v>2575.26001</v>
      </c>
    </row>
    <row r="296" spans="1:6">
      <c r="A296" s="49">
        <f t="shared" si="6"/>
        <v>2017.11</v>
      </c>
      <c r="B296" s="1008">
        <v>26905.26</v>
      </c>
      <c r="C296" s="1153">
        <v>1145937.97</v>
      </c>
      <c r="D296" s="1019">
        <v>43106867544</v>
      </c>
      <c r="E296" s="294">
        <v>18861</v>
      </c>
      <c r="F296" s="1077">
        <v>2584.8400879999999</v>
      </c>
    </row>
    <row r="297" spans="1:6">
      <c r="A297" s="49">
        <f t="shared" si="6"/>
        <v>2017.12</v>
      </c>
      <c r="B297" s="1008">
        <v>30065.61</v>
      </c>
      <c r="C297" s="1153">
        <v>1307017.0900000001</v>
      </c>
      <c r="D297" s="1019">
        <v>52534135849</v>
      </c>
      <c r="E297" s="294">
        <v>47107</v>
      </c>
      <c r="F297" s="1077">
        <v>2673.610107</v>
      </c>
    </row>
    <row r="298" spans="1:6">
      <c r="A298" s="49">
        <f t="shared" si="6"/>
        <v>2018.01</v>
      </c>
      <c r="B298" s="1008">
        <v>34938.639999999999</v>
      </c>
      <c r="C298" s="1153">
        <v>1489054.63</v>
      </c>
      <c r="D298" s="1019">
        <v>81709576774</v>
      </c>
      <c r="E298" s="294">
        <v>33081</v>
      </c>
      <c r="F298" s="1077">
        <v>2823.8100589999999</v>
      </c>
    </row>
    <row r="299" spans="1:6">
      <c r="A299" s="49">
        <f t="shared" si="6"/>
        <v>2018.02</v>
      </c>
      <c r="B299" s="1008">
        <v>33010.9</v>
      </c>
      <c r="C299" s="1153">
        <v>1427163.16</v>
      </c>
      <c r="D299" s="1019">
        <v>84044774914</v>
      </c>
      <c r="E299" s="294">
        <v>27009</v>
      </c>
      <c r="F299" s="1077">
        <v>2713.830078</v>
      </c>
    </row>
    <row r="300" spans="1:6">
      <c r="A300" s="49">
        <f t="shared" si="6"/>
        <v>2018.03</v>
      </c>
      <c r="B300" s="1008">
        <v>31114.93</v>
      </c>
      <c r="C300" s="1153">
        <v>1351347.05</v>
      </c>
      <c r="D300" s="1019">
        <v>102766049587</v>
      </c>
      <c r="E300" s="294">
        <v>16890</v>
      </c>
      <c r="F300" s="1077">
        <v>2640.8701169999999</v>
      </c>
    </row>
    <row r="301" spans="1:6">
      <c r="A301" s="49">
        <f t="shared" si="6"/>
        <v>2018.04</v>
      </c>
      <c r="B301" s="1008">
        <v>30006.35</v>
      </c>
      <c r="C301" s="1153">
        <v>1327635.54</v>
      </c>
      <c r="D301" s="1019">
        <v>106206239305</v>
      </c>
      <c r="E301" s="294">
        <v>37209</v>
      </c>
      <c r="F301" s="1077">
        <v>2648.0500489999999</v>
      </c>
    </row>
    <row r="302" spans="1:6">
      <c r="A302" s="49">
        <f t="shared" si="6"/>
        <v>2018.05</v>
      </c>
      <c r="B302" s="1008">
        <v>28558.83</v>
      </c>
      <c r="C302" s="1153">
        <v>1248608.58</v>
      </c>
      <c r="D302" s="1019">
        <v>91103171566</v>
      </c>
      <c r="E302" s="294">
        <v>5732</v>
      </c>
      <c r="F302" s="1077">
        <v>2705.2700199999999</v>
      </c>
    </row>
    <row r="303" spans="1:6">
      <c r="A303" s="49">
        <f t="shared" si="6"/>
        <v>2018.06</v>
      </c>
      <c r="B303" s="1008">
        <v>25207.31</v>
      </c>
      <c r="C303" s="1153">
        <v>1157678.21</v>
      </c>
      <c r="D303" s="1019">
        <v>55747254978.999992</v>
      </c>
      <c r="E303" s="294">
        <v>7053</v>
      </c>
      <c r="F303" s="1077">
        <v>2718.3701169999999</v>
      </c>
    </row>
    <row r="304" spans="1:6">
      <c r="A304" s="49">
        <f t="shared" si="6"/>
        <v>2018.07</v>
      </c>
      <c r="B304" s="1008">
        <v>29287.34</v>
      </c>
      <c r="C304" s="1153">
        <v>1268642.31</v>
      </c>
      <c r="D304" s="1019">
        <v>84233821481.459991</v>
      </c>
      <c r="E304" s="294">
        <v>6826</v>
      </c>
      <c r="F304" s="1077">
        <v>2816.290039</v>
      </c>
    </row>
    <row r="305" spans="1:7">
      <c r="A305" s="49">
        <f t="shared" si="6"/>
        <v>2018.08</v>
      </c>
      <c r="B305" s="1008">
        <v>29293.52</v>
      </c>
      <c r="C305" s="1153">
        <v>1305554.6599999999</v>
      </c>
      <c r="D305" s="1019">
        <v>97911127402</v>
      </c>
      <c r="E305" s="294">
        <v>6452</v>
      </c>
      <c r="F305" s="1077">
        <v>2901.5200199999999</v>
      </c>
    </row>
    <row r="306" spans="1:7">
      <c r="A306" s="49">
        <f t="shared" si="6"/>
        <v>2018.09</v>
      </c>
      <c r="B306" s="1008">
        <v>33661.760000000002</v>
      </c>
      <c r="C306" s="1153">
        <v>1519366.57</v>
      </c>
      <c r="D306" s="1019">
        <v>88637973571.459991</v>
      </c>
      <c r="E306" s="294">
        <v>9511</v>
      </c>
      <c r="F306" s="1077">
        <v>2913.9799800000001</v>
      </c>
    </row>
    <row r="307" spans="1:7">
      <c r="A307" s="49">
        <f t="shared" si="6"/>
        <v>2018.1</v>
      </c>
      <c r="B307" s="1008">
        <v>29491.11</v>
      </c>
      <c r="C307" s="1153">
        <v>1335516.73</v>
      </c>
      <c r="D307" s="1019">
        <v>23162811955.000004</v>
      </c>
      <c r="E307" s="294">
        <v>9008</v>
      </c>
      <c r="F307" s="1077">
        <v>2711.73999</v>
      </c>
    </row>
    <row r="308" spans="1:7">
      <c r="A308" s="49">
        <f t="shared" si="6"/>
        <v>2018.11</v>
      </c>
      <c r="B308" s="1008">
        <v>31482.58</v>
      </c>
      <c r="C308" s="1153">
        <v>1389635.53</v>
      </c>
      <c r="D308" s="1019">
        <v>17821343526</v>
      </c>
      <c r="E308" s="294">
        <v>20778</v>
      </c>
      <c r="F308" s="1077">
        <v>2760.169922</v>
      </c>
      <c r="G308" s="960"/>
    </row>
    <row r="309" spans="1:7">
      <c r="A309" s="49">
        <f t="shared" si="6"/>
        <v>2018.12</v>
      </c>
      <c r="B309" s="1008">
        <v>30292.58</v>
      </c>
      <c r="C309" s="1153">
        <v>1307827.77</v>
      </c>
      <c r="D309" s="1019">
        <v>20108270128</v>
      </c>
      <c r="E309" s="294">
        <v>13963</v>
      </c>
      <c r="F309" s="1077">
        <v>2506.8500979999999</v>
      </c>
    </row>
    <row r="310" spans="1:7">
      <c r="A310" s="49">
        <f t="shared" si="6"/>
        <v>2019.01</v>
      </c>
      <c r="B310" s="1008">
        <v>36326.92</v>
      </c>
      <c r="C310" s="1153">
        <v>1529197.77</v>
      </c>
      <c r="D310" s="1019">
        <v>31051722621.999996</v>
      </c>
      <c r="E310" s="294">
        <v>14781</v>
      </c>
      <c r="F310" s="1077">
        <v>2704.1000979999999</v>
      </c>
    </row>
    <row r="311" spans="1:7">
      <c r="A311" s="49">
        <f t="shared" si="6"/>
        <v>2019.02</v>
      </c>
      <c r="B311" s="1008">
        <v>34485</v>
      </c>
      <c r="C311" s="1153">
        <v>1460833.26</v>
      </c>
      <c r="D311" s="1020">
        <v>22376414.127</v>
      </c>
      <c r="E311" s="294">
        <v>25100</v>
      </c>
      <c r="F311" s="1077">
        <v>2784.48999</v>
      </c>
    </row>
    <row r="312" spans="1:7">
      <c r="A312" s="49">
        <f t="shared" si="6"/>
        <v>2019.03</v>
      </c>
      <c r="B312" s="1008">
        <v>33466.03</v>
      </c>
      <c r="C312" s="1153">
        <v>1449313.87</v>
      </c>
      <c r="D312" s="1020">
        <v>21085081.6041</v>
      </c>
      <c r="E312" s="294">
        <v>13266</v>
      </c>
      <c r="F312" s="1077">
        <v>2834.3999020000001</v>
      </c>
    </row>
    <row r="313" spans="1:7">
      <c r="A313" s="49">
        <f t="shared" si="6"/>
        <v>2019.04</v>
      </c>
      <c r="B313" s="1008">
        <v>29571.360000000001</v>
      </c>
      <c r="C313" s="1153">
        <v>1288189.6299999999</v>
      </c>
      <c r="D313" s="1020">
        <v>25243459.10971</v>
      </c>
      <c r="E313" s="294">
        <v>19130</v>
      </c>
      <c r="F313" s="1077">
        <v>2945.830078</v>
      </c>
    </row>
    <row r="314" spans="1:7">
      <c r="A314" s="49">
        <f t="shared" si="6"/>
        <v>2019.05</v>
      </c>
      <c r="B314" s="1008">
        <v>33949.53</v>
      </c>
      <c r="C314" s="1153">
        <v>1468508.54</v>
      </c>
      <c r="D314" s="1020">
        <v>23040916.532299999</v>
      </c>
      <c r="E314" s="294">
        <v>23663</v>
      </c>
      <c r="F314" s="1077">
        <v>2752.0600589999999</v>
      </c>
    </row>
    <row r="315" spans="1:7">
      <c r="A315" s="49">
        <f t="shared" si="6"/>
        <v>2019.06</v>
      </c>
      <c r="B315" s="1008">
        <v>41796.36</v>
      </c>
      <c r="C315" s="1153">
        <v>1788908.96</v>
      </c>
      <c r="D315" s="1020">
        <v>24321488.678379983</v>
      </c>
      <c r="E315" s="294">
        <v>39074</v>
      </c>
      <c r="F315" s="1077">
        <v>2941.76001</v>
      </c>
    </row>
    <row r="316" spans="1:7">
      <c r="A316" s="49">
        <f t="shared" si="6"/>
        <v>2019.07</v>
      </c>
      <c r="B316" s="1008">
        <v>42057.77</v>
      </c>
      <c r="C316" s="1153">
        <v>1815853.84</v>
      </c>
      <c r="D316" s="1020">
        <v>26942627.6281</v>
      </c>
      <c r="E316" s="294">
        <v>74791</v>
      </c>
      <c r="F316" s="1077">
        <v>2980.38</v>
      </c>
    </row>
    <row r="317" spans="1:7">
      <c r="A317" s="49">
        <f t="shared" si="6"/>
        <v>2019.08</v>
      </c>
      <c r="B317" s="1008">
        <v>24608.560000000001</v>
      </c>
      <c r="C317" s="1153">
        <v>1061574.27</v>
      </c>
      <c r="D317" s="1019">
        <v>20922648386.470001</v>
      </c>
      <c r="E317" s="294">
        <v>13345</v>
      </c>
      <c r="F317" s="1077">
        <v>2926.46</v>
      </c>
    </row>
    <row r="318" spans="1:7">
      <c r="A318" s="49">
        <f t="shared" si="6"/>
        <v>2019.09</v>
      </c>
      <c r="B318" s="1008">
        <v>29066.959999999999</v>
      </c>
      <c r="C318" s="1153">
        <v>1240101.6299999999</v>
      </c>
      <c r="D318" s="1019">
        <v>4647168477</v>
      </c>
      <c r="E318" s="294">
        <v>14153</v>
      </c>
      <c r="F318" s="1077">
        <v>2976.74</v>
      </c>
    </row>
    <row r="319" spans="1:7">
      <c r="A319" s="49">
        <f t="shared" si="6"/>
        <v>2019.1</v>
      </c>
      <c r="B319" s="1008">
        <v>34995.199999999997</v>
      </c>
      <c r="C319" s="1153">
        <v>1495830.42</v>
      </c>
      <c r="D319" s="1019">
        <v>7317030480.409996</v>
      </c>
      <c r="E319" s="294">
        <v>22311</v>
      </c>
      <c r="F319" s="1077">
        <v>3037.56</v>
      </c>
    </row>
    <row r="320" spans="1:7">
      <c r="A320" s="49">
        <f t="shared" si="6"/>
        <v>2019.11</v>
      </c>
      <c r="B320" s="1008">
        <v>34500.21</v>
      </c>
      <c r="C320" s="1153">
        <v>1487301.06</v>
      </c>
      <c r="D320" s="1019">
        <v>9362949967.7000008</v>
      </c>
      <c r="E320" s="294">
        <v>32702</v>
      </c>
      <c r="F320" s="1077">
        <v>3140.98</v>
      </c>
    </row>
    <row r="321" spans="1:6">
      <c r="A321" s="49">
        <f t="shared" si="6"/>
        <v>2019.12</v>
      </c>
      <c r="B321" s="1008">
        <v>41671.410000000003</v>
      </c>
      <c r="C321" s="1153">
        <v>1796571.66</v>
      </c>
      <c r="D321" s="911">
        <v>6922000000</v>
      </c>
      <c r="E321" s="294">
        <v>33596</v>
      </c>
      <c r="F321" s="1077">
        <v>3230.78</v>
      </c>
    </row>
    <row r="322" spans="1:6">
      <c r="A322" s="49">
        <f t="shared" si="6"/>
        <v>2020.01</v>
      </c>
      <c r="B322" s="1008">
        <v>40105.040000000001</v>
      </c>
      <c r="C322" s="1153">
        <v>1737155.68</v>
      </c>
      <c r="D322" s="911">
        <v>13212000000</v>
      </c>
      <c r="E322" s="294">
        <v>55554</v>
      </c>
      <c r="F322" s="1077">
        <v>3225.52</v>
      </c>
    </row>
    <row r="323" spans="1:6">
      <c r="A323" s="49">
        <f t="shared" si="6"/>
        <v>2020.02</v>
      </c>
      <c r="B323" s="1008">
        <v>34973.18</v>
      </c>
      <c r="C323" s="1153">
        <v>1508223.68</v>
      </c>
      <c r="D323" s="911">
        <v>10223000000</v>
      </c>
      <c r="E323" s="294">
        <v>41667</v>
      </c>
      <c r="F323" s="1077">
        <v>2954.22</v>
      </c>
    </row>
    <row r="324" spans="1:6">
      <c r="A324" s="49">
        <f t="shared" si="6"/>
        <v>2020.03</v>
      </c>
      <c r="B324" s="1008">
        <v>24384.240000000002</v>
      </c>
      <c r="C324" s="1153">
        <v>1027210.57</v>
      </c>
      <c r="D324" s="911">
        <v>9193000000</v>
      </c>
      <c r="E324" s="294">
        <v>23366</v>
      </c>
      <c r="F324" s="1077">
        <v>2584.59</v>
      </c>
    </row>
    <row r="325" spans="1:6">
      <c r="A325" s="49">
        <f t="shared" si="6"/>
        <v>2020.04</v>
      </c>
      <c r="B325" s="1008">
        <v>32742.84</v>
      </c>
      <c r="C325" s="1153">
        <v>1383542.91</v>
      </c>
      <c r="D325" s="911">
        <v>5400000000</v>
      </c>
      <c r="E325" s="294">
        <v>19748</v>
      </c>
      <c r="F325" s="1077">
        <v>2912.43</v>
      </c>
    </row>
    <row r="326" spans="1:6">
      <c r="A326" s="49">
        <f t="shared" si="6"/>
        <v>2020.05</v>
      </c>
      <c r="B326" s="1008">
        <v>37824.730000000003</v>
      </c>
      <c r="C326" s="1153">
        <v>1597626.43</v>
      </c>
      <c r="D326" s="911">
        <v>6182000000</v>
      </c>
      <c r="E326" s="294">
        <v>76913</v>
      </c>
      <c r="F326" s="1077">
        <v>3044.51</v>
      </c>
    </row>
    <row r="327" spans="1:6">
      <c r="A327" s="49">
        <f t="shared" si="6"/>
        <v>2020.06</v>
      </c>
      <c r="B327" s="1008">
        <v>38686.69</v>
      </c>
      <c r="C327" s="1153">
        <v>1625542.54</v>
      </c>
      <c r="D327" s="911">
        <v>5217000000</v>
      </c>
      <c r="E327" s="294">
        <v>54452</v>
      </c>
      <c r="F327" s="1077">
        <v>3100.29</v>
      </c>
    </row>
    <row r="328" spans="1:6">
      <c r="A328" s="49">
        <f t="shared" si="6"/>
        <v>2020.07</v>
      </c>
      <c r="B328" s="1008">
        <v>49253.62</v>
      </c>
      <c r="C328" s="1153">
        <v>2080780.4</v>
      </c>
      <c r="D328" s="911">
        <v>5482000000</v>
      </c>
      <c r="E328" s="294">
        <v>95622</v>
      </c>
      <c r="F328" s="1077">
        <v>3271.12</v>
      </c>
    </row>
    <row r="329" spans="1:6">
      <c r="A329" s="49">
        <f t="shared" si="6"/>
        <v>2020.08</v>
      </c>
      <c r="B329" s="1008">
        <v>46835.42</v>
      </c>
      <c r="C329" s="1153">
        <v>1989114.76</v>
      </c>
      <c r="D329" s="911">
        <v>5416000000</v>
      </c>
      <c r="E329" s="294">
        <v>66694</v>
      </c>
      <c r="F329" s="1077">
        <v>3500.31</v>
      </c>
    </row>
    <row r="330" spans="1:6">
      <c r="A330" s="49">
        <f t="shared" si="6"/>
        <v>2020.09</v>
      </c>
      <c r="B330" s="1008">
        <v>41260.86</v>
      </c>
      <c r="C330" s="1153">
        <v>1745152.28</v>
      </c>
      <c r="D330" s="911">
        <v>5779000000</v>
      </c>
      <c r="E330" s="294">
        <v>46494</v>
      </c>
      <c r="F330" s="1077">
        <v>3363</v>
      </c>
    </row>
    <row r="331" spans="1:6">
      <c r="A331" s="49">
        <f t="shared" si="6"/>
        <v>2020.1</v>
      </c>
      <c r="B331" s="1008">
        <v>45290.02</v>
      </c>
      <c r="C331" s="1153">
        <v>1904265.4</v>
      </c>
      <c r="D331" s="911">
        <v>7532000000</v>
      </c>
      <c r="E331" s="294">
        <v>37629</v>
      </c>
      <c r="F331" s="1077">
        <v>3269.96</v>
      </c>
    </row>
    <row r="332" spans="1:6">
      <c r="A332" s="49">
        <f t="shared" si="6"/>
        <v>2020.11</v>
      </c>
      <c r="B332" s="1008">
        <v>54572.54</v>
      </c>
      <c r="C332" s="1153">
        <v>2292446.0699999998</v>
      </c>
      <c r="D332" s="911">
        <v>7018000000</v>
      </c>
      <c r="E332" s="294">
        <v>47413</v>
      </c>
      <c r="F332" s="1077">
        <v>3621.63</v>
      </c>
    </row>
    <row r="333" spans="1:6">
      <c r="A333" s="49">
        <f t="shared" si="6"/>
        <v>2020.12</v>
      </c>
      <c r="B333" s="1008">
        <v>51226.49</v>
      </c>
      <c r="C333" s="1153">
        <v>2156061.73</v>
      </c>
      <c r="D333" s="911">
        <v>14424000000</v>
      </c>
      <c r="E333" s="294">
        <v>53857</v>
      </c>
      <c r="F333" s="1077">
        <v>3756.07</v>
      </c>
    </row>
    <row r="334" spans="1:6">
      <c r="A334" s="49">
        <f t="shared" si="6"/>
        <v>2021.01</v>
      </c>
      <c r="B334" s="1008">
        <v>48257.14</v>
      </c>
      <c r="C334" s="1153">
        <v>2041471.88</v>
      </c>
      <c r="D334" s="911">
        <v>6053000000</v>
      </c>
      <c r="E334" s="294">
        <v>32383</v>
      </c>
      <c r="F334" s="1077">
        <v>3714.24</v>
      </c>
    </row>
    <row r="335" spans="1:6">
      <c r="A335" s="49">
        <f t="shared" si="6"/>
        <v>2021.02</v>
      </c>
      <c r="B335" s="1008">
        <v>48432.17</v>
      </c>
      <c r="C335" s="1153">
        <v>2046378.18</v>
      </c>
      <c r="D335" s="911">
        <v>7772000000</v>
      </c>
      <c r="E335" s="294">
        <v>242704</v>
      </c>
      <c r="F335" s="1077">
        <v>3811.15</v>
      </c>
    </row>
    <row r="336" spans="1:6">
      <c r="A336" s="49">
        <f t="shared" si="6"/>
        <v>2021.03</v>
      </c>
      <c r="B336" s="1008">
        <v>47982.39</v>
      </c>
      <c r="C336" s="1153">
        <v>2021650.84</v>
      </c>
      <c r="D336" s="911">
        <v>8777000000</v>
      </c>
      <c r="E336" s="294">
        <v>63715</v>
      </c>
      <c r="F336" s="1077">
        <v>3972.89</v>
      </c>
    </row>
    <row r="337" spans="1:6">
      <c r="A337" s="49">
        <f t="shared" si="6"/>
        <v>2021.04</v>
      </c>
      <c r="B337" s="1008">
        <v>49056.1</v>
      </c>
      <c r="C337" s="1153">
        <v>2073068.53</v>
      </c>
      <c r="D337" s="911">
        <v>9934000000</v>
      </c>
      <c r="E337" s="294">
        <v>78369</v>
      </c>
      <c r="F337" s="1077">
        <v>4181.17</v>
      </c>
    </row>
    <row r="338" spans="1:6">
      <c r="A338" s="49">
        <f t="shared" si="6"/>
        <v>2021.05</v>
      </c>
      <c r="B338" s="1008">
        <v>59268.94</v>
      </c>
      <c r="C338" s="1153">
        <v>2478320.44</v>
      </c>
      <c r="D338" s="1019">
        <v>7473000000</v>
      </c>
      <c r="E338" s="294">
        <v>54126</v>
      </c>
      <c r="F338" s="1077">
        <v>4204.1099999999997</v>
      </c>
    </row>
    <row r="339" spans="1:6">
      <c r="A339" s="49">
        <f t="shared" ref="A339:A402" si="7">A327+1</f>
        <v>2021.06</v>
      </c>
      <c r="B339" s="1008">
        <v>62371.95</v>
      </c>
      <c r="C339" s="1153">
        <v>2602436.4700000002</v>
      </c>
      <c r="D339" s="1019">
        <v>9135000000</v>
      </c>
      <c r="E339" s="294">
        <v>86979</v>
      </c>
      <c r="F339" s="1077">
        <v>4297.5</v>
      </c>
    </row>
    <row r="340" spans="1:6">
      <c r="A340" s="49">
        <f t="shared" si="7"/>
        <v>2021.07</v>
      </c>
      <c r="B340" s="1008">
        <v>66005.289999999994</v>
      </c>
      <c r="C340" s="1153">
        <v>2743861.72</v>
      </c>
      <c r="D340" s="1019">
        <v>9236000000</v>
      </c>
      <c r="E340" s="294">
        <v>116412</v>
      </c>
      <c r="F340" s="1077">
        <v>4395.26</v>
      </c>
    </row>
    <row r="341" spans="1:6">
      <c r="A341" s="49">
        <f t="shared" si="7"/>
        <v>2021.08</v>
      </c>
      <c r="B341" s="1008">
        <v>76451.679999999993</v>
      </c>
      <c r="C341" s="1153">
        <v>3183795.99</v>
      </c>
      <c r="D341" s="1019">
        <v>10943000000</v>
      </c>
      <c r="E341" s="294">
        <v>95347</v>
      </c>
      <c r="F341" s="1077">
        <v>4522.68</v>
      </c>
    </row>
    <row r="342" spans="1:6">
      <c r="A342" s="49">
        <f t="shared" si="7"/>
        <v>2021.09</v>
      </c>
      <c r="B342" s="1008">
        <v>77363.64</v>
      </c>
      <c r="C342" s="1153">
        <v>3235691.85</v>
      </c>
      <c r="D342" s="1019">
        <v>13523000000</v>
      </c>
      <c r="E342" s="294">
        <v>70543</v>
      </c>
      <c r="F342" s="1077">
        <v>4307.54</v>
      </c>
    </row>
    <row r="343" spans="1:6">
      <c r="A343" s="49">
        <f t="shared" si="7"/>
        <v>2021.1</v>
      </c>
      <c r="B343" s="1008">
        <v>83560.960000000006</v>
      </c>
      <c r="C343" s="1153">
        <v>3505468.78</v>
      </c>
      <c r="D343" s="1019">
        <v>12353000000</v>
      </c>
      <c r="E343" s="294">
        <v>48487</v>
      </c>
      <c r="F343" s="1077">
        <v>4605.38</v>
      </c>
    </row>
    <row r="344" spans="1:6">
      <c r="A344" s="49">
        <f t="shared" si="7"/>
        <v>2021.11</v>
      </c>
      <c r="B344" s="1008">
        <v>88287.43</v>
      </c>
      <c r="C344" s="1153">
        <v>3315873.79</v>
      </c>
      <c r="D344" s="1019">
        <v>15717000000</v>
      </c>
      <c r="E344" s="294">
        <v>66984</v>
      </c>
      <c r="F344" s="1077">
        <v>4591.67</v>
      </c>
    </row>
    <row r="345" spans="1:6">
      <c r="A345" s="49">
        <f t="shared" si="7"/>
        <v>2021.12</v>
      </c>
      <c r="B345" s="1008">
        <v>83500</v>
      </c>
      <c r="C345" s="1153">
        <v>3486252.6</v>
      </c>
      <c r="D345" s="1019">
        <v>15875000000</v>
      </c>
      <c r="E345" s="294">
        <v>86334</v>
      </c>
      <c r="F345" s="1077">
        <v>4766.18</v>
      </c>
    </row>
    <row r="346" spans="1:6">
      <c r="A346" s="49">
        <f t="shared" si="7"/>
        <v>2022.01</v>
      </c>
      <c r="B346" s="1008">
        <v>90907.51</v>
      </c>
      <c r="C346" s="1153">
        <v>3782132.58</v>
      </c>
      <c r="D346" s="1019">
        <v>17658000000</v>
      </c>
      <c r="E346" s="294">
        <v>49626</v>
      </c>
      <c r="F346" s="1077">
        <v>4515.55</v>
      </c>
    </row>
    <row r="347" spans="1:6">
      <c r="A347" s="49">
        <f t="shared" si="7"/>
        <v>2022.02</v>
      </c>
      <c r="B347" s="1008">
        <v>87969.87</v>
      </c>
      <c r="C347" s="1153">
        <v>3689706.42</v>
      </c>
      <c r="D347" s="1019">
        <v>19812000000</v>
      </c>
      <c r="E347" s="294">
        <v>93902</v>
      </c>
      <c r="F347" s="1077">
        <v>4373.9399999999996</v>
      </c>
    </row>
    <row r="348" spans="1:6">
      <c r="A348" s="49">
        <f t="shared" si="7"/>
        <v>2022.03</v>
      </c>
      <c r="B348" s="1008">
        <v>90959.59</v>
      </c>
      <c r="C348" s="1153">
        <v>3802757.98</v>
      </c>
      <c r="D348" s="1019">
        <v>26165000000</v>
      </c>
      <c r="E348" s="294">
        <v>64676</v>
      </c>
      <c r="F348" s="1077">
        <v>4530.41</v>
      </c>
    </row>
    <row r="349" spans="1:6">
      <c r="A349" s="49">
        <f t="shared" si="7"/>
        <v>2022.04</v>
      </c>
      <c r="B349" s="1008">
        <v>88250.97</v>
      </c>
      <c r="C349" s="1153">
        <v>3720832.97</v>
      </c>
      <c r="D349" s="1019">
        <v>25700000000</v>
      </c>
      <c r="E349" s="294">
        <v>67990</v>
      </c>
      <c r="F349" s="1077">
        <v>4131.93</v>
      </c>
    </row>
    <row r="350" spans="1:6">
      <c r="A350" s="49">
        <f t="shared" si="7"/>
        <v>2022.05</v>
      </c>
      <c r="B350" s="1008">
        <v>92288.03</v>
      </c>
      <c r="C350" s="1153">
        <v>3875358.85</v>
      </c>
      <c r="D350" s="1019">
        <v>24939000000</v>
      </c>
      <c r="E350" s="294">
        <v>106462</v>
      </c>
      <c r="F350" s="1077">
        <v>4132.1499999999996</v>
      </c>
    </row>
    <row r="351" spans="1:6">
      <c r="A351" s="49">
        <f t="shared" si="7"/>
        <v>2022.06</v>
      </c>
      <c r="B351" s="1008">
        <v>88449.89</v>
      </c>
      <c r="C351" s="1153">
        <v>3737808.08</v>
      </c>
      <c r="D351" s="1019">
        <v>36771000000</v>
      </c>
      <c r="E351" s="294">
        <v>124137</v>
      </c>
      <c r="F351" s="1077">
        <v>3785.38</v>
      </c>
    </row>
    <row r="352" spans="1:6">
      <c r="A352" s="49">
        <f t="shared" si="7"/>
        <v>2022.07</v>
      </c>
      <c r="B352" s="1008">
        <v>122528.27</v>
      </c>
      <c r="C352" s="1153">
        <v>5152972.66</v>
      </c>
      <c r="D352" s="1019">
        <v>36071000000</v>
      </c>
      <c r="E352" s="294">
        <v>183409</v>
      </c>
      <c r="F352" s="1077">
        <v>4130.29</v>
      </c>
    </row>
    <row r="353" spans="1:6">
      <c r="A353" s="49">
        <f t="shared" si="7"/>
        <v>2022.08</v>
      </c>
      <c r="B353" s="1008">
        <v>136240.97</v>
      </c>
      <c r="C353" s="1153">
        <v>5755492.1699999999</v>
      </c>
      <c r="D353" s="1019">
        <v>34696000000</v>
      </c>
      <c r="E353" s="294">
        <v>172637</v>
      </c>
      <c r="F353" s="1077">
        <v>4200.63</v>
      </c>
    </row>
    <row r="354" spans="1:6">
      <c r="A354" s="49">
        <f t="shared" si="7"/>
        <v>2022.09</v>
      </c>
      <c r="B354" s="1008">
        <v>130646.78</v>
      </c>
      <c r="C354" s="1153">
        <v>5500819.6900000004</v>
      </c>
      <c r="D354" s="1019">
        <v>35557000000</v>
      </c>
      <c r="E354" s="294">
        <v>146536</v>
      </c>
      <c r="F354" s="1077">
        <v>3920.88</v>
      </c>
    </row>
    <row r="355" spans="1:6">
      <c r="A355" s="49">
        <f t="shared" si="7"/>
        <v>2022.1</v>
      </c>
      <c r="B355" s="1008">
        <v>149938.32</v>
      </c>
      <c r="C355" s="1153">
        <v>5914298.3200000003</v>
      </c>
      <c r="D355" s="1019">
        <v>35746000000</v>
      </c>
      <c r="E355" s="294">
        <v>101132</v>
      </c>
      <c r="F355" s="1077">
        <v>4178.5600000000004</v>
      </c>
    </row>
    <row r="356" spans="1:6">
      <c r="A356" s="49">
        <f t="shared" si="7"/>
        <v>2022.11</v>
      </c>
      <c r="B356" s="1008">
        <v>157768.76999999999</v>
      </c>
      <c r="C356" s="1153">
        <v>6620362.6500000004</v>
      </c>
      <c r="D356" s="1019">
        <v>37802000000</v>
      </c>
      <c r="E356" s="294">
        <v>229336</v>
      </c>
      <c r="F356" s="1077">
        <v>4080.11</v>
      </c>
    </row>
    <row r="357" spans="1:6">
      <c r="A357" s="49">
        <f t="shared" si="7"/>
        <v>2022.12</v>
      </c>
      <c r="B357" s="1008">
        <v>188677.16</v>
      </c>
      <c r="C357" s="1153">
        <v>7911070.6299999999</v>
      </c>
      <c r="D357" s="1019">
        <v>36166000000</v>
      </c>
      <c r="E357" s="294">
        <v>190523</v>
      </c>
      <c r="F357" s="1077">
        <v>3839.5</v>
      </c>
    </row>
    <row r="358" spans="1:6">
      <c r="A358" s="49">
        <f t="shared" si="7"/>
        <v>2023.01</v>
      </c>
      <c r="B358" s="1008">
        <v>236365</v>
      </c>
      <c r="C358" s="1153">
        <v>9905131</v>
      </c>
      <c r="D358" s="1019">
        <v>33860000000</v>
      </c>
      <c r="E358" s="294">
        <v>261644</v>
      </c>
      <c r="F358" s="1077">
        <v>4076.6</v>
      </c>
    </row>
    <row r="359" spans="1:6">
      <c r="A359" s="49">
        <f t="shared" si="7"/>
        <v>2023.02</v>
      </c>
      <c r="B359" s="1008">
        <v>230689.1</v>
      </c>
      <c r="C359" s="1153">
        <v>9680921.9800000004</v>
      </c>
      <c r="D359" s="1019">
        <v>29804000000</v>
      </c>
      <c r="E359" s="294">
        <v>252914</v>
      </c>
      <c r="F359" s="1077">
        <v>3970.15</v>
      </c>
    </row>
    <row r="360" spans="1:6">
      <c r="A360" s="49">
        <f t="shared" si="7"/>
        <v>2023.03</v>
      </c>
      <c r="B360" s="1008">
        <v>229064.12</v>
      </c>
      <c r="C360" s="1153">
        <v>9632042.8499999996</v>
      </c>
      <c r="D360" s="1019">
        <v>30986000000</v>
      </c>
      <c r="E360" s="294">
        <v>364276</v>
      </c>
      <c r="F360" s="1077">
        <v>4109.3100000000004</v>
      </c>
    </row>
    <row r="361" spans="1:6">
      <c r="A361" s="49">
        <f t="shared" si="7"/>
        <v>2023.04</v>
      </c>
      <c r="B361" s="1008">
        <v>277211.12</v>
      </c>
      <c r="C361" s="1153">
        <v>11574423.65</v>
      </c>
      <c r="D361" s="1019">
        <v>29832000000</v>
      </c>
      <c r="E361" s="294">
        <v>335049</v>
      </c>
      <c r="F361" s="1077">
        <v>4169.4799999999996</v>
      </c>
    </row>
    <row r="362" spans="1:6">
      <c r="A362" s="49">
        <f t="shared" si="7"/>
        <v>2023.05</v>
      </c>
      <c r="B362" s="1008">
        <v>315667.44</v>
      </c>
      <c r="C362" s="1153">
        <v>13200657.300000001</v>
      </c>
      <c r="D362" s="1019">
        <v>28650000000</v>
      </c>
      <c r="E362" s="294">
        <v>256139</v>
      </c>
      <c r="F362" s="1077">
        <v>4179.83</v>
      </c>
    </row>
    <row r="363" spans="1:6">
      <c r="A363" s="49">
        <f t="shared" si="7"/>
        <v>2023.06</v>
      </c>
      <c r="B363" s="1008">
        <v>392208.34</v>
      </c>
      <c r="C363" s="1153">
        <v>16491524.890000001</v>
      </c>
      <c r="D363" s="1019">
        <v>34471000000</v>
      </c>
      <c r="E363" s="294">
        <v>434734</v>
      </c>
      <c r="F363" s="1077">
        <v>4450.38</v>
      </c>
    </row>
    <row r="364" spans="1:6">
      <c r="A364" s="49">
        <f t="shared" si="7"/>
        <v>2023.07</v>
      </c>
      <c r="B364" s="1008">
        <v>419683.68</v>
      </c>
      <c r="C364" s="1153">
        <v>17770867.190000001</v>
      </c>
      <c r="D364" s="1019">
        <v>39406000000</v>
      </c>
      <c r="E364" s="294">
        <v>436832</v>
      </c>
      <c r="F364" s="1077">
        <v>4588.96</v>
      </c>
    </row>
    <row r="365" spans="1:6">
      <c r="A365" s="49">
        <f t="shared" si="7"/>
        <v>2023.08</v>
      </c>
      <c r="B365" s="1008">
        <v>598825.87</v>
      </c>
      <c r="C365" s="1153">
        <v>25183257.140000001</v>
      </c>
      <c r="D365" s="1019">
        <v>34415000000</v>
      </c>
      <c r="E365" s="294">
        <v>314192</v>
      </c>
      <c r="F365" s="1077">
        <v>4507.66</v>
      </c>
    </row>
    <row r="366" spans="1:6">
      <c r="A366" s="49">
        <f t="shared" si="7"/>
        <v>2023.09</v>
      </c>
      <c r="B366" s="1008">
        <v>514377.48</v>
      </c>
      <c r="C366" s="1153">
        <v>22042907.149999999</v>
      </c>
      <c r="D366" s="1019">
        <v>32805000000</v>
      </c>
      <c r="E366" s="294">
        <v>582741</v>
      </c>
      <c r="F366" s="1077">
        <v>4288.05</v>
      </c>
    </row>
    <row r="367" spans="1:6">
      <c r="A367" s="49">
        <f t="shared" si="7"/>
        <v>2023.1</v>
      </c>
      <c r="B367" s="1008">
        <v>528495.96</v>
      </c>
      <c r="C367" s="1153">
        <v>22122318.469999999</v>
      </c>
      <c r="D367" s="1019">
        <v>30553000000</v>
      </c>
      <c r="E367" s="294">
        <v>651172</v>
      </c>
      <c r="F367" s="1077">
        <v>4193.8</v>
      </c>
    </row>
    <row r="368" spans="1:6">
      <c r="A368" s="49">
        <f t="shared" si="7"/>
        <v>2023.11</v>
      </c>
      <c r="B368" s="1008">
        <v>742040.71</v>
      </c>
      <c r="C368" s="1153">
        <v>31478721.289999999</v>
      </c>
      <c r="D368" s="1019">
        <v>32222000000</v>
      </c>
      <c r="E368" s="294">
        <v>433646</v>
      </c>
      <c r="F368" s="1077">
        <v>4567.8</v>
      </c>
    </row>
    <row r="369" spans="1:6">
      <c r="A369" s="49">
        <f t="shared" si="7"/>
        <v>2023.12</v>
      </c>
      <c r="B369" s="1008">
        <v>846980.21</v>
      </c>
      <c r="C369" s="1153">
        <v>36410914.460000001</v>
      </c>
      <c r="D369" s="1019">
        <v>15619000000</v>
      </c>
      <c r="E369" s="294">
        <v>433404</v>
      </c>
      <c r="F369" s="1077">
        <v>4769.83</v>
      </c>
    </row>
    <row r="370" spans="1:6">
      <c r="A370" s="49">
        <f t="shared" si="7"/>
        <v>2024.01</v>
      </c>
      <c r="B370" s="1008">
        <v>1147937.6000000001</v>
      </c>
      <c r="C370" s="1153">
        <v>49381866.5</v>
      </c>
      <c r="D370" s="1019">
        <v>11390000000</v>
      </c>
      <c r="E370" s="294">
        <v>1286150</v>
      </c>
      <c r="F370" s="1077">
        <v>4845.6499999999996</v>
      </c>
    </row>
    <row r="371" spans="1:6">
      <c r="A371" s="49">
        <f t="shared" si="7"/>
        <v>2024.02</v>
      </c>
      <c r="B371" s="1008">
        <v>924052.44</v>
      </c>
      <c r="C371" s="1153">
        <v>39626072.280000001</v>
      </c>
      <c r="D371" s="1019">
        <v>11130000000</v>
      </c>
      <c r="E371" s="294">
        <v>857820</v>
      </c>
      <c r="F371" s="1077">
        <v>5096.2700000000004</v>
      </c>
    </row>
    <row r="372" spans="1:6">
      <c r="A372" s="49">
        <f t="shared" si="7"/>
        <v>2024.03</v>
      </c>
      <c r="B372" s="1008">
        <v>1105065.77</v>
      </c>
      <c r="C372" s="1153">
        <v>46845227.119999997</v>
      </c>
      <c r="D372" s="1019">
        <v>12054000000</v>
      </c>
      <c r="E372" s="294">
        <v>990520</v>
      </c>
      <c r="F372" s="1077">
        <v>5254.35</v>
      </c>
    </row>
    <row r="373" spans="1:6">
      <c r="A373" s="49">
        <f t="shared" si="7"/>
        <v>2024.04</v>
      </c>
      <c r="B373" s="1008">
        <v>1202833.44</v>
      </c>
      <c r="C373" s="1153">
        <v>50925316.07</v>
      </c>
      <c r="D373" s="1019">
        <v>16918000000</v>
      </c>
      <c r="E373" s="294" t="e">
        <v>#N/A</v>
      </c>
      <c r="F373" s="1077">
        <v>5035.6899999999996</v>
      </c>
    </row>
    <row r="374" spans="1:6">
      <c r="A374" s="49">
        <f t="shared" si="7"/>
        <v>2024.05</v>
      </c>
      <c r="B374" s="1008" t="e">
        <v>#N/A</v>
      </c>
      <c r="C374" s="1153" t="e">
        <v>#N/A</v>
      </c>
      <c r="D374" s="1019" t="e">
        <v>#N/A</v>
      </c>
      <c r="E374" s="294" t="e">
        <v>#N/A</v>
      </c>
      <c r="F374" s="1077" t="e">
        <v>#N/A</v>
      </c>
    </row>
    <row r="375" spans="1:6">
      <c r="A375" s="49">
        <f t="shared" si="7"/>
        <v>2024.06</v>
      </c>
      <c r="B375" s="1008" t="e">
        <v>#N/A</v>
      </c>
      <c r="C375" s="1153" t="e">
        <v>#N/A</v>
      </c>
      <c r="D375" s="1019" t="e">
        <v>#N/A</v>
      </c>
      <c r="E375" s="294" t="e">
        <v>#N/A</v>
      </c>
      <c r="F375" s="1077" t="e">
        <v>#N/A</v>
      </c>
    </row>
    <row r="376" spans="1:6">
      <c r="A376" s="49">
        <f t="shared" si="7"/>
        <v>2024.07</v>
      </c>
      <c r="B376" s="1008" t="e">
        <v>#N/A</v>
      </c>
      <c r="C376" s="1153" t="e">
        <v>#N/A</v>
      </c>
      <c r="D376" s="1019" t="e">
        <v>#N/A</v>
      </c>
      <c r="E376" s="294" t="e">
        <v>#N/A</v>
      </c>
      <c r="F376" s="1077" t="e">
        <v>#N/A</v>
      </c>
    </row>
    <row r="377" spans="1:6">
      <c r="A377" s="49">
        <f t="shared" si="7"/>
        <v>2024.08</v>
      </c>
      <c r="B377" s="1008" t="e">
        <v>#N/A</v>
      </c>
      <c r="C377" s="1153" t="e">
        <v>#N/A</v>
      </c>
      <c r="D377" s="1019" t="e">
        <v>#N/A</v>
      </c>
      <c r="E377" s="294" t="e">
        <v>#N/A</v>
      </c>
      <c r="F377" s="1077" t="e">
        <v>#N/A</v>
      </c>
    </row>
    <row r="378" spans="1:6">
      <c r="A378" s="49">
        <f t="shared" si="7"/>
        <v>2024.09</v>
      </c>
      <c r="B378" s="1008" t="e">
        <v>#N/A</v>
      </c>
      <c r="C378" s="1153" t="e">
        <v>#N/A</v>
      </c>
      <c r="D378" s="1019" t="e">
        <v>#N/A</v>
      </c>
      <c r="E378" s="294" t="e">
        <v>#N/A</v>
      </c>
      <c r="F378" s="1077" t="e">
        <v>#N/A</v>
      </c>
    </row>
    <row r="379" spans="1:6">
      <c r="A379" s="49">
        <f t="shared" si="7"/>
        <v>2024.1</v>
      </c>
      <c r="B379" s="1008" t="e">
        <v>#N/A</v>
      </c>
      <c r="C379" s="1153" t="e">
        <v>#N/A</v>
      </c>
      <c r="D379" s="1019" t="e">
        <v>#N/A</v>
      </c>
      <c r="E379" s="294" t="e">
        <v>#N/A</v>
      </c>
      <c r="F379" s="1077" t="e">
        <v>#N/A</v>
      </c>
    </row>
    <row r="380" spans="1:6">
      <c r="A380" s="49">
        <f t="shared" si="7"/>
        <v>2024.11</v>
      </c>
      <c r="B380" s="1008" t="e">
        <v>#N/A</v>
      </c>
      <c r="C380" s="1153" t="e">
        <v>#N/A</v>
      </c>
      <c r="D380" s="1019" t="e">
        <v>#N/A</v>
      </c>
      <c r="E380" s="294" t="e">
        <v>#N/A</v>
      </c>
      <c r="F380" s="1077" t="e">
        <v>#N/A</v>
      </c>
    </row>
    <row r="381" spans="1:6">
      <c r="A381" s="49">
        <f t="shared" si="7"/>
        <v>2024.12</v>
      </c>
      <c r="B381" s="1008" t="e">
        <v>#N/A</v>
      </c>
      <c r="C381" s="1153" t="e">
        <v>#N/A</v>
      </c>
      <c r="D381" s="1019" t="e">
        <v>#N/A</v>
      </c>
      <c r="E381" s="294" t="e">
        <v>#N/A</v>
      </c>
      <c r="F381" s="1077" t="e">
        <v>#N/A</v>
      </c>
    </row>
    <row r="382" spans="1:6">
      <c r="A382" s="49">
        <f t="shared" si="7"/>
        <v>2025.01</v>
      </c>
      <c r="B382" s="1008" t="e">
        <v>#N/A</v>
      </c>
      <c r="C382" s="1153" t="e">
        <v>#N/A</v>
      </c>
      <c r="D382" s="1019" t="e">
        <v>#N/A</v>
      </c>
      <c r="E382" s="294" t="e">
        <v>#N/A</v>
      </c>
      <c r="F382" s="1077" t="e">
        <v>#N/A</v>
      </c>
    </row>
    <row r="383" spans="1:6">
      <c r="A383" s="49">
        <f t="shared" si="7"/>
        <v>2025.02</v>
      </c>
      <c r="B383" s="1008" t="e">
        <v>#N/A</v>
      </c>
      <c r="C383" s="1153" t="e">
        <v>#N/A</v>
      </c>
      <c r="D383" s="1019" t="e">
        <v>#N/A</v>
      </c>
      <c r="E383" s="294" t="e">
        <v>#N/A</v>
      </c>
      <c r="F383" s="1077" t="e">
        <v>#N/A</v>
      </c>
    </row>
    <row r="384" spans="1:6">
      <c r="A384" s="49">
        <f t="shared" si="7"/>
        <v>2025.03</v>
      </c>
      <c r="B384" s="1008" t="e">
        <v>#N/A</v>
      </c>
      <c r="C384" s="1153" t="e">
        <v>#N/A</v>
      </c>
      <c r="D384" s="1019" t="e">
        <v>#N/A</v>
      </c>
      <c r="E384" s="294" t="e">
        <v>#N/A</v>
      </c>
      <c r="F384" s="1077" t="e">
        <v>#N/A</v>
      </c>
    </row>
    <row r="385" spans="1:6">
      <c r="A385" s="49">
        <f t="shared" si="7"/>
        <v>2025.04</v>
      </c>
      <c r="B385" s="1008" t="e">
        <v>#N/A</v>
      </c>
      <c r="C385" s="1153" t="e">
        <v>#N/A</v>
      </c>
      <c r="D385" s="1019" t="e">
        <v>#N/A</v>
      </c>
      <c r="E385" s="294" t="e">
        <v>#N/A</v>
      </c>
      <c r="F385" s="1077" t="e">
        <v>#N/A</v>
      </c>
    </row>
    <row r="386" spans="1:6">
      <c r="A386" s="49">
        <f t="shared" si="7"/>
        <v>2025.05</v>
      </c>
      <c r="B386" s="1008" t="e">
        <v>#N/A</v>
      </c>
      <c r="C386" s="1153" t="e">
        <v>#N/A</v>
      </c>
      <c r="D386" s="1019" t="e">
        <v>#N/A</v>
      </c>
      <c r="E386" s="294" t="e">
        <v>#N/A</v>
      </c>
      <c r="F386" s="1077" t="e">
        <v>#N/A</v>
      </c>
    </row>
    <row r="387" spans="1:6">
      <c r="A387" s="49">
        <f t="shared" si="7"/>
        <v>2025.06</v>
      </c>
      <c r="B387" s="1008" t="e">
        <v>#N/A</v>
      </c>
      <c r="C387" s="1153" t="e">
        <v>#N/A</v>
      </c>
      <c r="D387" s="1019" t="e">
        <v>#N/A</v>
      </c>
      <c r="E387" s="294" t="e">
        <v>#N/A</v>
      </c>
      <c r="F387" s="1077" t="e">
        <v>#N/A</v>
      </c>
    </row>
    <row r="388" spans="1:6">
      <c r="A388" s="49">
        <f t="shared" si="7"/>
        <v>2025.07</v>
      </c>
      <c r="B388" s="1008" t="e">
        <v>#N/A</v>
      </c>
      <c r="C388" s="1153" t="e">
        <v>#N/A</v>
      </c>
      <c r="D388" s="1019" t="e">
        <v>#N/A</v>
      </c>
      <c r="E388" s="294" t="e">
        <v>#N/A</v>
      </c>
      <c r="F388" s="1077" t="e">
        <v>#N/A</v>
      </c>
    </row>
    <row r="389" spans="1:6">
      <c r="A389" s="49">
        <f t="shared" si="7"/>
        <v>2025.08</v>
      </c>
      <c r="B389" s="1008" t="e">
        <v>#N/A</v>
      </c>
      <c r="C389" s="1153" t="e">
        <v>#N/A</v>
      </c>
      <c r="D389" s="1019" t="e">
        <v>#N/A</v>
      </c>
      <c r="E389" s="294" t="e">
        <v>#N/A</v>
      </c>
      <c r="F389" s="1077" t="e">
        <v>#N/A</v>
      </c>
    </row>
    <row r="390" spans="1:6">
      <c r="A390" s="49">
        <f t="shared" si="7"/>
        <v>2025.09</v>
      </c>
      <c r="B390" s="1008" t="e">
        <v>#N/A</v>
      </c>
      <c r="C390" s="1153" t="e">
        <v>#N/A</v>
      </c>
      <c r="D390" s="1019" t="e">
        <v>#N/A</v>
      </c>
      <c r="E390" s="294" t="e">
        <v>#N/A</v>
      </c>
      <c r="F390" s="1077" t="e">
        <v>#N/A</v>
      </c>
    </row>
    <row r="391" spans="1:6">
      <c r="A391" s="49">
        <f t="shared" si="7"/>
        <v>2025.1</v>
      </c>
      <c r="B391" s="1008" t="e">
        <v>#N/A</v>
      </c>
      <c r="C391" s="1153" t="e">
        <v>#N/A</v>
      </c>
      <c r="D391" s="1019" t="e">
        <v>#N/A</v>
      </c>
      <c r="E391" s="294" t="e">
        <v>#N/A</v>
      </c>
      <c r="F391" s="1077" t="e">
        <v>#N/A</v>
      </c>
    </row>
    <row r="392" spans="1:6">
      <c r="A392" s="49">
        <f t="shared" si="7"/>
        <v>2025.11</v>
      </c>
      <c r="B392" s="1008" t="e">
        <v>#N/A</v>
      </c>
      <c r="C392" s="1153" t="e">
        <v>#N/A</v>
      </c>
      <c r="D392" s="1019" t="e">
        <v>#N/A</v>
      </c>
      <c r="E392" s="294" t="e">
        <v>#N/A</v>
      </c>
      <c r="F392" s="1077" t="e">
        <v>#N/A</v>
      </c>
    </row>
    <row r="393" spans="1:6">
      <c r="A393" s="49">
        <f t="shared" si="7"/>
        <v>2025.12</v>
      </c>
      <c r="B393" s="1008" t="e">
        <v>#N/A</v>
      </c>
      <c r="C393" s="1153" t="e">
        <v>#N/A</v>
      </c>
      <c r="D393" s="1019" t="e">
        <v>#N/A</v>
      </c>
      <c r="E393" s="294" t="e">
        <v>#N/A</v>
      </c>
      <c r="F393" s="1077" t="e">
        <v>#N/A</v>
      </c>
    </row>
    <row r="394" spans="1:6">
      <c r="A394" s="49">
        <f t="shared" si="7"/>
        <v>2026.01</v>
      </c>
      <c r="B394" s="1008" t="e">
        <v>#N/A</v>
      </c>
      <c r="C394" s="1153" t="e">
        <v>#N/A</v>
      </c>
      <c r="D394" s="1019" t="e">
        <v>#N/A</v>
      </c>
      <c r="E394" s="294" t="e">
        <v>#N/A</v>
      </c>
      <c r="F394" s="1077" t="e">
        <v>#N/A</v>
      </c>
    </row>
    <row r="395" spans="1:6">
      <c r="A395" s="49">
        <f t="shared" si="7"/>
        <v>2026.02</v>
      </c>
      <c r="B395" s="1008" t="e">
        <v>#N/A</v>
      </c>
      <c r="C395" s="1153" t="e">
        <v>#N/A</v>
      </c>
      <c r="D395" s="1019" t="e">
        <v>#N/A</v>
      </c>
      <c r="E395" s="294" t="e">
        <v>#N/A</v>
      </c>
      <c r="F395" s="1077" t="e">
        <v>#N/A</v>
      </c>
    </row>
    <row r="396" spans="1:6">
      <c r="A396" s="49">
        <f t="shared" si="7"/>
        <v>2026.03</v>
      </c>
      <c r="B396" s="1008" t="e">
        <v>#N/A</v>
      </c>
      <c r="C396" s="1153" t="e">
        <v>#N/A</v>
      </c>
      <c r="D396" s="1019" t="e">
        <v>#N/A</v>
      </c>
      <c r="E396" s="294" t="e">
        <v>#N/A</v>
      </c>
      <c r="F396" s="1077" t="e">
        <v>#N/A</v>
      </c>
    </row>
    <row r="397" spans="1:6">
      <c r="A397" s="49">
        <f t="shared" si="7"/>
        <v>2026.04</v>
      </c>
      <c r="B397" s="1008" t="e">
        <v>#N/A</v>
      </c>
      <c r="C397" s="1153" t="e">
        <v>#N/A</v>
      </c>
      <c r="D397" s="1019" t="e">
        <v>#N/A</v>
      </c>
      <c r="E397" s="294" t="e">
        <v>#N/A</v>
      </c>
      <c r="F397" s="1077" t="e">
        <v>#N/A</v>
      </c>
    </row>
    <row r="398" spans="1:6">
      <c r="A398" s="49">
        <f t="shared" si="7"/>
        <v>2026.05</v>
      </c>
      <c r="B398" s="1008" t="e">
        <v>#N/A</v>
      </c>
      <c r="C398" s="1153" t="e">
        <v>#N/A</v>
      </c>
      <c r="D398" s="1019" t="e">
        <v>#N/A</v>
      </c>
      <c r="E398" s="294" t="e">
        <v>#N/A</v>
      </c>
      <c r="F398" s="1077" t="e">
        <v>#N/A</v>
      </c>
    </row>
    <row r="399" spans="1:6">
      <c r="A399" s="49">
        <f t="shared" si="7"/>
        <v>2026.06</v>
      </c>
      <c r="B399" s="1008" t="e">
        <v>#N/A</v>
      </c>
      <c r="C399" s="1153" t="e">
        <v>#N/A</v>
      </c>
      <c r="D399" s="1019" t="e">
        <v>#N/A</v>
      </c>
      <c r="E399" s="294" t="e">
        <v>#N/A</v>
      </c>
      <c r="F399" s="1077" t="e">
        <v>#N/A</v>
      </c>
    </row>
    <row r="400" spans="1:6">
      <c r="A400" s="49">
        <f t="shared" si="7"/>
        <v>2026.07</v>
      </c>
      <c r="B400" s="1008" t="e">
        <v>#N/A</v>
      </c>
      <c r="C400" s="1153" t="e">
        <v>#N/A</v>
      </c>
      <c r="D400" s="1019" t="e">
        <v>#N/A</v>
      </c>
      <c r="E400" s="294" t="e">
        <v>#N/A</v>
      </c>
      <c r="F400" s="1077" t="e">
        <v>#N/A</v>
      </c>
    </row>
    <row r="401" spans="1:6">
      <c r="A401" s="49">
        <f t="shared" si="7"/>
        <v>2026.08</v>
      </c>
      <c r="B401" s="1008" t="e">
        <v>#N/A</v>
      </c>
      <c r="C401" s="1153" t="e">
        <v>#N/A</v>
      </c>
      <c r="D401" s="1019" t="e">
        <v>#N/A</v>
      </c>
      <c r="E401" s="294" t="e">
        <v>#N/A</v>
      </c>
      <c r="F401" s="1077" t="e">
        <v>#N/A</v>
      </c>
    </row>
    <row r="402" spans="1:6">
      <c r="A402" s="49">
        <f t="shared" si="7"/>
        <v>2026.09</v>
      </c>
      <c r="B402" s="1008" t="e">
        <v>#N/A</v>
      </c>
      <c r="C402" s="1153" t="e">
        <v>#N/A</v>
      </c>
      <c r="D402" s="1019" t="e">
        <v>#N/A</v>
      </c>
      <c r="E402" s="294" t="e">
        <v>#N/A</v>
      </c>
      <c r="F402" s="1077" t="e">
        <v>#N/A</v>
      </c>
    </row>
    <row r="403" spans="1:6">
      <c r="A403" s="49">
        <f t="shared" ref="A403:A453" si="8">A391+1</f>
        <v>2026.1</v>
      </c>
      <c r="B403" s="1008" t="e">
        <v>#N/A</v>
      </c>
      <c r="C403" s="1153" t="e">
        <v>#N/A</v>
      </c>
      <c r="D403" s="1019" t="e">
        <v>#N/A</v>
      </c>
      <c r="E403" s="294" t="e">
        <v>#N/A</v>
      </c>
      <c r="F403" s="1077" t="e">
        <v>#N/A</v>
      </c>
    </row>
    <row r="404" spans="1:6">
      <c r="A404" s="49">
        <f t="shared" si="8"/>
        <v>2026.11</v>
      </c>
      <c r="B404" s="1008" t="e">
        <v>#N/A</v>
      </c>
      <c r="C404" s="1153" t="e">
        <v>#N/A</v>
      </c>
      <c r="D404" s="1019" t="e">
        <v>#N/A</v>
      </c>
      <c r="E404" s="294" t="e">
        <v>#N/A</v>
      </c>
      <c r="F404" s="1077" t="e">
        <v>#N/A</v>
      </c>
    </row>
    <row r="405" spans="1:6">
      <c r="A405" s="49">
        <f t="shared" si="8"/>
        <v>2026.12</v>
      </c>
      <c r="B405" s="1008" t="e">
        <v>#N/A</v>
      </c>
      <c r="C405" s="1153" t="e">
        <v>#N/A</v>
      </c>
      <c r="D405" s="1019" t="e">
        <v>#N/A</v>
      </c>
      <c r="E405" s="294" t="e">
        <v>#N/A</v>
      </c>
      <c r="F405" s="1077" t="e">
        <v>#N/A</v>
      </c>
    </row>
    <row r="406" spans="1:6">
      <c r="A406" s="49">
        <f t="shared" si="8"/>
        <v>2027.01</v>
      </c>
      <c r="B406" s="1008" t="e">
        <v>#N/A</v>
      </c>
      <c r="C406" s="1153" t="e">
        <v>#N/A</v>
      </c>
      <c r="D406" s="1019" t="e">
        <v>#N/A</v>
      </c>
      <c r="E406" s="294" t="e">
        <v>#N/A</v>
      </c>
      <c r="F406" s="1077" t="e">
        <v>#N/A</v>
      </c>
    </row>
    <row r="407" spans="1:6">
      <c r="A407" s="49">
        <f t="shared" si="8"/>
        <v>2027.02</v>
      </c>
      <c r="B407" s="1008" t="e">
        <v>#N/A</v>
      </c>
      <c r="C407" s="1153" t="e">
        <v>#N/A</v>
      </c>
      <c r="D407" s="1019" t="e">
        <v>#N/A</v>
      </c>
      <c r="E407" s="294" t="e">
        <v>#N/A</v>
      </c>
      <c r="F407" s="1077" t="e">
        <v>#N/A</v>
      </c>
    </row>
    <row r="408" spans="1:6">
      <c r="A408" s="49">
        <f t="shared" si="8"/>
        <v>2027.03</v>
      </c>
      <c r="B408" s="1008" t="e">
        <v>#N/A</v>
      </c>
      <c r="C408" s="1153" t="e">
        <v>#N/A</v>
      </c>
      <c r="D408" s="1019" t="e">
        <v>#N/A</v>
      </c>
      <c r="E408" s="294" t="e">
        <v>#N/A</v>
      </c>
      <c r="F408" s="1077" t="e">
        <v>#N/A</v>
      </c>
    </row>
    <row r="409" spans="1:6">
      <c r="A409" s="49">
        <f t="shared" si="8"/>
        <v>2027.04</v>
      </c>
      <c r="B409" s="1008" t="e">
        <v>#N/A</v>
      </c>
      <c r="C409" s="1153" t="e">
        <v>#N/A</v>
      </c>
      <c r="D409" s="1019" t="e">
        <v>#N/A</v>
      </c>
      <c r="E409" s="294" t="e">
        <v>#N/A</v>
      </c>
      <c r="F409" s="1077" t="e">
        <v>#N/A</v>
      </c>
    </row>
    <row r="410" spans="1:6">
      <c r="A410" s="49">
        <f t="shared" si="8"/>
        <v>2027.05</v>
      </c>
      <c r="B410" s="1008" t="e">
        <v>#N/A</v>
      </c>
      <c r="C410" s="1153" t="e">
        <v>#N/A</v>
      </c>
      <c r="D410" s="1019" t="e">
        <v>#N/A</v>
      </c>
      <c r="E410" s="294" t="e">
        <v>#N/A</v>
      </c>
      <c r="F410" s="1077" t="e">
        <v>#N/A</v>
      </c>
    </row>
    <row r="411" spans="1:6">
      <c r="A411" s="49">
        <f t="shared" si="8"/>
        <v>2027.06</v>
      </c>
      <c r="B411" s="1008" t="e">
        <v>#N/A</v>
      </c>
      <c r="C411" s="1153" t="e">
        <v>#N/A</v>
      </c>
      <c r="D411" s="1019" t="e">
        <v>#N/A</v>
      </c>
      <c r="E411" s="294" t="e">
        <v>#N/A</v>
      </c>
      <c r="F411" s="1077" t="e">
        <v>#N/A</v>
      </c>
    </row>
    <row r="412" spans="1:6">
      <c r="A412" s="49">
        <f t="shared" si="8"/>
        <v>2027.07</v>
      </c>
      <c r="B412" s="1008" t="e">
        <v>#N/A</v>
      </c>
      <c r="C412" s="1153" t="e">
        <v>#N/A</v>
      </c>
      <c r="D412" s="1019" t="e">
        <v>#N/A</v>
      </c>
      <c r="E412" s="294" t="e">
        <v>#N/A</v>
      </c>
      <c r="F412" s="1077" t="e">
        <v>#N/A</v>
      </c>
    </row>
    <row r="413" spans="1:6">
      <c r="A413" s="49">
        <f t="shared" si="8"/>
        <v>2027.08</v>
      </c>
      <c r="B413" s="1008" t="e">
        <v>#N/A</v>
      </c>
      <c r="C413" s="1153" t="e">
        <v>#N/A</v>
      </c>
      <c r="D413" s="1019" t="e">
        <v>#N/A</v>
      </c>
      <c r="E413" s="294" t="e">
        <v>#N/A</v>
      </c>
      <c r="F413" s="1077" t="e">
        <v>#N/A</v>
      </c>
    </row>
    <row r="414" spans="1:6">
      <c r="A414" s="49">
        <f t="shared" si="8"/>
        <v>2027.09</v>
      </c>
      <c r="B414" s="1008" t="e">
        <v>#N/A</v>
      </c>
      <c r="C414" s="1153" t="e">
        <v>#N/A</v>
      </c>
      <c r="D414" s="1019" t="e">
        <v>#N/A</v>
      </c>
      <c r="E414" s="294" t="e">
        <v>#N/A</v>
      </c>
      <c r="F414" s="1077" t="e">
        <v>#N/A</v>
      </c>
    </row>
    <row r="415" spans="1:6">
      <c r="A415" s="49">
        <f t="shared" si="8"/>
        <v>2027.1</v>
      </c>
      <c r="B415" s="1008" t="e">
        <v>#N/A</v>
      </c>
      <c r="C415" s="1153" t="e">
        <v>#N/A</v>
      </c>
      <c r="D415" s="1019" t="e">
        <v>#N/A</v>
      </c>
      <c r="E415" s="294" t="e">
        <v>#N/A</v>
      </c>
      <c r="F415" s="1077" t="e">
        <v>#N/A</v>
      </c>
    </row>
    <row r="416" spans="1:6">
      <c r="A416" s="49">
        <f t="shared" si="8"/>
        <v>2027.11</v>
      </c>
      <c r="B416" s="1008" t="e">
        <v>#N/A</v>
      </c>
      <c r="C416" s="1153" t="e">
        <v>#N/A</v>
      </c>
      <c r="D416" s="1019" t="e">
        <v>#N/A</v>
      </c>
      <c r="E416" s="294" t="e">
        <v>#N/A</v>
      </c>
      <c r="F416" s="1077" t="e">
        <v>#N/A</v>
      </c>
    </row>
    <row r="417" spans="1:6">
      <c r="A417" s="49">
        <f t="shared" si="8"/>
        <v>2027.12</v>
      </c>
      <c r="B417" s="1008" t="e">
        <v>#N/A</v>
      </c>
      <c r="C417" s="1153" t="e">
        <v>#N/A</v>
      </c>
      <c r="D417" s="1019" t="e">
        <v>#N/A</v>
      </c>
      <c r="E417" s="294" t="e">
        <v>#N/A</v>
      </c>
      <c r="F417" s="1077" t="e">
        <v>#N/A</v>
      </c>
    </row>
    <row r="418" spans="1:6">
      <c r="A418" s="49">
        <f t="shared" si="8"/>
        <v>2028.01</v>
      </c>
      <c r="B418" s="1008" t="e">
        <v>#N/A</v>
      </c>
      <c r="C418" s="1153" t="e">
        <v>#N/A</v>
      </c>
      <c r="D418" s="1019" t="e">
        <v>#N/A</v>
      </c>
      <c r="E418" s="294" t="e">
        <v>#N/A</v>
      </c>
      <c r="F418" s="1077" t="e">
        <v>#N/A</v>
      </c>
    </row>
    <row r="419" spans="1:6">
      <c r="A419" s="49">
        <f t="shared" si="8"/>
        <v>2028.02</v>
      </c>
      <c r="B419" s="1008" t="e">
        <v>#N/A</v>
      </c>
      <c r="C419" s="1153" t="e">
        <v>#N/A</v>
      </c>
      <c r="D419" s="1019" t="e">
        <v>#N/A</v>
      </c>
      <c r="E419" s="294" t="e">
        <v>#N/A</v>
      </c>
      <c r="F419" s="1077" t="e">
        <v>#N/A</v>
      </c>
    </row>
    <row r="420" spans="1:6">
      <c r="A420" s="49">
        <f t="shared" si="8"/>
        <v>2028.03</v>
      </c>
      <c r="B420" s="1008" t="e">
        <v>#N/A</v>
      </c>
      <c r="C420" s="1153" t="e">
        <v>#N/A</v>
      </c>
      <c r="D420" s="1019" t="e">
        <v>#N/A</v>
      </c>
      <c r="E420" s="294" t="e">
        <v>#N/A</v>
      </c>
      <c r="F420" s="1077" t="e">
        <v>#N/A</v>
      </c>
    </row>
    <row r="421" spans="1:6">
      <c r="A421" s="49">
        <f t="shared" si="8"/>
        <v>2028.04</v>
      </c>
      <c r="B421" s="1008" t="e">
        <v>#N/A</v>
      </c>
      <c r="C421" s="1153" t="e">
        <v>#N/A</v>
      </c>
      <c r="D421" s="1019" t="e">
        <v>#N/A</v>
      </c>
      <c r="E421" s="294" t="e">
        <v>#N/A</v>
      </c>
      <c r="F421" s="1077" t="e">
        <v>#N/A</v>
      </c>
    </row>
    <row r="422" spans="1:6">
      <c r="A422" s="49">
        <f t="shared" si="8"/>
        <v>2028.05</v>
      </c>
      <c r="B422" s="1008" t="e">
        <v>#N/A</v>
      </c>
      <c r="C422" s="1153" t="e">
        <v>#N/A</v>
      </c>
      <c r="D422" s="1019" t="e">
        <v>#N/A</v>
      </c>
      <c r="E422" s="294" t="e">
        <v>#N/A</v>
      </c>
      <c r="F422" s="1077" t="e">
        <v>#N/A</v>
      </c>
    </row>
    <row r="423" spans="1:6">
      <c r="A423" s="49">
        <f t="shared" si="8"/>
        <v>2028.06</v>
      </c>
      <c r="B423" s="1008" t="e">
        <v>#N/A</v>
      </c>
      <c r="C423" s="1153" t="e">
        <v>#N/A</v>
      </c>
      <c r="D423" s="1019" t="e">
        <v>#N/A</v>
      </c>
      <c r="E423" s="294" t="e">
        <v>#N/A</v>
      </c>
      <c r="F423" s="1077" t="e">
        <v>#N/A</v>
      </c>
    </row>
    <row r="424" spans="1:6">
      <c r="A424" s="49">
        <f t="shared" si="8"/>
        <v>2028.07</v>
      </c>
      <c r="B424" s="1008" t="e">
        <v>#N/A</v>
      </c>
      <c r="C424" s="1153" t="e">
        <v>#N/A</v>
      </c>
      <c r="D424" s="1019" t="e">
        <v>#N/A</v>
      </c>
      <c r="E424" s="294" t="e">
        <v>#N/A</v>
      </c>
      <c r="F424" s="1077" t="e">
        <v>#N/A</v>
      </c>
    </row>
    <row r="425" spans="1:6">
      <c r="A425" s="49">
        <f t="shared" si="8"/>
        <v>2028.08</v>
      </c>
      <c r="B425" s="1008" t="e">
        <v>#N/A</v>
      </c>
      <c r="C425" s="1153" t="e">
        <v>#N/A</v>
      </c>
      <c r="D425" s="1019" t="e">
        <v>#N/A</v>
      </c>
      <c r="E425" s="294" t="e">
        <v>#N/A</v>
      </c>
      <c r="F425" s="1077" t="e">
        <v>#N/A</v>
      </c>
    </row>
    <row r="426" spans="1:6">
      <c r="A426" s="49">
        <f t="shared" si="8"/>
        <v>2028.09</v>
      </c>
      <c r="B426" s="1008" t="e">
        <v>#N/A</v>
      </c>
      <c r="C426" s="1153" t="e">
        <v>#N/A</v>
      </c>
      <c r="D426" s="1019" t="e">
        <v>#N/A</v>
      </c>
      <c r="E426" s="294" t="e">
        <v>#N/A</v>
      </c>
      <c r="F426" s="1077" t="e">
        <v>#N/A</v>
      </c>
    </row>
    <row r="427" spans="1:6">
      <c r="A427" s="49">
        <f t="shared" si="8"/>
        <v>2028.1</v>
      </c>
      <c r="B427" s="1008" t="e">
        <v>#N/A</v>
      </c>
      <c r="C427" s="1153" t="e">
        <v>#N/A</v>
      </c>
      <c r="D427" s="1019" t="e">
        <v>#N/A</v>
      </c>
      <c r="E427" s="294" t="e">
        <v>#N/A</v>
      </c>
      <c r="F427" s="1077" t="e">
        <v>#N/A</v>
      </c>
    </row>
    <row r="428" spans="1:6">
      <c r="A428" s="49">
        <f t="shared" si="8"/>
        <v>2028.11</v>
      </c>
      <c r="B428" s="1008" t="e">
        <v>#N/A</v>
      </c>
      <c r="C428" s="1153" t="e">
        <v>#N/A</v>
      </c>
      <c r="D428" s="1019" t="e">
        <v>#N/A</v>
      </c>
      <c r="E428" s="294" t="e">
        <v>#N/A</v>
      </c>
      <c r="F428" s="1077" t="e">
        <v>#N/A</v>
      </c>
    </row>
    <row r="429" spans="1:6">
      <c r="A429" s="49">
        <f t="shared" si="8"/>
        <v>2028.12</v>
      </c>
      <c r="B429" s="1008" t="e">
        <v>#N/A</v>
      </c>
      <c r="C429" s="1153" t="e">
        <v>#N/A</v>
      </c>
      <c r="D429" s="1019" t="e">
        <v>#N/A</v>
      </c>
      <c r="E429" s="294" t="e">
        <v>#N/A</v>
      </c>
      <c r="F429" s="1077" t="e">
        <v>#N/A</v>
      </c>
    </row>
    <row r="430" spans="1:6">
      <c r="A430" s="49">
        <f t="shared" si="8"/>
        <v>2029.01</v>
      </c>
      <c r="B430" s="1008" t="e">
        <v>#N/A</v>
      </c>
      <c r="C430" s="1153" t="e">
        <v>#N/A</v>
      </c>
      <c r="D430" s="1019" t="e">
        <v>#N/A</v>
      </c>
      <c r="E430" s="294" t="e">
        <v>#N/A</v>
      </c>
      <c r="F430" s="1077" t="e">
        <v>#N/A</v>
      </c>
    </row>
    <row r="431" spans="1:6">
      <c r="A431" s="49">
        <f t="shared" si="8"/>
        <v>2029.02</v>
      </c>
      <c r="B431" s="1008" t="e">
        <v>#N/A</v>
      </c>
      <c r="C431" s="1153" t="e">
        <v>#N/A</v>
      </c>
      <c r="D431" s="1019" t="e">
        <v>#N/A</v>
      </c>
      <c r="E431" s="294" t="e">
        <v>#N/A</v>
      </c>
      <c r="F431" s="1077" t="e">
        <v>#N/A</v>
      </c>
    </row>
    <row r="432" spans="1:6">
      <c r="A432" s="49">
        <f t="shared" si="8"/>
        <v>2029.03</v>
      </c>
      <c r="B432" s="1008" t="e">
        <v>#N/A</v>
      </c>
      <c r="C432" s="1153" t="e">
        <v>#N/A</v>
      </c>
      <c r="D432" s="1019" t="e">
        <v>#N/A</v>
      </c>
      <c r="E432" s="294" t="e">
        <v>#N/A</v>
      </c>
      <c r="F432" s="1077" t="e">
        <v>#N/A</v>
      </c>
    </row>
    <row r="433" spans="1:6">
      <c r="A433" s="49">
        <f t="shared" si="8"/>
        <v>2029.04</v>
      </c>
      <c r="B433" s="1008" t="e">
        <v>#N/A</v>
      </c>
      <c r="C433" s="1153" t="e">
        <v>#N/A</v>
      </c>
      <c r="D433" s="1019" t="e">
        <v>#N/A</v>
      </c>
      <c r="E433" s="294" t="e">
        <v>#N/A</v>
      </c>
      <c r="F433" s="1077" t="e">
        <v>#N/A</v>
      </c>
    </row>
    <row r="434" spans="1:6">
      <c r="A434" s="49">
        <f t="shared" si="8"/>
        <v>2029.05</v>
      </c>
      <c r="B434" s="1008" t="e">
        <v>#N/A</v>
      </c>
      <c r="C434" s="1153" t="e">
        <v>#N/A</v>
      </c>
      <c r="D434" s="1019" t="e">
        <v>#N/A</v>
      </c>
      <c r="E434" s="294" t="e">
        <v>#N/A</v>
      </c>
      <c r="F434" s="1077" t="e">
        <v>#N/A</v>
      </c>
    </row>
    <row r="435" spans="1:6">
      <c r="A435" s="49">
        <f t="shared" si="8"/>
        <v>2029.06</v>
      </c>
      <c r="B435" s="1008" t="e">
        <v>#N/A</v>
      </c>
      <c r="C435" s="1153" t="e">
        <v>#N/A</v>
      </c>
      <c r="D435" s="1019" t="e">
        <v>#N/A</v>
      </c>
      <c r="E435" s="294" t="e">
        <v>#N/A</v>
      </c>
      <c r="F435" s="1077" t="e">
        <v>#N/A</v>
      </c>
    </row>
    <row r="436" spans="1:6">
      <c r="A436" s="49">
        <f t="shared" si="8"/>
        <v>2029.07</v>
      </c>
      <c r="B436" s="1008" t="e">
        <v>#N/A</v>
      </c>
      <c r="C436" s="1153" t="e">
        <v>#N/A</v>
      </c>
      <c r="D436" s="1019" t="e">
        <v>#N/A</v>
      </c>
      <c r="E436" s="294" t="e">
        <v>#N/A</v>
      </c>
      <c r="F436" s="1077" t="e">
        <v>#N/A</v>
      </c>
    </row>
    <row r="437" spans="1:6">
      <c r="A437" s="49">
        <f t="shared" si="8"/>
        <v>2029.08</v>
      </c>
      <c r="B437" s="1008" t="e">
        <v>#N/A</v>
      </c>
      <c r="C437" s="1153" t="e">
        <v>#N/A</v>
      </c>
      <c r="D437" s="1019" t="e">
        <v>#N/A</v>
      </c>
      <c r="E437" s="294" t="e">
        <v>#N/A</v>
      </c>
      <c r="F437" s="1077" t="e">
        <v>#N/A</v>
      </c>
    </row>
    <row r="438" spans="1:6">
      <c r="A438" s="49">
        <f t="shared" si="8"/>
        <v>2029.09</v>
      </c>
      <c r="B438" s="1008" t="e">
        <v>#N/A</v>
      </c>
      <c r="C438" s="1153" t="e">
        <v>#N/A</v>
      </c>
      <c r="D438" s="1019" t="e">
        <v>#N/A</v>
      </c>
      <c r="E438" s="294" t="e">
        <v>#N/A</v>
      </c>
      <c r="F438" s="1077" t="e">
        <v>#N/A</v>
      </c>
    </row>
    <row r="439" spans="1:6">
      <c r="A439" s="49">
        <f t="shared" si="8"/>
        <v>2029.1</v>
      </c>
      <c r="B439" s="1008" t="e">
        <v>#N/A</v>
      </c>
      <c r="C439" s="1153" t="e">
        <v>#N/A</v>
      </c>
      <c r="D439" s="1019" t="e">
        <v>#N/A</v>
      </c>
      <c r="E439" s="294" t="e">
        <v>#N/A</v>
      </c>
      <c r="F439" s="1077" t="e">
        <v>#N/A</v>
      </c>
    </row>
    <row r="440" spans="1:6">
      <c r="A440" s="49">
        <f t="shared" si="8"/>
        <v>2029.11</v>
      </c>
      <c r="B440" s="1008" t="e">
        <v>#N/A</v>
      </c>
      <c r="C440" s="1153" t="e">
        <v>#N/A</v>
      </c>
      <c r="D440" s="1019" t="e">
        <v>#N/A</v>
      </c>
      <c r="E440" s="294" t="e">
        <v>#N/A</v>
      </c>
      <c r="F440" s="1077" t="e">
        <v>#N/A</v>
      </c>
    </row>
    <row r="441" spans="1:6">
      <c r="A441" s="49">
        <f t="shared" si="8"/>
        <v>2029.12</v>
      </c>
      <c r="B441" s="1008" t="e">
        <v>#N/A</v>
      </c>
      <c r="C441" s="1153" t="e">
        <v>#N/A</v>
      </c>
      <c r="D441" s="1019" t="e">
        <v>#N/A</v>
      </c>
      <c r="E441" s="294" t="e">
        <v>#N/A</v>
      </c>
      <c r="F441" s="1077" t="e">
        <v>#N/A</v>
      </c>
    </row>
    <row r="442" spans="1:6">
      <c r="A442" s="49">
        <f t="shared" si="8"/>
        <v>2030.01</v>
      </c>
      <c r="B442" s="1008" t="e">
        <v>#N/A</v>
      </c>
      <c r="C442" s="1153" t="e">
        <v>#N/A</v>
      </c>
      <c r="D442" s="1019" t="e">
        <v>#N/A</v>
      </c>
      <c r="E442" s="294" t="e">
        <v>#N/A</v>
      </c>
      <c r="F442" s="1077" t="e">
        <v>#N/A</v>
      </c>
    </row>
    <row r="443" spans="1:6">
      <c r="A443" s="49">
        <f t="shared" si="8"/>
        <v>2030.02</v>
      </c>
      <c r="B443" s="1008" t="e">
        <v>#N/A</v>
      </c>
      <c r="C443" s="1153" t="e">
        <v>#N/A</v>
      </c>
      <c r="D443" s="1019" t="e">
        <v>#N/A</v>
      </c>
      <c r="E443" s="294" t="e">
        <v>#N/A</v>
      </c>
      <c r="F443" s="1077" t="e">
        <v>#N/A</v>
      </c>
    </row>
    <row r="444" spans="1:6">
      <c r="A444" s="49">
        <f t="shared" si="8"/>
        <v>2030.03</v>
      </c>
      <c r="B444" s="1008" t="e">
        <v>#N/A</v>
      </c>
      <c r="C444" s="1153" t="e">
        <v>#N/A</v>
      </c>
      <c r="D444" s="1019" t="e">
        <v>#N/A</v>
      </c>
      <c r="E444" s="294" t="e">
        <v>#N/A</v>
      </c>
      <c r="F444" s="1077" t="e">
        <v>#N/A</v>
      </c>
    </row>
    <row r="445" spans="1:6">
      <c r="A445" s="49">
        <f t="shared" si="8"/>
        <v>2030.04</v>
      </c>
      <c r="B445" s="1008" t="e">
        <v>#N/A</v>
      </c>
      <c r="C445" s="1153" t="e">
        <v>#N/A</v>
      </c>
      <c r="D445" s="1019" t="e">
        <v>#N/A</v>
      </c>
      <c r="E445" s="294" t="e">
        <v>#N/A</v>
      </c>
      <c r="F445" s="1077" t="e">
        <v>#N/A</v>
      </c>
    </row>
    <row r="446" spans="1:6">
      <c r="A446" s="49">
        <f t="shared" si="8"/>
        <v>2030.05</v>
      </c>
      <c r="B446" s="1008" t="e">
        <v>#N/A</v>
      </c>
      <c r="C446" s="1153" t="e">
        <v>#N/A</v>
      </c>
      <c r="D446" s="1019" t="e">
        <v>#N/A</v>
      </c>
      <c r="E446" s="294" t="e">
        <v>#N/A</v>
      </c>
      <c r="F446" s="1077" t="e">
        <v>#N/A</v>
      </c>
    </row>
    <row r="447" spans="1:6">
      <c r="A447" s="49">
        <f t="shared" si="8"/>
        <v>2030.06</v>
      </c>
      <c r="B447" s="1008" t="e">
        <v>#N/A</v>
      </c>
      <c r="C447" s="1153" t="e">
        <v>#N/A</v>
      </c>
      <c r="D447" s="1019" t="e">
        <v>#N/A</v>
      </c>
      <c r="E447" s="294" t="e">
        <v>#N/A</v>
      </c>
      <c r="F447" s="1077" t="e">
        <v>#N/A</v>
      </c>
    </row>
    <row r="448" spans="1:6">
      <c r="A448" s="49">
        <f t="shared" si="8"/>
        <v>2030.07</v>
      </c>
      <c r="B448" s="1008" t="e">
        <v>#N/A</v>
      </c>
      <c r="C448" s="1153" t="e">
        <v>#N/A</v>
      </c>
      <c r="D448" s="1019" t="e">
        <v>#N/A</v>
      </c>
      <c r="E448" s="294" t="e">
        <v>#N/A</v>
      </c>
      <c r="F448" s="1077" t="e">
        <v>#N/A</v>
      </c>
    </row>
    <row r="449" spans="1:6">
      <c r="A449" s="49">
        <f t="shared" si="8"/>
        <v>2030.08</v>
      </c>
      <c r="B449" s="1008" t="e">
        <v>#N/A</v>
      </c>
      <c r="C449" s="1153" t="e">
        <v>#N/A</v>
      </c>
      <c r="D449" s="1019" t="e">
        <v>#N/A</v>
      </c>
      <c r="E449" s="294" t="e">
        <v>#N/A</v>
      </c>
      <c r="F449" s="1077" t="e">
        <v>#N/A</v>
      </c>
    </row>
    <row r="450" spans="1:6">
      <c r="A450" s="49">
        <f t="shared" si="8"/>
        <v>2030.09</v>
      </c>
      <c r="B450" s="1008" t="e">
        <v>#N/A</v>
      </c>
      <c r="C450" s="1153" t="e">
        <v>#N/A</v>
      </c>
      <c r="D450" s="1019" t="e">
        <v>#N/A</v>
      </c>
      <c r="E450" s="294" t="e">
        <v>#N/A</v>
      </c>
      <c r="F450" s="1077" t="e">
        <v>#N/A</v>
      </c>
    </row>
    <row r="451" spans="1:6">
      <c r="A451" s="49">
        <f t="shared" si="8"/>
        <v>2030.1</v>
      </c>
      <c r="B451" s="1008" t="e">
        <v>#N/A</v>
      </c>
      <c r="C451" s="1153" t="e">
        <v>#N/A</v>
      </c>
      <c r="D451" s="1019" t="e">
        <v>#N/A</v>
      </c>
      <c r="E451" s="294" t="e">
        <v>#N/A</v>
      </c>
      <c r="F451" s="1077" t="e">
        <v>#N/A</v>
      </c>
    </row>
    <row r="452" spans="1:6">
      <c r="A452" s="49">
        <f t="shared" si="8"/>
        <v>2030.11</v>
      </c>
      <c r="B452" s="1008" t="e">
        <v>#N/A</v>
      </c>
      <c r="C452" s="1153" t="e">
        <v>#N/A</v>
      </c>
      <c r="D452" s="1019" t="e">
        <v>#N/A</v>
      </c>
      <c r="E452" s="294" t="e">
        <v>#N/A</v>
      </c>
      <c r="F452" s="1077" t="e">
        <v>#N/A</v>
      </c>
    </row>
    <row r="453" spans="1:6">
      <c r="A453" s="49">
        <f t="shared" si="8"/>
        <v>2030.12</v>
      </c>
      <c r="B453" s="1008" t="e">
        <v>#N/A</v>
      </c>
      <c r="C453" s="1153" t="e">
        <v>#N/A</v>
      </c>
      <c r="D453" s="1019" t="e">
        <v>#N/A</v>
      </c>
      <c r="E453" s="294" t="e">
        <v>#N/A</v>
      </c>
      <c r="F453" s="1077" t="e">
        <v>#N/A</v>
      </c>
    </row>
  </sheetData>
  <phoneticPr fontId="58" type="noConversion"/>
  <hyperlinks>
    <hyperlink ref="A5" location="INDICE!A13" display="VOLVER AL INDICE" xr:uid="{00000000-0004-0000-2100-000000000000}"/>
    <hyperlink ref="D343" r:id="rId1" display="https://servicios.mae.com.ar/estadisticas/volumenes_rfcv.aspx" xr:uid="{00000000-0004-0000-2100-000001000000}"/>
  </hyperlinks>
  <pageMargins left="0.75" right="0.75" top="1" bottom="1" header="0" footer="0"/>
  <pageSetup paperSize="9" orientation="portrait" horizontalDpi="300" verticalDpi="300"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3">
    <pageSetUpPr autoPageBreaks="0"/>
  </sheetPr>
  <dimension ref="A1:AF417"/>
  <sheetViews>
    <sheetView zoomScaleNormal="100" workbookViewId="0">
      <pane xSplit="1" ySplit="9" topLeftCell="U326"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9.5703125" style="19" bestFit="1" customWidth="1"/>
    <col min="2" max="25" width="16.28515625" style="19" customWidth="1"/>
    <col min="26" max="26" width="11.42578125" style="640"/>
    <col min="27" max="27" width="19.42578125" style="640" bestFit="1" customWidth="1"/>
    <col min="28" max="32" width="11.42578125" style="640"/>
    <col min="33" max="16384" width="11.42578125" style="1"/>
  </cols>
  <sheetData>
    <row r="1" spans="1:29" ht="3" customHeight="1">
      <c r="A1" s="47"/>
      <c r="B1" s="281"/>
      <c r="C1" s="281"/>
      <c r="D1" s="281"/>
      <c r="E1" s="281"/>
      <c r="F1" s="281"/>
      <c r="G1" s="281"/>
      <c r="H1" s="281"/>
      <c r="I1" s="281"/>
      <c r="J1" s="281"/>
      <c r="K1" s="281"/>
      <c r="L1" s="281"/>
      <c r="M1" s="281"/>
      <c r="N1" s="281"/>
      <c r="O1" s="281"/>
      <c r="P1" s="281"/>
      <c r="Q1" s="281"/>
      <c r="R1" s="281"/>
      <c r="S1" s="281"/>
      <c r="T1" s="1138"/>
      <c r="U1" s="978"/>
      <c r="V1" s="615"/>
      <c r="W1" s="977"/>
      <c r="X1" s="978"/>
      <c r="Y1" s="519"/>
    </row>
    <row r="2" spans="1:29" ht="22.5">
      <c r="A2" s="47" t="s">
        <v>212</v>
      </c>
      <c r="B2" s="77" t="s">
        <v>277</v>
      </c>
      <c r="C2" s="77"/>
      <c r="D2" s="77"/>
      <c r="E2" s="77"/>
      <c r="F2" s="77"/>
      <c r="G2" s="77"/>
      <c r="H2" s="77"/>
      <c r="I2" s="77"/>
      <c r="J2" s="77"/>
      <c r="K2" s="77" t="s">
        <v>277</v>
      </c>
      <c r="L2" s="77"/>
      <c r="M2" s="77"/>
      <c r="N2" s="77"/>
      <c r="O2" s="77"/>
      <c r="P2" s="278"/>
      <c r="Q2" s="278"/>
      <c r="R2" s="278"/>
      <c r="S2" s="77"/>
      <c r="T2" s="115" t="s">
        <v>806</v>
      </c>
      <c r="U2" s="303"/>
      <c r="V2" s="94" t="s">
        <v>1239</v>
      </c>
      <c r="W2" s="94"/>
      <c r="X2" s="94"/>
      <c r="Y2" s="41" t="s">
        <v>901</v>
      </c>
    </row>
    <row r="3" spans="1:29" ht="45">
      <c r="A3" s="47" t="s">
        <v>211</v>
      </c>
      <c r="B3" s="77" t="s">
        <v>219</v>
      </c>
      <c r="C3" s="77"/>
      <c r="D3" s="77"/>
      <c r="E3" s="77"/>
      <c r="F3" s="77"/>
      <c r="G3" s="77"/>
      <c r="H3" s="77"/>
      <c r="I3" s="77"/>
      <c r="J3" s="77"/>
      <c r="K3" s="77" t="s">
        <v>219</v>
      </c>
      <c r="L3" s="77"/>
      <c r="M3" s="77"/>
      <c r="N3" s="77"/>
      <c r="O3" s="79"/>
      <c r="P3" s="79"/>
      <c r="Q3" s="79"/>
      <c r="R3" s="79"/>
      <c r="S3" s="79"/>
      <c r="T3" s="115" t="s">
        <v>219</v>
      </c>
      <c r="U3" s="303"/>
      <c r="V3" s="94" t="s">
        <v>219</v>
      </c>
      <c r="W3" s="94"/>
      <c r="X3" s="94"/>
      <c r="Y3" s="41" t="s">
        <v>902</v>
      </c>
    </row>
    <row r="4" spans="1:29" ht="3.75" customHeight="1">
      <c r="A4" s="224"/>
      <c r="B4" s="79"/>
      <c r="C4" s="79"/>
      <c r="D4" s="79"/>
      <c r="E4" s="79"/>
      <c r="F4" s="79"/>
      <c r="G4" s="79"/>
      <c r="H4" s="79"/>
      <c r="I4" s="79"/>
      <c r="J4" s="79"/>
      <c r="K4" s="79"/>
      <c r="L4" s="79"/>
      <c r="M4" s="79"/>
      <c r="N4" s="79"/>
      <c r="O4" s="79"/>
      <c r="P4" s="79"/>
      <c r="Q4" s="79"/>
      <c r="R4" s="79"/>
      <c r="S4" s="79"/>
      <c r="T4" s="277"/>
      <c r="U4" s="981"/>
      <c r="V4" s="979"/>
      <c r="W4" s="980"/>
      <c r="X4" s="981"/>
      <c r="Y4" s="616"/>
    </row>
    <row r="5" spans="1:29" ht="33.75">
      <c r="A5" s="45" t="s">
        <v>213</v>
      </c>
      <c r="B5" s="284" t="s">
        <v>279</v>
      </c>
      <c r="C5" s="104" t="s">
        <v>242</v>
      </c>
      <c r="D5" s="1339" t="s">
        <v>161</v>
      </c>
      <c r="E5" s="106" t="s">
        <v>162</v>
      </c>
      <c r="F5" s="1339" t="s">
        <v>163</v>
      </c>
      <c r="G5" s="106" t="s">
        <v>164</v>
      </c>
      <c r="H5" s="1339" t="s">
        <v>165</v>
      </c>
      <c r="I5" s="106" t="s">
        <v>278</v>
      </c>
      <c r="J5" s="1339" t="s">
        <v>166</v>
      </c>
      <c r="K5" s="106" t="s">
        <v>167</v>
      </c>
      <c r="L5" s="1339" t="s">
        <v>168</v>
      </c>
      <c r="M5" s="106" t="s">
        <v>169</v>
      </c>
      <c r="N5" s="1586" t="s">
        <v>73</v>
      </c>
      <c r="O5" s="105" t="s">
        <v>1240</v>
      </c>
      <c r="P5" s="83" t="s">
        <v>1247</v>
      </c>
      <c r="Q5" s="83" t="s">
        <v>1248</v>
      </c>
      <c r="R5" s="83" t="s">
        <v>282</v>
      </c>
      <c r="S5" s="104" t="s">
        <v>0</v>
      </c>
      <c r="T5" s="1896" t="s">
        <v>1235</v>
      </c>
      <c r="U5" s="125" t="s">
        <v>1234</v>
      </c>
      <c r="V5" s="1903" t="s">
        <v>1118</v>
      </c>
      <c r="W5" s="76" t="s">
        <v>1120</v>
      </c>
      <c r="X5" s="1907" t="s">
        <v>1121</v>
      </c>
      <c r="Y5" s="90" t="s">
        <v>904</v>
      </c>
    </row>
    <row r="6" spans="1:29" ht="3.75" customHeight="1">
      <c r="A6" s="224"/>
      <c r="B6" s="79"/>
      <c r="C6" s="79"/>
      <c r="D6" s="1884"/>
      <c r="E6" s="79"/>
      <c r="F6" s="1884"/>
      <c r="G6" s="79"/>
      <c r="H6" s="1884"/>
      <c r="I6" s="79"/>
      <c r="J6" s="1884"/>
      <c r="K6" s="79"/>
      <c r="L6" s="1884"/>
      <c r="M6" s="79"/>
      <c r="N6" s="1889"/>
      <c r="O6" s="79"/>
      <c r="P6" s="79"/>
      <c r="Q6" s="79"/>
      <c r="R6" s="79"/>
      <c r="S6" s="79"/>
      <c r="T6" s="1897"/>
      <c r="U6" s="981"/>
      <c r="V6" s="1904"/>
      <c r="W6" s="980"/>
      <c r="X6" s="1908"/>
      <c r="Y6" s="616"/>
    </row>
    <row r="7" spans="1:29" ht="22.5">
      <c r="A7" s="47" t="s">
        <v>210</v>
      </c>
      <c r="B7" s="283" t="s">
        <v>215</v>
      </c>
      <c r="C7" s="367" t="str">
        <f>B7</f>
        <v>Miles de pesos corrientes</v>
      </c>
      <c r="D7" s="1885" t="str">
        <f>C7</f>
        <v>Miles de pesos corrientes</v>
      </c>
      <c r="E7" s="280" t="str">
        <f t="shared" ref="E7:M7" si="0">D7</f>
        <v>Miles de pesos corrientes</v>
      </c>
      <c r="F7" s="1885" t="str">
        <f t="shared" si="0"/>
        <v>Miles de pesos corrientes</v>
      </c>
      <c r="G7" s="280" t="str">
        <f t="shared" si="0"/>
        <v>Miles de pesos corrientes</v>
      </c>
      <c r="H7" s="1885" t="str">
        <f t="shared" si="0"/>
        <v>Miles de pesos corrientes</v>
      </c>
      <c r="I7" s="280" t="str">
        <f t="shared" si="0"/>
        <v>Miles de pesos corrientes</v>
      </c>
      <c r="J7" s="1885" t="str">
        <f t="shared" si="0"/>
        <v>Miles de pesos corrientes</v>
      </c>
      <c r="K7" s="280" t="str">
        <f t="shared" si="0"/>
        <v>Miles de pesos corrientes</v>
      </c>
      <c r="L7" s="1885" t="str">
        <f t="shared" si="0"/>
        <v>Miles de pesos corrientes</v>
      </c>
      <c r="M7" s="280" t="str">
        <f t="shared" si="0"/>
        <v>Miles de pesos corrientes</v>
      </c>
      <c r="N7" s="1890" t="str">
        <f>M7</f>
        <v>Miles de pesos corrientes</v>
      </c>
      <c r="O7" s="279" t="s">
        <v>1241</v>
      </c>
      <c r="P7" s="84" t="s">
        <v>281</v>
      </c>
      <c r="Q7" s="84" t="s">
        <v>280</v>
      </c>
      <c r="R7" s="511" t="s">
        <v>798</v>
      </c>
      <c r="S7" s="1137" t="s">
        <v>1</v>
      </c>
      <c r="T7" s="1851" t="str">
        <f>$B7</f>
        <v>Miles de pesos corrientes</v>
      </c>
      <c r="U7" s="877" t="str">
        <f>$B7</f>
        <v>Miles de pesos corrientes</v>
      </c>
      <c r="V7" s="1851" t="s">
        <v>1119</v>
      </c>
      <c r="W7" s="276" t="s">
        <v>1119</v>
      </c>
      <c r="X7" s="1603" t="s">
        <v>1119</v>
      </c>
      <c r="Y7" s="81" t="s">
        <v>62</v>
      </c>
    </row>
    <row r="8" spans="1:29" ht="14.25" customHeight="1">
      <c r="A8" s="225" t="s">
        <v>412</v>
      </c>
      <c r="B8" s="396" t="s">
        <v>598</v>
      </c>
      <c r="C8" s="398" t="s">
        <v>599</v>
      </c>
      <c r="D8" s="1290" t="s">
        <v>600</v>
      </c>
      <c r="E8" s="397" t="s">
        <v>601</v>
      </c>
      <c r="F8" s="1290" t="s">
        <v>602</v>
      </c>
      <c r="G8" s="397" t="s">
        <v>603</v>
      </c>
      <c r="H8" s="1290" t="s">
        <v>604</v>
      </c>
      <c r="I8" s="397" t="s">
        <v>605</v>
      </c>
      <c r="J8" s="1290" t="s">
        <v>606</v>
      </c>
      <c r="K8" s="397" t="s">
        <v>607</v>
      </c>
      <c r="L8" s="1290" t="s">
        <v>608</v>
      </c>
      <c r="M8" s="397" t="s">
        <v>609</v>
      </c>
      <c r="N8" s="1156" t="s">
        <v>610</v>
      </c>
      <c r="O8" s="394" t="s">
        <v>611</v>
      </c>
      <c r="P8" s="394" t="s">
        <v>612</v>
      </c>
      <c r="Q8" s="394" t="s">
        <v>613</v>
      </c>
      <c r="R8" s="394" t="s">
        <v>614</v>
      </c>
      <c r="S8" s="398" t="s">
        <v>615</v>
      </c>
      <c r="T8" s="1588" t="s">
        <v>616</v>
      </c>
      <c r="U8" s="396" t="s">
        <v>903</v>
      </c>
      <c r="V8" s="1588" t="s">
        <v>1122</v>
      </c>
      <c r="W8" s="397" t="s">
        <v>1123</v>
      </c>
      <c r="X8" s="1156" t="s">
        <v>1124</v>
      </c>
      <c r="Y8" s="395" t="s">
        <v>1236</v>
      </c>
    </row>
    <row r="9" spans="1:29" ht="13.5" thickBot="1">
      <c r="A9" s="194"/>
      <c r="B9" s="349"/>
      <c r="C9" s="330"/>
      <c r="D9" s="1337"/>
      <c r="E9" s="464"/>
      <c r="F9" s="1337"/>
      <c r="G9" s="464"/>
      <c r="H9" s="1337"/>
      <c r="I9" s="464"/>
      <c r="J9" s="1337"/>
      <c r="K9" s="464"/>
      <c r="L9" s="1337"/>
      <c r="M9" s="464"/>
      <c r="N9" s="1891"/>
      <c r="O9" s="118"/>
      <c r="P9" s="153"/>
      <c r="Q9" s="118"/>
      <c r="R9" s="263"/>
      <c r="S9" s="128"/>
      <c r="T9" s="1898"/>
      <c r="U9" s="253"/>
      <c r="V9" s="1905"/>
      <c r="W9" s="1906"/>
      <c r="X9" s="1909"/>
      <c r="Y9" s="161"/>
    </row>
    <row r="10" spans="1:29">
      <c r="A10" s="329">
        <v>1997.01</v>
      </c>
      <c r="B10" s="501">
        <v>36062</v>
      </c>
      <c r="C10" s="912">
        <f>SUM(D10:J10)</f>
        <v>23687</v>
      </c>
      <c r="D10" s="1886">
        <v>4557</v>
      </c>
      <c r="E10" s="478">
        <v>7548</v>
      </c>
      <c r="F10" s="1886">
        <v>1072</v>
      </c>
      <c r="G10" s="478">
        <v>3200</v>
      </c>
      <c r="H10" s="1886">
        <v>4052</v>
      </c>
      <c r="I10" s="478">
        <v>1874</v>
      </c>
      <c r="J10" s="1886">
        <v>1384</v>
      </c>
      <c r="K10" s="478">
        <v>5113</v>
      </c>
      <c r="L10" s="1886">
        <v>1570</v>
      </c>
      <c r="M10" s="478">
        <v>2112</v>
      </c>
      <c r="N10" s="2896">
        <v>3580</v>
      </c>
      <c r="O10" s="2897"/>
      <c r="P10" s="1955">
        <v>65289</v>
      </c>
      <c r="Q10" s="501">
        <v>2379760</v>
      </c>
      <c r="R10" s="976">
        <f>$B10/P10*1000</f>
        <v>552.3441927430348</v>
      </c>
      <c r="S10" s="1135">
        <f>$B10/Q10*1000</f>
        <v>15.153628937371835</v>
      </c>
      <c r="T10" s="1899"/>
      <c r="U10" s="520">
        <v>1012608</v>
      </c>
      <c r="V10" s="1901"/>
      <c r="W10" s="701"/>
      <c r="X10" s="1910"/>
      <c r="Y10" s="1139"/>
      <c r="Z10" s="641"/>
    </row>
    <row r="11" spans="1:29">
      <c r="A11" s="49">
        <v>1997.02</v>
      </c>
      <c r="B11" s="73">
        <v>36055</v>
      </c>
      <c r="C11" s="1882">
        <f>SUM(D11:J11)</f>
        <v>23408</v>
      </c>
      <c r="D11" s="1804">
        <v>3939</v>
      </c>
      <c r="E11" s="294">
        <v>7685</v>
      </c>
      <c r="F11" s="1804">
        <v>953</v>
      </c>
      <c r="G11" s="294">
        <v>3222</v>
      </c>
      <c r="H11" s="1804">
        <v>4087</v>
      </c>
      <c r="I11" s="294">
        <v>1878</v>
      </c>
      <c r="J11" s="1804">
        <v>1644</v>
      </c>
      <c r="K11" s="294">
        <v>4894</v>
      </c>
      <c r="L11" s="1804">
        <v>1679</v>
      </c>
      <c r="M11" s="294">
        <v>1866</v>
      </c>
      <c r="N11" s="1892">
        <v>4208</v>
      </c>
      <c r="O11" s="1140"/>
      <c r="P11" s="61">
        <v>65289</v>
      </c>
      <c r="Q11" s="61">
        <v>2183907</v>
      </c>
      <c r="R11" s="505">
        <f t="shared" ref="R11:R74" si="1">$B11/P11*1000</f>
        <v>552.23697713244189</v>
      </c>
      <c r="S11" s="518">
        <f t="shared" ref="S11:S74" si="2">$B11/Q11*1000</f>
        <v>16.509402643977054</v>
      </c>
      <c r="T11" s="1900"/>
      <c r="U11" s="73">
        <v>1000179</v>
      </c>
      <c r="V11" s="1901"/>
      <c r="W11" s="701"/>
      <c r="X11" s="1910"/>
      <c r="Y11" s="1139"/>
      <c r="Z11" s="641"/>
      <c r="AB11" s="641"/>
      <c r="AC11" s="641"/>
    </row>
    <row r="12" spans="1:29">
      <c r="A12" s="49">
        <v>1997.03</v>
      </c>
      <c r="B12" s="73">
        <v>40980</v>
      </c>
      <c r="C12" s="1882">
        <f t="shared" ref="C12:C75" si="3">SUM(D12:J12)</f>
        <v>27366</v>
      </c>
      <c r="D12" s="1804">
        <v>4454</v>
      </c>
      <c r="E12" s="294">
        <v>9988</v>
      </c>
      <c r="F12" s="1804">
        <v>1078</v>
      </c>
      <c r="G12" s="294">
        <v>3556</v>
      </c>
      <c r="H12" s="1804">
        <v>4589</v>
      </c>
      <c r="I12" s="294">
        <v>2072</v>
      </c>
      <c r="J12" s="1804">
        <v>1629</v>
      </c>
      <c r="K12" s="294">
        <v>5607</v>
      </c>
      <c r="L12" s="1804">
        <v>1612</v>
      </c>
      <c r="M12" s="294">
        <v>2093</v>
      </c>
      <c r="N12" s="1892">
        <v>4302</v>
      </c>
      <c r="O12" s="1140"/>
      <c r="P12" s="61">
        <v>65289</v>
      </c>
      <c r="Q12" s="61">
        <v>2437771</v>
      </c>
      <c r="R12" s="505">
        <f t="shared" si="1"/>
        <v>627.6708174424482</v>
      </c>
      <c r="S12" s="518">
        <f t="shared" si="2"/>
        <v>16.810438716351946</v>
      </c>
      <c r="T12" s="1900"/>
      <c r="U12" s="73">
        <v>1172062</v>
      </c>
      <c r="V12" s="1901"/>
      <c r="W12" s="701"/>
      <c r="X12" s="1910"/>
      <c r="Y12" s="1139"/>
      <c r="Z12" s="641"/>
      <c r="AB12" s="641"/>
      <c r="AC12" s="641"/>
    </row>
    <row r="13" spans="1:29">
      <c r="A13" s="49">
        <v>1997.04</v>
      </c>
      <c r="B13" s="73">
        <v>38584</v>
      </c>
      <c r="C13" s="1882">
        <f t="shared" si="3"/>
        <v>26043</v>
      </c>
      <c r="D13" s="1804">
        <v>4025</v>
      </c>
      <c r="E13" s="294">
        <v>9162</v>
      </c>
      <c r="F13" s="1804">
        <v>1098</v>
      </c>
      <c r="G13" s="294">
        <v>3647</v>
      </c>
      <c r="H13" s="1804">
        <v>4612</v>
      </c>
      <c r="I13" s="294">
        <v>1967</v>
      </c>
      <c r="J13" s="1804">
        <v>1532</v>
      </c>
      <c r="K13" s="294">
        <v>5266</v>
      </c>
      <c r="L13" s="1804">
        <v>1674</v>
      </c>
      <c r="M13" s="294">
        <v>2003</v>
      </c>
      <c r="N13" s="1892">
        <v>3598</v>
      </c>
      <c r="O13" s="1140"/>
      <c r="P13" s="61">
        <v>65289</v>
      </c>
      <c r="Q13" s="61">
        <v>2365547</v>
      </c>
      <c r="R13" s="505">
        <f t="shared" si="1"/>
        <v>590.97244558807756</v>
      </c>
      <c r="S13" s="518">
        <f t="shared" si="2"/>
        <v>16.310815215254653</v>
      </c>
      <c r="T13" s="1900"/>
      <c r="U13" s="73">
        <v>1058967</v>
      </c>
      <c r="V13" s="1901"/>
      <c r="W13" s="701"/>
      <c r="X13" s="1910"/>
      <c r="Y13" s="1139"/>
      <c r="Z13" s="641"/>
      <c r="AB13" s="641"/>
      <c r="AC13" s="641"/>
    </row>
    <row r="14" spans="1:29">
      <c r="A14" s="49">
        <v>1997.05</v>
      </c>
      <c r="B14" s="73">
        <v>40742</v>
      </c>
      <c r="C14" s="1882">
        <f t="shared" si="3"/>
        <v>27454</v>
      </c>
      <c r="D14" s="1804">
        <v>4054</v>
      </c>
      <c r="E14" s="294">
        <v>9971</v>
      </c>
      <c r="F14" s="1804">
        <v>1173</v>
      </c>
      <c r="G14" s="294">
        <v>3828</v>
      </c>
      <c r="H14" s="1804">
        <v>4646</v>
      </c>
      <c r="I14" s="294">
        <v>1958</v>
      </c>
      <c r="J14" s="1804">
        <v>1824</v>
      </c>
      <c r="K14" s="294">
        <v>5479</v>
      </c>
      <c r="L14" s="1804">
        <v>1888</v>
      </c>
      <c r="M14" s="294">
        <v>2228</v>
      </c>
      <c r="N14" s="1892">
        <v>3693</v>
      </c>
      <c r="O14" s="1140"/>
      <c r="P14" s="61">
        <v>65289</v>
      </c>
      <c r="Q14" s="61">
        <v>2419081</v>
      </c>
      <c r="R14" s="505">
        <f t="shared" si="1"/>
        <v>624.02548668228951</v>
      </c>
      <c r="S14" s="518">
        <f t="shared" si="2"/>
        <v>16.841932948917378</v>
      </c>
      <c r="T14" s="1900"/>
      <c r="U14" s="73">
        <v>1101202</v>
      </c>
      <c r="V14" s="1901"/>
      <c r="W14" s="701"/>
      <c r="X14" s="1910"/>
      <c r="Y14" s="1139"/>
      <c r="Z14" s="641"/>
      <c r="AB14" s="641"/>
      <c r="AC14" s="641"/>
    </row>
    <row r="15" spans="1:29">
      <c r="A15" s="49">
        <v>1997.06</v>
      </c>
      <c r="B15" s="73">
        <v>40153</v>
      </c>
      <c r="C15" s="1882">
        <f t="shared" si="3"/>
        <v>26708</v>
      </c>
      <c r="D15" s="1804">
        <v>3941</v>
      </c>
      <c r="E15" s="294">
        <v>9810</v>
      </c>
      <c r="F15" s="1804">
        <v>1110</v>
      </c>
      <c r="G15" s="294">
        <v>3705</v>
      </c>
      <c r="H15" s="1804">
        <v>4505</v>
      </c>
      <c r="I15" s="294">
        <v>1852</v>
      </c>
      <c r="J15" s="1804">
        <v>1785</v>
      </c>
      <c r="K15" s="294">
        <v>5185</v>
      </c>
      <c r="L15" s="1804">
        <v>2051</v>
      </c>
      <c r="M15" s="294">
        <v>2644</v>
      </c>
      <c r="N15" s="1892">
        <v>3565</v>
      </c>
      <c r="O15" s="1140"/>
      <c r="P15" s="61">
        <v>65289</v>
      </c>
      <c r="Q15" s="61">
        <v>2338210</v>
      </c>
      <c r="R15" s="505">
        <f t="shared" si="1"/>
        <v>615.00405887668671</v>
      </c>
      <c r="S15" s="518">
        <f t="shared" si="2"/>
        <v>17.172537967077378</v>
      </c>
      <c r="T15" s="1900"/>
      <c r="U15" s="73">
        <v>1069056</v>
      </c>
      <c r="V15" s="1901"/>
      <c r="W15" s="701"/>
      <c r="X15" s="1910"/>
      <c r="Y15" s="1139"/>
      <c r="Z15" s="641"/>
      <c r="AB15" s="641"/>
      <c r="AC15" s="641"/>
    </row>
    <row r="16" spans="1:29">
      <c r="A16" s="49">
        <v>1997.07</v>
      </c>
      <c r="B16" s="73">
        <v>40860</v>
      </c>
      <c r="C16" s="1882">
        <f t="shared" si="3"/>
        <v>27518</v>
      </c>
      <c r="D16" s="1804">
        <v>4090</v>
      </c>
      <c r="E16" s="294">
        <v>10071</v>
      </c>
      <c r="F16" s="1804">
        <v>1088</v>
      </c>
      <c r="G16" s="294">
        <v>3802</v>
      </c>
      <c r="H16" s="1804">
        <v>4596</v>
      </c>
      <c r="I16" s="294">
        <v>1908</v>
      </c>
      <c r="J16" s="1804">
        <v>1963</v>
      </c>
      <c r="K16" s="294">
        <v>5284</v>
      </c>
      <c r="L16" s="1804">
        <v>1902</v>
      </c>
      <c r="M16" s="294">
        <v>2446</v>
      </c>
      <c r="N16" s="1892">
        <v>3710</v>
      </c>
      <c r="O16" s="1140"/>
      <c r="P16" s="61">
        <v>66579</v>
      </c>
      <c r="Q16" s="61">
        <v>2500610</v>
      </c>
      <c r="R16" s="505">
        <f t="shared" si="1"/>
        <v>613.70702473752976</v>
      </c>
      <c r="S16" s="518">
        <f t="shared" si="2"/>
        <v>16.340013036819016</v>
      </c>
      <c r="T16" s="1900"/>
      <c r="U16" s="73">
        <v>1090725</v>
      </c>
      <c r="V16" s="1901"/>
      <c r="W16" s="701"/>
      <c r="X16" s="1910"/>
      <c r="Y16" s="1139"/>
      <c r="Z16" s="641"/>
      <c r="AB16" s="641"/>
      <c r="AC16" s="641"/>
    </row>
    <row r="17" spans="1:29">
      <c r="A17" s="49">
        <v>1997.08</v>
      </c>
      <c r="B17" s="73">
        <v>42449</v>
      </c>
      <c r="C17" s="1882">
        <f t="shared" si="3"/>
        <v>28426</v>
      </c>
      <c r="D17" s="1804">
        <v>3870</v>
      </c>
      <c r="E17" s="294">
        <v>10928</v>
      </c>
      <c r="F17" s="1804">
        <v>1166</v>
      </c>
      <c r="G17" s="294">
        <v>3665</v>
      </c>
      <c r="H17" s="1804">
        <v>4922</v>
      </c>
      <c r="I17" s="294">
        <v>1968</v>
      </c>
      <c r="J17" s="1804">
        <v>1907</v>
      </c>
      <c r="K17" s="294">
        <v>5535</v>
      </c>
      <c r="L17" s="1804">
        <v>1628</v>
      </c>
      <c r="M17" s="294">
        <v>2597</v>
      </c>
      <c r="N17" s="1892">
        <v>4263</v>
      </c>
      <c r="O17" s="1140"/>
      <c r="P17" s="61">
        <v>66579</v>
      </c>
      <c r="Q17" s="61">
        <v>2487965</v>
      </c>
      <c r="R17" s="505">
        <f t="shared" si="1"/>
        <v>637.5734090328782</v>
      </c>
      <c r="S17" s="518">
        <f t="shared" si="2"/>
        <v>17.061735193220162</v>
      </c>
      <c r="T17" s="1900"/>
      <c r="U17" s="73">
        <v>1133105</v>
      </c>
      <c r="V17" s="1901"/>
      <c r="W17" s="701"/>
      <c r="X17" s="1910"/>
      <c r="Y17" s="1139"/>
      <c r="Z17" s="641"/>
      <c r="AB17" s="641"/>
      <c r="AC17" s="641"/>
    </row>
    <row r="18" spans="1:29">
      <c r="A18" s="49">
        <v>1997.09</v>
      </c>
      <c r="B18" s="73">
        <v>37368</v>
      </c>
      <c r="C18" s="1882">
        <f t="shared" si="3"/>
        <v>25408</v>
      </c>
      <c r="D18" s="1804">
        <v>3917</v>
      </c>
      <c r="E18" s="294">
        <v>9410</v>
      </c>
      <c r="F18" s="1804">
        <v>1134</v>
      </c>
      <c r="G18" s="294">
        <v>3206</v>
      </c>
      <c r="H18" s="1804">
        <v>4424</v>
      </c>
      <c r="I18" s="294">
        <v>1842</v>
      </c>
      <c r="J18" s="1804">
        <v>1475</v>
      </c>
      <c r="K18" s="294">
        <v>5075</v>
      </c>
      <c r="L18" s="1804">
        <v>1370</v>
      </c>
      <c r="M18" s="294">
        <v>2558</v>
      </c>
      <c r="N18" s="1892">
        <v>2957</v>
      </c>
      <c r="O18" s="1140"/>
      <c r="P18" s="61">
        <v>65585</v>
      </c>
      <c r="Q18" s="61">
        <v>2335692</v>
      </c>
      <c r="R18" s="505">
        <f t="shared" si="1"/>
        <v>569.76442784173207</v>
      </c>
      <c r="S18" s="518">
        <f t="shared" si="2"/>
        <v>15.998684758093106</v>
      </c>
      <c r="T18" s="1900"/>
      <c r="U18" s="73">
        <v>1034426</v>
      </c>
      <c r="V18" s="1901"/>
      <c r="W18" s="701"/>
      <c r="X18" s="1910"/>
      <c r="Y18" s="1139"/>
      <c r="Z18" s="641"/>
      <c r="AB18" s="641"/>
      <c r="AC18" s="641"/>
    </row>
    <row r="19" spans="1:29">
      <c r="A19" s="49">
        <v>1997.1</v>
      </c>
      <c r="B19" s="73">
        <v>41085</v>
      </c>
      <c r="C19" s="1882">
        <f t="shared" si="3"/>
        <v>28247</v>
      </c>
      <c r="D19" s="1804">
        <v>4627</v>
      </c>
      <c r="E19" s="294">
        <v>10654</v>
      </c>
      <c r="F19" s="1804">
        <v>1244</v>
      </c>
      <c r="G19" s="294">
        <v>3443</v>
      </c>
      <c r="H19" s="1804">
        <v>4708</v>
      </c>
      <c r="I19" s="294">
        <v>1993</v>
      </c>
      <c r="J19" s="1804">
        <v>1578</v>
      </c>
      <c r="K19" s="294">
        <v>5401</v>
      </c>
      <c r="L19" s="1804">
        <v>1594</v>
      </c>
      <c r="M19" s="294">
        <v>2843</v>
      </c>
      <c r="N19" s="1892">
        <v>3000</v>
      </c>
      <c r="O19" s="1140"/>
      <c r="P19" s="61">
        <v>65585</v>
      </c>
      <c r="Q19" s="61">
        <v>2419043</v>
      </c>
      <c r="R19" s="505">
        <f t="shared" si="1"/>
        <v>626.4389723259892</v>
      </c>
      <c r="S19" s="518">
        <f>$B19/Q19*1000</f>
        <v>16.983989122971355</v>
      </c>
      <c r="T19" s="1900"/>
      <c r="U19" s="73">
        <v>1114832</v>
      </c>
      <c r="V19" s="1901"/>
      <c r="W19" s="701"/>
      <c r="X19" s="1910"/>
      <c r="Y19" s="1139"/>
      <c r="Z19" s="641"/>
      <c r="AB19" s="641"/>
      <c r="AC19" s="641"/>
    </row>
    <row r="20" spans="1:29">
      <c r="A20" s="49">
        <v>1997.11</v>
      </c>
      <c r="B20" s="73">
        <v>43782</v>
      </c>
      <c r="C20" s="1882">
        <f t="shared" si="3"/>
        <v>28408</v>
      </c>
      <c r="D20" s="1804">
        <v>4955</v>
      </c>
      <c r="E20" s="294">
        <v>10432</v>
      </c>
      <c r="F20" s="1804">
        <v>1269</v>
      </c>
      <c r="G20" s="294">
        <v>3373</v>
      </c>
      <c r="H20" s="1804">
        <v>4728</v>
      </c>
      <c r="I20" s="294">
        <v>2005</v>
      </c>
      <c r="J20" s="1804">
        <v>1646</v>
      </c>
      <c r="K20" s="294">
        <v>5913</v>
      </c>
      <c r="L20" s="1804">
        <v>2281</v>
      </c>
      <c r="M20" s="294">
        <v>3188</v>
      </c>
      <c r="N20" s="1892">
        <v>3992</v>
      </c>
      <c r="O20" s="1140"/>
      <c r="P20" s="61">
        <v>65735</v>
      </c>
      <c r="Q20" s="61">
        <v>2410570</v>
      </c>
      <c r="R20" s="505">
        <f t="shared" si="1"/>
        <v>666.03787936411356</v>
      </c>
      <c r="S20" s="518">
        <f t="shared" si="2"/>
        <v>18.162509282037028</v>
      </c>
      <c r="T20" s="1900"/>
      <c r="U20" s="73">
        <v>1149640</v>
      </c>
      <c r="V20" s="1901"/>
      <c r="W20" s="701"/>
      <c r="X20" s="1910"/>
      <c r="Y20" s="1139"/>
      <c r="Z20" s="641"/>
      <c r="AB20" s="641"/>
      <c r="AC20" s="641"/>
    </row>
    <row r="21" spans="1:29">
      <c r="A21" s="49">
        <v>1997.12</v>
      </c>
      <c r="B21" s="73">
        <v>56844</v>
      </c>
      <c r="C21" s="1882">
        <f t="shared" si="3"/>
        <v>36320</v>
      </c>
      <c r="D21" s="1804">
        <v>8500</v>
      </c>
      <c r="E21" s="294">
        <v>12186</v>
      </c>
      <c r="F21" s="1804">
        <v>1699</v>
      </c>
      <c r="G21" s="294">
        <v>3830</v>
      </c>
      <c r="H21" s="1804">
        <v>5477</v>
      </c>
      <c r="I21" s="294">
        <v>2518</v>
      </c>
      <c r="J21" s="1804">
        <v>2110</v>
      </c>
      <c r="K21" s="294">
        <v>6773</v>
      </c>
      <c r="L21" s="1804">
        <v>3401</v>
      </c>
      <c r="M21" s="294">
        <v>3592</v>
      </c>
      <c r="N21" s="1892">
        <v>6758</v>
      </c>
      <c r="O21" s="1140"/>
      <c r="P21" s="61">
        <v>76356</v>
      </c>
      <c r="Q21" s="61">
        <v>2767396</v>
      </c>
      <c r="R21" s="505">
        <f t="shared" si="1"/>
        <v>744.46016030174439</v>
      </c>
      <c r="S21" s="518">
        <f t="shared" si="2"/>
        <v>20.540609294802767</v>
      </c>
      <c r="T21" s="1900"/>
      <c r="U21" s="73">
        <v>1440639</v>
      </c>
      <c r="V21" s="1901"/>
      <c r="W21" s="701"/>
      <c r="X21" s="1910"/>
      <c r="Y21" s="1139"/>
      <c r="Z21" s="641"/>
      <c r="AB21" s="641"/>
      <c r="AC21" s="641"/>
    </row>
    <row r="22" spans="1:29">
      <c r="A22" s="49">
        <v>1998.01</v>
      </c>
      <c r="B22" s="73">
        <v>40932</v>
      </c>
      <c r="C22" s="1882">
        <f t="shared" si="3"/>
        <v>26473</v>
      </c>
      <c r="D22" s="1804">
        <v>5124</v>
      </c>
      <c r="E22" s="294">
        <v>8354</v>
      </c>
      <c r="F22" s="1804">
        <v>1480</v>
      </c>
      <c r="G22" s="294">
        <v>2988</v>
      </c>
      <c r="H22" s="1804">
        <v>4773</v>
      </c>
      <c r="I22" s="294">
        <v>2101</v>
      </c>
      <c r="J22" s="1804">
        <v>1653</v>
      </c>
      <c r="K22" s="294">
        <v>5839</v>
      </c>
      <c r="L22" s="1804">
        <v>1964</v>
      </c>
      <c r="M22" s="294">
        <v>2526</v>
      </c>
      <c r="N22" s="1892">
        <v>4130</v>
      </c>
      <c r="O22" s="1140"/>
      <c r="P22" s="61">
        <v>76106</v>
      </c>
      <c r="Q22" s="61">
        <v>2369400</v>
      </c>
      <c r="R22" s="505">
        <f t="shared" si="1"/>
        <v>537.82881770162669</v>
      </c>
      <c r="S22" s="518">
        <f t="shared" si="2"/>
        <v>17.275259559382121</v>
      </c>
      <c r="T22" s="1900"/>
      <c r="U22" s="73">
        <v>1127049</v>
      </c>
      <c r="V22" s="1901"/>
      <c r="W22" s="701"/>
      <c r="X22" s="1910"/>
      <c r="Y22" s="1139"/>
      <c r="Z22" s="641"/>
      <c r="AB22" s="641"/>
      <c r="AC22" s="641"/>
    </row>
    <row r="23" spans="1:29">
      <c r="A23" s="49">
        <v>1998.02</v>
      </c>
      <c r="B23" s="73">
        <v>41854</v>
      </c>
      <c r="C23" s="1882">
        <f t="shared" si="3"/>
        <v>27310</v>
      </c>
      <c r="D23" s="1804">
        <v>4406</v>
      </c>
      <c r="E23" s="294">
        <v>9680</v>
      </c>
      <c r="F23" s="1804">
        <v>1284</v>
      </c>
      <c r="G23" s="294">
        <v>3372</v>
      </c>
      <c r="H23" s="1804">
        <v>4716</v>
      </c>
      <c r="I23" s="294">
        <v>2131</v>
      </c>
      <c r="J23" s="1804">
        <v>1721</v>
      </c>
      <c r="K23" s="294">
        <v>5707</v>
      </c>
      <c r="L23" s="1804">
        <v>1914</v>
      </c>
      <c r="M23" s="294">
        <v>2685</v>
      </c>
      <c r="N23" s="1892">
        <v>4238</v>
      </c>
      <c r="O23" s="1140"/>
      <c r="P23" s="61">
        <v>76106</v>
      </c>
      <c r="Q23" s="61">
        <v>2312378</v>
      </c>
      <c r="R23" s="505">
        <f t="shared" si="1"/>
        <v>549.94349985546478</v>
      </c>
      <c r="S23" s="518">
        <f t="shared" si="2"/>
        <v>18.09998192337066</v>
      </c>
      <c r="T23" s="1900"/>
      <c r="U23" s="73">
        <v>1094102</v>
      </c>
      <c r="V23" s="1901"/>
      <c r="W23" s="701"/>
      <c r="X23" s="1910"/>
      <c r="Y23" s="1139"/>
      <c r="Z23" s="641"/>
      <c r="AB23" s="641"/>
      <c r="AC23" s="641"/>
    </row>
    <row r="24" spans="1:29">
      <c r="A24" s="49">
        <v>1998.03</v>
      </c>
      <c r="B24" s="73">
        <v>48346</v>
      </c>
      <c r="C24" s="1882">
        <f t="shared" si="3"/>
        <v>31539</v>
      </c>
      <c r="D24" s="1804">
        <v>4606</v>
      </c>
      <c r="E24" s="294">
        <v>11975</v>
      </c>
      <c r="F24" s="1804">
        <v>1564</v>
      </c>
      <c r="G24" s="294">
        <v>3743</v>
      </c>
      <c r="H24" s="1804">
        <v>5323</v>
      </c>
      <c r="I24" s="294">
        <v>2375</v>
      </c>
      <c r="J24" s="1804">
        <v>1953</v>
      </c>
      <c r="K24" s="294">
        <v>6408</v>
      </c>
      <c r="L24" s="1804">
        <v>2364</v>
      </c>
      <c r="M24" s="294">
        <v>3084</v>
      </c>
      <c r="N24" s="1892">
        <v>4951</v>
      </c>
      <c r="O24" s="1140"/>
      <c r="P24" s="61">
        <v>75406</v>
      </c>
      <c r="Q24" s="61">
        <v>2746148</v>
      </c>
      <c r="R24" s="505">
        <f t="shared" si="1"/>
        <v>641.14261464604942</v>
      </c>
      <c r="S24" s="518">
        <f t="shared" si="2"/>
        <v>17.6050234728791</v>
      </c>
      <c r="T24" s="1900"/>
      <c r="U24" s="73">
        <v>1230808</v>
      </c>
      <c r="V24" s="1901"/>
      <c r="W24" s="701"/>
      <c r="X24" s="1910"/>
      <c r="Y24" s="1139"/>
      <c r="Z24" s="641"/>
      <c r="AB24" s="641"/>
      <c r="AC24" s="641"/>
    </row>
    <row r="25" spans="1:29">
      <c r="A25" s="49">
        <v>1998.04</v>
      </c>
      <c r="B25" s="73">
        <v>44050</v>
      </c>
      <c r="C25" s="1882">
        <f t="shared" si="3"/>
        <v>29595</v>
      </c>
      <c r="D25" s="1804">
        <v>4458</v>
      </c>
      <c r="E25" s="294">
        <v>11779</v>
      </c>
      <c r="F25" s="1804">
        <v>1385</v>
      </c>
      <c r="G25" s="294">
        <v>3479</v>
      </c>
      <c r="H25" s="1804">
        <v>4833</v>
      </c>
      <c r="I25" s="294">
        <v>2105</v>
      </c>
      <c r="J25" s="1804">
        <v>1556</v>
      </c>
      <c r="K25" s="294">
        <v>5812</v>
      </c>
      <c r="L25" s="1804">
        <v>2185</v>
      </c>
      <c r="M25" s="294">
        <v>2810</v>
      </c>
      <c r="N25" s="1892">
        <v>3648</v>
      </c>
      <c r="O25" s="1140"/>
      <c r="P25" s="61">
        <v>68059</v>
      </c>
      <c r="Q25" s="61">
        <v>2241425</v>
      </c>
      <c r="R25" s="505">
        <f t="shared" si="1"/>
        <v>647.23254823021205</v>
      </c>
      <c r="S25" s="518">
        <f t="shared" si="2"/>
        <v>19.652676310829047</v>
      </c>
      <c r="T25" s="1900"/>
      <c r="U25" s="73">
        <v>1171945</v>
      </c>
      <c r="V25" s="1901"/>
      <c r="W25" s="701"/>
      <c r="X25" s="1910"/>
      <c r="Y25" s="1139"/>
      <c r="Z25" s="641"/>
      <c r="AB25" s="641"/>
      <c r="AC25" s="641"/>
    </row>
    <row r="26" spans="1:29">
      <c r="A26" s="49">
        <v>1998.05</v>
      </c>
      <c r="B26" s="73">
        <v>46266</v>
      </c>
      <c r="C26" s="1882">
        <f t="shared" si="3"/>
        <v>30321</v>
      </c>
      <c r="D26" s="1804">
        <v>4716</v>
      </c>
      <c r="E26" s="294">
        <v>11798</v>
      </c>
      <c r="F26" s="1804">
        <v>1463</v>
      </c>
      <c r="G26" s="294">
        <v>3745</v>
      </c>
      <c r="H26" s="1804">
        <v>4840</v>
      </c>
      <c r="I26" s="294">
        <v>2092</v>
      </c>
      <c r="J26" s="1804">
        <v>1667</v>
      </c>
      <c r="K26" s="294">
        <v>6030</v>
      </c>
      <c r="L26" s="1804">
        <v>2466</v>
      </c>
      <c r="M26" s="294">
        <v>3468</v>
      </c>
      <c r="N26" s="1892">
        <v>3981</v>
      </c>
      <c r="O26" s="1140"/>
      <c r="P26" s="61">
        <v>68059</v>
      </c>
      <c r="Q26" s="61">
        <v>2239437</v>
      </c>
      <c r="R26" s="505">
        <f t="shared" si="1"/>
        <v>679.79253294935268</v>
      </c>
      <c r="S26" s="518">
        <f t="shared" si="2"/>
        <v>20.659656869114873</v>
      </c>
      <c r="T26" s="1900"/>
      <c r="U26" s="73">
        <v>1219223</v>
      </c>
      <c r="V26" s="1901"/>
      <c r="W26" s="701"/>
      <c r="X26" s="1910"/>
      <c r="Y26" s="1139"/>
      <c r="Z26" s="641"/>
      <c r="AB26" s="641"/>
      <c r="AC26" s="641"/>
    </row>
    <row r="27" spans="1:29">
      <c r="A27" s="49">
        <v>1998.06</v>
      </c>
      <c r="B27" s="73">
        <v>44657</v>
      </c>
      <c r="C27" s="1882">
        <f t="shared" si="3"/>
        <v>29689</v>
      </c>
      <c r="D27" s="1804">
        <v>4498</v>
      </c>
      <c r="E27" s="294">
        <v>11635</v>
      </c>
      <c r="F27" s="1804">
        <v>1485</v>
      </c>
      <c r="G27" s="294">
        <v>3648</v>
      </c>
      <c r="H27" s="1804">
        <v>4852</v>
      </c>
      <c r="I27" s="294">
        <v>2030</v>
      </c>
      <c r="J27" s="1804">
        <v>1541</v>
      </c>
      <c r="K27" s="294">
        <v>5660</v>
      </c>
      <c r="L27" s="1804">
        <v>2292</v>
      </c>
      <c r="M27" s="294">
        <v>2352</v>
      </c>
      <c r="N27" s="1892">
        <v>4664</v>
      </c>
      <c r="O27" s="1140"/>
      <c r="P27" s="61">
        <v>64915</v>
      </c>
      <c r="Q27" s="61">
        <v>2328506</v>
      </c>
      <c r="R27" s="505">
        <f t="shared" si="1"/>
        <v>687.93037048447968</v>
      </c>
      <c r="S27" s="518">
        <f t="shared" si="2"/>
        <v>19.178391638243578</v>
      </c>
      <c r="T27" s="1900"/>
      <c r="U27" s="73">
        <v>1149118</v>
      </c>
      <c r="V27" s="1901"/>
      <c r="W27" s="701"/>
      <c r="X27" s="1910"/>
      <c r="Y27" s="1139"/>
      <c r="Z27" s="641"/>
      <c r="AB27" s="641"/>
      <c r="AC27" s="641"/>
    </row>
    <row r="28" spans="1:29">
      <c r="A28" s="49">
        <v>1998.07</v>
      </c>
      <c r="B28" s="73">
        <v>47374</v>
      </c>
      <c r="C28" s="1882">
        <f t="shared" si="3"/>
        <v>32168</v>
      </c>
      <c r="D28" s="1804">
        <v>4902</v>
      </c>
      <c r="E28" s="294">
        <v>12930</v>
      </c>
      <c r="F28" s="1804">
        <v>1458</v>
      </c>
      <c r="G28" s="294">
        <v>3892</v>
      </c>
      <c r="H28" s="1804">
        <v>5090</v>
      </c>
      <c r="I28" s="294">
        <v>2215</v>
      </c>
      <c r="J28" s="1804">
        <v>1681</v>
      </c>
      <c r="K28" s="294">
        <v>6185</v>
      </c>
      <c r="L28" s="1804">
        <v>2182</v>
      </c>
      <c r="M28" s="294">
        <v>1742</v>
      </c>
      <c r="N28" s="1892">
        <v>5097</v>
      </c>
      <c r="O28" s="1140"/>
      <c r="P28" s="61">
        <v>64915</v>
      </c>
      <c r="Q28" s="61">
        <v>2419737</v>
      </c>
      <c r="R28" s="505">
        <f t="shared" si="1"/>
        <v>729.78510359701147</v>
      </c>
      <c r="S28" s="518">
        <f t="shared" si="2"/>
        <v>19.57816076705857</v>
      </c>
      <c r="T28" s="1900"/>
      <c r="U28" s="73">
        <v>1218471</v>
      </c>
      <c r="V28" s="1901"/>
      <c r="W28" s="701"/>
      <c r="X28" s="1910"/>
      <c r="Y28" s="1139"/>
      <c r="Z28" s="641"/>
      <c r="AB28" s="641"/>
      <c r="AC28" s="641"/>
    </row>
    <row r="29" spans="1:29">
      <c r="A29" s="49">
        <v>1998.08</v>
      </c>
      <c r="B29" s="73">
        <v>48556</v>
      </c>
      <c r="C29" s="1882">
        <f t="shared" si="3"/>
        <v>32867</v>
      </c>
      <c r="D29" s="1804">
        <v>5091</v>
      </c>
      <c r="E29" s="294">
        <v>12851</v>
      </c>
      <c r="F29" s="1804">
        <v>1619</v>
      </c>
      <c r="G29" s="294">
        <v>4036</v>
      </c>
      <c r="H29" s="1804">
        <v>5274</v>
      </c>
      <c r="I29" s="294">
        <v>2356</v>
      </c>
      <c r="J29" s="1804">
        <v>1640</v>
      </c>
      <c r="K29" s="294">
        <v>6265</v>
      </c>
      <c r="L29" s="1804">
        <v>2043</v>
      </c>
      <c r="M29" s="294">
        <v>1698</v>
      </c>
      <c r="N29" s="1892">
        <v>5683</v>
      </c>
      <c r="O29" s="1140"/>
      <c r="P29" s="61">
        <v>68189</v>
      </c>
      <c r="Q29" s="61">
        <v>2486693</v>
      </c>
      <c r="R29" s="505">
        <f t="shared" si="1"/>
        <v>712.07966094238077</v>
      </c>
      <c r="S29" s="518">
        <f t="shared" si="2"/>
        <v>19.526334774738981</v>
      </c>
      <c r="T29" s="1900"/>
      <c r="U29" s="73">
        <v>1238898</v>
      </c>
      <c r="V29" s="1901"/>
      <c r="W29" s="701"/>
      <c r="X29" s="1910"/>
      <c r="Y29" s="1139"/>
      <c r="Z29" s="641"/>
      <c r="AB29" s="641"/>
      <c r="AC29" s="641"/>
    </row>
    <row r="30" spans="1:29">
      <c r="A30" s="49">
        <v>1998.09</v>
      </c>
      <c r="B30" s="73">
        <v>44331</v>
      </c>
      <c r="C30" s="1882">
        <f t="shared" si="3"/>
        <v>30437</v>
      </c>
      <c r="D30" s="1804">
        <v>4864</v>
      </c>
      <c r="E30" s="294">
        <v>11711</v>
      </c>
      <c r="F30" s="1804">
        <v>1524</v>
      </c>
      <c r="G30" s="294">
        <v>3783</v>
      </c>
      <c r="H30" s="1804">
        <v>4930</v>
      </c>
      <c r="I30" s="294">
        <v>2238</v>
      </c>
      <c r="J30" s="1804">
        <v>1387</v>
      </c>
      <c r="K30" s="294">
        <v>5884</v>
      </c>
      <c r="L30" s="1804">
        <v>1715</v>
      </c>
      <c r="M30" s="294">
        <v>1560</v>
      </c>
      <c r="N30" s="1892">
        <v>4735</v>
      </c>
      <c r="O30" s="1140"/>
      <c r="P30" s="61">
        <v>71489</v>
      </c>
      <c r="Q30" s="61">
        <v>2433648</v>
      </c>
      <c r="R30" s="505">
        <f t="shared" si="1"/>
        <v>620.10938745821034</v>
      </c>
      <c r="S30" s="518">
        <f t="shared" si="2"/>
        <v>18.215863592434072</v>
      </c>
      <c r="T30" s="1900"/>
      <c r="U30" s="73">
        <v>1139667</v>
      </c>
      <c r="V30" s="1901"/>
      <c r="W30" s="701"/>
      <c r="X30" s="1910"/>
      <c r="Y30" s="1139"/>
      <c r="Z30" s="641"/>
      <c r="AB30" s="641"/>
      <c r="AC30" s="641"/>
    </row>
    <row r="31" spans="1:29">
      <c r="A31" s="49">
        <v>1998.1</v>
      </c>
      <c r="B31" s="73">
        <v>49971</v>
      </c>
      <c r="C31" s="1882">
        <f t="shared" si="3"/>
        <v>33282</v>
      </c>
      <c r="D31" s="1804">
        <v>5537</v>
      </c>
      <c r="E31" s="294">
        <v>12795</v>
      </c>
      <c r="F31" s="1804">
        <v>1640</v>
      </c>
      <c r="G31" s="294">
        <v>4073</v>
      </c>
      <c r="H31" s="1804">
        <v>5225</v>
      </c>
      <c r="I31" s="294">
        <v>2480</v>
      </c>
      <c r="J31" s="1804">
        <v>1532</v>
      </c>
      <c r="K31" s="294">
        <v>6685</v>
      </c>
      <c r="L31" s="1804">
        <v>2201</v>
      </c>
      <c r="M31" s="294">
        <v>2407</v>
      </c>
      <c r="N31" s="1892">
        <v>5396</v>
      </c>
      <c r="O31" s="1140"/>
      <c r="P31" s="61">
        <v>73290</v>
      </c>
      <c r="Q31" s="61">
        <v>2561209</v>
      </c>
      <c r="R31" s="505">
        <f t="shared" si="1"/>
        <v>681.82562423250101</v>
      </c>
      <c r="S31" s="518">
        <f t="shared" si="2"/>
        <v>19.510707638462929</v>
      </c>
      <c r="T31" s="1900"/>
      <c r="U31" s="73">
        <v>1269560</v>
      </c>
      <c r="V31" s="1901"/>
      <c r="W31" s="701"/>
      <c r="X31" s="1910"/>
      <c r="Y31" s="1139"/>
      <c r="Z31" s="641"/>
      <c r="AB31" s="641"/>
      <c r="AC31" s="641"/>
    </row>
    <row r="32" spans="1:29">
      <c r="A32" s="49">
        <v>1998.11</v>
      </c>
      <c r="B32" s="73">
        <v>47249</v>
      </c>
      <c r="C32" s="1882">
        <f t="shared" si="3"/>
        <v>31629</v>
      </c>
      <c r="D32" s="1804">
        <v>5537</v>
      </c>
      <c r="E32" s="294">
        <v>12034</v>
      </c>
      <c r="F32" s="1804">
        <v>1631</v>
      </c>
      <c r="G32" s="294">
        <v>3790</v>
      </c>
      <c r="H32" s="1804">
        <v>4880</v>
      </c>
      <c r="I32" s="294">
        <v>2411</v>
      </c>
      <c r="J32" s="1804">
        <v>1346</v>
      </c>
      <c r="K32" s="294">
        <v>6431</v>
      </c>
      <c r="L32" s="1804">
        <v>1989</v>
      </c>
      <c r="M32" s="294">
        <v>2084</v>
      </c>
      <c r="N32" s="1892">
        <v>5116</v>
      </c>
      <c r="O32" s="1140"/>
      <c r="P32" s="61">
        <v>76397</v>
      </c>
      <c r="Q32" s="61">
        <v>2515785</v>
      </c>
      <c r="R32" s="505">
        <f t="shared" si="1"/>
        <v>618.46669371833968</v>
      </c>
      <c r="S32" s="518">
        <f t="shared" si="2"/>
        <v>18.781016660803687</v>
      </c>
      <c r="T32" s="1900"/>
      <c r="U32" s="73">
        <v>1188076</v>
      </c>
      <c r="V32" s="1901"/>
      <c r="W32" s="701"/>
      <c r="X32" s="1910"/>
      <c r="Y32" s="1139"/>
      <c r="Z32" s="641"/>
      <c r="AB32" s="641"/>
      <c r="AC32" s="641"/>
    </row>
    <row r="33" spans="1:29">
      <c r="A33" s="49">
        <v>1998.12</v>
      </c>
      <c r="B33" s="73">
        <v>61180</v>
      </c>
      <c r="C33" s="1882">
        <f t="shared" si="3"/>
        <v>41080</v>
      </c>
      <c r="D33" s="1804">
        <v>9976</v>
      </c>
      <c r="E33" s="294">
        <v>14142</v>
      </c>
      <c r="F33" s="1804">
        <v>2517</v>
      </c>
      <c r="G33" s="294">
        <v>4356</v>
      </c>
      <c r="H33" s="1804">
        <v>5724</v>
      </c>
      <c r="I33" s="294">
        <v>2791</v>
      </c>
      <c r="J33" s="1804">
        <v>1574</v>
      </c>
      <c r="K33" s="294">
        <v>7362</v>
      </c>
      <c r="L33" s="1804">
        <v>2913</v>
      </c>
      <c r="M33" s="294">
        <v>2302</v>
      </c>
      <c r="N33" s="1892">
        <v>7523</v>
      </c>
      <c r="O33" s="1140"/>
      <c r="P33" s="61">
        <v>76397</v>
      </c>
      <c r="Q33" s="61">
        <v>2891617</v>
      </c>
      <c r="R33" s="505">
        <f t="shared" si="1"/>
        <v>800.8167859994503</v>
      </c>
      <c r="S33" s="518">
        <f t="shared" si="2"/>
        <v>21.157712103643046</v>
      </c>
      <c r="T33" s="1900"/>
      <c r="U33" s="73">
        <v>1545218</v>
      </c>
      <c r="V33" s="1901"/>
      <c r="W33" s="701"/>
      <c r="X33" s="1910"/>
      <c r="Y33" s="1139"/>
      <c r="Z33" s="641"/>
      <c r="AB33" s="641"/>
      <c r="AC33" s="641"/>
    </row>
    <row r="34" spans="1:29">
      <c r="A34" s="49">
        <v>1999.01</v>
      </c>
      <c r="B34" s="73">
        <v>44144</v>
      </c>
      <c r="C34" s="1882">
        <f t="shared" si="3"/>
        <v>29694</v>
      </c>
      <c r="D34" s="1804">
        <v>5399</v>
      </c>
      <c r="E34" s="294">
        <v>11609</v>
      </c>
      <c r="F34" s="1804">
        <v>1476</v>
      </c>
      <c r="G34" s="294">
        <v>3161</v>
      </c>
      <c r="H34" s="1804">
        <v>4607</v>
      </c>
      <c r="I34" s="294">
        <v>2175</v>
      </c>
      <c r="J34" s="1804">
        <v>1267</v>
      </c>
      <c r="K34" s="294">
        <v>6459</v>
      </c>
      <c r="L34" s="1804">
        <v>1825</v>
      </c>
      <c r="M34" s="294">
        <v>1349</v>
      </c>
      <c r="N34" s="1892">
        <v>4817</v>
      </c>
      <c r="O34" s="1140"/>
      <c r="P34" s="61">
        <v>76397</v>
      </c>
      <c r="Q34" s="61">
        <v>2429021</v>
      </c>
      <c r="R34" s="505">
        <f t="shared" si="1"/>
        <v>577.82373653415709</v>
      </c>
      <c r="S34" s="518">
        <f t="shared" si="2"/>
        <v>18.173576926671281</v>
      </c>
      <c r="T34" s="1900"/>
      <c r="U34" s="73">
        <v>1141847</v>
      </c>
      <c r="V34" s="1901"/>
      <c r="W34" s="701"/>
      <c r="X34" s="1910"/>
      <c r="Y34" s="1139"/>
      <c r="Z34" s="641"/>
      <c r="AB34" s="641"/>
      <c r="AC34" s="641"/>
    </row>
    <row r="35" spans="1:29">
      <c r="A35" s="49">
        <v>1999.02</v>
      </c>
      <c r="B35" s="73">
        <v>43707</v>
      </c>
      <c r="C35" s="1882">
        <f t="shared" si="3"/>
        <v>29233</v>
      </c>
      <c r="D35" s="1804">
        <v>5214</v>
      </c>
      <c r="E35" s="294">
        <v>11679</v>
      </c>
      <c r="F35" s="1804">
        <v>1429</v>
      </c>
      <c r="G35" s="294">
        <v>3163</v>
      </c>
      <c r="H35" s="1804">
        <v>4379</v>
      </c>
      <c r="I35" s="294">
        <v>2151</v>
      </c>
      <c r="J35" s="1804">
        <v>1218</v>
      </c>
      <c r="K35" s="294">
        <v>6225</v>
      </c>
      <c r="L35" s="1804">
        <v>1824</v>
      </c>
      <c r="M35" s="294">
        <v>1471</v>
      </c>
      <c r="N35" s="1892">
        <v>4954</v>
      </c>
      <c r="O35" s="1140"/>
      <c r="P35" s="61">
        <v>72067</v>
      </c>
      <c r="Q35" s="61">
        <v>2319010</v>
      </c>
      <c r="R35" s="505">
        <f t="shared" si="1"/>
        <v>606.47730584039846</v>
      </c>
      <c r="S35" s="518">
        <f t="shared" si="2"/>
        <v>18.847266721575156</v>
      </c>
      <c r="T35" s="1900"/>
      <c r="U35" s="73">
        <v>1118033</v>
      </c>
      <c r="V35" s="1901"/>
      <c r="W35" s="701"/>
      <c r="X35" s="1910"/>
      <c r="Y35" s="1139"/>
      <c r="Z35" s="641"/>
      <c r="AB35" s="641"/>
      <c r="AC35" s="641"/>
    </row>
    <row r="36" spans="1:29">
      <c r="A36" s="49">
        <v>1999.03</v>
      </c>
      <c r="B36" s="73">
        <v>49522</v>
      </c>
      <c r="C36" s="1882">
        <f t="shared" si="3"/>
        <v>33199</v>
      </c>
      <c r="D36" s="1804">
        <v>5520</v>
      </c>
      <c r="E36" s="294">
        <v>13696</v>
      </c>
      <c r="F36" s="1804">
        <v>1626</v>
      </c>
      <c r="G36" s="294">
        <v>3611</v>
      </c>
      <c r="H36" s="1804">
        <v>4892</v>
      </c>
      <c r="I36" s="294">
        <v>2481</v>
      </c>
      <c r="J36" s="1804">
        <v>1373</v>
      </c>
      <c r="K36" s="294">
        <v>7012</v>
      </c>
      <c r="L36" s="1804">
        <v>2182</v>
      </c>
      <c r="M36" s="294">
        <v>1742</v>
      </c>
      <c r="N36" s="1892">
        <v>5387</v>
      </c>
      <c r="O36" s="1140"/>
      <c r="P36" s="61">
        <v>72067</v>
      </c>
      <c r="Q36" s="61">
        <v>2907170</v>
      </c>
      <c r="R36" s="505">
        <f t="shared" si="1"/>
        <v>687.16610931494301</v>
      </c>
      <c r="S36" s="518">
        <f t="shared" si="2"/>
        <v>17.034435550724588</v>
      </c>
      <c r="T36" s="1900"/>
      <c r="U36" s="73">
        <v>1252875</v>
      </c>
      <c r="V36" s="1901"/>
      <c r="W36" s="701"/>
      <c r="X36" s="1910"/>
      <c r="Y36" s="1139"/>
      <c r="Z36" s="641"/>
      <c r="AB36" s="641"/>
      <c r="AC36" s="641"/>
    </row>
    <row r="37" spans="1:29">
      <c r="A37" s="49">
        <v>1999.04</v>
      </c>
      <c r="B37" s="73">
        <v>46924</v>
      </c>
      <c r="C37" s="1882">
        <f t="shared" si="3"/>
        <v>32360</v>
      </c>
      <c r="D37" s="1804">
        <v>4991</v>
      </c>
      <c r="E37" s="294">
        <v>13731</v>
      </c>
      <c r="F37" s="1804">
        <v>1668</v>
      </c>
      <c r="G37" s="294">
        <v>3511</v>
      </c>
      <c r="H37" s="1804">
        <v>4795</v>
      </c>
      <c r="I37" s="294">
        <v>2431</v>
      </c>
      <c r="J37" s="1804">
        <v>1233</v>
      </c>
      <c r="K37" s="294">
        <v>6390</v>
      </c>
      <c r="L37" s="1804">
        <v>2308</v>
      </c>
      <c r="M37" s="294">
        <v>1652</v>
      </c>
      <c r="N37" s="1892">
        <v>4214</v>
      </c>
      <c r="O37" s="1140"/>
      <c r="P37" s="61">
        <v>72067</v>
      </c>
      <c r="Q37" s="61">
        <v>2554397</v>
      </c>
      <c r="R37" s="505">
        <f t="shared" si="1"/>
        <v>651.11632231118267</v>
      </c>
      <c r="S37" s="518">
        <f t="shared" si="2"/>
        <v>18.369893168524705</v>
      </c>
      <c r="T37" s="1900"/>
      <c r="U37" s="73">
        <v>1179893</v>
      </c>
      <c r="V37" s="1901"/>
      <c r="W37" s="701"/>
      <c r="X37" s="1910"/>
      <c r="Y37" s="1139"/>
      <c r="Z37" s="641"/>
      <c r="AB37" s="641"/>
      <c r="AC37" s="641"/>
    </row>
    <row r="38" spans="1:29">
      <c r="A38" s="49">
        <v>1999.05</v>
      </c>
      <c r="B38" s="73">
        <v>47192</v>
      </c>
      <c r="C38" s="1882">
        <f t="shared" si="3"/>
        <v>32240</v>
      </c>
      <c r="D38" s="1804">
        <v>4996</v>
      </c>
      <c r="E38" s="294">
        <v>13668</v>
      </c>
      <c r="F38" s="1804">
        <v>1733</v>
      </c>
      <c r="G38" s="294">
        <v>3479</v>
      </c>
      <c r="H38" s="1804">
        <v>4796</v>
      </c>
      <c r="I38" s="294">
        <v>2332</v>
      </c>
      <c r="J38" s="1804">
        <v>1236</v>
      </c>
      <c r="K38" s="294">
        <v>6634</v>
      </c>
      <c r="L38" s="1804">
        <v>2268</v>
      </c>
      <c r="M38" s="294">
        <v>1767</v>
      </c>
      <c r="N38" s="1892">
        <v>4283</v>
      </c>
      <c r="O38" s="1140"/>
      <c r="P38" s="61">
        <v>75828</v>
      </c>
      <c r="Q38" s="61">
        <v>2649430</v>
      </c>
      <c r="R38" s="505">
        <f t="shared" si="1"/>
        <v>622.35585799440844</v>
      </c>
      <c r="S38" s="518">
        <f t="shared" si="2"/>
        <v>17.812133175815177</v>
      </c>
      <c r="T38" s="1900"/>
      <c r="U38" s="73">
        <v>1175157</v>
      </c>
      <c r="V38" s="1901"/>
      <c r="W38" s="701"/>
      <c r="X38" s="1910"/>
      <c r="Y38" s="1139"/>
      <c r="Z38" s="641"/>
      <c r="AB38" s="641"/>
      <c r="AC38" s="641"/>
    </row>
    <row r="39" spans="1:29">
      <c r="A39" s="49">
        <v>1999.06</v>
      </c>
      <c r="B39" s="73">
        <v>46020</v>
      </c>
      <c r="C39" s="1882">
        <f t="shared" si="3"/>
        <v>31273</v>
      </c>
      <c r="D39" s="1804">
        <v>5201</v>
      </c>
      <c r="E39" s="294">
        <v>13048</v>
      </c>
      <c r="F39" s="1804">
        <v>998</v>
      </c>
      <c r="G39" s="294">
        <v>3187</v>
      </c>
      <c r="H39" s="1804">
        <v>5201</v>
      </c>
      <c r="I39" s="294">
        <v>1952</v>
      </c>
      <c r="J39" s="1804">
        <v>1686</v>
      </c>
      <c r="K39" s="294">
        <v>5663</v>
      </c>
      <c r="L39" s="1804">
        <v>2421</v>
      </c>
      <c r="M39" s="294">
        <v>1916</v>
      </c>
      <c r="N39" s="1892">
        <v>4747</v>
      </c>
      <c r="O39" s="1140"/>
      <c r="P39" s="61">
        <v>75828</v>
      </c>
      <c r="Q39" s="61">
        <v>2422596</v>
      </c>
      <c r="R39" s="505">
        <f t="shared" si="1"/>
        <v>606.89982592182309</v>
      </c>
      <c r="S39" s="518">
        <f t="shared" si="2"/>
        <v>18.996151236112006</v>
      </c>
      <c r="T39" s="1900"/>
      <c r="U39" s="73">
        <v>1143676</v>
      </c>
      <c r="V39" s="1901"/>
      <c r="W39" s="701"/>
      <c r="X39" s="1910"/>
      <c r="Y39" s="1139"/>
      <c r="Z39" s="641"/>
      <c r="AB39" s="641"/>
      <c r="AC39" s="641"/>
    </row>
    <row r="40" spans="1:29">
      <c r="A40" s="49">
        <v>1999.07</v>
      </c>
      <c r="B40" s="73">
        <v>50152</v>
      </c>
      <c r="C40" s="1882">
        <f t="shared" si="3"/>
        <v>34418</v>
      </c>
      <c r="D40" s="1804">
        <v>5277</v>
      </c>
      <c r="E40" s="294">
        <v>13965</v>
      </c>
      <c r="F40" s="1804">
        <v>1205</v>
      </c>
      <c r="G40" s="294">
        <v>4098</v>
      </c>
      <c r="H40" s="1804">
        <v>5584</v>
      </c>
      <c r="I40" s="294">
        <v>2447</v>
      </c>
      <c r="J40" s="1804">
        <v>1842</v>
      </c>
      <c r="K40" s="294">
        <v>6107</v>
      </c>
      <c r="L40" s="1804">
        <v>2367</v>
      </c>
      <c r="M40" s="294">
        <v>1845</v>
      </c>
      <c r="N40" s="1892">
        <v>5415</v>
      </c>
      <c r="O40" s="1140"/>
      <c r="P40" s="61">
        <v>75828</v>
      </c>
      <c r="Q40" s="61">
        <v>2843612</v>
      </c>
      <c r="R40" s="505">
        <f t="shared" si="1"/>
        <v>661.39157039615975</v>
      </c>
      <c r="S40" s="518">
        <f t="shared" si="2"/>
        <v>17.636723997507396</v>
      </c>
      <c r="T40" s="1900"/>
      <c r="U40" s="73">
        <v>1241384</v>
      </c>
      <c r="V40" s="1901"/>
      <c r="W40" s="701"/>
      <c r="X40" s="1910"/>
      <c r="Y40" s="1139"/>
      <c r="Z40" s="641"/>
      <c r="AB40" s="641"/>
      <c r="AC40" s="641"/>
    </row>
    <row r="41" spans="1:29">
      <c r="A41" s="49">
        <v>1999.08</v>
      </c>
      <c r="B41" s="73">
        <v>46719</v>
      </c>
      <c r="C41" s="1882">
        <f t="shared" si="3"/>
        <v>32242</v>
      </c>
      <c r="D41" s="1804">
        <v>4958</v>
      </c>
      <c r="E41" s="294">
        <v>12913</v>
      </c>
      <c r="F41" s="1804">
        <v>1120</v>
      </c>
      <c r="G41" s="294">
        <v>3914</v>
      </c>
      <c r="H41" s="1804">
        <v>5201</v>
      </c>
      <c r="I41" s="294">
        <v>2490</v>
      </c>
      <c r="J41" s="1804">
        <v>1646</v>
      </c>
      <c r="K41" s="294">
        <v>5785</v>
      </c>
      <c r="L41" s="1804">
        <v>1827</v>
      </c>
      <c r="M41" s="294">
        <v>1561</v>
      </c>
      <c r="N41" s="1892">
        <v>5304</v>
      </c>
      <c r="O41" s="1140"/>
      <c r="P41" s="61">
        <v>76228</v>
      </c>
      <c r="Q41" s="61">
        <v>2815295</v>
      </c>
      <c r="R41" s="505">
        <f t="shared" si="1"/>
        <v>612.88502912315687</v>
      </c>
      <c r="S41" s="518">
        <f t="shared" si="2"/>
        <v>16.594708547416879</v>
      </c>
      <c r="T41" s="1900"/>
      <c r="U41" s="73">
        <v>1173430</v>
      </c>
      <c r="V41" s="1901"/>
      <c r="W41" s="701"/>
      <c r="X41" s="1910"/>
      <c r="Y41" s="1139"/>
      <c r="Z41" s="641"/>
      <c r="AB41" s="641"/>
      <c r="AC41" s="641"/>
    </row>
    <row r="42" spans="1:29">
      <c r="A42" s="49">
        <v>1999.09</v>
      </c>
      <c r="B42" s="73">
        <v>43860</v>
      </c>
      <c r="C42" s="1882">
        <f t="shared" si="3"/>
        <v>30549</v>
      </c>
      <c r="D42" s="1804">
        <v>4886</v>
      </c>
      <c r="E42" s="294">
        <v>12098</v>
      </c>
      <c r="F42" s="1804">
        <v>1024</v>
      </c>
      <c r="G42" s="294">
        <v>3730</v>
      </c>
      <c r="H42" s="1804">
        <v>4916</v>
      </c>
      <c r="I42" s="294">
        <v>2420</v>
      </c>
      <c r="J42" s="1804">
        <v>1475</v>
      </c>
      <c r="K42" s="294">
        <v>5762</v>
      </c>
      <c r="L42" s="1804">
        <v>1642</v>
      </c>
      <c r="M42" s="294">
        <v>1262</v>
      </c>
      <c r="N42" s="1892">
        <v>4645</v>
      </c>
      <c r="O42" s="1140"/>
      <c r="P42" s="61">
        <v>76728</v>
      </c>
      <c r="Q42" s="61">
        <v>2645517</v>
      </c>
      <c r="R42" s="505">
        <f t="shared" si="1"/>
        <v>571.62965279949947</v>
      </c>
      <c r="S42" s="518">
        <f t="shared" si="2"/>
        <v>16.578990042400029</v>
      </c>
      <c r="T42" s="1900"/>
      <c r="U42" s="73">
        <v>1113239</v>
      </c>
      <c r="V42" s="1901"/>
      <c r="W42" s="701"/>
      <c r="X42" s="1910"/>
      <c r="Y42" s="1139"/>
      <c r="Z42" s="641"/>
      <c r="AB42" s="641"/>
      <c r="AC42" s="641"/>
    </row>
    <row r="43" spans="1:29">
      <c r="A43" s="49">
        <v>1999.1</v>
      </c>
      <c r="B43" s="73">
        <v>49614</v>
      </c>
      <c r="C43" s="1882">
        <f t="shared" si="3"/>
        <v>33624</v>
      </c>
      <c r="D43" s="1804">
        <v>5736</v>
      </c>
      <c r="E43" s="294">
        <v>13071</v>
      </c>
      <c r="F43" s="1804">
        <v>1119</v>
      </c>
      <c r="G43" s="294">
        <v>4015</v>
      </c>
      <c r="H43" s="1804">
        <v>5421</v>
      </c>
      <c r="I43" s="294">
        <v>2673</v>
      </c>
      <c r="J43" s="1804">
        <v>1589</v>
      </c>
      <c r="K43" s="294">
        <v>6353</v>
      </c>
      <c r="L43" s="1804">
        <v>2080</v>
      </c>
      <c r="M43" s="294">
        <v>1967</v>
      </c>
      <c r="N43" s="1892">
        <v>5590</v>
      </c>
      <c r="O43" s="1140"/>
      <c r="P43" s="61">
        <v>77885</v>
      </c>
      <c r="Q43" s="61">
        <v>2813303</v>
      </c>
      <c r="R43" s="505">
        <f t="shared" si="1"/>
        <v>637.01611350067412</v>
      </c>
      <c r="S43" s="518">
        <f t="shared" si="2"/>
        <v>17.635498202646495</v>
      </c>
      <c r="T43" s="1900"/>
      <c r="U43" s="73">
        <v>1237326</v>
      </c>
      <c r="V43" s="1901"/>
      <c r="W43" s="701"/>
      <c r="X43" s="1910"/>
      <c r="Y43" s="1139"/>
      <c r="Z43" s="641"/>
      <c r="AB43" s="641"/>
      <c r="AC43" s="641"/>
    </row>
    <row r="44" spans="1:29">
      <c r="A44" s="49">
        <v>1999.11</v>
      </c>
      <c r="B44" s="73">
        <v>44445</v>
      </c>
      <c r="C44" s="1882">
        <f t="shared" si="3"/>
        <v>30797</v>
      </c>
      <c r="D44" s="1804">
        <v>5726</v>
      </c>
      <c r="E44" s="294">
        <v>11631</v>
      </c>
      <c r="F44" s="1804">
        <v>1029</v>
      </c>
      <c r="G44" s="294">
        <v>3573</v>
      </c>
      <c r="H44" s="1804">
        <v>4885</v>
      </c>
      <c r="I44" s="294">
        <v>2544</v>
      </c>
      <c r="J44" s="1804">
        <v>1409</v>
      </c>
      <c r="K44" s="294">
        <v>5678</v>
      </c>
      <c r="L44" s="1804">
        <v>1661</v>
      </c>
      <c r="M44" s="294">
        <v>1477</v>
      </c>
      <c r="N44" s="1892">
        <v>4832</v>
      </c>
      <c r="O44" s="1140"/>
      <c r="P44" s="61">
        <v>77885</v>
      </c>
      <c r="Q44" s="61">
        <v>2685417</v>
      </c>
      <c r="R44" s="505">
        <f t="shared" si="1"/>
        <v>570.64903383193166</v>
      </c>
      <c r="S44" s="518">
        <f t="shared" si="2"/>
        <v>16.550502212505542</v>
      </c>
      <c r="T44" s="1900"/>
      <c r="U44" s="73">
        <v>1121848</v>
      </c>
      <c r="V44" s="1901"/>
      <c r="W44" s="701"/>
      <c r="X44" s="1910"/>
      <c r="Y44" s="1139"/>
      <c r="Z44" s="641"/>
      <c r="AB44" s="641"/>
      <c r="AC44" s="641"/>
    </row>
    <row r="45" spans="1:29">
      <c r="A45" s="49">
        <v>1999.12</v>
      </c>
      <c r="B45" s="73">
        <v>59498</v>
      </c>
      <c r="C45" s="1882">
        <f t="shared" si="3"/>
        <v>40870</v>
      </c>
      <c r="D45" s="1804">
        <v>10183</v>
      </c>
      <c r="E45" s="294">
        <v>14701</v>
      </c>
      <c r="F45" s="1804">
        <v>1307</v>
      </c>
      <c r="G45" s="294">
        <v>4021</v>
      </c>
      <c r="H45" s="1804">
        <v>5792</v>
      </c>
      <c r="I45" s="294">
        <v>3158</v>
      </c>
      <c r="J45" s="1804">
        <v>1708</v>
      </c>
      <c r="K45" s="294">
        <v>6715</v>
      </c>
      <c r="L45" s="1804">
        <v>2434</v>
      </c>
      <c r="M45" s="294">
        <v>2005</v>
      </c>
      <c r="N45" s="1892">
        <v>7474</v>
      </c>
      <c r="O45" s="1140"/>
      <c r="P45" s="61">
        <v>77885</v>
      </c>
      <c r="Q45" s="61">
        <v>2928167</v>
      </c>
      <c r="R45" s="505">
        <f t="shared" si="1"/>
        <v>763.92116582140329</v>
      </c>
      <c r="S45" s="518">
        <f t="shared" si="2"/>
        <v>20.31919627534905</v>
      </c>
      <c r="T45" s="1900"/>
      <c r="U45" s="73">
        <v>1491214</v>
      </c>
      <c r="V45" s="1901"/>
      <c r="W45" s="701"/>
      <c r="X45" s="1910"/>
      <c r="Y45" s="1139"/>
      <c r="Z45" s="641"/>
      <c r="AB45" s="641"/>
      <c r="AC45" s="641"/>
    </row>
    <row r="46" spans="1:29">
      <c r="A46" s="49">
        <v>2000.01</v>
      </c>
      <c r="B46" s="73">
        <v>44390</v>
      </c>
      <c r="C46" s="1882">
        <f t="shared" si="3"/>
        <v>30553</v>
      </c>
      <c r="D46" s="1804">
        <v>5548</v>
      </c>
      <c r="E46" s="294">
        <v>11493</v>
      </c>
      <c r="F46" s="1804">
        <v>1035</v>
      </c>
      <c r="G46" s="294">
        <v>3761</v>
      </c>
      <c r="H46" s="1804">
        <v>5016</v>
      </c>
      <c r="I46" s="294">
        <v>2523</v>
      </c>
      <c r="J46" s="1804">
        <v>1177</v>
      </c>
      <c r="K46" s="294">
        <v>5966</v>
      </c>
      <c r="L46" s="1804">
        <v>1383</v>
      </c>
      <c r="M46" s="294">
        <v>1519</v>
      </c>
      <c r="N46" s="1892">
        <v>4969</v>
      </c>
      <c r="O46" s="1140"/>
      <c r="P46" s="61">
        <v>83659</v>
      </c>
      <c r="Q46" s="61">
        <v>2570300</v>
      </c>
      <c r="R46" s="505">
        <f t="shared" si="1"/>
        <v>530.60639022699297</v>
      </c>
      <c r="S46" s="518">
        <f t="shared" si="2"/>
        <v>17.270357545811773</v>
      </c>
      <c r="T46" s="1900"/>
      <c r="U46" s="73">
        <v>1118659</v>
      </c>
      <c r="V46" s="1901"/>
      <c r="W46" s="701"/>
      <c r="X46" s="1910"/>
      <c r="Y46" s="1139"/>
      <c r="Z46" s="641"/>
      <c r="AB46" s="641"/>
      <c r="AC46" s="641"/>
    </row>
    <row r="47" spans="1:29">
      <c r="A47" s="49">
        <v>2000.02</v>
      </c>
      <c r="B47" s="73">
        <v>46280</v>
      </c>
      <c r="C47" s="1882">
        <f t="shared" si="3"/>
        <v>31530</v>
      </c>
      <c r="D47" s="1804">
        <v>5465</v>
      </c>
      <c r="E47" s="294">
        <v>11813</v>
      </c>
      <c r="F47" s="1804">
        <v>1127</v>
      </c>
      <c r="G47" s="294">
        <v>3948</v>
      </c>
      <c r="H47" s="1804">
        <v>5180</v>
      </c>
      <c r="I47" s="294">
        <v>2648</v>
      </c>
      <c r="J47" s="1804">
        <v>1349</v>
      </c>
      <c r="K47" s="294">
        <v>6175</v>
      </c>
      <c r="L47" s="1804">
        <v>1567</v>
      </c>
      <c r="M47" s="294">
        <v>1363</v>
      </c>
      <c r="N47" s="1892">
        <v>5645</v>
      </c>
      <c r="O47" s="1140"/>
      <c r="P47" s="61">
        <v>84799</v>
      </c>
      <c r="Q47" s="61">
        <v>2656240</v>
      </c>
      <c r="R47" s="505">
        <f t="shared" si="1"/>
        <v>545.76115284378352</v>
      </c>
      <c r="S47" s="518">
        <f t="shared" si="2"/>
        <v>17.423124416468394</v>
      </c>
      <c r="T47" s="1900"/>
      <c r="U47" s="73">
        <v>1105564</v>
      </c>
      <c r="V47" s="1901"/>
      <c r="W47" s="701"/>
      <c r="X47" s="1910"/>
      <c r="Y47" s="1139"/>
      <c r="Z47" s="641"/>
      <c r="AB47" s="641"/>
      <c r="AC47" s="641"/>
    </row>
    <row r="48" spans="1:29">
      <c r="A48" s="49">
        <v>2000.03</v>
      </c>
      <c r="B48" s="73">
        <v>49974</v>
      </c>
      <c r="C48" s="1882">
        <f t="shared" si="3"/>
        <v>34022</v>
      </c>
      <c r="D48" s="1804">
        <v>5477</v>
      </c>
      <c r="E48" s="294">
        <v>13066</v>
      </c>
      <c r="F48" s="1804">
        <v>1172</v>
      </c>
      <c r="G48" s="294">
        <v>4398</v>
      </c>
      <c r="H48" s="1804">
        <v>5572</v>
      </c>
      <c r="I48" s="294">
        <v>2857</v>
      </c>
      <c r="J48" s="1804">
        <v>1480</v>
      </c>
      <c r="K48" s="294">
        <v>6583</v>
      </c>
      <c r="L48" s="1804">
        <v>1975</v>
      </c>
      <c r="M48" s="294">
        <v>1441</v>
      </c>
      <c r="N48" s="1892">
        <v>5953</v>
      </c>
      <c r="O48" s="1140"/>
      <c r="P48" s="61">
        <v>94372</v>
      </c>
      <c r="Q48" s="61">
        <v>2843609</v>
      </c>
      <c r="R48" s="505">
        <f t="shared" si="1"/>
        <v>529.54266095875892</v>
      </c>
      <c r="S48" s="518">
        <f t="shared" si="2"/>
        <v>17.574146093925009</v>
      </c>
      <c r="T48" s="1900"/>
      <c r="U48" s="73">
        <v>1210109</v>
      </c>
      <c r="V48" s="1901"/>
      <c r="W48" s="701"/>
      <c r="X48" s="1910"/>
      <c r="Y48" s="1139"/>
      <c r="Z48" s="641"/>
      <c r="AB48" s="641"/>
      <c r="AC48" s="641"/>
    </row>
    <row r="49" spans="1:29">
      <c r="A49" s="49">
        <v>2000.04</v>
      </c>
      <c r="B49" s="73">
        <v>57374</v>
      </c>
      <c r="C49" s="1882">
        <f t="shared" si="3"/>
        <v>37790</v>
      </c>
      <c r="D49" s="1804">
        <v>5837</v>
      </c>
      <c r="E49" s="294">
        <v>15388</v>
      </c>
      <c r="F49" s="1804">
        <v>1343</v>
      </c>
      <c r="G49" s="294">
        <v>4725</v>
      </c>
      <c r="H49" s="1804">
        <v>6015</v>
      </c>
      <c r="I49" s="294">
        <v>2894</v>
      </c>
      <c r="J49" s="1804">
        <v>1588</v>
      </c>
      <c r="K49" s="294">
        <v>7555</v>
      </c>
      <c r="L49" s="1804">
        <v>3160</v>
      </c>
      <c r="M49" s="294">
        <v>2432</v>
      </c>
      <c r="N49" s="1892">
        <v>6437</v>
      </c>
      <c r="O49" s="1140"/>
      <c r="P49" s="61">
        <v>95227</v>
      </c>
      <c r="Q49" s="61">
        <v>2928930</v>
      </c>
      <c r="R49" s="505">
        <f t="shared" si="1"/>
        <v>602.49719092274245</v>
      </c>
      <c r="S49" s="518">
        <f t="shared" si="2"/>
        <v>19.588723527021813</v>
      </c>
      <c r="T49" s="1900"/>
      <c r="U49" s="73">
        <v>1229452</v>
      </c>
      <c r="V49" s="1901"/>
      <c r="W49" s="701"/>
      <c r="X49" s="1910"/>
      <c r="Y49" s="1139"/>
      <c r="Z49" s="641"/>
      <c r="AB49" s="641"/>
      <c r="AC49" s="641"/>
    </row>
    <row r="50" spans="1:29">
      <c r="A50" s="49">
        <v>2000.05</v>
      </c>
      <c r="B50" s="73">
        <v>51562</v>
      </c>
      <c r="C50" s="1882">
        <f t="shared" si="3"/>
        <v>34319</v>
      </c>
      <c r="D50" s="1804">
        <v>5071</v>
      </c>
      <c r="E50" s="294">
        <v>13553</v>
      </c>
      <c r="F50" s="1804">
        <v>1372</v>
      </c>
      <c r="G50" s="294">
        <v>4592</v>
      </c>
      <c r="H50" s="1804">
        <v>5599</v>
      </c>
      <c r="I50" s="294">
        <v>2653</v>
      </c>
      <c r="J50" s="1804">
        <v>1479</v>
      </c>
      <c r="K50" s="294">
        <v>6665</v>
      </c>
      <c r="L50" s="1804">
        <v>2518</v>
      </c>
      <c r="M50" s="294">
        <v>2427</v>
      </c>
      <c r="N50" s="1892">
        <v>5633</v>
      </c>
      <c r="O50" s="1140"/>
      <c r="P50" s="61">
        <v>95227</v>
      </c>
      <c r="Q50" s="61">
        <v>2932012</v>
      </c>
      <c r="R50" s="505">
        <f t="shared" si="1"/>
        <v>541.46408056538587</v>
      </c>
      <c r="S50" s="518">
        <f t="shared" si="2"/>
        <v>17.585876183317122</v>
      </c>
      <c r="T50" s="1900"/>
      <c r="U50" s="73">
        <v>1124847</v>
      </c>
      <c r="V50" s="1901"/>
      <c r="W50" s="701"/>
      <c r="X50" s="1910"/>
      <c r="Y50" s="1139"/>
      <c r="Z50" s="641"/>
      <c r="AB50" s="641"/>
      <c r="AC50" s="641"/>
    </row>
    <row r="51" spans="1:29">
      <c r="A51" s="49">
        <v>2000.06</v>
      </c>
      <c r="B51" s="73">
        <v>53132</v>
      </c>
      <c r="C51" s="1882">
        <f t="shared" si="3"/>
        <v>35491</v>
      </c>
      <c r="D51" s="1804">
        <v>5421</v>
      </c>
      <c r="E51" s="294">
        <v>13826</v>
      </c>
      <c r="F51" s="1804">
        <v>1500</v>
      </c>
      <c r="G51" s="294">
        <v>4727</v>
      </c>
      <c r="H51" s="1804">
        <v>5808</v>
      </c>
      <c r="I51" s="294">
        <v>2646</v>
      </c>
      <c r="J51" s="1804">
        <v>1563</v>
      </c>
      <c r="K51" s="294">
        <v>6776</v>
      </c>
      <c r="L51" s="1804">
        <v>2520</v>
      </c>
      <c r="M51" s="294">
        <v>2313</v>
      </c>
      <c r="N51" s="1892">
        <v>6032</v>
      </c>
      <c r="O51" s="1140"/>
      <c r="P51" s="61">
        <v>99227</v>
      </c>
      <c r="Q51" s="61">
        <v>3089234</v>
      </c>
      <c r="R51" s="505">
        <f t="shared" si="1"/>
        <v>535.45909883398667</v>
      </c>
      <c r="S51" s="518">
        <f t="shared" si="2"/>
        <v>17.199085598565858</v>
      </c>
      <c r="T51" s="1900"/>
      <c r="U51" s="73">
        <v>1135386</v>
      </c>
      <c r="V51" s="1901"/>
      <c r="W51" s="701"/>
      <c r="X51" s="1910"/>
      <c r="Y51" s="1139"/>
      <c r="Z51" s="641"/>
      <c r="AB51" s="641"/>
      <c r="AC51" s="641"/>
    </row>
    <row r="52" spans="1:29">
      <c r="A52" s="49">
        <v>2000.07</v>
      </c>
      <c r="B52" s="73">
        <v>57741</v>
      </c>
      <c r="C52" s="1882">
        <f t="shared" si="3"/>
        <v>38039</v>
      </c>
      <c r="D52" s="1804">
        <v>5922</v>
      </c>
      <c r="E52" s="294">
        <v>14787</v>
      </c>
      <c r="F52" s="1804">
        <v>1663</v>
      </c>
      <c r="G52" s="294">
        <v>5006</v>
      </c>
      <c r="H52" s="1804">
        <v>6050</v>
      </c>
      <c r="I52" s="294">
        <v>2776</v>
      </c>
      <c r="J52" s="1804">
        <v>1835</v>
      </c>
      <c r="K52" s="294">
        <v>7127</v>
      </c>
      <c r="L52" s="1804">
        <v>2494</v>
      </c>
      <c r="M52" s="294">
        <v>2770</v>
      </c>
      <c r="N52" s="1892">
        <v>7311</v>
      </c>
      <c r="O52" s="1140"/>
      <c r="P52" s="61">
        <v>103156</v>
      </c>
      <c r="Q52" s="61">
        <v>3190831</v>
      </c>
      <c r="R52" s="505">
        <f t="shared" si="1"/>
        <v>559.74446469424947</v>
      </c>
      <c r="S52" s="518">
        <f t="shared" si="2"/>
        <v>18.095912945561828</v>
      </c>
      <c r="T52" s="1900"/>
      <c r="U52" s="73">
        <v>1235796</v>
      </c>
      <c r="V52" s="1901"/>
      <c r="W52" s="701"/>
      <c r="X52" s="1910"/>
      <c r="Y52" s="1139"/>
      <c r="Z52" s="641"/>
      <c r="AB52" s="641"/>
      <c r="AC52" s="641"/>
    </row>
    <row r="53" spans="1:29">
      <c r="A53" s="49">
        <v>2000.08</v>
      </c>
      <c r="B53" s="73">
        <v>56601</v>
      </c>
      <c r="C53" s="1882">
        <f t="shared" si="3"/>
        <v>37711</v>
      </c>
      <c r="D53" s="1804">
        <v>5847</v>
      </c>
      <c r="E53" s="294">
        <v>14067</v>
      </c>
      <c r="F53" s="1804">
        <v>1838</v>
      </c>
      <c r="G53" s="294">
        <v>4848</v>
      </c>
      <c r="H53" s="1804">
        <v>6271</v>
      </c>
      <c r="I53" s="294">
        <v>2976</v>
      </c>
      <c r="J53" s="1804">
        <v>1864</v>
      </c>
      <c r="K53" s="294">
        <v>7128</v>
      </c>
      <c r="L53" s="1804">
        <v>1915</v>
      </c>
      <c r="M53" s="294">
        <v>2201</v>
      </c>
      <c r="N53" s="1892">
        <v>7646</v>
      </c>
      <c r="O53" s="1140"/>
      <c r="P53" s="61">
        <v>105806</v>
      </c>
      <c r="Q53" s="61">
        <v>3069703</v>
      </c>
      <c r="R53" s="505">
        <f t="shared" si="1"/>
        <v>534.95075893616615</v>
      </c>
      <c r="S53" s="518">
        <f t="shared" si="2"/>
        <v>18.438591616192184</v>
      </c>
      <c r="T53" s="1900"/>
      <c r="U53" s="73">
        <v>1157266</v>
      </c>
      <c r="V53" s="1901"/>
      <c r="W53" s="701"/>
      <c r="X53" s="1910"/>
      <c r="Y53" s="1139"/>
      <c r="Z53" s="641"/>
      <c r="AB53" s="641"/>
      <c r="AC53" s="641"/>
    </row>
    <row r="54" spans="1:29">
      <c r="A54" s="49">
        <v>2000.09</v>
      </c>
      <c r="B54" s="73">
        <v>55785</v>
      </c>
      <c r="C54" s="1882">
        <f t="shared" si="3"/>
        <v>37565</v>
      </c>
      <c r="D54" s="1804">
        <v>5937</v>
      </c>
      <c r="E54" s="294">
        <v>13931</v>
      </c>
      <c r="F54" s="1804">
        <v>1779</v>
      </c>
      <c r="G54" s="294">
        <v>4934</v>
      </c>
      <c r="H54" s="1804">
        <v>6194</v>
      </c>
      <c r="I54" s="294">
        <v>3014</v>
      </c>
      <c r="J54" s="1804">
        <v>1776</v>
      </c>
      <c r="K54" s="294">
        <v>7284</v>
      </c>
      <c r="L54" s="1804">
        <v>1783</v>
      </c>
      <c r="M54" s="294">
        <v>1966</v>
      </c>
      <c r="N54" s="1892">
        <v>7187</v>
      </c>
      <c r="O54" s="1140"/>
      <c r="P54" s="61">
        <v>106496</v>
      </c>
      <c r="Q54" s="61">
        <v>3173778</v>
      </c>
      <c r="R54" s="505">
        <f t="shared" si="1"/>
        <v>523.82249098557691</v>
      </c>
      <c r="S54" s="518">
        <f t="shared" si="2"/>
        <v>17.576843748995675</v>
      </c>
      <c r="T54" s="1900"/>
      <c r="U54" s="73">
        <v>1164106</v>
      </c>
      <c r="V54" s="1901"/>
      <c r="W54" s="701"/>
      <c r="X54" s="1910"/>
      <c r="Y54" s="1139"/>
      <c r="Z54" s="641"/>
      <c r="AB54" s="641"/>
      <c r="AC54" s="641"/>
    </row>
    <row r="55" spans="1:29">
      <c r="A55" s="49">
        <v>2000.1</v>
      </c>
      <c r="B55" s="73">
        <v>57174</v>
      </c>
      <c r="C55" s="1882">
        <f t="shared" si="3"/>
        <v>37998</v>
      </c>
      <c r="D55" s="1804">
        <v>6119</v>
      </c>
      <c r="E55" s="294">
        <v>13944</v>
      </c>
      <c r="F55" s="1804">
        <v>1757</v>
      </c>
      <c r="G55" s="294">
        <v>4977</v>
      </c>
      <c r="H55" s="1804">
        <v>6225</v>
      </c>
      <c r="I55" s="294">
        <v>3179</v>
      </c>
      <c r="J55" s="1804">
        <v>1797</v>
      </c>
      <c r="K55" s="294">
        <v>7229</v>
      </c>
      <c r="L55" s="1804">
        <v>1890</v>
      </c>
      <c r="M55" s="294">
        <v>2680</v>
      </c>
      <c r="N55" s="1892">
        <v>7377</v>
      </c>
      <c r="O55" s="1140"/>
      <c r="P55" s="61">
        <v>106496</v>
      </c>
      <c r="Q55" s="61">
        <v>3243695</v>
      </c>
      <c r="R55" s="505">
        <f t="shared" si="1"/>
        <v>536.865234375</v>
      </c>
      <c r="S55" s="518">
        <f t="shared" si="2"/>
        <v>17.626194817946814</v>
      </c>
      <c r="T55" s="1900"/>
      <c r="U55" s="73">
        <v>1192914</v>
      </c>
      <c r="V55" s="1901"/>
      <c r="W55" s="701"/>
      <c r="X55" s="1910"/>
      <c r="Y55" s="1139"/>
      <c r="Z55" s="641"/>
      <c r="AB55" s="641"/>
      <c r="AC55" s="641"/>
    </row>
    <row r="56" spans="1:29">
      <c r="A56" s="49">
        <v>2000.11</v>
      </c>
      <c r="B56" s="73">
        <v>54177</v>
      </c>
      <c r="C56" s="1882">
        <f t="shared" si="3"/>
        <v>36618</v>
      </c>
      <c r="D56" s="1804">
        <v>6087</v>
      </c>
      <c r="E56" s="294">
        <v>13485</v>
      </c>
      <c r="F56" s="1804">
        <v>1700</v>
      </c>
      <c r="G56" s="294">
        <v>4616</v>
      </c>
      <c r="H56" s="1804">
        <v>6008</v>
      </c>
      <c r="I56" s="294">
        <v>3043</v>
      </c>
      <c r="J56" s="1804">
        <v>1679</v>
      </c>
      <c r="K56" s="294">
        <v>6882</v>
      </c>
      <c r="L56" s="1804">
        <v>1678</v>
      </c>
      <c r="M56" s="294">
        <v>2159</v>
      </c>
      <c r="N56" s="1892">
        <v>6840</v>
      </c>
      <c r="O56" s="1140"/>
      <c r="P56" s="61">
        <v>106496</v>
      </c>
      <c r="Q56" s="61">
        <v>3096553</v>
      </c>
      <c r="R56" s="505">
        <f t="shared" si="1"/>
        <v>508.72333233173072</v>
      </c>
      <c r="S56" s="518">
        <f t="shared" si="2"/>
        <v>17.495905931530963</v>
      </c>
      <c r="T56" s="1900"/>
      <c r="U56" s="73">
        <v>1141618</v>
      </c>
      <c r="V56" s="1901"/>
      <c r="W56" s="701"/>
      <c r="X56" s="1910"/>
      <c r="Y56" s="1139"/>
      <c r="Z56" s="641"/>
      <c r="AB56" s="641"/>
      <c r="AC56" s="641"/>
    </row>
    <row r="57" spans="1:29">
      <c r="A57" s="49">
        <v>2000.12</v>
      </c>
      <c r="B57" s="73">
        <v>73461</v>
      </c>
      <c r="C57" s="1882">
        <f t="shared" si="3"/>
        <v>49308</v>
      </c>
      <c r="D57" s="1804">
        <v>11657</v>
      </c>
      <c r="E57" s="294">
        <v>16788</v>
      </c>
      <c r="F57" s="1804">
        <v>2221</v>
      </c>
      <c r="G57" s="294">
        <v>5331</v>
      </c>
      <c r="H57" s="1804">
        <v>7542</v>
      </c>
      <c r="I57" s="294">
        <v>3797</v>
      </c>
      <c r="J57" s="1804">
        <v>1972</v>
      </c>
      <c r="K57" s="294">
        <v>8960</v>
      </c>
      <c r="L57" s="1804">
        <v>2483</v>
      </c>
      <c r="M57" s="294">
        <v>3195</v>
      </c>
      <c r="N57" s="1892">
        <v>9515</v>
      </c>
      <c r="O57" s="1140"/>
      <c r="P57" s="61">
        <v>104316</v>
      </c>
      <c r="Q57" s="61">
        <v>3583230</v>
      </c>
      <c r="R57" s="505">
        <f t="shared" si="1"/>
        <v>704.21603589094673</v>
      </c>
      <c r="S57" s="518">
        <f t="shared" si="2"/>
        <v>20.501335387346053</v>
      </c>
      <c r="T57" s="1900"/>
      <c r="U57" s="73">
        <v>1523831</v>
      </c>
      <c r="V57" s="1901"/>
      <c r="W57" s="701"/>
      <c r="X57" s="1910"/>
      <c r="Y57" s="1139"/>
      <c r="Z57" s="641"/>
      <c r="AB57" s="641"/>
      <c r="AC57" s="641"/>
    </row>
    <row r="58" spans="1:29">
      <c r="A58" s="49">
        <v>2001.01</v>
      </c>
      <c r="B58" s="73">
        <v>51013</v>
      </c>
      <c r="C58" s="1882">
        <f t="shared" si="3"/>
        <v>32912</v>
      </c>
      <c r="D58" s="1804">
        <v>5807</v>
      </c>
      <c r="E58" s="294">
        <v>11623</v>
      </c>
      <c r="F58" s="1804">
        <v>1538</v>
      </c>
      <c r="G58" s="294">
        <v>4138</v>
      </c>
      <c r="H58" s="1804">
        <v>5465</v>
      </c>
      <c r="I58" s="294">
        <v>2760</v>
      </c>
      <c r="J58" s="1804">
        <v>1581</v>
      </c>
      <c r="K58" s="294">
        <v>6932</v>
      </c>
      <c r="L58" s="1804">
        <v>1756</v>
      </c>
      <c r="M58" s="294">
        <v>2647</v>
      </c>
      <c r="N58" s="1892">
        <v>6766</v>
      </c>
      <c r="O58" s="1140"/>
      <c r="P58" s="61">
        <v>104316</v>
      </c>
      <c r="Q58" s="61">
        <v>2898722</v>
      </c>
      <c r="R58" s="505">
        <f t="shared" si="1"/>
        <v>489.02373557268305</v>
      </c>
      <c r="S58" s="518">
        <f t="shared" si="2"/>
        <v>17.598445107878575</v>
      </c>
      <c r="T58" s="1900"/>
      <c r="U58" s="73">
        <v>1114821</v>
      </c>
      <c r="V58" s="1901"/>
      <c r="W58" s="701"/>
      <c r="X58" s="1910"/>
      <c r="Y58" s="1139"/>
      <c r="Z58" s="641"/>
      <c r="AB58" s="641"/>
      <c r="AC58" s="641"/>
    </row>
    <row r="59" spans="1:29">
      <c r="A59" s="49">
        <v>2001.02</v>
      </c>
      <c r="B59" s="73">
        <v>50695</v>
      </c>
      <c r="C59" s="1882">
        <f t="shared" si="3"/>
        <v>33300</v>
      </c>
      <c r="D59" s="1804">
        <v>5845</v>
      </c>
      <c r="E59" s="294">
        <v>11830</v>
      </c>
      <c r="F59" s="1804">
        <v>1525</v>
      </c>
      <c r="G59" s="294">
        <v>4185</v>
      </c>
      <c r="H59" s="1804">
        <v>5542</v>
      </c>
      <c r="I59" s="294">
        <v>2797</v>
      </c>
      <c r="J59" s="1804">
        <v>1576</v>
      </c>
      <c r="K59" s="294">
        <v>6795</v>
      </c>
      <c r="L59" s="1804">
        <v>1710</v>
      </c>
      <c r="M59" s="294">
        <v>2016</v>
      </c>
      <c r="N59" s="1892">
        <v>6874</v>
      </c>
      <c r="O59" s="1140"/>
      <c r="P59" s="61">
        <v>104316</v>
      </c>
      <c r="Q59" s="61">
        <v>2939414</v>
      </c>
      <c r="R59" s="505">
        <f t="shared" si="1"/>
        <v>485.97530580160281</v>
      </c>
      <c r="S59" s="518">
        <f t="shared" si="2"/>
        <v>17.246634873481586</v>
      </c>
      <c r="T59" s="1900"/>
      <c r="U59" s="73">
        <v>1060155</v>
      </c>
      <c r="V59" s="1901"/>
      <c r="W59" s="701"/>
      <c r="X59" s="1910"/>
      <c r="Y59" s="1139"/>
      <c r="Z59" s="641"/>
      <c r="AB59" s="641"/>
      <c r="AC59" s="641"/>
    </row>
    <row r="60" spans="1:29">
      <c r="A60" s="49">
        <v>2001.03</v>
      </c>
      <c r="B60" s="73">
        <v>58304</v>
      </c>
      <c r="C60" s="1882">
        <f t="shared" si="3"/>
        <v>37901</v>
      </c>
      <c r="D60" s="1804">
        <v>6408</v>
      </c>
      <c r="E60" s="294">
        <v>14086</v>
      </c>
      <c r="F60" s="1804">
        <v>1727</v>
      </c>
      <c r="G60" s="294">
        <v>4783</v>
      </c>
      <c r="H60" s="1804">
        <v>6356</v>
      </c>
      <c r="I60" s="294">
        <v>3042</v>
      </c>
      <c r="J60" s="1804">
        <v>1499</v>
      </c>
      <c r="K60" s="294">
        <v>7922</v>
      </c>
      <c r="L60" s="1804">
        <v>2201</v>
      </c>
      <c r="M60" s="294">
        <v>2351</v>
      </c>
      <c r="N60" s="1892">
        <v>7929</v>
      </c>
      <c r="O60" s="1140"/>
      <c r="P60" s="61">
        <v>104316</v>
      </c>
      <c r="Q60" s="61">
        <v>3064967</v>
      </c>
      <c r="R60" s="505">
        <f t="shared" si="1"/>
        <v>558.91713639326656</v>
      </c>
      <c r="S60" s="518">
        <f t="shared" si="2"/>
        <v>19.022717047198228</v>
      </c>
      <c r="T60" s="1900"/>
      <c r="U60" s="73">
        <v>1233464</v>
      </c>
      <c r="V60" s="1901"/>
      <c r="W60" s="701"/>
      <c r="X60" s="1910"/>
      <c r="Y60" s="1139"/>
      <c r="Z60" s="641"/>
      <c r="AB60" s="641"/>
      <c r="AC60" s="641"/>
    </row>
    <row r="61" spans="1:29">
      <c r="A61" s="49">
        <v>2001.04</v>
      </c>
      <c r="B61" s="73">
        <v>56827</v>
      </c>
      <c r="C61" s="1882">
        <f t="shared" si="3"/>
        <v>37519</v>
      </c>
      <c r="D61" s="1804">
        <v>6129</v>
      </c>
      <c r="E61" s="294">
        <v>14819</v>
      </c>
      <c r="F61" s="1804">
        <v>1466</v>
      </c>
      <c r="G61" s="294">
        <v>4774</v>
      </c>
      <c r="H61" s="1804">
        <v>6003</v>
      </c>
      <c r="I61" s="294">
        <v>2905</v>
      </c>
      <c r="J61" s="1804">
        <v>1423</v>
      </c>
      <c r="K61" s="294">
        <v>7378</v>
      </c>
      <c r="L61" s="1804">
        <v>2169</v>
      </c>
      <c r="M61" s="294">
        <v>2129</v>
      </c>
      <c r="N61" s="1892">
        <v>7632</v>
      </c>
      <c r="O61" s="1140"/>
      <c r="P61" s="61">
        <v>104316</v>
      </c>
      <c r="Q61" s="61">
        <v>3014340</v>
      </c>
      <c r="R61" s="505">
        <f t="shared" si="1"/>
        <v>544.75823459488481</v>
      </c>
      <c r="S61" s="518">
        <f t="shared" si="2"/>
        <v>18.852219723057122</v>
      </c>
      <c r="T61" s="1900"/>
      <c r="U61" s="73">
        <v>1178262</v>
      </c>
      <c r="V61" s="1901"/>
      <c r="W61" s="701"/>
      <c r="X61" s="1910"/>
      <c r="Y61" s="1139"/>
      <c r="Z61" s="641"/>
      <c r="AB61" s="641"/>
      <c r="AC61" s="641"/>
    </row>
    <row r="62" spans="1:29">
      <c r="A62" s="49">
        <v>2001.05</v>
      </c>
      <c r="B62" s="73">
        <v>50668</v>
      </c>
      <c r="C62" s="1882">
        <f t="shared" si="3"/>
        <v>34093</v>
      </c>
      <c r="D62" s="1804">
        <v>5258</v>
      </c>
      <c r="E62" s="294">
        <v>13225</v>
      </c>
      <c r="F62" s="1804">
        <v>1631</v>
      </c>
      <c r="G62" s="294">
        <v>4465</v>
      </c>
      <c r="H62" s="1804">
        <v>5620</v>
      </c>
      <c r="I62" s="294">
        <v>2648</v>
      </c>
      <c r="J62" s="1804">
        <v>1246</v>
      </c>
      <c r="K62" s="294">
        <v>6667</v>
      </c>
      <c r="L62" s="1804">
        <v>1999</v>
      </c>
      <c r="M62" s="294">
        <v>1595</v>
      </c>
      <c r="N62" s="1892">
        <v>6314</v>
      </c>
      <c r="O62" s="1140"/>
      <c r="P62" s="61">
        <v>104316</v>
      </c>
      <c r="Q62" s="61">
        <v>2945603</v>
      </c>
      <c r="R62" s="505">
        <f t="shared" si="1"/>
        <v>485.71647685877531</v>
      </c>
      <c r="S62" s="518">
        <f t="shared" si="2"/>
        <v>17.201231802113181</v>
      </c>
      <c r="T62" s="1900"/>
      <c r="U62" s="73">
        <v>1089388</v>
      </c>
      <c r="V62" s="1901"/>
      <c r="W62" s="701"/>
      <c r="X62" s="1910"/>
      <c r="Y62" s="1139"/>
      <c r="Z62" s="641"/>
      <c r="AB62" s="641"/>
      <c r="AC62" s="641"/>
    </row>
    <row r="63" spans="1:29">
      <c r="A63" s="49">
        <v>2001.06</v>
      </c>
      <c r="B63" s="73">
        <v>55425</v>
      </c>
      <c r="C63" s="1882">
        <f t="shared" si="3"/>
        <v>36688</v>
      </c>
      <c r="D63" s="1804">
        <v>5867</v>
      </c>
      <c r="E63" s="294">
        <v>14352</v>
      </c>
      <c r="F63" s="1804">
        <v>1754</v>
      </c>
      <c r="G63" s="294">
        <v>4875</v>
      </c>
      <c r="H63" s="1804">
        <v>5818</v>
      </c>
      <c r="I63" s="294">
        <v>2712</v>
      </c>
      <c r="J63" s="1804">
        <v>1310</v>
      </c>
      <c r="K63" s="294">
        <v>7034</v>
      </c>
      <c r="L63" s="1804">
        <v>2220</v>
      </c>
      <c r="M63" s="294">
        <v>2144</v>
      </c>
      <c r="N63" s="1892">
        <v>7339</v>
      </c>
      <c r="O63" s="1140"/>
      <c r="P63" s="61">
        <v>104316</v>
      </c>
      <c r="Q63" s="61">
        <v>3046773</v>
      </c>
      <c r="R63" s="505">
        <f t="shared" si="1"/>
        <v>531.31830208213501</v>
      </c>
      <c r="S63" s="518">
        <f t="shared" si="2"/>
        <v>18.191378222138635</v>
      </c>
      <c r="T63" s="1900"/>
      <c r="U63" s="73">
        <v>1145241</v>
      </c>
      <c r="V63" s="1901"/>
      <c r="W63" s="701"/>
      <c r="X63" s="1910"/>
      <c r="Y63" s="1139"/>
      <c r="Z63" s="641"/>
      <c r="AB63" s="641"/>
      <c r="AC63" s="641"/>
    </row>
    <row r="64" spans="1:29">
      <c r="A64" s="49">
        <v>2001.07</v>
      </c>
      <c r="B64" s="73">
        <v>55866</v>
      </c>
      <c r="C64" s="1882">
        <f t="shared" si="3"/>
        <v>36581</v>
      </c>
      <c r="D64" s="1804">
        <v>5790</v>
      </c>
      <c r="E64" s="294">
        <v>14621</v>
      </c>
      <c r="F64" s="1804">
        <v>1722</v>
      </c>
      <c r="G64" s="294">
        <v>4891</v>
      </c>
      <c r="H64" s="1804">
        <v>5529</v>
      </c>
      <c r="I64" s="294">
        <v>2693</v>
      </c>
      <c r="J64" s="1804">
        <v>1335</v>
      </c>
      <c r="K64" s="294">
        <v>7068</v>
      </c>
      <c r="L64" s="1804">
        <v>2236</v>
      </c>
      <c r="M64" s="294">
        <v>2300</v>
      </c>
      <c r="N64" s="1892">
        <v>7681</v>
      </c>
      <c r="O64" s="1140"/>
      <c r="P64" s="61">
        <v>104316</v>
      </c>
      <c r="Q64" s="61">
        <v>3079249</v>
      </c>
      <c r="R64" s="505">
        <f t="shared" si="1"/>
        <v>535.54584148165191</v>
      </c>
      <c r="S64" s="518">
        <f t="shared" si="2"/>
        <v>18.142735452702915</v>
      </c>
      <c r="T64" s="1900"/>
      <c r="U64" s="73">
        <v>1144406</v>
      </c>
      <c r="V64" s="1901"/>
      <c r="W64" s="701"/>
      <c r="X64" s="1910"/>
      <c r="Y64" s="1139"/>
      <c r="Z64" s="641"/>
      <c r="AB64" s="641"/>
      <c r="AC64" s="641"/>
    </row>
    <row r="65" spans="1:29">
      <c r="A65" s="49">
        <v>2001.08</v>
      </c>
      <c r="B65" s="73">
        <v>52788</v>
      </c>
      <c r="C65" s="1882">
        <f t="shared" si="3"/>
        <v>35008</v>
      </c>
      <c r="D65" s="1804">
        <v>5637</v>
      </c>
      <c r="E65" s="294">
        <v>13695</v>
      </c>
      <c r="F65" s="1804">
        <v>1656</v>
      </c>
      <c r="G65" s="294">
        <v>4718</v>
      </c>
      <c r="H65" s="1804">
        <v>5395</v>
      </c>
      <c r="I65" s="294">
        <v>2687</v>
      </c>
      <c r="J65" s="1804">
        <v>1220</v>
      </c>
      <c r="K65" s="294">
        <v>6854</v>
      </c>
      <c r="L65" s="1804">
        <v>1601</v>
      </c>
      <c r="M65" s="294">
        <v>1788</v>
      </c>
      <c r="N65" s="1892">
        <v>7537</v>
      </c>
      <c r="O65" s="1140"/>
      <c r="P65" s="61">
        <v>104316</v>
      </c>
      <c r="Q65" s="61">
        <v>3026201</v>
      </c>
      <c r="R65" s="505">
        <f t="shared" si="1"/>
        <v>506.03934199930978</v>
      </c>
      <c r="S65" s="518">
        <f t="shared" si="2"/>
        <v>17.443652949688406</v>
      </c>
      <c r="T65" s="1900"/>
      <c r="U65" s="73">
        <v>1094588</v>
      </c>
      <c r="V65" s="1901"/>
      <c r="W65" s="701"/>
      <c r="X65" s="1910"/>
      <c r="Y65" s="1139"/>
      <c r="Z65" s="641"/>
      <c r="AB65" s="641"/>
      <c r="AC65" s="641"/>
    </row>
    <row r="66" spans="1:29">
      <c r="A66" s="49">
        <v>2001.09</v>
      </c>
      <c r="B66" s="73">
        <v>51428</v>
      </c>
      <c r="C66" s="1882">
        <f t="shared" si="3"/>
        <v>34367</v>
      </c>
      <c r="D66" s="1804">
        <v>5523</v>
      </c>
      <c r="E66" s="294">
        <v>13373</v>
      </c>
      <c r="F66" s="1804">
        <v>1650</v>
      </c>
      <c r="G66" s="294">
        <v>4623</v>
      </c>
      <c r="H66" s="1804">
        <v>5559</v>
      </c>
      <c r="I66" s="294">
        <v>2437</v>
      </c>
      <c r="J66" s="1804">
        <v>1202</v>
      </c>
      <c r="K66" s="294">
        <v>6900</v>
      </c>
      <c r="L66" s="1804">
        <v>1397</v>
      </c>
      <c r="M66" s="294">
        <v>1952</v>
      </c>
      <c r="N66" s="1892">
        <v>6812</v>
      </c>
      <c r="O66" s="1140"/>
      <c r="P66" s="61">
        <v>104316</v>
      </c>
      <c r="Q66" s="61">
        <v>2914365</v>
      </c>
      <c r="R66" s="505">
        <f t="shared" si="1"/>
        <v>493.00203228651407</v>
      </c>
      <c r="S66" s="518">
        <f t="shared" si="2"/>
        <v>17.646382659687447</v>
      </c>
      <c r="T66" s="1900"/>
      <c r="U66" s="73">
        <v>1066211</v>
      </c>
      <c r="V66" s="1901"/>
      <c r="W66" s="701"/>
      <c r="X66" s="1910"/>
      <c r="Y66" s="1139"/>
      <c r="Z66" s="641"/>
      <c r="AB66" s="641"/>
      <c r="AC66" s="641"/>
    </row>
    <row r="67" spans="1:29">
      <c r="A67" s="49">
        <v>2001.1</v>
      </c>
      <c r="B67" s="73">
        <v>51200</v>
      </c>
      <c r="C67" s="1882">
        <f t="shared" si="3"/>
        <v>33671</v>
      </c>
      <c r="D67" s="1804">
        <v>5466</v>
      </c>
      <c r="E67" s="294">
        <v>13193</v>
      </c>
      <c r="F67" s="1804">
        <v>1619</v>
      </c>
      <c r="G67" s="294">
        <v>4531</v>
      </c>
      <c r="H67" s="1804">
        <v>5317</v>
      </c>
      <c r="I67" s="294">
        <v>2430</v>
      </c>
      <c r="J67" s="1804">
        <v>1115</v>
      </c>
      <c r="K67" s="294">
        <v>6770</v>
      </c>
      <c r="L67" s="1804">
        <v>1562</v>
      </c>
      <c r="M67" s="294">
        <v>2443</v>
      </c>
      <c r="N67" s="1892">
        <v>6754</v>
      </c>
      <c r="O67" s="1140"/>
      <c r="P67" s="61">
        <v>104784</v>
      </c>
      <c r="Q67" s="61">
        <v>2859757</v>
      </c>
      <c r="R67" s="505">
        <f t="shared" si="1"/>
        <v>488.62421743777679</v>
      </c>
      <c r="S67" s="518">
        <f t="shared" si="2"/>
        <v>17.903619083719349</v>
      </c>
      <c r="T67" s="1900"/>
      <c r="U67" s="73">
        <v>1060937</v>
      </c>
      <c r="V67" s="1901"/>
      <c r="W67" s="701"/>
      <c r="X67" s="1910"/>
      <c r="Y67" s="1139"/>
      <c r="Z67" s="641"/>
      <c r="AB67" s="641"/>
      <c r="AC67" s="641"/>
    </row>
    <row r="68" spans="1:29">
      <c r="A68" s="49">
        <v>2001.11</v>
      </c>
      <c r="B68" s="73">
        <v>49578</v>
      </c>
      <c r="C68" s="1882">
        <f t="shared" si="3"/>
        <v>32521</v>
      </c>
      <c r="D68" s="1804">
        <v>5640</v>
      </c>
      <c r="E68" s="294">
        <v>12745</v>
      </c>
      <c r="F68" s="1804">
        <v>973</v>
      </c>
      <c r="G68" s="294">
        <v>4305</v>
      </c>
      <c r="H68" s="1804">
        <v>5281</v>
      </c>
      <c r="I68" s="294">
        <v>2363</v>
      </c>
      <c r="J68" s="1804">
        <v>1214</v>
      </c>
      <c r="K68" s="294">
        <v>6776</v>
      </c>
      <c r="L68" s="1804">
        <v>1428</v>
      </c>
      <c r="M68" s="294">
        <v>1924</v>
      </c>
      <c r="N68" s="1892">
        <v>6929</v>
      </c>
      <c r="O68" s="1140"/>
      <c r="P68" s="61">
        <v>103327</v>
      </c>
      <c r="Q68" s="61">
        <v>3160220</v>
      </c>
      <c r="R68" s="505">
        <f t="shared" si="1"/>
        <v>479.81650488255735</v>
      </c>
      <c r="S68" s="518">
        <f t="shared" si="2"/>
        <v>15.688148293473239</v>
      </c>
      <c r="T68" s="1900"/>
      <c r="U68" s="73">
        <v>1028565</v>
      </c>
      <c r="V68" s="1901"/>
      <c r="W68" s="701"/>
      <c r="X68" s="1910"/>
      <c r="Y68" s="1139"/>
      <c r="Z68" s="641"/>
      <c r="AB68" s="641"/>
      <c r="AC68" s="641"/>
    </row>
    <row r="69" spans="1:29">
      <c r="A69" s="49">
        <v>2001.12</v>
      </c>
      <c r="B69" s="73">
        <v>64689</v>
      </c>
      <c r="C69" s="1882">
        <f t="shared" si="3"/>
        <v>43255</v>
      </c>
      <c r="D69" s="1804">
        <v>9569</v>
      </c>
      <c r="E69" s="294">
        <v>16067</v>
      </c>
      <c r="F69" s="1804">
        <v>2001</v>
      </c>
      <c r="G69" s="294">
        <v>4902</v>
      </c>
      <c r="H69" s="1804">
        <v>6463</v>
      </c>
      <c r="I69" s="294">
        <v>2822</v>
      </c>
      <c r="J69" s="1804">
        <v>1431</v>
      </c>
      <c r="K69" s="294">
        <v>7781</v>
      </c>
      <c r="L69" s="1804">
        <v>1981</v>
      </c>
      <c r="M69" s="294">
        <v>2389</v>
      </c>
      <c r="N69" s="1892">
        <v>9283</v>
      </c>
      <c r="O69" s="1140"/>
      <c r="P69" s="61">
        <v>104353</v>
      </c>
      <c r="Q69" s="61">
        <v>3207767</v>
      </c>
      <c r="R69" s="505">
        <f t="shared" si="1"/>
        <v>619.90551301831283</v>
      </c>
      <c r="S69" s="518">
        <f t="shared" si="2"/>
        <v>20.166364951070321</v>
      </c>
      <c r="T69" s="1900"/>
      <c r="U69" s="73">
        <v>1292031</v>
      </c>
      <c r="V69" s="1901"/>
      <c r="W69" s="701"/>
      <c r="X69" s="1910"/>
      <c r="Y69" s="1139"/>
      <c r="Z69" s="641"/>
      <c r="AB69" s="641"/>
      <c r="AC69" s="641"/>
    </row>
    <row r="70" spans="1:29">
      <c r="A70" s="49">
        <v>2002.01</v>
      </c>
      <c r="B70" s="73">
        <v>49771</v>
      </c>
      <c r="C70" s="1882">
        <f t="shared" si="3"/>
        <v>32600</v>
      </c>
      <c r="D70" s="1804">
        <v>5589</v>
      </c>
      <c r="E70" s="294">
        <v>12738</v>
      </c>
      <c r="F70" s="1804">
        <v>1400</v>
      </c>
      <c r="G70" s="294">
        <v>4652</v>
      </c>
      <c r="H70" s="1804">
        <v>5057</v>
      </c>
      <c r="I70" s="294">
        <v>2193</v>
      </c>
      <c r="J70" s="1804">
        <v>971</v>
      </c>
      <c r="K70" s="294">
        <v>6682</v>
      </c>
      <c r="L70" s="1804">
        <v>1494</v>
      </c>
      <c r="M70" s="294">
        <v>2722</v>
      </c>
      <c r="N70" s="1892">
        <v>6273</v>
      </c>
      <c r="O70" s="1140"/>
      <c r="P70" s="61">
        <v>104353</v>
      </c>
      <c r="Q70" s="61">
        <v>2593759</v>
      </c>
      <c r="R70" s="505">
        <f t="shared" si="1"/>
        <v>476.94843464011575</v>
      </c>
      <c r="S70" s="518">
        <f t="shared" si="2"/>
        <v>19.188752694448482</v>
      </c>
      <c r="T70" s="1900"/>
      <c r="U70" s="73">
        <v>1034467</v>
      </c>
      <c r="V70" s="1901"/>
      <c r="W70" s="701"/>
      <c r="X70" s="1910"/>
      <c r="Y70" s="1139"/>
      <c r="Z70" s="641"/>
      <c r="AB70" s="641"/>
      <c r="AC70" s="641"/>
    </row>
    <row r="71" spans="1:29">
      <c r="A71" s="49">
        <v>2002.02</v>
      </c>
      <c r="B71" s="73">
        <v>52226</v>
      </c>
      <c r="C71" s="1882">
        <f t="shared" si="3"/>
        <v>34408</v>
      </c>
      <c r="D71" s="1804">
        <v>5418</v>
      </c>
      <c r="E71" s="294">
        <v>13980</v>
      </c>
      <c r="F71" s="1804">
        <v>1451</v>
      </c>
      <c r="G71" s="294">
        <v>4865</v>
      </c>
      <c r="H71" s="1804">
        <v>5120</v>
      </c>
      <c r="I71" s="294">
        <v>2348</v>
      </c>
      <c r="J71" s="1804">
        <v>1226</v>
      </c>
      <c r="K71" s="294">
        <v>8082</v>
      </c>
      <c r="L71" s="1804">
        <v>1405</v>
      </c>
      <c r="M71" s="294">
        <v>2114</v>
      </c>
      <c r="N71" s="1892">
        <v>6217</v>
      </c>
      <c r="O71" s="1140"/>
      <c r="P71" s="61">
        <v>104353</v>
      </c>
      <c r="Q71" s="61">
        <v>2769619</v>
      </c>
      <c r="R71" s="505">
        <f t="shared" si="1"/>
        <v>500.47435148007247</v>
      </c>
      <c r="S71" s="518">
        <f t="shared" si="2"/>
        <v>18.856745277960613</v>
      </c>
      <c r="T71" s="1900"/>
      <c r="U71" s="73">
        <v>1026395</v>
      </c>
      <c r="V71" s="1901"/>
      <c r="W71" s="701"/>
      <c r="X71" s="1910"/>
      <c r="Y71" s="1139"/>
      <c r="Z71" s="641"/>
      <c r="AB71" s="641"/>
      <c r="AC71" s="641"/>
    </row>
    <row r="72" spans="1:29">
      <c r="A72" s="49">
        <v>2002.03</v>
      </c>
      <c r="B72" s="73">
        <v>64054</v>
      </c>
      <c r="C72" s="1882">
        <f t="shared" si="3"/>
        <v>41795</v>
      </c>
      <c r="D72" s="1804">
        <v>6456</v>
      </c>
      <c r="E72" s="294">
        <v>17680</v>
      </c>
      <c r="F72" s="1804">
        <v>1806</v>
      </c>
      <c r="G72" s="294">
        <v>6001</v>
      </c>
      <c r="H72" s="1804">
        <v>5911</v>
      </c>
      <c r="I72" s="294">
        <v>2716</v>
      </c>
      <c r="J72" s="1804">
        <v>1225</v>
      </c>
      <c r="K72" s="294">
        <v>10261</v>
      </c>
      <c r="L72" s="1804">
        <v>1680</v>
      </c>
      <c r="M72" s="294">
        <v>2803</v>
      </c>
      <c r="N72" s="1892">
        <v>7515</v>
      </c>
      <c r="O72" s="1140"/>
      <c r="P72" s="61">
        <v>104353</v>
      </c>
      <c r="Q72" s="61">
        <v>2941923</v>
      </c>
      <c r="R72" s="505">
        <f t="shared" si="1"/>
        <v>613.82039807192893</v>
      </c>
      <c r="S72" s="518">
        <f t="shared" si="2"/>
        <v>21.772833619370729</v>
      </c>
      <c r="T72" s="1900"/>
      <c r="U72" s="73">
        <v>1253465</v>
      </c>
      <c r="V72" s="1901"/>
      <c r="W72" s="701"/>
      <c r="X72" s="1910"/>
      <c r="Y72" s="1139"/>
      <c r="Z72" s="641"/>
      <c r="AB72" s="641"/>
      <c r="AC72" s="641"/>
    </row>
    <row r="73" spans="1:29">
      <c r="A73" s="49">
        <v>2002.04</v>
      </c>
      <c r="B73" s="73">
        <v>60706</v>
      </c>
      <c r="C73" s="1882">
        <f t="shared" si="3"/>
        <v>40667</v>
      </c>
      <c r="D73" s="1804">
        <v>5855</v>
      </c>
      <c r="E73" s="294">
        <v>16889</v>
      </c>
      <c r="F73" s="1804">
        <v>1882</v>
      </c>
      <c r="G73" s="294">
        <v>6055</v>
      </c>
      <c r="H73" s="1804">
        <v>6031</v>
      </c>
      <c r="I73" s="294">
        <v>2713</v>
      </c>
      <c r="J73" s="1804">
        <v>1242</v>
      </c>
      <c r="K73" s="294">
        <v>9288</v>
      </c>
      <c r="L73" s="1804">
        <v>1488</v>
      </c>
      <c r="M73" s="294">
        <v>2237</v>
      </c>
      <c r="N73" s="1892">
        <v>7026</v>
      </c>
      <c r="O73" s="1140"/>
      <c r="P73" s="61">
        <v>104353</v>
      </c>
      <c r="Q73" s="61">
        <v>3144184</v>
      </c>
      <c r="R73" s="505">
        <f t="shared" si="1"/>
        <v>581.73698887430169</v>
      </c>
      <c r="S73" s="518">
        <f t="shared" si="2"/>
        <v>19.307394223747721</v>
      </c>
      <c r="T73" s="1900"/>
      <c r="U73" s="73">
        <v>1148987</v>
      </c>
      <c r="V73" s="1901"/>
      <c r="W73" s="701"/>
      <c r="X73" s="1910"/>
      <c r="Y73" s="1139"/>
      <c r="Z73" s="641"/>
      <c r="AB73" s="641"/>
      <c r="AC73" s="641"/>
    </row>
    <row r="74" spans="1:29">
      <c r="A74" s="49">
        <v>2002.05</v>
      </c>
      <c r="B74" s="73">
        <v>60812</v>
      </c>
      <c r="C74" s="1882">
        <f t="shared" si="3"/>
        <v>41166</v>
      </c>
      <c r="D74" s="1804">
        <v>6175</v>
      </c>
      <c r="E74" s="294">
        <v>17143</v>
      </c>
      <c r="F74" s="1804">
        <v>1894</v>
      </c>
      <c r="G74" s="294">
        <v>6306</v>
      </c>
      <c r="H74" s="1804">
        <v>5651</v>
      </c>
      <c r="I74" s="294">
        <v>2812</v>
      </c>
      <c r="J74" s="1804">
        <v>1185</v>
      </c>
      <c r="K74" s="294">
        <v>9749</v>
      </c>
      <c r="L74" s="1804">
        <v>1828</v>
      </c>
      <c r="M74" s="294">
        <v>2631</v>
      </c>
      <c r="N74" s="1892">
        <v>5438</v>
      </c>
      <c r="O74" s="1140"/>
      <c r="P74" s="61">
        <v>104353</v>
      </c>
      <c r="Q74" s="61">
        <v>3109228</v>
      </c>
      <c r="R74" s="505">
        <f t="shared" si="1"/>
        <v>582.75277184172944</v>
      </c>
      <c r="S74" s="518">
        <f t="shared" si="2"/>
        <v>19.558552798315208</v>
      </c>
      <c r="T74" s="1900"/>
      <c r="U74" s="73">
        <v>1198573</v>
      </c>
      <c r="V74" s="1901"/>
      <c r="W74" s="701"/>
      <c r="X74" s="1910"/>
      <c r="Y74" s="1139"/>
      <c r="Z74" s="641"/>
      <c r="AB74" s="641"/>
      <c r="AC74" s="641"/>
    </row>
    <row r="75" spans="1:29">
      <c r="A75" s="49">
        <v>2002.06</v>
      </c>
      <c r="B75" s="73">
        <v>67231</v>
      </c>
      <c r="C75" s="1882">
        <f t="shared" si="3"/>
        <v>44226</v>
      </c>
      <c r="D75" s="1804">
        <v>6796</v>
      </c>
      <c r="E75" s="294">
        <v>18747</v>
      </c>
      <c r="F75" s="1804">
        <v>2230</v>
      </c>
      <c r="G75" s="294">
        <v>6398</v>
      </c>
      <c r="H75" s="1804">
        <v>5839</v>
      </c>
      <c r="I75" s="294">
        <v>2873</v>
      </c>
      <c r="J75" s="1804">
        <v>1343</v>
      </c>
      <c r="K75" s="294">
        <v>9980</v>
      </c>
      <c r="L75" s="1804">
        <v>2234</v>
      </c>
      <c r="M75" s="294">
        <v>3279</v>
      </c>
      <c r="N75" s="1892">
        <v>7512</v>
      </c>
      <c r="O75" s="1140"/>
      <c r="P75" s="61">
        <v>104353</v>
      </c>
      <c r="Q75" s="61">
        <v>3386566</v>
      </c>
      <c r="R75" s="505">
        <f t="shared" ref="R75:R138" si="4">$B75/P75*1000</f>
        <v>644.26513852021503</v>
      </c>
      <c r="S75" s="518">
        <f t="shared" ref="S75:S138" si="5">$B75/Q75*1000</f>
        <v>19.85226332515002</v>
      </c>
      <c r="T75" s="1900"/>
      <c r="U75" s="73">
        <v>1279237</v>
      </c>
      <c r="V75" s="1901"/>
      <c r="W75" s="701"/>
      <c r="X75" s="1910"/>
      <c r="Y75" s="1139"/>
      <c r="Z75" s="641"/>
      <c r="AB75" s="641"/>
      <c r="AC75" s="641"/>
    </row>
    <row r="76" spans="1:29">
      <c r="A76" s="49">
        <v>2002.07</v>
      </c>
      <c r="B76" s="73">
        <v>65970</v>
      </c>
      <c r="C76" s="1882">
        <f t="shared" ref="C76:C139" si="6">SUM(D76:J76)</f>
        <v>44199</v>
      </c>
      <c r="D76" s="1804">
        <v>6640</v>
      </c>
      <c r="E76" s="294">
        <v>18435</v>
      </c>
      <c r="F76" s="1804">
        <v>2254</v>
      </c>
      <c r="G76" s="294">
        <v>6393</v>
      </c>
      <c r="H76" s="1804">
        <v>6052</v>
      </c>
      <c r="I76" s="294">
        <v>3018</v>
      </c>
      <c r="J76" s="1804">
        <v>1407</v>
      </c>
      <c r="K76" s="294">
        <v>9811</v>
      </c>
      <c r="L76" s="1804">
        <v>2022</v>
      </c>
      <c r="M76" s="294">
        <v>2541</v>
      </c>
      <c r="N76" s="1892">
        <v>7397</v>
      </c>
      <c r="O76" s="1140"/>
      <c r="P76" s="61">
        <v>104501</v>
      </c>
      <c r="Q76" s="61">
        <v>3316207</v>
      </c>
      <c r="R76" s="505">
        <f t="shared" si="4"/>
        <v>631.28582501602864</v>
      </c>
      <c r="S76" s="518">
        <f t="shared" si="5"/>
        <v>19.893209320166079</v>
      </c>
      <c r="T76" s="1900"/>
      <c r="U76" s="73">
        <v>1274664</v>
      </c>
      <c r="V76" s="1901"/>
      <c r="W76" s="701"/>
      <c r="X76" s="1910"/>
      <c r="Y76" s="1139"/>
      <c r="Z76" s="641"/>
      <c r="AB76" s="641"/>
      <c r="AC76" s="641"/>
    </row>
    <row r="77" spans="1:29">
      <c r="A77" s="49">
        <v>2002.08</v>
      </c>
      <c r="B77" s="73">
        <v>64728</v>
      </c>
      <c r="C77" s="1882">
        <f t="shared" si="6"/>
        <v>44739</v>
      </c>
      <c r="D77" s="1804">
        <v>6793</v>
      </c>
      <c r="E77" s="294">
        <v>18514</v>
      </c>
      <c r="F77" s="1804">
        <v>2325</v>
      </c>
      <c r="G77" s="294">
        <v>6158</v>
      </c>
      <c r="H77" s="1804">
        <v>6354</v>
      </c>
      <c r="I77" s="294">
        <v>3117</v>
      </c>
      <c r="J77" s="1804">
        <v>1478</v>
      </c>
      <c r="K77" s="294">
        <v>8294</v>
      </c>
      <c r="L77" s="1804">
        <v>1709</v>
      </c>
      <c r="M77" s="294">
        <v>1932</v>
      </c>
      <c r="N77" s="1892">
        <v>8054</v>
      </c>
      <c r="O77" s="1140"/>
      <c r="P77" s="61">
        <v>104501</v>
      </c>
      <c r="Q77" s="61">
        <v>3505407</v>
      </c>
      <c r="R77" s="505">
        <f t="shared" si="4"/>
        <v>619.40077128448536</v>
      </c>
      <c r="S77" s="518">
        <f t="shared" si="5"/>
        <v>18.465188207817235</v>
      </c>
      <c r="T77" s="1900"/>
      <c r="U77" s="73">
        <v>1331689</v>
      </c>
      <c r="V77" s="1901"/>
      <c r="W77" s="701"/>
      <c r="X77" s="1910"/>
      <c r="Y77" s="1139"/>
      <c r="Z77" s="641"/>
      <c r="AB77" s="641"/>
      <c r="AC77" s="641"/>
    </row>
    <row r="78" spans="1:29">
      <c r="A78" s="49">
        <v>2002.09</v>
      </c>
      <c r="B78" s="73">
        <v>61905</v>
      </c>
      <c r="C78" s="1882">
        <f t="shared" si="6"/>
        <v>44430</v>
      </c>
      <c r="D78" s="1804">
        <v>6504</v>
      </c>
      <c r="E78" s="294">
        <v>18321</v>
      </c>
      <c r="F78" s="1804">
        <v>2136</v>
      </c>
      <c r="G78" s="294">
        <v>6333</v>
      </c>
      <c r="H78" s="1804">
        <v>6617</v>
      </c>
      <c r="I78" s="294">
        <v>3185</v>
      </c>
      <c r="J78" s="1804">
        <v>1334</v>
      </c>
      <c r="K78" s="294">
        <v>8102</v>
      </c>
      <c r="L78" s="1804">
        <v>1586</v>
      </c>
      <c r="M78" s="294">
        <v>1607</v>
      </c>
      <c r="N78" s="1892">
        <v>6180</v>
      </c>
      <c r="O78" s="1140"/>
      <c r="P78" s="61">
        <v>104501</v>
      </c>
      <c r="Q78" s="61">
        <v>3215454</v>
      </c>
      <c r="R78" s="505">
        <f t="shared" si="4"/>
        <v>592.38667572559109</v>
      </c>
      <c r="S78" s="518">
        <f t="shared" si="5"/>
        <v>19.252335751032355</v>
      </c>
      <c r="T78" s="1900"/>
      <c r="U78" s="73">
        <v>1265342</v>
      </c>
      <c r="V78" s="1901"/>
      <c r="W78" s="701"/>
      <c r="X78" s="1910"/>
      <c r="Y78" s="1139"/>
      <c r="Z78" s="641"/>
      <c r="AB78" s="641"/>
      <c r="AC78" s="641"/>
    </row>
    <row r="79" spans="1:29">
      <c r="A79" s="49">
        <v>2002.1</v>
      </c>
      <c r="B79" s="73">
        <v>63313</v>
      </c>
      <c r="C79" s="1882">
        <f t="shared" si="6"/>
        <v>47009</v>
      </c>
      <c r="D79" s="1804">
        <v>6815</v>
      </c>
      <c r="E79" s="294">
        <v>18511</v>
      </c>
      <c r="F79" s="1804">
        <v>2190</v>
      </c>
      <c r="G79" s="294">
        <v>7394</v>
      </c>
      <c r="H79" s="1804">
        <v>7264</v>
      </c>
      <c r="I79" s="294">
        <v>3300</v>
      </c>
      <c r="J79" s="1804">
        <v>1535</v>
      </c>
      <c r="K79" s="294">
        <v>8123</v>
      </c>
      <c r="L79" s="1804">
        <v>1511</v>
      </c>
      <c r="M79" s="294">
        <v>2050</v>
      </c>
      <c r="N79" s="1892">
        <v>4620</v>
      </c>
      <c r="O79" s="1140"/>
      <c r="P79" s="61">
        <v>104501</v>
      </c>
      <c r="Q79" s="61">
        <v>3261726</v>
      </c>
      <c r="R79" s="505">
        <f t="shared" si="4"/>
        <v>605.8602310025741</v>
      </c>
      <c r="S79" s="518">
        <f t="shared" si="5"/>
        <v>19.410888590887158</v>
      </c>
      <c r="T79" s="1900"/>
      <c r="U79" s="73">
        <v>1300079</v>
      </c>
      <c r="V79" s="1901"/>
      <c r="W79" s="701"/>
      <c r="X79" s="1910"/>
      <c r="Y79" s="1139"/>
      <c r="Z79" s="641"/>
      <c r="AB79" s="641"/>
      <c r="AC79" s="641"/>
    </row>
    <row r="80" spans="1:29">
      <c r="A80" s="49">
        <v>2002.11</v>
      </c>
      <c r="B80" s="73">
        <v>63709</v>
      </c>
      <c r="C80" s="1882">
        <f t="shared" si="6"/>
        <v>46300</v>
      </c>
      <c r="D80" s="1804">
        <v>7380</v>
      </c>
      <c r="E80" s="294">
        <v>18768</v>
      </c>
      <c r="F80" s="1804">
        <v>2155</v>
      </c>
      <c r="G80" s="294">
        <v>6593</v>
      </c>
      <c r="H80" s="1804">
        <v>6423</v>
      </c>
      <c r="I80" s="294">
        <v>3394</v>
      </c>
      <c r="J80" s="1804">
        <v>1587</v>
      </c>
      <c r="K80" s="294">
        <v>8381</v>
      </c>
      <c r="L80" s="1804">
        <v>1496</v>
      </c>
      <c r="M80" s="294">
        <v>1967</v>
      </c>
      <c r="N80" s="1892">
        <v>5565</v>
      </c>
      <c r="O80" s="1140"/>
      <c r="P80" s="61">
        <v>104501</v>
      </c>
      <c r="Q80" s="61">
        <v>3204069</v>
      </c>
      <c r="R80" s="505">
        <f t="shared" si="4"/>
        <v>609.64966842422564</v>
      </c>
      <c r="S80" s="518">
        <f t="shared" si="5"/>
        <v>19.883779032224339</v>
      </c>
      <c r="T80" s="1900"/>
      <c r="U80" s="1895">
        <v>1323366</v>
      </c>
      <c r="V80" s="1901"/>
      <c r="W80" s="701"/>
      <c r="X80" s="1910"/>
      <c r="Y80" s="1139"/>
      <c r="Z80" s="641"/>
      <c r="AB80" s="641"/>
      <c r="AC80" s="641"/>
    </row>
    <row r="81" spans="1:29">
      <c r="A81" s="49">
        <v>2002.12</v>
      </c>
      <c r="B81" s="73">
        <v>82075</v>
      </c>
      <c r="C81" s="1882">
        <f t="shared" si="6"/>
        <v>59475</v>
      </c>
      <c r="D81" s="1804">
        <v>12948</v>
      </c>
      <c r="E81" s="294">
        <v>22180</v>
      </c>
      <c r="F81" s="1804">
        <v>2854</v>
      </c>
      <c r="G81" s="294">
        <v>7598</v>
      </c>
      <c r="H81" s="1804">
        <v>8195</v>
      </c>
      <c r="I81" s="294">
        <v>3953</v>
      </c>
      <c r="J81" s="1804">
        <v>1747</v>
      </c>
      <c r="K81" s="294">
        <v>10172</v>
      </c>
      <c r="L81" s="1804">
        <v>2000</v>
      </c>
      <c r="M81" s="294">
        <v>2516</v>
      </c>
      <c r="N81" s="1892">
        <v>7912</v>
      </c>
      <c r="O81" s="1140"/>
      <c r="P81" s="61">
        <v>104501</v>
      </c>
      <c r="Q81" s="61">
        <v>3607065</v>
      </c>
      <c r="R81" s="505">
        <f t="shared" si="4"/>
        <v>785.39918278293987</v>
      </c>
      <c r="S81" s="518">
        <f t="shared" si="5"/>
        <v>22.753956471535723</v>
      </c>
      <c r="T81" s="1900"/>
      <c r="U81" s="73">
        <v>1665403</v>
      </c>
      <c r="V81" s="1901"/>
      <c r="W81" s="701"/>
      <c r="X81" s="1910"/>
      <c r="Y81" s="1139"/>
      <c r="Z81" s="641"/>
      <c r="AB81" s="641"/>
      <c r="AC81" s="641"/>
    </row>
    <row r="82" spans="1:29">
      <c r="A82" s="49">
        <v>2003.01</v>
      </c>
      <c r="B82" s="73">
        <v>58371</v>
      </c>
      <c r="C82" s="1882">
        <f t="shared" si="6"/>
        <v>41114</v>
      </c>
      <c r="D82" s="1804">
        <v>6187</v>
      </c>
      <c r="E82" s="294">
        <v>15729</v>
      </c>
      <c r="F82" s="1804">
        <v>1919</v>
      </c>
      <c r="G82" s="294">
        <v>6276</v>
      </c>
      <c r="H82" s="1804">
        <v>6554</v>
      </c>
      <c r="I82" s="294">
        <v>3045</v>
      </c>
      <c r="J82" s="1804">
        <v>1404</v>
      </c>
      <c r="K82" s="294">
        <v>8172</v>
      </c>
      <c r="L82" s="1804">
        <v>1274</v>
      </c>
      <c r="M82" s="294">
        <v>2218</v>
      </c>
      <c r="N82" s="1892">
        <v>5593</v>
      </c>
      <c r="O82" s="1140"/>
      <c r="P82" s="61">
        <v>104501</v>
      </c>
      <c r="Q82" s="61">
        <v>2758456</v>
      </c>
      <c r="R82" s="505">
        <f t="shared" si="4"/>
        <v>558.56881752327729</v>
      </c>
      <c r="S82" s="518">
        <f t="shared" si="5"/>
        <v>21.160750796822569</v>
      </c>
      <c r="T82" s="1900"/>
      <c r="U82" s="73">
        <v>1273759</v>
      </c>
      <c r="V82" s="1901"/>
      <c r="W82" s="701"/>
      <c r="X82" s="1910"/>
      <c r="Y82" s="1139"/>
      <c r="Z82" s="641"/>
      <c r="AB82" s="641"/>
      <c r="AC82" s="641"/>
    </row>
    <row r="83" spans="1:29">
      <c r="A83" s="49">
        <v>2003.02</v>
      </c>
      <c r="B83" s="73">
        <v>59315</v>
      </c>
      <c r="C83" s="1882">
        <f t="shared" si="6"/>
        <v>42262</v>
      </c>
      <c r="D83" s="1804">
        <v>6662</v>
      </c>
      <c r="E83" s="294">
        <v>16307</v>
      </c>
      <c r="F83" s="1804">
        <v>1920</v>
      </c>
      <c r="G83" s="294">
        <v>6383</v>
      </c>
      <c r="H83" s="1804">
        <v>6442</v>
      </c>
      <c r="I83" s="294">
        <v>3116</v>
      </c>
      <c r="J83" s="1804">
        <v>1432</v>
      </c>
      <c r="K83" s="294">
        <v>8042</v>
      </c>
      <c r="L83" s="1804">
        <v>1385</v>
      </c>
      <c r="M83" s="294">
        <v>2072</v>
      </c>
      <c r="N83" s="1892">
        <v>5554</v>
      </c>
      <c r="O83" s="1140"/>
      <c r="P83" s="61">
        <v>104501</v>
      </c>
      <c r="Q83" s="61">
        <v>2694895</v>
      </c>
      <c r="R83" s="505">
        <f t="shared" si="4"/>
        <v>567.60222390216359</v>
      </c>
      <c r="S83" s="518">
        <f t="shared" si="5"/>
        <v>22.010133975535222</v>
      </c>
      <c r="T83" s="1900"/>
      <c r="U83" s="73">
        <v>1238102</v>
      </c>
      <c r="V83" s="1901"/>
      <c r="W83" s="701"/>
      <c r="X83" s="1910"/>
      <c r="Y83" s="1139"/>
      <c r="Z83" s="641"/>
      <c r="AB83" s="641"/>
      <c r="AC83" s="641"/>
    </row>
    <row r="84" spans="1:29">
      <c r="A84" s="49">
        <v>2003.03</v>
      </c>
      <c r="B84" s="73">
        <v>68678</v>
      </c>
      <c r="C84" s="1882">
        <f t="shared" si="6"/>
        <v>48724</v>
      </c>
      <c r="D84" s="1804">
        <v>7566</v>
      </c>
      <c r="E84" s="294">
        <v>18794</v>
      </c>
      <c r="F84" s="1804">
        <v>2223</v>
      </c>
      <c r="G84" s="294">
        <v>7529</v>
      </c>
      <c r="H84" s="1804">
        <v>7500</v>
      </c>
      <c r="I84" s="294">
        <v>3500</v>
      </c>
      <c r="J84" s="1804">
        <v>1612</v>
      </c>
      <c r="K84" s="294">
        <v>9308</v>
      </c>
      <c r="L84" s="1804">
        <v>1889</v>
      </c>
      <c r="M84" s="294">
        <v>2154</v>
      </c>
      <c r="N84" s="1892">
        <v>6603</v>
      </c>
      <c r="O84" s="1140"/>
      <c r="P84" s="61">
        <v>103156</v>
      </c>
      <c r="Q84" s="61">
        <v>2930624</v>
      </c>
      <c r="R84" s="505">
        <f t="shared" si="4"/>
        <v>665.76835084726054</v>
      </c>
      <c r="S84" s="518">
        <f t="shared" si="5"/>
        <v>23.434599593806642</v>
      </c>
      <c r="T84" s="1900"/>
      <c r="U84" s="73">
        <v>1432972</v>
      </c>
      <c r="V84" s="1901"/>
      <c r="W84" s="701"/>
      <c r="X84" s="1910"/>
      <c r="Y84" s="1139"/>
      <c r="Z84" s="641"/>
      <c r="AB84" s="641"/>
      <c r="AC84" s="641"/>
    </row>
    <row r="85" spans="1:29">
      <c r="A85" s="49">
        <v>2003.04</v>
      </c>
      <c r="B85" s="73">
        <v>63219</v>
      </c>
      <c r="C85" s="1882">
        <f t="shared" si="6"/>
        <v>46599</v>
      </c>
      <c r="D85" s="1804">
        <v>6301</v>
      </c>
      <c r="E85" s="294">
        <v>19217</v>
      </c>
      <c r="F85" s="1804">
        <v>2095</v>
      </c>
      <c r="G85" s="294">
        <v>7106</v>
      </c>
      <c r="H85" s="1804">
        <v>7164</v>
      </c>
      <c r="I85" s="294">
        <v>3285</v>
      </c>
      <c r="J85" s="1804">
        <v>1431</v>
      </c>
      <c r="K85" s="294">
        <v>8125</v>
      </c>
      <c r="L85" s="1804">
        <v>1512</v>
      </c>
      <c r="M85" s="294">
        <v>1876</v>
      </c>
      <c r="N85" s="1892">
        <v>5107</v>
      </c>
      <c r="O85" s="1140"/>
      <c r="P85" s="61">
        <v>103156</v>
      </c>
      <c r="Q85" s="61">
        <v>2943930</v>
      </c>
      <c r="R85" s="505">
        <f t="shared" si="4"/>
        <v>612.84850129900349</v>
      </c>
      <c r="S85" s="518">
        <f t="shared" si="5"/>
        <v>21.474355708185996</v>
      </c>
      <c r="T85" s="1900"/>
      <c r="U85" s="73">
        <v>1317154</v>
      </c>
      <c r="V85" s="1901"/>
      <c r="W85" s="701"/>
      <c r="X85" s="1910"/>
      <c r="Y85" s="1139"/>
      <c r="Z85" s="641"/>
      <c r="AB85" s="641"/>
      <c r="AC85" s="641"/>
    </row>
    <row r="86" spans="1:29">
      <c r="A86" s="49">
        <v>2003.05</v>
      </c>
      <c r="B86" s="73">
        <v>66574</v>
      </c>
      <c r="C86" s="1882">
        <f t="shared" si="6"/>
        <v>47854</v>
      </c>
      <c r="D86" s="1804">
        <v>6728</v>
      </c>
      <c r="E86" s="294">
        <v>19298</v>
      </c>
      <c r="F86" s="1804">
        <v>2151</v>
      </c>
      <c r="G86" s="294">
        <v>7513</v>
      </c>
      <c r="H86" s="1804">
        <v>7497</v>
      </c>
      <c r="I86" s="294">
        <v>3246</v>
      </c>
      <c r="J86" s="1804">
        <v>1421</v>
      </c>
      <c r="K86" s="294">
        <v>8747</v>
      </c>
      <c r="L86" s="1804">
        <v>1804</v>
      </c>
      <c r="M86" s="294">
        <v>2451</v>
      </c>
      <c r="N86" s="1892">
        <v>5718</v>
      </c>
      <c r="O86" s="1140"/>
      <c r="P86" s="61">
        <v>110149</v>
      </c>
      <c r="Q86" s="61">
        <v>2913114</v>
      </c>
      <c r="R86" s="505">
        <f t="shared" si="4"/>
        <v>604.3994952291896</v>
      </c>
      <c r="S86" s="518">
        <f t="shared" si="5"/>
        <v>22.853207941742067</v>
      </c>
      <c r="T86" s="1900"/>
      <c r="U86" s="73">
        <v>1337991</v>
      </c>
      <c r="V86" s="1901"/>
      <c r="W86" s="701"/>
      <c r="X86" s="1910"/>
      <c r="Y86" s="1139"/>
      <c r="Z86" s="641"/>
      <c r="AB86" s="641"/>
      <c r="AC86" s="641"/>
    </row>
    <row r="87" spans="1:29">
      <c r="A87" s="49">
        <v>2003.06</v>
      </c>
      <c r="B87" s="73">
        <v>66376</v>
      </c>
      <c r="C87" s="1882">
        <f t="shared" si="6"/>
        <v>47769</v>
      </c>
      <c r="D87" s="1804">
        <v>6800</v>
      </c>
      <c r="E87" s="294">
        <v>19145</v>
      </c>
      <c r="F87" s="1804">
        <v>2203</v>
      </c>
      <c r="G87" s="294">
        <v>7634</v>
      </c>
      <c r="H87" s="1804">
        <v>7333</v>
      </c>
      <c r="I87" s="294">
        <v>3255</v>
      </c>
      <c r="J87" s="1804">
        <v>1399</v>
      </c>
      <c r="K87" s="294">
        <v>8592</v>
      </c>
      <c r="L87" s="1804">
        <v>1833</v>
      </c>
      <c r="M87" s="294">
        <v>2482</v>
      </c>
      <c r="N87" s="1892">
        <v>5700</v>
      </c>
      <c r="O87" s="1140"/>
      <c r="P87" s="61">
        <v>110149</v>
      </c>
      <c r="Q87" s="61">
        <v>2976665</v>
      </c>
      <c r="R87" s="505">
        <f t="shared" si="4"/>
        <v>602.60193011284719</v>
      </c>
      <c r="S87" s="518">
        <f t="shared" si="5"/>
        <v>22.298780682407994</v>
      </c>
      <c r="T87" s="1900"/>
      <c r="U87" s="73">
        <v>1314284</v>
      </c>
      <c r="V87" s="1901"/>
      <c r="W87" s="701"/>
      <c r="X87" s="1910"/>
      <c r="Y87" s="1139"/>
      <c r="Z87" s="641"/>
      <c r="AB87" s="641"/>
      <c r="AC87" s="641"/>
    </row>
    <row r="88" spans="1:29">
      <c r="A88" s="49">
        <v>2003.07</v>
      </c>
      <c r="B88" s="73">
        <v>68218</v>
      </c>
      <c r="C88" s="1882">
        <f t="shared" si="6"/>
        <v>48680</v>
      </c>
      <c r="D88" s="1804">
        <v>6911</v>
      </c>
      <c r="E88" s="294">
        <v>19397</v>
      </c>
      <c r="F88" s="1804">
        <v>2191</v>
      </c>
      <c r="G88" s="294">
        <v>7905</v>
      </c>
      <c r="H88" s="1804">
        <v>7586</v>
      </c>
      <c r="I88" s="294">
        <v>3284</v>
      </c>
      <c r="J88" s="1804">
        <v>1406</v>
      </c>
      <c r="K88" s="294">
        <v>8684</v>
      </c>
      <c r="L88" s="1804">
        <v>1727</v>
      </c>
      <c r="M88" s="294">
        <v>2694</v>
      </c>
      <c r="N88" s="1892">
        <v>6433</v>
      </c>
      <c r="O88" s="1140"/>
      <c r="P88" s="61">
        <v>110149</v>
      </c>
      <c r="Q88" s="61">
        <v>3075187</v>
      </c>
      <c r="R88" s="505">
        <f t="shared" si="4"/>
        <v>619.32473286185075</v>
      </c>
      <c r="S88" s="518">
        <f t="shared" si="5"/>
        <v>22.183366409912633</v>
      </c>
      <c r="T88" s="1900"/>
      <c r="U88" s="73">
        <v>1360037</v>
      </c>
      <c r="V88" s="1901"/>
      <c r="W88" s="701"/>
      <c r="X88" s="1910"/>
      <c r="Y88" s="1139"/>
      <c r="Z88" s="641"/>
      <c r="AB88" s="641"/>
      <c r="AC88" s="641"/>
    </row>
    <row r="89" spans="1:29">
      <c r="A89" s="49">
        <v>2003.08</v>
      </c>
      <c r="B89" s="73">
        <v>71188</v>
      </c>
      <c r="C89" s="1882">
        <f t="shared" si="6"/>
        <v>51060</v>
      </c>
      <c r="D89" s="1804">
        <v>7333</v>
      </c>
      <c r="E89" s="294">
        <v>20298</v>
      </c>
      <c r="F89" s="1804">
        <v>2320</v>
      </c>
      <c r="G89" s="294">
        <v>7951</v>
      </c>
      <c r="H89" s="1804">
        <v>8185</v>
      </c>
      <c r="I89" s="294">
        <v>3561</v>
      </c>
      <c r="J89" s="1804">
        <v>1412</v>
      </c>
      <c r="K89" s="294">
        <v>8840</v>
      </c>
      <c r="L89" s="1804">
        <v>1784</v>
      </c>
      <c r="M89" s="294">
        <v>2739</v>
      </c>
      <c r="N89" s="1892">
        <v>6765</v>
      </c>
      <c r="O89" s="1140"/>
      <c r="P89" s="61">
        <v>110149</v>
      </c>
      <c r="Q89" s="61">
        <v>3054500</v>
      </c>
      <c r="R89" s="505">
        <f t="shared" si="4"/>
        <v>646.28820960698681</v>
      </c>
      <c r="S89" s="518">
        <f t="shared" si="5"/>
        <v>23.305942052709117</v>
      </c>
      <c r="T89" s="1900"/>
      <c r="U89" s="73">
        <v>1423336</v>
      </c>
      <c r="V89" s="1901"/>
      <c r="W89" s="701"/>
      <c r="X89" s="1910"/>
      <c r="Y89" s="1139"/>
      <c r="Z89" s="641"/>
      <c r="AB89" s="641"/>
      <c r="AC89" s="641"/>
    </row>
    <row r="90" spans="1:29">
      <c r="A90" s="49">
        <v>2003.09</v>
      </c>
      <c r="B90" s="73">
        <v>65487</v>
      </c>
      <c r="C90" s="1882">
        <f t="shared" si="6"/>
        <v>48017</v>
      </c>
      <c r="D90" s="1804">
        <v>7262</v>
      </c>
      <c r="E90" s="294">
        <v>18572</v>
      </c>
      <c r="F90" s="1804">
        <v>2089</v>
      </c>
      <c r="G90" s="294">
        <v>7697</v>
      </c>
      <c r="H90" s="1804">
        <v>7667</v>
      </c>
      <c r="I90" s="294">
        <v>3434</v>
      </c>
      <c r="J90" s="1804">
        <v>1296</v>
      </c>
      <c r="K90" s="294">
        <v>8190</v>
      </c>
      <c r="L90" s="1804">
        <v>1507</v>
      </c>
      <c r="M90" s="294">
        <v>2380</v>
      </c>
      <c r="N90" s="1892">
        <v>5393</v>
      </c>
      <c r="O90" s="1140"/>
      <c r="P90" s="61">
        <v>110549</v>
      </c>
      <c r="Q90" s="61">
        <v>2879509</v>
      </c>
      <c r="R90" s="505">
        <f t="shared" si="4"/>
        <v>592.37984965942701</v>
      </c>
      <c r="S90" s="518">
        <f t="shared" si="5"/>
        <v>22.742418933227853</v>
      </c>
      <c r="T90" s="1900"/>
      <c r="U90" s="73">
        <v>1279170</v>
      </c>
      <c r="V90" s="1901"/>
      <c r="W90" s="701"/>
      <c r="X90" s="1910"/>
      <c r="Y90" s="1139"/>
      <c r="Z90" s="641"/>
      <c r="AB90" s="641"/>
      <c r="AC90" s="641"/>
    </row>
    <row r="91" spans="1:29">
      <c r="A91" s="49">
        <v>2003.1</v>
      </c>
      <c r="B91" s="73">
        <v>69520</v>
      </c>
      <c r="C91" s="1882">
        <f t="shared" si="6"/>
        <v>49916</v>
      </c>
      <c r="D91" s="1804">
        <v>8016</v>
      </c>
      <c r="E91" s="294">
        <v>18372</v>
      </c>
      <c r="F91" s="1804">
        <v>2172</v>
      </c>
      <c r="G91" s="294">
        <v>8262</v>
      </c>
      <c r="H91" s="1804">
        <v>7959</v>
      </c>
      <c r="I91" s="294">
        <v>3737</v>
      </c>
      <c r="J91" s="1804">
        <v>1398</v>
      </c>
      <c r="K91" s="294">
        <v>8788</v>
      </c>
      <c r="L91" s="1804">
        <v>1735</v>
      </c>
      <c r="M91" s="294">
        <v>3062</v>
      </c>
      <c r="N91" s="1892">
        <v>6019</v>
      </c>
      <c r="O91" s="1140"/>
      <c r="P91" s="61">
        <v>114416</v>
      </c>
      <c r="Q91" s="61">
        <v>3028929</v>
      </c>
      <c r="R91" s="505">
        <f t="shared" si="4"/>
        <v>607.6073276464831</v>
      </c>
      <c r="S91" s="518">
        <f t="shared" si="5"/>
        <v>22.952007128592317</v>
      </c>
      <c r="T91" s="1900"/>
      <c r="U91" s="73">
        <v>1397585</v>
      </c>
      <c r="V91" s="1901"/>
      <c r="W91" s="701"/>
      <c r="X91" s="1910"/>
      <c r="Y91" s="1139"/>
      <c r="Z91" s="641"/>
      <c r="AB91" s="641"/>
      <c r="AC91" s="641"/>
    </row>
    <row r="92" spans="1:29">
      <c r="A92" s="49">
        <v>2003.11</v>
      </c>
      <c r="B92" s="73">
        <v>70266</v>
      </c>
      <c r="C92" s="1882">
        <f t="shared" si="6"/>
        <v>50046</v>
      </c>
      <c r="D92" s="1804">
        <v>8273</v>
      </c>
      <c r="E92" s="294">
        <v>19652</v>
      </c>
      <c r="F92" s="1804">
        <v>2121</v>
      </c>
      <c r="G92" s="294">
        <v>7190</v>
      </c>
      <c r="H92" s="1804">
        <v>7879</v>
      </c>
      <c r="I92" s="294">
        <v>3807</v>
      </c>
      <c r="J92" s="1804">
        <v>1124</v>
      </c>
      <c r="K92" s="294">
        <v>8957</v>
      </c>
      <c r="L92" s="1804">
        <v>1849</v>
      </c>
      <c r="M92" s="294">
        <v>3600</v>
      </c>
      <c r="N92" s="1892">
        <v>5814</v>
      </c>
      <c r="O92" s="1140"/>
      <c r="P92" s="61">
        <v>114416</v>
      </c>
      <c r="Q92" s="61">
        <v>2833059</v>
      </c>
      <c r="R92" s="505">
        <f t="shared" si="4"/>
        <v>614.12739476996228</v>
      </c>
      <c r="S92" s="518">
        <f t="shared" si="5"/>
        <v>24.802166139145001</v>
      </c>
      <c r="T92" s="1900"/>
      <c r="U92" s="73">
        <v>1402050</v>
      </c>
      <c r="V92" s="1901"/>
      <c r="W92" s="701"/>
      <c r="X92" s="1910"/>
      <c r="Y92" s="1139"/>
      <c r="Z92" s="641"/>
      <c r="AB92" s="641"/>
      <c r="AC92" s="641"/>
    </row>
    <row r="93" spans="1:29">
      <c r="A93" s="49">
        <v>2003.12</v>
      </c>
      <c r="B93" s="73">
        <v>89757</v>
      </c>
      <c r="C93" s="1882">
        <f t="shared" si="6"/>
        <v>64004</v>
      </c>
      <c r="D93" s="1804">
        <v>13272</v>
      </c>
      <c r="E93" s="294">
        <v>24245</v>
      </c>
      <c r="F93" s="1804">
        <v>2695</v>
      </c>
      <c r="G93" s="294">
        <v>7968</v>
      </c>
      <c r="H93" s="1804">
        <v>9884</v>
      </c>
      <c r="I93" s="294">
        <v>4580</v>
      </c>
      <c r="J93" s="1804">
        <v>1360</v>
      </c>
      <c r="K93" s="294">
        <v>9959</v>
      </c>
      <c r="L93" s="1804">
        <v>2356</v>
      </c>
      <c r="M93" s="294">
        <v>4776</v>
      </c>
      <c r="N93" s="1892">
        <v>8662</v>
      </c>
      <c r="O93" s="1140"/>
      <c r="P93" s="61">
        <v>124020</v>
      </c>
      <c r="Q93" s="61">
        <v>3064099</v>
      </c>
      <c r="R93" s="505">
        <f t="shared" si="4"/>
        <v>723.73004354136424</v>
      </c>
      <c r="S93" s="518">
        <f t="shared" si="5"/>
        <v>29.293113571069345</v>
      </c>
      <c r="T93" s="1900"/>
      <c r="U93" s="73">
        <v>1776947</v>
      </c>
      <c r="V93" s="1901"/>
      <c r="W93" s="701"/>
      <c r="X93" s="1910"/>
      <c r="Y93" s="1139"/>
      <c r="Z93" s="641"/>
      <c r="AB93" s="641"/>
      <c r="AC93" s="641"/>
    </row>
    <row r="94" spans="1:29">
      <c r="A94" s="49">
        <v>2004.01</v>
      </c>
      <c r="B94" s="73">
        <v>67881</v>
      </c>
      <c r="C94" s="1882">
        <f t="shared" si="6"/>
        <v>45642</v>
      </c>
      <c r="D94" s="1804">
        <v>7672</v>
      </c>
      <c r="E94" s="294">
        <v>17136</v>
      </c>
      <c r="F94" s="1804">
        <v>2008</v>
      </c>
      <c r="G94" s="294">
        <v>6390</v>
      </c>
      <c r="H94" s="1804">
        <v>7678</v>
      </c>
      <c r="I94" s="294">
        <v>3678</v>
      </c>
      <c r="J94" s="1804">
        <v>1080</v>
      </c>
      <c r="K94" s="294">
        <v>8949</v>
      </c>
      <c r="L94" s="1804">
        <v>1983</v>
      </c>
      <c r="M94" s="294">
        <v>4619</v>
      </c>
      <c r="N94" s="1892">
        <v>6688</v>
      </c>
      <c r="O94" s="1140"/>
      <c r="P94" s="61">
        <v>124823</v>
      </c>
      <c r="Q94" s="61">
        <v>2782848</v>
      </c>
      <c r="R94" s="505">
        <f t="shared" si="4"/>
        <v>543.81804635363676</v>
      </c>
      <c r="S94" s="518">
        <f t="shared" si="5"/>
        <v>24.392636608251692</v>
      </c>
      <c r="T94" s="1900"/>
      <c r="U94" s="73">
        <v>1387048</v>
      </c>
      <c r="V94" s="1901"/>
      <c r="W94" s="701"/>
      <c r="X94" s="1910"/>
      <c r="Y94" s="1139"/>
      <c r="Z94" s="641"/>
      <c r="AB94" s="641"/>
      <c r="AC94" s="641"/>
    </row>
    <row r="95" spans="1:29">
      <c r="A95" s="49">
        <v>2004.02</v>
      </c>
      <c r="B95" s="73">
        <v>68691</v>
      </c>
      <c r="C95" s="1882">
        <f t="shared" si="6"/>
        <v>47371</v>
      </c>
      <c r="D95" s="1804">
        <v>7898</v>
      </c>
      <c r="E95" s="294">
        <v>17998</v>
      </c>
      <c r="F95" s="1804">
        <v>2138</v>
      </c>
      <c r="G95" s="294">
        <v>6862</v>
      </c>
      <c r="H95" s="1804">
        <v>7695</v>
      </c>
      <c r="I95" s="294">
        <v>3643</v>
      </c>
      <c r="J95" s="1804">
        <v>1137</v>
      </c>
      <c r="K95" s="294">
        <v>9329</v>
      </c>
      <c r="L95" s="1804">
        <v>2070</v>
      </c>
      <c r="M95" s="294">
        <v>3183</v>
      </c>
      <c r="N95" s="1892">
        <v>6738</v>
      </c>
      <c r="O95" s="1140"/>
      <c r="P95" s="61">
        <v>124823</v>
      </c>
      <c r="Q95" s="61">
        <v>2784459</v>
      </c>
      <c r="R95" s="505">
        <f t="shared" si="4"/>
        <v>550.30723504482353</v>
      </c>
      <c r="S95" s="518">
        <f t="shared" si="5"/>
        <v>24.669424114343219</v>
      </c>
      <c r="T95" s="1900"/>
      <c r="U95" s="73">
        <v>1396486</v>
      </c>
      <c r="V95" s="1901"/>
      <c r="W95" s="701"/>
      <c r="X95" s="1910"/>
      <c r="Y95" s="1139"/>
      <c r="Z95" s="641"/>
      <c r="AB95" s="641"/>
      <c r="AC95" s="641"/>
    </row>
    <row r="96" spans="1:29">
      <c r="A96" s="49">
        <v>2004.03</v>
      </c>
      <c r="B96" s="73">
        <v>71504</v>
      </c>
      <c r="C96" s="1882">
        <f t="shared" si="6"/>
        <v>50283</v>
      </c>
      <c r="D96" s="1804">
        <v>8103</v>
      </c>
      <c r="E96" s="294">
        <v>19552</v>
      </c>
      <c r="F96" s="1804">
        <v>2188</v>
      </c>
      <c r="G96" s="294">
        <v>7372</v>
      </c>
      <c r="H96" s="1804">
        <v>8129</v>
      </c>
      <c r="I96" s="294">
        <v>3791</v>
      </c>
      <c r="J96" s="1804">
        <v>1148</v>
      </c>
      <c r="K96" s="294">
        <v>9332</v>
      </c>
      <c r="L96" s="1804">
        <v>2037</v>
      </c>
      <c r="M96" s="294">
        <v>3133</v>
      </c>
      <c r="N96" s="1892">
        <v>6719</v>
      </c>
      <c r="O96" s="1140"/>
      <c r="P96" s="61">
        <v>124823</v>
      </c>
      <c r="Q96" s="61">
        <v>2919411</v>
      </c>
      <c r="R96" s="505">
        <f t="shared" si="4"/>
        <v>572.84314589458677</v>
      </c>
      <c r="S96" s="518">
        <f t="shared" si="5"/>
        <v>24.492611694619224</v>
      </c>
      <c r="T96" s="1900"/>
      <c r="U96" s="73">
        <v>1451252</v>
      </c>
      <c r="V96" s="1901"/>
      <c r="W96" s="701"/>
      <c r="X96" s="1910"/>
      <c r="Y96" s="1139"/>
      <c r="Z96" s="641"/>
      <c r="AB96" s="641"/>
      <c r="AC96" s="641"/>
    </row>
    <row r="97" spans="1:29">
      <c r="A97" s="49">
        <v>2004.04</v>
      </c>
      <c r="B97" s="73">
        <v>73186</v>
      </c>
      <c r="C97" s="1882">
        <f t="shared" si="6"/>
        <v>51934</v>
      </c>
      <c r="D97" s="1804">
        <v>7571</v>
      </c>
      <c r="E97" s="294">
        <v>21241</v>
      </c>
      <c r="F97" s="1804">
        <v>2375</v>
      </c>
      <c r="G97" s="294">
        <v>7310</v>
      </c>
      <c r="H97" s="1804">
        <v>8369</v>
      </c>
      <c r="I97" s="294">
        <v>3845</v>
      </c>
      <c r="J97" s="1804">
        <v>1223</v>
      </c>
      <c r="K97" s="294">
        <v>9414</v>
      </c>
      <c r="L97" s="1804">
        <v>2347</v>
      </c>
      <c r="M97" s="294">
        <v>3337</v>
      </c>
      <c r="N97" s="1892">
        <v>6154</v>
      </c>
      <c r="O97" s="1140"/>
      <c r="P97" s="61">
        <v>124823</v>
      </c>
      <c r="Q97" s="61">
        <v>3011111</v>
      </c>
      <c r="R97" s="505">
        <f t="shared" si="4"/>
        <v>586.31822660887826</v>
      </c>
      <c r="S97" s="518">
        <f t="shared" si="5"/>
        <v>24.305314550011609</v>
      </c>
      <c r="T97" s="1900"/>
      <c r="U97" s="73">
        <v>1468286</v>
      </c>
      <c r="V97" s="1901"/>
      <c r="W97" s="701"/>
      <c r="X97" s="1910"/>
      <c r="Y97" s="1139"/>
      <c r="Z97" s="641"/>
      <c r="AB97" s="641"/>
      <c r="AC97" s="641"/>
    </row>
    <row r="98" spans="1:29">
      <c r="A98" s="49">
        <v>2004.05</v>
      </c>
      <c r="B98" s="73">
        <v>74819</v>
      </c>
      <c r="C98" s="1882">
        <f t="shared" si="6"/>
        <v>52249</v>
      </c>
      <c r="D98" s="1804">
        <v>7418</v>
      </c>
      <c r="E98" s="294">
        <v>21775</v>
      </c>
      <c r="F98" s="1804">
        <v>2404</v>
      </c>
      <c r="G98" s="294">
        <v>7510</v>
      </c>
      <c r="H98" s="1804">
        <v>8135</v>
      </c>
      <c r="I98" s="294">
        <v>3810</v>
      </c>
      <c r="J98" s="1804">
        <v>1197</v>
      </c>
      <c r="K98" s="294">
        <v>9602</v>
      </c>
      <c r="L98" s="1804">
        <v>2654</v>
      </c>
      <c r="M98" s="294">
        <v>3966</v>
      </c>
      <c r="N98" s="1892">
        <v>6348</v>
      </c>
      <c r="O98" s="1140"/>
      <c r="P98" s="61">
        <v>124823</v>
      </c>
      <c r="Q98" s="61">
        <v>3058595</v>
      </c>
      <c r="R98" s="505">
        <f t="shared" si="4"/>
        <v>599.4007514640731</v>
      </c>
      <c r="S98" s="518">
        <f t="shared" si="5"/>
        <v>24.461885277390436</v>
      </c>
      <c r="T98" s="1900"/>
      <c r="U98" s="73">
        <v>1461202</v>
      </c>
      <c r="V98" s="1901"/>
      <c r="W98" s="701"/>
      <c r="X98" s="1910"/>
      <c r="Y98" s="1139"/>
      <c r="Z98" s="641"/>
      <c r="AB98" s="641"/>
      <c r="AC98" s="641"/>
    </row>
    <row r="99" spans="1:29">
      <c r="A99" s="49">
        <v>2004.06</v>
      </c>
      <c r="B99" s="73">
        <v>72284</v>
      </c>
      <c r="C99" s="1882">
        <f t="shared" si="6"/>
        <v>50473</v>
      </c>
      <c r="D99" s="1804">
        <v>7308</v>
      </c>
      <c r="E99" s="294">
        <v>20856</v>
      </c>
      <c r="F99" s="1804">
        <v>2345</v>
      </c>
      <c r="G99" s="294">
        <v>7125</v>
      </c>
      <c r="H99" s="1804">
        <v>8003</v>
      </c>
      <c r="I99" s="294">
        <v>3698</v>
      </c>
      <c r="J99" s="1804">
        <v>1138</v>
      </c>
      <c r="K99" s="294">
        <v>9157</v>
      </c>
      <c r="L99" s="1804">
        <v>2396</v>
      </c>
      <c r="M99" s="294">
        <v>3926</v>
      </c>
      <c r="N99" s="1892">
        <v>6332</v>
      </c>
      <c r="O99" s="1140"/>
      <c r="P99" s="61">
        <v>117893</v>
      </c>
      <c r="Q99" s="61">
        <v>2908138</v>
      </c>
      <c r="R99" s="505">
        <f t="shared" si="4"/>
        <v>613.13224703756794</v>
      </c>
      <c r="S99" s="518">
        <f t="shared" si="5"/>
        <v>24.855766817118031</v>
      </c>
      <c r="T99" s="1900"/>
      <c r="U99" s="73">
        <v>1423438</v>
      </c>
      <c r="V99" s="1901"/>
      <c r="W99" s="701"/>
      <c r="X99" s="1910"/>
      <c r="Y99" s="1139"/>
      <c r="Z99" s="641"/>
      <c r="AB99" s="641"/>
      <c r="AC99" s="641"/>
    </row>
    <row r="100" spans="1:29">
      <c r="A100" s="49">
        <v>2004.07</v>
      </c>
      <c r="B100" s="73">
        <v>76358</v>
      </c>
      <c r="C100" s="1882">
        <f t="shared" si="6"/>
        <v>53257</v>
      </c>
      <c r="D100" s="1804">
        <v>7734</v>
      </c>
      <c r="E100" s="294">
        <v>22277</v>
      </c>
      <c r="F100" s="1804">
        <v>2451</v>
      </c>
      <c r="G100" s="294">
        <v>7389</v>
      </c>
      <c r="H100" s="1804">
        <v>8306</v>
      </c>
      <c r="I100" s="294">
        <v>3865</v>
      </c>
      <c r="J100" s="1804">
        <v>1235</v>
      </c>
      <c r="K100" s="294">
        <v>9808</v>
      </c>
      <c r="L100" s="1804">
        <v>2722</v>
      </c>
      <c r="M100" s="294">
        <v>3657</v>
      </c>
      <c r="N100" s="1892">
        <v>6914</v>
      </c>
      <c r="O100" s="1140"/>
      <c r="P100" s="61">
        <v>117116</v>
      </c>
      <c r="Q100" s="61">
        <v>3031251</v>
      </c>
      <c r="R100" s="505">
        <f t="shared" si="4"/>
        <v>651.98606509785168</v>
      </c>
      <c r="S100" s="518">
        <f t="shared" si="5"/>
        <v>25.190259731048336</v>
      </c>
      <c r="T100" s="1900"/>
      <c r="U100" s="73">
        <v>1553311</v>
      </c>
      <c r="V100" s="1901"/>
      <c r="W100" s="701"/>
      <c r="X100" s="1910"/>
      <c r="Y100" s="1139"/>
      <c r="Z100" s="641"/>
      <c r="AB100" s="641"/>
      <c r="AC100" s="641"/>
    </row>
    <row r="101" spans="1:29">
      <c r="A101" s="49">
        <v>2004.08</v>
      </c>
      <c r="B101" s="73">
        <v>75121</v>
      </c>
      <c r="C101" s="1882">
        <f t="shared" si="6"/>
        <v>52607</v>
      </c>
      <c r="D101" s="1804">
        <v>7350</v>
      </c>
      <c r="E101" s="294">
        <v>21679</v>
      </c>
      <c r="F101" s="1804">
        <v>2415</v>
      </c>
      <c r="G101" s="294">
        <v>7588</v>
      </c>
      <c r="H101" s="1804">
        <v>8233</v>
      </c>
      <c r="I101" s="294">
        <v>4122</v>
      </c>
      <c r="J101" s="1804">
        <v>1220</v>
      </c>
      <c r="K101" s="294">
        <v>9521</v>
      </c>
      <c r="L101" s="1804">
        <v>2242</v>
      </c>
      <c r="M101" s="294">
        <v>3620</v>
      </c>
      <c r="N101" s="1892">
        <v>7131</v>
      </c>
      <c r="O101" s="1140"/>
      <c r="P101" s="61">
        <v>115315</v>
      </c>
      <c r="Q101" s="61">
        <v>2973152</v>
      </c>
      <c r="R101" s="505">
        <f t="shared" si="4"/>
        <v>651.44170316090708</v>
      </c>
      <c r="S101" s="518">
        <f t="shared" si="5"/>
        <v>25.266451227518807</v>
      </c>
      <c r="T101" s="1900"/>
      <c r="U101" s="73">
        <v>1516805</v>
      </c>
      <c r="V101" s="1901"/>
      <c r="W101" s="701"/>
      <c r="X101" s="1910"/>
      <c r="Y101" s="1139"/>
      <c r="Z101" s="641"/>
      <c r="AB101" s="641"/>
      <c r="AC101" s="641"/>
    </row>
    <row r="102" spans="1:29">
      <c r="A102" s="49">
        <v>2004.09</v>
      </c>
      <c r="B102" s="73">
        <v>70653</v>
      </c>
      <c r="C102" s="1882">
        <f t="shared" si="6"/>
        <v>50488</v>
      </c>
      <c r="D102" s="1804">
        <v>7433</v>
      </c>
      <c r="E102" s="294">
        <v>20599</v>
      </c>
      <c r="F102" s="1804">
        <v>2242</v>
      </c>
      <c r="G102" s="294">
        <v>7253</v>
      </c>
      <c r="H102" s="1804">
        <v>7841</v>
      </c>
      <c r="I102" s="294">
        <v>3983</v>
      </c>
      <c r="J102" s="1804">
        <v>1137</v>
      </c>
      <c r="K102" s="294">
        <v>9215</v>
      </c>
      <c r="L102" s="1804">
        <v>1914</v>
      </c>
      <c r="M102" s="294">
        <v>3036</v>
      </c>
      <c r="N102" s="1892">
        <v>6000</v>
      </c>
      <c r="O102" s="1140"/>
      <c r="P102" s="61">
        <v>115315</v>
      </c>
      <c r="Q102" s="61">
        <v>2703495</v>
      </c>
      <c r="R102" s="505">
        <f t="shared" si="4"/>
        <v>612.69565971469456</v>
      </c>
      <c r="S102" s="518">
        <f t="shared" si="5"/>
        <v>26.133948832899634</v>
      </c>
      <c r="T102" s="1900"/>
      <c r="U102" s="73">
        <v>1437883</v>
      </c>
      <c r="V102" s="1901"/>
      <c r="W102" s="701"/>
      <c r="X102" s="1910"/>
      <c r="Y102" s="1139"/>
      <c r="Z102" s="641"/>
      <c r="AB102" s="641"/>
      <c r="AC102" s="641"/>
    </row>
    <row r="103" spans="1:29">
      <c r="A103" s="49">
        <v>2004.1</v>
      </c>
      <c r="B103" s="73">
        <v>84790</v>
      </c>
      <c r="C103" s="1882">
        <f t="shared" si="6"/>
        <v>57087</v>
      </c>
      <c r="D103" s="1804">
        <v>8548</v>
      </c>
      <c r="E103" s="294">
        <v>22998</v>
      </c>
      <c r="F103" s="1804">
        <v>2577</v>
      </c>
      <c r="G103" s="294">
        <v>8329</v>
      </c>
      <c r="H103" s="1804">
        <v>9063</v>
      </c>
      <c r="I103" s="294">
        <v>4281</v>
      </c>
      <c r="J103" s="1804">
        <v>1291</v>
      </c>
      <c r="K103" s="294">
        <v>10973</v>
      </c>
      <c r="L103" s="1804">
        <v>2923</v>
      </c>
      <c r="M103" s="294">
        <v>6282</v>
      </c>
      <c r="N103" s="1892">
        <v>7525</v>
      </c>
      <c r="O103" s="1140"/>
      <c r="P103" s="61">
        <v>122211</v>
      </c>
      <c r="Q103" s="61">
        <v>3129776</v>
      </c>
      <c r="R103" s="505">
        <f t="shared" si="4"/>
        <v>693.80006709706993</v>
      </c>
      <c r="S103" s="518">
        <f t="shared" si="5"/>
        <v>27.091395678157159</v>
      </c>
      <c r="T103" s="1900"/>
      <c r="U103" s="73">
        <v>1627785</v>
      </c>
      <c r="V103" s="1901"/>
      <c r="W103" s="701"/>
      <c r="X103" s="1910"/>
      <c r="Y103" s="1139"/>
      <c r="Z103" s="641"/>
      <c r="AB103" s="641"/>
      <c r="AC103" s="641"/>
    </row>
    <row r="104" spans="1:29">
      <c r="A104" s="49">
        <v>2004.11</v>
      </c>
      <c r="B104" s="73">
        <v>77769</v>
      </c>
      <c r="C104" s="1882">
        <f t="shared" si="6"/>
        <v>53662</v>
      </c>
      <c r="D104" s="1804">
        <v>9036</v>
      </c>
      <c r="E104" s="294">
        <v>21219</v>
      </c>
      <c r="F104" s="1804">
        <v>2345</v>
      </c>
      <c r="G104" s="294">
        <v>7632</v>
      </c>
      <c r="H104" s="1804">
        <v>8296</v>
      </c>
      <c r="I104" s="294">
        <v>3964</v>
      </c>
      <c r="J104" s="1804">
        <v>1170</v>
      </c>
      <c r="K104" s="294">
        <v>10168</v>
      </c>
      <c r="L104" s="1804">
        <v>2346</v>
      </c>
      <c r="M104" s="294">
        <v>4646</v>
      </c>
      <c r="N104" s="1892">
        <v>6947</v>
      </c>
      <c r="O104" s="1140"/>
      <c r="P104" s="61">
        <v>131194</v>
      </c>
      <c r="Q104" s="61">
        <v>2887913</v>
      </c>
      <c r="R104" s="505">
        <f t="shared" si="4"/>
        <v>592.77863316919979</v>
      </c>
      <c r="S104" s="518">
        <f t="shared" si="5"/>
        <v>26.929135330600332</v>
      </c>
      <c r="T104" s="1900"/>
      <c r="U104" s="73">
        <v>1476899</v>
      </c>
      <c r="V104" s="1901"/>
      <c r="W104" s="701"/>
      <c r="X104" s="1910"/>
      <c r="Y104" s="1139"/>
      <c r="Z104" s="641"/>
      <c r="AB104" s="641"/>
      <c r="AC104" s="641"/>
    </row>
    <row r="105" spans="1:29">
      <c r="A105" s="49">
        <v>2004.12</v>
      </c>
      <c r="B105" s="73">
        <v>110360</v>
      </c>
      <c r="C105" s="1882">
        <f t="shared" si="6"/>
        <v>74072</v>
      </c>
      <c r="D105" s="1804">
        <v>16892</v>
      </c>
      <c r="E105" s="294">
        <v>27258</v>
      </c>
      <c r="F105" s="1804">
        <v>3409</v>
      </c>
      <c r="G105" s="294">
        <v>8827</v>
      </c>
      <c r="H105" s="1804">
        <v>11120</v>
      </c>
      <c r="I105" s="294">
        <v>4945</v>
      </c>
      <c r="J105" s="1804">
        <v>1621</v>
      </c>
      <c r="K105" s="294">
        <v>12938</v>
      </c>
      <c r="L105" s="1804">
        <v>3664</v>
      </c>
      <c r="M105" s="294">
        <v>8202</v>
      </c>
      <c r="N105" s="1892">
        <v>11484</v>
      </c>
      <c r="O105" s="1140"/>
      <c r="P105" s="61">
        <v>131194</v>
      </c>
      <c r="Q105" s="61">
        <v>3484250</v>
      </c>
      <c r="R105" s="505">
        <f t="shared" si="4"/>
        <v>841.19700596063842</v>
      </c>
      <c r="S105" s="518">
        <f t="shared" si="5"/>
        <v>31.673961397718305</v>
      </c>
      <c r="T105" s="1900"/>
      <c r="U105" s="73">
        <v>2054252</v>
      </c>
      <c r="V105" s="1901"/>
      <c r="W105" s="701"/>
      <c r="X105" s="1910"/>
      <c r="Y105" s="1139"/>
      <c r="Z105" s="641"/>
      <c r="AB105" s="641"/>
      <c r="AC105" s="641"/>
    </row>
    <row r="106" spans="1:29">
      <c r="A106" s="49">
        <v>2005.01</v>
      </c>
      <c r="B106" s="73">
        <v>81326</v>
      </c>
      <c r="C106" s="1882">
        <f t="shared" si="6"/>
        <v>52309</v>
      </c>
      <c r="D106" s="1804">
        <v>8684</v>
      </c>
      <c r="E106" s="294">
        <v>19548</v>
      </c>
      <c r="F106" s="1804">
        <v>2500</v>
      </c>
      <c r="G106" s="294">
        <v>7751</v>
      </c>
      <c r="H106" s="1804">
        <v>8486</v>
      </c>
      <c r="I106" s="294">
        <v>4031</v>
      </c>
      <c r="J106" s="1804">
        <v>1309</v>
      </c>
      <c r="K106" s="294">
        <v>11661</v>
      </c>
      <c r="L106" s="1804">
        <v>2975</v>
      </c>
      <c r="M106" s="294">
        <v>5923</v>
      </c>
      <c r="N106" s="1892">
        <v>8458</v>
      </c>
      <c r="O106" s="1140"/>
      <c r="P106" s="61">
        <v>131324</v>
      </c>
      <c r="Q106" s="61">
        <v>2928898</v>
      </c>
      <c r="R106" s="505">
        <f t="shared" si="4"/>
        <v>619.27751210745942</v>
      </c>
      <c r="S106" s="518">
        <f t="shared" si="5"/>
        <v>27.766757326475695</v>
      </c>
      <c r="T106" s="1900"/>
      <c r="U106" s="73">
        <v>1590406</v>
      </c>
      <c r="V106" s="1901"/>
      <c r="W106" s="701"/>
      <c r="X106" s="1910"/>
      <c r="Y106" s="1139"/>
      <c r="Z106" s="641"/>
      <c r="AB106" s="641"/>
      <c r="AC106" s="641"/>
    </row>
    <row r="107" spans="1:29">
      <c r="A107" s="49">
        <v>2005.02</v>
      </c>
      <c r="B107" s="73">
        <v>77292</v>
      </c>
      <c r="C107" s="1882">
        <f t="shared" si="6"/>
        <v>51711</v>
      </c>
      <c r="D107" s="1804">
        <v>7866</v>
      </c>
      <c r="E107" s="294">
        <v>19975</v>
      </c>
      <c r="F107" s="1804">
        <v>2465</v>
      </c>
      <c r="G107" s="294">
        <v>7737</v>
      </c>
      <c r="H107" s="1804">
        <v>8487</v>
      </c>
      <c r="I107" s="294">
        <v>3918</v>
      </c>
      <c r="J107" s="1804">
        <v>1263</v>
      </c>
      <c r="K107" s="294">
        <v>10808</v>
      </c>
      <c r="L107" s="1804">
        <v>2660</v>
      </c>
      <c r="M107" s="294">
        <v>3986</v>
      </c>
      <c r="N107" s="1892">
        <v>8127</v>
      </c>
      <c r="O107" s="1140"/>
      <c r="P107" s="61">
        <v>131324</v>
      </c>
      <c r="Q107" s="61">
        <v>2794287</v>
      </c>
      <c r="R107" s="505">
        <f t="shared" si="4"/>
        <v>588.55959306752754</v>
      </c>
      <c r="S107" s="518">
        <f t="shared" si="5"/>
        <v>27.66072346899227</v>
      </c>
      <c r="T107" s="1900"/>
      <c r="U107" s="73">
        <v>1495256</v>
      </c>
      <c r="V107" s="1901"/>
      <c r="W107" s="701"/>
      <c r="X107" s="1910"/>
      <c r="Y107" s="1139"/>
      <c r="Z107" s="641"/>
      <c r="AB107" s="641"/>
      <c r="AC107" s="641"/>
    </row>
    <row r="108" spans="1:29">
      <c r="A108" s="49">
        <v>2005.03</v>
      </c>
      <c r="B108" s="73">
        <v>87405</v>
      </c>
      <c r="C108" s="1882">
        <f t="shared" si="6"/>
        <v>60298</v>
      </c>
      <c r="D108" s="1804">
        <v>8835</v>
      </c>
      <c r="E108" s="294">
        <v>24087</v>
      </c>
      <c r="F108" s="1804">
        <v>2553</v>
      </c>
      <c r="G108" s="294">
        <v>8828</v>
      </c>
      <c r="H108" s="1804">
        <v>10021</v>
      </c>
      <c r="I108" s="294">
        <v>4537</v>
      </c>
      <c r="J108" s="1804">
        <v>1437</v>
      </c>
      <c r="K108" s="294">
        <v>11962</v>
      </c>
      <c r="L108" s="1804">
        <v>2672</v>
      </c>
      <c r="M108" s="294">
        <v>4298</v>
      </c>
      <c r="N108" s="1892">
        <v>8175</v>
      </c>
      <c r="O108" s="1140"/>
      <c r="P108" s="61">
        <v>131324</v>
      </c>
      <c r="Q108" s="61">
        <v>3079971</v>
      </c>
      <c r="R108" s="505">
        <f t="shared" si="4"/>
        <v>665.56760378910178</v>
      </c>
      <c r="S108" s="518">
        <f t="shared" si="5"/>
        <v>28.378513953540473</v>
      </c>
      <c r="T108" s="1900"/>
      <c r="U108" s="73">
        <v>1687782</v>
      </c>
      <c r="V108" s="1901"/>
      <c r="W108" s="701"/>
      <c r="X108" s="1910"/>
      <c r="Y108" s="1139"/>
      <c r="Z108" s="641"/>
      <c r="AB108" s="641"/>
      <c r="AC108" s="641"/>
    </row>
    <row r="109" spans="1:29">
      <c r="A109" s="49">
        <v>2005.04</v>
      </c>
      <c r="B109" s="73">
        <v>87818</v>
      </c>
      <c r="C109" s="1882">
        <f t="shared" si="6"/>
        <v>59924</v>
      </c>
      <c r="D109" s="1804">
        <v>8673</v>
      </c>
      <c r="E109" s="294">
        <v>23688</v>
      </c>
      <c r="F109" s="1804">
        <v>2807</v>
      </c>
      <c r="G109" s="294">
        <v>8967</v>
      </c>
      <c r="H109" s="1804">
        <v>10000</v>
      </c>
      <c r="I109" s="294">
        <v>4252</v>
      </c>
      <c r="J109" s="1804">
        <v>1537</v>
      </c>
      <c r="K109" s="294">
        <v>12410</v>
      </c>
      <c r="L109" s="1804">
        <v>2972</v>
      </c>
      <c r="M109" s="294">
        <v>5002</v>
      </c>
      <c r="N109" s="1892">
        <v>7510</v>
      </c>
      <c r="O109" s="1140"/>
      <c r="P109" s="61">
        <v>131324</v>
      </c>
      <c r="Q109" s="61">
        <v>3058074</v>
      </c>
      <c r="R109" s="505">
        <f t="shared" si="4"/>
        <v>668.71249733483592</v>
      </c>
      <c r="S109" s="518">
        <f t="shared" si="5"/>
        <v>28.716767481754854</v>
      </c>
      <c r="T109" s="1900"/>
      <c r="U109" s="73">
        <v>1680171</v>
      </c>
      <c r="V109" s="1901"/>
      <c r="W109" s="701"/>
      <c r="X109" s="1910"/>
      <c r="Y109" s="1139"/>
      <c r="Z109" s="641"/>
      <c r="AB109" s="641"/>
      <c r="AC109" s="641"/>
    </row>
    <row r="110" spans="1:29">
      <c r="A110" s="49">
        <v>2005.05</v>
      </c>
      <c r="B110" s="73">
        <v>85444</v>
      </c>
      <c r="C110" s="1882">
        <f t="shared" si="6"/>
        <v>58012</v>
      </c>
      <c r="D110" s="1804">
        <v>8308</v>
      </c>
      <c r="E110" s="294">
        <v>23248</v>
      </c>
      <c r="F110" s="1804">
        <v>2732</v>
      </c>
      <c r="G110" s="294">
        <v>8799</v>
      </c>
      <c r="H110" s="1804">
        <v>9436</v>
      </c>
      <c r="I110" s="294">
        <v>4027</v>
      </c>
      <c r="J110" s="1804">
        <v>1462</v>
      </c>
      <c r="K110" s="294">
        <v>11903</v>
      </c>
      <c r="L110" s="1804">
        <v>2912</v>
      </c>
      <c r="M110" s="294">
        <v>4919</v>
      </c>
      <c r="N110" s="1892">
        <v>7698</v>
      </c>
      <c r="O110" s="1140"/>
      <c r="P110" s="61">
        <v>132902</v>
      </c>
      <c r="Q110" s="61">
        <v>2975590</v>
      </c>
      <c r="R110" s="505">
        <f t="shared" si="4"/>
        <v>642.90981324585027</v>
      </c>
      <c r="S110" s="518">
        <f t="shared" si="5"/>
        <v>28.714977533867234</v>
      </c>
      <c r="T110" s="1900"/>
      <c r="U110" s="73">
        <v>1630592</v>
      </c>
      <c r="V110" s="1901"/>
      <c r="W110" s="701"/>
      <c r="X110" s="1910"/>
      <c r="Y110" s="1139"/>
      <c r="Z110" s="641"/>
      <c r="AB110" s="641"/>
      <c r="AC110" s="641"/>
    </row>
    <row r="111" spans="1:29">
      <c r="A111" s="49">
        <v>2005.06</v>
      </c>
      <c r="B111" s="73">
        <v>86021</v>
      </c>
      <c r="C111" s="1882">
        <f t="shared" si="6"/>
        <v>58522</v>
      </c>
      <c r="D111" s="1804">
        <v>8503</v>
      </c>
      <c r="E111" s="294">
        <v>23489</v>
      </c>
      <c r="F111" s="1804">
        <v>2806</v>
      </c>
      <c r="G111" s="294">
        <v>8935</v>
      </c>
      <c r="H111" s="1804">
        <v>9402</v>
      </c>
      <c r="I111" s="294">
        <v>3929</v>
      </c>
      <c r="J111" s="1804">
        <v>1458</v>
      </c>
      <c r="K111" s="294">
        <v>11980</v>
      </c>
      <c r="L111" s="1804">
        <v>2978</v>
      </c>
      <c r="M111" s="294">
        <v>4987</v>
      </c>
      <c r="N111" s="1892">
        <v>7554</v>
      </c>
      <c r="O111" s="1140"/>
      <c r="P111" s="61">
        <v>132902</v>
      </c>
      <c r="Q111" s="61">
        <v>2947165</v>
      </c>
      <c r="R111" s="505">
        <f t="shared" si="4"/>
        <v>647.25135814359453</v>
      </c>
      <c r="S111" s="518">
        <f t="shared" si="5"/>
        <v>29.187710901832776</v>
      </c>
      <c r="T111" s="1900"/>
      <c r="U111" s="73">
        <v>1644658</v>
      </c>
      <c r="V111" s="1901"/>
      <c r="W111" s="701"/>
      <c r="X111" s="1910"/>
      <c r="Y111" s="1139"/>
      <c r="Z111" s="641"/>
      <c r="AB111" s="641"/>
      <c r="AC111" s="641"/>
    </row>
    <row r="112" spans="1:29">
      <c r="A112" s="49">
        <v>2005.07</v>
      </c>
      <c r="B112" s="73">
        <v>95900</v>
      </c>
      <c r="C112" s="1882">
        <f t="shared" si="6"/>
        <v>62717</v>
      </c>
      <c r="D112" s="1804">
        <v>9162</v>
      </c>
      <c r="E112" s="294">
        <v>24167</v>
      </c>
      <c r="F112" s="1804">
        <v>3096</v>
      </c>
      <c r="G112" s="294">
        <v>10490</v>
      </c>
      <c r="H112" s="1804">
        <v>10117</v>
      </c>
      <c r="I112" s="294">
        <v>4375</v>
      </c>
      <c r="J112" s="1804">
        <v>1310</v>
      </c>
      <c r="K112" s="294">
        <v>13214</v>
      </c>
      <c r="L112" s="1804">
        <v>3558</v>
      </c>
      <c r="M112" s="294">
        <v>5995</v>
      </c>
      <c r="N112" s="1892">
        <v>10416</v>
      </c>
      <c r="O112" s="1140"/>
      <c r="P112" s="61">
        <v>132902</v>
      </c>
      <c r="Q112" s="61">
        <v>3136559</v>
      </c>
      <c r="R112" s="505">
        <f t="shared" si="4"/>
        <v>721.58432529232061</v>
      </c>
      <c r="S112" s="518">
        <f t="shared" si="5"/>
        <v>30.574907087671551</v>
      </c>
      <c r="T112" s="1900"/>
      <c r="U112" s="73">
        <v>1819507</v>
      </c>
      <c r="V112" s="1901"/>
      <c r="W112" s="701"/>
      <c r="X112" s="1910"/>
      <c r="Y112" s="1139"/>
      <c r="Z112" s="641"/>
      <c r="AB112" s="641"/>
      <c r="AC112" s="641"/>
    </row>
    <row r="113" spans="1:29">
      <c r="A113" s="49">
        <v>2005.08</v>
      </c>
      <c r="B113" s="73">
        <v>89228</v>
      </c>
      <c r="C113" s="1882">
        <f t="shared" si="6"/>
        <v>59044</v>
      </c>
      <c r="D113" s="1804">
        <v>8337</v>
      </c>
      <c r="E113" s="294">
        <v>22522</v>
      </c>
      <c r="F113" s="1804">
        <v>2916</v>
      </c>
      <c r="G113" s="294">
        <v>10120</v>
      </c>
      <c r="H113" s="1804">
        <v>9549</v>
      </c>
      <c r="I113" s="294">
        <v>4244</v>
      </c>
      <c r="J113" s="1804">
        <v>1356</v>
      </c>
      <c r="K113" s="294">
        <v>12589</v>
      </c>
      <c r="L113" s="1804">
        <v>2793</v>
      </c>
      <c r="M113" s="294">
        <v>4828</v>
      </c>
      <c r="N113" s="1892">
        <v>9974</v>
      </c>
      <c r="O113" s="1140"/>
      <c r="P113" s="61">
        <v>132902</v>
      </c>
      <c r="Q113" s="61">
        <v>3032480</v>
      </c>
      <c r="R113" s="505">
        <f t="shared" si="4"/>
        <v>671.3819205128591</v>
      </c>
      <c r="S113" s="518">
        <f t="shared" si="5"/>
        <v>29.424101725320529</v>
      </c>
      <c r="T113" s="1900"/>
      <c r="U113" s="73">
        <v>1712953</v>
      </c>
      <c r="V113" s="1901"/>
      <c r="W113" s="701"/>
      <c r="X113" s="1910"/>
      <c r="Y113" s="1139"/>
      <c r="Z113" s="641"/>
      <c r="AB113" s="641"/>
      <c r="AC113" s="641"/>
    </row>
    <row r="114" spans="1:29">
      <c r="A114" s="49">
        <v>2005.09</v>
      </c>
      <c r="B114" s="73">
        <v>87482</v>
      </c>
      <c r="C114" s="1882">
        <f t="shared" si="6"/>
        <v>58670</v>
      </c>
      <c r="D114" s="1804">
        <v>8431</v>
      </c>
      <c r="E114" s="294">
        <v>22314</v>
      </c>
      <c r="F114" s="1804">
        <v>2839</v>
      </c>
      <c r="G114" s="294">
        <v>9983</v>
      </c>
      <c r="H114" s="1804">
        <v>9393</v>
      </c>
      <c r="I114" s="294">
        <v>4372</v>
      </c>
      <c r="J114" s="1804">
        <v>1338</v>
      </c>
      <c r="K114" s="294">
        <v>12485</v>
      </c>
      <c r="L114" s="1804">
        <v>2667</v>
      </c>
      <c r="M114" s="294">
        <v>4784</v>
      </c>
      <c r="N114" s="1892">
        <v>8876</v>
      </c>
      <c r="O114" s="1140"/>
      <c r="P114" s="61">
        <v>132902</v>
      </c>
      <c r="Q114" s="61">
        <v>2947185</v>
      </c>
      <c r="R114" s="505">
        <f t="shared" si="4"/>
        <v>658.24442070096768</v>
      </c>
      <c r="S114" s="518">
        <f t="shared" si="5"/>
        <v>29.683240108781771</v>
      </c>
      <c r="T114" s="1900"/>
      <c r="U114" s="73">
        <v>1681361</v>
      </c>
      <c r="V114" s="1901"/>
      <c r="W114" s="701"/>
      <c r="X114" s="1910"/>
      <c r="Y114" s="1139"/>
      <c r="Z114" s="641"/>
      <c r="AB114" s="641"/>
      <c r="AC114" s="641"/>
    </row>
    <row r="115" spans="1:29">
      <c r="A115" s="49">
        <v>2005.1</v>
      </c>
      <c r="B115" s="73">
        <v>95986</v>
      </c>
      <c r="C115" s="1882">
        <f t="shared" si="6"/>
        <v>61923</v>
      </c>
      <c r="D115" s="1804">
        <v>9139</v>
      </c>
      <c r="E115" s="294">
        <v>22935</v>
      </c>
      <c r="F115" s="1804">
        <v>3057</v>
      </c>
      <c r="G115" s="294">
        <v>10624</v>
      </c>
      <c r="H115" s="1804">
        <v>10024</v>
      </c>
      <c r="I115" s="294">
        <v>4685</v>
      </c>
      <c r="J115" s="1804">
        <v>1459</v>
      </c>
      <c r="K115" s="294">
        <v>13592</v>
      </c>
      <c r="L115" s="1804">
        <v>3228</v>
      </c>
      <c r="M115" s="294">
        <v>6931</v>
      </c>
      <c r="N115" s="1892">
        <v>10312</v>
      </c>
      <c r="O115" s="1140"/>
      <c r="P115" s="61">
        <v>132902</v>
      </c>
      <c r="Q115" s="61">
        <v>2865547</v>
      </c>
      <c r="R115" s="505">
        <f t="shared" si="4"/>
        <v>722.23141863929823</v>
      </c>
      <c r="S115" s="518">
        <f t="shared" si="5"/>
        <v>33.496571509732696</v>
      </c>
      <c r="T115" s="1900"/>
      <c r="U115" s="73">
        <v>1874515</v>
      </c>
      <c r="V115" s="1901"/>
      <c r="W115" s="701"/>
      <c r="X115" s="1910"/>
      <c r="Y115" s="1139"/>
      <c r="Z115" s="641"/>
      <c r="AB115" s="641"/>
      <c r="AC115" s="641"/>
    </row>
    <row r="116" spans="1:29">
      <c r="A116" s="49">
        <v>2005.11</v>
      </c>
      <c r="B116" s="73">
        <v>92242</v>
      </c>
      <c r="C116" s="1882">
        <f t="shared" si="6"/>
        <v>60342</v>
      </c>
      <c r="D116" s="1804">
        <v>9914</v>
      </c>
      <c r="E116" s="294">
        <v>22085</v>
      </c>
      <c r="F116" s="1804">
        <v>2906</v>
      </c>
      <c r="G116" s="294">
        <v>9977</v>
      </c>
      <c r="H116" s="1804">
        <v>9437</v>
      </c>
      <c r="I116" s="294">
        <v>4638</v>
      </c>
      <c r="J116" s="1804">
        <v>1385</v>
      </c>
      <c r="K116" s="294">
        <v>12840</v>
      </c>
      <c r="L116" s="1804">
        <v>3002</v>
      </c>
      <c r="M116" s="294">
        <v>6550</v>
      </c>
      <c r="N116" s="1892">
        <v>9508</v>
      </c>
      <c r="O116" s="1140"/>
      <c r="P116" s="61">
        <v>132902</v>
      </c>
      <c r="Q116" s="61">
        <v>2735591</v>
      </c>
      <c r="R116" s="505">
        <f t="shared" si="4"/>
        <v>694.06028502204629</v>
      </c>
      <c r="S116" s="518">
        <f t="shared" si="5"/>
        <v>33.719221915849268</v>
      </c>
      <c r="T116" s="1900"/>
      <c r="U116" s="73">
        <v>1775147</v>
      </c>
      <c r="V116" s="1901"/>
      <c r="W116" s="701"/>
      <c r="X116" s="1910"/>
      <c r="Y116" s="1139"/>
      <c r="Z116" s="641"/>
      <c r="AB116" s="641"/>
      <c r="AC116" s="641"/>
    </row>
    <row r="117" spans="1:29">
      <c r="A117" s="49">
        <v>2005.12</v>
      </c>
      <c r="B117" s="73">
        <v>119995</v>
      </c>
      <c r="C117" s="1882">
        <f t="shared" si="6"/>
        <v>79095</v>
      </c>
      <c r="D117" s="1804">
        <v>17158</v>
      </c>
      <c r="E117" s="294">
        <v>27329</v>
      </c>
      <c r="F117" s="1804">
        <v>3966</v>
      </c>
      <c r="G117" s="294">
        <v>11252</v>
      </c>
      <c r="H117" s="1804">
        <v>12012</v>
      </c>
      <c r="I117" s="294">
        <v>5526</v>
      </c>
      <c r="J117" s="1804">
        <v>1852</v>
      </c>
      <c r="K117" s="294">
        <v>14772</v>
      </c>
      <c r="L117" s="1804">
        <v>4195</v>
      </c>
      <c r="M117" s="294">
        <v>7720</v>
      </c>
      <c r="N117" s="1892">
        <v>14213</v>
      </c>
      <c r="O117" s="1140"/>
      <c r="P117" s="61">
        <v>132902</v>
      </c>
      <c r="Q117" s="61">
        <v>3022975</v>
      </c>
      <c r="R117" s="505">
        <f t="shared" si="4"/>
        <v>902.88332756467173</v>
      </c>
      <c r="S117" s="518">
        <f t="shared" si="5"/>
        <v>39.694340839735695</v>
      </c>
      <c r="T117" s="1900"/>
      <c r="U117" s="73">
        <v>2325308</v>
      </c>
      <c r="V117" s="1901"/>
      <c r="W117" s="701"/>
      <c r="X117" s="1910"/>
      <c r="Y117" s="1139"/>
      <c r="Z117" s="641"/>
      <c r="AB117" s="641"/>
      <c r="AC117" s="641"/>
    </row>
    <row r="118" spans="1:29">
      <c r="A118" s="49">
        <v>2006.01</v>
      </c>
      <c r="B118" s="73">
        <v>92675</v>
      </c>
      <c r="C118" s="1882">
        <f t="shared" si="6"/>
        <v>57290</v>
      </c>
      <c r="D118" s="1804">
        <v>9403</v>
      </c>
      <c r="E118" s="294">
        <v>20157</v>
      </c>
      <c r="F118" s="1804">
        <v>2819</v>
      </c>
      <c r="G118" s="294">
        <v>9493</v>
      </c>
      <c r="H118" s="1804">
        <v>9394</v>
      </c>
      <c r="I118" s="294">
        <v>4500</v>
      </c>
      <c r="J118" s="1804">
        <v>1524</v>
      </c>
      <c r="K118" s="294">
        <v>13148</v>
      </c>
      <c r="L118" s="1804">
        <v>3433</v>
      </c>
      <c r="M118" s="294">
        <v>7478</v>
      </c>
      <c r="N118" s="1892">
        <v>11326</v>
      </c>
      <c r="O118" s="1140"/>
      <c r="P118" s="61">
        <v>132902</v>
      </c>
      <c r="Q118" s="61">
        <v>2539865</v>
      </c>
      <c r="R118" s="505">
        <f t="shared" si="4"/>
        <v>697.31832478066542</v>
      </c>
      <c r="S118" s="518">
        <f t="shared" si="5"/>
        <v>36.488159803769101</v>
      </c>
      <c r="T118" s="1900"/>
      <c r="U118" s="73">
        <v>1816569</v>
      </c>
      <c r="V118" s="1901"/>
      <c r="W118" s="701"/>
      <c r="X118" s="1910"/>
      <c r="Y118" s="1139"/>
      <c r="Z118" s="641"/>
      <c r="AB118" s="641"/>
      <c r="AC118" s="641"/>
    </row>
    <row r="119" spans="1:29">
      <c r="A119" s="49">
        <v>2006.02</v>
      </c>
      <c r="B119" s="73">
        <v>92853</v>
      </c>
      <c r="C119" s="1882">
        <f t="shared" si="6"/>
        <v>60316</v>
      </c>
      <c r="D119" s="1804">
        <v>9460</v>
      </c>
      <c r="E119" s="294">
        <v>21598</v>
      </c>
      <c r="F119" s="1804">
        <v>2918</v>
      </c>
      <c r="G119" s="294">
        <v>10110</v>
      </c>
      <c r="H119" s="1804">
        <v>9895</v>
      </c>
      <c r="I119" s="294">
        <v>4657</v>
      </c>
      <c r="J119" s="1804">
        <v>1678</v>
      </c>
      <c r="K119" s="294">
        <v>13305</v>
      </c>
      <c r="L119" s="1804">
        <v>3289</v>
      </c>
      <c r="M119" s="294">
        <v>5228</v>
      </c>
      <c r="N119" s="1892">
        <v>10715</v>
      </c>
      <c r="O119" s="1140"/>
      <c r="P119" s="61">
        <v>137552</v>
      </c>
      <c r="Q119" s="61">
        <v>2582563</v>
      </c>
      <c r="R119" s="505">
        <f t="shared" si="4"/>
        <v>675.03925788065601</v>
      </c>
      <c r="S119" s="518">
        <f t="shared" si="5"/>
        <v>35.953817970752311</v>
      </c>
      <c r="T119" s="1900"/>
      <c r="U119" s="73">
        <v>1747628</v>
      </c>
      <c r="V119" s="1901"/>
      <c r="W119" s="701"/>
      <c r="X119" s="1910"/>
      <c r="Y119" s="1139"/>
      <c r="Z119" s="641"/>
      <c r="AB119" s="641"/>
      <c r="AC119" s="641"/>
    </row>
    <row r="120" spans="1:29">
      <c r="A120" s="49">
        <v>2006.03</v>
      </c>
      <c r="B120" s="73">
        <v>102417</v>
      </c>
      <c r="C120" s="1882">
        <f t="shared" si="6"/>
        <v>68119</v>
      </c>
      <c r="D120" s="1804">
        <v>9974</v>
      </c>
      <c r="E120" s="294">
        <v>25149</v>
      </c>
      <c r="F120" s="1804">
        <v>3281</v>
      </c>
      <c r="G120" s="294">
        <v>11393</v>
      </c>
      <c r="H120" s="1804">
        <v>11425</v>
      </c>
      <c r="I120" s="294">
        <v>5120</v>
      </c>
      <c r="J120" s="1804">
        <v>1777</v>
      </c>
      <c r="K120" s="294">
        <v>14598</v>
      </c>
      <c r="L120" s="1804">
        <v>3432</v>
      </c>
      <c r="M120" s="294">
        <v>5768</v>
      </c>
      <c r="N120" s="1892">
        <v>10500</v>
      </c>
      <c r="O120" s="1140"/>
      <c r="P120" s="61">
        <v>137552</v>
      </c>
      <c r="Q120" s="61">
        <v>2779856</v>
      </c>
      <c r="R120" s="505">
        <f t="shared" si="4"/>
        <v>744.5693265092475</v>
      </c>
      <c r="S120" s="518">
        <f t="shared" si="5"/>
        <v>36.842555873397757</v>
      </c>
      <c r="T120" s="1900"/>
      <c r="U120" s="73">
        <v>1925252</v>
      </c>
      <c r="V120" s="1901"/>
      <c r="W120" s="701"/>
      <c r="X120" s="1910"/>
      <c r="Y120" s="1139"/>
      <c r="Z120" s="641"/>
      <c r="AB120" s="641"/>
      <c r="AC120" s="641"/>
    </row>
    <row r="121" spans="1:29">
      <c r="A121" s="49">
        <v>2006.04</v>
      </c>
      <c r="B121" s="73">
        <v>108652</v>
      </c>
      <c r="C121" s="1882">
        <f t="shared" si="6"/>
        <v>72651</v>
      </c>
      <c r="D121" s="1804">
        <v>10546</v>
      </c>
      <c r="E121" s="294">
        <v>29135</v>
      </c>
      <c r="F121" s="1804">
        <v>3352</v>
      </c>
      <c r="G121" s="294">
        <v>11002</v>
      </c>
      <c r="H121" s="1804">
        <v>11882</v>
      </c>
      <c r="I121" s="294">
        <v>4339</v>
      </c>
      <c r="J121" s="1804">
        <v>2395</v>
      </c>
      <c r="K121" s="294">
        <v>15540</v>
      </c>
      <c r="L121" s="1804">
        <v>4171</v>
      </c>
      <c r="M121" s="294">
        <v>6640</v>
      </c>
      <c r="N121" s="1892">
        <v>9650</v>
      </c>
      <c r="O121" s="1140"/>
      <c r="P121" s="61">
        <v>137552</v>
      </c>
      <c r="Q121" s="61">
        <v>2831069</v>
      </c>
      <c r="R121" s="505">
        <f t="shared" si="4"/>
        <v>789.89763871117839</v>
      </c>
      <c r="S121" s="518">
        <f t="shared" si="5"/>
        <v>38.378435848790687</v>
      </c>
      <c r="T121" s="1900"/>
      <c r="U121" s="73">
        <v>2022680</v>
      </c>
      <c r="V121" s="1901"/>
      <c r="W121" s="701"/>
      <c r="X121" s="1910"/>
      <c r="Y121" s="1139"/>
      <c r="Z121" s="641"/>
      <c r="AB121" s="641"/>
      <c r="AC121" s="641"/>
    </row>
    <row r="122" spans="1:29">
      <c r="A122" s="49">
        <v>2006.05</v>
      </c>
      <c r="B122" s="73">
        <v>103787</v>
      </c>
      <c r="C122" s="1882">
        <f t="shared" si="6"/>
        <v>66716</v>
      </c>
      <c r="D122" s="1804">
        <v>9650</v>
      </c>
      <c r="E122" s="294">
        <v>26256</v>
      </c>
      <c r="F122" s="1804">
        <v>3215</v>
      </c>
      <c r="G122" s="294">
        <v>10405</v>
      </c>
      <c r="H122" s="1804">
        <v>10812</v>
      </c>
      <c r="I122" s="294">
        <v>4031</v>
      </c>
      <c r="J122" s="1804">
        <v>2347</v>
      </c>
      <c r="K122" s="294">
        <v>14417</v>
      </c>
      <c r="L122" s="1804">
        <v>4474</v>
      </c>
      <c r="M122" s="294">
        <v>8546</v>
      </c>
      <c r="N122" s="1892">
        <v>9634</v>
      </c>
      <c r="O122" s="1140"/>
      <c r="P122" s="61">
        <v>137552</v>
      </c>
      <c r="Q122" s="61">
        <v>2728269</v>
      </c>
      <c r="R122" s="505">
        <f t="shared" si="4"/>
        <v>754.52919623124353</v>
      </c>
      <c r="S122" s="518">
        <f t="shared" si="5"/>
        <v>38.041336832988243</v>
      </c>
      <c r="T122" s="1900"/>
      <c r="U122" s="73">
        <v>1903988</v>
      </c>
      <c r="V122" s="1901"/>
      <c r="W122" s="701"/>
      <c r="X122" s="1910"/>
      <c r="Y122" s="1139"/>
      <c r="Z122" s="641"/>
      <c r="AB122" s="641"/>
      <c r="AC122" s="641"/>
    </row>
    <row r="123" spans="1:29">
      <c r="A123" s="49">
        <v>2006.06</v>
      </c>
      <c r="B123" s="73">
        <v>107104</v>
      </c>
      <c r="C123" s="1882">
        <f t="shared" si="6"/>
        <v>69606</v>
      </c>
      <c r="D123" s="1804">
        <v>10196</v>
      </c>
      <c r="E123" s="294">
        <v>27897</v>
      </c>
      <c r="F123" s="1804">
        <v>3392</v>
      </c>
      <c r="G123" s="294">
        <v>10943</v>
      </c>
      <c r="H123" s="1804">
        <v>10959</v>
      </c>
      <c r="I123" s="294">
        <v>4016</v>
      </c>
      <c r="J123" s="1804">
        <v>2203</v>
      </c>
      <c r="K123" s="294">
        <v>15034</v>
      </c>
      <c r="L123" s="1804">
        <v>4517</v>
      </c>
      <c r="M123" s="294">
        <v>8247</v>
      </c>
      <c r="N123" s="1892">
        <v>9700</v>
      </c>
      <c r="O123" s="1140"/>
      <c r="P123" s="61">
        <v>137552</v>
      </c>
      <c r="Q123" s="61">
        <v>2748118</v>
      </c>
      <c r="R123" s="505">
        <f t="shared" si="4"/>
        <v>778.64371292311273</v>
      </c>
      <c r="S123" s="518">
        <f t="shared" si="5"/>
        <v>38.973581192656212</v>
      </c>
      <c r="T123" s="1900"/>
      <c r="U123" s="73">
        <v>1972359</v>
      </c>
      <c r="V123" s="1901"/>
      <c r="W123" s="701"/>
      <c r="X123" s="1910"/>
      <c r="Y123" s="1139"/>
      <c r="Z123" s="641"/>
      <c r="AB123" s="641"/>
      <c r="AC123" s="641"/>
    </row>
    <row r="124" spans="1:29">
      <c r="A124" s="49">
        <v>2006.07</v>
      </c>
      <c r="B124" s="73">
        <v>113226</v>
      </c>
      <c r="C124" s="1882">
        <f t="shared" si="6"/>
        <v>74239</v>
      </c>
      <c r="D124" s="1804">
        <v>11011</v>
      </c>
      <c r="E124" s="294">
        <v>29764</v>
      </c>
      <c r="F124" s="1804">
        <v>3593</v>
      </c>
      <c r="G124" s="294">
        <v>11668</v>
      </c>
      <c r="H124" s="1804">
        <v>11511</v>
      </c>
      <c r="I124" s="294">
        <v>4197</v>
      </c>
      <c r="J124" s="1804">
        <v>2495</v>
      </c>
      <c r="K124" s="294">
        <v>16653</v>
      </c>
      <c r="L124" s="1804">
        <v>4811</v>
      </c>
      <c r="M124" s="294">
        <v>6117</v>
      </c>
      <c r="N124" s="1892">
        <v>11406</v>
      </c>
      <c r="O124" s="1140"/>
      <c r="P124" s="61">
        <v>137552</v>
      </c>
      <c r="Q124" s="61">
        <v>2882167</v>
      </c>
      <c r="R124" s="505">
        <f t="shared" si="4"/>
        <v>823.15051762242638</v>
      </c>
      <c r="S124" s="518">
        <f t="shared" si="5"/>
        <v>39.285024080839179</v>
      </c>
      <c r="T124" s="1900"/>
      <c r="U124" s="73">
        <v>2096546</v>
      </c>
      <c r="V124" s="1901"/>
      <c r="W124" s="701"/>
      <c r="X124" s="1910"/>
      <c r="Y124" s="1139"/>
      <c r="Z124" s="641"/>
      <c r="AB124" s="641"/>
      <c r="AC124" s="641"/>
    </row>
    <row r="125" spans="1:29">
      <c r="A125" s="49">
        <v>2006.08</v>
      </c>
      <c r="B125" s="73">
        <v>109242</v>
      </c>
      <c r="C125" s="1882">
        <f t="shared" si="6"/>
        <v>72307</v>
      </c>
      <c r="D125" s="1804">
        <v>10673</v>
      </c>
      <c r="E125" s="294">
        <v>28974</v>
      </c>
      <c r="F125" s="1804">
        <v>3499</v>
      </c>
      <c r="G125" s="294">
        <v>11445</v>
      </c>
      <c r="H125" s="1804">
        <v>11195</v>
      </c>
      <c r="I125" s="294">
        <v>4203</v>
      </c>
      <c r="J125" s="1804">
        <v>2318</v>
      </c>
      <c r="K125" s="294">
        <v>15894</v>
      </c>
      <c r="L125" s="1804">
        <v>3760</v>
      </c>
      <c r="M125" s="294">
        <v>6025</v>
      </c>
      <c r="N125" s="1892">
        <v>11256</v>
      </c>
      <c r="O125" s="1140"/>
      <c r="P125" s="61">
        <v>137552</v>
      </c>
      <c r="Q125" s="61">
        <v>2825484</v>
      </c>
      <c r="R125" s="505">
        <f t="shared" si="4"/>
        <v>794.18692567174594</v>
      </c>
      <c r="S125" s="518">
        <f t="shared" si="5"/>
        <v>38.663110461782829</v>
      </c>
      <c r="T125" s="1900"/>
      <c r="U125" s="73">
        <v>2026728</v>
      </c>
      <c r="V125" s="1901"/>
      <c r="W125" s="701"/>
      <c r="X125" s="1910"/>
      <c r="Y125" s="1139"/>
      <c r="Z125" s="641"/>
      <c r="AB125" s="641"/>
      <c r="AC125" s="641"/>
    </row>
    <row r="126" spans="1:29">
      <c r="A126" s="49">
        <v>2006.09</v>
      </c>
      <c r="B126" s="73">
        <v>108858</v>
      </c>
      <c r="C126" s="1882">
        <f t="shared" si="6"/>
        <v>73450</v>
      </c>
      <c r="D126" s="1804">
        <v>11155</v>
      </c>
      <c r="E126" s="294">
        <v>29093</v>
      </c>
      <c r="F126" s="1804">
        <v>3481</v>
      </c>
      <c r="G126" s="294">
        <v>11652</v>
      </c>
      <c r="H126" s="1804">
        <v>11309</v>
      </c>
      <c r="I126" s="294">
        <v>4415</v>
      </c>
      <c r="J126" s="1804">
        <v>2345</v>
      </c>
      <c r="K126" s="294">
        <v>16534</v>
      </c>
      <c r="L126" s="1804">
        <v>3350</v>
      </c>
      <c r="M126" s="294">
        <v>4975</v>
      </c>
      <c r="N126" s="1892">
        <v>10549</v>
      </c>
      <c r="O126" s="1140"/>
      <c r="P126" s="61">
        <v>137552</v>
      </c>
      <c r="Q126" s="61">
        <v>2738367</v>
      </c>
      <c r="R126" s="505">
        <f t="shared" si="4"/>
        <v>791.39525415842741</v>
      </c>
      <c r="S126" s="518">
        <f t="shared" si="5"/>
        <v>39.752889221934097</v>
      </c>
      <c r="T126" s="1900"/>
      <c r="U126" s="73">
        <v>2036591</v>
      </c>
      <c r="V126" s="1901"/>
      <c r="W126" s="701"/>
      <c r="X126" s="1910"/>
      <c r="Y126" s="1139"/>
      <c r="Z126" s="641"/>
      <c r="AB126" s="641"/>
      <c r="AC126" s="641"/>
    </row>
    <row r="127" spans="1:29">
      <c r="A127" s="49">
        <v>2006.1</v>
      </c>
      <c r="B127" s="73">
        <v>113885</v>
      </c>
      <c r="C127" s="1882">
        <f t="shared" si="6"/>
        <v>75193</v>
      </c>
      <c r="D127" s="1804">
        <v>11713</v>
      </c>
      <c r="E127" s="294">
        <v>28647</v>
      </c>
      <c r="F127" s="1804">
        <v>3432</v>
      </c>
      <c r="G127" s="294">
        <v>12173</v>
      </c>
      <c r="H127" s="1804">
        <v>11853</v>
      </c>
      <c r="I127" s="294">
        <v>4918</v>
      </c>
      <c r="J127" s="1804">
        <v>2457</v>
      </c>
      <c r="K127" s="294">
        <v>17274</v>
      </c>
      <c r="L127" s="1804">
        <v>3497</v>
      </c>
      <c r="M127" s="294">
        <v>6777</v>
      </c>
      <c r="N127" s="1892">
        <v>11144</v>
      </c>
      <c r="O127" s="1140"/>
      <c r="P127" s="61">
        <v>137552</v>
      </c>
      <c r="Q127" s="61">
        <v>2820852</v>
      </c>
      <c r="R127" s="505">
        <f t="shared" si="4"/>
        <v>827.94143305804346</v>
      </c>
      <c r="S127" s="518">
        <f t="shared" si="5"/>
        <v>40.372554107766021</v>
      </c>
      <c r="T127" s="1900"/>
      <c r="U127" s="73">
        <v>2141626</v>
      </c>
      <c r="V127" s="1901"/>
      <c r="W127" s="701"/>
      <c r="X127" s="1910"/>
      <c r="Y127" s="1139"/>
      <c r="Z127" s="641"/>
      <c r="AB127" s="641"/>
      <c r="AC127" s="641"/>
    </row>
    <row r="128" spans="1:29">
      <c r="A128" s="49">
        <v>2006.11</v>
      </c>
      <c r="B128" s="73">
        <v>112675</v>
      </c>
      <c r="C128" s="1882">
        <f t="shared" si="6"/>
        <v>75481</v>
      </c>
      <c r="D128" s="1804">
        <v>12437</v>
      </c>
      <c r="E128" s="294">
        <v>29130</v>
      </c>
      <c r="F128" s="1804">
        <v>3407</v>
      </c>
      <c r="G128" s="294">
        <v>11896</v>
      </c>
      <c r="H128" s="1804">
        <v>11100</v>
      </c>
      <c r="I128" s="294">
        <v>5156</v>
      </c>
      <c r="J128" s="1804">
        <v>2355</v>
      </c>
      <c r="K128" s="294">
        <v>16847</v>
      </c>
      <c r="L128" s="1804">
        <v>3157</v>
      </c>
      <c r="M128" s="294">
        <v>5816</v>
      </c>
      <c r="N128" s="1892">
        <v>11374</v>
      </c>
      <c r="O128" s="1140"/>
      <c r="P128" s="61">
        <v>137552</v>
      </c>
      <c r="Q128" s="61">
        <v>2689611</v>
      </c>
      <c r="R128" s="505">
        <f t="shared" si="4"/>
        <v>819.14475979993017</v>
      </c>
      <c r="S128" s="518">
        <f t="shared" si="5"/>
        <v>41.892675186114275</v>
      </c>
      <c r="T128" s="1900"/>
      <c r="U128" s="73">
        <v>2082643</v>
      </c>
      <c r="V128" s="1901"/>
      <c r="W128" s="701"/>
      <c r="X128" s="1910"/>
      <c r="Y128" s="1139"/>
      <c r="Z128" s="641"/>
      <c r="AB128" s="641"/>
      <c r="AC128" s="641"/>
    </row>
    <row r="129" spans="1:29">
      <c r="A129" s="49">
        <v>2006.12</v>
      </c>
      <c r="B129" s="73">
        <v>153872</v>
      </c>
      <c r="C129" s="1882">
        <f t="shared" si="6"/>
        <v>104008</v>
      </c>
      <c r="D129" s="1804">
        <v>22879</v>
      </c>
      <c r="E129" s="294">
        <v>38161</v>
      </c>
      <c r="F129" s="1804">
        <v>4690</v>
      </c>
      <c r="G129" s="294">
        <v>13305</v>
      </c>
      <c r="H129" s="1804">
        <v>15195</v>
      </c>
      <c r="I129" s="294">
        <v>6631</v>
      </c>
      <c r="J129" s="1804">
        <v>3147</v>
      </c>
      <c r="K129" s="294">
        <v>20103</v>
      </c>
      <c r="L129" s="1804">
        <v>4839</v>
      </c>
      <c r="M129" s="294">
        <v>7920</v>
      </c>
      <c r="N129" s="1892">
        <v>17002</v>
      </c>
      <c r="O129" s="1140"/>
      <c r="P129" s="61">
        <v>137552</v>
      </c>
      <c r="Q129" s="61">
        <v>3121842</v>
      </c>
      <c r="R129" s="505">
        <f t="shared" si="4"/>
        <v>1118.6460393160405</v>
      </c>
      <c r="S129" s="518">
        <f t="shared" si="5"/>
        <v>49.288849339588616</v>
      </c>
      <c r="T129" s="1900"/>
      <c r="U129" s="73">
        <v>2860346</v>
      </c>
      <c r="V129" s="1901"/>
      <c r="W129" s="701"/>
      <c r="X129" s="1910"/>
      <c r="Y129" s="1139"/>
      <c r="Z129" s="641"/>
      <c r="AB129" s="641"/>
      <c r="AC129" s="641"/>
    </row>
    <row r="130" spans="1:29">
      <c r="A130" s="49">
        <v>2007.01</v>
      </c>
      <c r="B130" s="73">
        <v>114885</v>
      </c>
      <c r="C130" s="1882">
        <f t="shared" si="6"/>
        <v>72903</v>
      </c>
      <c r="D130" s="1804">
        <v>11507</v>
      </c>
      <c r="E130" s="294">
        <v>28565</v>
      </c>
      <c r="F130" s="1804">
        <v>3090</v>
      </c>
      <c r="G130" s="294">
        <v>10238</v>
      </c>
      <c r="H130" s="1804">
        <v>11544</v>
      </c>
      <c r="I130" s="294">
        <v>5501</v>
      </c>
      <c r="J130" s="1804">
        <v>2458</v>
      </c>
      <c r="K130" s="294">
        <v>17527</v>
      </c>
      <c r="L130" s="1804">
        <v>4150</v>
      </c>
      <c r="M130" s="294">
        <v>6692</v>
      </c>
      <c r="N130" s="1892">
        <v>13613</v>
      </c>
      <c r="O130" s="1140"/>
      <c r="P130" s="61">
        <v>137552</v>
      </c>
      <c r="Q130" s="61">
        <v>2695029</v>
      </c>
      <c r="R130" s="505">
        <f t="shared" si="4"/>
        <v>835.2114109573107</v>
      </c>
      <c r="S130" s="518">
        <f t="shared" si="5"/>
        <v>42.62848377512821</v>
      </c>
      <c r="T130" s="1900"/>
      <c r="U130" s="73">
        <v>2200860</v>
      </c>
      <c r="V130" s="1901"/>
      <c r="W130" s="701"/>
      <c r="X130" s="1910"/>
      <c r="Y130" s="1139"/>
      <c r="Z130" s="641"/>
      <c r="AB130" s="641"/>
      <c r="AC130" s="641"/>
    </row>
    <row r="131" spans="1:29">
      <c r="A131" s="49">
        <v>2007.02</v>
      </c>
      <c r="B131" s="73">
        <v>110498</v>
      </c>
      <c r="C131" s="1882">
        <f t="shared" si="6"/>
        <v>70898</v>
      </c>
      <c r="D131" s="1804">
        <v>11261</v>
      </c>
      <c r="E131" s="294">
        <v>26672</v>
      </c>
      <c r="F131" s="1804">
        <v>2940</v>
      </c>
      <c r="G131" s="294">
        <v>11228</v>
      </c>
      <c r="H131" s="1804">
        <v>11211</v>
      </c>
      <c r="I131" s="294">
        <v>5232</v>
      </c>
      <c r="J131" s="1804">
        <v>2354</v>
      </c>
      <c r="K131" s="294">
        <v>16646</v>
      </c>
      <c r="L131" s="1804">
        <v>3798</v>
      </c>
      <c r="M131" s="294">
        <v>5689</v>
      </c>
      <c r="N131" s="1892">
        <v>13467</v>
      </c>
      <c r="O131" s="1140"/>
      <c r="P131" s="61">
        <v>137552</v>
      </c>
      <c r="Q131" s="61">
        <v>2564990</v>
      </c>
      <c r="R131" s="505">
        <f t="shared" si="4"/>
        <v>803.3180179132255</v>
      </c>
      <c r="S131" s="518">
        <f t="shared" si="5"/>
        <v>43.079310250722223</v>
      </c>
      <c r="T131" s="1900"/>
      <c r="U131" s="73">
        <v>2146718</v>
      </c>
      <c r="V131" s="1901"/>
      <c r="W131" s="701"/>
      <c r="X131" s="1910"/>
      <c r="Y131" s="1139"/>
      <c r="Z131" s="641"/>
      <c r="AB131" s="641"/>
      <c r="AC131" s="641"/>
    </row>
    <row r="132" spans="1:29">
      <c r="A132" s="49">
        <v>2007.03</v>
      </c>
      <c r="B132" s="73">
        <v>130707</v>
      </c>
      <c r="C132" s="1882">
        <f t="shared" si="6"/>
        <v>85919</v>
      </c>
      <c r="D132" s="1804">
        <v>12361</v>
      </c>
      <c r="E132" s="294">
        <v>34167</v>
      </c>
      <c r="F132" s="1804">
        <v>3520</v>
      </c>
      <c r="G132" s="294">
        <v>13630</v>
      </c>
      <c r="H132" s="1804">
        <v>13569</v>
      </c>
      <c r="I132" s="294">
        <v>5929</v>
      </c>
      <c r="J132" s="1804">
        <v>2743</v>
      </c>
      <c r="K132" s="294">
        <v>19797</v>
      </c>
      <c r="L132" s="1804">
        <v>4764</v>
      </c>
      <c r="M132" s="294">
        <v>6729</v>
      </c>
      <c r="N132" s="1892">
        <v>13498</v>
      </c>
      <c r="O132" s="1140"/>
      <c r="P132" s="61">
        <v>137552</v>
      </c>
      <c r="Q132" s="61">
        <v>2919497</v>
      </c>
      <c r="R132" s="505">
        <f t="shared" si="4"/>
        <v>950.23700127951611</v>
      </c>
      <c r="S132" s="518">
        <f t="shared" si="5"/>
        <v>44.770383391385572</v>
      </c>
      <c r="T132" s="1900"/>
      <c r="U132" s="73">
        <v>2481669</v>
      </c>
      <c r="V132" s="1901"/>
      <c r="W132" s="701"/>
      <c r="X132" s="1910"/>
      <c r="Y132" s="1139"/>
      <c r="Z132" s="641"/>
      <c r="AB132" s="641"/>
      <c r="AC132" s="641"/>
    </row>
    <row r="133" spans="1:29">
      <c r="A133" s="49">
        <v>2007.04</v>
      </c>
      <c r="B133" s="73">
        <v>130647</v>
      </c>
      <c r="C133" s="1882">
        <f t="shared" si="6"/>
        <v>86302</v>
      </c>
      <c r="D133" s="1804">
        <v>12505</v>
      </c>
      <c r="E133" s="294">
        <v>34468</v>
      </c>
      <c r="F133" s="1804">
        <v>3594</v>
      </c>
      <c r="G133" s="294">
        <v>13337</v>
      </c>
      <c r="H133" s="1804">
        <v>13691</v>
      </c>
      <c r="I133" s="294">
        <v>5878</v>
      </c>
      <c r="J133" s="1804">
        <v>2829</v>
      </c>
      <c r="K133" s="294">
        <v>19252</v>
      </c>
      <c r="L133" s="1804">
        <v>5170</v>
      </c>
      <c r="M133" s="294">
        <v>6755</v>
      </c>
      <c r="N133" s="1892">
        <v>13168</v>
      </c>
      <c r="O133" s="1140"/>
      <c r="P133" s="61">
        <v>137552</v>
      </c>
      <c r="Q133" s="61">
        <v>2920440</v>
      </c>
      <c r="R133" s="505">
        <f t="shared" si="4"/>
        <v>949.80080260556008</v>
      </c>
      <c r="S133" s="518">
        <f t="shared" si="5"/>
        <v>44.735382339647451</v>
      </c>
      <c r="T133" s="1900"/>
      <c r="U133" s="73">
        <v>2428950</v>
      </c>
      <c r="V133" s="1901"/>
      <c r="W133" s="701"/>
      <c r="X133" s="1910"/>
      <c r="Y133" s="1139"/>
      <c r="Z133" s="641"/>
      <c r="AB133" s="641"/>
      <c r="AC133" s="641"/>
    </row>
    <row r="134" spans="1:29">
      <c r="A134" s="49">
        <v>2007.05</v>
      </c>
      <c r="B134" s="73">
        <v>128823</v>
      </c>
      <c r="C134" s="1882">
        <f t="shared" si="6"/>
        <v>84434</v>
      </c>
      <c r="D134" s="1804">
        <v>12110</v>
      </c>
      <c r="E134" s="294">
        <v>33873</v>
      </c>
      <c r="F134" s="1804">
        <v>3590</v>
      </c>
      <c r="G134" s="294">
        <v>13261</v>
      </c>
      <c r="H134" s="1804">
        <v>13283</v>
      </c>
      <c r="I134" s="294">
        <v>5625</v>
      </c>
      <c r="J134" s="1804">
        <v>2692</v>
      </c>
      <c r="K134" s="294">
        <v>18221</v>
      </c>
      <c r="L134" s="1804">
        <v>5740</v>
      </c>
      <c r="M134" s="294">
        <v>8160</v>
      </c>
      <c r="N134" s="1892">
        <v>12268</v>
      </c>
      <c r="O134" s="1140"/>
      <c r="P134" s="61">
        <v>137552</v>
      </c>
      <c r="Q134" s="61">
        <v>2849965</v>
      </c>
      <c r="R134" s="505">
        <f t="shared" si="4"/>
        <v>936.54036291729665</v>
      </c>
      <c r="S134" s="518">
        <f t="shared" si="5"/>
        <v>45.201607739042409</v>
      </c>
      <c r="T134" s="1900"/>
      <c r="U134" s="73">
        <v>2385531</v>
      </c>
      <c r="V134" s="1901"/>
      <c r="W134" s="701"/>
      <c r="X134" s="1910"/>
      <c r="Y134" s="1139"/>
      <c r="Z134" s="641"/>
      <c r="AB134" s="641"/>
      <c r="AC134" s="641"/>
    </row>
    <row r="135" spans="1:29">
      <c r="A135" s="49">
        <v>2007.06</v>
      </c>
      <c r="B135" s="73">
        <v>141179</v>
      </c>
      <c r="C135" s="1882">
        <f t="shared" si="6"/>
        <v>92924</v>
      </c>
      <c r="D135" s="1804">
        <v>13627</v>
      </c>
      <c r="E135" s="294">
        <v>37780</v>
      </c>
      <c r="F135" s="1804">
        <v>3429</v>
      </c>
      <c r="G135" s="294">
        <v>14790</v>
      </c>
      <c r="H135" s="1804">
        <v>14404</v>
      </c>
      <c r="I135" s="294">
        <v>5783</v>
      </c>
      <c r="J135" s="1804">
        <v>3111</v>
      </c>
      <c r="K135" s="294">
        <v>19541</v>
      </c>
      <c r="L135" s="1804">
        <v>5567</v>
      </c>
      <c r="M135" s="294">
        <v>9279</v>
      </c>
      <c r="N135" s="1892">
        <v>13868</v>
      </c>
      <c r="O135" s="1140"/>
      <c r="P135" s="61">
        <v>137552</v>
      </c>
      <c r="Q135" s="61">
        <v>2916438</v>
      </c>
      <c r="R135" s="505">
        <f t="shared" si="4"/>
        <v>1026.3682098406421</v>
      </c>
      <c r="S135" s="518">
        <f t="shared" si="5"/>
        <v>48.408023760491396</v>
      </c>
      <c r="T135" s="1900"/>
      <c r="U135" s="73">
        <v>2579846</v>
      </c>
      <c r="V135" s="1901"/>
      <c r="W135" s="701"/>
      <c r="X135" s="1910"/>
      <c r="Y135" s="1139"/>
      <c r="Z135" s="641"/>
      <c r="AB135" s="641"/>
      <c r="AC135" s="641"/>
    </row>
    <row r="136" spans="1:29">
      <c r="A136" s="49">
        <v>2007.07</v>
      </c>
      <c r="B136" s="73">
        <v>145477</v>
      </c>
      <c r="C136" s="1882">
        <f t="shared" si="6"/>
        <v>95401</v>
      </c>
      <c r="D136" s="1804">
        <v>13502</v>
      </c>
      <c r="E136" s="294">
        <v>39185</v>
      </c>
      <c r="F136" s="1804">
        <v>4272</v>
      </c>
      <c r="G136" s="294">
        <v>15123</v>
      </c>
      <c r="H136" s="1804">
        <v>14484</v>
      </c>
      <c r="I136" s="294">
        <v>5681</v>
      </c>
      <c r="J136" s="1804">
        <v>3154</v>
      </c>
      <c r="K136" s="294">
        <v>19857</v>
      </c>
      <c r="L136" s="1804">
        <v>5617</v>
      </c>
      <c r="M136" s="294">
        <v>9042</v>
      </c>
      <c r="N136" s="1892">
        <v>15560</v>
      </c>
      <c r="O136" s="1140"/>
      <c r="P136" s="61">
        <v>137552</v>
      </c>
      <c r="Q136" s="61">
        <v>2993552</v>
      </c>
      <c r="R136" s="505">
        <f t="shared" si="4"/>
        <v>1057.6145748516926</v>
      </c>
      <c r="S136" s="518">
        <f t="shared" si="5"/>
        <v>48.59678402112273</v>
      </c>
      <c r="T136" s="1900"/>
      <c r="U136" s="73">
        <v>2685958</v>
      </c>
      <c r="V136" s="1901"/>
      <c r="W136" s="701"/>
      <c r="X136" s="1910"/>
      <c r="Y136" s="1139"/>
      <c r="Z136" s="641"/>
      <c r="AB136" s="641"/>
      <c r="AC136" s="641"/>
    </row>
    <row r="137" spans="1:29">
      <c r="A137" s="49">
        <v>2007.08</v>
      </c>
      <c r="B137" s="73">
        <v>148854</v>
      </c>
      <c r="C137" s="1882">
        <f t="shared" si="6"/>
        <v>98189</v>
      </c>
      <c r="D137" s="1804">
        <v>13801</v>
      </c>
      <c r="E137" s="294">
        <v>40282</v>
      </c>
      <c r="F137" s="1804">
        <v>4420</v>
      </c>
      <c r="G137" s="294">
        <v>15297</v>
      </c>
      <c r="H137" s="1804">
        <v>15049</v>
      </c>
      <c r="I137" s="294">
        <v>6177</v>
      </c>
      <c r="J137" s="1804">
        <v>3163</v>
      </c>
      <c r="K137" s="294">
        <v>20474</v>
      </c>
      <c r="L137" s="1804">
        <v>4827</v>
      </c>
      <c r="M137" s="294">
        <v>8314</v>
      </c>
      <c r="N137" s="1892">
        <v>17050</v>
      </c>
      <c r="O137" s="1140"/>
      <c r="P137" s="61">
        <v>137552</v>
      </c>
      <c r="Q137" s="61">
        <v>3000990</v>
      </c>
      <c r="R137" s="505">
        <f t="shared" si="4"/>
        <v>1082.1652902175178</v>
      </c>
      <c r="S137" s="518">
        <f t="shared" si="5"/>
        <v>49.601631461617671</v>
      </c>
      <c r="T137" s="1900"/>
      <c r="U137" s="73">
        <v>2762085</v>
      </c>
      <c r="V137" s="1901"/>
      <c r="W137" s="701"/>
      <c r="X137" s="1910"/>
      <c r="Y137" s="1139"/>
      <c r="Z137" s="641"/>
      <c r="AB137" s="641"/>
      <c r="AC137" s="641"/>
    </row>
    <row r="138" spans="1:29">
      <c r="A138" s="49">
        <v>2007.09</v>
      </c>
      <c r="B138" s="73">
        <v>148976</v>
      </c>
      <c r="C138" s="1882">
        <f t="shared" si="6"/>
        <v>99070</v>
      </c>
      <c r="D138" s="1804">
        <v>14553</v>
      </c>
      <c r="E138" s="294">
        <v>39551</v>
      </c>
      <c r="F138" s="1804">
        <v>4558</v>
      </c>
      <c r="G138" s="294">
        <v>15500</v>
      </c>
      <c r="H138" s="1804">
        <v>15165</v>
      </c>
      <c r="I138" s="294">
        <v>6351</v>
      </c>
      <c r="J138" s="1804">
        <v>3392</v>
      </c>
      <c r="K138" s="294">
        <v>20954</v>
      </c>
      <c r="L138" s="1804">
        <v>4707</v>
      </c>
      <c r="M138" s="294">
        <v>8638</v>
      </c>
      <c r="N138" s="1892">
        <v>15607</v>
      </c>
      <c r="O138" s="1140"/>
      <c r="P138" s="61">
        <v>137552</v>
      </c>
      <c r="Q138" s="61">
        <v>2918927</v>
      </c>
      <c r="R138" s="505">
        <f t="shared" si="4"/>
        <v>1083.0522275212284</v>
      </c>
      <c r="S138" s="518">
        <f t="shared" si="5"/>
        <v>51.037932774612045</v>
      </c>
      <c r="T138" s="1900"/>
      <c r="U138" s="73">
        <v>2781955</v>
      </c>
      <c r="V138" s="1901"/>
      <c r="W138" s="701"/>
      <c r="X138" s="1910"/>
      <c r="Y138" s="1139"/>
      <c r="Z138" s="641"/>
      <c r="AB138" s="641"/>
      <c r="AC138" s="641"/>
    </row>
    <row r="139" spans="1:29">
      <c r="A139" s="49">
        <v>2007.1</v>
      </c>
      <c r="B139" s="73">
        <v>153663</v>
      </c>
      <c r="C139" s="1882">
        <f t="shared" si="6"/>
        <v>99326</v>
      </c>
      <c r="D139" s="1804">
        <v>16671</v>
      </c>
      <c r="E139" s="294">
        <v>37746</v>
      </c>
      <c r="F139" s="1804">
        <v>4326</v>
      </c>
      <c r="G139" s="294">
        <v>15527</v>
      </c>
      <c r="H139" s="1804">
        <v>15291</v>
      </c>
      <c r="I139" s="294">
        <v>6426</v>
      </c>
      <c r="J139" s="1804">
        <v>3339</v>
      </c>
      <c r="K139" s="294">
        <v>21633</v>
      </c>
      <c r="L139" s="1804">
        <v>5121</v>
      </c>
      <c r="M139" s="294">
        <v>10754</v>
      </c>
      <c r="N139" s="1892">
        <v>16829</v>
      </c>
      <c r="O139" s="1140"/>
      <c r="P139" s="61">
        <v>137552</v>
      </c>
      <c r="Q139" s="61">
        <v>2943692</v>
      </c>
      <c r="R139" s="505">
        <f t="shared" ref="R139:R165" si="7">$B139/P139*1000</f>
        <v>1117.1266139350937</v>
      </c>
      <c r="S139" s="518">
        <f t="shared" ref="S139:S165" si="8">$B139/Q139*1000</f>
        <v>52.200773722250837</v>
      </c>
      <c r="T139" s="1900"/>
      <c r="U139" s="73">
        <v>2892830</v>
      </c>
      <c r="V139" s="1901"/>
      <c r="W139" s="701"/>
      <c r="X139" s="1910"/>
      <c r="Y139" s="1139"/>
      <c r="Z139" s="641"/>
      <c r="AB139" s="641"/>
      <c r="AC139" s="641"/>
    </row>
    <row r="140" spans="1:29">
      <c r="A140" s="49">
        <v>2007.11</v>
      </c>
      <c r="B140" s="73">
        <v>153827</v>
      </c>
      <c r="C140" s="1882">
        <f t="shared" ref="C140:C189" si="9">SUM(D140:J140)</f>
        <v>102556</v>
      </c>
      <c r="D140" s="1804">
        <v>19459</v>
      </c>
      <c r="E140" s="294">
        <v>38669</v>
      </c>
      <c r="F140" s="1804">
        <v>4299</v>
      </c>
      <c r="G140" s="294">
        <v>15332</v>
      </c>
      <c r="H140" s="1804">
        <v>15148</v>
      </c>
      <c r="I140" s="294">
        <v>6144</v>
      </c>
      <c r="J140" s="1804">
        <v>3505</v>
      </c>
      <c r="K140" s="294">
        <v>21910</v>
      </c>
      <c r="L140" s="1804">
        <v>4827</v>
      </c>
      <c r="M140" s="294">
        <v>7965</v>
      </c>
      <c r="N140" s="1892">
        <v>16569</v>
      </c>
      <c r="O140" s="1140"/>
      <c r="P140" s="61">
        <v>137552</v>
      </c>
      <c r="Q140" s="61">
        <v>2884262</v>
      </c>
      <c r="R140" s="505">
        <f t="shared" si="7"/>
        <v>1118.3188903105734</v>
      </c>
      <c r="S140" s="518">
        <f t="shared" si="8"/>
        <v>53.333227009196804</v>
      </c>
      <c r="T140" s="1900"/>
      <c r="U140" s="73">
        <v>2856893</v>
      </c>
      <c r="V140" s="1901"/>
      <c r="W140" s="701"/>
      <c r="X140" s="1910"/>
      <c r="Y140" s="1139"/>
      <c r="Z140" s="641"/>
      <c r="AB140" s="641"/>
      <c r="AC140" s="641"/>
    </row>
    <row r="141" spans="1:29">
      <c r="A141" s="49">
        <v>2007.12</v>
      </c>
      <c r="B141" s="73">
        <v>203264</v>
      </c>
      <c r="C141" s="1882">
        <f t="shared" si="9"/>
        <v>134035</v>
      </c>
      <c r="D141" s="1804">
        <v>31273</v>
      </c>
      <c r="E141" s="294">
        <v>48744</v>
      </c>
      <c r="F141" s="1804">
        <v>5650</v>
      </c>
      <c r="G141" s="294">
        <v>16850</v>
      </c>
      <c r="H141" s="1804">
        <v>19826</v>
      </c>
      <c r="I141" s="294">
        <v>7598</v>
      </c>
      <c r="J141" s="1804">
        <v>4094</v>
      </c>
      <c r="K141" s="294">
        <v>25237</v>
      </c>
      <c r="L141" s="1804">
        <v>7349</v>
      </c>
      <c r="M141" s="294">
        <v>11624</v>
      </c>
      <c r="N141" s="1892">
        <v>25019</v>
      </c>
      <c r="O141" s="1140"/>
      <c r="P141" s="61">
        <v>139552</v>
      </c>
      <c r="Q141" s="61">
        <v>3206034</v>
      </c>
      <c r="R141" s="505">
        <f t="shared" si="7"/>
        <v>1456.546663609264</v>
      </c>
      <c r="S141" s="518">
        <f t="shared" si="8"/>
        <v>63.400450525477893</v>
      </c>
      <c r="T141" s="1900"/>
      <c r="U141" s="73">
        <v>3857861</v>
      </c>
      <c r="V141" s="1901"/>
      <c r="W141" s="701"/>
      <c r="X141" s="1910"/>
      <c r="Y141" s="1139"/>
      <c r="Z141" s="641"/>
      <c r="AB141" s="641"/>
      <c r="AC141" s="641"/>
    </row>
    <row r="142" spans="1:29">
      <c r="A142" s="49">
        <f t="shared" ref="A142:A205" si="10">A130+1</f>
        <v>2008.01</v>
      </c>
      <c r="B142" s="73">
        <v>156446</v>
      </c>
      <c r="C142" s="1882">
        <f t="shared" si="9"/>
        <v>97531</v>
      </c>
      <c r="D142" s="1804">
        <v>17777</v>
      </c>
      <c r="E142" s="294">
        <v>36059</v>
      </c>
      <c r="F142" s="1804">
        <v>4052</v>
      </c>
      <c r="G142" s="294">
        <v>14803</v>
      </c>
      <c r="H142" s="1804">
        <v>14826</v>
      </c>
      <c r="I142" s="294">
        <v>6655</v>
      </c>
      <c r="J142" s="1804">
        <v>3359</v>
      </c>
      <c r="K142" s="294">
        <v>22742</v>
      </c>
      <c r="L142" s="1804">
        <v>5429</v>
      </c>
      <c r="M142" s="294">
        <v>11187</v>
      </c>
      <c r="N142" s="1892">
        <v>19557</v>
      </c>
      <c r="O142" s="1140"/>
      <c r="P142" s="61">
        <v>139552</v>
      </c>
      <c r="Q142" s="61">
        <v>2815389</v>
      </c>
      <c r="R142" s="505">
        <f t="shared" si="7"/>
        <v>1121.0588167851411</v>
      </c>
      <c r="S142" s="518">
        <f t="shared" si="8"/>
        <v>55.568164825535654</v>
      </c>
      <c r="T142" s="1900"/>
      <c r="U142" s="73">
        <v>3006997</v>
      </c>
      <c r="V142" s="1901"/>
      <c r="W142" s="701"/>
      <c r="X142" s="1910"/>
      <c r="Y142" s="1139"/>
      <c r="Z142" s="641"/>
      <c r="AB142" s="641"/>
      <c r="AC142" s="641"/>
    </row>
    <row r="143" spans="1:29">
      <c r="A143" s="49">
        <f t="shared" si="10"/>
        <v>2008.02</v>
      </c>
      <c r="B143" s="73">
        <v>156868</v>
      </c>
      <c r="C143" s="1882">
        <f t="shared" si="9"/>
        <v>102237</v>
      </c>
      <c r="D143" s="1804">
        <v>17838</v>
      </c>
      <c r="E143" s="294">
        <v>38151</v>
      </c>
      <c r="F143" s="1804">
        <v>4302</v>
      </c>
      <c r="G143" s="294">
        <v>15691</v>
      </c>
      <c r="H143" s="1804">
        <v>15869</v>
      </c>
      <c r="I143" s="294">
        <v>6855</v>
      </c>
      <c r="J143" s="1804">
        <v>3531</v>
      </c>
      <c r="K143" s="294">
        <v>22447</v>
      </c>
      <c r="L143" s="1804">
        <v>5150</v>
      </c>
      <c r="M143" s="294">
        <v>8449</v>
      </c>
      <c r="N143" s="1892">
        <v>18585</v>
      </c>
      <c r="O143" s="1140"/>
      <c r="P143" s="61">
        <v>139552</v>
      </c>
      <c r="Q143" s="61">
        <v>2768755</v>
      </c>
      <c r="R143" s="505">
        <f t="shared" si="7"/>
        <v>1124.0827791790873</v>
      </c>
      <c r="S143" s="518">
        <f t="shared" si="8"/>
        <v>56.656511681243011</v>
      </c>
      <c r="T143" s="1900"/>
      <c r="U143" s="73">
        <v>3063867</v>
      </c>
      <c r="V143" s="1901"/>
      <c r="W143" s="701"/>
      <c r="X143" s="1910"/>
      <c r="Y143" s="1139"/>
      <c r="Z143" s="641"/>
      <c r="AB143" s="641"/>
      <c r="AC143" s="641"/>
    </row>
    <row r="144" spans="1:29">
      <c r="A144" s="49">
        <f t="shared" si="10"/>
        <v>2008.03</v>
      </c>
      <c r="B144" s="73">
        <v>182660</v>
      </c>
      <c r="C144" s="1882">
        <f t="shared" si="9"/>
        <v>124121</v>
      </c>
      <c r="D144" s="1804">
        <v>20002</v>
      </c>
      <c r="E144" s="294">
        <v>49875</v>
      </c>
      <c r="F144" s="1804">
        <v>5116</v>
      </c>
      <c r="G144" s="294">
        <v>18854</v>
      </c>
      <c r="H144" s="1804">
        <v>18724</v>
      </c>
      <c r="I144" s="294">
        <v>7562</v>
      </c>
      <c r="J144" s="1804">
        <v>3988</v>
      </c>
      <c r="K144" s="294">
        <v>25480</v>
      </c>
      <c r="L144" s="1804">
        <v>5591</v>
      </c>
      <c r="M144" s="294">
        <v>8820</v>
      </c>
      <c r="N144" s="1892">
        <v>18648</v>
      </c>
      <c r="O144" s="1140"/>
      <c r="P144" s="61">
        <v>139552</v>
      </c>
      <c r="Q144" s="61">
        <v>3056908</v>
      </c>
      <c r="R144" s="505">
        <f t="shared" si="7"/>
        <v>1308.9027745929834</v>
      </c>
      <c r="S144" s="518">
        <f t="shared" si="8"/>
        <v>59.753188515977584</v>
      </c>
      <c r="T144" s="1900"/>
      <c r="U144" s="73">
        <v>3499058</v>
      </c>
      <c r="V144" s="1901"/>
      <c r="W144" s="701"/>
      <c r="X144" s="1910"/>
      <c r="Y144" s="1139"/>
      <c r="Z144" s="641"/>
      <c r="AB144" s="641"/>
      <c r="AC144" s="641"/>
    </row>
    <row r="145" spans="1:29">
      <c r="A145" s="49">
        <f t="shared" si="10"/>
        <v>2008.04</v>
      </c>
      <c r="B145" s="73">
        <v>169462</v>
      </c>
      <c r="C145" s="1882">
        <f t="shared" si="9"/>
        <v>113514.83999999998</v>
      </c>
      <c r="D145" s="1804">
        <v>18610.12</v>
      </c>
      <c r="E145" s="294">
        <v>43727.12</v>
      </c>
      <c r="F145" s="1804">
        <v>4782.12</v>
      </c>
      <c r="G145" s="294">
        <v>16861.12</v>
      </c>
      <c r="H145" s="1804">
        <v>18731.12</v>
      </c>
      <c r="I145" s="294">
        <v>7064.12</v>
      </c>
      <c r="J145" s="1804">
        <v>3739.12</v>
      </c>
      <c r="K145" s="294">
        <v>23999.119999999999</v>
      </c>
      <c r="L145" s="1804">
        <v>6043.12</v>
      </c>
      <c r="M145" s="294">
        <v>9179.1200000000008</v>
      </c>
      <c r="N145" s="1892">
        <v>16726.12</v>
      </c>
      <c r="O145" s="1140"/>
      <c r="P145" s="61">
        <v>139552</v>
      </c>
      <c r="Q145" s="61">
        <v>2881117</v>
      </c>
      <c r="R145" s="505">
        <f t="shared" si="7"/>
        <v>1214.3287090116946</v>
      </c>
      <c r="S145" s="518">
        <f t="shared" si="8"/>
        <v>58.818159762342177</v>
      </c>
      <c r="T145" s="1900"/>
      <c r="U145" s="73">
        <v>3244770</v>
      </c>
      <c r="V145" s="1901"/>
      <c r="W145" s="701"/>
      <c r="X145" s="1910"/>
      <c r="Y145" s="1139"/>
      <c r="Z145" s="641"/>
      <c r="AB145" s="641"/>
      <c r="AC145" s="641"/>
    </row>
    <row r="146" spans="1:29">
      <c r="A146" s="49">
        <f t="shared" si="10"/>
        <v>2008.05</v>
      </c>
      <c r="B146" s="73">
        <v>179162</v>
      </c>
      <c r="C146" s="1882">
        <f t="shared" si="9"/>
        <v>119076</v>
      </c>
      <c r="D146" s="1804">
        <v>19356</v>
      </c>
      <c r="E146" s="294">
        <v>47945</v>
      </c>
      <c r="F146" s="1804">
        <v>5156</v>
      </c>
      <c r="G146" s="294">
        <v>17320</v>
      </c>
      <c r="H146" s="1804">
        <v>19072</v>
      </c>
      <c r="I146" s="294">
        <v>6474</v>
      </c>
      <c r="J146" s="1804">
        <v>3753</v>
      </c>
      <c r="K146" s="294">
        <v>25338</v>
      </c>
      <c r="L146" s="1804">
        <v>6833</v>
      </c>
      <c r="M146" s="294">
        <v>10576</v>
      </c>
      <c r="N146" s="1892">
        <v>17339</v>
      </c>
      <c r="O146" s="1140"/>
      <c r="P146" s="61">
        <v>139552</v>
      </c>
      <c r="Q146" s="61">
        <v>2896933</v>
      </c>
      <c r="R146" s="505">
        <f t="shared" si="7"/>
        <v>1283.8368493464802</v>
      </c>
      <c r="S146" s="518">
        <f t="shared" si="8"/>
        <v>61.845406849243666</v>
      </c>
      <c r="T146" s="1900"/>
      <c r="U146" s="73">
        <v>3461532</v>
      </c>
      <c r="V146" s="1901"/>
      <c r="W146" s="701"/>
      <c r="X146" s="1910"/>
      <c r="Y146" s="1139"/>
      <c r="Z146" s="641"/>
      <c r="AB146" s="641"/>
      <c r="AC146" s="641"/>
    </row>
    <row r="147" spans="1:29">
      <c r="A147" s="49">
        <f t="shared" si="10"/>
        <v>2008.06</v>
      </c>
      <c r="B147" s="73">
        <v>181155</v>
      </c>
      <c r="C147" s="1882">
        <f t="shared" si="9"/>
        <v>120946</v>
      </c>
      <c r="D147" s="1804">
        <v>19410</v>
      </c>
      <c r="E147" s="294">
        <v>49686</v>
      </c>
      <c r="F147" s="1804">
        <v>5609</v>
      </c>
      <c r="G147" s="294">
        <v>17910</v>
      </c>
      <c r="H147" s="1804">
        <v>18538</v>
      </c>
      <c r="I147" s="294">
        <v>6241</v>
      </c>
      <c r="J147" s="1804">
        <v>3552</v>
      </c>
      <c r="K147" s="294">
        <v>24294</v>
      </c>
      <c r="L147" s="1804">
        <v>7335</v>
      </c>
      <c r="M147" s="294">
        <v>11092</v>
      </c>
      <c r="N147" s="1892">
        <v>17488</v>
      </c>
      <c r="O147" s="1140"/>
      <c r="P147" s="61">
        <v>139552</v>
      </c>
      <c r="Q147" s="61">
        <v>2939214</v>
      </c>
      <c r="R147" s="505">
        <f t="shared" si="7"/>
        <v>1298.1182641595965</v>
      </c>
      <c r="S147" s="518">
        <f t="shared" si="8"/>
        <v>61.633824553094811</v>
      </c>
      <c r="T147" s="1900"/>
      <c r="U147" s="73">
        <v>3439756</v>
      </c>
      <c r="V147" s="1901"/>
      <c r="W147" s="701"/>
      <c r="X147" s="1910"/>
      <c r="Y147" s="1139"/>
      <c r="Z147" s="641"/>
      <c r="AB147" s="641"/>
      <c r="AC147" s="641"/>
    </row>
    <row r="148" spans="1:29">
      <c r="A148" s="49">
        <f t="shared" si="10"/>
        <v>2008.07</v>
      </c>
      <c r="B148" s="73">
        <v>184147</v>
      </c>
      <c r="C148" s="1882">
        <f t="shared" si="9"/>
        <v>122216</v>
      </c>
      <c r="D148" s="1804">
        <v>20028</v>
      </c>
      <c r="E148" s="294">
        <v>49009</v>
      </c>
      <c r="F148" s="1804">
        <v>5678</v>
      </c>
      <c r="G148" s="294">
        <v>17443</v>
      </c>
      <c r="H148" s="1804">
        <v>19174</v>
      </c>
      <c r="I148" s="294">
        <v>6632</v>
      </c>
      <c r="J148" s="1804">
        <v>4252</v>
      </c>
      <c r="K148" s="294">
        <v>25807</v>
      </c>
      <c r="L148" s="1804">
        <v>6880</v>
      </c>
      <c r="M148" s="294">
        <v>9943</v>
      </c>
      <c r="N148" s="1892">
        <v>19301</v>
      </c>
      <c r="O148" s="1140"/>
      <c r="P148" s="61">
        <v>139552</v>
      </c>
      <c r="Q148" s="61">
        <v>3004493</v>
      </c>
      <c r="R148" s="505">
        <f t="shared" si="7"/>
        <v>1319.5583008484293</v>
      </c>
      <c r="S148" s="518">
        <f t="shared" si="8"/>
        <v>61.290540533793887</v>
      </c>
      <c r="T148" s="1900"/>
      <c r="U148" s="73">
        <v>3545598</v>
      </c>
      <c r="V148" s="1901"/>
      <c r="W148" s="701"/>
      <c r="X148" s="1910"/>
      <c r="Y148" s="1139"/>
      <c r="Z148" s="641"/>
      <c r="AB148" s="641"/>
      <c r="AC148" s="641"/>
    </row>
    <row r="149" spans="1:29">
      <c r="A149" s="49">
        <f t="shared" si="10"/>
        <v>2008.08</v>
      </c>
      <c r="B149" s="73">
        <v>197371</v>
      </c>
      <c r="C149" s="1882">
        <f t="shared" si="9"/>
        <v>130740</v>
      </c>
      <c r="D149" s="1804">
        <v>20992</v>
      </c>
      <c r="E149" s="294">
        <v>52196</v>
      </c>
      <c r="F149" s="1804">
        <v>5963</v>
      </c>
      <c r="G149" s="294">
        <v>19414</v>
      </c>
      <c r="H149" s="1804">
        <v>20617</v>
      </c>
      <c r="I149" s="294">
        <v>7101</v>
      </c>
      <c r="J149" s="1804">
        <v>4457</v>
      </c>
      <c r="K149" s="294">
        <v>27680</v>
      </c>
      <c r="L149" s="1804">
        <v>6443</v>
      </c>
      <c r="M149" s="294">
        <v>10527</v>
      </c>
      <c r="N149" s="1892">
        <v>21981</v>
      </c>
      <c r="O149" s="1140"/>
      <c r="P149" s="61">
        <v>139552</v>
      </c>
      <c r="Q149" s="61">
        <v>3086406</v>
      </c>
      <c r="R149" s="505">
        <f t="shared" si="7"/>
        <v>1414.3186769089657</v>
      </c>
      <c r="S149" s="518">
        <f t="shared" si="8"/>
        <v>63.948488954466782</v>
      </c>
      <c r="T149" s="1900"/>
      <c r="U149" s="73">
        <v>3785241</v>
      </c>
      <c r="V149" s="1901"/>
      <c r="W149" s="701"/>
      <c r="X149" s="1910"/>
      <c r="Y149" s="1139"/>
      <c r="Z149" s="641"/>
      <c r="AB149" s="641"/>
      <c r="AC149" s="641"/>
    </row>
    <row r="150" spans="1:29">
      <c r="A150" s="49">
        <f t="shared" si="10"/>
        <v>2008.09</v>
      </c>
      <c r="B150" s="73">
        <v>183084</v>
      </c>
      <c r="C150" s="1882">
        <f t="shared" si="9"/>
        <v>122543</v>
      </c>
      <c r="D150" s="1804">
        <v>20219</v>
      </c>
      <c r="E150" s="294">
        <v>48115</v>
      </c>
      <c r="F150" s="1804">
        <v>5507</v>
      </c>
      <c r="G150" s="294">
        <v>18873</v>
      </c>
      <c r="H150" s="1804">
        <v>19025</v>
      </c>
      <c r="I150" s="294">
        <v>7056</v>
      </c>
      <c r="J150" s="1804">
        <v>3748</v>
      </c>
      <c r="K150" s="294">
        <v>26194</v>
      </c>
      <c r="L150" s="1804">
        <v>5453</v>
      </c>
      <c r="M150" s="294">
        <v>10009</v>
      </c>
      <c r="N150" s="1892">
        <v>18885</v>
      </c>
      <c r="O150" s="1140"/>
      <c r="P150" s="61">
        <v>139552</v>
      </c>
      <c r="Q150" s="61">
        <v>2874608</v>
      </c>
      <c r="R150" s="505">
        <f t="shared" si="7"/>
        <v>1311.9410685622563</v>
      </c>
      <c r="S150" s="518">
        <f t="shared" si="8"/>
        <v>63.690075307659342</v>
      </c>
      <c r="T150" s="1900"/>
      <c r="U150" s="73">
        <v>3547515</v>
      </c>
      <c r="V150" s="1901"/>
      <c r="W150" s="701"/>
      <c r="X150" s="1910"/>
      <c r="Y150" s="1139"/>
      <c r="Z150" s="641"/>
      <c r="AB150" s="641"/>
      <c r="AC150" s="641"/>
    </row>
    <row r="151" spans="1:29">
      <c r="A151" s="49">
        <f t="shared" si="10"/>
        <v>2008.1</v>
      </c>
      <c r="B151" s="73">
        <v>196814</v>
      </c>
      <c r="C151" s="1882">
        <f t="shared" si="9"/>
        <v>128160</v>
      </c>
      <c r="D151" s="1804">
        <v>21943</v>
      </c>
      <c r="E151" s="294">
        <v>49179</v>
      </c>
      <c r="F151" s="1804">
        <v>5649</v>
      </c>
      <c r="G151" s="294">
        <v>19751</v>
      </c>
      <c r="H151" s="1804">
        <v>20216</v>
      </c>
      <c r="I151" s="294">
        <v>7403</v>
      </c>
      <c r="J151" s="1804">
        <v>4019</v>
      </c>
      <c r="K151" s="294">
        <v>28313</v>
      </c>
      <c r="L151" s="1804">
        <v>6070</v>
      </c>
      <c r="M151" s="294">
        <v>14029</v>
      </c>
      <c r="N151" s="1892">
        <v>20242</v>
      </c>
      <c r="O151" s="1140"/>
      <c r="P151" s="61">
        <v>139552</v>
      </c>
      <c r="Q151" s="61">
        <v>3001051</v>
      </c>
      <c r="R151" s="505">
        <f t="shared" si="7"/>
        <v>1410.327333180463</v>
      </c>
      <c r="S151" s="518">
        <f t="shared" si="8"/>
        <v>65.581691214177965</v>
      </c>
      <c r="T151" s="1900"/>
      <c r="U151" s="73">
        <v>3873857</v>
      </c>
      <c r="V151" s="1901"/>
      <c r="W151" s="701"/>
      <c r="X151" s="1910"/>
      <c r="Y151" s="1139"/>
      <c r="Z151" s="641"/>
      <c r="AB151" s="641"/>
      <c r="AC151" s="641"/>
    </row>
    <row r="152" spans="1:29">
      <c r="A152" s="49">
        <f t="shared" si="10"/>
        <v>2008.11</v>
      </c>
      <c r="B152" s="73">
        <v>199021</v>
      </c>
      <c r="C152" s="1882">
        <v>129741</v>
      </c>
      <c r="D152" s="1804">
        <v>24158</v>
      </c>
      <c r="E152" s="294">
        <v>48746</v>
      </c>
      <c r="F152" s="1804">
        <v>5397</v>
      </c>
      <c r="G152" s="294">
        <v>19940</v>
      </c>
      <c r="H152" s="1804">
        <v>19541</v>
      </c>
      <c r="I152" s="294">
        <v>8040</v>
      </c>
      <c r="J152" s="1804">
        <v>3919</v>
      </c>
      <c r="K152" s="294">
        <v>29693</v>
      </c>
      <c r="L152" s="1804">
        <v>6065</v>
      </c>
      <c r="M152" s="294">
        <v>12370</v>
      </c>
      <c r="N152" s="1892">
        <v>21152</v>
      </c>
      <c r="O152" s="1140"/>
      <c r="P152" s="61">
        <v>139552</v>
      </c>
      <c r="Q152" s="61">
        <v>2938658</v>
      </c>
      <c r="R152" s="505">
        <f t="shared" si="7"/>
        <v>1426.1422265535427</v>
      </c>
      <c r="S152" s="518">
        <f t="shared" si="8"/>
        <v>67.725131675751314</v>
      </c>
      <c r="T152" s="1900"/>
      <c r="U152" s="73">
        <v>3919915</v>
      </c>
      <c r="V152" s="1901"/>
      <c r="W152" s="701"/>
      <c r="X152" s="1910"/>
      <c r="Y152" s="1139"/>
      <c r="Z152" s="641"/>
      <c r="AB152" s="641"/>
      <c r="AC152" s="641"/>
    </row>
    <row r="153" spans="1:29">
      <c r="A153" s="49">
        <f t="shared" si="10"/>
        <v>2008.12</v>
      </c>
      <c r="B153" s="73">
        <v>248351</v>
      </c>
      <c r="C153" s="1882">
        <v>167090</v>
      </c>
      <c r="D153" s="1804">
        <v>39722</v>
      </c>
      <c r="E153" s="294">
        <v>62061</v>
      </c>
      <c r="F153" s="1804">
        <v>6846</v>
      </c>
      <c r="G153" s="294">
        <v>20582</v>
      </c>
      <c r="H153" s="1804">
        <v>23717</v>
      </c>
      <c r="I153" s="294">
        <v>9496</v>
      </c>
      <c r="J153" s="1804">
        <v>4666</v>
      </c>
      <c r="K153" s="294">
        <v>31171</v>
      </c>
      <c r="L153" s="1804">
        <v>7503</v>
      </c>
      <c r="M153" s="294">
        <v>13586</v>
      </c>
      <c r="N153" s="1892">
        <v>29001</v>
      </c>
      <c r="O153" s="1140"/>
      <c r="P153" s="61">
        <v>139552</v>
      </c>
      <c r="Q153" s="61">
        <v>3337741</v>
      </c>
      <c r="R153" s="505">
        <f t="shared" si="7"/>
        <v>1779.630531988076</v>
      </c>
      <c r="S153" s="518">
        <f t="shared" si="8"/>
        <v>74.406911740605409</v>
      </c>
      <c r="T153" s="1900"/>
      <c r="U153" s="73">
        <v>4763833</v>
      </c>
      <c r="V153" s="1901"/>
      <c r="W153" s="701"/>
      <c r="X153" s="1910"/>
      <c r="Y153" s="1139"/>
      <c r="Z153" s="641"/>
      <c r="AB153" s="641"/>
      <c r="AC153" s="641"/>
    </row>
    <row r="154" spans="1:29">
      <c r="A154" s="49">
        <f t="shared" si="10"/>
        <v>2009.01</v>
      </c>
      <c r="B154" s="73">
        <v>188264</v>
      </c>
      <c r="C154" s="1882">
        <f t="shared" si="9"/>
        <v>121741</v>
      </c>
      <c r="D154" s="1804">
        <v>22877</v>
      </c>
      <c r="E154" s="294">
        <v>45093</v>
      </c>
      <c r="F154" s="1804">
        <v>5166</v>
      </c>
      <c r="G154" s="294">
        <v>17716</v>
      </c>
      <c r="H154" s="1804">
        <v>19059</v>
      </c>
      <c r="I154" s="294">
        <v>7982</v>
      </c>
      <c r="J154" s="1804">
        <v>3848</v>
      </c>
      <c r="K154" s="294">
        <v>28524</v>
      </c>
      <c r="L154" s="1804">
        <v>5989</v>
      </c>
      <c r="M154" s="294">
        <v>9959</v>
      </c>
      <c r="N154" s="1892">
        <v>22051</v>
      </c>
      <c r="O154" s="1140"/>
      <c r="P154" s="61">
        <v>139552</v>
      </c>
      <c r="Q154" s="61">
        <v>2586524</v>
      </c>
      <c r="R154" s="505">
        <f t="shared" si="7"/>
        <v>1349.0598486585645</v>
      </c>
      <c r="S154" s="518">
        <f t="shared" si="8"/>
        <v>72.786488739327368</v>
      </c>
      <c r="T154" s="1900"/>
      <c r="U154" s="73">
        <v>3836771</v>
      </c>
      <c r="V154" s="1901"/>
      <c r="W154" s="701"/>
      <c r="X154" s="1910"/>
      <c r="Y154" s="1139"/>
      <c r="Z154" s="641"/>
      <c r="AB154" s="641"/>
      <c r="AC154" s="641"/>
    </row>
    <row r="155" spans="1:29">
      <c r="A155" s="49">
        <f t="shared" si="10"/>
        <v>2009.02</v>
      </c>
      <c r="B155" s="73">
        <v>174723</v>
      </c>
      <c r="C155" s="1882">
        <f t="shared" si="9"/>
        <v>114582</v>
      </c>
      <c r="D155" s="1804">
        <v>20668</v>
      </c>
      <c r="E155" s="294">
        <v>43263</v>
      </c>
      <c r="F155" s="1804">
        <v>4755</v>
      </c>
      <c r="G155" s="294">
        <v>17421</v>
      </c>
      <c r="H155" s="1804">
        <v>17684</v>
      </c>
      <c r="I155" s="294">
        <v>7475</v>
      </c>
      <c r="J155" s="1804">
        <v>3316</v>
      </c>
      <c r="K155" s="294">
        <v>26431</v>
      </c>
      <c r="L155" s="1804">
        <v>5544</v>
      </c>
      <c r="M155" s="294">
        <v>7657</v>
      </c>
      <c r="N155" s="1892">
        <v>20509</v>
      </c>
      <c r="O155" s="1140"/>
      <c r="P155" s="61">
        <v>139552</v>
      </c>
      <c r="Q155" s="61">
        <v>2386289</v>
      </c>
      <c r="R155" s="505">
        <f t="shared" si="7"/>
        <v>1252.0279179087365</v>
      </c>
      <c r="S155" s="518">
        <f t="shared" si="8"/>
        <v>73.219547171361057</v>
      </c>
      <c r="T155" s="1900"/>
      <c r="U155" s="73">
        <v>3617195</v>
      </c>
      <c r="V155" s="1901"/>
      <c r="W155" s="701"/>
      <c r="X155" s="1910"/>
      <c r="Y155" s="1139"/>
      <c r="Z155" s="641"/>
      <c r="AB155" s="641"/>
      <c r="AC155" s="641"/>
    </row>
    <row r="156" spans="1:29">
      <c r="A156" s="49">
        <f t="shared" si="10"/>
        <v>2009.03</v>
      </c>
      <c r="B156" s="73">
        <v>192337</v>
      </c>
      <c r="C156" s="1882">
        <f t="shared" si="9"/>
        <v>129060</v>
      </c>
      <c r="D156" s="1804">
        <v>22571</v>
      </c>
      <c r="E156" s="294">
        <v>48848</v>
      </c>
      <c r="F156" s="1804">
        <v>5578</v>
      </c>
      <c r="G156" s="294">
        <v>19762</v>
      </c>
      <c r="H156" s="1804">
        <v>20268</v>
      </c>
      <c r="I156" s="294">
        <v>8219</v>
      </c>
      <c r="J156" s="1804">
        <v>3814</v>
      </c>
      <c r="K156" s="294">
        <v>28654</v>
      </c>
      <c r="L156" s="1804">
        <v>5566</v>
      </c>
      <c r="M156" s="294">
        <v>9041</v>
      </c>
      <c r="N156" s="1892">
        <v>20016</v>
      </c>
      <c r="O156" s="1140"/>
      <c r="P156" s="61">
        <v>139552</v>
      </c>
      <c r="Q156" s="61">
        <v>2573083</v>
      </c>
      <c r="R156" s="505">
        <f t="shared" si="7"/>
        <v>1378.2461018115112</v>
      </c>
      <c r="S156" s="518">
        <f t="shared" si="8"/>
        <v>74.749629141384091</v>
      </c>
      <c r="T156" s="1900"/>
      <c r="U156" s="73">
        <v>3984448</v>
      </c>
      <c r="V156" s="1901"/>
      <c r="W156" s="701"/>
      <c r="X156" s="1910"/>
      <c r="Y156" s="1139"/>
      <c r="Z156" s="641"/>
      <c r="AB156" s="641"/>
      <c r="AC156" s="641"/>
    </row>
    <row r="157" spans="1:29">
      <c r="A157" s="49">
        <f t="shared" si="10"/>
        <v>2009.04</v>
      </c>
      <c r="B157" s="73">
        <v>195711</v>
      </c>
      <c r="C157" s="1882">
        <f t="shared" si="9"/>
        <v>132833</v>
      </c>
      <c r="D157" s="1804">
        <v>22409</v>
      </c>
      <c r="E157" s="294">
        <v>52968</v>
      </c>
      <c r="F157" s="1804">
        <v>5826</v>
      </c>
      <c r="G157" s="294">
        <v>19377</v>
      </c>
      <c r="H157" s="1804">
        <v>20843</v>
      </c>
      <c r="I157" s="294">
        <v>7677</v>
      </c>
      <c r="J157" s="1804">
        <v>3733</v>
      </c>
      <c r="K157" s="294">
        <v>27588</v>
      </c>
      <c r="L157" s="1804">
        <v>6180</v>
      </c>
      <c r="M157" s="294">
        <v>8314</v>
      </c>
      <c r="N157" s="1892">
        <v>20796</v>
      </c>
      <c r="O157" s="1140"/>
      <c r="P157" s="61">
        <v>139552</v>
      </c>
      <c r="Q157" s="61">
        <v>2566700</v>
      </c>
      <c r="R157" s="505">
        <f t="shared" si="7"/>
        <v>1402.4234693877552</v>
      </c>
      <c r="S157" s="518">
        <f t="shared" si="8"/>
        <v>76.250048700666227</v>
      </c>
      <c r="T157" s="1900"/>
      <c r="U157" s="73">
        <v>3970675</v>
      </c>
      <c r="V157" s="1901"/>
      <c r="W157" s="701"/>
      <c r="X157" s="1910"/>
      <c r="Y157" s="1139"/>
      <c r="Z157" s="641"/>
      <c r="AB157" s="641"/>
      <c r="AC157" s="641"/>
    </row>
    <row r="158" spans="1:29">
      <c r="A158" s="49">
        <f t="shared" si="10"/>
        <v>2009.05</v>
      </c>
      <c r="B158" s="73">
        <v>202809</v>
      </c>
      <c r="C158" s="1882">
        <f t="shared" si="9"/>
        <v>132798</v>
      </c>
      <c r="D158" s="1804">
        <v>22561</v>
      </c>
      <c r="E158" s="294">
        <v>52973</v>
      </c>
      <c r="F158" s="1804">
        <v>6009</v>
      </c>
      <c r="G158" s="294">
        <v>19786</v>
      </c>
      <c r="H158" s="1804">
        <v>20293</v>
      </c>
      <c r="I158" s="294">
        <v>7352</v>
      </c>
      <c r="J158" s="1804">
        <v>3824</v>
      </c>
      <c r="K158" s="294">
        <v>30623</v>
      </c>
      <c r="L158" s="1804">
        <v>8264</v>
      </c>
      <c r="M158" s="294">
        <v>11095</v>
      </c>
      <c r="N158" s="1892">
        <v>20029</v>
      </c>
      <c r="O158" s="1140"/>
      <c r="P158" s="61">
        <v>139552</v>
      </c>
      <c r="Q158" s="61">
        <v>2575809</v>
      </c>
      <c r="R158" s="505">
        <f t="shared" si="7"/>
        <v>1453.2862302224262</v>
      </c>
      <c r="S158" s="518">
        <f t="shared" si="8"/>
        <v>78.736039822828474</v>
      </c>
      <c r="T158" s="1900"/>
      <c r="U158" s="73">
        <v>4024766</v>
      </c>
      <c r="V158" s="1901"/>
      <c r="W158" s="701"/>
      <c r="X158" s="1910"/>
      <c r="Y158" s="1139"/>
      <c r="Z158" s="641"/>
      <c r="AB158" s="641"/>
      <c r="AC158" s="641"/>
    </row>
    <row r="159" spans="1:29">
      <c r="A159" s="49">
        <f t="shared" si="10"/>
        <v>2009.06</v>
      </c>
      <c r="B159" s="73">
        <v>199916</v>
      </c>
      <c r="C159" s="1882">
        <f t="shared" si="9"/>
        <v>131518</v>
      </c>
      <c r="D159" s="1804">
        <v>22208</v>
      </c>
      <c r="E159" s="294">
        <v>53642</v>
      </c>
      <c r="F159" s="1804">
        <v>6060</v>
      </c>
      <c r="G159" s="294">
        <v>19344</v>
      </c>
      <c r="H159" s="1804">
        <v>19551</v>
      </c>
      <c r="I159" s="294">
        <v>7269</v>
      </c>
      <c r="J159" s="1804">
        <v>3444</v>
      </c>
      <c r="K159" s="294">
        <v>29182</v>
      </c>
      <c r="L159" s="1804">
        <v>8113</v>
      </c>
      <c r="M159" s="294">
        <v>12387</v>
      </c>
      <c r="N159" s="1892">
        <v>18716</v>
      </c>
      <c r="O159" s="1140"/>
      <c r="P159" s="61">
        <v>139552</v>
      </c>
      <c r="Q159" s="61">
        <v>2512625</v>
      </c>
      <c r="R159" s="505">
        <f t="shared" si="7"/>
        <v>1432.5556065122678</v>
      </c>
      <c r="S159" s="518">
        <f t="shared" si="8"/>
        <v>79.56459877618029</v>
      </c>
      <c r="T159" s="1900"/>
      <c r="U159" s="73">
        <v>3907118</v>
      </c>
      <c r="V159" s="1901"/>
      <c r="W159" s="701"/>
      <c r="X159" s="1910"/>
      <c r="Y159" s="1139"/>
      <c r="Z159" s="641"/>
      <c r="AB159" s="641"/>
      <c r="AC159" s="641"/>
    </row>
    <row r="160" spans="1:29">
      <c r="A160" s="49">
        <f t="shared" si="10"/>
        <v>2009.07</v>
      </c>
      <c r="B160" s="73">
        <v>211429</v>
      </c>
      <c r="C160" s="1882">
        <f t="shared" si="9"/>
        <v>138914</v>
      </c>
      <c r="D160" s="1804">
        <v>17658</v>
      </c>
      <c r="E160" s="294">
        <v>62471</v>
      </c>
      <c r="F160" s="1804">
        <v>6179</v>
      </c>
      <c r="G160" s="294">
        <v>20531</v>
      </c>
      <c r="H160" s="1804">
        <v>20513</v>
      </c>
      <c r="I160" s="294">
        <v>7831</v>
      </c>
      <c r="J160" s="1804">
        <v>3731</v>
      </c>
      <c r="K160" s="294">
        <v>31068</v>
      </c>
      <c r="L160" s="1804">
        <v>7551</v>
      </c>
      <c r="M160" s="294">
        <v>12605</v>
      </c>
      <c r="N160" s="1892">
        <v>21291</v>
      </c>
      <c r="O160" s="1140"/>
      <c r="P160" s="61">
        <v>139552</v>
      </c>
      <c r="Q160" s="61">
        <v>2587535</v>
      </c>
      <c r="R160" s="505">
        <f t="shared" si="7"/>
        <v>1515.0553198807613</v>
      </c>
      <c r="S160" s="518">
        <f t="shared" si="8"/>
        <v>81.71058555729681</v>
      </c>
      <c r="T160" s="1900"/>
      <c r="U160" s="73">
        <v>4253343</v>
      </c>
      <c r="V160" s="1901"/>
      <c r="W160" s="701"/>
      <c r="X160" s="1910"/>
      <c r="Y160" s="1139"/>
      <c r="Z160" s="641"/>
      <c r="AB160" s="641"/>
      <c r="AC160" s="641"/>
    </row>
    <row r="161" spans="1:29">
      <c r="A161" s="49">
        <f t="shared" si="10"/>
        <v>2009.08</v>
      </c>
      <c r="B161" s="73">
        <v>212938</v>
      </c>
      <c r="C161" s="1882">
        <f t="shared" si="9"/>
        <v>139525</v>
      </c>
      <c r="D161" s="1804">
        <v>18418</v>
      </c>
      <c r="E161" s="294">
        <v>60775</v>
      </c>
      <c r="F161" s="1804">
        <v>6356</v>
      </c>
      <c r="G161" s="294">
        <v>20830</v>
      </c>
      <c r="H161" s="1804">
        <v>20523</v>
      </c>
      <c r="I161" s="294">
        <v>8702</v>
      </c>
      <c r="J161" s="1804">
        <v>3921</v>
      </c>
      <c r="K161" s="294">
        <v>31789</v>
      </c>
      <c r="L161" s="1804">
        <v>6546</v>
      </c>
      <c r="M161" s="294">
        <v>11967</v>
      </c>
      <c r="N161" s="1892">
        <v>23111</v>
      </c>
      <c r="O161" s="1140"/>
      <c r="P161" s="61">
        <v>139552</v>
      </c>
      <c r="Q161" s="61">
        <v>2647168</v>
      </c>
      <c r="R161" s="505">
        <f t="shared" si="7"/>
        <v>1525.8684934648018</v>
      </c>
      <c r="S161" s="518">
        <f t="shared" si="8"/>
        <v>80.439926744354722</v>
      </c>
      <c r="T161" s="1900"/>
      <c r="U161" s="73">
        <v>4247166</v>
      </c>
      <c r="V161" s="1901"/>
      <c r="W161" s="701"/>
      <c r="X161" s="1910"/>
      <c r="Y161" s="1139"/>
      <c r="Z161" s="641"/>
      <c r="AB161" s="641"/>
      <c r="AC161" s="641"/>
    </row>
    <row r="162" spans="1:29">
      <c r="A162" s="49">
        <f t="shared" si="10"/>
        <v>2009.09</v>
      </c>
      <c r="B162" s="73">
        <v>196413</v>
      </c>
      <c r="C162" s="1882">
        <f t="shared" si="9"/>
        <v>122543</v>
      </c>
      <c r="D162" s="1804">
        <v>20219</v>
      </c>
      <c r="E162" s="294">
        <v>48115</v>
      </c>
      <c r="F162" s="1804">
        <v>5507</v>
      </c>
      <c r="G162" s="294">
        <v>18873</v>
      </c>
      <c r="H162" s="1804">
        <v>19025</v>
      </c>
      <c r="I162" s="294">
        <v>7056</v>
      </c>
      <c r="J162" s="1804">
        <v>3748</v>
      </c>
      <c r="K162" s="294">
        <v>26194</v>
      </c>
      <c r="L162" s="1804">
        <v>5453</v>
      </c>
      <c r="M162" s="294">
        <v>10009</v>
      </c>
      <c r="N162" s="1892">
        <v>18885</v>
      </c>
      <c r="O162" s="1140"/>
      <c r="P162" s="61">
        <v>139552</v>
      </c>
      <c r="Q162" s="61">
        <v>2461576</v>
      </c>
      <c r="R162" s="505">
        <f t="shared" si="7"/>
        <v>1407.4538523274477</v>
      </c>
      <c r="S162" s="518">
        <f t="shared" si="8"/>
        <v>79.791564428642459</v>
      </c>
      <c r="T162" s="1900"/>
      <c r="U162" s="73">
        <v>3951906</v>
      </c>
      <c r="V162" s="1901"/>
      <c r="W162" s="701"/>
      <c r="X162" s="1910"/>
      <c r="Y162" s="1139"/>
      <c r="Z162" s="641"/>
      <c r="AB162" s="641"/>
      <c r="AC162" s="641"/>
    </row>
    <row r="163" spans="1:29">
      <c r="A163" s="49">
        <f t="shared" si="10"/>
        <v>2009.1</v>
      </c>
      <c r="B163" s="73">
        <v>217934</v>
      </c>
      <c r="C163" s="1882">
        <f t="shared" si="9"/>
        <v>142362</v>
      </c>
      <c r="D163" s="1804">
        <v>19992</v>
      </c>
      <c r="E163" s="294">
        <v>60906</v>
      </c>
      <c r="F163" s="1804">
        <v>6219</v>
      </c>
      <c r="G163" s="294">
        <v>21221</v>
      </c>
      <c r="H163" s="1804">
        <v>20874</v>
      </c>
      <c r="I163" s="294">
        <v>9274</v>
      </c>
      <c r="J163" s="1804">
        <v>3876</v>
      </c>
      <c r="K163" s="294">
        <v>32820</v>
      </c>
      <c r="L163" s="1804">
        <v>6515</v>
      </c>
      <c r="M163" s="294">
        <v>14352</v>
      </c>
      <c r="N163" s="1892">
        <v>21885</v>
      </c>
      <c r="O163" s="1140"/>
      <c r="P163" s="61">
        <v>142652</v>
      </c>
      <c r="Q163" s="61">
        <v>2612898</v>
      </c>
      <c r="R163" s="505">
        <f t="shared" si="7"/>
        <v>1527.731822897681</v>
      </c>
      <c r="S163" s="518">
        <f t="shared" si="8"/>
        <v>83.407006320185488</v>
      </c>
      <c r="T163" s="1900"/>
      <c r="U163" s="73">
        <v>4424209</v>
      </c>
      <c r="V163" s="1901"/>
      <c r="W163" s="701"/>
      <c r="X163" s="1910"/>
      <c r="Y163" s="1139"/>
      <c r="Z163" s="641"/>
      <c r="AB163" s="641"/>
      <c r="AC163" s="641"/>
    </row>
    <row r="164" spans="1:29">
      <c r="A164" s="49">
        <f t="shared" si="10"/>
        <v>2009.11</v>
      </c>
      <c r="B164" s="73">
        <v>217633</v>
      </c>
      <c r="C164" s="1882">
        <f t="shared" si="9"/>
        <v>140539</v>
      </c>
      <c r="D164" s="1804">
        <v>21057</v>
      </c>
      <c r="E164" s="294">
        <v>60924</v>
      </c>
      <c r="F164" s="1804">
        <v>5902</v>
      </c>
      <c r="G164" s="294">
        <v>20384</v>
      </c>
      <c r="H164" s="1804">
        <v>19354</v>
      </c>
      <c r="I164" s="294">
        <v>8991</v>
      </c>
      <c r="J164" s="1804">
        <v>3927</v>
      </c>
      <c r="K164" s="294">
        <v>33777</v>
      </c>
      <c r="L164" s="1804">
        <v>6408</v>
      </c>
      <c r="M164" s="294">
        <v>14223</v>
      </c>
      <c r="N164" s="1892">
        <v>22686</v>
      </c>
      <c r="O164" s="1140"/>
      <c r="P164" s="61">
        <v>142652</v>
      </c>
      <c r="Q164" s="61">
        <v>2515994</v>
      </c>
      <c r="R164" s="505">
        <f t="shared" si="7"/>
        <v>1525.6217928945966</v>
      </c>
      <c r="S164" s="518">
        <f t="shared" si="8"/>
        <v>86.499808823073508</v>
      </c>
      <c r="T164" s="1900"/>
      <c r="U164" s="73">
        <v>4328338</v>
      </c>
      <c r="V164" s="1901"/>
      <c r="W164" s="701"/>
      <c r="X164" s="1910"/>
      <c r="Y164" s="1139"/>
      <c r="Z164" s="641"/>
      <c r="AB164" s="641"/>
      <c r="AC164" s="641"/>
    </row>
    <row r="165" spans="1:29">
      <c r="A165" s="49">
        <f t="shared" si="10"/>
        <v>2009.12</v>
      </c>
      <c r="B165" s="73">
        <v>278899</v>
      </c>
      <c r="C165" s="1882">
        <f>SUM(D165:J165)</f>
        <v>182871</v>
      </c>
      <c r="D165" s="1804">
        <v>34630</v>
      </c>
      <c r="E165" s="294">
        <v>75881</v>
      </c>
      <c r="F165" s="1804">
        <v>7759</v>
      </c>
      <c r="G165" s="294">
        <v>22236</v>
      </c>
      <c r="H165" s="1804">
        <v>26087</v>
      </c>
      <c r="I165" s="294">
        <v>11314</v>
      </c>
      <c r="J165" s="1804">
        <v>4964</v>
      </c>
      <c r="K165" s="294">
        <v>37258</v>
      </c>
      <c r="L165" s="1804">
        <v>8894</v>
      </c>
      <c r="M165" s="294">
        <v>16603</v>
      </c>
      <c r="N165" s="1892">
        <v>33273</v>
      </c>
      <c r="O165" s="1140"/>
      <c r="P165" s="61">
        <v>142652</v>
      </c>
      <c r="Q165" s="61">
        <v>2849203</v>
      </c>
      <c r="R165" s="505">
        <f t="shared" si="7"/>
        <v>1955.100524352971</v>
      </c>
      <c r="S165" s="518">
        <f t="shared" si="8"/>
        <v>97.886672167620205</v>
      </c>
      <c r="T165" s="1900"/>
      <c r="U165" s="73">
        <v>5536821</v>
      </c>
      <c r="V165" s="1901"/>
      <c r="W165" s="701"/>
      <c r="X165" s="1910"/>
      <c r="Y165" s="1139"/>
      <c r="Z165" s="641"/>
      <c r="AB165" s="641"/>
      <c r="AC165" s="641"/>
    </row>
    <row r="166" spans="1:29">
      <c r="A166" s="49">
        <f t="shared" si="10"/>
        <v>2010.01</v>
      </c>
      <c r="B166" s="73">
        <v>223861</v>
      </c>
      <c r="C166" s="1882">
        <f t="shared" si="9"/>
        <v>142106</v>
      </c>
      <c r="D166" s="1804">
        <v>22347</v>
      </c>
      <c r="E166" s="294">
        <v>56943</v>
      </c>
      <c r="F166" s="1804">
        <v>5970</v>
      </c>
      <c r="G166" s="294">
        <v>20280</v>
      </c>
      <c r="H166" s="1804">
        <v>22490</v>
      </c>
      <c r="I166" s="294">
        <v>9980</v>
      </c>
      <c r="J166" s="1804">
        <v>4096</v>
      </c>
      <c r="K166" s="294">
        <v>33560</v>
      </c>
      <c r="L166" s="1804">
        <v>6694</v>
      </c>
      <c r="M166" s="294">
        <v>15780</v>
      </c>
      <c r="N166" s="1892">
        <v>25721</v>
      </c>
      <c r="O166" s="1140"/>
      <c r="P166" s="61">
        <v>142652</v>
      </c>
      <c r="Q166" s="61">
        <v>2546595</v>
      </c>
      <c r="R166" s="505">
        <f t="shared" ref="R166:S168" si="11">$B166/P166*1000</f>
        <v>1569.2804867790146</v>
      </c>
      <c r="S166" s="518">
        <f t="shared" si="11"/>
        <v>87.906007826136474</v>
      </c>
      <c r="T166" s="1900"/>
      <c r="U166" s="73">
        <v>4669607</v>
      </c>
      <c r="V166" s="1901"/>
      <c r="W166" s="701"/>
      <c r="X166" s="1910"/>
      <c r="Y166" s="1139"/>
      <c r="Z166" s="641"/>
      <c r="AB166" s="641"/>
      <c r="AC166" s="641"/>
    </row>
    <row r="167" spans="1:29">
      <c r="A167" s="49">
        <f t="shared" si="10"/>
        <v>2010.02</v>
      </c>
      <c r="B167" s="73">
        <v>217617</v>
      </c>
      <c r="C167" s="1882">
        <f t="shared" si="9"/>
        <v>143437</v>
      </c>
      <c r="D167" s="1804">
        <v>19973</v>
      </c>
      <c r="E167" s="294">
        <v>58992</v>
      </c>
      <c r="F167" s="1804">
        <v>6089</v>
      </c>
      <c r="G167" s="294">
        <v>21288</v>
      </c>
      <c r="H167" s="1804">
        <v>23233</v>
      </c>
      <c r="I167" s="294">
        <v>9876</v>
      </c>
      <c r="J167" s="1804">
        <v>3986</v>
      </c>
      <c r="K167" s="294">
        <v>31682</v>
      </c>
      <c r="L167" s="1804">
        <v>6350</v>
      </c>
      <c r="M167" s="294">
        <v>11472</v>
      </c>
      <c r="N167" s="1892">
        <v>24676</v>
      </c>
      <c r="O167" s="1140"/>
      <c r="P167" s="61">
        <v>142652</v>
      </c>
      <c r="Q167" s="61">
        <v>2455343</v>
      </c>
      <c r="R167" s="505">
        <f t="shared" si="11"/>
        <v>1525.5096318313097</v>
      </c>
      <c r="S167" s="518">
        <f t="shared" si="11"/>
        <v>88.629979599591579</v>
      </c>
      <c r="T167" s="1900"/>
      <c r="U167" s="73">
        <v>4481016</v>
      </c>
      <c r="V167" s="1901"/>
      <c r="W167" s="701"/>
      <c r="X167" s="1910"/>
      <c r="Y167" s="1139"/>
      <c r="Z167" s="641"/>
      <c r="AB167" s="641"/>
      <c r="AC167" s="641"/>
    </row>
    <row r="168" spans="1:29">
      <c r="A168" s="49">
        <f t="shared" si="10"/>
        <v>2010.03</v>
      </c>
      <c r="B168" s="73">
        <v>242897</v>
      </c>
      <c r="C168" s="1882">
        <f t="shared" si="9"/>
        <v>164255</v>
      </c>
      <c r="D168" s="1804">
        <v>22263</v>
      </c>
      <c r="E168" s="294">
        <v>70677</v>
      </c>
      <c r="F168" s="1804">
        <v>6786</v>
      </c>
      <c r="G168" s="294">
        <v>24104</v>
      </c>
      <c r="H168" s="1804">
        <v>25032</v>
      </c>
      <c r="I168" s="294">
        <v>11042</v>
      </c>
      <c r="J168" s="1804">
        <v>4351</v>
      </c>
      <c r="K168" s="294">
        <v>34623</v>
      </c>
      <c r="L168" s="1804">
        <v>6313</v>
      </c>
      <c r="M168" s="294">
        <v>14317</v>
      </c>
      <c r="N168" s="1892">
        <v>23389</v>
      </c>
      <c r="O168" s="1140"/>
      <c r="P168" s="61">
        <v>142652</v>
      </c>
      <c r="Q168" s="61">
        <v>2722007</v>
      </c>
      <c r="R168" s="505">
        <f t="shared" si="11"/>
        <v>1702.7241118245802</v>
      </c>
      <c r="S168" s="518">
        <f t="shared" si="11"/>
        <v>89.234524378519225</v>
      </c>
      <c r="T168" s="1900"/>
      <c r="U168" s="73">
        <v>4946662</v>
      </c>
      <c r="V168" s="1901"/>
      <c r="W168" s="701"/>
      <c r="X168" s="1910"/>
      <c r="Y168" s="1139"/>
      <c r="Z168" s="641"/>
      <c r="AB168" s="641"/>
      <c r="AC168" s="641"/>
    </row>
    <row r="169" spans="1:29">
      <c r="A169" s="49">
        <f t="shared" si="10"/>
        <v>2010.04</v>
      </c>
      <c r="B169" s="73">
        <v>246943</v>
      </c>
      <c r="C169" s="1882">
        <f t="shared" si="9"/>
        <v>165920</v>
      </c>
      <c r="D169" s="1804">
        <v>20307</v>
      </c>
      <c r="E169" s="294">
        <v>73528</v>
      </c>
      <c r="F169" s="1804">
        <v>7209</v>
      </c>
      <c r="G169" s="294">
        <v>25203</v>
      </c>
      <c r="H169" s="1804">
        <v>24908</v>
      </c>
      <c r="I169" s="294">
        <v>10301</v>
      </c>
      <c r="J169" s="1804">
        <v>4464</v>
      </c>
      <c r="K169" s="294">
        <v>34473</v>
      </c>
      <c r="L169" s="1804">
        <v>8399</v>
      </c>
      <c r="M169" s="294">
        <v>14701</v>
      </c>
      <c r="N169" s="1892">
        <v>23450</v>
      </c>
      <c r="O169" s="1140"/>
      <c r="P169" s="61">
        <v>142652</v>
      </c>
      <c r="Q169" s="61">
        <v>2702226</v>
      </c>
      <c r="R169" s="505">
        <f t="shared" ref="R169:S232" si="12">$B169/P169*1000</f>
        <v>1731.0868407032499</v>
      </c>
      <c r="S169" s="518">
        <f t="shared" ref="S169:S232" si="13">$B169/Q169*1000</f>
        <v>91.385028491325286</v>
      </c>
      <c r="T169" s="1900"/>
      <c r="U169" s="73">
        <v>4938943</v>
      </c>
      <c r="V169" s="1901"/>
      <c r="W169" s="701"/>
      <c r="X169" s="1910"/>
      <c r="Y169" s="1139"/>
      <c r="Z169" s="641"/>
      <c r="AB169" s="641"/>
      <c r="AC169" s="641"/>
    </row>
    <row r="170" spans="1:29">
      <c r="A170" s="49">
        <f t="shared" si="10"/>
        <v>2010.05</v>
      </c>
      <c r="B170" s="73">
        <v>266641</v>
      </c>
      <c r="C170" s="1882">
        <f t="shared" si="9"/>
        <v>172100</v>
      </c>
      <c r="D170" s="1804">
        <v>21289</v>
      </c>
      <c r="E170" s="294">
        <v>75934</v>
      </c>
      <c r="F170" s="1804">
        <v>7609</v>
      </c>
      <c r="G170" s="294">
        <v>27162</v>
      </c>
      <c r="H170" s="1804">
        <v>25417</v>
      </c>
      <c r="I170" s="294">
        <v>9659</v>
      </c>
      <c r="J170" s="1804">
        <v>5030</v>
      </c>
      <c r="K170" s="294">
        <v>36375</v>
      </c>
      <c r="L170" s="1804">
        <v>10041</v>
      </c>
      <c r="M170" s="294">
        <v>22222</v>
      </c>
      <c r="N170" s="1892">
        <v>25903</v>
      </c>
      <c r="O170" s="1140"/>
      <c r="P170" s="61">
        <v>142652</v>
      </c>
      <c r="Q170" s="61">
        <v>2736297</v>
      </c>
      <c r="R170" s="505">
        <f t="shared" si="12"/>
        <v>1869.1711297423099</v>
      </c>
      <c r="S170" s="518">
        <f t="shared" si="13"/>
        <v>97.445927836049961</v>
      </c>
      <c r="T170" s="1900"/>
      <c r="U170" s="73">
        <v>5215448</v>
      </c>
      <c r="V170" s="1901"/>
      <c r="W170" s="701"/>
      <c r="X170" s="1910"/>
      <c r="Y170" s="1139"/>
      <c r="Z170" s="641"/>
      <c r="AB170" s="641"/>
      <c r="AC170" s="641"/>
    </row>
    <row r="171" spans="1:29">
      <c r="A171" s="49">
        <f t="shared" si="10"/>
        <v>2010.06</v>
      </c>
      <c r="B171" s="73">
        <v>263319</v>
      </c>
      <c r="C171" s="1882">
        <f t="shared" si="9"/>
        <v>176128</v>
      </c>
      <c r="D171" s="1804">
        <v>20420</v>
      </c>
      <c r="E171" s="294">
        <v>80936</v>
      </c>
      <c r="F171" s="1804">
        <v>7721</v>
      </c>
      <c r="G171" s="294">
        <v>26531</v>
      </c>
      <c r="H171" s="1804">
        <v>26208</v>
      </c>
      <c r="I171" s="294">
        <v>9265</v>
      </c>
      <c r="J171" s="1804">
        <v>5047</v>
      </c>
      <c r="K171" s="294">
        <v>34623</v>
      </c>
      <c r="L171" s="1804">
        <v>9180</v>
      </c>
      <c r="M171" s="294">
        <v>20337</v>
      </c>
      <c r="N171" s="1892">
        <v>23051</v>
      </c>
      <c r="O171" s="1140"/>
      <c r="P171" s="61">
        <v>142652</v>
      </c>
      <c r="Q171" s="61">
        <v>2677328</v>
      </c>
      <c r="R171" s="505">
        <f t="shared" si="12"/>
        <v>1845.8836889773715</v>
      </c>
      <c r="S171" s="518">
        <f t="shared" si="13"/>
        <v>98.351416038677371</v>
      </c>
      <c r="T171" s="1900"/>
      <c r="U171" s="73">
        <v>5171277</v>
      </c>
      <c r="V171" s="1901"/>
      <c r="W171" s="701"/>
      <c r="X171" s="1910"/>
      <c r="Y171" s="1139"/>
      <c r="Z171" s="641"/>
      <c r="AB171" s="641"/>
      <c r="AC171" s="641"/>
    </row>
    <row r="172" spans="1:29">
      <c r="A172" s="49">
        <f t="shared" si="10"/>
        <v>2010.07</v>
      </c>
      <c r="B172" s="73">
        <v>282109</v>
      </c>
      <c r="C172" s="1882">
        <f t="shared" si="9"/>
        <v>183338</v>
      </c>
      <c r="D172" s="1804">
        <v>22302</v>
      </c>
      <c r="E172" s="294">
        <v>83961</v>
      </c>
      <c r="F172" s="1804">
        <v>8493</v>
      </c>
      <c r="G172" s="294">
        <v>28131</v>
      </c>
      <c r="H172" s="1804">
        <v>26011</v>
      </c>
      <c r="I172" s="294">
        <v>8973</v>
      </c>
      <c r="J172" s="1804">
        <v>5467</v>
      </c>
      <c r="K172" s="294">
        <v>39502</v>
      </c>
      <c r="L172" s="1804">
        <v>10603</v>
      </c>
      <c r="M172" s="294">
        <v>19663</v>
      </c>
      <c r="N172" s="1892">
        <v>29003</v>
      </c>
      <c r="O172" s="1140"/>
      <c r="P172" s="61">
        <v>142652</v>
      </c>
      <c r="Q172" s="61">
        <v>2758274</v>
      </c>
      <c r="R172" s="505">
        <f t="shared" si="12"/>
        <v>1977.6028376749011</v>
      </c>
      <c r="S172" s="518">
        <f t="shared" si="13"/>
        <v>102.2773662079982</v>
      </c>
      <c r="T172" s="1900"/>
      <c r="U172" s="73">
        <v>5511210</v>
      </c>
      <c r="V172" s="1901"/>
      <c r="W172" s="701"/>
      <c r="X172" s="1910"/>
      <c r="Y172" s="1139"/>
      <c r="Z172" s="641"/>
      <c r="AB172" s="641"/>
      <c r="AC172" s="641"/>
    </row>
    <row r="173" spans="1:29">
      <c r="A173" s="49">
        <f t="shared" si="10"/>
        <v>2010.08</v>
      </c>
      <c r="B173" s="73">
        <v>271253</v>
      </c>
      <c r="C173" s="1882">
        <f t="shared" si="9"/>
        <v>175430</v>
      </c>
      <c r="D173" s="1804">
        <v>21545</v>
      </c>
      <c r="E173" s="294">
        <v>77397</v>
      </c>
      <c r="F173" s="1804">
        <v>8369</v>
      </c>
      <c r="G173" s="294">
        <v>27794</v>
      </c>
      <c r="H173" s="1804">
        <v>25392</v>
      </c>
      <c r="I173" s="294">
        <v>9413</v>
      </c>
      <c r="J173" s="1804">
        <v>5520</v>
      </c>
      <c r="K173" s="294">
        <v>38893</v>
      </c>
      <c r="L173" s="1804">
        <v>8694</v>
      </c>
      <c r="M173" s="294">
        <v>17337</v>
      </c>
      <c r="N173" s="1892">
        <v>30899</v>
      </c>
      <c r="O173" s="1140"/>
      <c r="P173" s="61">
        <v>142652</v>
      </c>
      <c r="Q173" s="61">
        <v>2710612</v>
      </c>
      <c r="R173" s="505">
        <f t="shared" si="12"/>
        <v>1901.501556234753</v>
      </c>
      <c r="S173" s="518">
        <f t="shared" si="13"/>
        <v>100.07075892824203</v>
      </c>
      <c r="T173" s="1900"/>
      <c r="U173" s="73">
        <v>5419675</v>
      </c>
      <c r="V173" s="1901"/>
      <c r="W173" s="701"/>
      <c r="X173" s="1910"/>
      <c r="Y173" s="1139"/>
      <c r="Z173" s="641"/>
      <c r="AB173" s="641"/>
      <c r="AC173" s="641"/>
    </row>
    <row r="174" spans="1:29">
      <c r="A174" s="49">
        <f t="shared" si="10"/>
        <v>2010.09</v>
      </c>
      <c r="B174" s="73">
        <v>264690</v>
      </c>
      <c r="C174" s="1882">
        <f t="shared" si="9"/>
        <v>175699</v>
      </c>
      <c r="D174" s="1804">
        <v>22506</v>
      </c>
      <c r="E174" s="294">
        <v>78844</v>
      </c>
      <c r="F174" s="1804">
        <v>8033</v>
      </c>
      <c r="G174" s="294">
        <v>26750</v>
      </c>
      <c r="H174" s="1804">
        <v>25112</v>
      </c>
      <c r="I174" s="294">
        <v>9277</v>
      </c>
      <c r="J174" s="1804">
        <v>5177</v>
      </c>
      <c r="K174" s="294">
        <v>38696</v>
      </c>
      <c r="L174" s="1804">
        <v>7359</v>
      </c>
      <c r="M174" s="294">
        <v>15570</v>
      </c>
      <c r="N174" s="1892">
        <v>27366</v>
      </c>
      <c r="O174" s="1140"/>
      <c r="P174" s="61">
        <v>142652</v>
      </c>
      <c r="Q174" s="61">
        <v>2540386</v>
      </c>
      <c r="R174" s="505">
        <f t="shared" si="12"/>
        <v>1855.4944900877661</v>
      </c>
      <c r="S174" s="518">
        <f t="shared" si="13"/>
        <v>104.19282738922352</v>
      </c>
      <c r="T174" s="1900"/>
      <c r="U174" s="73">
        <v>5220043</v>
      </c>
      <c r="V174" s="1901"/>
      <c r="W174" s="701"/>
      <c r="X174" s="1910"/>
      <c r="Y174" s="1139"/>
      <c r="Z174" s="641"/>
      <c r="AB174" s="641"/>
      <c r="AC174" s="641"/>
    </row>
    <row r="175" spans="1:29">
      <c r="A175" s="49">
        <f t="shared" si="10"/>
        <v>2010.1</v>
      </c>
      <c r="B175" s="73">
        <v>291519</v>
      </c>
      <c r="C175" s="1882">
        <f t="shared" si="9"/>
        <v>187034</v>
      </c>
      <c r="D175" s="1804">
        <v>24966</v>
      </c>
      <c r="E175" s="294">
        <v>80743</v>
      </c>
      <c r="F175" s="1804">
        <v>8815</v>
      </c>
      <c r="G175" s="294">
        <v>28307</v>
      </c>
      <c r="H175" s="1804">
        <v>28185</v>
      </c>
      <c r="I175" s="294">
        <v>10457</v>
      </c>
      <c r="J175" s="1804">
        <v>5561</v>
      </c>
      <c r="K175" s="294">
        <v>41580</v>
      </c>
      <c r="L175" s="1804">
        <v>8768</v>
      </c>
      <c r="M175" s="294">
        <v>22537</v>
      </c>
      <c r="N175" s="1892">
        <v>31600</v>
      </c>
      <c r="O175" s="1140"/>
      <c r="P175" s="61">
        <v>142652</v>
      </c>
      <c r="Q175" s="61">
        <v>2693572</v>
      </c>
      <c r="R175" s="505">
        <f t="shared" si="12"/>
        <v>2043.5675630204973</v>
      </c>
      <c r="S175" s="518">
        <f t="shared" si="13"/>
        <v>108.22766200420854</v>
      </c>
      <c r="T175" s="1900"/>
      <c r="U175" s="73">
        <v>5841716</v>
      </c>
      <c r="V175" s="1901"/>
      <c r="W175" s="701"/>
      <c r="X175" s="1910"/>
      <c r="Y175" s="1139"/>
      <c r="Z175" s="641"/>
      <c r="AB175" s="641"/>
      <c r="AC175" s="641"/>
    </row>
    <row r="176" spans="1:29">
      <c r="A176" s="49">
        <f t="shared" si="10"/>
        <v>2010.11</v>
      </c>
      <c r="B176" s="73">
        <v>281152</v>
      </c>
      <c r="C176" s="1882">
        <f t="shared" si="9"/>
        <v>181779</v>
      </c>
      <c r="D176" s="1804">
        <v>26167</v>
      </c>
      <c r="E176" s="294">
        <v>78562</v>
      </c>
      <c r="F176" s="1804">
        <v>7987</v>
      </c>
      <c r="G176" s="294">
        <v>26427</v>
      </c>
      <c r="H176" s="1804">
        <v>27301</v>
      </c>
      <c r="I176" s="294">
        <v>9847</v>
      </c>
      <c r="J176" s="1804">
        <v>5488</v>
      </c>
      <c r="K176" s="294">
        <v>40638</v>
      </c>
      <c r="L176" s="1804">
        <v>8439</v>
      </c>
      <c r="M176" s="294">
        <v>19267</v>
      </c>
      <c r="N176" s="1892">
        <v>31029</v>
      </c>
      <c r="O176" s="1140"/>
      <c r="P176" s="61">
        <v>142652</v>
      </c>
      <c r="Q176" s="61">
        <v>2570129</v>
      </c>
      <c r="R176" s="505">
        <f t="shared" si="12"/>
        <v>1970.8942040770548</v>
      </c>
      <c r="S176" s="518">
        <f t="shared" si="13"/>
        <v>109.39217447840167</v>
      </c>
      <c r="T176" s="1900"/>
      <c r="U176" s="73">
        <v>5627853</v>
      </c>
      <c r="V176" s="1901"/>
      <c r="W176" s="701"/>
      <c r="X176" s="1910"/>
      <c r="Y176" s="1139"/>
      <c r="Z176" s="641"/>
      <c r="AB176" s="641"/>
      <c r="AC176" s="641"/>
    </row>
    <row r="177" spans="1:29">
      <c r="A177" s="49">
        <f t="shared" si="10"/>
        <v>2010.12</v>
      </c>
      <c r="B177" s="73">
        <v>379521</v>
      </c>
      <c r="C177" s="1882">
        <f t="shared" si="9"/>
        <v>237759</v>
      </c>
      <c r="D177" s="1804">
        <v>47191</v>
      </c>
      <c r="E177" s="294">
        <v>99218</v>
      </c>
      <c r="F177" s="1804">
        <v>9971</v>
      </c>
      <c r="G177" s="294">
        <v>28754</v>
      </c>
      <c r="H177" s="1804">
        <v>34000</v>
      </c>
      <c r="I177" s="294">
        <v>11840</v>
      </c>
      <c r="J177" s="1804">
        <v>6785</v>
      </c>
      <c r="K177" s="294">
        <v>46977</v>
      </c>
      <c r="L177" s="1804">
        <v>13603</v>
      </c>
      <c r="M177" s="294">
        <v>30787</v>
      </c>
      <c r="N177" s="1892">
        <v>50395</v>
      </c>
      <c r="O177" s="1140"/>
      <c r="P177" s="61">
        <v>147775</v>
      </c>
      <c r="Q177" s="61">
        <v>2994843</v>
      </c>
      <c r="R177" s="505">
        <f t="shared" si="12"/>
        <v>2568.2354931483674</v>
      </c>
      <c r="S177" s="518">
        <f t="shared" si="13"/>
        <v>126.72483999995993</v>
      </c>
      <c r="T177" s="1900"/>
      <c r="U177" s="73">
        <v>7448224</v>
      </c>
      <c r="V177" s="1901"/>
      <c r="W177" s="701"/>
      <c r="X177" s="1910"/>
      <c r="Y177" s="1139"/>
      <c r="Z177" s="641"/>
      <c r="AB177" s="641"/>
      <c r="AC177" s="641"/>
    </row>
    <row r="178" spans="1:29">
      <c r="A178" s="49">
        <f t="shared" si="10"/>
        <v>2011.01</v>
      </c>
      <c r="B178" s="73">
        <v>286848</v>
      </c>
      <c r="C178" s="1882">
        <f t="shared" si="9"/>
        <v>170329</v>
      </c>
      <c r="D178" s="1804">
        <v>25194</v>
      </c>
      <c r="E178" s="294">
        <v>72993</v>
      </c>
      <c r="F178" s="1804">
        <v>7196</v>
      </c>
      <c r="G178" s="294">
        <v>23647</v>
      </c>
      <c r="H178" s="1804">
        <v>26319</v>
      </c>
      <c r="I178" s="294">
        <v>10131</v>
      </c>
      <c r="J178" s="1804">
        <v>4849</v>
      </c>
      <c r="K178" s="294">
        <v>43663</v>
      </c>
      <c r="L178" s="1804">
        <v>10296</v>
      </c>
      <c r="M178" s="294">
        <v>24991</v>
      </c>
      <c r="N178" s="1892">
        <v>37569</v>
      </c>
      <c r="O178" s="1140"/>
      <c r="P178" s="61">
        <v>147775</v>
      </c>
      <c r="Q178" s="61">
        <v>2531930</v>
      </c>
      <c r="R178" s="505">
        <f t="shared" si="12"/>
        <v>1941.1131788191508</v>
      </c>
      <c r="S178" s="518">
        <f t="shared" si="13"/>
        <v>113.29223161777774</v>
      </c>
      <c r="T178" s="1900"/>
      <c r="U178" s="73">
        <v>5992887</v>
      </c>
      <c r="V178" s="1901"/>
      <c r="W178" s="701"/>
      <c r="X178" s="1910"/>
      <c r="Y178" s="1139"/>
      <c r="Z178" s="641"/>
      <c r="AB178" s="641"/>
      <c r="AC178" s="641"/>
    </row>
    <row r="179" spans="1:29">
      <c r="A179" s="49">
        <f t="shared" si="10"/>
        <v>2011.02</v>
      </c>
      <c r="B179" s="73">
        <v>278266</v>
      </c>
      <c r="C179" s="1882">
        <f t="shared" si="9"/>
        <v>174610</v>
      </c>
      <c r="D179" s="1804">
        <v>24687</v>
      </c>
      <c r="E179" s="294">
        <v>70613</v>
      </c>
      <c r="F179" s="1804">
        <v>7957</v>
      </c>
      <c r="G179" s="294">
        <v>27011</v>
      </c>
      <c r="H179" s="1804">
        <v>26733</v>
      </c>
      <c r="I179" s="294">
        <v>11404</v>
      </c>
      <c r="J179" s="1804">
        <v>6205</v>
      </c>
      <c r="K179" s="294">
        <v>41398</v>
      </c>
      <c r="L179" s="1804">
        <v>9898</v>
      </c>
      <c r="M179" s="294">
        <v>17036</v>
      </c>
      <c r="N179" s="1892">
        <v>35324</v>
      </c>
      <c r="O179" s="1140"/>
      <c r="P179" s="61">
        <v>147775</v>
      </c>
      <c r="Q179" s="61">
        <v>2519005</v>
      </c>
      <c r="R179" s="505">
        <f t="shared" si="12"/>
        <v>1883.0384029774996</v>
      </c>
      <c r="S179" s="518">
        <f t="shared" si="13"/>
        <v>110.46663265852985</v>
      </c>
      <c r="T179" s="1900"/>
      <c r="U179" s="73">
        <v>5631785</v>
      </c>
      <c r="V179" s="1901"/>
      <c r="W179" s="701"/>
      <c r="X179" s="1910"/>
      <c r="Y179" s="1139"/>
      <c r="Z179" s="641"/>
      <c r="AB179" s="641"/>
      <c r="AC179" s="641"/>
    </row>
    <row r="180" spans="1:29">
      <c r="A180" s="49">
        <f t="shared" si="10"/>
        <v>2011.03</v>
      </c>
      <c r="B180" s="73">
        <v>319200</v>
      </c>
      <c r="C180" s="1882">
        <f t="shared" si="9"/>
        <v>205837</v>
      </c>
      <c r="D180" s="1804">
        <v>28823</v>
      </c>
      <c r="E180" s="294">
        <v>86569</v>
      </c>
      <c r="F180" s="1804">
        <v>9056</v>
      </c>
      <c r="G180" s="294">
        <v>31753</v>
      </c>
      <c r="H180" s="1804">
        <v>31442</v>
      </c>
      <c r="I180" s="294">
        <v>11809</v>
      </c>
      <c r="J180" s="1804">
        <v>6385</v>
      </c>
      <c r="K180" s="294">
        <v>47956</v>
      </c>
      <c r="L180" s="1804">
        <v>10835</v>
      </c>
      <c r="M180" s="294">
        <v>20499</v>
      </c>
      <c r="N180" s="1892">
        <v>34073</v>
      </c>
      <c r="O180" s="1140"/>
      <c r="P180" s="61">
        <v>147775</v>
      </c>
      <c r="Q180" s="61">
        <v>2772500</v>
      </c>
      <c r="R180" s="505">
        <f t="shared" si="12"/>
        <v>2160.0406022669599</v>
      </c>
      <c r="S180" s="518">
        <f t="shared" si="13"/>
        <v>115.1307484220018</v>
      </c>
      <c r="T180" s="1900"/>
      <c r="U180" s="73">
        <v>6314185</v>
      </c>
      <c r="V180" s="1901"/>
      <c r="W180" s="701"/>
      <c r="X180" s="1910"/>
      <c r="Y180" s="1139"/>
      <c r="Z180" s="641"/>
      <c r="AB180" s="641"/>
      <c r="AC180" s="641"/>
    </row>
    <row r="181" spans="1:29">
      <c r="A181" s="49">
        <f t="shared" si="10"/>
        <v>2011.04</v>
      </c>
      <c r="B181" s="73">
        <v>329727</v>
      </c>
      <c r="C181" s="1882">
        <f t="shared" si="9"/>
        <v>216177</v>
      </c>
      <c r="D181" s="1804">
        <v>27457</v>
      </c>
      <c r="E181" s="294">
        <v>96003</v>
      </c>
      <c r="F181" s="1804">
        <v>9551</v>
      </c>
      <c r="G181" s="294">
        <v>33161</v>
      </c>
      <c r="H181" s="1804">
        <v>32020</v>
      </c>
      <c r="I181" s="294">
        <v>10928</v>
      </c>
      <c r="J181" s="1804">
        <v>7057</v>
      </c>
      <c r="K181" s="294">
        <v>48044</v>
      </c>
      <c r="L181" s="1804">
        <v>12798</v>
      </c>
      <c r="M181" s="294">
        <v>19838</v>
      </c>
      <c r="N181" s="1892">
        <v>32870</v>
      </c>
      <c r="O181" s="1140"/>
      <c r="P181" s="61">
        <v>147775</v>
      </c>
      <c r="Q181" s="61">
        <v>2722783</v>
      </c>
      <c r="R181" s="505">
        <f t="shared" si="12"/>
        <v>2231.2772796481136</v>
      </c>
      <c r="S181" s="518">
        <f t="shared" si="13"/>
        <v>121.09925763455993</v>
      </c>
      <c r="T181" s="1900"/>
      <c r="U181" s="73">
        <v>6502632</v>
      </c>
      <c r="V181" s="1901"/>
      <c r="W181" s="701"/>
      <c r="X181" s="1910"/>
      <c r="Y181" s="1139"/>
      <c r="Z181" s="641"/>
      <c r="AB181" s="641"/>
      <c r="AC181" s="641"/>
    </row>
    <row r="182" spans="1:29">
      <c r="A182" s="49">
        <f t="shared" si="10"/>
        <v>2011.05</v>
      </c>
      <c r="B182" s="73">
        <v>319773</v>
      </c>
      <c r="C182" s="1882">
        <f t="shared" si="9"/>
        <v>203872</v>
      </c>
      <c r="D182" s="1804">
        <v>24488</v>
      </c>
      <c r="E182" s="294">
        <v>90536</v>
      </c>
      <c r="F182" s="1804">
        <v>9434</v>
      </c>
      <c r="G182" s="294">
        <v>32531</v>
      </c>
      <c r="H182" s="1804">
        <v>30099</v>
      </c>
      <c r="I182" s="294">
        <v>10336</v>
      </c>
      <c r="J182" s="1804">
        <v>6448</v>
      </c>
      <c r="K182" s="294">
        <v>46596</v>
      </c>
      <c r="L182" s="1804">
        <v>13954</v>
      </c>
      <c r="M182" s="294">
        <v>22449</v>
      </c>
      <c r="N182" s="1892">
        <v>32902</v>
      </c>
      <c r="O182" s="1140"/>
      <c r="P182" s="61">
        <v>147775</v>
      </c>
      <c r="Q182" s="61">
        <v>2631213</v>
      </c>
      <c r="R182" s="505">
        <f t="shared" si="12"/>
        <v>2163.9181187616309</v>
      </c>
      <c r="S182" s="518">
        <f t="shared" si="13"/>
        <v>121.53064005080546</v>
      </c>
      <c r="T182" s="1900"/>
      <c r="U182" s="73">
        <v>6304644</v>
      </c>
      <c r="V182" s="1901"/>
      <c r="W182" s="701"/>
      <c r="X182" s="1910"/>
      <c r="Y182" s="1139"/>
      <c r="Z182" s="641"/>
      <c r="AB182" s="641"/>
      <c r="AC182" s="641"/>
    </row>
    <row r="183" spans="1:29">
      <c r="A183" s="49">
        <f t="shared" si="10"/>
        <v>2011.06</v>
      </c>
      <c r="B183" s="73">
        <v>336793</v>
      </c>
      <c r="C183" s="1882">
        <f t="shared" si="9"/>
        <v>213284</v>
      </c>
      <c r="D183" s="1804">
        <v>26381</v>
      </c>
      <c r="E183" s="294">
        <v>95417</v>
      </c>
      <c r="F183" s="1804">
        <v>9857</v>
      </c>
      <c r="G183" s="294">
        <v>33388</v>
      </c>
      <c r="H183" s="1804">
        <v>30667</v>
      </c>
      <c r="I183" s="294">
        <v>10478</v>
      </c>
      <c r="J183" s="1804">
        <v>7096</v>
      </c>
      <c r="K183" s="294">
        <v>46979</v>
      </c>
      <c r="L183" s="1804">
        <v>15507</v>
      </c>
      <c r="M183" s="294">
        <v>26500</v>
      </c>
      <c r="N183" s="1892">
        <v>34523</v>
      </c>
      <c r="O183" s="1140"/>
      <c r="P183" s="61">
        <v>147775</v>
      </c>
      <c r="Q183" s="61">
        <v>2665578</v>
      </c>
      <c r="R183" s="505">
        <f t="shared" si="12"/>
        <v>2279.0932160378957</v>
      </c>
      <c r="S183" s="518">
        <f t="shared" si="13"/>
        <v>126.3489569616796</v>
      </c>
      <c r="T183" s="1900"/>
      <c r="U183" s="73">
        <v>6568026</v>
      </c>
      <c r="V183" s="1901"/>
      <c r="W183" s="701"/>
      <c r="X183" s="1910"/>
      <c r="Y183" s="1139"/>
      <c r="Z183" s="641"/>
      <c r="AB183" s="641"/>
      <c r="AC183" s="641"/>
    </row>
    <row r="184" spans="1:29">
      <c r="A184" s="49">
        <f t="shared" si="10"/>
        <v>2011.07</v>
      </c>
      <c r="B184" s="73">
        <v>363713</v>
      </c>
      <c r="C184" s="1882">
        <f t="shared" si="9"/>
        <v>229140</v>
      </c>
      <c r="D184" s="1804">
        <v>28406</v>
      </c>
      <c r="E184" s="294">
        <v>102015</v>
      </c>
      <c r="F184" s="1804">
        <v>10990</v>
      </c>
      <c r="G184" s="294">
        <v>35395</v>
      </c>
      <c r="H184" s="1804">
        <v>33406</v>
      </c>
      <c r="I184" s="294">
        <v>11631</v>
      </c>
      <c r="J184" s="1804">
        <v>7297</v>
      </c>
      <c r="K184" s="294">
        <v>51539</v>
      </c>
      <c r="L184" s="1804">
        <v>15672</v>
      </c>
      <c r="M184" s="294">
        <v>27576</v>
      </c>
      <c r="N184" s="1892">
        <v>39786</v>
      </c>
      <c r="O184" s="1140"/>
      <c r="P184" s="61">
        <v>148919</v>
      </c>
      <c r="Q184" s="61">
        <v>2731911</v>
      </c>
      <c r="R184" s="505">
        <f t="shared" si="12"/>
        <v>2442.3545685909789</v>
      </c>
      <c r="S184" s="518">
        <f t="shared" si="13"/>
        <v>133.1350106207706</v>
      </c>
      <c r="T184" s="1900"/>
      <c r="U184" s="73">
        <v>7181001</v>
      </c>
      <c r="V184" s="1901"/>
      <c r="W184" s="701"/>
      <c r="X184" s="1910"/>
      <c r="Y184" s="1139"/>
      <c r="Z184" s="641"/>
      <c r="AB184" s="641"/>
      <c r="AC184" s="641"/>
    </row>
    <row r="185" spans="1:29">
      <c r="A185" s="49">
        <f t="shared" si="10"/>
        <v>2011.08</v>
      </c>
      <c r="B185" s="73">
        <v>353163</v>
      </c>
      <c r="C185" s="1882">
        <f t="shared" si="9"/>
        <v>222688</v>
      </c>
      <c r="D185" s="1804">
        <v>26487</v>
      </c>
      <c r="E185" s="294">
        <v>98510</v>
      </c>
      <c r="F185" s="1804">
        <v>10719</v>
      </c>
      <c r="G185" s="294">
        <v>34731</v>
      </c>
      <c r="H185" s="1804">
        <v>33203</v>
      </c>
      <c r="I185" s="294">
        <v>12066</v>
      </c>
      <c r="J185" s="1804">
        <v>6972</v>
      </c>
      <c r="K185" s="294">
        <v>49210</v>
      </c>
      <c r="L185" s="1804">
        <v>11910</v>
      </c>
      <c r="M185" s="294">
        <v>26811</v>
      </c>
      <c r="N185" s="1892">
        <v>42544</v>
      </c>
      <c r="O185" s="1140"/>
      <c r="P185" s="61">
        <v>148919</v>
      </c>
      <c r="Q185" s="61">
        <v>2678018</v>
      </c>
      <c r="R185" s="505">
        <f t="shared" si="12"/>
        <v>2371.5106870177751</v>
      </c>
      <c r="S185" s="518">
        <f t="shared" si="13"/>
        <v>131.87476708521004</v>
      </c>
      <c r="T185" s="1900"/>
      <c r="U185" s="73">
        <v>6995383</v>
      </c>
      <c r="V185" s="1901"/>
      <c r="W185" s="701"/>
      <c r="X185" s="1910"/>
      <c r="Y185" s="1139"/>
      <c r="Z185" s="641"/>
      <c r="AB185" s="641"/>
      <c r="AC185" s="641"/>
    </row>
    <row r="186" spans="1:29">
      <c r="A186" s="49">
        <f t="shared" si="10"/>
        <v>2011.09</v>
      </c>
      <c r="B186" s="73">
        <v>343658</v>
      </c>
      <c r="C186" s="1882">
        <f t="shared" si="9"/>
        <v>222138</v>
      </c>
      <c r="D186" s="1804">
        <v>28225</v>
      </c>
      <c r="E186" s="294">
        <v>96229</v>
      </c>
      <c r="F186" s="1804">
        <v>10232</v>
      </c>
      <c r="G186" s="294">
        <v>34899</v>
      </c>
      <c r="H186" s="1804">
        <v>32968</v>
      </c>
      <c r="I186" s="294">
        <v>12771</v>
      </c>
      <c r="J186" s="1804">
        <v>6814</v>
      </c>
      <c r="K186" s="294">
        <v>51469</v>
      </c>
      <c r="L186" s="1804">
        <v>11487</v>
      </c>
      <c r="M186" s="294">
        <v>22469</v>
      </c>
      <c r="N186" s="1892">
        <v>36095</v>
      </c>
      <c r="O186" s="1140"/>
      <c r="P186" s="61">
        <v>148714</v>
      </c>
      <c r="Q186" s="61">
        <v>2633007</v>
      </c>
      <c r="R186" s="505">
        <f t="shared" si="12"/>
        <v>2310.8651505574458</v>
      </c>
      <c r="S186" s="518">
        <f t="shared" si="13"/>
        <v>130.51921244417505</v>
      </c>
      <c r="T186" s="1900"/>
      <c r="U186" s="73">
        <v>6810108</v>
      </c>
      <c r="V186" s="1901"/>
      <c r="W186" s="701"/>
      <c r="X186" s="1910"/>
      <c r="Y186" s="1139"/>
      <c r="Z186" s="641"/>
      <c r="AB186" s="641"/>
      <c r="AC186" s="641"/>
    </row>
    <row r="187" spans="1:29">
      <c r="A187" s="49">
        <f t="shared" si="10"/>
        <v>2011.1</v>
      </c>
      <c r="B187" s="73">
        <v>375142</v>
      </c>
      <c r="C187" s="1882">
        <f t="shared" si="9"/>
        <v>231257</v>
      </c>
      <c r="D187" s="1804">
        <v>29755</v>
      </c>
      <c r="E187" s="294">
        <v>97927</v>
      </c>
      <c r="F187" s="1804">
        <v>10941</v>
      </c>
      <c r="G187" s="294">
        <v>36423</v>
      </c>
      <c r="H187" s="1804">
        <v>35346</v>
      </c>
      <c r="I187" s="294">
        <v>13496</v>
      </c>
      <c r="J187" s="1804">
        <v>7369</v>
      </c>
      <c r="K187" s="294">
        <v>55045</v>
      </c>
      <c r="L187" s="1804">
        <v>13187</v>
      </c>
      <c r="M187" s="294">
        <v>31526</v>
      </c>
      <c r="N187" s="1892">
        <v>44127</v>
      </c>
      <c r="O187" s="1140"/>
      <c r="P187" s="61">
        <v>148714</v>
      </c>
      <c r="Q187" s="61">
        <v>2643919</v>
      </c>
      <c r="R187" s="505">
        <f t="shared" si="12"/>
        <v>2522.5735304006348</v>
      </c>
      <c r="S187" s="518">
        <f t="shared" si="13"/>
        <v>141.88861307778339</v>
      </c>
      <c r="T187" s="1900"/>
      <c r="U187" s="73">
        <v>7418351</v>
      </c>
      <c r="V187" s="1901"/>
      <c r="W187" s="701"/>
      <c r="X187" s="1910"/>
      <c r="Y187" s="1139"/>
      <c r="Z187" s="641"/>
      <c r="AB187" s="641"/>
      <c r="AC187" s="641"/>
    </row>
    <row r="188" spans="1:29">
      <c r="A188" s="49">
        <f t="shared" si="10"/>
        <v>2011.11</v>
      </c>
      <c r="B188" s="73">
        <v>369965</v>
      </c>
      <c r="C188" s="1882">
        <f t="shared" si="9"/>
        <v>227564</v>
      </c>
      <c r="D188" s="1804">
        <v>33866</v>
      </c>
      <c r="E188" s="294">
        <v>95919</v>
      </c>
      <c r="F188" s="1804">
        <v>10160</v>
      </c>
      <c r="G188" s="294">
        <v>33985</v>
      </c>
      <c r="H188" s="1804">
        <v>33064</v>
      </c>
      <c r="I188" s="294">
        <v>13894</v>
      </c>
      <c r="J188" s="1804">
        <v>6676</v>
      </c>
      <c r="K188" s="294">
        <v>54181</v>
      </c>
      <c r="L188" s="1804">
        <v>12223</v>
      </c>
      <c r="M188" s="294">
        <v>31144</v>
      </c>
      <c r="N188" s="1892">
        <v>44853</v>
      </c>
      <c r="O188" s="1140"/>
      <c r="P188" s="61">
        <v>148714</v>
      </c>
      <c r="Q188" s="61">
        <v>2647968</v>
      </c>
      <c r="R188" s="505">
        <f t="shared" si="12"/>
        <v>2487.7617440187205</v>
      </c>
      <c r="S188" s="518">
        <f t="shared" si="13"/>
        <v>139.71656757181356</v>
      </c>
      <c r="T188" s="1900"/>
      <c r="U188" s="73">
        <v>7335712</v>
      </c>
      <c r="V188" s="1901"/>
      <c r="W188" s="701"/>
      <c r="X188" s="1910"/>
      <c r="Y188" s="1139"/>
      <c r="Z188" s="641"/>
      <c r="AB188" s="641"/>
      <c r="AC188" s="641"/>
    </row>
    <row r="189" spans="1:29">
      <c r="A189" s="49">
        <f t="shared" si="10"/>
        <v>2011.12</v>
      </c>
      <c r="B189" s="73">
        <v>463126</v>
      </c>
      <c r="C189" s="1882">
        <f t="shared" si="9"/>
        <v>288308</v>
      </c>
      <c r="D189" s="1804">
        <v>54895</v>
      </c>
      <c r="E189" s="294">
        <v>120175</v>
      </c>
      <c r="F189" s="1804">
        <v>13606</v>
      </c>
      <c r="G189" s="294">
        <v>35485</v>
      </c>
      <c r="H189" s="1804">
        <v>39561</v>
      </c>
      <c r="I189" s="294">
        <v>16914</v>
      </c>
      <c r="J189" s="1804">
        <v>7672</v>
      </c>
      <c r="K189" s="294">
        <v>59152</v>
      </c>
      <c r="L189" s="1804">
        <v>16328</v>
      </c>
      <c r="M189" s="294">
        <v>35055</v>
      </c>
      <c r="N189" s="1892">
        <v>64283</v>
      </c>
      <c r="O189" s="1140"/>
      <c r="P189" s="61">
        <v>148714</v>
      </c>
      <c r="Q189" s="61">
        <v>2988021</v>
      </c>
      <c r="R189" s="505">
        <f t="shared" si="12"/>
        <v>3114.2057909813466</v>
      </c>
      <c r="S189" s="518">
        <f t="shared" si="13"/>
        <v>154.99422527485584</v>
      </c>
      <c r="T189" s="1900"/>
      <c r="U189" s="73">
        <v>9277338</v>
      </c>
      <c r="V189" s="1901"/>
      <c r="W189" s="701"/>
      <c r="X189" s="1910"/>
      <c r="Y189" s="1139"/>
      <c r="Z189" s="641"/>
      <c r="AB189" s="641"/>
      <c r="AC189" s="641"/>
    </row>
    <row r="190" spans="1:29">
      <c r="A190" s="49">
        <f t="shared" si="10"/>
        <v>2012.01</v>
      </c>
      <c r="B190" s="73">
        <v>376606</v>
      </c>
      <c r="C190" s="1882">
        <f t="shared" ref="C190:C237" si="14">SUM(D190:J190)</f>
        <v>227842</v>
      </c>
      <c r="D190" s="1804">
        <v>34632</v>
      </c>
      <c r="E190" s="294">
        <v>95699</v>
      </c>
      <c r="F190" s="1804">
        <v>10344</v>
      </c>
      <c r="G190" s="294">
        <v>32694</v>
      </c>
      <c r="H190" s="1804">
        <v>32774</v>
      </c>
      <c r="I190" s="294">
        <v>15140</v>
      </c>
      <c r="J190" s="1804">
        <v>6559</v>
      </c>
      <c r="K190" s="294">
        <v>55118</v>
      </c>
      <c r="L190" s="1804">
        <v>13220</v>
      </c>
      <c r="M190" s="294">
        <v>31496</v>
      </c>
      <c r="N190" s="1892">
        <v>48930</v>
      </c>
      <c r="O190" s="1140"/>
      <c r="P190" s="61">
        <v>148714</v>
      </c>
      <c r="Q190" s="61">
        <v>2609242</v>
      </c>
      <c r="R190" s="505">
        <f t="shared" si="12"/>
        <v>2532.4179297174442</v>
      </c>
      <c r="S190" s="518">
        <f t="shared" si="13"/>
        <v>144.33540468841142</v>
      </c>
      <c r="T190" s="1900"/>
      <c r="U190" s="73">
        <v>7630134</v>
      </c>
      <c r="V190" s="1901"/>
      <c r="W190" s="701"/>
      <c r="X190" s="1910"/>
      <c r="Y190" s="1139"/>
      <c r="Z190" s="641"/>
      <c r="AB190" s="641"/>
      <c r="AC190" s="641"/>
    </row>
    <row r="191" spans="1:29">
      <c r="A191" s="49">
        <f t="shared" si="10"/>
        <v>2012.02</v>
      </c>
      <c r="B191" s="73">
        <v>375650</v>
      </c>
      <c r="C191" s="1882">
        <f t="shared" si="14"/>
        <v>233334</v>
      </c>
      <c r="D191" s="1804">
        <v>33861</v>
      </c>
      <c r="E191" s="294">
        <v>96911</v>
      </c>
      <c r="F191" s="1804">
        <v>10983</v>
      </c>
      <c r="G191" s="294">
        <v>34723</v>
      </c>
      <c r="H191" s="1804">
        <v>34194</v>
      </c>
      <c r="I191" s="294">
        <v>15603</v>
      </c>
      <c r="J191" s="1804">
        <v>7059</v>
      </c>
      <c r="K191" s="294">
        <v>54654</v>
      </c>
      <c r="L191" s="1804">
        <v>13380</v>
      </c>
      <c r="M191" s="294">
        <v>25546</v>
      </c>
      <c r="N191" s="1892">
        <v>48736</v>
      </c>
      <c r="O191" s="1140"/>
      <c r="P191" s="61">
        <v>148714</v>
      </c>
      <c r="Q191" s="61">
        <v>2608949</v>
      </c>
      <c r="R191" s="505">
        <f t="shared" si="12"/>
        <v>2525.9894831690358</v>
      </c>
      <c r="S191" s="518">
        <f t="shared" si="13"/>
        <v>143.98518330561464</v>
      </c>
      <c r="T191" s="1900"/>
      <c r="U191" s="73">
        <v>7529642</v>
      </c>
      <c r="V191" s="1901"/>
      <c r="W191" s="701"/>
      <c r="X191" s="1910"/>
      <c r="Y191" s="1139"/>
      <c r="Z191" s="641"/>
      <c r="AB191" s="641"/>
      <c r="AC191" s="641"/>
    </row>
    <row r="192" spans="1:29">
      <c r="A192" s="49">
        <f t="shared" si="10"/>
        <v>2012.03</v>
      </c>
      <c r="B192" s="73">
        <v>402235</v>
      </c>
      <c r="C192" s="1882">
        <f t="shared" si="14"/>
        <v>262005</v>
      </c>
      <c r="D192" s="1804">
        <v>34732</v>
      </c>
      <c r="E192" s="294">
        <v>112923</v>
      </c>
      <c r="F192" s="1804">
        <v>12086</v>
      </c>
      <c r="G192" s="294">
        <v>39507</v>
      </c>
      <c r="H192" s="1804">
        <v>38456</v>
      </c>
      <c r="I192" s="294">
        <v>16831</v>
      </c>
      <c r="J192" s="1804">
        <v>7470</v>
      </c>
      <c r="K192" s="294">
        <v>59768</v>
      </c>
      <c r="L192" s="1804">
        <v>12727</v>
      </c>
      <c r="M192" s="294">
        <v>26585</v>
      </c>
      <c r="N192" s="1892">
        <v>41150</v>
      </c>
      <c r="O192" s="1140"/>
      <c r="P192" s="61">
        <v>148714</v>
      </c>
      <c r="Q192" s="61">
        <v>2738599</v>
      </c>
      <c r="R192" s="505">
        <f t="shared" si="12"/>
        <v>2704.7554366098689</v>
      </c>
      <c r="S192" s="518">
        <f t="shared" si="13"/>
        <v>146.87619472584339</v>
      </c>
      <c r="T192" s="1900"/>
      <c r="U192" s="73">
        <v>8051017</v>
      </c>
      <c r="V192" s="1901"/>
      <c r="W192" s="701"/>
      <c r="X192" s="1910"/>
      <c r="Y192" s="1139"/>
      <c r="Z192" s="641"/>
      <c r="AB192" s="641"/>
      <c r="AC192" s="641"/>
    </row>
    <row r="193" spans="1:29">
      <c r="A193" s="49">
        <f t="shared" si="10"/>
        <v>2012.04</v>
      </c>
      <c r="B193" s="73">
        <v>413924</v>
      </c>
      <c r="C193" s="1882">
        <f t="shared" si="14"/>
        <v>269256</v>
      </c>
      <c r="D193" s="1804">
        <v>36331</v>
      </c>
      <c r="E193" s="294">
        <v>118070</v>
      </c>
      <c r="F193" s="1804">
        <v>12965</v>
      </c>
      <c r="G193" s="294">
        <v>39274</v>
      </c>
      <c r="H193" s="1804">
        <v>38578</v>
      </c>
      <c r="I193" s="294">
        <v>15636</v>
      </c>
      <c r="J193" s="1804">
        <v>8402</v>
      </c>
      <c r="K193" s="294">
        <v>59535</v>
      </c>
      <c r="L193" s="1804">
        <v>16000</v>
      </c>
      <c r="M193" s="294">
        <v>28606</v>
      </c>
      <c r="N193" s="1892">
        <v>40527</v>
      </c>
      <c r="O193" s="1140"/>
      <c r="P193" s="61">
        <v>148714</v>
      </c>
      <c r="Q193" s="61">
        <v>2803866</v>
      </c>
      <c r="R193" s="505">
        <f t="shared" si="12"/>
        <v>2783.3559718654601</v>
      </c>
      <c r="S193" s="518">
        <f t="shared" si="13"/>
        <v>147.62617043753158</v>
      </c>
      <c r="T193" s="1900"/>
      <c r="U193" s="73">
        <v>8202183</v>
      </c>
      <c r="V193" s="1901"/>
      <c r="W193" s="701"/>
      <c r="X193" s="1910"/>
      <c r="Y193" s="1139"/>
      <c r="Z193" s="641"/>
      <c r="AB193" s="641"/>
      <c r="AC193" s="641"/>
    </row>
    <row r="194" spans="1:29">
      <c r="A194" s="49">
        <f t="shared" si="10"/>
        <v>2012.05</v>
      </c>
      <c r="B194" s="73">
        <v>393672</v>
      </c>
      <c r="C194" s="1882">
        <f t="shared" si="14"/>
        <v>255881</v>
      </c>
      <c r="D194" s="1804">
        <v>31096</v>
      </c>
      <c r="E194" s="294">
        <v>115688</v>
      </c>
      <c r="F194" s="1804">
        <v>12493</v>
      </c>
      <c r="G194" s="294">
        <v>38585</v>
      </c>
      <c r="H194" s="1804">
        <v>36205</v>
      </c>
      <c r="I194" s="294">
        <v>14590</v>
      </c>
      <c r="J194" s="1804">
        <v>7224</v>
      </c>
      <c r="K194" s="294">
        <v>57019</v>
      </c>
      <c r="L194" s="1804">
        <v>15196</v>
      </c>
      <c r="M194" s="294">
        <v>28037</v>
      </c>
      <c r="N194" s="1892">
        <v>37539</v>
      </c>
      <c r="O194" s="1140"/>
      <c r="P194" s="61">
        <v>148714</v>
      </c>
      <c r="Q194" s="61">
        <v>2694940</v>
      </c>
      <c r="R194" s="505">
        <f t="shared" si="12"/>
        <v>2647.1751146495958</v>
      </c>
      <c r="S194" s="518">
        <f t="shared" si="13"/>
        <v>146.07820582276415</v>
      </c>
      <c r="T194" s="1900"/>
      <c r="U194" s="73">
        <v>7742865</v>
      </c>
      <c r="V194" s="1901"/>
      <c r="W194" s="701"/>
      <c r="X194" s="1910"/>
      <c r="Y194" s="1139"/>
      <c r="Z194" s="641"/>
      <c r="AB194" s="641"/>
      <c r="AC194" s="641"/>
    </row>
    <row r="195" spans="1:29">
      <c r="A195" s="49">
        <f t="shared" si="10"/>
        <v>2012.06</v>
      </c>
      <c r="B195" s="73">
        <v>427878</v>
      </c>
      <c r="C195" s="1882">
        <f t="shared" si="14"/>
        <v>273181</v>
      </c>
      <c r="D195" s="1804">
        <v>33683</v>
      </c>
      <c r="E195" s="294">
        <v>122937</v>
      </c>
      <c r="F195" s="1804">
        <v>13515</v>
      </c>
      <c r="G195" s="294">
        <v>41757</v>
      </c>
      <c r="H195" s="1804">
        <v>38298</v>
      </c>
      <c r="I195" s="294">
        <v>15134</v>
      </c>
      <c r="J195" s="1804">
        <v>7857</v>
      </c>
      <c r="K195" s="294">
        <v>60264</v>
      </c>
      <c r="L195" s="1804">
        <v>17994</v>
      </c>
      <c r="M195" s="294">
        <v>36291</v>
      </c>
      <c r="N195" s="1892">
        <v>40148</v>
      </c>
      <c r="O195" s="1140"/>
      <c r="P195" s="61">
        <v>148564</v>
      </c>
      <c r="Q195" s="61">
        <v>2734993</v>
      </c>
      <c r="R195" s="505">
        <f t="shared" si="12"/>
        <v>2880.0920815271534</v>
      </c>
      <c r="S195" s="518">
        <f t="shared" si="13"/>
        <v>156.44573861797818</v>
      </c>
      <c r="T195" s="1900"/>
      <c r="U195" s="73">
        <v>8426822</v>
      </c>
      <c r="V195" s="1901"/>
      <c r="W195" s="701"/>
      <c r="X195" s="1910"/>
      <c r="Y195" s="1139"/>
      <c r="Z195" s="641"/>
      <c r="AB195" s="641"/>
      <c r="AC195" s="641"/>
    </row>
    <row r="196" spans="1:29">
      <c r="A196" s="49">
        <f t="shared" si="10"/>
        <v>2012.07</v>
      </c>
      <c r="B196" s="73">
        <v>438583</v>
      </c>
      <c r="C196" s="1882">
        <f t="shared" si="14"/>
        <v>279890</v>
      </c>
      <c r="D196" s="1804">
        <v>34316</v>
      </c>
      <c r="E196" s="294">
        <v>126795</v>
      </c>
      <c r="F196" s="1804">
        <v>13543</v>
      </c>
      <c r="G196" s="294">
        <v>42993</v>
      </c>
      <c r="H196" s="1804">
        <v>38310</v>
      </c>
      <c r="I196" s="294">
        <v>15826</v>
      </c>
      <c r="J196" s="1804">
        <v>8107</v>
      </c>
      <c r="K196" s="294">
        <v>61459</v>
      </c>
      <c r="L196" s="1804">
        <v>17295</v>
      </c>
      <c r="M196" s="294">
        <v>32977</v>
      </c>
      <c r="N196" s="1892">
        <v>46962</v>
      </c>
      <c r="O196" s="1140"/>
      <c r="P196" s="61">
        <v>148564</v>
      </c>
      <c r="Q196" s="61">
        <v>2835902</v>
      </c>
      <c r="R196" s="505">
        <f t="shared" si="12"/>
        <v>2952.1485689669098</v>
      </c>
      <c r="S196" s="518">
        <f t="shared" si="13"/>
        <v>154.65379269100271</v>
      </c>
      <c r="T196" s="1900"/>
      <c r="U196" s="430">
        <v>8766221</v>
      </c>
      <c r="V196" s="1901"/>
      <c r="W196" s="701"/>
      <c r="X196" s="1910"/>
      <c r="Y196" s="658">
        <v>-6.2</v>
      </c>
      <c r="Z196" s="641"/>
      <c r="AB196" s="641"/>
      <c r="AC196" s="641"/>
    </row>
    <row r="197" spans="1:29">
      <c r="A197" s="49">
        <f t="shared" si="10"/>
        <v>2012.08</v>
      </c>
      <c r="B197" s="73">
        <v>441951</v>
      </c>
      <c r="C197" s="1882">
        <f t="shared" si="14"/>
        <v>280924</v>
      </c>
      <c r="D197" s="1804">
        <v>34028</v>
      </c>
      <c r="E197" s="294">
        <v>127257</v>
      </c>
      <c r="F197" s="1804">
        <v>13574</v>
      </c>
      <c r="G197" s="294">
        <v>43675</v>
      </c>
      <c r="H197" s="1804">
        <v>37940</v>
      </c>
      <c r="I197" s="294">
        <v>16586</v>
      </c>
      <c r="J197" s="1804">
        <v>7864</v>
      </c>
      <c r="K197" s="294">
        <v>62177</v>
      </c>
      <c r="L197" s="1804">
        <v>14921</v>
      </c>
      <c r="M197" s="294">
        <v>32386</v>
      </c>
      <c r="N197" s="1892">
        <v>51543</v>
      </c>
      <c r="O197" s="1140"/>
      <c r="P197" s="61">
        <v>148564</v>
      </c>
      <c r="Q197" s="61">
        <v>2804886</v>
      </c>
      <c r="R197" s="505">
        <f t="shared" si="12"/>
        <v>2974.8189332543552</v>
      </c>
      <c r="S197" s="518">
        <f t="shared" si="13"/>
        <v>157.56469246878481</v>
      </c>
      <c r="T197" s="1900"/>
      <c r="U197" s="430">
        <v>8843043</v>
      </c>
      <c r="V197" s="1901"/>
      <c r="W197" s="701"/>
      <c r="X197" s="1910"/>
      <c r="Y197" s="617">
        <v>-5.2</v>
      </c>
      <c r="Z197" s="641"/>
      <c r="AB197" s="641"/>
      <c r="AC197" s="641"/>
    </row>
    <row r="198" spans="1:29">
      <c r="A198" s="49">
        <f t="shared" si="10"/>
        <v>2012.09</v>
      </c>
      <c r="B198" s="73">
        <v>438390</v>
      </c>
      <c r="C198" s="1882">
        <f t="shared" si="14"/>
        <v>279530</v>
      </c>
      <c r="D198" s="1804">
        <v>36543</v>
      </c>
      <c r="E198" s="294">
        <v>123018</v>
      </c>
      <c r="F198" s="1804">
        <v>13472</v>
      </c>
      <c r="G198" s="294">
        <v>43367</v>
      </c>
      <c r="H198" s="1804">
        <v>38375</v>
      </c>
      <c r="I198" s="294">
        <v>17077</v>
      </c>
      <c r="J198" s="1804">
        <v>7678</v>
      </c>
      <c r="K198" s="294">
        <v>66231</v>
      </c>
      <c r="L198" s="1804">
        <v>14713</v>
      </c>
      <c r="M198" s="294">
        <v>31490</v>
      </c>
      <c r="N198" s="1892">
        <v>46426</v>
      </c>
      <c r="O198" s="1140"/>
      <c r="P198" s="61">
        <v>148564</v>
      </c>
      <c r="Q198" s="61">
        <v>2643362</v>
      </c>
      <c r="R198" s="505">
        <f t="shared" si="12"/>
        <v>2950.8494655502004</v>
      </c>
      <c r="S198" s="518">
        <f t="shared" si="13"/>
        <v>165.8456163022696</v>
      </c>
      <c r="T198" s="1900"/>
      <c r="U198" s="430">
        <v>8789482</v>
      </c>
      <c r="V198" s="1901"/>
      <c r="W198" s="701"/>
      <c r="X198" s="1910"/>
      <c r="Y198" s="617">
        <v>-4.5999999999999996</v>
      </c>
      <c r="Z198" s="641"/>
      <c r="AB198" s="641"/>
      <c r="AC198" s="641"/>
    </row>
    <row r="199" spans="1:29">
      <c r="A199" s="49">
        <f t="shared" si="10"/>
        <v>2012.1</v>
      </c>
      <c r="B199" s="73">
        <v>452644</v>
      </c>
      <c r="C199" s="1882">
        <f t="shared" si="14"/>
        <v>286511</v>
      </c>
      <c r="D199" s="1804">
        <v>36636</v>
      </c>
      <c r="E199" s="294">
        <v>128091</v>
      </c>
      <c r="F199" s="1804">
        <v>13674</v>
      </c>
      <c r="G199" s="294">
        <v>44996</v>
      </c>
      <c r="H199" s="1804">
        <v>37570</v>
      </c>
      <c r="I199" s="294">
        <v>18019</v>
      </c>
      <c r="J199" s="1804">
        <v>7525</v>
      </c>
      <c r="K199" s="294">
        <v>67431</v>
      </c>
      <c r="L199" s="1804">
        <v>15024</v>
      </c>
      <c r="M199" s="294">
        <v>38278</v>
      </c>
      <c r="N199" s="1892">
        <v>45400</v>
      </c>
      <c r="O199" s="1140"/>
      <c r="P199" s="61">
        <v>148564</v>
      </c>
      <c r="Q199" s="61">
        <v>2696839</v>
      </c>
      <c r="R199" s="505">
        <f t="shared" si="12"/>
        <v>3046.7946474246792</v>
      </c>
      <c r="S199" s="518">
        <f t="shared" si="13"/>
        <v>167.84242589194238</v>
      </c>
      <c r="T199" s="1900"/>
      <c r="U199" s="430">
        <v>9073028</v>
      </c>
      <c r="V199" s="1901"/>
      <c r="W199" s="701"/>
      <c r="X199" s="1910"/>
      <c r="Y199" s="618">
        <v>-2.2999999999999998</v>
      </c>
      <c r="Z199" s="641"/>
      <c r="AB199" s="641"/>
      <c r="AC199" s="641"/>
    </row>
    <row r="200" spans="1:29">
      <c r="A200" s="49">
        <f t="shared" si="10"/>
        <v>2012.11</v>
      </c>
      <c r="B200" s="73">
        <v>459280</v>
      </c>
      <c r="C200" s="1882">
        <f t="shared" si="14"/>
        <v>292238</v>
      </c>
      <c r="D200" s="1804">
        <v>42856</v>
      </c>
      <c r="E200" s="294">
        <v>127475</v>
      </c>
      <c r="F200" s="1804">
        <v>13734</v>
      </c>
      <c r="G200" s="294">
        <v>44052</v>
      </c>
      <c r="H200" s="1804">
        <v>36778</v>
      </c>
      <c r="I200" s="294">
        <v>19688</v>
      </c>
      <c r="J200" s="1804">
        <v>7655</v>
      </c>
      <c r="K200" s="294">
        <v>66368</v>
      </c>
      <c r="L200" s="1804">
        <v>14825</v>
      </c>
      <c r="M200" s="294">
        <v>36827</v>
      </c>
      <c r="N200" s="1892">
        <v>49022</v>
      </c>
      <c r="O200" s="1140"/>
      <c r="P200" s="61">
        <v>149464</v>
      </c>
      <c r="Q200" s="61">
        <v>2668549</v>
      </c>
      <c r="R200" s="505">
        <f t="shared" si="12"/>
        <v>3072.8469731841783</v>
      </c>
      <c r="S200" s="518">
        <f t="shared" si="13"/>
        <v>172.10851290345428</v>
      </c>
      <c r="T200" s="1900"/>
      <c r="U200" s="430">
        <v>9201188</v>
      </c>
      <c r="V200" s="1901"/>
      <c r="W200" s="701"/>
      <c r="X200" s="1910"/>
      <c r="Y200" s="618">
        <v>-3.1</v>
      </c>
      <c r="Z200" s="641"/>
      <c r="AB200" s="641"/>
      <c r="AC200" s="641"/>
    </row>
    <row r="201" spans="1:29">
      <c r="A201" s="49">
        <f t="shared" si="10"/>
        <v>2012.12</v>
      </c>
      <c r="B201" s="73">
        <v>579282</v>
      </c>
      <c r="C201" s="1882">
        <f t="shared" si="14"/>
        <v>370650</v>
      </c>
      <c r="D201" s="1804">
        <v>70948</v>
      </c>
      <c r="E201" s="294">
        <v>157844</v>
      </c>
      <c r="F201" s="1804">
        <v>17237</v>
      </c>
      <c r="G201" s="294">
        <v>46014</v>
      </c>
      <c r="H201" s="1804">
        <v>45997</v>
      </c>
      <c r="I201" s="294">
        <v>22833</v>
      </c>
      <c r="J201" s="1804">
        <v>9777</v>
      </c>
      <c r="K201" s="294">
        <v>73202</v>
      </c>
      <c r="L201" s="1804">
        <v>19960</v>
      </c>
      <c r="M201" s="294">
        <v>42454</v>
      </c>
      <c r="N201" s="1892">
        <v>73016</v>
      </c>
      <c r="O201" s="1140"/>
      <c r="P201" s="61">
        <v>149464</v>
      </c>
      <c r="Q201" s="61">
        <v>2942196</v>
      </c>
      <c r="R201" s="505">
        <f t="shared" si="12"/>
        <v>3875.7292726007599</v>
      </c>
      <c r="S201" s="518">
        <f t="shared" si="13"/>
        <v>196.88763087163466</v>
      </c>
      <c r="T201" s="1900"/>
      <c r="U201" s="430">
        <v>11739267</v>
      </c>
      <c r="V201" s="1901"/>
      <c r="W201" s="701"/>
      <c r="X201" s="1910"/>
      <c r="Y201" s="618">
        <v>4.3</v>
      </c>
      <c r="Z201" s="641"/>
      <c r="AB201" s="641"/>
      <c r="AC201" s="641"/>
    </row>
    <row r="202" spans="1:29">
      <c r="A202" s="49">
        <f t="shared" si="10"/>
        <v>2013.01</v>
      </c>
      <c r="B202" s="73">
        <v>463323</v>
      </c>
      <c r="C202" s="1882">
        <f t="shared" si="14"/>
        <v>288974</v>
      </c>
      <c r="D202" s="1804">
        <v>43699</v>
      </c>
      <c r="E202" s="294">
        <v>120192</v>
      </c>
      <c r="F202" s="1804">
        <v>14139</v>
      </c>
      <c r="G202" s="294">
        <v>42588</v>
      </c>
      <c r="H202" s="1804">
        <v>39770</v>
      </c>
      <c r="I202" s="294">
        <v>20512</v>
      </c>
      <c r="J202" s="1804">
        <v>8074</v>
      </c>
      <c r="K202" s="294">
        <v>68483</v>
      </c>
      <c r="L202" s="1804">
        <v>15895</v>
      </c>
      <c r="M202" s="294">
        <v>32287</v>
      </c>
      <c r="N202" s="1892">
        <v>57684</v>
      </c>
      <c r="O202" s="1140"/>
      <c r="P202" s="61">
        <v>149464</v>
      </c>
      <c r="Q202" s="61">
        <v>2585627</v>
      </c>
      <c r="R202" s="505">
        <f t="shared" si="12"/>
        <v>3099.8969651554889</v>
      </c>
      <c r="S202" s="518">
        <f t="shared" si="13"/>
        <v>179.19173956645719</v>
      </c>
      <c r="T202" s="1900"/>
      <c r="U202" s="430">
        <v>9480164</v>
      </c>
      <c r="V202" s="1901"/>
      <c r="W202" s="701"/>
      <c r="X202" s="1910"/>
      <c r="Y202" s="618">
        <v>1.7</v>
      </c>
      <c r="Z202" s="641"/>
      <c r="AB202" s="641"/>
      <c r="AC202" s="641"/>
    </row>
    <row r="203" spans="1:29">
      <c r="A203" s="49">
        <f t="shared" si="10"/>
        <v>2013.02</v>
      </c>
      <c r="B203" s="73">
        <v>453977</v>
      </c>
      <c r="C203" s="1882">
        <f t="shared" si="14"/>
        <v>286484</v>
      </c>
      <c r="D203" s="1804">
        <v>41360</v>
      </c>
      <c r="E203" s="294">
        <v>121357</v>
      </c>
      <c r="F203" s="1804">
        <v>14060</v>
      </c>
      <c r="G203" s="294">
        <v>42543</v>
      </c>
      <c r="H203" s="1804">
        <v>39615</v>
      </c>
      <c r="I203" s="294">
        <v>19618</v>
      </c>
      <c r="J203" s="1804">
        <v>7931</v>
      </c>
      <c r="K203" s="294">
        <v>62725</v>
      </c>
      <c r="L203" s="1804">
        <v>15756</v>
      </c>
      <c r="M203" s="294">
        <v>32086</v>
      </c>
      <c r="N203" s="1892">
        <v>56926</v>
      </c>
      <c r="O203" s="1140"/>
      <c r="P203" s="61">
        <v>149040</v>
      </c>
      <c r="Q203" s="61">
        <v>2498409</v>
      </c>
      <c r="R203" s="505">
        <f t="shared" si="12"/>
        <v>3046.0077831454646</v>
      </c>
      <c r="S203" s="518">
        <f t="shared" si="13"/>
        <v>181.70643797712864</v>
      </c>
      <c r="T203" s="1900"/>
      <c r="U203" s="430">
        <v>9222264</v>
      </c>
      <c r="V203" s="1901"/>
      <c r="W203" s="701"/>
      <c r="X203" s="1910"/>
      <c r="Y203" s="618">
        <v>-3.2</v>
      </c>
      <c r="Z203" s="641"/>
      <c r="AB203" s="641"/>
      <c r="AC203" s="641"/>
    </row>
    <row r="204" spans="1:29">
      <c r="A204" s="49">
        <f t="shared" si="10"/>
        <v>2013.03</v>
      </c>
      <c r="B204" s="73">
        <v>499434</v>
      </c>
      <c r="C204" s="1882">
        <f t="shared" si="14"/>
        <v>331344</v>
      </c>
      <c r="D204" s="1804">
        <v>42909</v>
      </c>
      <c r="E204" s="294">
        <v>151437</v>
      </c>
      <c r="F204" s="1804">
        <v>15076</v>
      </c>
      <c r="G204" s="294">
        <v>48289</v>
      </c>
      <c r="H204" s="1804">
        <v>44456</v>
      </c>
      <c r="I204" s="294">
        <v>20294</v>
      </c>
      <c r="J204" s="1804">
        <v>8883</v>
      </c>
      <c r="K204" s="294">
        <v>69753</v>
      </c>
      <c r="L204" s="1804">
        <v>16913</v>
      </c>
      <c r="M204" s="294">
        <v>30768</v>
      </c>
      <c r="N204" s="1892">
        <v>50656</v>
      </c>
      <c r="O204" s="1140"/>
      <c r="P204" s="61">
        <v>149040</v>
      </c>
      <c r="Q204" s="61">
        <v>2714481</v>
      </c>
      <c r="R204" s="505">
        <f t="shared" si="12"/>
        <v>3351.0064412238326</v>
      </c>
      <c r="S204" s="518">
        <f t="shared" si="13"/>
        <v>183.98876249271962</v>
      </c>
      <c r="T204" s="1900"/>
      <c r="U204" s="430">
        <v>10280981</v>
      </c>
      <c r="V204" s="1901"/>
      <c r="W204" s="701"/>
      <c r="X204" s="1910"/>
      <c r="Y204" s="618">
        <v>-3.4</v>
      </c>
      <c r="Z204" s="641"/>
      <c r="AB204" s="641"/>
      <c r="AC204" s="641"/>
    </row>
    <row r="205" spans="1:29">
      <c r="A205" s="49">
        <f t="shared" si="10"/>
        <v>2013.04</v>
      </c>
      <c r="B205" s="73">
        <v>469567</v>
      </c>
      <c r="C205" s="1882">
        <f t="shared" si="14"/>
        <v>309844</v>
      </c>
      <c r="D205" s="1804">
        <v>39345</v>
      </c>
      <c r="E205" s="294">
        <v>138250</v>
      </c>
      <c r="F205" s="1804">
        <v>14333</v>
      </c>
      <c r="G205" s="294">
        <v>47558</v>
      </c>
      <c r="H205" s="1804">
        <v>42869</v>
      </c>
      <c r="I205" s="294">
        <v>19031</v>
      </c>
      <c r="J205" s="1804">
        <v>8458</v>
      </c>
      <c r="K205" s="294">
        <v>68602</v>
      </c>
      <c r="L205" s="1804">
        <v>16557</v>
      </c>
      <c r="M205" s="294">
        <v>29855</v>
      </c>
      <c r="N205" s="1892">
        <v>44709</v>
      </c>
      <c r="O205" s="1140"/>
      <c r="P205" s="61">
        <v>149040</v>
      </c>
      <c r="Q205" s="61">
        <v>2595525</v>
      </c>
      <c r="R205" s="505">
        <f t="shared" si="12"/>
        <v>3150.6105743424582</v>
      </c>
      <c r="S205" s="518">
        <f t="shared" si="13"/>
        <v>180.91407326070834</v>
      </c>
      <c r="T205" s="1900"/>
      <c r="U205" s="430">
        <v>9548849</v>
      </c>
      <c r="V205" s="1901"/>
      <c r="W205" s="701"/>
      <c r="X205" s="1910"/>
      <c r="Y205" s="618">
        <v>-6.4</v>
      </c>
      <c r="Z205" s="641"/>
      <c r="AB205" s="641"/>
      <c r="AC205" s="641"/>
    </row>
    <row r="206" spans="1:29">
      <c r="A206" s="49">
        <f t="shared" ref="A206:A269" si="15">A194+1</f>
        <v>2013.05</v>
      </c>
      <c r="B206" s="73">
        <v>491618</v>
      </c>
      <c r="C206" s="1882">
        <f t="shared" si="14"/>
        <v>315602</v>
      </c>
      <c r="D206" s="1804">
        <v>38449</v>
      </c>
      <c r="E206" s="294">
        <v>145076</v>
      </c>
      <c r="F206" s="1804">
        <v>15008</v>
      </c>
      <c r="G206" s="294">
        <v>49222</v>
      </c>
      <c r="H206" s="1804">
        <v>41619</v>
      </c>
      <c r="I206" s="294">
        <v>17536</v>
      </c>
      <c r="J206" s="1804">
        <v>8692</v>
      </c>
      <c r="K206" s="294">
        <v>69910</v>
      </c>
      <c r="L206" s="1804">
        <v>20871</v>
      </c>
      <c r="M206" s="294">
        <v>38531</v>
      </c>
      <c r="N206" s="1892">
        <v>46704</v>
      </c>
      <c r="O206" s="1140"/>
      <c r="P206" s="61">
        <v>149040</v>
      </c>
      <c r="Q206" s="61">
        <v>2620362</v>
      </c>
      <c r="R206" s="505">
        <f t="shared" si="12"/>
        <v>3298.5641438539988</v>
      </c>
      <c r="S206" s="518">
        <f t="shared" si="13"/>
        <v>187.61453570155572</v>
      </c>
      <c r="T206" s="1900"/>
      <c r="U206" s="430">
        <v>9919748</v>
      </c>
      <c r="V206" s="1901"/>
      <c r="W206" s="701"/>
      <c r="X206" s="1910"/>
      <c r="Y206" s="618">
        <v>-7.1</v>
      </c>
      <c r="Z206" s="641"/>
      <c r="AB206" s="641"/>
      <c r="AC206" s="641"/>
    </row>
    <row r="207" spans="1:29">
      <c r="A207" s="49">
        <f t="shared" si="15"/>
        <v>2013.06</v>
      </c>
      <c r="B207" s="73">
        <v>540869</v>
      </c>
      <c r="C207" s="1882">
        <f t="shared" si="14"/>
        <v>340671</v>
      </c>
      <c r="D207" s="1804">
        <v>41236</v>
      </c>
      <c r="E207" s="294">
        <v>151997</v>
      </c>
      <c r="F207" s="1804">
        <v>18487</v>
      </c>
      <c r="G207" s="294">
        <v>56461</v>
      </c>
      <c r="H207" s="1804">
        <v>44852</v>
      </c>
      <c r="I207" s="294">
        <v>18301</v>
      </c>
      <c r="J207" s="1804">
        <v>9337</v>
      </c>
      <c r="K207" s="294">
        <v>74768</v>
      </c>
      <c r="L207" s="1804">
        <v>24157</v>
      </c>
      <c r="M207" s="294">
        <v>49240</v>
      </c>
      <c r="N207" s="1892">
        <v>52033</v>
      </c>
      <c r="O207" s="1140"/>
      <c r="P207" s="61">
        <v>149040</v>
      </c>
      <c r="Q207" s="61">
        <v>2712088</v>
      </c>
      <c r="R207" s="505">
        <f t="shared" si="12"/>
        <v>3629.0190552871713</v>
      </c>
      <c r="S207" s="518">
        <f t="shared" si="13"/>
        <v>199.42900082888164</v>
      </c>
      <c r="T207" s="1900"/>
      <c r="U207" s="430">
        <v>10808037</v>
      </c>
      <c r="V207" s="1901"/>
      <c r="W207" s="701"/>
      <c r="X207" s="1910"/>
      <c r="Y207" s="618">
        <v>-1.8</v>
      </c>
      <c r="Z207" s="641"/>
      <c r="AB207" s="641"/>
      <c r="AC207" s="641"/>
    </row>
    <row r="208" spans="1:29">
      <c r="A208" s="49">
        <f t="shared" si="15"/>
        <v>2013.07</v>
      </c>
      <c r="B208" s="457">
        <v>544497</v>
      </c>
      <c r="C208" s="1882">
        <f t="shared" si="14"/>
        <v>345173</v>
      </c>
      <c r="D208" s="1704">
        <v>40374</v>
      </c>
      <c r="E208" s="479">
        <v>155895</v>
      </c>
      <c r="F208" s="1704">
        <v>19249</v>
      </c>
      <c r="G208" s="479">
        <v>57393</v>
      </c>
      <c r="H208" s="1704">
        <v>43994</v>
      </c>
      <c r="I208" s="479">
        <v>18829</v>
      </c>
      <c r="J208" s="1704">
        <v>9439</v>
      </c>
      <c r="K208" s="479">
        <v>74127</v>
      </c>
      <c r="L208" s="1704">
        <v>22705</v>
      </c>
      <c r="M208" s="479">
        <v>48439</v>
      </c>
      <c r="N208" s="1893">
        <v>54053</v>
      </c>
      <c r="O208" s="1140"/>
      <c r="P208" s="458">
        <v>149040</v>
      </c>
      <c r="Q208" s="458">
        <v>2750245</v>
      </c>
      <c r="R208" s="505">
        <f t="shared" si="12"/>
        <v>3653.3615136876006</v>
      </c>
      <c r="S208" s="518">
        <f t="shared" si="12"/>
        <v>197.98127075951416</v>
      </c>
      <c r="T208" s="1900"/>
      <c r="U208" s="578">
        <v>10912374</v>
      </c>
      <c r="V208" s="1901"/>
      <c r="W208" s="701"/>
      <c r="X208" s="1910"/>
      <c r="Y208" s="618">
        <v>2.2999999999999998</v>
      </c>
      <c r="Z208" s="641"/>
      <c r="AB208" s="641"/>
      <c r="AC208" s="641"/>
    </row>
    <row r="209" spans="1:29">
      <c r="A209" s="49">
        <f t="shared" si="15"/>
        <v>2013.08</v>
      </c>
      <c r="B209" s="457">
        <v>566561</v>
      </c>
      <c r="C209" s="1882">
        <f t="shared" si="14"/>
        <v>358774</v>
      </c>
      <c r="D209" s="1704">
        <v>43699</v>
      </c>
      <c r="E209" s="479">
        <v>157911</v>
      </c>
      <c r="F209" s="1704">
        <v>19926</v>
      </c>
      <c r="G209" s="479">
        <v>60657</v>
      </c>
      <c r="H209" s="1704">
        <v>46214</v>
      </c>
      <c r="I209" s="479">
        <v>20415</v>
      </c>
      <c r="J209" s="1704">
        <v>9952</v>
      </c>
      <c r="K209" s="479">
        <v>77569</v>
      </c>
      <c r="L209" s="1704">
        <v>19825</v>
      </c>
      <c r="M209" s="479">
        <v>45719</v>
      </c>
      <c r="N209" s="1893">
        <v>64674</v>
      </c>
      <c r="O209" s="1140"/>
      <c r="P209" s="458">
        <v>149040</v>
      </c>
      <c r="Q209" s="458">
        <v>2762340</v>
      </c>
      <c r="R209" s="505">
        <f t="shared" si="12"/>
        <v>3801.4023081052064</v>
      </c>
      <c r="S209" s="518">
        <f t="shared" si="12"/>
        <v>205.10183395237371</v>
      </c>
      <c r="T209" s="1900"/>
      <c r="U209" s="578">
        <v>11380649</v>
      </c>
      <c r="V209" s="1901"/>
      <c r="W209" s="701"/>
      <c r="X209" s="1910"/>
      <c r="Y209" s="618">
        <v>-2</v>
      </c>
      <c r="Z209" s="641"/>
      <c r="AB209" s="641"/>
      <c r="AC209" s="641"/>
    </row>
    <row r="210" spans="1:29">
      <c r="A210" s="49">
        <f t="shared" si="15"/>
        <v>2013.09</v>
      </c>
      <c r="B210" s="73">
        <v>534775</v>
      </c>
      <c r="C210" s="1882">
        <f t="shared" si="14"/>
        <v>345654</v>
      </c>
      <c r="D210" s="1804">
        <v>43289</v>
      </c>
      <c r="E210" s="294">
        <v>152401</v>
      </c>
      <c r="F210" s="1804">
        <v>18283</v>
      </c>
      <c r="G210" s="294">
        <v>58193</v>
      </c>
      <c r="H210" s="1804">
        <v>43318</v>
      </c>
      <c r="I210" s="294">
        <v>20770</v>
      </c>
      <c r="J210" s="1804">
        <v>9400</v>
      </c>
      <c r="K210" s="294">
        <v>75785</v>
      </c>
      <c r="L210" s="1804">
        <v>18265</v>
      </c>
      <c r="M210" s="294">
        <v>43647</v>
      </c>
      <c r="N210" s="1892">
        <v>51424</v>
      </c>
      <c r="O210" s="1140"/>
      <c r="P210" s="458">
        <v>149040</v>
      </c>
      <c r="Q210" s="61">
        <v>2586981</v>
      </c>
      <c r="R210" s="505">
        <f t="shared" si="12"/>
        <v>3588.1307031669348</v>
      </c>
      <c r="S210" s="518">
        <f t="shared" si="13"/>
        <v>206.71779189719601</v>
      </c>
      <c r="T210" s="1900"/>
      <c r="U210" s="430">
        <v>10794230</v>
      </c>
      <c r="V210" s="1901"/>
      <c r="W210" s="701"/>
      <c r="X210" s="1910"/>
      <c r="Y210" s="618">
        <v>-1.5</v>
      </c>
      <c r="Z210" s="641"/>
      <c r="AB210" s="641"/>
      <c r="AC210" s="641"/>
    </row>
    <row r="211" spans="1:29">
      <c r="A211" s="49">
        <f t="shared" si="15"/>
        <v>2013.1</v>
      </c>
      <c r="B211" s="73">
        <v>569157</v>
      </c>
      <c r="C211" s="1882">
        <f t="shared" si="14"/>
        <v>365676</v>
      </c>
      <c r="D211" s="1804">
        <v>49669</v>
      </c>
      <c r="E211" s="294">
        <v>153248</v>
      </c>
      <c r="F211" s="1804">
        <v>22441</v>
      </c>
      <c r="G211" s="294">
        <v>60585</v>
      </c>
      <c r="H211" s="1804">
        <v>47613</v>
      </c>
      <c r="I211" s="294">
        <v>22628</v>
      </c>
      <c r="J211" s="1804">
        <v>9492</v>
      </c>
      <c r="K211" s="294">
        <v>79638</v>
      </c>
      <c r="L211" s="1804">
        <v>20009</v>
      </c>
      <c r="M211" s="294">
        <v>48186</v>
      </c>
      <c r="N211" s="1892">
        <v>55648</v>
      </c>
      <c r="O211" s="1140"/>
      <c r="P211" s="458">
        <v>149040</v>
      </c>
      <c r="Q211" s="61">
        <v>2702854</v>
      </c>
      <c r="R211" s="505">
        <f t="shared" si="12"/>
        <v>3818.8204508856684</v>
      </c>
      <c r="S211" s="518">
        <f t="shared" si="13"/>
        <v>210.57630193861749</v>
      </c>
      <c r="T211" s="1900"/>
      <c r="U211" s="430">
        <v>11545468</v>
      </c>
      <c r="V211" s="1901"/>
      <c r="W211" s="701"/>
      <c r="X211" s="1910"/>
      <c r="Y211" s="618">
        <v>2.7</v>
      </c>
      <c r="Z211" s="641"/>
      <c r="AB211" s="641"/>
      <c r="AC211" s="641"/>
    </row>
    <row r="212" spans="1:29">
      <c r="A212" s="49">
        <f t="shared" si="15"/>
        <v>2013.11</v>
      </c>
      <c r="B212" s="73">
        <v>600937</v>
      </c>
      <c r="C212" s="1882">
        <f t="shared" si="14"/>
        <v>385246</v>
      </c>
      <c r="D212" s="1804">
        <v>56297</v>
      </c>
      <c r="E212" s="294">
        <v>160803</v>
      </c>
      <c r="F212" s="1804">
        <v>23374</v>
      </c>
      <c r="G212" s="294">
        <v>61604</v>
      </c>
      <c r="H212" s="1804">
        <v>49243</v>
      </c>
      <c r="I212" s="294">
        <v>23948</v>
      </c>
      <c r="J212" s="1804">
        <v>9977</v>
      </c>
      <c r="K212" s="294">
        <v>83585</v>
      </c>
      <c r="L212" s="1804">
        <v>19870</v>
      </c>
      <c r="M212" s="294">
        <v>45893</v>
      </c>
      <c r="N212" s="1892">
        <v>66343</v>
      </c>
      <c r="O212" s="1140"/>
      <c r="P212" s="458">
        <v>149040</v>
      </c>
      <c r="Q212" s="61">
        <v>2650579</v>
      </c>
      <c r="R212" s="505">
        <f>$B212/P212*1000</f>
        <v>4032.0517981749867</v>
      </c>
      <c r="S212" s="518">
        <f t="shared" si="13"/>
        <v>226.71914325134244</v>
      </c>
      <c r="T212" s="1900"/>
      <c r="U212" s="430">
        <v>12312314</v>
      </c>
      <c r="V212" s="1901"/>
      <c r="W212" s="701"/>
      <c r="X212" s="1910"/>
      <c r="Y212" s="618">
        <v>-2.2999999999999998</v>
      </c>
      <c r="Z212" s="641"/>
      <c r="AB212" s="641"/>
      <c r="AC212" s="641"/>
    </row>
    <row r="213" spans="1:29">
      <c r="A213" s="49">
        <f t="shared" si="15"/>
        <v>2013.12</v>
      </c>
      <c r="B213" s="73">
        <v>770975</v>
      </c>
      <c r="C213" s="1882">
        <f t="shared" si="14"/>
        <v>476678</v>
      </c>
      <c r="D213" s="1804">
        <v>93501</v>
      </c>
      <c r="E213" s="294">
        <v>197714</v>
      </c>
      <c r="F213" s="1804">
        <v>27149</v>
      </c>
      <c r="G213" s="294">
        <v>63655</v>
      </c>
      <c r="H213" s="1804">
        <v>54808</v>
      </c>
      <c r="I213" s="294">
        <v>27925</v>
      </c>
      <c r="J213" s="1804">
        <v>11926</v>
      </c>
      <c r="K213" s="294">
        <v>89564</v>
      </c>
      <c r="L213" s="1804">
        <v>27408</v>
      </c>
      <c r="M213" s="294">
        <v>64635</v>
      </c>
      <c r="N213" s="1892">
        <v>112690</v>
      </c>
      <c r="O213" s="695"/>
      <c r="P213" s="61">
        <v>149040</v>
      </c>
      <c r="Q213" s="61">
        <v>2924932</v>
      </c>
      <c r="R213" s="505">
        <f t="shared" si="12"/>
        <v>5172.9401502952232</v>
      </c>
      <c r="S213" s="518">
        <f t="shared" si="13"/>
        <v>263.58732442326863</v>
      </c>
      <c r="T213" s="1900"/>
      <c r="U213" s="430">
        <v>15505006</v>
      </c>
      <c r="V213" s="1901"/>
      <c r="W213" s="701"/>
      <c r="X213" s="1910"/>
      <c r="Y213" s="618">
        <v>1.6</v>
      </c>
      <c r="Z213" s="641"/>
      <c r="AB213" s="641"/>
      <c r="AC213" s="641"/>
    </row>
    <row r="214" spans="1:29">
      <c r="A214" s="49">
        <f t="shared" si="15"/>
        <v>2014.01</v>
      </c>
      <c r="B214" s="73">
        <v>639094</v>
      </c>
      <c r="C214" s="1882">
        <f t="shared" si="14"/>
        <v>392149</v>
      </c>
      <c r="D214" s="1804">
        <v>58378</v>
      </c>
      <c r="E214" s="294">
        <v>161297</v>
      </c>
      <c r="F214" s="1804">
        <v>23250</v>
      </c>
      <c r="G214" s="294">
        <v>61649</v>
      </c>
      <c r="H214" s="1804">
        <v>50405</v>
      </c>
      <c r="I214" s="294">
        <v>26747</v>
      </c>
      <c r="J214" s="1804">
        <v>10423</v>
      </c>
      <c r="K214" s="294">
        <v>88725</v>
      </c>
      <c r="L214" s="1804">
        <v>21200</v>
      </c>
      <c r="M214" s="294">
        <v>55094</v>
      </c>
      <c r="N214" s="1892">
        <v>81926</v>
      </c>
      <c r="O214" s="695"/>
      <c r="P214" s="61">
        <v>149040</v>
      </c>
      <c r="Q214" s="61">
        <v>2647164</v>
      </c>
      <c r="R214" s="505">
        <f t="shared" si="12"/>
        <v>4288.0703166935054</v>
      </c>
      <c r="S214" s="518">
        <f t="shared" si="13"/>
        <v>241.42591845461786</v>
      </c>
      <c r="T214" s="1900"/>
      <c r="U214" s="430">
        <v>12815787</v>
      </c>
      <c r="V214" s="1901"/>
      <c r="W214" s="701"/>
      <c r="X214" s="1910"/>
      <c r="Y214" s="618">
        <v>-3.8</v>
      </c>
      <c r="Z214" s="641"/>
      <c r="AB214" s="641"/>
      <c r="AC214" s="641"/>
    </row>
    <row r="215" spans="1:29">
      <c r="A215" s="49">
        <f t="shared" si="15"/>
        <v>2014.02</v>
      </c>
      <c r="B215" s="73">
        <v>590931</v>
      </c>
      <c r="C215" s="1882">
        <f t="shared" si="14"/>
        <v>384470</v>
      </c>
      <c r="D215" s="1804">
        <v>48985</v>
      </c>
      <c r="E215" s="294">
        <v>161419</v>
      </c>
      <c r="F215" s="1804">
        <v>23523</v>
      </c>
      <c r="G215" s="294">
        <v>62565</v>
      </c>
      <c r="H215" s="1804">
        <v>51611</v>
      </c>
      <c r="I215" s="294">
        <v>26000</v>
      </c>
      <c r="J215" s="1804">
        <v>10367</v>
      </c>
      <c r="K215" s="294">
        <v>84795</v>
      </c>
      <c r="L215" s="1804">
        <v>20157</v>
      </c>
      <c r="M215" s="294">
        <v>28441</v>
      </c>
      <c r="N215" s="1892">
        <v>73068</v>
      </c>
      <c r="O215" s="695"/>
      <c r="P215" s="61">
        <v>149040</v>
      </c>
      <c r="Q215" s="61">
        <v>2545521</v>
      </c>
      <c r="R215" s="505">
        <f t="shared" si="12"/>
        <v>3964.9154589371979</v>
      </c>
      <c r="S215" s="518">
        <f t="shared" si="13"/>
        <v>232.14540363249802</v>
      </c>
      <c r="T215" s="1900"/>
      <c r="U215" s="430">
        <v>12164152</v>
      </c>
      <c r="V215" s="1901"/>
      <c r="W215" s="701"/>
      <c r="X215" s="1910"/>
      <c r="Y215" s="619">
        <v>-6.5</v>
      </c>
      <c r="Z215" s="641"/>
      <c r="AB215" s="641"/>
      <c r="AC215" s="641"/>
    </row>
    <row r="216" spans="1:29">
      <c r="A216" s="49">
        <f t="shared" si="15"/>
        <v>2014.03</v>
      </c>
      <c r="B216" s="73">
        <v>682102</v>
      </c>
      <c r="C216" s="1882">
        <f t="shared" si="14"/>
        <v>450997</v>
      </c>
      <c r="D216" s="1804">
        <v>53936</v>
      </c>
      <c r="E216" s="294">
        <v>192364</v>
      </c>
      <c r="F216" s="1804">
        <v>28108</v>
      </c>
      <c r="G216" s="294">
        <v>72788</v>
      </c>
      <c r="H216" s="1804">
        <v>62035</v>
      </c>
      <c r="I216" s="294">
        <v>30126</v>
      </c>
      <c r="J216" s="1804">
        <v>11640</v>
      </c>
      <c r="K216" s="294">
        <v>95671</v>
      </c>
      <c r="L216" s="1804">
        <v>23258</v>
      </c>
      <c r="M216" s="294">
        <v>37233</v>
      </c>
      <c r="N216" s="1892">
        <v>74943</v>
      </c>
      <c r="O216" s="695"/>
      <c r="P216" s="61">
        <v>149040</v>
      </c>
      <c r="Q216" s="61">
        <v>2770505</v>
      </c>
      <c r="R216" s="505">
        <f t="shared" si="12"/>
        <v>4576.6371443907674</v>
      </c>
      <c r="S216" s="518">
        <f t="shared" si="13"/>
        <v>246.20132430730138</v>
      </c>
      <c r="T216" s="1900"/>
      <c r="U216" s="430">
        <v>13962389</v>
      </c>
      <c r="V216" s="1901"/>
      <c r="W216" s="701"/>
      <c r="X216" s="1910"/>
      <c r="Y216" s="618">
        <v>-7.2</v>
      </c>
      <c r="Z216" s="641"/>
      <c r="AB216" s="641"/>
      <c r="AC216" s="641"/>
    </row>
    <row r="217" spans="1:29">
      <c r="A217" s="49">
        <f t="shared" si="15"/>
        <v>2014.04</v>
      </c>
      <c r="B217" s="73">
        <v>680123</v>
      </c>
      <c r="C217" s="1882">
        <f t="shared" si="14"/>
        <v>454819</v>
      </c>
      <c r="D217" s="1804">
        <v>53138</v>
      </c>
      <c r="E217" s="294">
        <v>200765</v>
      </c>
      <c r="F217" s="1804">
        <v>30993</v>
      </c>
      <c r="G217" s="294">
        <v>71552</v>
      </c>
      <c r="H217" s="1804">
        <v>58988</v>
      </c>
      <c r="I217" s="294">
        <v>27909</v>
      </c>
      <c r="J217" s="1804">
        <v>11474</v>
      </c>
      <c r="K217" s="294">
        <v>93270</v>
      </c>
      <c r="L217" s="1804">
        <v>23022</v>
      </c>
      <c r="M217" s="294">
        <v>41105</v>
      </c>
      <c r="N217" s="1892">
        <v>67907</v>
      </c>
      <c r="O217" s="695"/>
      <c r="P217" s="61">
        <v>149040</v>
      </c>
      <c r="Q217" s="61">
        <v>2669513</v>
      </c>
      <c r="R217" s="505">
        <f t="shared" si="12"/>
        <v>4563.3588298443374</v>
      </c>
      <c r="S217" s="518">
        <f t="shared" si="13"/>
        <v>254.77418540385455</v>
      </c>
      <c r="T217" s="1900"/>
      <c r="U217" s="430">
        <v>13697743</v>
      </c>
      <c r="V217" s="1901"/>
      <c r="W217" s="701"/>
      <c r="X217" s="1910"/>
      <c r="Y217" s="618">
        <v>-7.5</v>
      </c>
      <c r="Z217" s="641"/>
      <c r="AB217" s="641"/>
      <c r="AC217" s="641"/>
    </row>
    <row r="218" spans="1:29">
      <c r="A218" s="49">
        <f t="shared" si="15"/>
        <v>2014.05</v>
      </c>
      <c r="B218" s="73">
        <v>723185</v>
      </c>
      <c r="C218" s="1882">
        <f>SUM(D218:J218)</f>
        <v>453238</v>
      </c>
      <c r="D218" s="1804">
        <v>50975</v>
      </c>
      <c r="E218" s="294">
        <v>201155</v>
      </c>
      <c r="F218" s="1804">
        <v>29035</v>
      </c>
      <c r="G218" s="294">
        <v>75111</v>
      </c>
      <c r="H218" s="1804">
        <v>58343</v>
      </c>
      <c r="I218" s="294">
        <v>26960</v>
      </c>
      <c r="J218" s="1804">
        <v>11659</v>
      </c>
      <c r="K218" s="294">
        <v>97794</v>
      </c>
      <c r="L218" s="1804">
        <v>26568</v>
      </c>
      <c r="M218" s="294">
        <v>69091</v>
      </c>
      <c r="N218" s="1892">
        <v>76494</v>
      </c>
      <c r="O218" s="695"/>
      <c r="P218" s="61">
        <v>149040</v>
      </c>
      <c r="Q218" s="61">
        <v>2646964</v>
      </c>
      <c r="R218" s="505">
        <f t="shared" si="12"/>
        <v>4852.2879763821793</v>
      </c>
      <c r="S218" s="518">
        <f t="shared" si="13"/>
        <v>273.21300931935605</v>
      </c>
      <c r="T218" s="1900"/>
      <c r="U218" s="430">
        <v>14480412</v>
      </c>
      <c r="V218" s="1901"/>
      <c r="W218" s="701"/>
      <c r="X218" s="1910"/>
      <c r="Y218" s="618">
        <v>-8.3000000000000007</v>
      </c>
      <c r="Z218" s="641"/>
      <c r="AB218" s="641"/>
      <c r="AC218" s="641"/>
    </row>
    <row r="219" spans="1:29">
      <c r="A219" s="49">
        <f t="shared" si="15"/>
        <v>2014.06</v>
      </c>
      <c r="B219" s="73">
        <v>725436</v>
      </c>
      <c r="C219" s="1882">
        <f t="shared" si="14"/>
        <v>453669</v>
      </c>
      <c r="D219" s="1804">
        <v>50770</v>
      </c>
      <c r="E219" s="294">
        <v>202016</v>
      </c>
      <c r="F219" s="1804">
        <v>29743</v>
      </c>
      <c r="G219" s="294">
        <v>76335</v>
      </c>
      <c r="H219" s="1804">
        <v>58957</v>
      </c>
      <c r="I219" s="294">
        <v>25737</v>
      </c>
      <c r="J219" s="1804">
        <v>10111</v>
      </c>
      <c r="K219" s="294">
        <v>97482</v>
      </c>
      <c r="L219" s="1804">
        <v>28563</v>
      </c>
      <c r="M219" s="294">
        <v>66938</v>
      </c>
      <c r="N219" s="1892">
        <v>78784</v>
      </c>
      <c r="O219" s="695"/>
      <c r="P219" s="544">
        <v>149040</v>
      </c>
      <c r="Q219" s="544">
        <v>2640969</v>
      </c>
      <c r="R219" s="505">
        <f t="shared" si="12"/>
        <v>4867.3913043478269</v>
      </c>
      <c r="S219" s="518">
        <f t="shared" si="13"/>
        <v>274.68554155690583</v>
      </c>
      <c r="T219" s="1900"/>
      <c r="U219" s="430">
        <v>14623958</v>
      </c>
      <c r="V219" s="1901"/>
      <c r="W219" s="701"/>
      <c r="X219" s="1910"/>
      <c r="Y219" s="618">
        <v>-8.8000000000000007</v>
      </c>
      <c r="Z219" s="641"/>
      <c r="AB219" s="641"/>
      <c r="AC219" s="641"/>
    </row>
    <row r="220" spans="1:29">
      <c r="A220" s="49">
        <f t="shared" si="15"/>
        <v>2014.07</v>
      </c>
      <c r="B220" s="73">
        <v>735503</v>
      </c>
      <c r="C220" s="1882">
        <f>SUM(D220:J220)</f>
        <v>477326</v>
      </c>
      <c r="D220" s="1804">
        <v>53221</v>
      </c>
      <c r="E220" s="294">
        <v>213315</v>
      </c>
      <c r="F220" s="1804">
        <v>31089</v>
      </c>
      <c r="G220" s="294">
        <v>79479</v>
      </c>
      <c r="H220" s="1804">
        <v>60744</v>
      </c>
      <c r="I220" s="294">
        <v>26987</v>
      </c>
      <c r="J220" s="1804">
        <v>12491</v>
      </c>
      <c r="K220" s="294">
        <v>101220</v>
      </c>
      <c r="L220" s="1888">
        <v>28030</v>
      </c>
      <c r="M220" s="294">
        <v>43246</v>
      </c>
      <c r="N220" s="1892">
        <v>85681</v>
      </c>
      <c r="O220" s="695"/>
      <c r="P220" s="61">
        <v>149040</v>
      </c>
      <c r="Q220" s="544">
        <v>2697228</v>
      </c>
      <c r="R220" s="505">
        <f t="shared" si="12"/>
        <v>4934.9369296833065</v>
      </c>
      <c r="S220" s="518">
        <f>$B220/Q220*1000</f>
        <v>272.68847868997352</v>
      </c>
      <c r="T220" s="1900"/>
      <c r="U220" s="430">
        <v>14756402</v>
      </c>
      <c r="V220" s="1901"/>
      <c r="W220" s="701"/>
      <c r="X220" s="1910"/>
      <c r="Y220" s="618">
        <v>-9.6</v>
      </c>
      <c r="Z220" s="641"/>
      <c r="AB220" s="641"/>
      <c r="AC220" s="641"/>
    </row>
    <row r="221" spans="1:29">
      <c r="A221" s="49">
        <f t="shared" si="15"/>
        <v>2014.08</v>
      </c>
      <c r="B221" s="73">
        <v>772712</v>
      </c>
      <c r="C221" s="1882">
        <f>SUM(D221:J221)</f>
        <v>491139</v>
      </c>
      <c r="D221" s="1804">
        <v>57608</v>
      </c>
      <c r="E221" s="294">
        <v>213650</v>
      </c>
      <c r="F221" s="1804">
        <v>31653</v>
      </c>
      <c r="G221" s="294">
        <v>83479</v>
      </c>
      <c r="H221" s="1804">
        <v>63865</v>
      </c>
      <c r="I221" s="294">
        <v>27932</v>
      </c>
      <c r="J221" s="1804">
        <v>12952</v>
      </c>
      <c r="K221" s="294">
        <v>108533</v>
      </c>
      <c r="L221" s="1804">
        <v>25464</v>
      </c>
      <c r="M221" s="294">
        <v>45930</v>
      </c>
      <c r="N221" s="1892">
        <v>101646</v>
      </c>
      <c r="O221" s="695"/>
      <c r="P221" s="61">
        <v>149040</v>
      </c>
      <c r="Q221" s="61">
        <v>2743063</v>
      </c>
      <c r="R221" s="505">
        <f t="shared" si="12"/>
        <v>5184.5947396672036</v>
      </c>
      <c r="S221" s="518">
        <f t="shared" si="13"/>
        <v>281.69677473685442</v>
      </c>
      <c r="T221" s="1900"/>
      <c r="U221" s="430">
        <v>15666564</v>
      </c>
      <c r="V221" s="1901"/>
      <c r="W221" s="701"/>
      <c r="X221" s="1910"/>
      <c r="Y221" s="618">
        <v>-9.3000000000000007</v>
      </c>
      <c r="Z221" s="641"/>
      <c r="AB221" s="641"/>
      <c r="AC221" s="641"/>
    </row>
    <row r="222" spans="1:29">
      <c r="A222" s="49">
        <f t="shared" si="15"/>
        <v>2014.09</v>
      </c>
      <c r="B222" s="73">
        <v>712170</v>
      </c>
      <c r="C222" s="1882">
        <f t="shared" si="14"/>
        <v>466120</v>
      </c>
      <c r="D222" s="1804">
        <v>53580</v>
      </c>
      <c r="E222" s="294">
        <v>204227</v>
      </c>
      <c r="F222" s="1804">
        <v>29462</v>
      </c>
      <c r="G222" s="294">
        <v>80820</v>
      </c>
      <c r="H222" s="1804">
        <v>59364</v>
      </c>
      <c r="I222" s="294">
        <v>26357</v>
      </c>
      <c r="J222" s="1804">
        <v>12310</v>
      </c>
      <c r="K222" s="294">
        <v>100130</v>
      </c>
      <c r="L222" s="1804">
        <v>21233</v>
      </c>
      <c r="M222" s="294">
        <v>43246</v>
      </c>
      <c r="N222" s="1892">
        <v>81441</v>
      </c>
      <c r="O222" s="695"/>
      <c r="P222" s="61">
        <v>149040</v>
      </c>
      <c r="Q222" s="61">
        <v>2519276</v>
      </c>
      <c r="R222" s="505">
        <f t="shared" si="12"/>
        <v>4778.3816425120767</v>
      </c>
      <c r="S222" s="518">
        <f t="shared" si="13"/>
        <v>282.68835967158816</v>
      </c>
      <c r="T222" s="1900"/>
      <c r="U222" s="430">
        <v>14585287</v>
      </c>
      <c r="V222" s="1901"/>
      <c r="W222" s="701"/>
      <c r="X222" s="1910"/>
      <c r="Y222" s="618">
        <v>-8.1999999999999993</v>
      </c>
      <c r="Z222" s="641"/>
      <c r="AB222" s="641"/>
      <c r="AC222" s="641"/>
    </row>
    <row r="223" spans="1:29">
      <c r="A223" s="49">
        <f t="shared" si="15"/>
        <v>2014.1</v>
      </c>
      <c r="B223" s="73">
        <v>808522</v>
      </c>
      <c r="C223" s="1882">
        <f t="shared" si="14"/>
        <v>509893</v>
      </c>
      <c r="D223" s="1804">
        <v>63781</v>
      </c>
      <c r="E223" s="294">
        <v>222451</v>
      </c>
      <c r="F223" s="1804">
        <v>31692</v>
      </c>
      <c r="G223" s="294">
        <v>84431</v>
      </c>
      <c r="H223" s="1804">
        <v>65563</v>
      </c>
      <c r="I223" s="294">
        <v>28766</v>
      </c>
      <c r="J223" s="1804">
        <v>13209</v>
      </c>
      <c r="K223" s="294">
        <v>110008</v>
      </c>
      <c r="L223" s="1804">
        <v>26096</v>
      </c>
      <c r="M223" s="294">
        <v>64628</v>
      </c>
      <c r="N223" s="1892">
        <v>97897</v>
      </c>
      <c r="O223" s="695"/>
      <c r="P223" s="61">
        <v>149040</v>
      </c>
      <c r="Q223" s="61">
        <v>2658610</v>
      </c>
      <c r="R223" s="505">
        <f t="shared" si="12"/>
        <v>5424.8658078368217</v>
      </c>
      <c r="S223" s="518">
        <f t="shared" si="13"/>
        <v>304.11455610262504</v>
      </c>
      <c r="T223" s="1900"/>
      <c r="U223" s="430">
        <v>16343929</v>
      </c>
      <c r="V223" s="1901"/>
      <c r="W223" s="701"/>
      <c r="X223" s="1910"/>
      <c r="Y223" s="618">
        <v>-5.3</v>
      </c>
      <c r="Z223" s="641"/>
      <c r="AB223" s="641"/>
      <c r="AC223" s="641"/>
    </row>
    <row r="224" spans="1:29">
      <c r="A224" s="49">
        <f t="shared" si="15"/>
        <v>2014.11</v>
      </c>
      <c r="B224" s="73">
        <v>848793</v>
      </c>
      <c r="C224" s="1882">
        <f t="shared" si="14"/>
        <v>511498</v>
      </c>
      <c r="D224" s="1804">
        <v>71119</v>
      </c>
      <c r="E224" s="294">
        <v>215639</v>
      </c>
      <c r="F224" s="1804">
        <v>32497</v>
      </c>
      <c r="G224" s="294">
        <v>84593</v>
      </c>
      <c r="H224" s="1804">
        <v>66945</v>
      </c>
      <c r="I224" s="294">
        <v>27375</v>
      </c>
      <c r="J224" s="1804">
        <v>13330</v>
      </c>
      <c r="K224" s="294">
        <v>114321</v>
      </c>
      <c r="L224" s="1804">
        <v>28765</v>
      </c>
      <c r="M224" s="294">
        <v>77250</v>
      </c>
      <c r="N224" s="1892">
        <v>116969</v>
      </c>
      <c r="O224" s="695"/>
      <c r="P224" s="61">
        <v>148880</v>
      </c>
      <c r="Q224" s="61">
        <v>2619913</v>
      </c>
      <c r="R224" s="505">
        <f>$B224/P224*1000</f>
        <v>5701.1888769478774</v>
      </c>
      <c r="S224" s="518">
        <f>$B224/Q224*1000</f>
        <v>323.97755192634258</v>
      </c>
      <c r="T224" s="1900"/>
      <c r="U224" s="430">
        <v>17289652</v>
      </c>
      <c r="V224" s="1901"/>
      <c r="W224" s="701"/>
      <c r="X224" s="1910"/>
      <c r="Y224" s="618">
        <v>-4.9000000000000004</v>
      </c>
      <c r="Z224" s="641"/>
      <c r="AB224" s="641"/>
      <c r="AC224" s="641"/>
    </row>
    <row r="225" spans="1:32">
      <c r="A225" s="49">
        <f t="shared" si="15"/>
        <v>2014.12</v>
      </c>
      <c r="B225" s="73">
        <v>1011892</v>
      </c>
      <c r="C225" s="1882">
        <f t="shared" si="14"/>
        <v>623818</v>
      </c>
      <c r="D225" s="1804">
        <v>109532</v>
      </c>
      <c r="E225" s="294">
        <v>261726</v>
      </c>
      <c r="F225" s="1804">
        <v>36917</v>
      </c>
      <c r="G225" s="294">
        <v>86065</v>
      </c>
      <c r="H225" s="1804">
        <v>76632</v>
      </c>
      <c r="I225" s="294">
        <v>36728</v>
      </c>
      <c r="J225" s="1804">
        <v>16218</v>
      </c>
      <c r="K225" s="294">
        <v>118615</v>
      </c>
      <c r="L225" s="1804">
        <v>39478</v>
      </c>
      <c r="M225" s="294">
        <v>68104</v>
      </c>
      <c r="N225" s="1892">
        <v>161877</v>
      </c>
      <c r="O225" s="695"/>
      <c r="P225" s="61">
        <v>148880</v>
      </c>
      <c r="Q225" s="61">
        <v>2849415</v>
      </c>
      <c r="R225" s="505">
        <f t="shared" si="12"/>
        <v>6796.695325094036</v>
      </c>
      <c r="S225" s="518">
        <f t="shared" si="13"/>
        <v>355.12271817197563</v>
      </c>
      <c r="T225" s="1900"/>
      <c r="U225" s="430">
        <v>20450742</v>
      </c>
      <c r="V225" s="1901"/>
      <c r="W225" s="701"/>
      <c r="X225" s="1910"/>
      <c r="Y225" s="618">
        <v>2</v>
      </c>
      <c r="Z225" s="641"/>
      <c r="AB225" s="641"/>
      <c r="AC225" s="641"/>
    </row>
    <row r="226" spans="1:32">
      <c r="A226" s="49">
        <f t="shared" si="15"/>
        <v>2015.01</v>
      </c>
      <c r="B226" s="73">
        <v>825367</v>
      </c>
      <c r="C226" s="1882">
        <f t="shared" si="14"/>
        <v>504496</v>
      </c>
      <c r="D226" s="1804">
        <v>69065</v>
      </c>
      <c r="E226" s="294">
        <v>208282</v>
      </c>
      <c r="F226" s="1804">
        <v>30345</v>
      </c>
      <c r="G226" s="294">
        <v>80884</v>
      </c>
      <c r="H226" s="1804">
        <v>67336</v>
      </c>
      <c r="I226" s="294">
        <v>34316</v>
      </c>
      <c r="J226" s="1804">
        <v>14268</v>
      </c>
      <c r="K226" s="294">
        <v>118113</v>
      </c>
      <c r="L226" s="1804">
        <v>28078</v>
      </c>
      <c r="M226" s="294">
        <v>54700</v>
      </c>
      <c r="N226" s="1892">
        <v>119980</v>
      </c>
      <c r="O226" s="695"/>
      <c r="P226" s="61">
        <v>148880</v>
      </c>
      <c r="Q226" s="61">
        <v>2518660</v>
      </c>
      <c r="R226" s="505">
        <f t="shared" si="12"/>
        <v>5543.8406770553465</v>
      </c>
      <c r="S226" s="518">
        <f t="shared" si="13"/>
        <v>327.7008409233481</v>
      </c>
      <c r="T226" s="1900"/>
      <c r="U226" s="430">
        <v>17000600</v>
      </c>
      <c r="V226" s="1901"/>
      <c r="W226" s="701"/>
      <c r="X226" s="1910"/>
      <c r="Y226" s="618">
        <v>1.5</v>
      </c>
      <c r="Z226" s="641"/>
      <c r="AB226" s="641"/>
      <c r="AC226" s="641"/>
    </row>
    <row r="227" spans="1:32">
      <c r="A227" s="49">
        <f t="shared" si="15"/>
        <v>2015.02</v>
      </c>
      <c r="B227" s="73">
        <v>782194</v>
      </c>
      <c r="C227" s="1882">
        <f t="shared" si="14"/>
        <v>489612</v>
      </c>
      <c r="D227" s="1804">
        <v>65025</v>
      </c>
      <c r="E227" s="294">
        <v>202362</v>
      </c>
      <c r="F227" s="1804">
        <v>29612</v>
      </c>
      <c r="G227" s="294">
        <v>79843</v>
      </c>
      <c r="H227" s="1804">
        <v>65934</v>
      </c>
      <c r="I227" s="294">
        <v>33073</v>
      </c>
      <c r="J227" s="1804">
        <v>13763</v>
      </c>
      <c r="K227" s="294">
        <v>108783</v>
      </c>
      <c r="L227" s="1804">
        <v>25077</v>
      </c>
      <c r="M227" s="294">
        <v>45391</v>
      </c>
      <c r="N227" s="1892">
        <v>113331</v>
      </c>
      <c r="O227" s="695"/>
      <c r="P227" s="61">
        <v>148880</v>
      </c>
      <c r="Q227" s="61">
        <v>2373148</v>
      </c>
      <c r="R227" s="505">
        <f t="shared" si="12"/>
        <v>5253.8554540569585</v>
      </c>
      <c r="S227" s="518">
        <f t="shared" si="13"/>
        <v>329.60186216788838</v>
      </c>
      <c r="T227" s="1900"/>
      <c r="U227" s="430">
        <v>16238500</v>
      </c>
      <c r="V227" s="1901"/>
      <c r="W227" s="701"/>
      <c r="X227" s="1910"/>
      <c r="Y227" s="618">
        <v>2.8</v>
      </c>
      <c r="Z227" s="641"/>
      <c r="AB227" s="641"/>
      <c r="AC227" s="641"/>
    </row>
    <row r="228" spans="1:32">
      <c r="A228" s="49">
        <f t="shared" si="15"/>
        <v>2015.03</v>
      </c>
      <c r="B228" s="73">
        <v>832475</v>
      </c>
      <c r="C228" s="1882">
        <f t="shared" si="14"/>
        <v>537090</v>
      </c>
      <c r="D228" s="1804">
        <v>66655</v>
      </c>
      <c r="E228" s="294">
        <v>225521</v>
      </c>
      <c r="F228" s="1804">
        <v>33990</v>
      </c>
      <c r="G228" s="294">
        <v>88365</v>
      </c>
      <c r="H228" s="1804">
        <v>72457</v>
      </c>
      <c r="I228" s="294">
        <v>34892</v>
      </c>
      <c r="J228" s="1804">
        <v>15210</v>
      </c>
      <c r="K228" s="294">
        <v>117260</v>
      </c>
      <c r="L228" s="1804">
        <v>27127</v>
      </c>
      <c r="M228" s="294">
        <v>46857</v>
      </c>
      <c r="N228" s="1892">
        <v>104141</v>
      </c>
      <c r="O228" s="695"/>
      <c r="P228" s="61">
        <v>148880</v>
      </c>
      <c r="Q228" s="61">
        <v>2516726</v>
      </c>
      <c r="R228" s="505">
        <f t="shared" si="12"/>
        <v>5591.5838259000539</v>
      </c>
      <c r="S228" s="518">
        <f t="shared" si="13"/>
        <v>330.77696976150759</v>
      </c>
      <c r="T228" s="1900"/>
      <c r="U228" s="430">
        <v>17560900</v>
      </c>
      <c r="V228" s="1901"/>
      <c r="W228" s="701"/>
      <c r="X228" s="1910"/>
      <c r="Y228" s="618">
        <v>2.2000000000000002</v>
      </c>
      <c r="Z228" s="641"/>
      <c r="AB228" s="641"/>
      <c r="AC228" s="641"/>
    </row>
    <row r="229" spans="1:32">
      <c r="A229" s="49">
        <f t="shared" si="15"/>
        <v>2015.04</v>
      </c>
      <c r="B229" s="73">
        <v>828681</v>
      </c>
      <c r="C229" s="1882">
        <f t="shared" si="14"/>
        <v>543454</v>
      </c>
      <c r="D229" s="1804">
        <v>65080</v>
      </c>
      <c r="E229" s="294">
        <v>231964</v>
      </c>
      <c r="F229" s="1804">
        <v>34886</v>
      </c>
      <c r="G229" s="294">
        <v>89046</v>
      </c>
      <c r="H229" s="1804">
        <v>73120</v>
      </c>
      <c r="I229" s="294">
        <v>34403</v>
      </c>
      <c r="J229" s="1804">
        <v>14955</v>
      </c>
      <c r="K229" s="294">
        <v>116176</v>
      </c>
      <c r="L229" s="1804">
        <v>26329</v>
      </c>
      <c r="M229" s="294">
        <v>45858</v>
      </c>
      <c r="N229" s="1892">
        <v>96864</v>
      </c>
      <c r="O229" s="695"/>
      <c r="P229" s="61">
        <v>148880</v>
      </c>
      <c r="Q229" s="61">
        <v>2452929</v>
      </c>
      <c r="R229" s="505">
        <f t="shared" si="12"/>
        <v>5566.1002149382057</v>
      </c>
      <c r="S229" s="518">
        <f t="shared" si="13"/>
        <v>337.83325974783617</v>
      </c>
      <c r="T229" s="1900"/>
      <c r="U229" s="430">
        <v>17334500</v>
      </c>
      <c r="V229" s="1901"/>
      <c r="W229" s="701"/>
      <c r="X229" s="1910"/>
      <c r="Y229" s="618">
        <v>1.6</v>
      </c>
      <c r="Z229" s="641"/>
      <c r="AB229" s="641"/>
      <c r="AC229" s="641"/>
    </row>
    <row r="230" spans="1:32">
      <c r="A230" s="49">
        <f t="shared" si="15"/>
        <v>2015.05</v>
      </c>
      <c r="B230" s="73">
        <v>878264</v>
      </c>
      <c r="C230" s="1882">
        <f t="shared" si="14"/>
        <v>544689</v>
      </c>
      <c r="D230" s="1804">
        <v>61551</v>
      </c>
      <c r="E230" s="294">
        <v>236776</v>
      </c>
      <c r="F230" s="1804">
        <v>34774</v>
      </c>
      <c r="G230" s="294">
        <v>90829</v>
      </c>
      <c r="H230" s="1804">
        <v>72871</v>
      </c>
      <c r="I230" s="294">
        <v>32866</v>
      </c>
      <c r="J230" s="1804">
        <v>15022</v>
      </c>
      <c r="K230" s="294">
        <v>124552</v>
      </c>
      <c r="L230" s="1804">
        <v>37406</v>
      </c>
      <c r="M230" s="294">
        <v>60174</v>
      </c>
      <c r="N230" s="1892">
        <v>111443</v>
      </c>
      <c r="O230" s="695"/>
      <c r="P230" s="61">
        <v>148880</v>
      </c>
      <c r="Q230" s="61">
        <v>2440538</v>
      </c>
      <c r="R230" s="505">
        <f t="shared" si="12"/>
        <v>5899.1402471789361</v>
      </c>
      <c r="S230" s="518">
        <f t="shared" si="13"/>
        <v>359.86491503103002</v>
      </c>
      <c r="T230" s="1900"/>
      <c r="U230" s="430">
        <v>18256100</v>
      </c>
      <c r="V230" s="1901"/>
      <c r="W230" s="701"/>
      <c r="X230" s="1910"/>
      <c r="Y230" s="618">
        <v>1.7</v>
      </c>
      <c r="Z230" s="641"/>
      <c r="AB230" s="641"/>
      <c r="AC230" s="641"/>
    </row>
    <row r="231" spans="1:32">
      <c r="A231" s="49">
        <f t="shared" si="15"/>
        <v>2015.06</v>
      </c>
      <c r="B231" s="73">
        <v>896600</v>
      </c>
      <c r="C231" s="1882">
        <f t="shared" si="14"/>
        <v>538438</v>
      </c>
      <c r="D231" s="1804">
        <v>59285</v>
      </c>
      <c r="E231" s="294">
        <v>239414</v>
      </c>
      <c r="F231" s="1804">
        <v>34282</v>
      </c>
      <c r="G231" s="294">
        <v>90084</v>
      </c>
      <c r="H231" s="1804">
        <v>69577</v>
      </c>
      <c r="I231" s="294">
        <v>31624</v>
      </c>
      <c r="J231" s="1804">
        <v>14172</v>
      </c>
      <c r="K231" s="294">
        <v>116956</v>
      </c>
      <c r="L231" s="1804">
        <v>37622</v>
      </c>
      <c r="M231" s="294">
        <v>61591</v>
      </c>
      <c r="N231" s="1892">
        <v>141993</v>
      </c>
      <c r="O231" s="695"/>
      <c r="P231" s="61">
        <v>148880</v>
      </c>
      <c r="Q231" s="61">
        <v>2490041</v>
      </c>
      <c r="R231" s="505">
        <f t="shared" si="12"/>
        <v>6022.2998387963462</v>
      </c>
      <c r="S231" s="518">
        <f t="shared" si="13"/>
        <v>360.07439234936294</v>
      </c>
      <c r="T231" s="1900"/>
      <c r="U231" s="430">
        <v>18136700</v>
      </c>
      <c r="V231" s="1901"/>
      <c r="W231" s="701"/>
      <c r="X231" s="1910"/>
      <c r="Y231" s="618">
        <v>1.8</v>
      </c>
      <c r="Z231" s="641"/>
      <c r="AB231" s="641"/>
      <c r="AC231" s="641"/>
    </row>
    <row r="232" spans="1:32">
      <c r="A232" s="49">
        <f t="shared" si="15"/>
        <v>2015.07</v>
      </c>
      <c r="B232" s="73">
        <v>947499</v>
      </c>
      <c r="C232" s="1882">
        <f t="shared" si="14"/>
        <v>571826</v>
      </c>
      <c r="D232" s="1804">
        <v>64006</v>
      </c>
      <c r="E232" s="294">
        <v>256439</v>
      </c>
      <c r="F232" s="1804">
        <v>36865</v>
      </c>
      <c r="G232" s="294">
        <v>93720</v>
      </c>
      <c r="H232" s="1804">
        <v>72877</v>
      </c>
      <c r="I232" s="294">
        <v>33449</v>
      </c>
      <c r="J232" s="1804">
        <v>14470</v>
      </c>
      <c r="K232" s="294">
        <v>123229</v>
      </c>
      <c r="L232" s="1804">
        <v>42283</v>
      </c>
      <c r="M232" s="294">
        <v>53392</v>
      </c>
      <c r="N232" s="1892">
        <v>156769</v>
      </c>
      <c r="O232" s="695"/>
      <c r="P232" s="61">
        <v>148880</v>
      </c>
      <c r="Q232" s="61">
        <v>2552357</v>
      </c>
      <c r="R232" s="505">
        <f t="shared" si="12"/>
        <v>6364.1792047286399</v>
      </c>
      <c r="S232" s="518">
        <f t="shared" si="13"/>
        <v>371.22510683262567</v>
      </c>
      <c r="T232" s="1900"/>
      <c r="U232" s="430">
        <v>19332500</v>
      </c>
      <c r="V232" s="1901"/>
      <c r="W232" s="701"/>
      <c r="X232" s="1910"/>
      <c r="Y232" s="618">
        <v>1.7</v>
      </c>
      <c r="Z232" s="641"/>
      <c r="AB232" s="641"/>
      <c r="AC232" s="641"/>
    </row>
    <row r="233" spans="1:32">
      <c r="A233" s="49">
        <f t="shared" si="15"/>
        <v>2015.08</v>
      </c>
      <c r="B233" s="73">
        <v>964311</v>
      </c>
      <c r="C233" s="1882">
        <f t="shared" si="14"/>
        <v>585220</v>
      </c>
      <c r="D233" s="1804">
        <v>66206</v>
      </c>
      <c r="E233" s="294">
        <v>255690</v>
      </c>
      <c r="F233" s="1804">
        <v>37841</v>
      </c>
      <c r="G233" s="294">
        <v>97357</v>
      </c>
      <c r="H233" s="1804">
        <v>77534</v>
      </c>
      <c r="I233" s="294">
        <v>35859</v>
      </c>
      <c r="J233" s="1804">
        <v>14733</v>
      </c>
      <c r="K233" s="294">
        <v>131896</v>
      </c>
      <c r="L233" s="1804">
        <v>36254</v>
      </c>
      <c r="M233" s="294">
        <v>62046</v>
      </c>
      <c r="N233" s="1892">
        <v>148895</v>
      </c>
      <c r="O233" s="695"/>
      <c r="P233" s="61">
        <v>148880</v>
      </c>
      <c r="Q233" s="61">
        <v>2522524</v>
      </c>
      <c r="R233" s="505">
        <f t="shared" ref="R233:S248" si="16">$B233/P233*1000</f>
        <v>6477.1023643202579</v>
      </c>
      <c r="S233" s="518">
        <f t="shared" si="16"/>
        <v>382.28020823587804</v>
      </c>
      <c r="T233" s="1900"/>
      <c r="U233" s="578">
        <v>19999200</v>
      </c>
      <c r="V233" s="1901"/>
      <c r="W233" s="701"/>
      <c r="X233" s="1910"/>
      <c r="Y233" s="618">
        <v>2.4</v>
      </c>
      <c r="Z233" s="641"/>
      <c r="AB233" s="641"/>
      <c r="AC233" s="641"/>
    </row>
    <row r="234" spans="1:32">
      <c r="A234" s="49">
        <f t="shared" si="15"/>
        <v>2015.09</v>
      </c>
      <c r="B234" s="73">
        <v>871963</v>
      </c>
      <c r="C234" s="1882">
        <f t="shared" si="14"/>
        <v>560824</v>
      </c>
      <c r="D234" s="1804">
        <v>69988</v>
      </c>
      <c r="E234" s="294">
        <v>242084</v>
      </c>
      <c r="F234" s="1804">
        <v>34766</v>
      </c>
      <c r="G234" s="294">
        <v>91434</v>
      </c>
      <c r="H234" s="1804">
        <v>73784</v>
      </c>
      <c r="I234" s="294">
        <v>34927</v>
      </c>
      <c r="J234" s="1804">
        <v>13841</v>
      </c>
      <c r="K234" s="294">
        <v>123318</v>
      </c>
      <c r="L234" s="1804">
        <v>27826</v>
      </c>
      <c r="M234" s="294">
        <v>52847</v>
      </c>
      <c r="N234" s="1892">
        <v>107148</v>
      </c>
      <c r="O234" s="695"/>
      <c r="P234" s="61">
        <v>148880</v>
      </c>
      <c r="Q234" s="61">
        <v>2328626</v>
      </c>
      <c r="R234" s="505">
        <f t="shared" si="16"/>
        <v>5856.8175711982803</v>
      </c>
      <c r="S234" s="518">
        <f t="shared" si="16"/>
        <v>374.45386249230233</v>
      </c>
      <c r="T234" s="1900"/>
      <c r="U234" s="578">
        <v>18195300</v>
      </c>
      <c r="V234" s="1901"/>
      <c r="W234" s="701"/>
      <c r="X234" s="1910"/>
      <c r="Y234" s="618">
        <v>2.4</v>
      </c>
      <c r="Z234" s="641"/>
      <c r="AB234" s="641"/>
      <c r="AC234" s="641"/>
      <c r="AD234" s="642"/>
      <c r="AE234" s="642"/>
    </row>
    <row r="235" spans="1:32">
      <c r="A235" s="49">
        <f t="shared" si="15"/>
        <v>2015.1</v>
      </c>
      <c r="B235" s="348">
        <f>B247/1.2</f>
        <v>990467.5</v>
      </c>
      <c r="C235" s="1882">
        <f t="shared" si="14"/>
        <v>614375.59983196075</v>
      </c>
      <c r="D235" s="1887">
        <f>D234*D223/D222</f>
        <v>83312.889660321016</v>
      </c>
      <c r="E235" s="1883">
        <f t="shared" ref="E235:N235" si="17">E234*E223/E222</f>
        <v>263686.13299906475</v>
      </c>
      <c r="F235" s="1887">
        <f t="shared" si="17"/>
        <v>37397.463580205011</v>
      </c>
      <c r="G235" s="1883">
        <f t="shared" si="17"/>
        <v>95519.228582034149</v>
      </c>
      <c r="H235" s="1887">
        <f t="shared" si="17"/>
        <v>81488.787682770708</v>
      </c>
      <c r="I235" s="1883">
        <f t="shared" si="17"/>
        <v>38119.288310505748</v>
      </c>
      <c r="J235" s="1887">
        <f t="shared" si="17"/>
        <v>14851.809017059302</v>
      </c>
      <c r="K235" s="1883">
        <f t="shared" si="17"/>
        <v>135483.53684210527</v>
      </c>
      <c r="L235" s="1887">
        <f t="shared" si="17"/>
        <v>34198.996656148447</v>
      </c>
      <c r="M235" s="1883">
        <f t="shared" si="17"/>
        <v>78975.995837765338</v>
      </c>
      <c r="N235" s="1894">
        <f t="shared" si="17"/>
        <v>128798.36637565846</v>
      </c>
      <c r="O235" s="698"/>
      <c r="P235" s="694">
        <f>P234</f>
        <v>148880</v>
      </c>
      <c r="Q235" s="699" t="e">
        <v>#N/A</v>
      </c>
      <c r="R235" s="505">
        <f t="shared" si="16"/>
        <v>6652.7908382590003</v>
      </c>
      <c r="S235" s="699"/>
      <c r="T235" s="1901"/>
      <c r="U235" s="578">
        <v>20486700</v>
      </c>
      <c r="V235" s="1901"/>
      <c r="W235" s="701"/>
      <c r="X235" s="1910"/>
      <c r="Y235" s="618">
        <v>2.7</v>
      </c>
      <c r="Z235" s="641"/>
      <c r="AB235" s="641"/>
      <c r="AC235" s="641"/>
      <c r="AD235" s="642"/>
      <c r="AE235" s="642"/>
      <c r="AF235" s="643"/>
    </row>
    <row r="236" spans="1:32">
      <c r="A236" s="49">
        <f t="shared" si="15"/>
        <v>2015.11</v>
      </c>
      <c r="B236" s="348">
        <f>B248/1.192</f>
        <v>1038859.0604026846</v>
      </c>
      <c r="C236" s="1882">
        <f t="shared" si="14"/>
        <v>617029.68204920983</v>
      </c>
      <c r="D236" s="1887">
        <f>D235*D224/D223</f>
        <v>92898.032325494583</v>
      </c>
      <c r="E236" s="1883">
        <f t="shared" ref="E236:N236" si="18">E235*E224/E223</f>
        <v>255611.41120419925</v>
      </c>
      <c r="F236" s="1887">
        <f t="shared" si="18"/>
        <v>38347.386531803677</v>
      </c>
      <c r="G236" s="1883">
        <f t="shared" si="18"/>
        <v>95702.503860430588</v>
      </c>
      <c r="H236" s="1887">
        <f t="shared" si="18"/>
        <v>83206.486759652325</v>
      </c>
      <c r="I236" s="1883">
        <f t="shared" si="18"/>
        <v>36276.003528474408</v>
      </c>
      <c r="J236" s="1887">
        <f t="shared" si="18"/>
        <v>14987.85783915516</v>
      </c>
      <c r="K236" s="1883">
        <f t="shared" si="18"/>
        <v>140795.33684210526</v>
      </c>
      <c r="L236" s="1887">
        <f t="shared" si="18"/>
        <v>37696.740451184472</v>
      </c>
      <c r="M236" s="1883">
        <f t="shared" si="18"/>
        <v>94400.193081441044</v>
      </c>
      <c r="N236" s="1894">
        <f t="shared" si="18"/>
        <v>153890.47791652853</v>
      </c>
      <c r="O236" s="698"/>
      <c r="P236" s="694">
        <f>P234</f>
        <v>148880</v>
      </c>
      <c r="Q236" s="699" t="e">
        <v>#N/A</v>
      </c>
      <c r="R236" s="505">
        <f t="shared" si="16"/>
        <v>6977.8281864769251</v>
      </c>
      <c r="S236" s="699"/>
      <c r="T236" s="1901"/>
      <c r="U236" s="578">
        <v>21671800</v>
      </c>
      <c r="V236" s="1901"/>
      <c r="W236" s="701"/>
      <c r="X236" s="1910"/>
      <c r="Y236" s="618">
        <v>1.7</v>
      </c>
      <c r="Z236" s="641"/>
      <c r="AB236" s="641"/>
      <c r="AC236" s="641"/>
      <c r="AD236" s="642"/>
      <c r="AE236" s="642"/>
      <c r="AF236" s="643"/>
    </row>
    <row r="237" spans="1:32">
      <c r="A237" s="49">
        <f t="shared" si="15"/>
        <v>2015.12</v>
      </c>
      <c r="B237" s="73">
        <v>1305535</v>
      </c>
      <c r="C237" s="1882">
        <f t="shared" si="14"/>
        <v>782619</v>
      </c>
      <c r="D237" s="1804">
        <v>138089</v>
      </c>
      <c r="E237" s="294">
        <v>339238</v>
      </c>
      <c r="F237" s="1804">
        <v>46144</v>
      </c>
      <c r="G237" s="294">
        <v>97910</v>
      </c>
      <c r="H237" s="1804">
        <v>99487</v>
      </c>
      <c r="I237" s="294">
        <v>42662</v>
      </c>
      <c r="J237" s="1804">
        <v>19089</v>
      </c>
      <c r="K237" s="294">
        <v>151245</v>
      </c>
      <c r="L237" s="1804">
        <v>47820</v>
      </c>
      <c r="M237" s="294">
        <v>90703</v>
      </c>
      <c r="N237" s="1892">
        <v>233148</v>
      </c>
      <c r="O237" s="698"/>
      <c r="P237" s="61">
        <v>148880</v>
      </c>
      <c r="Q237" s="700" t="e">
        <v>#N/A</v>
      </c>
      <c r="R237" s="505">
        <f t="shared" si="16"/>
        <v>8769.0421816227827</v>
      </c>
      <c r="S237" s="700"/>
      <c r="T237" s="1901"/>
      <c r="U237" s="578">
        <v>26053923</v>
      </c>
      <c r="V237" s="1901"/>
      <c r="W237" s="701"/>
      <c r="X237" s="1910"/>
      <c r="Y237" s="618">
        <v>3.1</v>
      </c>
      <c r="Z237" s="641"/>
      <c r="AB237" s="641"/>
      <c r="AC237" s="641"/>
      <c r="AD237" s="642"/>
      <c r="AE237" s="642"/>
      <c r="AF237" s="643"/>
    </row>
    <row r="238" spans="1:32">
      <c r="A238" s="49">
        <f t="shared" si="15"/>
        <v>2016.01</v>
      </c>
      <c r="B238" s="73">
        <v>1037609</v>
      </c>
      <c r="C238" s="1882">
        <f t="shared" ref="C238:C245" si="19">SUM(D238:J238)</f>
        <v>607696</v>
      </c>
      <c r="D238" s="1804">
        <v>86597</v>
      </c>
      <c r="E238" s="294">
        <v>237392</v>
      </c>
      <c r="F238" s="1804">
        <v>38004</v>
      </c>
      <c r="G238" s="294">
        <v>97122</v>
      </c>
      <c r="H238" s="1804">
        <v>87785</v>
      </c>
      <c r="I238" s="294">
        <v>43872</v>
      </c>
      <c r="J238" s="1804">
        <v>16924</v>
      </c>
      <c r="K238" s="294">
        <v>160331</v>
      </c>
      <c r="L238" s="1804">
        <v>35276</v>
      </c>
      <c r="M238" s="294">
        <v>71252</v>
      </c>
      <c r="N238" s="1892">
        <v>163054</v>
      </c>
      <c r="O238" s="698"/>
      <c r="P238" s="61">
        <v>148880</v>
      </c>
      <c r="Q238" s="700" t="e">
        <v>#N/A</v>
      </c>
      <c r="R238" s="505">
        <f t="shared" si="16"/>
        <v>6969.431757119828</v>
      </c>
      <c r="S238" s="700"/>
      <c r="T238" s="1901"/>
      <c r="U238" s="578">
        <v>21700000</v>
      </c>
      <c r="V238" s="1901"/>
      <c r="W238" s="701"/>
      <c r="X238" s="1910"/>
      <c r="Y238" s="618">
        <v>-2.2999999999999998</v>
      </c>
    </row>
    <row r="239" spans="1:32">
      <c r="A239" s="49">
        <f t="shared" si="15"/>
        <v>2016.02</v>
      </c>
      <c r="B239" s="73">
        <v>1009938</v>
      </c>
      <c r="C239" s="1882">
        <f t="shared" si="19"/>
        <v>621777</v>
      </c>
      <c r="D239" s="1804">
        <v>82519</v>
      </c>
      <c r="E239" s="294">
        <v>255391</v>
      </c>
      <c r="F239" s="1804">
        <v>37749</v>
      </c>
      <c r="G239" s="294">
        <v>96747</v>
      </c>
      <c r="H239" s="1804">
        <v>87732</v>
      </c>
      <c r="I239" s="294">
        <v>44684</v>
      </c>
      <c r="J239" s="1804">
        <v>16955</v>
      </c>
      <c r="K239" s="294">
        <v>151397</v>
      </c>
      <c r="L239" s="1804">
        <v>32048</v>
      </c>
      <c r="M239" s="294">
        <v>55390</v>
      </c>
      <c r="N239" s="1892">
        <v>149326</v>
      </c>
      <c r="O239" s="698"/>
      <c r="P239" s="61">
        <v>148880</v>
      </c>
      <c r="Q239" s="700" t="e">
        <v>#N/A</v>
      </c>
      <c r="R239" s="505">
        <f t="shared" si="16"/>
        <v>6783.5706609349818</v>
      </c>
      <c r="S239" s="700"/>
      <c r="T239" s="1901"/>
      <c r="U239" s="578">
        <v>21090700</v>
      </c>
      <c r="V239" s="1901"/>
      <c r="W239" s="701"/>
      <c r="X239" s="1910"/>
      <c r="Y239" s="618">
        <v>-4.5</v>
      </c>
      <c r="AD239" s="644"/>
    </row>
    <row r="240" spans="1:32">
      <c r="A240" s="49">
        <f t="shared" si="15"/>
        <v>2016.03</v>
      </c>
      <c r="B240" s="73">
        <v>1080353</v>
      </c>
      <c r="C240" s="1882">
        <f t="shared" si="19"/>
        <v>691295</v>
      </c>
      <c r="D240" s="1804">
        <v>81085</v>
      </c>
      <c r="E240" s="294">
        <v>301282</v>
      </c>
      <c r="F240" s="1804">
        <v>46323</v>
      </c>
      <c r="G240" s="294">
        <v>105261</v>
      </c>
      <c r="H240" s="1804">
        <v>93397</v>
      </c>
      <c r="I240" s="294">
        <v>46970</v>
      </c>
      <c r="J240" s="1804">
        <v>16977</v>
      </c>
      <c r="K240" s="294">
        <v>159199</v>
      </c>
      <c r="L240" s="1804">
        <v>33381</v>
      </c>
      <c r="M240" s="294">
        <v>60090</v>
      </c>
      <c r="N240" s="1892">
        <v>136388</v>
      </c>
      <c r="O240" s="698"/>
      <c r="P240" s="61">
        <v>148880</v>
      </c>
      <c r="Q240" s="700" t="e">
        <v>#N/A</v>
      </c>
      <c r="R240" s="505">
        <f t="shared" si="16"/>
        <v>7256.5354648038683</v>
      </c>
      <c r="S240" s="700"/>
      <c r="T240" s="1901"/>
      <c r="U240" s="430">
        <v>22268700</v>
      </c>
      <c r="V240" s="1901"/>
      <c r="W240" s="701"/>
      <c r="X240" s="1910"/>
      <c r="Y240" s="618">
        <v>-5.8</v>
      </c>
    </row>
    <row r="241" spans="1:28">
      <c r="A241" s="49">
        <f t="shared" si="15"/>
        <v>2016.04</v>
      </c>
      <c r="B241" s="73">
        <v>1087468</v>
      </c>
      <c r="C241" s="1882">
        <f t="shared" si="19"/>
        <v>689156</v>
      </c>
      <c r="D241" s="1804">
        <v>77886</v>
      </c>
      <c r="E241" s="294">
        <v>298624</v>
      </c>
      <c r="F241" s="1804">
        <v>44031</v>
      </c>
      <c r="G241" s="294">
        <v>109248</v>
      </c>
      <c r="H241" s="1804">
        <v>98755</v>
      </c>
      <c r="I241" s="294">
        <v>43957</v>
      </c>
      <c r="J241" s="1804">
        <v>16655</v>
      </c>
      <c r="K241" s="294">
        <v>163290</v>
      </c>
      <c r="L241" s="1804">
        <v>42160</v>
      </c>
      <c r="M241" s="294">
        <v>63900</v>
      </c>
      <c r="N241" s="1892">
        <v>128962</v>
      </c>
      <c r="O241" s="698"/>
      <c r="P241" s="61">
        <v>148880</v>
      </c>
      <c r="Q241" s="700" t="e">
        <v>#N/A</v>
      </c>
      <c r="R241" s="505">
        <f t="shared" si="16"/>
        <v>7304.3256313809779</v>
      </c>
      <c r="S241" s="700"/>
      <c r="T241" s="1901"/>
      <c r="U241" s="430">
        <v>22199000</v>
      </c>
      <c r="V241" s="1901"/>
      <c r="W241" s="701"/>
      <c r="X241" s="1910"/>
      <c r="Y241" s="618">
        <v>-6.6</v>
      </c>
    </row>
    <row r="242" spans="1:28">
      <c r="A242" s="49">
        <f t="shared" si="15"/>
        <v>2016.05</v>
      </c>
      <c r="B242" s="73">
        <v>1139515</v>
      </c>
      <c r="C242" s="1882">
        <f t="shared" si="19"/>
        <v>706358</v>
      </c>
      <c r="D242" s="1804">
        <v>75957</v>
      </c>
      <c r="E242" s="294">
        <v>312905</v>
      </c>
      <c r="F242" s="1804">
        <v>43376</v>
      </c>
      <c r="G242" s="294">
        <v>118403</v>
      </c>
      <c r="H242" s="1804">
        <v>96202</v>
      </c>
      <c r="I242" s="294">
        <v>42573</v>
      </c>
      <c r="J242" s="1804">
        <v>16942</v>
      </c>
      <c r="K242" s="294">
        <v>164133</v>
      </c>
      <c r="L242" s="1804">
        <v>49804</v>
      </c>
      <c r="M242" s="294">
        <v>75666</v>
      </c>
      <c r="N242" s="1892">
        <v>143554</v>
      </c>
      <c r="O242" s="698"/>
      <c r="P242" s="61">
        <v>148880</v>
      </c>
      <c r="Q242" s="700" t="e">
        <v>#N/A</v>
      </c>
      <c r="R242" s="505">
        <f t="shared" si="16"/>
        <v>7653.9159054271895</v>
      </c>
      <c r="S242" s="700"/>
      <c r="T242" s="1901"/>
      <c r="U242" s="430">
        <v>22731800</v>
      </c>
      <c r="V242" s="1901"/>
      <c r="W242" s="701"/>
      <c r="X242" s="1910"/>
      <c r="Y242" s="618">
        <v>-9.1999999999999993</v>
      </c>
    </row>
    <row r="243" spans="1:28">
      <c r="A243" s="49">
        <f t="shared" si="15"/>
        <v>2016.06</v>
      </c>
      <c r="B243" s="73">
        <v>1155859</v>
      </c>
      <c r="C243" s="1882">
        <f t="shared" si="19"/>
        <v>725227</v>
      </c>
      <c r="D243" s="1804">
        <v>83159</v>
      </c>
      <c r="E243" s="294">
        <v>319491</v>
      </c>
      <c r="F243" s="1804">
        <v>47160</v>
      </c>
      <c r="G243" s="294">
        <v>119725</v>
      </c>
      <c r="H243" s="1804">
        <v>94910</v>
      </c>
      <c r="I243" s="294">
        <v>43427</v>
      </c>
      <c r="J243" s="1804">
        <v>17355</v>
      </c>
      <c r="K243" s="294">
        <v>158727</v>
      </c>
      <c r="L243" s="1804">
        <v>48162</v>
      </c>
      <c r="M243" s="294">
        <v>71504</v>
      </c>
      <c r="N243" s="1892">
        <v>152240</v>
      </c>
      <c r="O243" s="698"/>
      <c r="P243" s="61">
        <v>148880</v>
      </c>
      <c r="Q243" s="700" t="e">
        <v>#N/A</v>
      </c>
      <c r="R243" s="505">
        <f t="shared" si="16"/>
        <v>7763.6955937667926</v>
      </c>
      <c r="S243" s="700"/>
      <c r="T243" s="1901"/>
      <c r="U243" s="430">
        <v>23053770</v>
      </c>
      <c r="V243" s="1901"/>
      <c r="W243" s="701"/>
      <c r="X243" s="1910"/>
      <c r="Y243" s="618">
        <v>-9.8000000000000007</v>
      </c>
    </row>
    <row r="244" spans="1:28">
      <c r="A244" s="49">
        <f t="shared" si="15"/>
        <v>2016.07</v>
      </c>
      <c r="B244" s="73">
        <v>1190943</v>
      </c>
      <c r="C244" s="1882">
        <f t="shared" si="19"/>
        <v>755560</v>
      </c>
      <c r="D244" s="1804">
        <v>87736</v>
      </c>
      <c r="E244" s="294">
        <v>335989</v>
      </c>
      <c r="F244" s="1804">
        <v>48137</v>
      </c>
      <c r="G244" s="294">
        <v>123913</v>
      </c>
      <c r="H244" s="1804">
        <v>96265</v>
      </c>
      <c r="I244" s="294">
        <v>45274</v>
      </c>
      <c r="J244" s="1804">
        <v>18246</v>
      </c>
      <c r="K244" s="294">
        <v>163010</v>
      </c>
      <c r="L244" s="1804">
        <v>53436</v>
      </c>
      <c r="M244" s="294">
        <v>69411</v>
      </c>
      <c r="N244" s="1892">
        <v>149526</v>
      </c>
      <c r="O244" s="698"/>
      <c r="P244" s="61">
        <v>148880</v>
      </c>
      <c r="Q244" s="700" t="e">
        <v>#N/A</v>
      </c>
      <c r="R244" s="505">
        <f t="shared" si="16"/>
        <v>7999.3484685652875</v>
      </c>
      <c r="S244" s="700"/>
      <c r="T244" s="1901"/>
      <c r="U244" s="430">
        <v>25127900</v>
      </c>
      <c r="V244" s="1901"/>
      <c r="W244" s="701"/>
      <c r="X244" s="1910"/>
      <c r="Y244" s="618">
        <v>-8.1</v>
      </c>
    </row>
    <row r="245" spans="1:28">
      <c r="A245" s="49">
        <f t="shared" si="15"/>
        <v>2016.08</v>
      </c>
      <c r="B245" s="73">
        <v>1167031</v>
      </c>
      <c r="C245" s="1882">
        <f t="shared" si="19"/>
        <v>735807</v>
      </c>
      <c r="D245" s="1804">
        <v>87450</v>
      </c>
      <c r="E245" s="294">
        <v>322344</v>
      </c>
      <c r="F245" s="1804">
        <v>45875</v>
      </c>
      <c r="G245" s="294">
        <v>124638</v>
      </c>
      <c r="H245" s="1804">
        <v>93031</v>
      </c>
      <c r="I245" s="294">
        <v>44917</v>
      </c>
      <c r="J245" s="1804">
        <v>17552</v>
      </c>
      <c r="K245" s="294">
        <v>162134</v>
      </c>
      <c r="L245" s="1804">
        <v>37837</v>
      </c>
      <c r="M245" s="294">
        <v>58223</v>
      </c>
      <c r="N245" s="1892">
        <v>173032</v>
      </c>
      <c r="O245" s="698"/>
      <c r="P245" s="61">
        <v>148880</v>
      </c>
      <c r="Q245" s="700" t="e">
        <v>#N/A</v>
      </c>
      <c r="R245" s="505">
        <f t="shared" si="16"/>
        <v>7838.7358946802788</v>
      </c>
      <c r="S245" s="700"/>
      <c r="T245" s="1901"/>
      <c r="U245" s="430">
        <v>24232651</v>
      </c>
      <c r="V245" s="1901"/>
      <c r="W245" s="701"/>
      <c r="X245" s="1910"/>
      <c r="Y245" s="618">
        <v>-7.4</v>
      </c>
    </row>
    <row r="246" spans="1:28">
      <c r="A246" s="49">
        <f t="shared" si="15"/>
        <v>2016.09</v>
      </c>
      <c r="B246" s="73">
        <v>1117663</v>
      </c>
      <c r="C246" s="1882">
        <f t="shared" ref="C246:C309" si="20">SUM(D246:J246)</f>
        <v>745064</v>
      </c>
      <c r="D246" s="1804">
        <v>90331</v>
      </c>
      <c r="E246" s="294">
        <v>330241</v>
      </c>
      <c r="F246" s="1804">
        <v>45912</v>
      </c>
      <c r="G246" s="294">
        <v>125087</v>
      </c>
      <c r="H246" s="1804">
        <v>91454</v>
      </c>
      <c r="I246" s="294">
        <v>44142</v>
      </c>
      <c r="J246" s="1804">
        <v>17897</v>
      </c>
      <c r="K246" s="294">
        <v>170635</v>
      </c>
      <c r="L246" s="1804">
        <v>35214</v>
      </c>
      <c r="M246" s="294">
        <v>60843</v>
      </c>
      <c r="N246" s="1892">
        <v>105906</v>
      </c>
      <c r="O246" s="698"/>
      <c r="P246" s="61">
        <v>148880</v>
      </c>
      <c r="Q246" s="700" t="e">
        <v>#N/A</v>
      </c>
      <c r="R246" s="505">
        <f t="shared" si="16"/>
        <v>7507.1399785061794</v>
      </c>
      <c r="S246" s="700"/>
      <c r="T246" s="1901"/>
      <c r="U246" s="430">
        <v>23603392</v>
      </c>
      <c r="V246" s="1901"/>
      <c r="W246" s="701"/>
      <c r="X246" s="1910"/>
      <c r="Y246" s="618">
        <v>-7.7</v>
      </c>
    </row>
    <row r="247" spans="1:28">
      <c r="A247" s="49">
        <f t="shared" si="15"/>
        <v>2016.1</v>
      </c>
      <c r="B247" s="73">
        <v>1188561</v>
      </c>
      <c r="C247" s="1882">
        <f t="shared" si="20"/>
        <v>761842</v>
      </c>
      <c r="D247" s="1804">
        <v>97699</v>
      </c>
      <c r="E247" s="294">
        <v>328172</v>
      </c>
      <c r="F247" s="1804">
        <v>47164</v>
      </c>
      <c r="G247" s="294">
        <v>128228</v>
      </c>
      <c r="H247" s="1804">
        <v>95493</v>
      </c>
      <c r="I247" s="294">
        <v>46214</v>
      </c>
      <c r="J247" s="1804">
        <v>18872</v>
      </c>
      <c r="K247" s="294">
        <v>178690</v>
      </c>
      <c r="L247" s="1804">
        <v>41397</v>
      </c>
      <c r="M247" s="294">
        <v>85066</v>
      </c>
      <c r="N247" s="1892">
        <v>121566</v>
      </c>
      <c r="O247" s="698"/>
      <c r="P247" s="61">
        <v>148880</v>
      </c>
      <c r="Q247" s="700" t="e">
        <v>#N/A</v>
      </c>
      <c r="R247" s="505">
        <f t="shared" si="16"/>
        <v>7983.3490059108008</v>
      </c>
      <c r="S247" s="700"/>
      <c r="T247" s="1901"/>
      <c r="U247" s="430">
        <v>25737299</v>
      </c>
      <c r="V247" s="1901"/>
      <c r="W247" s="701"/>
      <c r="X247" s="1910"/>
      <c r="Y247" s="618">
        <v>-8.1999999999999993</v>
      </c>
    </row>
    <row r="248" spans="1:28">
      <c r="A248" s="49">
        <f t="shared" si="15"/>
        <v>2016.11</v>
      </c>
      <c r="B248" s="73">
        <v>1238320</v>
      </c>
      <c r="C248" s="1882">
        <f t="shared" si="20"/>
        <v>778648</v>
      </c>
      <c r="D248" s="1804">
        <v>112271</v>
      </c>
      <c r="E248" s="294">
        <v>333127</v>
      </c>
      <c r="F248" s="1804">
        <v>46143</v>
      </c>
      <c r="G248" s="294">
        <v>125529</v>
      </c>
      <c r="H248" s="1804">
        <v>94558</v>
      </c>
      <c r="I248" s="294">
        <v>48115</v>
      </c>
      <c r="J248" s="1804">
        <v>18905</v>
      </c>
      <c r="K248" s="294">
        <v>180534</v>
      </c>
      <c r="L248" s="1804">
        <v>44161</v>
      </c>
      <c r="M248" s="294">
        <v>91288</v>
      </c>
      <c r="N248" s="1892">
        <v>143688</v>
      </c>
      <c r="O248" s="698"/>
      <c r="P248" s="61">
        <v>148880</v>
      </c>
      <c r="Q248" s="700" t="e">
        <v>#N/A</v>
      </c>
      <c r="R248" s="505">
        <f t="shared" si="16"/>
        <v>8317.5711982804951</v>
      </c>
      <c r="S248" s="700"/>
      <c r="T248" s="1901"/>
      <c r="U248" s="430">
        <v>26545889</v>
      </c>
      <c r="V248" s="1901"/>
      <c r="W248" s="701"/>
      <c r="X248" s="1910"/>
      <c r="Y248" s="618">
        <v>-8.5</v>
      </c>
    </row>
    <row r="249" spans="1:28" ht="13.5" thickBot="1">
      <c r="A249" s="49">
        <f t="shared" si="15"/>
        <v>2016.12</v>
      </c>
      <c r="B249" s="73">
        <v>1571647</v>
      </c>
      <c r="C249" s="1882">
        <f t="shared" si="20"/>
        <v>979778</v>
      </c>
      <c r="D249" s="1804">
        <v>196371</v>
      </c>
      <c r="E249" s="294">
        <v>398657</v>
      </c>
      <c r="F249" s="1804">
        <v>61315</v>
      </c>
      <c r="G249" s="294">
        <v>128210</v>
      </c>
      <c r="H249" s="1804">
        <v>117664</v>
      </c>
      <c r="I249" s="294">
        <v>54404</v>
      </c>
      <c r="J249" s="1804">
        <v>23157</v>
      </c>
      <c r="K249" s="294">
        <v>200754</v>
      </c>
      <c r="L249" s="1804">
        <v>62195</v>
      </c>
      <c r="M249" s="294">
        <v>100004</v>
      </c>
      <c r="N249" s="1892">
        <v>228915</v>
      </c>
      <c r="O249" s="698"/>
      <c r="P249" s="61">
        <v>148880</v>
      </c>
      <c r="Q249" s="700" t="e">
        <v>#N/A</v>
      </c>
      <c r="R249" s="505">
        <f t="shared" ref="R249" si="21">$B249/P249*1000</f>
        <v>10556.468296614723</v>
      </c>
      <c r="S249" s="700"/>
      <c r="T249" s="1901"/>
      <c r="U249" s="430">
        <v>32408153</v>
      </c>
      <c r="V249" s="1901"/>
      <c r="W249" s="701"/>
      <c r="X249" s="1910"/>
      <c r="Y249" s="618">
        <v>-5.4</v>
      </c>
    </row>
    <row r="250" spans="1:28">
      <c r="A250" s="49">
        <f t="shared" si="15"/>
        <v>2017.01</v>
      </c>
      <c r="B250" s="73">
        <v>1297299.3920000002</v>
      </c>
      <c r="C250" s="1882">
        <f t="shared" si="20"/>
        <v>817078.59539000015</v>
      </c>
      <c r="D250" s="1804">
        <v>118582.68871</v>
      </c>
      <c r="E250" s="294">
        <v>327560.25273000001</v>
      </c>
      <c r="F250" s="1804">
        <v>52921.695</v>
      </c>
      <c r="G250" s="294">
        <v>126002.00028000001</v>
      </c>
      <c r="H250" s="1804">
        <v>112847.68335000001</v>
      </c>
      <c r="I250" s="294">
        <v>59056.19599</v>
      </c>
      <c r="J250" s="1804">
        <v>20108.07933</v>
      </c>
      <c r="K250" s="294">
        <v>206156.19845</v>
      </c>
      <c r="L250" s="1804">
        <v>44967.84549</v>
      </c>
      <c r="M250" s="294">
        <v>83852.738540000006</v>
      </c>
      <c r="N250" s="1892">
        <v>145244.01413</v>
      </c>
      <c r="O250" s="1141">
        <v>91.018129253000453</v>
      </c>
      <c r="P250" s="61">
        <v>156311.12</v>
      </c>
      <c r="Q250" s="458">
        <v>2720452</v>
      </c>
      <c r="R250" s="505">
        <v>8299.4696218669542</v>
      </c>
      <c r="S250" s="518">
        <v>476.869061464786</v>
      </c>
      <c r="T250" s="1902">
        <v>267141.95600000001</v>
      </c>
      <c r="U250" s="430">
        <v>27858872.08289</v>
      </c>
      <c r="V250" s="1902">
        <v>1830.7439556700001</v>
      </c>
      <c r="W250" s="1574">
        <v>4094.5146717299995</v>
      </c>
      <c r="X250" s="921">
        <f t="shared" ref="X250:X314" si="22">V250+W250</f>
        <v>5925.2586273999996</v>
      </c>
      <c r="Y250" s="618">
        <v>-2.5</v>
      </c>
      <c r="AB250" s="1010"/>
    </row>
    <row r="251" spans="1:28">
      <c r="A251" s="49">
        <f t="shared" si="15"/>
        <v>2017.02</v>
      </c>
      <c r="B251" s="73">
        <v>1203173.9419</v>
      </c>
      <c r="C251" s="1882">
        <f t="shared" si="20"/>
        <v>806831.52470999991</v>
      </c>
      <c r="D251" s="1804">
        <v>115842.19767000001</v>
      </c>
      <c r="E251" s="294">
        <v>319438.71982</v>
      </c>
      <c r="F251" s="1804">
        <v>52936.754730000001</v>
      </c>
      <c r="G251" s="294">
        <v>127021.47069</v>
      </c>
      <c r="H251" s="1804">
        <v>113456.85836</v>
      </c>
      <c r="I251" s="294">
        <v>58166.113969999999</v>
      </c>
      <c r="J251" s="1804">
        <v>19969.409469999999</v>
      </c>
      <c r="K251" s="294">
        <v>186170.44959999999</v>
      </c>
      <c r="L251" s="1804">
        <v>37016.465499999998</v>
      </c>
      <c r="M251" s="294">
        <v>54118.079659999996</v>
      </c>
      <c r="N251" s="1892">
        <v>119037.42243000001</v>
      </c>
      <c r="O251" s="1142">
        <v>92.514730319919323</v>
      </c>
      <c r="P251" s="61">
        <v>156311.12</v>
      </c>
      <c r="Q251" s="458">
        <v>2613789</v>
      </c>
      <c r="R251" s="505">
        <v>7697.3022898178961</v>
      </c>
      <c r="S251" s="518">
        <v>460.31792998593227</v>
      </c>
      <c r="T251" s="1675">
        <v>245020.769</v>
      </c>
      <c r="U251" s="430">
        <v>25994200.167070001</v>
      </c>
      <c r="V251" s="1675">
        <v>1619.1377845899997</v>
      </c>
      <c r="W251" s="73">
        <v>3841.8889607600004</v>
      </c>
      <c r="X251" s="1911">
        <f t="shared" si="22"/>
        <v>5461.0267453500001</v>
      </c>
      <c r="Y251" s="618">
        <v>-4.0999999999999996</v>
      </c>
      <c r="AB251" s="1010"/>
    </row>
    <row r="252" spans="1:28">
      <c r="A252" s="49">
        <f t="shared" si="15"/>
        <v>2017.03</v>
      </c>
      <c r="B252" s="73">
        <v>1313911.11354</v>
      </c>
      <c r="C252" s="1882">
        <f t="shared" si="20"/>
        <v>912890.70594000001</v>
      </c>
      <c r="D252" s="1804">
        <v>117338.27077000002</v>
      </c>
      <c r="E252" s="294">
        <v>378033.65213999996</v>
      </c>
      <c r="F252" s="1804">
        <v>59485.737099999998</v>
      </c>
      <c r="G252" s="294">
        <v>145741.84069000001</v>
      </c>
      <c r="H252" s="1804">
        <v>127464.2343</v>
      </c>
      <c r="I252" s="294">
        <v>62297.421000000002</v>
      </c>
      <c r="J252" s="1804">
        <v>22529.549939999997</v>
      </c>
      <c r="K252" s="294">
        <v>201752.77749000001</v>
      </c>
      <c r="L252" s="1804">
        <v>37088.003539999998</v>
      </c>
      <c r="M252" s="294">
        <v>54807.152009999998</v>
      </c>
      <c r="N252" s="1892">
        <v>107372.47456</v>
      </c>
      <c r="O252" s="1142">
        <v>94.699942781745278</v>
      </c>
      <c r="P252" s="61">
        <v>156311.12</v>
      </c>
      <c r="Q252" s="458">
        <v>2836787</v>
      </c>
      <c r="R252" s="505">
        <v>8405.7430689512057</v>
      </c>
      <c r="S252" s="518">
        <v>463.16875871893103</v>
      </c>
      <c r="T252" s="1675">
        <v>307777.804</v>
      </c>
      <c r="U252" s="430">
        <v>27780006.522250019</v>
      </c>
      <c r="V252" s="1675">
        <v>1994.2897570999999</v>
      </c>
      <c r="W252" s="73">
        <v>4659.6133530999996</v>
      </c>
      <c r="X252" s="1911">
        <f t="shared" si="22"/>
        <v>6653.903110199999</v>
      </c>
      <c r="Y252" s="618">
        <v>-4.4000000000000004</v>
      </c>
      <c r="AB252" s="1010"/>
    </row>
    <row r="253" spans="1:28">
      <c r="A253" s="49">
        <f t="shared" si="15"/>
        <v>2017.04</v>
      </c>
      <c r="B253" s="73">
        <v>1376862.4878300002</v>
      </c>
      <c r="C253" s="1882">
        <f t="shared" si="20"/>
        <v>954218.1503600002</v>
      </c>
      <c r="D253" s="1804">
        <v>117834.63055</v>
      </c>
      <c r="E253" s="294">
        <v>406071.85100999998</v>
      </c>
      <c r="F253" s="1804">
        <v>66070.275020000001</v>
      </c>
      <c r="G253" s="294">
        <v>148460.34226</v>
      </c>
      <c r="H253" s="1804">
        <v>134319.37826</v>
      </c>
      <c r="I253" s="294">
        <v>59513.688070000004</v>
      </c>
      <c r="J253" s="1804">
        <v>21947.985190000003</v>
      </c>
      <c r="K253" s="294">
        <v>199137.00274</v>
      </c>
      <c r="L253" s="1804">
        <v>50786.217060000003</v>
      </c>
      <c r="M253" s="294">
        <v>65964.057979999998</v>
      </c>
      <c r="N253" s="1892">
        <v>106757.05968999999</v>
      </c>
      <c r="O253" s="1142">
        <v>96.703354121949914</v>
      </c>
      <c r="P253" s="61">
        <v>156311.12</v>
      </c>
      <c r="Q253" s="458">
        <v>2791397</v>
      </c>
      <c r="R253" s="505">
        <v>8808.4743288257414</v>
      </c>
      <c r="S253" s="518">
        <v>493.2521199349286</v>
      </c>
      <c r="T253" s="1675">
        <v>306792.73300000001</v>
      </c>
      <c r="U253" s="430">
        <v>29134272.219610009</v>
      </c>
      <c r="V253" s="1675">
        <v>1749.59237188</v>
      </c>
      <c r="W253" s="73">
        <v>4522.8562578299998</v>
      </c>
      <c r="X253" s="1911">
        <f t="shared" si="22"/>
        <v>6272.4486297099993</v>
      </c>
      <c r="Y253" s="618">
        <v>-3.8</v>
      </c>
      <c r="AB253" s="1010"/>
    </row>
    <row r="254" spans="1:28">
      <c r="A254" s="49">
        <f t="shared" si="15"/>
        <v>2017.05</v>
      </c>
      <c r="B254" s="73">
        <v>1356946.68619</v>
      </c>
      <c r="C254" s="1882">
        <f t="shared" si="20"/>
        <v>917845.0417800002</v>
      </c>
      <c r="D254" s="1804">
        <v>108351.11531000001</v>
      </c>
      <c r="E254" s="294">
        <v>393134.64072000002</v>
      </c>
      <c r="F254" s="1804">
        <v>60742.819050000006</v>
      </c>
      <c r="G254" s="294">
        <v>150589.64553000001</v>
      </c>
      <c r="H254" s="1804">
        <v>127642.85214999999</v>
      </c>
      <c r="I254" s="294">
        <v>56407.572379999998</v>
      </c>
      <c r="J254" s="1804">
        <v>20976.396639999999</v>
      </c>
      <c r="K254" s="294">
        <v>197964.12922</v>
      </c>
      <c r="L254" s="1804">
        <v>56044.927899999995</v>
      </c>
      <c r="M254" s="294">
        <v>76730.49629000001</v>
      </c>
      <c r="N254" s="1892">
        <v>108362.091</v>
      </c>
      <c r="O254" s="1142">
        <v>97.956976959118478</v>
      </c>
      <c r="P254" s="61">
        <v>156311.12</v>
      </c>
      <c r="Q254" s="458">
        <v>2718589</v>
      </c>
      <c r="R254" s="505">
        <v>8681.0630375497276</v>
      </c>
      <c r="S254" s="518">
        <v>499.13638515788881</v>
      </c>
      <c r="T254" s="1675">
        <v>399693.26199999999</v>
      </c>
      <c r="U254" s="430">
        <v>27969004.676939994</v>
      </c>
      <c r="V254" s="1675">
        <v>1890.8479384400002</v>
      </c>
      <c r="W254" s="73">
        <v>4669.8534447600005</v>
      </c>
      <c r="X254" s="1911">
        <f t="shared" si="22"/>
        <v>6560.7013832000011</v>
      </c>
      <c r="Y254" s="618">
        <v>-2.2999999999999998</v>
      </c>
      <c r="AB254" s="1010"/>
    </row>
    <row r="255" spans="1:28">
      <c r="A255" s="49">
        <f t="shared" si="15"/>
        <v>2017.06</v>
      </c>
      <c r="B255" s="73">
        <v>1338804.1871600002</v>
      </c>
      <c r="C255" s="1882">
        <f t="shared" si="20"/>
        <v>903270.42282999994</v>
      </c>
      <c r="D255" s="1804">
        <v>113579.60172000001</v>
      </c>
      <c r="E255" s="294">
        <v>381868.88024999999</v>
      </c>
      <c r="F255" s="1804">
        <v>60423.265570000003</v>
      </c>
      <c r="G255" s="294">
        <v>148484.27636000002</v>
      </c>
      <c r="H255" s="1804">
        <v>126236.63081999999</v>
      </c>
      <c r="I255" s="294">
        <v>52152.792099999991</v>
      </c>
      <c r="J255" s="1804">
        <v>20524.976009999998</v>
      </c>
      <c r="K255" s="294">
        <v>192258.1165</v>
      </c>
      <c r="L255" s="1804">
        <v>56871.677720000007</v>
      </c>
      <c r="M255" s="294">
        <v>76271.70034000001</v>
      </c>
      <c r="N255" s="1892">
        <v>110132.26977000001</v>
      </c>
      <c r="O255" s="1142">
        <v>99.193982624396043</v>
      </c>
      <c r="P255" s="61">
        <v>156311.12</v>
      </c>
      <c r="Q255" s="458">
        <v>2617842</v>
      </c>
      <c r="R255" s="505">
        <v>8564.9964452944878</v>
      </c>
      <c r="S255" s="518">
        <v>511.41519891574819</v>
      </c>
      <c r="T255" s="1675">
        <v>368847.326</v>
      </c>
      <c r="U255" s="430">
        <v>29132712.744600002</v>
      </c>
      <c r="V255" s="1675">
        <v>1713.2088739799997</v>
      </c>
      <c r="W255" s="73">
        <v>4800.3057220199998</v>
      </c>
      <c r="X255" s="1911">
        <f t="shared" si="22"/>
        <v>6513.5145959999991</v>
      </c>
      <c r="Y255" s="618">
        <v>-1.4</v>
      </c>
      <c r="AB255" s="1010"/>
    </row>
    <row r="256" spans="1:28">
      <c r="A256" s="49">
        <f t="shared" si="15"/>
        <v>2017.07</v>
      </c>
      <c r="B256" s="73">
        <v>1423154.4045500003</v>
      </c>
      <c r="C256" s="1882">
        <f t="shared" si="20"/>
        <v>952807.24783999997</v>
      </c>
      <c r="D256" s="1804">
        <v>119269.80411</v>
      </c>
      <c r="E256" s="294">
        <v>410527.34839999996</v>
      </c>
      <c r="F256" s="1804">
        <v>63940.306950000006</v>
      </c>
      <c r="G256" s="294">
        <v>153759.76209999999</v>
      </c>
      <c r="H256" s="1804">
        <v>130483.00049999999</v>
      </c>
      <c r="I256" s="294">
        <v>53689.028559999999</v>
      </c>
      <c r="J256" s="1804">
        <v>21137.997219999997</v>
      </c>
      <c r="K256" s="294">
        <v>203961.03562000001</v>
      </c>
      <c r="L256" s="1804">
        <v>58426.397520000006</v>
      </c>
      <c r="M256" s="294">
        <v>82211.313030000005</v>
      </c>
      <c r="N256" s="1892">
        <v>125748.41054</v>
      </c>
      <c r="O256" s="1142">
        <v>100.62356677931312</v>
      </c>
      <c r="P256" s="61">
        <v>156311.12</v>
      </c>
      <c r="Q256" s="458">
        <v>2675981</v>
      </c>
      <c r="R256" s="505">
        <v>9104.6267504832667</v>
      </c>
      <c r="S256" s="518">
        <v>531.82530240311871</v>
      </c>
      <c r="T256" s="1675">
        <v>366990.68300000002</v>
      </c>
      <c r="U256" s="430">
        <v>31182302.456590004</v>
      </c>
      <c r="V256" s="1675">
        <v>1704.8224605299997</v>
      </c>
      <c r="W256" s="73">
        <v>5142.4649814899994</v>
      </c>
      <c r="X256" s="1911">
        <f t="shared" si="22"/>
        <v>6847.2874420199987</v>
      </c>
      <c r="Y256" s="618">
        <v>-1.6</v>
      </c>
      <c r="AB256" s="1010"/>
    </row>
    <row r="257" spans="1:28">
      <c r="A257" s="49">
        <f t="shared" si="15"/>
        <v>2017.08</v>
      </c>
      <c r="B257" s="73">
        <v>1465183.0090900001</v>
      </c>
      <c r="C257" s="1882">
        <f t="shared" si="20"/>
        <v>963092.95671000006</v>
      </c>
      <c r="D257" s="1804">
        <v>116156.20697</v>
      </c>
      <c r="E257" s="294">
        <v>411577.99271000002</v>
      </c>
      <c r="F257" s="1804">
        <v>64121.471669999999</v>
      </c>
      <c r="G257" s="294">
        <v>159360.70360000004</v>
      </c>
      <c r="H257" s="1804">
        <v>131804.75667999999</v>
      </c>
      <c r="I257" s="294">
        <v>58569.372490000002</v>
      </c>
      <c r="J257" s="1804">
        <v>21502.452590000001</v>
      </c>
      <c r="K257" s="294">
        <v>206719.74581999998</v>
      </c>
      <c r="L257" s="1804">
        <v>47351.5164</v>
      </c>
      <c r="M257" s="294">
        <v>78675.927089999997</v>
      </c>
      <c r="N257" s="1892">
        <v>169342.86306999999</v>
      </c>
      <c r="O257" s="1142">
        <v>102.09583477328705</v>
      </c>
      <c r="P257" s="61">
        <v>156311.12</v>
      </c>
      <c r="Q257" s="458">
        <v>2607847</v>
      </c>
      <c r="R257" s="505">
        <v>9373.5046431117644</v>
      </c>
      <c r="S257" s="518">
        <v>561.83626151764281</v>
      </c>
      <c r="T257" s="1675">
        <v>391525.05200000003</v>
      </c>
      <c r="U257" s="430">
        <v>31154880.943740003</v>
      </c>
      <c r="V257" s="1675">
        <v>1826.6621233799999</v>
      </c>
      <c r="W257" s="73">
        <v>5080.8557456600001</v>
      </c>
      <c r="X257" s="1911">
        <f t="shared" si="22"/>
        <v>6907.5178690399998</v>
      </c>
      <c r="Y257" s="618">
        <v>-0.3</v>
      </c>
      <c r="AB257" s="1010"/>
    </row>
    <row r="258" spans="1:28">
      <c r="A258" s="49">
        <f t="shared" si="15"/>
        <v>2017.09</v>
      </c>
      <c r="B258" s="73">
        <v>1419047.21217</v>
      </c>
      <c r="C258" s="1882">
        <f t="shared" si="20"/>
        <v>978806.89332000003</v>
      </c>
      <c r="D258" s="1804">
        <v>124754.62273</v>
      </c>
      <c r="E258" s="294">
        <v>415542.73590999999</v>
      </c>
      <c r="F258" s="1804">
        <v>63409.798670000004</v>
      </c>
      <c r="G258" s="294">
        <v>160110.94488</v>
      </c>
      <c r="H258" s="1804">
        <v>134666.67465999999</v>
      </c>
      <c r="I258" s="294">
        <v>59192.889640000001</v>
      </c>
      <c r="J258" s="1804">
        <v>21129.226830000003</v>
      </c>
      <c r="K258" s="294">
        <v>210255.57526000001</v>
      </c>
      <c r="L258" s="1804">
        <v>43656.031820000004</v>
      </c>
      <c r="M258" s="294">
        <v>69255.735650000002</v>
      </c>
      <c r="N258" s="1892">
        <v>117072.97612000001</v>
      </c>
      <c r="O258" s="1142">
        <v>103.76971796406664</v>
      </c>
      <c r="P258" s="61">
        <v>156311.12</v>
      </c>
      <c r="Q258" s="458">
        <v>2623307</v>
      </c>
      <c r="R258" s="505">
        <v>9078.3509974850167</v>
      </c>
      <c r="S258" s="518">
        <v>540.93829360040593</v>
      </c>
      <c r="T258" s="1675">
        <v>385910.49800000002</v>
      </c>
      <c r="U258" s="430">
        <v>30521506.195270002</v>
      </c>
      <c r="V258" s="1675">
        <v>1725.81506962</v>
      </c>
      <c r="W258" s="73">
        <v>5089.9493000199991</v>
      </c>
      <c r="X258" s="1911">
        <f t="shared" si="22"/>
        <v>6815.7643696399991</v>
      </c>
      <c r="Y258" s="618">
        <v>-0.1</v>
      </c>
      <c r="AB258" s="1010"/>
    </row>
    <row r="259" spans="1:28">
      <c r="A259" s="49">
        <f t="shared" si="15"/>
        <v>2017.1</v>
      </c>
      <c r="B259" s="73">
        <v>1485668.29749</v>
      </c>
      <c r="C259" s="1882">
        <f t="shared" si="20"/>
        <v>997549.61162999994</v>
      </c>
      <c r="D259" s="1804">
        <v>138001.85715</v>
      </c>
      <c r="E259" s="294">
        <v>418735.01318999997</v>
      </c>
      <c r="F259" s="1804">
        <v>62952.737310000004</v>
      </c>
      <c r="G259" s="294">
        <v>158989.58729999998</v>
      </c>
      <c r="H259" s="1804">
        <v>135622.83580999999</v>
      </c>
      <c r="I259" s="294">
        <v>61665.654129999995</v>
      </c>
      <c r="J259" s="1804">
        <v>21581.926740000003</v>
      </c>
      <c r="K259" s="294">
        <v>214954.66504000002</v>
      </c>
      <c r="L259" s="1804">
        <v>51166.581879999998</v>
      </c>
      <c r="M259" s="294">
        <v>97114.938510000007</v>
      </c>
      <c r="N259" s="1892">
        <v>124882.50043</v>
      </c>
      <c r="O259" s="1142">
        <v>104.90007451560575</v>
      </c>
      <c r="P259" s="61">
        <v>156311.12</v>
      </c>
      <c r="Q259" s="458">
        <v>2696097</v>
      </c>
      <c r="R259" s="505">
        <v>9504.5592245132666</v>
      </c>
      <c r="S259" s="518">
        <v>551.04408242359239</v>
      </c>
      <c r="T259" s="1675">
        <v>465759.10129000002</v>
      </c>
      <c r="U259" s="430">
        <v>32445983.013929997</v>
      </c>
      <c r="V259" s="1675">
        <v>1933.1918727199998</v>
      </c>
      <c r="W259" s="73">
        <v>4919.1451864399987</v>
      </c>
      <c r="X259" s="1911">
        <f t="shared" si="22"/>
        <v>6852.3370591599987</v>
      </c>
      <c r="Y259" s="618">
        <v>1.6</v>
      </c>
      <c r="AB259" s="1010"/>
    </row>
    <row r="260" spans="1:28">
      <c r="A260" s="49">
        <f t="shared" si="15"/>
        <v>2017.11</v>
      </c>
      <c r="B260" s="73">
        <v>1550289.1587799999</v>
      </c>
      <c r="C260" s="1882">
        <f t="shared" si="20"/>
        <v>1006179.19867</v>
      </c>
      <c r="D260" s="1804">
        <v>151673.37862999999</v>
      </c>
      <c r="E260" s="294">
        <v>410328.88712999999</v>
      </c>
      <c r="F260" s="1804">
        <v>61705.561670000003</v>
      </c>
      <c r="G260" s="294">
        <v>157349.54717999997</v>
      </c>
      <c r="H260" s="1804">
        <v>136461.12549000001</v>
      </c>
      <c r="I260" s="294">
        <v>66806.232310000007</v>
      </c>
      <c r="J260" s="1804">
        <v>21854.466259999997</v>
      </c>
      <c r="K260" s="294">
        <v>222511.88024</v>
      </c>
      <c r="L260" s="1804">
        <v>51286.246180000002</v>
      </c>
      <c r="M260" s="294">
        <v>105244.57584999999</v>
      </c>
      <c r="N260" s="1892">
        <v>165067.25784000001</v>
      </c>
      <c r="O260" s="1142">
        <v>106.20554658569938</v>
      </c>
      <c r="P260" s="61">
        <v>156311.12</v>
      </c>
      <c r="Q260" s="458">
        <v>2695204</v>
      </c>
      <c r="R260" s="505">
        <v>9917.9710233027563</v>
      </c>
      <c r="S260" s="518">
        <v>575.20290070065198</v>
      </c>
      <c r="T260" s="1675">
        <v>506594.70549000002</v>
      </c>
      <c r="U260" s="430">
        <v>33628982.657100014</v>
      </c>
      <c r="V260" s="1675">
        <v>2007.5665038000002</v>
      </c>
      <c r="W260" s="73">
        <v>5305.9960235300005</v>
      </c>
      <c r="X260" s="1911">
        <f t="shared" si="22"/>
        <v>7313.5625273300011</v>
      </c>
      <c r="Y260" s="618">
        <v>0.4</v>
      </c>
      <c r="AB260" s="1010"/>
    </row>
    <row r="261" spans="1:28">
      <c r="A261" s="49">
        <f t="shared" si="15"/>
        <v>2017.12</v>
      </c>
      <c r="B261" s="73">
        <v>1987564.6217299998</v>
      </c>
      <c r="C261" s="1882">
        <f t="shared" si="20"/>
        <v>1272338.6379099998</v>
      </c>
      <c r="D261" s="1804">
        <v>246211.52908000001</v>
      </c>
      <c r="E261" s="294">
        <v>522294.91211999994</v>
      </c>
      <c r="F261" s="1804">
        <v>76218.006680000006</v>
      </c>
      <c r="G261" s="294">
        <v>160236.81962999995</v>
      </c>
      <c r="H261" s="1804">
        <v>163751.15152999997</v>
      </c>
      <c r="I261" s="294">
        <v>76300.08736000002</v>
      </c>
      <c r="J261" s="1804">
        <v>27326.131509999999</v>
      </c>
      <c r="K261" s="294">
        <v>245189.31292000003</v>
      </c>
      <c r="L261" s="1804">
        <v>77262.605930000005</v>
      </c>
      <c r="M261" s="294">
        <v>119459.2583</v>
      </c>
      <c r="N261" s="1892">
        <v>273314.80666999996</v>
      </c>
      <c r="O261" s="1142">
        <v>107.36998904437722</v>
      </c>
      <c r="P261" s="61">
        <v>156311.12</v>
      </c>
      <c r="Q261" s="458">
        <v>2954363</v>
      </c>
      <c r="R261" s="505">
        <v>12715.439705953102</v>
      </c>
      <c r="S261" s="518">
        <v>672.75572491599712</v>
      </c>
      <c r="T261" s="1675">
        <v>446036.8247</v>
      </c>
      <c r="U261" s="430">
        <v>40766322.1043</v>
      </c>
      <c r="V261" s="1675">
        <v>2216.5160530499998</v>
      </c>
      <c r="W261" s="73">
        <v>6175.541868119999</v>
      </c>
      <c r="X261" s="1911">
        <f t="shared" si="22"/>
        <v>8392.0579211699987</v>
      </c>
      <c r="Y261" s="618">
        <v>1.1000000000000001</v>
      </c>
      <c r="AB261" s="1010"/>
    </row>
    <row r="262" spans="1:28">
      <c r="A262" s="49">
        <f t="shared" si="15"/>
        <v>2018.01</v>
      </c>
      <c r="B262" s="73">
        <v>1552347.3769499997</v>
      </c>
      <c r="C262" s="1882">
        <f t="shared" si="20"/>
        <v>1009339.9755399999</v>
      </c>
      <c r="D262" s="1804">
        <v>149820.16422000001</v>
      </c>
      <c r="E262" s="294">
        <v>408789.96645999997</v>
      </c>
      <c r="F262" s="1804">
        <v>61548.30904</v>
      </c>
      <c r="G262" s="294">
        <v>150514.79412000001</v>
      </c>
      <c r="H262" s="1804">
        <v>141898.44667999999</v>
      </c>
      <c r="I262" s="294">
        <v>73990.675069999998</v>
      </c>
      <c r="J262" s="1804">
        <v>22777.619950000004</v>
      </c>
      <c r="K262" s="294">
        <v>229497.54156000001</v>
      </c>
      <c r="L262" s="1804">
        <v>54552.686550000006</v>
      </c>
      <c r="M262" s="294">
        <v>86516.176829999997</v>
      </c>
      <c r="N262" s="1892">
        <v>172440.99646999995</v>
      </c>
      <c r="O262" s="1142">
        <v>109.05244919066261</v>
      </c>
      <c r="P262" s="61">
        <v>156311.12</v>
      </c>
      <c r="Q262" s="458">
        <v>2693016</v>
      </c>
      <c r="R262" s="505">
        <v>9931.138468907393</v>
      </c>
      <c r="S262" s="518">
        <v>576.4345168948123</v>
      </c>
      <c r="T262" s="1675">
        <v>376100.14957999991</v>
      </c>
      <c r="U262" s="430">
        <v>32479208.005569991</v>
      </c>
      <c r="V262" s="1675">
        <v>1865.9030468999999</v>
      </c>
      <c r="W262" s="73">
        <v>5019.9119275000003</v>
      </c>
      <c r="X262" s="1911">
        <f t="shared" si="22"/>
        <v>6885.8149744000002</v>
      </c>
      <c r="Y262" s="618">
        <v>-1</v>
      </c>
      <c r="AB262" s="1010"/>
    </row>
    <row r="263" spans="1:28">
      <c r="A263" s="49">
        <f t="shared" si="15"/>
        <v>2018.02</v>
      </c>
      <c r="B263" s="73">
        <v>1513562.2684000002</v>
      </c>
      <c r="C263" s="1882">
        <f t="shared" si="20"/>
        <v>1004486.74867</v>
      </c>
      <c r="D263" s="1804">
        <v>153979.16336999999</v>
      </c>
      <c r="E263" s="294">
        <v>395790.2109699999</v>
      </c>
      <c r="F263" s="1804">
        <v>62189.504249999998</v>
      </c>
      <c r="G263" s="294">
        <v>150926.78338000001</v>
      </c>
      <c r="H263" s="1804">
        <v>145915.05017</v>
      </c>
      <c r="I263" s="294">
        <v>73115.837220000001</v>
      </c>
      <c r="J263" s="1804">
        <v>22570.199310000004</v>
      </c>
      <c r="K263" s="294">
        <v>217805.99664</v>
      </c>
      <c r="L263" s="1804">
        <v>53136.09474</v>
      </c>
      <c r="M263" s="294">
        <v>76843.855229999986</v>
      </c>
      <c r="N263" s="1892">
        <v>161289.57312000002</v>
      </c>
      <c r="O263" s="1142">
        <v>111.07159098136496</v>
      </c>
      <c r="P263" s="61">
        <v>156311.12</v>
      </c>
      <c r="Q263" s="458">
        <v>2629040</v>
      </c>
      <c r="R263" s="505">
        <v>9683.0108337781712</v>
      </c>
      <c r="S263" s="518">
        <v>575.70910613760145</v>
      </c>
      <c r="T263" s="1675">
        <v>379379.71863999998</v>
      </c>
      <c r="U263" s="430">
        <v>31736824.552140001</v>
      </c>
      <c r="V263" s="1675">
        <v>1697.3821928500001</v>
      </c>
      <c r="W263" s="73">
        <v>4902.5376153900006</v>
      </c>
      <c r="X263" s="1911">
        <f t="shared" si="22"/>
        <v>6599.9198082400007</v>
      </c>
      <c r="Y263" s="618">
        <v>-1.5</v>
      </c>
      <c r="AB263" s="1010"/>
    </row>
    <row r="264" spans="1:28">
      <c r="A264" s="49">
        <f t="shared" si="15"/>
        <v>2018.03</v>
      </c>
      <c r="B264" s="73">
        <v>1770222.9038799999</v>
      </c>
      <c r="C264" s="1882">
        <f t="shared" si="20"/>
        <v>1227378.1749</v>
      </c>
      <c r="D264" s="1804">
        <v>170808.58761000002</v>
      </c>
      <c r="E264" s="294">
        <v>515359.49125999998</v>
      </c>
      <c r="F264" s="1804">
        <v>83146.575930000006</v>
      </c>
      <c r="G264" s="294">
        <v>180276.12297999999</v>
      </c>
      <c r="H264" s="1804">
        <v>172309.6931</v>
      </c>
      <c r="I264" s="294">
        <v>79169.508879999979</v>
      </c>
      <c r="J264" s="1804">
        <v>26308.19514</v>
      </c>
      <c r="K264" s="294">
        <v>250838.10420000003</v>
      </c>
      <c r="L264" s="1804">
        <v>54659.257199999993</v>
      </c>
      <c r="M264" s="294">
        <v>88641.654819999996</v>
      </c>
      <c r="N264" s="1892">
        <v>148705.71275999997</v>
      </c>
      <c r="O264" s="1142">
        <v>113.68601079602615</v>
      </c>
      <c r="P264" s="61">
        <v>156311.12</v>
      </c>
      <c r="Q264" s="458">
        <v>2995251</v>
      </c>
      <c r="R264" s="505">
        <v>11324.996608558622</v>
      </c>
      <c r="S264" s="518">
        <v>591.00986991741252</v>
      </c>
      <c r="T264" s="1675">
        <v>475878.27402999997</v>
      </c>
      <c r="U264" s="430">
        <v>36531291.32867001</v>
      </c>
      <c r="V264" s="1675">
        <v>1986.3718478300002</v>
      </c>
      <c r="W264" s="73">
        <v>5867.5657126901106</v>
      </c>
      <c r="X264" s="1911">
        <f t="shared" si="22"/>
        <v>7853.9375605201112</v>
      </c>
      <c r="Y264" s="618">
        <v>-2</v>
      </c>
      <c r="AB264" s="1010"/>
    </row>
    <row r="265" spans="1:28">
      <c r="A265" s="49">
        <f t="shared" si="15"/>
        <v>2018.04</v>
      </c>
      <c r="B265" s="73">
        <v>1670903.1179799999</v>
      </c>
      <c r="C265" s="1882">
        <f t="shared" si="20"/>
        <v>1152622.03314</v>
      </c>
      <c r="D265" s="1804">
        <v>155442.52982999998</v>
      </c>
      <c r="E265" s="294">
        <v>493776.75868000003</v>
      </c>
      <c r="F265" s="1804">
        <v>70938.348440000016</v>
      </c>
      <c r="G265" s="294">
        <v>171614.68138000002</v>
      </c>
      <c r="H265" s="1804">
        <v>165364.70110000001</v>
      </c>
      <c r="I265" s="294">
        <v>70927.68161</v>
      </c>
      <c r="J265" s="1804">
        <v>24557.332099999996</v>
      </c>
      <c r="K265" s="294">
        <v>240697.42375999998</v>
      </c>
      <c r="L265" s="1804">
        <v>54220.556099999994</v>
      </c>
      <c r="M265" s="294">
        <v>90256.442219999997</v>
      </c>
      <c r="N265" s="1892">
        <v>133106.66276000001</v>
      </c>
      <c r="O265" s="1142">
        <v>115.87201520836852</v>
      </c>
      <c r="P265" s="61">
        <v>156311.12</v>
      </c>
      <c r="Q265" s="458">
        <v>2781655</v>
      </c>
      <c r="R265" s="505">
        <v>10689.598526195705</v>
      </c>
      <c r="S265" s="518">
        <v>600.68668399927378</v>
      </c>
      <c r="T265" s="1675">
        <v>491474.68862000003</v>
      </c>
      <c r="U265" s="430">
        <v>34113745.666800007</v>
      </c>
      <c r="V265" s="1675">
        <v>1924.4916181349997</v>
      </c>
      <c r="W265" s="73">
        <v>5545.5208673199995</v>
      </c>
      <c r="X265" s="1911">
        <f t="shared" si="22"/>
        <v>7470.0124854549995</v>
      </c>
      <c r="Y265" s="618">
        <v>-3</v>
      </c>
      <c r="AB265" s="1010"/>
    </row>
    <row r="266" spans="1:28">
      <c r="A266" s="49">
        <f t="shared" si="15"/>
        <v>2018.05</v>
      </c>
      <c r="B266" s="73">
        <v>1728427.3989800001</v>
      </c>
      <c r="C266" s="1882">
        <f t="shared" si="20"/>
        <v>1148937.0342300001</v>
      </c>
      <c r="D266" s="1804">
        <v>140983.0061</v>
      </c>
      <c r="E266" s="294">
        <v>491223.89264999999</v>
      </c>
      <c r="F266" s="1804">
        <v>75565.605429999996</v>
      </c>
      <c r="G266" s="294">
        <v>176161.70370999997</v>
      </c>
      <c r="H266" s="1804">
        <v>170349.11853000001</v>
      </c>
      <c r="I266" s="294">
        <v>69994.132640000011</v>
      </c>
      <c r="J266" s="1804">
        <v>24659.57517</v>
      </c>
      <c r="K266" s="294">
        <v>237537.69398000001</v>
      </c>
      <c r="L266" s="1804">
        <v>72651.490279999998</v>
      </c>
      <c r="M266" s="294">
        <v>136531.87840000002</v>
      </c>
      <c r="N266" s="1892">
        <v>132769.30209000001</v>
      </c>
      <c r="O266" s="1142">
        <v>119.33014417601299</v>
      </c>
      <c r="P266" s="61">
        <v>156311.12</v>
      </c>
      <c r="Q266" s="458">
        <v>2786736</v>
      </c>
      <c r="R266" s="505">
        <v>11057.609970295141</v>
      </c>
      <c r="S266" s="518">
        <v>620.23363496936929</v>
      </c>
      <c r="T266" s="1675">
        <v>725754.79768999992</v>
      </c>
      <c r="U266" s="430">
        <v>35133146.391280003</v>
      </c>
      <c r="V266" s="1675">
        <v>2056.51058775</v>
      </c>
      <c r="W266" s="73">
        <v>5887.4721893600008</v>
      </c>
      <c r="X266" s="1911">
        <f t="shared" si="22"/>
        <v>7943.9827771100008</v>
      </c>
      <c r="Y266" s="618">
        <v>-4.8</v>
      </c>
      <c r="AB266" s="1010"/>
    </row>
    <row r="267" spans="1:28">
      <c r="A267" s="49">
        <f t="shared" si="15"/>
        <v>2018.06</v>
      </c>
      <c r="B267" s="73">
        <v>1904393.3761199997</v>
      </c>
      <c r="C267" s="1882">
        <f t="shared" si="20"/>
        <v>1268405.4488499998</v>
      </c>
      <c r="D267" s="1804">
        <v>160053.81365</v>
      </c>
      <c r="E267" s="294">
        <v>553212.94030999998</v>
      </c>
      <c r="F267" s="1804">
        <v>83855.418930000014</v>
      </c>
      <c r="G267" s="294">
        <v>185583.16232</v>
      </c>
      <c r="H267" s="1804">
        <v>187455.28506999998</v>
      </c>
      <c r="I267" s="294">
        <v>72199.247820000004</v>
      </c>
      <c r="J267" s="1804">
        <v>26045.580750000001</v>
      </c>
      <c r="K267" s="294">
        <v>251587.45285000003</v>
      </c>
      <c r="L267" s="1804">
        <v>91212.508100000006</v>
      </c>
      <c r="M267" s="294">
        <v>147091.37793000002</v>
      </c>
      <c r="N267" s="1892">
        <v>146096.58839000002</v>
      </c>
      <c r="O267" s="1142">
        <v>125.30730560824901</v>
      </c>
      <c r="P267" s="61">
        <v>156311.12</v>
      </c>
      <c r="Q267" s="458">
        <v>2901257</v>
      </c>
      <c r="R267" s="505">
        <v>12183.351869783801</v>
      </c>
      <c r="S267" s="518">
        <v>656.40285439035563</v>
      </c>
      <c r="T267" s="1675">
        <v>593413.63629000005</v>
      </c>
      <c r="U267" s="430">
        <v>38338209.745659962</v>
      </c>
      <c r="V267" s="1675">
        <v>1955.7087632100004</v>
      </c>
      <c r="W267" s="73">
        <v>6197.4428586799995</v>
      </c>
      <c r="X267" s="1911">
        <f t="shared" si="22"/>
        <v>8153.1516218899997</v>
      </c>
      <c r="Y267" s="618">
        <v>-4.2</v>
      </c>
      <c r="AB267" s="1010"/>
    </row>
    <row r="268" spans="1:28">
      <c r="A268" s="49">
        <f t="shared" si="15"/>
        <v>2018.07</v>
      </c>
      <c r="B268" s="73">
        <v>1921431.6874399995</v>
      </c>
      <c r="C268" s="1882">
        <f t="shared" si="20"/>
        <v>1300000.7097199997</v>
      </c>
      <c r="D268" s="1804">
        <v>157279.89820999998</v>
      </c>
      <c r="E268" s="294">
        <v>571582.94702999992</v>
      </c>
      <c r="F268" s="1804">
        <v>87268.53701</v>
      </c>
      <c r="G268" s="294">
        <v>190404.58968</v>
      </c>
      <c r="H268" s="1804">
        <v>190126.45342999999</v>
      </c>
      <c r="I268" s="294">
        <v>76344.803189999977</v>
      </c>
      <c r="J268" s="1804">
        <v>26993.481170000003</v>
      </c>
      <c r="K268" s="294">
        <v>260301.68148000003</v>
      </c>
      <c r="L268" s="1804">
        <v>89519.466169999985</v>
      </c>
      <c r="M268" s="294">
        <v>98322.263699999981</v>
      </c>
      <c r="N268" s="1892">
        <v>173287.56637000002</v>
      </c>
      <c r="O268" s="1142">
        <v>130.43423991133739</v>
      </c>
      <c r="P268" s="61">
        <v>156311.12</v>
      </c>
      <c r="Q268" s="458">
        <v>2925319</v>
      </c>
      <c r="R268" s="505">
        <v>12292.354423920704</v>
      </c>
      <c r="S268" s="518">
        <v>656.82808864264041</v>
      </c>
      <c r="T268" s="1675">
        <v>581799.05618999992</v>
      </c>
      <c r="U268" s="430">
        <v>39278449.962639973</v>
      </c>
      <c r="V268" s="1675">
        <v>2130.77775023</v>
      </c>
      <c r="W268" s="73">
        <v>6667.1704899399992</v>
      </c>
      <c r="X268" s="1911">
        <f t="shared" si="22"/>
        <v>8797.9482401699988</v>
      </c>
      <c r="Y268" s="618">
        <v>-5.8</v>
      </c>
      <c r="AB268" s="1010"/>
    </row>
    <row r="269" spans="1:28">
      <c r="A269" s="49">
        <f t="shared" si="15"/>
        <v>2018.08</v>
      </c>
      <c r="B269" s="73">
        <v>1946379.8117400003</v>
      </c>
      <c r="C269" s="1882">
        <f t="shared" si="20"/>
        <v>1326724.8311400001</v>
      </c>
      <c r="D269" s="1804">
        <v>157609.52716</v>
      </c>
      <c r="E269" s="294">
        <v>580469.23326999997</v>
      </c>
      <c r="F269" s="1804">
        <v>87346.872230000008</v>
      </c>
      <c r="G269" s="294">
        <v>195796.50706999999</v>
      </c>
      <c r="H269" s="1804">
        <v>198554.42876000001</v>
      </c>
      <c r="I269" s="294">
        <v>79330.372690000004</v>
      </c>
      <c r="J269" s="1804">
        <v>27617.889959999997</v>
      </c>
      <c r="K269" s="294">
        <v>260848.90389999998</v>
      </c>
      <c r="L269" s="1804">
        <v>63769.48425999999</v>
      </c>
      <c r="M269" s="294">
        <v>84470.424299999999</v>
      </c>
      <c r="N269" s="1892">
        <v>210566.16813999999</v>
      </c>
      <c r="O269" s="1142">
        <v>134.96835220747744</v>
      </c>
      <c r="P269" s="61">
        <v>156311.12</v>
      </c>
      <c r="Q269" s="458">
        <v>2927716</v>
      </c>
      <c r="R269" s="505">
        <v>12451.959986851862</v>
      </c>
      <c r="S269" s="518">
        <v>664.81168656386058</v>
      </c>
      <c r="T269" s="1675">
        <v>639204.78983999998</v>
      </c>
      <c r="U269" s="430">
        <v>39491907.274199978</v>
      </c>
      <c r="V269" s="1675">
        <v>2293.64512311</v>
      </c>
      <c r="W269" s="73">
        <v>6587.8562538599999</v>
      </c>
      <c r="X269" s="1911">
        <f t="shared" si="22"/>
        <v>8881.5013769699999</v>
      </c>
      <c r="Y269" s="618">
        <v>-8</v>
      </c>
      <c r="AB269" s="1010"/>
    </row>
    <row r="270" spans="1:28">
      <c r="A270" s="49">
        <f t="shared" ref="A270:A333" si="23">A258+1</f>
        <v>2018.09</v>
      </c>
      <c r="B270" s="73">
        <v>1862865.90056</v>
      </c>
      <c r="C270" s="1882">
        <f t="shared" si="20"/>
        <v>1322041.1811799998</v>
      </c>
      <c r="D270" s="1804">
        <v>172776.23452999996</v>
      </c>
      <c r="E270" s="294">
        <v>560288.96996000002</v>
      </c>
      <c r="F270" s="1804">
        <v>85129.795920000019</v>
      </c>
      <c r="G270" s="294">
        <v>196920.83022</v>
      </c>
      <c r="H270" s="1804">
        <v>203150.69479999997</v>
      </c>
      <c r="I270" s="294">
        <v>76453.761280000006</v>
      </c>
      <c r="J270" s="1804">
        <v>27320.894469999999</v>
      </c>
      <c r="K270" s="294">
        <v>277552.52166000003</v>
      </c>
      <c r="L270" s="1804">
        <v>47648.29127999999</v>
      </c>
      <c r="M270" s="294">
        <v>75561.80898999999</v>
      </c>
      <c r="N270" s="1892">
        <v>140062.09745</v>
      </c>
      <c r="O270" s="1142">
        <v>147.43160445924593</v>
      </c>
      <c r="P270" s="61">
        <v>156311.12</v>
      </c>
      <c r="Q270" s="458">
        <v>2806675</v>
      </c>
      <c r="R270" s="505">
        <v>11917.679948553885</v>
      </c>
      <c r="S270" s="518">
        <v>663.72697250661372</v>
      </c>
      <c r="T270" s="1675">
        <v>612546.82256999996</v>
      </c>
      <c r="U270" s="430">
        <v>39925548.997549988</v>
      </c>
      <c r="V270" s="1675">
        <v>2558.4935904300009</v>
      </c>
      <c r="W270" s="73">
        <v>6228.74240388</v>
      </c>
      <c r="X270" s="1911">
        <f t="shared" si="22"/>
        <v>8787.2359943100018</v>
      </c>
      <c r="Y270" s="618">
        <v>-8.1999999999999993</v>
      </c>
      <c r="AB270" s="1010"/>
    </row>
    <row r="271" spans="1:28">
      <c r="A271" s="49">
        <f t="shared" si="23"/>
        <v>2018.1</v>
      </c>
      <c r="B271" s="73">
        <v>2048284.0582099997</v>
      </c>
      <c r="C271" s="1882">
        <f t="shared" si="20"/>
        <v>1435064.53247</v>
      </c>
      <c r="D271" s="1804">
        <v>189818.97448000003</v>
      </c>
      <c r="E271" s="294">
        <v>611068.51389000006</v>
      </c>
      <c r="F271" s="1804">
        <v>91701.639489999987</v>
      </c>
      <c r="G271" s="294">
        <v>208547.587</v>
      </c>
      <c r="H271" s="1804">
        <v>219085.17128000001</v>
      </c>
      <c r="I271" s="294">
        <v>85889.127379999976</v>
      </c>
      <c r="J271" s="1804">
        <v>28953.518950000001</v>
      </c>
      <c r="K271" s="294">
        <v>303345.52841999993</v>
      </c>
      <c r="L271" s="1804">
        <v>58985.812809999996</v>
      </c>
      <c r="M271" s="294">
        <v>93138.983720000004</v>
      </c>
      <c r="N271" s="1892">
        <v>157749.20079</v>
      </c>
      <c r="O271" s="1142">
        <v>155.85076582551284</v>
      </c>
      <c r="P271" s="61">
        <v>156311.12</v>
      </c>
      <c r="Q271" s="458">
        <v>2941357</v>
      </c>
      <c r="R271" s="505">
        <v>13103.89214925976</v>
      </c>
      <c r="S271" s="518">
        <v>696.373836365324</v>
      </c>
      <c r="T271" s="1675">
        <v>773767.11679999996</v>
      </c>
      <c r="U271" s="430">
        <v>43420253.822479993</v>
      </c>
      <c r="V271" s="1675">
        <v>3054.7745219330004</v>
      </c>
      <c r="W271" s="73">
        <v>6825.8870005099989</v>
      </c>
      <c r="X271" s="1911">
        <f t="shared" si="22"/>
        <v>9880.6615224429988</v>
      </c>
      <c r="Y271" s="618">
        <v>-9.4</v>
      </c>
      <c r="AB271" s="1010"/>
    </row>
    <row r="272" spans="1:28">
      <c r="A272" s="49">
        <f t="shared" si="23"/>
        <v>2018.11</v>
      </c>
      <c r="B272" s="73">
        <v>2107533.5497499998</v>
      </c>
      <c r="C272" s="1882">
        <f t="shared" si="20"/>
        <v>1456502.5048699998</v>
      </c>
      <c r="D272" s="1804">
        <v>214993.24311000001</v>
      </c>
      <c r="E272" s="294">
        <v>602041.02617999993</v>
      </c>
      <c r="F272" s="1804">
        <v>91511.227000000014</v>
      </c>
      <c r="G272" s="294">
        <v>208111.17934999999</v>
      </c>
      <c r="H272" s="1804">
        <v>220748.10188000003</v>
      </c>
      <c r="I272" s="294">
        <v>90497.410369999998</v>
      </c>
      <c r="J272" s="1804">
        <v>28600.31698</v>
      </c>
      <c r="K272" s="294">
        <v>317459.89948999998</v>
      </c>
      <c r="L272" s="1804">
        <v>58756.608650000009</v>
      </c>
      <c r="M272" s="294">
        <v>92581.561029999997</v>
      </c>
      <c r="N272" s="1892">
        <v>182232.97570999997</v>
      </c>
      <c r="O272" s="1142">
        <v>161.74872152431271</v>
      </c>
      <c r="P272" s="61">
        <v>156311.12</v>
      </c>
      <c r="Q272" s="458">
        <v>2870876</v>
      </c>
      <c r="R272" s="505">
        <v>13482.940623482193</v>
      </c>
      <c r="S272" s="518">
        <v>734.10817804391399</v>
      </c>
      <c r="T272" s="1675">
        <v>772485.21409000002</v>
      </c>
      <c r="U272" s="430">
        <v>44849446.006039977</v>
      </c>
      <c r="V272" s="1675">
        <v>3199.6928330100004</v>
      </c>
      <c r="W272" s="73">
        <v>7040.8669075800008</v>
      </c>
      <c r="X272" s="1911">
        <f t="shared" si="22"/>
        <v>10240.559740590001</v>
      </c>
      <c r="Y272" s="618">
        <v>-15.6</v>
      </c>
      <c r="AB272" s="1010"/>
    </row>
    <row r="273" spans="1:28">
      <c r="A273" s="49">
        <f t="shared" si="23"/>
        <v>2018.12</v>
      </c>
      <c r="B273" s="73">
        <v>2821576.9605600005</v>
      </c>
      <c r="C273" s="1882">
        <f t="shared" si="20"/>
        <v>1876986.5346100004</v>
      </c>
      <c r="D273" s="1804">
        <v>364005.65912999999</v>
      </c>
      <c r="E273" s="294">
        <v>775102.01740000001</v>
      </c>
      <c r="F273" s="1804">
        <v>116773.63015000001</v>
      </c>
      <c r="G273" s="294">
        <v>220395.84070000003</v>
      </c>
      <c r="H273" s="1804">
        <v>264270.47832999995</v>
      </c>
      <c r="I273" s="294">
        <v>100687.27509000001</v>
      </c>
      <c r="J273" s="1804">
        <v>35751.633809999999</v>
      </c>
      <c r="K273" s="294">
        <v>366420.97102</v>
      </c>
      <c r="L273" s="1804">
        <v>101972.48903</v>
      </c>
      <c r="M273" s="294">
        <v>118428.85342</v>
      </c>
      <c r="N273" s="1892">
        <v>357768.11247999995</v>
      </c>
      <c r="O273" s="1142">
        <v>164.93011282049824</v>
      </c>
      <c r="P273" s="61">
        <v>156972.12</v>
      </c>
      <c r="Q273" s="458">
        <v>3160029</v>
      </c>
      <c r="R273" s="505">
        <v>17975.01977140909</v>
      </c>
      <c r="S273" s="518">
        <v>892.89590714515612</v>
      </c>
      <c r="T273" s="1675">
        <v>751599.44123</v>
      </c>
      <c r="U273" s="430">
        <v>57203955.863619991</v>
      </c>
      <c r="V273" s="1675">
        <v>3681.3600485399998</v>
      </c>
      <c r="W273" s="73">
        <v>8526.4403698299993</v>
      </c>
      <c r="X273" s="1911">
        <f t="shared" si="22"/>
        <v>12207.80041837</v>
      </c>
      <c r="Y273" s="618">
        <v>-9.9</v>
      </c>
      <c r="AB273" s="1010"/>
    </row>
    <row r="274" spans="1:28">
      <c r="A274" s="49">
        <f t="shared" si="23"/>
        <v>2019.01</v>
      </c>
      <c r="B274" s="73">
        <v>2180110.5885999999</v>
      </c>
      <c r="C274" s="1882">
        <f t="shared" si="20"/>
        <v>1447912.0562100001</v>
      </c>
      <c r="D274" s="1804">
        <v>206227.99755</v>
      </c>
      <c r="E274" s="294">
        <v>586974.33633000008</v>
      </c>
      <c r="F274" s="1804">
        <v>92537.866810000007</v>
      </c>
      <c r="G274" s="294">
        <v>209357.02119</v>
      </c>
      <c r="H274" s="1804">
        <v>227667.80035999996</v>
      </c>
      <c r="I274" s="294">
        <v>94689.517130000007</v>
      </c>
      <c r="J274" s="1804">
        <v>30457.516840000004</v>
      </c>
      <c r="K274" s="294">
        <v>345493.13579000003</v>
      </c>
      <c r="L274" s="1804">
        <v>79819.05879000001</v>
      </c>
      <c r="M274" s="294">
        <v>92372.792760000011</v>
      </c>
      <c r="N274" s="1892">
        <v>214513.54505000002</v>
      </c>
      <c r="O274" s="1142">
        <v>170.73514928656965</v>
      </c>
      <c r="P274" s="61">
        <v>156972.12</v>
      </c>
      <c r="Q274" s="458">
        <v>5263434</v>
      </c>
      <c r="R274" s="505">
        <v>13888.521022714098</v>
      </c>
      <c r="S274" s="518">
        <v>414.19928293961698</v>
      </c>
      <c r="T274" s="1675">
        <v>693048.47042999999</v>
      </c>
      <c r="U274" s="430">
        <v>45433623.712059997</v>
      </c>
      <c r="V274" s="1675">
        <v>3399.9400030399997</v>
      </c>
      <c r="W274" s="73">
        <v>6886.6315978599996</v>
      </c>
      <c r="X274" s="1911">
        <f t="shared" si="22"/>
        <v>10286.571600899999</v>
      </c>
      <c r="Y274" s="618">
        <v>-10</v>
      </c>
      <c r="AB274" s="1010"/>
    </row>
    <row r="275" spans="1:28">
      <c r="A275" s="49">
        <f t="shared" si="23"/>
        <v>2019.02</v>
      </c>
      <c r="B275" s="73">
        <v>2146122.1786722206</v>
      </c>
      <c r="C275" s="1882">
        <f t="shared" si="20"/>
        <v>1474157.5961600002</v>
      </c>
      <c r="D275" s="1804">
        <v>212631.34306000001</v>
      </c>
      <c r="E275" s="294">
        <v>585456.8899999999</v>
      </c>
      <c r="F275" s="1804">
        <v>91279.745259999996</v>
      </c>
      <c r="G275" s="294">
        <v>211560.47924000002</v>
      </c>
      <c r="H275" s="1804">
        <v>246253.08305000002</v>
      </c>
      <c r="I275" s="294">
        <v>96849.561589999983</v>
      </c>
      <c r="J275" s="1804">
        <v>30126.49396</v>
      </c>
      <c r="K275" s="294">
        <v>323597.80483000004</v>
      </c>
      <c r="L275" s="1804">
        <v>60416.719149999997</v>
      </c>
      <c r="M275" s="294">
        <v>84056.575599999996</v>
      </c>
      <c r="N275" s="1892">
        <v>203893.48293222004</v>
      </c>
      <c r="O275" s="1142">
        <v>177.58386636899735</v>
      </c>
      <c r="P275" s="61">
        <v>157784.12</v>
      </c>
      <c r="Q275" s="458">
        <v>2723141</v>
      </c>
      <c r="R275" s="505">
        <v>13601.636075114657</v>
      </c>
      <c r="S275" s="518">
        <v>788.10541895268</v>
      </c>
      <c r="T275" s="1675">
        <v>677957.83977999992</v>
      </c>
      <c r="U275" s="430">
        <v>44592144.895340025</v>
      </c>
      <c r="V275" s="1675">
        <v>3071.6627410699998</v>
      </c>
      <c r="W275" s="73">
        <v>7043.1661565599989</v>
      </c>
      <c r="X275" s="1911">
        <f t="shared" si="22"/>
        <v>10114.828897629999</v>
      </c>
      <c r="Y275" s="618">
        <v>-11.9</v>
      </c>
      <c r="AB275" s="1010"/>
    </row>
    <row r="276" spans="1:28">
      <c r="A276" s="49">
        <f t="shared" si="23"/>
        <v>2019.03</v>
      </c>
      <c r="B276" s="73">
        <v>2497845.4540399997</v>
      </c>
      <c r="C276" s="1882">
        <f t="shared" si="20"/>
        <v>1757534.5616899999</v>
      </c>
      <c r="D276" s="1804">
        <v>219654.26153999998</v>
      </c>
      <c r="E276" s="294">
        <v>706392.03268000006</v>
      </c>
      <c r="F276" s="1804">
        <v>110455.57655</v>
      </c>
      <c r="G276" s="294">
        <v>260253.63083999997</v>
      </c>
      <c r="H276" s="1804">
        <v>320057.34735999996</v>
      </c>
      <c r="I276" s="294">
        <v>105496.69359</v>
      </c>
      <c r="J276" s="1804">
        <v>35225.019130000001</v>
      </c>
      <c r="K276" s="294">
        <v>365706.10683999996</v>
      </c>
      <c r="L276" s="1804">
        <v>73545.404689999996</v>
      </c>
      <c r="M276" s="294">
        <v>86821.975010000009</v>
      </c>
      <c r="N276" s="1892">
        <v>214237.40581</v>
      </c>
      <c r="O276" s="1142">
        <v>185.99091586083316</v>
      </c>
      <c r="P276" s="61">
        <v>157784.12</v>
      </c>
      <c r="Q276" s="458">
        <v>3024682</v>
      </c>
      <c r="R276" s="505">
        <v>15830.778496847464</v>
      </c>
      <c r="S276" s="518">
        <v>825.82084795690923</v>
      </c>
      <c r="T276" s="1675">
        <v>717911.57148999989</v>
      </c>
      <c r="U276" s="430">
        <v>51065694.254650012</v>
      </c>
      <c r="V276" s="1675">
        <v>3634.3679783400003</v>
      </c>
      <c r="W276" s="73">
        <v>8185.4193349400002</v>
      </c>
      <c r="X276" s="1911">
        <f t="shared" si="22"/>
        <v>11819.787313280001</v>
      </c>
      <c r="Y276" s="618">
        <v>-11.3</v>
      </c>
      <c r="AB276" s="1010"/>
    </row>
    <row r="277" spans="1:28">
      <c r="A277" s="49">
        <f t="shared" si="23"/>
        <v>2019.04</v>
      </c>
      <c r="B277" s="73">
        <v>2393001.29935</v>
      </c>
      <c r="C277" s="1882">
        <f t="shared" si="20"/>
        <v>1726293.0666299998</v>
      </c>
      <c r="D277" s="1804">
        <v>197527.22699</v>
      </c>
      <c r="E277" s="294">
        <v>724544.39350999985</v>
      </c>
      <c r="F277" s="1804">
        <v>117035.33677000001</v>
      </c>
      <c r="G277" s="294">
        <v>257819.84682000001</v>
      </c>
      <c r="H277" s="1804">
        <v>298288.85600999999</v>
      </c>
      <c r="I277" s="294">
        <v>96082.236529999995</v>
      </c>
      <c r="J277" s="1804">
        <v>34995.17</v>
      </c>
      <c r="K277" s="294">
        <v>354275.45257999998</v>
      </c>
      <c r="L277" s="1804">
        <v>70933.704030000008</v>
      </c>
      <c r="M277" s="294">
        <v>73956.032560000007</v>
      </c>
      <c r="N277" s="1892">
        <v>167543.04354999997</v>
      </c>
      <c r="O277" s="1142">
        <v>193.05869333675622</v>
      </c>
      <c r="P277" s="61">
        <v>157784.12</v>
      </c>
      <c r="Q277" s="458">
        <v>2924441</v>
      </c>
      <c r="R277" s="505">
        <v>15166.300001229525</v>
      </c>
      <c r="S277" s="518">
        <v>818.27648406994683</v>
      </c>
      <c r="T277" s="1675">
        <v>681844.1039799999</v>
      </c>
      <c r="U277" s="430">
        <v>49621409.275120035</v>
      </c>
      <c r="V277" s="1675">
        <v>3500.0810189499998</v>
      </c>
      <c r="W277" s="73">
        <v>8112.0115658099976</v>
      </c>
      <c r="X277" s="1911">
        <f t="shared" si="22"/>
        <v>11612.092584759997</v>
      </c>
      <c r="Y277" s="618">
        <v>-13.4</v>
      </c>
      <c r="AB277" s="1010"/>
    </row>
    <row r="278" spans="1:28">
      <c r="A278" s="49">
        <f t="shared" si="23"/>
        <v>2019.05</v>
      </c>
      <c r="B278" s="73">
        <v>2471399.9374799994</v>
      </c>
      <c r="C278" s="1882">
        <f t="shared" si="20"/>
        <v>1745052.5157199998</v>
      </c>
      <c r="D278" s="1804">
        <v>236638.53233000002</v>
      </c>
      <c r="E278" s="294">
        <v>698247.9522399999</v>
      </c>
      <c r="F278" s="1804">
        <v>113548.58765</v>
      </c>
      <c r="G278" s="294">
        <v>278832.05325</v>
      </c>
      <c r="H278" s="1804">
        <v>291035.16196</v>
      </c>
      <c r="I278" s="294">
        <v>91377.997340000002</v>
      </c>
      <c r="J278" s="1804">
        <v>35372.230949999997</v>
      </c>
      <c r="K278" s="294">
        <v>359729.91109999997</v>
      </c>
      <c r="L278" s="1804">
        <v>92584.456870000009</v>
      </c>
      <c r="M278" s="294">
        <v>97989.150739999997</v>
      </c>
      <c r="N278" s="1892">
        <v>176043.90304999996</v>
      </c>
      <c r="O278" s="1142">
        <v>199.47559443845338</v>
      </c>
      <c r="P278" s="61">
        <v>158029.12</v>
      </c>
      <c r="Q278" s="458">
        <v>2886131</v>
      </c>
      <c r="R278" s="505">
        <v>15638.889449488806</v>
      </c>
      <c r="S278" s="518">
        <v>856.3020658036661</v>
      </c>
      <c r="T278" s="1675">
        <v>964446.87430999998</v>
      </c>
      <c r="U278" s="430">
        <v>50778299.914400004</v>
      </c>
      <c r="V278" s="1675">
        <v>3681.5381861799992</v>
      </c>
      <c r="W278" s="73">
        <v>8588.6795940499997</v>
      </c>
      <c r="X278" s="1911">
        <f t="shared" si="22"/>
        <v>12270.217780229999</v>
      </c>
      <c r="Y278" s="618">
        <v>-14.1</v>
      </c>
      <c r="AB278" s="1010"/>
    </row>
    <row r="279" spans="1:28">
      <c r="A279" s="49">
        <f t="shared" si="23"/>
        <v>2019.06</v>
      </c>
      <c r="B279" s="73">
        <v>2803062.8385700001</v>
      </c>
      <c r="C279" s="1882">
        <f t="shared" si="20"/>
        <v>1936880.5129900002</v>
      </c>
      <c r="D279" s="1804">
        <v>270639.75799000001</v>
      </c>
      <c r="E279" s="294">
        <v>784480.10694999993</v>
      </c>
      <c r="F279" s="1804">
        <v>125674.82016</v>
      </c>
      <c r="G279" s="294">
        <v>310622.53357999999</v>
      </c>
      <c r="H279" s="1804">
        <v>310394.42046000005</v>
      </c>
      <c r="I279" s="294">
        <v>96725.450280000005</v>
      </c>
      <c r="J279" s="1804">
        <v>38343.423569999999</v>
      </c>
      <c r="K279" s="294">
        <v>404072.51741000003</v>
      </c>
      <c r="L279" s="1804">
        <v>119893.21979999999</v>
      </c>
      <c r="M279" s="294">
        <v>133638.20297000001</v>
      </c>
      <c r="N279" s="1892">
        <v>208578.38539999997</v>
      </c>
      <c r="O279" s="1143">
        <v>205.21322106696945</v>
      </c>
      <c r="P279" s="61">
        <v>158029.12</v>
      </c>
      <c r="Q279" s="458">
        <v>3017086</v>
      </c>
      <c r="R279" s="505">
        <v>17737.634928106923</v>
      </c>
      <c r="S279" s="518">
        <v>929.06295629955537</v>
      </c>
      <c r="T279" s="1675">
        <v>821703.36165999994</v>
      </c>
      <c r="U279" s="430">
        <v>54413419.614820004</v>
      </c>
      <c r="V279" s="1675">
        <v>3262.9621553299999</v>
      </c>
      <c r="W279" s="73">
        <v>8860.5004622400011</v>
      </c>
      <c r="X279" s="1911">
        <f t="shared" si="22"/>
        <v>12123.462617570001</v>
      </c>
      <c r="Y279" s="618">
        <v>-12.2</v>
      </c>
    </row>
    <row r="280" spans="1:28">
      <c r="A280" s="49">
        <f t="shared" si="23"/>
        <v>2019.07</v>
      </c>
      <c r="B280" s="73">
        <v>2647196.0758199999</v>
      </c>
      <c r="C280" s="1882">
        <f t="shared" si="20"/>
        <v>1846267.5160699999</v>
      </c>
      <c r="D280" s="1804">
        <v>250678.64187999995</v>
      </c>
      <c r="E280" s="294">
        <v>747662.58828000014</v>
      </c>
      <c r="F280" s="1804">
        <v>126836.02631999999</v>
      </c>
      <c r="G280" s="294">
        <v>291281.31212999998</v>
      </c>
      <c r="H280" s="1804">
        <v>295782.55413</v>
      </c>
      <c r="I280" s="294">
        <v>97181.548919999987</v>
      </c>
      <c r="J280" s="1804">
        <v>36844.844409999998</v>
      </c>
      <c r="K280" s="294">
        <v>369109.15153999993</v>
      </c>
      <c r="L280" s="1804">
        <v>109602.02045</v>
      </c>
      <c r="M280" s="294">
        <v>116912.59973</v>
      </c>
      <c r="N280" s="1892">
        <v>205304.78803</v>
      </c>
      <c r="O280" s="1142">
        <v>209.55942828047517</v>
      </c>
      <c r="P280" s="61">
        <v>158029.12</v>
      </c>
      <c r="Q280" s="458">
        <v>2907976</v>
      </c>
      <c r="R280" s="505">
        <v>16751.318211605558</v>
      </c>
      <c r="S280" s="518">
        <v>910.32253217358061</v>
      </c>
      <c r="T280" s="1675">
        <v>923140.63296000008</v>
      </c>
      <c r="U280" s="430">
        <v>55044482.257320002</v>
      </c>
      <c r="V280" s="1675">
        <v>3763.46955093</v>
      </c>
      <c r="W280" s="73">
        <v>9146.8152448199999</v>
      </c>
      <c r="X280" s="1911">
        <f t="shared" si="22"/>
        <v>12910.28479575</v>
      </c>
      <c r="Y280" s="618">
        <v>-7.5</v>
      </c>
    </row>
    <row r="281" spans="1:28">
      <c r="A281" s="49">
        <f t="shared" si="23"/>
        <v>2019.08</v>
      </c>
      <c r="B281" s="73">
        <v>2858938.0277</v>
      </c>
      <c r="C281" s="1882">
        <f t="shared" si="20"/>
        <v>2036185.8478900001</v>
      </c>
      <c r="D281" s="1804">
        <v>272837.15969999996</v>
      </c>
      <c r="E281" s="294">
        <v>829366.20915000001</v>
      </c>
      <c r="F281" s="1804">
        <v>132522.94036000001</v>
      </c>
      <c r="G281" s="294">
        <v>318972.03898999997</v>
      </c>
      <c r="H281" s="1804">
        <v>333813.87368000002</v>
      </c>
      <c r="I281" s="294">
        <v>108898.11365</v>
      </c>
      <c r="J281" s="1804">
        <v>39775.512360000001</v>
      </c>
      <c r="K281" s="294">
        <v>373541.96310999995</v>
      </c>
      <c r="L281" s="1804">
        <v>75120.495119999992</v>
      </c>
      <c r="M281" s="294">
        <v>120365.06554000001</v>
      </c>
      <c r="N281" s="1892">
        <v>253724.65604</v>
      </c>
      <c r="O281" s="1142">
        <v>220.17570566224413</v>
      </c>
      <c r="P281" s="61">
        <v>158029.12</v>
      </c>
      <c r="Q281" s="458">
        <v>3012020</v>
      </c>
      <c r="R281" s="505">
        <v>18091.210200373196</v>
      </c>
      <c r="S281" s="518">
        <v>949.17630948665669</v>
      </c>
      <c r="T281" s="1675">
        <v>1024177.9783600001</v>
      </c>
      <c r="U281" s="430">
        <v>59672104.455670007</v>
      </c>
      <c r="V281" s="1675">
        <v>3953.6746143399992</v>
      </c>
      <c r="W281" s="73">
        <v>9759.826281650001</v>
      </c>
      <c r="X281" s="1911">
        <f t="shared" si="22"/>
        <v>13713.500895990001</v>
      </c>
      <c r="Y281" s="618">
        <v>-18.600000000000001</v>
      </c>
    </row>
    <row r="282" spans="1:28">
      <c r="A282" s="49">
        <f t="shared" si="23"/>
        <v>2019.09</v>
      </c>
      <c r="B282" s="73">
        <v>2732586.2381500006</v>
      </c>
      <c r="C282" s="1882">
        <f t="shared" si="20"/>
        <v>1955674.2464600003</v>
      </c>
      <c r="D282" s="1804">
        <v>278209.43672</v>
      </c>
      <c r="E282" s="294">
        <v>747414.24051000015</v>
      </c>
      <c r="F282" s="1804">
        <v>129177.52130000001</v>
      </c>
      <c r="G282" s="294">
        <v>311876.82389</v>
      </c>
      <c r="H282" s="1804">
        <v>339657.67784999998</v>
      </c>
      <c r="I282" s="294">
        <v>110156.69033999999</v>
      </c>
      <c r="J282" s="1804">
        <v>39181.85585</v>
      </c>
      <c r="K282" s="294">
        <v>411752.98145000002</v>
      </c>
      <c r="L282" s="1804">
        <v>71773.320950000008</v>
      </c>
      <c r="M282" s="294">
        <v>101817.96630000001</v>
      </c>
      <c r="N282" s="1892">
        <v>191567.72298999995</v>
      </c>
      <c r="O282" s="1143">
        <v>234.65945418227832</v>
      </c>
      <c r="P282" s="61">
        <v>158029.12</v>
      </c>
      <c r="Q282" s="458">
        <v>2824712</v>
      </c>
      <c r="R282" s="505">
        <v>17291.662689446097</v>
      </c>
      <c r="S282" s="518">
        <v>967.38578593145076</v>
      </c>
      <c r="T282" s="1675">
        <v>997476.22678999999</v>
      </c>
      <c r="U282" s="430">
        <v>57885306.406869985</v>
      </c>
      <c r="V282" s="1675">
        <v>3688.3979962600006</v>
      </c>
      <c r="W282" s="73">
        <v>9696.8390968299991</v>
      </c>
      <c r="X282" s="1911">
        <f t="shared" si="22"/>
        <v>13385.23709309</v>
      </c>
      <c r="Y282" s="618">
        <v>-14.5</v>
      </c>
    </row>
    <row r="283" spans="1:28">
      <c r="A283" s="49">
        <f t="shared" si="23"/>
        <v>2019.1</v>
      </c>
      <c r="B283" s="73">
        <v>3127614.8071100004</v>
      </c>
      <c r="C283" s="1882">
        <f t="shared" si="20"/>
        <v>2170241.08073</v>
      </c>
      <c r="D283" s="1804">
        <v>324495.51793999993</v>
      </c>
      <c r="E283" s="294">
        <v>851487.9529400001</v>
      </c>
      <c r="F283" s="1804">
        <v>140690.82501</v>
      </c>
      <c r="G283" s="294">
        <v>337823.28205000004</v>
      </c>
      <c r="H283" s="1804">
        <v>349920.43789999996</v>
      </c>
      <c r="I283" s="294">
        <v>122244.70323</v>
      </c>
      <c r="J283" s="1804">
        <v>43578.361660000002</v>
      </c>
      <c r="K283" s="294">
        <v>468604.20474000002</v>
      </c>
      <c r="L283" s="1804">
        <v>82665.68707</v>
      </c>
      <c r="M283" s="294">
        <v>179876.10459999999</v>
      </c>
      <c r="N283" s="1892">
        <v>226227.72996999999</v>
      </c>
      <c r="O283" s="1143">
        <v>241.52097945709863</v>
      </c>
      <c r="P283" s="61">
        <v>158029.12</v>
      </c>
      <c r="Q283" s="458">
        <v>2955028</v>
      </c>
      <c r="R283" s="505">
        <v>19791.382797740062</v>
      </c>
      <c r="S283" s="518">
        <v>1058.4044574569173</v>
      </c>
      <c r="T283" s="1675">
        <v>1180651.4782499999</v>
      </c>
      <c r="U283" s="430">
        <v>66325579.593680002</v>
      </c>
      <c r="V283" s="1675">
        <v>4350.6118470599995</v>
      </c>
      <c r="W283" s="73">
        <v>11004.841255879999</v>
      </c>
      <c r="X283" s="1911">
        <f t="shared" si="22"/>
        <v>15355.453102939999</v>
      </c>
      <c r="Y283" s="618">
        <v>-11.6</v>
      </c>
    </row>
    <row r="284" spans="1:28">
      <c r="A284" s="49">
        <f t="shared" si="23"/>
        <v>2019.11</v>
      </c>
      <c r="B284" s="73">
        <v>3219595.5181499999</v>
      </c>
      <c r="C284" s="1882">
        <f t="shared" si="20"/>
        <v>2233868.64903</v>
      </c>
      <c r="D284" s="1804">
        <v>398243.98787999997</v>
      </c>
      <c r="E284" s="294">
        <v>833499.13888999994</v>
      </c>
      <c r="F284" s="1804">
        <v>139886.46518</v>
      </c>
      <c r="G284" s="294">
        <v>324446.94876999996</v>
      </c>
      <c r="H284" s="1804">
        <v>357794.04815999995</v>
      </c>
      <c r="I284" s="294">
        <v>134887.48931999999</v>
      </c>
      <c r="J284" s="1804">
        <v>45110.570829999997</v>
      </c>
      <c r="K284" s="294">
        <v>485841.21544000006</v>
      </c>
      <c r="L284" s="1804">
        <v>85629.700439999986</v>
      </c>
      <c r="M284" s="294">
        <v>166365.02002</v>
      </c>
      <c r="N284" s="1892">
        <v>247890.93322000001</v>
      </c>
      <c r="O284" s="1143">
        <v>251.30749144468277</v>
      </c>
      <c r="P284" s="61">
        <v>158029.12</v>
      </c>
      <c r="Q284" s="458">
        <v>2934330</v>
      </c>
      <c r="R284" s="505">
        <v>20373.431922863336</v>
      </c>
      <c r="S284" s="518">
        <v>1097.2165769187516</v>
      </c>
      <c r="T284" s="1675">
        <v>1489506.4453500002</v>
      </c>
      <c r="U284" s="430">
        <v>67943710.187429994</v>
      </c>
      <c r="V284" s="1675">
        <v>4271.9949753800001</v>
      </c>
      <c r="W284" s="73">
        <v>11382.609489530001</v>
      </c>
      <c r="X284" s="1911">
        <f t="shared" si="22"/>
        <v>15654.60446491</v>
      </c>
      <c r="Y284" s="618">
        <v>-7.1</v>
      </c>
    </row>
    <row r="285" spans="1:28">
      <c r="A285" s="49">
        <f t="shared" si="23"/>
        <v>2019.12</v>
      </c>
      <c r="B285" s="73">
        <v>4023961.5468699993</v>
      </c>
      <c r="C285" s="1882">
        <f t="shared" si="20"/>
        <v>2794221.9608199992</v>
      </c>
      <c r="D285" s="1804">
        <v>619342.21018000005</v>
      </c>
      <c r="E285" s="294">
        <v>1003070.0282199999</v>
      </c>
      <c r="F285" s="1804">
        <v>180917.01835999999</v>
      </c>
      <c r="G285" s="294">
        <v>341764.94019999995</v>
      </c>
      <c r="H285" s="1804">
        <v>436589.37214999995</v>
      </c>
      <c r="I285" s="294">
        <v>157050.26147999999</v>
      </c>
      <c r="J285" s="1804">
        <v>55488.130230000002</v>
      </c>
      <c r="K285" s="294">
        <v>525189.03374999994</v>
      </c>
      <c r="L285" s="1804">
        <v>121909.54111000001</v>
      </c>
      <c r="M285" s="294">
        <v>177930.9847</v>
      </c>
      <c r="N285" s="1892">
        <v>404710.02649000008</v>
      </c>
      <c r="O285" s="1143">
        <v>257.24482439106538</v>
      </c>
      <c r="P285" s="61">
        <v>158029.12</v>
      </c>
      <c r="Q285" s="458">
        <v>3179857</v>
      </c>
      <c r="R285" s="505">
        <v>25463.418051495824</v>
      </c>
      <c r="S285" s="518">
        <v>1265.4536184708934</v>
      </c>
      <c r="T285" s="1675">
        <v>1278463.6138200001</v>
      </c>
      <c r="U285" s="430">
        <v>83524644.291500002</v>
      </c>
      <c r="V285" s="1675">
        <v>5305.0377713299995</v>
      </c>
      <c r="W285" s="73">
        <v>14196.56606757</v>
      </c>
      <c r="X285" s="1911">
        <f t="shared" si="22"/>
        <v>19501.603838899999</v>
      </c>
      <c r="Y285" s="618">
        <v>-3.8</v>
      </c>
    </row>
    <row r="286" spans="1:28">
      <c r="A286" s="49">
        <f t="shared" si="23"/>
        <v>2020.01</v>
      </c>
      <c r="B286" s="73">
        <v>3280033.1104050004</v>
      </c>
      <c r="C286" s="1882">
        <f t="shared" si="20"/>
        <v>2231537.5970550003</v>
      </c>
      <c r="D286" s="1804">
        <v>376449.34982999996</v>
      </c>
      <c r="E286" s="294">
        <v>821012.52155999991</v>
      </c>
      <c r="F286" s="1804">
        <v>142018.36395000003</v>
      </c>
      <c r="G286" s="294">
        <v>316607.51905</v>
      </c>
      <c r="H286" s="1804">
        <v>381067.25143499998</v>
      </c>
      <c r="I286" s="294">
        <v>147635.41574999999</v>
      </c>
      <c r="J286" s="1804">
        <v>46747.175480000005</v>
      </c>
      <c r="K286" s="294">
        <v>510416.16291000001</v>
      </c>
      <c r="L286" s="1804">
        <v>100554.70917</v>
      </c>
      <c r="M286" s="294">
        <v>146821.42551</v>
      </c>
      <c r="N286" s="1892">
        <v>290703.21575999999</v>
      </c>
      <c r="O286" s="1143">
        <v>268.14849534764846</v>
      </c>
      <c r="P286" s="61">
        <v>158029.12</v>
      </c>
      <c r="Q286" s="458">
        <v>2829089</v>
      </c>
      <c r="R286" s="505">
        <v>20755.877843305083</v>
      </c>
      <c r="S286" s="518">
        <v>1159.3955193367901</v>
      </c>
      <c r="T286" s="1675">
        <v>1040882.66074</v>
      </c>
      <c r="U286" s="430">
        <v>70145010.272730008</v>
      </c>
      <c r="V286" s="1675">
        <v>4672.0696278099995</v>
      </c>
      <c r="W286" s="73">
        <v>11451.841214800001</v>
      </c>
      <c r="X286" s="1911">
        <f t="shared" si="22"/>
        <v>16123.910842609999</v>
      </c>
      <c r="Y286" s="618">
        <v>-3.5</v>
      </c>
    </row>
    <row r="287" spans="1:28">
      <c r="A287" s="49">
        <f t="shared" si="23"/>
        <v>2020.02</v>
      </c>
      <c r="B287" s="73">
        <v>3400260.40338</v>
      </c>
      <c r="C287" s="1882">
        <f t="shared" si="20"/>
        <v>2421382.7215700001</v>
      </c>
      <c r="D287" s="1804">
        <v>410408.68475000001</v>
      </c>
      <c r="E287" s="294">
        <v>894220.28349000018</v>
      </c>
      <c r="F287" s="1804">
        <v>149599.66553</v>
      </c>
      <c r="G287" s="294">
        <v>352867.46100999997</v>
      </c>
      <c r="H287" s="1804">
        <v>412102.28296999994</v>
      </c>
      <c r="I287" s="294">
        <v>153584.20410000003</v>
      </c>
      <c r="J287" s="1804">
        <v>48600.139719999992</v>
      </c>
      <c r="K287" s="294">
        <v>490499.58282000001</v>
      </c>
      <c r="L287" s="1804">
        <v>97180.906039999987</v>
      </c>
      <c r="M287" s="294">
        <v>116958.86465999999</v>
      </c>
      <c r="N287" s="1892">
        <v>274238.32829000003</v>
      </c>
      <c r="O287" s="1143">
        <v>274.57309495861233</v>
      </c>
      <c r="P287" s="61">
        <v>158029.12</v>
      </c>
      <c r="Q287" s="458">
        <v>2828739</v>
      </c>
      <c r="R287" s="505">
        <v>21516.66986046622</v>
      </c>
      <c r="S287" s="518">
        <v>1202.0410519952529</v>
      </c>
      <c r="T287" s="1675">
        <v>980258.51472999994</v>
      </c>
      <c r="U287" s="430">
        <v>72494433.66173999</v>
      </c>
      <c r="V287" s="1675">
        <v>4646.5336308400001</v>
      </c>
      <c r="W287" s="73">
        <v>12120.399436099999</v>
      </c>
      <c r="X287" s="1911">
        <f t="shared" si="22"/>
        <v>16766.933066940001</v>
      </c>
      <c r="Y287" s="618">
        <v>-1.1000000000000001</v>
      </c>
    </row>
    <row r="288" spans="1:28">
      <c r="A288" s="49">
        <f t="shared" si="23"/>
        <v>2020.03</v>
      </c>
      <c r="B288" s="73">
        <v>3888816.9010699997</v>
      </c>
      <c r="C288" s="1882">
        <f t="shared" si="20"/>
        <v>2830954.6853999994</v>
      </c>
      <c r="D288" s="1804">
        <v>355647.63871000003</v>
      </c>
      <c r="E288" s="294">
        <v>1216564.4480699999</v>
      </c>
      <c r="F288" s="1804">
        <v>145095.67068000001</v>
      </c>
      <c r="G288" s="294">
        <v>443331.60535999993</v>
      </c>
      <c r="H288" s="1804">
        <v>463673.72292999993</v>
      </c>
      <c r="I288" s="294">
        <v>173410.88092000003</v>
      </c>
      <c r="J288" s="1804">
        <v>33230.718730000008</v>
      </c>
      <c r="K288" s="294">
        <v>655103.82582999999</v>
      </c>
      <c r="L288" s="1804">
        <v>51858.352750000005</v>
      </c>
      <c r="M288" s="294">
        <v>122825.84927999999</v>
      </c>
      <c r="N288" s="1892">
        <v>228074.18781000003</v>
      </c>
      <c r="O288" s="1143">
        <v>285.23616992475314</v>
      </c>
      <c r="P288" s="61">
        <v>158029.12</v>
      </c>
      <c r="Q288" s="458">
        <v>2491026</v>
      </c>
      <c r="R288" s="505">
        <v>24608.229806443265</v>
      </c>
      <c r="S288" s="518">
        <v>1561.130594811134</v>
      </c>
      <c r="T288" s="1675">
        <v>1603155.5753900001</v>
      </c>
      <c r="U288" s="430">
        <v>85778031.088819966</v>
      </c>
      <c r="V288" s="1675">
        <v>5725.9901422900011</v>
      </c>
      <c r="W288" s="73">
        <v>15167.876417209998</v>
      </c>
      <c r="X288" s="1911">
        <f t="shared" si="22"/>
        <v>20893.866559499998</v>
      </c>
      <c r="Y288" s="618">
        <v>-48.7</v>
      </c>
    </row>
    <row r="289" spans="1:25">
      <c r="A289" s="49">
        <f t="shared" si="23"/>
        <v>2020.04</v>
      </c>
      <c r="B289" s="73">
        <v>3258844.96557</v>
      </c>
      <c r="C289" s="1882">
        <f t="shared" si="20"/>
        <v>2441323.4670299999</v>
      </c>
      <c r="D289" s="1804">
        <v>292302.01198000001</v>
      </c>
      <c r="E289" s="294">
        <v>1057835.6428999999</v>
      </c>
      <c r="F289" s="1804">
        <v>129970.09582000002</v>
      </c>
      <c r="G289" s="294">
        <v>384649.87407999998</v>
      </c>
      <c r="H289" s="1804">
        <v>410536.03946</v>
      </c>
      <c r="I289" s="294">
        <v>146228.15221999999</v>
      </c>
      <c r="J289" s="1804">
        <v>19801.650570000002</v>
      </c>
      <c r="K289" s="294">
        <v>473994.19383</v>
      </c>
      <c r="L289" s="1804">
        <v>42390.537099999994</v>
      </c>
      <c r="M289" s="294">
        <v>129560.51573</v>
      </c>
      <c r="N289" s="1892">
        <v>171576.25188</v>
      </c>
      <c r="O289" s="1143">
        <v>290.96597514946808</v>
      </c>
      <c r="P289" s="61">
        <v>158029.12</v>
      </c>
      <c r="Q289" s="458">
        <v>1737897</v>
      </c>
      <c r="R289" s="505">
        <v>20621.800371792237</v>
      </c>
      <c r="S289" s="518">
        <v>1875.1657696457269</v>
      </c>
      <c r="T289" s="1675">
        <v>3210641.9290200006</v>
      </c>
      <c r="U289" s="430">
        <v>75009596.638550013</v>
      </c>
      <c r="V289" s="1675">
        <v>5968.0236593199988</v>
      </c>
      <c r="W289" s="73">
        <v>12183.689740519998</v>
      </c>
      <c r="X289" s="1911">
        <f t="shared" si="22"/>
        <v>18151.713399839995</v>
      </c>
      <c r="Y289" s="618">
        <v>-57.6</v>
      </c>
    </row>
    <row r="290" spans="1:25">
      <c r="A290" s="49">
        <f t="shared" si="23"/>
        <v>2020.05</v>
      </c>
      <c r="B290" s="73">
        <v>3539400.2403299999</v>
      </c>
      <c r="C290" s="1882">
        <f t="shared" si="20"/>
        <v>2493560.5899399999</v>
      </c>
      <c r="D290" s="1804">
        <v>320230.11888999998</v>
      </c>
      <c r="E290" s="294">
        <v>1071600.9892200001</v>
      </c>
      <c r="F290" s="1804">
        <v>128233.95020999998</v>
      </c>
      <c r="G290" s="294">
        <v>386669.55029000004</v>
      </c>
      <c r="H290" s="1804">
        <v>427453.16632000008</v>
      </c>
      <c r="I290" s="294">
        <v>136635.39662000001</v>
      </c>
      <c r="J290" s="1804">
        <v>22737.418390000003</v>
      </c>
      <c r="K290" s="294">
        <v>500275.86043999996</v>
      </c>
      <c r="L290" s="1804">
        <v>117710.32444</v>
      </c>
      <c r="M290" s="294">
        <v>203416.51302000001</v>
      </c>
      <c r="N290" s="1892">
        <v>224436.95249</v>
      </c>
      <c r="O290" s="1143">
        <v>293.82602601136745</v>
      </c>
      <c r="P290" s="61">
        <v>158029.12</v>
      </c>
      <c r="Q290" s="458">
        <v>1931948</v>
      </c>
      <c r="R290" s="505">
        <v>22397.139466004748</v>
      </c>
      <c r="S290" s="518">
        <v>1832.0370115189435</v>
      </c>
      <c r="T290" s="1675">
        <v>3627916.7945800005</v>
      </c>
      <c r="U290" s="430">
        <v>78594521.820450008</v>
      </c>
      <c r="V290" s="1675">
        <v>5263.7123297500002</v>
      </c>
      <c r="W290" s="73">
        <v>12990.50029364</v>
      </c>
      <c r="X290" s="1911">
        <f t="shared" si="22"/>
        <v>18254.212623389998</v>
      </c>
      <c r="Y290" s="618">
        <v>-50.8</v>
      </c>
    </row>
    <row r="291" spans="1:25">
      <c r="A291" s="49">
        <f t="shared" si="23"/>
        <v>2020.06</v>
      </c>
      <c r="B291" s="73">
        <v>3639835.93622</v>
      </c>
      <c r="C291" s="1882">
        <f t="shared" si="20"/>
        <v>2500228.9474399998</v>
      </c>
      <c r="D291" s="1804">
        <v>362508.83203000005</v>
      </c>
      <c r="E291" s="294">
        <v>1048545.5418299999</v>
      </c>
      <c r="F291" s="1804">
        <v>129536.76287999999</v>
      </c>
      <c r="G291" s="294">
        <v>372104.41671000002</v>
      </c>
      <c r="H291" s="1804">
        <v>436283.13680999994</v>
      </c>
      <c r="I291" s="294">
        <v>127456.29163999998</v>
      </c>
      <c r="J291" s="1804">
        <v>23793.965540000001</v>
      </c>
      <c r="K291" s="294">
        <v>494696.01274999999</v>
      </c>
      <c r="L291" s="1804">
        <v>166119.69828000001</v>
      </c>
      <c r="M291" s="294">
        <v>213999.11189000003</v>
      </c>
      <c r="N291" s="1892">
        <v>264792.16586000001</v>
      </c>
      <c r="O291" s="1143">
        <v>299.49761860487689</v>
      </c>
      <c r="P291" s="61">
        <v>158029.12</v>
      </c>
      <c r="Q291" s="458">
        <v>2086812</v>
      </c>
      <c r="R291" s="505">
        <v>23032.691292718708</v>
      </c>
      <c r="S291" s="518">
        <v>1744.2088392342002</v>
      </c>
      <c r="T291" s="1675">
        <v>3678005.6430700002</v>
      </c>
      <c r="U291" s="430">
        <v>78232859.601859957</v>
      </c>
      <c r="V291" s="1675">
        <v>5209.5858401700007</v>
      </c>
      <c r="W291" s="73">
        <v>13366.624243720002</v>
      </c>
      <c r="X291" s="1911">
        <f t="shared" si="22"/>
        <v>18576.210083890001</v>
      </c>
      <c r="Y291" s="618">
        <v>-34.799999999999997</v>
      </c>
    </row>
    <row r="292" spans="1:25">
      <c r="A292" s="49">
        <f t="shared" si="23"/>
        <v>2020.07</v>
      </c>
      <c r="B292" s="73">
        <v>3879012.6900599999</v>
      </c>
      <c r="C292" s="1882">
        <f t="shared" si="20"/>
        <v>2645515.94814</v>
      </c>
      <c r="D292" s="1804">
        <v>376544.92181999999</v>
      </c>
      <c r="E292" s="294">
        <v>1097991.78018</v>
      </c>
      <c r="F292" s="1804">
        <v>145676.14244999998</v>
      </c>
      <c r="G292" s="294">
        <v>400178.62674000004</v>
      </c>
      <c r="H292" s="1804">
        <v>462328.57739999995</v>
      </c>
      <c r="I292" s="294">
        <v>136014.28357</v>
      </c>
      <c r="J292" s="1804">
        <v>26781.615980000006</v>
      </c>
      <c r="K292" s="294">
        <v>541812.92067999998</v>
      </c>
      <c r="L292" s="1804">
        <v>173512.89102000001</v>
      </c>
      <c r="M292" s="294">
        <v>215110.65123000002</v>
      </c>
      <c r="N292" s="1892">
        <v>303060.27899000008</v>
      </c>
      <c r="O292" s="1143">
        <v>306.16664583373989</v>
      </c>
      <c r="P292" s="61">
        <v>158029.12</v>
      </c>
      <c r="Q292" s="458">
        <v>2185152</v>
      </c>
      <c r="R292" s="505">
        <v>24546.189272331583</v>
      </c>
      <c r="S292" s="518">
        <v>1775.1683590249102</v>
      </c>
      <c r="T292" s="1675">
        <v>4726974.4570699995</v>
      </c>
      <c r="U292" s="73">
        <v>81140696.22145997</v>
      </c>
      <c r="V292" s="1675">
        <v>5124.9178430900001</v>
      </c>
      <c r="W292" s="73">
        <v>13764.231496509999</v>
      </c>
      <c r="X292" s="1911">
        <f t="shared" si="22"/>
        <v>18889.149339600001</v>
      </c>
      <c r="Y292" s="618">
        <v>-27.7</v>
      </c>
    </row>
    <row r="293" spans="1:25">
      <c r="A293" s="49">
        <f t="shared" si="23"/>
        <v>2020.08</v>
      </c>
      <c r="B293" s="73">
        <v>3818593.0226499997</v>
      </c>
      <c r="C293" s="1882">
        <f t="shared" si="20"/>
        <v>2650633.23496</v>
      </c>
      <c r="D293" s="1804">
        <v>386539.02899000002</v>
      </c>
      <c r="E293" s="294">
        <v>1073321.3676100001</v>
      </c>
      <c r="F293" s="1804">
        <v>148153.45816000001</v>
      </c>
      <c r="G293" s="294">
        <v>404277.58017999993</v>
      </c>
      <c r="H293" s="1804">
        <v>465484.18360000005</v>
      </c>
      <c r="I293" s="294">
        <v>144637.75439999998</v>
      </c>
      <c r="J293" s="1804">
        <v>28219.86202</v>
      </c>
      <c r="K293" s="294">
        <v>547993.47430999996</v>
      </c>
      <c r="L293" s="1804">
        <v>86088.165850000005</v>
      </c>
      <c r="M293" s="294">
        <v>187247.88071999999</v>
      </c>
      <c r="N293" s="1892">
        <v>346630.26681</v>
      </c>
      <c r="O293" s="1143">
        <v>314.49932050346519</v>
      </c>
      <c r="P293" s="61">
        <v>158429.12</v>
      </c>
      <c r="Q293" s="458">
        <v>2256722</v>
      </c>
      <c r="R293" s="505">
        <v>24102.848154745796</v>
      </c>
      <c r="S293" s="518">
        <v>1692.0972200607785</v>
      </c>
      <c r="T293" s="1675">
        <v>4005445.0164000001</v>
      </c>
      <c r="U293" s="430">
        <v>80411973.287580013</v>
      </c>
      <c r="V293" s="1675">
        <v>4900.5493491699999</v>
      </c>
      <c r="W293" s="73">
        <v>14038.308145640001</v>
      </c>
      <c r="X293" s="1911">
        <f t="shared" si="22"/>
        <v>18938.857494809999</v>
      </c>
      <c r="Y293" s="618">
        <v>-17.8</v>
      </c>
    </row>
    <row r="294" spans="1:25">
      <c r="A294" s="49">
        <f t="shared" si="23"/>
        <v>2020.09</v>
      </c>
      <c r="B294" s="73">
        <v>3657874.6584100006</v>
      </c>
      <c r="C294" s="1882">
        <f t="shared" si="20"/>
        <v>2584240.6226500003</v>
      </c>
      <c r="D294" s="1804">
        <v>373088.33847999998</v>
      </c>
      <c r="E294" s="294">
        <v>1036807.3149400001</v>
      </c>
      <c r="F294" s="1804">
        <v>142980.73405</v>
      </c>
      <c r="G294" s="294">
        <v>402887.98783999996</v>
      </c>
      <c r="H294" s="1804">
        <v>446769.04599000001</v>
      </c>
      <c r="I294" s="294">
        <v>153884.65050000002</v>
      </c>
      <c r="J294" s="1804">
        <v>27822.550850000003</v>
      </c>
      <c r="K294" s="294">
        <v>528502.70617000002</v>
      </c>
      <c r="L294" s="1804">
        <v>80188.30442</v>
      </c>
      <c r="M294" s="294">
        <v>181644.01915000001</v>
      </c>
      <c r="N294" s="1892">
        <v>283299.00601999997</v>
      </c>
      <c r="O294" s="1143">
        <v>319.83555603700444</v>
      </c>
      <c r="P294" s="61">
        <v>158429.12</v>
      </c>
      <c r="Q294" s="458">
        <v>1945994</v>
      </c>
      <c r="R294" s="505">
        <v>23088.398511649877</v>
      </c>
      <c r="S294" s="518">
        <v>1879.6947258881578</v>
      </c>
      <c r="T294" s="1675">
        <v>3944359.19539</v>
      </c>
      <c r="U294" s="430">
        <v>77055774.357009977</v>
      </c>
      <c r="V294" s="1675">
        <v>4863.60717604</v>
      </c>
      <c r="W294" s="73">
        <v>13332.742696920001</v>
      </c>
      <c r="X294" s="1911">
        <f t="shared" si="22"/>
        <v>18196.34987296</v>
      </c>
      <c r="Y294" s="618">
        <v>-10.1</v>
      </c>
    </row>
    <row r="295" spans="1:25">
      <c r="A295" s="49">
        <f t="shared" si="23"/>
        <v>2020.1</v>
      </c>
      <c r="B295" s="73">
        <v>4201052.231780001</v>
      </c>
      <c r="C295" s="1882">
        <f t="shared" si="20"/>
        <v>2862992.7394200005</v>
      </c>
      <c r="D295" s="1804">
        <v>461855.0074</v>
      </c>
      <c r="E295" s="294">
        <v>1103760.5530700001</v>
      </c>
      <c r="F295" s="1804">
        <v>156596.34145000001</v>
      </c>
      <c r="G295" s="294">
        <v>427916.29583000002</v>
      </c>
      <c r="H295" s="1804">
        <v>497197.62223999994</v>
      </c>
      <c r="I295" s="294">
        <v>182958.78347999998</v>
      </c>
      <c r="J295" s="1804">
        <v>32708.13595</v>
      </c>
      <c r="K295" s="294">
        <v>596946.09363999998</v>
      </c>
      <c r="L295" s="1804">
        <v>105504.11755</v>
      </c>
      <c r="M295" s="294">
        <v>318780.59933999996</v>
      </c>
      <c r="N295" s="1892">
        <v>316828.6818299999</v>
      </c>
      <c r="O295" s="1143">
        <v>332.42110040716886</v>
      </c>
      <c r="P295" s="61">
        <v>158429.12</v>
      </c>
      <c r="Q295" s="458">
        <v>2119566</v>
      </c>
      <c r="R295" s="505">
        <v>26516.919564913322</v>
      </c>
      <c r="S295" s="518">
        <v>1982.034167268205</v>
      </c>
      <c r="T295" s="1675">
        <v>4601678.3050800012</v>
      </c>
      <c r="U295" s="430">
        <v>89224281.053729981</v>
      </c>
      <c r="V295" s="1675">
        <v>5587.3837687640007</v>
      </c>
      <c r="W295" s="73">
        <v>15003.383348830001</v>
      </c>
      <c r="X295" s="1911">
        <f t="shared" si="22"/>
        <v>20590.767117594001</v>
      </c>
      <c r="Y295" s="618">
        <v>-14.9</v>
      </c>
    </row>
    <row r="296" spans="1:25">
      <c r="A296" s="49">
        <f t="shared" si="23"/>
        <v>2020.11</v>
      </c>
      <c r="B296" s="73">
        <v>4294627.1983699994</v>
      </c>
      <c r="C296" s="1882">
        <f t="shared" si="20"/>
        <v>2965371.1031799996</v>
      </c>
      <c r="D296" s="1804">
        <v>558535.10487000004</v>
      </c>
      <c r="E296" s="294">
        <v>1146192.00874</v>
      </c>
      <c r="F296" s="1804">
        <v>147299.05439999999</v>
      </c>
      <c r="G296" s="294">
        <v>406704.32998999994</v>
      </c>
      <c r="H296" s="1804">
        <v>488104.55661999999</v>
      </c>
      <c r="I296" s="294">
        <v>186552.44908000002</v>
      </c>
      <c r="J296" s="1804">
        <v>31983.599479999997</v>
      </c>
      <c r="K296" s="294">
        <v>589663.30796000001</v>
      </c>
      <c r="L296" s="1804">
        <v>107417.73891</v>
      </c>
      <c r="M296" s="294">
        <v>280764.31045999995</v>
      </c>
      <c r="N296" s="1892">
        <v>351410.73785999999</v>
      </c>
      <c r="O296" s="1143">
        <v>340.58166794166829</v>
      </c>
      <c r="P296" s="61">
        <v>158029.12</v>
      </c>
      <c r="Q296" s="458">
        <v>2162580</v>
      </c>
      <c r="R296" s="505">
        <v>27176.17612734919</v>
      </c>
      <c r="S296" s="518">
        <v>1985.8813076834153</v>
      </c>
      <c r="T296" s="1675">
        <v>4838176.7064500004</v>
      </c>
      <c r="U296" s="430">
        <v>91093507.31223996</v>
      </c>
      <c r="V296" s="1675">
        <v>5515.7378280499988</v>
      </c>
      <c r="W296" s="73">
        <v>15162.363999989997</v>
      </c>
      <c r="X296" s="1911">
        <f t="shared" si="22"/>
        <v>20678.101828039995</v>
      </c>
      <c r="Y296" s="618">
        <v>-6.7</v>
      </c>
    </row>
    <row r="297" spans="1:25">
      <c r="A297" s="49">
        <f t="shared" si="23"/>
        <v>2020.12</v>
      </c>
      <c r="B297" s="73">
        <v>5540630.3517700005</v>
      </c>
      <c r="C297" s="1882">
        <f t="shared" si="20"/>
        <v>3936179.0069100005</v>
      </c>
      <c r="D297" s="1804">
        <v>946993.68091</v>
      </c>
      <c r="E297" s="294">
        <v>1359440.16176</v>
      </c>
      <c r="F297" s="1804">
        <v>207168.68161999999</v>
      </c>
      <c r="G297" s="294">
        <v>437201.21883999999</v>
      </c>
      <c r="H297" s="1804">
        <v>724095.21632999997</v>
      </c>
      <c r="I297" s="294">
        <v>216179.55797999998</v>
      </c>
      <c r="J297" s="1804">
        <v>45100.489470000008</v>
      </c>
      <c r="K297" s="294">
        <v>666443.9675700001</v>
      </c>
      <c r="L297" s="1804">
        <v>164266.45779000001</v>
      </c>
      <c r="M297" s="294">
        <v>270214.94718000002</v>
      </c>
      <c r="N297" s="1892">
        <v>503525.97232</v>
      </c>
      <c r="O297" s="1143">
        <v>347.33404269167738</v>
      </c>
      <c r="P297" s="61">
        <v>158429.12</v>
      </c>
      <c r="Q297" s="458">
        <v>2623197</v>
      </c>
      <c r="R297" s="505">
        <v>34972.297717553447</v>
      </c>
      <c r="S297" s="518">
        <v>2112.167081530667</v>
      </c>
      <c r="T297" s="1675">
        <v>3975909.5507499995</v>
      </c>
      <c r="U297" s="430">
        <v>115806128.11518</v>
      </c>
      <c r="V297" s="1675">
        <v>6898.4087840599996</v>
      </c>
      <c r="W297" s="73">
        <v>19800.607861329998</v>
      </c>
      <c r="X297" s="1911">
        <f t="shared" si="22"/>
        <v>26699.016645389998</v>
      </c>
      <c r="Y297" s="618">
        <v>-8</v>
      </c>
    </row>
    <row r="298" spans="1:25">
      <c r="A298" s="49">
        <f t="shared" si="23"/>
        <v>2021.01</v>
      </c>
      <c r="B298" s="73">
        <v>4565066.4013780002</v>
      </c>
      <c r="C298" s="1882">
        <f t="shared" si="20"/>
        <v>3201696.7495820005</v>
      </c>
      <c r="D298" s="1804">
        <v>608813.77877999994</v>
      </c>
      <c r="E298" s="294">
        <v>1125385.1933400002</v>
      </c>
      <c r="F298" s="1804">
        <v>161749.752332</v>
      </c>
      <c r="G298" s="294">
        <v>424353.12479000009</v>
      </c>
      <c r="H298" s="1804">
        <v>632808.33671000006</v>
      </c>
      <c r="I298" s="294">
        <v>209423.00183999998</v>
      </c>
      <c r="J298" s="1804">
        <v>39163.56179</v>
      </c>
      <c r="K298" s="294">
        <v>657423.6249259999</v>
      </c>
      <c r="L298" s="1804">
        <v>125531.66044999998</v>
      </c>
      <c r="M298" s="294">
        <v>209501.34635000004</v>
      </c>
      <c r="N298" s="1892">
        <v>370913.02006999991</v>
      </c>
      <c r="O298" s="1143">
        <v>360.28999390193803</v>
      </c>
      <c r="P298" s="61">
        <v>158429.12</v>
      </c>
      <c r="Q298" s="458">
        <v>2356371</v>
      </c>
      <c r="R298" s="505">
        <v>28814.56642174115</v>
      </c>
      <c r="S298" s="518">
        <v>1937.3292242087512</v>
      </c>
      <c r="T298" s="1675">
        <v>3483037.9868500005</v>
      </c>
      <c r="U298" s="430">
        <v>98007583.252829999</v>
      </c>
      <c r="V298" s="1675">
        <v>5591.0575799500002</v>
      </c>
      <c r="W298" s="73">
        <v>15624.99306479</v>
      </c>
      <c r="X298" s="1911">
        <f t="shared" si="22"/>
        <v>21216.05064474</v>
      </c>
      <c r="Y298" s="618">
        <v>-5.8</v>
      </c>
    </row>
    <row r="299" spans="1:25">
      <c r="A299" s="49">
        <f t="shared" si="23"/>
        <v>2021.02</v>
      </c>
      <c r="B299" s="73">
        <v>4371204.5016299998</v>
      </c>
      <c r="C299" s="1882">
        <f t="shared" si="20"/>
        <v>3130719.7370999996</v>
      </c>
      <c r="D299" s="1804">
        <v>581612.27053999994</v>
      </c>
      <c r="E299" s="294">
        <v>1110887.3904000001</v>
      </c>
      <c r="F299" s="1804">
        <v>159846.93207999997</v>
      </c>
      <c r="G299" s="294">
        <v>423967.92872999999</v>
      </c>
      <c r="H299" s="1804">
        <v>608704.15382999997</v>
      </c>
      <c r="I299" s="294">
        <v>207938.16353000002</v>
      </c>
      <c r="J299" s="1804">
        <v>37762.897990000005</v>
      </c>
      <c r="K299" s="294">
        <v>634148.66622000001</v>
      </c>
      <c r="L299" s="1804">
        <v>101820.55145</v>
      </c>
      <c r="M299" s="294">
        <v>177114.84914999999</v>
      </c>
      <c r="N299" s="1892">
        <v>327400.69771000004</v>
      </c>
      <c r="O299" s="1143">
        <v>373.82000658071803</v>
      </c>
      <c r="P299" s="61">
        <v>158429.12</v>
      </c>
      <c r="Q299" s="458">
        <v>2239248</v>
      </c>
      <c r="R299" s="505">
        <v>27590.915745981547</v>
      </c>
      <c r="S299" s="518">
        <v>1952.0859242165227</v>
      </c>
      <c r="T299" s="1675">
        <v>3046180.66555</v>
      </c>
      <c r="U299" s="430">
        <v>92954233.681119978</v>
      </c>
      <c r="V299" s="1675">
        <v>5341.9002217500001</v>
      </c>
      <c r="W299" s="73">
        <v>15932.720312910002</v>
      </c>
      <c r="X299" s="1911">
        <f t="shared" si="22"/>
        <v>21274.620534660004</v>
      </c>
      <c r="Y299" s="618">
        <v>-6.5</v>
      </c>
    </row>
    <row r="300" spans="1:25">
      <c r="A300" s="49">
        <f t="shared" si="23"/>
        <v>2021.03</v>
      </c>
      <c r="B300" s="73">
        <v>5179695.6845199997</v>
      </c>
      <c r="C300" s="1882">
        <f t="shared" si="20"/>
        <v>3702784.9355799998</v>
      </c>
      <c r="D300" s="1804">
        <v>603561.80996999994</v>
      </c>
      <c r="E300" s="294">
        <v>1402186.38289</v>
      </c>
      <c r="F300" s="1804">
        <v>183032.72827000002</v>
      </c>
      <c r="G300" s="294">
        <v>532530.51734000002</v>
      </c>
      <c r="H300" s="1804">
        <v>704429.12391000008</v>
      </c>
      <c r="I300" s="294">
        <v>231360.78647000002</v>
      </c>
      <c r="J300" s="1804">
        <v>45683.586729999995</v>
      </c>
      <c r="K300" s="294">
        <v>728044.37783999997</v>
      </c>
      <c r="L300" s="1804">
        <v>119356.9136</v>
      </c>
      <c r="M300" s="294">
        <v>259682.28913000002</v>
      </c>
      <c r="N300" s="1892">
        <v>369827.16837000009</v>
      </c>
      <c r="O300" s="1143">
        <v>390.85612318851111</v>
      </c>
      <c r="P300" s="61">
        <v>156579.12</v>
      </c>
      <c r="Q300" s="458">
        <v>2506376</v>
      </c>
      <c r="R300" s="505">
        <v>33080.372941935049</v>
      </c>
      <c r="S300" s="518">
        <v>2066.6075977905953</v>
      </c>
      <c r="T300" s="1675">
        <v>3982669.1938799997</v>
      </c>
      <c r="U300" s="430">
        <v>107225884.48978001</v>
      </c>
      <c r="V300" s="1675">
        <v>6446.0375831100009</v>
      </c>
      <c r="W300" s="73">
        <v>18311.452748920001</v>
      </c>
      <c r="X300" s="1911">
        <f t="shared" si="22"/>
        <v>24757.49033203</v>
      </c>
      <c r="Y300" s="618">
        <v>14.4</v>
      </c>
    </row>
    <row r="301" spans="1:25">
      <c r="A301" s="49">
        <f t="shared" si="23"/>
        <v>2021.04</v>
      </c>
      <c r="B301" s="73">
        <v>5239836.4770689998</v>
      </c>
      <c r="C301" s="1882">
        <f t="shared" si="20"/>
        <v>3806137.4815089996</v>
      </c>
      <c r="D301" s="1804">
        <v>578727.90309000004</v>
      </c>
      <c r="E301" s="294">
        <v>1476251.1584789995</v>
      </c>
      <c r="F301" s="1804">
        <v>181457.61466999995</v>
      </c>
      <c r="G301" s="294">
        <v>554590.03784</v>
      </c>
      <c r="H301" s="1804">
        <v>744675.07928000006</v>
      </c>
      <c r="I301" s="294">
        <v>223302.85339999999</v>
      </c>
      <c r="J301" s="1804">
        <v>47132.834750000009</v>
      </c>
      <c r="K301" s="294">
        <v>734799.61965000001</v>
      </c>
      <c r="L301" s="1804">
        <v>120347.32376</v>
      </c>
      <c r="M301" s="294">
        <v>235047.78492000001</v>
      </c>
      <c r="N301" s="1892">
        <v>343504.26722999994</v>
      </c>
      <c r="O301" s="1143">
        <v>409.86472994005601</v>
      </c>
      <c r="P301" s="61">
        <v>156579.12</v>
      </c>
      <c r="Q301" s="458">
        <v>2399141</v>
      </c>
      <c r="R301" s="505">
        <v>33464.464975080969</v>
      </c>
      <c r="S301" s="518">
        <v>2184.0469055670342</v>
      </c>
      <c r="T301" s="1675">
        <v>4128007.2437400003</v>
      </c>
      <c r="U301" s="430">
        <v>106870185.88608995</v>
      </c>
      <c r="V301" s="1675">
        <v>5931.1086025399991</v>
      </c>
      <c r="W301" s="73">
        <v>18781.521662720002</v>
      </c>
      <c r="X301" s="1911">
        <f t="shared" si="22"/>
        <v>24712.630265260002</v>
      </c>
      <c r="Y301" s="618">
        <v>40.799999999999997</v>
      </c>
    </row>
    <row r="302" spans="1:25">
      <c r="A302" s="49">
        <f t="shared" si="23"/>
        <v>2021.05</v>
      </c>
      <c r="B302" s="73">
        <v>5249893.4719100008</v>
      </c>
      <c r="C302" s="1882">
        <f t="shared" si="20"/>
        <v>3827351.5860299999</v>
      </c>
      <c r="D302" s="1804">
        <v>511980.55378999998</v>
      </c>
      <c r="E302" s="294">
        <v>1504896.3244099999</v>
      </c>
      <c r="F302" s="1804">
        <v>204910.80824999997</v>
      </c>
      <c r="G302" s="294">
        <v>596876.27494999988</v>
      </c>
      <c r="H302" s="1804">
        <v>759400.35083000013</v>
      </c>
      <c r="I302" s="294">
        <v>206111.66436000002</v>
      </c>
      <c r="J302" s="1804">
        <v>43175.609440000007</v>
      </c>
      <c r="K302" s="294">
        <v>695563.6844599999</v>
      </c>
      <c r="L302" s="1804">
        <v>129779.22780000001</v>
      </c>
      <c r="M302" s="294">
        <v>270399.39963</v>
      </c>
      <c r="N302" s="1892">
        <v>326799.57399</v>
      </c>
      <c r="O302" s="1143">
        <v>424.89659531161169</v>
      </c>
      <c r="P302" s="61">
        <v>157223.41999999998</v>
      </c>
      <c r="Q302" s="458">
        <v>2220127</v>
      </c>
      <c r="R302" s="505">
        <v>33391.294197200397</v>
      </c>
      <c r="S302" s="518">
        <v>2364.6816024083305</v>
      </c>
      <c r="T302" s="1675">
        <v>5607036.3300900003</v>
      </c>
      <c r="U302" s="430">
        <v>110604694.56479998</v>
      </c>
      <c r="V302" s="1675">
        <v>6108.22664076</v>
      </c>
      <c r="W302" s="73">
        <v>19248.552841599998</v>
      </c>
      <c r="X302" s="1911">
        <f t="shared" si="22"/>
        <v>25356.779482359998</v>
      </c>
      <c r="Y302" s="618">
        <v>-7</v>
      </c>
    </row>
    <row r="303" spans="1:25">
      <c r="A303" s="49">
        <f t="shared" si="23"/>
        <v>2021.06</v>
      </c>
      <c r="B303" s="73">
        <v>5671592.13796</v>
      </c>
      <c r="C303" s="1882">
        <f t="shared" si="20"/>
        <v>4050380.7054900001</v>
      </c>
      <c r="D303" s="1804">
        <v>585577.30186999985</v>
      </c>
      <c r="E303" s="294">
        <v>1622029.22483</v>
      </c>
      <c r="F303" s="1804">
        <v>213890.50104999999</v>
      </c>
      <c r="G303" s="294">
        <v>621225.91454999999</v>
      </c>
      <c r="H303" s="1804">
        <v>769012.30468000006</v>
      </c>
      <c r="I303" s="294">
        <v>192735.61897000001</v>
      </c>
      <c r="J303" s="1804">
        <v>45909.839540000008</v>
      </c>
      <c r="K303" s="294">
        <v>710873.9147000002</v>
      </c>
      <c r="L303" s="1804">
        <v>182926.85206000003</v>
      </c>
      <c r="M303" s="294">
        <v>349317.70147000003</v>
      </c>
      <c r="N303" s="1892">
        <v>378092.96423999994</v>
      </c>
      <c r="O303" s="1143">
        <v>440.88786421027032</v>
      </c>
      <c r="P303" s="61">
        <v>157223.41999999998</v>
      </c>
      <c r="Q303" s="458">
        <v>2214384</v>
      </c>
      <c r="R303" s="505">
        <v>36073.45609171968</v>
      </c>
      <c r="S303" s="518">
        <v>2561.2505048627522</v>
      </c>
      <c r="T303" s="1675">
        <v>4810298.4099699985</v>
      </c>
      <c r="U303" s="430">
        <v>116287892.95615998</v>
      </c>
      <c r="V303" s="2748">
        <v>6796.6647449799984</v>
      </c>
      <c r="W303" s="457">
        <v>20589.394704950006</v>
      </c>
      <c r="X303" s="1911">
        <f t="shared" si="22"/>
        <v>27386.059449930006</v>
      </c>
      <c r="Y303" s="618">
        <v>8.6</v>
      </c>
    </row>
    <row r="304" spans="1:25">
      <c r="A304" s="49">
        <f t="shared" si="23"/>
        <v>2021.07</v>
      </c>
      <c r="B304" s="73">
        <v>5964663.187690001</v>
      </c>
      <c r="C304" s="1882">
        <f t="shared" si="20"/>
        <v>4212252.6425500009</v>
      </c>
      <c r="D304" s="1804">
        <v>659443.38653999998</v>
      </c>
      <c r="E304" s="294">
        <v>1653197.0641900001</v>
      </c>
      <c r="F304" s="1804">
        <v>227987.11700999999</v>
      </c>
      <c r="G304" s="294">
        <v>633038.59397000005</v>
      </c>
      <c r="H304" s="1804">
        <v>791469.24959999998</v>
      </c>
      <c r="I304" s="294">
        <v>196702.19028000004</v>
      </c>
      <c r="J304" s="1804">
        <v>50415.040960000006</v>
      </c>
      <c r="K304" s="294">
        <v>746176.77955000009</v>
      </c>
      <c r="L304" s="1804">
        <v>228554.90245000002</v>
      </c>
      <c r="M304" s="294">
        <v>357064.64784999995</v>
      </c>
      <c r="N304" s="1892">
        <v>420614.21528999996</v>
      </c>
      <c r="O304" s="1143">
        <v>455.23814296781023</v>
      </c>
      <c r="P304" s="61">
        <v>157223.41999999998</v>
      </c>
      <c r="Q304" s="458">
        <v>2299459</v>
      </c>
      <c r="R304" s="505">
        <v>37937.498037442521</v>
      </c>
      <c r="S304" s="518">
        <v>2593.9419609960432</v>
      </c>
      <c r="T304" s="1675">
        <v>4754454.2149299989</v>
      </c>
      <c r="U304" s="430">
        <v>125658552.53241004</v>
      </c>
      <c r="V304" s="2748">
        <v>7830.6639864999979</v>
      </c>
      <c r="W304" s="457">
        <v>21314.63234493</v>
      </c>
      <c r="X304" s="1911">
        <f t="shared" si="22"/>
        <v>29145.29633143</v>
      </c>
      <c r="Y304" s="618">
        <v>11.4</v>
      </c>
    </row>
    <row r="305" spans="1:27">
      <c r="A305" s="49">
        <f t="shared" si="23"/>
        <v>2021.08</v>
      </c>
      <c r="B305" s="73">
        <v>5772681.8832900003</v>
      </c>
      <c r="C305" s="1882">
        <f t="shared" si="20"/>
        <v>4101503.5491299997</v>
      </c>
      <c r="D305" s="1804">
        <v>632957.43199000019</v>
      </c>
      <c r="E305" s="294">
        <v>1614720.3129</v>
      </c>
      <c r="F305" s="1804">
        <v>222039.09782</v>
      </c>
      <c r="G305" s="294">
        <v>635810.49082999991</v>
      </c>
      <c r="H305" s="1804">
        <v>748986.84614000004</v>
      </c>
      <c r="I305" s="294">
        <v>196543.59652999998</v>
      </c>
      <c r="J305" s="1804">
        <v>50445.77292000001</v>
      </c>
      <c r="K305" s="294">
        <v>752699.00272999995</v>
      </c>
      <c r="L305" s="1804">
        <v>159871.11270999999</v>
      </c>
      <c r="M305" s="294">
        <v>305724.66777</v>
      </c>
      <c r="N305" s="1892">
        <v>452883.55095000006</v>
      </c>
      <c r="O305" s="1143">
        <v>467.15599586747408</v>
      </c>
      <c r="P305" s="61">
        <v>157223.41999999998</v>
      </c>
      <c r="Q305" s="458">
        <v>2241891</v>
      </c>
      <c r="R305" s="505">
        <v>36716.424838551407</v>
      </c>
      <c r="S305" s="518">
        <v>2574.9163912473891</v>
      </c>
      <c r="T305" s="1675">
        <v>4658789.0196800008</v>
      </c>
      <c r="U305" s="430">
        <v>124840319.96239999</v>
      </c>
      <c r="V305" s="2748">
        <v>7598.3508882799997</v>
      </c>
      <c r="W305" s="457">
        <v>20747.633015529998</v>
      </c>
      <c r="X305" s="1911">
        <f t="shared" si="22"/>
        <v>28345.983903809996</v>
      </c>
      <c r="Y305" s="618">
        <v>9.1</v>
      </c>
    </row>
    <row r="306" spans="1:27">
      <c r="A306" s="49">
        <f t="shared" si="23"/>
        <v>2021.09</v>
      </c>
      <c r="B306" s="73">
        <v>5750797.7569880001</v>
      </c>
      <c r="C306" s="1882">
        <f t="shared" si="20"/>
        <v>4149244.9443279998</v>
      </c>
      <c r="D306" s="1804">
        <v>656809.69287999999</v>
      </c>
      <c r="E306" s="294">
        <v>1628166.8942779999</v>
      </c>
      <c r="F306" s="1804">
        <v>225937.03237999999</v>
      </c>
      <c r="G306" s="294">
        <v>635551.98424000002</v>
      </c>
      <c r="H306" s="1804">
        <v>743903.07764000003</v>
      </c>
      <c r="I306" s="294">
        <v>205790.54684999996</v>
      </c>
      <c r="J306" s="1804">
        <v>53085.716059999999</v>
      </c>
      <c r="K306" s="294">
        <v>777361.68623999972</v>
      </c>
      <c r="L306" s="1804">
        <v>158186.63016000003</v>
      </c>
      <c r="M306" s="294">
        <v>300382.31199999998</v>
      </c>
      <c r="N306" s="1892">
        <v>365622.18426000001</v>
      </c>
      <c r="O306" s="1143">
        <v>480.88477524145247</v>
      </c>
      <c r="P306" s="61">
        <v>157223.41999999998</v>
      </c>
      <c r="Q306" s="458">
        <v>2200482</v>
      </c>
      <c r="R306" s="505">
        <v>36577.233576193677</v>
      </c>
      <c r="S306" s="518">
        <v>2613.4264024827289</v>
      </c>
      <c r="T306" s="1675">
        <v>4416780.2585299993</v>
      </c>
      <c r="U306" s="430">
        <v>123002252.42976004</v>
      </c>
      <c r="V306" s="2748">
        <v>7921.0990212349998</v>
      </c>
      <c r="W306" s="457">
        <v>21200.653192300004</v>
      </c>
      <c r="X306" s="1911">
        <f t="shared" si="22"/>
        <v>29121.752213535005</v>
      </c>
      <c r="Y306" s="618">
        <v>15.7</v>
      </c>
    </row>
    <row r="307" spans="1:27">
      <c r="A307" s="49">
        <f t="shared" si="23"/>
        <v>2021.1</v>
      </c>
      <c r="B307" s="73">
        <v>6380878.4472399987</v>
      </c>
      <c r="C307" s="1882">
        <f>SUM(D307:J307)</f>
        <v>4530720.8717599995</v>
      </c>
      <c r="D307" s="1804">
        <v>787196.03321000002</v>
      </c>
      <c r="E307" s="294">
        <v>1710113.0332199999</v>
      </c>
      <c r="F307" s="1804">
        <v>244133.59561000002</v>
      </c>
      <c r="G307" s="294">
        <v>659678.26189999992</v>
      </c>
      <c r="H307" s="1804">
        <v>833799.53439000016</v>
      </c>
      <c r="I307" s="294">
        <v>238037.14467999997</v>
      </c>
      <c r="J307" s="1804">
        <v>57763.268750000003</v>
      </c>
      <c r="K307" s="294">
        <v>860204.44900999998</v>
      </c>
      <c r="L307" s="1804">
        <v>166390.59540000002</v>
      </c>
      <c r="M307" s="294">
        <v>395527.06636</v>
      </c>
      <c r="N307" s="1892">
        <v>428035.46471000003</v>
      </c>
      <c r="O307" s="1143">
        <v>496.78579849567683</v>
      </c>
      <c r="P307" s="61">
        <v>157223.41999999998</v>
      </c>
      <c r="Q307" s="458">
        <v>2375551</v>
      </c>
      <c r="R307" s="505">
        <v>40584.783407204857</v>
      </c>
      <c r="S307" s="518">
        <v>2686.0624954968339</v>
      </c>
      <c r="T307" s="1675">
        <v>4486843.91995</v>
      </c>
      <c r="U307" s="430">
        <v>140487487.26625001</v>
      </c>
      <c r="V307" s="2748">
        <v>8613.2013615899996</v>
      </c>
      <c r="W307" s="457">
        <v>23091.43770423</v>
      </c>
      <c r="X307" s="1911">
        <f t="shared" si="22"/>
        <v>31704.63906582</v>
      </c>
      <c r="Y307" s="618">
        <v>9.1</v>
      </c>
    </row>
    <row r="308" spans="1:27">
      <c r="A308" s="49">
        <f t="shared" si="23"/>
        <v>2021.11</v>
      </c>
      <c r="B308" s="73">
        <v>6240845.8046290008</v>
      </c>
      <c r="C308" s="1882">
        <f t="shared" si="20"/>
        <v>4369434.6034850003</v>
      </c>
      <c r="D308" s="1804">
        <v>806834.85134599986</v>
      </c>
      <c r="E308" s="294">
        <v>1664497.918513</v>
      </c>
      <c r="F308" s="1804">
        <v>220846.858484</v>
      </c>
      <c r="G308" s="294">
        <v>616007.39964299998</v>
      </c>
      <c r="H308" s="1804">
        <v>768486.33507599996</v>
      </c>
      <c r="I308" s="294">
        <v>237965.62299500001</v>
      </c>
      <c r="J308" s="1804">
        <v>54795.617427999998</v>
      </c>
      <c r="K308" s="294">
        <v>861694.5593480001</v>
      </c>
      <c r="L308" s="1804">
        <v>152263.82840999999</v>
      </c>
      <c r="M308" s="294">
        <v>388286.954707</v>
      </c>
      <c r="N308" s="1892">
        <v>469165.85867899994</v>
      </c>
      <c r="O308" s="1143">
        <v>508.29085272303979</v>
      </c>
      <c r="P308" s="61">
        <v>157223.41999999998</v>
      </c>
      <c r="Q308" s="458">
        <v>2349591</v>
      </c>
      <c r="R308" s="505">
        <v>39694.123207782912</v>
      </c>
      <c r="S308" s="518">
        <v>2656.1413474213168</v>
      </c>
      <c r="T308" s="1675">
        <v>5751181.8092799997</v>
      </c>
      <c r="U308" s="430">
        <v>141701960.65865299</v>
      </c>
      <c r="V308" s="2748">
        <v>9657.6563066200015</v>
      </c>
      <c r="W308" s="457">
        <v>23798.207849709997</v>
      </c>
      <c r="X308" s="1911">
        <f t="shared" si="22"/>
        <v>33455.864156329997</v>
      </c>
      <c r="Y308" s="618">
        <v>8.9</v>
      </c>
    </row>
    <row r="309" spans="1:27">
      <c r="A309" s="49">
        <f t="shared" si="23"/>
        <v>2021.12</v>
      </c>
      <c r="B309" s="73">
        <v>8439799.4530190006</v>
      </c>
      <c r="C309" s="1882">
        <f t="shared" si="20"/>
        <v>6075400.6701230016</v>
      </c>
      <c r="D309" s="1804">
        <v>1610223.593358</v>
      </c>
      <c r="E309" s="294">
        <v>2086150.1557790001</v>
      </c>
      <c r="F309" s="1804">
        <v>297219.14367400005</v>
      </c>
      <c r="G309" s="294">
        <v>683349.75972199999</v>
      </c>
      <c r="H309" s="1804">
        <v>1026657.104558</v>
      </c>
      <c r="I309" s="294">
        <v>297595.90901000006</v>
      </c>
      <c r="J309" s="1804">
        <v>74205.004021999994</v>
      </c>
      <c r="K309" s="294">
        <v>1000624.620722</v>
      </c>
      <c r="L309" s="1804">
        <v>212080.79623899999</v>
      </c>
      <c r="M309" s="294">
        <v>440934.660768</v>
      </c>
      <c r="N309" s="1892">
        <v>710758.70516699995</v>
      </c>
      <c r="O309" s="1143">
        <v>522.72807839394454</v>
      </c>
      <c r="P309" s="61">
        <v>157921.41999999998</v>
      </c>
      <c r="Q309" s="458">
        <v>2783694</v>
      </c>
      <c r="R309" s="505">
        <v>53443.031686385555</v>
      </c>
      <c r="S309" s="518">
        <v>3031.8704042251056</v>
      </c>
      <c r="T309" s="1675">
        <v>5116430.6342700003</v>
      </c>
      <c r="U309" s="430">
        <v>183983151.87992013</v>
      </c>
      <c r="V309" s="2748">
        <v>11242.647337119999</v>
      </c>
      <c r="W309" s="457">
        <v>30132.905863250005</v>
      </c>
      <c r="X309" s="1911">
        <f t="shared" si="22"/>
        <v>41375.553200370006</v>
      </c>
      <c r="Y309" s="618">
        <v>4</v>
      </c>
    </row>
    <row r="310" spans="1:27">
      <c r="A310" s="49">
        <f t="shared" si="23"/>
        <v>2022.01</v>
      </c>
      <c r="B310" s="73">
        <v>6793091.7961590001</v>
      </c>
      <c r="C310" s="1882">
        <f t="shared" ref="C310:C357" si="24">SUM(D310:J310)</f>
        <v>4743789.9002970001</v>
      </c>
      <c r="D310" s="1804">
        <v>918266.60633999994</v>
      </c>
      <c r="E310" s="294">
        <v>1704781.2295479998</v>
      </c>
      <c r="F310" s="1804">
        <v>236968.24042099999</v>
      </c>
      <c r="G310" s="294">
        <v>671298.76129199995</v>
      </c>
      <c r="H310" s="1804">
        <v>832736.25968699995</v>
      </c>
      <c r="I310" s="294">
        <v>319304.69613499998</v>
      </c>
      <c r="J310" s="1804">
        <v>60434.106874000005</v>
      </c>
      <c r="K310" s="294">
        <v>957818.05579699995</v>
      </c>
      <c r="L310" s="1804">
        <v>163028.57892099998</v>
      </c>
      <c r="M310" s="294">
        <v>411679.06118000002</v>
      </c>
      <c r="N310" s="1892">
        <v>516776.19996399997</v>
      </c>
      <c r="O310" s="1143">
        <v>544.73617364746781</v>
      </c>
      <c r="P310" s="61">
        <v>157921.41999999998</v>
      </c>
      <c r="Q310" s="458">
        <v>2382482</v>
      </c>
      <c r="R310" s="505">
        <v>43015.645351713531</v>
      </c>
      <c r="S310" s="518">
        <v>2851.2667865524272</v>
      </c>
      <c r="T310" s="1675">
        <v>4819479.5535999993</v>
      </c>
      <c r="U310" s="430">
        <v>154517094.18196809</v>
      </c>
      <c r="V310" s="2748">
        <v>9819.9169654699999</v>
      </c>
      <c r="W310" s="457">
        <v>23331.069634269999</v>
      </c>
      <c r="X310" s="1911">
        <f t="shared" si="22"/>
        <v>33150.986599739997</v>
      </c>
      <c r="Y310" s="618">
        <v>17.5</v>
      </c>
    </row>
    <row r="311" spans="1:27">
      <c r="A311" s="49">
        <f t="shared" si="23"/>
        <v>2022.02</v>
      </c>
      <c r="B311" s="73">
        <v>6733951.690328001</v>
      </c>
      <c r="C311" s="1882">
        <f t="shared" si="24"/>
        <v>4844004.6375570009</v>
      </c>
      <c r="D311" s="1804">
        <v>922107.27554900001</v>
      </c>
      <c r="E311" s="294">
        <v>1746784.6073289998</v>
      </c>
      <c r="F311" s="1804">
        <v>244750.29093599998</v>
      </c>
      <c r="G311" s="294">
        <v>667921.32381199999</v>
      </c>
      <c r="H311" s="1804">
        <v>871735.93383800017</v>
      </c>
      <c r="I311" s="294">
        <v>330204.46530000004</v>
      </c>
      <c r="J311" s="1804">
        <v>60500.740792999997</v>
      </c>
      <c r="K311" s="294">
        <v>914932.59897099994</v>
      </c>
      <c r="L311" s="1804">
        <v>175597.023372</v>
      </c>
      <c r="M311" s="294">
        <v>297781.37215100002</v>
      </c>
      <c r="N311" s="1892">
        <v>501636.05827700003</v>
      </c>
      <c r="O311" s="1143">
        <v>574.01754265688635</v>
      </c>
      <c r="P311" s="61">
        <v>157921.41999999998</v>
      </c>
      <c r="Q311" s="458">
        <v>2321137</v>
      </c>
      <c r="R311" s="505">
        <v>42641.154634551793</v>
      </c>
      <c r="S311" s="518">
        <v>2901.1435733125613</v>
      </c>
      <c r="T311" s="1675">
        <v>3796044.0764600001</v>
      </c>
      <c r="U311" s="430">
        <v>152202573.39011797</v>
      </c>
      <c r="V311" s="2748">
        <v>9174.8733841300018</v>
      </c>
      <c r="W311" s="457">
        <v>24205.908156639995</v>
      </c>
      <c r="X311" s="1911">
        <f t="shared" si="22"/>
        <v>33380.781540769996</v>
      </c>
      <c r="Y311" s="618">
        <v>20.7</v>
      </c>
    </row>
    <row r="312" spans="1:27">
      <c r="A312" s="49">
        <f t="shared" si="23"/>
        <v>2022.03</v>
      </c>
      <c r="B312" s="73">
        <v>7707157.9705400001</v>
      </c>
      <c r="C312" s="1882">
        <f t="shared" si="24"/>
        <v>5552538.0927400002</v>
      </c>
      <c r="D312" s="1804">
        <v>899210.27598000003</v>
      </c>
      <c r="E312" s="294">
        <v>2074871.3724400001</v>
      </c>
      <c r="F312" s="1804">
        <v>334201.73248000001</v>
      </c>
      <c r="G312" s="294">
        <v>798769.07525999995</v>
      </c>
      <c r="H312" s="1804">
        <v>1007636.4614199999</v>
      </c>
      <c r="I312" s="294">
        <v>368360.93974000006</v>
      </c>
      <c r="J312" s="1804">
        <v>69488.235419999997</v>
      </c>
      <c r="K312" s="294">
        <v>1091450.8223299999</v>
      </c>
      <c r="L312" s="1804">
        <v>202830.44890000002</v>
      </c>
      <c r="M312" s="294">
        <v>353845.91772000003</v>
      </c>
      <c r="N312" s="1892">
        <v>506492.68885000004</v>
      </c>
      <c r="O312" s="1143">
        <v>616.33591811763347</v>
      </c>
      <c r="P312" s="61">
        <v>157921.41999999998</v>
      </c>
      <c r="Q312" s="458">
        <v>2578166</v>
      </c>
      <c r="R312" s="505">
        <v>48803.752971192887</v>
      </c>
      <c r="S312" s="518">
        <v>2989.3955511553559</v>
      </c>
      <c r="T312" s="1675">
        <v>4661427.4271400003</v>
      </c>
      <c r="U312" s="430">
        <v>168982502.27879015</v>
      </c>
      <c r="V312" s="2748">
        <v>11195.64490922</v>
      </c>
      <c r="W312" s="457">
        <v>29379.697757779999</v>
      </c>
      <c r="X312" s="1911">
        <f t="shared" si="22"/>
        <v>40575.342666999997</v>
      </c>
      <c r="Y312" s="618">
        <v>15</v>
      </c>
    </row>
    <row r="313" spans="1:27">
      <c r="A313" s="49">
        <f t="shared" si="23"/>
        <v>2022.04</v>
      </c>
      <c r="B313" s="73">
        <v>8217793.8093130002</v>
      </c>
      <c r="C313" s="1882">
        <f t="shared" si="24"/>
        <v>6077316.0277009998</v>
      </c>
      <c r="D313" s="1804">
        <v>946752.88567300001</v>
      </c>
      <c r="E313" s="294">
        <v>2406096.90808</v>
      </c>
      <c r="F313" s="1804">
        <v>357866.08395199996</v>
      </c>
      <c r="G313" s="294">
        <v>841261.51663899992</v>
      </c>
      <c r="H313" s="1804">
        <v>1105758.750209</v>
      </c>
      <c r="I313" s="294">
        <v>343505.10460900003</v>
      </c>
      <c r="J313" s="1804">
        <v>76074.778538999992</v>
      </c>
      <c r="K313" s="294">
        <v>1084036.1164270001</v>
      </c>
      <c r="L313" s="1804">
        <v>208847.317133</v>
      </c>
      <c r="M313" s="294">
        <v>353281.85991299996</v>
      </c>
      <c r="N313" s="1892">
        <v>494312.48813900008</v>
      </c>
      <c r="O313" s="1143">
        <v>658.73743541534532</v>
      </c>
      <c r="P313" s="61">
        <v>157798.41999999998</v>
      </c>
      <c r="Q313" s="61">
        <v>2624943</v>
      </c>
      <c r="R313" s="505">
        <v>52077.795261277024</v>
      </c>
      <c r="S313" s="518">
        <v>3130.6560977945046</v>
      </c>
      <c r="T313" s="1675">
        <v>4144573.3832600005</v>
      </c>
      <c r="U313" s="430">
        <v>177192288.72404</v>
      </c>
      <c r="V313" s="2748">
        <v>10729.314331869999</v>
      </c>
      <c r="W313" s="457">
        <v>30025.942667830001</v>
      </c>
      <c r="X313" s="1911">
        <f t="shared" si="22"/>
        <v>40755.256999699996</v>
      </c>
      <c r="Y313" s="618">
        <v>6</v>
      </c>
    </row>
    <row r="314" spans="1:27">
      <c r="A314" s="49">
        <f t="shared" si="23"/>
        <v>2022.05</v>
      </c>
      <c r="B314" s="73">
        <v>8373768.3249940006</v>
      </c>
      <c r="C314" s="1882">
        <f t="shared" si="24"/>
        <v>6039780.5669450006</v>
      </c>
      <c r="D314" s="1804">
        <v>877840.56773000001</v>
      </c>
      <c r="E314" s="294">
        <v>2303513.789593</v>
      </c>
      <c r="F314" s="1804">
        <v>360099.46808899997</v>
      </c>
      <c r="G314" s="294">
        <v>892096.11500500003</v>
      </c>
      <c r="H314" s="1804">
        <v>1207448.3939769999</v>
      </c>
      <c r="I314" s="294">
        <v>321232.69664899999</v>
      </c>
      <c r="J314" s="1804">
        <v>77549.535902000003</v>
      </c>
      <c r="K314" s="294">
        <v>1122648.307857</v>
      </c>
      <c r="L314" s="1804">
        <v>264364.09652600001</v>
      </c>
      <c r="M314" s="294">
        <v>426864.61763299996</v>
      </c>
      <c r="N314" s="1892">
        <v>520110.73603299994</v>
      </c>
      <c r="O314" s="1143">
        <v>694.07586488958816</v>
      </c>
      <c r="P314" s="61">
        <v>157798.41999999998</v>
      </c>
      <c r="Q314" s="61">
        <v>2555702</v>
      </c>
      <c r="R314" s="505">
        <v>53066.236816528333</v>
      </c>
      <c r="S314" s="518">
        <v>3276.5041953224591</v>
      </c>
      <c r="T314" s="1675">
        <v>4281329.2020300003</v>
      </c>
      <c r="U314" s="430">
        <v>179641568.73318994</v>
      </c>
      <c r="V314" s="2748">
        <v>11507.916611748999</v>
      </c>
      <c r="W314" s="457">
        <v>31497.815537360002</v>
      </c>
      <c r="X314" s="1911">
        <f t="shared" si="22"/>
        <v>43005.732149108997</v>
      </c>
      <c r="Y314" s="618">
        <v>-3.4</v>
      </c>
      <c r="AA314" s="2676"/>
    </row>
    <row r="315" spans="1:27">
      <c r="A315" s="49">
        <f t="shared" si="23"/>
        <v>2022.06</v>
      </c>
      <c r="B315" s="73">
        <v>9181317.2561770026</v>
      </c>
      <c r="C315" s="1882">
        <f t="shared" si="24"/>
        <v>6601274.2777480008</v>
      </c>
      <c r="D315" s="1804">
        <v>974686.11820400017</v>
      </c>
      <c r="E315" s="294">
        <v>2661116.0447910004</v>
      </c>
      <c r="F315" s="1804">
        <v>398478.327926</v>
      </c>
      <c r="G315" s="294">
        <v>958556.26197899994</v>
      </c>
      <c r="H315" s="1804">
        <v>1195074.7594909999</v>
      </c>
      <c r="I315" s="294">
        <v>328675.75470600004</v>
      </c>
      <c r="J315" s="1804">
        <v>84687.010651000004</v>
      </c>
      <c r="K315" s="294">
        <v>1193404.6019309999</v>
      </c>
      <c r="L315" s="1804">
        <v>325169.33016700001</v>
      </c>
      <c r="M315" s="294">
        <v>499535.59042900003</v>
      </c>
      <c r="N315" s="1892">
        <v>561933.45590200007</v>
      </c>
      <c r="O315" s="1143">
        <v>729.17645161806922</v>
      </c>
      <c r="P315" s="61">
        <v>157798.41999999998</v>
      </c>
      <c r="Q315" s="61">
        <v>2630318</v>
      </c>
      <c r="R315" s="505">
        <v>58183.835149787941</v>
      </c>
      <c r="S315" s="518">
        <v>3490.5731003540254</v>
      </c>
      <c r="T315" s="1675">
        <v>6604256.6505800001</v>
      </c>
      <c r="U315" s="430">
        <v>196114524.8169319</v>
      </c>
      <c r="V315" s="2748">
        <v>12446.650678689999</v>
      </c>
      <c r="W315" s="457">
        <v>33999.784661329999</v>
      </c>
      <c r="X315" s="1911">
        <f t="shared" ref="X315:X328" si="25">V315+W315</f>
        <v>46446.435340019998</v>
      </c>
      <c r="Y315" s="2678">
        <v>-25.8</v>
      </c>
    </row>
    <row r="316" spans="1:27">
      <c r="A316" s="49">
        <f t="shared" si="23"/>
        <v>2022.07</v>
      </c>
      <c r="B316" s="73">
        <v>10444220.320898</v>
      </c>
      <c r="C316" s="1882">
        <f t="shared" si="24"/>
        <v>7425101.312140001</v>
      </c>
      <c r="D316" s="1804">
        <v>1155799.225083</v>
      </c>
      <c r="E316" s="294">
        <v>3041958.0671850001</v>
      </c>
      <c r="F316" s="1804">
        <v>441164.62202799995</v>
      </c>
      <c r="G316" s="294">
        <v>1037952.688783</v>
      </c>
      <c r="H316" s="1804">
        <v>1282744.9514650002</v>
      </c>
      <c r="I316" s="294">
        <v>369835.40346999996</v>
      </c>
      <c r="J316" s="1804">
        <v>95646.354126000006</v>
      </c>
      <c r="K316" s="294">
        <v>1401075.2595019999</v>
      </c>
      <c r="L316" s="1804">
        <v>310573.9826419999</v>
      </c>
      <c r="M316" s="294">
        <v>624614.58302200004</v>
      </c>
      <c r="N316" s="1892">
        <v>682855.18359199993</v>
      </c>
      <c r="O316" s="1143">
        <v>785.24478536337426</v>
      </c>
      <c r="P316" s="61">
        <v>157798.41999999998</v>
      </c>
      <c r="Q316" s="61">
        <v>2786453</v>
      </c>
      <c r="R316" s="505">
        <v>66187.103273264729</v>
      </c>
      <c r="S316" s="518">
        <v>3748.213345388564</v>
      </c>
      <c r="T316" s="1675">
        <v>7262837.5904100006</v>
      </c>
      <c r="U316" s="430">
        <v>228215344.73119715</v>
      </c>
      <c r="V316" s="2748">
        <v>13908.270826959999</v>
      </c>
      <c r="W316" s="457">
        <v>39725.719946219993</v>
      </c>
      <c r="X316" s="1911">
        <f t="shared" si="25"/>
        <v>53633.99077317999</v>
      </c>
      <c r="Y316" s="618">
        <v>-3.5</v>
      </c>
      <c r="AA316" s="2677"/>
    </row>
    <row r="317" spans="1:27">
      <c r="A317" s="49">
        <f t="shared" si="23"/>
        <v>2022.08</v>
      </c>
      <c r="B317" s="73">
        <v>10607664.749222999</v>
      </c>
      <c r="C317" s="1882">
        <f t="shared" si="24"/>
        <v>7644686.7531239996</v>
      </c>
      <c r="D317" s="1804">
        <v>1223176.425049</v>
      </c>
      <c r="E317" s="294">
        <v>2956731.7857089997</v>
      </c>
      <c r="F317" s="1804">
        <v>529175.32016699994</v>
      </c>
      <c r="G317" s="294">
        <v>1119867.759418</v>
      </c>
      <c r="H317" s="1804">
        <v>1290802.9240169998</v>
      </c>
      <c r="I317" s="294">
        <v>424574.16663599998</v>
      </c>
      <c r="J317" s="1804">
        <v>100358.37212799999</v>
      </c>
      <c r="K317" s="294">
        <v>1454566.9839589999</v>
      </c>
      <c r="L317" s="1804">
        <v>244675.82794900003</v>
      </c>
      <c r="M317" s="294">
        <v>491862.78409100004</v>
      </c>
      <c r="N317" s="1892">
        <v>771872.40010000009</v>
      </c>
      <c r="O317" s="1143">
        <v>845.95099870744582</v>
      </c>
      <c r="P317" s="61">
        <v>157798.41999999998</v>
      </c>
      <c r="Q317" s="61">
        <v>2794701</v>
      </c>
      <c r="R317" s="505">
        <v>67222.883151954244</v>
      </c>
      <c r="S317" s="518">
        <v>3795.6349352660623</v>
      </c>
      <c r="T317" s="1675">
        <v>7246899.5353999995</v>
      </c>
      <c r="U317" s="430">
        <v>225508109.13560194</v>
      </c>
      <c r="V317" s="2748">
        <v>13597.316349279998</v>
      </c>
      <c r="W317" s="457">
        <v>37060.127550540004</v>
      </c>
      <c r="X317" s="1911">
        <f t="shared" si="25"/>
        <v>50657.443899820006</v>
      </c>
      <c r="Y317" s="618">
        <v>-2.1</v>
      </c>
      <c r="AA317" s="2677"/>
    </row>
    <row r="318" spans="1:27">
      <c r="A318" s="49">
        <f t="shared" si="23"/>
        <v>2022.09</v>
      </c>
      <c r="B318" s="73">
        <v>10811148.211095998</v>
      </c>
      <c r="C318" s="1882">
        <f t="shared" si="24"/>
        <v>7920271.0219859984</v>
      </c>
      <c r="D318" s="1804">
        <v>1317530.7009919998</v>
      </c>
      <c r="E318" s="294">
        <v>3149524.1643949994</v>
      </c>
      <c r="F318" s="1804">
        <v>456909.65230999992</v>
      </c>
      <c r="G318" s="294">
        <v>1140045.8398279999</v>
      </c>
      <c r="H318" s="1804">
        <v>1298201.7270059998</v>
      </c>
      <c r="I318" s="294">
        <v>455321.91233599989</v>
      </c>
      <c r="J318" s="1804">
        <v>102737.02511900001</v>
      </c>
      <c r="K318" s="294">
        <v>1510557.10763</v>
      </c>
      <c r="L318" s="1804">
        <v>219375.24663700003</v>
      </c>
      <c r="M318" s="294">
        <v>535810.903101</v>
      </c>
      <c r="N318" s="1892">
        <v>625133.93174199993</v>
      </c>
      <c r="O318" s="1143">
        <v>900.76642417450273</v>
      </c>
      <c r="P318" s="61">
        <v>158438.41999999998</v>
      </c>
      <c r="Q318" s="61">
        <v>2649434</v>
      </c>
      <c r="R318" s="505">
        <v>68235.64771155885</v>
      </c>
      <c r="S318" s="518">
        <v>4080.5501141360755</v>
      </c>
      <c r="T318" s="1675">
        <v>8311857.6656200001</v>
      </c>
      <c r="U318" s="430">
        <v>232153157.22455993</v>
      </c>
      <c r="V318" s="2748">
        <v>14681.887506129999</v>
      </c>
      <c r="W318" s="457">
        <v>38917.662973040002</v>
      </c>
      <c r="X318" s="1911">
        <f t="shared" si="25"/>
        <v>53599.55047917</v>
      </c>
      <c r="Y318" s="618">
        <v>-3.9</v>
      </c>
      <c r="AA318" s="2677"/>
    </row>
    <row r="319" spans="1:27">
      <c r="A319" s="49">
        <f t="shared" si="23"/>
        <v>2022.1</v>
      </c>
      <c r="B319" s="73">
        <v>12290121.323015999</v>
      </c>
      <c r="C319" s="1882">
        <f t="shared" si="24"/>
        <v>8734916.7224710006</v>
      </c>
      <c r="D319" s="1804">
        <v>1510449.2521429998</v>
      </c>
      <c r="E319" s="294">
        <v>3359403.1596940001</v>
      </c>
      <c r="F319" s="1804">
        <v>514144.21495299996</v>
      </c>
      <c r="G319" s="294">
        <v>1257871.6694820002</v>
      </c>
      <c r="H319" s="1804">
        <v>1446177.0724269999</v>
      </c>
      <c r="I319" s="294">
        <v>534570.61297699995</v>
      </c>
      <c r="J319" s="1804">
        <v>112300.74079499999</v>
      </c>
      <c r="K319" s="294">
        <v>1681488.3101009999</v>
      </c>
      <c r="L319" s="1804">
        <v>266336.72138100001</v>
      </c>
      <c r="M319" s="294">
        <v>847885.446367</v>
      </c>
      <c r="N319" s="1892">
        <v>759494.12269600003</v>
      </c>
      <c r="O319" s="1143">
        <v>954.36639265471024</v>
      </c>
      <c r="P319" s="61">
        <v>158438.41999999998</v>
      </c>
      <c r="Q319" s="61">
        <v>2802082</v>
      </c>
      <c r="R319" s="505">
        <v>77570.335042573643</v>
      </c>
      <c r="S319" s="518">
        <v>4386.0676893167292</v>
      </c>
      <c r="T319" s="1675">
        <v>8770878.0147599988</v>
      </c>
      <c r="U319" s="430">
        <v>265665688.89025596</v>
      </c>
      <c r="V319" s="2748">
        <v>15267.757707569999</v>
      </c>
      <c r="W319" s="457">
        <v>41674.608560850007</v>
      </c>
      <c r="X319" s="1911">
        <f t="shared" si="25"/>
        <v>56942.36626842001</v>
      </c>
      <c r="Y319" s="618">
        <v>-3.2</v>
      </c>
      <c r="AA319" s="2734"/>
    </row>
    <row r="320" spans="1:27">
      <c r="A320" s="49">
        <f t="shared" si="23"/>
        <v>2022.11</v>
      </c>
      <c r="B320" s="73">
        <v>13085811.616799999</v>
      </c>
      <c r="C320" s="1882">
        <f>SUM(D320:J320)</f>
        <v>9067505.0667930003</v>
      </c>
      <c r="D320" s="1804">
        <v>1813948.4878969998</v>
      </c>
      <c r="E320" s="294">
        <v>3404755.7182160001</v>
      </c>
      <c r="F320" s="1804">
        <v>509521.71078499994</v>
      </c>
      <c r="G320" s="294">
        <v>1266135.8455739999</v>
      </c>
      <c r="H320" s="1804">
        <v>1385654.074456</v>
      </c>
      <c r="I320" s="294">
        <v>572039.83802000002</v>
      </c>
      <c r="J320" s="1804">
        <v>115449.39184499999</v>
      </c>
      <c r="K320" s="294">
        <v>1822469.5947800002</v>
      </c>
      <c r="L320" s="1804">
        <v>269533.67024100007</v>
      </c>
      <c r="M320" s="294">
        <v>1093951.2443959999</v>
      </c>
      <c r="N320" s="1892">
        <v>832352.04059000011</v>
      </c>
      <c r="O320" s="1143">
        <v>997.18751425954258</v>
      </c>
      <c r="P320" s="61">
        <v>158438.41999999998</v>
      </c>
      <c r="Q320" s="61">
        <v>2723353</v>
      </c>
      <c r="R320" s="505">
        <v>82592.414243969382</v>
      </c>
      <c r="S320" s="518">
        <v>4805.0368853395066</v>
      </c>
      <c r="T320" s="1675">
        <v>11812684.989150001</v>
      </c>
      <c r="U320" s="430">
        <v>284786453.14432305</v>
      </c>
      <c r="V320" s="2748">
        <v>18374.647014310001</v>
      </c>
      <c r="W320" s="457">
        <v>46607.448992070007</v>
      </c>
      <c r="X320" s="1911">
        <f t="shared" si="25"/>
        <v>64982.096006380008</v>
      </c>
      <c r="Y320" s="618">
        <v>-3.1</v>
      </c>
    </row>
    <row r="321" spans="1:27">
      <c r="A321" s="49">
        <f t="shared" si="23"/>
        <v>2022.12</v>
      </c>
      <c r="B321" s="73">
        <v>16937132.316863</v>
      </c>
      <c r="C321" s="1882">
        <f>SUM(D321:J321)</f>
        <v>12366281.234284</v>
      </c>
      <c r="D321" s="1804">
        <v>3476217.0716999997</v>
      </c>
      <c r="E321" s="294">
        <v>4205357.5974800009</v>
      </c>
      <c r="F321" s="1804">
        <v>695379.16704900004</v>
      </c>
      <c r="G321" s="294">
        <v>1381793.030001</v>
      </c>
      <c r="H321" s="1804">
        <v>1716356.083481</v>
      </c>
      <c r="I321" s="294">
        <v>732775.13367500005</v>
      </c>
      <c r="J321" s="1804">
        <v>158403.15089799996</v>
      </c>
      <c r="K321" s="294">
        <v>2031317.437436</v>
      </c>
      <c r="L321" s="1804">
        <v>358306.05613400001</v>
      </c>
      <c r="M321" s="294">
        <v>883794.52314400009</v>
      </c>
      <c r="N321" s="1892">
        <v>1297433.065865</v>
      </c>
      <c r="O321" s="1143">
        <v>1042.4136744951095</v>
      </c>
      <c r="P321" s="61">
        <v>158438.41999999998</v>
      </c>
      <c r="Q321" s="61">
        <v>3073104</v>
      </c>
      <c r="R321" s="505">
        <v>106900.41163540386</v>
      </c>
      <c r="S321" s="518">
        <v>5511.4087635377782</v>
      </c>
      <c r="T321" s="1675">
        <v>10616793.491700001</v>
      </c>
      <c r="U321" s="430">
        <v>359667612.32616979</v>
      </c>
      <c r="V321" s="2748">
        <v>20713.712003110002</v>
      </c>
      <c r="W321" s="457">
        <v>61259.000019369996</v>
      </c>
      <c r="X321" s="1911">
        <f t="shared" si="25"/>
        <v>81972.712022480002</v>
      </c>
      <c r="Y321" s="618">
        <v>2.7</v>
      </c>
      <c r="AA321" s="2733"/>
    </row>
    <row r="322" spans="1:27">
      <c r="A322" s="49">
        <f t="shared" si="23"/>
        <v>2023.01</v>
      </c>
      <c r="B322" s="73">
        <v>14413531.340393998</v>
      </c>
      <c r="C322" s="1882">
        <f>SUM(D322:J322)</f>
        <v>10290095.301556999</v>
      </c>
      <c r="D322" s="1804">
        <v>2231005.2973790001</v>
      </c>
      <c r="E322" s="294">
        <v>3611015.0246349997</v>
      </c>
      <c r="F322" s="1804">
        <v>574831.202697</v>
      </c>
      <c r="G322" s="294">
        <v>1387600.00132</v>
      </c>
      <c r="H322" s="1804">
        <v>1542522.4527430001</v>
      </c>
      <c r="I322" s="294">
        <v>800646.23918199993</v>
      </c>
      <c r="J322" s="1804">
        <v>142475.08360100002</v>
      </c>
      <c r="K322" s="294">
        <v>2029044.0424540001</v>
      </c>
      <c r="L322" s="1804">
        <v>322006.63340899994</v>
      </c>
      <c r="M322" s="294">
        <v>733252.64323199994</v>
      </c>
      <c r="N322" s="1892">
        <v>1039132.7197420001</v>
      </c>
      <c r="O322" s="1143">
        <v>1107.187260576171</v>
      </c>
      <c r="P322" s="61">
        <v>160150.41999999998</v>
      </c>
      <c r="Q322" s="61">
        <v>2780379</v>
      </c>
      <c r="R322" s="505">
        <v>89999.959665382092</v>
      </c>
      <c r="S322" s="518">
        <v>5184.0167618853402</v>
      </c>
      <c r="T322" s="1675">
        <v>9314561.1424499992</v>
      </c>
      <c r="U322" s="430">
        <v>316578387.6306569</v>
      </c>
      <c r="V322" s="2748">
        <v>17838.336524549995</v>
      </c>
      <c r="W322" s="457">
        <v>49264.6829641</v>
      </c>
      <c r="X322" s="1911">
        <f t="shared" si="25"/>
        <v>67103.019488649996</v>
      </c>
      <c r="Y322" s="618">
        <v>-0.3</v>
      </c>
    </row>
    <row r="323" spans="1:27">
      <c r="A323" s="49">
        <f t="shared" si="23"/>
        <v>2023.02</v>
      </c>
      <c r="B323" s="73">
        <v>14533670.413500998</v>
      </c>
      <c r="C323" s="1882">
        <f>SUM(D323:J323)</f>
        <v>10598735.541562999</v>
      </c>
      <c r="D323" s="1804">
        <v>2178995.0645819996</v>
      </c>
      <c r="E323" s="294">
        <v>3742541.9967129999</v>
      </c>
      <c r="F323" s="1804">
        <v>589722.17498399992</v>
      </c>
      <c r="G323" s="294">
        <v>1423825.31116</v>
      </c>
      <c r="H323" s="1804">
        <v>1728274.1167719997</v>
      </c>
      <c r="I323" s="294">
        <v>787508.08945199999</v>
      </c>
      <c r="J323" s="1804">
        <v>147868.7879</v>
      </c>
      <c r="K323" s="294">
        <v>1963246.7590460002</v>
      </c>
      <c r="L323" s="1804">
        <v>316073.39620200003</v>
      </c>
      <c r="M323" s="294">
        <v>633426.77385200001</v>
      </c>
      <c r="N323" s="1892">
        <v>1022187.9428380001</v>
      </c>
      <c r="O323" s="1143">
        <v>1189.130654791277</v>
      </c>
      <c r="P323" s="61">
        <v>160150.41999999998</v>
      </c>
      <c r="Q323" s="61">
        <v>2688071</v>
      </c>
      <c r="R323" s="505">
        <v>90750.123624408865</v>
      </c>
      <c r="S323" s="518">
        <v>5406.7286219378129</v>
      </c>
      <c r="T323" s="1675">
        <v>8846908.0012300014</v>
      </c>
      <c r="U323" s="430">
        <v>318416998.00239992</v>
      </c>
      <c r="V323" s="2748">
        <v>17326.582103959998</v>
      </c>
      <c r="W323" s="457">
        <v>48884.508280969996</v>
      </c>
      <c r="X323" s="1911">
        <f t="shared" si="25"/>
        <v>66211.090384929994</v>
      </c>
      <c r="Y323" s="618">
        <v>-0.9</v>
      </c>
    </row>
    <row r="324" spans="1:27">
      <c r="A324" s="49">
        <f t="shared" si="23"/>
        <v>2023.03</v>
      </c>
      <c r="B324" s="73">
        <v>17234707.125774998</v>
      </c>
      <c r="C324" s="1882">
        <f>SUM(D324:J324)</f>
        <v>12873634.210356001</v>
      </c>
      <c r="D324" s="1804">
        <v>2637049.2894220008</v>
      </c>
      <c r="E324" s="294">
        <v>4609313.3697009999</v>
      </c>
      <c r="F324" s="1804">
        <v>725266.46980899991</v>
      </c>
      <c r="G324" s="294">
        <v>1740423.1610629999</v>
      </c>
      <c r="H324" s="1804">
        <v>2079591.2112030003</v>
      </c>
      <c r="I324" s="294">
        <v>906717.15217700019</v>
      </c>
      <c r="J324" s="1804">
        <v>175273.556981</v>
      </c>
      <c r="K324" s="294">
        <v>2400317.1406629998</v>
      </c>
      <c r="L324" s="1804">
        <v>301195.89727099997</v>
      </c>
      <c r="M324" s="294">
        <v>688778.40707700001</v>
      </c>
      <c r="N324" s="1892">
        <v>970781.47040799994</v>
      </c>
      <c r="O324" s="1143">
        <v>1275.6934189248948</v>
      </c>
      <c r="P324" s="61">
        <v>160970.41999999998</v>
      </c>
      <c r="Q324" s="61">
        <v>3026727</v>
      </c>
      <c r="R324" s="505">
        <v>107067.54151337247</v>
      </c>
      <c r="S324" s="518">
        <v>5694.1729881072861</v>
      </c>
      <c r="T324" s="1675">
        <v>11547315.440030001</v>
      </c>
      <c r="U324" s="430">
        <v>363148339.07930106</v>
      </c>
      <c r="V324" s="2748">
        <v>21765.349601959999</v>
      </c>
      <c r="W324" s="457">
        <v>61113.133638110012</v>
      </c>
      <c r="X324" s="1911">
        <f t="shared" si="25"/>
        <v>82878.483240070011</v>
      </c>
      <c r="Y324" s="618">
        <v>-0.1</v>
      </c>
    </row>
    <row r="325" spans="1:27">
      <c r="A325" s="49">
        <f t="shared" si="23"/>
        <v>2023.04</v>
      </c>
      <c r="B325" s="73">
        <v>18587709.193999998</v>
      </c>
      <c r="C325" s="1882">
        <f t="shared" si="24"/>
        <v>13852585.573119998</v>
      </c>
      <c r="D325" s="1804">
        <v>2391094.8122200002</v>
      </c>
      <c r="E325" s="294">
        <v>5299109.5711300001</v>
      </c>
      <c r="F325" s="1804">
        <v>824634.97006000008</v>
      </c>
      <c r="G325" s="294">
        <v>1860178.3107</v>
      </c>
      <c r="H325" s="1804">
        <v>2367692.5042200005</v>
      </c>
      <c r="I325" s="294">
        <v>916281.79388999997</v>
      </c>
      <c r="J325" s="1804">
        <v>193593.6109</v>
      </c>
      <c r="K325" s="294">
        <v>2554500.4405799997</v>
      </c>
      <c r="L325" s="1804">
        <v>390898.26801999996</v>
      </c>
      <c r="M325" s="294">
        <v>778246.89383999992</v>
      </c>
      <c r="N325" s="1892">
        <v>1011478.0184399998</v>
      </c>
      <c r="O325" s="1143">
        <v>1386.9296022696976</v>
      </c>
      <c r="P325" s="61">
        <v>161970.41999999998</v>
      </c>
      <c r="Q325" s="61">
        <v>3096118</v>
      </c>
      <c r="R325" s="505">
        <v>114759.89994963279</v>
      </c>
      <c r="S325" s="518">
        <v>6003.5532218087292</v>
      </c>
      <c r="T325" s="1675">
        <v>10954941.807589997</v>
      </c>
      <c r="U325" s="430">
        <v>385814066.92806983</v>
      </c>
      <c r="V325" s="2748">
        <v>21886.986677450001</v>
      </c>
      <c r="W325" s="457">
        <v>67392.56535592</v>
      </c>
      <c r="X325" s="1911">
        <f t="shared" si="25"/>
        <v>89279.552033369997</v>
      </c>
      <c r="Y325" s="618">
        <v>-0.1</v>
      </c>
    </row>
    <row r="326" spans="1:27">
      <c r="A326" s="49">
        <f t="shared" si="23"/>
        <v>2023.05</v>
      </c>
      <c r="B326" s="73">
        <v>18871167.322499998</v>
      </c>
      <c r="C326" s="1882">
        <f t="shared" si="24"/>
        <v>14027394.933369998</v>
      </c>
      <c r="D326" s="1804">
        <v>2327073.9482100001</v>
      </c>
      <c r="E326" s="294">
        <v>5469368.81587</v>
      </c>
      <c r="F326" s="1804">
        <v>848530.82921</v>
      </c>
      <c r="G326" s="294">
        <v>2021266.2414000002</v>
      </c>
      <c r="H326" s="1804">
        <v>2282273.70052</v>
      </c>
      <c r="I326" s="294">
        <v>885658.52973000007</v>
      </c>
      <c r="J326" s="1804">
        <v>193222.86843</v>
      </c>
      <c r="K326" s="294">
        <v>2576822.6781099997</v>
      </c>
      <c r="L326" s="1804">
        <v>429349.93172999995</v>
      </c>
      <c r="M326" s="294">
        <v>807560.07558000006</v>
      </c>
      <c r="N326" s="1892">
        <v>1030039.70371</v>
      </c>
      <c r="O326" s="1143">
        <v>1498.9563381625087</v>
      </c>
      <c r="P326" s="61">
        <v>161970.41999999998</v>
      </c>
      <c r="Q326" s="61">
        <v>2999533</v>
      </c>
      <c r="R326" s="505">
        <v>116509.96103177359</v>
      </c>
      <c r="S326" s="518">
        <v>6291.3684638575405</v>
      </c>
      <c r="T326" s="1675">
        <v>14462742.917069998</v>
      </c>
      <c r="U326" s="430">
        <v>388897175.88153994</v>
      </c>
      <c r="V326" s="2748">
        <v>23421.612665540004</v>
      </c>
      <c r="W326" s="457">
        <v>69131.670740849993</v>
      </c>
      <c r="X326" s="1911">
        <f t="shared" si="25"/>
        <v>92553.283406389994</v>
      </c>
      <c r="Y326" s="618">
        <v>-2.8</v>
      </c>
    </row>
    <row r="327" spans="1:27">
      <c r="A327" s="49">
        <f t="shared" si="23"/>
        <v>2023.06</v>
      </c>
      <c r="B327" s="73">
        <v>20670443.380860001</v>
      </c>
      <c r="C327" s="1882">
        <f t="shared" si="24"/>
        <v>15241252.818100002</v>
      </c>
      <c r="D327" s="1804">
        <v>2637798.4352600006</v>
      </c>
      <c r="E327" s="294">
        <v>6001803.5019199997</v>
      </c>
      <c r="F327" s="1804">
        <v>940813.98774999974</v>
      </c>
      <c r="G327" s="294">
        <v>2190879.5828400003</v>
      </c>
      <c r="H327" s="1804">
        <v>2376180.5271900008</v>
      </c>
      <c r="I327" s="294">
        <v>885948.63477999996</v>
      </c>
      <c r="J327" s="1804">
        <v>207828.14835999999</v>
      </c>
      <c r="K327" s="294">
        <v>2737049.6151999999</v>
      </c>
      <c r="L327" s="1804">
        <v>595905.38459999999</v>
      </c>
      <c r="M327" s="294">
        <v>947445.86479000014</v>
      </c>
      <c r="N327" s="1892">
        <v>1148789.6981700002</v>
      </c>
      <c r="O327" s="1143">
        <v>1597.868433460322</v>
      </c>
      <c r="P327" s="61">
        <v>161970.41999999998</v>
      </c>
      <c r="Q327" s="61">
        <v>3055394</v>
      </c>
      <c r="R327" s="505">
        <v>127618.63172831188</v>
      </c>
      <c r="S327" s="518">
        <v>6765.2300753552572</v>
      </c>
      <c r="T327" s="1675">
        <v>12528760.526069995</v>
      </c>
      <c r="U327" s="430">
        <v>425805739.95078009</v>
      </c>
      <c r="V327" s="1675">
        <v>24958.487470450003</v>
      </c>
      <c r="W327" s="73">
        <v>76823.259480699999</v>
      </c>
      <c r="X327" s="1911">
        <f t="shared" si="25"/>
        <v>101781.74695115001</v>
      </c>
      <c r="Y327" s="618">
        <v>-3.6</v>
      </c>
    </row>
    <row r="328" spans="1:27">
      <c r="A328" s="49">
        <f t="shared" si="23"/>
        <v>2023.07</v>
      </c>
      <c r="B328" s="73">
        <v>23756597.878629994</v>
      </c>
      <c r="C328" s="1882">
        <f t="shared" si="24"/>
        <v>17328926.687999997</v>
      </c>
      <c r="D328" s="1804">
        <v>3122909.7735299999</v>
      </c>
      <c r="E328" s="294">
        <v>6717358.3134400006</v>
      </c>
      <c r="F328" s="1804">
        <v>1089333.5918099999</v>
      </c>
      <c r="G328" s="294">
        <v>2493069.9584599994</v>
      </c>
      <c r="H328" s="1804">
        <v>2652382.1268000002</v>
      </c>
      <c r="I328" s="294">
        <v>1009552.8289</v>
      </c>
      <c r="J328" s="1804">
        <v>244320.09505999999</v>
      </c>
      <c r="K328" s="294">
        <v>3072895.1652799998</v>
      </c>
      <c r="L328" s="1804">
        <v>716669.93125000002</v>
      </c>
      <c r="M328" s="294">
        <v>1231324.0946</v>
      </c>
      <c r="N328" s="1892">
        <v>1406781.9994999999</v>
      </c>
      <c r="O328" s="1143">
        <v>1702.6751386401165</v>
      </c>
      <c r="P328" s="61">
        <v>165269.41999999998</v>
      </c>
      <c r="Q328" s="61">
        <v>3103174</v>
      </c>
      <c r="R328" s="505">
        <v>143744.66781955189</v>
      </c>
      <c r="S328" s="518">
        <v>7655.5803440702975</v>
      </c>
      <c r="T328" s="1675">
        <v>15281302.853480002</v>
      </c>
      <c r="U328" s="430">
        <v>482669389.05064976</v>
      </c>
      <c r="V328" s="1675">
        <v>27533.525679309998</v>
      </c>
      <c r="W328" s="73">
        <v>83660.753406650008</v>
      </c>
      <c r="X328" s="1911">
        <f t="shared" si="25"/>
        <v>111194.27908596001</v>
      </c>
      <c r="Y328" s="618">
        <v>-3.6</v>
      </c>
    </row>
    <row r="329" spans="1:27">
      <c r="A329" s="49">
        <f t="shared" si="23"/>
        <v>2023.08</v>
      </c>
      <c r="B329" s="73">
        <v>27300785.023770005</v>
      </c>
      <c r="C329" s="1882">
        <f t="shared" si="24"/>
        <v>20425197.985710002</v>
      </c>
      <c r="D329" s="1804">
        <v>3863944.5342899999</v>
      </c>
      <c r="E329" s="294">
        <v>7718746.0971800005</v>
      </c>
      <c r="F329" s="1804">
        <v>1255566.3522999999</v>
      </c>
      <c r="G329" s="294">
        <v>2840371.7267600005</v>
      </c>
      <c r="H329" s="1804">
        <v>3224022.2934000008</v>
      </c>
      <c r="I329" s="294">
        <v>1227742.5718499999</v>
      </c>
      <c r="J329" s="1804">
        <v>294804.40993000002</v>
      </c>
      <c r="K329" s="294">
        <v>3508263.3626099997</v>
      </c>
      <c r="L329" s="1804">
        <v>560369.24916000001</v>
      </c>
      <c r="M329" s="294">
        <v>1147210.8900000001</v>
      </c>
      <c r="N329" s="1892">
        <v>1659743.53629</v>
      </c>
      <c r="O329" s="1143">
        <v>1917.1319011656874</v>
      </c>
      <c r="P329" s="61">
        <v>165109.41999999998</v>
      </c>
      <c r="Q329" s="61">
        <v>3404076</v>
      </c>
      <c r="R329" s="505">
        <v>165349.65130257254</v>
      </c>
      <c r="S329" s="518">
        <v>8020.0280557102715</v>
      </c>
      <c r="T329" s="1675">
        <v>18657528.723539997</v>
      </c>
      <c r="U329" s="430">
        <v>537409230.36957991</v>
      </c>
      <c r="V329" s="1675">
        <v>30763.45208336</v>
      </c>
      <c r="W329" s="73">
        <v>91858.770415160005</v>
      </c>
      <c r="X329" s="1911">
        <f>V329+W329</f>
        <v>122622.22249852</v>
      </c>
      <c r="Y329" s="618">
        <v>-4.0999999999999996</v>
      </c>
    </row>
    <row r="330" spans="1:27">
      <c r="A330" s="49">
        <f t="shared" si="23"/>
        <v>2023.09</v>
      </c>
      <c r="B330" s="73">
        <v>30032144.26802</v>
      </c>
      <c r="C330" s="1882">
        <f t="shared" si="24"/>
        <v>22936904.502009999</v>
      </c>
      <c r="D330" s="1804">
        <v>4300453.2125600008</v>
      </c>
      <c r="E330" s="294">
        <v>8623552.4883299991</v>
      </c>
      <c r="F330" s="1804">
        <v>1404166.3328100001</v>
      </c>
      <c r="G330" s="294">
        <v>3115343.7875799998</v>
      </c>
      <c r="H330" s="1804">
        <v>3777007.8630399997</v>
      </c>
      <c r="I330" s="294">
        <v>1394234.5229099998</v>
      </c>
      <c r="J330" s="1804">
        <v>322146.29478</v>
      </c>
      <c r="K330" s="294">
        <v>3837855.2240200001</v>
      </c>
      <c r="L330" s="1804">
        <v>563049.72827000008</v>
      </c>
      <c r="M330" s="294">
        <v>1133552.3835199999</v>
      </c>
      <c r="N330" s="1892">
        <v>1560782.4302000001</v>
      </c>
      <c r="O330" s="1143">
        <v>2169.4322669191242</v>
      </c>
      <c r="P330" s="61">
        <v>165109.41999999998</v>
      </c>
      <c r="Q330" s="61">
        <v>3376935</v>
      </c>
      <c r="R330" s="505">
        <v>181892.37335973926</v>
      </c>
      <c r="S330" s="518">
        <v>8893.3142828778164</v>
      </c>
      <c r="T330" s="1675">
        <v>16572711.735530002</v>
      </c>
      <c r="U330" s="430">
        <v>580113048.3323102</v>
      </c>
      <c r="V330" s="1675">
        <v>33291.210580819999</v>
      </c>
      <c r="W330" s="73">
        <v>104774.96699317999</v>
      </c>
      <c r="X330" s="1911">
        <f t="shared" ref="X330:X357" si="26">V330+W330</f>
        <v>138066.17757399997</v>
      </c>
      <c r="Y330" s="618">
        <v>-5.0999999999999996</v>
      </c>
    </row>
    <row r="331" spans="1:27">
      <c r="A331" s="49">
        <f t="shared" si="23"/>
        <v>2023.1</v>
      </c>
      <c r="B331" s="73">
        <v>35247486.239349999</v>
      </c>
      <c r="C331" s="1882">
        <f t="shared" si="24"/>
        <v>25495693.19918</v>
      </c>
      <c r="D331" s="1804">
        <v>5063346.16493</v>
      </c>
      <c r="E331" s="294">
        <v>9220202.1384199988</v>
      </c>
      <c r="F331" s="1804">
        <v>1587583.3346800001</v>
      </c>
      <c r="G331" s="294">
        <v>3461069.7892499999</v>
      </c>
      <c r="H331" s="1804">
        <v>4263941.5960799996</v>
      </c>
      <c r="I331" s="294">
        <v>1549068.3723299997</v>
      </c>
      <c r="J331" s="1804">
        <v>350481.80349000002</v>
      </c>
      <c r="K331" s="294">
        <v>4560936.6758500002</v>
      </c>
      <c r="L331" s="1804">
        <v>808048.64279999991</v>
      </c>
      <c r="M331" s="294">
        <v>2307171.6848400007</v>
      </c>
      <c r="N331" s="1892">
        <v>2075636.0366800001</v>
      </c>
      <c r="O331" s="1143">
        <v>2374.7065800287401</v>
      </c>
      <c r="P331" s="61">
        <v>166559.41999999998</v>
      </c>
      <c r="Q331" s="61">
        <v>3421515</v>
      </c>
      <c r="R331" s="505">
        <v>211621.09137597866</v>
      </c>
      <c r="S331" s="518">
        <v>10301.719045320569</v>
      </c>
      <c r="T331" s="1675">
        <v>26120056.761039998</v>
      </c>
      <c r="U331" s="430">
        <v>708384350.4217999</v>
      </c>
      <c r="V331" s="1675">
        <v>41645.966546870004</v>
      </c>
      <c r="W331" s="73">
        <v>130713.17787723002</v>
      </c>
      <c r="X331" s="1911">
        <f t="shared" si="26"/>
        <v>172359.14442410003</v>
      </c>
      <c r="Y331" s="618">
        <v>-0.7</v>
      </c>
    </row>
    <row r="332" spans="1:27">
      <c r="A332" s="49">
        <f t="shared" si="23"/>
        <v>2023.11</v>
      </c>
      <c r="B332" s="73">
        <v>38473440.557500005</v>
      </c>
      <c r="C332" s="1882">
        <f t="shared" si="24"/>
        <v>28156928.557160001</v>
      </c>
      <c r="D332" s="1804">
        <v>5631503.6476099994</v>
      </c>
      <c r="E332" s="294">
        <v>10126939.442679999</v>
      </c>
      <c r="F332" s="1804">
        <v>1744867.2462500003</v>
      </c>
      <c r="G332" s="294">
        <v>3700872.0325300004</v>
      </c>
      <c r="H332" s="1804">
        <v>4745046.1564299995</v>
      </c>
      <c r="I332" s="294">
        <v>1844359.5584600002</v>
      </c>
      <c r="J332" s="1804">
        <v>363340.47320000007</v>
      </c>
      <c r="K332" s="294">
        <v>5124842.0449299999</v>
      </c>
      <c r="L332" s="1804">
        <v>777864.37213000015</v>
      </c>
      <c r="M332" s="294">
        <v>2026094.30645</v>
      </c>
      <c r="N332" s="1892">
        <v>2387711.2768300003</v>
      </c>
      <c r="O332" s="1143">
        <v>2721.5465541007493</v>
      </c>
      <c r="P332" s="61">
        <v>166559.41999999998</v>
      </c>
      <c r="Q332" s="61">
        <v>3419983</v>
      </c>
      <c r="R332" s="505">
        <f t="shared" ref="R332:R357" si="27">$B332/P332*1000</f>
        <v>230989.28032710496</v>
      </c>
      <c r="S332" s="518">
        <f t="shared" ref="S332:S394" si="28">$B332/Q332*1000</f>
        <v>11249.599941724859</v>
      </c>
      <c r="T332" s="1675">
        <v>28618728.15484</v>
      </c>
      <c r="U332" s="430">
        <v>764304815.62694979</v>
      </c>
      <c r="V332" s="1675">
        <v>45407.193669079999</v>
      </c>
      <c r="W332" s="73">
        <v>130964.42418418001</v>
      </c>
      <c r="X332" s="1911">
        <f t="shared" si="26"/>
        <v>176371.61785326002</v>
      </c>
      <c r="Y332" s="618">
        <v>-2.9</v>
      </c>
    </row>
    <row r="333" spans="1:27">
      <c r="A333" s="49">
        <f t="shared" si="23"/>
        <v>2023.12</v>
      </c>
      <c r="B333" s="73">
        <v>60323301.974420004</v>
      </c>
      <c r="C333" s="1882">
        <f t="shared" si="24"/>
        <v>45187838.603320003</v>
      </c>
      <c r="D333" s="1804">
        <v>10903072.65676</v>
      </c>
      <c r="E333" s="294">
        <v>16085286.233970001</v>
      </c>
      <c r="F333" s="1804">
        <v>2726916.2372099995</v>
      </c>
      <c r="G333" s="294">
        <v>4950521.129639999</v>
      </c>
      <c r="H333" s="1804">
        <v>7460250.9348800005</v>
      </c>
      <c r="I333" s="294">
        <v>2501038.5070600002</v>
      </c>
      <c r="J333" s="1804">
        <v>560752.9038000002</v>
      </c>
      <c r="K333" s="294">
        <v>7882582.0791699998</v>
      </c>
      <c r="L333" s="1804">
        <v>1171758.4802099997</v>
      </c>
      <c r="M333" s="294">
        <v>1995033.8560899999</v>
      </c>
      <c r="N333" s="1892">
        <v>4086088.9556299997</v>
      </c>
      <c r="O333" s="1143">
        <v>3559.6278815844457</v>
      </c>
      <c r="P333" s="61">
        <v>167189.41999999998</v>
      </c>
      <c r="Q333" s="61">
        <v>3825299</v>
      </c>
      <c r="R333" s="505">
        <f t="shared" si="27"/>
        <v>360808.1299308294</v>
      </c>
      <c r="S333" s="518">
        <f t="shared" si="28"/>
        <v>15769.565195928475</v>
      </c>
      <c r="T333" s="1675">
        <v>31032995.318399996</v>
      </c>
      <c r="U333" s="430">
        <v>1147111744.2002099</v>
      </c>
      <c r="V333" s="1675">
        <v>57205.918840289996</v>
      </c>
      <c r="W333" s="73">
        <v>191288.84031182999</v>
      </c>
      <c r="X333" s="1911">
        <f t="shared" si="26"/>
        <v>248494.75915211998</v>
      </c>
      <c r="Y333" s="618">
        <v>-13.7</v>
      </c>
    </row>
    <row r="334" spans="1:27">
      <c r="A334" s="49">
        <f t="shared" ref="A334:A397" si="29">A322+1</f>
        <v>2024.01</v>
      </c>
      <c r="B334" s="73">
        <v>54141634.509810001</v>
      </c>
      <c r="C334" s="1882">
        <f t="shared" si="24"/>
        <v>39855469.184160002</v>
      </c>
      <c r="D334" s="1804">
        <v>7256190.6884900006</v>
      </c>
      <c r="E334" s="294">
        <v>15007936.124519998</v>
      </c>
      <c r="F334" s="1804">
        <v>2506592.1996500008</v>
      </c>
      <c r="G334" s="294">
        <v>5358125.4163300004</v>
      </c>
      <c r="H334" s="1804">
        <v>6642491.7576200003</v>
      </c>
      <c r="I334" s="294">
        <v>2551607.8945599995</v>
      </c>
      <c r="J334" s="1804">
        <v>532525.10299000004</v>
      </c>
      <c r="K334" s="294">
        <v>8460125.90649</v>
      </c>
      <c r="L334" s="1804">
        <v>892087.52385999996</v>
      </c>
      <c r="M334" s="294">
        <v>1645557.4135400001</v>
      </c>
      <c r="N334" s="1892">
        <v>3288394.4817599999</v>
      </c>
      <c r="O334" s="1143">
        <v>4473.6408195132562</v>
      </c>
      <c r="P334" s="61">
        <v>168441.41999999998</v>
      </c>
      <c r="Q334" s="61">
        <v>3243367</v>
      </c>
      <c r="R334" s="505">
        <f t="shared" si="27"/>
        <v>321427.08432290592</v>
      </c>
      <c r="S334" s="518">
        <f t="shared" si="28"/>
        <v>16693.033662181926</v>
      </c>
      <c r="T334" s="1675">
        <v>32565032.908270009</v>
      </c>
      <c r="U334" s="430">
        <v>1101733376.7441802</v>
      </c>
      <c r="V334" s="1675">
        <v>71345.725101190008</v>
      </c>
      <c r="W334" s="73">
        <v>187869.75552106003</v>
      </c>
      <c r="X334" s="1911">
        <f t="shared" si="26"/>
        <v>259215.48062225003</v>
      </c>
      <c r="Y334" s="618">
        <v>-28.5</v>
      </c>
    </row>
    <row r="335" spans="1:27">
      <c r="A335" s="49">
        <f t="shared" si="29"/>
        <v>2024.02</v>
      </c>
      <c r="B335" s="73">
        <v>57632744.858000003</v>
      </c>
      <c r="C335" s="1882">
        <f t="shared" si="24"/>
        <v>42466690.79962001</v>
      </c>
      <c r="D335" s="1804">
        <v>7598490.9676300008</v>
      </c>
      <c r="E335" s="294">
        <v>16438328.908310002</v>
      </c>
      <c r="F335" s="1804">
        <v>2729214.0764299999</v>
      </c>
      <c r="G335" s="294">
        <v>5787819.1173700001</v>
      </c>
      <c r="H335" s="1804">
        <v>6671617.8751900019</v>
      </c>
      <c r="I335" s="294">
        <v>2682645.45206</v>
      </c>
      <c r="J335" s="1804">
        <v>558574.40263000003</v>
      </c>
      <c r="K335" s="294">
        <v>9056312.6258499995</v>
      </c>
      <c r="L335" s="1804">
        <v>885405.3332799999</v>
      </c>
      <c r="M335" s="294">
        <v>1686633.47746</v>
      </c>
      <c r="N335" s="1892">
        <v>3537702.6217899998</v>
      </c>
      <c r="O335" s="1143">
        <v>5027.8190040042209</v>
      </c>
      <c r="P335" s="61">
        <v>168441.41999999998</v>
      </c>
      <c r="Q335" s="61">
        <v>3118372</v>
      </c>
      <c r="R335" s="505">
        <f t="shared" si="27"/>
        <v>342153.04559887951</v>
      </c>
      <c r="S335" s="518">
        <f t="shared" si="28"/>
        <v>18481.677252745987</v>
      </c>
      <c r="T335" s="1675">
        <v>34633741.454339996</v>
      </c>
      <c r="U335" s="430">
        <v>1192713326.9519196</v>
      </c>
      <c r="V335" s="1675">
        <v>68227.808084770004</v>
      </c>
      <c r="W335" s="73">
        <v>202198.71435598002</v>
      </c>
      <c r="X335" s="1911">
        <f t="shared" si="26"/>
        <v>270426.52244075004</v>
      </c>
      <c r="Y335" s="618">
        <v>-25.5</v>
      </c>
    </row>
    <row r="336" spans="1:27">
      <c r="A336" s="49">
        <f t="shared" si="29"/>
        <v>2024.03</v>
      </c>
      <c r="B336" s="73" t="e">
        <v>#N/A</v>
      </c>
      <c r="C336" s="1882" t="e">
        <f t="shared" si="24"/>
        <v>#N/A</v>
      </c>
      <c r="D336" s="1804" t="e">
        <v>#N/A</v>
      </c>
      <c r="E336" s="294" t="e">
        <v>#N/A</v>
      </c>
      <c r="F336" s="1804" t="e">
        <v>#N/A</v>
      </c>
      <c r="G336" s="294" t="e">
        <v>#N/A</v>
      </c>
      <c r="H336" s="1804" t="e">
        <v>#N/A</v>
      </c>
      <c r="I336" s="294" t="e">
        <v>#N/A</v>
      </c>
      <c r="J336" s="1804" t="e">
        <v>#N/A</v>
      </c>
      <c r="K336" s="294" t="e">
        <v>#N/A</v>
      </c>
      <c r="L336" s="1804" t="e">
        <v>#N/A</v>
      </c>
      <c r="M336" s="294" t="e">
        <v>#N/A</v>
      </c>
      <c r="N336" s="1892" t="e">
        <v>#N/A</v>
      </c>
      <c r="O336" s="1143" t="e">
        <v>#N/A</v>
      </c>
      <c r="P336" s="61" t="e">
        <v>#N/A</v>
      </c>
      <c r="Q336" s="61" t="e">
        <v>#N/A</v>
      </c>
      <c r="R336" s="505" t="e">
        <f t="shared" si="27"/>
        <v>#N/A</v>
      </c>
      <c r="S336" s="518" t="e">
        <f t="shared" si="28"/>
        <v>#N/A</v>
      </c>
      <c r="T336" s="1675" t="e">
        <v>#N/A</v>
      </c>
      <c r="U336" s="430" t="e">
        <v>#N/A</v>
      </c>
      <c r="V336" s="1675" t="e">
        <v>#N/A</v>
      </c>
      <c r="W336" s="73" t="e">
        <v>#N/A</v>
      </c>
      <c r="X336" s="1911" t="e">
        <f t="shared" si="26"/>
        <v>#N/A</v>
      </c>
      <c r="Y336" s="618">
        <v>-12.6</v>
      </c>
    </row>
    <row r="337" spans="1:25">
      <c r="A337" s="49">
        <f t="shared" si="29"/>
        <v>2024.04</v>
      </c>
      <c r="B337" s="73" t="e">
        <v>#N/A</v>
      </c>
      <c r="C337" s="1882" t="e">
        <f t="shared" si="24"/>
        <v>#N/A</v>
      </c>
      <c r="D337" s="1804" t="e">
        <v>#N/A</v>
      </c>
      <c r="E337" s="294" t="e">
        <v>#N/A</v>
      </c>
      <c r="F337" s="1804" t="e">
        <v>#N/A</v>
      </c>
      <c r="G337" s="294" t="e">
        <v>#N/A</v>
      </c>
      <c r="H337" s="1804" t="e">
        <v>#N/A</v>
      </c>
      <c r="I337" s="294" t="e">
        <v>#N/A</v>
      </c>
      <c r="J337" s="1804" t="e">
        <v>#N/A</v>
      </c>
      <c r="K337" s="294" t="e">
        <v>#N/A</v>
      </c>
      <c r="L337" s="1804" t="e">
        <v>#N/A</v>
      </c>
      <c r="M337" s="294" t="e">
        <v>#N/A</v>
      </c>
      <c r="N337" s="1892" t="e">
        <v>#N/A</v>
      </c>
      <c r="O337" s="1143" t="e">
        <v>#N/A</v>
      </c>
      <c r="P337" s="61" t="e">
        <v>#N/A</v>
      </c>
      <c r="Q337" s="61" t="e">
        <v>#N/A</v>
      </c>
      <c r="R337" s="505" t="e">
        <f t="shared" si="27"/>
        <v>#N/A</v>
      </c>
      <c r="S337" s="518" t="e">
        <f t="shared" si="28"/>
        <v>#N/A</v>
      </c>
      <c r="T337" s="1675" t="e">
        <v>#N/A</v>
      </c>
      <c r="U337" s="430" t="e">
        <v>#N/A</v>
      </c>
      <c r="V337" s="1675" t="e">
        <v>#N/A</v>
      </c>
      <c r="W337" s="73" t="e">
        <v>#N/A</v>
      </c>
      <c r="X337" s="1911" t="e">
        <f t="shared" si="26"/>
        <v>#N/A</v>
      </c>
      <c r="Y337" s="618">
        <v>-7.3</v>
      </c>
    </row>
    <row r="338" spans="1:25">
      <c r="A338" s="49">
        <f t="shared" si="29"/>
        <v>2024.05</v>
      </c>
      <c r="B338" s="73" t="e">
        <v>#N/A</v>
      </c>
      <c r="C338" s="1882" t="e">
        <f t="shared" si="24"/>
        <v>#N/A</v>
      </c>
      <c r="D338" s="1804" t="e">
        <v>#N/A</v>
      </c>
      <c r="E338" s="294" t="e">
        <v>#N/A</v>
      </c>
      <c r="F338" s="1804" t="e">
        <v>#N/A</v>
      </c>
      <c r="G338" s="294" t="e">
        <v>#N/A</v>
      </c>
      <c r="H338" s="1804" t="e">
        <v>#N/A</v>
      </c>
      <c r="I338" s="294" t="e">
        <v>#N/A</v>
      </c>
      <c r="J338" s="1804" t="e">
        <v>#N/A</v>
      </c>
      <c r="K338" s="294" t="e">
        <v>#N/A</v>
      </c>
      <c r="L338" s="1804" t="e">
        <v>#N/A</v>
      </c>
      <c r="M338" s="294" t="e">
        <v>#N/A</v>
      </c>
      <c r="N338" s="1892" t="e">
        <v>#N/A</v>
      </c>
      <c r="O338" s="1143" t="e">
        <v>#N/A</v>
      </c>
      <c r="P338" s="61" t="e">
        <v>#N/A</v>
      </c>
      <c r="Q338" s="61" t="e">
        <v>#N/A</v>
      </c>
      <c r="R338" s="505" t="e">
        <f t="shared" si="27"/>
        <v>#N/A</v>
      </c>
      <c r="S338" s="518" t="e">
        <f t="shared" si="28"/>
        <v>#N/A</v>
      </c>
      <c r="T338" s="1675" t="e">
        <v>#N/A</v>
      </c>
      <c r="U338" s="430" t="e">
        <v>#N/A</v>
      </c>
      <c r="V338" s="1675" t="e">
        <v>#N/A</v>
      </c>
      <c r="W338" s="73" t="e">
        <v>#N/A</v>
      </c>
      <c r="X338" s="1911" t="e">
        <f t="shared" si="26"/>
        <v>#N/A</v>
      </c>
      <c r="Y338" s="618" t="e">
        <v>#N/A</v>
      </c>
    </row>
    <row r="339" spans="1:25">
      <c r="A339" s="49">
        <f t="shared" si="29"/>
        <v>2024.06</v>
      </c>
      <c r="B339" s="73" t="e">
        <v>#N/A</v>
      </c>
      <c r="C339" s="1882" t="e">
        <f t="shared" si="24"/>
        <v>#N/A</v>
      </c>
      <c r="D339" s="1804" t="e">
        <v>#N/A</v>
      </c>
      <c r="E339" s="294" t="e">
        <v>#N/A</v>
      </c>
      <c r="F339" s="1804" t="e">
        <v>#N/A</v>
      </c>
      <c r="G339" s="294" t="e">
        <v>#N/A</v>
      </c>
      <c r="H339" s="1804" t="e">
        <v>#N/A</v>
      </c>
      <c r="I339" s="294" t="e">
        <v>#N/A</v>
      </c>
      <c r="J339" s="1804" t="e">
        <v>#N/A</v>
      </c>
      <c r="K339" s="294" t="e">
        <v>#N/A</v>
      </c>
      <c r="L339" s="1804" t="e">
        <v>#N/A</v>
      </c>
      <c r="M339" s="294" t="e">
        <v>#N/A</v>
      </c>
      <c r="N339" s="1892" t="e">
        <v>#N/A</v>
      </c>
      <c r="O339" s="1143" t="e">
        <v>#N/A</v>
      </c>
      <c r="P339" s="61" t="e">
        <v>#N/A</v>
      </c>
      <c r="Q339" s="61" t="e">
        <v>#N/A</v>
      </c>
      <c r="R339" s="505" t="e">
        <f t="shared" si="27"/>
        <v>#N/A</v>
      </c>
      <c r="S339" s="518" t="e">
        <f t="shared" si="28"/>
        <v>#N/A</v>
      </c>
      <c r="T339" s="1675" t="e">
        <v>#N/A</v>
      </c>
      <c r="U339" s="430" t="e">
        <v>#N/A</v>
      </c>
      <c r="V339" s="1675" t="e">
        <v>#N/A</v>
      </c>
      <c r="W339" s="73" t="e">
        <v>#N/A</v>
      </c>
      <c r="X339" s="1911" t="e">
        <f t="shared" si="26"/>
        <v>#N/A</v>
      </c>
      <c r="Y339" s="618" t="e">
        <v>#N/A</v>
      </c>
    </row>
    <row r="340" spans="1:25">
      <c r="A340" s="49">
        <f t="shared" si="29"/>
        <v>2024.07</v>
      </c>
      <c r="B340" s="73" t="e">
        <v>#N/A</v>
      </c>
      <c r="C340" s="1882" t="e">
        <f t="shared" si="24"/>
        <v>#N/A</v>
      </c>
      <c r="D340" s="1804" t="e">
        <v>#N/A</v>
      </c>
      <c r="E340" s="294" t="e">
        <v>#N/A</v>
      </c>
      <c r="F340" s="1804" t="e">
        <v>#N/A</v>
      </c>
      <c r="G340" s="294" t="e">
        <v>#N/A</v>
      </c>
      <c r="H340" s="1804" t="e">
        <v>#N/A</v>
      </c>
      <c r="I340" s="294" t="e">
        <v>#N/A</v>
      </c>
      <c r="J340" s="1804" t="e">
        <v>#N/A</v>
      </c>
      <c r="K340" s="294" t="e">
        <v>#N/A</v>
      </c>
      <c r="L340" s="1804" t="e">
        <v>#N/A</v>
      </c>
      <c r="M340" s="294" t="e">
        <v>#N/A</v>
      </c>
      <c r="N340" s="1892" t="e">
        <v>#N/A</v>
      </c>
      <c r="O340" s="1143" t="e">
        <v>#N/A</v>
      </c>
      <c r="P340" s="61" t="e">
        <v>#N/A</v>
      </c>
      <c r="Q340" s="61" t="e">
        <v>#N/A</v>
      </c>
      <c r="R340" s="505" t="e">
        <f t="shared" si="27"/>
        <v>#N/A</v>
      </c>
      <c r="S340" s="518" t="e">
        <f t="shared" si="28"/>
        <v>#N/A</v>
      </c>
      <c r="T340" s="1675" t="e">
        <v>#N/A</v>
      </c>
      <c r="U340" s="430" t="e">
        <v>#N/A</v>
      </c>
      <c r="V340" s="1675" t="e">
        <v>#N/A</v>
      </c>
      <c r="W340" s="73" t="e">
        <v>#N/A</v>
      </c>
      <c r="X340" s="1911" t="e">
        <f t="shared" si="26"/>
        <v>#N/A</v>
      </c>
      <c r="Y340" s="618" t="e">
        <v>#N/A</v>
      </c>
    </row>
    <row r="341" spans="1:25">
      <c r="A341" s="49">
        <f t="shared" si="29"/>
        <v>2024.08</v>
      </c>
      <c r="B341" s="73" t="e">
        <v>#N/A</v>
      </c>
      <c r="C341" s="1882" t="e">
        <f t="shared" si="24"/>
        <v>#N/A</v>
      </c>
      <c r="D341" s="1804" t="e">
        <v>#N/A</v>
      </c>
      <c r="E341" s="294" t="e">
        <v>#N/A</v>
      </c>
      <c r="F341" s="1804" t="e">
        <v>#N/A</v>
      </c>
      <c r="G341" s="294" t="e">
        <v>#N/A</v>
      </c>
      <c r="H341" s="1804" t="e">
        <v>#N/A</v>
      </c>
      <c r="I341" s="294" t="e">
        <v>#N/A</v>
      </c>
      <c r="J341" s="1804" t="e">
        <v>#N/A</v>
      </c>
      <c r="K341" s="294" t="e">
        <v>#N/A</v>
      </c>
      <c r="L341" s="1804" t="e">
        <v>#N/A</v>
      </c>
      <c r="M341" s="294" t="e">
        <v>#N/A</v>
      </c>
      <c r="N341" s="1892" t="e">
        <v>#N/A</v>
      </c>
      <c r="O341" s="1143" t="e">
        <v>#N/A</v>
      </c>
      <c r="P341" s="61" t="e">
        <v>#N/A</v>
      </c>
      <c r="Q341" s="61" t="e">
        <v>#N/A</v>
      </c>
      <c r="R341" s="505" t="e">
        <f t="shared" si="27"/>
        <v>#N/A</v>
      </c>
      <c r="S341" s="518" t="e">
        <f t="shared" si="28"/>
        <v>#N/A</v>
      </c>
      <c r="T341" s="1675" t="e">
        <v>#N/A</v>
      </c>
      <c r="U341" s="430" t="e">
        <v>#N/A</v>
      </c>
      <c r="V341" s="1675" t="e">
        <v>#N/A</v>
      </c>
      <c r="W341" s="73" t="e">
        <v>#N/A</v>
      </c>
      <c r="X341" s="1911" t="e">
        <f t="shared" si="26"/>
        <v>#N/A</v>
      </c>
      <c r="Y341" s="618" t="e">
        <v>#N/A</v>
      </c>
    </row>
    <row r="342" spans="1:25">
      <c r="A342" s="49">
        <f t="shared" si="29"/>
        <v>2024.09</v>
      </c>
      <c r="B342" s="73" t="e">
        <v>#N/A</v>
      </c>
      <c r="C342" s="1882" t="e">
        <f t="shared" si="24"/>
        <v>#N/A</v>
      </c>
      <c r="D342" s="1804" t="e">
        <v>#N/A</v>
      </c>
      <c r="E342" s="294" t="e">
        <v>#N/A</v>
      </c>
      <c r="F342" s="1804" t="e">
        <v>#N/A</v>
      </c>
      <c r="G342" s="294" t="e">
        <v>#N/A</v>
      </c>
      <c r="H342" s="1804" t="e">
        <v>#N/A</v>
      </c>
      <c r="I342" s="294" t="e">
        <v>#N/A</v>
      </c>
      <c r="J342" s="1804" t="e">
        <v>#N/A</v>
      </c>
      <c r="K342" s="294" t="e">
        <v>#N/A</v>
      </c>
      <c r="L342" s="1804" t="e">
        <v>#N/A</v>
      </c>
      <c r="M342" s="294" t="e">
        <v>#N/A</v>
      </c>
      <c r="N342" s="1892" t="e">
        <v>#N/A</v>
      </c>
      <c r="O342" s="1143" t="e">
        <v>#N/A</v>
      </c>
      <c r="P342" s="61" t="e">
        <v>#N/A</v>
      </c>
      <c r="Q342" s="61" t="e">
        <v>#N/A</v>
      </c>
      <c r="R342" s="505" t="e">
        <f t="shared" si="27"/>
        <v>#N/A</v>
      </c>
      <c r="S342" s="518" t="e">
        <f t="shared" si="28"/>
        <v>#N/A</v>
      </c>
      <c r="T342" s="1675" t="e">
        <v>#N/A</v>
      </c>
      <c r="U342" s="430" t="e">
        <v>#N/A</v>
      </c>
      <c r="V342" s="1675" t="e">
        <v>#N/A</v>
      </c>
      <c r="W342" s="73" t="e">
        <v>#N/A</v>
      </c>
      <c r="X342" s="1911" t="e">
        <f t="shared" si="26"/>
        <v>#N/A</v>
      </c>
      <c r="Y342" s="618" t="e">
        <v>#N/A</v>
      </c>
    </row>
    <row r="343" spans="1:25">
      <c r="A343" s="49">
        <f t="shared" si="29"/>
        <v>2024.1</v>
      </c>
      <c r="B343" s="73" t="e">
        <v>#N/A</v>
      </c>
      <c r="C343" s="1882" t="e">
        <f t="shared" si="24"/>
        <v>#N/A</v>
      </c>
      <c r="D343" s="1804" t="e">
        <v>#N/A</v>
      </c>
      <c r="E343" s="294" t="e">
        <v>#N/A</v>
      </c>
      <c r="F343" s="1804" t="e">
        <v>#N/A</v>
      </c>
      <c r="G343" s="294" t="e">
        <v>#N/A</v>
      </c>
      <c r="H343" s="1804" t="e">
        <v>#N/A</v>
      </c>
      <c r="I343" s="294" t="e">
        <v>#N/A</v>
      </c>
      <c r="J343" s="1804" t="e">
        <v>#N/A</v>
      </c>
      <c r="K343" s="294" t="e">
        <v>#N/A</v>
      </c>
      <c r="L343" s="1804" t="e">
        <v>#N/A</v>
      </c>
      <c r="M343" s="294" t="e">
        <v>#N/A</v>
      </c>
      <c r="N343" s="1892" t="e">
        <v>#N/A</v>
      </c>
      <c r="O343" s="1143" t="e">
        <v>#N/A</v>
      </c>
      <c r="P343" s="61" t="e">
        <v>#N/A</v>
      </c>
      <c r="Q343" s="61" t="e">
        <v>#N/A</v>
      </c>
      <c r="R343" s="505" t="e">
        <f t="shared" si="27"/>
        <v>#N/A</v>
      </c>
      <c r="S343" s="518" t="e">
        <f t="shared" si="28"/>
        <v>#N/A</v>
      </c>
      <c r="T343" s="1675" t="e">
        <v>#N/A</v>
      </c>
      <c r="U343" s="430" t="e">
        <v>#N/A</v>
      </c>
      <c r="V343" s="1675" t="e">
        <v>#N/A</v>
      </c>
      <c r="W343" s="73" t="e">
        <v>#N/A</v>
      </c>
      <c r="X343" s="1911" t="e">
        <f t="shared" si="26"/>
        <v>#N/A</v>
      </c>
      <c r="Y343" s="618" t="e">
        <v>#N/A</v>
      </c>
    </row>
    <row r="344" spans="1:25">
      <c r="A344" s="49">
        <f t="shared" si="29"/>
        <v>2024.11</v>
      </c>
      <c r="B344" s="73" t="e">
        <v>#N/A</v>
      </c>
      <c r="C344" s="1882" t="e">
        <f t="shared" si="24"/>
        <v>#N/A</v>
      </c>
      <c r="D344" s="1804" t="e">
        <v>#N/A</v>
      </c>
      <c r="E344" s="294" t="e">
        <v>#N/A</v>
      </c>
      <c r="F344" s="1804" t="e">
        <v>#N/A</v>
      </c>
      <c r="G344" s="294" t="e">
        <v>#N/A</v>
      </c>
      <c r="H344" s="1804" t="e">
        <v>#N/A</v>
      </c>
      <c r="I344" s="294" t="e">
        <v>#N/A</v>
      </c>
      <c r="J344" s="1804" t="e">
        <v>#N/A</v>
      </c>
      <c r="K344" s="294" t="e">
        <v>#N/A</v>
      </c>
      <c r="L344" s="1804" t="e">
        <v>#N/A</v>
      </c>
      <c r="M344" s="294" t="e">
        <v>#N/A</v>
      </c>
      <c r="N344" s="1892" t="e">
        <v>#N/A</v>
      </c>
      <c r="O344" s="1143" t="e">
        <v>#N/A</v>
      </c>
      <c r="P344" s="61" t="e">
        <v>#N/A</v>
      </c>
      <c r="Q344" s="61" t="e">
        <v>#N/A</v>
      </c>
      <c r="R344" s="505" t="e">
        <f t="shared" si="27"/>
        <v>#N/A</v>
      </c>
      <c r="S344" s="518" t="e">
        <f t="shared" si="28"/>
        <v>#N/A</v>
      </c>
      <c r="T344" s="1675" t="e">
        <v>#N/A</v>
      </c>
      <c r="U344" s="430" t="e">
        <v>#N/A</v>
      </c>
      <c r="V344" s="1675" t="e">
        <v>#N/A</v>
      </c>
      <c r="W344" s="73" t="e">
        <v>#N/A</v>
      </c>
      <c r="X344" s="1911" t="e">
        <f t="shared" si="26"/>
        <v>#N/A</v>
      </c>
      <c r="Y344" s="618" t="e">
        <v>#N/A</v>
      </c>
    </row>
    <row r="345" spans="1:25">
      <c r="A345" s="49">
        <f t="shared" si="29"/>
        <v>2024.12</v>
      </c>
      <c r="B345" s="73" t="e">
        <v>#N/A</v>
      </c>
      <c r="C345" s="1882" t="e">
        <f t="shared" si="24"/>
        <v>#N/A</v>
      </c>
      <c r="D345" s="1804" t="e">
        <v>#N/A</v>
      </c>
      <c r="E345" s="294" t="e">
        <v>#N/A</v>
      </c>
      <c r="F345" s="1804" t="e">
        <v>#N/A</v>
      </c>
      <c r="G345" s="294" t="e">
        <v>#N/A</v>
      </c>
      <c r="H345" s="1804" t="e">
        <v>#N/A</v>
      </c>
      <c r="I345" s="294" t="e">
        <v>#N/A</v>
      </c>
      <c r="J345" s="1804" t="e">
        <v>#N/A</v>
      </c>
      <c r="K345" s="294" t="e">
        <v>#N/A</v>
      </c>
      <c r="L345" s="1804" t="e">
        <v>#N/A</v>
      </c>
      <c r="M345" s="294" t="e">
        <v>#N/A</v>
      </c>
      <c r="N345" s="1892" t="e">
        <v>#N/A</v>
      </c>
      <c r="O345" s="1143" t="e">
        <v>#N/A</v>
      </c>
      <c r="P345" s="61" t="e">
        <v>#N/A</v>
      </c>
      <c r="Q345" s="61" t="e">
        <v>#N/A</v>
      </c>
      <c r="R345" s="505" t="e">
        <f t="shared" si="27"/>
        <v>#N/A</v>
      </c>
      <c r="S345" s="518" t="e">
        <f t="shared" si="28"/>
        <v>#N/A</v>
      </c>
      <c r="T345" s="1675" t="e">
        <v>#N/A</v>
      </c>
      <c r="U345" s="430" t="e">
        <v>#N/A</v>
      </c>
      <c r="V345" s="1675" t="e">
        <v>#N/A</v>
      </c>
      <c r="W345" s="73" t="e">
        <v>#N/A</v>
      </c>
      <c r="X345" s="1911" t="e">
        <f t="shared" si="26"/>
        <v>#N/A</v>
      </c>
      <c r="Y345" s="618" t="e">
        <v>#N/A</v>
      </c>
    </row>
    <row r="346" spans="1:25">
      <c r="A346" s="49">
        <f t="shared" si="29"/>
        <v>2025.01</v>
      </c>
      <c r="B346" s="73" t="e">
        <v>#N/A</v>
      </c>
      <c r="C346" s="1882" t="e">
        <f t="shared" si="24"/>
        <v>#N/A</v>
      </c>
      <c r="D346" s="1804" t="e">
        <v>#N/A</v>
      </c>
      <c r="E346" s="294" t="e">
        <v>#N/A</v>
      </c>
      <c r="F346" s="1804" t="e">
        <v>#N/A</v>
      </c>
      <c r="G346" s="294" t="e">
        <v>#N/A</v>
      </c>
      <c r="H346" s="1804" t="e">
        <v>#N/A</v>
      </c>
      <c r="I346" s="294" t="e">
        <v>#N/A</v>
      </c>
      <c r="J346" s="1804" t="e">
        <v>#N/A</v>
      </c>
      <c r="K346" s="294" t="e">
        <v>#N/A</v>
      </c>
      <c r="L346" s="1804" t="e">
        <v>#N/A</v>
      </c>
      <c r="M346" s="294" t="e">
        <v>#N/A</v>
      </c>
      <c r="N346" s="1892" t="e">
        <v>#N/A</v>
      </c>
      <c r="O346" s="1143" t="e">
        <v>#N/A</v>
      </c>
      <c r="P346" s="61" t="e">
        <v>#N/A</v>
      </c>
      <c r="Q346" s="61" t="e">
        <v>#N/A</v>
      </c>
      <c r="R346" s="505" t="e">
        <f t="shared" si="27"/>
        <v>#N/A</v>
      </c>
      <c r="S346" s="518" t="e">
        <f t="shared" si="28"/>
        <v>#N/A</v>
      </c>
      <c r="T346" s="1675" t="e">
        <v>#N/A</v>
      </c>
      <c r="U346" s="430" t="e">
        <v>#N/A</v>
      </c>
      <c r="V346" s="1675" t="e">
        <v>#N/A</v>
      </c>
      <c r="W346" s="73" t="e">
        <v>#N/A</v>
      </c>
      <c r="X346" s="1911" t="e">
        <f t="shared" si="26"/>
        <v>#N/A</v>
      </c>
      <c r="Y346" s="618" t="e">
        <v>#N/A</v>
      </c>
    </row>
    <row r="347" spans="1:25">
      <c r="A347" s="49">
        <f t="shared" si="29"/>
        <v>2025.02</v>
      </c>
      <c r="B347" s="73" t="e">
        <v>#N/A</v>
      </c>
      <c r="C347" s="1882" t="e">
        <f t="shared" si="24"/>
        <v>#N/A</v>
      </c>
      <c r="D347" s="1804" t="e">
        <v>#N/A</v>
      </c>
      <c r="E347" s="294" t="e">
        <v>#N/A</v>
      </c>
      <c r="F347" s="1804" t="e">
        <v>#N/A</v>
      </c>
      <c r="G347" s="294" t="e">
        <v>#N/A</v>
      </c>
      <c r="H347" s="1804" t="e">
        <v>#N/A</v>
      </c>
      <c r="I347" s="294" t="e">
        <v>#N/A</v>
      </c>
      <c r="J347" s="1804" t="e">
        <v>#N/A</v>
      </c>
      <c r="K347" s="294" t="e">
        <v>#N/A</v>
      </c>
      <c r="L347" s="1804" t="e">
        <v>#N/A</v>
      </c>
      <c r="M347" s="294" t="e">
        <v>#N/A</v>
      </c>
      <c r="N347" s="1892" t="e">
        <v>#N/A</v>
      </c>
      <c r="O347" s="1143" t="e">
        <v>#N/A</v>
      </c>
      <c r="P347" s="61" t="e">
        <v>#N/A</v>
      </c>
      <c r="Q347" s="61" t="e">
        <v>#N/A</v>
      </c>
      <c r="R347" s="505" t="e">
        <f t="shared" si="27"/>
        <v>#N/A</v>
      </c>
      <c r="S347" s="518" t="e">
        <f t="shared" si="28"/>
        <v>#N/A</v>
      </c>
      <c r="T347" s="1675" t="e">
        <v>#N/A</v>
      </c>
      <c r="U347" s="430" t="e">
        <v>#N/A</v>
      </c>
      <c r="V347" s="1675" t="e">
        <v>#N/A</v>
      </c>
      <c r="W347" s="73" t="e">
        <v>#N/A</v>
      </c>
      <c r="X347" s="1911" t="e">
        <f t="shared" si="26"/>
        <v>#N/A</v>
      </c>
      <c r="Y347" s="618" t="e">
        <v>#N/A</v>
      </c>
    </row>
    <row r="348" spans="1:25">
      <c r="A348" s="49">
        <f t="shared" si="29"/>
        <v>2025.03</v>
      </c>
      <c r="B348" s="73" t="e">
        <v>#N/A</v>
      </c>
      <c r="C348" s="1882" t="e">
        <f t="shared" si="24"/>
        <v>#N/A</v>
      </c>
      <c r="D348" s="1804" t="e">
        <v>#N/A</v>
      </c>
      <c r="E348" s="294" t="e">
        <v>#N/A</v>
      </c>
      <c r="F348" s="1804" t="e">
        <v>#N/A</v>
      </c>
      <c r="G348" s="294" t="e">
        <v>#N/A</v>
      </c>
      <c r="H348" s="1804" t="e">
        <v>#N/A</v>
      </c>
      <c r="I348" s="294" t="e">
        <v>#N/A</v>
      </c>
      <c r="J348" s="1804" t="e">
        <v>#N/A</v>
      </c>
      <c r="K348" s="294" t="e">
        <v>#N/A</v>
      </c>
      <c r="L348" s="1804" t="e">
        <v>#N/A</v>
      </c>
      <c r="M348" s="294" t="e">
        <v>#N/A</v>
      </c>
      <c r="N348" s="1892" t="e">
        <v>#N/A</v>
      </c>
      <c r="O348" s="1143" t="e">
        <v>#N/A</v>
      </c>
      <c r="P348" s="61" t="e">
        <v>#N/A</v>
      </c>
      <c r="Q348" s="61" t="e">
        <v>#N/A</v>
      </c>
      <c r="R348" s="505" t="e">
        <f t="shared" si="27"/>
        <v>#N/A</v>
      </c>
      <c r="S348" s="518" t="e">
        <f t="shared" si="28"/>
        <v>#N/A</v>
      </c>
      <c r="T348" s="1675" t="e">
        <v>#N/A</v>
      </c>
      <c r="U348" s="430" t="e">
        <v>#N/A</v>
      </c>
      <c r="V348" s="1675" t="e">
        <v>#N/A</v>
      </c>
      <c r="W348" s="73" t="e">
        <v>#N/A</v>
      </c>
      <c r="X348" s="1911" t="e">
        <f t="shared" si="26"/>
        <v>#N/A</v>
      </c>
      <c r="Y348" s="618" t="e">
        <v>#N/A</v>
      </c>
    </row>
    <row r="349" spans="1:25">
      <c r="A349" s="49">
        <f t="shared" si="29"/>
        <v>2025.04</v>
      </c>
      <c r="B349" s="73" t="e">
        <v>#N/A</v>
      </c>
      <c r="C349" s="1882" t="e">
        <f t="shared" si="24"/>
        <v>#N/A</v>
      </c>
      <c r="D349" s="1804" t="e">
        <v>#N/A</v>
      </c>
      <c r="E349" s="294" t="e">
        <v>#N/A</v>
      </c>
      <c r="F349" s="1804" t="e">
        <v>#N/A</v>
      </c>
      <c r="G349" s="294" t="e">
        <v>#N/A</v>
      </c>
      <c r="H349" s="1804" t="e">
        <v>#N/A</v>
      </c>
      <c r="I349" s="294" t="e">
        <v>#N/A</v>
      </c>
      <c r="J349" s="1804" t="e">
        <v>#N/A</v>
      </c>
      <c r="K349" s="294" t="e">
        <v>#N/A</v>
      </c>
      <c r="L349" s="1804" t="e">
        <v>#N/A</v>
      </c>
      <c r="M349" s="294" t="e">
        <v>#N/A</v>
      </c>
      <c r="N349" s="1892" t="e">
        <v>#N/A</v>
      </c>
      <c r="O349" s="1143" t="e">
        <v>#N/A</v>
      </c>
      <c r="P349" s="61" t="e">
        <v>#N/A</v>
      </c>
      <c r="Q349" s="61" t="e">
        <v>#N/A</v>
      </c>
      <c r="R349" s="505" t="e">
        <f t="shared" si="27"/>
        <v>#N/A</v>
      </c>
      <c r="S349" s="518" t="e">
        <f t="shared" si="28"/>
        <v>#N/A</v>
      </c>
      <c r="T349" s="1675" t="e">
        <v>#N/A</v>
      </c>
      <c r="U349" s="430" t="e">
        <v>#N/A</v>
      </c>
      <c r="V349" s="1675" t="e">
        <v>#N/A</v>
      </c>
      <c r="W349" s="73" t="e">
        <v>#N/A</v>
      </c>
      <c r="X349" s="1911" t="e">
        <f t="shared" si="26"/>
        <v>#N/A</v>
      </c>
      <c r="Y349" s="618" t="e">
        <v>#N/A</v>
      </c>
    </row>
    <row r="350" spans="1:25">
      <c r="A350" s="49">
        <f t="shared" si="29"/>
        <v>2025.05</v>
      </c>
      <c r="B350" s="73" t="e">
        <v>#N/A</v>
      </c>
      <c r="C350" s="1882" t="e">
        <f t="shared" si="24"/>
        <v>#N/A</v>
      </c>
      <c r="D350" s="1804" t="e">
        <v>#N/A</v>
      </c>
      <c r="E350" s="294" t="e">
        <v>#N/A</v>
      </c>
      <c r="F350" s="1804" t="e">
        <v>#N/A</v>
      </c>
      <c r="G350" s="294" t="e">
        <v>#N/A</v>
      </c>
      <c r="H350" s="1804" t="e">
        <v>#N/A</v>
      </c>
      <c r="I350" s="294" t="e">
        <v>#N/A</v>
      </c>
      <c r="J350" s="1804" t="e">
        <v>#N/A</v>
      </c>
      <c r="K350" s="294" t="e">
        <v>#N/A</v>
      </c>
      <c r="L350" s="1804" t="e">
        <v>#N/A</v>
      </c>
      <c r="M350" s="294" t="e">
        <v>#N/A</v>
      </c>
      <c r="N350" s="1892" t="e">
        <v>#N/A</v>
      </c>
      <c r="O350" s="1143" t="e">
        <v>#N/A</v>
      </c>
      <c r="P350" s="61" t="e">
        <v>#N/A</v>
      </c>
      <c r="Q350" s="61" t="e">
        <v>#N/A</v>
      </c>
      <c r="R350" s="505" t="e">
        <f t="shared" si="27"/>
        <v>#N/A</v>
      </c>
      <c r="S350" s="518" t="e">
        <f t="shared" si="28"/>
        <v>#N/A</v>
      </c>
      <c r="T350" s="1675" t="e">
        <v>#N/A</v>
      </c>
      <c r="U350" s="430" t="e">
        <v>#N/A</v>
      </c>
      <c r="V350" s="1675" t="e">
        <v>#N/A</v>
      </c>
      <c r="W350" s="73" t="e">
        <v>#N/A</v>
      </c>
      <c r="X350" s="1911" t="e">
        <f t="shared" si="26"/>
        <v>#N/A</v>
      </c>
      <c r="Y350" s="618" t="e">
        <v>#N/A</v>
      </c>
    </row>
    <row r="351" spans="1:25">
      <c r="A351" s="49">
        <f t="shared" si="29"/>
        <v>2025.06</v>
      </c>
      <c r="B351" s="73" t="e">
        <v>#N/A</v>
      </c>
      <c r="C351" s="1882" t="e">
        <f t="shared" si="24"/>
        <v>#N/A</v>
      </c>
      <c r="D351" s="1804" t="e">
        <v>#N/A</v>
      </c>
      <c r="E351" s="294" t="e">
        <v>#N/A</v>
      </c>
      <c r="F351" s="1804" t="e">
        <v>#N/A</v>
      </c>
      <c r="G351" s="294" t="e">
        <v>#N/A</v>
      </c>
      <c r="H351" s="1804" t="e">
        <v>#N/A</v>
      </c>
      <c r="I351" s="294" t="e">
        <v>#N/A</v>
      </c>
      <c r="J351" s="1804" t="e">
        <v>#N/A</v>
      </c>
      <c r="K351" s="294" t="e">
        <v>#N/A</v>
      </c>
      <c r="L351" s="1804" t="e">
        <v>#N/A</v>
      </c>
      <c r="M351" s="294" t="e">
        <v>#N/A</v>
      </c>
      <c r="N351" s="1892" t="e">
        <v>#N/A</v>
      </c>
      <c r="O351" s="1143" t="e">
        <v>#N/A</v>
      </c>
      <c r="P351" s="61" t="e">
        <v>#N/A</v>
      </c>
      <c r="Q351" s="61" t="e">
        <v>#N/A</v>
      </c>
      <c r="R351" s="505" t="e">
        <f t="shared" si="27"/>
        <v>#N/A</v>
      </c>
      <c r="S351" s="518" t="e">
        <f t="shared" si="28"/>
        <v>#N/A</v>
      </c>
      <c r="T351" s="1675" t="e">
        <v>#N/A</v>
      </c>
      <c r="U351" s="430" t="e">
        <v>#N/A</v>
      </c>
      <c r="V351" s="1675" t="e">
        <v>#N/A</v>
      </c>
      <c r="W351" s="73" t="e">
        <v>#N/A</v>
      </c>
      <c r="X351" s="1911" t="e">
        <f t="shared" si="26"/>
        <v>#N/A</v>
      </c>
      <c r="Y351" s="618" t="e">
        <v>#N/A</v>
      </c>
    </row>
    <row r="352" spans="1:25">
      <c r="A352" s="49">
        <f t="shared" si="29"/>
        <v>2025.07</v>
      </c>
      <c r="B352" s="73" t="e">
        <v>#N/A</v>
      </c>
      <c r="C352" s="1882" t="e">
        <f t="shared" si="24"/>
        <v>#N/A</v>
      </c>
      <c r="D352" s="1804" t="e">
        <v>#N/A</v>
      </c>
      <c r="E352" s="294" t="e">
        <v>#N/A</v>
      </c>
      <c r="F352" s="1804" t="e">
        <v>#N/A</v>
      </c>
      <c r="G352" s="294" t="e">
        <v>#N/A</v>
      </c>
      <c r="H352" s="1804" t="e">
        <v>#N/A</v>
      </c>
      <c r="I352" s="294" t="e">
        <v>#N/A</v>
      </c>
      <c r="J352" s="1804" t="e">
        <v>#N/A</v>
      </c>
      <c r="K352" s="294" t="e">
        <v>#N/A</v>
      </c>
      <c r="L352" s="1804" t="e">
        <v>#N/A</v>
      </c>
      <c r="M352" s="294" t="e">
        <v>#N/A</v>
      </c>
      <c r="N352" s="1892" t="e">
        <v>#N/A</v>
      </c>
      <c r="O352" s="1143" t="e">
        <v>#N/A</v>
      </c>
      <c r="P352" s="61" t="e">
        <v>#N/A</v>
      </c>
      <c r="Q352" s="61" t="e">
        <v>#N/A</v>
      </c>
      <c r="R352" s="505" t="e">
        <f t="shared" si="27"/>
        <v>#N/A</v>
      </c>
      <c r="S352" s="518" t="e">
        <f t="shared" si="28"/>
        <v>#N/A</v>
      </c>
      <c r="T352" s="1675" t="e">
        <v>#N/A</v>
      </c>
      <c r="U352" s="430" t="e">
        <v>#N/A</v>
      </c>
      <c r="V352" s="1675" t="e">
        <v>#N/A</v>
      </c>
      <c r="W352" s="73" t="e">
        <v>#N/A</v>
      </c>
      <c r="X352" s="1911" t="e">
        <f t="shared" si="26"/>
        <v>#N/A</v>
      </c>
      <c r="Y352" s="618" t="e">
        <v>#N/A</v>
      </c>
    </row>
    <row r="353" spans="1:25">
      <c r="A353" s="49">
        <f t="shared" si="29"/>
        <v>2025.08</v>
      </c>
      <c r="B353" s="73" t="e">
        <v>#N/A</v>
      </c>
      <c r="C353" s="1882" t="e">
        <f t="shared" si="24"/>
        <v>#N/A</v>
      </c>
      <c r="D353" s="1804" t="e">
        <v>#N/A</v>
      </c>
      <c r="E353" s="294" t="e">
        <v>#N/A</v>
      </c>
      <c r="F353" s="1804" t="e">
        <v>#N/A</v>
      </c>
      <c r="G353" s="294" t="e">
        <v>#N/A</v>
      </c>
      <c r="H353" s="1804" t="e">
        <v>#N/A</v>
      </c>
      <c r="I353" s="294" t="e">
        <v>#N/A</v>
      </c>
      <c r="J353" s="1804" t="e">
        <v>#N/A</v>
      </c>
      <c r="K353" s="294" t="e">
        <v>#N/A</v>
      </c>
      <c r="L353" s="1804" t="e">
        <v>#N/A</v>
      </c>
      <c r="M353" s="294" t="e">
        <v>#N/A</v>
      </c>
      <c r="N353" s="1892" t="e">
        <v>#N/A</v>
      </c>
      <c r="O353" s="1143" t="e">
        <v>#N/A</v>
      </c>
      <c r="P353" s="61" t="e">
        <v>#N/A</v>
      </c>
      <c r="Q353" s="61" t="e">
        <v>#N/A</v>
      </c>
      <c r="R353" s="505" t="e">
        <f t="shared" si="27"/>
        <v>#N/A</v>
      </c>
      <c r="S353" s="518" t="e">
        <f t="shared" si="28"/>
        <v>#N/A</v>
      </c>
      <c r="T353" s="1675" t="e">
        <v>#N/A</v>
      </c>
      <c r="U353" s="430" t="e">
        <v>#N/A</v>
      </c>
      <c r="V353" s="1675" t="e">
        <v>#N/A</v>
      </c>
      <c r="W353" s="73" t="e">
        <v>#N/A</v>
      </c>
      <c r="X353" s="1911" t="e">
        <f t="shared" si="26"/>
        <v>#N/A</v>
      </c>
      <c r="Y353" s="618" t="e">
        <v>#N/A</v>
      </c>
    </row>
    <row r="354" spans="1:25">
      <c r="A354" s="49">
        <f t="shared" si="29"/>
        <v>2025.09</v>
      </c>
      <c r="B354" s="73" t="e">
        <v>#N/A</v>
      </c>
      <c r="C354" s="1882" t="e">
        <f t="shared" si="24"/>
        <v>#N/A</v>
      </c>
      <c r="D354" s="1804" t="e">
        <v>#N/A</v>
      </c>
      <c r="E354" s="294" t="e">
        <v>#N/A</v>
      </c>
      <c r="F354" s="1804" t="e">
        <v>#N/A</v>
      </c>
      <c r="G354" s="294" t="e">
        <v>#N/A</v>
      </c>
      <c r="H354" s="1804" t="e">
        <v>#N/A</v>
      </c>
      <c r="I354" s="294" t="e">
        <v>#N/A</v>
      </c>
      <c r="J354" s="1804" t="e">
        <v>#N/A</v>
      </c>
      <c r="K354" s="294" t="e">
        <v>#N/A</v>
      </c>
      <c r="L354" s="1804" t="e">
        <v>#N/A</v>
      </c>
      <c r="M354" s="294" t="e">
        <v>#N/A</v>
      </c>
      <c r="N354" s="1892" t="e">
        <v>#N/A</v>
      </c>
      <c r="O354" s="1143" t="e">
        <v>#N/A</v>
      </c>
      <c r="P354" s="61" t="e">
        <v>#N/A</v>
      </c>
      <c r="Q354" s="61" t="e">
        <v>#N/A</v>
      </c>
      <c r="R354" s="505" t="e">
        <f t="shared" si="27"/>
        <v>#N/A</v>
      </c>
      <c r="S354" s="518" t="e">
        <f t="shared" si="28"/>
        <v>#N/A</v>
      </c>
      <c r="T354" s="1675" t="e">
        <v>#N/A</v>
      </c>
      <c r="U354" s="430" t="e">
        <v>#N/A</v>
      </c>
      <c r="V354" s="1675" t="e">
        <v>#N/A</v>
      </c>
      <c r="W354" s="73" t="e">
        <v>#N/A</v>
      </c>
      <c r="X354" s="1911" t="e">
        <f t="shared" si="26"/>
        <v>#N/A</v>
      </c>
      <c r="Y354" s="618" t="e">
        <v>#N/A</v>
      </c>
    </row>
    <row r="355" spans="1:25">
      <c r="A355" s="49">
        <f t="shared" si="29"/>
        <v>2025.1</v>
      </c>
      <c r="B355" s="73" t="e">
        <v>#N/A</v>
      </c>
      <c r="C355" s="1882" t="e">
        <f t="shared" si="24"/>
        <v>#N/A</v>
      </c>
      <c r="D355" s="1804" t="e">
        <v>#N/A</v>
      </c>
      <c r="E355" s="294" t="e">
        <v>#N/A</v>
      </c>
      <c r="F355" s="1804" t="e">
        <v>#N/A</v>
      </c>
      <c r="G355" s="294" t="e">
        <v>#N/A</v>
      </c>
      <c r="H355" s="1804" t="e">
        <v>#N/A</v>
      </c>
      <c r="I355" s="294" t="e">
        <v>#N/A</v>
      </c>
      <c r="J355" s="1804" t="e">
        <v>#N/A</v>
      </c>
      <c r="K355" s="294" t="e">
        <v>#N/A</v>
      </c>
      <c r="L355" s="1804" t="e">
        <v>#N/A</v>
      </c>
      <c r="M355" s="294" t="e">
        <v>#N/A</v>
      </c>
      <c r="N355" s="1892" t="e">
        <v>#N/A</v>
      </c>
      <c r="O355" s="1143" t="e">
        <v>#N/A</v>
      </c>
      <c r="P355" s="61" t="e">
        <v>#N/A</v>
      </c>
      <c r="Q355" s="61" t="e">
        <v>#N/A</v>
      </c>
      <c r="R355" s="505" t="e">
        <f t="shared" si="27"/>
        <v>#N/A</v>
      </c>
      <c r="S355" s="518" t="e">
        <f t="shared" si="28"/>
        <v>#N/A</v>
      </c>
      <c r="T355" s="1675" t="e">
        <v>#N/A</v>
      </c>
      <c r="U355" s="430" t="e">
        <v>#N/A</v>
      </c>
      <c r="V355" s="1675" t="e">
        <v>#N/A</v>
      </c>
      <c r="W355" s="73" t="e">
        <v>#N/A</v>
      </c>
      <c r="X355" s="1911" t="e">
        <f t="shared" si="26"/>
        <v>#N/A</v>
      </c>
      <c r="Y355" s="618" t="e">
        <v>#N/A</v>
      </c>
    </row>
    <row r="356" spans="1:25">
      <c r="A356" s="49">
        <f t="shared" si="29"/>
        <v>2025.11</v>
      </c>
      <c r="B356" s="73" t="e">
        <v>#N/A</v>
      </c>
      <c r="C356" s="1882" t="e">
        <f t="shared" si="24"/>
        <v>#N/A</v>
      </c>
      <c r="D356" s="1804" t="e">
        <v>#N/A</v>
      </c>
      <c r="E356" s="294" t="e">
        <v>#N/A</v>
      </c>
      <c r="F356" s="1804" t="e">
        <v>#N/A</v>
      </c>
      <c r="G356" s="294" t="e">
        <v>#N/A</v>
      </c>
      <c r="H356" s="1804" t="e">
        <v>#N/A</v>
      </c>
      <c r="I356" s="294" t="e">
        <v>#N/A</v>
      </c>
      <c r="J356" s="1804" t="e">
        <v>#N/A</v>
      </c>
      <c r="K356" s="294" t="e">
        <v>#N/A</v>
      </c>
      <c r="L356" s="1804" t="e">
        <v>#N/A</v>
      </c>
      <c r="M356" s="294" t="e">
        <v>#N/A</v>
      </c>
      <c r="N356" s="1892" t="e">
        <v>#N/A</v>
      </c>
      <c r="O356" s="1143" t="e">
        <v>#N/A</v>
      </c>
      <c r="P356" s="61" t="e">
        <v>#N/A</v>
      </c>
      <c r="Q356" s="61" t="e">
        <v>#N/A</v>
      </c>
      <c r="R356" s="505" t="e">
        <f t="shared" si="27"/>
        <v>#N/A</v>
      </c>
      <c r="S356" s="518" t="e">
        <f t="shared" si="28"/>
        <v>#N/A</v>
      </c>
      <c r="T356" s="1675" t="e">
        <v>#N/A</v>
      </c>
      <c r="U356" s="430" t="e">
        <v>#N/A</v>
      </c>
      <c r="V356" s="1675" t="e">
        <v>#N/A</v>
      </c>
      <c r="W356" s="73" t="e">
        <v>#N/A</v>
      </c>
      <c r="X356" s="1911" t="e">
        <f t="shared" si="26"/>
        <v>#N/A</v>
      </c>
      <c r="Y356" s="618" t="e">
        <v>#N/A</v>
      </c>
    </row>
    <row r="357" spans="1:25">
      <c r="A357" s="49">
        <f t="shared" si="29"/>
        <v>2025.12</v>
      </c>
      <c r="B357" s="73" t="e">
        <v>#N/A</v>
      </c>
      <c r="C357" s="1882" t="e">
        <f t="shared" si="24"/>
        <v>#N/A</v>
      </c>
      <c r="D357" s="1804" t="e">
        <v>#N/A</v>
      </c>
      <c r="E357" s="294" t="e">
        <v>#N/A</v>
      </c>
      <c r="F357" s="1804" t="e">
        <v>#N/A</v>
      </c>
      <c r="G357" s="294" t="e">
        <v>#N/A</v>
      </c>
      <c r="H357" s="1804" t="e">
        <v>#N/A</v>
      </c>
      <c r="I357" s="294" t="e">
        <v>#N/A</v>
      </c>
      <c r="J357" s="1804" t="e">
        <v>#N/A</v>
      </c>
      <c r="K357" s="294" t="e">
        <v>#N/A</v>
      </c>
      <c r="L357" s="1804" t="e">
        <v>#N/A</v>
      </c>
      <c r="M357" s="294" t="e">
        <v>#N/A</v>
      </c>
      <c r="N357" s="1892" t="e">
        <v>#N/A</v>
      </c>
      <c r="O357" s="1143" t="e">
        <v>#N/A</v>
      </c>
      <c r="P357" s="61" t="e">
        <v>#N/A</v>
      </c>
      <c r="Q357" s="61" t="e">
        <v>#N/A</v>
      </c>
      <c r="R357" s="505" t="e">
        <f t="shared" si="27"/>
        <v>#N/A</v>
      </c>
      <c r="S357" s="518" t="e">
        <f t="shared" si="28"/>
        <v>#N/A</v>
      </c>
      <c r="T357" s="1675" t="e">
        <v>#N/A</v>
      </c>
      <c r="U357" s="430" t="e">
        <v>#N/A</v>
      </c>
      <c r="V357" s="1675" t="e">
        <v>#N/A</v>
      </c>
      <c r="W357" s="73" t="e">
        <v>#N/A</v>
      </c>
      <c r="X357" s="1911" t="e">
        <f t="shared" si="26"/>
        <v>#N/A</v>
      </c>
      <c r="Y357" s="618" t="e">
        <v>#N/A</v>
      </c>
    </row>
    <row r="358" spans="1:25">
      <c r="A358" s="49">
        <f t="shared" si="29"/>
        <v>2026.01</v>
      </c>
      <c r="B358" s="73" t="e">
        <v>#N/A</v>
      </c>
      <c r="C358" s="1882" t="e">
        <f t="shared" ref="C358:C375" si="30">SUM(D358:J358)</f>
        <v>#N/A</v>
      </c>
      <c r="D358" s="1804" t="e">
        <v>#N/A</v>
      </c>
      <c r="E358" s="294" t="e">
        <v>#N/A</v>
      </c>
      <c r="F358" s="1804" t="e">
        <v>#N/A</v>
      </c>
      <c r="G358" s="294" t="e">
        <v>#N/A</v>
      </c>
      <c r="H358" s="1804" t="e">
        <v>#N/A</v>
      </c>
      <c r="I358" s="294" t="e">
        <v>#N/A</v>
      </c>
      <c r="J358" s="1804" t="e">
        <v>#N/A</v>
      </c>
      <c r="K358" s="294" t="e">
        <v>#N/A</v>
      </c>
      <c r="L358" s="1804" t="e">
        <v>#N/A</v>
      </c>
      <c r="M358" s="294" t="e">
        <v>#N/A</v>
      </c>
      <c r="N358" s="1892" t="e">
        <v>#N/A</v>
      </c>
      <c r="O358" s="1143" t="e">
        <v>#N/A</v>
      </c>
      <c r="P358" s="61" t="e">
        <v>#N/A</v>
      </c>
      <c r="Q358" s="61" t="e">
        <v>#N/A</v>
      </c>
      <c r="R358" s="505" t="e">
        <f t="shared" ref="R358:R375" si="31">$B358/P358*1000</f>
        <v>#N/A</v>
      </c>
      <c r="S358" s="518" t="e">
        <f t="shared" si="28"/>
        <v>#N/A</v>
      </c>
      <c r="T358" s="1675" t="e">
        <v>#N/A</v>
      </c>
      <c r="U358" s="430" t="e">
        <v>#N/A</v>
      </c>
      <c r="V358" s="1675" t="e">
        <v>#N/A</v>
      </c>
      <c r="W358" s="73" t="e">
        <v>#N/A</v>
      </c>
      <c r="X358" s="1911" t="e">
        <f t="shared" ref="X358:X375" si="32">V358+W358</f>
        <v>#N/A</v>
      </c>
      <c r="Y358" s="618" t="e">
        <v>#N/A</v>
      </c>
    </row>
    <row r="359" spans="1:25">
      <c r="A359" s="49">
        <f t="shared" si="29"/>
        <v>2026.02</v>
      </c>
      <c r="B359" s="73" t="e">
        <v>#N/A</v>
      </c>
      <c r="C359" s="1882" t="e">
        <f t="shared" si="30"/>
        <v>#N/A</v>
      </c>
      <c r="D359" s="1804" t="e">
        <v>#N/A</v>
      </c>
      <c r="E359" s="294" t="e">
        <v>#N/A</v>
      </c>
      <c r="F359" s="1804" t="e">
        <v>#N/A</v>
      </c>
      <c r="G359" s="294" t="e">
        <v>#N/A</v>
      </c>
      <c r="H359" s="1804" t="e">
        <v>#N/A</v>
      </c>
      <c r="I359" s="294" t="e">
        <v>#N/A</v>
      </c>
      <c r="J359" s="1804" t="e">
        <v>#N/A</v>
      </c>
      <c r="K359" s="294" t="e">
        <v>#N/A</v>
      </c>
      <c r="L359" s="1804" t="e">
        <v>#N/A</v>
      </c>
      <c r="M359" s="294" t="e">
        <v>#N/A</v>
      </c>
      <c r="N359" s="1892" t="e">
        <v>#N/A</v>
      </c>
      <c r="O359" s="1143" t="e">
        <v>#N/A</v>
      </c>
      <c r="P359" s="61" t="e">
        <v>#N/A</v>
      </c>
      <c r="Q359" s="61" t="e">
        <v>#N/A</v>
      </c>
      <c r="R359" s="505" t="e">
        <f t="shared" si="31"/>
        <v>#N/A</v>
      </c>
      <c r="S359" s="518" t="e">
        <f t="shared" si="28"/>
        <v>#N/A</v>
      </c>
      <c r="T359" s="1675" t="e">
        <v>#N/A</v>
      </c>
      <c r="U359" s="430" t="e">
        <v>#N/A</v>
      </c>
      <c r="V359" s="1675" t="e">
        <v>#N/A</v>
      </c>
      <c r="W359" s="73" t="e">
        <v>#N/A</v>
      </c>
      <c r="X359" s="1911" t="e">
        <f t="shared" si="32"/>
        <v>#N/A</v>
      </c>
      <c r="Y359" s="618" t="e">
        <v>#N/A</v>
      </c>
    </row>
    <row r="360" spans="1:25">
      <c r="A360" s="49">
        <f t="shared" si="29"/>
        <v>2026.03</v>
      </c>
      <c r="B360" s="73" t="e">
        <v>#N/A</v>
      </c>
      <c r="C360" s="1882" t="e">
        <f t="shared" si="30"/>
        <v>#N/A</v>
      </c>
      <c r="D360" s="1804" t="e">
        <v>#N/A</v>
      </c>
      <c r="E360" s="294" t="e">
        <v>#N/A</v>
      </c>
      <c r="F360" s="1804" t="e">
        <v>#N/A</v>
      </c>
      <c r="G360" s="294" t="e">
        <v>#N/A</v>
      </c>
      <c r="H360" s="1804" t="e">
        <v>#N/A</v>
      </c>
      <c r="I360" s="294" t="e">
        <v>#N/A</v>
      </c>
      <c r="J360" s="1804" t="e">
        <v>#N/A</v>
      </c>
      <c r="K360" s="294" t="e">
        <v>#N/A</v>
      </c>
      <c r="L360" s="1804" t="e">
        <v>#N/A</v>
      </c>
      <c r="M360" s="294" t="e">
        <v>#N/A</v>
      </c>
      <c r="N360" s="1892" t="e">
        <v>#N/A</v>
      </c>
      <c r="O360" s="1143" t="e">
        <v>#N/A</v>
      </c>
      <c r="P360" s="61" t="e">
        <v>#N/A</v>
      </c>
      <c r="Q360" s="61" t="e">
        <v>#N/A</v>
      </c>
      <c r="R360" s="505" t="e">
        <f t="shared" si="31"/>
        <v>#N/A</v>
      </c>
      <c r="S360" s="518" t="e">
        <f t="shared" si="28"/>
        <v>#N/A</v>
      </c>
      <c r="T360" s="1675" t="e">
        <v>#N/A</v>
      </c>
      <c r="U360" s="430" t="e">
        <v>#N/A</v>
      </c>
      <c r="V360" s="1675" t="e">
        <v>#N/A</v>
      </c>
      <c r="W360" s="73" t="e">
        <v>#N/A</v>
      </c>
      <c r="X360" s="1911" t="e">
        <f t="shared" si="32"/>
        <v>#N/A</v>
      </c>
      <c r="Y360" s="618" t="e">
        <v>#N/A</v>
      </c>
    </row>
    <row r="361" spans="1:25">
      <c r="A361" s="49">
        <f t="shared" si="29"/>
        <v>2026.04</v>
      </c>
      <c r="B361" s="73" t="e">
        <v>#N/A</v>
      </c>
      <c r="C361" s="1882" t="e">
        <f t="shared" si="30"/>
        <v>#N/A</v>
      </c>
      <c r="D361" s="1804" t="e">
        <v>#N/A</v>
      </c>
      <c r="E361" s="294" t="e">
        <v>#N/A</v>
      </c>
      <c r="F361" s="1804" t="e">
        <v>#N/A</v>
      </c>
      <c r="G361" s="294" t="e">
        <v>#N/A</v>
      </c>
      <c r="H361" s="1804" t="e">
        <v>#N/A</v>
      </c>
      <c r="I361" s="294" t="e">
        <v>#N/A</v>
      </c>
      <c r="J361" s="1804" t="e">
        <v>#N/A</v>
      </c>
      <c r="K361" s="294" t="e">
        <v>#N/A</v>
      </c>
      <c r="L361" s="1804" t="e">
        <v>#N/A</v>
      </c>
      <c r="M361" s="294" t="e">
        <v>#N/A</v>
      </c>
      <c r="N361" s="1892" t="e">
        <v>#N/A</v>
      </c>
      <c r="O361" s="1143" t="e">
        <v>#N/A</v>
      </c>
      <c r="P361" s="61" t="e">
        <v>#N/A</v>
      </c>
      <c r="Q361" s="61" t="e">
        <v>#N/A</v>
      </c>
      <c r="R361" s="505" t="e">
        <f t="shared" si="31"/>
        <v>#N/A</v>
      </c>
      <c r="S361" s="518" t="e">
        <f t="shared" si="28"/>
        <v>#N/A</v>
      </c>
      <c r="T361" s="1675" t="e">
        <v>#N/A</v>
      </c>
      <c r="U361" s="430" t="e">
        <v>#N/A</v>
      </c>
      <c r="V361" s="1675" t="e">
        <v>#N/A</v>
      </c>
      <c r="W361" s="73" t="e">
        <v>#N/A</v>
      </c>
      <c r="X361" s="1911" t="e">
        <f t="shared" si="32"/>
        <v>#N/A</v>
      </c>
      <c r="Y361" s="618" t="e">
        <v>#N/A</v>
      </c>
    </row>
    <row r="362" spans="1:25">
      <c r="A362" s="49">
        <f t="shared" si="29"/>
        <v>2026.05</v>
      </c>
      <c r="B362" s="73" t="e">
        <v>#N/A</v>
      </c>
      <c r="C362" s="1882" t="e">
        <f t="shared" si="30"/>
        <v>#N/A</v>
      </c>
      <c r="D362" s="1804" t="e">
        <v>#N/A</v>
      </c>
      <c r="E362" s="294" t="e">
        <v>#N/A</v>
      </c>
      <c r="F362" s="1804" t="e">
        <v>#N/A</v>
      </c>
      <c r="G362" s="294" t="e">
        <v>#N/A</v>
      </c>
      <c r="H362" s="1804" t="e">
        <v>#N/A</v>
      </c>
      <c r="I362" s="294" t="e">
        <v>#N/A</v>
      </c>
      <c r="J362" s="1804" t="e">
        <v>#N/A</v>
      </c>
      <c r="K362" s="294" t="e">
        <v>#N/A</v>
      </c>
      <c r="L362" s="1804" t="e">
        <v>#N/A</v>
      </c>
      <c r="M362" s="294" t="e">
        <v>#N/A</v>
      </c>
      <c r="N362" s="1892" t="e">
        <v>#N/A</v>
      </c>
      <c r="O362" s="1143" t="e">
        <v>#N/A</v>
      </c>
      <c r="P362" s="61" t="e">
        <v>#N/A</v>
      </c>
      <c r="Q362" s="61" t="e">
        <v>#N/A</v>
      </c>
      <c r="R362" s="505" t="e">
        <f t="shared" si="31"/>
        <v>#N/A</v>
      </c>
      <c r="S362" s="518" t="e">
        <f t="shared" si="28"/>
        <v>#N/A</v>
      </c>
      <c r="T362" s="1675" t="e">
        <v>#N/A</v>
      </c>
      <c r="U362" s="430" t="e">
        <v>#N/A</v>
      </c>
      <c r="V362" s="1675" t="e">
        <v>#N/A</v>
      </c>
      <c r="W362" s="73" t="e">
        <v>#N/A</v>
      </c>
      <c r="X362" s="1911" t="e">
        <f t="shared" si="32"/>
        <v>#N/A</v>
      </c>
      <c r="Y362" s="618" t="e">
        <v>#N/A</v>
      </c>
    </row>
    <row r="363" spans="1:25">
      <c r="A363" s="49">
        <f t="shared" si="29"/>
        <v>2026.06</v>
      </c>
      <c r="B363" s="73" t="e">
        <v>#N/A</v>
      </c>
      <c r="C363" s="1882" t="e">
        <f t="shared" si="30"/>
        <v>#N/A</v>
      </c>
      <c r="D363" s="1804" t="e">
        <v>#N/A</v>
      </c>
      <c r="E363" s="294" t="e">
        <v>#N/A</v>
      </c>
      <c r="F363" s="1804" t="e">
        <v>#N/A</v>
      </c>
      <c r="G363" s="294" t="e">
        <v>#N/A</v>
      </c>
      <c r="H363" s="1804" t="e">
        <v>#N/A</v>
      </c>
      <c r="I363" s="294" t="e">
        <v>#N/A</v>
      </c>
      <c r="J363" s="1804" t="e">
        <v>#N/A</v>
      </c>
      <c r="K363" s="294" t="e">
        <v>#N/A</v>
      </c>
      <c r="L363" s="1804" t="e">
        <v>#N/A</v>
      </c>
      <c r="M363" s="294" t="e">
        <v>#N/A</v>
      </c>
      <c r="N363" s="1892" t="e">
        <v>#N/A</v>
      </c>
      <c r="O363" s="1143" t="e">
        <v>#N/A</v>
      </c>
      <c r="P363" s="61" t="e">
        <v>#N/A</v>
      </c>
      <c r="Q363" s="61" t="e">
        <v>#N/A</v>
      </c>
      <c r="R363" s="505" t="e">
        <f t="shared" si="31"/>
        <v>#N/A</v>
      </c>
      <c r="S363" s="518" t="e">
        <f t="shared" si="28"/>
        <v>#N/A</v>
      </c>
      <c r="T363" s="1675" t="e">
        <v>#N/A</v>
      </c>
      <c r="U363" s="430" t="e">
        <v>#N/A</v>
      </c>
      <c r="V363" s="1675" t="e">
        <v>#N/A</v>
      </c>
      <c r="W363" s="73" t="e">
        <v>#N/A</v>
      </c>
      <c r="X363" s="1911" t="e">
        <f t="shared" si="32"/>
        <v>#N/A</v>
      </c>
      <c r="Y363" s="618" t="e">
        <v>#N/A</v>
      </c>
    </row>
    <row r="364" spans="1:25">
      <c r="A364" s="49">
        <f t="shared" si="29"/>
        <v>2026.07</v>
      </c>
      <c r="B364" s="73" t="e">
        <v>#N/A</v>
      </c>
      <c r="C364" s="1882" t="e">
        <f t="shared" si="30"/>
        <v>#N/A</v>
      </c>
      <c r="D364" s="1804" t="e">
        <v>#N/A</v>
      </c>
      <c r="E364" s="294" t="e">
        <v>#N/A</v>
      </c>
      <c r="F364" s="1804" t="e">
        <v>#N/A</v>
      </c>
      <c r="G364" s="294" t="e">
        <v>#N/A</v>
      </c>
      <c r="H364" s="1804" t="e">
        <v>#N/A</v>
      </c>
      <c r="I364" s="294" t="e">
        <v>#N/A</v>
      </c>
      <c r="J364" s="1804" t="e">
        <v>#N/A</v>
      </c>
      <c r="K364" s="294" t="e">
        <v>#N/A</v>
      </c>
      <c r="L364" s="1804" t="e">
        <v>#N/A</v>
      </c>
      <c r="M364" s="294" t="e">
        <v>#N/A</v>
      </c>
      <c r="N364" s="1892" t="e">
        <v>#N/A</v>
      </c>
      <c r="O364" s="1143" t="e">
        <v>#N/A</v>
      </c>
      <c r="P364" s="61" t="e">
        <v>#N/A</v>
      </c>
      <c r="Q364" s="61" t="e">
        <v>#N/A</v>
      </c>
      <c r="R364" s="505" t="e">
        <f t="shared" si="31"/>
        <v>#N/A</v>
      </c>
      <c r="S364" s="518" t="e">
        <f t="shared" si="28"/>
        <v>#N/A</v>
      </c>
      <c r="T364" s="1675" t="e">
        <v>#N/A</v>
      </c>
      <c r="U364" s="430" t="e">
        <v>#N/A</v>
      </c>
      <c r="V364" s="1675" t="e">
        <v>#N/A</v>
      </c>
      <c r="W364" s="73" t="e">
        <v>#N/A</v>
      </c>
      <c r="X364" s="1911" t="e">
        <f t="shared" si="32"/>
        <v>#N/A</v>
      </c>
      <c r="Y364" s="618" t="e">
        <v>#N/A</v>
      </c>
    </row>
    <row r="365" spans="1:25">
      <c r="A365" s="49">
        <f t="shared" si="29"/>
        <v>2026.08</v>
      </c>
      <c r="B365" s="73" t="e">
        <v>#N/A</v>
      </c>
      <c r="C365" s="1882" t="e">
        <f t="shared" si="30"/>
        <v>#N/A</v>
      </c>
      <c r="D365" s="1804" t="e">
        <v>#N/A</v>
      </c>
      <c r="E365" s="294" t="e">
        <v>#N/A</v>
      </c>
      <c r="F365" s="1804" t="e">
        <v>#N/A</v>
      </c>
      <c r="G365" s="294" t="e">
        <v>#N/A</v>
      </c>
      <c r="H365" s="1804" t="e">
        <v>#N/A</v>
      </c>
      <c r="I365" s="294" t="e">
        <v>#N/A</v>
      </c>
      <c r="J365" s="1804" t="e">
        <v>#N/A</v>
      </c>
      <c r="K365" s="294" t="e">
        <v>#N/A</v>
      </c>
      <c r="L365" s="1804" t="e">
        <v>#N/A</v>
      </c>
      <c r="M365" s="294" t="e">
        <v>#N/A</v>
      </c>
      <c r="N365" s="1892" t="e">
        <v>#N/A</v>
      </c>
      <c r="O365" s="1143" t="e">
        <v>#N/A</v>
      </c>
      <c r="P365" s="61" t="e">
        <v>#N/A</v>
      </c>
      <c r="Q365" s="61" t="e">
        <v>#N/A</v>
      </c>
      <c r="R365" s="505" t="e">
        <f t="shared" si="31"/>
        <v>#N/A</v>
      </c>
      <c r="S365" s="518" t="e">
        <f t="shared" si="28"/>
        <v>#N/A</v>
      </c>
      <c r="T365" s="1675" t="e">
        <v>#N/A</v>
      </c>
      <c r="U365" s="430" t="e">
        <v>#N/A</v>
      </c>
      <c r="V365" s="1675" t="e">
        <v>#N/A</v>
      </c>
      <c r="W365" s="73" t="e">
        <v>#N/A</v>
      </c>
      <c r="X365" s="1911" t="e">
        <f t="shared" si="32"/>
        <v>#N/A</v>
      </c>
      <c r="Y365" s="618" t="e">
        <v>#N/A</v>
      </c>
    </row>
    <row r="366" spans="1:25">
      <c r="A366" s="49">
        <f t="shared" si="29"/>
        <v>2026.09</v>
      </c>
      <c r="B366" s="73" t="e">
        <v>#N/A</v>
      </c>
      <c r="C366" s="1882" t="e">
        <f t="shared" si="30"/>
        <v>#N/A</v>
      </c>
      <c r="D366" s="1804" t="e">
        <v>#N/A</v>
      </c>
      <c r="E366" s="294" t="e">
        <v>#N/A</v>
      </c>
      <c r="F366" s="1804" t="e">
        <v>#N/A</v>
      </c>
      <c r="G366" s="294" t="e">
        <v>#N/A</v>
      </c>
      <c r="H366" s="1804" t="e">
        <v>#N/A</v>
      </c>
      <c r="I366" s="294" t="e">
        <v>#N/A</v>
      </c>
      <c r="J366" s="1804" t="e">
        <v>#N/A</v>
      </c>
      <c r="K366" s="294" t="e">
        <v>#N/A</v>
      </c>
      <c r="L366" s="1804" t="e">
        <v>#N/A</v>
      </c>
      <c r="M366" s="294" t="e">
        <v>#N/A</v>
      </c>
      <c r="N366" s="1892" t="e">
        <v>#N/A</v>
      </c>
      <c r="O366" s="1143" t="e">
        <v>#N/A</v>
      </c>
      <c r="P366" s="61" t="e">
        <v>#N/A</v>
      </c>
      <c r="Q366" s="61" t="e">
        <v>#N/A</v>
      </c>
      <c r="R366" s="505" t="e">
        <f t="shared" si="31"/>
        <v>#N/A</v>
      </c>
      <c r="S366" s="518" t="e">
        <f t="shared" si="28"/>
        <v>#N/A</v>
      </c>
      <c r="T366" s="1675" t="e">
        <v>#N/A</v>
      </c>
      <c r="U366" s="430" t="e">
        <v>#N/A</v>
      </c>
      <c r="V366" s="1675" t="e">
        <v>#N/A</v>
      </c>
      <c r="W366" s="73" t="e">
        <v>#N/A</v>
      </c>
      <c r="X366" s="1911" t="e">
        <f t="shared" si="32"/>
        <v>#N/A</v>
      </c>
      <c r="Y366" s="618" t="e">
        <v>#N/A</v>
      </c>
    </row>
    <row r="367" spans="1:25">
      <c r="A367" s="49">
        <f t="shared" si="29"/>
        <v>2026.1</v>
      </c>
      <c r="B367" s="73" t="e">
        <v>#N/A</v>
      </c>
      <c r="C367" s="1882" t="e">
        <f t="shared" si="30"/>
        <v>#N/A</v>
      </c>
      <c r="D367" s="1804" t="e">
        <v>#N/A</v>
      </c>
      <c r="E367" s="294" t="e">
        <v>#N/A</v>
      </c>
      <c r="F367" s="1804" t="e">
        <v>#N/A</v>
      </c>
      <c r="G367" s="294" t="e">
        <v>#N/A</v>
      </c>
      <c r="H367" s="1804" t="e">
        <v>#N/A</v>
      </c>
      <c r="I367" s="294" t="e">
        <v>#N/A</v>
      </c>
      <c r="J367" s="1804" t="e">
        <v>#N/A</v>
      </c>
      <c r="K367" s="294" t="e">
        <v>#N/A</v>
      </c>
      <c r="L367" s="1804" t="e">
        <v>#N/A</v>
      </c>
      <c r="M367" s="294" t="e">
        <v>#N/A</v>
      </c>
      <c r="N367" s="1892" t="e">
        <v>#N/A</v>
      </c>
      <c r="O367" s="1143" t="e">
        <v>#N/A</v>
      </c>
      <c r="P367" s="61" t="e">
        <v>#N/A</v>
      </c>
      <c r="Q367" s="61" t="e">
        <v>#N/A</v>
      </c>
      <c r="R367" s="505" t="e">
        <f t="shared" si="31"/>
        <v>#N/A</v>
      </c>
      <c r="S367" s="518" t="e">
        <f t="shared" si="28"/>
        <v>#N/A</v>
      </c>
      <c r="T367" s="1675" t="e">
        <v>#N/A</v>
      </c>
      <c r="U367" s="430" t="e">
        <v>#N/A</v>
      </c>
      <c r="V367" s="1675" t="e">
        <v>#N/A</v>
      </c>
      <c r="W367" s="73" t="e">
        <v>#N/A</v>
      </c>
      <c r="X367" s="1911" t="e">
        <f t="shared" si="32"/>
        <v>#N/A</v>
      </c>
      <c r="Y367" s="618" t="e">
        <v>#N/A</v>
      </c>
    </row>
    <row r="368" spans="1:25">
      <c r="A368" s="49">
        <f t="shared" si="29"/>
        <v>2026.11</v>
      </c>
      <c r="B368" s="73" t="e">
        <v>#N/A</v>
      </c>
      <c r="C368" s="1882" t="e">
        <f t="shared" si="30"/>
        <v>#N/A</v>
      </c>
      <c r="D368" s="1804" t="e">
        <v>#N/A</v>
      </c>
      <c r="E368" s="294" t="e">
        <v>#N/A</v>
      </c>
      <c r="F368" s="1804" t="e">
        <v>#N/A</v>
      </c>
      <c r="G368" s="294" t="e">
        <v>#N/A</v>
      </c>
      <c r="H368" s="1804" t="e">
        <v>#N/A</v>
      </c>
      <c r="I368" s="294" t="e">
        <v>#N/A</v>
      </c>
      <c r="J368" s="1804" t="e">
        <v>#N/A</v>
      </c>
      <c r="K368" s="294" t="e">
        <v>#N/A</v>
      </c>
      <c r="L368" s="1804" t="e">
        <v>#N/A</v>
      </c>
      <c r="M368" s="294" t="e">
        <v>#N/A</v>
      </c>
      <c r="N368" s="1892" t="e">
        <v>#N/A</v>
      </c>
      <c r="O368" s="1143" t="e">
        <v>#N/A</v>
      </c>
      <c r="P368" s="61" t="e">
        <v>#N/A</v>
      </c>
      <c r="Q368" s="61" t="e">
        <v>#N/A</v>
      </c>
      <c r="R368" s="505" t="e">
        <f t="shared" si="31"/>
        <v>#N/A</v>
      </c>
      <c r="S368" s="518" t="e">
        <f t="shared" si="28"/>
        <v>#N/A</v>
      </c>
      <c r="T368" s="1675" t="e">
        <v>#N/A</v>
      </c>
      <c r="U368" s="430" t="e">
        <v>#N/A</v>
      </c>
      <c r="V368" s="1675" t="e">
        <v>#N/A</v>
      </c>
      <c r="W368" s="73" t="e">
        <v>#N/A</v>
      </c>
      <c r="X368" s="1911" t="e">
        <f t="shared" si="32"/>
        <v>#N/A</v>
      </c>
      <c r="Y368" s="618" t="e">
        <v>#N/A</v>
      </c>
    </row>
    <row r="369" spans="1:25">
      <c r="A369" s="49">
        <f t="shared" si="29"/>
        <v>2026.12</v>
      </c>
      <c r="B369" s="73" t="e">
        <v>#N/A</v>
      </c>
      <c r="C369" s="1882" t="e">
        <f t="shared" si="30"/>
        <v>#N/A</v>
      </c>
      <c r="D369" s="1804" t="e">
        <v>#N/A</v>
      </c>
      <c r="E369" s="294" t="e">
        <v>#N/A</v>
      </c>
      <c r="F369" s="1804" t="e">
        <v>#N/A</v>
      </c>
      <c r="G369" s="294" t="e">
        <v>#N/A</v>
      </c>
      <c r="H369" s="1804" t="e">
        <v>#N/A</v>
      </c>
      <c r="I369" s="294" t="e">
        <v>#N/A</v>
      </c>
      <c r="J369" s="1804" t="e">
        <v>#N/A</v>
      </c>
      <c r="K369" s="294" t="e">
        <v>#N/A</v>
      </c>
      <c r="L369" s="1804" t="e">
        <v>#N/A</v>
      </c>
      <c r="M369" s="294" t="e">
        <v>#N/A</v>
      </c>
      <c r="N369" s="1892" t="e">
        <v>#N/A</v>
      </c>
      <c r="O369" s="1143" t="e">
        <v>#N/A</v>
      </c>
      <c r="P369" s="61" t="e">
        <v>#N/A</v>
      </c>
      <c r="Q369" s="61" t="e">
        <v>#N/A</v>
      </c>
      <c r="R369" s="505" t="e">
        <f t="shared" si="31"/>
        <v>#N/A</v>
      </c>
      <c r="S369" s="518" t="e">
        <f t="shared" si="28"/>
        <v>#N/A</v>
      </c>
      <c r="T369" s="1675" t="e">
        <v>#N/A</v>
      </c>
      <c r="U369" s="430" t="e">
        <v>#N/A</v>
      </c>
      <c r="V369" s="1675" t="e">
        <v>#N/A</v>
      </c>
      <c r="W369" s="73" t="e">
        <v>#N/A</v>
      </c>
      <c r="X369" s="1911" t="e">
        <f t="shared" si="32"/>
        <v>#N/A</v>
      </c>
      <c r="Y369" s="618" t="e">
        <v>#N/A</v>
      </c>
    </row>
    <row r="370" spans="1:25">
      <c r="A370" s="49">
        <f t="shared" si="29"/>
        <v>2027.01</v>
      </c>
      <c r="B370" s="73" t="e">
        <v>#N/A</v>
      </c>
      <c r="C370" s="1882" t="e">
        <f t="shared" si="30"/>
        <v>#N/A</v>
      </c>
      <c r="D370" s="1804" t="e">
        <v>#N/A</v>
      </c>
      <c r="E370" s="294" t="e">
        <v>#N/A</v>
      </c>
      <c r="F370" s="1804" t="e">
        <v>#N/A</v>
      </c>
      <c r="G370" s="294" t="e">
        <v>#N/A</v>
      </c>
      <c r="H370" s="1804" t="e">
        <v>#N/A</v>
      </c>
      <c r="I370" s="294" t="e">
        <v>#N/A</v>
      </c>
      <c r="J370" s="1804" t="e">
        <v>#N/A</v>
      </c>
      <c r="K370" s="294" t="e">
        <v>#N/A</v>
      </c>
      <c r="L370" s="1804" t="e">
        <v>#N/A</v>
      </c>
      <c r="M370" s="294" t="e">
        <v>#N/A</v>
      </c>
      <c r="N370" s="1892" t="e">
        <v>#N/A</v>
      </c>
      <c r="O370" s="1143" t="e">
        <v>#N/A</v>
      </c>
      <c r="P370" s="61" t="e">
        <v>#N/A</v>
      </c>
      <c r="Q370" s="61" t="e">
        <v>#N/A</v>
      </c>
      <c r="R370" s="505" t="e">
        <f t="shared" si="31"/>
        <v>#N/A</v>
      </c>
      <c r="S370" s="518" t="e">
        <f t="shared" si="28"/>
        <v>#N/A</v>
      </c>
      <c r="T370" s="1675" t="e">
        <v>#N/A</v>
      </c>
      <c r="U370" s="430" t="e">
        <v>#N/A</v>
      </c>
      <c r="V370" s="1675" t="e">
        <v>#N/A</v>
      </c>
      <c r="W370" s="73" t="e">
        <v>#N/A</v>
      </c>
      <c r="X370" s="1911" t="e">
        <f t="shared" si="32"/>
        <v>#N/A</v>
      </c>
      <c r="Y370" s="618" t="e">
        <v>#N/A</v>
      </c>
    </row>
    <row r="371" spans="1:25">
      <c r="A371" s="49">
        <f t="shared" si="29"/>
        <v>2027.02</v>
      </c>
      <c r="B371" s="73" t="e">
        <v>#N/A</v>
      </c>
      <c r="C371" s="1882" t="e">
        <f t="shared" si="30"/>
        <v>#N/A</v>
      </c>
      <c r="D371" s="1804" t="e">
        <v>#N/A</v>
      </c>
      <c r="E371" s="294" t="e">
        <v>#N/A</v>
      </c>
      <c r="F371" s="1804" t="e">
        <v>#N/A</v>
      </c>
      <c r="G371" s="294" t="e">
        <v>#N/A</v>
      </c>
      <c r="H371" s="1804" t="e">
        <v>#N/A</v>
      </c>
      <c r="I371" s="294" t="e">
        <v>#N/A</v>
      </c>
      <c r="J371" s="1804" t="e">
        <v>#N/A</v>
      </c>
      <c r="K371" s="294" t="e">
        <v>#N/A</v>
      </c>
      <c r="L371" s="1804" t="e">
        <v>#N/A</v>
      </c>
      <c r="M371" s="294" t="e">
        <v>#N/A</v>
      </c>
      <c r="N371" s="1892" t="e">
        <v>#N/A</v>
      </c>
      <c r="O371" s="1143" t="e">
        <v>#N/A</v>
      </c>
      <c r="P371" s="61" t="e">
        <v>#N/A</v>
      </c>
      <c r="Q371" s="61" t="e">
        <v>#N/A</v>
      </c>
      <c r="R371" s="505" t="e">
        <f t="shared" si="31"/>
        <v>#N/A</v>
      </c>
      <c r="S371" s="518" t="e">
        <f t="shared" si="28"/>
        <v>#N/A</v>
      </c>
      <c r="T371" s="1675" t="e">
        <v>#N/A</v>
      </c>
      <c r="U371" s="430" t="e">
        <v>#N/A</v>
      </c>
      <c r="V371" s="1675" t="e">
        <v>#N/A</v>
      </c>
      <c r="W371" s="73" t="e">
        <v>#N/A</v>
      </c>
      <c r="X371" s="1911" t="e">
        <f t="shared" si="32"/>
        <v>#N/A</v>
      </c>
      <c r="Y371" s="618" t="e">
        <v>#N/A</v>
      </c>
    </row>
    <row r="372" spans="1:25">
      <c r="A372" s="49">
        <f t="shared" si="29"/>
        <v>2027.03</v>
      </c>
      <c r="B372" s="73" t="e">
        <v>#N/A</v>
      </c>
      <c r="C372" s="1882" t="e">
        <f t="shared" si="30"/>
        <v>#N/A</v>
      </c>
      <c r="D372" s="1804" t="e">
        <v>#N/A</v>
      </c>
      <c r="E372" s="294" t="e">
        <v>#N/A</v>
      </c>
      <c r="F372" s="1804" t="e">
        <v>#N/A</v>
      </c>
      <c r="G372" s="294" t="e">
        <v>#N/A</v>
      </c>
      <c r="H372" s="1804" t="e">
        <v>#N/A</v>
      </c>
      <c r="I372" s="294" t="e">
        <v>#N/A</v>
      </c>
      <c r="J372" s="1804" t="e">
        <v>#N/A</v>
      </c>
      <c r="K372" s="294" t="e">
        <v>#N/A</v>
      </c>
      <c r="L372" s="1804" t="e">
        <v>#N/A</v>
      </c>
      <c r="M372" s="294" t="e">
        <v>#N/A</v>
      </c>
      <c r="N372" s="1892" t="e">
        <v>#N/A</v>
      </c>
      <c r="O372" s="1143" t="e">
        <v>#N/A</v>
      </c>
      <c r="P372" s="61" t="e">
        <v>#N/A</v>
      </c>
      <c r="Q372" s="61" t="e">
        <v>#N/A</v>
      </c>
      <c r="R372" s="505" t="e">
        <f t="shared" si="31"/>
        <v>#N/A</v>
      </c>
      <c r="S372" s="518" t="e">
        <f t="shared" si="28"/>
        <v>#N/A</v>
      </c>
      <c r="T372" s="1675" t="e">
        <v>#N/A</v>
      </c>
      <c r="U372" s="430" t="e">
        <v>#N/A</v>
      </c>
      <c r="V372" s="1675" t="e">
        <v>#N/A</v>
      </c>
      <c r="W372" s="73" t="e">
        <v>#N/A</v>
      </c>
      <c r="X372" s="1911" t="e">
        <f t="shared" si="32"/>
        <v>#N/A</v>
      </c>
      <c r="Y372" s="618" t="e">
        <v>#N/A</v>
      </c>
    </row>
    <row r="373" spans="1:25">
      <c r="A373" s="49">
        <f t="shared" si="29"/>
        <v>2027.04</v>
      </c>
      <c r="B373" s="73" t="e">
        <v>#N/A</v>
      </c>
      <c r="C373" s="1882" t="e">
        <f t="shared" si="30"/>
        <v>#N/A</v>
      </c>
      <c r="D373" s="1804" t="e">
        <v>#N/A</v>
      </c>
      <c r="E373" s="294" t="e">
        <v>#N/A</v>
      </c>
      <c r="F373" s="1804" t="e">
        <v>#N/A</v>
      </c>
      <c r="G373" s="294" t="e">
        <v>#N/A</v>
      </c>
      <c r="H373" s="1804" t="e">
        <v>#N/A</v>
      </c>
      <c r="I373" s="294" t="e">
        <v>#N/A</v>
      </c>
      <c r="J373" s="1804" t="e">
        <v>#N/A</v>
      </c>
      <c r="K373" s="294" t="e">
        <v>#N/A</v>
      </c>
      <c r="L373" s="1804" t="e">
        <v>#N/A</v>
      </c>
      <c r="M373" s="294" t="e">
        <v>#N/A</v>
      </c>
      <c r="N373" s="1892" t="e">
        <v>#N/A</v>
      </c>
      <c r="O373" s="1143" t="e">
        <v>#N/A</v>
      </c>
      <c r="P373" s="61" t="e">
        <v>#N/A</v>
      </c>
      <c r="Q373" s="61" t="e">
        <v>#N/A</v>
      </c>
      <c r="R373" s="505" t="e">
        <f t="shared" si="31"/>
        <v>#N/A</v>
      </c>
      <c r="S373" s="518" t="e">
        <f t="shared" si="28"/>
        <v>#N/A</v>
      </c>
      <c r="T373" s="1675" t="e">
        <v>#N/A</v>
      </c>
      <c r="U373" s="430" t="e">
        <v>#N/A</v>
      </c>
      <c r="V373" s="1675" t="e">
        <v>#N/A</v>
      </c>
      <c r="W373" s="73" t="e">
        <v>#N/A</v>
      </c>
      <c r="X373" s="1911" t="e">
        <f t="shared" si="32"/>
        <v>#N/A</v>
      </c>
      <c r="Y373" s="618" t="e">
        <v>#N/A</v>
      </c>
    </row>
    <row r="374" spans="1:25">
      <c r="A374" s="49">
        <f t="shared" si="29"/>
        <v>2027.05</v>
      </c>
      <c r="B374" s="73" t="e">
        <v>#N/A</v>
      </c>
      <c r="C374" s="1882" t="e">
        <f t="shared" si="30"/>
        <v>#N/A</v>
      </c>
      <c r="D374" s="1804" t="e">
        <v>#N/A</v>
      </c>
      <c r="E374" s="294" t="e">
        <v>#N/A</v>
      </c>
      <c r="F374" s="1804" t="e">
        <v>#N/A</v>
      </c>
      <c r="G374" s="294" t="e">
        <v>#N/A</v>
      </c>
      <c r="H374" s="1804" t="e">
        <v>#N/A</v>
      </c>
      <c r="I374" s="294" t="e">
        <v>#N/A</v>
      </c>
      <c r="J374" s="1804" t="e">
        <v>#N/A</v>
      </c>
      <c r="K374" s="294" t="e">
        <v>#N/A</v>
      </c>
      <c r="L374" s="1804" t="e">
        <v>#N/A</v>
      </c>
      <c r="M374" s="294" t="e">
        <v>#N/A</v>
      </c>
      <c r="N374" s="1892" t="e">
        <v>#N/A</v>
      </c>
      <c r="O374" s="1143" t="e">
        <v>#N/A</v>
      </c>
      <c r="P374" s="61" t="e">
        <v>#N/A</v>
      </c>
      <c r="Q374" s="61" t="e">
        <v>#N/A</v>
      </c>
      <c r="R374" s="505" t="e">
        <f t="shared" si="31"/>
        <v>#N/A</v>
      </c>
      <c r="S374" s="518" t="e">
        <f t="shared" si="28"/>
        <v>#N/A</v>
      </c>
      <c r="T374" s="1675" t="e">
        <v>#N/A</v>
      </c>
      <c r="U374" s="430" t="e">
        <v>#N/A</v>
      </c>
      <c r="V374" s="1675" t="e">
        <v>#N/A</v>
      </c>
      <c r="W374" s="73" t="e">
        <v>#N/A</v>
      </c>
      <c r="X374" s="1911" t="e">
        <f t="shared" si="32"/>
        <v>#N/A</v>
      </c>
      <c r="Y374" s="618" t="e">
        <v>#N/A</v>
      </c>
    </row>
    <row r="375" spans="1:25">
      <c r="A375" s="49">
        <f t="shared" si="29"/>
        <v>2027.06</v>
      </c>
      <c r="B375" s="73" t="e">
        <v>#N/A</v>
      </c>
      <c r="C375" s="1882" t="e">
        <f t="shared" si="30"/>
        <v>#N/A</v>
      </c>
      <c r="D375" s="1804" t="e">
        <v>#N/A</v>
      </c>
      <c r="E375" s="294" t="e">
        <v>#N/A</v>
      </c>
      <c r="F375" s="1804" t="e">
        <v>#N/A</v>
      </c>
      <c r="G375" s="294" t="e">
        <v>#N/A</v>
      </c>
      <c r="H375" s="1804" t="e">
        <v>#N/A</v>
      </c>
      <c r="I375" s="294" t="e">
        <v>#N/A</v>
      </c>
      <c r="J375" s="1804" t="e">
        <v>#N/A</v>
      </c>
      <c r="K375" s="294" t="e">
        <v>#N/A</v>
      </c>
      <c r="L375" s="1804" t="e">
        <v>#N/A</v>
      </c>
      <c r="M375" s="294" t="e">
        <v>#N/A</v>
      </c>
      <c r="N375" s="1892" t="e">
        <v>#N/A</v>
      </c>
      <c r="O375" s="1143" t="e">
        <v>#N/A</v>
      </c>
      <c r="P375" s="61" t="e">
        <v>#N/A</v>
      </c>
      <c r="Q375" s="61" t="e">
        <v>#N/A</v>
      </c>
      <c r="R375" s="505" t="e">
        <f t="shared" si="31"/>
        <v>#N/A</v>
      </c>
      <c r="S375" s="518" t="e">
        <f t="shared" si="28"/>
        <v>#N/A</v>
      </c>
      <c r="T375" s="1675" t="e">
        <v>#N/A</v>
      </c>
      <c r="U375" s="430" t="e">
        <v>#N/A</v>
      </c>
      <c r="V375" s="1675" t="e">
        <v>#N/A</v>
      </c>
      <c r="W375" s="73" t="e">
        <v>#N/A</v>
      </c>
      <c r="X375" s="1911" t="e">
        <f t="shared" si="32"/>
        <v>#N/A</v>
      </c>
      <c r="Y375" s="618" t="e">
        <v>#N/A</v>
      </c>
    </row>
    <row r="376" spans="1:25">
      <c r="A376" s="49">
        <f t="shared" si="29"/>
        <v>2027.07</v>
      </c>
      <c r="B376" s="73" t="e">
        <v>#N/A</v>
      </c>
      <c r="C376" s="1882" t="e">
        <f t="shared" ref="C376:C389" si="33">SUM(D376:J376)</f>
        <v>#N/A</v>
      </c>
      <c r="D376" s="1804" t="e">
        <v>#N/A</v>
      </c>
      <c r="E376" s="294" t="e">
        <v>#N/A</v>
      </c>
      <c r="F376" s="1804" t="e">
        <v>#N/A</v>
      </c>
      <c r="G376" s="294" t="e">
        <v>#N/A</v>
      </c>
      <c r="H376" s="1804" t="e">
        <v>#N/A</v>
      </c>
      <c r="I376" s="294" t="e">
        <v>#N/A</v>
      </c>
      <c r="J376" s="1804" t="e">
        <v>#N/A</v>
      </c>
      <c r="K376" s="294" t="e">
        <v>#N/A</v>
      </c>
      <c r="L376" s="1804" t="e">
        <v>#N/A</v>
      </c>
      <c r="M376" s="294" t="e">
        <v>#N/A</v>
      </c>
      <c r="N376" s="1892" t="e">
        <v>#N/A</v>
      </c>
      <c r="O376" s="1143" t="e">
        <v>#N/A</v>
      </c>
      <c r="P376" s="61" t="e">
        <v>#N/A</v>
      </c>
      <c r="Q376" s="61" t="e">
        <v>#N/A</v>
      </c>
      <c r="R376" s="505" t="e">
        <f t="shared" ref="R376:R389" si="34">$B376/P376*1000</f>
        <v>#N/A</v>
      </c>
      <c r="S376" s="518" t="e">
        <f t="shared" si="28"/>
        <v>#N/A</v>
      </c>
      <c r="T376" s="1675" t="e">
        <v>#N/A</v>
      </c>
      <c r="U376" s="430" t="e">
        <v>#N/A</v>
      </c>
      <c r="V376" s="1675" t="e">
        <v>#N/A</v>
      </c>
      <c r="W376" s="73" t="e">
        <v>#N/A</v>
      </c>
      <c r="X376" s="1911" t="e">
        <f t="shared" ref="X376:X389" si="35">V376+W376</f>
        <v>#N/A</v>
      </c>
      <c r="Y376" s="618" t="e">
        <v>#N/A</v>
      </c>
    </row>
    <row r="377" spans="1:25">
      <c r="A377" s="49">
        <f t="shared" si="29"/>
        <v>2027.08</v>
      </c>
      <c r="B377" s="73" t="e">
        <v>#N/A</v>
      </c>
      <c r="C377" s="1882" t="e">
        <f t="shared" si="33"/>
        <v>#N/A</v>
      </c>
      <c r="D377" s="1804" t="e">
        <v>#N/A</v>
      </c>
      <c r="E377" s="294" t="e">
        <v>#N/A</v>
      </c>
      <c r="F377" s="1804" t="e">
        <v>#N/A</v>
      </c>
      <c r="G377" s="294" t="e">
        <v>#N/A</v>
      </c>
      <c r="H377" s="1804" t="e">
        <v>#N/A</v>
      </c>
      <c r="I377" s="294" t="e">
        <v>#N/A</v>
      </c>
      <c r="J377" s="1804" t="e">
        <v>#N/A</v>
      </c>
      <c r="K377" s="294" t="e">
        <v>#N/A</v>
      </c>
      <c r="L377" s="1804" t="e">
        <v>#N/A</v>
      </c>
      <c r="M377" s="294" t="e">
        <v>#N/A</v>
      </c>
      <c r="N377" s="1892" t="e">
        <v>#N/A</v>
      </c>
      <c r="O377" s="1143" t="e">
        <v>#N/A</v>
      </c>
      <c r="P377" s="61" t="e">
        <v>#N/A</v>
      </c>
      <c r="Q377" s="61" t="e">
        <v>#N/A</v>
      </c>
      <c r="R377" s="505" t="e">
        <f t="shared" si="34"/>
        <v>#N/A</v>
      </c>
      <c r="S377" s="518" t="e">
        <f t="shared" si="28"/>
        <v>#N/A</v>
      </c>
      <c r="T377" s="1675" t="e">
        <v>#N/A</v>
      </c>
      <c r="U377" s="430" t="e">
        <v>#N/A</v>
      </c>
      <c r="V377" s="1675" t="e">
        <v>#N/A</v>
      </c>
      <c r="W377" s="73" t="e">
        <v>#N/A</v>
      </c>
      <c r="X377" s="1911" t="e">
        <f t="shared" si="35"/>
        <v>#N/A</v>
      </c>
      <c r="Y377" s="618" t="e">
        <v>#N/A</v>
      </c>
    </row>
    <row r="378" spans="1:25">
      <c r="A378" s="49">
        <f t="shared" si="29"/>
        <v>2027.09</v>
      </c>
      <c r="B378" s="73" t="e">
        <v>#N/A</v>
      </c>
      <c r="C378" s="1882" t="e">
        <f t="shared" si="33"/>
        <v>#N/A</v>
      </c>
      <c r="D378" s="1804" t="e">
        <v>#N/A</v>
      </c>
      <c r="E378" s="294" t="e">
        <v>#N/A</v>
      </c>
      <c r="F378" s="1804" t="e">
        <v>#N/A</v>
      </c>
      <c r="G378" s="294" t="e">
        <v>#N/A</v>
      </c>
      <c r="H378" s="1804" t="e">
        <v>#N/A</v>
      </c>
      <c r="I378" s="294" t="e">
        <v>#N/A</v>
      </c>
      <c r="J378" s="1804" t="e">
        <v>#N/A</v>
      </c>
      <c r="K378" s="294" t="e">
        <v>#N/A</v>
      </c>
      <c r="L378" s="1804" t="e">
        <v>#N/A</v>
      </c>
      <c r="M378" s="294" t="e">
        <v>#N/A</v>
      </c>
      <c r="N378" s="1892" t="e">
        <v>#N/A</v>
      </c>
      <c r="O378" s="1143" t="e">
        <v>#N/A</v>
      </c>
      <c r="P378" s="61" t="e">
        <v>#N/A</v>
      </c>
      <c r="Q378" s="61" t="e">
        <v>#N/A</v>
      </c>
      <c r="R378" s="505" t="e">
        <f t="shared" si="34"/>
        <v>#N/A</v>
      </c>
      <c r="S378" s="518" t="e">
        <f t="shared" si="28"/>
        <v>#N/A</v>
      </c>
      <c r="T378" s="1675" t="e">
        <v>#N/A</v>
      </c>
      <c r="U378" s="430" t="e">
        <v>#N/A</v>
      </c>
      <c r="V378" s="1675" t="e">
        <v>#N/A</v>
      </c>
      <c r="W378" s="73" t="e">
        <v>#N/A</v>
      </c>
      <c r="X378" s="1911" t="e">
        <f t="shared" si="35"/>
        <v>#N/A</v>
      </c>
      <c r="Y378" s="618" t="e">
        <v>#N/A</v>
      </c>
    </row>
    <row r="379" spans="1:25">
      <c r="A379" s="49">
        <f t="shared" si="29"/>
        <v>2027.1</v>
      </c>
      <c r="B379" s="73" t="e">
        <v>#N/A</v>
      </c>
      <c r="C379" s="1882" t="e">
        <f t="shared" si="33"/>
        <v>#N/A</v>
      </c>
      <c r="D379" s="1804" t="e">
        <v>#N/A</v>
      </c>
      <c r="E379" s="294" t="e">
        <v>#N/A</v>
      </c>
      <c r="F379" s="1804" t="e">
        <v>#N/A</v>
      </c>
      <c r="G379" s="294" t="e">
        <v>#N/A</v>
      </c>
      <c r="H379" s="1804" t="e">
        <v>#N/A</v>
      </c>
      <c r="I379" s="294" t="e">
        <v>#N/A</v>
      </c>
      <c r="J379" s="1804" t="e">
        <v>#N/A</v>
      </c>
      <c r="K379" s="294" t="e">
        <v>#N/A</v>
      </c>
      <c r="L379" s="1804" t="e">
        <v>#N/A</v>
      </c>
      <c r="M379" s="294" t="e">
        <v>#N/A</v>
      </c>
      <c r="N379" s="1892" t="e">
        <v>#N/A</v>
      </c>
      <c r="O379" s="1143" t="e">
        <v>#N/A</v>
      </c>
      <c r="P379" s="61" t="e">
        <v>#N/A</v>
      </c>
      <c r="Q379" s="61" t="e">
        <v>#N/A</v>
      </c>
      <c r="R379" s="505" t="e">
        <f t="shared" si="34"/>
        <v>#N/A</v>
      </c>
      <c r="S379" s="518" t="e">
        <f t="shared" si="28"/>
        <v>#N/A</v>
      </c>
      <c r="T379" s="1675" t="e">
        <v>#N/A</v>
      </c>
      <c r="U379" s="430" t="e">
        <v>#N/A</v>
      </c>
      <c r="V379" s="1675" t="e">
        <v>#N/A</v>
      </c>
      <c r="W379" s="73" t="e">
        <v>#N/A</v>
      </c>
      <c r="X379" s="1911" t="e">
        <f t="shared" si="35"/>
        <v>#N/A</v>
      </c>
      <c r="Y379" s="618" t="e">
        <v>#N/A</v>
      </c>
    </row>
    <row r="380" spans="1:25">
      <c r="A380" s="49">
        <f t="shared" si="29"/>
        <v>2027.11</v>
      </c>
      <c r="B380" s="73" t="e">
        <v>#N/A</v>
      </c>
      <c r="C380" s="1882" t="e">
        <f t="shared" si="33"/>
        <v>#N/A</v>
      </c>
      <c r="D380" s="1804" t="e">
        <v>#N/A</v>
      </c>
      <c r="E380" s="294" t="e">
        <v>#N/A</v>
      </c>
      <c r="F380" s="1804" t="e">
        <v>#N/A</v>
      </c>
      <c r="G380" s="294" t="e">
        <v>#N/A</v>
      </c>
      <c r="H380" s="1804" t="e">
        <v>#N/A</v>
      </c>
      <c r="I380" s="294" t="e">
        <v>#N/A</v>
      </c>
      <c r="J380" s="1804" t="e">
        <v>#N/A</v>
      </c>
      <c r="K380" s="294" t="e">
        <v>#N/A</v>
      </c>
      <c r="L380" s="1804" t="e">
        <v>#N/A</v>
      </c>
      <c r="M380" s="294" t="e">
        <v>#N/A</v>
      </c>
      <c r="N380" s="1892" t="e">
        <v>#N/A</v>
      </c>
      <c r="O380" s="1143" t="e">
        <v>#N/A</v>
      </c>
      <c r="P380" s="61" t="e">
        <v>#N/A</v>
      </c>
      <c r="Q380" s="61" t="e">
        <v>#N/A</v>
      </c>
      <c r="R380" s="505" t="e">
        <f t="shared" si="34"/>
        <v>#N/A</v>
      </c>
      <c r="S380" s="518" t="e">
        <f t="shared" si="28"/>
        <v>#N/A</v>
      </c>
      <c r="T380" s="1675" t="e">
        <v>#N/A</v>
      </c>
      <c r="U380" s="430" t="e">
        <v>#N/A</v>
      </c>
      <c r="V380" s="1675" t="e">
        <v>#N/A</v>
      </c>
      <c r="W380" s="73" t="e">
        <v>#N/A</v>
      </c>
      <c r="X380" s="1911" t="e">
        <f t="shared" si="35"/>
        <v>#N/A</v>
      </c>
      <c r="Y380" s="618" t="e">
        <v>#N/A</v>
      </c>
    </row>
    <row r="381" spans="1:25">
      <c r="A381" s="49">
        <f t="shared" si="29"/>
        <v>2027.12</v>
      </c>
      <c r="B381" s="73" t="e">
        <v>#N/A</v>
      </c>
      <c r="C381" s="1882" t="e">
        <f t="shared" si="33"/>
        <v>#N/A</v>
      </c>
      <c r="D381" s="1804" t="e">
        <v>#N/A</v>
      </c>
      <c r="E381" s="294" t="e">
        <v>#N/A</v>
      </c>
      <c r="F381" s="1804" t="e">
        <v>#N/A</v>
      </c>
      <c r="G381" s="294" t="e">
        <v>#N/A</v>
      </c>
      <c r="H381" s="1804" t="e">
        <v>#N/A</v>
      </c>
      <c r="I381" s="294" t="e">
        <v>#N/A</v>
      </c>
      <c r="J381" s="1804" t="e">
        <v>#N/A</v>
      </c>
      <c r="K381" s="294" t="e">
        <v>#N/A</v>
      </c>
      <c r="L381" s="1804" t="e">
        <v>#N/A</v>
      </c>
      <c r="M381" s="294" t="e">
        <v>#N/A</v>
      </c>
      <c r="N381" s="1892" t="e">
        <v>#N/A</v>
      </c>
      <c r="O381" s="1143" t="e">
        <v>#N/A</v>
      </c>
      <c r="P381" s="61" t="e">
        <v>#N/A</v>
      </c>
      <c r="Q381" s="61" t="e">
        <v>#N/A</v>
      </c>
      <c r="R381" s="505" t="e">
        <f t="shared" si="34"/>
        <v>#N/A</v>
      </c>
      <c r="S381" s="518" t="e">
        <f t="shared" si="28"/>
        <v>#N/A</v>
      </c>
      <c r="T381" s="1675" t="e">
        <v>#N/A</v>
      </c>
      <c r="U381" s="430" t="e">
        <v>#N/A</v>
      </c>
      <c r="V381" s="1675" t="e">
        <v>#N/A</v>
      </c>
      <c r="W381" s="73" t="e">
        <v>#N/A</v>
      </c>
      <c r="X381" s="1911" t="e">
        <f t="shared" si="35"/>
        <v>#N/A</v>
      </c>
      <c r="Y381" s="618" t="e">
        <v>#N/A</v>
      </c>
    </row>
    <row r="382" spans="1:25">
      <c r="A382" s="49">
        <f t="shared" si="29"/>
        <v>2028.01</v>
      </c>
      <c r="B382" s="73" t="e">
        <v>#N/A</v>
      </c>
      <c r="C382" s="1882" t="e">
        <f t="shared" si="33"/>
        <v>#N/A</v>
      </c>
      <c r="D382" s="1804" t="e">
        <v>#N/A</v>
      </c>
      <c r="E382" s="294" t="e">
        <v>#N/A</v>
      </c>
      <c r="F382" s="1804" t="e">
        <v>#N/A</v>
      </c>
      <c r="G382" s="294" t="e">
        <v>#N/A</v>
      </c>
      <c r="H382" s="1804" t="e">
        <v>#N/A</v>
      </c>
      <c r="I382" s="294" t="e">
        <v>#N/A</v>
      </c>
      <c r="J382" s="1804" t="e">
        <v>#N/A</v>
      </c>
      <c r="K382" s="294" t="e">
        <v>#N/A</v>
      </c>
      <c r="L382" s="1804" t="e">
        <v>#N/A</v>
      </c>
      <c r="M382" s="294" t="e">
        <v>#N/A</v>
      </c>
      <c r="N382" s="1892" t="e">
        <v>#N/A</v>
      </c>
      <c r="O382" s="1143" t="e">
        <v>#N/A</v>
      </c>
      <c r="P382" s="61" t="e">
        <v>#N/A</v>
      </c>
      <c r="Q382" s="61" t="e">
        <v>#N/A</v>
      </c>
      <c r="R382" s="505" t="e">
        <f t="shared" si="34"/>
        <v>#N/A</v>
      </c>
      <c r="S382" s="518" t="e">
        <f t="shared" si="28"/>
        <v>#N/A</v>
      </c>
      <c r="T382" s="1675" t="e">
        <v>#N/A</v>
      </c>
      <c r="U382" s="430" t="e">
        <v>#N/A</v>
      </c>
      <c r="V382" s="1675" t="e">
        <v>#N/A</v>
      </c>
      <c r="W382" s="73" t="e">
        <v>#N/A</v>
      </c>
      <c r="X382" s="1911" t="e">
        <f t="shared" si="35"/>
        <v>#N/A</v>
      </c>
      <c r="Y382" s="618" t="e">
        <v>#N/A</v>
      </c>
    </row>
    <row r="383" spans="1:25">
      <c r="A383" s="49">
        <f t="shared" si="29"/>
        <v>2028.02</v>
      </c>
      <c r="B383" s="73" t="e">
        <v>#N/A</v>
      </c>
      <c r="C383" s="1882" t="e">
        <f t="shared" si="33"/>
        <v>#N/A</v>
      </c>
      <c r="D383" s="1804" t="e">
        <v>#N/A</v>
      </c>
      <c r="E383" s="294" t="e">
        <v>#N/A</v>
      </c>
      <c r="F383" s="1804" t="e">
        <v>#N/A</v>
      </c>
      <c r="G383" s="294" t="e">
        <v>#N/A</v>
      </c>
      <c r="H383" s="1804" t="e">
        <v>#N/A</v>
      </c>
      <c r="I383" s="294" t="e">
        <v>#N/A</v>
      </c>
      <c r="J383" s="1804" t="e">
        <v>#N/A</v>
      </c>
      <c r="K383" s="294" t="e">
        <v>#N/A</v>
      </c>
      <c r="L383" s="1804" t="e">
        <v>#N/A</v>
      </c>
      <c r="M383" s="294" t="e">
        <v>#N/A</v>
      </c>
      <c r="N383" s="1892" t="e">
        <v>#N/A</v>
      </c>
      <c r="O383" s="1143" t="e">
        <v>#N/A</v>
      </c>
      <c r="P383" s="61" t="e">
        <v>#N/A</v>
      </c>
      <c r="Q383" s="61" t="e">
        <v>#N/A</v>
      </c>
      <c r="R383" s="505" t="e">
        <f t="shared" si="34"/>
        <v>#N/A</v>
      </c>
      <c r="S383" s="518" t="e">
        <f t="shared" si="28"/>
        <v>#N/A</v>
      </c>
      <c r="T383" s="1675" t="e">
        <v>#N/A</v>
      </c>
      <c r="U383" s="430" t="e">
        <v>#N/A</v>
      </c>
      <c r="V383" s="1675" t="e">
        <v>#N/A</v>
      </c>
      <c r="W383" s="73" t="e">
        <v>#N/A</v>
      </c>
      <c r="X383" s="1911" t="e">
        <f t="shared" si="35"/>
        <v>#N/A</v>
      </c>
      <c r="Y383" s="618" t="e">
        <v>#N/A</v>
      </c>
    </row>
    <row r="384" spans="1:25">
      <c r="A384" s="49">
        <f t="shared" si="29"/>
        <v>2028.03</v>
      </c>
      <c r="B384" s="73" t="e">
        <v>#N/A</v>
      </c>
      <c r="C384" s="1882" t="e">
        <f t="shared" si="33"/>
        <v>#N/A</v>
      </c>
      <c r="D384" s="1804" t="e">
        <v>#N/A</v>
      </c>
      <c r="E384" s="294" t="e">
        <v>#N/A</v>
      </c>
      <c r="F384" s="1804" t="e">
        <v>#N/A</v>
      </c>
      <c r="G384" s="294" t="e">
        <v>#N/A</v>
      </c>
      <c r="H384" s="1804" t="e">
        <v>#N/A</v>
      </c>
      <c r="I384" s="294" t="e">
        <v>#N/A</v>
      </c>
      <c r="J384" s="1804" t="e">
        <v>#N/A</v>
      </c>
      <c r="K384" s="294" t="e">
        <v>#N/A</v>
      </c>
      <c r="L384" s="1804" t="e">
        <v>#N/A</v>
      </c>
      <c r="M384" s="294" t="e">
        <v>#N/A</v>
      </c>
      <c r="N384" s="1892" t="e">
        <v>#N/A</v>
      </c>
      <c r="O384" s="1143" t="e">
        <v>#N/A</v>
      </c>
      <c r="P384" s="61" t="e">
        <v>#N/A</v>
      </c>
      <c r="Q384" s="61" t="e">
        <v>#N/A</v>
      </c>
      <c r="R384" s="505" t="e">
        <f t="shared" si="34"/>
        <v>#N/A</v>
      </c>
      <c r="S384" s="518" t="e">
        <f t="shared" si="28"/>
        <v>#N/A</v>
      </c>
      <c r="T384" s="1675" t="e">
        <v>#N/A</v>
      </c>
      <c r="U384" s="430" t="e">
        <v>#N/A</v>
      </c>
      <c r="V384" s="1675" t="e">
        <v>#N/A</v>
      </c>
      <c r="W384" s="73" t="e">
        <v>#N/A</v>
      </c>
      <c r="X384" s="1911" t="e">
        <f t="shared" si="35"/>
        <v>#N/A</v>
      </c>
      <c r="Y384" s="618" t="e">
        <v>#N/A</v>
      </c>
    </row>
    <row r="385" spans="1:25">
      <c r="A385" s="49">
        <f t="shared" si="29"/>
        <v>2028.04</v>
      </c>
      <c r="B385" s="73" t="e">
        <v>#N/A</v>
      </c>
      <c r="C385" s="1882" t="e">
        <f t="shared" si="33"/>
        <v>#N/A</v>
      </c>
      <c r="D385" s="1804" t="e">
        <v>#N/A</v>
      </c>
      <c r="E385" s="294" t="e">
        <v>#N/A</v>
      </c>
      <c r="F385" s="1804" t="e">
        <v>#N/A</v>
      </c>
      <c r="G385" s="294" t="e">
        <v>#N/A</v>
      </c>
      <c r="H385" s="1804" t="e">
        <v>#N/A</v>
      </c>
      <c r="I385" s="294" t="e">
        <v>#N/A</v>
      </c>
      <c r="J385" s="1804" t="e">
        <v>#N/A</v>
      </c>
      <c r="K385" s="294" t="e">
        <v>#N/A</v>
      </c>
      <c r="L385" s="1804" t="e">
        <v>#N/A</v>
      </c>
      <c r="M385" s="294" t="e">
        <v>#N/A</v>
      </c>
      <c r="N385" s="1892" t="e">
        <v>#N/A</v>
      </c>
      <c r="O385" s="1143" t="e">
        <v>#N/A</v>
      </c>
      <c r="P385" s="61" t="e">
        <v>#N/A</v>
      </c>
      <c r="Q385" s="61" t="e">
        <v>#N/A</v>
      </c>
      <c r="R385" s="505" t="e">
        <f t="shared" si="34"/>
        <v>#N/A</v>
      </c>
      <c r="S385" s="518" t="e">
        <f t="shared" si="28"/>
        <v>#N/A</v>
      </c>
      <c r="T385" s="1675" t="e">
        <v>#N/A</v>
      </c>
      <c r="U385" s="430" t="e">
        <v>#N/A</v>
      </c>
      <c r="V385" s="1675" t="e">
        <v>#N/A</v>
      </c>
      <c r="W385" s="73" t="e">
        <v>#N/A</v>
      </c>
      <c r="X385" s="1911" t="e">
        <f t="shared" si="35"/>
        <v>#N/A</v>
      </c>
      <c r="Y385" s="618" t="e">
        <v>#N/A</v>
      </c>
    </row>
    <row r="386" spans="1:25">
      <c r="A386" s="49">
        <f t="shared" si="29"/>
        <v>2028.05</v>
      </c>
      <c r="B386" s="73" t="e">
        <v>#N/A</v>
      </c>
      <c r="C386" s="1882" t="e">
        <f t="shared" si="33"/>
        <v>#N/A</v>
      </c>
      <c r="D386" s="1804" t="e">
        <v>#N/A</v>
      </c>
      <c r="E386" s="294" t="e">
        <v>#N/A</v>
      </c>
      <c r="F386" s="1804" t="e">
        <v>#N/A</v>
      </c>
      <c r="G386" s="294" t="e">
        <v>#N/A</v>
      </c>
      <c r="H386" s="1804" t="e">
        <v>#N/A</v>
      </c>
      <c r="I386" s="294" t="e">
        <v>#N/A</v>
      </c>
      <c r="J386" s="1804" t="e">
        <v>#N/A</v>
      </c>
      <c r="K386" s="294" t="e">
        <v>#N/A</v>
      </c>
      <c r="L386" s="1804" t="e">
        <v>#N/A</v>
      </c>
      <c r="M386" s="294" t="e">
        <v>#N/A</v>
      </c>
      <c r="N386" s="1892" t="e">
        <v>#N/A</v>
      </c>
      <c r="O386" s="1143" t="e">
        <v>#N/A</v>
      </c>
      <c r="P386" s="61" t="e">
        <v>#N/A</v>
      </c>
      <c r="Q386" s="61" t="e">
        <v>#N/A</v>
      </c>
      <c r="R386" s="505" t="e">
        <f t="shared" si="34"/>
        <v>#N/A</v>
      </c>
      <c r="S386" s="518" t="e">
        <f t="shared" si="28"/>
        <v>#N/A</v>
      </c>
      <c r="T386" s="1675" t="e">
        <v>#N/A</v>
      </c>
      <c r="U386" s="430" t="e">
        <v>#N/A</v>
      </c>
      <c r="V386" s="1675" t="e">
        <v>#N/A</v>
      </c>
      <c r="W386" s="73" t="e">
        <v>#N/A</v>
      </c>
      <c r="X386" s="1911" t="e">
        <f t="shared" si="35"/>
        <v>#N/A</v>
      </c>
      <c r="Y386" s="618" t="e">
        <v>#N/A</v>
      </c>
    </row>
    <row r="387" spans="1:25">
      <c r="A387" s="49">
        <f t="shared" si="29"/>
        <v>2028.06</v>
      </c>
      <c r="B387" s="73" t="e">
        <v>#N/A</v>
      </c>
      <c r="C387" s="1882" t="e">
        <f t="shared" si="33"/>
        <v>#N/A</v>
      </c>
      <c r="D387" s="1804" t="e">
        <v>#N/A</v>
      </c>
      <c r="E387" s="294" t="e">
        <v>#N/A</v>
      </c>
      <c r="F387" s="1804" t="e">
        <v>#N/A</v>
      </c>
      <c r="G387" s="294" t="e">
        <v>#N/A</v>
      </c>
      <c r="H387" s="1804" t="e">
        <v>#N/A</v>
      </c>
      <c r="I387" s="294" t="e">
        <v>#N/A</v>
      </c>
      <c r="J387" s="1804" t="e">
        <v>#N/A</v>
      </c>
      <c r="K387" s="294" t="e">
        <v>#N/A</v>
      </c>
      <c r="L387" s="1804" t="e">
        <v>#N/A</v>
      </c>
      <c r="M387" s="294" t="e">
        <v>#N/A</v>
      </c>
      <c r="N387" s="1892" t="e">
        <v>#N/A</v>
      </c>
      <c r="O387" s="1143" t="e">
        <v>#N/A</v>
      </c>
      <c r="P387" s="61" t="e">
        <v>#N/A</v>
      </c>
      <c r="Q387" s="61" t="e">
        <v>#N/A</v>
      </c>
      <c r="R387" s="505" t="e">
        <f t="shared" si="34"/>
        <v>#N/A</v>
      </c>
      <c r="S387" s="518" t="e">
        <f t="shared" si="28"/>
        <v>#N/A</v>
      </c>
      <c r="T387" s="1675" t="e">
        <v>#N/A</v>
      </c>
      <c r="U387" s="430" t="e">
        <v>#N/A</v>
      </c>
      <c r="V387" s="1675" t="e">
        <v>#N/A</v>
      </c>
      <c r="W387" s="73" t="e">
        <v>#N/A</v>
      </c>
      <c r="X387" s="1911" t="e">
        <f t="shared" si="35"/>
        <v>#N/A</v>
      </c>
      <c r="Y387" s="618" t="e">
        <v>#N/A</v>
      </c>
    </row>
    <row r="388" spans="1:25">
      <c r="A388" s="49">
        <f t="shared" si="29"/>
        <v>2028.07</v>
      </c>
      <c r="B388" s="73" t="e">
        <v>#N/A</v>
      </c>
      <c r="C388" s="1882" t="e">
        <f t="shared" si="33"/>
        <v>#N/A</v>
      </c>
      <c r="D388" s="1804" t="e">
        <v>#N/A</v>
      </c>
      <c r="E388" s="294" t="e">
        <v>#N/A</v>
      </c>
      <c r="F388" s="1804" t="e">
        <v>#N/A</v>
      </c>
      <c r="G388" s="294" t="e">
        <v>#N/A</v>
      </c>
      <c r="H388" s="1804" t="e">
        <v>#N/A</v>
      </c>
      <c r="I388" s="294" t="e">
        <v>#N/A</v>
      </c>
      <c r="J388" s="1804" t="e">
        <v>#N/A</v>
      </c>
      <c r="K388" s="294" t="e">
        <v>#N/A</v>
      </c>
      <c r="L388" s="1804" t="e">
        <v>#N/A</v>
      </c>
      <c r="M388" s="294" t="e">
        <v>#N/A</v>
      </c>
      <c r="N388" s="1892" t="e">
        <v>#N/A</v>
      </c>
      <c r="O388" s="1143" t="e">
        <v>#N/A</v>
      </c>
      <c r="P388" s="61" t="e">
        <v>#N/A</v>
      </c>
      <c r="Q388" s="61" t="e">
        <v>#N/A</v>
      </c>
      <c r="R388" s="505" t="e">
        <f t="shared" si="34"/>
        <v>#N/A</v>
      </c>
      <c r="S388" s="518" t="e">
        <f t="shared" si="28"/>
        <v>#N/A</v>
      </c>
      <c r="T388" s="1675" t="e">
        <v>#N/A</v>
      </c>
      <c r="U388" s="430" t="e">
        <v>#N/A</v>
      </c>
      <c r="V388" s="1675" t="e">
        <v>#N/A</v>
      </c>
      <c r="W388" s="73" t="e">
        <v>#N/A</v>
      </c>
      <c r="X388" s="1911" t="e">
        <f t="shared" si="35"/>
        <v>#N/A</v>
      </c>
      <c r="Y388" s="618" t="e">
        <v>#N/A</v>
      </c>
    </row>
    <row r="389" spans="1:25">
      <c r="A389" s="49">
        <f t="shared" si="29"/>
        <v>2028.08</v>
      </c>
      <c r="B389" s="73" t="e">
        <v>#N/A</v>
      </c>
      <c r="C389" s="1882" t="e">
        <f t="shared" si="33"/>
        <v>#N/A</v>
      </c>
      <c r="D389" s="1804" t="e">
        <v>#N/A</v>
      </c>
      <c r="E389" s="294" t="e">
        <v>#N/A</v>
      </c>
      <c r="F389" s="1804" t="e">
        <v>#N/A</v>
      </c>
      <c r="G389" s="294" t="e">
        <v>#N/A</v>
      </c>
      <c r="H389" s="1804" t="e">
        <v>#N/A</v>
      </c>
      <c r="I389" s="294" t="e">
        <v>#N/A</v>
      </c>
      <c r="J389" s="1804" t="e">
        <v>#N/A</v>
      </c>
      <c r="K389" s="294" t="e">
        <v>#N/A</v>
      </c>
      <c r="L389" s="1804" t="e">
        <v>#N/A</v>
      </c>
      <c r="M389" s="294" t="e">
        <v>#N/A</v>
      </c>
      <c r="N389" s="1892" t="e">
        <v>#N/A</v>
      </c>
      <c r="O389" s="1143" t="e">
        <v>#N/A</v>
      </c>
      <c r="P389" s="61" t="e">
        <v>#N/A</v>
      </c>
      <c r="Q389" s="61" t="e">
        <v>#N/A</v>
      </c>
      <c r="R389" s="505" t="e">
        <f t="shared" si="34"/>
        <v>#N/A</v>
      </c>
      <c r="S389" s="518" t="e">
        <f t="shared" si="28"/>
        <v>#N/A</v>
      </c>
      <c r="T389" s="1675" t="e">
        <v>#N/A</v>
      </c>
      <c r="U389" s="430" t="e">
        <v>#N/A</v>
      </c>
      <c r="V389" s="1675" t="e">
        <v>#N/A</v>
      </c>
      <c r="W389" s="73" t="e">
        <v>#N/A</v>
      </c>
      <c r="X389" s="1911" t="e">
        <f t="shared" si="35"/>
        <v>#N/A</v>
      </c>
      <c r="Y389" s="618" t="e">
        <v>#N/A</v>
      </c>
    </row>
    <row r="390" spans="1:25">
      <c r="A390" s="49">
        <f t="shared" si="29"/>
        <v>2028.09</v>
      </c>
      <c r="B390" s="73" t="e">
        <v>#N/A</v>
      </c>
      <c r="C390" s="1882" t="e">
        <f t="shared" ref="C390:C404" si="36">SUM(D390:J390)</f>
        <v>#N/A</v>
      </c>
      <c r="D390" s="1804" t="e">
        <v>#N/A</v>
      </c>
      <c r="E390" s="294" t="e">
        <v>#N/A</v>
      </c>
      <c r="F390" s="1804" t="e">
        <v>#N/A</v>
      </c>
      <c r="G390" s="294" t="e">
        <v>#N/A</v>
      </c>
      <c r="H390" s="1804" t="e">
        <v>#N/A</v>
      </c>
      <c r="I390" s="294" t="e">
        <v>#N/A</v>
      </c>
      <c r="J390" s="1804" t="e">
        <v>#N/A</v>
      </c>
      <c r="K390" s="294" t="e">
        <v>#N/A</v>
      </c>
      <c r="L390" s="1804" t="e">
        <v>#N/A</v>
      </c>
      <c r="M390" s="294" t="e">
        <v>#N/A</v>
      </c>
      <c r="N390" s="1892" t="e">
        <v>#N/A</v>
      </c>
      <c r="O390" s="1143" t="e">
        <v>#N/A</v>
      </c>
      <c r="P390" s="61" t="e">
        <v>#N/A</v>
      </c>
      <c r="Q390" s="61" t="e">
        <v>#N/A</v>
      </c>
      <c r="R390" s="505" t="e">
        <f t="shared" ref="R390:R404" si="37">$B390/P390*1000</f>
        <v>#N/A</v>
      </c>
      <c r="S390" s="518" t="e">
        <f t="shared" si="28"/>
        <v>#N/A</v>
      </c>
      <c r="T390" s="1675" t="e">
        <v>#N/A</v>
      </c>
      <c r="U390" s="430" t="e">
        <v>#N/A</v>
      </c>
      <c r="V390" s="1675" t="e">
        <v>#N/A</v>
      </c>
      <c r="W390" s="73" t="e">
        <v>#N/A</v>
      </c>
      <c r="X390" s="1911" t="e">
        <f t="shared" ref="X390:X404" si="38">V390+W390</f>
        <v>#N/A</v>
      </c>
      <c r="Y390" s="618" t="e">
        <v>#N/A</v>
      </c>
    </row>
    <row r="391" spans="1:25">
      <c r="A391" s="49">
        <f t="shared" si="29"/>
        <v>2028.1</v>
      </c>
      <c r="B391" s="73" t="e">
        <v>#N/A</v>
      </c>
      <c r="C391" s="1882" t="e">
        <f t="shared" si="36"/>
        <v>#N/A</v>
      </c>
      <c r="D391" s="1804" t="e">
        <v>#N/A</v>
      </c>
      <c r="E391" s="294" t="e">
        <v>#N/A</v>
      </c>
      <c r="F391" s="1804" t="e">
        <v>#N/A</v>
      </c>
      <c r="G391" s="294" t="e">
        <v>#N/A</v>
      </c>
      <c r="H391" s="1804" t="e">
        <v>#N/A</v>
      </c>
      <c r="I391" s="294" t="e">
        <v>#N/A</v>
      </c>
      <c r="J391" s="1804" t="e">
        <v>#N/A</v>
      </c>
      <c r="K391" s="294" t="e">
        <v>#N/A</v>
      </c>
      <c r="L391" s="1804" t="e">
        <v>#N/A</v>
      </c>
      <c r="M391" s="294" t="e">
        <v>#N/A</v>
      </c>
      <c r="N391" s="1892" t="e">
        <v>#N/A</v>
      </c>
      <c r="O391" s="1143" t="e">
        <v>#N/A</v>
      </c>
      <c r="P391" s="61" t="e">
        <v>#N/A</v>
      </c>
      <c r="Q391" s="61" t="e">
        <v>#N/A</v>
      </c>
      <c r="R391" s="505" t="e">
        <f t="shared" si="37"/>
        <v>#N/A</v>
      </c>
      <c r="S391" s="518" t="e">
        <f t="shared" si="28"/>
        <v>#N/A</v>
      </c>
      <c r="T391" s="1675" t="e">
        <v>#N/A</v>
      </c>
      <c r="U391" s="430" t="e">
        <v>#N/A</v>
      </c>
      <c r="V391" s="1675" t="e">
        <v>#N/A</v>
      </c>
      <c r="W391" s="73" t="e">
        <v>#N/A</v>
      </c>
      <c r="X391" s="1911" t="e">
        <f t="shared" si="38"/>
        <v>#N/A</v>
      </c>
      <c r="Y391" s="618" t="e">
        <v>#N/A</v>
      </c>
    </row>
    <row r="392" spans="1:25">
      <c r="A392" s="49">
        <f t="shared" si="29"/>
        <v>2028.11</v>
      </c>
      <c r="B392" s="73" t="e">
        <v>#N/A</v>
      </c>
      <c r="C392" s="1882" t="e">
        <f t="shared" si="36"/>
        <v>#N/A</v>
      </c>
      <c r="D392" s="1804" t="e">
        <v>#N/A</v>
      </c>
      <c r="E392" s="294" t="e">
        <v>#N/A</v>
      </c>
      <c r="F392" s="1804" t="e">
        <v>#N/A</v>
      </c>
      <c r="G392" s="294" t="e">
        <v>#N/A</v>
      </c>
      <c r="H392" s="1804" t="e">
        <v>#N/A</v>
      </c>
      <c r="I392" s="294" t="e">
        <v>#N/A</v>
      </c>
      <c r="J392" s="1804" t="e">
        <v>#N/A</v>
      </c>
      <c r="K392" s="294" t="e">
        <v>#N/A</v>
      </c>
      <c r="L392" s="1804" t="e">
        <v>#N/A</v>
      </c>
      <c r="M392" s="294" t="e">
        <v>#N/A</v>
      </c>
      <c r="N392" s="1892" t="e">
        <v>#N/A</v>
      </c>
      <c r="O392" s="1143" t="e">
        <v>#N/A</v>
      </c>
      <c r="P392" s="61" t="e">
        <v>#N/A</v>
      </c>
      <c r="Q392" s="61" t="e">
        <v>#N/A</v>
      </c>
      <c r="R392" s="505" t="e">
        <f t="shared" si="37"/>
        <v>#N/A</v>
      </c>
      <c r="S392" s="518" t="e">
        <f t="shared" si="28"/>
        <v>#N/A</v>
      </c>
      <c r="T392" s="1675" t="e">
        <v>#N/A</v>
      </c>
      <c r="U392" s="430" t="e">
        <v>#N/A</v>
      </c>
      <c r="V392" s="1675" t="e">
        <v>#N/A</v>
      </c>
      <c r="W392" s="73" t="e">
        <v>#N/A</v>
      </c>
      <c r="X392" s="1911" t="e">
        <f t="shared" si="38"/>
        <v>#N/A</v>
      </c>
      <c r="Y392" s="618" t="e">
        <v>#N/A</v>
      </c>
    </row>
    <row r="393" spans="1:25">
      <c r="A393" s="49">
        <f t="shared" si="29"/>
        <v>2028.12</v>
      </c>
      <c r="B393" s="73" t="e">
        <v>#N/A</v>
      </c>
      <c r="C393" s="1882" t="e">
        <f t="shared" si="36"/>
        <v>#N/A</v>
      </c>
      <c r="D393" s="1804" t="e">
        <v>#N/A</v>
      </c>
      <c r="E393" s="294" t="e">
        <v>#N/A</v>
      </c>
      <c r="F393" s="1804" t="e">
        <v>#N/A</v>
      </c>
      <c r="G393" s="294" t="e">
        <v>#N/A</v>
      </c>
      <c r="H393" s="1804" t="e">
        <v>#N/A</v>
      </c>
      <c r="I393" s="294" t="e">
        <v>#N/A</v>
      </c>
      <c r="J393" s="1804" t="e">
        <v>#N/A</v>
      </c>
      <c r="K393" s="294" t="e">
        <v>#N/A</v>
      </c>
      <c r="L393" s="1804" t="e">
        <v>#N/A</v>
      </c>
      <c r="M393" s="294" t="e">
        <v>#N/A</v>
      </c>
      <c r="N393" s="1892" t="e">
        <v>#N/A</v>
      </c>
      <c r="O393" s="1143" t="e">
        <v>#N/A</v>
      </c>
      <c r="P393" s="61" t="e">
        <v>#N/A</v>
      </c>
      <c r="Q393" s="61" t="e">
        <v>#N/A</v>
      </c>
      <c r="R393" s="505" t="e">
        <f t="shared" si="37"/>
        <v>#N/A</v>
      </c>
      <c r="S393" s="518" t="e">
        <f t="shared" si="28"/>
        <v>#N/A</v>
      </c>
      <c r="T393" s="1675" t="e">
        <v>#N/A</v>
      </c>
      <c r="U393" s="430" t="e">
        <v>#N/A</v>
      </c>
      <c r="V393" s="1675" t="e">
        <v>#N/A</v>
      </c>
      <c r="W393" s="73" t="e">
        <v>#N/A</v>
      </c>
      <c r="X393" s="1911" t="e">
        <f t="shared" si="38"/>
        <v>#N/A</v>
      </c>
      <c r="Y393" s="618" t="e">
        <v>#N/A</v>
      </c>
    </row>
    <row r="394" spans="1:25">
      <c r="A394" s="49">
        <f t="shared" si="29"/>
        <v>2029.01</v>
      </c>
      <c r="B394" s="73" t="e">
        <v>#N/A</v>
      </c>
      <c r="C394" s="1882" t="e">
        <f t="shared" si="36"/>
        <v>#N/A</v>
      </c>
      <c r="D394" s="1804" t="e">
        <v>#N/A</v>
      </c>
      <c r="E394" s="294" t="e">
        <v>#N/A</v>
      </c>
      <c r="F394" s="1804" t="e">
        <v>#N/A</v>
      </c>
      <c r="G394" s="294" t="e">
        <v>#N/A</v>
      </c>
      <c r="H394" s="1804" t="e">
        <v>#N/A</v>
      </c>
      <c r="I394" s="294" t="e">
        <v>#N/A</v>
      </c>
      <c r="J394" s="1804" t="e">
        <v>#N/A</v>
      </c>
      <c r="K394" s="294" t="e">
        <v>#N/A</v>
      </c>
      <c r="L394" s="1804" t="e">
        <v>#N/A</v>
      </c>
      <c r="M394" s="294" t="e">
        <v>#N/A</v>
      </c>
      <c r="N394" s="1892" t="e">
        <v>#N/A</v>
      </c>
      <c r="O394" s="1143" t="e">
        <v>#N/A</v>
      </c>
      <c r="P394" s="61" t="e">
        <v>#N/A</v>
      </c>
      <c r="Q394" s="61" t="e">
        <v>#N/A</v>
      </c>
      <c r="R394" s="505" t="e">
        <f t="shared" si="37"/>
        <v>#N/A</v>
      </c>
      <c r="S394" s="518" t="e">
        <f t="shared" si="28"/>
        <v>#N/A</v>
      </c>
      <c r="T394" s="1675" t="e">
        <v>#N/A</v>
      </c>
      <c r="U394" s="430" t="e">
        <v>#N/A</v>
      </c>
      <c r="V394" s="1675" t="e">
        <v>#N/A</v>
      </c>
      <c r="W394" s="73" t="e">
        <v>#N/A</v>
      </c>
      <c r="X394" s="1911" t="e">
        <f t="shared" si="38"/>
        <v>#N/A</v>
      </c>
      <c r="Y394" s="618" t="e">
        <v>#N/A</v>
      </c>
    </row>
    <row r="395" spans="1:25">
      <c r="A395" s="49">
        <f t="shared" si="29"/>
        <v>2029.02</v>
      </c>
      <c r="B395" s="73" t="e">
        <v>#N/A</v>
      </c>
      <c r="C395" s="1882" t="e">
        <f t="shared" si="36"/>
        <v>#N/A</v>
      </c>
      <c r="D395" s="1804" t="e">
        <v>#N/A</v>
      </c>
      <c r="E395" s="294" t="e">
        <v>#N/A</v>
      </c>
      <c r="F395" s="1804" t="e">
        <v>#N/A</v>
      </c>
      <c r="G395" s="294" t="e">
        <v>#N/A</v>
      </c>
      <c r="H395" s="1804" t="e">
        <v>#N/A</v>
      </c>
      <c r="I395" s="294" t="e">
        <v>#N/A</v>
      </c>
      <c r="J395" s="1804" t="e">
        <v>#N/A</v>
      </c>
      <c r="K395" s="294" t="e">
        <v>#N/A</v>
      </c>
      <c r="L395" s="1804" t="e">
        <v>#N/A</v>
      </c>
      <c r="M395" s="294" t="e">
        <v>#N/A</v>
      </c>
      <c r="N395" s="1892" t="e">
        <v>#N/A</v>
      </c>
      <c r="O395" s="1143" t="e">
        <v>#N/A</v>
      </c>
      <c r="P395" s="61" t="e">
        <v>#N/A</v>
      </c>
      <c r="Q395" s="61" t="e">
        <v>#N/A</v>
      </c>
      <c r="R395" s="505" t="e">
        <f t="shared" si="37"/>
        <v>#N/A</v>
      </c>
      <c r="S395" s="518" t="e">
        <f t="shared" ref="S395:S417" si="39">$B395/Q395*1000</f>
        <v>#N/A</v>
      </c>
      <c r="T395" s="1675" t="e">
        <v>#N/A</v>
      </c>
      <c r="U395" s="430" t="e">
        <v>#N/A</v>
      </c>
      <c r="V395" s="1675" t="e">
        <v>#N/A</v>
      </c>
      <c r="W395" s="73" t="e">
        <v>#N/A</v>
      </c>
      <c r="X395" s="1911" t="e">
        <f t="shared" si="38"/>
        <v>#N/A</v>
      </c>
      <c r="Y395" s="618" t="e">
        <v>#N/A</v>
      </c>
    </row>
    <row r="396" spans="1:25">
      <c r="A396" s="49">
        <f t="shared" si="29"/>
        <v>2029.03</v>
      </c>
      <c r="B396" s="73" t="e">
        <v>#N/A</v>
      </c>
      <c r="C396" s="1882" t="e">
        <f t="shared" si="36"/>
        <v>#N/A</v>
      </c>
      <c r="D396" s="1804" t="e">
        <v>#N/A</v>
      </c>
      <c r="E396" s="294" t="e">
        <v>#N/A</v>
      </c>
      <c r="F396" s="1804" t="e">
        <v>#N/A</v>
      </c>
      <c r="G396" s="294" t="e">
        <v>#N/A</v>
      </c>
      <c r="H396" s="1804" t="e">
        <v>#N/A</v>
      </c>
      <c r="I396" s="294" t="e">
        <v>#N/A</v>
      </c>
      <c r="J396" s="1804" t="e">
        <v>#N/A</v>
      </c>
      <c r="K396" s="294" t="e">
        <v>#N/A</v>
      </c>
      <c r="L396" s="1804" t="e">
        <v>#N/A</v>
      </c>
      <c r="M396" s="294" t="e">
        <v>#N/A</v>
      </c>
      <c r="N396" s="1892" t="e">
        <v>#N/A</v>
      </c>
      <c r="O396" s="1143" t="e">
        <v>#N/A</v>
      </c>
      <c r="P396" s="61" t="e">
        <v>#N/A</v>
      </c>
      <c r="Q396" s="61" t="e">
        <v>#N/A</v>
      </c>
      <c r="R396" s="505" t="e">
        <f t="shared" si="37"/>
        <v>#N/A</v>
      </c>
      <c r="S396" s="518" t="e">
        <f t="shared" si="39"/>
        <v>#N/A</v>
      </c>
      <c r="T396" s="1675" t="e">
        <v>#N/A</v>
      </c>
      <c r="U396" s="430" t="e">
        <v>#N/A</v>
      </c>
      <c r="V396" s="1675" t="e">
        <v>#N/A</v>
      </c>
      <c r="W396" s="73" t="e">
        <v>#N/A</v>
      </c>
      <c r="X396" s="1911" t="e">
        <f t="shared" si="38"/>
        <v>#N/A</v>
      </c>
      <c r="Y396" s="618" t="e">
        <v>#N/A</v>
      </c>
    </row>
    <row r="397" spans="1:25">
      <c r="A397" s="49">
        <f t="shared" si="29"/>
        <v>2029.04</v>
      </c>
      <c r="B397" s="73" t="e">
        <v>#N/A</v>
      </c>
      <c r="C397" s="1882" t="e">
        <f t="shared" si="36"/>
        <v>#N/A</v>
      </c>
      <c r="D397" s="1804" t="e">
        <v>#N/A</v>
      </c>
      <c r="E397" s="294" t="e">
        <v>#N/A</v>
      </c>
      <c r="F397" s="1804" t="e">
        <v>#N/A</v>
      </c>
      <c r="G397" s="294" t="e">
        <v>#N/A</v>
      </c>
      <c r="H397" s="1804" t="e">
        <v>#N/A</v>
      </c>
      <c r="I397" s="294" t="e">
        <v>#N/A</v>
      </c>
      <c r="J397" s="1804" t="e">
        <v>#N/A</v>
      </c>
      <c r="K397" s="294" t="e">
        <v>#N/A</v>
      </c>
      <c r="L397" s="1804" t="e">
        <v>#N/A</v>
      </c>
      <c r="M397" s="294" t="e">
        <v>#N/A</v>
      </c>
      <c r="N397" s="1892" t="e">
        <v>#N/A</v>
      </c>
      <c r="O397" s="1143" t="e">
        <v>#N/A</v>
      </c>
      <c r="P397" s="61" t="e">
        <v>#N/A</v>
      </c>
      <c r="Q397" s="61" t="e">
        <v>#N/A</v>
      </c>
      <c r="R397" s="505" t="e">
        <f t="shared" si="37"/>
        <v>#N/A</v>
      </c>
      <c r="S397" s="518" t="e">
        <f t="shared" si="39"/>
        <v>#N/A</v>
      </c>
      <c r="T397" s="1675" t="e">
        <v>#N/A</v>
      </c>
      <c r="U397" s="430" t="e">
        <v>#N/A</v>
      </c>
      <c r="V397" s="1675" t="e">
        <v>#N/A</v>
      </c>
      <c r="W397" s="73" t="e">
        <v>#N/A</v>
      </c>
      <c r="X397" s="1911" t="e">
        <f t="shared" si="38"/>
        <v>#N/A</v>
      </c>
      <c r="Y397" s="618" t="e">
        <v>#N/A</v>
      </c>
    </row>
    <row r="398" spans="1:25">
      <c r="A398" s="49">
        <f t="shared" ref="A398:A417" si="40">A386+1</f>
        <v>2029.05</v>
      </c>
      <c r="B398" s="73" t="e">
        <v>#N/A</v>
      </c>
      <c r="C398" s="1882" t="e">
        <f t="shared" si="36"/>
        <v>#N/A</v>
      </c>
      <c r="D398" s="1804" t="e">
        <v>#N/A</v>
      </c>
      <c r="E398" s="294" t="e">
        <v>#N/A</v>
      </c>
      <c r="F398" s="1804" t="e">
        <v>#N/A</v>
      </c>
      <c r="G398" s="294" t="e">
        <v>#N/A</v>
      </c>
      <c r="H398" s="1804" t="e">
        <v>#N/A</v>
      </c>
      <c r="I398" s="294" t="e">
        <v>#N/A</v>
      </c>
      <c r="J398" s="1804" t="e">
        <v>#N/A</v>
      </c>
      <c r="K398" s="294" t="e">
        <v>#N/A</v>
      </c>
      <c r="L398" s="1804" t="e">
        <v>#N/A</v>
      </c>
      <c r="M398" s="294" t="e">
        <v>#N/A</v>
      </c>
      <c r="N398" s="1892" t="e">
        <v>#N/A</v>
      </c>
      <c r="O398" s="1143" t="e">
        <v>#N/A</v>
      </c>
      <c r="P398" s="61" t="e">
        <v>#N/A</v>
      </c>
      <c r="Q398" s="61" t="e">
        <v>#N/A</v>
      </c>
      <c r="R398" s="505" t="e">
        <f t="shared" si="37"/>
        <v>#N/A</v>
      </c>
      <c r="S398" s="518" t="e">
        <f t="shared" si="39"/>
        <v>#N/A</v>
      </c>
      <c r="T398" s="1675" t="e">
        <v>#N/A</v>
      </c>
      <c r="U398" s="430" t="e">
        <v>#N/A</v>
      </c>
      <c r="V398" s="1675" t="e">
        <v>#N/A</v>
      </c>
      <c r="W398" s="73" t="e">
        <v>#N/A</v>
      </c>
      <c r="X398" s="1911" t="e">
        <f t="shared" si="38"/>
        <v>#N/A</v>
      </c>
      <c r="Y398" s="618" t="e">
        <v>#N/A</v>
      </c>
    </row>
    <row r="399" spans="1:25">
      <c r="A399" s="49">
        <f t="shared" si="40"/>
        <v>2029.06</v>
      </c>
      <c r="B399" s="73" t="e">
        <v>#N/A</v>
      </c>
      <c r="C399" s="1882" t="e">
        <f t="shared" si="36"/>
        <v>#N/A</v>
      </c>
      <c r="D399" s="1804" t="e">
        <v>#N/A</v>
      </c>
      <c r="E399" s="294" t="e">
        <v>#N/A</v>
      </c>
      <c r="F399" s="1804" t="e">
        <v>#N/A</v>
      </c>
      <c r="G399" s="294" t="e">
        <v>#N/A</v>
      </c>
      <c r="H399" s="1804" t="e">
        <v>#N/A</v>
      </c>
      <c r="I399" s="294" t="e">
        <v>#N/A</v>
      </c>
      <c r="J399" s="1804" t="e">
        <v>#N/A</v>
      </c>
      <c r="K399" s="294" t="e">
        <v>#N/A</v>
      </c>
      <c r="L399" s="1804" t="e">
        <v>#N/A</v>
      </c>
      <c r="M399" s="294" t="e">
        <v>#N/A</v>
      </c>
      <c r="N399" s="1892" t="e">
        <v>#N/A</v>
      </c>
      <c r="O399" s="1143" t="e">
        <v>#N/A</v>
      </c>
      <c r="P399" s="61" t="e">
        <v>#N/A</v>
      </c>
      <c r="Q399" s="61" t="e">
        <v>#N/A</v>
      </c>
      <c r="R399" s="505" t="e">
        <f t="shared" si="37"/>
        <v>#N/A</v>
      </c>
      <c r="S399" s="518" t="e">
        <f t="shared" si="39"/>
        <v>#N/A</v>
      </c>
      <c r="T399" s="1675" t="e">
        <v>#N/A</v>
      </c>
      <c r="U399" s="430" t="e">
        <v>#N/A</v>
      </c>
      <c r="V399" s="1675" t="e">
        <v>#N/A</v>
      </c>
      <c r="W399" s="73" t="e">
        <v>#N/A</v>
      </c>
      <c r="X399" s="1911" t="e">
        <f t="shared" si="38"/>
        <v>#N/A</v>
      </c>
      <c r="Y399" s="618" t="e">
        <v>#N/A</v>
      </c>
    </row>
    <row r="400" spans="1:25">
      <c r="A400" s="49">
        <f t="shared" si="40"/>
        <v>2029.07</v>
      </c>
      <c r="B400" s="73" t="e">
        <v>#N/A</v>
      </c>
      <c r="C400" s="1882" t="e">
        <f t="shared" si="36"/>
        <v>#N/A</v>
      </c>
      <c r="D400" s="1804" t="e">
        <v>#N/A</v>
      </c>
      <c r="E400" s="294" t="e">
        <v>#N/A</v>
      </c>
      <c r="F400" s="1804" t="e">
        <v>#N/A</v>
      </c>
      <c r="G400" s="294" t="e">
        <v>#N/A</v>
      </c>
      <c r="H400" s="1804" t="e">
        <v>#N/A</v>
      </c>
      <c r="I400" s="294" t="e">
        <v>#N/A</v>
      </c>
      <c r="J400" s="1804" t="e">
        <v>#N/A</v>
      </c>
      <c r="K400" s="294" t="e">
        <v>#N/A</v>
      </c>
      <c r="L400" s="1804" t="e">
        <v>#N/A</v>
      </c>
      <c r="M400" s="294" t="e">
        <v>#N/A</v>
      </c>
      <c r="N400" s="1892" t="e">
        <v>#N/A</v>
      </c>
      <c r="O400" s="1143" t="e">
        <v>#N/A</v>
      </c>
      <c r="P400" s="61" t="e">
        <v>#N/A</v>
      </c>
      <c r="Q400" s="61" t="e">
        <v>#N/A</v>
      </c>
      <c r="R400" s="505" t="e">
        <f t="shared" si="37"/>
        <v>#N/A</v>
      </c>
      <c r="S400" s="518" t="e">
        <f t="shared" si="39"/>
        <v>#N/A</v>
      </c>
      <c r="T400" s="1675" t="e">
        <v>#N/A</v>
      </c>
      <c r="U400" s="430" t="e">
        <v>#N/A</v>
      </c>
      <c r="V400" s="1675" t="e">
        <v>#N/A</v>
      </c>
      <c r="W400" s="73" t="e">
        <v>#N/A</v>
      </c>
      <c r="X400" s="1911" t="e">
        <f t="shared" si="38"/>
        <v>#N/A</v>
      </c>
      <c r="Y400" s="618" t="e">
        <v>#N/A</v>
      </c>
    </row>
    <row r="401" spans="1:25">
      <c r="A401" s="49">
        <f t="shared" si="40"/>
        <v>2029.08</v>
      </c>
      <c r="B401" s="73" t="e">
        <v>#N/A</v>
      </c>
      <c r="C401" s="1882" t="e">
        <f t="shared" si="36"/>
        <v>#N/A</v>
      </c>
      <c r="D401" s="1804" t="e">
        <v>#N/A</v>
      </c>
      <c r="E401" s="294" t="e">
        <v>#N/A</v>
      </c>
      <c r="F401" s="1804" t="e">
        <v>#N/A</v>
      </c>
      <c r="G401" s="294" t="e">
        <v>#N/A</v>
      </c>
      <c r="H401" s="1804" t="e">
        <v>#N/A</v>
      </c>
      <c r="I401" s="294" t="e">
        <v>#N/A</v>
      </c>
      <c r="J401" s="1804" t="e">
        <v>#N/A</v>
      </c>
      <c r="K401" s="294" t="e">
        <v>#N/A</v>
      </c>
      <c r="L401" s="1804" t="e">
        <v>#N/A</v>
      </c>
      <c r="M401" s="294" t="e">
        <v>#N/A</v>
      </c>
      <c r="N401" s="1892" t="e">
        <v>#N/A</v>
      </c>
      <c r="O401" s="1143" t="e">
        <v>#N/A</v>
      </c>
      <c r="P401" s="61" t="e">
        <v>#N/A</v>
      </c>
      <c r="Q401" s="61" t="e">
        <v>#N/A</v>
      </c>
      <c r="R401" s="505" t="e">
        <f t="shared" si="37"/>
        <v>#N/A</v>
      </c>
      <c r="S401" s="518" t="e">
        <f t="shared" si="39"/>
        <v>#N/A</v>
      </c>
      <c r="T401" s="1675" t="e">
        <v>#N/A</v>
      </c>
      <c r="U401" s="430" t="e">
        <v>#N/A</v>
      </c>
      <c r="V401" s="1675" t="e">
        <v>#N/A</v>
      </c>
      <c r="W401" s="73" t="e">
        <v>#N/A</v>
      </c>
      <c r="X401" s="1911" t="e">
        <f t="shared" si="38"/>
        <v>#N/A</v>
      </c>
      <c r="Y401" s="618" t="e">
        <v>#N/A</v>
      </c>
    </row>
    <row r="402" spans="1:25">
      <c r="A402" s="49">
        <f t="shared" si="40"/>
        <v>2029.09</v>
      </c>
      <c r="B402" s="73" t="e">
        <v>#N/A</v>
      </c>
      <c r="C402" s="1882" t="e">
        <f t="shared" si="36"/>
        <v>#N/A</v>
      </c>
      <c r="D402" s="1804" t="e">
        <v>#N/A</v>
      </c>
      <c r="E402" s="294" t="e">
        <v>#N/A</v>
      </c>
      <c r="F402" s="1804" t="e">
        <v>#N/A</v>
      </c>
      <c r="G402" s="294" t="e">
        <v>#N/A</v>
      </c>
      <c r="H402" s="1804" t="e">
        <v>#N/A</v>
      </c>
      <c r="I402" s="294" t="e">
        <v>#N/A</v>
      </c>
      <c r="J402" s="1804" t="e">
        <v>#N/A</v>
      </c>
      <c r="K402" s="294" t="e">
        <v>#N/A</v>
      </c>
      <c r="L402" s="1804" t="e">
        <v>#N/A</v>
      </c>
      <c r="M402" s="294" t="e">
        <v>#N/A</v>
      </c>
      <c r="N402" s="1892" t="e">
        <v>#N/A</v>
      </c>
      <c r="O402" s="1143" t="e">
        <v>#N/A</v>
      </c>
      <c r="P402" s="61" t="e">
        <v>#N/A</v>
      </c>
      <c r="Q402" s="61" t="e">
        <v>#N/A</v>
      </c>
      <c r="R402" s="505" t="e">
        <f t="shared" si="37"/>
        <v>#N/A</v>
      </c>
      <c r="S402" s="518" t="e">
        <f t="shared" si="39"/>
        <v>#N/A</v>
      </c>
      <c r="T402" s="1675" t="e">
        <v>#N/A</v>
      </c>
      <c r="U402" s="430" t="e">
        <v>#N/A</v>
      </c>
      <c r="V402" s="1675" t="e">
        <v>#N/A</v>
      </c>
      <c r="W402" s="73" t="e">
        <v>#N/A</v>
      </c>
      <c r="X402" s="1911" t="e">
        <f t="shared" si="38"/>
        <v>#N/A</v>
      </c>
      <c r="Y402" s="618" t="e">
        <v>#N/A</v>
      </c>
    </row>
    <row r="403" spans="1:25">
      <c r="A403" s="49">
        <f t="shared" si="40"/>
        <v>2029.1</v>
      </c>
      <c r="B403" s="73" t="e">
        <v>#N/A</v>
      </c>
      <c r="C403" s="1882" t="e">
        <f t="shared" si="36"/>
        <v>#N/A</v>
      </c>
      <c r="D403" s="1804" t="e">
        <v>#N/A</v>
      </c>
      <c r="E403" s="294" t="e">
        <v>#N/A</v>
      </c>
      <c r="F403" s="1804" t="e">
        <v>#N/A</v>
      </c>
      <c r="G403" s="294" t="e">
        <v>#N/A</v>
      </c>
      <c r="H403" s="1804" t="e">
        <v>#N/A</v>
      </c>
      <c r="I403" s="294" t="e">
        <v>#N/A</v>
      </c>
      <c r="J403" s="1804" t="e">
        <v>#N/A</v>
      </c>
      <c r="K403" s="294" t="e">
        <v>#N/A</v>
      </c>
      <c r="L403" s="1804" t="e">
        <v>#N/A</v>
      </c>
      <c r="M403" s="294" t="e">
        <v>#N/A</v>
      </c>
      <c r="N403" s="1892" t="e">
        <v>#N/A</v>
      </c>
      <c r="O403" s="1143" t="e">
        <v>#N/A</v>
      </c>
      <c r="P403" s="61" t="e">
        <v>#N/A</v>
      </c>
      <c r="Q403" s="61" t="e">
        <v>#N/A</v>
      </c>
      <c r="R403" s="505" t="e">
        <f t="shared" si="37"/>
        <v>#N/A</v>
      </c>
      <c r="S403" s="518" t="e">
        <f t="shared" si="39"/>
        <v>#N/A</v>
      </c>
      <c r="T403" s="1675" t="e">
        <v>#N/A</v>
      </c>
      <c r="U403" s="430" t="e">
        <v>#N/A</v>
      </c>
      <c r="V403" s="1675" t="e">
        <v>#N/A</v>
      </c>
      <c r="W403" s="73" t="e">
        <v>#N/A</v>
      </c>
      <c r="X403" s="1911" t="e">
        <f t="shared" si="38"/>
        <v>#N/A</v>
      </c>
      <c r="Y403" s="618" t="e">
        <v>#N/A</v>
      </c>
    </row>
    <row r="404" spans="1:25">
      <c r="A404" s="49">
        <f t="shared" si="40"/>
        <v>2029.11</v>
      </c>
      <c r="B404" s="73" t="e">
        <v>#N/A</v>
      </c>
      <c r="C404" s="1882" t="e">
        <f t="shared" si="36"/>
        <v>#N/A</v>
      </c>
      <c r="D404" s="1804" t="e">
        <v>#N/A</v>
      </c>
      <c r="E404" s="294" t="e">
        <v>#N/A</v>
      </c>
      <c r="F404" s="1804" t="e">
        <v>#N/A</v>
      </c>
      <c r="G404" s="294" t="e">
        <v>#N/A</v>
      </c>
      <c r="H404" s="1804" t="e">
        <v>#N/A</v>
      </c>
      <c r="I404" s="294" t="e">
        <v>#N/A</v>
      </c>
      <c r="J404" s="1804" t="e">
        <v>#N/A</v>
      </c>
      <c r="K404" s="294" t="e">
        <v>#N/A</v>
      </c>
      <c r="L404" s="1804" t="e">
        <v>#N/A</v>
      </c>
      <c r="M404" s="294" t="e">
        <v>#N/A</v>
      </c>
      <c r="N404" s="1892" t="e">
        <v>#N/A</v>
      </c>
      <c r="O404" s="1143" t="e">
        <v>#N/A</v>
      </c>
      <c r="P404" s="61" t="e">
        <v>#N/A</v>
      </c>
      <c r="Q404" s="61" t="e">
        <v>#N/A</v>
      </c>
      <c r="R404" s="505" t="e">
        <f t="shared" si="37"/>
        <v>#N/A</v>
      </c>
      <c r="S404" s="518" t="e">
        <f t="shared" si="39"/>
        <v>#N/A</v>
      </c>
      <c r="T404" s="1675" t="e">
        <v>#N/A</v>
      </c>
      <c r="U404" s="430" t="e">
        <v>#N/A</v>
      </c>
      <c r="V404" s="1675" t="e">
        <v>#N/A</v>
      </c>
      <c r="W404" s="73" t="e">
        <v>#N/A</v>
      </c>
      <c r="X404" s="1911" t="e">
        <f t="shared" si="38"/>
        <v>#N/A</v>
      </c>
      <c r="Y404" s="618" t="e">
        <v>#N/A</v>
      </c>
    </row>
    <row r="405" spans="1:25">
      <c r="A405" s="49">
        <f t="shared" si="40"/>
        <v>2029.12</v>
      </c>
      <c r="B405" s="73" t="e">
        <v>#N/A</v>
      </c>
      <c r="C405" s="1882" t="e">
        <f t="shared" ref="C405:C417" si="41">SUM(D405:J405)</f>
        <v>#N/A</v>
      </c>
      <c r="D405" s="1804" t="e">
        <v>#N/A</v>
      </c>
      <c r="E405" s="294" t="e">
        <v>#N/A</v>
      </c>
      <c r="F405" s="1804" t="e">
        <v>#N/A</v>
      </c>
      <c r="G405" s="294" t="e">
        <v>#N/A</v>
      </c>
      <c r="H405" s="1804" t="e">
        <v>#N/A</v>
      </c>
      <c r="I405" s="294" t="e">
        <v>#N/A</v>
      </c>
      <c r="J405" s="1804" t="e">
        <v>#N/A</v>
      </c>
      <c r="K405" s="294" t="e">
        <v>#N/A</v>
      </c>
      <c r="L405" s="1804" t="e">
        <v>#N/A</v>
      </c>
      <c r="M405" s="294" t="e">
        <v>#N/A</v>
      </c>
      <c r="N405" s="1892" t="e">
        <v>#N/A</v>
      </c>
      <c r="O405" s="1143" t="e">
        <v>#N/A</v>
      </c>
      <c r="P405" s="61" t="e">
        <v>#N/A</v>
      </c>
      <c r="Q405" s="61" t="e">
        <v>#N/A</v>
      </c>
      <c r="R405" s="505" t="e">
        <f t="shared" ref="R405:R417" si="42">$B405/P405*1000</f>
        <v>#N/A</v>
      </c>
      <c r="S405" s="518" t="e">
        <f t="shared" si="39"/>
        <v>#N/A</v>
      </c>
      <c r="T405" s="1675" t="e">
        <v>#N/A</v>
      </c>
      <c r="U405" s="430" t="e">
        <v>#N/A</v>
      </c>
      <c r="V405" s="1675" t="e">
        <v>#N/A</v>
      </c>
      <c r="W405" s="73" t="e">
        <v>#N/A</v>
      </c>
      <c r="X405" s="1911" t="e">
        <f t="shared" ref="X405:X417" si="43">V405+W405</f>
        <v>#N/A</v>
      </c>
      <c r="Y405" s="618" t="e">
        <v>#N/A</v>
      </c>
    </row>
    <row r="406" spans="1:25">
      <c r="A406" s="49">
        <f t="shared" si="40"/>
        <v>2030.01</v>
      </c>
      <c r="B406" s="73" t="e">
        <v>#N/A</v>
      </c>
      <c r="C406" s="1882" t="e">
        <f t="shared" si="41"/>
        <v>#N/A</v>
      </c>
      <c r="D406" s="1804" t="e">
        <v>#N/A</v>
      </c>
      <c r="E406" s="294" t="e">
        <v>#N/A</v>
      </c>
      <c r="F406" s="1804" t="e">
        <v>#N/A</v>
      </c>
      <c r="G406" s="294" t="e">
        <v>#N/A</v>
      </c>
      <c r="H406" s="1804" t="e">
        <v>#N/A</v>
      </c>
      <c r="I406" s="294" t="e">
        <v>#N/A</v>
      </c>
      <c r="J406" s="1804" t="e">
        <v>#N/A</v>
      </c>
      <c r="K406" s="294" t="e">
        <v>#N/A</v>
      </c>
      <c r="L406" s="1804" t="e">
        <v>#N/A</v>
      </c>
      <c r="M406" s="294" t="e">
        <v>#N/A</v>
      </c>
      <c r="N406" s="1892" t="e">
        <v>#N/A</v>
      </c>
      <c r="O406" s="1143" t="e">
        <v>#N/A</v>
      </c>
      <c r="P406" s="61" t="e">
        <v>#N/A</v>
      </c>
      <c r="Q406" s="61" t="e">
        <v>#N/A</v>
      </c>
      <c r="R406" s="505" t="e">
        <f t="shared" si="42"/>
        <v>#N/A</v>
      </c>
      <c r="S406" s="518" t="e">
        <f t="shared" si="39"/>
        <v>#N/A</v>
      </c>
      <c r="T406" s="1675" t="e">
        <v>#N/A</v>
      </c>
      <c r="U406" s="430" t="e">
        <v>#N/A</v>
      </c>
      <c r="V406" s="1675" t="e">
        <v>#N/A</v>
      </c>
      <c r="W406" s="73" t="e">
        <v>#N/A</v>
      </c>
      <c r="X406" s="1911" t="e">
        <f t="shared" si="43"/>
        <v>#N/A</v>
      </c>
      <c r="Y406" s="618" t="e">
        <v>#N/A</v>
      </c>
    </row>
    <row r="407" spans="1:25">
      <c r="A407" s="49">
        <f t="shared" si="40"/>
        <v>2030.02</v>
      </c>
      <c r="B407" s="73" t="e">
        <v>#N/A</v>
      </c>
      <c r="C407" s="1882" t="e">
        <f t="shared" si="41"/>
        <v>#N/A</v>
      </c>
      <c r="D407" s="1804" t="e">
        <v>#N/A</v>
      </c>
      <c r="E407" s="294" t="e">
        <v>#N/A</v>
      </c>
      <c r="F407" s="1804" t="e">
        <v>#N/A</v>
      </c>
      <c r="G407" s="294" t="e">
        <v>#N/A</v>
      </c>
      <c r="H407" s="1804" t="e">
        <v>#N/A</v>
      </c>
      <c r="I407" s="294" t="e">
        <v>#N/A</v>
      </c>
      <c r="J407" s="1804" t="e">
        <v>#N/A</v>
      </c>
      <c r="K407" s="294" t="e">
        <v>#N/A</v>
      </c>
      <c r="L407" s="1804" t="e">
        <v>#N/A</v>
      </c>
      <c r="M407" s="294" t="e">
        <v>#N/A</v>
      </c>
      <c r="N407" s="1892" t="e">
        <v>#N/A</v>
      </c>
      <c r="O407" s="1143" t="e">
        <v>#N/A</v>
      </c>
      <c r="P407" s="61" t="e">
        <v>#N/A</v>
      </c>
      <c r="Q407" s="61" t="e">
        <v>#N/A</v>
      </c>
      <c r="R407" s="505" t="e">
        <f t="shared" si="42"/>
        <v>#N/A</v>
      </c>
      <c r="S407" s="518" t="e">
        <f t="shared" si="39"/>
        <v>#N/A</v>
      </c>
      <c r="T407" s="1675" t="e">
        <v>#N/A</v>
      </c>
      <c r="U407" s="430" t="e">
        <v>#N/A</v>
      </c>
      <c r="V407" s="1675" t="e">
        <v>#N/A</v>
      </c>
      <c r="W407" s="73" t="e">
        <v>#N/A</v>
      </c>
      <c r="X407" s="1911" t="e">
        <f t="shared" si="43"/>
        <v>#N/A</v>
      </c>
      <c r="Y407" s="618" t="e">
        <v>#N/A</v>
      </c>
    </row>
    <row r="408" spans="1:25">
      <c r="A408" s="49">
        <f t="shared" si="40"/>
        <v>2030.03</v>
      </c>
      <c r="B408" s="73" t="e">
        <v>#N/A</v>
      </c>
      <c r="C408" s="1882" t="e">
        <f t="shared" si="41"/>
        <v>#N/A</v>
      </c>
      <c r="D408" s="1804" t="e">
        <v>#N/A</v>
      </c>
      <c r="E408" s="294" t="e">
        <v>#N/A</v>
      </c>
      <c r="F408" s="1804" t="e">
        <v>#N/A</v>
      </c>
      <c r="G408" s="294" t="e">
        <v>#N/A</v>
      </c>
      <c r="H408" s="1804" t="e">
        <v>#N/A</v>
      </c>
      <c r="I408" s="294" t="e">
        <v>#N/A</v>
      </c>
      <c r="J408" s="1804" t="e">
        <v>#N/A</v>
      </c>
      <c r="K408" s="294" t="e">
        <v>#N/A</v>
      </c>
      <c r="L408" s="1804" t="e">
        <v>#N/A</v>
      </c>
      <c r="M408" s="294" t="e">
        <v>#N/A</v>
      </c>
      <c r="N408" s="1892" t="e">
        <v>#N/A</v>
      </c>
      <c r="O408" s="1143" t="e">
        <v>#N/A</v>
      </c>
      <c r="P408" s="61" t="e">
        <v>#N/A</v>
      </c>
      <c r="Q408" s="61" t="e">
        <v>#N/A</v>
      </c>
      <c r="R408" s="505" t="e">
        <f t="shared" si="42"/>
        <v>#N/A</v>
      </c>
      <c r="S408" s="518" t="e">
        <f t="shared" si="39"/>
        <v>#N/A</v>
      </c>
      <c r="T408" s="1675" t="e">
        <v>#N/A</v>
      </c>
      <c r="U408" s="430" t="e">
        <v>#N/A</v>
      </c>
      <c r="V408" s="1675" t="e">
        <v>#N/A</v>
      </c>
      <c r="W408" s="73" t="e">
        <v>#N/A</v>
      </c>
      <c r="X408" s="1911" t="e">
        <f t="shared" si="43"/>
        <v>#N/A</v>
      </c>
      <c r="Y408" s="618" t="e">
        <v>#N/A</v>
      </c>
    </row>
    <row r="409" spans="1:25">
      <c r="A409" s="49">
        <f t="shared" si="40"/>
        <v>2030.04</v>
      </c>
      <c r="B409" s="73" t="e">
        <v>#N/A</v>
      </c>
      <c r="C409" s="1882" t="e">
        <f t="shared" si="41"/>
        <v>#N/A</v>
      </c>
      <c r="D409" s="1804" t="e">
        <v>#N/A</v>
      </c>
      <c r="E409" s="294" t="e">
        <v>#N/A</v>
      </c>
      <c r="F409" s="1804" t="e">
        <v>#N/A</v>
      </c>
      <c r="G409" s="294" t="e">
        <v>#N/A</v>
      </c>
      <c r="H409" s="1804" t="e">
        <v>#N/A</v>
      </c>
      <c r="I409" s="294" t="e">
        <v>#N/A</v>
      </c>
      <c r="J409" s="1804" t="e">
        <v>#N/A</v>
      </c>
      <c r="K409" s="294" t="e">
        <v>#N/A</v>
      </c>
      <c r="L409" s="1804" t="e">
        <v>#N/A</v>
      </c>
      <c r="M409" s="294" t="e">
        <v>#N/A</v>
      </c>
      <c r="N409" s="1892" t="e">
        <v>#N/A</v>
      </c>
      <c r="O409" s="1143" t="e">
        <v>#N/A</v>
      </c>
      <c r="P409" s="61" t="e">
        <v>#N/A</v>
      </c>
      <c r="Q409" s="61" t="e">
        <v>#N/A</v>
      </c>
      <c r="R409" s="505" t="e">
        <f t="shared" si="42"/>
        <v>#N/A</v>
      </c>
      <c r="S409" s="518" t="e">
        <f t="shared" si="39"/>
        <v>#N/A</v>
      </c>
      <c r="T409" s="1675" t="e">
        <v>#N/A</v>
      </c>
      <c r="U409" s="430" t="e">
        <v>#N/A</v>
      </c>
      <c r="V409" s="1675" t="e">
        <v>#N/A</v>
      </c>
      <c r="W409" s="73" t="e">
        <v>#N/A</v>
      </c>
      <c r="X409" s="1911" t="e">
        <f t="shared" si="43"/>
        <v>#N/A</v>
      </c>
      <c r="Y409" s="618" t="e">
        <v>#N/A</v>
      </c>
    </row>
    <row r="410" spans="1:25">
      <c r="A410" s="49">
        <f t="shared" si="40"/>
        <v>2030.05</v>
      </c>
      <c r="B410" s="73" t="e">
        <v>#N/A</v>
      </c>
      <c r="C410" s="1882" t="e">
        <f t="shared" si="41"/>
        <v>#N/A</v>
      </c>
      <c r="D410" s="1804" t="e">
        <v>#N/A</v>
      </c>
      <c r="E410" s="294" t="e">
        <v>#N/A</v>
      </c>
      <c r="F410" s="1804" t="e">
        <v>#N/A</v>
      </c>
      <c r="G410" s="294" t="e">
        <v>#N/A</v>
      </c>
      <c r="H410" s="1804" t="e">
        <v>#N/A</v>
      </c>
      <c r="I410" s="294" t="e">
        <v>#N/A</v>
      </c>
      <c r="J410" s="1804" t="e">
        <v>#N/A</v>
      </c>
      <c r="K410" s="294" t="e">
        <v>#N/A</v>
      </c>
      <c r="L410" s="1804" t="e">
        <v>#N/A</v>
      </c>
      <c r="M410" s="294" t="e">
        <v>#N/A</v>
      </c>
      <c r="N410" s="1892" t="e">
        <v>#N/A</v>
      </c>
      <c r="O410" s="1143" t="e">
        <v>#N/A</v>
      </c>
      <c r="P410" s="61" t="e">
        <v>#N/A</v>
      </c>
      <c r="Q410" s="61" t="e">
        <v>#N/A</v>
      </c>
      <c r="R410" s="505" t="e">
        <f t="shared" si="42"/>
        <v>#N/A</v>
      </c>
      <c r="S410" s="518" t="e">
        <f t="shared" si="39"/>
        <v>#N/A</v>
      </c>
      <c r="T410" s="1675" t="e">
        <v>#N/A</v>
      </c>
      <c r="U410" s="430" t="e">
        <v>#N/A</v>
      </c>
      <c r="V410" s="1675" t="e">
        <v>#N/A</v>
      </c>
      <c r="W410" s="73" t="e">
        <v>#N/A</v>
      </c>
      <c r="X410" s="1911" t="e">
        <f t="shared" si="43"/>
        <v>#N/A</v>
      </c>
      <c r="Y410" s="618" t="e">
        <v>#N/A</v>
      </c>
    </row>
    <row r="411" spans="1:25">
      <c r="A411" s="49">
        <f t="shared" si="40"/>
        <v>2030.06</v>
      </c>
      <c r="B411" s="73" t="e">
        <v>#N/A</v>
      </c>
      <c r="C411" s="1882" t="e">
        <f t="shared" si="41"/>
        <v>#N/A</v>
      </c>
      <c r="D411" s="1804" t="e">
        <v>#N/A</v>
      </c>
      <c r="E411" s="294" t="e">
        <v>#N/A</v>
      </c>
      <c r="F411" s="1804" t="e">
        <v>#N/A</v>
      </c>
      <c r="G411" s="294" t="e">
        <v>#N/A</v>
      </c>
      <c r="H411" s="1804" t="e">
        <v>#N/A</v>
      </c>
      <c r="I411" s="294" t="e">
        <v>#N/A</v>
      </c>
      <c r="J411" s="1804" t="e">
        <v>#N/A</v>
      </c>
      <c r="K411" s="294" t="e">
        <v>#N/A</v>
      </c>
      <c r="L411" s="1804" t="e">
        <v>#N/A</v>
      </c>
      <c r="M411" s="294" t="e">
        <v>#N/A</v>
      </c>
      <c r="N411" s="1892" t="e">
        <v>#N/A</v>
      </c>
      <c r="O411" s="1143" t="e">
        <v>#N/A</v>
      </c>
      <c r="P411" s="61" t="e">
        <v>#N/A</v>
      </c>
      <c r="Q411" s="61" t="e">
        <v>#N/A</v>
      </c>
      <c r="R411" s="505" t="e">
        <f t="shared" si="42"/>
        <v>#N/A</v>
      </c>
      <c r="S411" s="518" t="e">
        <f t="shared" si="39"/>
        <v>#N/A</v>
      </c>
      <c r="T411" s="1675" t="e">
        <v>#N/A</v>
      </c>
      <c r="U411" s="430" t="e">
        <v>#N/A</v>
      </c>
      <c r="V411" s="1675" t="e">
        <v>#N/A</v>
      </c>
      <c r="W411" s="73" t="e">
        <v>#N/A</v>
      </c>
      <c r="X411" s="1911" t="e">
        <f t="shared" si="43"/>
        <v>#N/A</v>
      </c>
      <c r="Y411" s="618" t="e">
        <v>#N/A</v>
      </c>
    </row>
    <row r="412" spans="1:25">
      <c r="A412" s="49">
        <f t="shared" si="40"/>
        <v>2030.07</v>
      </c>
      <c r="B412" s="73" t="e">
        <v>#N/A</v>
      </c>
      <c r="C412" s="1882" t="e">
        <f t="shared" si="41"/>
        <v>#N/A</v>
      </c>
      <c r="D412" s="1804" t="e">
        <v>#N/A</v>
      </c>
      <c r="E412" s="294" t="e">
        <v>#N/A</v>
      </c>
      <c r="F412" s="1804" t="e">
        <v>#N/A</v>
      </c>
      <c r="G412" s="294" t="e">
        <v>#N/A</v>
      </c>
      <c r="H412" s="1804" t="e">
        <v>#N/A</v>
      </c>
      <c r="I412" s="294" t="e">
        <v>#N/A</v>
      </c>
      <c r="J412" s="1804" t="e">
        <v>#N/A</v>
      </c>
      <c r="K412" s="294" t="e">
        <v>#N/A</v>
      </c>
      <c r="L412" s="1804" t="e">
        <v>#N/A</v>
      </c>
      <c r="M412" s="294" t="e">
        <v>#N/A</v>
      </c>
      <c r="N412" s="1892" t="e">
        <v>#N/A</v>
      </c>
      <c r="O412" s="1143" t="e">
        <v>#N/A</v>
      </c>
      <c r="P412" s="61" t="e">
        <v>#N/A</v>
      </c>
      <c r="Q412" s="61" t="e">
        <v>#N/A</v>
      </c>
      <c r="R412" s="505" t="e">
        <f t="shared" si="42"/>
        <v>#N/A</v>
      </c>
      <c r="S412" s="518" t="e">
        <f t="shared" si="39"/>
        <v>#N/A</v>
      </c>
      <c r="T412" s="1675" t="e">
        <v>#N/A</v>
      </c>
      <c r="U412" s="430" t="e">
        <v>#N/A</v>
      </c>
      <c r="V412" s="1675" t="e">
        <v>#N/A</v>
      </c>
      <c r="W412" s="73" t="e">
        <v>#N/A</v>
      </c>
      <c r="X412" s="1911" t="e">
        <f t="shared" si="43"/>
        <v>#N/A</v>
      </c>
      <c r="Y412" s="618" t="e">
        <v>#N/A</v>
      </c>
    </row>
    <row r="413" spans="1:25">
      <c r="A413" s="49">
        <f t="shared" si="40"/>
        <v>2030.08</v>
      </c>
      <c r="B413" s="73" t="e">
        <v>#N/A</v>
      </c>
      <c r="C413" s="1882" t="e">
        <f t="shared" si="41"/>
        <v>#N/A</v>
      </c>
      <c r="D413" s="1804" t="e">
        <v>#N/A</v>
      </c>
      <c r="E413" s="294" t="e">
        <v>#N/A</v>
      </c>
      <c r="F413" s="1804" t="e">
        <v>#N/A</v>
      </c>
      <c r="G413" s="294" t="e">
        <v>#N/A</v>
      </c>
      <c r="H413" s="1804" t="e">
        <v>#N/A</v>
      </c>
      <c r="I413" s="294" t="e">
        <v>#N/A</v>
      </c>
      <c r="J413" s="1804" t="e">
        <v>#N/A</v>
      </c>
      <c r="K413" s="294" t="e">
        <v>#N/A</v>
      </c>
      <c r="L413" s="1804" t="e">
        <v>#N/A</v>
      </c>
      <c r="M413" s="294" t="e">
        <v>#N/A</v>
      </c>
      <c r="N413" s="1892" t="e">
        <v>#N/A</v>
      </c>
      <c r="O413" s="1143" t="e">
        <v>#N/A</v>
      </c>
      <c r="P413" s="61" t="e">
        <v>#N/A</v>
      </c>
      <c r="Q413" s="61" t="e">
        <v>#N/A</v>
      </c>
      <c r="R413" s="505" t="e">
        <f t="shared" si="42"/>
        <v>#N/A</v>
      </c>
      <c r="S413" s="518" t="e">
        <f t="shared" si="39"/>
        <v>#N/A</v>
      </c>
      <c r="T413" s="1675" t="e">
        <v>#N/A</v>
      </c>
      <c r="U413" s="430" t="e">
        <v>#N/A</v>
      </c>
      <c r="V413" s="1675" t="e">
        <v>#N/A</v>
      </c>
      <c r="W413" s="73" t="e">
        <v>#N/A</v>
      </c>
      <c r="X413" s="1911" t="e">
        <f t="shared" si="43"/>
        <v>#N/A</v>
      </c>
      <c r="Y413" s="618" t="e">
        <v>#N/A</v>
      </c>
    </row>
    <row r="414" spans="1:25">
      <c r="A414" s="49">
        <f t="shared" si="40"/>
        <v>2030.09</v>
      </c>
      <c r="B414" s="73" t="e">
        <v>#N/A</v>
      </c>
      <c r="C414" s="1882" t="e">
        <f t="shared" si="41"/>
        <v>#N/A</v>
      </c>
      <c r="D414" s="1804" t="e">
        <v>#N/A</v>
      </c>
      <c r="E414" s="294" t="e">
        <v>#N/A</v>
      </c>
      <c r="F414" s="1804" t="e">
        <v>#N/A</v>
      </c>
      <c r="G414" s="294" t="e">
        <v>#N/A</v>
      </c>
      <c r="H414" s="1804" t="e">
        <v>#N/A</v>
      </c>
      <c r="I414" s="294" t="e">
        <v>#N/A</v>
      </c>
      <c r="J414" s="1804" t="e">
        <v>#N/A</v>
      </c>
      <c r="K414" s="294" t="e">
        <v>#N/A</v>
      </c>
      <c r="L414" s="1804" t="e">
        <v>#N/A</v>
      </c>
      <c r="M414" s="294" t="e">
        <v>#N/A</v>
      </c>
      <c r="N414" s="1892" t="e">
        <v>#N/A</v>
      </c>
      <c r="O414" s="1143" t="e">
        <v>#N/A</v>
      </c>
      <c r="P414" s="61" t="e">
        <v>#N/A</v>
      </c>
      <c r="Q414" s="61" t="e">
        <v>#N/A</v>
      </c>
      <c r="R414" s="505" t="e">
        <f t="shared" si="42"/>
        <v>#N/A</v>
      </c>
      <c r="S414" s="518" t="e">
        <f t="shared" si="39"/>
        <v>#N/A</v>
      </c>
      <c r="T414" s="1675" t="e">
        <v>#N/A</v>
      </c>
      <c r="U414" s="430" t="e">
        <v>#N/A</v>
      </c>
      <c r="V414" s="1675" t="e">
        <v>#N/A</v>
      </c>
      <c r="W414" s="73" t="e">
        <v>#N/A</v>
      </c>
      <c r="X414" s="1911" t="e">
        <f t="shared" si="43"/>
        <v>#N/A</v>
      </c>
      <c r="Y414" s="618" t="e">
        <v>#N/A</v>
      </c>
    </row>
    <row r="415" spans="1:25">
      <c r="A415" s="49">
        <f t="shared" si="40"/>
        <v>2030.1</v>
      </c>
      <c r="B415" s="73" t="e">
        <v>#N/A</v>
      </c>
      <c r="C415" s="1882" t="e">
        <f t="shared" si="41"/>
        <v>#N/A</v>
      </c>
      <c r="D415" s="1804" t="e">
        <v>#N/A</v>
      </c>
      <c r="E415" s="294" t="e">
        <v>#N/A</v>
      </c>
      <c r="F415" s="1804" t="e">
        <v>#N/A</v>
      </c>
      <c r="G415" s="294" t="e">
        <v>#N/A</v>
      </c>
      <c r="H415" s="1804" t="e">
        <v>#N/A</v>
      </c>
      <c r="I415" s="294" t="e">
        <v>#N/A</v>
      </c>
      <c r="J415" s="1804" t="e">
        <v>#N/A</v>
      </c>
      <c r="K415" s="294" t="e">
        <v>#N/A</v>
      </c>
      <c r="L415" s="1804" t="e">
        <v>#N/A</v>
      </c>
      <c r="M415" s="294" t="e">
        <v>#N/A</v>
      </c>
      <c r="N415" s="1892" t="e">
        <v>#N/A</v>
      </c>
      <c r="O415" s="1143" t="e">
        <v>#N/A</v>
      </c>
      <c r="P415" s="61" t="e">
        <v>#N/A</v>
      </c>
      <c r="Q415" s="61" t="e">
        <v>#N/A</v>
      </c>
      <c r="R415" s="505" t="e">
        <f t="shared" si="42"/>
        <v>#N/A</v>
      </c>
      <c r="S415" s="518" t="e">
        <f t="shared" si="39"/>
        <v>#N/A</v>
      </c>
      <c r="T415" s="1675" t="e">
        <v>#N/A</v>
      </c>
      <c r="U415" s="430" t="e">
        <v>#N/A</v>
      </c>
      <c r="V415" s="1675" t="e">
        <v>#N/A</v>
      </c>
      <c r="W415" s="73" t="e">
        <v>#N/A</v>
      </c>
      <c r="X415" s="1911" t="e">
        <f t="shared" si="43"/>
        <v>#N/A</v>
      </c>
      <c r="Y415" s="618" t="e">
        <v>#N/A</v>
      </c>
    </row>
    <row r="416" spans="1:25">
      <c r="A416" s="49">
        <f t="shared" si="40"/>
        <v>2030.11</v>
      </c>
      <c r="B416" s="73" t="e">
        <v>#N/A</v>
      </c>
      <c r="C416" s="1882" t="e">
        <f t="shared" si="41"/>
        <v>#N/A</v>
      </c>
      <c r="D416" s="1804" t="e">
        <v>#N/A</v>
      </c>
      <c r="E416" s="294" t="e">
        <v>#N/A</v>
      </c>
      <c r="F416" s="1804" t="e">
        <v>#N/A</v>
      </c>
      <c r="G416" s="294" t="e">
        <v>#N/A</v>
      </c>
      <c r="H416" s="1804" t="e">
        <v>#N/A</v>
      </c>
      <c r="I416" s="294" t="e">
        <v>#N/A</v>
      </c>
      <c r="J416" s="1804" t="e">
        <v>#N/A</v>
      </c>
      <c r="K416" s="294" t="e">
        <v>#N/A</v>
      </c>
      <c r="L416" s="1804" t="e">
        <v>#N/A</v>
      </c>
      <c r="M416" s="294" t="e">
        <v>#N/A</v>
      </c>
      <c r="N416" s="1892" t="e">
        <v>#N/A</v>
      </c>
      <c r="O416" s="1143" t="e">
        <v>#N/A</v>
      </c>
      <c r="P416" s="61" t="e">
        <v>#N/A</v>
      </c>
      <c r="Q416" s="61" t="e">
        <v>#N/A</v>
      </c>
      <c r="R416" s="505" t="e">
        <f t="shared" si="42"/>
        <v>#N/A</v>
      </c>
      <c r="S416" s="518" t="e">
        <f t="shared" si="39"/>
        <v>#N/A</v>
      </c>
      <c r="T416" s="1675" t="e">
        <v>#N/A</v>
      </c>
      <c r="U416" s="430" t="e">
        <v>#N/A</v>
      </c>
      <c r="V416" s="1675" t="e">
        <v>#N/A</v>
      </c>
      <c r="W416" s="73" t="e">
        <v>#N/A</v>
      </c>
      <c r="X416" s="1911" t="e">
        <f t="shared" si="43"/>
        <v>#N/A</v>
      </c>
      <c r="Y416" s="618" t="e">
        <v>#N/A</v>
      </c>
    </row>
    <row r="417" spans="1:25">
      <c r="A417" s="49">
        <f t="shared" si="40"/>
        <v>2030.12</v>
      </c>
      <c r="B417" s="73" t="e">
        <v>#N/A</v>
      </c>
      <c r="C417" s="1882" t="e">
        <f t="shared" si="41"/>
        <v>#N/A</v>
      </c>
      <c r="D417" s="1804" t="e">
        <v>#N/A</v>
      </c>
      <c r="E417" s="294" t="e">
        <v>#N/A</v>
      </c>
      <c r="F417" s="1804" t="e">
        <v>#N/A</v>
      </c>
      <c r="G417" s="294" t="e">
        <v>#N/A</v>
      </c>
      <c r="H417" s="1804" t="e">
        <v>#N/A</v>
      </c>
      <c r="I417" s="294" t="e">
        <v>#N/A</v>
      </c>
      <c r="J417" s="1804" t="e">
        <v>#N/A</v>
      </c>
      <c r="K417" s="294" t="e">
        <v>#N/A</v>
      </c>
      <c r="L417" s="1804" t="e">
        <v>#N/A</v>
      </c>
      <c r="M417" s="294" t="e">
        <v>#N/A</v>
      </c>
      <c r="N417" s="1892" t="e">
        <v>#N/A</v>
      </c>
      <c r="O417" s="1143" t="e">
        <v>#N/A</v>
      </c>
      <c r="P417" s="61" t="e">
        <v>#N/A</v>
      </c>
      <c r="Q417" s="61" t="e">
        <v>#N/A</v>
      </c>
      <c r="R417" s="505" t="e">
        <f t="shared" si="42"/>
        <v>#N/A</v>
      </c>
      <c r="S417" s="518" t="e">
        <f t="shared" si="39"/>
        <v>#N/A</v>
      </c>
      <c r="T417" s="1675" t="e">
        <v>#N/A</v>
      </c>
      <c r="U417" s="430" t="e">
        <v>#N/A</v>
      </c>
      <c r="V417" s="1675" t="e">
        <v>#N/A</v>
      </c>
      <c r="W417" s="73" t="e">
        <v>#N/A</v>
      </c>
      <c r="X417" s="1911" t="e">
        <f t="shared" si="43"/>
        <v>#N/A</v>
      </c>
      <c r="Y417" s="618" t="e">
        <v>#N/A</v>
      </c>
    </row>
  </sheetData>
  <phoneticPr fontId="58" type="noConversion"/>
  <hyperlinks>
    <hyperlink ref="A5" location="INDICE!A13" display="VOLVER AL INDICE" xr:uid="{00000000-0004-0000-2200-000000000000}"/>
  </hyperlinks>
  <pageMargins left="0.75" right="0.75" top="1" bottom="1" header="0" footer="0"/>
  <pageSetup paperSize="9"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4">
    <pageSetUpPr autoPageBreaks="0" fitToPage="1"/>
  </sheetPr>
  <dimension ref="A1:H405"/>
  <sheetViews>
    <sheetView zoomScale="110" zoomScaleNormal="110" workbookViewId="0">
      <pane xSplit="1" ySplit="9" topLeftCell="B10" activePane="bottomRight" state="frozen"/>
      <selection activeCell="Y299" sqref="Y299"/>
      <selection pane="topRight" activeCell="Y299" sqref="Y299"/>
      <selection pane="bottomLeft" activeCell="Y299" sqref="Y299"/>
      <selection pane="bottomRight" activeCell="A5" sqref="A5"/>
    </sheetView>
  </sheetViews>
  <sheetFormatPr baseColWidth="10" defaultColWidth="11.42578125" defaultRowHeight="12.75"/>
  <cols>
    <col min="1" max="1" width="10.5703125" style="19" customWidth="1"/>
    <col min="2" max="2" width="14.5703125" style="19" bestFit="1" customWidth="1"/>
    <col min="3" max="6" width="14.5703125" style="19" customWidth="1"/>
    <col min="7" max="7" width="15.5703125" style="19" customWidth="1"/>
    <col min="8" max="8" width="14.5703125" style="19" customWidth="1"/>
    <col min="9" max="16384" width="11.42578125" style="1"/>
  </cols>
  <sheetData>
    <row r="1" spans="1:8" s="8" customFormat="1" ht="3" customHeight="1">
      <c r="A1" s="37"/>
      <c r="B1" s="168"/>
      <c r="C1" s="169"/>
      <c r="D1" s="169"/>
      <c r="E1" s="169"/>
      <c r="F1" s="169"/>
      <c r="G1" s="169"/>
      <c r="H1" s="170"/>
    </row>
    <row r="2" spans="1:8" s="8" customFormat="1" ht="41.25" customHeight="1">
      <c r="A2" s="121" t="s">
        <v>212</v>
      </c>
      <c r="B2" s="156" t="s">
        <v>779</v>
      </c>
      <c r="C2" s="303"/>
      <c r="D2" s="303"/>
      <c r="E2" s="303"/>
      <c r="F2" s="303"/>
      <c r="G2" s="94"/>
      <c r="H2" s="41"/>
    </row>
    <row r="3" spans="1:8" s="8" customFormat="1">
      <c r="A3" s="39" t="s">
        <v>330</v>
      </c>
      <c r="B3" s="156" t="s">
        <v>313</v>
      </c>
      <c r="C3" s="303"/>
      <c r="D3" s="303"/>
      <c r="E3" s="303"/>
      <c r="F3" s="303"/>
      <c r="G3" s="94"/>
      <c r="H3" s="41"/>
    </row>
    <row r="4" spans="1:8" s="8" customFormat="1" ht="3" customHeight="1">
      <c r="A4" s="37"/>
      <c r="B4" s="168"/>
      <c r="C4" s="169"/>
      <c r="D4" s="169"/>
      <c r="E4" s="169"/>
      <c r="F4" s="169"/>
      <c r="G4" s="169"/>
      <c r="H4" s="170"/>
    </row>
    <row r="5" spans="1:8" s="8" customFormat="1" ht="22.5">
      <c r="A5" s="45" t="s">
        <v>213</v>
      </c>
      <c r="B5" s="159" t="s">
        <v>780</v>
      </c>
      <c r="C5" s="125"/>
      <c r="D5" s="125"/>
      <c r="E5" s="125" t="s">
        <v>781</v>
      </c>
      <c r="F5" s="125"/>
      <c r="G5" s="279"/>
      <c r="H5" s="3408" t="s">
        <v>782</v>
      </c>
    </row>
    <row r="6" spans="1:8" s="8" customFormat="1" ht="21.6" customHeight="1">
      <c r="A6" s="37"/>
      <c r="B6" s="1912" t="s">
        <v>787</v>
      </c>
      <c r="C6" s="1918" t="s">
        <v>788</v>
      </c>
      <c r="D6" s="1921" t="s">
        <v>789</v>
      </c>
      <c r="E6" s="1928" t="s">
        <v>790</v>
      </c>
      <c r="F6" s="1932" t="s">
        <v>791</v>
      </c>
      <c r="G6" s="499" t="s">
        <v>792</v>
      </c>
      <c r="H6" s="3409"/>
    </row>
    <row r="7" spans="1:8" s="8" customFormat="1" ht="22.5">
      <c r="A7" s="47" t="s">
        <v>210</v>
      </c>
      <c r="B7" s="1913" t="s">
        <v>793</v>
      </c>
      <c r="C7" s="113" t="s">
        <v>793</v>
      </c>
      <c r="D7" s="1922" t="s">
        <v>793</v>
      </c>
      <c r="E7" s="114" t="s">
        <v>793</v>
      </c>
      <c r="F7" s="1289" t="s">
        <v>793</v>
      </c>
      <c r="G7" s="113" t="s">
        <v>793</v>
      </c>
      <c r="H7" s="112" t="s">
        <v>793</v>
      </c>
    </row>
    <row r="8" spans="1:8" s="8" customFormat="1" ht="14.25" customHeight="1">
      <c r="A8" s="390" t="s">
        <v>412</v>
      </c>
      <c r="B8" s="1842" t="s">
        <v>617</v>
      </c>
      <c r="C8" s="397" t="s">
        <v>618</v>
      </c>
      <c r="D8" s="1156" t="s">
        <v>619</v>
      </c>
      <c r="E8" s="397" t="s">
        <v>783</v>
      </c>
      <c r="F8" s="1290" t="s">
        <v>784</v>
      </c>
      <c r="G8" s="396" t="s">
        <v>785</v>
      </c>
      <c r="H8" s="395" t="s">
        <v>786</v>
      </c>
    </row>
    <row r="9" spans="1:8" s="9" customFormat="1" ht="13.5" thickBot="1">
      <c r="A9" s="152"/>
      <c r="B9" s="1914"/>
      <c r="C9" s="464"/>
      <c r="D9" s="1923"/>
      <c r="E9" s="330"/>
      <c r="F9" s="1337"/>
      <c r="G9" s="464"/>
      <c r="H9" s="167"/>
    </row>
    <row r="10" spans="1:8" s="9" customFormat="1">
      <c r="A10" s="49">
        <v>1998.01</v>
      </c>
      <c r="B10" s="1915"/>
      <c r="C10" s="493"/>
      <c r="D10" s="1924"/>
      <c r="E10" s="1929"/>
      <c r="F10" s="1933"/>
      <c r="G10" s="493"/>
      <c r="H10" s="494"/>
    </row>
    <row r="11" spans="1:8" s="9" customFormat="1">
      <c r="A11" s="49">
        <v>1998.02</v>
      </c>
      <c r="B11" s="1916"/>
      <c r="C11" s="493"/>
      <c r="D11" s="1924"/>
      <c r="E11" s="1930"/>
      <c r="F11" s="1933"/>
      <c r="G11" s="493"/>
      <c r="H11" s="494"/>
    </row>
    <row r="12" spans="1:8" s="9" customFormat="1">
      <c r="A12" s="49">
        <v>1998.03</v>
      </c>
      <c r="B12" s="1916"/>
      <c r="C12" s="493"/>
      <c r="D12" s="1924"/>
      <c r="E12" s="1930"/>
      <c r="F12" s="1933"/>
      <c r="G12" s="493"/>
      <c r="H12" s="494"/>
    </row>
    <row r="13" spans="1:8" s="9" customFormat="1">
      <c r="A13" s="49">
        <v>1998.04</v>
      </c>
      <c r="B13" s="1916"/>
      <c r="C13" s="493"/>
      <c r="D13" s="1924"/>
      <c r="E13" s="1930"/>
      <c r="F13" s="1933"/>
      <c r="G13" s="493"/>
      <c r="H13" s="494"/>
    </row>
    <row r="14" spans="1:8" s="9" customFormat="1">
      <c r="A14" s="49">
        <v>1998.05</v>
      </c>
      <c r="B14" s="1916"/>
      <c r="C14" s="493"/>
      <c r="D14" s="1924"/>
      <c r="E14" s="1930"/>
      <c r="F14" s="1933"/>
      <c r="G14" s="493"/>
      <c r="H14" s="494"/>
    </row>
    <row r="15" spans="1:8" s="9" customFormat="1">
      <c r="A15" s="49">
        <v>1998.06</v>
      </c>
      <c r="B15" s="1916"/>
      <c r="C15" s="493"/>
      <c r="D15" s="1924"/>
      <c r="E15" s="1930"/>
      <c r="F15" s="1933"/>
      <c r="G15" s="493"/>
      <c r="H15" s="494"/>
    </row>
    <row r="16" spans="1:8" s="9" customFormat="1">
      <c r="A16" s="49">
        <v>1998.07</v>
      </c>
      <c r="B16" s="1917">
        <v>41.390728476821188</v>
      </c>
      <c r="C16" s="493"/>
      <c r="D16" s="1924"/>
      <c r="E16" s="1930"/>
      <c r="F16" s="1933"/>
      <c r="G16" s="493"/>
      <c r="H16" s="494"/>
    </row>
    <row r="17" spans="1:8" s="9" customFormat="1">
      <c r="A17" s="49">
        <v>1998.08</v>
      </c>
      <c r="B17" s="1591">
        <v>42.904290429042902</v>
      </c>
      <c r="C17" s="493"/>
      <c r="D17" s="1924"/>
      <c r="E17" s="1930"/>
      <c r="F17" s="1933"/>
      <c r="G17" s="493"/>
      <c r="H17" s="494"/>
    </row>
    <row r="18" spans="1:8" s="9" customFormat="1">
      <c r="A18" s="49">
        <v>1998.09</v>
      </c>
      <c r="B18" s="1591">
        <v>37.886313465783665</v>
      </c>
      <c r="C18" s="493"/>
      <c r="D18" s="1924"/>
      <c r="E18" s="1930"/>
      <c r="F18" s="1933"/>
      <c r="G18" s="493"/>
      <c r="H18" s="494"/>
    </row>
    <row r="19" spans="1:8" s="9" customFormat="1">
      <c r="A19" s="49">
        <v>1998.1</v>
      </c>
      <c r="B19" s="1591">
        <v>39.313399778516064</v>
      </c>
      <c r="C19" s="493"/>
      <c r="D19" s="1924"/>
      <c r="E19" s="1930"/>
      <c r="F19" s="1933"/>
      <c r="G19" s="493"/>
      <c r="H19" s="494"/>
    </row>
    <row r="20" spans="1:8" s="9" customFormat="1">
      <c r="A20" s="49">
        <v>1998.11</v>
      </c>
      <c r="B20" s="1591">
        <v>41</v>
      </c>
      <c r="C20" s="493"/>
      <c r="D20" s="1924"/>
      <c r="E20" s="1930"/>
      <c r="F20" s="1933"/>
      <c r="G20" s="493"/>
      <c r="H20" s="494"/>
    </row>
    <row r="21" spans="1:8" s="9" customFormat="1">
      <c r="A21" s="49">
        <v>1998.12</v>
      </c>
      <c r="B21" s="1591">
        <v>43.438538205980059</v>
      </c>
      <c r="C21" s="493"/>
      <c r="D21" s="1924"/>
      <c r="E21" s="1930"/>
      <c r="F21" s="1933"/>
      <c r="G21" s="493"/>
      <c r="H21" s="494"/>
    </row>
    <row r="22" spans="1:8">
      <c r="A22" s="49">
        <v>1999.01</v>
      </c>
      <c r="B22" s="1591">
        <v>37.68</v>
      </c>
      <c r="C22" s="1751">
        <v>35.284946456692929</v>
      </c>
      <c r="D22" s="1925"/>
      <c r="E22" s="1919"/>
      <c r="F22" s="1934"/>
      <c r="G22" s="495"/>
      <c r="H22" s="496"/>
    </row>
    <row r="23" spans="1:8">
      <c r="A23" s="49">
        <v>1999.02</v>
      </c>
      <c r="B23" s="1591">
        <v>43.083333333333336</v>
      </c>
      <c r="C23" s="1751">
        <v>40.344827755905534</v>
      </c>
      <c r="D23" s="1926"/>
      <c r="E23" s="944"/>
      <c r="F23" s="1581"/>
      <c r="G23" s="497"/>
      <c r="H23" s="498"/>
    </row>
    <row r="24" spans="1:8">
      <c r="A24" s="49">
        <v>1999.03</v>
      </c>
      <c r="B24" s="1591">
        <v>40.888888888888886</v>
      </c>
      <c r="C24" s="1751">
        <v>38.289868766404211</v>
      </c>
      <c r="D24" s="1926"/>
      <c r="E24" s="944"/>
      <c r="F24" s="1581"/>
      <c r="G24" s="497"/>
      <c r="H24" s="498"/>
    </row>
    <row r="25" spans="1:8">
      <c r="A25" s="49">
        <v>1999.04</v>
      </c>
      <c r="B25" s="1591">
        <v>37.76301218161683</v>
      </c>
      <c r="C25" s="1751">
        <v>35.362682135663285</v>
      </c>
      <c r="D25" s="1926"/>
      <c r="E25" s="944"/>
      <c r="F25" s="1581"/>
      <c r="G25" s="497"/>
      <c r="H25" s="498"/>
    </row>
    <row r="26" spans="1:8">
      <c r="A26" s="49">
        <v>1999.05</v>
      </c>
      <c r="B26" s="1591">
        <v>43.267108167770424</v>
      </c>
      <c r="C26" s="1751">
        <v>40.516921311988334</v>
      </c>
      <c r="D26" s="1926"/>
      <c r="E26" s="944"/>
      <c r="F26" s="1581"/>
      <c r="G26" s="497"/>
      <c r="H26" s="498"/>
    </row>
    <row r="27" spans="1:8">
      <c r="A27" s="49">
        <v>1999.06</v>
      </c>
      <c r="B27" s="1591">
        <v>41.16997792494481</v>
      </c>
      <c r="C27" s="1751">
        <v>38.553090942274608</v>
      </c>
      <c r="D27" s="1926"/>
      <c r="E27" s="944"/>
      <c r="F27" s="1581"/>
      <c r="G27" s="497"/>
      <c r="H27" s="498"/>
    </row>
    <row r="28" spans="1:8">
      <c r="A28" s="49">
        <v>1999.07</v>
      </c>
      <c r="B28" s="1591">
        <v>42.916666666666664</v>
      </c>
      <c r="C28" s="1751">
        <v>40.18875492125985</v>
      </c>
      <c r="D28" s="1926"/>
      <c r="E28" s="944"/>
      <c r="F28" s="1581"/>
      <c r="G28" s="497"/>
      <c r="H28" s="498"/>
    </row>
    <row r="29" spans="1:8">
      <c r="A29" s="49">
        <v>1999.08</v>
      </c>
      <c r="B29" s="1591">
        <v>41.389811738648945</v>
      </c>
      <c r="C29" s="1751">
        <v>38.758951461009239</v>
      </c>
      <c r="D29" s="1926"/>
      <c r="E29" s="944"/>
      <c r="F29" s="1581"/>
      <c r="G29" s="497"/>
      <c r="H29" s="498"/>
    </row>
    <row r="30" spans="1:8">
      <c r="A30" s="49">
        <v>1999.09</v>
      </c>
      <c r="B30" s="1591">
        <v>45.238095238095241</v>
      </c>
      <c r="C30" s="1751">
        <v>42.362626546681675</v>
      </c>
      <c r="D30" s="1926"/>
      <c r="E30" s="944"/>
      <c r="F30" s="1581"/>
      <c r="G30" s="497"/>
      <c r="H30" s="498"/>
    </row>
    <row r="31" spans="1:8">
      <c r="A31" s="49">
        <v>1999.1</v>
      </c>
      <c r="B31" s="1591">
        <v>44.213732004429687</v>
      </c>
      <c r="C31" s="1751">
        <v>41.403374905171752</v>
      </c>
      <c r="D31" s="1926"/>
      <c r="E31" s="944"/>
      <c r="F31" s="1581"/>
      <c r="G31" s="497"/>
      <c r="H31" s="498"/>
    </row>
    <row r="32" spans="1:8">
      <c r="A32" s="49">
        <v>1999.11</v>
      </c>
      <c r="B32" s="1591">
        <v>51.793598233995588</v>
      </c>
      <c r="C32" s="1751">
        <v>48.50144215727174</v>
      </c>
      <c r="D32" s="1926"/>
      <c r="E32" s="944"/>
      <c r="F32" s="1581"/>
      <c r="G32" s="497"/>
      <c r="H32" s="498"/>
    </row>
    <row r="33" spans="1:8">
      <c r="A33" s="49">
        <v>1999.12</v>
      </c>
      <c r="B33" s="1591">
        <v>52.388888888888886</v>
      </c>
      <c r="C33" s="1751">
        <v>49.058894356955385</v>
      </c>
      <c r="D33" s="1926"/>
      <c r="E33" s="944"/>
      <c r="F33" s="1581"/>
      <c r="G33" s="497"/>
      <c r="H33" s="498"/>
    </row>
    <row r="34" spans="1:8">
      <c r="A34" s="49">
        <v>2000.01</v>
      </c>
      <c r="B34" s="1591">
        <v>49.083333333333336</v>
      </c>
      <c r="C34" s="1751">
        <v>45.963449803149615</v>
      </c>
      <c r="D34" s="1926"/>
      <c r="E34" s="944"/>
      <c r="F34" s="1581"/>
      <c r="G34" s="497"/>
      <c r="H34" s="498"/>
    </row>
    <row r="35" spans="1:8">
      <c r="A35" s="49">
        <v>2000.02</v>
      </c>
      <c r="B35" s="1591">
        <v>49.613686534216335</v>
      </c>
      <c r="C35" s="1751">
        <v>46.4600921677009</v>
      </c>
      <c r="D35" s="1926"/>
      <c r="E35" s="944"/>
      <c r="F35" s="1581"/>
      <c r="G35" s="497"/>
      <c r="H35" s="498"/>
    </row>
    <row r="36" spans="1:8">
      <c r="A36" s="49">
        <v>2000.03</v>
      </c>
      <c r="B36" s="1591">
        <v>45.474613686534212</v>
      </c>
      <c r="C36" s="1751">
        <v>42.584111174844871</v>
      </c>
      <c r="D36" s="1926"/>
      <c r="E36" s="944"/>
      <c r="F36" s="1581"/>
      <c r="G36" s="497"/>
      <c r="H36" s="498"/>
    </row>
    <row r="37" spans="1:8">
      <c r="A37" s="49">
        <v>2000.04</v>
      </c>
      <c r="B37" s="1591">
        <v>45.764576457645767</v>
      </c>
      <c r="C37" s="1751">
        <v>42.855643044619434</v>
      </c>
      <c r="D37" s="1926"/>
      <c r="E37" s="944"/>
      <c r="F37" s="1581"/>
      <c r="G37" s="497"/>
      <c r="H37" s="498"/>
    </row>
    <row r="38" spans="1:8">
      <c r="A38" s="49">
        <v>2000.05</v>
      </c>
      <c r="B38" s="1591">
        <v>44.388888888888886</v>
      </c>
      <c r="C38" s="1751">
        <v>41.567398293963258</v>
      </c>
      <c r="D38" s="1926"/>
      <c r="E38" s="944"/>
      <c r="F38" s="1581"/>
      <c r="G38" s="497"/>
      <c r="H38" s="498"/>
    </row>
    <row r="39" spans="1:8">
      <c r="A39" s="49">
        <v>2000.06</v>
      </c>
      <c r="B39" s="1591">
        <v>45.348837209302332</v>
      </c>
      <c r="C39" s="1751">
        <v>42.466329426844908</v>
      </c>
      <c r="D39" s="1926"/>
      <c r="E39" s="944"/>
      <c r="F39" s="1581"/>
      <c r="G39" s="497"/>
      <c r="H39" s="498"/>
    </row>
    <row r="40" spans="1:8">
      <c r="A40" s="49">
        <v>2000.07</v>
      </c>
      <c r="B40" s="1591">
        <v>40.974529346622369</v>
      </c>
      <c r="C40" s="1751">
        <v>38.370065660397103</v>
      </c>
      <c r="D40" s="1926"/>
      <c r="E40" s="944"/>
      <c r="F40" s="1581"/>
      <c r="G40" s="497"/>
      <c r="H40" s="498"/>
    </row>
    <row r="41" spans="1:8">
      <c r="A41" s="49">
        <v>2000.08</v>
      </c>
      <c r="B41" s="1591">
        <v>42</v>
      </c>
      <c r="C41" s="1751">
        <v>39.330354330708666</v>
      </c>
      <c r="D41" s="1926"/>
      <c r="E41" s="944"/>
      <c r="F41" s="1581"/>
      <c r="G41" s="497"/>
      <c r="H41" s="498"/>
    </row>
    <row r="42" spans="1:8">
      <c r="A42" s="49">
        <v>2000.09</v>
      </c>
      <c r="B42" s="1591">
        <v>40.642303433001111</v>
      </c>
      <c r="C42" s="1751">
        <v>38.058957019907403</v>
      </c>
      <c r="D42" s="1926"/>
      <c r="E42" s="944"/>
      <c r="F42" s="1581"/>
      <c r="G42" s="497"/>
      <c r="H42" s="498"/>
    </row>
    <row r="43" spans="1:8">
      <c r="A43" s="49">
        <v>2000.1</v>
      </c>
      <c r="B43" s="1591">
        <v>39.091915836101883</v>
      </c>
      <c r="C43" s="1751">
        <v>36.607116697622104</v>
      </c>
      <c r="D43" s="1926"/>
      <c r="E43" s="944"/>
      <c r="F43" s="1581"/>
      <c r="G43" s="497"/>
      <c r="H43" s="498"/>
    </row>
    <row r="44" spans="1:8">
      <c r="A44" s="49">
        <v>2000.11</v>
      </c>
      <c r="B44" s="1591">
        <v>34.559643255295434</v>
      </c>
      <c r="C44" s="1751">
        <v>32.362928923182267</v>
      </c>
      <c r="D44" s="1926"/>
      <c r="E44" s="944"/>
      <c r="F44" s="1581"/>
      <c r="G44" s="497"/>
      <c r="H44" s="498"/>
    </row>
    <row r="45" spans="1:8">
      <c r="A45" s="49">
        <v>2000.12</v>
      </c>
      <c r="B45" s="1591">
        <v>38.083333333333336</v>
      </c>
      <c r="C45" s="1751">
        <v>35.662642716535437</v>
      </c>
      <c r="D45" s="1926"/>
      <c r="E45" s="944"/>
      <c r="F45" s="1581"/>
      <c r="G45" s="497"/>
      <c r="H45" s="498"/>
    </row>
    <row r="46" spans="1:8">
      <c r="A46" s="49">
        <v>2001.01</v>
      </c>
      <c r="B46" s="1591">
        <v>44.888888888888886</v>
      </c>
      <c r="C46" s="1751">
        <v>42.035616797900261</v>
      </c>
      <c r="D46" s="1926"/>
      <c r="E46" s="944"/>
      <c r="F46" s="1581"/>
      <c r="G46" s="497"/>
      <c r="H46" s="498"/>
    </row>
    <row r="47" spans="1:8">
      <c r="A47" s="49">
        <v>2001.02</v>
      </c>
      <c r="B47" s="1591">
        <v>46.63299663299663</v>
      </c>
      <c r="C47" s="1751">
        <v>43.668863835202416</v>
      </c>
      <c r="D47" s="1926"/>
      <c r="E47" s="944"/>
      <c r="F47" s="1581"/>
      <c r="G47" s="497"/>
      <c r="H47" s="498"/>
    </row>
    <row r="48" spans="1:8">
      <c r="A48" s="49">
        <v>2001.03</v>
      </c>
      <c r="B48" s="1591">
        <v>41.914191419141915</v>
      </c>
      <c r="C48" s="1920">
        <v>39.25</v>
      </c>
      <c r="D48" s="1927">
        <v>37.75</v>
      </c>
      <c r="E48" s="1931">
        <v>42.295603712871284</v>
      </c>
      <c r="F48" s="1935">
        <v>44.593946864686465</v>
      </c>
      <c r="G48" s="899">
        <v>30.092661551155114</v>
      </c>
      <c r="H48" s="500">
        <v>38.989879290429045</v>
      </c>
    </row>
    <row r="49" spans="1:8">
      <c r="A49" s="49">
        <v>2001.04</v>
      </c>
      <c r="B49" s="1591">
        <v>42.940199335548165</v>
      </c>
      <c r="C49" s="311">
        <v>43.33</v>
      </c>
      <c r="D49" s="1587">
        <v>37.83</v>
      </c>
      <c r="E49" s="311">
        <v>44.682247923588037</v>
      </c>
      <c r="F49" s="1347">
        <v>53.911479651162786</v>
      </c>
      <c r="G49" s="375">
        <v>23.509116112956811</v>
      </c>
      <c r="H49" s="166">
        <v>40.693876209302317</v>
      </c>
    </row>
    <row r="50" spans="1:8">
      <c r="A50" s="49">
        <v>2001.05</v>
      </c>
      <c r="B50" s="1591">
        <v>38.138888888888893</v>
      </c>
      <c r="C50" s="311">
        <v>40.54</v>
      </c>
      <c r="D50" s="1587">
        <v>36.33</v>
      </c>
      <c r="E50" s="311">
        <v>40.367566666666661</v>
      </c>
      <c r="F50" s="1347">
        <v>49.917716666666664</v>
      </c>
      <c r="G50" s="375">
        <v>24.245999999999995</v>
      </c>
      <c r="H50" s="166">
        <v>38.171113888888883</v>
      </c>
    </row>
    <row r="51" spans="1:8">
      <c r="A51" s="49">
        <v>2001.06</v>
      </c>
      <c r="B51" s="1591">
        <v>42.03</v>
      </c>
      <c r="C51" s="311">
        <v>37.880000000000003</v>
      </c>
      <c r="D51" s="1587">
        <v>42.17</v>
      </c>
      <c r="E51" s="311">
        <v>42.441874999999996</v>
      </c>
      <c r="F51" s="1347">
        <v>55.004349999999995</v>
      </c>
      <c r="G51" s="375">
        <v>24.264619500000002</v>
      </c>
      <c r="H51" s="166">
        <v>40.569745000000005</v>
      </c>
    </row>
    <row r="52" spans="1:8">
      <c r="A52" s="49">
        <v>2001.07</v>
      </c>
      <c r="B52" s="1591">
        <v>41.92</v>
      </c>
      <c r="C52" s="311">
        <v>38.33</v>
      </c>
      <c r="D52" s="1587">
        <v>34.33</v>
      </c>
      <c r="E52" s="311">
        <v>38.687349999999995</v>
      </c>
      <c r="F52" s="1347">
        <v>48.021910999999996</v>
      </c>
      <c r="G52" s="375">
        <v>24.481530499999998</v>
      </c>
      <c r="H52" s="166">
        <v>37.057460999999996</v>
      </c>
    </row>
    <row r="53" spans="1:8">
      <c r="A53" s="49">
        <v>2001.08</v>
      </c>
      <c r="B53" s="1591">
        <v>39.44</v>
      </c>
      <c r="C53" s="311">
        <v>35.46</v>
      </c>
      <c r="D53" s="1587">
        <v>37.42</v>
      </c>
      <c r="E53" s="311">
        <v>36.994130499999997</v>
      </c>
      <c r="F53" s="1347">
        <v>51.696785999999996</v>
      </c>
      <c r="G53" s="375">
        <v>22.418844499999999</v>
      </c>
      <c r="H53" s="166">
        <v>37.034254000000004</v>
      </c>
    </row>
    <row r="54" spans="1:8">
      <c r="A54" s="49">
        <v>2001.09</v>
      </c>
      <c r="B54" s="1591">
        <v>35.22</v>
      </c>
      <c r="C54" s="311">
        <v>33.96</v>
      </c>
      <c r="D54" s="1587">
        <v>31.25</v>
      </c>
      <c r="E54" s="311">
        <v>35.003064000000002</v>
      </c>
      <c r="F54" s="1347">
        <v>42.653849999999998</v>
      </c>
      <c r="G54" s="375">
        <v>21.058774999999997</v>
      </c>
      <c r="H54" s="166">
        <v>32.901763000000003</v>
      </c>
    </row>
    <row r="55" spans="1:8">
      <c r="A55" s="49">
        <v>2001.1</v>
      </c>
      <c r="B55" s="1591">
        <v>32.36</v>
      </c>
      <c r="C55" s="311">
        <v>33.659999999999997</v>
      </c>
      <c r="D55" s="1587">
        <v>30.69</v>
      </c>
      <c r="E55" s="311">
        <v>35.045760000000001</v>
      </c>
      <c r="F55" s="1347">
        <v>42.886897499999996</v>
      </c>
      <c r="G55" s="375">
        <v>18.247916</v>
      </c>
      <c r="H55" s="166">
        <v>32.053954999999995</v>
      </c>
    </row>
    <row r="56" spans="1:8">
      <c r="A56" s="49">
        <v>2001.11</v>
      </c>
      <c r="B56" s="1591">
        <v>34.89</v>
      </c>
      <c r="C56" s="311">
        <v>33.5</v>
      </c>
      <c r="D56" s="1587">
        <v>34.83</v>
      </c>
      <c r="E56" s="311">
        <v>33.8891445</v>
      </c>
      <c r="F56" s="1347">
        <v>46.860044500000001</v>
      </c>
      <c r="G56" s="375">
        <v>22.312750000000001</v>
      </c>
      <c r="H56" s="166">
        <v>34.348934999999997</v>
      </c>
    </row>
    <row r="57" spans="1:8">
      <c r="A57" s="49">
        <v>2001.12</v>
      </c>
      <c r="B57" s="1591">
        <v>35.42</v>
      </c>
      <c r="C57" s="311">
        <v>32.79</v>
      </c>
      <c r="D57" s="1587">
        <v>28.42</v>
      </c>
      <c r="E57" s="311">
        <v>31.053744000000002</v>
      </c>
      <c r="F57" s="1347">
        <v>45.651896499999999</v>
      </c>
      <c r="G57" s="375">
        <v>16.860350499999999</v>
      </c>
      <c r="H57" s="166">
        <v>31.185400000000001</v>
      </c>
    </row>
    <row r="58" spans="1:8">
      <c r="A58" s="49">
        <v>2002.01</v>
      </c>
      <c r="B58" s="1591">
        <v>35.35</v>
      </c>
      <c r="C58" s="311">
        <v>30.25</v>
      </c>
      <c r="D58" s="1587">
        <v>36.880000000000003</v>
      </c>
      <c r="E58" s="311">
        <v>35.252658499999995</v>
      </c>
      <c r="F58" s="1347">
        <v>59.595735499999996</v>
      </c>
      <c r="G58" s="375">
        <v>7.7411130000000004</v>
      </c>
      <c r="H58" s="166">
        <v>34.190856000000004</v>
      </c>
    </row>
    <row r="59" spans="1:8">
      <c r="A59" s="49">
        <v>2002.02</v>
      </c>
      <c r="B59" s="1591">
        <v>31.98</v>
      </c>
      <c r="C59" s="311">
        <v>31.67</v>
      </c>
      <c r="D59" s="1587">
        <v>29.75</v>
      </c>
      <c r="E59" s="311">
        <v>32.221415999999998</v>
      </c>
      <c r="F59" s="1347">
        <v>51.50908849999999</v>
      </c>
      <c r="G59" s="375">
        <v>8.7410014999999994</v>
      </c>
      <c r="H59" s="166">
        <v>30.822414999999999</v>
      </c>
    </row>
    <row r="60" spans="1:8">
      <c r="A60" s="49">
        <v>2002.03</v>
      </c>
      <c r="B60" s="1591">
        <v>31.94</v>
      </c>
      <c r="C60" s="311">
        <v>33.04</v>
      </c>
      <c r="D60" s="1587">
        <v>32.840000000000003</v>
      </c>
      <c r="E60" s="311">
        <v>30.639785500000002</v>
      </c>
      <c r="F60" s="1347">
        <v>51.944948999999994</v>
      </c>
      <c r="G60" s="375">
        <v>15.710801499999999</v>
      </c>
      <c r="H60" s="166">
        <v>32.760095999999997</v>
      </c>
    </row>
    <row r="61" spans="1:8">
      <c r="A61" s="49">
        <v>2002.04</v>
      </c>
      <c r="B61" s="1591">
        <v>33.44</v>
      </c>
      <c r="C61" s="311">
        <v>28.54</v>
      </c>
      <c r="D61" s="1587">
        <v>30.17</v>
      </c>
      <c r="E61" s="311">
        <v>30.331785499999995</v>
      </c>
      <c r="F61" s="1347">
        <v>47.841191500000001</v>
      </c>
      <c r="G61" s="375">
        <v>12.178508999999998</v>
      </c>
      <c r="H61" s="166">
        <v>30.114207</v>
      </c>
    </row>
    <row r="62" spans="1:8">
      <c r="A62" s="49">
        <v>2002.05</v>
      </c>
      <c r="B62" s="1591">
        <v>31.29</v>
      </c>
      <c r="C62" s="311">
        <v>29.96</v>
      </c>
      <c r="D62" s="1587">
        <v>28.17</v>
      </c>
      <c r="E62" s="311">
        <v>28.473112999999998</v>
      </c>
      <c r="F62" s="1347">
        <v>48.383978499999998</v>
      </c>
      <c r="G62" s="375">
        <v>11.176196000000001</v>
      </c>
      <c r="H62" s="166">
        <v>29.343189000000002</v>
      </c>
    </row>
    <row r="63" spans="1:8">
      <c r="A63" s="49">
        <v>2002.06</v>
      </c>
      <c r="B63" s="1591">
        <v>29.97</v>
      </c>
      <c r="C63" s="311">
        <v>28.15</v>
      </c>
      <c r="D63" s="1587">
        <v>34.9</v>
      </c>
      <c r="E63" s="311">
        <v>28.309158</v>
      </c>
      <c r="F63" s="1347">
        <v>52.891563500000004</v>
      </c>
      <c r="G63" s="375">
        <v>13.614136</v>
      </c>
      <c r="H63" s="166">
        <v>31.600621999999998</v>
      </c>
    </row>
    <row r="64" spans="1:8">
      <c r="A64" s="49">
        <v>2002.07</v>
      </c>
      <c r="B64" s="1591">
        <v>32.83</v>
      </c>
      <c r="C64" s="311">
        <v>32.130000000000003</v>
      </c>
      <c r="D64" s="1587">
        <v>31.08</v>
      </c>
      <c r="E64" s="311">
        <v>31.322043499999999</v>
      </c>
      <c r="F64" s="1347">
        <v>54.566322499999998</v>
      </c>
      <c r="G64" s="375">
        <v>9.3839314999999992</v>
      </c>
      <c r="H64" s="166">
        <v>31.753371999999999</v>
      </c>
    </row>
    <row r="65" spans="1:8">
      <c r="A65" s="49">
        <v>2002.08</v>
      </c>
      <c r="B65" s="1591">
        <v>33.75</v>
      </c>
      <c r="C65" s="311">
        <v>34</v>
      </c>
      <c r="D65" s="1587">
        <v>31.78</v>
      </c>
      <c r="E65" s="311">
        <v>32.140473</v>
      </c>
      <c r="F65" s="1347">
        <v>54.614059999999995</v>
      </c>
      <c r="G65" s="375">
        <v>12.002552999999999</v>
      </c>
      <c r="H65" s="166">
        <v>32.92</v>
      </c>
    </row>
    <row r="66" spans="1:8">
      <c r="A66" s="49">
        <v>2002.09</v>
      </c>
      <c r="B66" s="1591">
        <v>31.08</v>
      </c>
      <c r="C66" s="311">
        <v>31.08</v>
      </c>
      <c r="D66" s="1587">
        <v>25.42</v>
      </c>
      <c r="E66" s="311">
        <v>29.416325000000001</v>
      </c>
      <c r="F66" s="1347">
        <v>45.556205500000004</v>
      </c>
      <c r="G66" s="375">
        <v>10.342735999999999</v>
      </c>
      <c r="H66" s="166">
        <v>28.438477999999996</v>
      </c>
    </row>
    <row r="67" spans="1:8">
      <c r="A67" s="49">
        <v>2002.1</v>
      </c>
      <c r="B67" s="1591">
        <v>38.04</v>
      </c>
      <c r="C67" s="311">
        <v>35.33</v>
      </c>
      <c r="D67" s="1587">
        <v>36.75</v>
      </c>
      <c r="E67" s="311">
        <v>36.894170500000001</v>
      </c>
      <c r="F67" s="1347">
        <v>57.586681499999997</v>
      </c>
      <c r="G67" s="375">
        <v>14.857060499999999</v>
      </c>
      <c r="H67" s="166">
        <v>36.444470999999993</v>
      </c>
    </row>
    <row r="68" spans="1:8">
      <c r="A68" s="49">
        <v>2002.11</v>
      </c>
      <c r="B68" s="1591">
        <v>40.19</v>
      </c>
      <c r="C68" s="311">
        <v>38.83</v>
      </c>
      <c r="D68" s="1587">
        <v>39.08</v>
      </c>
      <c r="E68" s="311">
        <v>38.939880500000001</v>
      </c>
      <c r="F68" s="1347">
        <v>59.223914000000001</v>
      </c>
      <c r="G68" s="375">
        <v>19.3672</v>
      </c>
      <c r="H68" s="166">
        <v>39.173386999999998</v>
      </c>
    </row>
    <row r="69" spans="1:8">
      <c r="A69" s="49">
        <v>2002.12</v>
      </c>
      <c r="B69" s="1591">
        <v>40.28</v>
      </c>
      <c r="C69" s="311">
        <v>37.58</v>
      </c>
      <c r="D69" s="1587">
        <v>35.5</v>
      </c>
      <c r="E69" s="311">
        <v>38.246723500000002</v>
      </c>
      <c r="F69" s="1347">
        <v>58.958287499999997</v>
      </c>
      <c r="G69" s="375">
        <v>13.9775505</v>
      </c>
      <c r="H69" s="166">
        <v>37.059353999999999</v>
      </c>
    </row>
    <row r="70" spans="1:8">
      <c r="A70" s="49">
        <v>2003.01</v>
      </c>
      <c r="B70" s="1591">
        <v>43.44</v>
      </c>
      <c r="C70" s="311">
        <v>40.630000000000003</v>
      </c>
      <c r="D70" s="1587">
        <v>41.44</v>
      </c>
      <c r="E70" s="311">
        <v>42.723819450000001</v>
      </c>
      <c r="F70" s="1347">
        <v>65.804772249999999</v>
      </c>
      <c r="G70" s="375">
        <v>16.00288935</v>
      </c>
      <c r="H70" s="166">
        <v>41.509624700000003</v>
      </c>
    </row>
    <row r="71" spans="1:8">
      <c r="A71" s="49">
        <v>2003.02</v>
      </c>
      <c r="B71" s="1591">
        <v>44.97</v>
      </c>
      <c r="C71" s="311">
        <v>39.17</v>
      </c>
      <c r="D71" s="1587">
        <v>38.06</v>
      </c>
      <c r="E71" s="311">
        <v>41.229680500000001</v>
      </c>
      <c r="F71" s="1347">
        <v>59.76996235</v>
      </c>
      <c r="G71" s="375">
        <v>17.49337615</v>
      </c>
      <c r="H71" s="166">
        <v>39.501099400000001</v>
      </c>
    </row>
    <row r="72" spans="1:8">
      <c r="A72" s="49">
        <v>2003.03</v>
      </c>
      <c r="B72" s="1591">
        <v>40.39</v>
      </c>
      <c r="C72" s="311">
        <v>38.76</v>
      </c>
      <c r="D72" s="1587">
        <v>37.53</v>
      </c>
      <c r="E72" s="311">
        <v>41.883952749999999</v>
      </c>
      <c r="F72" s="1347">
        <v>59.077631949999997</v>
      </c>
      <c r="G72" s="375">
        <v>14.128527699999999</v>
      </c>
      <c r="H72" s="166">
        <v>38.362725999999995</v>
      </c>
    </row>
    <row r="73" spans="1:8">
      <c r="A73" s="49">
        <v>2003.04</v>
      </c>
      <c r="B73" s="1591">
        <v>43.44</v>
      </c>
      <c r="C73" s="311">
        <v>38.56</v>
      </c>
      <c r="D73" s="1587">
        <v>40.04</v>
      </c>
      <c r="E73" s="311">
        <v>43.236505699999995</v>
      </c>
      <c r="F73" s="1347">
        <v>60.723112</v>
      </c>
      <c r="G73" s="375">
        <v>16.433085849999998</v>
      </c>
      <c r="H73" s="166">
        <v>40.127056400000001</v>
      </c>
    </row>
    <row r="74" spans="1:8">
      <c r="A74" s="49">
        <v>2003.05</v>
      </c>
      <c r="B74" s="1591">
        <v>47.18</v>
      </c>
      <c r="C74" s="311">
        <v>43.63</v>
      </c>
      <c r="D74" s="1587">
        <v>44.23</v>
      </c>
      <c r="E74" s="311">
        <v>47.49601895</v>
      </c>
      <c r="F74" s="1347">
        <v>69.686507599999999</v>
      </c>
      <c r="G74" s="375">
        <v>16.3651105</v>
      </c>
      <c r="H74" s="166">
        <v>44.515388199999997</v>
      </c>
    </row>
    <row r="75" spans="1:8">
      <c r="A75" s="49">
        <v>2003.06</v>
      </c>
      <c r="B75" s="1591">
        <v>54.67</v>
      </c>
      <c r="C75" s="311">
        <v>55.14</v>
      </c>
      <c r="D75" s="1587">
        <v>53.93</v>
      </c>
      <c r="E75" s="311">
        <v>60.092467499999998</v>
      </c>
      <c r="F75" s="1347">
        <v>84.336864699999992</v>
      </c>
      <c r="G75" s="375">
        <v>18.831211499999998</v>
      </c>
      <c r="H75" s="166">
        <v>54.418687000000006</v>
      </c>
    </row>
    <row r="76" spans="1:8">
      <c r="A76" s="49">
        <v>2003.07</v>
      </c>
      <c r="B76" s="1591">
        <v>57.42</v>
      </c>
      <c r="C76" s="311">
        <v>53.65</v>
      </c>
      <c r="D76" s="1587">
        <v>52.93</v>
      </c>
      <c r="E76" s="311">
        <v>58.218806499999999</v>
      </c>
      <c r="F76" s="1347">
        <v>82.367881250000011</v>
      </c>
      <c r="G76" s="375">
        <v>20.939465800000001</v>
      </c>
      <c r="H76" s="166">
        <v>53.865733399999996</v>
      </c>
    </row>
    <row r="77" spans="1:8">
      <c r="A77" s="49">
        <v>2003.08</v>
      </c>
      <c r="B77" s="1591">
        <v>52.33</v>
      </c>
      <c r="C77" s="311">
        <v>55.04</v>
      </c>
      <c r="D77" s="1587">
        <v>55.4</v>
      </c>
      <c r="E77" s="311">
        <v>59.092885850000002</v>
      </c>
      <c r="F77" s="1347">
        <v>79.967676350000005</v>
      </c>
      <c r="G77" s="375">
        <v>25.339548100000002</v>
      </c>
      <c r="H77" s="166">
        <v>54.799883899999998</v>
      </c>
    </row>
    <row r="78" spans="1:8">
      <c r="A78" s="49">
        <v>2003.09</v>
      </c>
      <c r="B78" s="1591">
        <v>52.96</v>
      </c>
      <c r="C78" s="311">
        <v>49.92</v>
      </c>
      <c r="D78" s="1587">
        <v>49.78</v>
      </c>
      <c r="E78" s="311">
        <v>54.777334199999999</v>
      </c>
      <c r="F78" s="1347">
        <v>72.473680299999998</v>
      </c>
      <c r="G78" s="375">
        <v>23.7277965</v>
      </c>
      <c r="H78" s="166">
        <v>50.329072600000003</v>
      </c>
    </row>
    <row r="79" spans="1:8">
      <c r="A79" s="49">
        <v>2003.1</v>
      </c>
      <c r="B79" s="1591">
        <v>50.97</v>
      </c>
      <c r="C79" s="311">
        <v>49.75</v>
      </c>
      <c r="D79" s="1587">
        <v>50.55</v>
      </c>
      <c r="E79" s="311">
        <v>55.495555799999998</v>
      </c>
      <c r="F79" s="1347">
        <v>71.68063085</v>
      </c>
      <c r="G79" s="375">
        <v>23.94342245</v>
      </c>
      <c r="H79" s="166">
        <v>50.370892699999999</v>
      </c>
    </row>
    <row r="80" spans="1:8">
      <c r="A80" s="49">
        <v>2003.11</v>
      </c>
      <c r="B80" s="1591">
        <v>49.72</v>
      </c>
      <c r="C80" s="311">
        <v>52.22</v>
      </c>
      <c r="D80" s="1587">
        <v>47.53</v>
      </c>
      <c r="E80" s="311">
        <v>54.318210800000003</v>
      </c>
      <c r="F80" s="1347">
        <v>69.076778149999996</v>
      </c>
      <c r="G80" s="375">
        <v>24.55138045</v>
      </c>
      <c r="H80" s="166">
        <v>49.317727699999999</v>
      </c>
    </row>
    <row r="81" spans="1:8">
      <c r="A81" s="49">
        <v>2003.12</v>
      </c>
      <c r="B81" s="1591">
        <v>49.41</v>
      </c>
      <c r="C81" s="311">
        <v>50.08</v>
      </c>
      <c r="D81" s="1587">
        <v>50.47</v>
      </c>
      <c r="E81" s="311">
        <v>55.8964736</v>
      </c>
      <c r="F81" s="1347">
        <v>68.049567749999994</v>
      </c>
      <c r="G81" s="375">
        <v>26.604108400000001</v>
      </c>
      <c r="H81" s="166">
        <v>50.180939600000002</v>
      </c>
    </row>
    <row r="82" spans="1:8">
      <c r="A82" s="49">
        <v>2004.01</v>
      </c>
      <c r="B82" s="1591">
        <v>55.980725623582764</v>
      </c>
      <c r="C82" s="311">
        <v>55.458333333333336</v>
      </c>
      <c r="D82" s="1587">
        <v>59.55555555555555</v>
      </c>
      <c r="E82" s="311">
        <v>61.494320199999997</v>
      </c>
      <c r="F82" s="1347">
        <v>77.4760615</v>
      </c>
      <c r="G82" s="375">
        <v>34.188799150000001</v>
      </c>
      <c r="H82" s="166">
        <v>57.728057315759635</v>
      </c>
    </row>
    <row r="83" spans="1:8">
      <c r="A83" s="49">
        <v>2004.02</v>
      </c>
      <c r="B83" s="1591">
        <v>59.961368653421637</v>
      </c>
      <c r="C83" s="311">
        <v>59.916666666666664</v>
      </c>
      <c r="D83" s="1587">
        <v>59.75</v>
      </c>
      <c r="E83" s="311">
        <v>65.233628049999993</v>
      </c>
      <c r="F83" s="1347">
        <v>78.926348600000011</v>
      </c>
      <c r="G83" s="375">
        <v>35.34204115</v>
      </c>
      <c r="H83" s="166">
        <v>59.834223973509928</v>
      </c>
    </row>
    <row r="84" spans="1:8">
      <c r="A84" s="49">
        <v>2004.03</v>
      </c>
      <c r="B84" s="1591">
        <v>57.004429678848282</v>
      </c>
      <c r="C84" s="311">
        <v>57.5</v>
      </c>
      <c r="D84" s="1587">
        <v>56.194444444444436</v>
      </c>
      <c r="E84" s="311">
        <v>61.275726849999998</v>
      </c>
      <c r="F84" s="1347">
        <v>74.395110549999998</v>
      </c>
      <c r="G84" s="375">
        <v>34.498405449999993</v>
      </c>
      <c r="H84" s="166">
        <v>56.723583192137312</v>
      </c>
    </row>
    <row r="85" spans="1:8">
      <c r="A85" s="49">
        <v>2004.04</v>
      </c>
      <c r="B85" s="1591">
        <v>51.361111111111107</v>
      </c>
      <c r="C85" s="311">
        <v>49.791666666666664</v>
      </c>
      <c r="D85" s="1587">
        <v>49.638888888888886</v>
      </c>
      <c r="E85" s="311">
        <v>55.973577500000005</v>
      </c>
      <c r="F85" s="1347">
        <v>64.998517050000004</v>
      </c>
      <c r="G85" s="375">
        <v>28.9080908</v>
      </c>
      <c r="H85" s="166">
        <v>49.95964569444444</v>
      </c>
    </row>
    <row r="86" spans="1:8">
      <c r="A86" s="49">
        <v>2004.05</v>
      </c>
      <c r="B86" s="1591">
        <v>49.472222222222221</v>
      </c>
      <c r="C86" s="311">
        <v>51.875</v>
      </c>
      <c r="D86" s="1587">
        <v>51</v>
      </c>
      <c r="E86" s="311">
        <v>56.378496349999999</v>
      </c>
      <c r="F86" s="1347">
        <v>63.769150349999997</v>
      </c>
      <c r="G86" s="375">
        <v>32.926769750000005</v>
      </c>
      <c r="H86" s="166">
        <v>51.024628472222219</v>
      </c>
    </row>
    <row r="87" spans="1:8">
      <c r="A87" s="49">
        <v>2004.06</v>
      </c>
      <c r="B87" s="1591">
        <v>51.805555555555564</v>
      </c>
      <c r="C87" s="311">
        <v>48.583333333333336</v>
      </c>
      <c r="D87" s="1587">
        <v>51.817673378076059</v>
      </c>
      <c r="E87" s="311">
        <v>56.715683650000003</v>
      </c>
      <c r="F87" s="1347">
        <v>63.035299600000002</v>
      </c>
      <c r="G87" s="375">
        <v>32.717722350000003</v>
      </c>
      <c r="H87" s="166">
        <v>50.822638094705439</v>
      </c>
    </row>
    <row r="88" spans="1:8">
      <c r="A88" s="49">
        <v>2004.07</v>
      </c>
      <c r="B88" s="1591">
        <v>48.861111111111114</v>
      </c>
      <c r="C88" s="311">
        <v>51.208333333333336</v>
      </c>
      <c r="D88" s="1587">
        <v>47.94444444444445</v>
      </c>
      <c r="E88" s="311">
        <v>55.462675349999998</v>
      </c>
      <c r="F88" s="1347">
        <v>60.222795550000001</v>
      </c>
      <c r="G88" s="375">
        <v>31.59064635</v>
      </c>
      <c r="H88" s="166">
        <v>49.091654027777778</v>
      </c>
    </row>
    <row r="89" spans="1:8">
      <c r="A89" s="49">
        <v>2004.08</v>
      </c>
      <c r="B89" s="1591">
        <v>45.182724252491688</v>
      </c>
      <c r="C89" s="311">
        <v>48.051409618573793</v>
      </c>
      <c r="D89" s="1587">
        <v>46.333333333333336</v>
      </c>
      <c r="E89" s="311">
        <v>53.097256350000002</v>
      </c>
      <c r="F89" s="1347">
        <v>56.904495900000001</v>
      </c>
      <c r="G89" s="375">
        <v>30.030390700000002</v>
      </c>
      <c r="H89" s="166">
        <v>46.676826898508565</v>
      </c>
    </row>
    <row r="90" spans="1:8">
      <c r="A90" s="49">
        <v>2004.09</v>
      </c>
      <c r="B90" s="1591">
        <v>47.333333333333336</v>
      </c>
      <c r="C90" s="311">
        <v>47.5</v>
      </c>
      <c r="D90" s="1587">
        <v>47.25</v>
      </c>
      <c r="E90" s="311">
        <v>54.304752649999998</v>
      </c>
      <c r="F90" s="1347">
        <v>55.703461699999998</v>
      </c>
      <c r="G90" s="375">
        <v>32.009566599999999</v>
      </c>
      <c r="H90" s="166">
        <v>47.339525833333333</v>
      </c>
    </row>
    <row r="91" spans="1:8">
      <c r="A91" s="49">
        <v>2004.1</v>
      </c>
      <c r="B91" s="1591">
        <v>47.361111111111107</v>
      </c>
      <c r="C91" s="311">
        <v>52.416666666666664</v>
      </c>
      <c r="D91" s="1587">
        <v>48.361111111111114</v>
      </c>
      <c r="E91" s="311">
        <v>54.450485833333332</v>
      </c>
      <c r="F91" s="1347">
        <v>60.92919333333333</v>
      </c>
      <c r="G91" s="375">
        <v>32.958101666666664</v>
      </c>
      <c r="H91" s="166">
        <v>49.445926944444444</v>
      </c>
    </row>
    <row r="92" spans="1:8">
      <c r="A92" s="49">
        <v>2004.11</v>
      </c>
      <c r="B92" s="1591">
        <v>51.21816168327797</v>
      </c>
      <c r="C92" s="311">
        <v>55.916666666666664</v>
      </c>
      <c r="D92" s="1587">
        <v>53.972222222222229</v>
      </c>
      <c r="E92" s="311">
        <v>60.551036885382061</v>
      </c>
      <c r="F92" s="1347">
        <v>66.307714431063118</v>
      </c>
      <c r="G92" s="375">
        <v>35.53023969684385</v>
      </c>
      <c r="H92" s="166">
        <v>54.129663671096353</v>
      </c>
    </row>
    <row r="93" spans="1:8">
      <c r="A93" s="49">
        <v>2004.12</v>
      </c>
      <c r="B93" s="1591">
        <v>51.402373247033438</v>
      </c>
      <c r="C93" s="311">
        <v>51.25</v>
      </c>
      <c r="D93" s="1587">
        <v>52.657807308970099</v>
      </c>
      <c r="E93" s="311">
        <v>58.302214850968724</v>
      </c>
      <c r="F93" s="1347">
        <v>62.756613664994788</v>
      </c>
      <c r="G93" s="375">
        <v>35.016878120356637</v>
      </c>
      <c r="H93" s="166">
        <v>52.025235545440047</v>
      </c>
    </row>
    <row r="94" spans="1:8">
      <c r="A94" s="49">
        <v>2005.01</v>
      </c>
      <c r="B94" s="1591">
        <v>54.083333333333336</v>
      </c>
      <c r="C94" s="311">
        <v>58.291666666666664</v>
      </c>
      <c r="D94" s="1587">
        <v>56.777777777777771</v>
      </c>
      <c r="E94" s="311">
        <v>62.935393333333337</v>
      </c>
      <c r="F94" s="1347">
        <v>66.922422499999996</v>
      </c>
      <c r="G94" s="375">
        <v>40.579850416666673</v>
      </c>
      <c r="H94" s="166">
        <v>56.812555416666662</v>
      </c>
    </row>
    <row r="95" spans="1:8">
      <c r="A95" s="49">
        <v>2005.02</v>
      </c>
      <c r="B95" s="1591">
        <v>54.966887417218544</v>
      </c>
      <c r="C95" s="311">
        <v>56.541666666666664</v>
      </c>
      <c r="D95" s="1587">
        <v>55.944444444444436</v>
      </c>
      <c r="E95" s="311">
        <v>62.660918882450332</v>
      </c>
      <c r="F95" s="1347">
        <v>64.081867094370864</v>
      </c>
      <c r="G95" s="375">
        <v>41.171509776490069</v>
      </c>
      <c r="H95" s="166">
        <v>55.971431917770417</v>
      </c>
    </row>
    <row r="96" spans="1:8">
      <c r="A96" s="49">
        <v>2005.03</v>
      </c>
      <c r="B96" s="1591">
        <v>59.750000000000007</v>
      </c>
      <c r="C96" s="311">
        <v>59.625</v>
      </c>
      <c r="D96" s="1587">
        <v>57.308970099667782</v>
      </c>
      <c r="E96" s="311">
        <v>61.8120495251938</v>
      </c>
      <c r="F96" s="1347">
        <v>70.389216967054267</v>
      </c>
      <c r="G96" s="375">
        <v>43.022865206256924</v>
      </c>
      <c r="H96" s="166">
        <v>58.408043899501664</v>
      </c>
    </row>
    <row r="97" spans="1:8">
      <c r="A97" s="49">
        <v>2005.04</v>
      </c>
      <c r="B97" s="1591">
        <v>50.166666666666664</v>
      </c>
      <c r="C97" s="311">
        <v>51.125</v>
      </c>
      <c r="D97" s="1587">
        <v>53.55555555555555</v>
      </c>
      <c r="E97" s="311">
        <v>56.424012083333331</v>
      </c>
      <c r="F97" s="1347">
        <v>62.558955416666663</v>
      </c>
      <c r="G97" s="375">
        <v>37.824701250000004</v>
      </c>
      <c r="H97" s="166">
        <v>52.269222916666664</v>
      </c>
    </row>
    <row r="98" spans="1:8">
      <c r="A98" s="49">
        <v>2005.05</v>
      </c>
      <c r="B98" s="1591">
        <v>50.722222222222221</v>
      </c>
      <c r="C98" s="311">
        <v>55</v>
      </c>
      <c r="D98" s="1587">
        <v>49.555555555555564</v>
      </c>
      <c r="E98" s="311">
        <v>57.890183750000006</v>
      </c>
      <c r="F98" s="1347">
        <v>58.596549583333335</v>
      </c>
      <c r="G98" s="375">
        <v>37.748568333333338</v>
      </c>
      <c r="H98" s="166">
        <v>51.411767222222224</v>
      </c>
    </row>
    <row r="99" spans="1:8">
      <c r="A99" s="49">
        <v>2005.06</v>
      </c>
      <c r="B99" s="1591">
        <v>52.555555555555564</v>
      </c>
      <c r="C99" s="311">
        <v>49.75</v>
      </c>
      <c r="D99" s="1587">
        <v>50.55555555555555</v>
      </c>
      <c r="E99" s="311">
        <v>57.661146666666667</v>
      </c>
      <c r="F99" s="1347">
        <v>59.593034166666662</v>
      </c>
      <c r="G99" s="375">
        <v>34.625178333333338</v>
      </c>
      <c r="H99" s="166">
        <v>50.626453055555551</v>
      </c>
    </row>
    <row r="100" spans="1:8">
      <c r="A100" s="49">
        <v>2005.07</v>
      </c>
      <c r="B100" s="1591">
        <v>51.273532668881501</v>
      </c>
      <c r="C100" s="311">
        <v>49.793729372937293</v>
      </c>
      <c r="D100" s="1587">
        <v>50.694444444444436</v>
      </c>
      <c r="E100" s="311">
        <v>55.807611541067729</v>
      </c>
      <c r="F100" s="1347">
        <v>56.584111304480118</v>
      </c>
      <c r="G100" s="375">
        <v>39.137591944672877</v>
      </c>
      <c r="H100" s="166">
        <v>50.509771596740237</v>
      </c>
    </row>
    <row r="101" spans="1:8">
      <c r="A101" s="49">
        <v>2005.08</v>
      </c>
      <c r="B101" s="1591">
        <v>48.166666666666664</v>
      </c>
      <c r="C101" s="311">
        <v>54.25</v>
      </c>
      <c r="D101" s="1587">
        <v>51.965669988925804</v>
      </c>
      <c r="E101" s="311">
        <v>59.104499649778518</v>
      </c>
      <c r="F101" s="1347">
        <v>55.896743644795123</v>
      </c>
      <c r="G101" s="375">
        <v>41.181664155592472</v>
      </c>
      <c r="H101" s="166">
        <v>52.060969150055371</v>
      </c>
    </row>
    <row r="102" spans="1:8">
      <c r="A102" s="49">
        <v>2005.09</v>
      </c>
      <c r="B102" s="1591">
        <v>46.888888888888893</v>
      </c>
      <c r="C102" s="311">
        <v>51.291666666666664</v>
      </c>
      <c r="D102" s="1587">
        <v>50.05555555555555</v>
      </c>
      <c r="E102" s="311">
        <v>56.3078675</v>
      </c>
      <c r="F102" s="1347">
        <v>55.242461249999991</v>
      </c>
      <c r="G102" s="375">
        <v>38.239441666666664</v>
      </c>
      <c r="H102" s="166">
        <v>49.929923472222214</v>
      </c>
    </row>
    <row r="103" spans="1:8">
      <c r="A103" s="49">
        <v>2005.1</v>
      </c>
      <c r="B103" s="1591">
        <v>49.361111111111107</v>
      </c>
      <c r="C103" s="311">
        <v>49.041666666666664</v>
      </c>
      <c r="D103" s="1587">
        <v>50.972222222222221</v>
      </c>
      <c r="E103" s="311">
        <v>56.786584583333337</v>
      </c>
      <c r="F103" s="1347">
        <v>56.887112083333328</v>
      </c>
      <c r="G103" s="375">
        <v>36.694037916666666</v>
      </c>
      <c r="H103" s="166">
        <v>50.122578194444444</v>
      </c>
    </row>
    <row r="104" spans="1:8">
      <c r="A104" s="49">
        <v>2005.11</v>
      </c>
      <c r="B104" s="1591">
        <v>52.666666666666664</v>
      </c>
      <c r="C104" s="311">
        <v>53.791666666666664</v>
      </c>
      <c r="D104" s="1587">
        <v>53.333333333333336</v>
      </c>
      <c r="E104" s="311">
        <v>58.768545000000003</v>
      </c>
      <c r="F104" s="1347">
        <v>60.114917500000004</v>
      </c>
      <c r="G104" s="375">
        <v>41.21829125</v>
      </c>
      <c r="H104" s="166">
        <v>53.367251250000002</v>
      </c>
    </row>
    <row r="105" spans="1:8">
      <c r="A105" s="49">
        <v>2005.12</v>
      </c>
      <c r="B105" s="1591">
        <v>50.083333333333336</v>
      </c>
      <c r="C105" s="311">
        <v>53</v>
      </c>
      <c r="D105" s="1587">
        <v>50.138888888888886</v>
      </c>
      <c r="E105" s="311">
        <v>58.149746666666665</v>
      </c>
      <c r="F105" s="1347">
        <v>56.173473749999999</v>
      </c>
      <c r="G105" s="375">
        <v>38.69952958333333</v>
      </c>
      <c r="H105" s="166">
        <v>51.007583333333329</v>
      </c>
    </row>
    <row r="106" spans="1:8">
      <c r="A106" s="49">
        <v>2006.01</v>
      </c>
      <c r="B106" s="1591">
        <v>58.416666666666664</v>
      </c>
      <c r="C106" s="311">
        <v>57.013201320132019</v>
      </c>
      <c r="D106" s="1587">
        <v>56.69444444444445</v>
      </c>
      <c r="E106" s="311">
        <v>62.391737731023106</v>
      </c>
      <c r="F106" s="1347">
        <v>63.874135420792072</v>
      </c>
      <c r="G106" s="375">
        <v>44.93233090759076</v>
      </c>
      <c r="H106" s="166">
        <v>57.066068019801989</v>
      </c>
    </row>
    <row r="107" spans="1:8">
      <c r="A107" s="49">
        <v>2006.02</v>
      </c>
      <c r="B107" s="1591">
        <v>53.44444444444445</v>
      </c>
      <c r="C107" s="311">
        <v>55.833333333333336</v>
      </c>
      <c r="D107" s="1587">
        <v>57.277777777777771</v>
      </c>
      <c r="E107" s="311">
        <v>61.516106666666666</v>
      </c>
      <c r="F107" s="1347">
        <v>63.041796666666663</v>
      </c>
      <c r="G107" s="375">
        <v>44.111789999999999</v>
      </c>
      <c r="H107" s="166">
        <v>56.223231111111112</v>
      </c>
    </row>
    <row r="108" spans="1:8">
      <c r="A108" s="49">
        <v>2006.03</v>
      </c>
      <c r="B108" s="1591">
        <v>54.944444444444436</v>
      </c>
      <c r="C108" s="311">
        <v>59.083333333333336</v>
      </c>
      <c r="D108" s="1587">
        <v>61.777777777777779</v>
      </c>
      <c r="E108" s="311">
        <v>64.511775833333331</v>
      </c>
      <c r="F108" s="1347">
        <v>67.655024999999995</v>
      </c>
      <c r="G108" s="375">
        <v>47.418130000000005</v>
      </c>
      <c r="H108" s="166">
        <v>59.861643611111113</v>
      </c>
    </row>
    <row r="109" spans="1:8">
      <c r="A109" s="49">
        <v>2006.04</v>
      </c>
      <c r="B109" s="1591">
        <v>53.062913907284774</v>
      </c>
      <c r="C109" s="311">
        <v>55.583333333333336</v>
      </c>
      <c r="D109" s="1587">
        <v>53.416666666666664</v>
      </c>
      <c r="E109" s="311">
        <v>59.456074379139068</v>
      </c>
      <c r="F109" s="1347">
        <v>61.459634304635763</v>
      </c>
      <c r="G109" s="375">
        <v>41.158404759933774</v>
      </c>
      <c r="H109" s="166">
        <v>54.024704481236199</v>
      </c>
    </row>
    <row r="110" spans="1:8">
      <c r="A110" s="49">
        <v>2006.05</v>
      </c>
      <c r="B110" s="1591">
        <v>52.740863787375417</v>
      </c>
      <c r="C110" s="311">
        <v>56.416666666666664</v>
      </c>
      <c r="D110" s="1587">
        <v>58.166666666666664</v>
      </c>
      <c r="E110" s="311">
        <v>61.808444680232554</v>
      </c>
      <c r="F110" s="1347">
        <v>61.01045460963455</v>
      </c>
      <c r="G110" s="375">
        <v>47.475029240033223</v>
      </c>
      <c r="H110" s="166">
        <v>56.764642843300109</v>
      </c>
    </row>
    <row r="111" spans="1:8">
      <c r="A111" s="49">
        <v>2006.06</v>
      </c>
      <c r="B111" s="1591">
        <v>56.533776301218161</v>
      </c>
      <c r="C111" s="311">
        <v>58.833333333333336</v>
      </c>
      <c r="D111" s="1587">
        <v>58.944444444444436</v>
      </c>
      <c r="E111" s="311">
        <v>62.164544036544839</v>
      </c>
      <c r="F111" s="1347">
        <v>65.169056719269093</v>
      </c>
      <c r="G111" s="375">
        <v>48.243536951827238</v>
      </c>
      <c r="H111" s="166">
        <v>58.525712569213724</v>
      </c>
    </row>
    <row r="112" spans="1:8">
      <c r="A112" s="49">
        <v>2006.07</v>
      </c>
      <c r="B112" s="1591">
        <v>56.333333333333336</v>
      </c>
      <c r="C112" s="311">
        <v>59.166666666666664</v>
      </c>
      <c r="D112" s="1587">
        <v>57.333333333333336</v>
      </c>
      <c r="E112" s="311">
        <v>63.275557499999991</v>
      </c>
      <c r="F112" s="1347">
        <v>61.376802500000004</v>
      </c>
      <c r="G112" s="375">
        <v>48.555885000000004</v>
      </c>
      <c r="H112" s="166">
        <v>57.736081666666671</v>
      </c>
    </row>
    <row r="113" spans="1:8">
      <c r="A113" s="49">
        <v>2006.08</v>
      </c>
      <c r="B113" s="1591">
        <v>55.14950166112957</v>
      </c>
      <c r="C113" s="311">
        <v>56.708333333333336</v>
      </c>
      <c r="D113" s="1587">
        <v>55.583333333333336</v>
      </c>
      <c r="E113" s="311">
        <v>63.127208222591356</v>
      </c>
      <c r="F113" s="1347">
        <v>59.465668612956812</v>
      </c>
      <c r="G113" s="375">
        <v>44.983868243355488</v>
      </c>
      <c r="H113" s="166">
        <v>55.858915026301219</v>
      </c>
    </row>
    <row r="114" spans="1:8">
      <c r="A114" s="49">
        <v>2006.09</v>
      </c>
      <c r="B114" s="1591">
        <v>55.132450331125824</v>
      </c>
      <c r="C114" s="311">
        <v>57.75</v>
      </c>
      <c r="D114" s="1587">
        <v>60.777777777777779</v>
      </c>
      <c r="E114" s="311">
        <v>65.073456332781461</v>
      </c>
      <c r="F114" s="1347">
        <v>62.625628965231797</v>
      </c>
      <c r="G114" s="375">
        <v>49.146769188741722</v>
      </c>
      <c r="H114" s="166">
        <v>58.948618162251648</v>
      </c>
    </row>
    <row r="115" spans="1:8">
      <c r="A115" s="49">
        <v>2006.1</v>
      </c>
      <c r="B115" s="1591">
        <v>53.972222222222221</v>
      </c>
      <c r="C115" s="311">
        <v>60.958333333333336</v>
      </c>
      <c r="D115" s="1587">
        <v>60.733995584988953</v>
      </c>
      <c r="E115" s="311">
        <v>65.255176956401769</v>
      </c>
      <c r="F115" s="1347">
        <v>62.595244155629132</v>
      </c>
      <c r="G115" s="375">
        <v>51.324630314569532</v>
      </c>
      <c r="H115" s="166">
        <v>59.725017142200144</v>
      </c>
    </row>
    <row r="116" spans="1:8">
      <c r="A116" s="49">
        <v>2006.11</v>
      </c>
      <c r="B116" s="1591">
        <v>54.515050167224082</v>
      </c>
      <c r="C116" s="311">
        <v>60.208333333333336</v>
      </c>
      <c r="D116" s="1587">
        <v>57</v>
      </c>
      <c r="E116" s="311">
        <v>62.838562240802673</v>
      </c>
      <c r="F116" s="1347">
        <v>59.85897818979933</v>
      </c>
      <c r="G116" s="375">
        <v>50.066933745819398</v>
      </c>
      <c r="H116" s="166">
        <v>57.588158058807139</v>
      </c>
    </row>
    <row r="117" spans="1:8">
      <c r="A117" s="49">
        <v>2006.12</v>
      </c>
      <c r="B117" s="1591">
        <v>56.284606866002228</v>
      </c>
      <c r="C117" s="311">
        <v>59.038142620232179</v>
      </c>
      <c r="D117" s="1587">
        <v>56.25</v>
      </c>
      <c r="E117" s="311">
        <v>63.049620580114379</v>
      </c>
      <c r="F117" s="1347">
        <v>59.481014367985651</v>
      </c>
      <c r="G117" s="375">
        <v>48.801176477537567</v>
      </c>
      <c r="H117" s="166">
        <v>57.110603808545875</v>
      </c>
    </row>
    <row r="118" spans="1:8">
      <c r="A118" s="49">
        <v>2007.01</v>
      </c>
      <c r="B118" s="1591">
        <v>58.388704318936874</v>
      </c>
      <c r="C118" s="311">
        <v>59.375</v>
      </c>
      <c r="D118" s="1587">
        <v>62.666666666666664</v>
      </c>
      <c r="E118" s="311">
        <v>67.703216046511628</v>
      </c>
      <c r="F118" s="1347">
        <v>63.008008741694354</v>
      </c>
      <c r="G118" s="375">
        <v>52.211789916943516</v>
      </c>
      <c r="H118" s="166">
        <v>60.974338235049835</v>
      </c>
    </row>
    <row r="119" spans="1:8">
      <c r="A119" s="49">
        <v>2007.02</v>
      </c>
      <c r="B119" s="1591">
        <v>56.5</v>
      </c>
      <c r="C119" s="311">
        <v>59.452736318407972</v>
      </c>
      <c r="D119" s="1587">
        <v>60.492801771871534</v>
      </c>
      <c r="E119" s="311">
        <v>65.539518709897351</v>
      </c>
      <c r="F119" s="1347">
        <v>60.341973698079372</v>
      </c>
      <c r="G119" s="375">
        <v>52.729261311713856</v>
      </c>
      <c r="H119" s="166">
        <v>59.536917906563531</v>
      </c>
    </row>
    <row r="120" spans="1:8">
      <c r="A120" s="49">
        <v>2007.03</v>
      </c>
      <c r="B120" s="1591">
        <v>56.166666666666664</v>
      </c>
      <c r="C120" s="311">
        <v>58.666666666666664</v>
      </c>
      <c r="D120" s="1587">
        <v>59.7452934662237</v>
      </c>
      <c r="E120" s="311">
        <v>64.814847650885937</v>
      </c>
      <c r="F120" s="1347">
        <v>60.791429696843849</v>
      </c>
      <c r="G120" s="375">
        <v>50.924418250276858</v>
      </c>
      <c r="H120" s="166">
        <v>58.843565199335544</v>
      </c>
    </row>
    <row r="121" spans="1:8">
      <c r="A121" s="49">
        <v>2007.04</v>
      </c>
      <c r="B121" s="1591">
        <v>52.277777777777779</v>
      </c>
      <c r="C121" s="311">
        <v>50.75</v>
      </c>
      <c r="D121" s="1587">
        <v>54.138888888888886</v>
      </c>
      <c r="E121" s="311">
        <v>60.135614166666663</v>
      </c>
      <c r="F121" s="1347">
        <v>52.080787916666665</v>
      </c>
      <c r="G121" s="375">
        <v>46.189111249999996</v>
      </c>
      <c r="H121" s="166">
        <v>52.801837777777777</v>
      </c>
    </row>
    <row r="122" spans="1:8">
      <c r="A122" s="49">
        <v>2007.05</v>
      </c>
      <c r="B122" s="1591">
        <v>50.305555555555564</v>
      </c>
      <c r="C122" s="311">
        <v>54.666666666666664</v>
      </c>
      <c r="D122" s="1587">
        <v>52.694444444444436</v>
      </c>
      <c r="E122" s="311">
        <v>58.614234166666662</v>
      </c>
      <c r="F122" s="1347">
        <v>52.763772500000002</v>
      </c>
      <c r="G122" s="375">
        <v>47.377789999999997</v>
      </c>
      <c r="H122" s="166">
        <v>52.91859888888888</v>
      </c>
    </row>
    <row r="123" spans="1:8">
      <c r="A123" s="49">
        <v>2007.06</v>
      </c>
      <c r="B123" s="1591">
        <v>52.062430323299886</v>
      </c>
      <c r="C123" s="311">
        <v>52.155887230514089</v>
      </c>
      <c r="D123" s="1587">
        <v>50.613154960981042</v>
      </c>
      <c r="E123" s="311">
        <v>58.134460332118664</v>
      </c>
      <c r="F123" s="1347">
        <v>50.15825593603887</v>
      </c>
      <c r="G123" s="375">
        <v>45.658229712640804</v>
      </c>
      <c r="H123" s="166">
        <v>51.316981993599441</v>
      </c>
    </row>
    <row r="124" spans="1:8">
      <c r="A124" s="49">
        <v>2007.07</v>
      </c>
      <c r="B124" s="1591">
        <v>47.937293729372932</v>
      </c>
      <c r="C124" s="311">
        <v>51.416666666666664</v>
      </c>
      <c r="D124" s="1587">
        <v>50.137513751375138</v>
      </c>
      <c r="E124" s="311">
        <v>56.509752582508256</v>
      </c>
      <c r="F124" s="1347">
        <v>49.862736382013196</v>
      </c>
      <c r="G124" s="375">
        <v>44.164674723597358</v>
      </c>
      <c r="H124" s="166">
        <v>50.17905456270627</v>
      </c>
    </row>
    <row r="125" spans="1:8">
      <c r="A125" s="49">
        <v>2007.08</v>
      </c>
      <c r="B125" s="1591">
        <v>46.166666666666664</v>
      </c>
      <c r="C125" s="311">
        <v>50.041666666666664</v>
      </c>
      <c r="D125" s="1587">
        <v>44.767441860465112</v>
      </c>
      <c r="E125" s="311">
        <v>54.488730301771874</v>
      </c>
      <c r="F125" s="1347">
        <v>45.865502924972319</v>
      </c>
      <c r="G125" s="375">
        <v>39.471301395348839</v>
      </c>
      <c r="H125" s="166">
        <v>46.60851154069767</v>
      </c>
    </row>
    <row r="126" spans="1:8">
      <c r="A126" s="49">
        <v>2007.09</v>
      </c>
      <c r="B126" s="1591">
        <v>46.906354515050168</v>
      </c>
      <c r="C126" s="311">
        <v>50.125</v>
      </c>
      <c r="D126" s="1587">
        <v>49.36323366555925</v>
      </c>
      <c r="E126" s="311">
        <v>56.888658360606783</v>
      </c>
      <c r="F126" s="1347">
        <v>47.941501694477161</v>
      </c>
      <c r="G126" s="375">
        <v>42.785179203310591</v>
      </c>
      <c r="H126" s="166">
        <v>49.205113086131519</v>
      </c>
    </row>
    <row r="127" spans="1:8">
      <c r="A127" s="49">
        <v>2007.1</v>
      </c>
      <c r="B127" s="1591">
        <v>47.361111111111107</v>
      </c>
      <c r="C127" s="311">
        <v>50</v>
      </c>
      <c r="D127" s="1587">
        <v>46.861111111111114</v>
      </c>
      <c r="E127" s="311">
        <v>55.78753833333333</v>
      </c>
      <c r="F127" s="1347">
        <v>45.18858208333333</v>
      </c>
      <c r="G127" s="375">
        <v>42.734652916666668</v>
      </c>
      <c r="H127" s="166">
        <v>47.903591111111112</v>
      </c>
    </row>
    <row r="128" spans="1:8">
      <c r="A128" s="49">
        <v>2007.11</v>
      </c>
      <c r="B128" s="1591">
        <v>48.055555555555564</v>
      </c>
      <c r="C128" s="311">
        <v>53.208333333333336</v>
      </c>
      <c r="D128" s="1587">
        <v>51.462472406181014</v>
      </c>
      <c r="E128" s="311">
        <v>58.16834804083885</v>
      </c>
      <c r="F128" s="1347">
        <v>52.964196103752762</v>
      </c>
      <c r="G128" s="375">
        <v>43.232423209161141</v>
      </c>
      <c r="H128" s="166">
        <v>51.454989117917592</v>
      </c>
    </row>
    <row r="129" spans="1:8">
      <c r="A129" s="49">
        <v>2007.12</v>
      </c>
      <c r="B129" s="1591">
        <v>50.388888888888886</v>
      </c>
      <c r="C129" s="311">
        <v>50.791666666666664</v>
      </c>
      <c r="D129" s="1587">
        <v>52.25752508361203</v>
      </c>
      <c r="E129" s="311">
        <v>60.393592009476031</v>
      </c>
      <c r="F129" s="1347">
        <v>51.927174962374579</v>
      </c>
      <c r="G129" s="375">
        <v>42.207591387959866</v>
      </c>
      <c r="H129" s="166">
        <v>51.509452786603489</v>
      </c>
    </row>
    <row r="130" spans="1:8">
      <c r="A130" s="49">
        <f t="shared" ref="A130:A193" si="0">A118+1</f>
        <v>2008.01</v>
      </c>
      <c r="B130" s="1591">
        <v>53.848039215686278</v>
      </c>
      <c r="C130" s="311">
        <v>56.208333333333336</v>
      </c>
      <c r="D130" s="1587">
        <v>54.73047304730472</v>
      </c>
      <c r="E130" s="311">
        <v>63.428562227722772</v>
      </c>
      <c r="F130" s="1347">
        <v>55.591428645165983</v>
      </c>
      <c r="G130" s="375">
        <v>46.108666383226556</v>
      </c>
      <c r="H130" s="166">
        <v>55.042885752038437</v>
      </c>
    </row>
    <row r="131" spans="1:8">
      <c r="A131" s="49">
        <f t="shared" si="0"/>
        <v>2008.02</v>
      </c>
      <c r="B131" s="1591">
        <v>47.807017543859651</v>
      </c>
      <c r="C131" s="311">
        <v>50.497512437810947</v>
      </c>
      <c r="D131" s="1587">
        <v>54.166666666666664</v>
      </c>
      <c r="E131" s="311">
        <v>59.925903095239974</v>
      </c>
      <c r="F131" s="1347">
        <v>50.954962714081041</v>
      </c>
      <c r="G131" s="375">
        <v>45.199961861535229</v>
      </c>
      <c r="H131" s="166">
        <v>52.026942556952079</v>
      </c>
    </row>
    <row r="132" spans="1:8">
      <c r="A132" s="49">
        <f t="shared" si="0"/>
        <v>2008.03</v>
      </c>
      <c r="B132" s="1591">
        <v>45.451653</v>
      </c>
      <c r="C132" s="311">
        <v>46.369396000000002</v>
      </c>
      <c r="D132" s="1587">
        <v>45.038910000000001</v>
      </c>
      <c r="E132" s="311">
        <v>53.991534455109999</v>
      </c>
      <c r="F132" s="1347">
        <v>43.798583607899999</v>
      </c>
      <c r="G132" s="375">
        <v>38.747462576619995</v>
      </c>
      <c r="H132" s="166">
        <v>45.512526878634922</v>
      </c>
    </row>
    <row r="133" spans="1:8">
      <c r="A133" s="49">
        <f t="shared" si="0"/>
        <v>2008.04</v>
      </c>
      <c r="B133" s="1591">
        <v>44.613818999999999</v>
      </c>
      <c r="C133" s="311">
        <v>46.433669999999999</v>
      </c>
      <c r="D133" s="1587">
        <v>45.451526999999999</v>
      </c>
      <c r="E133" s="311">
        <v>52.898079472759996</v>
      </c>
      <c r="F133" s="1347">
        <v>45.730890332689995</v>
      </c>
      <c r="G133" s="375">
        <v>38.228112471160003</v>
      </c>
      <c r="H133" s="166">
        <v>45.61902638006363</v>
      </c>
    </row>
    <row r="134" spans="1:8">
      <c r="A134" s="49">
        <f t="shared" si="0"/>
        <v>2008.05</v>
      </c>
      <c r="B134" s="1591">
        <v>36.975067000000003</v>
      </c>
      <c r="C134" s="311">
        <v>40.562674999999999</v>
      </c>
      <c r="D134" s="1587">
        <v>41.162635999999999</v>
      </c>
      <c r="E134" s="311">
        <v>47.03965925851</v>
      </c>
      <c r="F134" s="1347">
        <v>39.306125283970005</v>
      </c>
      <c r="G134" s="375">
        <v>34.587155860660005</v>
      </c>
      <c r="H134" s="166">
        <v>40.306849040499642</v>
      </c>
    </row>
    <row r="135" spans="1:8">
      <c r="A135" s="49">
        <f t="shared" si="0"/>
        <v>2008.06</v>
      </c>
      <c r="B135" s="1591">
        <v>36.518661000000002</v>
      </c>
      <c r="C135" s="311">
        <v>38.696373000000001</v>
      </c>
      <c r="D135" s="1587">
        <v>41.035854</v>
      </c>
      <c r="E135" s="311">
        <v>47.266501064469999</v>
      </c>
      <c r="F135" s="1347">
        <v>40.238431780729996</v>
      </c>
      <c r="G135" s="375">
        <v>31.288607202649999</v>
      </c>
      <c r="H135" s="166">
        <v>39.597846724903839</v>
      </c>
    </row>
    <row r="136" spans="1:8">
      <c r="A136" s="49">
        <f t="shared" si="0"/>
        <v>2008.07</v>
      </c>
      <c r="B136" s="1591">
        <v>39.029949000000002</v>
      </c>
      <c r="C136" s="311">
        <v>39.489699999999999</v>
      </c>
      <c r="D136" s="1587">
        <v>41.469036000000003</v>
      </c>
      <c r="E136" s="311">
        <v>48.577533521020001</v>
      </c>
      <c r="F136" s="1347">
        <v>42.24004126717</v>
      </c>
      <c r="G136" s="375">
        <v>30.60026267293</v>
      </c>
      <c r="H136" s="166">
        <v>40.472613055682586</v>
      </c>
    </row>
    <row r="137" spans="1:8">
      <c r="A137" s="49">
        <f t="shared" si="0"/>
        <v>2008.08</v>
      </c>
      <c r="B137" s="1591">
        <v>41.347382000000003</v>
      </c>
      <c r="C137" s="311">
        <v>43.538646999999997</v>
      </c>
      <c r="D137" s="1587">
        <v>40.148578999999998</v>
      </c>
      <c r="E137" s="311">
        <v>47.979079162710001</v>
      </c>
      <c r="F137" s="1347">
        <v>44.268796660139998</v>
      </c>
      <c r="G137" s="375">
        <v>31.89073364659</v>
      </c>
      <c r="H137" s="166">
        <v>41.379536771665848</v>
      </c>
    </row>
    <row r="138" spans="1:8">
      <c r="A138" s="49">
        <f t="shared" si="0"/>
        <v>2008.09</v>
      </c>
      <c r="B138" s="1591">
        <v>43.577075999999998</v>
      </c>
      <c r="C138" s="311">
        <v>42.879218999999999</v>
      </c>
      <c r="D138" s="1587">
        <v>45.533332999999999</v>
      </c>
      <c r="E138" s="311">
        <v>51.502637356739996</v>
      </c>
      <c r="F138" s="1347">
        <v>44.510607622180004</v>
      </c>
      <c r="G138" s="375">
        <v>37.206870339459996</v>
      </c>
      <c r="H138" s="166">
        <v>44.406705709408165</v>
      </c>
    </row>
    <row r="139" spans="1:8">
      <c r="A139" s="49">
        <f t="shared" si="0"/>
        <v>2008.1</v>
      </c>
      <c r="B139" s="1591">
        <v>39.537036999999998</v>
      </c>
      <c r="C139" s="311">
        <v>38.986355000000003</v>
      </c>
      <c r="D139" s="1587">
        <v>40.932312000000003</v>
      </c>
      <c r="E139" s="311">
        <v>50.406539348089993</v>
      </c>
      <c r="F139" s="1347">
        <v>42.982903351389993</v>
      </c>
      <c r="G139" s="375">
        <v>26.947836343360002</v>
      </c>
      <c r="H139" s="166">
        <v>40.11242640821402</v>
      </c>
    </row>
    <row r="140" spans="1:8">
      <c r="A140" s="49">
        <f t="shared" si="0"/>
        <v>2008.11</v>
      </c>
      <c r="B140" s="1591">
        <v>36.417324000000001</v>
      </c>
      <c r="C140" s="311">
        <v>40.086418000000002</v>
      </c>
      <c r="D140" s="1587">
        <v>39.371468</v>
      </c>
      <c r="E140" s="311">
        <v>46.886716300739998</v>
      </c>
      <c r="F140" s="1347">
        <v>45.131770049229999</v>
      </c>
      <c r="G140" s="375">
        <v>25.34109707088</v>
      </c>
      <c r="H140" s="166">
        <v>39.119861457117182</v>
      </c>
    </row>
    <row r="141" spans="1:8">
      <c r="A141" s="49">
        <f t="shared" si="0"/>
        <v>2008.12</v>
      </c>
      <c r="B141" s="1591">
        <v>39.533332999999999</v>
      </c>
      <c r="C141" s="311">
        <v>36.921795000000003</v>
      </c>
      <c r="D141" s="1587">
        <v>36.360675999999998</v>
      </c>
      <c r="E141" s="311">
        <v>45.231289381509995</v>
      </c>
      <c r="F141" s="1347">
        <v>42.242322295320001</v>
      </c>
      <c r="G141" s="375">
        <v>23.640239903679998</v>
      </c>
      <c r="H141" s="166">
        <v>37.057394836596025</v>
      </c>
    </row>
    <row r="142" spans="1:8">
      <c r="A142" s="49">
        <f t="shared" si="0"/>
        <v>2009.01</v>
      </c>
      <c r="B142" s="1591">
        <v>39.746093999999999</v>
      </c>
      <c r="C142" s="311">
        <v>42.696357999999996</v>
      </c>
      <c r="D142" s="1587">
        <v>40.763053999999997</v>
      </c>
      <c r="E142" s="311">
        <v>51.249579694429997</v>
      </c>
      <c r="F142" s="1347">
        <v>46.707110840969996</v>
      </c>
      <c r="G142" s="375">
        <v>25.625146966259997</v>
      </c>
      <c r="H142" s="166">
        <v>41.190720745137696</v>
      </c>
    </row>
    <row r="143" spans="1:8">
      <c r="A143" s="49">
        <f t="shared" si="0"/>
        <v>2009.02</v>
      </c>
      <c r="B143" s="1591">
        <v>38.123359999999998</v>
      </c>
      <c r="C143" s="311">
        <v>38.904831000000001</v>
      </c>
      <c r="D143" s="1587">
        <v>40.148448999999999</v>
      </c>
      <c r="E143" s="311">
        <v>46.807520256449997</v>
      </c>
      <c r="F143" s="1347">
        <v>46.654632738480004</v>
      </c>
      <c r="G143" s="375">
        <v>24.869175699020001</v>
      </c>
      <c r="H143" s="166">
        <v>39.443775843350359</v>
      </c>
    </row>
    <row r="144" spans="1:8">
      <c r="A144" s="49">
        <f t="shared" si="0"/>
        <v>2009.03</v>
      </c>
      <c r="B144" s="1591">
        <v>37.304687999999999</v>
      </c>
      <c r="C144" s="311">
        <v>38.600853000000001</v>
      </c>
      <c r="D144" s="1587">
        <v>36.836734999999997</v>
      </c>
      <c r="E144" s="311">
        <v>46.404525550789998</v>
      </c>
      <c r="F144" s="1347">
        <v>45.374262392600002</v>
      </c>
      <c r="G144" s="375">
        <v>20.57813138609</v>
      </c>
      <c r="H144" s="166">
        <v>37.452305931847171</v>
      </c>
    </row>
    <row r="145" spans="1:8">
      <c r="A145" s="49">
        <f t="shared" si="0"/>
        <v>2009.04</v>
      </c>
      <c r="B145" s="1591">
        <v>36.881512000000001</v>
      </c>
      <c r="C145" s="311">
        <v>37.844253999999999</v>
      </c>
      <c r="D145" s="1587">
        <v>37.569443</v>
      </c>
      <c r="E145" s="311">
        <v>45.155536253560001</v>
      </c>
      <c r="F145" s="1347">
        <v>46.947261235680003</v>
      </c>
      <c r="G145" s="375">
        <v>20.52863460108</v>
      </c>
      <c r="H145" s="166">
        <v>37.543810441335772</v>
      </c>
    </row>
    <row r="146" spans="1:8">
      <c r="A146" s="49">
        <f t="shared" si="0"/>
        <v>2009.05</v>
      </c>
      <c r="B146" s="1591">
        <v>40.616798000000003</v>
      </c>
      <c r="C146" s="311">
        <v>39.705162000000001</v>
      </c>
      <c r="D146" s="1587">
        <v>38.283211000000001</v>
      </c>
      <c r="E146" s="311">
        <v>45.075846101850004</v>
      </c>
      <c r="F146" s="1347">
        <v>48.809679985140001</v>
      </c>
      <c r="G146" s="375">
        <v>23.387397622180004</v>
      </c>
      <c r="H146" s="166">
        <v>39.090461407193843</v>
      </c>
    </row>
    <row r="147" spans="1:8">
      <c r="A147" s="49">
        <f t="shared" si="0"/>
        <v>2009.06</v>
      </c>
      <c r="B147" s="1591">
        <v>37.517432999999997</v>
      </c>
      <c r="C147" s="311">
        <v>39.706558000000001</v>
      </c>
      <c r="D147" s="1587">
        <v>41.297043000000002</v>
      </c>
      <c r="E147" s="311">
        <v>46.744468446469995</v>
      </c>
      <c r="F147" s="1347">
        <v>48.368803930710001</v>
      </c>
      <c r="G147" s="375">
        <v>25.505913846910001</v>
      </c>
      <c r="H147" s="166">
        <v>40.007806856386068</v>
      </c>
    </row>
    <row r="148" spans="1:8">
      <c r="A148" s="49">
        <f t="shared" si="0"/>
        <v>2009.07</v>
      </c>
      <c r="B148" s="1591">
        <v>41.633727999999998</v>
      </c>
      <c r="C148" s="311">
        <v>42.166668000000001</v>
      </c>
      <c r="D148" s="1587">
        <v>42.666668000000001</v>
      </c>
      <c r="E148" s="311">
        <v>49.990366279390003</v>
      </c>
      <c r="F148" s="1347">
        <v>50.16603832565</v>
      </c>
      <c r="G148" s="375">
        <v>26.888311404180001</v>
      </c>
      <c r="H148" s="166">
        <v>42.348237635046111</v>
      </c>
    </row>
    <row r="149" spans="1:8">
      <c r="A149" s="49">
        <f t="shared" si="0"/>
        <v>2009.08</v>
      </c>
      <c r="B149" s="1591">
        <v>38.512614999999997</v>
      </c>
      <c r="C149" s="311">
        <v>39.483001999999999</v>
      </c>
      <c r="D149" s="1587">
        <v>42.034804999999999</v>
      </c>
      <c r="E149" s="311">
        <v>46.747659164710001</v>
      </c>
      <c r="F149" s="1347">
        <v>46.293714627089997</v>
      </c>
      <c r="G149" s="375">
        <v>29.029051441740002</v>
      </c>
      <c r="H149" s="166">
        <v>40.690142662639545</v>
      </c>
    </row>
    <row r="150" spans="1:8">
      <c r="A150" s="49">
        <f t="shared" si="0"/>
        <v>2009.09</v>
      </c>
      <c r="B150" s="1591">
        <v>41.333331999999999</v>
      </c>
      <c r="C150" s="311">
        <v>42.400565999999998</v>
      </c>
      <c r="D150" s="1587">
        <v>38.272849999999998</v>
      </c>
      <c r="E150" s="311">
        <v>45.891400275140001</v>
      </c>
      <c r="F150" s="1347">
        <v>44.975959088269995</v>
      </c>
      <c r="G150" s="375">
        <v>29.213004959579997</v>
      </c>
      <c r="H150" s="166">
        <v>40.021477683834313</v>
      </c>
    </row>
    <row r="151" spans="1:8">
      <c r="A151" s="49">
        <f t="shared" si="0"/>
        <v>2009.1</v>
      </c>
      <c r="B151" s="1591">
        <v>39.725571000000002</v>
      </c>
      <c r="C151" s="311">
        <v>39.448357000000001</v>
      </c>
      <c r="D151" s="1587">
        <v>38.587685</v>
      </c>
      <c r="E151" s="311">
        <v>46.491005394089996</v>
      </c>
      <c r="F151" s="1347">
        <v>43.819089397360003</v>
      </c>
      <c r="G151" s="375">
        <v>26.788024619409999</v>
      </c>
      <c r="H151" s="166">
        <v>39.03</v>
      </c>
    </row>
    <row r="152" spans="1:8">
      <c r="A152" s="49">
        <f t="shared" si="0"/>
        <v>2009.11</v>
      </c>
      <c r="B152" s="1591">
        <v>38.594771999999999</v>
      </c>
      <c r="C152" s="311">
        <v>39.616118999999998</v>
      </c>
      <c r="D152" s="1587">
        <v>41.565860999999998</v>
      </c>
      <c r="E152" s="311">
        <v>48.112949974800003</v>
      </c>
      <c r="F152" s="1347">
        <v>45.037971433549998</v>
      </c>
      <c r="G152" s="375">
        <v>28.3303726967</v>
      </c>
      <c r="H152" s="166">
        <v>40.49</v>
      </c>
    </row>
    <row r="153" spans="1:8">
      <c r="A153" s="49">
        <f t="shared" si="0"/>
        <v>2009.12</v>
      </c>
      <c r="B153" s="1591">
        <v>41.730277999999998</v>
      </c>
      <c r="C153" s="311">
        <v>40.603619000000002</v>
      </c>
      <c r="D153" s="1587">
        <v>39.550266000000001</v>
      </c>
      <c r="E153" s="311">
        <v>49.679829758929998</v>
      </c>
      <c r="F153" s="1347">
        <v>44.230575329920001</v>
      </c>
      <c r="G153" s="375">
        <v>26.75088831935</v>
      </c>
      <c r="H153" s="166">
        <v>40.22</v>
      </c>
    </row>
    <row r="154" spans="1:8">
      <c r="A154" s="49">
        <f t="shared" si="0"/>
        <v>2010.01</v>
      </c>
      <c r="B154" s="1591">
        <v>45.703125</v>
      </c>
      <c r="C154" s="311">
        <v>44.659039</v>
      </c>
      <c r="D154" s="1587">
        <v>46.034945999999998</v>
      </c>
      <c r="E154" s="311">
        <v>53.665229369819997</v>
      </c>
      <c r="F154" s="1347">
        <v>49.459647918450003</v>
      </c>
      <c r="G154" s="375">
        <v>33.55323531378</v>
      </c>
      <c r="H154" s="166">
        <v>45.559370574094423</v>
      </c>
    </row>
    <row r="155" spans="1:8">
      <c r="A155" s="49">
        <f t="shared" si="0"/>
        <v>2010.02</v>
      </c>
      <c r="B155" s="1591">
        <v>46.200001</v>
      </c>
      <c r="C155" s="311">
        <v>42.972458000000003</v>
      </c>
      <c r="D155" s="1587">
        <v>43.072288999999998</v>
      </c>
      <c r="E155" s="311">
        <v>50.301978826829995</v>
      </c>
      <c r="F155" s="1347">
        <v>45.869317281889998</v>
      </c>
      <c r="G155" s="375">
        <v>34.447195098880002</v>
      </c>
      <c r="H155" s="166">
        <v>43.539497367567137</v>
      </c>
    </row>
    <row r="156" spans="1:8">
      <c r="A156" s="49">
        <f t="shared" si="0"/>
        <v>2010.03</v>
      </c>
      <c r="B156" s="1591">
        <v>42.430278999999999</v>
      </c>
      <c r="C156" s="311">
        <v>39.820076</v>
      </c>
      <c r="D156" s="1587">
        <v>41.969085999999997</v>
      </c>
      <c r="E156" s="311">
        <v>49.177163625989998</v>
      </c>
      <c r="F156" s="1347">
        <v>44.952936420139999</v>
      </c>
      <c r="G156" s="375">
        <v>30.017786611650003</v>
      </c>
      <c r="H156" s="166">
        <v>41.382629205745445</v>
      </c>
    </row>
    <row r="157" spans="1:8">
      <c r="A157" s="49">
        <f t="shared" si="0"/>
        <v>2010.04</v>
      </c>
      <c r="B157" s="1591">
        <v>45.066665999999998</v>
      </c>
      <c r="C157" s="311">
        <v>41.536827000000002</v>
      </c>
      <c r="D157" s="1587">
        <v>44.115645999999998</v>
      </c>
      <c r="E157" s="311">
        <v>48.65139986842</v>
      </c>
      <c r="F157" s="1347">
        <v>47.597088421680006</v>
      </c>
      <c r="G157" s="375">
        <v>34.177408450030001</v>
      </c>
      <c r="H157" s="166">
        <v>43.475298381010191</v>
      </c>
    </row>
    <row r="158" spans="1:8">
      <c r="A158" s="49">
        <f t="shared" si="0"/>
        <v>2010.05</v>
      </c>
      <c r="B158" s="1591">
        <v>49.839126999999998</v>
      </c>
      <c r="C158" s="311">
        <v>44.601748999999998</v>
      </c>
      <c r="D158" s="1587">
        <v>50.542006999999998</v>
      </c>
      <c r="E158" s="311">
        <v>54.096879522530003</v>
      </c>
      <c r="F158" s="1347">
        <v>50.689046146129996</v>
      </c>
      <c r="G158" s="375">
        <v>41.033632515730005</v>
      </c>
      <c r="H158" s="166">
        <v>48.606521999999998</v>
      </c>
    </row>
    <row r="159" spans="1:8">
      <c r="A159" s="49">
        <f t="shared" si="0"/>
        <v>2010.06</v>
      </c>
      <c r="B159" s="1591">
        <v>50.872093</v>
      </c>
      <c r="C159" s="311">
        <v>47.545498000000002</v>
      </c>
      <c r="D159" s="1587">
        <v>46.713146000000002</v>
      </c>
      <c r="E159" s="311">
        <v>54.293264421109996</v>
      </c>
      <c r="F159" s="1347">
        <v>50.42908638107</v>
      </c>
      <c r="G159" s="375">
        <v>38.169693766590001</v>
      </c>
      <c r="H159" s="166">
        <v>47.630679999999998</v>
      </c>
    </row>
    <row r="160" spans="1:8">
      <c r="A160" s="49">
        <f t="shared" si="0"/>
        <v>2010.07</v>
      </c>
      <c r="B160" s="1591">
        <v>47.942386999999997</v>
      </c>
      <c r="C160" s="311">
        <v>47.811062</v>
      </c>
      <c r="D160" s="1587">
        <v>48.311897000000002</v>
      </c>
      <c r="E160" s="311">
        <v>52.655181775999999</v>
      </c>
      <c r="F160" s="1347">
        <v>50.413906983939995</v>
      </c>
      <c r="G160" s="375">
        <v>41.227446221160001</v>
      </c>
      <c r="H160" s="166">
        <v>48.098846000000002</v>
      </c>
    </row>
    <row r="161" spans="1:8">
      <c r="A161" s="49">
        <f t="shared" si="0"/>
        <v>2010.08</v>
      </c>
      <c r="B161" s="1591">
        <v>49.338622999999998</v>
      </c>
      <c r="C161" s="311">
        <v>48.894032000000003</v>
      </c>
      <c r="D161" s="1587">
        <v>51.532890000000002</v>
      </c>
      <c r="E161" s="311">
        <v>56.398312913729995</v>
      </c>
      <c r="F161" s="1347">
        <v>51.629287132919998</v>
      </c>
      <c r="G161" s="375">
        <v>43.09130019413</v>
      </c>
      <c r="H161" s="166">
        <v>50.372967000000003</v>
      </c>
    </row>
    <row r="162" spans="1:8">
      <c r="A162" s="49">
        <f t="shared" si="0"/>
        <v>2010.09</v>
      </c>
      <c r="B162" s="1591">
        <v>50.164692000000002</v>
      </c>
      <c r="C162" s="311">
        <v>49.306624999999997</v>
      </c>
      <c r="D162" s="1587">
        <v>48.166668000000001</v>
      </c>
      <c r="E162" s="311">
        <v>54.855700439510002</v>
      </c>
      <c r="F162" s="1347">
        <v>49.264681180469999</v>
      </c>
      <c r="G162" s="375">
        <v>42.382614735979999</v>
      </c>
      <c r="H162" s="166">
        <v>48.834332000000003</v>
      </c>
    </row>
    <row r="163" spans="1:8">
      <c r="A163" s="49">
        <f t="shared" si="0"/>
        <v>2010.1</v>
      </c>
      <c r="B163" s="1591">
        <v>50.961539999999999</v>
      </c>
      <c r="C163" s="311">
        <v>50.076217999999997</v>
      </c>
      <c r="D163" s="1587">
        <v>49.772469000000001</v>
      </c>
      <c r="E163" s="311">
        <v>55.132220366769999</v>
      </c>
      <c r="F163" s="1347">
        <v>49.752746189309995</v>
      </c>
      <c r="G163" s="375">
        <v>45.278892473660001</v>
      </c>
      <c r="H163" s="166">
        <v>50.054619000000002</v>
      </c>
    </row>
    <row r="164" spans="1:8">
      <c r="A164" s="49">
        <f t="shared" si="0"/>
        <v>2010.11</v>
      </c>
      <c r="B164" s="1591">
        <v>54.941859999999998</v>
      </c>
      <c r="C164" s="311">
        <v>54.650866999999998</v>
      </c>
      <c r="D164" s="1587">
        <v>55.900444</v>
      </c>
      <c r="E164" s="311">
        <v>60.040840647909995</v>
      </c>
      <c r="F164" s="1347">
        <v>59.141244598239993</v>
      </c>
      <c r="G164" s="375">
        <v>46.908987596939994</v>
      </c>
      <c r="H164" s="166">
        <v>55.363689000000001</v>
      </c>
    </row>
    <row r="165" spans="1:8">
      <c r="A165" s="49">
        <f t="shared" si="0"/>
        <v>2010.12</v>
      </c>
      <c r="B165" s="1591">
        <v>53.908271999999997</v>
      </c>
      <c r="C165" s="311">
        <v>52.959502999999998</v>
      </c>
      <c r="D165" s="1587">
        <v>53.153151999999999</v>
      </c>
      <c r="E165" s="311">
        <v>58.545130856919997</v>
      </c>
      <c r="F165" s="1347">
        <v>56.90698187457</v>
      </c>
      <c r="G165" s="375">
        <v>44.188355701079999</v>
      </c>
      <c r="H165" s="166">
        <v>53.21349</v>
      </c>
    </row>
    <row r="166" spans="1:8">
      <c r="A166" s="49">
        <f t="shared" si="0"/>
        <v>2011.01</v>
      </c>
      <c r="B166" s="1591">
        <v>55.423279000000001</v>
      </c>
      <c r="C166" s="311">
        <v>54.109240999999997</v>
      </c>
      <c r="D166" s="1587">
        <v>56.677703999999999</v>
      </c>
      <c r="E166" s="311">
        <v>60.156115717909998</v>
      </c>
      <c r="F166" s="1347">
        <v>55.746066034230005</v>
      </c>
      <c r="G166" s="375">
        <v>51.164995303539996</v>
      </c>
      <c r="H166" s="166">
        <v>55.689059999999998</v>
      </c>
    </row>
    <row r="167" spans="1:8">
      <c r="A167" s="49">
        <f t="shared" si="0"/>
        <v>2011.02</v>
      </c>
      <c r="B167" s="1591">
        <v>51.381461999999999</v>
      </c>
      <c r="C167" s="311">
        <v>52.565105000000003</v>
      </c>
      <c r="D167" s="1587">
        <v>55.532505</v>
      </c>
      <c r="E167" s="311">
        <v>58.567581281599999</v>
      </c>
      <c r="F167" s="1347">
        <v>56.848706725489997</v>
      </c>
      <c r="G167" s="375">
        <v>46.463654663619998</v>
      </c>
      <c r="H167" s="166">
        <v>53.96</v>
      </c>
    </row>
    <row r="168" spans="1:8">
      <c r="A168" s="49">
        <f t="shared" si="0"/>
        <v>2011.03</v>
      </c>
      <c r="B168" s="1591">
        <v>56.283603999999997</v>
      </c>
      <c r="C168" s="311">
        <v>56.432975999999996</v>
      </c>
      <c r="D168" s="1587">
        <v>58.251094999999999</v>
      </c>
      <c r="E168" s="311">
        <v>61.300337419240002</v>
      </c>
      <c r="F168" s="1347">
        <v>58.533153072580006</v>
      </c>
      <c r="G168" s="375">
        <v>52.303835652339998</v>
      </c>
      <c r="H168" s="166">
        <v>57.379108000000002</v>
      </c>
    </row>
    <row r="169" spans="1:8">
      <c r="A169" s="49">
        <f t="shared" si="0"/>
        <v>2011.04</v>
      </c>
      <c r="B169" s="1591">
        <v>54.001323999999997</v>
      </c>
      <c r="C169" s="311">
        <v>54.639572000000001</v>
      </c>
      <c r="D169" s="1587">
        <v>54.413376</v>
      </c>
      <c r="E169" s="311">
        <v>59.046571863179999</v>
      </c>
      <c r="F169" s="1347">
        <v>54.859868131980008</v>
      </c>
      <c r="G169" s="375">
        <v>49.343377108020007</v>
      </c>
      <c r="H169" s="166">
        <v>54.416606999999999</v>
      </c>
    </row>
    <row r="170" spans="1:8">
      <c r="A170" s="49">
        <f t="shared" si="0"/>
        <v>2011.05</v>
      </c>
      <c r="B170" s="1591">
        <v>54.583331999999999</v>
      </c>
      <c r="C170" s="311">
        <v>55.706519999999998</v>
      </c>
      <c r="D170" s="1587">
        <v>55.758583000000002</v>
      </c>
      <c r="E170" s="311">
        <v>59.798572589450004</v>
      </c>
      <c r="F170" s="1347">
        <v>55.805440847</v>
      </c>
      <c r="G170" s="375">
        <v>51.060440914810002</v>
      </c>
      <c r="H170" s="166">
        <v>55.554817</v>
      </c>
    </row>
    <row r="171" spans="1:8">
      <c r="A171" s="49">
        <f t="shared" si="0"/>
        <v>2011.06</v>
      </c>
      <c r="B171" s="1591">
        <v>57.03125</v>
      </c>
      <c r="C171" s="311">
        <v>52.693089000000001</v>
      </c>
      <c r="D171" s="1587">
        <v>57.051281000000003</v>
      </c>
      <c r="E171" s="311">
        <v>60.801497644720001</v>
      </c>
      <c r="F171" s="1347">
        <v>55.752790698590005</v>
      </c>
      <c r="G171" s="375">
        <v>50.575815061370001</v>
      </c>
      <c r="H171" s="166">
        <v>55.710033000000003</v>
      </c>
    </row>
    <row r="172" spans="1:8">
      <c r="A172" s="49">
        <f t="shared" si="0"/>
        <v>2011.07</v>
      </c>
      <c r="B172" s="1591">
        <v>57.856236000000003</v>
      </c>
      <c r="C172" s="311">
        <v>55.709389000000002</v>
      </c>
      <c r="D172" s="1587">
        <v>59.492989000000001</v>
      </c>
      <c r="E172" s="311">
        <v>60.720762743369995</v>
      </c>
      <c r="F172" s="1347">
        <v>58.147967545260002</v>
      </c>
      <c r="G172" s="375">
        <v>55.34274937739</v>
      </c>
      <c r="H172" s="166">
        <v>58.070492000000002</v>
      </c>
    </row>
    <row r="173" spans="1:8">
      <c r="A173" s="49">
        <f t="shared" si="0"/>
        <v>2011.08</v>
      </c>
      <c r="B173" s="1591">
        <v>56.504066000000002</v>
      </c>
      <c r="C173" s="311">
        <v>55.086207999999999</v>
      </c>
      <c r="D173" s="1587">
        <v>59.118670999999999</v>
      </c>
      <c r="E173" s="311">
        <v>60.066870749519993</v>
      </c>
      <c r="F173" s="1347">
        <v>60.961451211880004</v>
      </c>
      <c r="G173" s="375">
        <v>51.363753974399998</v>
      </c>
      <c r="H173" s="166">
        <v>57.464024000000002</v>
      </c>
    </row>
    <row r="174" spans="1:8">
      <c r="A174" s="49">
        <f t="shared" si="0"/>
        <v>2011.09</v>
      </c>
      <c r="B174" s="1591">
        <v>56.156157999999998</v>
      </c>
      <c r="C174" s="311">
        <v>56.532921000000002</v>
      </c>
      <c r="D174" s="1587">
        <v>61.840797000000002</v>
      </c>
      <c r="E174" s="311">
        <v>62.772609193099996</v>
      </c>
      <c r="F174" s="1347">
        <v>59.184755817219994</v>
      </c>
      <c r="G174" s="375">
        <v>55.959505597140001</v>
      </c>
      <c r="H174" s="166">
        <v>59.305625999999997</v>
      </c>
    </row>
    <row r="175" spans="1:8">
      <c r="A175" s="49">
        <f t="shared" si="0"/>
        <v>2011.1</v>
      </c>
      <c r="B175" s="1591">
        <v>54.761901999999999</v>
      </c>
      <c r="C175" s="311">
        <v>56.427101</v>
      </c>
      <c r="D175" s="1587">
        <v>59.271523000000002</v>
      </c>
      <c r="E175" s="311">
        <v>60.5877122156</v>
      </c>
      <c r="F175" s="1347">
        <v>55.510628323540004</v>
      </c>
      <c r="G175" s="375">
        <v>56.940390956880002</v>
      </c>
      <c r="H175" s="166">
        <v>57.679577000000002</v>
      </c>
    </row>
    <row r="176" spans="1:8">
      <c r="A176" s="49">
        <f t="shared" si="0"/>
        <v>2011.11</v>
      </c>
      <c r="B176" s="1591">
        <v>53.185326000000003</v>
      </c>
      <c r="C176" s="311">
        <v>54.449589000000003</v>
      </c>
      <c r="D176" s="1587">
        <v>59.023178000000001</v>
      </c>
      <c r="E176" s="311">
        <v>61.216492140139998</v>
      </c>
      <c r="F176" s="1347">
        <v>55.321809551309997</v>
      </c>
      <c r="G176" s="375">
        <v>53.528609913280008</v>
      </c>
      <c r="H176" s="166">
        <v>56.688972</v>
      </c>
    </row>
    <row r="177" spans="1:8">
      <c r="A177" s="49">
        <f t="shared" si="0"/>
        <v>2011.12</v>
      </c>
      <c r="B177" s="1591">
        <v>50.742893000000002</v>
      </c>
      <c r="C177" s="311">
        <v>53.870883999999997</v>
      </c>
      <c r="D177" s="1587">
        <v>52.373066000000001</v>
      </c>
      <c r="E177" s="311">
        <v>57.221050335329998</v>
      </c>
      <c r="F177" s="1347">
        <v>51.478350216289996</v>
      </c>
      <c r="G177" s="375">
        <v>49.018117772529997</v>
      </c>
      <c r="H177" s="166">
        <v>52.572505999999997</v>
      </c>
    </row>
    <row r="178" spans="1:8">
      <c r="A178" s="49">
        <f t="shared" si="0"/>
        <v>2012.01</v>
      </c>
      <c r="B178" s="1591">
        <v>49.773021999999997</v>
      </c>
      <c r="C178" s="311">
        <v>56.014941999999998</v>
      </c>
      <c r="D178" s="1587">
        <v>60.382061</v>
      </c>
      <c r="E178" s="311">
        <v>60.945364284419995</v>
      </c>
      <c r="F178" s="1347">
        <v>55.444970661420001</v>
      </c>
      <c r="G178" s="375">
        <v>55.662980077500002</v>
      </c>
      <c r="H178" s="166">
        <v>57.351104999999997</v>
      </c>
    </row>
    <row r="179" spans="1:8">
      <c r="A179" s="49">
        <f t="shared" si="0"/>
        <v>2012.02</v>
      </c>
      <c r="B179" s="1591">
        <v>46.011673000000002</v>
      </c>
      <c r="C179" s="311">
        <v>51.633738999999998</v>
      </c>
      <c r="D179" s="1587">
        <v>55.177185000000001</v>
      </c>
      <c r="E179" s="311">
        <v>58.498447695590002</v>
      </c>
      <c r="F179" s="1347">
        <v>49.210341659919997</v>
      </c>
      <c r="G179" s="375">
        <v>50.178294374789999</v>
      </c>
      <c r="H179" s="166">
        <v>52.629027999999998</v>
      </c>
    </row>
    <row r="180" spans="1:8">
      <c r="A180" s="49">
        <f t="shared" si="0"/>
        <v>2012.03</v>
      </c>
      <c r="B180" s="1591">
        <v>45.770203000000002</v>
      </c>
      <c r="C180" s="311">
        <v>50.264969000000001</v>
      </c>
      <c r="D180" s="1587">
        <v>51.522185999999998</v>
      </c>
      <c r="E180" s="311">
        <v>55.148408040920003</v>
      </c>
      <c r="F180" s="1347">
        <v>46.458723900030002</v>
      </c>
      <c r="G180" s="375">
        <v>49.051355422170005</v>
      </c>
      <c r="H180" s="166">
        <v>50.219493999999997</v>
      </c>
    </row>
    <row r="181" spans="1:8">
      <c r="A181" s="49">
        <f t="shared" si="0"/>
        <v>2012.04</v>
      </c>
      <c r="B181" s="1591">
        <v>42.310169000000002</v>
      </c>
      <c r="C181" s="311">
        <v>43.068534999999997</v>
      </c>
      <c r="D181" s="1587">
        <v>44.729579999999999</v>
      </c>
      <c r="E181" s="311">
        <v>50.756838714410002</v>
      </c>
      <c r="F181" s="1347">
        <v>39.117069273650003</v>
      </c>
      <c r="G181" s="375">
        <v>41.62790594034</v>
      </c>
      <c r="H181" s="166">
        <v>43.833939000000001</v>
      </c>
    </row>
    <row r="182" spans="1:8">
      <c r="A182" s="49">
        <f t="shared" si="0"/>
        <v>2012.05</v>
      </c>
      <c r="B182" s="1591">
        <v>45.025837000000003</v>
      </c>
      <c r="C182" s="311">
        <v>45.898845999999999</v>
      </c>
      <c r="D182" s="1587">
        <v>47.148395999999998</v>
      </c>
      <c r="E182" s="311">
        <v>52.116345927200001</v>
      </c>
      <c r="F182" s="1347">
        <v>44.353379693240001</v>
      </c>
      <c r="G182" s="375">
        <v>42.809188529069999</v>
      </c>
      <c r="H182" s="166">
        <v>46.426304000000002</v>
      </c>
    </row>
    <row r="183" spans="1:8">
      <c r="A183" s="49">
        <f t="shared" si="0"/>
        <v>2012.06</v>
      </c>
      <c r="B183" s="1591">
        <v>39.883270000000003</v>
      </c>
      <c r="C183" s="311">
        <v>45.776080999999998</v>
      </c>
      <c r="D183" s="1587">
        <v>44.92754</v>
      </c>
      <c r="E183" s="311">
        <v>49.710624520799996</v>
      </c>
      <c r="F183" s="1347">
        <v>42.21598625995</v>
      </c>
      <c r="G183" s="375">
        <v>41.225077368219999</v>
      </c>
      <c r="H183" s="166">
        <v>44.383896</v>
      </c>
    </row>
    <row r="184" spans="1:8">
      <c r="A184" s="49">
        <f t="shared" si="0"/>
        <v>2012.07</v>
      </c>
      <c r="B184" s="1591">
        <v>39.526592000000001</v>
      </c>
      <c r="C184" s="311">
        <v>45.064597999999997</v>
      </c>
      <c r="D184" s="1587">
        <v>43.949393999999998</v>
      </c>
      <c r="E184" s="311">
        <v>49.032085137289997</v>
      </c>
      <c r="F184" s="1347">
        <v>41.505879301029992</v>
      </c>
      <c r="G184" s="375">
        <v>40.221847219049998</v>
      </c>
      <c r="H184" s="166">
        <v>43.586601000000002</v>
      </c>
    </row>
    <row r="185" spans="1:8">
      <c r="A185" s="49">
        <f t="shared" si="0"/>
        <v>2012.08</v>
      </c>
      <c r="B185" s="1591">
        <v>37.581699</v>
      </c>
      <c r="C185" s="311">
        <v>45.110084999999998</v>
      </c>
      <c r="D185" s="1587">
        <v>42.916668000000001</v>
      </c>
      <c r="E185" s="311">
        <v>47.80419079955</v>
      </c>
      <c r="F185" s="1347">
        <v>39.603806783479996</v>
      </c>
      <c r="G185" s="375">
        <v>40.810389050079998</v>
      </c>
      <c r="H185" s="166">
        <v>42.739463999999998</v>
      </c>
    </row>
    <row r="186" spans="1:8">
      <c r="A186" s="49">
        <f t="shared" si="0"/>
        <v>2012.09</v>
      </c>
      <c r="B186" s="1591">
        <v>40.494793000000001</v>
      </c>
      <c r="C186" s="311">
        <v>39.854519000000003</v>
      </c>
      <c r="D186" s="1587">
        <v>44.194446999999997</v>
      </c>
      <c r="E186" s="311">
        <v>48.586709655820002</v>
      </c>
      <c r="F186" s="1347">
        <v>38.494045548940001</v>
      </c>
      <c r="G186" s="375">
        <v>39.737438280100001</v>
      </c>
      <c r="H186" s="166">
        <v>42.272731999999998</v>
      </c>
    </row>
    <row r="187" spans="1:8">
      <c r="A187" s="49">
        <f t="shared" si="0"/>
        <v>2012.1</v>
      </c>
      <c r="B187" s="1591">
        <v>42.1875</v>
      </c>
      <c r="C187" s="311">
        <v>42.652327999999997</v>
      </c>
      <c r="D187" s="1587">
        <v>44.267338000000002</v>
      </c>
      <c r="E187" s="311">
        <v>48.381544885529998</v>
      </c>
      <c r="F187" s="1347">
        <v>40.396563869510004</v>
      </c>
      <c r="G187" s="375">
        <v>41.541669299669998</v>
      </c>
      <c r="H187" s="166">
        <v>43.439926</v>
      </c>
    </row>
    <row r="188" spans="1:8">
      <c r="A188" s="49">
        <f t="shared" si="0"/>
        <v>2012.11</v>
      </c>
      <c r="B188" s="1591">
        <v>39.876300999999998</v>
      </c>
      <c r="C188" s="311">
        <v>42.229900000000001</v>
      </c>
      <c r="D188" s="1587">
        <v>43.840575999999999</v>
      </c>
      <c r="E188" s="311">
        <v>46.761479215850002</v>
      </c>
      <c r="F188" s="1347">
        <v>39.749483214729999</v>
      </c>
      <c r="G188" s="375">
        <v>41.631907635320005</v>
      </c>
      <c r="H188" s="166">
        <v>42.714291000000003</v>
      </c>
    </row>
    <row r="189" spans="1:8">
      <c r="A189" s="49">
        <f t="shared" si="0"/>
        <v>2012.12</v>
      </c>
      <c r="B189" s="1591">
        <v>42.151161000000002</v>
      </c>
      <c r="C189" s="311">
        <v>44.318775000000002</v>
      </c>
      <c r="D189" s="1587">
        <v>48.923842999999998</v>
      </c>
      <c r="E189" s="311">
        <v>51.021264805499996</v>
      </c>
      <c r="F189" s="1347">
        <v>44.017817398129999</v>
      </c>
      <c r="G189" s="375">
        <v>44.254361559359999</v>
      </c>
      <c r="H189" s="166">
        <v>46.431148999999998</v>
      </c>
    </row>
    <row r="190" spans="1:8">
      <c r="A190" s="49">
        <f t="shared" si="0"/>
        <v>2013.01</v>
      </c>
      <c r="B190" s="1591">
        <v>46.206226000000001</v>
      </c>
      <c r="C190" s="311">
        <v>47.759856999999997</v>
      </c>
      <c r="D190" s="1587">
        <v>46.532435999999997</v>
      </c>
      <c r="E190" s="311">
        <v>51.566286710589999</v>
      </c>
      <c r="F190" s="1347">
        <v>43.574496265580002</v>
      </c>
      <c r="G190" s="375">
        <v>45.429274264429999</v>
      </c>
      <c r="H190" s="166">
        <v>46.856686000000003</v>
      </c>
    </row>
    <row r="191" spans="1:8">
      <c r="A191" s="49">
        <f t="shared" si="0"/>
        <v>2013.02</v>
      </c>
      <c r="B191" s="1591">
        <v>47.640118000000001</v>
      </c>
      <c r="C191" s="311">
        <v>45.544818999999997</v>
      </c>
      <c r="D191" s="1587">
        <v>48.801746000000001</v>
      </c>
      <c r="E191" s="311">
        <v>50.904864386269999</v>
      </c>
      <c r="F191" s="1347">
        <v>44.74728875313</v>
      </c>
      <c r="G191" s="375">
        <v>47.19788783365</v>
      </c>
      <c r="H191" s="166">
        <v>47.616680000000002</v>
      </c>
    </row>
    <row r="192" spans="1:8">
      <c r="A192" s="49">
        <f t="shared" si="0"/>
        <v>2013.03</v>
      </c>
      <c r="B192" s="1591">
        <v>45.247146999999998</v>
      </c>
      <c r="C192" s="311">
        <v>45.814132999999998</v>
      </c>
      <c r="D192" s="1587">
        <v>48.034328000000002</v>
      </c>
      <c r="E192" s="311">
        <v>51.053383755680002</v>
      </c>
      <c r="F192" s="1347">
        <v>43.628016148230003</v>
      </c>
      <c r="G192" s="375">
        <v>46.044001082329999</v>
      </c>
      <c r="H192" s="166">
        <v>46.908465999999997</v>
      </c>
    </row>
    <row r="193" spans="1:8">
      <c r="A193" s="49">
        <f t="shared" si="0"/>
        <v>2013.04</v>
      </c>
      <c r="B193" s="1591">
        <v>38.490566000000001</v>
      </c>
      <c r="C193" s="311">
        <v>44.354424000000002</v>
      </c>
      <c r="D193" s="1587">
        <v>45.544556</v>
      </c>
      <c r="E193" s="311">
        <v>49.768102035120002</v>
      </c>
      <c r="F193" s="1347">
        <v>42.442082051710003</v>
      </c>
      <c r="G193" s="375">
        <v>39.955083945280002</v>
      </c>
      <c r="H193" s="166">
        <v>44.055087999999998</v>
      </c>
    </row>
    <row r="194" spans="1:8">
      <c r="A194" s="49">
        <f t="shared" ref="A194:A257" si="1">A182+1</f>
        <v>2013.05</v>
      </c>
      <c r="B194" s="1591">
        <v>44.243003999999999</v>
      </c>
      <c r="C194" s="311">
        <v>42.473545000000001</v>
      </c>
      <c r="D194" s="1587">
        <v>40.401542999999997</v>
      </c>
      <c r="E194" s="311">
        <v>44.402441075590005</v>
      </c>
      <c r="F194" s="1347">
        <v>39.038380835889996</v>
      </c>
      <c r="G194" s="375">
        <v>41.50617004555</v>
      </c>
      <c r="H194" s="166">
        <v>41.648997999999999</v>
      </c>
    </row>
    <row r="195" spans="1:8">
      <c r="A195" s="49">
        <f t="shared" si="1"/>
        <v>2013.06</v>
      </c>
      <c r="B195" s="1591">
        <v>44.647438000000001</v>
      </c>
      <c r="C195" s="311">
        <v>45.157134999999997</v>
      </c>
      <c r="D195" s="1587">
        <v>44.063544999999998</v>
      </c>
      <c r="E195" s="311">
        <v>47.922263740950001</v>
      </c>
      <c r="F195" s="1347">
        <v>42.526259275809998</v>
      </c>
      <c r="G195" s="375">
        <v>43.02668488298</v>
      </c>
      <c r="H195" s="166">
        <v>44.491737000000001</v>
      </c>
    </row>
    <row r="196" spans="1:8">
      <c r="A196" s="49">
        <f t="shared" si="1"/>
        <v>2013.07</v>
      </c>
      <c r="B196" s="1591">
        <v>46.141376000000001</v>
      </c>
      <c r="C196" s="311">
        <v>45.641025999999997</v>
      </c>
      <c r="D196" s="1587">
        <v>48.940913999999999</v>
      </c>
      <c r="E196" s="311">
        <v>51.523053847719993</v>
      </c>
      <c r="F196" s="1347">
        <v>45.026736928009996</v>
      </c>
      <c r="G196" s="375">
        <v>45.895392358289996</v>
      </c>
      <c r="H196" s="166">
        <v>47.481727999999997</v>
      </c>
    </row>
    <row r="197" spans="1:8">
      <c r="A197" s="49">
        <f t="shared" si="1"/>
        <v>2013.08</v>
      </c>
      <c r="B197" s="1591">
        <v>49.381512000000001</v>
      </c>
      <c r="C197" s="311">
        <v>49.075499999999998</v>
      </c>
      <c r="D197" s="1587">
        <v>50.770077000000001</v>
      </c>
      <c r="E197" s="311">
        <v>52.475147920730002</v>
      </c>
      <c r="F197" s="1347">
        <v>51.032855068320004</v>
      </c>
      <c r="G197" s="375">
        <v>46.576920967459998</v>
      </c>
      <c r="H197" s="166">
        <v>50.028309</v>
      </c>
    </row>
    <row r="198" spans="1:8">
      <c r="A198" s="49">
        <f t="shared" si="1"/>
        <v>2013.09</v>
      </c>
      <c r="B198" s="1591">
        <v>44.238281000000001</v>
      </c>
      <c r="C198" s="311">
        <v>48.827728</v>
      </c>
      <c r="D198" s="1587">
        <v>49.861572000000002</v>
      </c>
      <c r="E198" s="311">
        <v>51.469268199080005</v>
      </c>
      <c r="F198" s="1347">
        <v>46.300361019969998</v>
      </c>
      <c r="G198" s="375">
        <v>48.174220481740001</v>
      </c>
      <c r="H198" s="166">
        <v>48.647948999999997</v>
      </c>
    </row>
    <row r="199" spans="1:8">
      <c r="A199" s="49">
        <f t="shared" si="1"/>
        <v>2013.1</v>
      </c>
      <c r="B199" s="1591">
        <v>50.358074000000002</v>
      </c>
      <c r="C199" s="311">
        <v>50.254063000000002</v>
      </c>
      <c r="D199" s="1587">
        <v>53.215885</v>
      </c>
      <c r="E199" s="311">
        <v>54.027674042640001</v>
      </c>
      <c r="F199" s="1347">
        <v>50.34518569958</v>
      </c>
      <c r="G199" s="375">
        <v>51.180502816840004</v>
      </c>
      <c r="H199" s="166">
        <v>51.851120000000002</v>
      </c>
    </row>
    <row r="200" spans="1:8">
      <c r="A200" s="49">
        <f t="shared" si="1"/>
        <v>2013.11</v>
      </c>
      <c r="B200" s="1591">
        <v>47.623699000000002</v>
      </c>
      <c r="C200" s="311">
        <v>49.742001000000002</v>
      </c>
      <c r="D200" s="1587">
        <v>50.643177000000001</v>
      </c>
      <c r="E200" s="311">
        <v>51.551472351789997</v>
      </c>
      <c r="F200" s="1347">
        <v>49.25045780056</v>
      </c>
      <c r="G200" s="375">
        <v>48.853297233540005</v>
      </c>
      <c r="H200" s="166">
        <v>49.885075000000001</v>
      </c>
    </row>
    <row r="201" spans="1:8">
      <c r="A201" s="49">
        <f t="shared" si="1"/>
        <v>2013.12</v>
      </c>
      <c r="B201" s="1591">
        <v>44.121448999999998</v>
      </c>
      <c r="C201" s="311">
        <v>43.778979999999997</v>
      </c>
      <c r="D201" s="1587">
        <v>48.117386000000003</v>
      </c>
      <c r="E201" s="311">
        <v>49.583023080449998</v>
      </c>
      <c r="F201" s="1347">
        <v>44.485918860140004</v>
      </c>
      <c r="G201" s="375">
        <v>44.37775239818</v>
      </c>
      <c r="H201" s="166">
        <v>46.148899</v>
      </c>
    </row>
    <row r="202" spans="1:8">
      <c r="A202" s="49">
        <f t="shared" si="1"/>
        <v>2014.01</v>
      </c>
      <c r="B202" s="1591">
        <v>38.900706999999997</v>
      </c>
      <c r="C202" s="311">
        <v>43.514271000000001</v>
      </c>
      <c r="D202" s="1587">
        <v>45.186337000000002</v>
      </c>
      <c r="E202" s="311">
        <v>46.681355482800001</v>
      </c>
      <c r="F202" s="1347">
        <v>41.180082525689997</v>
      </c>
      <c r="G202" s="375">
        <v>43.152702538200003</v>
      </c>
      <c r="H202" s="166">
        <v>43.671379000000002</v>
      </c>
    </row>
    <row r="203" spans="1:8">
      <c r="A203" s="49">
        <f t="shared" si="1"/>
        <v>2014.02</v>
      </c>
      <c r="B203" s="1591">
        <v>34.128498</v>
      </c>
      <c r="C203" s="311">
        <v>35.346584</v>
      </c>
      <c r="D203" s="1587">
        <v>32.184829999999998</v>
      </c>
      <c r="E203" s="311">
        <v>41.907697845619992</v>
      </c>
      <c r="F203" s="1347">
        <v>40.845483667190003</v>
      </c>
      <c r="G203" s="375">
        <v>17.640214256420002</v>
      </c>
      <c r="H203" s="166">
        <v>33.464466000000002</v>
      </c>
    </row>
    <row r="204" spans="1:8">
      <c r="A204" s="49">
        <f t="shared" si="1"/>
        <v>2014.03</v>
      </c>
      <c r="B204" s="1591">
        <v>33.833336000000003</v>
      </c>
      <c r="C204" s="311">
        <v>33.695090999999998</v>
      </c>
      <c r="D204" s="1587">
        <v>38.371459999999999</v>
      </c>
      <c r="E204" s="311">
        <v>44.333080592329999</v>
      </c>
      <c r="F204" s="1347">
        <v>42.992561654690007</v>
      </c>
      <c r="G204" s="375">
        <v>21.31328709588</v>
      </c>
      <c r="H204" s="166">
        <v>36.212978</v>
      </c>
    </row>
    <row r="205" spans="1:8">
      <c r="A205" s="49">
        <f t="shared" si="1"/>
        <v>2014.04</v>
      </c>
      <c r="B205" s="1591">
        <v>38.975357000000002</v>
      </c>
      <c r="C205" s="311">
        <v>36.509773000000003</v>
      </c>
      <c r="D205" s="1587">
        <v>36.111111000000001</v>
      </c>
      <c r="E205" s="311">
        <v>43.826213350090001</v>
      </c>
      <c r="F205" s="1347">
        <v>41.382927848839998</v>
      </c>
      <c r="G205" s="375">
        <v>24.859052135879999</v>
      </c>
      <c r="H205" s="166">
        <v>36.689399999999999</v>
      </c>
    </row>
    <row r="206" spans="1:8">
      <c r="A206" s="49">
        <f t="shared" si="1"/>
        <v>2014.05</v>
      </c>
      <c r="B206" s="1591">
        <v>35.579425999999998</v>
      </c>
      <c r="C206" s="311">
        <v>36.493374000000003</v>
      </c>
      <c r="D206" s="1587">
        <v>39.771461000000002</v>
      </c>
      <c r="E206" s="311">
        <v>44.589942524169999</v>
      </c>
      <c r="F206" s="1347">
        <v>44.288295766520001</v>
      </c>
      <c r="G206" s="375">
        <v>25.41341587618</v>
      </c>
      <c r="H206" s="166">
        <v>38.097217999999998</v>
      </c>
    </row>
    <row r="207" spans="1:8">
      <c r="A207" s="49">
        <f t="shared" si="1"/>
        <v>2014.06</v>
      </c>
      <c r="B207" s="1591">
        <v>41.040844</v>
      </c>
      <c r="C207" s="311">
        <v>40.769629999999999</v>
      </c>
      <c r="D207" s="1587">
        <v>42.837691999999997</v>
      </c>
      <c r="E207" s="311">
        <v>47.93</v>
      </c>
      <c r="F207" s="1347">
        <v>49.96</v>
      </c>
      <c r="G207" s="375">
        <v>27.86</v>
      </c>
      <c r="H207" s="166">
        <v>41.92</v>
      </c>
    </row>
    <row r="208" spans="1:8">
      <c r="A208" s="49">
        <f t="shared" si="1"/>
        <v>2014.07</v>
      </c>
      <c r="B208" s="1591">
        <v>39.980544999999999</v>
      </c>
      <c r="C208" s="311">
        <v>43.954757999999998</v>
      </c>
      <c r="D208" s="1587">
        <v>42.876789000000002</v>
      </c>
      <c r="E208" s="311">
        <v>47.824777127040001</v>
      </c>
      <c r="F208" s="1347">
        <v>50.112090659410001</v>
      </c>
      <c r="G208" s="375">
        <v>30.300462415590001</v>
      </c>
      <c r="H208" s="166">
        <v>42.745776999999997</v>
      </c>
    </row>
    <row r="209" spans="1:8">
      <c r="A209" s="49">
        <f t="shared" si="1"/>
        <v>2014.08</v>
      </c>
      <c r="B209" s="1591">
        <v>45.395587999999996</v>
      </c>
      <c r="C209" s="311">
        <v>42.758087000000003</v>
      </c>
      <c r="D209" s="1587">
        <v>44.091414999999998</v>
      </c>
      <c r="E209" s="311">
        <v>48.66</v>
      </c>
      <c r="F209" s="1347">
        <v>50.46</v>
      </c>
      <c r="G209" s="375">
        <v>32.549999999999997</v>
      </c>
      <c r="H209" s="166">
        <v>43.89</v>
      </c>
    </row>
    <row r="210" spans="1:8">
      <c r="A210" s="49">
        <f t="shared" si="1"/>
        <v>2014.09</v>
      </c>
      <c r="B210" s="1591">
        <v>39.993564999999997</v>
      </c>
      <c r="C210" s="311">
        <v>40.945388999999999</v>
      </c>
      <c r="D210" s="1587">
        <v>42.271729000000001</v>
      </c>
      <c r="E210" s="311">
        <v>46.034036999999998</v>
      </c>
      <c r="F210" s="1347">
        <v>47.801223499999999</v>
      </c>
      <c r="G210" s="375">
        <v>30.6687315</v>
      </c>
      <c r="H210" s="166">
        <v>41.501330666666668</v>
      </c>
    </row>
    <row r="211" spans="1:8">
      <c r="A211" s="49">
        <f t="shared" si="1"/>
        <v>2014.1</v>
      </c>
      <c r="B211" s="1591">
        <v>41.005291</v>
      </c>
      <c r="C211" s="311">
        <v>44.056747000000001</v>
      </c>
      <c r="D211" s="1587">
        <v>44.757171999999997</v>
      </c>
      <c r="E211" s="311">
        <v>47.516515471399998</v>
      </c>
      <c r="F211" s="1347">
        <v>50.412142301779994</v>
      </c>
      <c r="G211" s="375">
        <v>33.903522398459998</v>
      </c>
      <c r="H211" s="166">
        <v>43.944060500000006</v>
      </c>
    </row>
    <row r="212" spans="1:8">
      <c r="A212" s="49">
        <f t="shared" si="1"/>
        <v>2014.11</v>
      </c>
      <c r="B212" s="1591">
        <v>43.897635999999999</v>
      </c>
      <c r="C212" s="311">
        <v>44.508743000000003</v>
      </c>
      <c r="D212" s="1587">
        <v>43.106312000000003</v>
      </c>
      <c r="E212" s="311">
        <v>46.908522022499994</v>
      </c>
      <c r="F212" s="1347">
        <v>51.927792240109994</v>
      </c>
      <c r="G212" s="375">
        <v>32.150705040909997</v>
      </c>
      <c r="H212" s="166">
        <v>43.662337999999998</v>
      </c>
    </row>
    <row r="213" spans="1:8">
      <c r="A213" s="49">
        <f t="shared" si="1"/>
        <v>2014.12</v>
      </c>
      <c r="B213" s="1591">
        <v>45.304232166666672</v>
      </c>
      <c r="C213" s="311">
        <v>45.254629999999999</v>
      </c>
      <c r="D213" s="1587">
        <v>43.311759166666661</v>
      </c>
      <c r="E213" s="311">
        <v>46.135168</v>
      </c>
      <c r="F213" s="1347">
        <v>50.302571999999998</v>
      </c>
      <c r="G213" s="375">
        <v>36.237244000000004</v>
      </c>
      <c r="H213" s="166">
        <v>44.224994666666667</v>
      </c>
    </row>
    <row r="214" spans="1:8">
      <c r="A214" s="49">
        <f t="shared" si="1"/>
        <v>2015.01</v>
      </c>
      <c r="B214" s="1591">
        <v>48.908729999999998</v>
      </c>
      <c r="C214" s="311">
        <v>49.344929</v>
      </c>
      <c r="D214" s="1587">
        <v>50.607062999999997</v>
      </c>
      <c r="E214" s="311">
        <v>51.923902585299999</v>
      </c>
      <c r="F214" s="1347">
        <v>57.125259081999999</v>
      </c>
      <c r="G214" s="375">
        <v>40.796818000309997</v>
      </c>
      <c r="H214" s="166">
        <v>49.948658000000002</v>
      </c>
    </row>
    <row r="215" spans="1:8">
      <c r="A215" s="49">
        <f t="shared" si="1"/>
        <v>2015.02</v>
      </c>
      <c r="B215" s="1591">
        <v>48.137256999999998</v>
      </c>
      <c r="C215" s="311">
        <v>48.508228000000003</v>
      </c>
      <c r="D215" s="1587">
        <v>52.300784999999998</v>
      </c>
      <c r="E215" s="311">
        <v>52.971824252419999</v>
      </c>
      <c r="F215" s="1347">
        <v>58.123084637099993</v>
      </c>
      <c r="G215" s="375">
        <v>40.324307900150004</v>
      </c>
      <c r="H215" s="166">
        <v>50.473072000000002</v>
      </c>
    </row>
    <row r="216" spans="1:8">
      <c r="A216" s="49">
        <f t="shared" si="1"/>
        <v>2015.03</v>
      </c>
      <c r="B216" s="1591">
        <v>54.347824000000003</v>
      </c>
      <c r="C216" s="311">
        <v>52.739201000000001</v>
      </c>
      <c r="D216" s="1587">
        <v>52.001099000000004</v>
      </c>
      <c r="E216" s="311">
        <v>54.992763392429993</v>
      </c>
      <c r="F216" s="1347">
        <v>61.96</v>
      </c>
      <c r="G216" s="375">
        <v>40.85</v>
      </c>
      <c r="H216" s="166">
        <v>52.600951999999999</v>
      </c>
    </row>
    <row r="217" spans="1:8">
      <c r="A217" s="49">
        <f t="shared" si="1"/>
        <v>2015.04</v>
      </c>
      <c r="B217" s="1591">
        <v>54.93</v>
      </c>
      <c r="C217" s="311">
        <v>52.18</v>
      </c>
      <c r="D217" s="1587">
        <v>52.62</v>
      </c>
      <c r="E217" s="311">
        <v>55.63</v>
      </c>
      <c r="F217" s="1347">
        <v>60.8</v>
      </c>
      <c r="G217" s="375">
        <v>42.13</v>
      </c>
      <c r="H217" s="166">
        <v>52.85</v>
      </c>
    </row>
    <row r="218" spans="1:8">
      <c r="A218" s="49">
        <f t="shared" si="1"/>
        <v>2015.05</v>
      </c>
      <c r="B218" s="1591">
        <v>53.76</v>
      </c>
      <c r="C218" s="311">
        <v>57.01</v>
      </c>
      <c r="D218" s="1587">
        <v>54.21</v>
      </c>
      <c r="E218" s="311">
        <v>57.942602516960001</v>
      </c>
      <c r="F218" s="1347">
        <v>63.173160638950002</v>
      </c>
      <c r="G218" s="375">
        <v>43.867890677359995</v>
      </c>
      <c r="H218" s="166">
        <v>54.994553000000003</v>
      </c>
    </row>
    <row r="219" spans="1:8">
      <c r="A219" s="49">
        <f t="shared" si="1"/>
        <v>2015.06</v>
      </c>
      <c r="B219" s="1591">
        <v>55</v>
      </c>
      <c r="C219" s="311">
        <v>54.413291999999998</v>
      </c>
      <c r="D219" s="1587">
        <v>55.115509000000003</v>
      </c>
      <c r="E219" s="311">
        <v>58.546881687769996</v>
      </c>
      <c r="F219" s="1347">
        <v>62.691559877030002</v>
      </c>
      <c r="G219" s="375">
        <v>43.404716628169993</v>
      </c>
      <c r="H219" s="166">
        <v>54.881053999999999</v>
      </c>
    </row>
    <row r="220" spans="1:8">
      <c r="A220" s="49">
        <f t="shared" si="1"/>
        <v>2015.07</v>
      </c>
      <c r="B220" s="1591">
        <v>56.003937000000001</v>
      </c>
      <c r="C220" s="311">
        <v>55.061348000000002</v>
      </c>
      <c r="D220" s="1587">
        <v>56.71067</v>
      </c>
      <c r="E220" s="311">
        <v>57.26</v>
      </c>
      <c r="F220" s="1347">
        <v>63.78</v>
      </c>
      <c r="G220" s="375">
        <v>47.24</v>
      </c>
      <c r="H220" s="166">
        <v>56.09</v>
      </c>
    </row>
    <row r="221" spans="1:8">
      <c r="A221" s="49">
        <f t="shared" si="1"/>
        <v>2015.08</v>
      </c>
      <c r="B221" s="1591">
        <v>53.326613999999999</v>
      </c>
      <c r="C221" s="311">
        <v>55.214725000000001</v>
      </c>
      <c r="D221" s="1587">
        <v>58.714596</v>
      </c>
      <c r="E221" s="311">
        <v>58.421975683479999</v>
      </c>
      <c r="F221" s="1347">
        <v>64.897968583410005</v>
      </c>
      <c r="G221" s="375">
        <v>47.024780266450009</v>
      </c>
      <c r="H221" s="166">
        <v>56.781573999999999</v>
      </c>
    </row>
    <row r="222" spans="1:8">
      <c r="A222" s="49">
        <f t="shared" si="1"/>
        <v>2015.09</v>
      </c>
      <c r="B222" s="1591">
        <v>56.955643000000002</v>
      </c>
      <c r="C222" s="311">
        <v>55.240288</v>
      </c>
      <c r="D222" s="1587">
        <v>53.563599000000004</v>
      </c>
      <c r="E222" s="311">
        <v>56.686034307669999</v>
      </c>
      <c r="F222" s="1347">
        <v>60.841366604920005</v>
      </c>
      <c r="G222" s="375">
        <v>46.326622304520001</v>
      </c>
      <c r="H222" s="166">
        <v>54.618008000000003</v>
      </c>
    </row>
    <row r="223" spans="1:8">
      <c r="A223" s="49">
        <f t="shared" si="1"/>
        <v>2015.1</v>
      </c>
      <c r="B223" s="1591">
        <v>55.998702999999999</v>
      </c>
      <c r="C223" s="311">
        <v>56.726284</v>
      </c>
      <c r="D223" s="1587">
        <v>57.386364</v>
      </c>
      <c r="E223" s="311">
        <v>58.077666380819998</v>
      </c>
      <c r="F223" s="1347">
        <v>63.634023295619997</v>
      </c>
      <c r="G223" s="375">
        <v>49.17475792215</v>
      </c>
      <c r="H223" s="166">
        <v>56.962150999999999</v>
      </c>
    </row>
    <row r="224" spans="1:8">
      <c r="A224" s="49">
        <f t="shared" si="1"/>
        <v>2015.11</v>
      </c>
      <c r="B224" s="1591">
        <v>58.397686</v>
      </c>
      <c r="C224" s="311">
        <v>61.081012999999999</v>
      </c>
      <c r="D224" s="1587">
        <v>60.514538000000002</v>
      </c>
      <c r="E224" s="311">
        <v>62.620210530679998</v>
      </c>
      <c r="F224" s="1347">
        <v>73.583675458919998</v>
      </c>
      <c r="G224" s="375">
        <v>44.847741840309993</v>
      </c>
      <c r="H224" s="166">
        <v>60.350543999999999</v>
      </c>
    </row>
    <row r="225" spans="1:8">
      <c r="A225" s="49">
        <f t="shared" si="1"/>
        <v>2015.12</v>
      </c>
      <c r="B225" s="1591">
        <v>51.990555000000001</v>
      </c>
      <c r="C225" s="311">
        <v>57.671337000000001</v>
      </c>
      <c r="D225" s="1587">
        <v>54.166668000000001</v>
      </c>
      <c r="E225" s="311">
        <v>58.846161546139996</v>
      </c>
      <c r="F225" s="1347">
        <v>69.335348102219996</v>
      </c>
      <c r="G225" s="375">
        <v>36.503481569590001</v>
      </c>
      <c r="H225" s="166">
        <v>54.894996999999996</v>
      </c>
    </row>
    <row r="226" spans="1:8">
      <c r="A226" s="49">
        <f t="shared" si="1"/>
        <v>2016.01</v>
      </c>
      <c r="B226" s="1591">
        <v>52.952759</v>
      </c>
      <c r="C226" s="311">
        <v>53.533028000000002</v>
      </c>
      <c r="D226" s="1587">
        <v>54.595790999999998</v>
      </c>
      <c r="E226" s="311">
        <v>58.575761557509999</v>
      </c>
      <c r="F226" s="1347">
        <v>69.482835036029996</v>
      </c>
      <c r="G226" s="375">
        <v>33.963431269479997</v>
      </c>
      <c r="H226" s="166">
        <v>54.007342999999999</v>
      </c>
    </row>
    <row r="227" spans="1:8">
      <c r="A227" s="49">
        <f t="shared" si="1"/>
        <v>2016.02</v>
      </c>
      <c r="B227" s="1591">
        <v>46.376812000000001</v>
      </c>
      <c r="C227" s="311">
        <v>49.323635000000003</v>
      </c>
      <c r="D227" s="1587">
        <v>43.217052000000002</v>
      </c>
      <c r="E227" s="311">
        <v>51.293430737419996</v>
      </c>
      <c r="F227" s="1347">
        <v>62.77661641692</v>
      </c>
      <c r="G227" s="375">
        <v>22.71210615323</v>
      </c>
      <c r="H227" s="166">
        <v>45.594051</v>
      </c>
    </row>
    <row r="228" spans="1:8">
      <c r="A228" s="49">
        <f t="shared" si="1"/>
        <v>2016.03</v>
      </c>
      <c r="B228" s="1591">
        <v>46.376812000000001</v>
      </c>
      <c r="C228" s="311">
        <v>51.572085999999999</v>
      </c>
      <c r="D228" s="1587">
        <v>46.448086000000004</v>
      </c>
      <c r="E228" s="311">
        <v>53.230339195710002</v>
      </c>
      <c r="F228" s="1347">
        <v>65.438691570510002</v>
      </c>
      <c r="G228" s="375">
        <v>25.804157268680001</v>
      </c>
      <c r="H228" s="166">
        <v>48.157730000000001</v>
      </c>
    </row>
    <row r="229" spans="1:8">
      <c r="A229" s="49">
        <f t="shared" si="1"/>
        <v>2016.04</v>
      </c>
      <c r="B229" s="1591">
        <v>46.138995999999999</v>
      </c>
      <c r="C229" s="311">
        <v>45.564929999999997</v>
      </c>
      <c r="D229" s="1587">
        <v>40.937148999999998</v>
      </c>
      <c r="E229" s="311">
        <v>46.969818585759995</v>
      </c>
      <c r="F229" s="1347">
        <v>60.429450527469996</v>
      </c>
      <c r="G229" s="375">
        <v>22.157727892640001</v>
      </c>
      <c r="H229" s="166">
        <v>43.185665</v>
      </c>
    </row>
    <row r="230" spans="1:8">
      <c r="A230" s="49">
        <f t="shared" si="1"/>
        <v>2016.05</v>
      </c>
      <c r="B230" s="1591">
        <v>44.056846999999998</v>
      </c>
      <c r="C230" s="311">
        <v>44.732093999999996</v>
      </c>
      <c r="D230" s="1587">
        <v>41.047297999999998</v>
      </c>
      <c r="E230" s="311">
        <v>46.558098061020004</v>
      </c>
      <c r="F230" s="1347">
        <v>62.32572872523</v>
      </c>
      <c r="G230" s="375">
        <v>19.087670398939999</v>
      </c>
      <c r="H230" s="166">
        <v>42.657165999999997</v>
      </c>
    </row>
    <row r="231" spans="1:8">
      <c r="A231" s="49">
        <f t="shared" si="1"/>
        <v>2016.06</v>
      </c>
      <c r="B231" s="1591">
        <v>44.954425999999998</v>
      </c>
      <c r="C231" s="311">
        <v>46.919730999999999</v>
      </c>
      <c r="D231" s="1587">
        <v>39.361111000000001</v>
      </c>
      <c r="E231" s="311">
        <v>46.798499763700001</v>
      </c>
      <c r="F231" s="1347">
        <v>61.155671331259995</v>
      </c>
      <c r="G231" s="375">
        <v>19.760188435380002</v>
      </c>
      <c r="H231" s="166">
        <v>42.571452999999998</v>
      </c>
    </row>
    <row r="232" spans="1:8">
      <c r="A232" s="49">
        <f t="shared" si="1"/>
        <v>2016.07</v>
      </c>
      <c r="B232" s="1591">
        <v>45.816864000000002</v>
      </c>
      <c r="C232" s="311">
        <v>49.564101999999998</v>
      </c>
      <c r="D232" s="1587">
        <v>43.267108999999998</v>
      </c>
      <c r="E232" s="311">
        <v>48.193374914890001</v>
      </c>
      <c r="F232" s="1347">
        <v>65.594425436630004</v>
      </c>
      <c r="G232" s="375">
        <v>23.028285624200002</v>
      </c>
      <c r="H232" s="166">
        <v>45.605362</v>
      </c>
    </row>
    <row r="233" spans="1:8">
      <c r="A233" s="49">
        <f t="shared" si="1"/>
        <v>2016.08</v>
      </c>
      <c r="B233" s="1591">
        <v>45.439632000000003</v>
      </c>
      <c r="C233" s="311">
        <v>46.417563999999999</v>
      </c>
      <c r="D233" s="1587">
        <v>39.562569000000003</v>
      </c>
      <c r="E233" s="311">
        <v>46.714489656270004</v>
      </c>
      <c r="F233" s="1347">
        <v>59.552865611949997</v>
      </c>
      <c r="G233" s="375">
        <v>21.539179354730003</v>
      </c>
      <c r="H233" s="166">
        <v>42.602176999999998</v>
      </c>
    </row>
    <row r="234" spans="1:8">
      <c r="A234" s="49">
        <f t="shared" si="1"/>
        <v>2016.09</v>
      </c>
      <c r="B234" s="1591">
        <v>46.595329</v>
      </c>
      <c r="C234" s="311">
        <v>47.853149000000002</v>
      </c>
      <c r="D234" s="1587">
        <v>39.687851000000002</v>
      </c>
      <c r="E234" s="311">
        <v>45.911038284590006</v>
      </c>
      <c r="F234" s="1347">
        <v>61.441836645110001</v>
      </c>
      <c r="G234" s="375">
        <v>22.528322035289996</v>
      </c>
      <c r="H234" s="166">
        <v>43.293731999999999</v>
      </c>
    </row>
    <row r="235" spans="1:8">
      <c r="A235" s="49">
        <f t="shared" si="1"/>
        <v>2016.1</v>
      </c>
      <c r="B235" s="1591">
        <v>45.356236000000003</v>
      </c>
      <c r="C235" s="311">
        <v>50.598022</v>
      </c>
      <c r="D235" s="1587">
        <v>43.625827999999998</v>
      </c>
      <c r="E235" s="311">
        <v>47.885981264259996</v>
      </c>
      <c r="F235" s="1347">
        <v>62.081728303870001</v>
      </c>
      <c r="G235" s="375">
        <v>28.154570777589999</v>
      </c>
      <c r="H235" s="166">
        <v>46.040759999999999</v>
      </c>
    </row>
    <row r="236" spans="1:8">
      <c r="A236" s="49">
        <f t="shared" si="1"/>
        <v>2016.11</v>
      </c>
      <c r="B236" s="1591">
        <v>49.131275000000002</v>
      </c>
      <c r="C236" s="311">
        <v>46.345256999999997</v>
      </c>
      <c r="D236" s="1587">
        <v>40.997771999999998</v>
      </c>
      <c r="E236" s="311">
        <v>46.66515403679</v>
      </c>
      <c r="F236" s="1347">
        <v>58.404300594399999</v>
      </c>
      <c r="G236" s="375">
        <v>26.733145391810002</v>
      </c>
      <c r="H236" s="166">
        <v>43.934199999999997</v>
      </c>
    </row>
    <row r="237" spans="1:8">
      <c r="A237" s="49">
        <f t="shared" si="1"/>
        <v>2016.12</v>
      </c>
      <c r="B237" s="1591">
        <v>46.28</v>
      </c>
      <c r="C237" s="311">
        <v>48.92</v>
      </c>
      <c r="D237" s="1587">
        <v>41.39</v>
      </c>
      <c r="E237" s="311">
        <v>47.54</v>
      </c>
      <c r="F237" s="1347">
        <v>58.84</v>
      </c>
      <c r="G237" s="375">
        <v>27.06</v>
      </c>
      <c r="H237" s="166">
        <v>44.48</v>
      </c>
    </row>
    <row r="238" spans="1:8">
      <c r="A238" s="49">
        <f t="shared" si="1"/>
        <v>2017.01</v>
      </c>
      <c r="B238" s="1591">
        <v>45.48748333333333</v>
      </c>
      <c r="C238" s="311">
        <v>49.430642499999998</v>
      </c>
      <c r="D238" s="1587">
        <v>41.309131000000001</v>
      </c>
      <c r="E238" s="311">
        <v>47.757828000000003</v>
      </c>
      <c r="F238" s="1347">
        <v>57.053638500000005</v>
      </c>
      <c r="G238" s="375">
        <v>28.588879499999997</v>
      </c>
      <c r="H238" s="166">
        <v>44.466782000000002</v>
      </c>
    </row>
    <row r="239" spans="1:8">
      <c r="A239" s="49">
        <f t="shared" si="1"/>
        <v>2017.02</v>
      </c>
      <c r="B239" s="1591">
        <v>41.955128166666668</v>
      </c>
      <c r="C239" s="311">
        <v>43.99316533333333</v>
      </c>
      <c r="D239" s="1587">
        <v>38.398692833333335</v>
      </c>
      <c r="E239" s="311">
        <v>44.613573000000002</v>
      </c>
      <c r="F239" s="1347">
        <v>54.013998000000001</v>
      </c>
      <c r="G239" s="375">
        <v>23.417744499999998</v>
      </c>
      <c r="H239" s="166">
        <v>40.681771833333336</v>
      </c>
    </row>
    <row r="240" spans="1:8">
      <c r="A240" s="49">
        <f t="shared" si="1"/>
        <v>2017.03</v>
      </c>
      <c r="B240" s="1591">
        <v>43.939394666666665</v>
      </c>
      <c r="C240" s="311">
        <v>45.807209</v>
      </c>
      <c r="D240" s="1587">
        <v>37.266226166666669</v>
      </c>
      <c r="E240" s="311">
        <v>45.598739500000001</v>
      </c>
      <c r="F240" s="1347">
        <v>54.243830000000003</v>
      </c>
      <c r="G240" s="375">
        <v>23.007726999999999</v>
      </c>
      <c r="H240" s="166">
        <v>40.950098833333335</v>
      </c>
    </row>
    <row r="241" spans="1:8">
      <c r="A241" s="49">
        <f t="shared" si="1"/>
        <v>2017.04</v>
      </c>
      <c r="B241" s="1591">
        <v>50.39</v>
      </c>
      <c r="C241" s="311">
        <v>49.17</v>
      </c>
      <c r="D241" s="1587">
        <v>43.22</v>
      </c>
      <c r="E241" s="311">
        <v>49</v>
      </c>
      <c r="F241" s="1347">
        <v>62.1</v>
      </c>
      <c r="G241" s="375">
        <v>27.5</v>
      </c>
      <c r="H241" s="166">
        <v>46.19</v>
      </c>
    </row>
    <row r="242" spans="1:8">
      <c r="A242" s="49">
        <f t="shared" si="1"/>
        <v>2017.05</v>
      </c>
      <c r="B242" s="1591">
        <v>49.643320499999994</v>
      </c>
      <c r="C242" s="311">
        <v>49.326074833333337</v>
      </c>
      <c r="D242" s="1587">
        <v>42.549668666666669</v>
      </c>
      <c r="E242" s="311">
        <v>49.094599000000002</v>
      </c>
      <c r="F242" s="1347">
        <v>59.630817499999999</v>
      </c>
      <c r="G242" s="375">
        <v>28.551417999999998</v>
      </c>
      <c r="H242" s="166">
        <v>45.76</v>
      </c>
    </row>
    <row r="243" spans="1:8">
      <c r="A243" s="49">
        <f t="shared" si="1"/>
        <v>2017.06</v>
      </c>
      <c r="B243" s="1591">
        <v>45.064101999999998</v>
      </c>
      <c r="C243" s="311">
        <v>45.597484999999999</v>
      </c>
      <c r="D243" s="1587">
        <v>39.098362000000002</v>
      </c>
      <c r="E243" s="311">
        <v>45.314267878780001</v>
      </c>
      <c r="F243" s="1347">
        <v>54.590424173629998</v>
      </c>
      <c r="G243" s="375">
        <v>26.223971587379999</v>
      </c>
      <c r="H243" s="166">
        <v>42.042889000000002</v>
      </c>
    </row>
    <row r="244" spans="1:8">
      <c r="A244" s="49">
        <f t="shared" si="1"/>
        <v>2017.07</v>
      </c>
      <c r="B244" s="1591">
        <v>43.475451999999997</v>
      </c>
      <c r="C244" s="311">
        <v>46.909668000000003</v>
      </c>
      <c r="D244" s="1587">
        <v>39.630226</v>
      </c>
      <c r="E244" s="311">
        <v>45.109874579309995</v>
      </c>
      <c r="F244" s="1347">
        <v>53.625070619599995</v>
      </c>
      <c r="G244" s="375">
        <v>28.694257371590002</v>
      </c>
      <c r="H244" s="166">
        <v>42.476402</v>
      </c>
    </row>
    <row r="245" spans="1:8">
      <c r="A245" s="49">
        <f t="shared" si="1"/>
        <v>2017.08</v>
      </c>
      <c r="B245" s="1591">
        <v>50.229660000000003</v>
      </c>
      <c r="C245" s="311">
        <v>50.877192999999998</v>
      </c>
      <c r="D245" s="1587">
        <v>44.950333000000001</v>
      </c>
      <c r="E245" s="311">
        <v>49.362603565459999</v>
      </c>
      <c r="F245" s="1347">
        <v>62.457999664880006</v>
      </c>
      <c r="G245" s="375">
        <v>31.00887574347</v>
      </c>
      <c r="H245" s="166">
        <v>47.609828999999998</v>
      </c>
    </row>
    <row r="246" spans="1:8">
      <c r="A246" s="49">
        <f t="shared" si="1"/>
        <v>2017.09</v>
      </c>
      <c r="B246" s="1591">
        <v>53.787875999999997</v>
      </c>
      <c r="C246" s="311">
        <v>56.125576000000002</v>
      </c>
      <c r="D246" s="1587">
        <v>47.296543</v>
      </c>
      <c r="E246" s="311">
        <v>52.282850372959999</v>
      </c>
      <c r="F246" s="1347">
        <v>62.949154933369996</v>
      </c>
      <c r="G246" s="375">
        <v>37.887232799860001</v>
      </c>
      <c r="H246" s="166">
        <v>51.039745000000003</v>
      </c>
    </row>
    <row r="247" spans="1:8">
      <c r="A247" s="49">
        <f t="shared" si="1"/>
        <v>2017.1</v>
      </c>
      <c r="B247" s="1591">
        <v>56.160831000000002</v>
      </c>
      <c r="C247" s="311">
        <v>55.989581999999999</v>
      </c>
      <c r="D247" s="1587">
        <v>46.792763000000001</v>
      </c>
      <c r="E247" s="311">
        <v>51.251850140759998</v>
      </c>
      <c r="F247" s="1347">
        <v>60.586358012719998</v>
      </c>
      <c r="G247" s="375">
        <v>41.483194004680001</v>
      </c>
      <c r="H247" s="166">
        <v>51.107132</v>
      </c>
    </row>
    <row r="248" spans="1:8">
      <c r="A248" s="49">
        <f t="shared" si="1"/>
        <v>2017.11</v>
      </c>
      <c r="B248" s="1591">
        <v>54.560367999999997</v>
      </c>
      <c r="C248" s="311">
        <v>55.944961999999997</v>
      </c>
      <c r="D248" s="1587">
        <v>47.286186000000001</v>
      </c>
      <c r="E248" s="311">
        <v>50.93819111186</v>
      </c>
      <c r="F248" s="1347">
        <v>62.240399277579996</v>
      </c>
      <c r="G248" s="375">
        <v>40.126972981259996</v>
      </c>
      <c r="H248" s="166">
        <v>51.101855999999998</v>
      </c>
    </row>
    <row r="249" spans="1:8">
      <c r="A249" s="49">
        <f t="shared" si="1"/>
        <v>2017.12</v>
      </c>
      <c r="B249" s="1591">
        <v>47.868217000000001</v>
      </c>
      <c r="C249" s="311">
        <v>47.984921</v>
      </c>
      <c r="D249" s="1587">
        <v>39.018951000000001</v>
      </c>
      <c r="E249" s="311">
        <v>45.430436970119999</v>
      </c>
      <c r="F249" s="1347">
        <v>52.883662372069999</v>
      </c>
      <c r="G249" s="375">
        <v>31.225614216159997</v>
      </c>
      <c r="H249" s="166">
        <v>43.179904999999998</v>
      </c>
    </row>
    <row r="250" spans="1:8">
      <c r="A250" s="49">
        <f t="shared" si="1"/>
        <v>2018.01</v>
      </c>
      <c r="B250" s="1591">
        <v>47.095962999999998</v>
      </c>
      <c r="C250" s="311">
        <v>46.582546000000001</v>
      </c>
      <c r="D250" s="1587">
        <v>43.818984999999998</v>
      </c>
      <c r="E250" s="311">
        <v>46.553070753729997</v>
      </c>
      <c r="F250" s="1347">
        <v>54.487129062499996</v>
      </c>
      <c r="G250" s="375">
        <v>34.52593056325</v>
      </c>
      <c r="H250" s="166">
        <v>45.188713</v>
      </c>
    </row>
    <row r="251" spans="1:8">
      <c r="A251" s="49">
        <f t="shared" si="1"/>
        <v>2018.02</v>
      </c>
      <c r="B251" s="1591">
        <v>45.898437999999999</v>
      </c>
      <c r="C251" s="311">
        <v>46.729461999999998</v>
      </c>
      <c r="D251" s="1587">
        <v>41.532691999999997</v>
      </c>
      <c r="E251" s="311">
        <v>43.767911922110002</v>
      </c>
      <c r="F251" s="1347">
        <v>51.535661455530004</v>
      </c>
      <c r="G251" s="375">
        <v>36.16428526192</v>
      </c>
      <c r="H251" s="166">
        <v>43.822620000000001</v>
      </c>
    </row>
    <row r="252" spans="1:8">
      <c r="A252" s="49">
        <f t="shared" si="1"/>
        <v>2018.03</v>
      </c>
      <c r="B252" s="1591">
        <v>44.617381999999999</v>
      </c>
      <c r="C252" s="311">
        <v>45.794871999999998</v>
      </c>
      <c r="D252" s="1587">
        <v>42.434207999999998</v>
      </c>
      <c r="E252" s="311">
        <v>45.97984296448</v>
      </c>
      <c r="F252" s="1347">
        <v>52.775106554130005</v>
      </c>
      <c r="G252" s="375">
        <v>32.683868532619996</v>
      </c>
      <c r="H252" s="166">
        <v>43.812939</v>
      </c>
    </row>
    <row r="253" spans="1:8">
      <c r="A253" s="49">
        <f t="shared" si="1"/>
        <v>2018.04</v>
      </c>
      <c r="B253" s="1591">
        <v>45.144359999999999</v>
      </c>
      <c r="C253" s="311">
        <v>41.912525000000002</v>
      </c>
      <c r="D253" s="1587">
        <v>37.527591999999999</v>
      </c>
      <c r="E253" s="311">
        <v>41.565719257889995</v>
      </c>
      <c r="F253" s="1347">
        <v>48.298405755060003</v>
      </c>
      <c r="G253" s="375">
        <v>30.39488400015</v>
      </c>
      <c r="H253" s="166">
        <v>40.086334000000001</v>
      </c>
    </row>
    <row r="254" spans="1:8">
      <c r="A254" s="49">
        <f t="shared" si="1"/>
        <v>2018.05</v>
      </c>
      <c r="B254" s="1591">
        <v>38.294421999999997</v>
      </c>
      <c r="C254" s="311">
        <v>39.289448</v>
      </c>
      <c r="D254" s="1587">
        <v>33.550491000000001</v>
      </c>
      <c r="E254" s="311">
        <v>37.882503988059995</v>
      </c>
      <c r="F254" s="1347">
        <v>48.240434373569997</v>
      </c>
      <c r="G254" s="375">
        <v>22.078479109070003</v>
      </c>
      <c r="H254" s="166">
        <v>36.067138999999997</v>
      </c>
    </row>
    <row r="255" spans="1:8">
      <c r="A255" s="49">
        <f t="shared" si="1"/>
        <v>2018.06</v>
      </c>
      <c r="B255" s="1591">
        <v>36.975067000000003</v>
      </c>
      <c r="C255" s="311">
        <v>41.640864999999998</v>
      </c>
      <c r="D255" s="1587">
        <v>32.419711999999997</v>
      </c>
      <c r="E255" s="311">
        <v>37.680111353339996</v>
      </c>
      <c r="F255" s="1347">
        <v>48.097419010270002</v>
      </c>
      <c r="G255" s="375">
        <v>22.147412849219997</v>
      </c>
      <c r="H255" s="166">
        <v>35.974978999999998</v>
      </c>
    </row>
    <row r="256" spans="1:8">
      <c r="A256" s="49">
        <f t="shared" si="1"/>
        <v>2018.07</v>
      </c>
      <c r="B256" s="1591">
        <v>37.065635999999998</v>
      </c>
      <c r="C256" s="311">
        <v>39.859596000000003</v>
      </c>
      <c r="D256" s="1587">
        <v>33.940398999999999</v>
      </c>
      <c r="E256" s="311">
        <v>37.938534809510003</v>
      </c>
      <c r="F256" s="1347">
        <v>50.60035592338</v>
      </c>
      <c r="G256" s="375">
        <v>20.224556417270001</v>
      </c>
      <c r="H256" s="166">
        <v>36.254482000000003</v>
      </c>
    </row>
    <row r="257" spans="1:8">
      <c r="A257" s="49">
        <f t="shared" si="1"/>
        <v>2018.08</v>
      </c>
      <c r="B257" s="1591">
        <v>38.451447000000002</v>
      </c>
      <c r="C257" s="311">
        <v>39.097549000000001</v>
      </c>
      <c r="D257" s="1587">
        <v>33.955627</v>
      </c>
      <c r="E257" s="311">
        <v>38.665933813509994</v>
      </c>
      <c r="F257" s="1347">
        <v>51.092113657710001</v>
      </c>
      <c r="G257" s="375">
        <v>18.990516074089999</v>
      </c>
      <c r="H257" s="166">
        <v>36.249523000000003</v>
      </c>
    </row>
    <row r="258" spans="1:8">
      <c r="A258" s="49">
        <f t="shared" ref="A258:A321" si="2">A246+1</f>
        <v>2018.09</v>
      </c>
      <c r="B258" s="1591">
        <v>35.261436000000003</v>
      </c>
      <c r="C258" s="311">
        <v>35.798664000000002</v>
      </c>
      <c r="D258" s="1587">
        <v>32.036422999999999</v>
      </c>
      <c r="E258" s="311">
        <v>36.203712035439999</v>
      </c>
      <c r="F258" s="1347">
        <v>52.141767153739998</v>
      </c>
      <c r="G258" s="375">
        <v>12.76794576196</v>
      </c>
      <c r="H258" s="166">
        <v>33.704475000000002</v>
      </c>
    </row>
    <row r="259" spans="1:8">
      <c r="A259" s="49">
        <f t="shared" si="2"/>
        <v>2018.1</v>
      </c>
      <c r="B259" s="1591">
        <v>35.098038000000003</v>
      </c>
      <c r="C259" s="311">
        <v>33.397339000000002</v>
      </c>
      <c r="D259" s="1587">
        <v>31.478407000000001</v>
      </c>
      <c r="E259" s="311">
        <v>33.711635056760002</v>
      </c>
      <c r="F259" s="1347">
        <v>50.857316712349999</v>
      </c>
      <c r="G259" s="375">
        <v>13.361957884200001</v>
      </c>
      <c r="H259" s="166">
        <v>32.643635000000003</v>
      </c>
    </row>
    <row r="260" spans="1:8">
      <c r="A260" s="49">
        <f t="shared" si="2"/>
        <v>2018.11</v>
      </c>
      <c r="B260" s="1591">
        <v>35.401001000000001</v>
      </c>
      <c r="C260" s="311">
        <v>35.007851000000002</v>
      </c>
      <c r="D260" s="1587">
        <v>29.438997000000001</v>
      </c>
      <c r="E260" s="311">
        <v>33.40263082856</v>
      </c>
      <c r="F260" s="1347">
        <v>50.00117535007</v>
      </c>
      <c r="G260" s="375">
        <v>12.888798568489999</v>
      </c>
      <c r="H260" s="166">
        <v>32.097534000000003</v>
      </c>
    </row>
    <row r="261" spans="1:8">
      <c r="A261" s="49">
        <f t="shared" si="2"/>
        <v>2018.12</v>
      </c>
      <c r="B261" s="1591">
        <v>38.996139999999997</v>
      </c>
      <c r="C261" s="311">
        <v>37.532299000000002</v>
      </c>
      <c r="D261" s="1587">
        <v>34.206080999999998</v>
      </c>
      <c r="E261" s="311">
        <v>38.626457480279996</v>
      </c>
      <c r="F261" s="1347">
        <v>55.071457733689996</v>
      </c>
      <c r="G261" s="375">
        <v>14.270962935099998</v>
      </c>
      <c r="H261" s="166">
        <v>35.989628000000003</v>
      </c>
    </row>
    <row r="262" spans="1:8">
      <c r="A262" s="49">
        <f t="shared" si="2"/>
        <v>2019.01</v>
      </c>
      <c r="B262" s="1591">
        <v>32.165405</v>
      </c>
      <c r="C262" s="311">
        <v>37.283386</v>
      </c>
      <c r="D262" s="1587">
        <v>30.976431000000002</v>
      </c>
      <c r="E262" s="311">
        <v>34.565555449069997</v>
      </c>
      <c r="F262" s="1347">
        <v>49.156249305390006</v>
      </c>
      <c r="G262" s="375">
        <v>15.581426851469999</v>
      </c>
      <c r="H262" s="166">
        <v>33.101078000000001</v>
      </c>
    </row>
    <row r="263" spans="1:8">
      <c r="A263" s="49">
        <f t="shared" si="2"/>
        <v>2019.02</v>
      </c>
      <c r="B263" s="1591">
        <v>38.852814000000002</v>
      </c>
      <c r="C263" s="311">
        <v>37.906047999999998</v>
      </c>
      <c r="D263" s="1587">
        <v>34.128287999999998</v>
      </c>
      <c r="E263" s="311">
        <v>38.620090974319993</v>
      </c>
      <c r="F263" s="1347">
        <v>54.390336324589995</v>
      </c>
      <c r="G263" s="375">
        <v>15.109477463529998</v>
      </c>
      <c r="H263" s="166">
        <v>36.039966999999997</v>
      </c>
    </row>
    <row r="264" spans="1:8">
      <c r="A264" s="49">
        <f t="shared" si="2"/>
        <v>2019.03</v>
      </c>
      <c r="B264" s="1591">
        <v>33.266128999999999</v>
      </c>
      <c r="C264" s="311">
        <v>37.551124999999999</v>
      </c>
      <c r="D264" s="1587">
        <v>33.666668000000001</v>
      </c>
      <c r="E264" s="311">
        <v>37.498310851189999</v>
      </c>
      <c r="F264" s="1347">
        <v>51.752874043459997</v>
      </c>
      <c r="G264" s="375">
        <v>15.132680085180001</v>
      </c>
      <c r="H264" s="166">
        <v>34.794620999999999</v>
      </c>
    </row>
    <row r="265" spans="1:8">
      <c r="A265" s="49">
        <f t="shared" si="2"/>
        <v>2019.04</v>
      </c>
      <c r="B265" s="1591">
        <v>35.040984999999999</v>
      </c>
      <c r="C265" s="311">
        <v>35.054080999999996</v>
      </c>
      <c r="D265" s="1587">
        <v>33.854168000000001</v>
      </c>
      <c r="E265" s="311">
        <v>37.030688040009998</v>
      </c>
      <c r="F265" s="1347">
        <v>54.030130540969999</v>
      </c>
      <c r="G265" s="375">
        <v>12.17260735969</v>
      </c>
      <c r="H265" s="166">
        <v>34.411144</v>
      </c>
    </row>
    <row r="266" spans="1:8">
      <c r="A266" s="49">
        <f t="shared" si="2"/>
        <v>2019.05</v>
      </c>
      <c r="B266" s="1591">
        <v>39.353740999999999</v>
      </c>
      <c r="C266" s="311">
        <v>38.760288000000003</v>
      </c>
      <c r="D266" s="1587">
        <v>34.297966000000002</v>
      </c>
      <c r="E266" s="311">
        <v>37.613519348609998</v>
      </c>
      <c r="F266" s="1347">
        <v>58.03389583045</v>
      </c>
      <c r="G266" s="375">
        <v>13.77008360692</v>
      </c>
      <c r="H266" s="166">
        <v>36.472499999999997</v>
      </c>
    </row>
    <row r="267" spans="1:8">
      <c r="A267" s="49">
        <f t="shared" si="2"/>
        <v>2019.06</v>
      </c>
      <c r="B267" s="1591">
        <v>42.987803999999997</v>
      </c>
      <c r="C267" s="311">
        <v>42.030074999999997</v>
      </c>
      <c r="D267" s="1587">
        <v>39.017662000000001</v>
      </c>
      <c r="E267" s="311">
        <v>42.305173465289997</v>
      </c>
      <c r="F267" s="1347">
        <v>62.787175433260003</v>
      </c>
      <c r="G267" s="375">
        <v>16.6303533723</v>
      </c>
      <c r="H267" s="166">
        <v>40.574233999999997</v>
      </c>
    </row>
    <row r="268" spans="1:8">
      <c r="A268" s="49">
        <f t="shared" si="2"/>
        <v>2019.07</v>
      </c>
      <c r="B268" s="1591">
        <v>45.667991999999998</v>
      </c>
      <c r="C268" s="311">
        <v>46.286369000000001</v>
      </c>
      <c r="D268" s="1587">
        <v>42.519252999999999</v>
      </c>
      <c r="E268" s="311">
        <v>45.966042368029996</v>
      </c>
      <c r="F268" s="1347">
        <v>65.880499818849998</v>
      </c>
      <c r="G268" s="375">
        <v>20.683087264539999</v>
      </c>
      <c r="H268" s="166">
        <v>44.176544</v>
      </c>
    </row>
    <row r="269" spans="1:8">
      <c r="A269" s="49">
        <f t="shared" si="2"/>
        <v>2019.08</v>
      </c>
      <c r="B269" s="1591">
        <v>44.93927</v>
      </c>
      <c r="C269" s="311">
        <v>41.653903999999997</v>
      </c>
      <c r="D269" s="1587">
        <v>41.065575000000003</v>
      </c>
      <c r="E269" s="311">
        <v>45.791345218870006</v>
      </c>
      <c r="F269" s="1347">
        <v>61.450769948439998</v>
      </c>
      <c r="G269" s="375">
        <v>18.34639094892</v>
      </c>
      <c r="H269" s="166">
        <v>41.862834999999997</v>
      </c>
    </row>
    <row r="270" spans="1:8">
      <c r="A270" s="49">
        <f t="shared" si="2"/>
        <v>2019.09</v>
      </c>
      <c r="B270" s="1591">
        <v>44.421768</v>
      </c>
      <c r="C270" s="311">
        <v>42.928134999999997</v>
      </c>
      <c r="D270" s="1587">
        <v>40.919159000000001</v>
      </c>
      <c r="E270" s="311">
        <v>45.74966665625</v>
      </c>
      <c r="F270" s="1347">
        <v>63.721702301820002</v>
      </c>
      <c r="G270" s="375">
        <v>16.808487104599998</v>
      </c>
      <c r="H270" s="166">
        <v>42.093285000000002</v>
      </c>
    </row>
    <row r="271" spans="1:8">
      <c r="A271" s="49">
        <f t="shared" si="2"/>
        <v>2019.1</v>
      </c>
      <c r="B271" s="1591">
        <v>42.237904</v>
      </c>
      <c r="C271" s="311">
        <v>44.928097000000001</v>
      </c>
      <c r="D271" s="1587">
        <v>43.566772</v>
      </c>
      <c r="E271" s="311">
        <v>46.468533439639998</v>
      </c>
      <c r="F271" s="1347">
        <v>67.091704852790002</v>
      </c>
      <c r="G271" s="375">
        <v>17.756998565469999</v>
      </c>
      <c r="H271" s="166">
        <v>43.772410999999998</v>
      </c>
    </row>
    <row r="272" spans="1:8">
      <c r="A272" s="49">
        <f t="shared" si="2"/>
        <v>2019.11</v>
      </c>
      <c r="B272" s="1591">
        <v>39.676113000000001</v>
      </c>
      <c r="C272" s="311">
        <v>40.201324</v>
      </c>
      <c r="D272" s="1587">
        <v>42.519252999999999</v>
      </c>
      <c r="E272" s="311">
        <v>45.393638142370001</v>
      </c>
      <c r="F272" s="1347">
        <v>61.23419997021</v>
      </c>
      <c r="G272" s="375">
        <v>17.435774606159999</v>
      </c>
      <c r="H272" s="166">
        <v>41.354537999999998</v>
      </c>
    </row>
    <row r="273" spans="1:8">
      <c r="A273" s="49">
        <f t="shared" si="2"/>
        <v>2019.12</v>
      </c>
      <c r="B273" s="1591">
        <v>42.105263000000001</v>
      </c>
      <c r="C273" s="311">
        <v>43.087265000000002</v>
      </c>
      <c r="D273" s="1587">
        <v>41.996699999999997</v>
      </c>
      <c r="E273" s="311">
        <v>46.855713758210001</v>
      </c>
      <c r="F273" s="1347">
        <v>63.13516935869999</v>
      </c>
      <c r="G273" s="375">
        <v>17.05389291937</v>
      </c>
      <c r="H273" s="166">
        <v>42.348258999999999</v>
      </c>
    </row>
    <row r="274" spans="1:8">
      <c r="A274" s="49">
        <f t="shared" si="2"/>
        <v>2020.01</v>
      </c>
      <c r="B274" s="1591">
        <v>40.442180999999998</v>
      </c>
      <c r="C274" s="311">
        <v>42.431190000000001</v>
      </c>
      <c r="D274" s="1587">
        <v>44.155845999999997</v>
      </c>
      <c r="E274" s="311">
        <v>48.997988772369993</v>
      </c>
      <c r="F274" s="1347">
        <v>62.108874201580001</v>
      </c>
      <c r="G274" s="375">
        <v>17.996636558379997</v>
      </c>
      <c r="H274" s="166">
        <v>43.034500000000001</v>
      </c>
    </row>
    <row r="275" spans="1:8">
      <c r="A275" s="49">
        <f t="shared" si="2"/>
        <v>2020.02</v>
      </c>
      <c r="B275" s="1591">
        <v>38.911288999999996</v>
      </c>
      <c r="C275" s="311">
        <v>39.283893999999997</v>
      </c>
      <c r="D275" s="1587">
        <v>45.861111000000001</v>
      </c>
      <c r="E275" s="311">
        <v>50.314045111980001</v>
      </c>
      <c r="F275" s="1347">
        <v>59.012524569599996</v>
      </c>
      <c r="G275" s="375">
        <v>18.878411092269999</v>
      </c>
      <c r="H275" s="166">
        <v>42.734993000000003</v>
      </c>
    </row>
    <row r="276" spans="1:8">
      <c r="A276" s="49">
        <f t="shared" si="2"/>
        <v>2020.03</v>
      </c>
      <c r="B276" s="1591">
        <v>38.642474999999997</v>
      </c>
      <c r="C276" s="311">
        <v>39.513252000000001</v>
      </c>
      <c r="D276" s="1587">
        <v>42.991168999999999</v>
      </c>
      <c r="E276" s="311">
        <v>49.341675772789998</v>
      </c>
      <c r="F276" s="1347">
        <v>56.52406079344</v>
      </c>
      <c r="G276" s="375">
        <v>17.826097415020001</v>
      </c>
      <c r="H276" s="166">
        <v>41.230609999999999</v>
      </c>
    </row>
    <row r="277" spans="1:8">
      <c r="A277" s="49">
        <f t="shared" si="2"/>
        <v>2020.04</v>
      </c>
      <c r="B277" s="1591">
        <v>36.220474000000003</v>
      </c>
      <c r="C277" s="311">
        <v>38.880329000000003</v>
      </c>
      <c r="D277" s="1587">
        <v>40.416668000000001</v>
      </c>
      <c r="E277" s="311">
        <v>52.276134378279991</v>
      </c>
      <c r="F277" s="1347">
        <v>57.549850900669995</v>
      </c>
      <c r="G277" s="375">
        <v>8.0028556216700011</v>
      </c>
      <c r="H277" s="166">
        <v>39.276279000000002</v>
      </c>
    </row>
    <row r="278" spans="1:8">
      <c r="A278" s="49">
        <f t="shared" si="2"/>
        <v>2020.05</v>
      </c>
      <c r="B278" s="1591">
        <v>36.276454999999999</v>
      </c>
      <c r="C278" s="311">
        <v>38.706806</v>
      </c>
      <c r="D278" s="1587">
        <v>38.888888999999999</v>
      </c>
      <c r="E278" s="311">
        <v>46.812932941649997</v>
      </c>
      <c r="F278" s="1347">
        <v>53.382233147439997</v>
      </c>
      <c r="G278" s="375">
        <v>15.054136909049999</v>
      </c>
      <c r="H278" s="166">
        <v>38.416435</v>
      </c>
    </row>
    <row r="279" spans="1:8">
      <c r="A279" s="49">
        <f t="shared" si="2"/>
        <v>2020.06</v>
      </c>
      <c r="B279" s="1591">
        <v>41.531165999999999</v>
      </c>
      <c r="C279" s="311">
        <v>37.996941</v>
      </c>
      <c r="D279" s="1587">
        <v>39.700996000000004</v>
      </c>
      <c r="E279" s="311">
        <v>44.658682041549994</v>
      </c>
      <c r="F279" s="1347">
        <v>52.602156481159994</v>
      </c>
      <c r="G279" s="375">
        <v>21.146782402079999</v>
      </c>
      <c r="H279" s="166">
        <v>39.469208000000002</v>
      </c>
    </row>
    <row r="280" spans="1:8">
      <c r="A280" s="49">
        <f t="shared" si="2"/>
        <v>2020.07</v>
      </c>
      <c r="B280" s="1591">
        <v>40.763053999999997</v>
      </c>
      <c r="C280" s="311">
        <v>39.397433999999997</v>
      </c>
      <c r="D280" s="1587">
        <v>36.716171000000003</v>
      </c>
      <c r="E280" s="311">
        <v>42.095872620000009</v>
      </c>
      <c r="F280" s="1347">
        <v>50.408116438250005</v>
      </c>
      <c r="G280" s="375">
        <v>22.046107245350001</v>
      </c>
      <c r="H280" s="166">
        <v>38.183365000000002</v>
      </c>
    </row>
    <row r="281" spans="1:8">
      <c r="A281" s="49">
        <f t="shared" si="2"/>
        <v>2020.08</v>
      </c>
      <c r="B281" s="1591">
        <v>44.708995999999999</v>
      </c>
      <c r="C281" s="311">
        <v>41.243591000000002</v>
      </c>
      <c r="D281" s="1587">
        <v>40.342162999999999</v>
      </c>
      <c r="E281" s="311">
        <v>45.438716546820004</v>
      </c>
      <c r="F281" s="1347">
        <v>52.289190333709996</v>
      </c>
      <c r="G281" s="375">
        <v>26.214325600870001</v>
      </c>
      <c r="H281" s="166">
        <v>41.314079</v>
      </c>
    </row>
    <row r="282" spans="1:8">
      <c r="A282" s="49">
        <f t="shared" si="2"/>
        <v>2020.09</v>
      </c>
      <c r="B282" s="1591">
        <v>38.446213</v>
      </c>
      <c r="C282" s="311">
        <v>39.111454000000002</v>
      </c>
      <c r="D282" s="1587">
        <v>41.555923</v>
      </c>
      <c r="E282" s="311">
        <v>44.96872245198</v>
      </c>
      <c r="F282" s="1347">
        <v>50.831800140050007</v>
      </c>
      <c r="G282" s="375">
        <v>25.12922759576</v>
      </c>
      <c r="H282" s="166">
        <v>40.309916999999999</v>
      </c>
    </row>
    <row r="283" spans="1:8">
      <c r="A283" s="49">
        <f t="shared" si="2"/>
        <v>2020.1</v>
      </c>
      <c r="B283" s="1591">
        <v>40.376984</v>
      </c>
      <c r="C283" s="311">
        <v>36.406894999999999</v>
      </c>
      <c r="D283" s="1587">
        <v>39.762690999999997</v>
      </c>
      <c r="E283" s="311">
        <v>40.749706459739997</v>
      </c>
      <c r="F283" s="1347">
        <v>46.848375587690001</v>
      </c>
      <c r="G283" s="375">
        <v>28.892808034439998</v>
      </c>
      <c r="H283" s="166">
        <v>38.830295999999997</v>
      </c>
    </row>
    <row r="284" spans="1:8">
      <c r="A284" s="49">
        <f t="shared" si="2"/>
        <v>2020.11</v>
      </c>
      <c r="B284" s="1591">
        <v>40.866669000000002</v>
      </c>
      <c r="C284" s="311">
        <v>39.519032000000003</v>
      </c>
      <c r="D284" s="1587">
        <v>41.639256000000003</v>
      </c>
      <c r="E284" s="311">
        <v>43.789939915619996</v>
      </c>
      <c r="F284" s="1347">
        <v>49.728802860529996</v>
      </c>
      <c r="G284" s="375">
        <v>29.076506127029997</v>
      </c>
      <c r="H284" s="166">
        <v>40.865082000000001</v>
      </c>
    </row>
    <row r="285" spans="1:8">
      <c r="A285" s="49">
        <f t="shared" si="2"/>
        <v>2020.12</v>
      </c>
      <c r="B285" s="1591">
        <v>39.756259999999997</v>
      </c>
      <c r="C285" s="311">
        <v>38.549717000000001</v>
      </c>
      <c r="D285" s="1587">
        <v>39.631461999999999</v>
      </c>
      <c r="E285" s="311">
        <v>41.204636982020006</v>
      </c>
      <c r="F285" s="1347">
        <v>47.821677183779997</v>
      </c>
      <c r="G285" s="375">
        <v>28.930598473450001</v>
      </c>
      <c r="H285" s="166">
        <v>39.31897</v>
      </c>
    </row>
    <row r="286" spans="1:8">
      <c r="A286" s="49">
        <f t="shared" si="2"/>
        <v>2021.01</v>
      </c>
      <c r="B286" s="1591">
        <v>36.909450999999997</v>
      </c>
      <c r="C286" s="311">
        <v>36.566203999999999</v>
      </c>
      <c r="D286" s="1587">
        <v>39.527779000000002</v>
      </c>
      <c r="E286" s="311">
        <v>40.847265291260001</v>
      </c>
      <c r="F286" s="1347">
        <v>46.201903917910002</v>
      </c>
      <c r="G286" s="375">
        <v>27.554969257049997</v>
      </c>
      <c r="H286" s="166">
        <v>38.201382000000002</v>
      </c>
    </row>
    <row r="287" spans="1:8">
      <c r="A287" s="49">
        <f t="shared" si="2"/>
        <v>2021.02</v>
      </c>
      <c r="B287" s="1591">
        <v>38.118487999999999</v>
      </c>
      <c r="C287" s="311">
        <v>35.647427</v>
      </c>
      <c r="D287" s="1587">
        <v>38.879871000000001</v>
      </c>
      <c r="E287" s="311">
        <v>41.099406800799997</v>
      </c>
      <c r="F287" s="1347">
        <v>43.347487370259998</v>
      </c>
      <c r="G287" s="375">
        <v>28.851648098869997</v>
      </c>
      <c r="H287" s="166">
        <v>37.766182000000001</v>
      </c>
    </row>
    <row r="288" spans="1:8">
      <c r="A288" s="49">
        <f t="shared" si="2"/>
        <v>2021.03</v>
      </c>
      <c r="B288" s="1591">
        <v>36.764705999999997</v>
      </c>
      <c r="C288" s="311">
        <v>36.210472000000003</v>
      </c>
      <c r="D288" s="1587">
        <v>39.762695000000001</v>
      </c>
      <c r="E288" s="311">
        <v>43.188147749199999</v>
      </c>
      <c r="F288" s="1347">
        <v>44.40126909704999</v>
      </c>
      <c r="G288" s="375">
        <v>26.99421873108</v>
      </c>
      <c r="H288" s="166">
        <v>38.194546000000003</v>
      </c>
    </row>
    <row r="289" spans="1:8">
      <c r="A289" s="49">
        <f t="shared" si="2"/>
        <v>2021.04</v>
      </c>
      <c r="B289" s="1591">
        <v>37.599997999999999</v>
      </c>
      <c r="C289" s="311">
        <v>32.686337000000002</v>
      </c>
      <c r="D289" s="1587">
        <v>36.182792999999997</v>
      </c>
      <c r="E289" s="311">
        <v>40.253147065090005</v>
      </c>
      <c r="F289" s="1347">
        <v>41.800343414819999</v>
      </c>
      <c r="G289" s="375">
        <v>23.95204822126</v>
      </c>
      <c r="H289" s="166">
        <v>35.335177999999999</v>
      </c>
    </row>
    <row r="290" spans="1:8">
      <c r="A290" s="49">
        <f t="shared" si="2"/>
        <v>2021.05</v>
      </c>
      <c r="B290" s="1591">
        <v>35.786288999999996</v>
      </c>
      <c r="C290" s="311">
        <v>35.394264</v>
      </c>
      <c r="D290" s="1587">
        <v>35.354374</v>
      </c>
      <c r="E290" s="311">
        <v>40.172802767760004</v>
      </c>
      <c r="F290" s="1347">
        <v>42.285388952890003</v>
      </c>
      <c r="G290" s="375">
        <v>23.847023322079998</v>
      </c>
      <c r="H290" s="166">
        <v>35.435070000000003</v>
      </c>
    </row>
    <row r="291" spans="1:8">
      <c r="A291" s="49">
        <f t="shared" si="2"/>
        <v>2021.06</v>
      </c>
      <c r="B291" s="1591">
        <v>35.629921000000003</v>
      </c>
      <c r="C291" s="311">
        <v>34.361980000000003</v>
      </c>
      <c r="D291" s="1587">
        <v>34.500542000000003</v>
      </c>
      <c r="E291" s="311">
        <v>38.932626358150003</v>
      </c>
      <c r="F291" s="1347">
        <v>43.426533991680003</v>
      </c>
      <c r="G291" s="375">
        <v>21.553626280769997</v>
      </c>
      <c r="H291" s="166">
        <v>34.637596000000002</v>
      </c>
    </row>
    <row r="292" spans="1:8">
      <c r="A292" s="49">
        <f t="shared" si="2"/>
        <v>2021.07</v>
      </c>
      <c r="B292" s="1591">
        <v>39.233333999999999</v>
      </c>
      <c r="C292" s="311">
        <v>35.346153000000001</v>
      </c>
      <c r="D292" s="1587">
        <v>38.898116999999999</v>
      </c>
      <c r="E292" s="311">
        <v>42.357486296909997</v>
      </c>
      <c r="F292" s="1347">
        <v>44.640862742080003</v>
      </c>
      <c r="G292" s="375">
        <v>26.584860387909998</v>
      </c>
      <c r="H292" s="166">
        <v>37.861069000000001</v>
      </c>
    </row>
    <row r="293" spans="1:8">
      <c r="A293" s="49">
        <f t="shared" si="2"/>
        <v>2021.08</v>
      </c>
      <c r="B293" s="1591">
        <v>37.757201999999999</v>
      </c>
      <c r="C293" s="311">
        <v>39.302146999999998</v>
      </c>
      <c r="D293" s="1587">
        <v>40.628418000000003</v>
      </c>
      <c r="E293" s="311">
        <v>44.860837492089999</v>
      </c>
      <c r="F293" s="1347">
        <v>45.081984665489998</v>
      </c>
      <c r="G293" s="375">
        <v>29.347911886119999</v>
      </c>
      <c r="H293" s="166">
        <v>39.763579999999997</v>
      </c>
    </row>
    <row r="294" spans="1:8">
      <c r="A294" s="49">
        <f t="shared" si="2"/>
        <v>2021.09</v>
      </c>
      <c r="B294" s="1591">
        <v>38.466667000000001</v>
      </c>
      <c r="C294" s="311">
        <v>40.144356000000002</v>
      </c>
      <c r="D294" s="1587">
        <v>41.349204999999998</v>
      </c>
      <c r="E294" s="311">
        <v>43.923250318130002</v>
      </c>
      <c r="F294" s="1347">
        <v>46.937122948549998</v>
      </c>
      <c r="G294" s="375">
        <v>30.699083836470002</v>
      </c>
      <c r="H294" s="166">
        <v>40.519817000000003</v>
      </c>
    </row>
    <row r="295" spans="1:8">
      <c r="A295" s="49">
        <f t="shared" si="2"/>
        <v>2021.1</v>
      </c>
      <c r="B295" s="1591">
        <v>40.176150999999997</v>
      </c>
      <c r="C295" s="311">
        <v>39.166668000000001</v>
      </c>
      <c r="D295" s="1587">
        <v>40.822071000000001</v>
      </c>
      <c r="E295" s="311">
        <v>43.502503906219999</v>
      </c>
      <c r="F295" s="1347">
        <v>46.944183764190001</v>
      </c>
      <c r="G295" s="375">
        <v>30.185515173600002</v>
      </c>
      <c r="H295" s="166">
        <v>40.210735</v>
      </c>
    </row>
    <row r="296" spans="1:8">
      <c r="A296" s="49">
        <f t="shared" si="2"/>
        <v>2021.11</v>
      </c>
      <c r="B296" s="1591">
        <v>40.021008000000002</v>
      </c>
      <c r="C296" s="311">
        <v>39.365200000000002</v>
      </c>
      <c r="D296" s="1587">
        <v>39.781421999999999</v>
      </c>
      <c r="E296" s="311">
        <v>43.737790604589996</v>
      </c>
      <c r="F296" s="1347">
        <v>44.058732260469995</v>
      </c>
      <c r="G296" s="375">
        <v>31.277853693600001</v>
      </c>
      <c r="H296" s="166">
        <v>39.691459999999999</v>
      </c>
    </row>
    <row r="297" spans="1:8">
      <c r="A297" s="49">
        <f t="shared" si="2"/>
        <v>2021.12</v>
      </c>
      <c r="B297" s="1591">
        <v>38.739669999999997</v>
      </c>
      <c r="C297" s="311">
        <v>37.628998000000003</v>
      </c>
      <c r="D297" s="1587">
        <v>37.553417000000003</v>
      </c>
      <c r="E297" s="311">
        <v>42.748564032329995</v>
      </c>
      <c r="F297" s="1347">
        <v>41.040785934089996</v>
      </c>
      <c r="G297" s="375">
        <v>29.506307235579996</v>
      </c>
      <c r="H297" s="166">
        <v>37.765217</v>
      </c>
    </row>
    <row r="298" spans="1:8">
      <c r="A298" s="49">
        <f t="shared" si="2"/>
        <v>2022.01</v>
      </c>
      <c r="B298" s="1591">
        <v>40.997321999999997</v>
      </c>
      <c r="C298" s="311">
        <v>38.888888999999999</v>
      </c>
      <c r="D298" s="1587">
        <v>40.604027000000002</v>
      </c>
      <c r="E298" s="311">
        <v>45.043856483330003</v>
      </c>
      <c r="F298" s="1347">
        <v>42.95802044789</v>
      </c>
      <c r="G298" s="375">
        <v>32.417879153130002</v>
      </c>
      <c r="H298" s="166">
        <v>40.139918999999999</v>
      </c>
    </row>
    <row r="299" spans="1:8">
      <c r="A299" s="49">
        <f t="shared" si="2"/>
        <v>2022.02</v>
      </c>
      <c r="B299" s="1591">
        <v>40.71</v>
      </c>
      <c r="C299" s="311">
        <v>38.11</v>
      </c>
      <c r="D299" s="1587">
        <v>39.799999999999997</v>
      </c>
      <c r="E299" s="311">
        <v>44.069286976180003</v>
      </c>
      <c r="F299" s="1347">
        <v>40.644060174179998</v>
      </c>
      <c r="G299" s="375">
        <v>33.565491020140001</v>
      </c>
      <c r="H299" s="166">
        <v>39.426281000000003</v>
      </c>
    </row>
    <row r="300" spans="1:8">
      <c r="A300" s="49">
        <f t="shared" si="2"/>
        <v>2022.03</v>
      </c>
      <c r="B300" s="1591">
        <v>37.959316000000001</v>
      </c>
      <c r="C300" s="311">
        <v>36.16798</v>
      </c>
      <c r="D300" s="1587">
        <v>37.031081999999998</v>
      </c>
      <c r="E300" s="311">
        <v>42.730970481119996</v>
      </c>
      <c r="F300" s="1347">
        <v>37.343528218359999</v>
      </c>
      <c r="G300" s="375">
        <v>30.666636922549998</v>
      </c>
      <c r="H300" s="166">
        <v>36.913711999999997</v>
      </c>
    </row>
    <row r="301" spans="1:8">
      <c r="A301" s="49">
        <f t="shared" si="2"/>
        <v>2022.04</v>
      </c>
      <c r="B301" s="1591">
        <v>40.97</v>
      </c>
      <c r="C301" s="311">
        <v>34.61</v>
      </c>
      <c r="D301" s="1587">
        <v>34.78</v>
      </c>
      <c r="E301" s="311">
        <v>40.326010602639997</v>
      </c>
      <c r="F301" s="1347">
        <v>40.25571820527</v>
      </c>
      <c r="G301" s="375">
        <v>26.566497528520003</v>
      </c>
      <c r="H301" s="166">
        <v>35.716076000000001</v>
      </c>
    </row>
    <row r="302" spans="1:8">
      <c r="A302" s="49">
        <f t="shared" si="2"/>
        <v>2022.05</v>
      </c>
      <c r="B302" s="1591">
        <v>35.578387999999997</v>
      </c>
      <c r="C302" s="311">
        <v>36.623932000000003</v>
      </c>
      <c r="D302" s="1587">
        <v>36.330936000000001</v>
      </c>
      <c r="E302" s="311">
        <v>40.159999999999997</v>
      </c>
      <c r="F302" s="1347">
        <v>39.15</v>
      </c>
      <c r="G302" s="375">
        <v>29.59</v>
      </c>
      <c r="H302" s="166">
        <v>36.299999999999997</v>
      </c>
    </row>
    <row r="303" spans="1:8">
      <c r="A303" s="49">
        <f t="shared" si="2"/>
        <v>2022.06</v>
      </c>
      <c r="B303" s="1591">
        <v>40.381428</v>
      </c>
      <c r="C303" s="311">
        <v>37.417000000000002</v>
      </c>
      <c r="D303" s="1587">
        <v>39.672131</v>
      </c>
      <c r="E303" s="311">
        <v>42.228374948519999</v>
      </c>
      <c r="F303" s="1347">
        <v>41.736015662859998</v>
      </c>
      <c r="G303" s="375">
        <v>33.313572683540002</v>
      </c>
      <c r="H303" s="166">
        <v>39.092655000000001</v>
      </c>
    </row>
    <row r="304" spans="1:8">
      <c r="A304" s="49">
        <f t="shared" si="2"/>
        <v>2022.07</v>
      </c>
      <c r="B304" s="1591">
        <v>38.385147000000003</v>
      </c>
      <c r="C304" s="311">
        <v>31.653224999999999</v>
      </c>
      <c r="D304" s="1587">
        <v>35.435661000000003</v>
      </c>
      <c r="E304" s="311">
        <v>37.926883019330006</v>
      </c>
      <c r="F304" s="1347">
        <v>39.598948236849999</v>
      </c>
      <c r="G304" s="375">
        <v>26.707365153410002</v>
      </c>
      <c r="H304" s="166">
        <v>34.744396000000002</v>
      </c>
    </row>
    <row r="305" spans="1:8">
      <c r="A305" s="49">
        <f t="shared" si="2"/>
        <v>2022.08</v>
      </c>
      <c r="B305" s="1591">
        <v>38.945576000000003</v>
      </c>
      <c r="C305" s="311">
        <v>36.586987000000001</v>
      </c>
      <c r="D305" s="1587">
        <v>36.743675000000003</v>
      </c>
      <c r="E305" s="311">
        <v>38.447255783339997</v>
      </c>
      <c r="F305" s="1347">
        <v>44.842289697459996</v>
      </c>
      <c r="G305" s="375">
        <v>27.848471155029998</v>
      </c>
      <c r="H305" s="166">
        <v>37.046005000000001</v>
      </c>
    </row>
    <row r="306" spans="1:8">
      <c r="A306" s="49">
        <f t="shared" si="2"/>
        <v>2022.09</v>
      </c>
      <c r="B306" s="1591">
        <v>36.208331999999999</v>
      </c>
      <c r="C306" s="311">
        <v>36.061508000000003</v>
      </c>
      <c r="D306" s="1587">
        <v>38.131312999999999</v>
      </c>
      <c r="E306" s="311">
        <v>38.729537494310001</v>
      </c>
      <c r="F306" s="1347">
        <v>44.977301135359994</v>
      </c>
      <c r="G306" s="375">
        <v>27.861299923290002</v>
      </c>
      <c r="H306" s="166">
        <v>37.189380999999997</v>
      </c>
    </row>
    <row r="307" spans="1:8">
      <c r="A307" s="49">
        <f t="shared" si="2"/>
        <v>2022.1</v>
      </c>
      <c r="B307" s="1591">
        <v>37.458331999999999</v>
      </c>
      <c r="C307" s="311">
        <v>34.656086000000002</v>
      </c>
      <c r="D307" s="1587">
        <v>35.682327000000001</v>
      </c>
      <c r="E307" s="311">
        <v>38.270086818979998</v>
      </c>
      <c r="F307" s="1347">
        <v>42.093139943760001</v>
      </c>
      <c r="G307" s="375">
        <v>26.58666109288</v>
      </c>
      <c r="H307" s="166">
        <v>35.649963</v>
      </c>
    </row>
    <row r="308" spans="1:8">
      <c r="A308" s="49">
        <f t="shared" si="2"/>
        <v>2022.11</v>
      </c>
      <c r="B308" s="1591">
        <v>34.045226999999997</v>
      </c>
      <c r="C308" s="311">
        <v>34.266666000000001</v>
      </c>
      <c r="D308" s="1587">
        <v>35.982337999999999</v>
      </c>
      <c r="E308" s="311">
        <v>37.241538201210005</v>
      </c>
      <c r="F308" s="1347">
        <v>41.727465110300002</v>
      </c>
      <c r="G308" s="375">
        <v>26.471561288899998</v>
      </c>
      <c r="H308" s="166">
        <v>35.146853999999998</v>
      </c>
    </row>
    <row r="309" spans="1:8">
      <c r="A309" s="49">
        <f t="shared" si="2"/>
        <v>2022.12</v>
      </c>
      <c r="B309" s="1591">
        <v>39.23077</v>
      </c>
      <c r="C309" s="311">
        <v>35.921222999999998</v>
      </c>
      <c r="D309" s="1587">
        <v>34.904601999999997</v>
      </c>
      <c r="E309" s="311">
        <v>40.062394240879996</v>
      </c>
      <c r="F309" s="1347">
        <v>40.266625770250002</v>
      </c>
      <c r="G309" s="375">
        <v>27.387317325310001</v>
      </c>
      <c r="H309" s="166">
        <v>35.905445</v>
      </c>
    </row>
    <row r="310" spans="1:8">
      <c r="A310" s="49">
        <f t="shared" si="2"/>
        <v>2023.01</v>
      </c>
      <c r="B310" s="1591">
        <v>38.770000000000003</v>
      </c>
      <c r="C310" s="311">
        <v>38.119999999999997</v>
      </c>
      <c r="D310" s="1587">
        <v>38.68</v>
      </c>
      <c r="E310" s="311">
        <v>40.916738594350001</v>
      </c>
      <c r="F310" s="1347">
        <v>44.60950216298</v>
      </c>
      <c r="G310" s="375">
        <v>30.033094473200002</v>
      </c>
      <c r="H310" s="166">
        <v>38.519779</v>
      </c>
    </row>
    <row r="311" spans="1:8">
      <c r="A311" s="49">
        <f t="shared" si="2"/>
        <v>2023.02</v>
      </c>
      <c r="B311" s="1591">
        <v>35.78</v>
      </c>
      <c r="C311" s="311">
        <v>37.06</v>
      </c>
      <c r="D311" s="1587">
        <v>35.799999999999997</v>
      </c>
      <c r="E311" s="311">
        <v>39.25</v>
      </c>
      <c r="F311" s="1347">
        <v>41.4</v>
      </c>
      <c r="G311" s="375">
        <v>27.89</v>
      </c>
      <c r="H311" s="166">
        <v>36.18</v>
      </c>
    </row>
    <row r="312" spans="1:8">
      <c r="A312" s="49">
        <f t="shared" si="2"/>
        <v>2023.03</v>
      </c>
      <c r="B312" s="1591">
        <v>39.729999999999997</v>
      </c>
      <c r="C312" s="311">
        <v>37.28</v>
      </c>
      <c r="D312" s="1587">
        <v>38.26</v>
      </c>
      <c r="E312" s="311">
        <v>40.576984851459997</v>
      </c>
      <c r="F312" s="1347">
        <v>44.426074624290003</v>
      </c>
      <c r="G312" s="375">
        <v>29.576785807649998</v>
      </c>
      <c r="H312" s="166">
        <v>38.193283000000001</v>
      </c>
    </row>
    <row r="313" spans="1:8">
      <c r="A313" s="49">
        <f t="shared" si="2"/>
        <v>2023.04</v>
      </c>
      <c r="B313" s="1591">
        <v>36.880341000000001</v>
      </c>
      <c r="C313" s="311">
        <v>38.585858000000002</v>
      </c>
      <c r="D313" s="1587">
        <v>36.280814499999998</v>
      </c>
      <c r="E313" s="311">
        <v>40.542368428549999</v>
      </c>
      <c r="F313" s="1347">
        <v>44.663171040270001</v>
      </c>
      <c r="G313" s="375">
        <v>26.044533120500002</v>
      </c>
      <c r="H313" s="166">
        <v>37.083359000000002</v>
      </c>
    </row>
    <row r="314" spans="1:8">
      <c r="A314" s="49">
        <f t="shared" si="2"/>
        <v>2023.05</v>
      </c>
      <c r="B314" s="1591">
        <v>38.525306999999998</v>
      </c>
      <c r="C314" s="311">
        <v>38.704425999999998</v>
      </c>
      <c r="D314" s="1587">
        <v>38.022598000000002</v>
      </c>
      <c r="E314" s="311">
        <v>39.139068863440002</v>
      </c>
      <c r="F314" s="1347">
        <v>49.113208055079994</v>
      </c>
      <c r="G314" s="375">
        <v>26.682377653049997</v>
      </c>
      <c r="H314" s="166">
        <v>38.311549999999997</v>
      </c>
    </row>
    <row r="315" spans="1:8">
      <c r="A315" s="49">
        <f t="shared" si="2"/>
        <v>2023.06</v>
      </c>
      <c r="B315" s="1591">
        <v>42.25</v>
      </c>
      <c r="C315" s="311">
        <v>40.888888999999999</v>
      </c>
      <c r="D315" s="1587">
        <v>42.166668000000001</v>
      </c>
      <c r="E315" s="311">
        <v>42.021108871050004</v>
      </c>
      <c r="F315" s="1347">
        <v>51.671038703809998</v>
      </c>
      <c r="G315" s="375">
        <v>31.670003667659998</v>
      </c>
      <c r="H315" s="166">
        <v>41.787384000000003</v>
      </c>
    </row>
    <row r="316" spans="1:8">
      <c r="A316" s="49">
        <f t="shared" si="2"/>
        <v>2023.07</v>
      </c>
      <c r="B316" s="1591">
        <v>43.39378</v>
      </c>
      <c r="C316" s="311">
        <v>43.320613999999999</v>
      </c>
      <c r="D316" s="1587">
        <v>43.757159999999999</v>
      </c>
      <c r="E316" s="311">
        <v>45.02334934177</v>
      </c>
      <c r="F316" s="1347">
        <v>52.74086049276</v>
      </c>
      <c r="G316" s="375">
        <v>32.93037169182</v>
      </c>
      <c r="H316" s="166">
        <v>43.564861000000001</v>
      </c>
    </row>
    <row r="317" spans="1:8">
      <c r="A317" s="49">
        <f t="shared" si="2"/>
        <v>2023.08</v>
      </c>
      <c r="B317" s="1591">
        <v>46.134022000000002</v>
      </c>
      <c r="C317" s="311">
        <v>43.413460000000001</v>
      </c>
      <c r="D317" s="1587">
        <v>43.822842000000001</v>
      </c>
      <c r="E317" s="311">
        <v>45.389454817819995</v>
      </c>
      <c r="F317" s="1347">
        <v>55.23894202983</v>
      </c>
      <c r="G317" s="375">
        <v>31.566493441270001</v>
      </c>
      <c r="H317" s="166">
        <v>44.064959999999999</v>
      </c>
    </row>
    <row r="318" spans="1:8">
      <c r="A318" s="49">
        <f t="shared" si="2"/>
        <v>2023.09</v>
      </c>
      <c r="B318" s="1591">
        <v>42.869872999999998</v>
      </c>
      <c r="C318" s="311">
        <v>42.562378000000002</v>
      </c>
      <c r="D318" s="1587">
        <v>44.006847</v>
      </c>
      <c r="E318" s="311">
        <v>43.770584111049999</v>
      </c>
      <c r="F318" s="1347">
        <v>57.456907339560004</v>
      </c>
      <c r="G318" s="375">
        <v>28.918460619679998</v>
      </c>
      <c r="H318" s="166">
        <v>43.381981000000003</v>
      </c>
    </row>
    <row r="319" spans="1:8">
      <c r="A319" s="49">
        <f t="shared" si="2"/>
        <v>2023.1</v>
      </c>
      <c r="B319" s="1591">
        <v>44.127808000000002</v>
      </c>
      <c r="C319" s="311">
        <v>44.685040000000001</v>
      </c>
      <c r="D319" s="1587">
        <v>45.652172</v>
      </c>
      <c r="E319" s="311">
        <v>44.181406386980001</v>
      </c>
      <c r="F319" s="1347">
        <v>56.752928789869998</v>
      </c>
      <c r="G319" s="375">
        <v>34.401863584750004</v>
      </c>
      <c r="H319" s="166">
        <v>45.112063999999997</v>
      </c>
    </row>
    <row r="320" spans="1:8">
      <c r="A320" s="49">
        <f t="shared" si="2"/>
        <v>2023.11</v>
      </c>
      <c r="B320" s="1591">
        <v>46.771377999999999</v>
      </c>
      <c r="C320" s="311">
        <v>46.712688</v>
      </c>
      <c r="D320" s="1587">
        <v>48.184818</v>
      </c>
      <c r="E320" s="311">
        <v>46.738756484870002</v>
      </c>
      <c r="F320" s="1347">
        <v>63.716745601970004</v>
      </c>
      <c r="G320" s="375">
        <v>32.06663744918</v>
      </c>
      <c r="H320" s="166">
        <v>47.507378000000003</v>
      </c>
    </row>
    <row r="321" spans="1:8">
      <c r="A321" s="49">
        <f t="shared" si="2"/>
        <v>2023.12</v>
      </c>
      <c r="B321" s="1591">
        <v>40.441177000000003</v>
      </c>
      <c r="C321" s="311">
        <v>42.236328</v>
      </c>
      <c r="D321" s="1587">
        <v>38.225254</v>
      </c>
      <c r="E321" s="311">
        <v>42.24321064131</v>
      </c>
      <c r="F321" s="1347">
        <v>59.457057116439998</v>
      </c>
      <c r="G321" s="375">
        <v>17.726281358069997</v>
      </c>
      <c r="H321" s="166">
        <v>39.808849000000002</v>
      </c>
    </row>
    <row r="322" spans="1:8">
      <c r="A322" s="49">
        <f t="shared" ref="A322:A385" si="3">A310+1</f>
        <v>2024.01</v>
      </c>
      <c r="B322" s="1591">
        <v>32.741115999999998</v>
      </c>
      <c r="C322" s="311">
        <v>40.277779000000002</v>
      </c>
      <c r="D322" s="1587">
        <v>33.759956000000003</v>
      </c>
      <c r="E322" s="311">
        <v>39.485709892370004</v>
      </c>
      <c r="F322" s="1347">
        <v>52.642471660230001</v>
      </c>
      <c r="G322" s="375">
        <v>14.664500186209999</v>
      </c>
      <c r="H322" s="166">
        <v>35.597560999999999</v>
      </c>
    </row>
    <row r="323" spans="1:8">
      <c r="A323" s="49">
        <f t="shared" si="3"/>
        <v>2024.02</v>
      </c>
      <c r="B323" s="1591">
        <v>33.758502999999997</v>
      </c>
      <c r="C323" s="311">
        <v>43.058284999999998</v>
      </c>
      <c r="D323" s="1587">
        <v>32.685814000000001</v>
      </c>
      <c r="E323" s="311">
        <v>38.620108426960002</v>
      </c>
      <c r="F323" s="1347">
        <v>52.528890168040007</v>
      </c>
      <c r="G323" s="375">
        <v>16.969751314450001</v>
      </c>
      <c r="H323" s="166">
        <v>36.039585000000002</v>
      </c>
    </row>
    <row r="324" spans="1:8">
      <c r="A324" s="49">
        <f t="shared" si="3"/>
        <v>2024.03</v>
      </c>
      <c r="B324" s="1591">
        <v>36.431064999999997</v>
      </c>
      <c r="C324" s="311">
        <v>41.777569</v>
      </c>
      <c r="D324" s="1587">
        <v>33.825232999999997</v>
      </c>
      <c r="E324" s="311">
        <v>39.685232237609995</v>
      </c>
      <c r="F324" s="1347">
        <v>56.561431838459995</v>
      </c>
      <c r="G324" s="375">
        <v>13.79489933296</v>
      </c>
      <c r="H324" s="166">
        <v>36.680523000000001</v>
      </c>
    </row>
    <row r="325" spans="1:8">
      <c r="A325" s="49">
        <f t="shared" si="3"/>
        <v>2024.04</v>
      </c>
      <c r="B325" s="1591">
        <v>38.451774999999998</v>
      </c>
      <c r="C325" s="311">
        <v>39.479790000000001</v>
      </c>
      <c r="D325" s="1587">
        <v>35.451045999999998</v>
      </c>
      <c r="E325" s="311">
        <v>41.853002212640007</v>
      </c>
      <c r="F325" s="1347">
        <v>56.1424939853</v>
      </c>
      <c r="G325" s="375">
        <v>13.499859375339998</v>
      </c>
      <c r="H325" s="166">
        <v>37.165118999999997</v>
      </c>
    </row>
    <row r="326" spans="1:8">
      <c r="A326" s="49">
        <f t="shared" si="3"/>
        <v>2024.05</v>
      </c>
      <c r="B326" s="1591" t="e">
        <v>#N/A</v>
      </c>
      <c r="C326" s="311" t="e">
        <v>#N/A</v>
      </c>
      <c r="D326" s="1587" t="e">
        <v>#N/A</v>
      </c>
      <c r="E326" s="311" t="e">
        <v>#N/A</v>
      </c>
      <c r="F326" s="1347" t="e">
        <v>#N/A</v>
      </c>
      <c r="G326" s="375" t="e">
        <v>#N/A</v>
      </c>
      <c r="H326" s="166" t="e">
        <v>#N/A</v>
      </c>
    </row>
    <row r="327" spans="1:8">
      <c r="A327" s="49">
        <f t="shared" si="3"/>
        <v>2024.06</v>
      </c>
      <c r="B327" s="1591" t="e">
        <v>#N/A</v>
      </c>
      <c r="C327" s="311" t="e">
        <v>#N/A</v>
      </c>
      <c r="D327" s="1587" t="e">
        <v>#N/A</v>
      </c>
      <c r="E327" s="311" t="e">
        <v>#N/A</v>
      </c>
      <c r="F327" s="1347" t="e">
        <v>#N/A</v>
      </c>
      <c r="G327" s="375" t="e">
        <v>#N/A</v>
      </c>
      <c r="H327" s="166" t="e">
        <v>#N/A</v>
      </c>
    </row>
    <row r="328" spans="1:8">
      <c r="A328" s="49">
        <f t="shared" si="3"/>
        <v>2024.07</v>
      </c>
      <c r="B328" s="1591" t="e">
        <v>#N/A</v>
      </c>
      <c r="C328" s="311" t="e">
        <v>#N/A</v>
      </c>
      <c r="D328" s="1587" t="e">
        <v>#N/A</v>
      </c>
      <c r="E328" s="311" t="e">
        <v>#N/A</v>
      </c>
      <c r="F328" s="1347" t="e">
        <v>#N/A</v>
      </c>
      <c r="G328" s="375" t="e">
        <v>#N/A</v>
      </c>
      <c r="H328" s="166" t="e">
        <v>#N/A</v>
      </c>
    </row>
    <row r="329" spans="1:8">
      <c r="A329" s="49">
        <f t="shared" si="3"/>
        <v>2024.08</v>
      </c>
      <c r="B329" s="1591" t="e">
        <v>#N/A</v>
      </c>
      <c r="C329" s="311" t="e">
        <v>#N/A</v>
      </c>
      <c r="D329" s="1587" t="e">
        <v>#N/A</v>
      </c>
      <c r="E329" s="311" t="e">
        <v>#N/A</v>
      </c>
      <c r="F329" s="1347" t="e">
        <v>#N/A</v>
      </c>
      <c r="G329" s="375" t="e">
        <v>#N/A</v>
      </c>
      <c r="H329" s="166" t="e">
        <v>#N/A</v>
      </c>
    </row>
    <row r="330" spans="1:8">
      <c r="A330" s="49">
        <f t="shared" si="3"/>
        <v>2024.09</v>
      </c>
      <c r="B330" s="1591" t="e">
        <v>#N/A</v>
      </c>
      <c r="C330" s="311" t="e">
        <v>#N/A</v>
      </c>
      <c r="D330" s="1587" t="e">
        <v>#N/A</v>
      </c>
      <c r="E330" s="311" t="e">
        <v>#N/A</v>
      </c>
      <c r="F330" s="1347" t="e">
        <v>#N/A</v>
      </c>
      <c r="G330" s="375" t="e">
        <v>#N/A</v>
      </c>
      <c r="H330" s="166" t="e">
        <v>#N/A</v>
      </c>
    </row>
    <row r="331" spans="1:8">
      <c r="A331" s="49">
        <f t="shared" si="3"/>
        <v>2024.1</v>
      </c>
      <c r="B331" s="1591" t="e">
        <v>#N/A</v>
      </c>
      <c r="C331" s="311" t="e">
        <v>#N/A</v>
      </c>
      <c r="D331" s="1587" t="e">
        <v>#N/A</v>
      </c>
      <c r="E331" s="311" t="e">
        <v>#N/A</v>
      </c>
      <c r="F331" s="1347" t="e">
        <v>#N/A</v>
      </c>
      <c r="G331" s="375" t="e">
        <v>#N/A</v>
      </c>
      <c r="H331" s="166" t="e">
        <v>#N/A</v>
      </c>
    </row>
    <row r="332" spans="1:8">
      <c r="A332" s="49">
        <f t="shared" si="3"/>
        <v>2024.11</v>
      </c>
      <c r="B332" s="1591" t="e">
        <v>#N/A</v>
      </c>
      <c r="C332" s="311" t="e">
        <v>#N/A</v>
      </c>
      <c r="D332" s="1587" t="e">
        <v>#N/A</v>
      </c>
      <c r="E332" s="311" t="e">
        <v>#N/A</v>
      </c>
      <c r="F332" s="1347" t="e">
        <v>#N/A</v>
      </c>
      <c r="G332" s="375" t="e">
        <v>#N/A</v>
      </c>
      <c r="H332" s="166" t="e">
        <v>#N/A</v>
      </c>
    </row>
    <row r="333" spans="1:8">
      <c r="A333" s="49">
        <f t="shared" si="3"/>
        <v>2024.12</v>
      </c>
      <c r="B333" s="1591" t="e">
        <v>#N/A</v>
      </c>
      <c r="C333" s="311" t="e">
        <v>#N/A</v>
      </c>
      <c r="D333" s="1587" t="e">
        <v>#N/A</v>
      </c>
      <c r="E333" s="311" t="e">
        <v>#N/A</v>
      </c>
      <c r="F333" s="1347" t="e">
        <v>#N/A</v>
      </c>
      <c r="G333" s="375" t="e">
        <v>#N/A</v>
      </c>
      <c r="H333" s="166" t="e">
        <v>#N/A</v>
      </c>
    </row>
    <row r="334" spans="1:8">
      <c r="A334" s="49">
        <f t="shared" si="3"/>
        <v>2025.01</v>
      </c>
      <c r="B334" s="1591" t="e">
        <v>#N/A</v>
      </c>
      <c r="C334" s="311" t="e">
        <v>#N/A</v>
      </c>
      <c r="D334" s="1587" t="e">
        <v>#N/A</v>
      </c>
      <c r="E334" s="311" t="e">
        <v>#N/A</v>
      </c>
      <c r="F334" s="1347" t="e">
        <v>#N/A</v>
      </c>
      <c r="G334" s="375" t="e">
        <v>#N/A</v>
      </c>
      <c r="H334" s="166" t="e">
        <v>#N/A</v>
      </c>
    </row>
    <row r="335" spans="1:8">
      <c r="A335" s="49">
        <f t="shared" si="3"/>
        <v>2025.02</v>
      </c>
      <c r="B335" s="1591" t="e">
        <v>#N/A</v>
      </c>
      <c r="C335" s="311" t="e">
        <v>#N/A</v>
      </c>
      <c r="D335" s="1587" t="e">
        <v>#N/A</v>
      </c>
      <c r="E335" s="311" t="e">
        <v>#N/A</v>
      </c>
      <c r="F335" s="1347" t="e">
        <v>#N/A</v>
      </c>
      <c r="G335" s="375" t="e">
        <v>#N/A</v>
      </c>
      <c r="H335" s="166" t="e">
        <v>#N/A</v>
      </c>
    </row>
    <row r="336" spans="1:8">
      <c r="A336" s="49">
        <f t="shared" si="3"/>
        <v>2025.03</v>
      </c>
      <c r="B336" s="1591" t="e">
        <v>#N/A</v>
      </c>
      <c r="C336" s="311" t="e">
        <v>#N/A</v>
      </c>
      <c r="D336" s="1587" t="e">
        <v>#N/A</v>
      </c>
      <c r="E336" s="311" t="e">
        <v>#N/A</v>
      </c>
      <c r="F336" s="1347" t="e">
        <v>#N/A</v>
      </c>
      <c r="G336" s="375" t="e">
        <v>#N/A</v>
      </c>
      <c r="H336" s="166" t="e">
        <v>#N/A</v>
      </c>
    </row>
    <row r="337" spans="1:8">
      <c r="A337" s="49">
        <f t="shared" si="3"/>
        <v>2025.04</v>
      </c>
      <c r="B337" s="1591" t="e">
        <v>#N/A</v>
      </c>
      <c r="C337" s="311" t="e">
        <v>#N/A</v>
      </c>
      <c r="D337" s="1587" t="e">
        <v>#N/A</v>
      </c>
      <c r="E337" s="311" t="e">
        <v>#N/A</v>
      </c>
      <c r="F337" s="1347" t="e">
        <v>#N/A</v>
      </c>
      <c r="G337" s="375" t="e">
        <v>#N/A</v>
      </c>
      <c r="H337" s="166" t="e">
        <v>#N/A</v>
      </c>
    </row>
    <row r="338" spans="1:8">
      <c r="A338" s="49">
        <f t="shared" si="3"/>
        <v>2025.05</v>
      </c>
      <c r="B338" s="1591" t="e">
        <v>#N/A</v>
      </c>
      <c r="C338" s="311" t="e">
        <v>#N/A</v>
      </c>
      <c r="D338" s="1587" t="e">
        <v>#N/A</v>
      </c>
      <c r="E338" s="311" t="e">
        <v>#N/A</v>
      </c>
      <c r="F338" s="1347" t="e">
        <v>#N/A</v>
      </c>
      <c r="G338" s="375" t="e">
        <v>#N/A</v>
      </c>
      <c r="H338" s="166" t="e">
        <v>#N/A</v>
      </c>
    </row>
    <row r="339" spans="1:8">
      <c r="A339" s="49">
        <f t="shared" si="3"/>
        <v>2025.06</v>
      </c>
      <c r="B339" s="1591" t="e">
        <v>#N/A</v>
      </c>
      <c r="C339" s="311" t="e">
        <v>#N/A</v>
      </c>
      <c r="D339" s="1587" t="e">
        <v>#N/A</v>
      </c>
      <c r="E339" s="311" t="e">
        <v>#N/A</v>
      </c>
      <c r="F339" s="1347" t="e">
        <v>#N/A</v>
      </c>
      <c r="G339" s="375" t="e">
        <v>#N/A</v>
      </c>
      <c r="H339" s="166" t="e">
        <v>#N/A</v>
      </c>
    </row>
    <row r="340" spans="1:8">
      <c r="A340" s="49">
        <f t="shared" si="3"/>
        <v>2025.07</v>
      </c>
      <c r="B340" s="1591" t="e">
        <v>#N/A</v>
      </c>
      <c r="C340" s="311" t="e">
        <v>#N/A</v>
      </c>
      <c r="D340" s="1587" t="e">
        <v>#N/A</v>
      </c>
      <c r="E340" s="311" t="e">
        <v>#N/A</v>
      </c>
      <c r="F340" s="1347" t="e">
        <v>#N/A</v>
      </c>
      <c r="G340" s="375" t="e">
        <v>#N/A</v>
      </c>
      <c r="H340" s="166" t="e">
        <v>#N/A</v>
      </c>
    </row>
    <row r="341" spans="1:8">
      <c r="A341" s="49">
        <f t="shared" si="3"/>
        <v>2025.08</v>
      </c>
      <c r="B341" s="1591" t="e">
        <v>#N/A</v>
      </c>
      <c r="C341" s="311" t="e">
        <v>#N/A</v>
      </c>
      <c r="D341" s="1587" t="e">
        <v>#N/A</v>
      </c>
      <c r="E341" s="311" t="e">
        <v>#N/A</v>
      </c>
      <c r="F341" s="1347" t="e">
        <v>#N/A</v>
      </c>
      <c r="G341" s="375" t="e">
        <v>#N/A</v>
      </c>
      <c r="H341" s="166" t="e">
        <v>#N/A</v>
      </c>
    </row>
    <row r="342" spans="1:8">
      <c r="A342" s="49">
        <f t="shared" si="3"/>
        <v>2025.09</v>
      </c>
      <c r="B342" s="1591" t="e">
        <v>#N/A</v>
      </c>
      <c r="C342" s="311" t="e">
        <v>#N/A</v>
      </c>
      <c r="D342" s="1587" t="e">
        <v>#N/A</v>
      </c>
      <c r="E342" s="311" t="e">
        <v>#N/A</v>
      </c>
      <c r="F342" s="1347" t="e">
        <v>#N/A</v>
      </c>
      <c r="G342" s="375" t="e">
        <v>#N/A</v>
      </c>
      <c r="H342" s="166" t="e">
        <v>#N/A</v>
      </c>
    </row>
    <row r="343" spans="1:8">
      <c r="A343" s="49">
        <f t="shared" si="3"/>
        <v>2025.1</v>
      </c>
      <c r="B343" s="1591" t="e">
        <v>#N/A</v>
      </c>
      <c r="C343" s="311" t="e">
        <v>#N/A</v>
      </c>
      <c r="D343" s="1587" t="e">
        <v>#N/A</v>
      </c>
      <c r="E343" s="311" t="e">
        <v>#N/A</v>
      </c>
      <c r="F343" s="1347" t="e">
        <v>#N/A</v>
      </c>
      <c r="G343" s="375" t="e">
        <v>#N/A</v>
      </c>
      <c r="H343" s="166" t="e">
        <v>#N/A</v>
      </c>
    </row>
    <row r="344" spans="1:8">
      <c r="A344" s="49">
        <f t="shared" si="3"/>
        <v>2025.11</v>
      </c>
      <c r="B344" s="1591" t="e">
        <v>#N/A</v>
      </c>
      <c r="C344" s="311" t="e">
        <v>#N/A</v>
      </c>
      <c r="D344" s="1587" t="e">
        <v>#N/A</v>
      </c>
      <c r="E344" s="311" t="e">
        <v>#N/A</v>
      </c>
      <c r="F344" s="1347" t="e">
        <v>#N/A</v>
      </c>
      <c r="G344" s="375" t="e">
        <v>#N/A</v>
      </c>
      <c r="H344" s="166" t="e">
        <v>#N/A</v>
      </c>
    </row>
    <row r="345" spans="1:8">
      <c r="A345" s="49">
        <f t="shared" si="3"/>
        <v>2025.12</v>
      </c>
      <c r="B345" s="1591" t="e">
        <v>#N/A</v>
      </c>
      <c r="C345" s="311" t="e">
        <v>#N/A</v>
      </c>
      <c r="D345" s="1587" t="e">
        <v>#N/A</v>
      </c>
      <c r="E345" s="311" t="e">
        <v>#N/A</v>
      </c>
      <c r="F345" s="1347" t="e">
        <v>#N/A</v>
      </c>
      <c r="G345" s="375" t="e">
        <v>#N/A</v>
      </c>
      <c r="H345" s="166" t="e">
        <v>#N/A</v>
      </c>
    </row>
    <row r="346" spans="1:8">
      <c r="A346" s="49">
        <f t="shared" si="3"/>
        <v>2026.01</v>
      </c>
      <c r="B346" s="1591" t="e">
        <v>#N/A</v>
      </c>
      <c r="C346" s="311" t="e">
        <v>#N/A</v>
      </c>
      <c r="D346" s="1587" t="e">
        <v>#N/A</v>
      </c>
      <c r="E346" s="311" t="e">
        <v>#N/A</v>
      </c>
      <c r="F346" s="1347" t="e">
        <v>#N/A</v>
      </c>
      <c r="G346" s="375" t="e">
        <v>#N/A</v>
      </c>
      <c r="H346" s="166" t="e">
        <v>#N/A</v>
      </c>
    </row>
    <row r="347" spans="1:8">
      <c r="A347" s="49">
        <f t="shared" si="3"/>
        <v>2026.02</v>
      </c>
      <c r="B347" s="1591" t="e">
        <v>#N/A</v>
      </c>
      <c r="C347" s="311" t="e">
        <v>#N/A</v>
      </c>
      <c r="D347" s="1587" t="e">
        <v>#N/A</v>
      </c>
      <c r="E347" s="311" t="e">
        <v>#N/A</v>
      </c>
      <c r="F347" s="1347" t="e">
        <v>#N/A</v>
      </c>
      <c r="G347" s="375" t="e">
        <v>#N/A</v>
      </c>
      <c r="H347" s="166" t="e">
        <v>#N/A</v>
      </c>
    </row>
    <row r="348" spans="1:8">
      <c r="A348" s="49">
        <f t="shared" si="3"/>
        <v>2026.03</v>
      </c>
      <c r="B348" s="1591" t="e">
        <v>#N/A</v>
      </c>
      <c r="C348" s="311" t="e">
        <v>#N/A</v>
      </c>
      <c r="D348" s="1587" t="e">
        <v>#N/A</v>
      </c>
      <c r="E348" s="311" t="e">
        <v>#N/A</v>
      </c>
      <c r="F348" s="1347" t="e">
        <v>#N/A</v>
      </c>
      <c r="G348" s="375" t="e">
        <v>#N/A</v>
      </c>
      <c r="H348" s="166" t="e">
        <v>#N/A</v>
      </c>
    </row>
    <row r="349" spans="1:8">
      <c r="A349" s="49">
        <f t="shared" si="3"/>
        <v>2026.04</v>
      </c>
      <c r="B349" s="1591" t="e">
        <v>#N/A</v>
      </c>
      <c r="C349" s="311" t="e">
        <v>#N/A</v>
      </c>
      <c r="D349" s="1587" t="e">
        <v>#N/A</v>
      </c>
      <c r="E349" s="311" t="e">
        <v>#N/A</v>
      </c>
      <c r="F349" s="1347" t="e">
        <v>#N/A</v>
      </c>
      <c r="G349" s="375" t="e">
        <v>#N/A</v>
      </c>
      <c r="H349" s="166" t="e">
        <v>#N/A</v>
      </c>
    </row>
    <row r="350" spans="1:8">
      <c r="A350" s="49">
        <f t="shared" si="3"/>
        <v>2026.05</v>
      </c>
      <c r="B350" s="1591" t="e">
        <v>#N/A</v>
      </c>
      <c r="C350" s="311" t="e">
        <v>#N/A</v>
      </c>
      <c r="D350" s="1587" t="e">
        <v>#N/A</v>
      </c>
      <c r="E350" s="311" t="e">
        <v>#N/A</v>
      </c>
      <c r="F350" s="1347" t="e">
        <v>#N/A</v>
      </c>
      <c r="G350" s="375" t="e">
        <v>#N/A</v>
      </c>
      <c r="H350" s="166" t="e">
        <v>#N/A</v>
      </c>
    </row>
    <row r="351" spans="1:8">
      <c r="A351" s="49">
        <f t="shared" si="3"/>
        <v>2026.06</v>
      </c>
      <c r="B351" s="1591" t="e">
        <v>#N/A</v>
      </c>
      <c r="C351" s="311" t="e">
        <v>#N/A</v>
      </c>
      <c r="D351" s="1587" t="e">
        <v>#N/A</v>
      </c>
      <c r="E351" s="311" t="e">
        <v>#N/A</v>
      </c>
      <c r="F351" s="1347" t="e">
        <v>#N/A</v>
      </c>
      <c r="G351" s="375" t="e">
        <v>#N/A</v>
      </c>
      <c r="H351" s="166" t="e">
        <v>#N/A</v>
      </c>
    </row>
    <row r="352" spans="1:8">
      <c r="A352" s="49">
        <f t="shared" si="3"/>
        <v>2026.07</v>
      </c>
      <c r="B352" s="1591" t="e">
        <v>#N/A</v>
      </c>
      <c r="C352" s="311" t="e">
        <v>#N/A</v>
      </c>
      <c r="D352" s="1587" t="e">
        <v>#N/A</v>
      </c>
      <c r="E352" s="311" t="e">
        <v>#N/A</v>
      </c>
      <c r="F352" s="1347" t="e">
        <v>#N/A</v>
      </c>
      <c r="G352" s="375" t="e">
        <v>#N/A</v>
      </c>
      <c r="H352" s="166" t="e">
        <v>#N/A</v>
      </c>
    </row>
    <row r="353" spans="1:8">
      <c r="A353" s="49">
        <f t="shared" si="3"/>
        <v>2026.08</v>
      </c>
      <c r="B353" s="1591" t="e">
        <v>#N/A</v>
      </c>
      <c r="C353" s="311" t="e">
        <v>#N/A</v>
      </c>
      <c r="D353" s="1587" t="e">
        <v>#N/A</v>
      </c>
      <c r="E353" s="311" t="e">
        <v>#N/A</v>
      </c>
      <c r="F353" s="1347" t="e">
        <v>#N/A</v>
      </c>
      <c r="G353" s="375" t="e">
        <v>#N/A</v>
      </c>
      <c r="H353" s="166" t="e">
        <v>#N/A</v>
      </c>
    </row>
    <row r="354" spans="1:8">
      <c r="A354" s="49">
        <f t="shared" si="3"/>
        <v>2026.09</v>
      </c>
      <c r="B354" s="1591" t="e">
        <v>#N/A</v>
      </c>
      <c r="C354" s="311" t="e">
        <v>#N/A</v>
      </c>
      <c r="D354" s="1587" t="e">
        <v>#N/A</v>
      </c>
      <c r="E354" s="311" t="e">
        <v>#N/A</v>
      </c>
      <c r="F354" s="1347" t="e">
        <v>#N/A</v>
      </c>
      <c r="G354" s="375" t="e">
        <v>#N/A</v>
      </c>
      <c r="H354" s="166" t="e">
        <v>#N/A</v>
      </c>
    </row>
    <row r="355" spans="1:8">
      <c r="A355" s="49">
        <f t="shared" si="3"/>
        <v>2026.1</v>
      </c>
      <c r="B355" s="1591" t="e">
        <v>#N/A</v>
      </c>
      <c r="C355" s="311" t="e">
        <v>#N/A</v>
      </c>
      <c r="D355" s="1587" t="e">
        <v>#N/A</v>
      </c>
      <c r="E355" s="311" t="e">
        <v>#N/A</v>
      </c>
      <c r="F355" s="1347" t="e">
        <v>#N/A</v>
      </c>
      <c r="G355" s="375" t="e">
        <v>#N/A</v>
      </c>
      <c r="H355" s="166" t="e">
        <v>#N/A</v>
      </c>
    </row>
    <row r="356" spans="1:8">
      <c r="A356" s="49">
        <f t="shared" si="3"/>
        <v>2026.11</v>
      </c>
      <c r="B356" s="1591" t="e">
        <v>#N/A</v>
      </c>
      <c r="C356" s="311" t="e">
        <v>#N/A</v>
      </c>
      <c r="D356" s="1587" t="e">
        <v>#N/A</v>
      </c>
      <c r="E356" s="311" t="e">
        <v>#N/A</v>
      </c>
      <c r="F356" s="1347" t="e">
        <v>#N/A</v>
      </c>
      <c r="G356" s="375" t="e">
        <v>#N/A</v>
      </c>
      <c r="H356" s="166" t="e">
        <v>#N/A</v>
      </c>
    </row>
    <row r="357" spans="1:8">
      <c r="A357" s="49">
        <f t="shared" si="3"/>
        <v>2026.12</v>
      </c>
      <c r="B357" s="1591" t="e">
        <v>#N/A</v>
      </c>
      <c r="C357" s="311" t="e">
        <v>#N/A</v>
      </c>
      <c r="D357" s="1587" t="e">
        <v>#N/A</v>
      </c>
      <c r="E357" s="311" t="e">
        <v>#N/A</v>
      </c>
      <c r="F357" s="1347" t="e">
        <v>#N/A</v>
      </c>
      <c r="G357" s="375" t="e">
        <v>#N/A</v>
      </c>
      <c r="H357" s="166" t="e">
        <v>#N/A</v>
      </c>
    </row>
    <row r="358" spans="1:8">
      <c r="A358" s="49">
        <f t="shared" si="3"/>
        <v>2027.01</v>
      </c>
      <c r="B358" s="1591" t="e">
        <v>#N/A</v>
      </c>
      <c r="C358" s="311" t="e">
        <v>#N/A</v>
      </c>
      <c r="D358" s="1587" t="e">
        <v>#N/A</v>
      </c>
      <c r="E358" s="311" t="e">
        <v>#N/A</v>
      </c>
      <c r="F358" s="1347" t="e">
        <v>#N/A</v>
      </c>
      <c r="G358" s="375" t="e">
        <v>#N/A</v>
      </c>
      <c r="H358" s="166" t="e">
        <v>#N/A</v>
      </c>
    </row>
    <row r="359" spans="1:8">
      <c r="A359" s="49">
        <f t="shared" si="3"/>
        <v>2027.02</v>
      </c>
      <c r="B359" s="1591" t="e">
        <v>#N/A</v>
      </c>
      <c r="C359" s="311" t="e">
        <v>#N/A</v>
      </c>
      <c r="D359" s="1587" t="e">
        <v>#N/A</v>
      </c>
      <c r="E359" s="311" t="e">
        <v>#N/A</v>
      </c>
      <c r="F359" s="1347" t="e">
        <v>#N/A</v>
      </c>
      <c r="G359" s="375" t="e">
        <v>#N/A</v>
      </c>
      <c r="H359" s="166" t="e">
        <v>#N/A</v>
      </c>
    </row>
    <row r="360" spans="1:8">
      <c r="A360" s="49">
        <f t="shared" si="3"/>
        <v>2027.03</v>
      </c>
      <c r="B360" s="1591" t="e">
        <v>#N/A</v>
      </c>
      <c r="C360" s="311" t="e">
        <v>#N/A</v>
      </c>
      <c r="D360" s="1587" t="e">
        <v>#N/A</v>
      </c>
      <c r="E360" s="311" t="e">
        <v>#N/A</v>
      </c>
      <c r="F360" s="1347" t="e">
        <v>#N/A</v>
      </c>
      <c r="G360" s="375" t="e">
        <v>#N/A</v>
      </c>
      <c r="H360" s="166" t="e">
        <v>#N/A</v>
      </c>
    </row>
    <row r="361" spans="1:8">
      <c r="A361" s="49">
        <f t="shared" si="3"/>
        <v>2027.04</v>
      </c>
      <c r="B361" s="1591" t="e">
        <v>#N/A</v>
      </c>
      <c r="C361" s="311" t="e">
        <v>#N/A</v>
      </c>
      <c r="D361" s="1587" t="e">
        <v>#N/A</v>
      </c>
      <c r="E361" s="311" t="e">
        <v>#N/A</v>
      </c>
      <c r="F361" s="1347" t="e">
        <v>#N/A</v>
      </c>
      <c r="G361" s="375" t="e">
        <v>#N/A</v>
      </c>
      <c r="H361" s="166" t="e">
        <v>#N/A</v>
      </c>
    </row>
    <row r="362" spans="1:8">
      <c r="A362" s="49">
        <f t="shared" si="3"/>
        <v>2027.05</v>
      </c>
      <c r="B362" s="1591" t="e">
        <v>#N/A</v>
      </c>
      <c r="C362" s="311" t="e">
        <v>#N/A</v>
      </c>
      <c r="D362" s="1587" t="e">
        <v>#N/A</v>
      </c>
      <c r="E362" s="311" t="e">
        <v>#N/A</v>
      </c>
      <c r="F362" s="1347" t="e">
        <v>#N/A</v>
      </c>
      <c r="G362" s="375" t="e">
        <v>#N/A</v>
      </c>
      <c r="H362" s="166" t="e">
        <v>#N/A</v>
      </c>
    </row>
    <row r="363" spans="1:8">
      <c r="A363" s="49">
        <f t="shared" si="3"/>
        <v>2027.06</v>
      </c>
      <c r="B363" s="1591" t="e">
        <v>#N/A</v>
      </c>
      <c r="C363" s="311" t="e">
        <v>#N/A</v>
      </c>
      <c r="D363" s="1587" t="e">
        <v>#N/A</v>
      </c>
      <c r="E363" s="311" t="e">
        <v>#N/A</v>
      </c>
      <c r="F363" s="1347" t="e">
        <v>#N/A</v>
      </c>
      <c r="G363" s="375" t="e">
        <v>#N/A</v>
      </c>
      <c r="H363" s="166" t="e">
        <v>#N/A</v>
      </c>
    </row>
    <row r="364" spans="1:8">
      <c r="A364" s="49">
        <f t="shared" si="3"/>
        <v>2027.07</v>
      </c>
      <c r="B364" s="1591" t="e">
        <v>#N/A</v>
      </c>
      <c r="C364" s="311" t="e">
        <v>#N/A</v>
      </c>
      <c r="D364" s="1587" t="e">
        <v>#N/A</v>
      </c>
      <c r="E364" s="311" t="e">
        <v>#N/A</v>
      </c>
      <c r="F364" s="1347" t="e">
        <v>#N/A</v>
      </c>
      <c r="G364" s="375" t="e">
        <v>#N/A</v>
      </c>
      <c r="H364" s="166" t="e">
        <v>#N/A</v>
      </c>
    </row>
    <row r="365" spans="1:8">
      <c r="A365" s="49">
        <f t="shared" si="3"/>
        <v>2027.08</v>
      </c>
      <c r="B365" s="1591" t="e">
        <v>#N/A</v>
      </c>
      <c r="C365" s="311" t="e">
        <v>#N/A</v>
      </c>
      <c r="D365" s="1587" t="e">
        <v>#N/A</v>
      </c>
      <c r="E365" s="311" t="e">
        <v>#N/A</v>
      </c>
      <c r="F365" s="1347" t="e">
        <v>#N/A</v>
      </c>
      <c r="G365" s="375" t="e">
        <v>#N/A</v>
      </c>
      <c r="H365" s="166" t="e">
        <v>#N/A</v>
      </c>
    </row>
    <row r="366" spans="1:8">
      <c r="A366" s="49">
        <f t="shared" si="3"/>
        <v>2027.09</v>
      </c>
      <c r="B366" s="1591" t="e">
        <v>#N/A</v>
      </c>
      <c r="C366" s="311" t="e">
        <v>#N/A</v>
      </c>
      <c r="D366" s="1587" t="e">
        <v>#N/A</v>
      </c>
      <c r="E366" s="311" t="e">
        <v>#N/A</v>
      </c>
      <c r="F366" s="1347" t="e">
        <v>#N/A</v>
      </c>
      <c r="G366" s="375" t="e">
        <v>#N/A</v>
      </c>
      <c r="H366" s="166" t="e">
        <v>#N/A</v>
      </c>
    </row>
    <row r="367" spans="1:8">
      <c r="A367" s="49">
        <f t="shared" si="3"/>
        <v>2027.1</v>
      </c>
      <c r="B367" s="1591" t="e">
        <v>#N/A</v>
      </c>
      <c r="C367" s="311" t="e">
        <v>#N/A</v>
      </c>
      <c r="D367" s="1587" t="e">
        <v>#N/A</v>
      </c>
      <c r="E367" s="311" t="e">
        <v>#N/A</v>
      </c>
      <c r="F367" s="1347" t="e">
        <v>#N/A</v>
      </c>
      <c r="G367" s="375" t="e">
        <v>#N/A</v>
      </c>
      <c r="H367" s="166" t="e">
        <v>#N/A</v>
      </c>
    </row>
    <row r="368" spans="1:8">
      <c r="A368" s="49">
        <f t="shared" si="3"/>
        <v>2027.11</v>
      </c>
      <c r="B368" s="1591" t="e">
        <v>#N/A</v>
      </c>
      <c r="C368" s="311" t="e">
        <v>#N/A</v>
      </c>
      <c r="D368" s="1587" t="e">
        <v>#N/A</v>
      </c>
      <c r="E368" s="311" t="e">
        <v>#N/A</v>
      </c>
      <c r="F368" s="1347" t="e">
        <v>#N/A</v>
      </c>
      <c r="G368" s="375" t="e">
        <v>#N/A</v>
      </c>
      <c r="H368" s="166" t="e">
        <v>#N/A</v>
      </c>
    </row>
    <row r="369" spans="1:8">
      <c r="A369" s="49">
        <f t="shared" si="3"/>
        <v>2027.12</v>
      </c>
      <c r="B369" s="1591" t="e">
        <v>#N/A</v>
      </c>
      <c r="C369" s="311" t="e">
        <v>#N/A</v>
      </c>
      <c r="D369" s="1587" t="e">
        <v>#N/A</v>
      </c>
      <c r="E369" s="311" t="e">
        <v>#N/A</v>
      </c>
      <c r="F369" s="1347" t="e">
        <v>#N/A</v>
      </c>
      <c r="G369" s="375" t="e">
        <v>#N/A</v>
      </c>
      <c r="H369" s="166" t="e">
        <v>#N/A</v>
      </c>
    </row>
    <row r="370" spans="1:8">
      <c r="A370" s="49">
        <f t="shared" si="3"/>
        <v>2028.01</v>
      </c>
      <c r="B370" s="1591" t="e">
        <v>#N/A</v>
      </c>
      <c r="C370" s="311" t="e">
        <v>#N/A</v>
      </c>
      <c r="D370" s="1587" t="e">
        <v>#N/A</v>
      </c>
      <c r="E370" s="311" t="e">
        <v>#N/A</v>
      </c>
      <c r="F370" s="1347" t="e">
        <v>#N/A</v>
      </c>
      <c r="G370" s="375" t="e">
        <v>#N/A</v>
      </c>
      <c r="H370" s="166" t="e">
        <v>#N/A</v>
      </c>
    </row>
    <row r="371" spans="1:8">
      <c r="A371" s="49">
        <f t="shared" si="3"/>
        <v>2028.02</v>
      </c>
      <c r="B371" s="1591" t="e">
        <v>#N/A</v>
      </c>
      <c r="C371" s="311" t="e">
        <v>#N/A</v>
      </c>
      <c r="D371" s="1587" t="e">
        <v>#N/A</v>
      </c>
      <c r="E371" s="311" t="e">
        <v>#N/A</v>
      </c>
      <c r="F371" s="1347" t="e">
        <v>#N/A</v>
      </c>
      <c r="G371" s="375" t="e">
        <v>#N/A</v>
      </c>
      <c r="H371" s="166" t="e">
        <v>#N/A</v>
      </c>
    </row>
    <row r="372" spans="1:8">
      <c r="A372" s="49">
        <f t="shared" si="3"/>
        <v>2028.03</v>
      </c>
      <c r="B372" s="1591" t="e">
        <v>#N/A</v>
      </c>
      <c r="C372" s="311" t="e">
        <v>#N/A</v>
      </c>
      <c r="D372" s="1587" t="e">
        <v>#N/A</v>
      </c>
      <c r="E372" s="311" t="e">
        <v>#N/A</v>
      </c>
      <c r="F372" s="1347" t="e">
        <v>#N/A</v>
      </c>
      <c r="G372" s="375" t="e">
        <v>#N/A</v>
      </c>
      <c r="H372" s="166" t="e">
        <v>#N/A</v>
      </c>
    </row>
    <row r="373" spans="1:8">
      <c r="A373" s="49">
        <f t="shared" si="3"/>
        <v>2028.04</v>
      </c>
      <c r="B373" s="1591" t="e">
        <v>#N/A</v>
      </c>
      <c r="C373" s="311" t="e">
        <v>#N/A</v>
      </c>
      <c r="D373" s="1587" t="e">
        <v>#N/A</v>
      </c>
      <c r="E373" s="311" t="e">
        <v>#N/A</v>
      </c>
      <c r="F373" s="1347" t="e">
        <v>#N/A</v>
      </c>
      <c r="G373" s="375" t="e">
        <v>#N/A</v>
      </c>
      <c r="H373" s="166" t="e">
        <v>#N/A</v>
      </c>
    </row>
    <row r="374" spans="1:8">
      <c r="A374" s="49">
        <f t="shared" si="3"/>
        <v>2028.05</v>
      </c>
      <c r="B374" s="1591" t="e">
        <v>#N/A</v>
      </c>
      <c r="C374" s="311" t="e">
        <v>#N/A</v>
      </c>
      <c r="D374" s="1587" t="e">
        <v>#N/A</v>
      </c>
      <c r="E374" s="311" t="e">
        <v>#N/A</v>
      </c>
      <c r="F374" s="1347" t="e">
        <v>#N/A</v>
      </c>
      <c r="G374" s="375" t="e">
        <v>#N/A</v>
      </c>
      <c r="H374" s="166" t="e">
        <v>#N/A</v>
      </c>
    </row>
    <row r="375" spans="1:8">
      <c r="A375" s="49">
        <f t="shared" si="3"/>
        <v>2028.06</v>
      </c>
      <c r="B375" s="1591" t="e">
        <v>#N/A</v>
      </c>
      <c r="C375" s="311" t="e">
        <v>#N/A</v>
      </c>
      <c r="D375" s="1587" t="e">
        <v>#N/A</v>
      </c>
      <c r="E375" s="311" t="e">
        <v>#N/A</v>
      </c>
      <c r="F375" s="1347" t="e">
        <v>#N/A</v>
      </c>
      <c r="G375" s="375" t="e">
        <v>#N/A</v>
      </c>
      <c r="H375" s="166" t="e">
        <v>#N/A</v>
      </c>
    </row>
    <row r="376" spans="1:8">
      <c r="A376" s="49">
        <f t="shared" si="3"/>
        <v>2028.07</v>
      </c>
      <c r="B376" s="1591" t="e">
        <v>#N/A</v>
      </c>
      <c r="C376" s="311" t="e">
        <v>#N/A</v>
      </c>
      <c r="D376" s="1587" t="e">
        <v>#N/A</v>
      </c>
      <c r="E376" s="311" t="e">
        <v>#N/A</v>
      </c>
      <c r="F376" s="1347" t="e">
        <v>#N/A</v>
      </c>
      <c r="G376" s="375" t="e">
        <v>#N/A</v>
      </c>
      <c r="H376" s="166" t="e">
        <v>#N/A</v>
      </c>
    </row>
    <row r="377" spans="1:8">
      <c r="A377" s="49">
        <f t="shared" si="3"/>
        <v>2028.08</v>
      </c>
      <c r="B377" s="1591" t="e">
        <v>#N/A</v>
      </c>
      <c r="C377" s="311" t="e">
        <v>#N/A</v>
      </c>
      <c r="D377" s="1587" t="e">
        <v>#N/A</v>
      </c>
      <c r="E377" s="311" t="e">
        <v>#N/A</v>
      </c>
      <c r="F377" s="1347" t="e">
        <v>#N/A</v>
      </c>
      <c r="G377" s="375" t="e">
        <v>#N/A</v>
      </c>
      <c r="H377" s="166" t="e">
        <v>#N/A</v>
      </c>
    </row>
    <row r="378" spans="1:8">
      <c r="A378" s="49">
        <f t="shared" si="3"/>
        <v>2028.09</v>
      </c>
      <c r="B378" s="1591" t="e">
        <v>#N/A</v>
      </c>
      <c r="C378" s="311" t="e">
        <v>#N/A</v>
      </c>
      <c r="D378" s="1587" t="e">
        <v>#N/A</v>
      </c>
      <c r="E378" s="311" t="e">
        <v>#N/A</v>
      </c>
      <c r="F378" s="1347" t="e">
        <v>#N/A</v>
      </c>
      <c r="G378" s="375" t="e">
        <v>#N/A</v>
      </c>
      <c r="H378" s="166" t="e">
        <v>#N/A</v>
      </c>
    </row>
    <row r="379" spans="1:8">
      <c r="A379" s="49">
        <f t="shared" si="3"/>
        <v>2028.1</v>
      </c>
      <c r="B379" s="1591" t="e">
        <v>#N/A</v>
      </c>
      <c r="C379" s="311" t="e">
        <v>#N/A</v>
      </c>
      <c r="D379" s="1587" t="e">
        <v>#N/A</v>
      </c>
      <c r="E379" s="311" t="e">
        <v>#N/A</v>
      </c>
      <c r="F379" s="1347" t="e">
        <v>#N/A</v>
      </c>
      <c r="G379" s="375" t="e">
        <v>#N/A</v>
      </c>
      <c r="H379" s="166" t="e">
        <v>#N/A</v>
      </c>
    </row>
    <row r="380" spans="1:8">
      <c r="A380" s="49">
        <f t="shared" si="3"/>
        <v>2028.11</v>
      </c>
      <c r="B380" s="1591" t="e">
        <v>#N/A</v>
      </c>
      <c r="C380" s="311" t="e">
        <v>#N/A</v>
      </c>
      <c r="D380" s="1587" t="e">
        <v>#N/A</v>
      </c>
      <c r="E380" s="311" t="e">
        <v>#N/A</v>
      </c>
      <c r="F380" s="1347" t="e">
        <v>#N/A</v>
      </c>
      <c r="G380" s="375" t="e">
        <v>#N/A</v>
      </c>
      <c r="H380" s="166" t="e">
        <v>#N/A</v>
      </c>
    </row>
    <row r="381" spans="1:8">
      <c r="A381" s="49">
        <f t="shared" si="3"/>
        <v>2028.12</v>
      </c>
      <c r="B381" s="1591" t="e">
        <v>#N/A</v>
      </c>
      <c r="C381" s="311" t="e">
        <v>#N/A</v>
      </c>
      <c r="D381" s="1587" t="e">
        <v>#N/A</v>
      </c>
      <c r="E381" s="311" t="e">
        <v>#N/A</v>
      </c>
      <c r="F381" s="1347" t="e">
        <v>#N/A</v>
      </c>
      <c r="G381" s="375" t="e">
        <v>#N/A</v>
      </c>
      <c r="H381" s="166" t="e">
        <v>#N/A</v>
      </c>
    </row>
    <row r="382" spans="1:8">
      <c r="A382" s="49">
        <f t="shared" si="3"/>
        <v>2029.01</v>
      </c>
      <c r="B382" s="1591" t="e">
        <v>#N/A</v>
      </c>
      <c r="C382" s="311" t="e">
        <v>#N/A</v>
      </c>
      <c r="D382" s="1587" t="e">
        <v>#N/A</v>
      </c>
      <c r="E382" s="311" t="e">
        <v>#N/A</v>
      </c>
      <c r="F382" s="1347" t="e">
        <v>#N/A</v>
      </c>
      <c r="G382" s="375" t="e">
        <v>#N/A</v>
      </c>
      <c r="H382" s="166" t="e">
        <v>#N/A</v>
      </c>
    </row>
    <row r="383" spans="1:8">
      <c r="A383" s="49">
        <f t="shared" si="3"/>
        <v>2029.02</v>
      </c>
      <c r="B383" s="1591" t="e">
        <v>#N/A</v>
      </c>
      <c r="C383" s="311" t="e">
        <v>#N/A</v>
      </c>
      <c r="D383" s="1587" t="e">
        <v>#N/A</v>
      </c>
      <c r="E383" s="311" t="e">
        <v>#N/A</v>
      </c>
      <c r="F383" s="1347" t="e">
        <v>#N/A</v>
      </c>
      <c r="G383" s="375" t="e">
        <v>#N/A</v>
      </c>
      <c r="H383" s="166" t="e">
        <v>#N/A</v>
      </c>
    </row>
    <row r="384" spans="1:8">
      <c r="A384" s="49">
        <f t="shared" si="3"/>
        <v>2029.03</v>
      </c>
      <c r="B384" s="1591" t="e">
        <v>#N/A</v>
      </c>
      <c r="C384" s="311" t="e">
        <v>#N/A</v>
      </c>
      <c r="D384" s="1587" t="e">
        <v>#N/A</v>
      </c>
      <c r="E384" s="311" t="e">
        <v>#N/A</v>
      </c>
      <c r="F384" s="1347" t="e">
        <v>#N/A</v>
      </c>
      <c r="G384" s="375" t="e">
        <v>#N/A</v>
      </c>
      <c r="H384" s="166" t="e">
        <v>#N/A</v>
      </c>
    </row>
    <row r="385" spans="1:8">
      <c r="A385" s="49">
        <f t="shared" si="3"/>
        <v>2029.04</v>
      </c>
      <c r="B385" s="1591" t="e">
        <v>#N/A</v>
      </c>
      <c r="C385" s="311" t="e">
        <v>#N/A</v>
      </c>
      <c r="D385" s="1587" t="e">
        <v>#N/A</v>
      </c>
      <c r="E385" s="311" t="e">
        <v>#N/A</v>
      </c>
      <c r="F385" s="1347" t="e">
        <v>#N/A</v>
      </c>
      <c r="G385" s="375" t="e">
        <v>#N/A</v>
      </c>
      <c r="H385" s="166" t="e">
        <v>#N/A</v>
      </c>
    </row>
    <row r="386" spans="1:8">
      <c r="A386" s="49">
        <f t="shared" ref="A386:A405" si="4">A374+1</f>
        <v>2029.05</v>
      </c>
      <c r="B386" s="1591" t="e">
        <v>#N/A</v>
      </c>
      <c r="C386" s="311" t="e">
        <v>#N/A</v>
      </c>
      <c r="D386" s="1587" t="e">
        <v>#N/A</v>
      </c>
      <c r="E386" s="311" t="e">
        <v>#N/A</v>
      </c>
      <c r="F386" s="1347" t="e">
        <v>#N/A</v>
      </c>
      <c r="G386" s="375" t="e">
        <v>#N/A</v>
      </c>
      <c r="H386" s="166" t="e">
        <v>#N/A</v>
      </c>
    </row>
    <row r="387" spans="1:8">
      <c r="A387" s="49">
        <f t="shared" si="4"/>
        <v>2029.06</v>
      </c>
      <c r="B387" s="1591" t="e">
        <v>#N/A</v>
      </c>
      <c r="C387" s="311" t="e">
        <v>#N/A</v>
      </c>
      <c r="D387" s="1587" t="e">
        <v>#N/A</v>
      </c>
      <c r="E387" s="311" t="e">
        <v>#N/A</v>
      </c>
      <c r="F387" s="1347" t="e">
        <v>#N/A</v>
      </c>
      <c r="G387" s="375" t="e">
        <v>#N/A</v>
      </c>
      <c r="H387" s="166" t="e">
        <v>#N/A</v>
      </c>
    </row>
    <row r="388" spans="1:8">
      <c r="A388" s="49">
        <f t="shared" si="4"/>
        <v>2029.07</v>
      </c>
      <c r="B388" s="1591" t="e">
        <v>#N/A</v>
      </c>
      <c r="C388" s="311" t="e">
        <v>#N/A</v>
      </c>
      <c r="D388" s="1587" t="e">
        <v>#N/A</v>
      </c>
      <c r="E388" s="311" t="e">
        <v>#N/A</v>
      </c>
      <c r="F388" s="1347" t="e">
        <v>#N/A</v>
      </c>
      <c r="G388" s="375" t="e">
        <v>#N/A</v>
      </c>
      <c r="H388" s="166" t="e">
        <v>#N/A</v>
      </c>
    </row>
    <row r="389" spans="1:8">
      <c r="A389" s="49">
        <f t="shared" si="4"/>
        <v>2029.08</v>
      </c>
      <c r="B389" s="1591" t="e">
        <v>#N/A</v>
      </c>
      <c r="C389" s="311" t="e">
        <v>#N/A</v>
      </c>
      <c r="D389" s="1587" t="e">
        <v>#N/A</v>
      </c>
      <c r="E389" s="311" t="e">
        <v>#N/A</v>
      </c>
      <c r="F389" s="1347" t="e">
        <v>#N/A</v>
      </c>
      <c r="G389" s="375" t="e">
        <v>#N/A</v>
      </c>
      <c r="H389" s="166" t="e">
        <v>#N/A</v>
      </c>
    </row>
    <row r="390" spans="1:8">
      <c r="A390" s="49">
        <f t="shared" si="4"/>
        <v>2029.09</v>
      </c>
      <c r="B390" s="1591" t="e">
        <v>#N/A</v>
      </c>
      <c r="C390" s="311" t="e">
        <v>#N/A</v>
      </c>
      <c r="D390" s="1587" t="e">
        <v>#N/A</v>
      </c>
      <c r="E390" s="311" t="e">
        <v>#N/A</v>
      </c>
      <c r="F390" s="1347" t="e">
        <v>#N/A</v>
      </c>
      <c r="G390" s="375" t="e">
        <v>#N/A</v>
      </c>
      <c r="H390" s="166" t="e">
        <v>#N/A</v>
      </c>
    </row>
    <row r="391" spans="1:8">
      <c r="A391" s="49">
        <f t="shared" si="4"/>
        <v>2029.1</v>
      </c>
      <c r="B391" s="1591" t="e">
        <v>#N/A</v>
      </c>
      <c r="C391" s="311" t="e">
        <v>#N/A</v>
      </c>
      <c r="D391" s="1587" t="e">
        <v>#N/A</v>
      </c>
      <c r="E391" s="311" t="e">
        <v>#N/A</v>
      </c>
      <c r="F391" s="1347" t="e">
        <v>#N/A</v>
      </c>
      <c r="G391" s="375" t="e">
        <v>#N/A</v>
      </c>
      <c r="H391" s="166" t="e">
        <v>#N/A</v>
      </c>
    </row>
    <row r="392" spans="1:8">
      <c r="A392" s="49">
        <f t="shared" si="4"/>
        <v>2029.11</v>
      </c>
      <c r="B392" s="1591" t="e">
        <v>#N/A</v>
      </c>
      <c r="C392" s="311" t="e">
        <v>#N/A</v>
      </c>
      <c r="D392" s="1587" t="e">
        <v>#N/A</v>
      </c>
      <c r="E392" s="311" t="e">
        <v>#N/A</v>
      </c>
      <c r="F392" s="1347" t="e">
        <v>#N/A</v>
      </c>
      <c r="G392" s="375" t="e">
        <v>#N/A</v>
      </c>
      <c r="H392" s="166" t="e">
        <v>#N/A</v>
      </c>
    </row>
    <row r="393" spans="1:8">
      <c r="A393" s="49">
        <f t="shared" si="4"/>
        <v>2029.12</v>
      </c>
      <c r="B393" s="1591" t="e">
        <v>#N/A</v>
      </c>
      <c r="C393" s="311" t="e">
        <v>#N/A</v>
      </c>
      <c r="D393" s="1587" t="e">
        <v>#N/A</v>
      </c>
      <c r="E393" s="311" t="e">
        <v>#N/A</v>
      </c>
      <c r="F393" s="1347" t="e">
        <v>#N/A</v>
      </c>
      <c r="G393" s="375" t="e">
        <v>#N/A</v>
      </c>
      <c r="H393" s="166" t="e">
        <v>#N/A</v>
      </c>
    </row>
    <row r="394" spans="1:8">
      <c r="A394" s="49">
        <f t="shared" si="4"/>
        <v>2030.01</v>
      </c>
      <c r="B394" s="1591" t="e">
        <v>#N/A</v>
      </c>
      <c r="C394" s="311" t="e">
        <v>#N/A</v>
      </c>
      <c r="D394" s="1587" t="e">
        <v>#N/A</v>
      </c>
      <c r="E394" s="311" t="e">
        <v>#N/A</v>
      </c>
      <c r="F394" s="1347" t="e">
        <v>#N/A</v>
      </c>
      <c r="G394" s="375" t="e">
        <v>#N/A</v>
      </c>
      <c r="H394" s="166" t="e">
        <v>#N/A</v>
      </c>
    </row>
    <row r="395" spans="1:8">
      <c r="A395" s="49">
        <f t="shared" si="4"/>
        <v>2030.02</v>
      </c>
      <c r="B395" s="1591" t="e">
        <v>#N/A</v>
      </c>
      <c r="C395" s="311" t="e">
        <v>#N/A</v>
      </c>
      <c r="D395" s="1587" t="e">
        <v>#N/A</v>
      </c>
      <c r="E395" s="311" t="e">
        <v>#N/A</v>
      </c>
      <c r="F395" s="1347" t="e">
        <v>#N/A</v>
      </c>
      <c r="G395" s="375" t="e">
        <v>#N/A</v>
      </c>
      <c r="H395" s="166" t="e">
        <v>#N/A</v>
      </c>
    </row>
    <row r="396" spans="1:8">
      <c r="A396" s="49">
        <f t="shared" si="4"/>
        <v>2030.03</v>
      </c>
      <c r="B396" s="1591" t="e">
        <v>#N/A</v>
      </c>
      <c r="C396" s="311" t="e">
        <v>#N/A</v>
      </c>
      <c r="D396" s="1587" t="e">
        <v>#N/A</v>
      </c>
      <c r="E396" s="311" t="e">
        <v>#N/A</v>
      </c>
      <c r="F396" s="1347" t="e">
        <v>#N/A</v>
      </c>
      <c r="G396" s="375" t="e">
        <v>#N/A</v>
      </c>
      <c r="H396" s="166" t="e">
        <v>#N/A</v>
      </c>
    </row>
    <row r="397" spans="1:8">
      <c r="A397" s="49">
        <f t="shared" si="4"/>
        <v>2030.04</v>
      </c>
      <c r="B397" s="1591" t="e">
        <v>#N/A</v>
      </c>
      <c r="C397" s="311" t="e">
        <v>#N/A</v>
      </c>
      <c r="D397" s="1587" t="e">
        <v>#N/A</v>
      </c>
      <c r="E397" s="311" t="e">
        <v>#N/A</v>
      </c>
      <c r="F397" s="1347" t="e">
        <v>#N/A</v>
      </c>
      <c r="G397" s="375" t="e">
        <v>#N/A</v>
      </c>
      <c r="H397" s="166" t="e">
        <v>#N/A</v>
      </c>
    </row>
    <row r="398" spans="1:8">
      <c r="A398" s="49">
        <f t="shared" si="4"/>
        <v>2030.05</v>
      </c>
      <c r="B398" s="1591" t="e">
        <v>#N/A</v>
      </c>
      <c r="C398" s="311" t="e">
        <v>#N/A</v>
      </c>
      <c r="D398" s="1587" t="e">
        <v>#N/A</v>
      </c>
      <c r="E398" s="311" t="e">
        <v>#N/A</v>
      </c>
      <c r="F398" s="1347" t="e">
        <v>#N/A</v>
      </c>
      <c r="G398" s="375" t="e">
        <v>#N/A</v>
      </c>
      <c r="H398" s="166" t="e">
        <v>#N/A</v>
      </c>
    </row>
    <row r="399" spans="1:8">
      <c r="A399" s="49">
        <f t="shared" si="4"/>
        <v>2030.06</v>
      </c>
      <c r="B399" s="1591" t="e">
        <v>#N/A</v>
      </c>
      <c r="C399" s="311" t="e">
        <v>#N/A</v>
      </c>
      <c r="D399" s="1587" t="e">
        <v>#N/A</v>
      </c>
      <c r="E399" s="311" t="e">
        <v>#N/A</v>
      </c>
      <c r="F399" s="1347" t="e">
        <v>#N/A</v>
      </c>
      <c r="G399" s="375" t="e">
        <v>#N/A</v>
      </c>
      <c r="H399" s="166" t="e">
        <v>#N/A</v>
      </c>
    </row>
    <row r="400" spans="1:8">
      <c r="A400" s="49">
        <f t="shared" si="4"/>
        <v>2030.07</v>
      </c>
      <c r="B400" s="1591" t="e">
        <v>#N/A</v>
      </c>
      <c r="C400" s="311" t="e">
        <v>#N/A</v>
      </c>
      <c r="D400" s="1587" t="e">
        <v>#N/A</v>
      </c>
      <c r="E400" s="311" t="e">
        <v>#N/A</v>
      </c>
      <c r="F400" s="1347" t="e">
        <v>#N/A</v>
      </c>
      <c r="G400" s="375" t="e">
        <v>#N/A</v>
      </c>
      <c r="H400" s="166" t="e">
        <v>#N/A</v>
      </c>
    </row>
    <row r="401" spans="1:8">
      <c r="A401" s="49">
        <f t="shared" si="4"/>
        <v>2030.08</v>
      </c>
      <c r="B401" s="1591" t="e">
        <v>#N/A</v>
      </c>
      <c r="C401" s="311" t="e">
        <v>#N/A</v>
      </c>
      <c r="D401" s="1587" t="e">
        <v>#N/A</v>
      </c>
      <c r="E401" s="311" t="e">
        <v>#N/A</v>
      </c>
      <c r="F401" s="1347" t="e">
        <v>#N/A</v>
      </c>
      <c r="G401" s="375" t="e">
        <v>#N/A</v>
      </c>
      <c r="H401" s="166" t="e">
        <v>#N/A</v>
      </c>
    </row>
    <row r="402" spans="1:8">
      <c r="A402" s="49">
        <f t="shared" si="4"/>
        <v>2030.09</v>
      </c>
      <c r="B402" s="1591" t="e">
        <v>#N/A</v>
      </c>
      <c r="C402" s="311" t="e">
        <v>#N/A</v>
      </c>
      <c r="D402" s="1587" t="e">
        <v>#N/A</v>
      </c>
      <c r="E402" s="311" t="e">
        <v>#N/A</v>
      </c>
      <c r="F402" s="1347" t="e">
        <v>#N/A</v>
      </c>
      <c r="G402" s="375" t="e">
        <v>#N/A</v>
      </c>
      <c r="H402" s="166" t="e">
        <v>#N/A</v>
      </c>
    </row>
    <row r="403" spans="1:8">
      <c r="A403" s="49">
        <f t="shared" si="4"/>
        <v>2030.1</v>
      </c>
      <c r="B403" s="1591" t="e">
        <v>#N/A</v>
      </c>
      <c r="C403" s="311" t="e">
        <v>#N/A</v>
      </c>
      <c r="D403" s="1587" t="e">
        <v>#N/A</v>
      </c>
      <c r="E403" s="311" t="e">
        <v>#N/A</v>
      </c>
      <c r="F403" s="1347" t="e">
        <v>#N/A</v>
      </c>
      <c r="G403" s="375" t="e">
        <v>#N/A</v>
      </c>
      <c r="H403" s="166" t="e">
        <v>#N/A</v>
      </c>
    </row>
    <row r="404" spans="1:8">
      <c r="A404" s="49">
        <f t="shared" si="4"/>
        <v>2030.11</v>
      </c>
      <c r="B404" s="1591" t="e">
        <v>#N/A</v>
      </c>
      <c r="C404" s="311" t="e">
        <v>#N/A</v>
      </c>
      <c r="D404" s="1587" t="e">
        <v>#N/A</v>
      </c>
      <c r="E404" s="311" t="e">
        <v>#N/A</v>
      </c>
      <c r="F404" s="1347" t="e">
        <v>#N/A</v>
      </c>
      <c r="G404" s="375" t="e">
        <v>#N/A</v>
      </c>
      <c r="H404" s="166" t="e">
        <v>#N/A</v>
      </c>
    </row>
    <row r="405" spans="1:8">
      <c r="A405" s="49">
        <f t="shared" si="4"/>
        <v>2030.12</v>
      </c>
      <c r="B405" s="1591" t="e">
        <v>#N/A</v>
      </c>
      <c r="C405" s="311" t="e">
        <v>#N/A</v>
      </c>
      <c r="D405" s="1587" t="e">
        <v>#N/A</v>
      </c>
      <c r="E405" s="311" t="e">
        <v>#N/A</v>
      </c>
      <c r="F405" s="1347" t="e">
        <v>#N/A</v>
      </c>
      <c r="G405" s="375" t="e">
        <v>#N/A</v>
      </c>
      <c r="H405" s="166" t="e">
        <v>#N/A</v>
      </c>
    </row>
  </sheetData>
  <mergeCells count="1">
    <mergeCell ref="H5:H6"/>
  </mergeCells>
  <phoneticPr fontId="0" type="noConversion"/>
  <hyperlinks>
    <hyperlink ref="A5" location="INDICE!A13" display="VOLVER AL INDICE" xr:uid="{00000000-0004-0000-23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9">
    <pageSetUpPr autoPageBreaks="0" fitToPage="1"/>
  </sheetPr>
  <dimension ref="A1:K309"/>
  <sheetViews>
    <sheetView zoomScale="115" zoomScaleNormal="115" workbookViewId="0">
      <pane xSplit="1" ySplit="9" topLeftCell="B219" activePane="bottomRight" state="frozen"/>
      <selection activeCell="Y299" sqref="Y299"/>
      <selection pane="topRight" activeCell="Y299" sqref="Y299"/>
      <selection pane="bottomLeft" activeCell="Y299" sqref="Y299"/>
      <selection pane="bottomRight" activeCell="A5" sqref="A5"/>
    </sheetView>
  </sheetViews>
  <sheetFormatPr baseColWidth="10" defaultColWidth="11.42578125" defaultRowHeight="12.75"/>
  <cols>
    <col min="1" max="1" width="10.5703125" style="19" customWidth="1"/>
    <col min="2" max="2" width="14.5703125" style="19" bestFit="1" customWidth="1"/>
    <col min="3" max="4" width="15.5703125" style="19" customWidth="1"/>
    <col min="5" max="5" width="14.5703125" style="19" bestFit="1" customWidth="1"/>
    <col min="6" max="7" width="15.5703125" style="19" customWidth="1"/>
    <col min="8" max="8" width="14.5703125" style="19" bestFit="1" customWidth="1"/>
    <col min="9" max="10" width="15.5703125" style="19" customWidth="1"/>
    <col min="11" max="16384" width="11.42578125" style="1"/>
  </cols>
  <sheetData>
    <row r="1" spans="1:10" s="8" customFormat="1" ht="3" customHeight="1">
      <c r="A1" s="37"/>
      <c r="B1" s="168"/>
      <c r="C1" s="169"/>
      <c r="D1" s="169"/>
      <c r="E1" s="169"/>
      <c r="F1" s="169"/>
      <c r="G1" s="169"/>
      <c r="H1" s="169"/>
      <c r="I1" s="169"/>
      <c r="J1" s="170"/>
    </row>
    <row r="2" spans="1:10" s="8" customFormat="1" ht="41.25" customHeight="1">
      <c r="A2" s="121" t="s">
        <v>212</v>
      </c>
      <c r="B2" s="156" t="s">
        <v>365</v>
      </c>
      <c r="C2" s="94"/>
      <c r="D2" s="115"/>
      <c r="E2" s="94"/>
      <c r="F2" s="94"/>
      <c r="G2" s="41"/>
      <c r="H2" s="94"/>
      <c r="I2" s="94"/>
      <c r="J2" s="41"/>
    </row>
    <row r="3" spans="1:10" s="8" customFormat="1">
      <c r="A3" s="39" t="s">
        <v>330</v>
      </c>
      <c r="B3" s="156" t="s">
        <v>219</v>
      </c>
      <c r="C3" s="94"/>
      <c r="D3" s="115"/>
      <c r="E3" s="94"/>
      <c r="F3" s="94"/>
      <c r="G3" s="41"/>
      <c r="H3" s="94"/>
      <c r="I3" s="94"/>
      <c r="J3" s="41"/>
    </row>
    <row r="4" spans="1:10" s="8" customFormat="1" ht="3" customHeight="1">
      <c r="A4" s="37"/>
      <c r="B4" s="168"/>
      <c r="C4" s="169"/>
      <c r="D4" s="169"/>
      <c r="E4" s="169"/>
      <c r="F4" s="169"/>
      <c r="G4" s="169"/>
      <c r="H4" s="169"/>
      <c r="I4" s="169"/>
      <c r="J4" s="170"/>
    </row>
    <row r="5" spans="1:10" s="8" customFormat="1" ht="22.5">
      <c r="A5" s="45" t="s">
        <v>213</v>
      </c>
      <c r="B5" s="159" t="s">
        <v>56</v>
      </c>
      <c r="C5" s="279"/>
      <c r="D5" s="367"/>
      <c r="E5" s="84" t="s">
        <v>81</v>
      </c>
      <c r="F5" s="279"/>
      <c r="G5" s="279"/>
      <c r="H5" s="84" t="s">
        <v>58</v>
      </c>
      <c r="I5" s="279"/>
      <c r="J5" s="366"/>
    </row>
    <row r="6" spans="1:10" s="8" customFormat="1" ht="23.25" thickBot="1">
      <c r="A6" s="152"/>
      <c r="B6" s="21" t="s">
        <v>366</v>
      </c>
      <c r="C6" s="1339" t="s">
        <v>367</v>
      </c>
      <c r="D6" s="106" t="s">
        <v>368</v>
      </c>
      <c r="E6" s="114" t="s">
        <v>366</v>
      </c>
      <c r="F6" s="1339" t="s">
        <v>367</v>
      </c>
      <c r="G6" s="106" t="s">
        <v>368</v>
      </c>
      <c r="H6" s="114" t="s">
        <v>366</v>
      </c>
      <c r="I6" s="1339" t="s">
        <v>367</v>
      </c>
      <c r="J6" s="866" t="s">
        <v>368</v>
      </c>
    </row>
    <row r="7" spans="1:10" s="8" customFormat="1" ht="22.5">
      <c r="A7" s="47" t="s">
        <v>210</v>
      </c>
      <c r="B7" s="2351" t="s">
        <v>1337</v>
      </c>
      <c r="C7" s="2347" t="s">
        <v>1337</v>
      </c>
      <c r="D7" s="2348" t="s">
        <v>1337</v>
      </c>
      <c r="E7" s="1463" t="s">
        <v>1337</v>
      </c>
      <c r="F7" s="2347" t="s">
        <v>1337</v>
      </c>
      <c r="G7" s="2348" t="s">
        <v>1337</v>
      </c>
      <c r="H7" s="1463" t="s">
        <v>1337</v>
      </c>
      <c r="I7" s="2347" t="s">
        <v>1337</v>
      </c>
      <c r="J7" s="2349" t="s">
        <v>1337</v>
      </c>
    </row>
    <row r="8" spans="1:10" s="8" customFormat="1" ht="13.5" customHeight="1">
      <c r="A8" s="390" t="s">
        <v>412</v>
      </c>
      <c r="B8" s="2350" t="s">
        <v>620</v>
      </c>
      <c r="C8" s="2343" t="s">
        <v>621</v>
      </c>
      <c r="D8" s="2344" t="s">
        <v>622</v>
      </c>
      <c r="E8" s="2345" t="s">
        <v>623</v>
      </c>
      <c r="F8" s="2343" t="s">
        <v>624</v>
      </c>
      <c r="G8" s="2344" t="s">
        <v>625</v>
      </c>
      <c r="H8" s="2345" t="s">
        <v>626</v>
      </c>
      <c r="I8" s="2343" t="s">
        <v>627</v>
      </c>
      <c r="J8" s="2346" t="s">
        <v>628</v>
      </c>
    </row>
    <row r="9" spans="1:10" s="9" customFormat="1" ht="13.5" thickBot="1">
      <c r="A9" s="152"/>
      <c r="B9" s="466"/>
      <c r="C9" s="1337"/>
      <c r="D9" s="464"/>
      <c r="E9" s="330"/>
      <c r="F9" s="1337"/>
      <c r="G9" s="464"/>
      <c r="H9" s="330"/>
      <c r="I9" s="1337"/>
      <c r="J9" s="465"/>
    </row>
    <row r="10" spans="1:10">
      <c r="A10" s="49">
        <v>2006.01</v>
      </c>
      <c r="B10" s="1814"/>
      <c r="C10" s="1460"/>
      <c r="D10" s="165"/>
      <c r="E10" s="572">
        <v>170159</v>
      </c>
      <c r="F10" s="1462">
        <v>50456</v>
      </c>
      <c r="G10" s="441"/>
      <c r="H10" s="1815"/>
      <c r="I10" s="1461"/>
      <c r="J10" s="1816"/>
    </row>
    <row r="11" spans="1:10">
      <c r="A11" s="49">
        <v>2006.02</v>
      </c>
      <c r="B11" s="1814"/>
      <c r="C11" s="1460"/>
      <c r="D11" s="165"/>
      <c r="E11" s="573">
        <v>158004</v>
      </c>
      <c r="F11" s="1365">
        <v>54586</v>
      </c>
      <c r="G11" s="165"/>
      <c r="H11" s="930"/>
      <c r="I11" s="1460"/>
      <c r="J11" s="1578"/>
    </row>
    <row r="12" spans="1:10">
      <c r="A12" s="49">
        <v>2006.03</v>
      </c>
      <c r="B12" s="1814"/>
      <c r="C12" s="1460"/>
      <c r="D12" s="165"/>
      <c r="E12" s="573">
        <v>175894</v>
      </c>
      <c r="F12" s="1365">
        <v>71036</v>
      </c>
      <c r="G12" s="165"/>
      <c r="H12" s="930"/>
      <c r="I12" s="1460"/>
      <c r="J12" s="1578"/>
    </row>
    <row r="13" spans="1:10">
      <c r="A13" s="49">
        <v>2006.04</v>
      </c>
      <c r="B13" s="1814"/>
      <c r="C13" s="1460"/>
      <c r="D13" s="165"/>
      <c r="E13" s="573">
        <v>162150</v>
      </c>
      <c r="F13" s="1365">
        <v>65531</v>
      </c>
      <c r="G13" s="165"/>
      <c r="H13" s="930"/>
      <c r="I13" s="1460"/>
      <c r="J13" s="1578"/>
    </row>
    <row r="14" spans="1:10">
      <c r="A14" s="49">
        <v>2006.05</v>
      </c>
      <c r="B14" s="1814"/>
      <c r="C14" s="1460"/>
      <c r="D14" s="165"/>
      <c r="E14" s="573">
        <v>176731</v>
      </c>
      <c r="F14" s="1365">
        <v>64637</v>
      </c>
      <c r="G14" s="165"/>
      <c r="H14" s="930"/>
      <c r="I14" s="1460"/>
      <c r="J14" s="1578"/>
    </row>
    <row r="15" spans="1:10">
      <c r="A15" s="49">
        <v>2006.06</v>
      </c>
      <c r="B15" s="1814"/>
      <c r="C15" s="1460"/>
      <c r="D15" s="165"/>
      <c r="E15" s="573">
        <v>165150</v>
      </c>
      <c r="F15" s="1365">
        <v>62660</v>
      </c>
      <c r="G15" s="165"/>
      <c r="H15" s="930"/>
      <c r="I15" s="1460"/>
      <c r="J15" s="1578"/>
    </row>
    <row r="16" spans="1:10">
      <c r="A16" s="49">
        <v>2006.07</v>
      </c>
      <c r="B16" s="1814"/>
      <c r="C16" s="1460"/>
      <c r="D16" s="165"/>
      <c r="E16" s="573">
        <v>172453</v>
      </c>
      <c r="F16" s="1365">
        <v>75356</v>
      </c>
      <c r="G16" s="165"/>
      <c r="H16" s="930"/>
      <c r="I16" s="1460"/>
      <c r="J16" s="1578"/>
    </row>
    <row r="17" spans="1:10">
      <c r="A17" s="49">
        <v>2006.08</v>
      </c>
      <c r="B17" s="1814"/>
      <c r="C17" s="1460"/>
      <c r="D17" s="165"/>
      <c r="E17" s="573">
        <v>172174</v>
      </c>
      <c r="F17" s="1365">
        <v>76857</v>
      </c>
      <c r="G17" s="165"/>
      <c r="H17" s="930"/>
      <c r="I17" s="1460"/>
      <c r="J17" s="1578"/>
    </row>
    <row r="18" spans="1:10">
      <c r="A18" s="49">
        <v>2006.09</v>
      </c>
      <c r="B18" s="1814"/>
      <c r="C18" s="1460"/>
      <c r="D18" s="165"/>
      <c r="E18" s="573">
        <v>166080</v>
      </c>
      <c r="F18" s="1365">
        <v>70553</v>
      </c>
      <c r="G18" s="165"/>
      <c r="H18" s="930"/>
      <c r="I18" s="1460"/>
      <c r="J18" s="1578"/>
    </row>
    <row r="19" spans="1:10">
      <c r="A19" s="49">
        <v>2006.1</v>
      </c>
      <c r="B19" s="1814"/>
      <c r="C19" s="1460"/>
      <c r="D19" s="165"/>
      <c r="E19" s="573">
        <v>174065</v>
      </c>
      <c r="F19" s="1365">
        <v>73602</v>
      </c>
      <c r="G19" s="165"/>
      <c r="H19" s="930"/>
      <c r="I19" s="1460"/>
      <c r="J19" s="1578"/>
    </row>
    <row r="20" spans="1:10">
      <c r="A20" s="49">
        <v>2006.11</v>
      </c>
      <c r="B20" s="1814"/>
      <c r="C20" s="1460"/>
      <c r="D20" s="165"/>
      <c r="E20" s="573">
        <v>167790</v>
      </c>
      <c r="F20" s="1365">
        <v>72671</v>
      </c>
      <c r="G20" s="165"/>
      <c r="H20" s="930"/>
      <c r="I20" s="1460"/>
      <c r="J20" s="1578"/>
    </row>
    <row r="21" spans="1:10">
      <c r="A21" s="49">
        <v>2006.12</v>
      </c>
      <c r="B21" s="1814"/>
      <c r="C21" s="1460"/>
      <c r="D21" s="165"/>
      <c r="E21" s="573">
        <v>169570</v>
      </c>
      <c r="F21" s="1365">
        <v>60557</v>
      </c>
      <c r="G21" s="165"/>
      <c r="H21" s="930"/>
      <c r="I21" s="1460"/>
      <c r="J21" s="1578"/>
    </row>
    <row r="22" spans="1:10">
      <c r="A22" s="49">
        <v>2007.01</v>
      </c>
      <c r="B22" s="54">
        <v>69626</v>
      </c>
      <c r="C22" s="1462">
        <v>21146</v>
      </c>
      <c r="D22" s="165"/>
      <c r="E22" s="573">
        <v>179583</v>
      </c>
      <c r="F22" s="1365">
        <v>46839</v>
      </c>
      <c r="G22" s="165"/>
      <c r="H22" s="572">
        <v>31333</v>
      </c>
      <c r="I22" s="1462">
        <v>12204</v>
      </c>
      <c r="J22" s="1578"/>
    </row>
    <row r="23" spans="1:10">
      <c r="A23" s="49">
        <v>2007.02</v>
      </c>
      <c r="B23" s="50">
        <v>62692</v>
      </c>
      <c r="C23" s="1365">
        <v>19601</v>
      </c>
      <c r="D23" s="165"/>
      <c r="E23" s="573">
        <v>165676</v>
      </c>
      <c r="F23" s="1365">
        <v>46998</v>
      </c>
      <c r="G23" s="165"/>
      <c r="H23" s="573">
        <v>28308</v>
      </c>
      <c r="I23" s="1365">
        <v>11985</v>
      </c>
      <c r="J23" s="1578"/>
    </row>
    <row r="24" spans="1:10">
      <c r="A24" s="49">
        <v>2007.03</v>
      </c>
      <c r="B24" s="50">
        <v>69471</v>
      </c>
      <c r="C24" s="1365">
        <v>19479</v>
      </c>
      <c r="D24" s="165"/>
      <c r="E24" s="573">
        <v>177599</v>
      </c>
      <c r="F24" s="1365">
        <v>56803</v>
      </c>
      <c r="G24" s="165"/>
      <c r="H24" s="573">
        <v>31341</v>
      </c>
      <c r="I24" s="1365">
        <v>11580</v>
      </c>
      <c r="J24" s="1578"/>
    </row>
    <row r="25" spans="1:10">
      <c r="A25" s="49">
        <v>2007.04</v>
      </c>
      <c r="B25" s="50">
        <v>66690</v>
      </c>
      <c r="C25" s="1365">
        <v>18231</v>
      </c>
      <c r="D25" s="165"/>
      <c r="E25" s="573">
        <v>174570</v>
      </c>
      <c r="F25" s="1365">
        <v>56469</v>
      </c>
      <c r="G25" s="165"/>
      <c r="H25" s="573">
        <v>30420</v>
      </c>
      <c r="I25" s="1365">
        <v>12862</v>
      </c>
      <c r="J25" s="1578"/>
    </row>
    <row r="26" spans="1:10">
      <c r="A26" s="49">
        <v>2007.05</v>
      </c>
      <c r="B26" s="50">
        <v>69688</v>
      </c>
      <c r="C26" s="1365">
        <v>22237</v>
      </c>
      <c r="D26" s="165"/>
      <c r="E26" s="573">
        <v>189844</v>
      </c>
      <c r="F26" s="1365">
        <v>59092</v>
      </c>
      <c r="G26" s="165"/>
      <c r="H26" s="573">
        <v>30318</v>
      </c>
      <c r="I26" s="1365">
        <v>11770</v>
      </c>
      <c r="J26" s="1578"/>
    </row>
    <row r="27" spans="1:10">
      <c r="A27" s="49">
        <v>2007.06</v>
      </c>
      <c r="B27" s="50">
        <v>66900</v>
      </c>
      <c r="C27" s="1365">
        <v>19312</v>
      </c>
      <c r="D27" s="165"/>
      <c r="E27" s="573">
        <v>178080</v>
      </c>
      <c r="F27" s="1365">
        <v>53201</v>
      </c>
      <c r="G27" s="165"/>
      <c r="H27" s="573">
        <v>29248</v>
      </c>
      <c r="I27" s="1365">
        <v>11353</v>
      </c>
      <c r="J27" s="1578"/>
    </row>
    <row r="28" spans="1:10">
      <c r="A28" s="49">
        <v>2007.07</v>
      </c>
      <c r="B28" s="50">
        <v>68820</v>
      </c>
      <c r="C28" s="1365">
        <v>27260</v>
      </c>
      <c r="D28" s="165"/>
      <c r="E28" s="573">
        <v>183551</v>
      </c>
      <c r="F28" s="1365">
        <v>67376</v>
      </c>
      <c r="G28" s="165"/>
      <c r="H28" s="573">
        <v>30318</v>
      </c>
      <c r="I28" s="1365">
        <v>13104</v>
      </c>
      <c r="J28" s="1578"/>
    </row>
    <row r="29" spans="1:10">
      <c r="A29" s="49">
        <v>2007.08</v>
      </c>
      <c r="B29" s="50">
        <v>69843</v>
      </c>
      <c r="C29" s="1365">
        <v>28751</v>
      </c>
      <c r="D29" s="165"/>
      <c r="E29" s="573">
        <v>186899</v>
      </c>
      <c r="F29" s="1365">
        <v>68275</v>
      </c>
      <c r="G29" s="165"/>
      <c r="H29" s="573">
        <v>30203</v>
      </c>
      <c r="I29" s="1365">
        <v>12605</v>
      </c>
      <c r="J29" s="1578"/>
    </row>
    <row r="30" spans="1:10">
      <c r="A30" s="49">
        <v>2007.09</v>
      </c>
      <c r="B30" s="50">
        <v>67320</v>
      </c>
      <c r="C30" s="1365">
        <v>28062</v>
      </c>
      <c r="D30" s="165"/>
      <c r="E30" s="573">
        <v>176670</v>
      </c>
      <c r="F30" s="1365">
        <v>59344</v>
      </c>
      <c r="G30" s="165"/>
      <c r="H30" s="573">
        <v>30720</v>
      </c>
      <c r="I30" s="1365">
        <v>15662</v>
      </c>
      <c r="J30" s="1578"/>
    </row>
    <row r="31" spans="1:10">
      <c r="A31" s="49">
        <v>2007.1</v>
      </c>
      <c r="B31" s="50">
        <v>69564</v>
      </c>
      <c r="C31" s="1365">
        <v>27451</v>
      </c>
      <c r="D31" s="165"/>
      <c r="E31" s="573">
        <v>179366</v>
      </c>
      <c r="F31" s="1365">
        <v>60407</v>
      </c>
      <c r="G31" s="165"/>
      <c r="H31" s="573">
        <v>30499</v>
      </c>
      <c r="I31" s="1365">
        <v>13317</v>
      </c>
      <c r="J31" s="1578"/>
    </row>
    <row r="32" spans="1:10">
      <c r="A32" s="49">
        <v>2007.11</v>
      </c>
      <c r="B32" s="50">
        <v>67230</v>
      </c>
      <c r="C32" s="1365">
        <v>28767</v>
      </c>
      <c r="D32" s="165"/>
      <c r="E32" s="573">
        <v>170820</v>
      </c>
      <c r="F32" s="1365">
        <v>60482</v>
      </c>
      <c r="G32" s="165"/>
      <c r="H32" s="573">
        <v>29668</v>
      </c>
      <c r="I32" s="1365">
        <v>13611</v>
      </c>
      <c r="J32" s="1578"/>
    </row>
    <row r="33" spans="1:10">
      <c r="A33" s="49">
        <v>2007.12</v>
      </c>
      <c r="B33" s="50">
        <v>68939</v>
      </c>
      <c r="C33" s="1365">
        <v>23320</v>
      </c>
      <c r="D33" s="165"/>
      <c r="E33" s="573">
        <v>178224</v>
      </c>
      <c r="F33" s="1365">
        <v>45920</v>
      </c>
      <c r="G33" s="165"/>
      <c r="H33" s="573">
        <v>30637</v>
      </c>
      <c r="I33" s="1365">
        <v>12820</v>
      </c>
      <c r="J33" s="1578"/>
    </row>
    <row r="34" spans="1:10">
      <c r="A34" s="49">
        <f t="shared" ref="A34:A65" si="0">A22+1</f>
        <v>2008.01</v>
      </c>
      <c r="B34" s="50">
        <v>68572</v>
      </c>
      <c r="C34" s="1365">
        <v>18403</v>
      </c>
      <c r="D34" s="126">
        <v>1402</v>
      </c>
      <c r="E34" s="573">
        <v>178343</v>
      </c>
      <c r="F34" s="1365">
        <v>51944</v>
      </c>
      <c r="G34" s="126">
        <v>4869</v>
      </c>
      <c r="H34" s="573">
        <v>29816</v>
      </c>
      <c r="I34" s="1365">
        <v>16603</v>
      </c>
      <c r="J34" s="399">
        <v>114</v>
      </c>
    </row>
    <row r="35" spans="1:10">
      <c r="A35" s="49">
        <f t="shared" si="0"/>
        <v>2008.02</v>
      </c>
      <c r="B35" s="50">
        <v>64148</v>
      </c>
      <c r="C35" s="1365">
        <v>19677</v>
      </c>
      <c r="D35" s="73">
        <v>2098</v>
      </c>
      <c r="E35" s="573">
        <v>167997</v>
      </c>
      <c r="F35" s="1365">
        <v>46735</v>
      </c>
      <c r="G35" s="73">
        <v>4897</v>
      </c>
      <c r="H35" s="573">
        <v>28449</v>
      </c>
      <c r="I35" s="1365">
        <v>10664</v>
      </c>
      <c r="J35" s="163">
        <v>164</v>
      </c>
    </row>
    <row r="36" spans="1:10">
      <c r="A36" s="49">
        <f t="shared" si="0"/>
        <v>2008.03</v>
      </c>
      <c r="B36" s="50">
        <v>68851</v>
      </c>
      <c r="C36" s="1365">
        <v>18272</v>
      </c>
      <c r="D36" s="73">
        <v>1182</v>
      </c>
      <c r="E36" s="573">
        <v>183148</v>
      </c>
      <c r="F36" s="1365">
        <v>60542</v>
      </c>
      <c r="G36" s="73">
        <v>6403</v>
      </c>
      <c r="H36" s="573">
        <v>33604</v>
      </c>
      <c r="I36" s="1365">
        <v>10803</v>
      </c>
      <c r="J36" s="163">
        <v>120</v>
      </c>
    </row>
    <row r="37" spans="1:10">
      <c r="A37" s="49">
        <f t="shared" si="0"/>
        <v>2008.04</v>
      </c>
      <c r="B37" s="50">
        <v>67050</v>
      </c>
      <c r="C37" s="1365">
        <v>19091</v>
      </c>
      <c r="D37" s="73">
        <v>1055</v>
      </c>
      <c r="E37" s="573">
        <v>175950</v>
      </c>
      <c r="F37" s="1365">
        <v>54553</v>
      </c>
      <c r="G37" s="73">
        <v>5935</v>
      </c>
      <c r="H37" s="573">
        <v>29430</v>
      </c>
      <c r="I37" s="1365">
        <v>11964</v>
      </c>
      <c r="J37" s="163">
        <v>340</v>
      </c>
    </row>
    <row r="38" spans="1:10">
      <c r="A38" s="49">
        <f t="shared" si="0"/>
        <v>2008.05</v>
      </c>
      <c r="B38" s="50">
        <v>68510</v>
      </c>
      <c r="C38" s="1365">
        <v>21225</v>
      </c>
      <c r="D38" s="73">
        <v>1588</v>
      </c>
      <c r="E38" s="573">
        <v>182094</v>
      </c>
      <c r="F38" s="1365">
        <v>54401</v>
      </c>
      <c r="G38" s="73">
        <v>5218</v>
      </c>
      <c r="H38" s="573">
        <v>30411</v>
      </c>
      <c r="I38" s="1365">
        <v>11199</v>
      </c>
      <c r="J38" s="163">
        <v>139</v>
      </c>
    </row>
    <row r="39" spans="1:10">
      <c r="A39" s="49">
        <f t="shared" si="0"/>
        <v>2008.06</v>
      </c>
      <c r="B39" s="50">
        <v>66870</v>
      </c>
      <c r="C39" s="1365">
        <v>15889</v>
      </c>
      <c r="D39" s="73">
        <v>1009</v>
      </c>
      <c r="E39" s="573">
        <v>176460</v>
      </c>
      <c r="F39" s="1365">
        <v>55885</v>
      </c>
      <c r="G39" s="73">
        <v>5733</v>
      </c>
      <c r="H39" s="573">
        <v>29430</v>
      </c>
      <c r="I39" s="1365">
        <v>12078</v>
      </c>
      <c r="J39" s="163">
        <v>136</v>
      </c>
    </row>
    <row r="40" spans="1:10">
      <c r="A40" s="134">
        <f t="shared" si="0"/>
        <v>2008.07</v>
      </c>
      <c r="B40" s="613">
        <v>68107</v>
      </c>
      <c r="C40" s="1639">
        <v>21048</v>
      </c>
      <c r="D40" s="457">
        <v>1813</v>
      </c>
      <c r="E40" s="631">
        <v>181474</v>
      </c>
      <c r="F40" s="1639">
        <v>67618</v>
      </c>
      <c r="G40" s="457">
        <v>5849</v>
      </c>
      <c r="H40" s="631">
        <v>29264</v>
      </c>
      <c r="I40" s="1639">
        <v>12173</v>
      </c>
      <c r="J40" s="844">
        <v>54</v>
      </c>
    </row>
    <row r="41" spans="1:10">
      <c r="A41" s="134">
        <f t="shared" si="0"/>
        <v>2008.08</v>
      </c>
      <c r="B41" s="613">
        <v>68479</v>
      </c>
      <c r="C41" s="1639">
        <v>23099</v>
      </c>
      <c r="D41" s="457">
        <v>1289</v>
      </c>
      <c r="E41" s="631">
        <v>182714</v>
      </c>
      <c r="F41" s="1639">
        <v>67292</v>
      </c>
      <c r="G41" s="457">
        <v>6666</v>
      </c>
      <c r="H41" s="631">
        <v>30070</v>
      </c>
      <c r="I41" s="1639">
        <v>12173</v>
      </c>
      <c r="J41" s="844">
        <v>742</v>
      </c>
    </row>
    <row r="42" spans="1:10">
      <c r="A42" s="134">
        <f t="shared" si="0"/>
        <v>2008.09</v>
      </c>
      <c r="B42" s="613">
        <v>66270</v>
      </c>
      <c r="C42" s="1639">
        <v>20734</v>
      </c>
      <c r="D42" s="457">
        <v>1277</v>
      </c>
      <c r="E42" s="631">
        <v>176490</v>
      </c>
      <c r="F42" s="1639">
        <v>60934</v>
      </c>
      <c r="G42" s="457">
        <v>6276</v>
      </c>
      <c r="H42" s="631">
        <v>28800</v>
      </c>
      <c r="I42" s="1639">
        <v>12163</v>
      </c>
      <c r="J42" s="844">
        <v>117</v>
      </c>
    </row>
    <row r="43" spans="1:10">
      <c r="A43" s="134">
        <f t="shared" si="0"/>
        <v>2008.1</v>
      </c>
      <c r="B43" s="613">
        <v>68758</v>
      </c>
      <c r="C43" s="1639">
        <v>25108</v>
      </c>
      <c r="D43" s="457">
        <v>1613</v>
      </c>
      <c r="E43" s="631">
        <v>181784</v>
      </c>
      <c r="F43" s="1639">
        <v>64952</v>
      </c>
      <c r="G43" s="457">
        <v>7045</v>
      </c>
      <c r="H43" s="631">
        <v>29698</v>
      </c>
      <c r="I43" s="1639">
        <v>11583</v>
      </c>
      <c r="J43" s="844">
        <v>1142</v>
      </c>
    </row>
    <row r="44" spans="1:10">
      <c r="A44" s="134">
        <f t="shared" si="0"/>
        <v>2008.11</v>
      </c>
      <c r="B44" s="613">
        <v>66720</v>
      </c>
      <c r="C44" s="1639">
        <v>20265</v>
      </c>
      <c r="D44" s="457">
        <v>1254</v>
      </c>
      <c r="E44" s="631">
        <v>177450</v>
      </c>
      <c r="F44" s="1639">
        <v>58702</v>
      </c>
      <c r="G44" s="457">
        <v>7965</v>
      </c>
      <c r="H44" s="631">
        <v>28350</v>
      </c>
      <c r="I44" s="1639">
        <v>10540</v>
      </c>
      <c r="J44" s="844">
        <v>135</v>
      </c>
    </row>
    <row r="45" spans="1:10">
      <c r="A45" s="134">
        <f t="shared" si="0"/>
        <v>2008.12</v>
      </c>
      <c r="B45" s="613">
        <v>69905</v>
      </c>
      <c r="C45" s="1639">
        <v>15217</v>
      </c>
      <c r="D45" s="457">
        <v>1125</v>
      </c>
      <c r="E45" s="631">
        <v>181413</v>
      </c>
      <c r="F45" s="1639">
        <v>46309</v>
      </c>
      <c r="G45" s="457">
        <v>4274</v>
      </c>
      <c r="H45" s="631">
        <v>27720</v>
      </c>
      <c r="I45" s="1639">
        <v>8762</v>
      </c>
      <c r="J45" s="844">
        <v>29</v>
      </c>
    </row>
    <row r="46" spans="1:10">
      <c r="A46" s="134">
        <f t="shared" si="0"/>
        <v>2009.01</v>
      </c>
      <c r="B46" s="613">
        <v>67630</v>
      </c>
      <c r="C46" s="1639">
        <v>12602</v>
      </c>
      <c r="D46" s="457">
        <v>1094</v>
      </c>
      <c r="E46" s="631">
        <v>184851</v>
      </c>
      <c r="F46" s="1639">
        <v>38697</v>
      </c>
      <c r="G46" s="457">
        <v>3086</v>
      </c>
      <c r="H46" s="631">
        <v>27286</v>
      </c>
      <c r="I46" s="1639">
        <v>6428</v>
      </c>
      <c r="J46" s="844">
        <v>34</v>
      </c>
    </row>
    <row r="47" spans="1:10">
      <c r="A47" s="134">
        <f t="shared" si="0"/>
        <v>2009.02</v>
      </c>
      <c r="B47" s="613">
        <v>61432</v>
      </c>
      <c r="C47" s="1639">
        <v>14284</v>
      </c>
      <c r="D47" s="457">
        <v>1601</v>
      </c>
      <c r="E47" s="631">
        <v>166796</v>
      </c>
      <c r="F47" s="1639">
        <v>40894</v>
      </c>
      <c r="G47" s="457">
        <v>2851</v>
      </c>
      <c r="H47" s="631">
        <v>24808</v>
      </c>
      <c r="I47" s="1639">
        <v>5337</v>
      </c>
      <c r="J47" s="844">
        <v>53</v>
      </c>
    </row>
    <row r="48" spans="1:10">
      <c r="A48" s="134">
        <f t="shared" si="0"/>
        <v>2009.03</v>
      </c>
      <c r="B48" s="613">
        <v>68789</v>
      </c>
      <c r="C48" s="1639">
        <v>14359</v>
      </c>
      <c r="D48" s="457">
        <v>912</v>
      </c>
      <c r="E48" s="631">
        <v>184915</v>
      </c>
      <c r="F48" s="1639">
        <v>45729</v>
      </c>
      <c r="G48" s="457">
        <v>3051</v>
      </c>
      <c r="H48" s="631">
        <v>27652</v>
      </c>
      <c r="I48" s="1639">
        <v>8720</v>
      </c>
      <c r="J48" s="844">
        <v>48</v>
      </c>
    </row>
    <row r="49" spans="1:10">
      <c r="A49" s="134">
        <f t="shared" si="0"/>
        <v>2009.04</v>
      </c>
      <c r="B49" s="613">
        <v>64950</v>
      </c>
      <c r="C49" s="1639">
        <v>14470</v>
      </c>
      <c r="D49" s="457">
        <v>1255</v>
      </c>
      <c r="E49" s="631">
        <v>176580</v>
      </c>
      <c r="F49" s="1639">
        <v>47916</v>
      </c>
      <c r="G49" s="457">
        <v>2996</v>
      </c>
      <c r="H49" s="631">
        <v>27870</v>
      </c>
      <c r="I49" s="1639">
        <v>9970</v>
      </c>
      <c r="J49" s="844">
        <v>261</v>
      </c>
    </row>
    <row r="50" spans="1:10">
      <c r="A50" s="134">
        <f t="shared" si="0"/>
        <v>2009.05</v>
      </c>
      <c r="B50" s="613">
        <v>68138</v>
      </c>
      <c r="C50" s="1639">
        <v>16974</v>
      </c>
      <c r="D50" s="457">
        <v>1103</v>
      </c>
      <c r="E50" s="631">
        <v>183427</v>
      </c>
      <c r="F50" s="1639">
        <v>48502</v>
      </c>
      <c r="G50" s="457">
        <v>2643</v>
      </c>
      <c r="H50" s="631">
        <v>27652</v>
      </c>
      <c r="I50" s="1639">
        <v>8826</v>
      </c>
      <c r="J50" s="844">
        <v>122</v>
      </c>
    </row>
    <row r="51" spans="1:10">
      <c r="A51" s="134">
        <f t="shared" si="0"/>
        <v>2009.06</v>
      </c>
      <c r="B51" s="613">
        <v>65130</v>
      </c>
      <c r="C51" s="1639">
        <v>15304</v>
      </c>
      <c r="D51" s="457">
        <v>951</v>
      </c>
      <c r="E51" s="631">
        <v>179070</v>
      </c>
      <c r="F51" s="1639">
        <v>41669</v>
      </c>
      <c r="G51" s="457">
        <v>3261</v>
      </c>
      <c r="H51" s="631">
        <v>27870</v>
      </c>
      <c r="I51" s="1639">
        <v>9787</v>
      </c>
      <c r="J51" s="844">
        <v>249</v>
      </c>
    </row>
    <row r="52" spans="1:10">
      <c r="A52" s="134">
        <f t="shared" si="0"/>
        <v>2009.07</v>
      </c>
      <c r="B52" s="613">
        <v>67828</v>
      </c>
      <c r="C52" s="1639">
        <v>11961</v>
      </c>
      <c r="D52" s="457">
        <v>461</v>
      </c>
      <c r="E52" s="631">
        <v>185145</v>
      </c>
      <c r="F52" s="1639">
        <v>36173</v>
      </c>
      <c r="G52" s="457">
        <v>3246</v>
      </c>
      <c r="H52" s="631">
        <v>27652</v>
      </c>
      <c r="I52" s="1639">
        <v>8479</v>
      </c>
      <c r="J52" s="844">
        <v>0</v>
      </c>
    </row>
    <row r="53" spans="1:10">
      <c r="A53" s="134">
        <f t="shared" si="0"/>
        <v>2009.08</v>
      </c>
      <c r="B53" s="613">
        <v>67890</v>
      </c>
      <c r="C53" s="1639">
        <v>15689</v>
      </c>
      <c r="D53" s="457">
        <v>752</v>
      </c>
      <c r="E53" s="631">
        <v>184270</v>
      </c>
      <c r="F53" s="1639">
        <v>47196</v>
      </c>
      <c r="G53" s="457">
        <v>6043</v>
      </c>
      <c r="H53" s="631">
        <v>27652</v>
      </c>
      <c r="I53" s="1639">
        <v>8090</v>
      </c>
      <c r="J53" s="844">
        <v>218</v>
      </c>
    </row>
    <row r="54" spans="1:10">
      <c r="A54" s="134">
        <f t="shared" si="0"/>
        <v>2009.09</v>
      </c>
      <c r="B54" s="613">
        <v>66000</v>
      </c>
      <c r="C54" s="1639">
        <v>13753</v>
      </c>
      <c r="D54" s="457">
        <v>1191</v>
      </c>
      <c r="E54" s="631">
        <v>179550</v>
      </c>
      <c r="F54" s="1639">
        <v>51122</v>
      </c>
      <c r="G54" s="457">
        <v>6629</v>
      </c>
      <c r="H54" s="631">
        <v>27870</v>
      </c>
      <c r="I54" s="1639">
        <v>8757</v>
      </c>
      <c r="J54" s="844">
        <v>219</v>
      </c>
    </row>
    <row r="55" spans="1:10">
      <c r="A55" s="134">
        <f t="shared" si="0"/>
        <v>2009.1</v>
      </c>
      <c r="B55" s="613">
        <v>68479</v>
      </c>
      <c r="C55" s="1639">
        <v>21394</v>
      </c>
      <c r="D55" s="457">
        <v>1227</v>
      </c>
      <c r="E55" s="631">
        <v>184760</v>
      </c>
      <c r="F55" s="1639">
        <v>61903</v>
      </c>
      <c r="G55" s="457">
        <v>6174</v>
      </c>
      <c r="H55" s="631">
        <v>28365</v>
      </c>
      <c r="I55" s="1639">
        <v>11386</v>
      </c>
      <c r="J55" s="844">
        <v>258</v>
      </c>
    </row>
    <row r="56" spans="1:10">
      <c r="A56" s="134">
        <f t="shared" si="0"/>
        <v>2009.11</v>
      </c>
      <c r="B56" s="613">
        <v>67470</v>
      </c>
      <c r="C56" s="1639">
        <v>17457</v>
      </c>
      <c r="D56" s="457">
        <v>907</v>
      </c>
      <c r="E56" s="631">
        <v>179580</v>
      </c>
      <c r="F56" s="1639">
        <v>54744</v>
      </c>
      <c r="G56" s="457">
        <v>5704</v>
      </c>
      <c r="H56" s="631">
        <v>28350</v>
      </c>
      <c r="I56" s="1639">
        <v>12743</v>
      </c>
      <c r="J56" s="844">
        <v>168</v>
      </c>
    </row>
    <row r="57" spans="1:10">
      <c r="A57" s="134">
        <f t="shared" si="0"/>
        <v>2009.12</v>
      </c>
      <c r="B57" s="613">
        <v>67340</v>
      </c>
      <c r="C57" s="1639">
        <v>11965</v>
      </c>
      <c r="D57" s="457">
        <v>741</v>
      </c>
      <c r="E57" s="631">
        <v>184078</v>
      </c>
      <c r="F57" s="1639">
        <v>41997</v>
      </c>
      <c r="G57" s="457">
        <v>4004</v>
      </c>
      <c r="H57" s="631">
        <v>28915</v>
      </c>
      <c r="I57" s="1639">
        <v>9623</v>
      </c>
      <c r="J57" s="844">
        <v>118</v>
      </c>
    </row>
    <row r="58" spans="1:10">
      <c r="A58" s="134">
        <f t="shared" si="0"/>
        <v>2010.01</v>
      </c>
      <c r="B58" s="613">
        <v>64667</v>
      </c>
      <c r="C58" s="1639">
        <v>10287</v>
      </c>
      <c r="D58" s="457">
        <v>1366</v>
      </c>
      <c r="E58" s="631">
        <v>189552</v>
      </c>
      <c r="F58" s="1639">
        <v>36628</v>
      </c>
      <c r="G58" s="457">
        <v>3950</v>
      </c>
      <c r="H58" s="631">
        <v>28489</v>
      </c>
      <c r="I58" s="1639">
        <v>9721</v>
      </c>
      <c r="J58" s="844">
        <v>165</v>
      </c>
    </row>
    <row r="59" spans="1:10">
      <c r="A59" s="134">
        <f t="shared" si="0"/>
        <v>2010.02</v>
      </c>
      <c r="B59" s="613">
        <v>62804</v>
      </c>
      <c r="C59" s="1639">
        <v>10104</v>
      </c>
      <c r="D59" s="457">
        <v>1133</v>
      </c>
      <c r="E59" s="631">
        <v>172816</v>
      </c>
      <c r="F59" s="1639">
        <v>37538</v>
      </c>
      <c r="G59" s="457">
        <v>3712</v>
      </c>
      <c r="H59" s="631">
        <v>24276</v>
      </c>
      <c r="I59" s="1639">
        <v>6972</v>
      </c>
      <c r="J59" s="844">
        <v>15</v>
      </c>
    </row>
    <row r="60" spans="1:10">
      <c r="A60" s="134">
        <f t="shared" si="0"/>
        <v>2010.03</v>
      </c>
      <c r="B60" s="613">
        <v>68634</v>
      </c>
      <c r="C60" s="1639">
        <v>10162</v>
      </c>
      <c r="D60" s="457">
        <v>787</v>
      </c>
      <c r="E60" s="631">
        <v>200818</v>
      </c>
      <c r="F60" s="1639">
        <v>51121</v>
      </c>
      <c r="G60" s="457">
        <v>5755</v>
      </c>
      <c r="H60" s="631">
        <v>27652</v>
      </c>
      <c r="I60" s="1639">
        <v>8710</v>
      </c>
      <c r="J60" s="844">
        <v>78</v>
      </c>
    </row>
    <row r="61" spans="1:10">
      <c r="A61" s="134">
        <f t="shared" si="0"/>
        <v>2010.04</v>
      </c>
      <c r="B61" s="613">
        <v>66030</v>
      </c>
      <c r="C61" s="1639">
        <v>11934</v>
      </c>
      <c r="D61" s="457">
        <v>786</v>
      </c>
      <c r="E61" s="631">
        <v>192510</v>
      </c>
      <c r="F61" s="1639">
        <v>52430</v>
      </c>
      <c r="G61" s="457">
        <v>6457</v>
      </c>
      <c r="H61" s="631">
        <v>26760</v>
      </c>
      <c r="I61" s="1639">
        <v>8314</v>
      </c>
      <c r="J61" s="844">
        <v>120</v>
      </c>
    </row>
    <row r="62" spans="1:10">
      <c r="A62" s="134">
        <f t="shared" si="0"/>
        <v>2010.05</v>
      </c>
      <c r="B62" s="613">
        <v>68169</v>
      </c>
      <c r="C62" s="1639">
        <v>12614</v>
      </c>
      <c r="D62" s="578">
        <v>1564</v>
      </c>
      <c r="E62" s="631">
        <v>201655</v>
      </c>
      <c r="F62" s="1639">
        <v>57590</v>
      </c>
      <c r="G62" s="457">
        <v>4500</v>
      </c>
      <c r="H62" s="631">
        <v>28458</v>
      </c>
      <c r="I62" s="1639">
        <v>7868</v>
      </c>
      <c r="J62" s="844">
        <v>89</v>
      </c>
    </row>
    <row r="63" spans="1:10">
      <c r="A63" s="134">
        <f t="shared" si="0"/>
        <v>2010.06</v>
      </c>
      <c r="B63" s="613">
        <v>65790</v>
      </c>
      <c r="C63" s="1639">
        <v>11181</v>
      </c>
      <c r="D63" s="457">
        <v>2368</v>
      </c>
      <c r="E63" s="631">
        <v>194430</v>
      </c>
      <c r="F63" s="1639">
        <v>53088</v>
      </c>
      <c r="G63" s="457">
        <v>7445</v>
      </c>
      <c r="H63" s="631">
        <v>25950</v>
      </c>
      <c r="I63" s="1639">
        <v>5861</v>
      </c>
      <c r="J63" s="844">
        <v>44</v>
      </c>
    </row>
    <row r="64" spans="1:10">
      <c r="A64" s="134">
        <f t="shared" si="0"/>
        <v>2010.07</v>
      </c>
      <c r="B64" s="613">
        <v>67983</v>
      </c>
      <c r="C64" s="1639">
        <v>14452</v>
      </c>
      <c r="D64" s="457">
        <v>1569</v>
      </c>
      <c r="E64" s="631">
        <v>202864</v>
      </c>
      <c r="F64" s="1639">
        <v>65579</v>
      </c>
      <c r="G64" s="457">
        <v>6336</v>
      </c>
      <c r="H64" s="631">
        <v>28799</v>
      </c>
      <c r="I64" s="1639">
        <v>7961</v>
      </c>
      <c r="J64" s="844">
        <v>44</v>
      </c>
    </row>
    <row r="65" spans="1:11">
      <c r="A65" s="134">
        <f t="shared" si="0"/>
        <v>2010.08</v>
      </c>
      <c r="B65" s="613">
        <v>68851</v>
      </c>
      <c r="C65" s="1639">
        <v>13365</v>
      </c>
      <c r="D65" s="457">
        <v>1024</v>
      </c>
      <c r="E65" s="631">
        <v>202430</v>
      </c>
      <c r="F65" s="1639">
        <v>63141</v>
      </c>
      <c r="G65" s="457">
        <v>6410</v>
      </c>
      <c r="H65" s="631">
        <v>29202</v>
      </c>
      <c r="I65" s="1639">
        <v>8456</v>
      </c>
      <c r="J65" s="844">
        <v>92</v>
      </c>
    </row>
    <row r="66" spans="1:11">
      <c r="A66" s="134">
        <f t="shared" ref="A66:A97" si="1">A54+1</f>
        <v>2010.09</v>
      </c>
      <c r="B66" s="613">
        <v>64830</v>
      </c>
      <c r="C66" s="1639">
        <v>14075</v>
      </c>
      <c r="D66" s="457">
        <v>2048</v>
      </c>
      <c r="E66" s="631">
        <v>193770</v>
      </c>
      <c r="F66" s="1639">
        <v>63881</v>
      </c>
      <c r="G66" s="457">
        <v>6963</v>
      </c>
      <c r="H66" s="631">
        <v>28410</v>
      </c>
      <c r="I66" s="1639">
        <v>8713</v>
      </c>
      <c r="J66" s="844">
        <v>106</v>
      </c>
    </row>
    <row r="67" spans="1:11">
      <c r="A67" s="134">
        <f t="shared" si="1"/>
        <v>2010.1</v>
      </c>
      <c r="B67" s="613">
        <v>68076</v>
      </c>
      <c r="C67" s="1639">
        <v>16006</v>
      </c>
      <c r="D67" s="457">
        <v>1542</v>
      </c>
      <c r="E67" s="631">
        <v>202926</v>
      </c>
      <c r="F67" s="1639">
        <v>63923</v>
      </c>
      <c r="G67" s="457">
        <v>3836</v>
      </c>
      <c r="H67" s="631">
        <v>31000</v>
      </c>
      <c r="I67" s="1639">
        <v>8857</v>
      </c>
      <c r="J67" s="844">
        <v>191</v>
      </c>
    </row>
    <row r="68" spans="1:11">
      <c r="A68" s="134">
        <f t="shared" si="1"/>
        <v>2010.11</v>
      </c>
      <c r="B68" s="613">
        <v>64470</v>
      </c>
      <c r="C68" s="1639">
        <v>13802</v>
      </c>
      <c r="D68" s="457">
        <v>937</v>
      </c>
      <c r="E68" s="631">
        <v>195390</v>
      </c>
      <c r="F68" s="1639">
        <v>59286</v>
      </c>
      <c r="G68" s="457">
        <v>4372</v>
      </c>
      <c r="H68" s="631">
        <v>28410</v>
      </c>
      <c r="I68" s="1639">
        <v>8531</v>
      </c>
      <c r="J68" s="844">
        <v>108</v>
      </c>
    </row>
    <row r="69" spans="1:11">
      <c r="A69" s="134">
        <f t="shared" si="1"/>
        <v>2010.12</v>
      </c>
      <c r="B69" s="613">
        <v>67642</v>
      </c>
      <c r="C69" s="1639">
        <v>11761</v>
      </c>
      <c r="D69" s="457">
        <v>656</v>
      </c>
      <c r="E69" s="631">
        <v>201536</v>
      </c>
      <c r="F69" s="1639">
        <v>51936</v>
      </c>
      <c r="G69" s="457">
        <v>4562</v>
      </c>
      <c r="H69" s="631">
        <v>29893</v>
      </c>
      <c r="I69" s="1639">
        <v>7562</v>
      </c>
      <c r="J69" s="844">
        <v>85</v>
      </c>
      <c r="K69" s="414"/>
    </row>
    <row r="70" spans="1:11">
      <c r="A70" s="134">
        <f t="shared" si="1"/>
        <v>2011.01</v>
      </c>
      <c r="B70" s="613">
        <v>66960</v>
      </c>
      <c r="C70" s="1639">
        <v>11068</v>
      </c>
      <c r="D70" s="457">
        <v>1075</v>
      </c>
      <c r="E70" s="631">
        <v>190278</v>
      </c>
      <c r="F70" s="1639">
        <v>47268</v>
      </c>
      <c r="G70" s="457">
        <v>3674</v>
      </c>
      <c r="H70" s="631">
        <v>31544</v>
      </c>
      <c r="I70" s="1639">
        <v>6855</v>
      </c>
      <c r="J70" s="844">
        <v>22</v>
      </c>
    </row>
    <row r="71" spans="1:11">
      <c r="A71" s="134">
        <f t="shared" si="1"/>
        <v>2011.02</v>
      </c>
      <c r="B71" s="613">
        <v>60480</v>
      </c>
      <c r="C71" s="1639">
        <v>12016</v>
      </c>
      <c r="D71" s="457">
        <v>1422</v>
      </c>
      <c r="E71" s="631">
        <v>172844</v>
      </c>
      <c r="F71" s="1639">
        <v>49311</v>
      </c>
      <c r="G71" s="457">
        <v>4213</v>
      </c>
      <c r="H71" s="631">
        <v>26824</v>
      </c>
      <c r="I71" s="1639">
        <v>7397</v>
      </c>
      <c r="J71" s="844">
        <v>61</v>
      </c>
    </row>
    <row r="72" spans="1:11">
      <c r="A72" s="134">
        <f t="shared" si="1"/>
        <v>2011.03</v>
      </c>
      <c r="B72" s="613">
        <v>67053</v>
      </c>
      <c r="C72" s="1639">
        <v>14763</v>
      </c>
      <c r="D72" s="457">
        <v>1078</v>
      </c>
      <c r="E72" s="631">
        <v>204693</v>
      </c>
      <c r="F72" s="1639">
        <v>61166</v>
      </c>
      <c r="G72" s="457">
        <v>4756</v>
      </c>
      <c r="H72" s="631">
        <v>30442</v>
      </c>
      <c r="I72" s="1639">
        <v>8319</v>
      </c>
      <c r="J72" s="844">
        <v>173</v>
      </c>
    </row>
    <row r="73" spans="1:11">
      <c r="A73" s="134">
        <f t="shared" si="1"/>
        <v>2011.04</v>
      </c>
      <c r="B73" s="613">
        <v>64890</v>
      </c>
      <c r="C73" s="1639">
        <v>15471</v>
      </c>
      <c r="D73" s="457">
        <v>1128</v>
      </c>
      <c r="E73" s="631">
        <v>202290</v>
      </c>
      <c r="F73" s="1639">
        <v>59254</v>
      </c>
      <c r="G73" s="457">
        <v>4484</v>
      </c>
      <c r="H73" s="631">
        <v>29400</v>
      </c>
      <c r="I73" s="1639">
        <v>8823</v>
      </c>
      <c r="J73" s="844">
        <v>92</v>
      </c>
    </row>
    <row r="74" spans="1:11">
      <c r="A74" s="134">
        <f t="shared" si="1"/>
        <v>2011.05</v>
      </c>
      <c r="B74" s="613">
        <v>67084</v>
      </c>
      <c r="C74" s="1639">
        <v>15397</v>
      </c>
      <c r="D74" s="457">
        <v>955</v>
      </c>
      <c r="E74" s="631">
        <v>207481</v>
      </c>
      <c r="F74" s="1639">
        <v>54957</v>
      </c>
      <c r="G74" s="457">
        <v>3129</v>
      </c>
      <c r="H74" s="631">
        <v>31744</v>
      </c>
      <c r="I74" s="1639">
        <v>8622</v>
      </c>
      <c r="J74" s="844">
        <v>120</v>
      </c>
    </row>
    <row r="75" spans="1:11">
      <c r="A75" s="134">
        <f t="shared" si="1"/>
        <v>2011.06</v>
      </c>
      <c r="B75" s="613">
        <v>64890</v>
      </c>
      <c r="C75" s="1639">
        <v>16055</v>
      </c>
      <c r="D75" s="457">
        <v>1598</v>
      </c>
      <c r="E75" s="631">
        <v>202470</v>
      </c>
      <c r="F75" s="1639">
        <v>62719</v>
      </c>
      <c r="G75" s="457">
        <v>3425</v>
      </c>
      <c r="H75" s="631">
        <v>29400</v>
      </c>
      <c r="I75" s="1639">
        <v>7671</v>
      </c>
      <c r="J75" s="844">
        <v>80</v>
      </c>
    </row>
    <row r="76" spans="1:11">
      <c r="A76" s="134">
        <f t="shared" si="1"/>
        <v>2011.07</v>
      </c>
      <c r="B76" s="613">
        <v>67053</v>
      </c>
      <c r="C76" s="1639">
        <v>16704</v>
      </c>
      <c r="D76" s="457">
        <v>5138</v>
      </c>
      <c r="E76" s="631">
        <v>210707</v>
      </c>
      <c r="F76" s="1639">
        <v>73125</v>
      </c>
      <c r="G76" s="457">
        <v>5112</v>
      </c>
      <c r="H76" s="631">
        <v>31527</v>
      </c>
      <c r="I76" s="1639">
        <v>8019</v>
      </c>
      <c r="J76" s="844">
        <v>95</v>
      </c>
    </row>
    <row r="77" spans="1:11">
      <c r="A77" s="134">
        <f t="shared" si="1"/>
        <v>2011.08</v>
      </c>
      <c r="B77" s="613">
        <v>67053</v>
      </c>
      <c r="C77" s="1639">
        <v>16805</v>
      </c>
      <c r="D77" s="457">
        <v>1089</v>
      </c>
      <c r="E77" s="631">
        <v>208940</v>
      </c>
      <c r="F77" s="1639">
        <v>67404</v>
      </c>
      <c r="G77" s="457">
        <v>4980</v>
      </c>
      <c r="H77" s="631">
        <v>31527</v>
      </c>
      <c r="I77" s="1639">
        <v>8692</v>
      </c>
      <c r="J77" s="844">
        <v>127</v>
      </c>
    </row>
    <row r="78" spans="1:11">
      <c r="A78" s="134">
        <f t="shared" si="1"/>
        <v>2011.09</v>
      </c>
      <c r="B78" s="613">
        <v>65220</v>
      </c>
      <c r="C78" s="1639">
        <v>17758</v>
      </c>
      <c r="D78" s="457">
        <v>1363</v>
      </c>
      <c r="E78" s="631">
        <v>202140</v>
      </c>
      <c r="F78" s="1639">
        <v>71032</v>
      </c>
      <c r="G78" s="457">
        <v>4747</v>
      </c>
      <c r="H78" s="631">
        <v>29010</v>
      </c>
      <c r="I78" s="1639">
        <v>7625</v>
      </c>
      <c r="J78" s="844">
        <v>22</v>
      </c>
    </row>
    <row r="79" spans="1:11">
      <c r="A79" s="134">
        <f t="shared" si="1"/>
        <v>2011.1</v>
      </c>
      <c r="B79" s="613">
        <v>67363</v>
      </c>
      <c r="C79" s="1639">
        <v>17000</v>
      </c>
      <c r="D79" s="457">
        <v>1146</v>
      </c>
      <c r="E79" s="631">
        <v>210676</v>
      </c>
      <c r="F79" s="1639">
        <v>65885</v>
      </c>
      <c r="G79" s="457">
        <v>4961</v>
      </c>
      <c r="H79" s="631">
        <v>30721</v>
      </c>
      <c r="I79" s="1639">
        <v>9459</v>
      </c>
      <c r="J79" s="844">
        <v>78</v>
      </c>
    </row>
    <row r="80" spans="1:11">
      <c r="A80" s="134">
        <f t="shared" si="1"/>
        <v>2011.11</v>
      </c>
      <c r="B80" s="613">
        <v>64590</v>
      </c>
      <c r="C80" s="1639">
        <v>14272</v>
      </c>
      <c r="D80" s="457">
        <v>2261</v>
      </c>
      <c r="E80" s="631">
        <v>202590</v>
      </c>
      <c r="F80" s="1639">
        <v>62730</v>
      </c>
      <c r="G80" s="457">
        <v>4163</v>
      </c>
      <c r="H80" s="631">
        <v>30510</v>
      </c>
      <c r="I80" s="1639">
        <v>8098</v>
      </c>
      <c r="J80" s="844">
        <v>80</v>
      </c>
    </row>
    <row r="81" spans="1:11">
      <c r="A81" s="134">
        <f t="shared" si="1"/>
        <v>2011.12</v>
      </c>
      <c r="B81" s="613">
        <v>67115</v>
      </c>
      <c r="C81" s="1639">
        <v>13962</v>
      </c>
      <c r="D81" s="457">
        <v>1409</v>
      </c>
      <c r="E81" s="631">
        <v>209826</v>
      </c>
      <c r="F81" s="1639">
        <v>58827</v>
      </c>
      <c r="G81" s="457">
        <v>4021</v>
      </c>
      <c r="H81" s="631">
        <v>29679</v>
      </c>
      <c r="I81" s="1639">
        <v>6982</v>
      </c>
      <c r="J81" s="844">
        <v>92</v>
      </c>
    </row>
    <row r="82" spans="1:11">
      <c r="A82" s="134">
        <f t="shared" si="1"/>
        <v>2012.01</v>
      </c>
      <c r="B82" s="613">
        <v>67053</v>
      </c>
      <c r="C82" s="1639">
        <v>13410</v>
      </c>
      <c r="D82" s="457">
        <v>1449</v>
      </c>
      <c r="E82" s="631">
        <v>212802</v>
      </c>
      <c r="F82" s="1639">
        <v>56662</v>
      </c>
      <c r="G82" s="457">
        <v>7848</v>
      </c>
      <c r="H82" s="631">
        <v>29357</v>
      </c>
      <c r="I82" s="1639">
        <v>6221</v>
      </c>
      <c r="J82" s="844">
        <v>125</v>
      </c>
    </row>
    <row r="83" spans="1:11">
      <c r="A83" s="134">
        <f t="shared" si="1"/>
        <v>2012.02</v>
      </c>
      <c r="B83" s="613">
        <v>61741</v>
      </c>
      <c r="C83" s="1639">
        <v>13400</v>
      </c>
      <c r="D83" s="457">
        <v>1611</v>
      </c>
      <c r="E83" s="631">
        <v>195170</v>
      </c>
      <c r="F83" s="1639">
        <v>56966</v>
      </c>
      <c r="G83" s="457">
        <v>6282</v>
      </c>
      <c r="H83" s="631">
        <v>27463</v>
      </c>
      <c r="I83" s="1639">
        <v>7346</v>
      </c>
      <c r="J83" s="844">
        <v>70</v>
      </c>
    </row>
    <row r="84" spans="1:11">
      <c r="A84" s="134">
        <f t="shared" si="1"/>
        <v>2012.03</v>
      </c>
      <c r="B84" s="613">
        <v>65999</v>
      </c>
      <c r="C84" s="1639">
        <v>12244</v>
      </c>
      <c r="D84" s="457">
        <v>1108</v>
      </c>
      <c r="E84" s="631">
        <v>215140</v>
      </c>
      <c r="F84" s="1639">
        <v>52147</v>
      </c>
      <c r="G84" s="457">
        <v>5836</v>
      </c>
      <c r="H84" s="631">
        <v>29760</v>
      </c>
      <c r="I84" s="1639">
        <v>6722</v>
      </c>
      <c r="J84" s="844">
        <v>16</v>
      </c>
    </row>
    <row r="85" spans="1:11">
      <c r="A85" s="134">
        <f t="shared" si="1"/>
        <v>2012.04</v>
      </c>
      <c r="B85" s="613">
        <v>64620</v>
      </c>
      <c r="C85" s="1639">
        <v>14294</v>
      </c>
      <c r="D85" s="457">
        <v>920</v>
      </c>
      <c r="E85" s="631">
        <v>204480</v>
      </c>
      <c r="F85" s="1639">
        <v>63762</v>
      </c>
      <c r="G85" s="457">
        <v>6050</v>
      </c>
      <c r="H85" s="631">
        <v>29940</v>
      </c>
      <c r="I85" s="1639">
        <v>6417</v>
      </c>
      <c r="J85" s="844">
        <v>75</v>
      </c>
    </row>
    <row r="86" spans="1:11">
      <c r="A86" s="134">
        <f t="shared" si="1"/>
        <v>2012.05</v>
      </c>
      <c r="B86" s="613">
        <v>65999</v>
      </c>
      <c r="C86" s="1639">
        <v>14488</v>
      </c>
      <c r="D86" s="457">
        <v>977</v>
      </c>
      <c r="E86" s="631">
        <v>211854</v>
      </c>
      <c r="F86" s="1639">
        <v>55635</v>
      </c>
      <c r="G86" s="457">
        <v>6423</v>
      </c>
      <c r="H86" s="631">
        <v>30504</v>
      </c>
      <c r="I86" s="1639">
        <v>7849</v>
      </c>
      <c r="J86" s="844">
        <v>64</v>
      </c>
    </row>
    <row r="87" spans="1:11">
      <c r="A87" s="134">
        <f t="shared" si="1"/>
        <v>2012.06</v>
      </c>
      <c r="B87" s="613">
        <v>63870</v>
      </c>
      <c r="C87" s="1639">
        <v>15942</v>
      </c>
      <c r="D87" s="457">
        <v>1095</v>
      </c>
      <c r="E87" s="631">
        <v>205620</v>
      </c>
      <c r="F87" s="1639">
        <v>60742</v>
      </c>
      <c r="G87" s="457">
        <v>5991</v>
      </c>
      <c r="H87" s="631">
        <v>29940</v>
      </c>
      <c r="I87" s="1639">
        <v>7358</v>
      </c>
      <c r="J87" s="844">
        <v>120</v>
      </c>
    </row>
    <row r="88" spans="1:11">
      <c r="A88" s="134">
        <f t="shared" si="1"/>
        <v>2012.07</v>
      </c>
      <c r="B88" s="613">
        <v>66464</v>
      </c>
      <c r="C88" s="1639">
        <v>16135</v>
      </c>
      <c r="D88" s="457">
        <v>1524</v>
      </c>
      <c r="E88" s="631">
        <v>209188</v>
      </c>
      <c r="F88" s="1639">
        <v>77425</v>
      </c>
      <c r="G88" s="457">
        <v>6573</v>
      </c>
      <c r="H88" s="631">
        <v>31558</v>
      </c>
      <c r="I88" s="1639">
        <v>8426</v>
      </c>
      <c r="J88" s="844">
        <v>38</v>
      </c>
    </row>
    <row r="89" spans="1:11">
      <c r="A89" s="134">
        <f t="shared" si="1"/>
        <v>2012.08</v>
      </c>
      <c r="B89" s="613">
        <v>66526</v>
      </c>
      <c r="C89" s="1639">
        <v>17760</v>
      </c>
      <c r="D89" s="457">
        <v>1338</v>
      </c>
      <c r="E89" s="631">
        <v>209932</v>
      </c>
      <c r="F89" s="1639">
        <v>70644</v>
      </c>
      <c r="G89" s="457">
        <v>5600</v>
      </c>
      <c r="H89" s="631">
        <v>31248</v>
      </c>
      <c r="I89" s="1639">
        <v>8495</v>
      </c>
      <c r="J89" s="844">
        <v>170</v>
      </c>
    </row>
    <row r="90" spans="1:11">
      <c r="A90" s="134">
        <f t="shared" si="1"/>
        <v>2012.09</v>
      </c>
      <c r="B90" s="613">
        <v>64680</v>
      </c>
      <c r="C90" s="1639">
        <v>16935</v>
      </c>
      <c r="D90" s="457">
        <v>3158</v>
      </c>
      <c r="E90" s="631">
        <v>204360</v>
      </c>
      <c r="F90" s="1639">
        <v>63273</v>
      </c>
      <c r="G90" s="457">
        <v>5984</v>
      </c>
      <c r="H90" s="631">
        <v>30240</v>
      </c>
      <c r="I90" s="1639">
        <v>8306</v>
      </c>
      <c r="J90" s="844">
        <v>71</v>
      </c>
    </row>
    <row r="91" spans="1:11">
      <c r="A91" s="134">
        <f t="shared" si="1"/>
        <v>2012.1</v>
      </c>
      <c r="B91" s="613">
        <v>67580</v>
      </c>
      <c r="C91" s="1639">
        <v>20701</v>
      </c>
      <c r="D91" s="457">
        <v>2434</v>
      </c>
      <c r="E91" s="631">
        <v>210149</v>
      </c>
      <c r="F91" s="1639">
        <v>63395</v>
      </c>
      <c r="G91" s="457">
        <v>7708</v>
      </c>
      <c r="H91" s="631">
        <v>29698</v>
      </c>
      <c r="I91" s="1639">
        <v>8298</v>
      </c>
      <c r="J91" s="844">
        <v>132</v>
      </c>
    </row>
    <row r="92" spans="1:11">
      <c r="A92" s="134">
        <f t="shared" si="1"/>
        <v>2012.11</v>
      </c>
      <c r="B92" s="613">
        <v>64050</v>
      </c>
      <c r="C92" s="1639">
        <v>18405</v>
      </c>
      <c r="D92" s="457">
        <v>1458</v>
      </c>
      <c r="E92" s="631">
        <v>206760</v>
      </c>
      <c r="F92" s="1639">
        <v>62604</v>
      </c>
      <c r="G92" s="457">
        <v>6648</v>
      </c>
      <c r="H92" s="631">
        <v>30240</v>
      </c>
      <c r="I92" s="1639">
        <v>8307</v>
      </c>
      <c r="J92" s="844">
        <v>90</v>
      </c>
    </row>
    <row r="93" spans="1:11">
      <c r="A93" s="134">
        <f t="shared" si="1"/>
        <v>2012.12</v>
      </c>
      <c r="B93" s="613">
        <v>65759</v>
      </c>
      <c r="C93" s="1639">
        <v>16587</v>
      </c>
      <c r="D93" s="457">
        <v>736</v>
      </c>
      <c r="E93" s="631">
        <v>211505</v>
      </c>
      <c r="F93" s="1639">
        <v>56586</v>
      </c>
      <c r="G93" s="457">
        <v>4872</v>
      </c>
      <c r="H93" s="631">
        <v>30535</v>
      </c>
      <c r="I93" s="1639">
        <v>6772</v>
      </c>
      <c r="J93" s="844">
        <v>86</v>
      </c>
      <c r="K93" s="414"/>
    </row>
    <row r="94" spans="1:11">
      <c r="A94" s="134">
        <f t="shared" si="1"/>
        <v>2013.01</v>
      </c>
      <c r="B94" s="613">
        <v>64325</v>
      </c>
      <c r="C94" s="1639">
        <v>10994</v>
      </c>
      <c r="D94" s="457">
        <v>968</v>
      </c>
      <c r="E94" s="631">
        <v>211766</v>
      </c>
      <c r="F94" s="1639">
        <v>53978</v>
      </c>
      <c r="G94" s="457">
        <v>6298</v>
      </c>
      <c r="H94" s="631">
        <v>30194</v>
      </c>
      <c r="I94" s="1639">
        <v>6423</v>
      </c>
      <c r="J94" s="844">
        <v>9</v>
      </c>
    </row>
    <row r="95" spans="1:11">
      <c r="A95" s="134">
        <f t="shared" si="1"/>
        <v>2013.02</v>
      </c>
      <c r="B95" s="613">
        <v>60200</v>
      </c>
      <c r="C95" s="1639">
        <v>11828</v>
      </c>
      <c r="D95" s="457">
        <v>1001</v>
      </c>
      <c r="E95" s="631">
        <v>194572</v>
      </c>
      <c r="F95" s="1639">
        <v>55052</v>
      </c>
      <c r="G95" s="457">
        <v>4086</v>
      </c>
      <c r="H95" s="631">
        <v>27272</v>
      </c>
      <c r="I95" s="1639">
        <v>6154</v>
      </c>
      <c r="J95" s="844">
        <v>74</v>
      </c>
    </row>
    <row r="96" spans="1:11">
      <c r="A96" s="134">
        <f t="shared" si="1"/>
        <v>2013.03</v>
      </c>
      <c r="B96" s="613">
        <v>66650</v>
      </c>
      <c r="C96" s="1639">
        <v>13037</v>
      </c>
      <c r="D96" s="457">
        <v>966</v>
      </c>
      <c r="E96" s="631">
        <v>214830</v>
      </c>
      <c r="F96" s="1639">
        <v>54328</v>
      </c>
      <c r="G96" s="457">
        <v>8707</v>
      </c>
      <c r="H96" s="631">
        <v>30256</v>
      </c>
      <c r="I96" s="1639">
        <v>6701</v>
      </c>
      <c r="J96" s="844">
        <v>73</v>
      </c>
    </row>
    <row r="97" spans="1:11">
      <c r="A97" s="134">
        <f t="shared" si="1"/>
        <v>2013.04</v>
      </c>
      <c r="B97" s="613">
        <v>64500</v>
      </c>
      <c r="C97" s="1639">
        <v>13246</v>
      </c>
      <c r="D97" s="457">
        <v>921</v>
      </c>
      <c r="E97" s="631">
        <v>208200</v>
      </c>
      <c r="F97" s="1639">
        <v>52753</v>
      </c>
      <c r="G97" s="457">
        <v>6081</v>
      </c>
      <c r="H97" s="631">
        <v>29220</v>
      </c>
      <c r="I97" s="1639">
        <v>6395</v>
      </c>
      <c r="J97" s="844">
        <v>81</v>
      </c>
    </row>
    <row r="98" spans="1:11">
      <c r="A98" s="134">
        <f t="shared" ref="A98:A161" si="2">A86+1</f>
        <v>2013.05</v>
      </c>
      <c r="B98" s="613">
        <v>66774</v>
      </c>
      <c r="C98" s="1639">
        <v>14856</v>
      </c>
      <c r="D98" s="457">
        <v>1229</v>
      </c>
      <c r="E98" s="631">
        <v>215388</v>
      </c>
      <c r="F98" s="1639">
        <v>61475</v>
      </c>
      <c r="G98" s="457">
        <v>7058</v>
      </c>
      <c r="H98" s="631">
        <v>30194</v>
      </c>
      <c r="I98" s="1639">
        <v>6289</v>
      </c>
      <c r="J98" s="844">
        <v>39</v>
      </c>
    </row>
    <row r="99" spans="1:11">
      <c r="A99" s="134">
        <f t="shared" si="2"/>
        <v>2013.06</v>
      </c>
      <c r="B99" s="613">
        <v>62250</v>
      </c>
      <c r="C99" s="1639">
        <v>14914</v>
      </c>
      <c r="D99" s="457">
        <v>1339</v>
      </c>
      <c r="E99" s="631">
        <v>208770</v>
      </c>
      <c r="F99" s="1639">
        <v>58546</v>
      </c>
      <c r="G99" s="457">
        <v>5567</v>
      </c>
      <c r="H99" s="631">
        <v>30210</v>
      </c>
      <c r="I99" s="1639">
        <v>6024</v>
      </c>
      <c r="J99" s="844">
        <v>236</v>
      </c>
    </row>
    <row r="100" spans="1:11">
      <c r="A100" s="134">
        <f t="shared" si="2"/>
        <v>2013.07</v>
      </c>
      <c r="B100" s="613">
        <v>64480</v>
      </c>
      <c r="C100" s="1639">
        <v>15478</v>
      </c>
      <c r="D100" s="457">
        <v>1178</v>
      </c>
      <c r="E100" s="631">
        <v>214582</v>
      </c>
      <c r="F100" s="1639">
        <v>73872</v>
      </c>
      <c r="G100" s="457">
        <v>7933</v>
      </c>
      <c r="H100" s="631">
        <v>31217</v>
      </c>
      <c r="I100" s="1639">
        <v>6939</v>
      </c>
      <c r="J100" s="844">
        <v>54</v>
      </c>
    </row>
    <row r="101" spans="1:11">
      <c r="A101" s="134">
        <f t="shared" si="2"/>
        <v>2013.08</v>
      </c>
      <c r="B101" s="613">
        <v>64418</v>
      </c>
      <c r="C101" s="1639">
        <v>19239</v>
      </c>
      <c r="D101" s="457">
        <v>1898</v>
      </c>
      <c r="E101" s="631">
        <v>212970</v>
      </c>
      <c r="F101" s="1639">
        <v>64688</v>
      </c>
      <c r="G101" s="457">
        <v>5633</v>
      </c>
      <c r="H101" s="631">
        <v>31279</v>
      </c>
      <c r="I101" s="1639">
        <v>8154</v>
      </c>
      <c r="J101" s="844">
        <v>112</v>
      </c>
    </row>
    <row r="102" spans="1:11">
      <c r="A102" s="134">
        <f t="shared" si="2"/>
        <v>2013.09</v>
      </c>
      <c r="B102" s="613">
        <v>61680</v>
      </c>
      <c r="C102" s="1639">
        <v>15773</v>
      </c>
      <c r="D102" s="457">
        <v>1094</v>
      </c>
      <c r="E102" s="631">
        <v>206574</v>
      </c>
      <c r="F102" s="1639">
        <v>61897</v>
      </c>
      <c r="G102" s="457">
        <v>7164</v>
      </c>
      <c r="H102" s="631">
        <v>28320</v>
      </c>
      <c r="I102" s="1639">
        <v>6682</v>
      </c>
      <c r="J102" s="844">
        <v>138</v>
      </c>
    </row>
    <row r="103" spans="1:11">
      <c r="A103" s="134">
        <f t="shared" si="2"/>
        <v>2013.1</v>
      </c>
      <c r="B103" s="613">
        <v>63736</v>
      </c>
      <c r="C103" s="1639">
        <v>15975</v>
      </c>
      <c r="D103" s="457">
        <v>1341</v>
      </c>
      <c r="E103" s="631">
        <v>214148</v>
      </c>
      <c r="F103" s="1639">
        <v>66826</v>
      </c>
      <c r="G103" s="457">
        <v>7269</v>
      </c>
      <c r="H103" s="631">
        <v>30070</v>
      </c>
      <c r="I103" s="1639">
        <v>7542</v>
      </c>
      <c r="J103" s="844">
        <v>115</v>
      </c>
    </row>
    <row r="104" spans="1:11">
      <c r="A104" s="134">
        <f t="shared" si="2"/>
        <v>2013.11</v>
      </c>
      <c r="B104" s="613">
        <v>63570</v>
      </c>
      <c r="C104" s="1639">
        <v>15851</v>
      </c>
      <c r="D104" s="457">
        <v>1226</v>
      </c>
      <c r="E104" s="631">
        <v>206550</v>
      </c>
      <c r="F104" s="1639">
        <v>63630</v>
      </c>
      <c r="G104" s="457">
        <v>7328</v>
      </c>
      <c r="H104" s="631">
        <v>30090</v>
      </c>
      <c r="I104" s="1639">
        <v>7736</v>
      </c>
      <c r="J104" s="844">
        <v>114</v>
      </c>
    </row>
    <row r="105" spans="1:11">
      <c r="A105" s="134">
        <f t="shared" si="2"/>
        <v>2013.12</v>
      </c>
      <c r="B105" s="613">
        <v>65268</v>
      </c>
      <c r="C105" s="1639">
        <v>13537</v>
      </c>
      <c r="D105" s="457">
        <v>813</v>
      </c>
      <c r="E105" s="631">
        <v>211265</v>
      </c>
      <c r="F105" s="1639">
        <v>49393</v>
      </c>
      <c r="G105" s="457">
        <v>5698</v>
      </c>
      <c r="H105" s="631">
        <v>31003</v>
      </c>
      <c r="I105" s="1639">
        <v>6391</v>
      </c>
      <c r="J105" s="844">
        <v>78</v>
      </c>
    </row>
    <row r="106" spans="1:11">
      <c r="A106" s="134">
        <f t="shared" si="2"/>
        <v>2014.01</v>
      </c>
      <c r="B106" s="613">
        <v>65441</v>
      </c>
      <c r="C106" s="1639">
        <v>11670</v>
      </c>
      <c r="D106" s="457">
        <v>1225</v>
      </c>
      <c r="E106" s="631">
        <v>215760</v>
      </c>
      <c r="F106" s="1639">
        <v>55493</v>
      </c>
      <c r="G106" s="457">
        <v>10003</v>
      </c>
      <c r="H106" s="631">
        <v>31372</v>
      </c>
      <c r="I106" s="1639">
        <v>5745</v>
      </c>
      <c r="J106" s="844">
        <v>88</v>
      </c>
    </row>
    <row r="107" spans="1:11">
      <c r="A107" s="134">
        <f t="shared" si="2"/>
        <v>2014.02</v>
      </c>
      <c r="B107" s="613">
        <v>59192</v>
      </c>
      <c r="C107" s="1639">
        <v>12161</v>
      </c>
      <c r="D107" s="457">
        <v>960</v>
      </c>
      <c r="E107" s="631">
        <v>191268</v>
      </c>
      <c r="F107" s="1639">
        <v>51801</v>
      </c>
      <c r="G107" s="457">
        <v>5545</v>
      </c>
      <c r="H107" s="631">
        <v>28336</v>
      </c>
      <c r="I107" s="1639">
        <v>5995</v>
      </c>
      <c r="J107" s="844">
        <v>80</v>
      </c>
    </row>
    <row r="108" spans="1:11">
      <c r="A108" s="134">
        <f t="shared" si="2"/>
        <v>2014.03</v>
      </c>
      <c r="B108" s="613">
        <v>65379</v>
      </c>
      <c r="C108" s="1639">
        <v>14879</v>
      </c>
      <c r="D108" s="457">
        <v>1172</v>
      </c>
      <c r="E108" s="631">
        <v>212257</v>
      </c>
      <c r="F108" s="1639">
        <v>61078</v>
      </c>
      <c r="G108" s="457">
        <v>6350</v>
      </c>
      <c r="H108" s="631">
        <v>32395</v>
      </c>
      <c r="I108" s="1639">
        <v>8245</v>
      </c>
      <c r="J108" s="844">
        <v>180</v>
      </c>
    </row>
    <row r="109" spans="1:11">
      <c r="A109" s="134">
        <f t="shared" si="2"/>
        <v>2014.04</v>
      </c>
      <c r="B109" s="613">
        <v>63240</v>
      </c>
      <c r="C109" s="1639">
        <v>14317</v>
      </c>
      <c r="D109" s="457">
        <v>1484</v>
      </c>
      <c r="E109" s="631">
        <v>204810</v>
      </c>
      <c r="F109" s="1639">
        <v>60769</v>
      </c>
      <c r="G109" s="457">
        <v>8736</v>
      </c>
      <c r="H109" s="631">
        <v>31410</v>
      </c>
      <c r="I109" s="1639">
        <v>6948</v>
      </c>
      <c r="J109" s="844">
        <v>91</v>
      </c>
    </row>
    <row r="110" spans="1:11">
      <c r="A110" s="134">
        <f t="shared" si="2"/>
        <v>2014.05</v>
      </c>
      <c r="B110" s="613">
        <v>65348</v>
      </c>
      <c r="C110" s="1639">
        <v>14979</v>
      </c>
      <c r="D110" s="457">
        <v>1090</v>
      </c>
      <c r="E110" s="631">
        <v>212412</v>
      </c>
      <c r="F110" s="1639">
        <v>66091</v>
      </c>
      <c r="G110" s="457">
        <v>6860</v>
      </c>
      <c r="H110" s="631">
        <v>31220</v>
      </c>
      <c r="I110" s="1639">
        <v>6381</v>
      </c>
      <c r="J110" s="844">
        <v>46</v>
      </c>
    </row>
    <row r="111" spans="1:11">
      <c r="A111" s="134">
        <f t="shared" si="2"/>
        <v>2014.06</v>
      </c>
      <c r="B111" s="613">
        <v>63240</v>
      </c>
      <c r="C111" s="1639">
        <v>13897</v>
      </c>
      <c r="D111" s="457">
        <v>901</v>
      </c>
      <c r="E111" s="631">
        <v>204630</v>
      </c>
      <c r="F111" s="1639">
        <v>64796</v>
      </c>
      <c r="G111" s="457">
        <v>5951</v>
      </c>
      <c r="H111" s="631">
        <v>30300</v>
      </c>
      <c r="I111" s="1639">
        <v>6359</v>
      </c>
      <c r="J111" s="844">
        <v>38</v>
      </c>
    </row>
    <row r="112" spans="1:11">
      <c r="A112" s="134">
        <f t="shared" si="2"/>
        <v>2014.07</v>
      </c>
      <c r="B112" s="613">
        <v>65348</v>
      </c>
      <c r="C112" s="1639">
        <v>14911</v>
      </c>
      <c r="D112" s="457">
        <v>895</v>
      </c>
      <c r="E112" s="631">
        <v>207545</v>
      </c>
      <c r="F112" s="1639">
        <v>71865</v>
      </c>
      <c r="G112" s="457">
        <v>6096</v>
      </c>
      <c r="H112" s="631">
        <v>31310</v>
      </c>
      <c r="I112" s="1639">
        <v>6865</v>
      </c>
      <c r="J112" s="844">
        <v>67</v>
      </c>
      <c r="K112" s="475"/>
    </row>
    <row r="113" spans="1:11">
      <c r="A113" s="134">
        <f t="shared" si="2"/>
        <v>2014.08</v>
      </c>
      <c r="B113" s="613">
        <v>65348</v>
      </c>
      <c r="C113" s="1639">
        <v>15149</v>
      </c>
      <c r="D113" s="457">
        <v>1027</v>
      </c>
      <c r="E113" s="631">
        <v>208537</v>
      </c>
      <c r="F113" s="1639">
        <v>71839</v>
      </c>
      <c r="G113" s="457">
        <v>6382</v>
      </c>
      <c r="H113" s="631">
        <v>31310</v>
      </c>
      <c r="I113" s="1639">
        <v>6857</v>
      </c>
      <c r="J113" s="844">
        <v>83</v>
      </c>
    </row>
    <row r="114" spans="1:11">
      <c r="A114" s="134">
        <f t="shared" si="2"/>
        <v>2014.09</v>
      </c>
      <c r="B114" s="613">
        <v>63360</v>
      </c>
      <c r="C114" s="1639">
        <v>14363</v>
      </c>
      <c r="D114" s="578">
        <v>1172</v>
      </c>
      <c r="E114" s="631">
        <v>201900</v>
      </c>
      <c r="F114" s="1639">
        <v>65809</v>
      </c>
      <c r="G114" s="457">
        <v>7736</v>
      </c>
      <c r="H114" s="631">
        <v>30300</v>
      </c>
      <c r="I114" s="1639">
        <v>6797</v>
      </c>
      <c r="J114" s="844">
        <v>66</v>
      </c>
    </row>
    <row r="115" spans="1:11">
      <c r="A115" s="134">
        <f t="shared" si="2"/>
        <v>2014.1</v>
      </c>
      <c r="B115" s="613">
        <v>64666</v>
      </c>
      <c r="C115" s="1639">
        <v>15937</v>
      </c>
      <c r="D115" s="457">
        <v>1997</v>
      </c>
      <c r="E115" s="631">
        <v>208506</v>
      </c>
      <c r="F115" s="1639">
        <v>71347</v>
      </c>
      <c r="G115" s="457">
        <v>9369</v>
      </c>
      <c r="H115" s="631">
        <v>31310</v>
      </c>
      <c r="I115" s="1639">
        <v>6816</v>
      </c>
      <c r="J115" s="844">
        <v>101</v>
      </c>
    </row>
    <row r="116" spans="1:11">
      <c r="A116" s="134">
        <f t="shared" si="2"/>
        <v>2014.11</v>
      </c>
      <c r="B116" s="613">
        <v>62490</v>
      </c>
      <c r="C116" s="1639">
        <v>15376</v>
      </c>
      <c r="D116" s="457">
        <v>1003</v>
      </c>
      <c r="E116" s="631">
        <v>197100</v>
      </c>
      <c r="F116" s="1639">
        <v>67143</v>
      </c>
      <c r="G116" s="457">
        <v>8214</v>
      </c>
      <c r="H116" s="631">
        <v>30270</v>
      </c>
      <c r="I116" s="1639">
        <v>6740</v>
      </c>
      <c r="J116" s="844">
        <v>103</v>
      </c>
    </row>
    <row r="117" spans="1:11">
      <c r="A117" s="134">
        <f t="shared" si="2"/>
        <v>2014.12</v>
      </c>
      <c r="B117" s="613">
        <v>64582</v>
      </c>
      <c r="C117" s="1639">
        <v>12177</v>
      </c>
      <c r="D117" s="457">
        <v>1057</v>
      </c>
      <c r="E117" s="631">
        <v>211079</v>
      </c>
      <c r="F117" s="1639">
        <v>59810</v>
      </c>
      <c r="G117" s="457">
        <v>5670</v>
      </c>
      <c r="H117" s="631">
        <v>30318</v>
      </c>
      <c r="I117" s="1639">
        <v>6091</v>
      </c>
      <c r="J117" s="844">
        <v>7</v>
      </c>
    </row>
    <row r="118" spans="1:11">
      <c r="A118" s="134">
        <f t="shared" si="2"/>
        <v>2015.01</v>
      </c>
      <c r="B118" s="613">
        <v>64882</v>
      </c>
      <c r="C118" s="1639">
        <v>10362</v>
      </c>
      <c r="D118" s="457">
        <v>1155</v>
      </c>
      <c r="E118" s="631">
        <v>212753</v>
      </c>
      <c r="F118" s="1639">
        <v>54306</v>
      </c>
      <c r="G118" s="457">
        <v>7101</v>
      </c>
      <c r="H118" s="631">
        <v>31279</v>
      </c>
      <c r="I118" s="1639">
        <v>6239</v>
      </c>
      <c r="J118" s="844">
        <v>97</v>
      </c>
      <c r="K118" s="620"/>
    </row>
    <row r="119" spans="1:11">
      <c r="A119" s="134">
        <f t="shared" si="2"/>
        <v>2015.02</v>
      </c>
      <c r="B119" s="613">
        <v>58464</v>
      </c>
      <c r="C119" s="1639">
        <v>12859</v>
      </c>
      <c r="D119" s="457">
        <v>963</v>
      </c>
      <c r="E119" s="631">
        <v>187656</v>
      </c>
      <c r="F119" s="1639">
        <v>56729</v>
      </c>
      <c r="G119" s="457">
        <v>5526</v>
      </c>
      <c r="H119" s="631">
        <v>28252</v>
      </c>
      <c r="I119" s="1639">
        <v>6090</v>
      </c>
      <c r="J119" s="844">
        <v>102</v>
      </c>
    </row>
    <row r="120" spans="1:11">
      <c r="A120" s="134">
        <f t="shared" si="2"/>
        <v>2015.03</v>
      </c>
      <c r="B120" s="613">
        <v>65410</v>
      </c>
      <c r="C120" s="1639">
        <v>13041</v>
      </c>
      <c r="D120" s="457">
        <v>849</v>
      </c>
      <c r="E120" s="631">
        <v>207483</v>
      </c>
      <c r="F120" s="1639">
        <v>58782</v>
      </c>
      <c r="G120" s="457">
        <v>6334</v>
      </c>
      <c r="H120" s="631">
        <v>31279</v>
      </c>
      <c r="I120" s="1639">
        <v>6135</v>
      </c>
      <c r="J120" s="844">
        <v>103</v>
      </c>
    </row>
    <row r="121" spans="1:11">
      <c r="A121" s="134">
        <f t="shared" si="2"/>
        <v>2015.04</v>
      </c>
      <c r="B121" s="613">
        <v>63360</v>
      </c>
      <c r="C121" s="1639">
        <v>13526</v>
      </c>
      <c r="D121" s="457">
        <v>802</v>
      </c>
      <c r="E121" s="631">
        <v>201120</v>
      </c>
      <c r="F121" s="1639">
        <v>53446</v>
      </c>
      <c r="G121" s="457">
        <v>5691</v>
      </c>
      <c r="H121" s="631">
        <v>30270</v>
      </c>
      <c r="I121" s="1639">
        <v>5526</v>
      </c>
      <c r="J121" s="844">
        <v>126</v>
      </c>
    </row>
    <row r="122" spans="1:11">
      <c r="A122" s="134">
        <f t="shared" si="2"/>
        <v>2015.05</v>
      </c>
      <c r="B122" s="613">
        <v>65162</v>
      </c>
      <c r="C122" s="1639">
        <v>12929</v>
      </c>
      <c r="D122" s="457">
        <v>586</v>
      </c>
      <c r="E122" s="631">
        <v>206212</v>
      </c>
      <c r="F122" s="1639">
        <v>63562</v>
      </c>
      <c r="G122" s="457">
        <v>6156</v>
      </c>
      <c r="H122" s="631">
        <v>31310</v>
      </c>
      <c r="I122" s="1639">
        <v>6140</v>
      </c>
      <c r="J122" s="844">
        <v>74</v>
      </c>
    </row>
    <row r="123" spans="1:11">
      <c r="A123" s="134">
        <f t="shared" si="2"/>
        <v>2015.06</v>
      </c>
      <c r="B123" s="613">
        <v>63120</v>
      </c>
      <c r="C123" s="1639">
        <v>13167</v>
      </c>
      <c r="D123" s="457">
        <v>949</v>
      </c>
      <c r="E123" s="631">
        <v>199650</v>
      </c>
      <c r="F123" s="1639">
        <v>57253</v>
      </c>
      <c r="G123" s="457">
        <v>7848</v>
      </c>
      <c r="H123" s="631">
        <v>30300</v>
      </c>
      <c r="I123" s="1639">
        <v>6195</v>
      </c>
      <c r="J123" s="844">
        <v>76</v>
      </c>
    </row>
    <row r="124" spans="1:11">
      <c r="A124" s="134">
        <f t="shared" si="2"/>
        <v>2015.07</v>
      </c>
      <c r="B124" s="613">
        <v>65224</v>
      </c>
      <c r="C124" s="1639">
        <v>14809</v>
      </c>
      <c r="D124" s="457">
        <v>921</v>
      </c>
      <c r="E124" s="631">
        <v>213869</v>
      </c>
      <c r="F124" s="1639">
        <v>68858</v>
      </c>
      <c r="G124" s="457">
        <v>7380</v>
      </c>
      <c r="H124" s="631">
        <v>31310</v>
      </c>
      <c r="I124" s="1639">
        <v>6839</v>
      </c>
      <c r="J124" s="844">
        <v>80</v>
      </c>
    </row>
    <row r="125" spans="1:11">
      <c r="A125" s="134">
        <f t="shared" si="2"/>
        <v>2015.08</v>
      </c>
      <c r="B125" s="613">
        <v>65596</v>
      </c>
      <c r="C125" s="1639">
        <v>17923</v>
      </c>
      <c r="D125" s="457">
        <v>684</v>
      </c>
      <c r="E125" s="631">
        <v>214737</v>
      </c>
      <c r="F125" s="1639">
        <v>61426</v>
      </c>
      <c r="G125" s="457">
        <v>6998</v>
      </c>
      <c r="H125" s="631">
        <v>31310</v>
      </c>
      <c r="I125" s="1639">
        <v>7476</v>
      </c>
      <c r="J125" s="844">
        <v>86</v>
      </c>
    </row>
    <row r="126" spans="1:11">
      <c r="A126" s="134">
        <f t="shared" si="2"/>
        <v>2015.09</v>
      </c>
      <c r="B126" s="613">
        <v>62640</v>
      </c>
      <c r="C126" s="1639">
        <v>14830</v>
      </c>
      <c r="D126" s="457">
        <v>751</v>
      </c>
      <c r="E126" s="631">
        <v>208080</v>
      </c>
      <c r="F126" s="1639">
        <v>64620</v>
      </c>
      <c r="G126" s="457">
        <v>5576</v>
      </c>
      <c r="H126" s="631">
        <v>30300</v>
      </c>
      <c r="I126" s="1639">
        <v>7000</v>
      </c>
      <c r="J126" s="844">
        <v>84</v>
      </c>
      <c r="K126"/>
    </row>
    <row r="127" spans="1:11">
      <c r="A127" s="134">
        <f t="shared" si="2"/>
        <v>2015.1</v>
      </c>
      <c r="B127" s="613">
        <v>64728</v>
      </c>
      <c r="C127" s="1639">
        <v>14695</v>
      </c>
      <c r="D127" s="457">
        <v>788</v>
      </c>
      <c r="E127" s="631">
        <v>212443</v>
      </c>
      <c r="F127" s="1639">
        <v>67278</v>
      </c>
      <c r="G127" s="457">
        <v>6361</v>
      </c>
      <c r="H127" s="631">
        <v>31310</v>
      </c>
      <c r="I127" s="1639">
        <v>7329</v>
      </c>
      <c r="J127" s="844">
        <v>87</v>
      </c>
    </row>
    <row r="128" spans="1:11">
      <c r="A128" s="134">
        <f t="shared" si="2"/>
        <v>2015.11</v>
      </c>
      <c r="B128" s="613">
        <v>62700</v>
      </c>
      <c r="C128" s="1639">
        <v>13759</v>
      </c>
      <c r="D128" s="457">
        <v>933</v>
      </c>
      <c r="E128" s="631">
        <v>206790</v>
      </c>
      <c r="F128" s="1639">
        <v>67284</v>
      </c>
      <c r="G128" s="457">
        <v>7253</v>
      </c>
      <c r="H128" s="631">
        <v>30300</v>
      </c>
      <c r="I128" s="1639">
        <v>6791</v>
      </c>
      <c r="J128" s="844">
        <v>83</v>
      </c>
    </row>
    <row r="129" spans="1:11">
      <c r="A129" s="134">
        <f t="shared" si="2"/>
        <v>2015.12</v>
      </c>
      <c r="B129" s="613">
        <v>65255</v>
      </c>
      <c r="C129" s="1639">
        <v>11894</v>
      </c>
      <c r="D129" s="457">
        <v>739</v>
      </c>
      <c r="E129" s="631">
        <v>213179</v>
      </c>
      <c r="F129" s="1639">
        <v>54635</v>
      </c>
      <c r="G129" s="457">
        <v>7824</v>
      </c>
      <c r="H129" s="631">
        <v>32457</v>
      </c>
      <c r="I129" s="1639">
        <v>6505</v>
      </c>
      <c r="J129" s="844">
        <v>44</v>
      </c>
    </row>
    <row r="130" spans="1:11">
      <c r="A130" s="134">
        <f t="shared" si="2"/>
        <v>2016.01</v>
      </c>
      <c r="B130" s="613">
        <v>64644</v>
      </c>
      <c r="C130" s="1639">
        <v>10654</v>
      </c>
      <c r="D130" s="457">
        <v>1045</v>
      </c>
      <c r="E130" s="631">
        <v>229059</v>
      </c>
      <c r="F130" s="1639">
        <v>61451</v>
      </c>
      <c r="G130" s="457">
        <v>7127</v>
      </c>
      <c r="H130" s="631">
        <v>30535</v>
      </c>
      <c r="I130" s="1639">
        <v>5288</v>
      </c>
      <c r="J130" s="844">
        <v>46</v>
      </c>
    </row>
    <row r="131" spans="1:11">
      <c r="A131" s="134">
        <f t="shared" si="2"/>
        <v>2016.02</v>
      </c>
      <c r="B131" s="613">
        <v>60436</v>
      </c>
      <c r="C131" s="1639">
        <v>11807</v>
      </c>
      <c r="D131" s="457">
        <v>776</v>
      </c>
      <c r="E131" s="631">
        <v>214426</v>
      </c>
      <c r="F131" s="1639">
        <v>64514</v>
      </c>
      <c r="G131" s="457">
        <v>6595</v>
      </c>
      <c r="H131" s="631">
        <v>29203</v>
      </c>
      <c r="I131" s="1639">
        <v>5231</v>
      </c>
      <c r="J131" s="844">
        <v>49</v>
      </c>
    </row>
    <row r="132" spans="1:11">
      <c r="A132" s="134">
        <f t="shared" si="2"/>
        <v>2016.03</v>
      </c>
      <c r="B132" s="613">
        <v>63798</v>
      </c>
      <c r="C132" s="1639">
        <v>13540</v>
      </c>
      <c r="D132" s="457">
        <v>726</v>
      </c>
      <c r="E132" s="631">
        <v>228439</v>
      </c>
      <c r="F132" s="1639">
        <v>61124</v>
      </c>
      <c r="G132" s="457">
        <v>8048</v>
      </c>
      <c r="H132" s="631">
        <v>29326</v>
      </c>
      <c r="I132" s="1639">
        <v>5807</v>
      </c>
      <c r="J132" s="844">
        <v>147</v>
      </c>
    </row>
    <row r="133" spans="1:11">
      <c r="A133" s="134">
        <f t="shared" si="2"/>
        <v>2016.04</v>
      </c>
      <c r="B133" s="613">
        <v>61740</v>
      </c>
      <c r="C133" s="1639">
        <v>13584</v>
      </c>
      <c r="D133" s="457">
        <v>880</v>
      </c>
      <c r="E133" s="631">
        <v>222150</v>
      </c>
      <c r="F133" s="1639">
        <v>55568</v>
      </c>
      <c r="G133" s="457">
        <v>6850</v>
      </c>
      <c r="H133" s="631">
        <v>29100</v>
      </c>
      <c r="I133" s="1639">
        <v>6453</v>
      </c>
      <c r="J133" s="844">
        <v>107</v>
      </c>
    </row>
    <row r="134" spans="1:11">
      <c r="A134" s="134">
        <f t="shared" si="2"/>
        <v>2016.05</v>
      </c>
      <c r="B134" s="613">
        <v>64325</v>
      </c>
      <c r="C134" s="1639">
        <v>12707</v>
      </c>
      <c r="D134" s="578">
        <v>634</v>
      </c>
      <c r="E134" s="457">
        <v>228222</v>
      </c>
      <c r="F134" s="1639">
        <v>55541</v>
      </c>
      <c r="G134" s="578">
        <v>6531</v>
      </c>
      <c r="H134" s="457">
        <v>29326</v>
      </c>
      <c r="I134" s="1639">
        <v>7772</v>
      </c>
      <c r="J134" s="844">
        <v>122</v>
      </c>
    </row>
    <row r="135" spans="1:11">
      <c r="A135" s="134">
        <f t="shared" si="2"/>
        <v>2016.06</v>
      </c>
      <c r="B135" s="613">
        <v>62430</v>
      </c>
      <c r="C135" s="1639">
        <v>13174</v>
      </c>
      <c r="D135" s="457">
        <v>1322</v>
      </c>
      <c r="E135" s="631">
        <v>220620</v>
      </c>
      <c r="F135" s="1639">
        <v>70074</v>
      </c>
      <c r="G135" s="457">
        <v>8190</v>
      </c>
      <c r="H135" s="631">
        <v>29790</v>
      </c>
      <c r="I135" s="1639">
        <v>6996</v>
      </c>
      <c r="J135" s="844">
        <v>97</v>
      </c>
    </row>
    <row r="136" spans="1:11">
      <c r="A136" s="134">
        <f t="shared" si="2"/>
        <v>2016.07</v>
      </c>
      <c r="B136" s="613">
        <v>65689</v>
      </c>
      <c r="C136" s="1639">
        <v>13844</v>
      </c>
      <c r="D136" s="457">
        <v>802</v>
      </c>
      <c r="E136" s="631">
        <v>226052</v>
      </c>
      <c r="F136" s="1639">
        <v>75527</v>
      </c>
      <c r="G136" s="457">
        <v>8849</v>
      </c>
      <c r="H136" s="631">
        <v>31961</v>
      </c>
      <c r="I136" s="1639">
        <v>10055</v>
      </c>
      <c r="J136" s="844">
        <v>194</v>
      </c>
    </row>
    <row r="137" spans="1:11">
      <c r="A137" s="134">
        <f t="shared" si="2"/>
        <v>2016.08</v>
      </c>
      <c r="B137" s="613">
        <v>65689</v>
      </c>
      <c r="C137" s="1639">
        <v>14546</v>
      </c>
      <c r="D137" s="457">
        <v>577</v>
      </c>
      <c r="E137" s="631">
        <v>227292</v>
      </c>
      <c r="F137" s="1639">
        <v>71673</v>
      </c>
      <c r="G137" s="457">
        <v>7456</v>
      </c>
      <c r="H137" s="631">
        <v>28737</v>
      </c>
      <c r="I137" s="1639">
        <v>8828</v>
      </c>
      <c r="J137" s="844">
        <v>111</v>
      </c>
      <c r="K137" s="620"/>
    </row>
    <row r="138" spans="1:11">
      <c r="A138" s="134">
        <f t="shared" si="2"/>
        <v>2016.09</v>
      </c>
      <c r="B138" s="613">
        <v>63870</v>
      </c>
      <c r="C138" s="1639">
        <v>15332</v>
      </c>
      <c r="D138" s="457">
        <v>1010</v>
      </c>
      <c r="E138" s="631">
        <v>219750</v>
      </c>
      <c r="F138" s="1639">
        <v>71583</v>
      </c>
      <c r="G138" s="457">
        <v>10034</v>
      </c>
      <c r="H138" s="631">
        <v>27810</v>
      </c>
      <c r="I138" s="1639">
        <v>9149</v>
      </c>
      <c r="J138" s="844">
        <v>132</v>
      </c>
    </row>
    <row r="139" spans="1:11">
      <c r="A139" s="134">
        <f t="shared" si="2"/>
        <v>2016.1</v>
      </c>
      <c r="B139" s="613">
        <v>65689</v>
      </c>
      <c r="C139" s="1639">
        <v>16326</v>
      </c>
      <c r="D139" s="457">
        <v>1020</v>
      </c>
      <c r="E139" s="631">
        <v>227075</v>
      </c>
      <c r="F139" s="1639">
        <v>72555</v>
      </c>
      <c r="G139" s="457">
        <v>8367</v>
      </c>
      <c r="H139" s="631">
        <v>29109</v>
      </c>
      <c r="I139" s="1639">
        <v>7816</v>
      </c>
      <c r="J139" s="844">
        <v>78</v>
      </c>
    </row>
    <row r="140" spans="1:11">
      <c r="A140" s="134">
        <f t="shared" si="2"/>
        <v>2016.11</v>
      </c>
      <c r="B140" s="613">
        <v>63480</v>
      </c>
      <c r="C140" s="1639">
        <v>17563</v>
      </c>
      <c r="D140" s="457">
        <v>902</v>
      </c>
      <c r="E140" s="631">
        <v>220950</v>
      </c>
      <c r="F140" s="1639">
        <v>73436</v>
      </c>
      <c r="G140" s="457">
        <v>8855</v>
      </c>
      <c r="H140" s="631">
        <v>28440</v>
      </c>
      <c r="I140" s="1639">
        <v>9744</v>
      </c>
      <c r="J140" s="844">
        <v>215</v>
      </c>
    </row>
    <row r="141" spans="1:11">
      <c r="A141" s="134">
        <f t="shared" si="2"/>
        <v>2016.12</v>
      </c>
      <c r="B141" s="613">
        <v>65348</v>
      </c>
      <c r="C141" s="1639">
        <v>16548</v>
      </c>
      <c r="D141" s="457">
        <v>554</v>
      </c>
      <c r="E141" s="631">
        <v>227912</v>
      </c>
      <c r="F141" s="1639">
        <v>59280</v>
      </c>
      <c r="G141" s="457">
        <v>6313</v>
      </c>
      <c r="H141" s="631">
        <v>29208</v>
      </c>
      <c r="I141" s="1639">
        <v>7866</v>
      </c>
      <c r="J141" s="844">
        <v>117</v>
      </c>
    </row>
    <row r="142" spans="1:11">
      <c r="A142" s="134">
        <f t="shared" si="2"/>
        <v>2017.01</v>
      </c>
      <c r="B142" s="613">
        <v>71099</v>
      </c>
      <c r="C142" s="1639">
        <v>17812</v>
      </c>
      <c r="D142" s="457">
        <v>1175</v>
      </c>
      <c r="E142" s="631">
        <v>225584</v>
      </c>
      <c r="F142" s="1639">
        <v>63216</v>
      </c>
      <c r="G142" s="457">
        <v>7270</v>
      </c>
      <c r="H142" s="631">
        <v>28923</v>
      </c>
      <c r="I142" s="1639">
        <v>5768</v>
      </c>
      <c r="J142" s="844">
        <v>252</v>
      </c>
    </row>
    <row r="143" spans="1:11">
      <c r="A143" s="134">
        <f t="shared" si="2"/>
        <v>2017.02</v>
      </c>
      <c r="B143" s="613">
        <v>65268</v>
      </c>
      <c r="C143" s="1639">
        <v>20378</v>
      </c>
      <c r="D143" s="457">
        <v>989</v>
      </c>
      <c r="E143" s="631">
        <v>208264</v>
      </c>
      <c r="F143" s="1639">
        <v>61962</v>
      </c>
      <c r="G143" s="457">
        <v>8386</v>
      </c>
      <c r="H143" s="631">
        <v>26124</v>
      </c>
      <c r="I143" s="1639">
        <v>6714</v>
      </c>
      <c r="J143" s="844">
        <v>140</v>
      </c>
    </row>
    <row r="144" spans="1:11">
      <c r="A144" s="134">
        <f t="shared" si="2"/>
        <v>2017.03</v>
      </c>
      <c r="B144" s="613">
        <v>72323</v>
      </c>
      <c r="C144" s="1639">
        <v>21209</v>
      </c>
      <c r="D144" s="457">
        <v>1015</v>
      </c>
      <c r="E144" s="631">
        <v>230578</v>
      </c>
      <c r="F144" s="1639">
        <v>64054</v>
      </c>
      <c r="G144" s="457">
        <v>10513</v>
      </c>
      <c r="H144" s="631">
        <v>28923</v>
      </c>
      <c r="I144" s="1639">
        <v>6705</v>
      </c>
      <c r="J144" s="844">
        <v>83</v>
      </c>
    </row>
    <row r="145" spans="1:11">
      <c r="A145" s="134">
        <f t="shared" si="2"/>
        <v>2017.04</v>
      </c>
      <c r="B145" s="613">
        <v>68970</v>
      </c>
      <c r="C145" s="1639">
        <v>21414</v>
      </c>
      <c r="D145" s="457">
        <v>1106</v>
      </c>
      <c r="E145" s="631">
        <v>219420</v>
      </c>
      <c r="F145" s="1639">
        <v>63678</v>
      </c>
      <c r="G145" s="457">
        <v>8162</v>
      </c>
      <c r="H145" s="631">
        <v>27990</v>
      </c>
      <c r="I145" s="1639">
        <v>6193</v>
      </c>
      <c r="J145" s="844">
        <v>130</v>
      </c>
    </row>
    <row r="146" spans="1:11">
      <c r="A146" s="134">
        <f t="shared" si="2"/>
        <v>2017.05</v>
      </c>
      <c r="B146" s="613">
        <v>71269</v>
      </c>
      <c r="C146" s="1639">
        <v>20754</v>
      </c>
      <c r="D146" s="457">
        <v>690</v>
      </c>
      <c r="E146" s="631">
        <v>226641</v>
      </c>
      <c r="F146" s="1639">
        <v>65166</v>
      </c>
      <c r="G146" s="457">
        <v>7032</v>
      </c>
      <c r="H146" s="631">
        <v>29481</v>
      </c>
      <c r="I146" s="1639">
        <v>7526</v>
      </c>
      <c r="J146" s="844">
        <v>146</v>
      </c>
    </row>
    <row r="147" spans="1:11">
      <c r="A147" s="134">
        <f t="shared" si="2"/>
        <v>2017.06</v>
      </c>
      <c r="B147" s="613">
        <v>69180</v>
      </c>
      <c r="C147" s="1639">
        <v>21730</v>
      </c>
      <c r="D147" s="457">
        <v>925</v>
      </c>
      <c r="E147" s="631">
        <v>219600</v>
      </c>
      <c r="F147" s="1639">
        <v>67414</v>
      </c>
      <c r="G147" s="457">
        <v>7212</v>
      </c>
      <c r="H147" s="631">
        <v>28530</v>
      </c>
      <c r="I147" s="1639">
        <v>7996</v>
      </c>
      <c r="J147" s="844">
        <v>168</v>
      </c>
    </row>
    <row r="148" spans="1:11">
      <c r="A148" s="134">
        <f t="shared" si="2"/>
        <v>2017.07</v>
      </c>
      <c r="B148" s="613">
        <v>71486</v>
      </c>
      <c r="C148" s="1639">
        <v>22348</v>
      </c>
      <c r="D148" s="457">
        <v>833</v>
      </c>
      <c r="E148" s="631">
        <v>226920</v>
      </c>
      <c r="F148" s="1639">
        <v>78425</v>
      </c>
      <c r="G148" s="457">
        <v>8905</v>
      </c>
      <c r="H148" s="631">
        <v>29481</v>
      </c>
      <c r="I148" s="1639">
        <v>8232</v>
      </c>
      <c r="J148" s="844">
        <v>208</v>
      </c>
    </row>
    <row r="149" spans="1:11">
      <c r="A149" s="134">
        <f t="shared" si="2"/>
        <v>2017.08</v>
      </c>
      <c r="B149" s="613">
        <v>70277</v>
      </c>
      <c r="C149" s="1639">
        <v>20090</v>
      </c>
      <c r="D149" s="457">
        <v>812</v>
      </c>
      <c r="E149" s="631">
        <v>226920</v>
      </c>
      <c r="F149" s="1639">
        <v>68428</v>
      </c>
      <c r="G149" s="457">
        <v>8088</v>
      </c>
      <c r="H149" s="631">
        <v>29481</v>
      </c>
      <c r="I149" s="1639">
        <v>7550</v>
      </c>
      <c r="J149" s="844">
        <v>124</v>
      </c>
    </row>
    <row r="150" spans="1:11">
      <c r="A150" s="134">
        <f t="shared" si="2"/>
        <v>2017.09</v>
      </c>
      <c r="B150" s="613">
        <v>67380</v>
      </c>
      <c r="C150" s="1639">
        <v>22425</v>
      </c>
      <c r="D150" s="457">
        <v>1236</v>
      </c>
      <c r="E150" s="631">
        <v>220920</v>
      </c>
      <c r="F150" s="1639">
        <v>70477</v>
      </c>
      <c r="G150" s="457">
        <v>8493</v>
      </c>
      <c r="H150" s="631">
        <v>27900</v>
      </c>
      <c r="I150" s="1639">
        <v>7100</v>
      </c>
      <c r="J150" s="844">
        <v>80</v>
      </c>
    </row>
    <row r="151" spans="1:11">
      <c r="A151" s="134">
        <f t="shared" si="2"/>
        <v>2017.1</v>
      </c>
      <c r="B151" s="613">
        <v>68789</v>
      </c>
      <c r="C151" s="1639">
        <v>22551</v>
      </c>
      <c r="D151" s="457">
        <v>920</v>
      </c>
      <c r="E151" s="631">
        <v>228284</v>
      </c>
      <c r="F151" s="1639">
        <v>73337</v>
      </c>
      <c r="G151" s="457">
        <v>8801</v>
      </c>
      <c r="H151" s="631">
        <v>28830</v>
      </c>
      <c r="I151" s="1639">
        <v>6377</v>
      </c>
      <c r="J151" s="844">
        <v>69</v>
      </c>
    </row>
    <row r="152" spans="1:11">
      <c r="A152" s="134">
        <f t="shared" si="2"/>
        <v>2017.11</v>
      </c>
      <c r="B152" s="613">
        <v>66570</v>
      </c>
      <c r="C152" s="1639">
        <v>23279</v>
      </c>
      <c r="D152" s="457">
        <v>1453</v>
      </c>
      <c r="E152" s="631">
        <v>220920</v>
      </c>
      <c r="F152" s="1639">
        <v>75327</v>
      </c>
      <c r="G152" s="457">
        <v>9424</v>
      </c>
      <c r="H152" s="631">
        <v>28020</v>
      </c>
      <c r="I152" s="1639">
        <v>6673</v>
      </c>
      <c r="J152" s="844">
        <v>81</v>
      </c>
      <c r="K152" s="620"/>
    </row>
    <row r="153" spans="1:11">
      <c r="A153" s="134">
        <f t="shared" si="2"/>
        <v>2017.12</v>
      </c>
      <c r="B153" s="613">
        <v>68789</v>
      </c>
      <c r="C153" s="1639">
        <v>20991</v>
      </c>
      <c r="D153" s="457">
        <v>1187</v>
      </c>
      <c r="E153" s="631">
        <v>226741</v>
      </c>
      <c r="F153" s="1639">
        <v>59660</v>
      </c>
      <c r="G153" s="457">
        <v>5600</v>
      </c>
      <c r="H153" s="631">
        <v>28954</v>
      </c>
      <c r="I153" s="1639">
        <v>6343</v>
      </c>
      <c r="J153" s="844">
        <v>51</v>
      </c>
    </row>
    <row r="154" spans="1:11">
      <c r="A154" s="134">
        <f t="shared" si="2"/>
        <v>2018.01</v>
      </c>
      <c r="B154" s="613">
        <v>69400</v>
      </c>
      <c r="C154" s="1639">
        <v>19583</v>
      </c>
      <c r="D154" s="457">
        <v>1383</v>
      </c>
      <c r="E154" s="631">
        <v>227663</v>
      </c>
      <c r="F154" s="1639">
        <v>61868</v>
      </c>
      <c r="G154" s="457">
        <v>10375</v>
      </c>
      <c r="H154" s="631">
        <v>29481</v>
      </c>
      <c r="I154" s="1639">
        <v>7771</v>
      </c>
      <c r="J154" s="844">
        <v>93</v>
      </c>
    </row>
    <row r="155" spans="1:11">
      <c r="A155" s="134">
        <f t="shared" si="2"/>
        <v>2018.02</v>
      </c>
      <c r="B155" s="613">
        <v>61936</v>
      </c>
      <c r="C155" s="1639">
        <v>19351</v>
      </c>
      <c r="D155" s="457">
        <v>1402</v>
      </c>
      <c r="E155" s="631">
        <v>206080</v>
      </c>
      <c r="F155" s="1639">
        <v>61366</v>
      </c>
      <c r="G155" s="457">
        <v>5876</v>
      </c>
      <c r="H155" s="631">
        <v>25872</v>
      </c>
      <c r="I155" s="1639">
        <v>12121</v>
      </c>
      <c r="J155" s="844">
        <v>386</v>
      </c>
    </row>
    <row r="156" spans="1:11">
      <c r="A156" s="134">
        <f t="shared" si="2"/>
        <v>2018.03</v>
      </c>
      <c r="B156" s="613">
        <v>69192</v>
      </c>
      <c r="C156" s="1639">
        <v>21065</v>
      </c>
      <c r="D156" s="457">
        <v>1438</v>
      </c>
      <c r="E156" s="631">
        <v>228377</v>
      </c>
      <c r="F156" s="1639">
        <v>63371</v>
      </c>
      <c r="G156" s="457">
        <v>6693</v>
      </c>
      <c r="H156" s="631">
        <v>29388</v>
      </c>
      <c r="I156" s="1639">
        <v>12705</v>
      </c>
      <c r="J156" s="844">
        <v>268</v>
      </c>
    </row>
    <row r="157" spans="1:11">
      <c r="A157" s="134">
        <f t="shared" si="2"/>
        <v>2018.04</v>
      </c>
      <c r="B157" s="613">
        <v>68580</v>
      </c>
      <c r="C157" s="1639">
        <v>22696</v>
      </c>
      <c r="D157" s="457">
        <v>1471</v>
      </c>
      <c r="E157" s="631">
        <v>221010</v>
      </c>
      <c r="F157" s="1639">
        <v>62414</v>
      </c>
      <c r="G157" s="457">
        <v>6270</v>
      </c>
      <c r="H157" s="631">
        <v>28080</v>
      </c>
      <c r="I157" s="1639">
        <v>14469</v>
      </c>
      <c r="J157" s="844">
        <v>226</v>
      </c>
    </row>
    <row r="158" spans="1:11">
      <c r="A158" s="134">
        <f t="shared" si="2"/>
        <v>2018.05</v>
      </c>
      <c r="B158" s="613">
        <v>71579</v>
      </c>
      <c r="C158" s="1639">
        <v>25748</v>
      </c>
      <c r="D158" s="457">
        <v>958</v>
      </c>
      <c r="E158" s="631">
        <v>228160</v>
      </c>
      <c r="F158" s="1639">
        <v>62983</v>
      </c>
      <c r="G158" s="457">
        <v>5432</v>
      </c>
      <c r="H158" s="631">
        <v>29016</v>
      </c>
      <c r="I158" s="1639">
        <v>16403</v>
      </c>
      <c r="J158" s="844">
        <v>491</v>
      </c>
    </row>
    <row r="159" spans="1:11">
      <c r="A159" s="134">
        <f t="shared" si="2"/>
        <v>2018.06</v>
      </c>
      <c r="B159" s="613">
        <v>69270</v>
      </c>
      <c r="C159" s="1639">
        <v>22118</v>
      </c>
      <c r="D159" s="457">
        <v>1528</v>
      </c>
      <c r="E159" s="631">
        <v>220920</v>
      </c>
      <c r="F159" s="1639">
        <v>59352</v>
      </c>
      <c r="G159" s="457">
        <v>5668</v>
      </c>
      <c r="H159" s="631">
        <v>28080</v>
      </c>
      <c r="I159" s="1639">
        <v>15672</v>
      </c>
      <c r="J159" s="844">
        <v>198</v>
      </c>
    </row>
    <row r="160" spans="1:11">
      <c r="A160" s="134">
        <f t="shared" si="2"/>
        <v>2018.07</v>
      </c>
      <c r="B160" s="613">
        <v>71579</v>
      </c>
      <c r="C160" s="1639">
        <v>26486</v>
      </c>
      <c r="D160" s="457">
        <v>2094</v>
      </c>
      <c r="E160" s="631">
        <v>225711</v>
      </c>
      <c r="F160" s="1639">
        <v>75679</v>
      </c>
      <c r="G160" s="457">
        <v>6894</v>
      </c>
      <c r="H160" s="631">
        <v>29078</v>
      </c>
      <c r="I160" s="1639">
        <v>17217</v>
      </c>
      <c r="J160" s="844">
        <v>194</v>
      </c>
    </row>
    <row r="161" spans="1:10">
      <c r="A161" s="134">
        <f t="shared" si="2"/>
        <v>2018.08</v>
      </c>
      <c r="B161" s="613">
        <v>71579</v>
      </c>
      <c r="C161" s="1639">
        <v>27096</v>
      </c>
      <c r="D161" s="457">
        <v>1817</v>
      </c>
      <c r="E161" s="631">
        <v>225711</v>
      </c>
      <c r="F161" s="1639">
        <v>71013</v>
      </c>
      <c r="G161" s="457">
        <v>7120</v>
      </c>
      <c r="H161" s="631">
        <v>29078</v>
      </c>
      <c r="I161" s="1639">
        <v>16031</v>
      </c>
      <c r="J161" s="844">
        <v>225</v>
      </c>
    </row>
    <row r="162" spans="1:10">
      <c r="A162" s="134">
        <f t="shared" ref="A162:A225" si="3">A150+1</f>
        <v>2018.09</v>
      </c>
      <c r="B162" s="613">
        <v>69000</v>
      </c>
      <c r="C162" s="1639">
        <v>22725</v>
      </c>
      <c r="D162" s="457">
        <v>1614</v>
      </c>
      <c r="E162" s="631">
        <v>218820</v>
      </c>
      <c r="F162" s="1639">
        <v>65582</v>
      </c>
      <c r="G162" s="457">
        <v>7397</v>
      </c>
      <c r="H162" s="631">
        <v>28080</v>
      </c>
      <c r="I162" s="1639">
        <v>16138</v>
      </c>
      <c r="J162" s="844">
        <v>212</v>
      </c>
    </row>
    <row r="163" spans="1:10">
      <c r="A163" s="134">
        <f t="shared" si="3"/>
        <v>2018.1</v>
      </c>
      <c r="B163" s="613">
        <v>71300</v>
      </c>
      <c r="C163" s="1639">
        <v>13278</v>
      </c>
      <c r="D163" s="457">
        <v>1262</v>
      </c>
      <c r="E163" s="631">
        <v>228833</v>
      </c>
      <c r="F163" s="1639">
        <v>38132</v>
      </c>
      <c r="G163" s="457">
        <v>3177</v>
      </c>
      <c r="H163" s="631">
        <v>29016</v>
      </c>
      <c r="I163" s="1639">
        <v>15019</v>
      </c>
      <c r="J163" s="844">
        <f>15217-I163</f>
        <v>198</v>
      </c>
    </row>
    <row r="164" spans="1:10">
      <c r="A164" s="134">
        <f t="shared" si="3"/>
        <v>2018.11</v>
      </c>
      <c r="B164" s="613">
        <v>68220</v>
      </c>
      <c r="C164" s="1639">
        <v>12663</v>
      </c>
      <c r="D164" s="457">
        <v>1130</v>
      </c>
      <c r="E164" s="631">
        <v>220920</v>
      </c>
      <c r="F164" s="1639">
        <v>41113</v>
      </c>
      <c r="G164" s="457">
        <v>4504</v>
      </c>
      <c r="H164" s="631">
        <v>28080</v>
      </c>
      <c r="I164" s="1639">
        <v>12925</v>
      </c>
      <c r="J164" s="844">
        <v>319</v>
      </c>
    </row>
    <row r="165" spans="1:10">
      <c r="A165" s="134">
        <f t="shared" si="3"/>
        <v>2018.12</v>
      </c>
      <c r="B165" s="613">
        <v>71486</v>
      </c>
      <c r="C165" s="1639">
        <v>20148</v>
      </c>
      <c r="D165" s="457">
        <v>1247</v>
      </c>
      <c r="E165" s="631">
        <v>228108</v>
      </c>
      <c r="F165" s="1639">
        <v>55989</v>
      </c>
      <c r="G165" s="457">
        <v>6692</v>
      </c>
      <c r="H165" s="631">
        <v>27404</v>
      </c>
      <c r="I165" s="1639">
        <v>13202</v>
      </c>
      <c r="J165" s="844">
        <v>284</v>
      </c>
    </row>
    <row r="166" spans="1:10">
      <c r="A166" s="134">
        <f t="shared" si="3"/>
        <v>2019.01</v>
      </c>
      <c r="B166" s="613">
        <v>69564</v>
      </c>
      <c r="C166" s="1639">
        <v>19012</v>
      </c>
      <c r="D166" s="457">
        <v>1431</v>
      </c>
      <c r="E166" s="631">
        <v>235166</v>
      </c>
      <c r="F166" s="1639">
        <v>56439</v>
      </c>
      <c r="G166" s="457">
        <v>11853</v>
      </c>
      <c r="H166" s="631">
        <v>26660</v>
      </c>
      <c r="I166" s="1639">
        <v>10849</v>
      </c>
      <c r="J166" s="844">
        <v>184</v>
      </c>
    </row>
    <row r="167" spans="1:10">
      <c r="A167" s="134">
        <f t="shared" si="3"/>
        <v>2019.02</v>
      </c>
      <c r="B167" s="613">
        <v>63812</v>
      </c>
      <c r="C167" s="1639">
        <v>18930</v>
      </c>
      <c r="D167" s="457">
        <v>1014</v>
      </c>
      <c r="E167" s="631">
        <v>212912</v>
      </c>
      <c r="F167" s="1639">
        <v>55904</v>
      </c>
      <c r="G167" s="457">
        <v>7321</v>
      </c>
      <c r="H167" s="631">
        <v>24080</v>
      </c>
      <c r="I167" s="1639">
        <v>9783</v>
      </c>
      <c r="J167" s="844">
        <v>163</v>
      </c>
    </row>
    <row r="168" spans="1:10">
      <c r="A168" s="134">
        <f t="shared" si="3"/>
        <v>2019.03</v>
      </c>
      <c r="B168" s="613">
        <v>70060</v>
      </c>
      <c r="C168" s="1639">
        <v>20196</v>
      </c>
      <c r="D168" s="457">
        <v>1310</v>
      </c>
      <c r="E168" s="631">
        <v>236189</v>
      </c>
      <c r="F168" s="1639">
        <v>67464</v>
      </c>
      <c r="G168" s="457">
        <v>12461</v>
      </c>
      <c r="H168" s="631">
        <v>26660</v>
      </c>
      <c r="I168" s="1639">
        <v>9348</v>
      </c>
      <c r="J168" s="844">
        <v>172</v>
      </c>
    </row>
    <row r="169" spans="1:10">
      <c r="A169" s="134">
        <f t="shared" si="3"/>
        <v>2019.04</v>
      </c>
      <c r="B169" s="613">
        <v>67890</v>
      </c>
      <c r="C169" s="1639">
        <v>20677</v>
      </c>
      <c r="D169" s="457">
        <v>1895</v>
      </c>
      <c r="E169" s="631">
        <v>228540</v>
      </c>
      <c r="F169" s="1639">
        <v>58429</v>
      </c>
      <c r="G169" s="457">
        <v>9517</v>
      </c>
      <c r="H169" s="631">
        <v>27360</v>
      </c>
      <c r="I169" s="1639">
        <v>8746</v>
      </c>
      <c r="J169" s="844">
        <v>269</v>
      </c>
    </row>
    <row r="170" spans="1:10">
      <c r="A170" s="134">
        <f t="shared" si="3"/>
        <v>2019.05</v>
      </c>
      <c r="B170" s="613">
        <v>70153</v>
      </c>
      <c r="C170" s="1639">
        <v>19616</v>
      </c>
      <c r="D170" s="457">
        <v>1628</v>
      </c>
      <c r="E170" s="631">
        <v>238855</v>
      </c>
      <c r="F170" s="1639">
        <v>61930</v>
      </c>
      <c r="G170" s="457">
        <v>10175</v>
      </c>
      <c r="H170" s="631">
        <v>28210</v>
      </c>
      <c r="I170" s="1639">
        <v>10787</v>
      </c>
      <c r="J170" s="844">
        <v>236</v>
      </c>
    </row>
    <row r="171" spans="1:10">
      <c r="A171" s="134">
        <f t="shared" si="3"/>
        <v>2019.06</v>
      </c>
      <c r="B171" s="613">
        <v>68970</v>
      </c>
      <c r="C171" s="1639">
        <v>18140</v>
      </c>
      <c r="D171" s="457">
        <v>3842</v>
      </c>
      <c r="E171" s="631">
        <v>230940</v>
      </c>
      <c r="F171" s="1639">
        <v>69709</v>
      </c>
      <c r="G171" s="457">
        <v>12673</v>
      </c>
      <c r="H171" s="631">
        <v>27300</v>
      </c>
      <c r="I171" s="1639">
        <v>7079</v>
      </c>
      <c r="J171" s="844">
        <v>136</v>
      </c>
    </row>
    <row r="172" spans="1:10">
      <c r="A172" s="134">
        <f t="shared" si="3"/>
        <v>2019.07</v>
      </c>
      <c r="B172" s="613">
        <v>70773</v>
      </c>
      <c r="C172" s="1639">
        <v>20990</v>
      </c>
      <c r="D172" s="457">
        <v>3606</v>
      </c>
      <c r="E172" s="631">
        <v>238855</v>
      </c>
      <c r="F172" s="1639">
        <v>79573</v>
      </c>
      <c r="G172" s="457">
        <v>11235</v>
      </c>
      <c r="H172" s="631">
        <v>26815</v>
      </c>
      <c r="I172" s="1639">
        <v>6262</v>
      </c>
      <c r="J172" s="844">
        <v>167</v>
      </c>
    </row>
    <row r="173" spans="1:10">
      <c r="A173" s="134">
        <f t="shared" si="3"/>
        <v>2019.08</v>
      </c>
      <c r="B173" s="631">
        <v>70773</v>
      </c>
      <c r="C173" s="1639">
        <v>21453</v>
      </c>
      <c r="D173" s="457">
        <v>1668</v>
      </c>
      <c r="E173" s="631">
        <v>238855</v>
      </c>
      <c r="F173" s="1639">
        <v>68396</v>
      </c>
      <c r="G173" s="457">
        <v>12364</v>
      </c>
      <c r="H173" s="631">
        <v>26815</v>
      </c>
      <c r="I173" s="1639">
        <v>6206</v>
      </c>
      <c r="J173" s="844">
        <v>197</v>
      </c>
    </row>
    <row r="174" spans="1:10">
      <c r="A174" s="134">
        <f t="shared" si="3"/>
        <v>2019.09</v>
      </c>
      <c r="B174" s="613">
        <v>68490</v>
      </c>
      <c r="C174" s="1639">
        <v>22484</v>
      </c>
      <c r="D174" s="457">
        <v>1463</v>
      </c>
      <c r="E174" s="631">
        <v>231150</v>
      </c>
      <c r="F174" s="1639">
        <v>64808</v>
      </c>
      <c r="G174" s="457">
        <v>12410</v>
      </c>
      <c r="H174" s="631">
        <v>26010</v>
      </c>
      <c r="I174" s="1639">
        <v>8763</v>
      </c>
      <c r="J174" s="844">
        <v>379</v>
      </c>
    </row>
    <row r="175" spans="1:10">
      <c r="A175" s="134">
        <f t="shared" si="3"/>
        <v>2019.1</v>
      </c>
      <c r="B175" s="613">
        <v>70804</v>
      </c>
      <c r="C175" s="1639">
        <v>19816</v>
      </c>
      <c r="D175" s="457">
        <v>1024</v>
      </c>
      <c r="E175" s="631">
        <v>238452</v>
      </c>
      <c r="F175" s="1639">
        <v>68012</v>
      </c>
      <c r="G175" s="457">
        <v>9141</v>
      </c>
      <c r="H175" s="631">
        <v>25079</v>
      </c>
      <c r="I175" s="1639">
        <v>5451</v>
      </c>
      <c r="J175" s="844">
        <v>182</v>
      </c>
    </row>
    <row r="176" spans="1:10">
      <c r="A176" s="134">
        <f t="shared" si="3"/>
        <v>2019.11</v>
      </c>
      <c r="B176" s="613">
        <v>70080</v>
      </c>
      <c r="C176" s="1639">
        <v>19792</v>
      </c>
      <c r="D176" s="457">
        <v>2121</v>
      </c>
      <c r="E176" s="631">
        <v>229440</v>
      </c>
      <c r="F176" s="1639">
        <v>72150</v>
      </c>
      <c r="G176" s="457">
        <v>9783</v>
      </c>
      <c r="H176" s="631">
        <v>24780</v>
      </c>
      <c r="I176" s="1639">
        <v>5249</v>
      </c>
      <c r="J176" s="844">
        <v>203</v>
      </c>
    </row>
    <row r="177" spans="1:10">
      <c r="A177" s="134">
        <f t="shared" si="3"/>
        <v>2019.12</v>
      </c>
      <c r="B177" s="613">
        <v>72137</v>
      </c>
      <c r="C177" s="1639">
        <v>19045</v>
      </c>
      <c r="D177" s="457">
        <v>1587</v>
      </c>
      <c r="E177" s="631">
        <v>236853</v>
      </c>
      <c r="F177" s="1639">
        <v>53663</v>
      </c>
      <c r="G177" s="457">
        <v>8987</v>
      </c>
      <c r="H177" s="631">
        <v>25606</v>
      </c>
      <c r="I177" s="1639">
        <v>4081</v>
      </c>
      <c r="J177" s="844">
        <v>93</v>
      </c>
    </row>
    <row r="178" spans="1:10">
      <c r="A178" s="134">
        <f t="shared" si="3"/>
        <v>2020.01</v>
      </c>
      <c r="B178" s="613">
        <v>70742</v>
      </c>
      <c r="C178" s="1639">
        <v>18820</v>
      </c>
      <c r="D178" s="457">
        <v>2325</v>
      </c>
      <c r="E178" s="631">
        <v>228284</v>
      </c>
      <c r="F178" s="1639">
        <v>49500</v>
      </c>
      <c r="G178" s="457">
        <v>9889</v>
      </c>
      <c r="H178" s="631">
        <v>29946</v>
      </c>
      <c r="I178" s="1639">
        <v>5148</v>
      </c>
      <c r="J178" s="844">
        <v>188</v>
      </c>
    </row>
    <row r="179" spans="1:10">
      <c r="A179" s="134">
        <f t="shared" si="3"/>
        <v>2020.02</v>
      </c>
      <c r="B179" s="613">
        <v>66932</v>
      </c>
      <c r="C179" s="1639">
        <v>23959</v>
      </c>
      <c r="D179" s="457">
        <v>2013</v>
      </c>
      <c r="E179" s="631">
        <v>216511</v>
      </c>
      <c r="F179" s="1639">
        <v>62160</v>
      </c>
      <c r="G179" s="457">
        <v>8871</v>
      </c>
      <c r="H179" s="631">
        <v>28130</v>
      </c>
      <c r="I179" s="1639">
        <v>4299</v>
      </c>
      <c r="J179" s="844">
        <v>346</v>
      </c>
    </row>
    <row r="180" spans="1:10" s="2688" customFormat="1">
      <c r="A180" s="134">
        <f t="shared" si="3"/>
        <v>2020.03</v>
      </c>
      <c r="B180" s="2694">
        <v>45143</v>
      </c>
      <c r="C180" s="1639">
        <v>12804</v>
      </c>
      <c r="D180" s="457">
        <v>411</v>
      </c>
      <c r="E180" s="631">
        <v>145854</v>
      </c>
      <c r="F180" s="2690" t="e">
        <v>#N/A</v>
      </c>
      <c r="G180" s="1640" t="e">
        <v>#N/A</v>
      </c>
      <c r="H180" s="631">
        <v>20068</v>
      </c>
      <c r="I180" s="2690" t="e">
        <v>#N/A</v>
      </c>
      <c r="J180" s="2692" t="e">
        <v>#N/A</v>
      </c>
    </row>
    <row r="181" spans="1:10" s="2688" customFormat="1">
      <c r="A181" s="134">
        <f t="shared" si="3"/>
        <v>2020.04</v>
      </c>
      <c r="B181" s="2694" t="e">
        <v>#N/A</v>
      </c>
      <c r="C181" s="2690" t="e">
        <v>#N/A</v>
      </c>
      <c r="D181" s="2691" t="e">
        <v>#N/A</v>
      </c>
      <c r="E181" s="2693" t="e">
        <v>#N/A</v>
      </c>
      <c r="F181" s="2690" t="e">
        <v>#N/A</v>
      </c>
      <c r="G181" s="1640" t="e">
        <v>#N/A</v>
      </c>
      <c r="H181" s="2689" t="e">
        <v>#N/A</v>
      </c>
      <c r="I181" s="2690" t="e">
        <v>#N/A</v>
      </c>
      <c r="J181" s="2692" t="e">
        <v>#N/A</v>
      </c>
    </row>
    <row r="182" spans="1:10" s="2688" customFormat="1">
      <c r="A182" s="134">
        <f t="shared" si="3"/>
        <v>2020.05</v>
      </c>
      <c r="B182" s="2694" t="e">
        <v>#N/A</v>
      </c>
      <c r="C182" s="2690" t="e">
        <v>#N/A</v>
      </c>
      <c r="D182" s="2691" t="e">
        <v>#N/A</v>
      </c>
      <c r="E182" s="2693" t="e">
        <v>#N/A</v>
      </c>
      <c r="F182" s="2690" t="e">
        <v>#N/A</v>
      </c>
      <c r="G182" s="1640" t="e">
        <v>#N/A</v>
      </c>
      <c r="H182" s="2689" t="e">
        <v>#N/A</v>
      </c>
      <c r="I182" s="2690" t="e">
        <v>#N/A</v>
      </c>
      <c r="J182" s="2692" t="e">
        <v>#N/A</v>
      </c>
    </row>
    <row r="183" spans="1:10" s="2688" customFormat="1">
      <c r="A183" s="134">
        <f t="shared" si="3"/>
        <v>2020.06</v>
      </c>
      <c r="B183" s="613">
        <v>40020</v>
      </c>
      <c r="C183" s="2690" t="e">
        <v>#N/A</v>
      </c>
      <c r="D183" s="2691" t="e">
        <v>#N/A</v>
      </c>
      <c r="E183" s="631">
        <v>82230</v>
      </c>
      <c r="F183" s="2690" t="e">
        <v>#N/A</v>
      </c>
      <c r="G183" s="1640" t="e">
        <v>#N/A</v>
      </c>
      <c r="H183" s="2695">
        <v>10890</v>
      </c>
      <c r="I183" s="2690" t="e">
        <v>#N/A</v>
      </c>
      <c r="J183" s="2692" t="e">
        <v>#N/A</v>
      </c>
    </row>
    <row r="184" spans="1:10" s="2688" customFormat="1">
      <c r="A184" s="134">
        <f t="shared" si="3"/>
        <v>2020.07</v>
      </c>
      <c r="B184" s="613">
        <v>41354</v>
      </c>
      <c r="C184" s="2690" t="e">
        <v>#N/A</v>
      </c>
      <c r="D184" s="2691" t="e">
        <v>#N/A</v>
      </c>
      <c r="E184" s="631">
        <v>89001</v>
      </c>
      <c r="F184" s="2690" t="e">
        <v>#N/A</v>
      </c>
      <c r="G184" s="1640" t="e">
        <v>#N/A</v>
      </c>
      <c r="H184" s="2695">
        <v>11253</v>
      </c>
      <c r="I184" s="2690" t="e">
        <v>#N/A</v>
      </c>
      <c r="J184" s="2692" t="e">
        <v>#N/A</v>
      </c>
    </row>
    <row r="185" spans="1:10">
      <c r="A185" s="134">
        <f t="shared" si="3"/>
        <v>2020.08</v>
      </c>
      <c r="B185" s="613">
        <v>41664</v>
      </c>
      <c r="C185" s="2690" t="e">
        <v>#N/A</v>
      </c>
      <c r="D185" s="2691" t="e">
        <v>#N/A</v>
      </c>
      <c r="E185" s="631">
        <v>90179</v>
      </c>
      <c r="F185" s="2690" t="e">
        <v>#N/A</v>
      </c>
      <c r="G185" s="1640" t="e">
        <v>#N/A</v>
      </c>
      <c r="H185" s="2695">
        <v>11253</v>
      </c>
      <c r="I185" s="2690" t="e">
        <v>#N/A</v>
      </c>
      <c r="J185" s="2692" t="e">
        <v>#N/A</v>
      </c>
    </row>
    <row r="186" spans="1:10">
      <c r="A186" s="134">
        <f t="shared" si="3"/>
        <v>2020.09</v>
      </c>
      <c r="B186" s="613">
        <v>39496</v>
      </c>
      <c r="C186" s="2690" t="e">
        <v>#N/A</v>
      </c>
      <c r="D186" s="2691" t="e">
        <v>#N/A</v>
      </c>
      <c r="E186" s="631">
        <v>87270</v>
      </c>
      <c r="F186" s="2690" t="e">
        <v>#N/A</v>
      </c>
      <c r="G186" s="1640" t="e">
        <v>#N/A</v>
      </c>
      <c r="H186" s="2695">
        <v>17880</v>
      </c>
      <c r="I186" s="2690" t="e">
        <v>#N/A</v>
      </c>
      <c r="J186" s="2692" t="e">
        <v>#N/A</v>
      </c>
    </row>
    <row r="187" spans="1:10">
      <c r="A187" s="134">
        <f t="shared" si="3"/>
        <v>2020.1</v>
      </c>
      <c r="B187" s="613">
        <v>43245</v>
      </c>
      <c r="C187" s="2690" t="e">
        <v>#N/A</v>
      </c>
      <c r="D187" s="2691" t="e">
        <v>#N/A</v>
      </c>
      <c r="E187" s="631">
        <v>93773</v>
      </c>
      <c r="F187" s="2690" t="e">
        <v>#N/A</v>
      </c>
      <c r="G187" s="1640" t="e">
        <v>#N/A</v>
      </c>
      <c r="H187" s="2695">
        <v>18476</v>
      </c>
      <c r="I187" s="2690" t="e">
        <v>#N/A</v>
      </c>
      <c r="J187" s="2692" t="e">
        <v>#N/A</v>
      </c>
    </row>
    <row r="188" spans="1:10">
      <c r="A188" s="134">
        <f t="shared" si="3"/>
        <v>2020.11</v>
      </c>
      <c r="B188" s="613">
        <v>42570</v>
      </c>
      <c r="C188" s="2690" t="e">
        <v>#N/A</v>
      </c>
      <c r="D188" s="2691" t="e">
        <v>#N/A</v>
      </c>
      <c r="E188" s="631">
        <v>100890</v>
      </c>
      <c r="F188" s="2690" t="e">
        <v>#N/A</v>
      </c>
      <c r="G188" s="1640" t="e">
        <v>#N/A</v>
      </c>
      <c r="H188" s="2696">
        <v>18900</v>
      </c>
      <c r="I188" s="2690" t="e">
        <v>#N/A</v>
      </c>
      <c r="J188" s="2692" t="e">
        <v>#N/A</v>
      </c>
    </row>
    <row r="189" spans="1:10">
      <c r="A189" s="134">
        <f t="shared" si="3"/>
        <v>2020.12</v>
      </c>
      <c r="B189" s="613">
        <v>57598</v>
      </c>
      <c r="C189" s="2690" t="e">
        <v>#N/A</v>
      </c>
      <c r="D189" s="2691" t="e">
        <v>#N/A</v>
      </c>
      <c r="E189" s="631">
        <v>121120</v>
      </c>
      <c r="F189" s="2690" t="e">
        <v>#N/A</v>
      </c>
      <c r="G189" s="1640" t="e">
        <v>#N/A</v>
      </c>
      <c r="H189" s="2695">
        <v>28210</v>
      </c>
      <c r="I189" s="2690" t="e">
        <v>#N/A</v>
      </c>
      <c r="J189" s="2692" t="e">
        <v>#N/A</v>
      </c>
    </row>
    <row r="190" spans="1:10">
      <c r="A190" s="134">
        <f t="shared" si="3"/>
        <v>2021.01</v>
      </c>
      <c r="B190" s="613">
        <v>51274</v>
      </c>
      <c r="C190" s="1639">
        <v>7465</v>
      </c>
      <c r="D190" s="457">
        <v>119</v>
      </c>
      <c r="E190" s="631">
        <v>170314</v>
      </c>
      <c r="F190" s="1639">
        <v>30139</v>
      </c>
      <c r="G190" s="2697">
        <v>821</v>
      </c>
      <c r="H190" s="2695">
        <v>22692</v>
      </c>
      <c r="I190" s="1640">
        <v>1270</v>
      </c>
      <c r="J190" s="2698">
        <v>0</v>
      </c>
    </row>
    <row r="191" spans="1:10">
      <c r="A191" s="134">
        <f t="shared" si="3"/>
        <v>2021.02</v>
      </c>
      <c r="B191" s="613">
        <v>48860</v>
      </c>
      <c r="C191" s="1639">
        <v>8174</v>
      </c>
      <c r="D191" s="457">
        <v>103</v>
      </c>
      <c r="E191" s="631">
        <v>164920</v>
      </c>
      <c r="F191" s="1639">
        <v>39608</v>
      </c>
      <c r="G191" s="2697">
        <v>2454</v>
      </c>
      <c r="H191" s="2695">
        <v>20328</v>
      </c>
      <c r="I191" s="1640">
        <v>1378</v>
      </c>
      <c r="J191" s="2698">
        <v>0</v>
      </c>
    </row>
    <row r="192" spans="1:10">
      <c r="A192" s="134">
        <f t="shared" si="3"/>
        <v>2021.03</v>
      </c>
      <c r="B192" s="613">
        <v>50065</v>
      </c>
      <c r="C192" s="1639">
        <v>7350</v>
      </c>
      <c r="D192" s="1639">
        <v>74</v>
      </c>
      <c r="E192" s="631">
        <v>194546</v>
      </c>
      <c r="F192" s="1639">
        <v>38368</v>
      </c>
      <c r="G192" s="2697">
        <v>2335</v>
      </c>
      <c r="H192" s="2695">
        <v>21607</v>
      </c>
      <c r="I192" s="1640">
        <v>1156</v>
      </c>
      <c r="J192" s="2698">
        <v>0</v>
      </c>
    </row>
    <row r="193" spans="1:10">
      <c r="A193" s="134">
        <f t="shared" si="3"/>
        <v>2021.04</v>
      </c>
      <c r="B193" s="613">
        <v>46050</v>
      </c>
      <c r="C193" s="1639">
        <v>6134</v>
      </c>
      <c r="D193" s="1639">
        <v>19</v>
      </c>
      <c r="E193" s="631">
        <v>190980</v>
      </c>
      <c r="F193" s="1639">
        <v>32342</v>
      </c>
      <c r="G193" s="2699">
        <v>2344</v>
      </c>
      <c r="H193" s="2695">
        <v>20160</v>
      </c>
      <c r="I193" s="1640">
        <v>1045</v>
      </c>
      <c r="J193" s="2698">
        <v>0</v>
      </c>
    </row>
    <row r="194" spans="1:10">
      <c r="A194" s="134">
        <f t="shared" si="3"/>
        <v>2021.05</v>
      </c>
      <c r="B194" s="613">
        <v>50637</v>
      </c>
      <c r="C194" s="2690">
        <v>4909</v>
      </c>
      <c r="D194" s="1639">
        <v>15</v>
      </c>
      <c r="E194" s="631">
        <v>187953</v>
      </c>
      <c r="F194" s="2690">
        <v>17618</v>
      </c>
      <c r="G194" s="2699">
        <v>2062</v>
      </c>
      <c r="H194" s="2695">
        <v>20832</v>
      </c>
      <c r="I194" s="2690">
        <v>691</v>
      </c>
      <c r="J194" s="2698">
        <v>0</v>
      </c>
    </row>
    <row r="195" spans="1:10">
      <c r="A195" s="134">
        <f t="shared" si="3"/>
        <v>2021.06</v>
      </c>
      <c r="B195" s="613">
        <v>44250</v>
      </c>
      <c r="C195" s="1639">
        <v>3633</v>
      </c>
      <c r="D195" s="1639">
        <v>13</v>
      </c>
      <c r="E195" s="631">
        <v>186960</v>
      </c>
      <c r="F195" s="1639">
        <v>18054</v>
      </c>
      <c r="G195" s="2697">
        <v>1506</v>
      </c>
      <c r="H195" s="2695">
        <v>20160</v>
      </c>
      <c r="I195" s="1640">
        <v>728</v>
      </c>
      <c r="J195" s="2698">
        <v>0</v>
      </c>
    </row>
    <row r="196" spans="1:10">
      <c r="A196" s="134">
        <f t="shared" si="3"/>
        <v>2021.07</v>
      </c>
      <c r="B196" s="613">
        <v>48920</v>
      </c>
      <c r="C196" s="1639">
        <v>9373</v>
      </c>
      <c r="D196" s="1639">
        <v>13</v>
      </c>
      <c r="E196" s="631">
        <v>195813</v>
      </c>
      <c r="F196" s="1639">
        <v>44441</v>
      </c>
      <c r="G196" s="2697">
        <v>1174</v>
      </c>
      <c r="H196" s="2695">
        <v>20832</v>
      </c>
      <c r="I196" s="1640">
        <v>1275</v>
      </c>
      <c r="J196" s="2698">
        <v>0</v>
      </c>
    </row>
    <row r="197" spans="1:10">
      <c r="A197" s="134">
        <f t="shared" si="3"/>
        <v>2021.08</v>
      </c>
      <c r="B197" s="613">
        <v>52080</v>
      </c>
      <c r="C197" s="1639">
        <v>9726</v>
      </c>
      <c r="D197" s="1639">
        <v>0</v>
      </c>
      <c r="E197" s="631">
        <v>198183</v>
      </c>
      <c r="F197" s="1639">
        <v>42740</v>
      </c>
      <c r="G197" s="2697">
        <v>1288</v>
      </c>
      <c r="H197" s="2695">
        <v>20832</v>
      </c>
      <c r="I197" s="1640">
        <v>1362</v>
      </c>
      <c r="J197" s="2698">
        <v>0</v>
      </c>
    </row>
    <row r="198" spans="1:10">
      <c r="A198" s="134">
        <f t="shared" si="3"/>
        <v>2021.09</v>
      </c>
      <c r="B198" s="613">
        <v>50400</v>
      </c>
      <c r="C198" s="1639">
        <v>10293</v>
      </c>
      <c r="D198" s="1639">
        <v>14</v>
      </c>
      <c r="E198" s="631">
        <v>189060</v>
      </c>
      <c r="F198" s="1639">
        <v>52780</v>
      </c>
      <c r="G198" s="2697">
        <v>2167</v>
      </c>
      <c r="H198" s="2696">
        <v>18030</v>
      </c>
      <c r="I198" s="2690">
        <v>671</v>
      </c>
      <c r="J198" s="2698">
        <v>2</v>
      </c>
    </row>
    <row r="199" spans="1:10">
      <c r="A199" s="134">
        <f t="shared" si="3"/>
        <v>2021.1</v>
      </c>
      <c r="B199" s="613">
        <v>52638</v>
      </c>
      <c r="C199" s="1639">
        <v>13723</v>
      </c>
      <c r="D199" s="1639">
        <v>147</v>
      </c>
      <c r="E199" s="631">
        <v>198462</v>
      </c>
      <c r="F199" s="1639">
        <v>63847</v>
      </c>
      <c r="G199" s="2697">
        <v>2495</v>
      </c>
      <c r="H199" s="2695">
        <v>23281</v>
      </c>
      <c r="I199" s="1640">
        <v>2185</v>
      </c>
      <c r="J199" s="2698">
        <v>1</v>
      </c>
    </row>
    <row r="200" spans="1:10">
      <c r="A200" s="134">
        <f t="shared" si="3"/>
        <v>2021.11</v>
      </c>
      <c r="B200" s="613">
        <v>50580</v>
      </c>
      <c r="C200" s="1639">
        <v>13808</v>
      </c>
      <c r="D200" s="457">
        <v>246</v>
      </c>
      <c r="E200" s="631">
        <v>191610</v>
      </c>
      <c r="F200" s="1639">
        <v>64443</v>
      </c>
      <c r="G200" s="2697">
        <v>4780</v>
      </c>
      <c r="H200" s="2695" t="e">
        <v>#N/A</v>
      </c>
      <c r="I200" s="1640" t="e">
        <v>#N/A</v>
      </c>
      <c r="J200" s="2692" t="e">
        <v>#N/A</v>
      </c>
    </row>
    <row r="201" spans="1:10">
      <c r="A201" s="134">
        <f t="shared" si="3"/>
        <v>2021.12</v>
      </c>
      <c r="B201" s="613">
        <v>54932</v>
      </c>
      <c r="C201" s="1639">
        <v>15041</v>
      </c>
      <c r="D201" s="457">
        <v>565</v>
      </c>
      <c r="E201" s="631">
        <v>194131</v>
      </c>
      <c r="F201" s="1639">
        <v>60020</v>
      </c>
      <c r="G201" s="457">
        <v>3981</v>
      </c>
      <c r="H201" s="2695" t="e">
        <v>#N/A</v>
      </c>
      <c r="I201" s="1640" t="e">
        <v>#N/A</v>
      </c>
      <c r="J201" s="2692" t="e">
        <v>#N/A</v>
      </c>
    </row>
    <row r="202" spans="1:10">
      <c r="A202" s="134">
        <f t="shared" si="3"/>
        <v>2022.01</v>
      </c>
      <c r="B202" s="613">
        <v>56234</v>
      </c>
      <c r="C202" s="1639">
        <v>12575</v>
      </c>
      <c r="D202" s="457">
        <v>758</v>
      </c>
      <c r="E202" s="631">
        <v>171431</v>
      </c>
      <c r="F202" s="1639">
        <v>55242</v>
      </c>
      <c r="G202" s="457">
        <v>3476</v>
      </c>
      <c r="H202" s="2695">
        <v>29233</v>
      </c>
      <c r="I202" s="1639">
        <v>2515</v>
      </c>
      <c r="J202" s="2698">
        <v>0</v>
      </c>
    </row>
    <row r="203" spans="1:10">
      <c r="A203" s="134">
        <f t="shared" si="3"/>
        <v>2022.02</v>
      </c>
      <c r="B203" s="613">
        <v>51464</v>
      </c>
      <c r="C203" s="1639">
        <v>13792</v>
      </c>
      <c r="D203" s="457">
        <v>778</v>
      </c>
      <c r="E203" s="631">
        <v>162500</v>
      </c>
      <c r="F203" s="1639">
        <v>60874</v>
      </c>
      <c r="G203" s="457">
        <v>4306</v>
      </c>
      <c r="H203" s="631">
        <v>26236</v>
      </c>
      <c r="I203" s="1639">
        <v>3562</v>
      </c>
      <c r="J203" s="2698">
        <v>10</v>
      </c>
    </row>
    <row r="204" spans="1:10">
      <c r="A204" s="134">
        <f t="shared" si="3"/>
        <v>2022.03</v>
      </c>
      <c r="B204" s="613">
        <v>56978</v>
      </c>
      <c r="C204" s="1639">
        <v>14059</v>
      </c>
      <c r="D204" s="457">
        <v>2633</v>
      </c>
      <c r="E204" s="631">
        <v>177310</v>
      </c>
      <c r="F204" s="1639">
        <v>61075</v>
      </c>
      <c r="G204" s="457">
        <v>5663</v>
      </c>
      <c r="H204" s="631">
        <v>29047</v>
      </c>
      <c r="I204" s="1639">
        <v>4287</v>
      </c>
      <c r="J204" s="2698">
        <v>65</v>
      </c>
    </row>
    <row r="205" spans="1:10">
      <c r="A205" s="134">
        <f t="shared" si="3"/>
        <v>2022.04</v>
      </c>
      <c r="B205" s="613">
        <v>55380</v>
      </c>
      <c r="C205" s="1639">
        <v>15400</v>
      </c>
      <c r="D205" s="457">
        <v>2151</v>
      </c>
      <c r="E205" s="631">
        <v>174110</v>
      </c>
      <c r="F205" s="1639">
        <v>64918</v>
      </c>
      <c r="G205" s="457">
        <v>10968</v>
      </c>
      <c r="H205" s="631">
        <v>28110</v>
      </c>
      <c r="I205" s="1639">
        <v>4225</v>
      </c>
      <c r="J205" s="844">
        <v>220</v>
      </c>
    </row>
    <row r="206" spans="1:10">
      <c r="A206" s="134">
        <f t="shared" si="3"/>
        <v>2022.05</v>
      </c>
      <c r="B206" s="613">
        <v>57350</v>
      </c>
      <c r="C206" s="1639">
        <v>16912</v>
      </c>
      <c r="D206" s="457">
        <v>2409</v>
      </c>
      <c r="E206" s="631">
        <v>184688</v>
      </c>
      <c r="F206" s="1639">
        <v>63453</v>
      </c>
      <c r="G206" s="457">
        <v>11845</v>
      </c>
      <c r="H206" s="631">
        <v>28737</v>
      </c>
      <c r="I206" s="1639">
        <v>4506</v>
      </c>
      <c r="J206" s="2692" t="e">
        <v>#N/A</v>
      </c>
    </row>
    <row r="207" spans="1:10">
      <c r="A207" s="134">
        <f t="shared" si="3"/>
        <v>2022.06</v>
      </c>
      <c r="B207" s="613">
        <v>56130</v>
      </c>
      <c r="C207" s="1639">
        <v>16665</v>
      </c>
      <c r="D207" s="457">
        <v>749</v>
      </c>
      <c r="E207" s="631">
        <v>176442</v>
      </c>
      <c r="F207" s="1639">
        <v>63660</v>
      </c>
      <c r="G207" s="457">
        <v>9038</v>
      </c>
      <c r="H207" s="631">
        <v>27870</v>
      </c>
      <c r="I207" s="1639">
        <v>4133</v>
      </c>
      <c r="J207" s="2692" t="e">
        <v>#N/A</v>
      </c>
    </row>
    <row r="208" spans="1:10">
      <c r="A208" s="134">
        <f t="shared" si="3"/>
        <v>2022.07</v>
      </c>
      <c r="B208" s="613">
        <v>60326</v>
      </c>
      <c r="C208" s="1639">
        <v>21961</v>
      </c>
      <c r="D208" s="457">
        <v>1929</v>
      </c>
      <c r="E208" s="631">
        <v>186028</v>
      </c>
      <c r="F208" s="1639">
        <v>68548</v>
      </c>
      <c r="G208" s="457">
        <v>10608</v>
      </c>
      <c r="H208" s="631">
        <v>29791</v>
      </c>
      <c r="I208" s="1639">
        <v>5254</v>
      </c>
      <c r="J208" s="2692" t="e">
        <v>#N/A</v>
      </c>
    </row>
    <row r="209" spans="1:10">
      <c r="A209" s="134">
        <f t="shared" si="3"/>
        <v>2022.08</v>
      </c>
      <c r="B209" s="613">
        <v>60636</v>
      </c>
      <c r="C209" s="1639">
        <v>18333</v>
      </c>
      <c r="D209" s="457">
        <v>1684</v>
      </c>
      <c r="E209" s="631">
        <v>186723</v>
      </c>
      <c r="F209" s="1639">
        <v>66595</v>
      </c>
      <c r="G209" s="457">
        <v>7904</v>
      </c>
      <c r="H209" s="631">
        <v>29915</v>
      </c>
      <c r="I209" s="1639">
        <v>4959</v>
      </c>
      <c r="J209" s="844">
        <v>477</v>
      </c>
    </row>
    <row r="210" spans="1:10">
      <c r="A210" s="134">
        <f t="shared" si="3"/>
        <v>2022.09</v>
      </c>
      <c r="B210" s="613">
        <v>59100</v>
      </c>
      <c r="C210" s="1639">
        <v>18118</v>
      </c>
      <c r="D210" s="457">
        <v>1328</v>
      </c>
      <c r="E210" s="631">
        <v>179516</v>
      </c>
      <c r="F210" s="1639">
        <v>64467</v>
      </c>
      <c r="G210" s="457">
        <v>8104</v>
      </c>
      <c r="H210" s="631">
        <v>28950</v>
      </c>
      <c r="I210" s="1639">
        <v>3703</v>
      </c>
      <c r="J210" s="844">
        <v>648</v>
      </c>
    </row>
    <row r="211" spans="1:10">
      <c r="A211" s="134">
        <f t="shared" si="3"/>
        <v>2022.1</v>
      </c>
      <c r="B211" s="613">
        <v>60760</v>
      </c>
      <c r="C211" s="1639">
        <v>19241</v>
      </c>
      <c r="D211" s="457">
        <v>1571</v>
      </c>
      <c r="E211" s="631">
        <v>185408</v>
      </c>
      <c r="F211" s="1639">
        <v>63565</v>
      </c>
      <c r="G211" s="457">
        <v>6882</v>
      </c>
      <c r="H211" s="631">
        <v>28055</v>
      </c>
      <c r="I211" s="1639">
        <v>4522</v>
      </c>
      <c r="J211" s="2692" t="e">
        <v>#N/A</v>
      </c>
    </row>
    <row r="212" spans="1:10">
      <c r="A212" s="134">
        <f t="shared" si="3"/>
        <v>2022.11</v>
      </c>
      <c r="B212" s="613">
        <v>58500</v>
      </c>
      <c r="C212" s="1639">
        <v>17973</v>
      </c>
      <c r="D212" s="457">
        <v>1626</v>
      </c>
      <c r="E212" s="631">
        <v>179340</v>
      </c>
      <c r="F212" s="1639">
        <v>68631</v>
      </c>
      <c r="G212" s="457">
        <v>6637</v>
      </c>
      <c r="H212" s="631">
        <v>27150</v>
      </c>
      <c r="I212" s="1639">
        <v>3877</v>
      </c>
      <c r="J212" s="844">
        <v>116</v>
      </c>
    </row>
    <row r="213" spans="1:10">
      <c r="A213" s="134">
        <f t="shared" si="3"/>
        <v>2022.12</v>
      </c>
      <c r="B213" s="613">
        <v>58470</v>
      </c>
      <c r="C213" s="1639">
        <v>14665</v>
      </c>
      <c r="D213" s="457">
        <v>1392</v>
      </c>
      <c r="E213" s="631">
        <v>186919</v>
      </c>
      <c r="F213" s="1639">
        <v>48457</v>
      </c>
      <c r="G213" s="457">
        <v>6564</v>
      </c>
      <c r="H213" s="631">
        <v>28582</v>
      </c>
      <c r="I213" s="1639">
        <v>3722</v>
      </c>
      <c r="J213" s="844" t="e">
        <v>#N/A</v>
      </c>
    </row>
    <row r="214" spans="1:10">
      <c r="A214" s="134">
        <f t="shared" si="3"/>
        <v>2023.01</v>
      </c>
      <c r="B214" s="613">
        <v>63689</v>
      </c>
      <c r="C214" s="1639">
        <v>20073</v>
      </c>
      <c r="D214" s="457">
        <v>3489</v>
      </c>
      <c r="E214" s="631">
        <v>188633</v>
      </c>
      <c r="F214" s="1639">
        <v>51687</v>
      </c>
      <c r="G214" s="457">
        <v>6229</v>
      </c>
      <c r="H214" s="631">
        <v>28923</v>
      </c>
      <c r="I214" s="1639">
        <v>4891</v>
      </c>
      <c r="J214" s="844" t="e">
        <v>#N/A</v>
      </c>
    </row>
    <row r="215" spans="1:10">
      <c r="A215" s="134">
        <f t="shared" si="3"/>
        <v>2023.02</v>
      </c>
      <c r="B215" s="613">
        <v>58912</v>
      </c>
      <c r="C215" s="1639">
        <v>18499</v>
      </c>
      <c r="D215" s="457">
        <v>1714</v>
      </c>
      <c r="E215" s="631">
        <v>175000</v>
      </c>
      <c r="F215" s="1639">
        <v>53359</v>
      </c>
      <c r="G215" s="457">
        <v>5858</v>
      </c>
      <c r="H215" s="631">
        <v>25648</v>
      </c>
      <c r="I215" s="1639">
        <v>4748</v>
      </c>
      <c r="J215" s="844" t="e">
        <v>#N/A</v>
      </c>
    </row>
    <row r="216" spans="1:10">
      <c r="A216" s="134">
        <f t="shared" si="3"/>
        <v>2023.03</v>
      </c>
      <c r="B216" s="613">
        <v>61814</v>
      </c>
      <c r="C216" s="1639">
        <v>19490</v>
      </c>
      <c r="D216" s="457">
        <v>2220</v>
      </c>
      <c r="E216" s="631">
        <v>191084</v>
      </c>
      <c r="F216" s="1639">
        <v>57084</v>
      </c>
      <c r="G216" s="457">
        <v>6099</v>
      </c>
      <c r="H216" s="631">
        <v>29357</v>
      </c>
      <c r="I216" s="1639">
        <v>4677</v>
      </c>
      <c r="J216" s="844" t="e">
        <v>#N/A</v>
      </c>
    </row>
    <row r="217" spans="1:10">
      <c r="A217" s="134">
        <f t="shared" si="3"/>
        <v>2023.04</v>
      </c>
      <c r="B217" s="613">
        <v>63234</v>
      </c>
      <c r="C217" s="1639">
        <v>20107</v>
      </c>
      <c r="D217" s="457">
        <v>3191</v>
      </c>
      <c r="E217" s="631">
        <v>186180</v>
      </c>
      <c r="F217" s="1639">
        <v>48131</v>
      </c>
      <c r="G217" s="457">
        <v>6685</v>
      </c>
      <c r="H217" s="631">
        <v>28320</v>
      </c>
      <c r="I217" s="1639">
        <v>4463</v>
      </c>
      <c r="J217" s="844" t="e">
        <v>#N/A</v>
      </c>
    </row>
    <row r="218" spans="1:10">
      <c r="A218" s="134">
        <f t="shared" si="3"/>
        <v>2023.05</v>
      </c>
      <c r="B218" s="613">
        <v>64459</v>
      </c>
      <c r="C218" s="1639">
        <v>18082</v>
      </c>
      <c r="D218" s="457">
        <v>2479</v>
      </c>
      <c r="E218" s="631">
        <v>210490</v>
      </c>
      <c r="F218" s="1639">
        <v>54360</v>
      </c>
      <c r="G218" s="457">
        <v>6609</v>
      </c>
      <c r="H218" s="631">
        <v>27683</v>
      </c>
      <c r="I218" s="1639">
        <v>4012</v>
      </c>
      <c r="J218" s="844" t="e">
        <v>#N/A</v>
      </c>
    </row>
    <row r="219" spans="1:10">
      <c r="A219" s="134">
        <f t="shared" si="3"/>
        <v>2023.06</v>
      </c>
      <c r="B219" s="613">
        <v>62520</v>
      </c>
      <c r="C219" s="1639">
        <v>17432</v>
      </c>
      <c r="D219" s="457">
        <v>1692</v>
      </c>
      <c r="E219" s="631">
        <v>193410</v>
      </c>
      <c r="F219" s="1639">
        <v>57116</v>
      </c>
      <c r="G219" s="457">
        <v>6587</v>
      </c>
      <c r="H219" s="631">
        <v>27570</v>
      </c>
      <c r="I219" s="1639">
        <v>4363</v>
      </c>
      <c r="J219" s="844" t="e">
        <v>#N/A</v>
      </c>
    </row>
    <row r="220" spans="1:10">
      <c r="A220" s="134">
        <f t="shared" si="3"/>
        <v>2023.07</v>
      </c>
      <c r="B220" s="613">
        <v>66123</v>
      </c>
      <c r="C220" s="1639">
        <v>21741</v>
      </c>
      <c r="D220" s="457">
        <v>3493</v>
      </c>
      <c r="E220" s="631">
        <v>199051</v>
      </c>
      <c r="F220" s="1639">
        <v>60209</v>
      </c>
      <c r="G220" s="457">
        <v>7307</v>
      </c>
      <c r="H220" s="631">
        <v>27745</v>
      </c>
      <c r="I220" s="1639">
        <v>5301</v>
      </c>
      <c r="J220" s="844">
        <v>104</v>
      </c>
    </row>
    <row r="221" spans="1:10">
      <c r="A221" s="134">
        <f t="shared" si="3"/>
        <v>2023.08</v>
      </c>
      <c r="B221" s="613">
        <v>65782</v>
      </c>
      <c r="C221" s="1639">
        <v>19897</v>
      </c>
      <c r="D221" s="457">
        <v>1734</v>
      </c>
      <c r="E221" s="631">
        <v>194184</v>
      </c>
      <c r="F221" s="1639">
        <v>57685</v>
      </c>
      <c r="G221" s="457">
        <v>7410</v>
      </c>
      <c r="H221" s="631">
        <v>28551</v>
      </c>
      <c r="I221" s="1639">
        <v>5290</v>
      </c>
      <c r="J221" s="844">
        <v>352</v>
      </c>
    </row>
    <row r="222" spans="1:10">
      <c r="A222" s="134">
        <f t="shared" si="3"/>
        <v>2023.09</v>
      </c>
      <c r="B222" s="613">
        <v>64110</v>
      </c>
      <c r="C222" s="1639">
        <v>21513</v>
      </c>
      <c r="D222" s="457">
        <v>3152</v>
      </c>
      <c r="E222" s="631">
        <v>188100</v>
      </c>
      <c r="F222" s="1639">
        <v>59355</v>
      </c>
      <c r="G222" s="457">
        <v>7419</v>
      </c>
      <c r="H222" s="631">
        <v>27720</v>
      </c>
      <c r="I222" s="1639">
        <v>4915</v>
      </c>
      <c r="J222" s="844" t="e">
        <v>#N/A</v>
      </c>
    </row>
    <row r="223" spans="1:10">
      <c r="A223" s="134">
        <f t="shared" si="3"/>
        <v>2023.1</v>
      </c>
      <c r="B223" s="613">
        <v>65751</v>
      </c>
      <c r="C223" s="1639">
        <v>19405</v>
      </c>
      <c r="D223" s="457">
        <v>1894</v>
      </c>
      <c r="E223" s="631">
        <v>193130</v>
      </c>
      <c r="F223" s="1639">
        <v>57522</v>
      </c>
      <c r="G223" s="457">
        <v>6246</v>
      </c>
      <c r="H223" s="631">
        <v>27962</v>
      </c>
      <c r="I223" s="1639">
        <v>6157</v>
      </c>
      <c r="J223" s="844">
        <v>341</v>
      </c>
    </row>
    <row r="224" spans="1:10">
      <c r="A224" s="134">
        <f t="shared" si="3"/>
        <v>2023.11</v>
      </c>
      <c r="B224" s="613">
        <v>63330</v>
      </c>
      <c r="C224" s="1639">
        <v>17635</v>
      </c>
      <c r="D224" s="457">
        <v>2241</v>
      </c>
      <c r="E224" s="631">
        <v>189330</v>
      </c>
      <c r="F224" s="1639">
        <v>59993</v>
      </c>
      <c r="G224" s="457">
        <v>8651</v>
      </c>
      <c r="H224" s="631">
        <v>27030</v>
      </c>
      <c r="I224" s="1639">
        <v>3822</v>
      </c>
      <c r="J224" s="844" t="e">
        <v>#N/A</v>
      </c>
    </row>
    <row r="225" spans="1:10">
      <c r="A225" s="134">
        <f t="shared" si="3"/>
        <v>2023.12</v>
      </c>
      <c r="B225" s="613">
        <v>64019</v>
      </c>
      <c r="C225" s="1639">
        <v>16101</v>
      </c>
      <c r="D225" s="457">
        <v>1524</v>
      </c>
      <c r="E225" s="631">
        <v>197896</v>
      </c>
      <c r="F225" s="1639">
        <v>49871</v>
      </c>
      <c r="G225" s="457">
        <v>7625</v>
      </c>
      <c r="H225" s="631">
        <v>27993</v>
      </c>
      <c r="I225" s="1639">
        <v>3877</v>
      </c>
      <c r="J225" s="844" t="e">
        <v>#N/A</v>
      </c>
    </row>
    <row r="226" spans="1:10">
      <c r="A226" s="134">
        <f t="shared" ref="A226:A289" si="4">A214+1</f>
        <v>2024.01</v>
      </c>
      <c r="B226" s="2904">
        <v>66116</v>
      </c>
      <c r="C226" s="2904">
        <v>14785</v>
      </c>
      <c r="D226" s="2905">
        <v>1910</v>
      </c>
      <c r="E226" s="2906">
        <v>205045</v>
      </c>
      <c r="F226" s="2904">
        <v>47472</v>
      </c>
      <c r="G226" s="2904">
        <v>5706</v>
      </c>
      <c r="H226" s="2906">
        <v>28675</v>
      </c>
      <c r="I226" s="2904">
        <v>4514</v>
      </c>
      <c r="J226" s="3161" t="e">
        <v>#N/A</v>
      </c>
    </row>
    <row r="227" spans="1:10">
      <c r="A227" s="134">
        <f t="shared" si="4"/>
        <v>2024.02</v>
      </c>
      <c r="B227" s="2904">
        <v>61857</v>
      </c>
      <c r="C227" s="2904">
        <v>16423</v>
      </c>
      <c r="D227" s="2905">
        <v>1551</v>
      </c>
      <c r="E227" s="2906">
        <v>217848</v>
      </c>
      <c r="F227" s="2904">
        <v>58561</v>
      </c>
      <c r="G227" s="2904">
        <v>4736</v>
      </c>
      <c r="H227" s="2906">
        <v>26564</v>
      </c>
      <c r="I227" s="2904">
        <v>4477</v>
      </c>
      <c r="J227" s="3161" t="e">
        <v>#N/A</v>
      </c>
    </row>
    <row r="228" spans="1:10">
      <c r="A228" s="134">
        <f t="shared" si="4"/>
        <v>2024.03</v>
      </c>
      <c r="B228" s="613" t="e">
        <v>#N/A</v>
      </c>
      <c r="C228" s="1639" t="e">
        <v>#N/A</v>
      </c>
      <c r="D228" s="457" t="e">
        <v>#N/A</v>
      </c>
      <c r="E228" s="631" t="e">
        <v>#N/A</v>
      </c>
      <c r="F228" s="1639" t="e">
        <v>#N/A</v>
      </c>
      <c r="G228" s="457" t="e">
        <v>#N/A</v>
      </c>
      <c r="H228" s="631" t="e">
        <v>#N/A</v>
      </c>
      <c r="I228" s="1639" t="e">
        <v>#N/A</v>
      </c>
      <c r="J228" s="844" t="e">
        <v>#N/A</v>
      </c>
    </row>
    <row r="229" spans="1:10">
      <c r="A229" s="134">
        <f t="shared" si="4"/>
        <v>2024.04</v>
      </c>
      <c r="B229" s="613" t="e">
        <v>#N/A</v>
      </c>
      <c r="C229" s="1639" t="e">
        <v>#N/A</v>
      </c>
      <c r="D229" s="457" t="e">
        <v>#N/A</v>
      </c>
      <c r="E229" s="631" t="e">
        <v>#N/A</v>
      </c>
      <c r="F229" s="1639" t="e">
        <v>#N/A</v>
      </c>
      <c r="G229" s="457" t="e">
        <v>#N/A</v>
      </c>
      <c r="H229" s="631" t="e">
        <v>#N/A</v>
      </c>
      <c r="I229" s="1639" t="e">
        <v>#N/A</v>
      </c>
      <c r="J229" s="844" t="e">
        <v>#N/A</v>
      </c>
    </row>
    <row r="230" spans="1:10">
      <c r="A230" s="134">
        <f t="shared" si="4"/>
        <v>2024.05</v>
      </c>
      <c r="B230" s="613" t="e">
        <v>#N/A</v>
      </c>
      <c r="C230" s="1639" t="e">
        <v>#N/A</v>
      </c>
      <c r="D230" s="457" t="e">
        <v>#N/A</v>
      </c>
      <c r="E230" s="631" t="e">
        <v>#N/A</v>
      </c>
      <c r="F230" s="1639" t="e">
        <v>#N/A</v>
      </c>
      <c r="G230" s="457" t="e">
        <v>#N/A</v>
      </c>
      <c r="H230" s="631" t="e">
        <v>#N/A</v>
      </c>
      <c r="I230" s="1639" t="e">
        <v>#N/A</v>
      </c>
      <c r="J230" s="844" t="e">
        <v>#N/A</v>
      </c>
    </row>
    <row r="231" spans="1:10">
      <c r="A231" s="134">
        <f t="shared" si="4"/>
        <v>2024.06</v>
      </c>
      <c r="B231" s="613" t="e">
        <v>#N/A</v>
      </c>
      <c r="C231" s="1639" t="e">
        <v>#N/A</v>
      </c>
      <c r="D231" s="457" t="e">
        <v>#N/A</v>
      </c>
      <c r="E231" s="631" t="e">
        <v>#N/A</v>
      </c>
      <c r="F231" s="1639" t="e">
        <v>#N/A</v>
      </c>
      <c r="G231" s="457" t="e">
        <v>#N/A</v>
      </c>
      <c r="H231" s="631" t="e">
        <v>#N/A</v>
      </c>
      <c r="I231" s="1639" t="e">
        <v>#N/A</v>
      </c>
      <c r="J231" s="844" t="e">
        <v>#N/A</v>
      </c>
    </row>
    <row r="232" spans="1:10">
      <c r="A232" s="134">
        <f t="shared" si="4"/>
        <v>2024.07</v>
      </c>
      <c r="B232" s="613" t="e">
        <v>#N/A</v>
      </c>
      <c r="C232" s="1639" t="e">
        <v>#N/A</v>
      </c>
      <c r="D232" s="457" t="e">
        <v>#N/A</v>
      </c>
      <c r="E232" s="631" t="e">
        <v>#N/A</v>
      </c>
      <c r="F232" s="1639" t="e">
        <v>#N/A</v>
      </c>
      <c r="G232" s="457" t="e">
        <v>#N/A</v>
      </c>
      <c r="H232" s="631" t="e">
        <v>#N/A</v>
      </c>
      <c r="I232" s="1639" t="e">
        <v>#N/A</v>
      </c>
      <c r="J232" s="844" t="e">
        <v>#N/A</v>
      </c>
    </row>
    <row r="233" spans="1:10">
      <c r="A233" s="134">
        <f t="shared" si="4"/>
        <v>2024.08</v>
      </c>
      <c r="B233" s="613" t="e">
        <v>#N/A</v>
      </c>
      <c r="C233" s="1639" t="e">
        <v>#N/A</v>
      </c>
      <c r="D233" s="457" t="e">
        <v>#N/A</v>
      </c>
      <c r="E233" s="631" t="e">
        <v>#N/A</v>
      </c>
      <c r="F233" s="1639" t="e">
        <v>#N/A</v>
      </c>
      <c r="G233" s="457" t="e">
        <v>#N/A</v>
      </c>
      <c r="H233" s="631" t="e">
        <v>#N/A</v>
      </c>
      <c r="I233" s="1639" t="e">
        <v>#N/A</v>
      </c>
      <c r="J233" s="844" t="e">
        <v>#N/A</v>
      </c>
    </row>
    <row r="234" spans="1:10">
      <c r="A234" s="134">
        <f t="shared" si="4"/>
        <v>2024.09</v>
      </c>
      <c r="B234" s="613" t="e">
        <v>#N/A</v>
      </c>
      <c r="C234" s="1639" t="e">
        <v>#N/A</v>
      </c>
      <c r="D234" s="457" t="e">
        <v>#N/A</v>
      </c>
      <c r="E234" s="631" t="e">
        <v>#N/A</v>
      </c>
      <c r="F234" s="1639" t="e">
        <v>#N/A</v>
      </c>
      <c r="G234" s="457" t="e">
        <v>#N/A</v>
      </c>
      <c r="H234" s="631" t="e">
        <v>#N/A</v>
      </c>
      <c r="I234" s="1639" t="e">
        <v>#N/A</v>
      </c>
      <c r="J234" s="844" t="e">
        <v>#N/A</v>
      </c>
    </row>
    <row r="235" spans="1:10">
      <c r="A235" s="134">
        <f t="shared" si="4"/>
        <v>2024.1</v>
      </c>
      <c r="B235" s="613" t="e">
        <v>#N/A</v>
      </c>
      <c r="C235" s="1639" t="e">
        <v>#N/A</v>
      </c>
      <c r="D235" s="457" t="e">
        <v>#N/A</v>
      </c>
      <c r="E235" s="631" t="e">
        <v>#N/A</v>
      </c>
      <c r="F235" s="1639" t="e">
        <v>#N/A</v>
      </c>
      <c r="G235" s="457" t="e">
        <v>#N/A</v>
      </c>
      <c r="H235" s="631" t="e">
        <v>#N/A</v>
      </c>
      <c r="I235" s="1639" t="e">
        <v>#N/A</v>
      </c>
      <c r="J235" s="844" t="e">
        <v>#N/A</v>
      </c>
    </row>
    <row r="236" spans="1:10">
      <c r="A236" s="134">
        <f t="shared" si="4"/>
        <v>2024.11</v>
      </c>
      <c r="B236" s="613" t="e">
        <v>#N/A</v>
      </c>
      <c r="C236" s="1639" t="e">
        <v>#N/A</v>
      </c>
      <c r="D236" s="457" t="e">
        <v>#N/A</v>
      </c>
      <c r="E236" s="631" t="e">
        <v>#N/A</v>
      </c>
      <c r="F236" s="1639" t="e">
        <v>#N/A</v>
      </c>
      <c r="G236" s="457" t="e">
        <v>#N/A</v>
      </c>
      <c r="H236" s="631" t="e">
        <v>#N/A</v>
      </c>
      <c r="I236" s="1639" t="e">
        <v>#N/A</v>
      </c>
      <c r="J236" s="844" t="e">
        <v>#N/A</v>
      </c>
    </row>
    <row r="237" spans="1:10">
      <c r="A237" s="134">
        <f t="shared" si="4"/>
        <v>2024.12</v>
      </c>
      <c r="B237" s="613" t="e">
        <v>#N/A</v>
      </c>
      <c r="C237" s="1639" t="e">
        <v>#N/A</v>
      </c>
      <c r="D237" s="457" t="e">
        <v>#N/A</v>
      </c>
      <c r="E237" s="631" t="e">
        <v>#N/A</v>
      </c>
      <c r="F237" s="1639" t="e">
        <v>#N/A</v>
      </c>
      <c r="G237" s="457" t="e">
        <v>#N/A</v>
      </c>
      <c r="H237" s="631" t="e">
        <v>#N/A</v>
      </c>
      <c r="I237" s="1639" t="e">
        <v>#N/A</v>
      </c>
      <c r="J237" s="844" t="e">
        <v>#N/A</v>
      </c>
    </row>
    <row r="238" spans="1:10">
      <c r="A238" s="134">
        <f t="shared" si="4"/>
        <v>2025.01</v>
      </c>
      <c r="B238" s="613" t="e">
        <v>#N/A</v>
      </c>
      <c r="C238" s="1639" t="e">
        <v>#N/A</v>
      </c>
      <c r="D238" s="457" t="e">
        <v>#N/A</v>
      </c>
      <c r="E238" s="631" t="e">
        <v>#N/A</v>
      </c>
      <c r="F238" s="1639" t="e">
        <v>#N/A</v>
      </c>
      <c r="G238" s="457" t="e">
        <v>#N/A</v>
      </c>
      <c r="H238" s="631" t="e">
        <v>#N/A</v>
      </c>
      <c r="I238" s="1639" t="e">
        <v>#N/A</v>
      </c>
      <c r="J238" s="844" t="e">
        <v>#N/A</v>
      </c>
    </row>
    <row r="239" spans="1:10">
      <c r="A239" s="134">
        <f t="shared" si="4"/>
        <v>2025.02</v>
      </c>
      <c r="B239" s="613" t="e">
        <v>#N/A</v>
      </c>
      <c r="C239" s="1639" t="e">
        <v>#N/A</v>
      </c>
      <c r="D239" s="457" t="e">
        <v>#N/A</v>
      </c>
      <c r="E239" s="631" t="e">
        <v>#N/A</v>
      </c>
      <c r="F239" s="1639" t="e">
        <v>#N/A</v>
      </c>
      <c r="G239" s="457" t="e">
        <v>#N/A</v>
      </c>
      <c r="H239" s="631" t="e">
        <v>#N/A</v>
      </c>
      <c r="I239" s="1639" t="e">
        <v>#N/A</v>
      </c>
      <c r="J239" s="844" t="e">
        <v>#N/A</v>
      </c>
    </row>
    <row r="240" spans="1:10">
      <c r="A240" s="134">
        <f t="shared" si="4"/>
        <v>2025.03</v>
      </c>
      <c r="B240" s="613" t="e">
        <v>#N/A</v>
      </c>
      <c r="C240" s="1639" t="e">
        <v>#N/A</v>
      </c>
      <c r="D240" s="457" t="e">
        <v>#N/A</v>
      </c>
      <c r="E240" s="631" t="e">
        <v>#N/A</v>
      </c>
      <c r="F240" s="1639" t="e">
        <v>#N/A</v>
      </c>
      <c r="G240" s="457" t="e">
        <v>#N/A</v>
      </c>
      <c r="H240" s="631" t="e">
        <v>#N/A</v>
      </c>
      <c r="I240" s="1639" t="e">
        <v>#N/A</v>
      </c>
      <c r="J240" s="844" t="e">
        <v>#N/A</v>
      </c>
    </row>
    <row r="241" spans="1:10">
      <c r="A241" s="134">
        <f t="shared" si="4"/>
        <v>2025.04</v>
      </c>
      <c r="B241" s="613" t="e">
        <v>#N/A</v>
      </c>
      <c r="C241" s="1639" t="e">
        <v>#N/A</v>
      </c>
      <c r="D241" s="457" t="e">
        <v>#N/A</v>
      </c>
      <c r="E241" s="631" t="e">
        <v>#N/A</v>
      </c>
      <c r="F241" s="1639" t="e">
        <v>#N/A</v>
      </c>
      <c r="G241" s="457" t="e">
        <v>#N/A</v>
      </c>
      <c r="H241" s="631" t="e">
        <v>#N/A</v>
      </c>
      <c r="I241" s="1639" t="e">
        <v>#N/A</v>
      </c>
      <c r="J241" s="844" t="e">
        <v>#N/A</v>
      </c>
    </row>
    <row r="242" spans="1:10">
      <c r="A242" s="134">
        <f t="shared" si="4"/>
        <v>2025.05</v>
      </c>
      <c r="B242" s="613" t="e">
        <v>#N/A</v>
      </c>
      <c r="C242" s="1639" t="e">
        <v>#N/A</v>
      </c>
      <c r="D242" s="457" t="e">
        <v>#N/A</v>
      </c>
      <c r="E242" s="631" t="e">
        <v>#N/A</v>
      </c>
      <c r="F242" s="1639" t="e">
        <v>#N/A</v>
      </c>
      <c r="G242" s="457" t="e">
        <v>#N/A</v>
      </c>
      <c r="H242" s="631" t="e">
        <v>#N/A</v>
      </c>
      <c r="I242" s="1639" t="e">
        <v>#N/A</v>
      </c>
      <c r="J242" s="844" t="e">
        <v>#N/A</v>
      </c>
    </row>
    <row r="243" spans="1:10">
      <c r="A243" s="134">
        <f t="shared" si="4"/>
        <v>2025.06</v>
      </c>
      <c r="B243" s="613" t="e">
        <v>#N/A</v>
      </c>
      <c r="C243" s="1639" t="e">
        <v>#N/A</v>
      </c>
      <c r="D243" s="457" t="e">
        <v>#N/A</v>
      </c>
      <c r="E243" s="631" t="e">
        <v>#N/A</v>
      </c>
      <c r="F243" s="1639" t="e">
        <v>#N/A</v>
      </c>
      <c r="G243" s="457" t="e">
        <v>#N/A</v>
      </c>
      <c r="H243" s="631" t="e">
        <v>#N/A</v>
      </c>
      <c r="I243" s="1639" t="e">
        <v>#N/A</v>
      </c>
      <c r="J243" s="844" t="e">
        <v>#N/A</v>
      </c>
    </row>
    <row r="244" spans="1:10">
      <c r="A244" s="134">
        <f t="shared" si="4"/>
        <v>2025.07</v>
      </c>
      <c r="B244" s="613" t="e">
        <v>#N/A</v>
      </c>
      <c r="C244" s="1639" t="e">
        <v>#N/A</v>
      </c>
      <c r="D244" s="457" t="e">
        <v>#N/A</v>
      </c>
      <c r="E244" s="631" t="e">
        <v>#N/A</v>
      </c>
      <c r="F244" s="1639" t="e">
        <v>#N/A</v>
      </c>
      <c r="G244" s="457" t="e">
        <v>#N/A</v>
      </c>
      <c r="H244" s="631" t="e">
        <v>#N/A</v>
      </c>
      <c r="I244" s="1639" t="e">
        <v>#N/A</v>
      </c>
      <c r="J244" s="844" t="e">
        <v>#N/A</v>
      </c>
    </row>
    <row r="245" spans="1:10">
      <c r="A245" s="134">
        <f t="shared" si="4"/>
        <v>2025.08</v>
      </c>
      <c r="B245" s="613" t="e">
        <v>#N/A</v>
      </c>
      <c r="C245" s="1639" t="e">
        <v>#N/A</v>
      </c>
      <c r="D245" s="457" t="e">
        <v>#N/A</v>
      </c>
      <c r="E245" s="631" t="e">
        <v>#N/A</v>
      </c>
      <c r="F245" s="1639" t="e">
        <v>#N/A</v>
      </c>
      <c r="G245" s="457" t="e">
        <v>#N/A</v>
      </c>
      <c r="H245" s="631" t="e">
        <v>#N/A</v>
      </c>
      <c r="I245" s="1639" t="e">
        <v>#N/A</v>
      </c>
      <c r="J245" s="844" t="e">
        <v>#N/A</v>
      </c>
    </row>
    <row r="246" spans="1:10">
      <c r="A246" s="134">
        <f t="shared" si="4"/>
        <v>2025.09</v>
      </c>
      <c r="B246" s="613" t="e">
        <v>#N/A</v>
      </c>
      <c r="C246" s="1639" t="e">
        <v>#N/A</v>
      </c>
      <c r="D246" s="457" t="e">
        <v>#N/A</v>
      </c>
      <c r="E246" s="631" t="e">
        <v>#N/A</v>
      </c>
      <c r="F246" s="1639" t="e">
        <v>#N/A</v>
      </c>
      <c r="G246" s="457" t="e">
        <v>#N/A</v>
      </c>
      <c r="H246" s="631" t="e">
        <v>#N/A</v>
      </c>
      <c r="I246" s="1639" t="e">
        <v>#N/A</v>
      </c>
      <c r="J246" s="844" t="e">
        <v>#N/A</v>
      </c>
    </row>
    <row r="247" spans="1:10">
      <c r="A247" s="134">
        <f t="shared" si="4"/>
        <v>2025.1</v>
      </c>
      <c r="B247" s="613" t="e">
        <v>#N/A</v>
      </c>
      <c r="C247" s="1639" t="e">
        <v>#N/A</v>
      </c>
      <c r="D247" s="457" t="e">
        <v>#N/A</v>
      </c>
      <c r="E247" s="631" t="e">
        <v>#N/A</v>
      </c>
      <c r="F247" s="1639" t="e">
        <v>#N/A</v>
      </c>
      <c r="G247" s="457" t="e">
        <v>#N/A</v>
      </c>
      <c r="H247" s="631" t="e">
        <v>#N/A</v>
      </c>
      <c r="I247" s="1639" t="e">
        <v>#N/A</v>
      </c>
      <c r="J247" s="844" t="e">
        <v>#N/A</v>
      </c>
    </row>
    <row r="248" spans="1:10">
      <c r="A248" s="134">
        <f t="shared" si="4"/>
        <v>2025.11</v>
      </c>
      <c r="B248" s="613" t="e">
        <v>#N/A</v>
      </c>
      <c r="C248" s="1639" t="e">
        <v>#N/A</v>
      </c>
      <c r="D248" s="457" t="e">
        <v>#N/A</v>
      </c>
      <c r="E248" s="631" t="e">
        <v>#N/A</v>
      </c>
      <c r="F248" s="1639" t="e">
        <v>#N/A</v>
      </c>
      <c r="G248" s="457" t="e">
        <v>#N/A</v>
      </c>
      <c r="H248" s="631" t="e">
        <v>#N/A</v>
      </c>
      <c r="I248" s="1639" t="e">
        <v>#N/A</v>
      </c>
      <c r="J248" s="844" t="e">
        <v>#N/A</v>
      </c>
    </row>
    <row r="249" spans="1:10">
      <c r="A249" s="134">
        <f t="shared" si="4"/>
        <v>2025.12</v>
      </c>
      <c r="B249" s="613" t="e">
        <v>#N/A</v>
      </c>
      <c r="C249" s="1639" t="e">
        <v>#N/A</v>
      </c>
      <c r="D249" s="457" t="e">
        <v>#N/A</v>
      </c>
      <c r="E249" s="631" t="e">
        <v>#N/A</v>
      </c>
      <c r="F249" s="1639" t="e">
        <v>#N/A</v>
      </c>
      <c r="G249" s="457" t="e">
        <v>#N/A</v>
      </c>
      <c r="H249" s="631" t="e">
        <v>#N/A</v>
      </c>
      <c r="I249" s="1639" t="e">
        <v>#N/A</v>
      </c>
      <c r="J249" s="844" t="e">
        <v>#N/A</v>
      </c>
    </row>
    <row r="250" spans="1:10">
      <c r="A250" s="134">
        <f t="shared" si="4"/>
        <v>2026.01</v>
      </c>
      <c r="B250" s="613" t="e">
        <v>#N/A</v>
      </c>
      <c r="C250" s="1639" t="e">
        <v>#N/A</v>
      </c>
      <c r="D250" s="457" t="e">
        <v>#N/A</v>
      </c>
      <c r="E250" s="631" t="e">
        <v>#N/A</v>
      </c>
      <c r="F250" s="1639" t="e">
        <v>#N/A</v>
      </c>
      <c r="G250" s="457" t="e">
        <v>#N/A</v>
      </c>
      <c r="H250" s="631" t="e">
        <v>#N/A</v>
      </c>
      <c r="I250" s="1639" t="e">
        <v>#N/A</v>
      </c>
      <c r="J250" s="844" t="e">
        <v>#N/A</v>
      </c>
    </row>
    <row r="251" spans="1:10">
      <c r="A251" s="134">
        <f t="shared" si="4"/>
        <v>2026.02</v>
      </c>
      <c r="B251" s="613" t="e">
        <v>#N/A</v>
      </c>
      <c r="C251" s="1639" t="e">
        <v>#N/A</v>
      </c>
      <c r="D251" s="457" t="e">
        <v>#N/A</v>
      </c>
      <c r="E251" s="631" t="e">
        <v>#N/A</v>
      </c>
      <c r="F251" s="1639" t="e">
        <v>#N/A</v>
      </c>
      <c r="G251" s="457" t="e">
        <v>#N/A</v>
      </c>
      <c r="H251" s="631" t="e">
        <v>#N/A</v>
      </c>
      <c r="I251" s="1639" t="e">
        <v>#N/A</v>
      </c>
      <c r="J251" s="844" t="e">
        <v>#N/A</v>
      </c>
    </row>
    <row r="252" spans="1:10">
      <c r="A252" s="134">
        <f t="shared" si="4"/>
        <v>2026.03</v>
      </c>
      <c r="B252" s="613" t="e">
        <v>#N/A</v>
      </c>
      <c r="C252" s="1639" t="e">
        <v>#N/A</v>
      </c>
      <c r="D252" s="457" t="e">
        <v>#N/A</v>
      </c>
      <c r="E252" s="631" t="e">
        <v>#N/A</v>
      </c>
      <c r="F252" s="1639" t="e">
        <v>#N/A</v>
      </c>
      <c r="G252" s="457" t="e">
        <v>#N/A</v>
      </c>
      <c r="H252" s="631" t="e">
        <v>#N/A</v>
      </c>
      <c r="I252" s="1639" t="e">
        <v>#N/A</v>
      </c>
      <c r="J252" s="844" t="e">
        <v>#N/A</v>
      </c>
    </row>
    <row r="253" spans="1:10">
      <c r="A253" s="134">
        <f t="shared" si="4"/>
        <v>2026.04</v>
      </c>
      <c r="B253" s="613" t="e">
        <v>#N/A</v>
      </c>
      <c r="C253" s="1639" t="e">
        <v>#N/A</v>
      </c>
      <c r="D253" s="457" t="e">
        <v>#N/A</v>
      </c>
      <c r="E253" s="631" t="e">
        <v>#N/A</v>
      </c>
      <c r="F253" s="1639" t="e">
        <v>#N/A</v>
      </c>
      <c r="G253" s="457" t="e">
        <v>#N/A</v>
      </c>
      <c r="H253" s="631" t="e">
        <v>#N/A</v>
      </c>
      <c r="I253" s="1639" t="e">
        <v>#N/A</v>
      </c>
      <c r="J253" s="844" t="e">
        <v>#N/A</v>
      </c>
    </row>
    <row r="254" spans="1:10">
      <c r="A254" s="134">
        <f t="shared" si="4"/>
        <v>2026.05</v>
      </c>
      <c r="B254" s="613" t="e">
        <v>#N/A</v>
      </c>
      <c r="C254" s="1639" t="e">
        <v>#N/A</v>
      </c>
      <c r="D254" s="457" t="e">
        <v>#N/A</v>
      </c>
      <c r="E254" s="631" t="e">
        <v>#N/A</v>
      </c>
      <c r="F254" s="1639" t="e">
        <v>#N/A</v>
      </c>
      <c r="G254" s="457" t="e">
        <v>#N/A</v>
      </c>
      <c r="H254" s="631" t="e">
        <v>#N/A</v>
      </c>
      <c r="I254" s="1639" t="e">
        <v>#N/A</v>
      </c>
      <c r="J254" s="844" t="e">
        <v>#N/A</v>
      </c>
    </row>
    <row r="255" spans="1:10">
      <c r="A255" s="134">
        <f t="shared" si="4"/>
        <v>2026.06</v>
      </c>
      <c r="B255" s="613" t="e">
        <v>#N/A</v>
      </c>
      <c r="C255" s="1639" t="e">
        <v>#N/A</v>
      </c>
      <c r="D255" s="457" t="e">
        <v>#N/A</v>
      </c>
      <c r="E255" s="631" t="e">
        <v>#N/A</v>
      </c>
      <c r="F255" s="1639" t="e">
        <v>#N/A</v>
      </c>
      <c r="G255" s="457" t="e">
        <v>#N/A</v>
      </c>
      <c r="H255" s="631" t="e">
        <v>#N/A</v>
      </c>
      <c r="I255" s="1639" t="e">
        <v>#N/A</v>
      </c>
      <c r="J255" s="844" t="e">
        <v>#N/A</v>
      </c>
    </row>
    <row r="256" spans="1:10">
      <c r="A256" s="134">
        <f t="shared" si="4"/>
        <v>2026.07</v>
      </c>
      <c r="B256" s="613" t="e">
        <v>#N/A</v>
      </c>
      <c r="C256" s="1639" t="e">
        <v>#N/A</v>
      </c>
      <c r="D256" s="457" t="e">
        <v>#N/A</v>
      </c>
      <c r="E256" s="631" t="e">
        <v>#N/A</v>
      </c>
      <c r="F256" s="1639" t="e">
        <v>#N/A</v>
      </c>
      <c r="G256" s="457" t="e">
        <v>#N/A</v>
      </c>
      <c r="H256" s="631" t="e">
        <v>#N/A</v>
      </c>
      <c r="I256" s="1639" t="e">
        <v>#N/A</v>
      </c>
      <c r="J256" s="844" t="e">
        <v>#N/A</v>
      </c>
    </row>
    <row r="257" spans="1:10">
      <c r="A257" s="134">
        <f t="shared" si="4"/>
        <v>2026.08</v>
      </c>
      <c r="B257" s="613" t="e">
        <v>#N/A</v>
      </c>
      <c r="C257" s="1639" t="e">
        <v>#N/A</v>
      </c>
      <c r="D257" s="457" t="e">
        <v>#N/A</v>
      </c>
      <c r="E257" s="631" t="e">
        <v>#N/A</v>
      </c>
      <c r="F257" s="1639" t="e">
        <v>#N/A</v>
      </c>
      <c r="G257" s="457" t="e">
        <v>#N/A</v>
      </c>
      <c r="H257" s="631" t="e">
        <v>#N/A</v>
      </c>
      <c r="I257" s="1639" t="e">
        <v>#N/A</v>
      </c>
      <c r="J257" s="844" t="e">
        <v>#N/A</v>
      </c>
    </row>
    <row r="258" spans="1:10">
      <c r="A258" s="134">
        <f t="shared" si="4"/>
        <v>2026.09</v>
      </c>
      <c r="B258" s="613" t="e">
        <v>#N/A</v>
      </c>
      <c r="C258" s="1639" t="e">
        <v>#N/A</v>
      </c>
      <c r="D258" s="457" t="e">
        <v>#N/A</v>
      </c>
      <c r="E258" s="631" t="e">
        <v>#N/A</v>
      </c>
      <c r="F258" s="1639" t="e">
        <v>#N/A</v>
      </c>
      <c r="G258" s="457" t="e">
        <v>#N/A</v>
      </c>
      <c r="H258" s="631" t="e">
        <v>#N/A</v>
      </c>
      <c r="I258" s="1639" t="e">
        <v>#N/A</v>
      </c>
      <c r="J258" s="844" t="e">
        <v>#N/A</v>
      </c>
    </row>
    <row r="259" spans="1:10">
      <c r="A259" s="134">
        <f t="shared" si="4"/>
        <v>2026.1</v>
      </c>
      <c r="B259" s="613" t="e">
        <v>#N/A</v>
      </c>
      <c r="C259" s="1639" t="e">
        <v>#N/A</v>
      </c>
      <c r="D259" s="457" t="e">
        <v>#N/A</v>
      </c>
      <c r="E259" s="631" t="e">
        <v>#N/A</v>
      </c>
      <c r="F259" s="1639" t="e">
        <v>#N/A</v>
      </c>
      <c r="G259" s="457" t="e">
        <v>#N/A</v>
      </c>
      <c r="H259" s="631" t="e">
        <v>#N/A</v>
      </c>
      <c r="I259" s="1639" t="e">
        <v>#N/A</v>
      </c>
      <c r="J259" s="844" t="e">
        <v>#N/A</v>
      </c>
    </row>
    <row r="260" spans="1:10">
      <c r="A260" s="134">
        <f t="shared" si="4"/>
        <v>2026.11</v>
      </c>
      <c r="B260" s="613" t="e">
        <v>#N/A</v>
      </c>
      <c r="C260" s="1639" t="e">
        <v>#N/A</v>
      </c>
      <c r="D260" s="457" t="e">
        <v>#N/A</v>
      </c>
      <c r="E260" s="631" t="e">
        <v>#N/A</v>
      </c>
      <c r="F260" s="1639" t="e">
        <v>#N/A</v>
      </c>
      <c r="G260" s="457" t="e">
        <v>#N/A</v>
      </c>
      <c r="H260" s="631" t="e">
        <v>#N/A</v>
      </c>
      <c r="I260" s="1639" t="e">
        <v>#N/A</v>
      </c>
      <c r="J260" s="844" t="e">
        <v>#N/A</v>
      </c>
    </row>
    <row r="261" spans="1:10">
      <c r="A261" s="134">
        <f t="shared" si="4"/>
        <v>2026.12</v>
      </c>
      <c r="B261" s="613" t="e">
        <v>#N/A</v>
      </c>
      <c r="C261" s="1639" t="e">
        <v>#N/A</v>
      </c>
      <c r="D261" s="457" t="e">
        <v>#N/A</v>
      </c>
      <c r="E261" s="631" t="e">
        <v>#N/A</v>
      </c>
      <c r="F261" s="1639" t="e">
        <v>#N/A</v>
      </c>
      <c r="G261" s="457" t="e">
        <v>#N/A</v>
      </c>
      <c r="H261" s="631" t="e">
        <v>#N/A</v>
      </c>
      <c r="I261" s="1639" t="e">
        <v>#N/A</v>
      </c>
      <c r="J261" s="844" t="e">
        <v>#N/A</v>
      </c>
    </row>
    <row r="262" spans="1:10">
      <c r="A262" s="134">
        <f t="shared" si="4"/>
        <v>2027.01</v>
      </c>
      <c r="B262" s="613" t="e">
        <v>#N/A</v>
      </c>
      <c r="C262" s="1639" t="e">
        <v>#N/A</v>
      </c>
      <c r="D262" s="457" t="e">
        <v>#N/A</v>
      </c>
      <c r="E262" s="631" t="e">
        <v>#N/A</v>
      </c>
      <c r="F262" s="1639" t="e">
        <v>#N/A</v>
      </c>
      <c r="G262" s="457" t="e">
        <v>#N/A</v>
      </c>
      <c r="H262" s="631" t="e">
        <v>#N/A</v>
      </c>
      <c r="I262" s="1639" t="e">
        <v>#N/A</v>
      </c>
      <c r="J262" s="844" t="e">
        <v>#N/A</v>
      </c>
    </row>
    <row r="263" spans="1:10">
      <c r="A263" s="134">
        <f t="shared" si="4"/>
        <v>2027.02</v>
      </c>
      <c r="B263" s="613" t="e">
        <v>#N/A</v>
      </c>
      <c r="C263" s="1639" t="e">
        <v>#N/A</v>
      </c>
      <c r="D263" s="457" t="e">
        <v>#N/A</v>
      </c>
      <c r="E263" s="631" t="e">
        <v>#N/A</v>
      </c>
      <c r="F263" s="1639" t="e">
        <v>#N/A</v>
      </c>
      <c r="G263" s="457" t="e">
        <v>#N/A</v>
      </c>
      <c r="H263" s="631" t="e">
        <v>#N/A</v>
      </c>
      <c r="I263" s="1639" t="e">
        <v>#N/A</v>
      </c>
      <c r="J263" s="844" t="e">
        <v>#N/A</v>
      </c>
    </row>
    <row r="264" spans="1:10">
      <c r="A264" s="134">
        <f t="shared" si="4"/>
        <v>2027.03</v>
      </c>
      <c r="B264" s="613" t="e">
        <v>#N/A</v>
      </c>
      <c r="C264" s="1639" t="e">
        <v>#N/A</v>
      </c>
      <c r="D264" s="457" t="e">
        <v>#N/A</v>
      </c>
      <c r="E264" s="631" t="e">
        <v>#N/A</v>
      </c>
      <c r="F264" s="1639" t="e">
        <v>#N/A</v>
      </c>
      <c r="G264" s="457" t="e">
        <v>#N/A</v>
      </c>
      <c r="H264" s="631" t="e">
        <v>#N/A</v>
      </c>
      <c r="I264" s="1639" t="e">
        <v>#N/A</v>
      </c>
      <c r="J264" s="844" t="e">
        <v>#N/A</v>
      </c>
    </row>
    <row r="265" spans="1:10">
      <c r="A265" s="134">
        <f t="shared" si="4"/>
        <v>2027.04</v>
      </c>
      <c r="B265" s="613" t="e">
        <v>#N/A</v>
      </c>
      <c r="C265" s="1639" t="e">
        <v>#N/A</v>
      </c>
      <c r="D265" s="457" t="e">
        <v>#N/A</v>
      </c>
      <c r="E265" s="631" t="e">
        <v>#N/A</v>
      </c>
      <c r="F265" s="1639" t="e">
        <v>#N/A</v>
      </c>
      <c r="G265" s="457" t="e">
        <v>#N/A</v>
      </c>
      <c r="H265" s="631" t="e">
        <v>#N/A</v>
      </c>
      <c r="I265" s="1639" t="e">
        <v>#N/A</v>
      </c>
      <c r="J265" s="844" t="e">
        <v>#N/A</v>
      </c>
    </row>
    <row r="266" spans="1:10">
      <c r="A266" s="134">
        <f t="shared" si="4"/>
        <v>2027.05</v>
      </c>
      <c r="B266" s="613" t="e">
        <v>#N/A</v>
      </c>
      <c r="C266" s="1639" t="e">
        <v>#N/A</v>
      </c>
      <c r="D266" s="457" t="e">
        <v>#N/A</v>
      </c>
      <c r="E266" s="631" t="e">
        <v>#N/A</v>
      </c>
      <c r="F266" s="1639" t="e">
        <v>#N/A</v>
      </c>
      <c r="G266" s="457" t="e">
        <v>#N/A</v>
      </c>
      <c r="H266" s="631" t="e">
        <v>#N/A</v>
      </c>
      <c r="I266" s="1639" t="e">
        <v>#N/A</v>
      </c>
      <c r="J266" s="844" t="e">
        <v>#N/A</v>
      </c>
    </row>
    <row r="267" spans="1:10">
      <c r="A267" s="134">
        <f t="shared" si="4"/>
        <v>2027.06</v>
      </c>
      <c r="B267" s="613" t="e">
        <v>#N/A</v>
      </c>
      <c r="C267" s="1639" t="e">
        <v>#N/A</v>
      </c>
      <c r="D267" s="457" t="e">
        <v>#N/A</v>
      </c>
      <c r="E267" s="631" t="e">
        <v>#N/A</v>
      </c>
      <c r="F267" s="1639" t="e">
        <v>#N/A</v>
      </c>
      <c r="G267" s="457" t="e">
        <v>#N/A</v>
      </c>
      <c r="H267" s="631" t="e">
        <v>#N/A</v>
      </c>
      <c r="I267" s="1639" t="e">
        <v>#N/A</v>
      </c>
      <c r="J267" s="844" t="e">
        <v>#N/A</v>
      </c>
    </row>
    <row r="268" spans="1:10">
      <c r="A268" s="134">
        <f t="shared" si="4"/>
        <v>2027.07</v>
      </c>
      <c r="B268" s="613" t="e">
        <v>#N/A</v>
      </c>
      <c r="C268" s="1639" t="e">
        <v>#N/A</v>
      </c>
      <c r="D268" s="457" t="e">
        <v>#N/A</v>
      </c>
      <c r="E268" s="631" t="e">
        <v>#N/A</v>
      </c>
      <c r="F268" s="1639" t="e">
        <v>#N/A</v>
      </c>
      <c r="G268" s="457" t="e">
        <v>#N/A</v>
      </c>
      <c r="H268" s="631" t="e">
        <v>#N/A</v>
      </c>
      <c r="I268" s="1639" t="e">
        <v>#N/A</v>
      </c>
      <c r="J268" s="844" t="e">
        <v>#N/A</v>
      </c>
    </row>
    <row r="269" spans="1:10">
      <c r="A269" s="134">
        <f t="shared" si="4"/>
        <v>2027.08</v>
      </c>
      <c r="B269" s="613" t="e">
        <v>#N/A</v>
      </c>
      <c r="C269" s="1639" t="e">
        <v>#N/A</v>
      </c>
      <c r="D269" s="457" t="e">
        <v>#N/A</v>
      </c>
      <c r="E269" s="631" t="e">
        <v>#N/A</v>
      </c>
      <c r="F269" s="1639" t="e">
        <v>#N/A</v>
      </c>
      <c r="G269" s="457" t="e">
        <v>#N/A</v>
      </c>
      <c r="H269" s="631" t="e">
        <v>#N/A</v>
      </c>
      <c r="I269" s="1639" t="e">
        <v>#N/A</v>
      </c>
      <c r="J269" s="844" t="e">
        <v>#N/A</v>
      </c>
    </row>
    <row r="270" spans="1:10">
      <c r="A270" s="134">
        <f t="shared" si="4"/>
        <v>2027.09</v>
      </c>
      <c r="B270" s="613" t="e">
        <v>#N/A</v>
      </c>
      <c r="C270" s="1639" t="e">
        <v>#N/A</v>
      </c>
      <c r="D270" s="457" t="e">
        <v>#N/A</v>
      </c>
      <c r="E270" s="631" t="e">
        <v>#N/A</v>
      </c>
      <c r="F270" s="1639" t="e">
        <v>#N/A</v>
      </c>
      <c r="G270" s="457" t="e">
        <v>#N/A</v>
      </c>
      <c r="H270" s="631" t="e">
        <v>#N/A</v>
      </c>
      <c r="I270" s="1639" t="e">
        <v>#N/A</v>
      </c>
      <c r="J270" s="844" t="e">
        <v>#N/A</v>
      </c>
    </row>
    <row r="271" spans="1:10">
      <c r="A271" s="134">
        <f t="shared" si="4"/>
        <v>2027.1</v>
      </c>
      <c r="B271" s="613" t="e">
        <v>#N/A</v>
      </c>
      <c r="C271" s="1639" t="e">
        <v>#N/A</v>
      </c>
      <c r="D271" s="457" t="e">
        <v>#N/A</v>
      </c>
      <c r="E271" s="631" t="e">
        <v>#N/A</v>
      </c>
      <c r="F271" s="1639" t="e">
        <v>#N/A</v>
      </c>
      <c r="G271" s="457" t="e">
        <v>#N/A</v>
      </c>
      <c r="H271" s="631" t="e">
        <v>#N/A</v>
      </c>
      <c r="I271" s="1639" t="e">
        <v>#N/A</v>
      </c>
      <c r="J271" s="844" t="e">
        <v>#N/A</v>
      </c>
    </row>
    <row r="272" spans="1:10">
      <c r="A272" s="134">
        <f t="shared" si="4"/>
        <v>2027.11</v>
      </c>
      <c r="B272" s="613" t="e">
        <v>#N/A</v>
      </c>
      <c r="C272" s="1639" t="e">
        <v>#N/A</v>
      </c>
      <c r="D272" s="457" t="e">
        <v>#N/A</v>
      </c>
      <c r="E272" s="631" t="e">
        <v>#N/A</v>
      </c>
      <c r="F272" s="1639" t="e">
        <v>#N/A</v>
      </c>
      <c r="G272" s="457" t="e">
        <v>#N/A</v>
      </c>
      <c r="H272" s="631" t="e">
        <v>#N/A</v>
      </c>
      <c r="I272" s="1639" t="e">
        <v>#N/A</v>
      </c>
      <c r="J272" s="844" t="e">
        <v>#N/A</v>
      </c>
    </row>
    <row r="273" spans="1:10">
      <c r="A273" s="134">
        <f t="shared" si="4"/>
        <v>2027.12</v>
      </c>
      <c r="B273" s="613" t="e">
        <v>#N/A</v>
      </c>
      <c r="C273" s="1639" t="e">
        <v>#N/A</v>
      </c>
      <c r="D273" s="457" t="e">
        <v>#N/A</v>
      </c>
      <c r="E273" s="631" t="e">
        <v>#N/A</v>
      </c>
      <c r="F273" s="1639" t="e">
        <v>#N/A</v>
      </c>
      <c r="G273" s="457" t="e">
        <v>#N/A</v>
      </c>
      <c r="H273" s="631" t="e">
        <v>#N/A</v>
      </c>
      <c r="I273" s="1639" t="e">
        <v>#N/A</v>
      </c>
      <c r="J273" s="844" t="e">
        <v>#N/A</v>
      </c>
    </row>
    <row r="274" spans="1:10">
      <c r="A274" s="134">
        <f t="shared" si="4"/>
        <v>2028.01</v>
      </c>
      <c r="B274" s="613" t="e">
        <v>#N/A</v>
      </c>
      <c r="C274" s="1639" t="e">
        <v>#N/A</v>
      </c>
      <c r="D274" s="457" t="e">
        <v>#N/A</v>
      </c>
      <c r="E274" s="631" t="e">
        <v>#N/A</v>
      </c>
      <c r="F274" s="1639" t="e">
        <v>#N/A</v>
      </c>
      <c r="G274" s="457" t="e">
        <v>#N/A</v>
      </c>
      <c r="H274" s="631" t="e">
        <v>#N/A</v>
      </c>
      <c r="I274" s="1639" t="e">
        <v>#N/A</v>
      </c>
      <c r="J274" s="844" t="e">
        <v>#N/A</v>
      </c>
    </row>
    <row r="275" spans="1:10">
      <c r="A275" s="134">
        <f t="shared" si="4"/>
        <v>2028.02</v>
      </c>
      <c r="B275" s="613" t="e">
        <v>#N/A</v>
      </c>
      <c r="C275" s="1639" t="e">
        <v>#N/A</v>
      </c>
      <c r="D275" s="457" t="e">
        <v>#N/A</v>
      </c>
      <c r="E275" s="631" t="e">
        <v>#N/A</v>
      </c>
      <c r="F275" s="1639" t="e">
        <v>#N/A</v>
      </c>
      <c r="G275" s="457" t="e">
        <v>#N/A</v>
      </c>
      <c r="H275" s="631" t="e">
        <v>#N/A</v>
      </c>
      <c r="I275" s="1639" t="e">
        <v>#N/A</v>
      </c>
      <c r="J275" s="844" t="e">
        <v>#N/A</v>
      </c>
    </row>
    <row r="276" spans="1:10">
      <c r="A276" s="134">
        <f t="shared" si="4"/>
        <v>2028.03</v>
      </c>
      <c r="B276" s="613" t="e">
        <v>#N/A</v>
      </c>
      <c r="C276" s="1639" t="e">
        <v>#N/A</v>
      </c>
      <c r="D276" s="457" t="e">
        <v>#N/A</v>
      </c>
      <c r="E276" s="631" t="e">
        <v>#N/A</v>
      </c>
      <c r="F276" s="1639" t="e">
        <v>#N/A</v>
      </c>
      <c r="G276" s="457" t="e">
        <v>#N/A</v>
      </c>
      <c r="H276" s="631" t="e">
        <v>#N/A</v>
      </c>
      <c r="I276" s="1639" t="e">
        <v>#N/A</v>
      </c>
      <c r="J276" s="844" t="e">
        <v>#N/A</v>
      </c>
    </row>
    <row r="277" spans="1:10">
      <c r="A277" s="134">
        <f t="shared" si="4"/>
        <v>2028.04</v>
      </c>
      <c r="B277" s="613" t="e">
        <v>#N/A</v>
      </c>
      <c r="C277" s="1639" t="e">
        <v>#N/A</v>
      </c>
      <c r="D277" s="457" t="e">
        <v>#N/A</v>
      </c>
      <c r="E277" s="631" t="e">
        <v>#N/A</v>
      </c>
      <c r="F277" s="1639" t="e">
        <v>#N/A</v>
      </c>
      <c r="G277" s="457" t="e">
        <v>#N/A</v>
      </c>
      <c r="H277" s="631" t="e">
        <v>#N/A</v>
      </c>
      <c r="I277" s="1639" t="e">
        <v>#N/A</v>
      </c>
      <c r="J277" s="844" t="e">
        <v>#N/A</v>
      </c>
    </row>
    <row r="278" spans="1:10">
      <c r="A278" s="134">
        <f t="shared" si="4"/>
        <v>2028.05</v>
      </c>
      <c r="B278" s="613" t="e">
        <v>#N/A</v>
      </c>
      <c r="C278" s="1639" t="e">
        <v>#N/A</v>
      </c>
      <c r="D278" s="457" t="e">
        <v>#N/A</v>
      </c>
      <c r="E278" s="631" t="e">
        <v>#N/A</v>
      </c>
      <c r="F278" s="1639" t="e">
        <v>#N/A</v>
      </c>
      <c r="G278" s="457" t="e">
        <v>#N/A</v>
      </c>
      <c r="H278" s="631" t="e">
        <v>#N/A</v>
      </c>
      <c r="I278" s="1639" t="e">
        <v>#N/A</v>
      </c>
      <c r="J278" s="844" t="e">
        <v>#N/A</v>
      </c>
    </row>
    <row r="279" spans="1:10">
      <c r="A279" s="134">
        <f t="shared" si="4"/>
        <v>2028.06</v>
      </c>
      <c r="B279" s="613" t="e">
        <v>#N/A</v>
      </c>
      <c r="C279" s="1639" t="e">
        <v>#N/A</v>
      </c>
      <c r="D279" s="457" t="e">
        <v>#N/A</v>
      </c>
      <c r="E279" s="631" t="e">
        <v>#N/A</v>
      </c>
      <c r="F279" s="1639" t="e">
        <v>#N/A</v>
      </c>
      <c r="G279" s="457" t="e">
        <v>#N/A</v>
      </c>
      <c r="H279" s="631" t="e">
        <v>#N/A</v>
      </c>
      <c r="I279" s="1639" t="e">
        <v>#N/A</v>
      </c>
      <c r="J279" s="844" t="e">
        <v>#N/A</v>
      </c>
    </row>
    <row r="280" spans="1:10">
      <c r="A280" s="134">
        <f t="shared" si="4"/>
        <v>2028.07</v>
      </c>
      <c r="B280" s="613" t="e">
        <v>#N/A</v>
      </c>
      <c r="C280" s="1639" t="e">
        <v>#N/A</v>
      </c>
      <c r="D280" s="457" t="e">
        <v>#N/A</v>
      </c>
      <c r="E280" s="631" t="e">
        <v>#N/A</v>
      </c>
      <c r="F280" s="1639" t="e">
        <v>#N/A</v>
      </c>
      <c r="G280" s="457" t="e">
        <v>#N/A</v>
      </c>
      <c r="H280" s="631" t="e">
        <v>#N/A</v>
      </c>
      <c r="I280" s="1639" t="e">
        <v>#N/A</v>
      </c>
      <c r="J280" s="844" t="e">
        <v>#N/A</v>
      </c>
    </row>
    <row r="281" spans="1:10">
      <c r="A281" s="134">
        <f t="shared" si="4"/>
        <v>2028.08</v>
      </c>
      <c r="B281" s="613" t="e">
        <v>#N/A</v>
      </c>
      <c r="C281" s="1639" t="e">
        <v>#N/A</v>
      </c>
      <c r="D281" s="457" t="e">
        <v>#N/A</v>
      </c>
      <c r="E281" s="631" t="e">
        <v>#N/A</v>
      </c>
      <c r="F281" s="1639" t="e">
        <v>#N/A</v>
      </c>
      <c r="G281" s="457" t="e">
        <v>#N/A</v>
      </c>
      <c r="H281" s="631" t="e">
        <v>#N/A</v>
      </c>
      <c r="I281" s="1639" t="e">
        <v>#N/A</v>
      </c>
      <c r="J281" s="844" t="e">
        <v>#N/A</v>
      </c>
    </row>
    <row r="282" spans="1:10">
      <c r="A282" s="134">
        <f t="shared" si="4"/>
        <v>2028.09</v>
      </c>
      <c r="B282" s="613" t="e">
        <v>#N/A</v>
      </c>
      <c r="C282" s="1639" t="e">
        <v>#N/A</v>
      </c>
      <c r="D282" s="457" t="e">
        <v>#N/A</v>
      </c>
      <c r="E282" s="631" t="e">
        <v>#N/A</v>
      </c>
      <c r="F282" s="1639" t="e">
        <v>#N/A</v>
      </c>
      <c r="G282" s="457" t="e">
        <v>#N/A</v>
      </c>
      <c r="H282" s="631" t="e">
        <v>#N/A</v>
      </c>
      <c r="I282" s="1639" t="e">
        <v>#N/A</v>
      </c>
      <c r="J282" s="844" t="e">
        <v>#N/A</v>
      </c>
    </row>
    <row r="283" spans="1:10">
      <c r="A283" s="134">
        <f t="shared" si="4"/>
        <v>2028.1</v>
      </c>
      <c r="B283" s="613" t="e">
        <v>#N/A</v>
      </c>
      <c r="C283" s="1639" t="e">
        <v>#N/A</v>
      </c>
      <c r="D283" s="457" t="e">
        <v>#N/A</v>
      </c>
      <c r="E283" s="631" t="e">
        <v>#N/A</v>
      </c>
      <c r="F283" s="1639" t="e">
        <v>#N/A</v>
      </c>
      <c r="G283" s="457" t="e">
        <v>#N/A</v>
      </c>
      <c r="H283" s="631" t="e">
        <v>#N/A</v>
      </c>
      <c r="I283" s="1639" t="e">
        <v>#N/A</v>
      </c>
      <c r="J283" s="844" t="e">
        <v>#N/A</v>
      </c>
    </row>
    <row r="284" spans="1:10">
      <c r="A284" s="134">
        <f t="shared" si="4"/>
        <v>2028.11</v>
      </c>
      <c r="B284" s="613" t="e">
        <v>#N/A</v>
      </c>
      <c r="C284" s="1639" t="e">
        <v>#N/A</v>
      </c>
      <c r="D284" s="457" t="e">
        <v>#N/A</v>
      </c>
      <c r="E284" s="631" t="e">
        <v>#N/A</v>
      </c>
      <c r="F284" s="1639" t="e">
        <v>#N/A</v>
      </c>
      <c r="G284" s="457" t="e">
        <v>#N/A</v>
      </c>
      <c r="H284" s="631" t="e">
        <v>#N/A</v>
      </c>
      <c r="I284" s="1639" t="e">
        <v>#N/A</v>
      </c>
      <c r="J284" s="844" t="e">
        <v>#N/A</v>
      </c>
    </row>
    <row r="285" spans="1:10">
      <c r="A285" s="134">
        <f t="shared" si="4"/>
        <v>2028.12</v>
      </c>
      <c r="B285" s="613" t="e">
        <v>#N/A</v>
      </c>
      <c r="C285" s="1639" t="e">
        <v>#N/A</v>
      </c>
      <c r="D285" s="457" t="e">
        <v>#N/A</v>
      </c>
      <c r="E285" s="631" t="e">
        <v>#N/A</v>
      </c>
      <c r="F285" s="1639" t="e">
        <v>#N/A</v>
      </c>
      <c r="G285" s="457" t="e">
        <v>#N/A</v>
      </c>
      <c r="H285" s="631" t="e">
        <v>#N/A</v>
      </c>
      <c r="I285" s="1639" t="e">
        <v>#N/A</v>
      </c>
      <c r="J285" s="844" t="e">
        <v>#N/A</v>
      </c>
    </row>
    <row r="286" spans="1:10">
      <c r="A286" s="134">
        <f t="shared" si="4"/>
        <v>2029.01</v>
      </c>
      <c r="B286" s="613" t="e">
        <v>#N/A</v>
      </c>
      <c r="C286" s="1639" t="e">
        <v>#N/A</v>
      </c>
      <c r="D286" s="457" t="e">
        <v>#N/A</v>
      </c>
      <c r="E286" s="631" t="e">
        <v>#N/A</v>
      </c>
      <c r="F286" s="1639" t="e">
        <v>#N/A</v>
      </c>
      <c r="G286" s="457" t="e">
        <v>#N/A</v>
      </c>
      <c r="H286" s="631" t="e">
        <v>#N/A</v>
      </c>
      <c r="I286" s="1639" t="e">
        <v>#N/A</v>
      </c>
      <c r="J286" s="844" t="e">
        <v>#N/A</v>
      </c>
    </row>
    <row r="287" spans="1:10">
      <c r="A287" s="134">
        <f t="shared" si="4"/>
        <v>2029.02</v>
      </c>
      <c r="B287" s="613" t="e">
        <v>#N/A</v>
      </c>
      <c r="C287" s="1639" t="e">
        <v>#N/A</v>
      </c>
      <c r="D287" s="457" t="e">
        <v>#N/A</v>
      </c>
      <c r="E287" s="631" t="e">
        <v>#N/A</v>
      </c>
      <c r="F287" s="1639" t="e">
        <v>#N/A</v>
      </c>
      <c r="G287" s="457" t="e">
        <v>#N/A</v>
      </c>
      <c r="H287" s="631" t="e">
        <v>#N/A</v>
      </c>
      <c r="I287" s="1639" t="e">
        <v>#N/A</v>
      </c>
      <c r="J287" s="844" t="e">
        <v>#N/A</v>
      </c>
    </row>
    <row r="288" spans="1:10">
      <c r="A288" s="134">
        <f t="shared" si="4"/>
        <v>2029.03</v>
      </c>
      <c r="B288" s="613" t="e">
        <v>#N/A</v>
      </c>
      <c r="C288" s="1639" t="e">
        <v>#N/A</v>
      </c>
      <c r="D288" s="457" t="e">
        <v>#N/A</v>
      </c>
      <c r="E288" s="631" t="e">
        <v>#N/A</v>
      </c>
      <c r="F288" s="1639" t="e">
        <v>#N/A</v>
      </c>
      <c r="G288" s="457" t="e">
        <v>#N/A</v>
      </c>
      <c r="H288" s="631" t="e">
        <v>#N/A</v>
      </c>
      <c r="I288" s="1639" t="e">
        <v>#N/A</v>
      </c>
      <c r="J288" s="844" t="e">
        <v>#N/A</v>
      </c>
    </row>
    <row r="289" spans="1:10">
      <c r="A289" s="134">
        <f t="shared" si="4"/>
        <v>2029.04</v>
      </c>
      <c r="B289" s="613" t="e">
        <v>#N/A</v>
      </c>
      <c r="C289" s="1639" t="e">
        <v>#N/A</v>
      </c>
      <c r="D289" s="457" t="e">
        <v>#N/A</v>
      </c>
      <c r="E289" s="631" t="e">
        <v>#N/A</v>
      </c>
      <c r="F289" s="1639" t="e">
        <v>#N/A</v>
      </c>
      <c r="G289" s="457" t="e">
        <v>#N/A</v>
      </c>
      <c r="H289" s="631" t="e">
        <v>#N/A</v>
      </c>
      <c r="I289" s="1639" t="e">
        <v>#N/A</v>
      </c>
      <c r="J289" s="844" t="e">
        <v>#N/A</v>
      </c>
    </row>
    <row r="290" spans="1:10">
      <c r="A290" s="134">
        <f t="shared" ref="A290:A309" si="5">A278+1</f>
        <v>2029.05</v>
      </c>
      <c r="B290" s="613" t="e">
        <v>#N/A</v>
      </c>
      <c r="C290" s="1639" t="e">
        <v>#N/A</v>
      </c>
      <c r="D290" s="457" t="e">
        <v>#N/A</v>
      </c>
      <c r="E290" s="631" t="e">
        <v>#N/A</v>
      </c>
      <c r="F290" s="1639" t="e">
        <v>#N/A</v>
      </c>
      <c r="G290" s="457" t="e">
        <v>#N/A</v>
      </c>
      <c r="H290" s="631" t="e">
        <v>#N/A</v>
      </c>
      <c r="I290" s="1639" t="e">
        <v>#N/A</v>
      </c>
      <c r="J290" s="844" t="e">
        <v>#N/A</v>
      </c>
    </row>
    <row r="291" spans="1:10">
      <c r="A291" s="134">
        <f t="shared" si="5"/>
        <v>2029.06</v>
      </c>
      <c r="B291" s="613" t="e">
        <v>#N/A</v>
      </c>
      <c r="C291" s="1639" t="e">
        <v>#N/A</v>
      </c>
      <c r="D291" s="457" t="e">
        <v>#N/A</v>
      </c>
      <c r="E291" s="631" t="e">
        <v>#N/A</v>
      </c>
      <c r="F291" s="1639" t="e">
        <v>#N/A</v>
      </c>
      <c r="G291" s="457" t="e">
        <v>#N/A</v>
      </c>
      <c r="H291" s="631" t="e">
        <v>#N/A</v>
      </c>
      <c r="I291" s="1639" t="e">
        <v>#N/A</v>
      </c>
      <c r="J291" s="844" t="e">
        <v>#N/A</v>
      </c>
    </row>
    <row r="292" spans="1:10">
      <c r="A292" s="134">
        <f t="shared" si="5"/>
        <v>2029.07</v>
      </c>
      <c r="B292" s="613" t="e">
        <v>#N/A</v>
      </c>
      <c r="C292" s="1639" t="e">
        <v>#N/A</v>
      </c>
      <c r="D292" s="457" t="e">
        <v>#N/A</v>
      </c>
      <c r="E292" s="631" t="e">
        <v>#N/A</v>
      </c>
      <c r="F292" s="1639" t="e">
        <v>#N/A</v>
      </c>
      <c r="G292" s="457" t="e">
        <v>#N/A</v>
      </c>
      <c r="H292" s="631" t="e">
        <v>#N/A</v>
      </c>
      <c r="I292" s="1639" t="e">
        <v>#N/A</v>
      </c>
      <c r="J292" s="844" t="e">
        <v>#N/A</v>
      </c>
    </row>
    <row r="293" spans="1:10">
      <c r="A293" s="134">
        <f t="shared" si="5"/>
        <v>2029.08</v>
      </c>
      <c r="B293" s="613" t="e">
        <v>#N/A</v>
      </c>
      <c r="C293" s="1639" t="e">
        <v>#N/A</v>
      </c>
      <c r="D293" s="457" t="e">
        <v>#N/A</v>
      </c>
      <c r="E293" s="631" t="e">
        <v>#N/A</v>
      </c>
      <c r="F293" s="1639" t="e">
        <v>#N/A</v>
      </c>
      <c r="G293" s="457" t="e">
        <v>#N/A</v>
      </c>
      <c r="H293" s="631" t="e">
        <v>#N/A</v>
      </c>
      <c r="I293" s="1639" t="e">
        <v>#N/A</v>
      </c>
      <c r="J293" s="844" t="e">
        <v>#N/A</v>
      </c>
    </row>
    <row r="294" spans="1:10">
      <c r="A294" s="134">
        <f t="shared" si="5"/>
        <v>2029.09</v>
      </c>
      <c r="B294" s="613" t="e">
        <v>#N/A</v>
      </c>
      <c r="C294" s="1639" t="e">
        <v>#N/A</v>
      </c>
      <c r="D294" s="457" t="e">
        <v>#N/A</v>
      </c>
      <c r="E294" s="631" t="e">
        <v>#N/A</v>
      </c>
      <c r="F294" s="1639" t="e">
        <v>#N/A</v>
      </c>
      <c r="G294" s="457" t="e">
        <v>#N/A</v>
      </c>
      <c r="H294" s="631" t="e">
        <v>#N/A</v>
      </c>
      <c r="I294" s="1639" t="e">
        <v>#N/A</v>
      </c>
      <c r="J294" s="844" t="e">
        <v>#N/A</v>
      </c>
    </row>
    <row r="295" spans="1:10">
      <c r="A295" s="134">
        <f t="shared" si="5"/>
        <v>2029.1</v>
      </c>
      <c r="B295" s="613" t="e">
        <v>#N/A</v>
      </c>
      <c r="C295" s="1639" t="e">
        <v>#N/A</v>
      </c>
      <c r="D295" s="457" t="e">
        <v>#N/A</v>
      </c>
      <c r="E295" s="631" t="e">
        <v>#N/A</v>
      </c>
      <c r="F295" s="1639" t="e">
        <v>#N/A</v>
      </c>
      <c r="G295" s="457" t="e">
        <v>#N/A</v>
      </c>
      <c r="H295" s="631" t="e">
        <v>#N/A</v>
      </c>
      <c r="I295" s="1639" t="e">
        <v>#N/A</v>
      </c>
      <c r="J295" s="844" t="e">
        <v>#N/A</v>
      </c>
    </row>
    <row r="296" spans="1:10">
      <c r="A296" s="134">
        <f t="shared" si="5"/>
        <v>2029.11</v>
      </c>
      <c r="B296" s="613" t="e">
        <v>#N/A</v>
      </c>
      <c r="C296" s="1639" t="e">
        <v>#N/A</v>
      </c>
      <c r="D296" s="457" t="e">
        <v>#N/A</v>
      </c>
      <c r="E296" s="631" t="e">
        <v>#N/A</v>
      </c>
      <c r="F296" s="1639" t="e">
        <v>#N/A</v>
      </c>
      <c r="G296" s="457" t="e">
        <v>#N/A</v>
      </c>
      <c r="H296" s="631" t="e">
        <v>#N/A</v>
      </c>
      <c r="I296" s="1639" t="e">
        <v>#N/A</v>
      </c>
      <c r="J296" s="844" t="e">
        <v>#N/A</v>
      </c>
    </row>
    <row r="297" spans="1:10">
      <c r="A297" s="134">
        <f t="shared" si="5"/>
        <v>2029.12</v>
      </c>
      <c r="B297" s="613" t="e">
        <v>#N/A</v>
      </c>
      <c r="C297" s="1639" t="e">
        <v>#N/A</v>
      </c>
      <c r="D297" s="457" t="e">
        <v>#N/A</v>
      </c>
      <c r="E297" s="631" t="e">
        <v>#N/A</v>
      </c>
      <c r="F297" s="1639" t="e">
        <v>#N/A</v>
      </c>
      <c r="G297" s="457" t="e">
        <v>#N/A</v>
      </c>
      <c r="H297" s="631" t="e">
        <v>#N/A</v>
      </c>
      <c r="I297" s="1639" t="e">
        <v>#N/A</v>
      </c>
      <c r="J297" s="844" t="e">
        <v>#N/A</v>
      </c>
    </row>
    <row r="298" spans="1:10">
      <c r="A298" s="134">
        <f t="shared" si="5"/>
        <v>2030.01</v>
      </c>
      <c r="B298" s="613" t="e">
        <v>#N/A</v>
      </c>
      <c r="C298" s="1639" t="e">
        <v>#N/A</v>
      </c>
      <c r="D298" s="457" t="e">
        <v>#N/A</v>
      </c>
      <c r="E298" s="631" t="e">
        <v>#N/A</v>
      </c>
      <c r="F298" s="1639" t="e">
        <v>#N/A</v>
      </c>
      <c r="G298" s="457" t="e">
        <v>#N/A</v>
      </c>
      <c r="H298" s="631" t="e">
        <v>#N/A</v>
      </c>
      <c r="I298" s="1639" t="e">
        <v>#N/A</v>
      </c>
      <c r="J298" s="844" t="e">
        <v>#N/A</v>
      </c>
    </row>
    <row r="299" spans="1:10">
      <c r="A299" s="134">
        <f t="shared" si="5"/>
        <v>2030.02</v>
      </c>
      <c r="B299" s="613" t="e">
        <v>#N/A</v>
      </c>
      <c r="C299" s="1639" t="e">
        <v>#N/A</v>
      </c>
      <c r="D299" s="457" t="e">
        <v>#N/A</v>
      </c>
      <c r="E299" s="631" t="e">
        <v>#N/A</v>
      </c>
      <c r="F299" s="1639" t="e">
        <v>#N/A</v>
      </c>
      <c r="G299" s="457" t="e">
        <v>#N/A</v>
      </c>
      <c r="H299" s="631" t="e">
        <v>#N/A</v>
      </c>
      <c r="I299" s="1639" t="e">
        <v>#N/A</v>
      </c>
      <c r="J299" s="844" t="e">
        <v>#N/A</v>
      </c>
    </row>
    <row r="300" spans="1:10">
      <c r="A300" s="134">
        <f t="shared" si="5"/>
        <v>2030.03</v>
      </c>
      <c r="B300" s="613" t="e">
        <v>#N/A</v>
      </c>
      <c r="C300" s="1639" t="e">
        <v>#N/A</v>
      </c>
      <c r="D300" s="457" t="e">
        <v>#N/A</v>
      </c>
      <c r="E300" s="631" t="e">
        <v>#N/A</v>
      </c>
      <c r="F300" s="1639" t="e">
        <v>#N/A</v>
      </c>
      <c r="G300" s="457" t="e">
        <v>#N/A</v>
      </c>
      <c r="H300" s="631" t="e">
        <v>#N/A</v>
      </c>
      <c r="I300" s="1639" t="e">
        <v>#N/A</v>
      </c>
      <c r="J300" s="844" t="e">
        <v>#N/A</v>
      </c>
    </row>
    <row r="301" spans="1:10">
      <c r="A301" s="134">
        <f t="shared" si="5"/>
        <v>2030.04</v>
      </c>
      <c r="B301" s="613" t="e">
        <v>#N/A</v>
      </c>
      <c r="C301" s="1639" t="e">
        <v>#N/A</v>
      </c>
      <c r="D301" s="457" t="e">
        <v>#N/A</v>
      </c>
      <c r="E301" s="631" t="e">
        <v>#N/A</v>
      </c>
      <c r="F301" s="1639" t="e">
        <v>#N/A</v>
      </c>
      <c r="G301" s="457" t="e">
        <v>#N/A</v>
      </c>
      <c r="H301" s="631" t="e">
        <v>#N/A</v>
      </c>
      <c r="I301" s="1639" t="e">
        <v>#N/A</v>
      </c>
      <c r="J301" s="844" t="e">
        <v>#N/A</v>
      </c>
    </row>
    <row r="302" spans="1:10">
      <c r="A302" s="134">
        <f t="shared" si="5"/>
        <v>2030.05</v>
      </c>
      <c r="B302" s="613" t="e">
        <v>#N/A</v>
      </c>
      <c r="C302" s="1639" t="e">
        <v>#N/A</v>
      </c>
      <c r="D302" s="457" t="e">
        <v>#N/A</v>
      </c>
      <c r="E302" s="631" t="e">
        <v>#N/A</v>
      </c>
      <c r="F302" s="1639" t="e">
        <v>#N/A</v>
      </c>
      <c r="G302" s="457" t="e">
        <v>#N/A</v>
      </c>
      <c r="H302" s="631" t="e">
        <v>#N/A</v>
      </c>
      <c r="I302" s="1639" t="e">
        <v>#N/A</v>
      </c>
      <c r="J302" s="844" t="e">
        <v>#N/A</v>
      </c>
    </row>
    <row r="303" spans="1:10">
      <c r="A303" s="134">
        <f t="shared" si="5"/>
        <v>2030.06</v>
      </c>
      <c r="B303" s="613" t="e">
        <v>#N/A</v>
      </c>
      <c r="C303" s="1639" t="e">
        <v>#N/A</v>
      </c>
      <c r="D303" s="457" t="e">
        <v>#N/A</v>
      </c>
      <c r="E303" s="631" t="e">
        <v>#N/A</v>
      </c>
      <c r="F303" s="1639" t="e">
        <v>#N/A</v>
      </c>
      <c r="G303" s="457" t="e">
        <v>#N/A</v>
      </c>
      <c r="H303" s="631" t="e">
        <v>#N/A</v>
      </c>
      <c r="I303" s="1639" t="e">
        <v>#N/A</v>
      </c>
      <c r="J303" s="844" t="e">
        <v>#N/A</v>
      </c>
    </row>
    <row r="304" spans="1:10">
      <c r="A304" s="134">
        <f t="shared" si="5"/>
        <v>2030.07</v>
      </c>
      <c r="B304" s="613" t="e">
        <v>#N/A</v>
      </c>
      <c r="C304" s="1639" t="e">
        <v>#N/A</v>
      </c>
      <c r="D304" s="457" t="e">
        <v>#N/A</v>
      </c>
      <c r="E304" s="631" t="e">
        <v>#N/A</v>
      </c>
      <c r="F304" s="1639" t="e">
        <v>#N/A</v>
      </c>
      <c r="G304" s="457" t="e">
        <v>#N/A</v>
      </c>
      <c r="H304" s="631" t="e">
        <v>#N/A</v>
      </c>
      <c r="I304" s="1639" t="e">
        <v>#N/A</v>
      </c>
      <c r="J304" s="844" t="e">
        <v>#N/A</v>
      </c>
    </row>
    <row r="305" spans="1:10">
      <c r="A305" s="134">
        <f t="shared" si="5"/>
        <v>2030.08</v>
      </c>
      <c r="B305" s="613" t="e">
        <v>#N/A</v>
      </c>
      <c r="C305" s="1639" t="e">
        <v>#N/A</v>
      </c>
      <c r="D305" s="457" t="e">
        <v>#N/A</v>
      </c>
      <c r="E305" s="631" t="e">
        <v>#N/A</v>
      </c>
      <c r="F305" s="1639" t="e">
        <v>#N/A</v>
      </c>
      <c r="G305" s="457" t="e">
        <v>#N/A</v>
      </c>
      <c r="H305" s="631" t="e">
        <v>#N/A</v>
      </c>
      <c r="I305" s="1639" t="e">
        <v>#N/A</v>
      </c>
      <c r="J305" s="844" t="e">
        <v>#N/A</v>
      </c>
    </row>
    <row r="306" spans="1:10">
      <c r="A306" s="134">
        <f t="shared" si="5"/>
        <v>2030.09</v>
      </c>
      <c r="B306" s="613" t="e">
        <v>#N/A</v>
      </c>
      <c r="C306" s="1639" t="e">
        <v>#N/A</v>
      </c>
      <c r="D306" s="457" t="e">
        <v>#N/A</v>
      </c>
      <c r="E306" s="631" t="e">
        <v>#N/A</v>
      </c>
      <c r="F306" s="1639" t="e">
        <v>#N/A</v>
      </c>
      <c r="G306" s="457" t="e">
        <v>#N/A</v>
      </c>
      <c r="H306" s="631" t="e">
        <v>#N/A</v>
      </c>
      <c r="I306" s="1639" t="e">
        <v>#N/A</v>
      </c>
      <c r="J306" s="844" t="e">
        <v>#N/A</v>
      </c>
    </row>
    <row r="307" spans="1:10">
      <c r="A307" s="134">
        <f t="shared" si="5"/>
        <v>2030.1</v>
      </c>
      <c r="B307" s="613" t="e">
        <v>#N/A</v>
      </c>
      <c r="C307" s="1639" t="e">
        <v>#N/A</v>
      </c>
      <c r="D307" s="457" t="e">
        <v>#N/A</v>
      </c>
      <c r="E307" s="631" t="e">
        <v>#N/A</v>
      </c>
      <c r="F307" s="1639" t="e">
        <v>#N/A</v>
      </c>
      <c r="G307" s="457" t="e">
        <v>#N/A</v>
      </c>
      <c r="H307" s="631" t="e">
        <v>#N/A</v>
      </c>
      <c r="I307" s="1639" t="e">
        <v>#N/A</v>
      </c>
      <c r="J307" s="844" t="e">
        <v>#N/A</v>
      </c>
    </row>
    <row r="308" spans="1:10">
      <c r="A308" s="134">
        <f t="shared" si="5"/>
        <v>2030.11</v>
      </c>
      <c r="B308" s="613" t="e">
        <v>#N/A</v>
      </c>
      <c r="C308" s="1639" t="e">
        <v>#N/A</v>
      </c>
      <c r="D308" s="457" t="e">
        <v>#N/A</v>
      </c>
      <c r="E308" s="631" t="e">
        <v>#N/A</v>
      </c>
      <c r="F308" s="1639" t="e">
        <v>#N/A</v>
      </c>
      <c r="G308" s="457" t="e">
        <v>#N/A</v>
      </c>
      <c r="H308" s="631" t="e">
        <v>#N/A</v>
      </c>
      <c r="I308" s="1639" t="e">
        <v>#N/A</v>
      </c>
      <c r="J308" s="844" t="e">
        <v>#N/A</v>
      </c>
    </row>
    <row r="309" spans="1:10">
      <c r="A309" s="134">
        <f t="shared" si="5"/>
        <v>2030.12</v>
      </c>
      <c r="B309" s="613" t="e">
        <v>#N/A</v>
      </c>
      <c r="C309" s="1639" t="e">
        <v>#N/A</v>
      </c>
      <c r="D309" s="457" t="e">
        <v>#N/A</v>
      </c>
      <c r="E309" s="631" t="e">
        <v>#N/A</v>
      </c>
      <c r="F309" s="1639" t="e">
        <v>#N/A</v>
      </c>
      <c r="G309" s="457" t="e">
        <v>#N/A</v>
      </c>
      <c r="H309" s="631" t="e">
        <v>#N/A</v>
      </c>
      <c r="I309" s="1639" t="e">
        <v>#N/A</v>
      </c>
      <c r="J309" s="844" t="e">
        <v>#N/A</v>
      </c>
    </row>
  </sheetData>
  <phoneticPr fontId="0" type="noConversion"/>
  <hyperlinks>
    <hyperlink ref="A5" location="INDICE!A13" display="VOLVER AL INDICE" xr:uid="{00000000-0004-0000-24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sheetPr>
  <dimension ref="A1:B465"/>
  <sheetViews>
    <sheetView zoomScale="130" zoomScaleNormal="130" workbookViewId="0">
      <pane xSplit="1" ySplit="9" topLeftCell="B372" activePane="bottomRight" state="frozen"/>
      <selection activeCell="Y299" sqref="Y299"/>
      <selection pane="topRight" activeCell="Y299" sqref="Y299"/>
      <selection pane="bottomLeft" activeCell="Y299" sqref="Y299"/>
      <selection pane="bottomRight" activeCell="J376" sqref="J376"/>
    </sheetView>
  </sheetViews>
  <sheetFormatPr baseColWidth="10" defaultColWidth="11.42578125" defaultRowHeight="12.75"/>
  <cols>
    <col min="1" max="1" width="10.42578125" style="781" bestFit="1" customWidth="1"/>
    <col min="2" max="16384" width="11.42578125" style="779"/>
  </cols>
  <sheetData>
    <row r="1" spans="1:1">
      <c r="A1" s="37"/>
    </row>
    <row r="2" spans="1:1">
      <c r="A2" s="121" t="s">
        <v>212</v>
      </c>
    </row>
    <row r="3" spans="1:1">
      <c r="A3" s="39" t="s">
        <v>211</v>
      </c>
    </row>
    <row r="4" spans="1:1">
      <c r="A4" s="37"/>
    </row>
    <row r="5" spans="1:1" ht="22.5">
      <c r="A5" s="45" t="s">
        <v>213</v>
      </c>
    </row>
    <row r="6" spans="1:1" ht="3.75" customHeight="1">
      <c r="A6" s="37"/>
    </row>
    <row r="7" spans="1:1" ht="22.5">
      <c r="A7" s="47" t="s">
        <v>210</v>
      </c>
    </row>
    <row r="8" spans="1:1">
      <c r="A8" s="390" t="s">
        <v>412</v>
      </c>
    </row>
    <row r="9" spans="1:1" ht="13.5" thickBot="1">
      <c r="A9" s="152"/>
    </row>
    <row r="10" spans="1:1">
      <c r="A10" s="780">
        <v>1993.01</v>
      </c>
    </row>
    <row r="11" spans="1:1">
      <c r="A11" s="780">
        <v>1993.02</v>
      </c>
    </row>
    <row r="12" spans="1:1">
      <c r="A12" s="780">
        <v>1993.03</v>
      </c>
    </row>
    <row r="13" spans="1:1">
      <c r="A13" s="780">
        <v>1993.04</v>
      </c>
    </row>
    <row r="14" spans="1:1">
      <c r="A14" s="780">
        <v>1993.05</v>
      </c>
    </row>
    <row r="15" spans="1:1">
      <c r="A15" s="780">
        <v>1993.06</v>
      </c>
    </row>
    <row r="16" spans="1:1">
      <c r="A16" s="780">
        <v>1993.07</v>
      </c>
    </row>
    <row r="17" spans="1:1">
      <c r="A17" s="780">
        <v>1993.08</v>
      </c>
    </row>
    <row r="18" spans="1:1">
      <c r="A18" s="780">
        <v>1993.09</v>
      </c>
    </row>
    <row r="19" spans="1:1">
      <c r="A19" s="780">
        <v>1993.1</v>
      </c>
    </row>
    <row r="20" spans="1:1">
      <c r="A20" s="780">
        <v>1993.11</v>
      </c>
    </row>
    <row r="21" spans="1:1">
      <c r="A21" s="780">
        <v>1993.12</v>
      </c>
    </row>
    <row r="22" spans="1:1">
      <c r="A22" s="780">
        <v>1994.01</v>
      </c>
    </row>
    <row r="23" spans="1:1">
      <c r="A23" s="780">
        <v>1994.02</v>
      </c>
    </row>
    <row r="24" spans="1:1">
      <c r="A24" s="780">
        <v>1994.03</v>
      </c>
    </row>
    <row r="25" spans="1:1">
      <c r="A25" s="780">
        <v>1994.04</v>
      </c>
    </row>
    <row r="26" spans="1:1">
      <c r="A26" s="780">
        <v>1994.05</v>
      </c>
    </row>
    <row r="27" spans="1:1">
      <c r="A27" s="780">
        <v>1994.06</v>
      </c>
    </row>
    <row r="28" spans="1:1">
      <c r="A28" s="780">
        <v>1994.07</v>
      </c>
    </row>
    <row r="29" spans="1:1">
      <c r="A29" s="780">
        <v>1994.08</v>
      </c>
    </row>
    <row r="30" spans="1:1">
      <c r="A30" s="780">
        <v>1994.09</v>
      </c>
    </row>
    <row r="31" spans="1:1">
      <c r="A31" s="780">
        <v>1994.1</v>
      </c>
    </row>
    <row r="32" spans="1:1">
      <c r="A32" s="780">
        <v>1994.11</v>
      </c>
    </row>
    <row r="33" spans="1:1">
      <c r="A33" s="780">
        <v>1994.12</v>
      </c>
    </row>
    <row r="34" spans="1:1">
      <c r="A34" s="780">
        <v>1995.01</v>
      </c>
    </row>
    <row r="35" spans="1:1">
      <c r="A35" s="780">
        <v>1995.02</v>
      </c>
    </row>
    <row r="36" spans="1:1">
      <c r="A36" s="780">
        <v>1995.03</v>
      </c>
    </row>
    <row r="37" spans="1:1">
      <c r="A37" s="780">
        <v>1995.04</v>
      </c>
    </row>
    <row r="38" spans="1:1">
      <c r="A38" s="780">
        <v>1995.05</v>
      </c>
    </row>
    <row r="39" spans="1:1">
      <c r="A39" s="780">
        <v>1995.06</v>
      </c>
    </row>
    <row r="40" spans="1:1">
      <c r="A40" s="780">
        <v>1995.07</v>
      </c>
    </row>
    <row r="41" spans="1:1">
      <c r="A41" s="780">
        <v>1995.08</v>
      </c>
    </row>
    <row r="42" spans="1:1">
      <c r="A42" s="780">
        <v>1995.09</v>
      </c>
    </row>
    <row r="43" spans="1:1">
      <c r="A43" s="780">
        <v>1995.1</v>
      </c>
    </row>
    <row r="44" spans="1:1">
      <c r="A44" s="780">
        <v>1995.11</v>
      </c>
    </row>
    <row r="45" spans="1:1">
      <c r="A45" s="780">
        <v>1995.12</v>
      </c>
    </row>
    <row r="46" spans="1:1">
      <c r="A46" s="780">
        <v>1996.01</v>
      </c>
    </row>
    <row r="47" spans="1:1">
      <c r="A47" s="780">
        <v>1996.02</v>
      </c>
    </row>
    <row r="48" spans="1:1">
      <c r="A48" s="780">
        <v>1996.03</v>
      </c>
    </row>
    <row r="49" spans="1:1">
      <c r="A49" s="780">
        <v>1996.04</v>
      </c>
    </row>
    <row r="50" spans="1:1">
      <c r="A50" s="780">
        <v>1996.05</v>
      </c>
    </row>
    <row r="51" spans="1:1">
      <c r="A51" s="780">
        <v>1996.06</v>
      </c>
    </row>
    <row r="52" spans="1:1">
      <c r="A52" s="780">
        <v>1996.07</v>
      </c>
    </row>
    <row r="53" spans="1:1">
      <c r="A53" s="780">
        <v>1996.08</v>
      </c>
    </row>
    <row r="54" spans="1:1">
      <c r="A54" s="780">
        <v>1996.09</v>
      </c>
    </row>
    <row r="55" spans="1:1">
      <c r="A55" s="780">
        <v>1996.1</v>
      </c>
    </row>
    <row r="56" spans="1:1">
      <c r="A56" s="780">
        <v>1996.11</v>
      </c>
    </row>
    <row r="57" spans="1:1">
      <c r="A57" s="780">
        <v>1996.12</v>
      </c>
    </row>
    <row r="58" spans="1:1">
      <c r="A58" s="780">
        <v>1997.01</v>
      </c>
    </row>
    <row r="59" spans="1:1">
      <c r="A59" s="780">
        <v>1997.02</v>
      </c>
    </row>
    <row r="60" spans="1:1">
      <c r="A60" s="780">
        <v>1997.03</v>
      </c>
    </row>
    <row r="61" spans="1:1">
      <c r="A61" s="780">
        <v>1997.04</v>
      </c>
    </row>
    <row r="62" spans="1:1">
      <c r="A62" s="780">
        <v>1997.05</v>
      </c>
    </row>
    <row r="63" spans="1:1">
      <c r="A63" s="780">
        <v>1997.06</v>
      </c>
    </row>
    <row r="64" spans="1:1">
      <c r="A64" s="780">
        <v>1997.07</v>
      </c>
    </row>
    <row r="65" spans="1:1">
      <c r="A65" s="780">
        <v>1997.08</v>
      </c>
    </row>
    <row r="66" spans="1:1">
      <c r="A66" s="780">
        <v>1997.09</v>
      </c>
    </row>
    <row r="67" spans="1:1">
      <c r="A67" s="780">
        <v>1997.1</v>
      </c>
    </row>
    <row r="68" spans="1:1">
      <c r="A68" s="780">
        <v>1997.11</v>
      </c>
    </row>
    <row r="69" spans="1:1">
      <c r="A69" s="780">
        <v>1997.12</v>
      </c>
    </row>
    <row r="70" spans="1:1">
      <c r="A70" s="780">
        <v>1998.01</v>
      </c>
    </row>
    <row r="71" spans="1:1">
      <c r="A71" s="780">
        <v>1998.02</v>
      </c>
    </row>
    <row r="72" spans="1:1">
      <c r="A72" s="780">
        <v>1998.03</v>
      </c>
    </row>
    <row r="73" spans="1:1">
      <c r="A73" s="780">
        <v>1998.04</v>
      </c>
    </row>
    <row r="74" spans="1:1">
      <c r="A74" s="780">
        <v>1998.05</v>
      </c>
    </row>
    <row r="75" spans="1:1">
      <c r="A75" s="780">
        <v>1998.06</v>
      </c>
    </row>
    <row r="76" spans="1:1">
      <c r="A76" s="780">
        <v>1998.07</v>
      </c>
    </row>
    <row r="77" spans="1:1">
      <c r="A77" s="780">
        <v>1998.08</v>
      </c>
    </row>
    <row r="78" spans="1:1">
      <c r="A78" s="780">
        <v>1998.09</v>
      </c>
    </row>
    <row r="79" spans="1:1">
      <c r="A79" s="780">
        <v>1998.1</v>
      </c>
    </row>
    <row r="80" spans="1:1">
      <c r="A80" s="780">
        <v>1998.11</v>
      </c>
    </row>
    <row r="81" spans="1:1">
      <c r="A81" s="780">
        <v>1998.12</v>
      </c>
    </row>
    <row r="82" spans="1:1">
      <c r="A82" s="780">
        <v>1999.01</v>
      </c>
    </row>
    <row r="83" spans="1:1">
      <c r="A83" s="780">
        <v>1999.02</v>
      </c>
    </row>
    <row r="84" spans="1:1">
      <c r="A84" s="780">
        <v>1999.03</v>
      </c>
    </row>
    <row r="85" spans="1:1">
      <c r="A85" s="780">
        <v>1999.04</v>
      </c>
    </row>
    <row r="86" spans="1:1">
      <c r="A86" s="780">
        <v>1999.05</v>
      </c>
    </row>
    <row r="87" spans="1:1">
      <c r="A87" s="780">
        <v>1999.06</v>
      </c>
    </row>
    <row r="88" spans="1:1">
      <c r="A88" s="780">
        <v>1999.07</v>
      </c>
    </row>
    <row r="89" spans="1:1">
      <c r="A89" s="780">
        <v>1999.08</v>
      </c>
    </row>
    <row r="90" spans="1:1">
      <c r="A90" s="780">
        <v>1999.09</v>
      </c>
    </row>
    <row r="91" spans="1:1">
      <c r="A91" s="780">
        <v>1999.1</v>
      </c>
    </row>
    <row r="92" spans="1:1">
      <c r="A92" s="780">
        <v>1999.11</v>
      </c>
    </row>
    <row r="93" spans="1:1">
      <c r="A93" s="780">
        <v>1999.12</v>
      </c>
    </row>
    <row r="94" spans="1:1">
      <c r="A94" s="780">
        <v>2000.01</v>
      </c>
    </row>
    <row r="95" spans="1:1">
      <c r="A95" s="780">
        <v>2000.02</v>
      </c>
    </row>
    <row r="96" spans="1:1">
      <c r="A96" s="780">
        <v>2000.03</v>
      </c>
    </row>
    <row r="97" spans="1:2">
      <c r="A97" s="780">
        <v>2000.04</v>
      </c>
    </row>
    <row r="98" spans="1:2">
      <c r="A98" s="780">
        <v>2000.05</v>
      </c>
    </row>
    <row r="99" spans="1:2">
      <c r="A99" s="780">
        <v>2000.06</v>
      </c>
    </row>
    <row r="100" spans="1:2">
      <c r="A100" s="780">
        <v>2000.07</v>
      </c>
    </row>
    <row r="101" spans="1:2">
      <c r="A101" s="780">
        <v>2000.08</v>
      </c>
      <c r="B101" s="2418"/>
    </row>
    <row r="102" spans="1:2">
      <c r="A102" s="780">
        <v>2000.09</v>
      </c>
      <c r="B102" s="2418"/>
    </row>
    <row r="103" spans="1:2">
      <c r="A103" s="780">
        <v>2000.1</v>
      </c>
      <c r="B103" s="2418"/>
    </row>
    <row r="104" spans="1:2">
      <c r="A104" s="780">
        <v>2000.11</v>
      </c>
      <c r="B104" s="2418"/>
    </row>
    <row r="105" spans="1:2">
      <c r="A105" s="780">
        <v>2000.12</v>
      </c>
      <c r="B105" s="2418"/>
    </row>
    <row r="106" spans="1:2">
      <c r="A106" s="780">
        <v>2001.01</v>
      </c>
      <c r="B106" s="2418"/>
    </row>
    <row r="107" spans="1:2">
      <c r="A107" s="780">
        <v>2001.02</v>
      </c>
      <c r="B107" s="2418"/>
    </row>
    <row r="108" spans="1:2">
      <c r="A108" s="780">
        <v>2001.03</v>
      </c>
      <c r="B108" s="2418"/>
    </row>
    <row r="109" spans="1:2">
      <c r="A109" s="780">
        <v>2001.04</v>
      </c>
      <c r="B109" s="2418"/>
    </row>
    <row r="110" spans="1:2">
      <c r="A110" s="780">
        <v>2001.05</v>
      </c>
      <c r="B110" s="2418"/>
    </row>
    <row r="111" spans="1:2">
      <c r="A111" s="780">
        <v>2001.06</v>
      </c>
      <c r="B111" s="2418"/>
    </row>
    <row r="112" spans="1:2">
      <c r="A112" s="780">
        <v>2001.07</v>
      </c>
      <c r="B112" s="2418"/>
    </row>
    <row r="113" spans="1:2">
      <c r="A113" s="780">
        <v>2001.08</v>
      </c>
      <c r="B113" s="2418"/>
    </row>
    <row r="114" spans="1:2">
      <c r="A114" s="780">
        <v>2001.09</v>
      </c>
      <c r="B114" s="2418"/>
    </row>
    <row r="115" spans="1:2">
      <c r="A115" s="780">
        <v>2001.1</v>
      </c>
      <c r="B115" s="2418"/>
    </row>
    <row r="116" spans="1:2">
      <c r="A116" s="780">
        <v>2001.11</v>
      </c>
      <c r="B116" s="2418"/>
    </row>
    <row r="117" spans="1:2">
      <c r="A117" s="780">
        <v>2001.12</v>
      </c>
      <c r="B117" s="2418"/>
    </row>
    <row r="118" spans="1:2">
      <c r="A118" s="780">
        <v>2002.01</v>
      </c>
      <c r="B118" s="2418"/>
    </row>
    <row r="119" spans="1:2">
      <c r="A119" s="780">
        <v>2002.02</v>
      </c>
      <c r="B119" s="2418"/>
    </row>
    <row r="120" spans="1:2">
      <c r="A120" s="780">
        <v>2002.03</v>
      </c>
      <c r="B120" s="2418"/>
    </row>
    <row r="121" spans="1:2">
      <c r="A121" s="780">
        <v>2002.04</v>
      </c>
      <c r="B121" s="2418"/>
    </row>
    <row r="122" spans="1:2">
      <c r="A122" s="780">
        <v>2002.05</v>
      </c>
      <c r="B122" s="2418"/>
    </row>
    <row r="123" spans="1:2">
      <c r="A123" s="780">
        <v>2002.06</v>
      </c>
      <c r="B123" s="2418"/>
    </row>
    <row r="124" spans="1:2">
      <c r="A124" s="780">
        <v>2002.07</v>
      </c>
      <c r="B124" s="2418"/>
    </row>
    <row r="125" spans="1:2">
      <c r="A125" s="780">
        <v>2002.08</v>
      </c>
      <c r="B125" s="2418"/>
    </row>
    <row r="126" spans="1:2">
      <c r="A126" s="780">
        <v>2002.09</v>
      </c>
      <c r="B126" s="2418"/>
    </row>
    <row r="127" spans="1:2">
      <c r="A127" s="780">
        <v>2002.1</v>
      </c>
      <c r="B127" s="2418"/>
    </row>
    <row r="128" spans="1:2">
      <c r="A128" s="780">
        <v>2002.11</v>
      </c>
      <c r="B128" s="2418"/>
    </row>
    <row r="129" spans="1:2">
      <c r="A129" s="780">
        <v>2002.12</v>
      </c>
      <c r="B129" s="2418"/>
    </row>
    <row r="130" spans="1:2">
      <c r="A130" s="780">
        <v>2003.01</v>
      </c>
      <c r="B130" s="2418"/>
    </row>
    <row r="131" spans="1:2">
      <c r="A131" s="780">
        <v>2003.02</v>
      </c>
      <c r="B131" s="2418"/>
    </row>
    <row r="132" spans="1:2">
      <c r="A132" s="780">
        <v>2003.03</v>
      </c>
      <c r="B132" s="2418"/>
    </row>
    <row r="133" spans="1:2">
      <c r="A133" s="780">
        <v>2003.04</v>
      </c>
      <c r="B133" s="2418"/>
    </row>
    <row r="134" spans="1:2">
      <c r="A134" s="780">
        <v>2003.05</v>
      </c>
      <c r="B134" s="2418"/>
    </row>
    <row r="135" spans="1:2">
      <c r="A135" s="780">
        <v>2003.06</v>
      </c>
      <c r="B135" s="2418"/>
    </row>
    <row r="136" spans="1:2">
      <c r="A136" s="780">
        <v>2003.07</v>
      </c>
      <c r="B136" s="2418"/>
    </row>
    <row r="137" spans="1:2">
      <c r="A137" s="780">
        <v>2003.08</v>
      </c>
      <c r="B137" s="2418"/>
    </row>
    <row r="138" spans="1:2">
      <c r="A138" s="780">
        <v>2003.09</v>
      </c>
      <c r="B138" s="2418"/>
    </row>
    <row r="139" spans="1:2">
      <c r="A139" s="780">
        <v>2003.1</v>
      </c>
      <c r="B139" s="2418"/>
    </row>
    <row r="140" spans="1:2">
      <c r="A140" s="780">
        <v>2003.11</v>
      </c>
      <c r="B140" s="2418"/>
    </row>
    <row r="141" spans="1:2">
      <c r="A141" s="780">
        <v>2003.12</v>
      </c>
      <c r="B141" s="2418"/>
    </row>
    <row r="142" spans="1:2">
      <c r="A142" s="780">
        <v>2004.01</v>
      </c>
      <c r="B142" s="2418"/>
    </row>
    <row r="143" spans="1:2">
      <c r="A143" s="780">
        <v>2004.02</v>
      </c>
      <c r="B143" s="2418"/>
    </row>
    <row r="144" spans="1:2">
      <c r="A144" s="780">
        <v>2004.03</v>
      </c>
      <c r="B144" s="2418"/>
    </row>
    <row r="145" spans="1:2">
      <c r="A145" s="780">
        <v>2004.04</v>
      </c>
      <c r="B145" s="2418"/>
    </row>
    <row r="146" spans="1:2">
      <c r="A146" s="780">
        <v>2004.05</v>
      </c>
      <c r="B146" s="2418"/>
    </row>
    <row r="147" spans="1:2">
      <c r="A147" s="780">
        <v>2004.06</v>
      </c>
      <c r="B147" s="2418"/>
    </row>
    <row r="148" spans="1:2">
      <c r="A148" s="780">
        <v>2004.07</v>
      </c>
      <c r="B148" s="2418"/>
    </row>
    <row r="149" spans="1:2">
      <c r="A149" s="780">
        <v>2004.08</v>
      </c>
      <c r="B149" s="2418"/>
    </row>
    <row r="150" spans="1:2">
      <c r="A150" s="780">
        <v>2004.09</v>
      </c>
      <c r="B150" s="2418"/>
    </row>
    <row r="151" spans="1:2">
      <c r="A151" s="780">
        <v>2004.1</v>
      </c>
      <c r="B151" s="2418"/>
    </row>
    <row r="152" spans="1:2">
      <c r="A152" s="780">
        <v>2004.11</v>
      </c>
      <c r="B152" s="2418"/>
    </row>
    <row r="153" spans="1:2">
      <c r="A153" s="780">
        <v>2004.12</v>
      </c>
      <c r="B153" s="2418"/>
    </row>
    <row r="154" spans="1:2">
      <c r="A154" s="780">
        <v>2005.01</v>
      </c>
      <c r="B154" s="2418"/>
    </row>
    <row r="155" spans="1:2">
      <c r="A155" s="780">
        <v>2005.02</v>
      </c>
      <c r="B155" s="2418"/>
    </row>
    <row r="156" spans="1:2">
      <c r="A156" s="780">
        <v>2005.03</v>
      </c>
      <c r="B156" s="2418"/>
    </row>
    <row r="157" spans="1:2">
      <c r="A157" s="780">
        <v>2005.04</v>
      </c>
      <c r="B157" s="2418"/>
    </row>
    <row r="158" spans="1:2">
      <c r="A158" s="780">
        <v>2005.05</v>
      </c>
      <c r="B158" s="2418"/>
    </row>
    <row r="159" spans="1:2">
      <c r="A159" s="780">
        <v>2005.06</v>
      </c>
      <c r="B159" s="2418"/>
    </row>
    <row r="160" spans="1:2">
      <c r="A160" s="780">
        <v>2005.07</v>
      </c>
      <c r="B160" s="2418"/>
    </row>
    <row r="161" spans="1:2">
      <c r="A161" s="780">
        <v>2005.08</v>
      </c>
      <c r="B161" s="2418"/>
    </row>
    <row r="162" spans="1:2">
      <c r="A162" s="780">
        <v>2005.09</v>
      </c>
      <c r="B162" s="2418"/>
    </row>
    <row r="163" spans="1:2">
      <c r="A163" s="780">
        <v>2005.1</v>
      </c>
      <c r="B163" s="2418"/>
    </row>
    <row r="164" spans="1:2">
      <c r="A164" s="780">
        <v>2005.11</v>
      </c>
      <c r="B164" s="2418"/>
    </row>
    <row r="165" spans="1:2">
      <c r="A165" s="780">
        <v>2005.12</v>
      </c>
      <c r="B165" s="2418"/>
    </row>
    <row r="166" spans="1:2">
      <c r="A166" s="780">
        <v>2006.01</v>
      </c>
      <c r="B166" s="2418"/>
    </row>
    <row r="167" spans="1:2">
      <c r="A167" s="780">
        <v>2006.02</v>
      </c>
      <c r="B167" s="2418"/>
    </row>
    <row r="168" spans="1:2">
      <c r="A168" s="780">
        <v>2006.03</v>
      </c>
      <c r="B168" s="2418"/>
    </row>
    <row r="169" spans="1:2">
      <c r="A169" s="780">
        <v>2006.04</v>
      </c>
      <c r="B169" s="2418"/>
    </row>
    <row r="170" spans="1:2">
      <c r="A170" s="780">
        <v>2006.05</v>
      </c>
      <c r="B170" s="2418"/>
    </row>
    <row r="171" spans="1:2">
      <c r="A171" s="780">
        <v>2006.06</v>
      </c>
      <c r="B171" s="2418"/>
    </row>
    <row r="172" spans="1:2">
      <c r="A172" s="780">
        <v>2006.07</v>
      </c>
      <c r="B172" s="2418"/>
    </row>
    <row r="173" spans="1:2">
      <c r="A173" s="780">
        <v>2006.08</v>
      </c>
      <c r="B173" s="2418"/>
    </row>
    <row r="174" spans="1:2">
      <c r="A174" s="780">
        <v>2006.09</v>
      </c>
      <c r="B174" s="2418"/>
    </row>
    <row r="175" spans="1:2">
      <c r="A175" s="780">
        <v>2006.1</v>
      </c>
      <c r="B175" s="2418"/>
    </row>
    <row r="176" spans="1:2">
      <c r="A176" s="780">
        <v>2006.11</v>
      </c>
      <c r="B176" s="2418"/>
    </row>
    <row r="177" spans="1:2">
      <c r="A177" s="780">
        <v>2006.12</v>
      </c>
      <c r="B177" s="2418"/>
    </row>
    <row r="178" spans="1:2">
      <c r="A178" s="780">
        <v>2007.01</v>
      </c>
      <c r="B178" s="2418"/>
    </row>
    <row r="179" spans="1:2">
      <c r="A179" s="780">
        <v>2007.02</v>
      </c>
      <c r="B179" s="2418"/>
    </row>
    <row r="180" spans="1:2">
      <c r="A180" s="780">
        <v>2007.03</v>
      </c>
      <c r="B180" s="2418"/>
    </row>
    <row r="181" spans="1:2">
      <c r="A181" s="780">
        <v>2007.04</v>
      </c>
      <c r="B181" s="2418"/>
    </row>
    <row r="182" spans="1:2">
      <c r="A182" s="780">
        <v>2007.05</v>
      </c>
      <c r="B182" s="2418"/>
    </row>
    <row r="183" spans="1:2">
      <c r="A183" s="780">
        <v>2007.06</v>
      </c>
      <c r="B183" s="2418"/>
    </row>
    <row r="184" spans="1:2">
      <c r="A184" s="780">
        <v>2007.07</v>
      </c>
      <c r="B184" s="2418"/>
    </row>
    <row r="185" spans="1:2">
      <c r="A185" s="780">
        <v>2007.08</v>
      </c>
      <c r="B185" s="2418"/>
    </row>
    <row r="186" spans="1:2">
      <c r="A186" s="780">
        <v>2007.09</v>
      </c>
      <c r="B186" s="2418"/>
    </row>
    <row r="187" spans="1:2">
      <c r="A187" s="780">
        <v>2007.1</v>
      </c>
      <c r="B187" s="2418"/>
    </row>
    <row r="188" spans="1:2">
      <c r="A188" s="780">
        <v>2007.11</v>
      </c>
      <c r="B188" s="2418"/>
    </row>
    <row r="189" spans="1:2">
      <c r="A189" s="780">
        <v>2007.12</v>
      </c>
      <c r="B189" s="2418"/>
    </row>
    <row r="190" spans="1:2">
      <c r="A190" s="780">
        <v>2008.01</v>
      </c>
      <c r="B190" s="2418"/>
    </row>
    <row r="191" spans="1:2">
      <c r="A191" s="780">
        <v>2008.02</v>
      </c>
      <c r="B191" s="2418"/>
    </row>
    <row r="192" spans="1:2">
      <c r="A192" s="780">
        <v>2008.03</v>
      </c>
      <c r="B192" s="2418"/>
    </row>
    <row r="193" spans="1:2">
      <c r="A193" s="780">
        <v>2008.04</v>
      </c>
      <c r="B193" s="2418"/>
    </row>
    <row r="194" spans="1:2">
      <c r="A194" s="780">
        <v>2008.05</v>
      </c>
      <c r="B194" s="2418"/>
    </row>
    <row r="195" spans="1:2">
      <c r="A195" s="780">
        <v>2008.06</v>
      </c>
      <c r="B195" s="2418"/>
    </row>
    <row r="196" spans="1:2">
      <c r="A196" s="780">
        <v>2008.07</v>
      </c>
      <c r="B196" s="2418"/>
    </row>
    <row r="197" spans="1:2">
      <c r="A197" s="780">
        <v>2008.08</v>
      </c>
      <c r="B197" s="2418"/>
    </row>
    <row r="198" spans="1:2">
      <c r="A198" s="780">
        <v>2008.09</v>
      </c>
      <c r="B198" s="2418"/>
    </row>
    <row r="199" spans="1:2">
      <c r="A199" s="780">
        <v>2008.1</v>
      </c>
      <c r="B199" s="2418"/>
    </row>
    <row r="200" spans="1:2">
      <c r="A200" s="780">
        <v>2008.11</v>
      </c>
      <c r="B200" s="2418"/>
    </row>
    <row r="201" spans="1:2">
      <c r="A201" s="780">
        <v>2008.12</v>
      </c>
      <c r="B201" s="2418"/>
    </row>
    <row r="202" spans="1:2">
      <c r="A202" s="780">
        <f t="shared" ref="A202:A265" si="0">A190+1</f>
        <v>2009.01</v>
      </c>
      <c r="B202" s="2418"/>
    </row>
    <row r="203" spans="1:2">
      <c r="A203" s="780">
        <f t="shared" si="0"/>
        <v>2009.02</v>
      </c>
      <c r="B203" s="2418"/>
    </row>
    <row r="204" spans="1:2">
      <c r="A204" s="780">
        <f t="shared" si="0"/>
        <v>2009.03</v>
      </c>
      <c r="B204" s="2418"/>
    </row>
    <row r="205" spans="1:2">
      <c r="A205" s="780">
        <f t="shared" si="0"/>
        <v>2009.04</v>
      </c>
      <c r="B205" s="2418"/>
    </row>
    <row r="206" spans="1:2">
      <c r="A206" s="780">
        <f t="shared" si="0"/>
        <v>2009.05</v>
      </c>
      <c r="B206" s="2418"/>
    </row>
    <row r="207" spans="1:2">
      <c r="A207" s="780">
        <f t="shared" si="0"/>
        <v>2009.06</v>
      </c>
      <c r="B207" s="2418"/>
    </row>
    <row r="208" spans="1:2">
      <c r="A208" s="780">
        <f t="shared" si="0"/>
        <v>2009.07</v>
      </c>
      <c r="B208" s="2418"/>
    </row>
    <row r="209" spans="1:2">
      <c r="A209" s="780">
        <f t="shared" si="0"/>
        <v>2009.08</v>
      </c>
      <c r="B209" s="2418"/>
    </row>
    <row r="210" spans="1:2">
      <c r="A210" s="780">
        <f t="shared" si="0"/>
        <v>2009.09</v>
      </c>
      <c r="B210" s="2418"/>
    </row>
    <row r="211" spans="1:2">
      <c r="A211" s="780">
        <f t="shared" si="0"/>
        <v>2009.1</v>
      </c>
      <c r="B211" s="2418"/>
    </row>
    <row r="212" spans="1:2">
      <c r="A212" s="780">
        <f t="shared" si="0"/>
        <v>2009.11</v>
      </c>
      <c r="B212" s="2418"/>
    </row>
    <row r="213" spans="1:2">
      <c r="A213" s="780">
        <f t="shared" si="0"/>
        <v>2009.12</v>
      </c>
      <c r="B213" s="2418"/>
    </row>
    <row r="214" spans="1:2">
      <c r="A214" s="780">
        <f t="shared" si="0"/>
        <v>2010.01</v>
      </c>
      <c r="B214" s="2418"/>
    </row>
    <row r="215" spans="1:2">
      <c r="A215" s="780">
        <f t="shared" si="0"/>
        <v>2010.02</v>
      </c>
      <c r="B215" s="2418"/>
    </row>
    <row r="216" spans="1:2">
      <c r="A216" s="780">
        <f t="shared" si="0"/>
        <v>2010.03</v>
      </c>
      <c r="B216" s="2418"/>
    </row>
    <row r="217" spans="1:2">
      <c r="A217" s="780">
        <f t="shared" si="0"/>
        <v>2010.04</v>
      </c>
      <c r="B217" s="2418"/>
    </row>
    <row r="218" spans="1:2">
      <c r="A218" s="780">
        <f t="shared" si="0"/>
        <v>2010.05</v>
      </c>
      <c r="B218" s="2418"/>
    </row>
    <row r="219" spans="1:2">
      <c r="A219" s="780">
        <f t="shared" si="0"/>
        <v>2010.06</v>
      </c>
      <c r="B219" s="2418"/>
    </row>
    <row r="220" spans="1:2">
      <c r="A220" s="780">
        <f t="shared" si="0"/>
        <v>2010.07</v>
      </c>
      <c r="B220" s="2418"/>
    </row>
    <row r="221" spans="1:2">
      <c r="A221" s="780">
        <f t="shared" si="0"/>
        <v>2010.08</v>
      </c>
      <c r="B221" s="2418"/>
    </row>
    <row r="222" spans="1:2">
      <c r="A222" s="780">
        <f t="shared" si="0"/>
        <v>2010.09</v>
      </c>
      <c r="B222" s="2418"/>
    </row>
    <row r="223" spans="1:2">
      <c r="A223" s="780">
        <f t="shared" si="0"/>
        <v>2010.1</v>
      </c>
      <c r="B223" s="2418"/>
    </row>
    <row r="224" spans="1:2">
      <c r="A224" s="780">
        <f t="shared" si="0"/>
        <v>2010.11</v>
      </c>
      <c r="B224" s="2418"/>
    </row>
    <row r="225" spans="1:2">
      <c r="A225" s="780">
        <f t="shared" si="0"/>
        <v>2010.12</v>
      </c>
      <c r="B225" s="2418"/>
    </row>
    <row r="226" spans="1:2">
      <c r="A226" s="780">
        <f t="shared" si="0"/>
        <v>2011.01</v>
      </c>
      <c r="B226" s="2418"/>
    </row>
    <row r="227" spans="1:2">
      <c r="A227" s="780">
        <f t="shared" si="0"/>
        <v>2011.02</v>
      </c>
      <c r="B227" s="2418"/>
    </row>
    <row r="228" spans="1:2">
      <c r="A228" s="780">
        <f t="shared" si="0"/>
        <v>2011.03</v>
      </c>
      <c r="B228" s="2418"/>
    </row>
    <row r="229" spans="1:2">
      <c r="A229" s="780">
        <f t="shared" si="0"/>
        <v>2011.04</v>
      </c>
      <c r="B229" s="2418"/>
    </row>
    <row r="230" spans="1:2">
      <c r="A230" s="780">
        <f t="shared" si="0"/>
        <v>2011.05</v>
      </c>
      <c r="B230" s="2418"/>
    </row>
    <row r="231" spans="1:2">
      <c r="A231" s="780">
        <f t="shared" si="0"/>
        <v>2011.06</v>
      </c>
      <c r="B231" s="2418"/>
    </row>
    <row r="232" spans="1:2">
      <c r="A232" s="780">
        <f t="shared" si="0"/>
        <v>2011.07</v>
      </c>
      <c r="B232" s="2418"/>
    </row>
    <row r="233" spans="1:2">
      <c r="A233" s="780">
        <f t="shared" si="0"/>
        <v>2011.08</v>
      </c>
      <c r="B233" s="2418"/>
    </row>
    <row r="234" spans="1:2">
      <c r="A234" s="780">
        <f t="shared" si="0"/>
        <v>2011.09</v>
      </c>
      <c r="B234" s="2418"/>
    </row>
    <row r="235" spans="1:2">
      <c r="A235" s="780">
        <f t="shared" si="0"/>
        <v>2011.1</v>
      </c>
      <c r="B235" s="2418"/>
    </row>
    <row r="236" spans="1:2">
      <c r="A236" s="780">
        <f t="shared" si="0"/>
        <v>2011.11</v>
      </c>
      <c r="B236" s="2418"/>
    </row>
    <row r="237" spans="1:2">
      <c r="A237" s="780">
        <f t="shared" si="0"/>
        <v>2011.12</v>
      </c>
      <c r="B237" s="2418"/>
    </row>
    <row r="238" spans="1:2">
      <c r="A238" s="780">
        <f t="shared" si="0"/>
        <v>2012.01</v>
      </c>
      <c r="B238" s="2418"/>
    </row>
    <row r="239" spans="1:2">
      <c r="A239" s="780">
        <f t="shared" si="0"/>
        <v>2012.02</v>
      </c>
      <c r="B239" s="2418"/>
    </row>
    <row r="240" spans="1:2">
      <c r="A240" s="780">
        <f t="shared" si="0"/>
        <v>2012.03</v>
      </c>
      <c r="B240" s="2418"/>
    </row>
    <row r="241" spans="1:2">
      <c r="A241" s="780">
        <f t="shared" si="0"/>
        <v>2012.04</v>
      </c>
      <c r="B241" s="2418"/>
    </row>
    <row r="242" spans="1:2">
      <c r="A242" s="780">
        <f t="shared" si="0"/>
        <v>2012.05</v>
      </c>
      <c r="B242" s="2418"/>
    </row>
    <row r="243" spans="1:2">
      <c r="A243" s="780">
        <f t="shared" si="0"/>
        <v>2012.06</v>
      </c>
      <c r="B243" s="2418"/>
    </row>
    <row r="244" spans="1:2">
      <c r="A244" s="780">
        <f t="shared" si="0"/>
        <v>2012.07</v>
      </c>
      <c r="B244" s="2418"/>
    </row>
    <row r="245" spans="1:2">
      <c r="A245" s="780">
        <f t="shared" si="0"/>
        <v>2012.08</v>
      </c>
      <c r="B245" s="2418"/>
    </row>
    <row r="246" spans="1:2">
      <c r="A246" s="780">
        <f t="shared" si="0"/>
        <v>2012.09</v>
      </c>
      <c r="B246" s="2418"/>
    </row>
    <row r="247" spans="1:2">
      <c r="A247" s="780">
        <f t="shared" si="0"/>
        <v>2012.1</v>
      </c>
      <c r="B247" s="2418"/>
    </row>
    <row r="248" spans="1:2">
      <c r="A248" s="780">
        <f t="shared" si="0"/>
        <v>2012.11</v>
      </c>
      <c r="B248" s="2418"/>
    </row>
    <row r="249" spans="1:2">
      <c r="A249" s="780">
        <f t="shared" si="0"/>
        <v>2012.12</v>
      </c>
      <c r="B249" s="2418"/>
    </row>
    <row r="250" spans="1:2">
      <c r="A250" s="780">
        <f t="shared" si="0"/>
        <v>2013.01</v>
      </c>
      <c r="B250" s="2418"/>
    </row>
    <row r="251" spans="1:2">
      <c r="A251" s="780">
        <f t="shared" si="0"/>
        <v>2013.02</v>
      </c>
      <c r="B251" s="2418"/>
    </row>
    <row r="252" spans="1:2">
      <c r="A252" s="780">
        <f t="shared" si="0"/>
        <v>2013.03</v>
      </c>
      <c r="B252" s="2418"/>
    </row>
    <row r="253" spans="1:2">
      <c r="A253" s="780">
        <f t="shared" si="0"/>
        <v>2013.04</v>
      </c>
      <c r="B253" s="2418"/>
    </row>
    <row r="254" spans="1:2">
      <c r="A254" s="780">
        <f t="shared" si="0"/>
        <v>2013.05</v>
      </c>
      <c r="B254" s="2418"/>
    </row>
    <row r="255" spans="1:2">
      <c r="A255" s="780">
        <f t="shared" si="0"/>
        <v>2013.06</v>
      </c>
      <c r="B255" s="2418"/>
    </row>
    <row r="256" spans="1:2">
      <c r="A256" s="780">
        <f t="shared" si="0"/>
        <v>2013.07</v>
      </c>
      <c r="B256" s="2418"/>
    </row>
    <row r="257" spans="1:2">
      <c r="A257" s="780">
        <f t="shared" si="0"/>
        <v>2013.08</v>
      </c>
      <c r="B257" s="2418"/>
    </row>
    <row r="258" spans="1:2">
      <c r="A258" s="780">
        <f t="shared" si="0"/>
        <v>2013.09</v>
      </c>
      <c r="B258" s="2418"/>
    </row>
    <row r="259" spans="1:2">
      <c r="A259" s="780">
        <f t="shared" si="0"/>
        <v>2013.1</v>
      </c>
      <c r="B259" s="2418"/>
    </row>
    <row r="260" spans="1:2">
      <c r="A260" s="780">
        <f t="shared" si="0"/>
        <v>2013.11</v>
      </c>
      <c r="B260" s="2418"/>
    </row>
    <row r="261" spans="1:2">
      <c r="A261" s="780">
        <f t="shared" si="0"/>
        <v>2013.12</v>
      </c>
      <c r="B261" s="2418"/>
    </row>
    <row r="262" spans="1:2">
      <c r="A262" s="780">
        <f t="shared" si="0"/>
        <v>2014.01</v>
      </c>
      <c r="B262" s="2418"/>
    </row>
    <row r="263" spans="1:2">
      <c r="A263" s="780">
        <f t="shared" si="0"/>
        <v>2014.02</v>
      </c>
      <c r="B263" s="2418"/>
    </row>
    <row r="264" spans="1:2">
      <c r="A264" s="780">
        <f t="shared" si="0"/>
        <v>2014.03</v>
      </c>
      <c r="B264" s="2418"/>
    </row>
    <row r="265" spans="1:2">
      <c r="A265" s="780">
        <f t="shared" si="0"/>
        <v>2014.04</v>
      </c>
      <c r="B265" s="2418"/>
    </row>
    <row r="266" spans="1:2">
      <c r="A266" s="780">
        <f t="shared" ref="A266:A329" si="1">A254+1</f>
        <v>2014.05</v>
      </c>
      <c r="B266" s="2418"/>
    </row>
    <row r="267" spans="1:2">
      <c r="A267" s="780">
        <f t="shared" si="1"/>
        <v>2014.06</v>
      </c>
      <c r="B267" s="2418"/>
    </row>
    <row r="268" spans="1:2">
      <c r="A268" s="780">
        <f t="shared" si="1"/>
        <v>2014.07</v>
      </c>
      <c r="B268" s="2418"/>
    </row>
    <row r="269" spans="1:2">
      <c r="A269" s="780">
        <f t="shared" si="1"/>
        <v>2014.08</v>
      </c>
      <c r="B269" s="2418"/>
    </row>
    <row r="270" spans="1:2">
      <c r="A270" s="780">
        <f t="shared" si="1"/>
        <v>2014.09</v>
      </c>
      <c r="B270" s="2418"/>
    </row>
    <row r="271" spans="1:2">
      <c r="A271" s="780">
        <f t="shared" si="1"/>
        <v>2014.1</v>
      </c>
      <c r="B271" s="2418"/>
    </row>
    <row r="272" spans="1:2">
      <c r="A272" s="780">
        <f t="shared" si="1"/>
        <v>2014.11</v>
      </c>
      <c r="B272" s="2418"/>
    </row>
    <row r="273" spans="1:2">
      <c r="A273" s="780">
        <f t="shared" si="1"/>
        <v>2014.12</v>
      </c>
      <c r="B273" s="2418"/>
    </row>
    <row r="274" spans="1:2">
      <c r="A274" s="780">
        <f t="shared" si="1"/>
        <v>2015.01</v>
      </c>
      <c r="B274" s="2418"/>
    </row>
    <row r="275" spans="1:2">
      <c r="A275" s="780">
        <f t="shared" si="1"/>
        <v>2015.02</v>
      </c>
      <c r="B275" s="2418"/>
    </row>
    <row r="276" spans="1:2">
      <c r="A276" s="780">
        <f t="shared" si="1"/>
        <v>2015.03</v>
      </c>
      <c r="B276" s="2418"/>
    </row>
    <row r="277" spans="1:2">
      <c r="A277" s="780">
        <f t="shared" si="1"/>
        <v>2015.04</v>
      </c>
      <c r="B277" s="2418"/>
    </row>
    <row r="278" spans="1:2">
      <c r="A278" s="780">
        <f t="shared" si="1"/>
        <v>2015.05</v>
      </c>
      <c r="B278" s="2418"/>
    </row>
    <row r="279" spans="1:2">
      <c r="A279" s="780">
        <f t="shared" si="1"/>
        <v>2015.06</v>
      </c>
      <c r="B279" s="2418"/>
    </row>
    <row r="280" spans="1:2">
      <c r="A280" s="780">
        <f t="shared" si="1"/>
        <v>2015.07</v>
      </c>
      <c r="B280" s="2418"/>
    </row>
    <row r="281" spans="1:2">
      <c r="A281" s="780">
        <f t="shared" si="1"/>
        <v>2015.08</v>
      </c>
      <c r="B281" s="2418"/>
    </row>
    <row r="282" spans="1:2">
      <c r="A282" s="780">
        <f t="shared" si="1"/>
        <v>2015.09</v>
      </c>
      <c r="B282" s="2418"/>
    </row>
    <row r="283" spans="1:2">
      <c r="A283" s="780">
        <f t="shared" si="1"/>
        <v>2015.1</v>
      </c>
      <c r="B283" s="2418"/>
    </row>
    <row r="284" spans="1:2">
      <c r="A284" s="780">
        <f t="shared" si="1"/>
        <v>2015.11</v>
      </c>
      <c r="B284" s="2418"/>
    </row>
    <row r="285" spans="1:2">
      <c r="A285" s="780">
        <f t="shared" si="1"/>
        <v>2015.12</v>
      </c>
      <c r="B285" s="2418"/>
    </row>
    <row r="286" spans="1:2">
      <c r="A286" s="780">
        <f t="shared" si="1"/>
        <v>2016.01</v>
      </c>
      <c r="B286" s="2418"/>
    </row>
    <row r="287" spans="1:2">
      <c r="A287" s="780">
        <f t="shared" si="1"/>
        <v>2016.02</v>
      </c>
      <c r="B287" s="2418"/>
    </row>
    <row r="288" spans="1:2">
      <c r="A288" s="780">
        <f t="shared" si="1"/>
        <v>2016.03</v>
      </c>
      <c r="B288" s="2418"/>
    </row>
    <row r="289" spans="1:2">
      <c r="A289" s="780">
        <f t="shared" si="1"/>
        <v>2016.04</v>
      </c>
      <c r="B289" s="2418"/>
    </row>
    <row r="290" spans="1:2">
      <c r="A290" s="780">
        <f t="shared" si="1"/>
        <v>2016.05</v>
      </c>
      <c r="B290" s="2418"/>
    </row>
    <row r="291" spans="1:2">
      <c r="A291" s="780">
        <f t="shared" si="1"/>
        <v>2016.06</v>
      </c>
      <c r="B291" s="2418"/>
    </row>
    <row r="292" spans="1:2">
      <c r="A292" s="780">
        <f t="shared" si="1"/>
        <v>2016.07</v>
      </c>
      <c r="B292" s="2418"/>
    </row>
    <row r="293" spans="1:2">
      <c r="A293" s="780">
        <f t="shared" si="1"/>
        <v>2016.08</v>
      </c>
      <c r="B293" s="2418"/>
    </row>
    <row r="294" spans="1:2">
      <c r="A294" s="780">
        <f t="shared" si="1"/>
        <v>2016.09</v>
      </c>
      <c r="B294" s="2418"/>
    </row>
    <row r="295" spans="1:2">
      <c r="A295" s="780">
        <f t="shared" si="1"/>
        <v>2016.1</v>
      </c>
      <c r="B295" s="2418"/>
    </row>
    <row r="296" spans="1:2">
      <c r="A296" s="780">
        <f t="shared" si="1"/>
        <v>2016.11</v>
      </c>
      <c r="B296" s="2418"/>
    </row>
    <row r="297" spans="1:2">
      <c r="A297" s="780">
        <f t="shared" si="1"/>
        <v>2016.12</v>
      </c>
      <c r="B297" s="2418"/>
    </row>
    <row r="298" spans="1:2">
      <c r="A298" s="780">
        <f t="shared" si="1"/>
        <v>2017.01</v>
      </c>
      <c r="B298" s="2418"/>
    </row>
    <row r="299" spans="1:2">
      <c r="A299" s="780">
        <f t="shared" si="1"/>
        <v>2017.02</v>
      </c>
      <c r="B299" s="2418"/>
    </row>
    <row r="300" spans="1:2">
      <c r="A300" s="780">
        <f t="shared" si="1"/>
        <v>2017.03</v>
      </c>
      <c r="B300" s="2418"/>
    </row>
    <row r="301" spans="1:2">
      <c r="A301" s="780">
        <f t="shared" si="1"/>
        <v>2017.04</v>
      </c>
      <c r="B301" s="2418"/>
    </row>
    <row r="302" spans="1:2">
      <c r="A302" s="780">
        <f t="shared" si="1"/>
        <v>2017.05</v>
      </c>
      <c r="B302" s="2418"/>
    </row>
    <row r="303" spans="1:2">
      <c r="A303" s="780">
        <f t="shared" si="1"/>
        <v>2017.06</v>
      </c>
      <c r="B303" s="2418"/>
    </row>
    <row r="304" spans="1:2">
      <c r="A304" s="780">
        <f t="shared" si="1"/>
        <v>2017.07</v>
      </c>
      <c r="B304" s="2418"/>
    </row>
    <row r="305" spans="1:2">
      <c r="A305" s="780">
        <f t="shared" si="1"/>
        <v>2017.08</v>
      </c>
      <c r="B305" s="2418"/>
    </row>
    <row r="306" spans="1:2">
      <c r="A306" s="780">
        <f t="shared" si="1"/>
        <v>2017.09</v>
      </c>
      <c r="B306" s="2418"/>
    </row>
    <row r="307" spans="1:2">
      <c r="A307" s="780">
        <f t="shared" si="1"/>
        <v>2017.1</v>
      </c>
      <c r="B307" s="2418"/>
    </row>
    <row r="308" spans="1:2">
      <c r="A308" s="780">
        <f t="shared" si="1"/>
        <v>2017.11</v>
      </c>
      <c r="B308" s="2418"/>
    </row>
    <row r="309" spans="1:2">
      <c r="A309" s="780">
        <f t="shared" si="1"/>
        <v>2017.12</v>
      </c>
      <c r="B309" s="2418"/>
    </row>
    <row r="310" spans="1:2">
      <c r="A310" s="780">
        <f t="shared" si="1"/>
        <v>2018.01</v>
      </c>
      <c r="B310" s="2418"/>
    </row>
    <row r="311" spans="1:2">
      <c r="A311" s="780">
        <f t="shared" si="1"/>
        <v>2018.02</v>
      </c>
      <c r="B311" s="2418"/>
    </row>
    <row r="312" spans="1:2">
      <c r="A312" s="780">
        <f t="shared" si="1"/>
        <v>2018.03</v>
      </c>
      <c r="B312" s="2418"/>
    </row>
    <row r="313" spans="1:2">
      <c r="A313" s="780">
        <f t="shared" si="1"/>
        <v>2018.04</v>
      </c>
      <c r="B313" s="2418"/>
    </row>
    <row r="314" spans="1:2">
      <c r="A314" s="780">
        <f t="shared" si="1"/>
        <v>2018.05</v>
      </c>
      <c r="B314" s="2418"/>
    </row>
    <row r="315" spans="1:2">
      <c r="A315" s="780">
        <f t="shared" si="1"/>
        <v>2018.06</v>
      </c>
      <c r="B315" s="2418"/>
    </row>
    <row r="316" spans="1:2">
      <c r="A316" s="780">
        <f t="shared" si="1"/>
        <v>2018.07</v>
      </c>
      <c r="B316" s="2418"/>
    </row>
    <row r="317" spans="1:2">
      <c r="A317" s="780">
        <f t="shared" si="1"/>
        <v>2018.08</v>
      </c>
      <c r="B317" s="2418"/>
    </row>
    <row r="318" spans="1:2">
      <c r="A318" s="780">
        <f t="shared" si="1"/>
        <v>2018.09</v>
      </c>
      <c r="B318" s="2418"/>
    </row>
    <row r="319" spans="1:2">
      <c r="A319" s="780">
        <f t="shared" si="1"/>
        <v>2018.1</v>
      </c>
      <c r="B319" s="2418"/>
    </row>
    <row r="320" spans="1:2">
      <c r="A320" s="780">
        <f t="shared" si="1"/>
        <v>2018.11</v>
      </c>
      <c r="B320" s="2418"/>
    </row>
    <row r="321" spans="1:2">
      <c r="A321" s="780">
        <f t="shared" si="1"/>
        <v>2018.12</v>
      </c>
      <c r="B321" s="2418"/>
    </row>
    <row r="322" spans="1:2">
      <c r="A322" s="780">
        <f t="shared" si="1"/>
        <v>2019.01</v>
      </c>
      <c r="B322" s="2418"/>
    </row>
    <row r="323" spans="1:2">
      <c r="A323" s="780">
        <f t="shared" si="1"/>
        <v>2019.02</v>
      </c>
      <c r="B323" s="2418"/>
    </row>
    <row r="324" spans="1:2">
      <c r="A324" s="780">
        <f t="shared" si="1"/>
        <v>2019.03</v>
      </c>
      <c r="B324" s="2418"/>
    </row>
    <row r="325" spans="1:2">
      <c r="A325" s="780">
        <f t="shared" si="1"/>
        <v>2019.04</v>
      </c>
      <c r="B325" s="2418"/>
    </row>
    <row r="326" spans="1:2">
      <c r="A326" s="780">
        <f t="shared" si="1"/>
        <v>2019.05</v>
      </c>
      <c r="B326" s="2418"/>
    </row>
    <row r="327" spans="1:2">
      <c r="A327" s="780">
        <f t="shared" si="1"/>
        <v>2019.06</v>
      </c>
      <c r="B327" s="2418"/>
    </row>
    <row r="328" spans="1:2">
      <c r="A328" s="780">
        <f t="shared" si="1"/>
        <v>2019.07</v>
      </c>
      <c r="B328" s="2418"/>
    </row>
    <row r="329" spans="1:2">
      <c r="A329" s="780">
        <f t="shared" si="1"/>
        <v>2019.08</v>
      </c>
      <c r="B329" s="2418"/>
    </row>
    <row r="330" spans="1:2">
      <c r="A330" s="780">
        <f t="shared" ref="A330:A393" si="2">A318+1</f>
        <v>2019.09</v>
      </c>
      <c r="B330" s="2418"/>
    </row>
    <row r="331" spans="1:2">
      <c r="A331" s="780">
        <f t="shared" si="2"/>
        <v>2019.1</v>
      </c>
      <c r="B331" s="2418"/>
    </row>
    <row r="332" spans="1:2">
      <c r="A332" s="780">
        <f t="shared" si="2"/>
        <v>2019.11</v>
      </c>
      <c r="B332" s="2418"/>
    </row>
    <row r="333" spans="1:2">
      <c r="A333" s="780">
        <f t="shared" si="2"/>
        <v>2019.12</v>
      </c>
      <c r="B333" s="2418"/>
    </row>
    <row r="334" spans="1:2">
      <c r="A334" s="780">
        <f t="shared" si="2"/>
        <v>2020.01</v>
      </c>
      <c r="B334" s="2431"/>
    </row>
    <row r="335" spans="1:2">
      <c r="A335" s="780">
        <f t="shared" si="2"/>
        <v>2020.02</v>
      </c>
      <c r="B335" s="2431"/>
    </row>
    <row r="336" spans="1:2">
      <c r="A336" s="780">
        <f t="shared" si="2"/>
        <v>2020.03</v>
      </c>
      <c r="B336" s="2431"/>
    </row>
    <row r="337" spans="1:2">
      <c r="A337" s="780">
        <f t="shared" si="2"/>
        <v>2020.04</v>
      </c>
      <c r="B337" s="2431"/>
    </row>
    <row r="338" spans="1:2">
      <c r="A338" s="780">
        <f t="shared" si="2"/>
        <v>2020.05</v>
      </c>
      <c r="B338" s="2431"/>
    </row>
    <row r="339" spans="1:2">
      <c r="A339" s="780">
        <f t="shared" si="2"/>
        <v>2020.06</v>
      </c>
      <c r="B339" s="2431"/>
    </row>
    <row r="340" spans="1:2">
      <c r="A340" s="780">
        <f t="shared" si="2"/>
        <v>2020.07</v>
      </c>
      <c r="B340" s="2431"/>
    </row>
    <row r="341" spans="1:2">
      <c r="A341" s="780">
        <f t="shared" si="2"/>
        <v>2020.08</v>
      </c>
      <c r="B341" s="2431"/>
    </row>
    <row r="342" spans="1:2">
      <c r="A342" s="780">
        <f t="shared" si="2"/>
        <v>2020.09</v>
      </c>
      <c r="B342" s="2431"/>
    </row>
    <row r="343" spans="1:2">
      <c r="A343" s="780">
        <f t="shared" si="2"/>
        <v>2020.1</v>
      </c>
      <c r="B343" s="2431"/>
    </row>
    <row r="344" spans="1:2">
      <c r="A344" s="780">
        <f t="shared" si="2"/>
        <v>2020.11</v>
      </c>
      <c r="B344" s="2431"/>
    </row>
    <row r="345" spans="1:2">
      <c r="A345" s="780">
        <f t="shared" si="2"/>
        <v>2020.12</v>
      </c>
      <c r="B345" s="2431"/>
    </row>
    <row r="346" spans="1:2">
      <c r="A346" s="780">
        <f t="shared" si="2"/>
        <v>2021.01</v>
      </c>
    </row>
    <row r="347" spans="1:2">
      <c r="A347" s="780">
        <f t="shared" si="2"/>
        <v>2021.02</v>
      </c>
    </row>
    <row r="348" spans="1:2">
      <c r="A348" s="780">
        <f t="shared" si="2"/>
        <v>2021.03</v>
      </c>
    </row>
    <row r="349" spans="1:2">
      <c r="A349" s="780">
        <f t="shared" si="2"/>
        <v>2021.04</v>
      </c>
    </row>
    <row r="350" spans="1:2">
      <c r="A350" s="780">
        <f t="shared" si="2"/>
        <v>2021.05</v>
      </c>
    </row>
    <row r="351" spans="1:2">
      <c r="A351" s="780">
        <f t="shared" si="2"/>
        <v>2021.06</v>
      </c>
    </row>
    <row r="352" spans="1:2">
      <c r="A352" s="780">
        <f t="shared" si="2"/>
        <v>2021.07</v>
      </c>
    </row>
    <row r="353" spans="1:1">
      <c r="A353" s="780">
        <f t="shared" si="2"/>
        <v>2021.08</v>
      </c>
    </row>
    <row r="354" spans="1:1">
      <c r="A354" s="780">
        <f t="shared" si="2"/>
        <v>2021.09</v>
      </c>
    </row>
    <row r="355" spans="1:1">
      <c r="A355" s="780">
        <f t="shared" si="2"/>
        <v>2021.1</v>
      </c>
    </row>
    <row r="356" spans="1:1">
      <c r="A356" s="780">
        <f t="shared" si="2"/>
        <v>2021.11</v>
      </c>
    </row>
    <row r="357" spans="1:1">
      <c r="A357" s="780">
        <f t="shared" si="2"/>
        <v>2021.12</v>
      </c>
    </row>
    <row r="358" spans="1:1">
      <c r="A358" s="780">
        <f t="shared" si="2"/>
        <v>2022.01</v>
      </c>
    </row>
    <row r="359" spans="1:1">
      <c r="A359" s="780">
        <f t="shared" si="2"/>
        <v>2022.02</v>
      </c>
    </row>
    <row r="360" spans="1:1">
      <c r="A360" s="780">
        <f t="shared" si="2"/>
        <v>2022.03</v>
      </c>
    </row>
    <row r="361" spans="1:1">
      <c r="A361" s="780">
        <f t="shared" si="2"/>
        <v>2022.04</v>
      </c>
    </row>
    <row r="362" spans="1:1">
      <c r="A362" s="780">
        <f t="shared" si="2"/>
        <v>2022.05</v>
      </c>
    </row>
    <row r="363" spans="1:1">
      <c r="A363" s="780">
        <f t="shared" si="2"/>
        <v>2022.06</v>
      </c>
    </row>
    <row r="364" spans="1:1">
      <c r="A364" s="780">
        <f t="shared" si="2"/>
        <v>2022.07</v>
      </c>
    </row>
    <row r="365" spans="1:1">
      <c r="A365" s="780">
        <f t="shared" si="2"/>
        <v>2022.08</v>
      </c>
    </row>
    <row r="366" spans="1:1">
      <c r="A366" s="780">
        <f t="shared" si="2"/>
        <v>2022.09</v>
      </c>
    </row>
    <row r="367" spans="1:1">
      <c r="A367" s="780">
        <f t="shared" si="2"/>
        <v>2022.1</v>
      </c>
    </row>
    <row r="368" spans="1:1">
      <c r="A368" s="780">
        <f t="shared" si="2"/>
        <v>2022.11</v>
      </c>
    </row>
    <row r="369" spans="1:1">
      <c r="A369" s="780">
        <f t="shared" si="2"/>
        <v>2022.12</v>
      </c>
    </row>
    <row r="370" spans="1:1">
      <c r="A370" s="780">
        <f t="shared" si="2"/>
        <v>2023.01</v>
      </c>
    </row>
    <row r="371" spans="1:1">
      <c r="A371" s="780">
        <f t="shared" si="2"/>
        <v>2023.02</v>
      </c>
    </row>
    <row r="372" spans="1:1">
      <c r="A372" s="780">
        <f t="shared" si="2"/>
        <v>2023.03</v>
      </c>
    </row>
    <row r="373" spans="1:1">
      <c r="A373" s="780">
        <f t="shared" si="2"/>
        <v>2023.04</v>
      </c>
    </row>
    <row r="374" spans="1:1">
      <c r="A374" s="780">
        <f t="shared" si="2"/>
        <v>2023.05</v>
      </c>
    </row>
    <row r="375" spans="1:1">
      <c r="A375" s="780">
        <f t="shared" si="2"/>
        <v>2023.06</v>
      </c>
    </row>
    <row r="376" spans="1:1">
      <c r="A376" s="780">
        <f t="shared" si="2"/>
        <v>2023.07</v>
      </c>
    </row>
    <row r="377" spans="1:1">
      <c r="A377" s="780">
        <f t="shared" si="2"/>
        <v>2023.08</v>
      </c>
    </row>
    <row r="378" spans="1:1">
      <c r="A378" s="780">
        <f t="shared" si="2"/>
        <v>2023.09</v>
      </c>
    </row>
    <row r="379" spans="1:1">
      <c r="A379" s="780">
        <f t="shared" si="2"/>
        <v>2023.1</v>
      </c>
    </row>
    <row r="380" spans="1:1">
      <c r="A380" s="780">
        <f t="shared" si="2"/>
        <v>2023.11</v>
      </c>
    </row>
    <row r="381" spans="1:1">
      <c r="A381" s="780">
        <f t="shared" si="2"/>
        <v>2023.12</v>
      </c>
    </row>
    <row r="382" spans="1:1">
      <c r="A382" s="780">
        <f t="shared" si="2"/>
        <v>2024.01</v>
      </c>
    </row>
    <row r="383" spans="1:1">
      <c r="A383" s="780">
        <f t="shared" si="2"/>
        <v>2024.02</v>
      </c>
    </row>
    <row r="384" spans="1:1">
      <c r="A384" s="780">
        <f t="shared" si="2"/>
        <v>2024.03</v>
      </c>
    </row>
    <row r="385" spans="1:1">
      <c r="A385" s="780">
        <f t="shared" si="2"/>
        <v>2024.04</v>
      </c>
    </row>
    <row r="386" spans="1:1">
      <c r="A386" s="780">
        <f t="shared" si="2"/>
        <v>2024.05</v>
      </c>
    </row>
    <row r="387" spans="1:1">
      <c r="A387" s="780">
        <f t="shared" si="2"/>
        <v>2024.06</v>
      </c>
    </row>
    <row r="388" spans="1:1">
      <c r="A388" s="780">
        <f t="shared" si="2"/>
        <v>2024.07</v>
      </c>
    </row>
    <row r="389" spans="1:1">
      <c r="A389" s="780">
        <f t="shared" si="2"/>
        <v>2024.08</v>
      </c>
    </row>
    <row r="390" spans="1:1">
      <c r="A390" s="780">
        <f t="shared" si="2"/>
        <v>2024.09</v>
      </c>
    </row>
    <row r="391" spans="1:1">
      <c r="A391" s="780">
        <f t="shared" si="2"/>
        <v>2024.1</v>
      </c>
    </row>
    <row r="392" spans="1:1">
      <c r="A392" s="780">
        <f t="shared" si="2"/>
        <v>2024.11</v>
      </c>
    </row>
    <row r="393" spans="1:1">
      <c r="A393" s="780">
        <f t="shared" si="2"/>
        <v>2024.12</v>
      </c>
    </row>
    <row r="394" spans="1:1">
      <c r="A394" s="780">
        <f t="shared" ref="A394:A457" si="3">A382+1</f>
        <v>2025.01</v>
      </c>
    </row>
    <row r="395" spans="1:1">
      <c r="A395" s="780">
        <f t="shared" si="3"/>
        <v>2025.02</v>
      </c>
    </row>
    <row r="396" spans="1:1">
      <c r="A396" s="780">
        <f t="shared" si="3"/>
        <v>2025.03</v>
      </c>
    </row>
    <row r="397" spans="1:1">
      <c r="A397" s="780">
        <f t="shared" si="3"/>
        <v>2025.04</v>
      </c>
    </row>
    <row r="398" spans="1:1">
      <c r="A398" s="780">
        <f t="shared" si="3"/>
        <v>2025.05</v>
      </c>
    </row>
    <row r="399" spans="1:1">
      <c r="A399" s="780">
        <f t="shared" si="3"/>
        <v>2025.06</v>
      </c>
    </row>
    <row r="400" spans="1:1">
      <c r="A400" s="780">
        <f t="shared" si="3"/>
        <v>2025.07</v>
      </c>
    </row>
    <row r="401" spans="1:1">
      <c r="A401" s="780">
        <f t="shared" si="3"/>
        <v>2025.08</v>
      </c>
    </row>
    <row r="402" spans="1:1">
      <c r="A402" s="780">
        <f t="shared" si="3"/>
        <v>2025.09</v>
      </c>
    </row>
    <row r="403" spans="1:1">
      <c r="A403" s="780">
        <f t="shared" si="3"/>
        <v>2025.1</v>
      </c>
    </row>
    <row r="404" spans="1:1">
      <c r="A404" s="780">
        <f t="shared" si="3"/>
        <v>2025.11</v>
      </c>
    </row>
    <row r="405" spans="1:1">
      <c r="A405" s="780">
        <f t="shared" si="3"/>
        <v>2025.12</v>
      </c>
    </row>
    <row r="406" spans="1:1">
      <c r="A406" s="780">
        <f t="shared" si="3"/>
        <v>2026.01</v>
      </c>
    </row>
    <row r="407" spans="1:1">
      <c r="A407" s="780">
        <f t="shared" si="3"/>
        <v>2026.02</v>
      </c>
    </row>
    <row r="408" spans="1:1">
      <c r="A408" s="780">
        <f t="shared" si="3"/>
        <v>2026.03</v>
      </c>
    </row>
    <row r="409" spans="1:1">
      <c r="A409" s="780">
        <f t="shared" si="3"/>
        <v>2026.04</v>
      </c>
    </row>
    <row r="410" spans="1:1">
      <c r="A410" s="780">
        <f t="shared" si="3"/>
        <v>2026.05</v>
      </c>
    </row>
    <row r="411" spans="1:1">
      <c r="A411" s="780">
        <f t="shared" si="3"/>
        <v>2026.06</v>
      </c>
    </row>
    <row r="412" spans="1:1">
      <c r="A412" s="780">
        <f t="shared" si="3"/>
        <v>2026.07</v>
      </c>
    </row>
    <row r="413" spans="1:1">
      <c r="A413" s="780">
        <f t="shared" si="3"/>
        <v>2026.08</v>
      </c>
    </row>
    <row r="414" spans="1:1">
      <c r="A414" s="780">
        <f t="shared" si="3"/>
        <v>2026.09</v>
      </c>
    </row>
    <row r="415" spans="1:1">
      <c r="A415" s="780">
        <f t="shared" si="3"/>
        <v>2026.1</v>
      </c>
    </row>
    <row r="416" spans="1:1">
      <c r="A416" s="780">
        <f t="shared" si="3"/>
        <v>2026.11</v>
      </c>
    </row>
    <row r="417" spans="1:1">
      <c r="A417" s="780">
        <f t="shared" si="3"/>
        <v>2026.12</v>
      </c>
    </row>
    <row r="418" spans="1:1">
      <c r="A418" s="780">
        <f t="shared" si="3"/>
        <v>2027.01</v>
      </c>
    </row>
    <row r="419" spans="1:1">
      <c r="A419" s="780">
        <f t="shared" si="3"/>
        <v>2027.02</v>
      </c>
    </row>
    <row r="420" spans="1:1">
      <c r="A420" s="780">
        <f t="shared" si="3"/>
        <v>2027.03</v>
      </c>
    </row>
    <row r="421" spans="1:1">
      <c r="A421" s="780">
        <f t="shared" si="3"/>
        <v>2027.04</v>
      </c>
    </row>
    <row r="422" spans="1:1">
      <c r="A422" s="780">
        <f t="shared" si="3"/>
        <v>2027.05</v>
      </c>
    </row>
    <row r="423" spans="1:1">
      <c r="A423" s="780">
        <f t="shared" si="3"/>
        <v>2027.06</v>
      </c>
    </row>
    <row r="424" spans="1:1">
      <c r="A424" s="780">
        <f t="shared" si="3"/>
        <v>2027.07</v>
      </c>
    </row>
    <row r="425" spans="1:1">
      <c r="A425" s="780">
        <f t="shared" si="3"/>
        <v>2027.08</v>
      </c>
    </row>
    <row r="426" spans="1:1">
      <c r="A426" s="780">
        <f t="shared" si="3"/>
        <v>2027.09</v>
      </c>
    </row>
    <row r="427" spans="1:1">
      <c r="A427" s="780">
        <f t="shared" si="3"/>
        <v>2027.1</v>
      </c>
    </row>
    <row r="428" spans="1:1">
      <c r="A428" s="780">
        <f t="shared" si="3"/>
        <v>2027.11</v>
      </c>
    </row>
    <row r="429" spans="1:1">
      <c r="A429" s="780">
        <f t="shared" si="3"/>
        <v>2027.12</v>
      </c>
    </row>
    <row r="430" spans="1:1">
      <c r="A430" s="780">
        <f t="shared" si="3"/>
        <v>2028.01</v>
      </c>
    </row>
    <row r="431" spans="1:1">
      <c r="A431" s="780">
        <f t="shared" si="3"/>
        <v>2028.02</v>
      </c>
    </row>
    <row r="432" spans="1:1">
      <c r="A432" s="780">
        <f t="shared" si="3"/>
        <v>2028.03</v>
      </c>
    </row>
    <row r="433" spans="1:1">
      <c r="A433" s="780">
        <f t="shared" si="3"/>
        <v>2028.04</v>
      </c>
    </row>
    <row r="434" spans="1:1">
      <c r="A434" s="780">
        <f t="shared" si="3"/>
        <v>2028.05</v>
      </c>
    </row>
    <row r="435" spans="1:1">
      <c r="A435" s="780">
        <f t="shared" si="3"/>
        <v>2028.06</v>
      </c>
    </row>
    <row r="436" spans="1:1">
      <c r="A436" s="780">
        <f t="shared" si="3"/>
        <v>2028.07</v>
      </c>
    </row>
    <row r="437" spans="1:1">
      <c r="A437" s="780">
        <f t="shared" si="3"/>
        <v>2028.08</v>
      </c>
    </row>
    <row r="438" spans="1:1">
      <c r="A438" s="780">
        <f t="shared" si="3"/>
        <v>2028.09</v>
      </c>
    </row>
    <row r="439" spans="1:1">
      <c r="A439" s="780">
        <f t="shared" si="3"/>
        <v>2028.1</v>
      </c>
    </row>
    <row r="440" spans="1:1">
      <c r="A440" s="780">
        <f t="shared" si="3"/>
        <v>2028.11</v>
      </c>
    </row>
    <row r="441" spans="1:1">
      <c r="A441" s="780">
        <f t="shared" si="3"/>
        <v>2028.12</v>
      </c>
    </row>
    <row r="442" spans="1:1">
      <c r="A442" s="780">
        <f t="shared" si="3"/>
        <v>2029.01</v>
      </c>
    </row>
    <row r="443" spans="1:1">
      <c r="A443" s="780">
        <f t="shared" si="3"/>
        <v>2029.02</v>
      </c>
    </row>
    <row r="444" spans="1:1">
      <c r="A444" s="780">
        <f t="shared" si="3"/>
        <v>2029.03</v>
      </c>
    </row>
    <row r="445" spans="1:1">
      <c r="A445" s="780">
        <f t="shared" si="3"/>
        <v>2029.04</v>
      </c>
    </row>
    <row r="446" spans="1:1">
      <c r="A446" s="780">
        <f t="shared" si="3"/>
        <v>2029.05</v>
      </c>
    </row>
    <row r="447" spans="1:1">
      <c r="A447" s="780">
        <f t="shared" si="3"/>
        <v>2029.06</v>
      </c>
    </row>
    <row r="448" spans="1:1">
      <c r="A448" s="780">
        <f t="shared" si="3"/>
        <v>2029.07</v>
      </c>
    </row>
    <row r="449" spans="1:1">
      <c r="A449" s="780">
        <f t="shared" si="3"/>
        <v>2029.08</v>
      </c>
    </row>
    <row r="450" spans="1:1">
      <c r="A450" s="780">
        <f t="shared" si="3"/>
        <v>2029.09</v>
      </c>
    </row>
    <row r="451" spans="1:1">
      <c r="A451" s="780">
        <f t="shared" si="3"/>
        <v>2029.1</v>
      </c>
    </row>
    <row r="452" spans="1:1">
      <c r="A452" s="780">
        <f t="shared" si="3"/>
        <v>2029.11</v>
      </c>
    </row>
    <row r="453" spans="1:1">
      <c r="A453" s="780">
        <f t="shared" si="3"/>
        <v>2029.12</v>
      </c>
    </row>
    <row r="454" spans="1:1">
      <c r="A454" s="780">
        <f t="shared" si="3"/>
        <v>2030.01</v>
      </c>
    </row>
    <row r="455" spans="1:1">
      <c r="A455" s="780">
        <f t="shared" si="3"/>
        <v>2030.02</v>
      </c>
    </row>
    <row r="456" spans="1:1">
      <c r="A456" s="780">
        <f t="shared" si="3"/>
        <v>2030.03</v>
      </c>
    </row>
    <row r="457" spans="1:1">
      <c r="A457" s="780">
        <f t="shared" si="3"/>
        <v>2030.04</v>
      </c>
    </row>
    <row r="458" spans="1:1">
      <c r="A458" s="780">
        <f t="shared" ref="A458:A465" si="4">A446+1</f>
        <v>2030.05</v>
      </c>
    </row>
    <row r="459" spans="1:1">
      <c r="A459" s="780">
        <f t="shared" si="4"/>
        <v>2030.06</v>
      </c>
    </row>
    <row r="460" spans="1:1">
      <c r="A460" s="780">
        <f t="shared" si="4"/>
        <v>2030.07</v>
      </c>
    </row>
    <row r="461" spans="1:1">
      <c r="A461" s="780">
        <f t="shared" si="4"/>
        <v>2030.08</v>
      </c>
    </row>
    <row r="462" spans="1:1">
      <c r="A462" s="780">
        <f t="shared" si="4"/>
        <v>2030.09</v>
      </c>
    </row>
    <row r="463" spans="1:1">
      <c r="A463" s="780">
        <f t="shared" si="4"/>
        <v>2030.1</v>
      </c>
    </row>
    <row r="464" spans="1:1">
      <c r="A464" s="780">
        <f t="shared" si="4"/>
        <v>2030.11</v>
      </c>
    </row>
    <row r="465" spans="1:1">
      <c r="A465" s="780">
        <f t="shared" si="4"/>
        <v>2030.12</v>
      </c>
    </row>
  </sheetData>
  <hyperlinks>
    <hyperlink ref="A5" location="INDICE!A13" display="VOLVER AL INDICE" xr:uid="{00000000-0004-0000-2500-000000000000}"/>
  </hyperlinks>
  <pageMargins left="0.75" right="0.75" top="1" bottom="1" header="0" footer="0"/>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C0EB-87AA-4AC4-9BF2-3BD21EA6316B}">
  <dimension ref="A1:Q319"/>
  <sheetViews>
    <sheetView zoomScaleNormal="100" workbookViewId="0">
      <pane xSplit="1" ySplit="9" topLeftCell="B28"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9.7109375" style="133" bestFit="1" customWidth="1"/>
    <col min="2" max="5" width="15.5703125" style="3265" customWidth="1"/>
    <col min="6" max="17" width="15.5703125" style="3266" customWidth="1"/>
    <col min="18" max="16384" width="11.42578125" style="784"/>
  </cols>
  <sheetData>
    <row r="1" spans="1:17" ht="3.75" customHeight="1">
      <c r="A1" s="37"/>
      <c r="B1" s="3174"/>
      <c r="C1" s="3175"/>
      <c r="D1" s="2576"/>
      <c r="E1" s="2576"/>
      <c r="F1" s="3176"/>
      <c r="G1" s="3177"/>
      <c r="H1" s="3178"/>
      <c r="I1" s="3178"/>
      <c r="J1" s="3178"/>
      <c r="K1" s="3178"/>
      <c r="L1" s="453"/>
      <c r="M1" s="453"/>
      <c r="N1" s="3179"/>
      <c r="O1" s="3179"/>
      <c r="P1" s="3179"/>
      <c r="Q1" s="3180"/>
    </row>
    <row r="2" spans="1:17" ht="22.5">
      <c r="A2" s="3181" t="s">
        <v>212</v>
      </c>
      <c r="B2" s="3182" t="s">
        <v>1600</v>
      </c>
      <c r="C2" s="3183"/>
      <c r="D2" s="3184"/>
      <c r="E2" s="3185"/>
      <c r="F2" s="3184" t="s">
        <v>1600</v>
      </c>
      <c r="G2" s="3186"/>
      <c r="H2" s="3186"/>
      <c r="I2" s="3186"/>
      <c r="J2" s="3186"/>
      <c r="K2" s="3187"/>
      <c r="L2" s="3188"/>
      <c r="M2" s="3186"/>
      <c r="N2" s="3186"/>
      <c r="O2" s="3186"/>
      <c r="P2" s="3186"/>
      <c r="Q2" s="3189"/>
    </row>
    <row r="3" spans="1:17">
      <c r="A3" s="3190" t="s">
        <v>330</v>
      </c>
      <c r="B3" s="3191" t="s">
        <v>1601</v>
      </c>
      <c r="C3" s="3192"/>
      <c r="D3" s="3193"/>
      <c r="E3" s="3192"/>
      <c r="F3" s="3194" t="s">
        <v>1601</v>
      </c>
      <c r="G3" s="3195"/>
      <c r="H3" s="3195"/>
      <c r="I3" s="3195"/>
      <c r="J3" s="3195"/>
      <c r="K3" s="3196"/>
      <c r="L3" s="3194"/>
      <c r="M3" s="3195"/>
      <c r="N3" s="3197"/>
      <c r="O3" s="3197"/>
      <c r="P3" s="3197"/>
      <c r="Q3" s="3198"/>
    </row>
    <row r="4" spans="1:17">
      <c r="A4" s="2296"/>
      <c r="B4" s="3184" t="s">
        <v>1602</v>
      </c>
      <c r="C4" s="3199"/>
      <c r="D4" s="3200"/>
      <c r="E4" s="3199"/>
      <c r="F4" s="3201" t="s">
        <v>1603</v>
      </c>
      <c r="G4" s="3202"/>
      <c r="H4" s="3202"/>
      <c r="I4" s="3202"/>
      <c r="J4" s="3202"/>
      <c r="K4" s="3203"/>
      <c r="L4" s="3184"/>
      <c r="M4" s="3204"/>
      <c r="N4" s="3204"/>
      <c r="O4" s="3204"/>
      <c r="P4" s="3204"/>
      <c r="Q4" s="3205"/>
    </row>
    <row r="5" spans="1:17" ht="22.5">
      <c r="A5" s="3206" t="s">
        <v>213</v>
      </c>
      <c r="B5" s="3207" t="s">
        <v>1372</v>
      </c>
      <c r="C5" s="3208"/>
      <c r="D5" s="3209" t="s">
        <v>1604</v>
      </c>
      <c r="E5" s="3208"/>
      <c r="F5" s="3210" t="s">
        <v>1372</v>
      </c>
      <c r="G5" s="3211"/>
      <c r="H5" s="3211"/>
      <c r="I5" s="3211"/>
      <c r="J5" s="3211"/>
      <c r="K5" s="3212"/>
      <c r="L5" s="3209" t="s">
        <v>1604</v>
      </c>
      <c r="M5" s="3211"/>
      <c r="N5" s="3211"/>
      <c r="O5" s="3211"/>
      <c r="P5" s="3211"/>
      <c r="Q5" s="3213"/>
    </row>
    <row r="6" spans="1:17" ht="39.75" customHeight="1">
      <c r="A6" s="3214" t="s">
        <v>1605</v>
      </c>
      <c r="B6" s="3215" t="s">
        <v>1606</v>
      </c>
      <c r="C6" s="3216" t="s">
        <v>1607</v>
      </c>
      <c r="D6" s="3215" t="s">
        <v>1606</v>
      </c>
      <c r="E6" s="3216" t="s">
        <v>1607</v>
      </c>
      <c r="F6" s="3217" t="s">
        <v>1608</v>
      </c>
      <c r="G6" s="3218" t="s">
        <v>1609</v>
      </c>
      <c r="H6" s="3218" t="s">
        <v>1610</v>
      </c>
      <c r="I6" s="3218" t="s">
        <v>1611</v>
      </c>
      <c r="J6" s="3218" t="s">
        <v>1612</v>
      </c>
      <c r="K6" s="3219" t="s">
        <v>1613</v>
      </c>
      <c r="L6" s="3220" t="s">
        <v>1608</v>
      </c>
      <c r="M6" s="3221" t="s">
        <v>1609</v>
      </c>
      <c r="N6" s="3221" t="s">
        <v>1610</v>
      </c>
      <c r="O6" s="3221" t="s">
        <v>1611</v>
      </c>
      <c r="P6" s="3218" t="s">
        <v>1612</v>
      </c>
      <c r="Q6" s="3222" t="s">
        <v>1613</v>
      </c>
    </row>
    <row r="7" spans="1:17" ht="30.75" customHeight="1">
      <c r="A7" s="3214" t="s">
        <v>210</v>
      </c>
      <c r="B7" s="3223" t="s">
        <v>1614</v>
      </c>
      <c r="C7" s="3224" t="s">
        <v>1614</v>
      </c>
      <c r="D7" s="3223" t="s">
        <v>1614</v>
      </c>
      <c r="E7" s="3224" t="s">
        <v>1614</v>
      </c>
      <c r="F7" s="3225" t="s">
        <v>72</v>
      </c>
      <c r="G7" s="3226" t="s">
        <v>72</v>
      </c>
      <c r="H7" s="3226" t="s">
        <v>72</v>
      </c>
      <c r="I7" s="3226" t="s">
        <v>72</v>
      </c>
      <c r="J7" s="3226" t="s">
        <v>72</v>
      </c>
      <c r="K7" s="3227" t="s">
        <v>72</v>
      </c>
      <c r="L7" s="3228" t="s">
        <v>72</v>
      </c>
      <c r="M7" s="3226" t="s">
        <v>72</v>
      </c>
      <c r="N7" s="3226" t="s">
        <v>72</v>
      </c>
      <c r="O7" s="3226" t="s">
        <v>72</v>
      </c>
      <c r="P7" s="3226" t="s">
        <v>72</v>
      </c>
      <c r="Q7" s="3229" t="s">
        <v>72</v>
      </c>
    </row>
    <row r="8" spans="1:17">
      <c r="A8" s="2301" t="s">
        <v>412</v>
      </c>
      <c r="B8" s="3267" t="s">
        <v>1615</v>
      </c>
      <c r="C8" s="3268" t="s">
        <v>1616</v>
      </c>
      <c r="D8" s="3267" t="s">
        <v>1617</v>
      </c>
      <c r="E8" s="3268" t="s">
        <v>1618</v>
      </c>
      <c r="F8" s="3269" t="s">
        <v>1619</v>
      </c>
      <c r="G8" s="3270" t="s">
        <v>1620</v>
      </c>
      <c r="H8" s="3270" t="s">
        <v>1621</v>
      </c>
      <c r="I8" s="3270" t="s">
        <v>1622</v>
      </c>
      <c r="J8" s="3270" t="s">
        <v>1623</v>
      </c>
      <c r="K8" s="3271" t="s">
        <v>1624</v>
      </c>
      <c r="L8" s="3272" t="s">
        <v>1625</v>
      </c>
      <c r="M8" s="3270" t="s">
        <v>1626</v>
      </c>
      <c r="N8" s="3270" t="s">
        <v>1627</v>
      </c>
      <c r="O8" s="3270" t="s">
        <v>1628</v>
      </c>
      <c r="P8" s="3270" t="s">
        <v>1629</v>
      </c>
      <c r="Q8" s="3273" t="s">
        <v>1630</v>
      </c>
    </row>
    <row r="9" spans="1:17" ht="6.75" customHeight="1" thickBot="1">
      <c r="A9" s="3230"/>
      <c r="B9" s="3231"/>
      <c r="C9" s="3232"/>
      <c r="D9" s="3233"/>
      <c r="E9" s="3232"/>
      <c r="F9" s="3234"/>
      <c r="G9" s="3221"/>
      <c r="H9" s="3221"/>
      <c r="I9" s="3221"/>
      <c r="J9" s="3221"/>
      <c r="K9" s="3235"/>
      <c r="L9" s="3220"/>
      <c r="M9" s="3221"/>
      <c r="N9" s="3221"/>
      <c r="O9" s="3221"/>
      <c r="P9" s="3221"/>
      <c r="Q9" s="3236"/>
    </row>
    <row r="10" spans="1:17">
      <c r="A10" s="3237">
        <v>2014.1</v>
      </c>
      <c r="B10" s="3238">
        <v>2191</v>
      </c>
      <c r="C10" s="3239">
        <v>1576</v>
      </c>
      <c r="D10" s="3240">
        <v>213076</v>
      </c>
      <c r="E10" s="3239">
        <v>195755</v>
      </c>
      <c r="F10" s="3241">
        <v>809689.91</v>
      </c>
      <c r="G10" s="3242">
        <v>6219723.9000000004</v>
      </c>
      <c r="H10" s="3242">
        <v>539478.06999999995</v>
      </c>
      <c r="I10" s="3242">
        <v>198963.18</v>
      </c>
      <c r="J10" s="3242">
        <v>657800</v>
      </c>
      <c r="K10" s="3239">
        <v>1424751.89</v>
      </c>
      <c r="L10" s="3241">
        <v>4854210.8099999996</v>
      </c>
      <c r="M10" s="3242">
        <v>11187555.23</v>
      </c>
      <c r="N10" s="3242">
        <v>6013060.5700000003</v>
      </c>
      <c r="O10" s="3242">
        <v>5548026.9299999997</v>
      </c>
      <c r="P10" s="3242">
        <v>666971</v>
      </c>
      <c r="Q10" s="3243">
        <v>1451061.35</v>
      </c>
    </row>
    <row r="11" spans="1:17">
      <c r="A11" s="3237">
        <v>2014.2</v>
      </c>
      <c r="B11" s="3244">
        <v>4614</v>
      </c>
      <c r="C11" s="3245">
        <v>3103</v>
      </c>
      <c r="D11" s="3244">
        <v>233380</v>
      </c>
      <c r="E11" s="3245">
        <v>214339</v>
      </c>
      <c r="F11" s="3246">
        <v>947848.06</v>
      </c>
      <c r="G11" s="3247">
        <v>16798504</v>
      </c>
      <c r="H11" s="3247">
        <v>574404.04</v>
      </c>
      <c r="I11" s="3247">
        <v>258055.99</v>
      </c>
      <c r="J11" s="3247">
        <v>1336569</v>
      </c>
      <c r="K11" s="3245">
        <v>2147864</v>
      </c>
      <c r="L11" s="3248">
        <v>6823898.0099999998</v>
      </c>
      <c r="M11" s="3247">
        <v>23580642.280000001</v>
      </c>
      <c r="N11" s="3247">
        <v>7007247.5599999996</v>
      </c>
      <c r="O11" s="3247">
        <v>6820957.1900000004</v>
      </c>
      <c r="P11" s="3247">
        <v>1387034</v>
      </c>
      <c r="Q11" s="3249">
        <v>2199007.0299999998</v>
      </c>
    </row>
    <row r="12" spans="1:17">
      <c r="A12" s="3237">
        <v>2014.3</v>
      </c>
      <c r="B12" s="3244">
        <v>4683</v>
      </c>
      <c r="C12" s="3245">
        <v>4920</v>
      </c>
      <c r="D12" s="3244">
        <v>219946</v>
      </c>
      <c r="E12" s="3245">
        <v>215814</v>
      </c>
      <c r="F12" s="3246">
        <v>681149.35</v>
      </c>
      <c r="G12" s="3247">
        <v>15173968.279999999</v>
      </c>
      <c r="H12" s="3247">
        <v>749774.86</v>
      </c>
      <c r="I12" s="3247">
        <v>293972.11</v>
      </c>
      <c r="J12" s="3247">
        <v>1548392</v>
      </c>
      <c r="K12" s="3245">
        <v>1238748.0900000001</v>
      </c>
      <c r="L12" s="3248">
        <v>7644657.8499999996</v>
      </c>
      <c r="M12" s="3247">
        <v>20743103.010000002</v>
      </c>
      <c r="N12" s="3247">
        <v>7037270.46</v>
      </c>
      <c r="O12" s="3247">
        <v>6117652.2800000003</v>
      </c>
      <c r="P12" s="3247">
        <v>1767636</v>
      </c>
      <c r="Q12" s="3249">
        <v>1459348.65</v>
      </c>
    </row>
    <row r="13" spans="1:17">
      <c r="A13" s="3237">
        <v>2014.4</v>
      </c>
      <c r="B13" s="3244">
        <v>3570</v>
      </c>
      <c r="C13" s="3245">
        <v>3342</v>
      </c>
      <c r="D13" s="3244">
        <v>209483</v>
      </c>
      <c r="E13" s="3245">
        <v>197732</v>
      </c>
      <c r="F13" s="3246">
        <v>887894.52</v>
      </c>
      <c r="G13" s="3247">
        <v>11343488</v>
      </c>
      <c r="H13" s="3247">
        <v>686085.06</v>
      </c>
      <c r="I13" s="3247">
        <v>342371.99</v>
      </c>
      <c r="J13" s="3247">
        <v>677861</v>
      </c>
      <c r="K13" s="3245">
        <v>998850</v>
      </c>
      <c r="L13" s="3248">
        <v>5059029.22</v>
      </c>
      <c r="M13" s="3247">
        <v>14246881.49</v>
      </c>
      <c r="N13" s="3247">
        <v>6829991.2699999996</v>
      </c>
      <c r="O13" s="3247">
        <v>6749742.21</v>
      </c>
      <c r="P13" s="3247">
        <v>947906</v>
      </c>
      <c r="Q13" s="3249">
        <v>1346395.88</v>
      </c>
    </row>
    <row r="14" spans="1:17">
      <c r="A14" s="3237">
        <f t="shared" ref="A14:A77" si="0">A10+1</f>
        <v>2015.1</v>
      </c>
      <c r="B14" s="3244">
        <v>3094</v>
      </c>
      <c r="C14" s="3245">
        <v>2688</v>
      </c>
      <c r="D14" s="3244">
        <v>188393</v>
      </c>
      <c r="E14" s="3245">
        <v>193638</v>
      </c>
      <c r="F14" s="3246">
        <v>407447.6</v>
      </c>
      <c r="G14" s="3247">
        <v>10854450.109999999</v>
      </c>
      <c r="H14" s="3247">
        <v>909879.5</v>
      </c>
      <c r="I14" s="3247">
        <v>296253.33</v>
      </c>
      <c r="J14" s="3247">
        <v>1116189</v>
      </c>
      <c r="K14" s="3245">
        <v>1310038</v>
      </c>
      <c r="L14" s="3248">
        <v>3907670.25</v>
      </c>
      <c r="M14" s="3247">
        <v>14815729.199999999</v>
      </c>
      <c r="N14" s="3247">
        <v>6792594.1399999997</v>
      </c>
      <c r="O14" s="3247">
        <v>6018210.3300000001</v>
      </c>
      <c r="P14" s="3247">
        <v>1307730</v>
      </c>
      <c r="Q14" s="3249">
        <v>1507718.47</v>
      </c>
    </row>
    <row r="15" spans="1:17">
      <c r="A15" s="3237">
        <f t="shared" si="0"/>
        <v>2015.2</v>
      </c>
      <c r="B15" s="3244">
        <v>3640</v>
      </c>
      <c r="C15" s="3245">
        <v>4032</v>
      </c>
      <c r="D15" s="3244">
        <v>223610</v>
      </c>
      <c r="E15" s="3245">
        <v>228389</v>
      </c>
      <c r="F15" s="3246">
        <v>491890.53</v>
      </c>
      <c r="G15" s="3247">
        <v>17813063.469999999</v>
      </c>
      <c r="H15" s="3247">
        <v>1259235.56</v>
      </c>
      <c r="I15" s="3247">
        <v>173330.8</v>
      </c>
      <c r="J15" s="3247">
        <v>1278224</v>
      </c>
      <c r="K15" s="3245">
        <v>1518840</v>
      </c>
      <c r="L15" s="3248">
        <v>5679756.4800000004</v>
      </c>
      <c r="M15" s="3247">
        <v>25012983.719999999</v>
      </c>
      <c r="N15" s="3247">
        <v>7706239.1399999997</v>
      </c>
      <c r="O15" s="3247">
        <v>6302350.9900000002</v>
      </c>
      <c r="P15" s="3247">
        <v>1439381</v>
      </c>
      <c r="Q15" s="3249">
        <v>1713975.6</v>
      </c>
    </row>
    <row r="16" spans="1:17">
      <c r="A16" s="3237">
        <f t="shared" si="0"/>
        <v>2015.3</v>
      </c>
      <c r="B16" s="3244">
        <v>5096</v>
      </c>
      <c r="C16" s="3245">
        <v>5222</v>
      </c>
      <c r="D16" s="3244">
        <v>226802</v>
      </c>
      <c r="E16" s="3245">
        <v>227574</v>
      </c>
      <c r="F16" s="3246">
        <v>501414</v>
      </c>
      <c r="G16" s="3247">
        <v>18504291.370000001</v>
      </c>
      <c r="H16" s="3247">
        <v>1211049.75</v>
      </c>
      <c r="I16" s="3247">
        <v>278192.59999999998</v>
      </c>
      <c r="J16" s="3247">
        <v>1542363</v>
      </c>
      <c r="K16" s="3245">
        <v>2400979</v>
      </c>
      <c r="L16" s="3248">
        <v>6660226.5999999996</v>
      </c>
      <c r="M16" s="3247">
        <v>23800575.120000001</v>
      </c>
      <c r="N16" s="3247">
        <v>4838794.1500000004</v>
      </c>
      <c r="O16" s="3247">
        <v>9882701.2200000007</v>
      </c>
      <c r="P16" s="3247">
        <v>1835901</v>
      </c>
      <c r="Q16" s="3249">
        <v>2667801.15</v>
      </c>
    </row>
    <row r="17" spans="1:17">
      <c r="A17" s="3237">
        <f t="shared" si="0"/>
        <v>2015.4</v>
      </c>
      <c r="B17" s="3244">
        <v>3883</v>
      </c>
      <c r="C17" s="3245">
        <v>3979</v>
      </c>
      <c r="D17" s="3244">
        <v>205661</v>
      </c>
      <c r="E17" s="3245">
        <v>206516</v>
      </c>
      <c r="F17" s="3246">
        <v>674915.5</v>
      </c>
      <c r="G17" s="3247">
        <v>11930368.939999999</v>
      </c>
      <c r="H17" s="3247">
        <v>1032994.25</v>
      </c>
      <c r="I17" s="3247">
        <v>318235.17</v>
      </c>
      <c r="J17" s="3247">
        <v>1128608</v>
      </c>
      <c r="K17" s="3245">
        <v>3016733</v>
      </c>
      <c r="L17" s="3248">
        <v>4805887.0999999996</v>
      </c>
      <c r="M17" s="3247">
        <v>15680494.189999999</v>
      </c>
      <c r="N17" s="3247">
        <v>4194499.41</v>
      </c>
      <c r="O17" s="3247">
        <v>8939890.1199999992</v>
      </c>
      <c r="P17" s="3247">
        <v>1356369</v>
      </c>
      <c r="Q17" s="3249">
        <v>3255400.86</v>
      </c>
    </row>
    <row r="18" spans="1:17">
      <c r="A18" s="3237">
        <f t="shared" si="0"/>
        <v>2016.1</v>
      </c>
      <c r="B18" s="3244">
        <v>5414</v>
      </c>
      <c r="C18" s="3245">
        <v>5764</v>
      </c>
      <c r="D18" s="3244">
        <v>204327</v>
      </c>
      <c r="E18" s="3245">
        <v>195888</v>
      </c>
      <c r="F18" s="3246">
        <v>636172.75</v>
      </c>
      <c r="G18" s="3247">
        <v>17798908.57</v>
      </c>
      <c r="H18" s="3247">
        <v>1032534.57</v>
      </c>
      <c r="I18" s="3247">
        <v>314704.09000000003</v>
      </c>
      <c r="J18" s="3247">
        <v>471954</v>
      </c>
      <c r="K18" s="3245">
        <v>1273087</v>
      </c>
      <c r="L18" s="3248">
        <v>4415441.43</v>
      </c>
      <c r="M18" s="3247">
        <v>24326054.23</v>
      </c>
      <c r="N18" s="3247">
        <v>6254208.6399999997</v>
      </c>
      <c r="O18" s="3247">
        <v>5843470.4000000004</v>
      </c>
      <c r="P18" s="3247">
        <v>662049</v>
      </c>
      <c r="Q18" s="3249">
        <v>1383509.49</v>
      </c>
    </row>
    <row r="19" spans="1:17">
      <c r="A19" s="3237">
        <f t="shared" si="0"/>
        <v>2016.2</v>
      </c>
      <c r="B19" s="3244">
        <v>8060</v>
      </c>
      <c r="C19" s="3245">
        <v>9733</v>
      </c>
      <c r="D19" s="3244">
        <v>215927</v>
      </c>
      <c r="E19" s="3245">
        <v>207650</v>
      </c>
      <c r="F19" s="3246">
        <v>615601</v>
      </c>
      <c r="G19" s="3247">
        <v>18337228.109999999</v>
      </c>
      <c r="H19" s="3247">
        <v>1304528.18</v>
      </c>
      <c r="I19" s="3247">
        <v>284977.53000000003</v>
      </c>
      <c r="J19" s="3247">
        <v>754793</v>
      </c>
      <c r="K19" s="3245">
        <v>1256734</v>
      </c>
      <c r="L19" s="3248">
        <v>5583001.9500000002</v>
      </c>
      <c r="M19" s="3247">
        <v>26855285.09</v>
      </c>
      <c r="N19" s="3247">
        <v>6878675.6900000004</v>
      </c>
      <c r="O19" s="3247">
        <v>5868602.5999999996</v>
      </c>
      <c r="P19" s="3247">
        <v>904895</v>
      </c>
      <c r="Q19" s="3249">
        <v>1460531.3</v>
      </c>
    </row>
    <row r="20" spans="1:17">
      <c r="A20" s="3237">
        <f t="shared" si="0"/>
        <v>2016.3</v>
      </c>
      <c r="B20" s="3244">
        <v>7382</v>
      </c>
      <c r="C20" s="3245">
        <v>7889</v>
      </c>
      <c r="D20" s="3244">
        <v>223532</v>
      </c>
      <c r="E20" s="3245">
        <v>209362</v>
      </c>
      <c r="F20" s="3246">
        <v>405951.78</v>
      </c>
      <c r="G20" s="3247">
        <v>17632598.870000001</v>
      </c>
      <c r="H20" s="3247">
        <v>1146327.05</v>
      </c>
      <c r="I20" s="3247">
        <v>298297.62</v>
      </c>
      <c r="J20" s="3247">
        <v>584117.44999999995</v>
      </c>
      <c r="K20" s="3245">
        <v>1345094.11</v>
      </c>
      <c r="L20" s="3248">
        <v>6221365.3300000001</v>
      </c>
      <c r="M20" s="3247">
        <v>24962820.809999999</v>
      </c>
      <c r="N20" s="3247">
        <v>6653960.0899999999</v>
      </c>
      <c r="O20" s="3247">
        <v>5772548.8499999996</v>
      </c>
      <c r="P20" s="3247">
        <v>754211.45</v>
      </c>
      <c r="Q20" s="3249">
        <v>1580092.38</v>
      </c>
    </row>
    <row r="21" spans="1:17">
      <c r="A21" s="3237">
        <f t="shared" si="0"/>
        <v>2016.4</v>
      </c>
      <c r="B21" s="3244">
        <v>7697</v>
      </c>
      <c r="C21" s="3245">
        <v>6793</v>
      </c>
      <c r="D21" s="3244">
        <v>206649</v>
      </c>
      <c r="E21" s="3245">
        <v>187592</v>
      </c>
      <c r="F21" s="3246">
        <v>751038.97</v>
      </c>
      <c r="G21" s="3247">
        <v>14231485.35</v>
      </c>
      <c r="H21" s="3247">
        <v>885628.44</v>
      </c>
      <c r="I21" s="3247">
        <v>292864.48</v>
      </c>
      <c r="J21" s="3247">
        <v>210526.36</v>
      </c>
      <c r="K21" s="3245">
        <v>740709.71</v>
      </c>
      <c r="L21" s="3248">
        <v>4074987.04</v>
      </c>
      <c r="M21" s="3247">
        <v>20062436.399999999</v>
      </c>
      <c r="N21" s="3247">
        <v>5951153.29</v>
      </c>
      <c r="O21" s="3247">
        <v>5678270.9100000001</v>
      </c>
      <c r="P21" s="3247">
        <v>325146.36</v>
      </c>
      <c r="Q21" s="3249">
        <v>938714.53</v>
      </c>
    </row>
    <row r="22" spans="1:17">
      <c r="A22" s="3237">
        <f t="shared" si="0"/>
        <v>2017.1</v>
      </c>
      <c r="B22" s="3244">
        <v>7475</v>
      </c>
      <c r="C22" s="3245">
        <v>6793</v>
      </c>
      <c r="D22" s="3244">
        <v>184436</v>
      </c>
      <c r="E22" s="3245">
        <v>177835</v>
      </c>
      <c r="F22" s="3246">
        <v>638862.16</v>
      </c>
      <c r="G22" s="3247">
        <v>14984190.210000001</v>
      </c>
      <c r="H22" s="3247">
        <v>975536.59</v>
      </c>
      <c r="I22" s="3247">
        <v>252175.35</v>
      </c>
      <c r="J22" s="3247">
        <v>413472.81</v>
      </c>
      <c r="K22" s="3245">
        <v>755409.43</v>
      </c>
      <c r="L22" s="3248">
        <v>3223594.81</v>
      </c>
      <c r="M22" s="3247">
        <v>20790556.66</v>
      </c>
      <c r="N22" s="3247">
        <v>5643126.4500000002</v>
      </c>
      <c r="O22" s="3247">
        <v>5764114.0599999996</v>
      </c>
      <c r="P22" s="3247">
        <v>617787.81000000006</v>
      </c>
      <c r="Q22" s="3249">
        <v>961829.47</v>
      </c>
    </row>
    <row r="23" spans="1:17">
      <c r="A23" s="3237">
        <f t="shared" si="0"/>
        <v>2017.2</v>
      </c>
      <c r="B23" s="3244">
        <v>7337</v>
      </c>
      <c r="C23" s="3245">
        <v>7471</v>
      </c>
      <c r="D23" s="3244">
        <v>215857</v>
      </c>
      <c r="E23" s="3245">
        <v>215234</v>
      </c>
      <c r="F23" s="3246">
        <v>788604.43</v>
      </c>
      <c r="G23" s="3247">
        <v>19120603.809999999</v>
      </c>
      <c r="H23" s="3247">
        <v>1129071.94</v>
      </c>
      <c r="I23" s="3247">
        <v>200156.09</v>
      </c>
      <c r="J23" s="3247">
        <v>538037.56999999995</v>
      </c>
      <c r="K23" s="3245">
        <v>1516015.78</v>
      </c>
      <c r="L23" s="3248">
        <v>6321573.3399999999</v>
      </c>
      <c r="M23" s="3247">
        <v>26289367.460000001</v>
      </c>
      <c r="N23" s="3247">
        <v>6077087.8099999996</v>
      </c>
      <c r="O23" s="3247">
        <v>6231025.96</v>
      </c>
      <c r="P23" s="3250">
        <v>706903.07</v>
      </c>
      <c r="Q23" s="3249">
        <v>1664910.34</v>
      </c>
    </row>
    <row r="24" spans="1:17">
      <c r="A24" s="3237">
        <f t="shared" si="0"/>
        <v>2017.3</v>
      </c>
      <c r="B24" s="3244">
        <v>8760</v>
      </c>
      <c r="C24" s="3245">
        <v>9990</v>
      </c>
      <c r="D24" s="3244">
        <v>231407</v>
      </c>
      <c r="E24" s="3245">
        <v>238184</v>
      </c>
      <c r="F24" s="3246">
        <v>678989.42</v>
      </c>
      <c r="G24" s="3247">
        <v>19284783.899999999</v>
      </c>
      <c r="H24" s="3247">
        <v>1142318.76</v>
      </c>
      <c r="I24" s="3247">
        <v>226882.05</v>
      </c>
      <c r="J24" s="3247">
        <v>207899.78</v>
      </c>
      <c r="K24" s="3245">
        <v>1535210.37</v>
      </c>
      <c r="L24" s="3248">
        <v>6493913.9800000004</v>
      </c>
      <c r="M24" s="3247">
        <v>25611462.850000001</v>
      </c>
      <c r="N24" s="3247">
        <v>6293496.2300000004</v>
      </c>
      <c r="O24" s="3247">
        <v>6053094.4000000004</v>
      </c>
      <c r="P24" s="3250">
        <v>374604.78</v>
      </c>
      <c r="Q24" s="3249">
        <v>1757206.86</v>
      </c>
    </row>
    <row r="25" spans="1:17">
      <c r="A25" s="3237">
        <f t="shared" si="0"/>
        <v>2017.4</v>
      </c>
      <c r="B25" s="3244">
        <v>9944</v>
      </c>
      <c r="C25" s="3245">
        <v>8711</v>
      </c>
      <c r="D25" s="3244">
        <v>230065</v>
      </c>
      <c r="E25" s="3245">
        <v>232603</v>
      </c>
      <c r="F25" s="3246">
        <v>842341.37</v>
      </c>
      <c r="G25" s="3247">
        <v>15570764.91</v>
      </c>
      <c r="H25" s="3247">
        <v>814174.88</v>
      </c>
      <c r="I25" s="3247">
        <v>298347.14</v>
      </c>
      <c r="J25" s="3247">
        <v>114669.45</v>
      </c>
      <c r="K25" s="3245">
        <v>1006906.76</v>
      </c>
      <c r="L25" s="3248">
        <v>6291305.8099999996</v>
      </c>
      <c r="M25" s="3247">
        <v>21822386.559999999</v>
      </c>
      <c r="N25" s="3247">
        <v>5104333.78</v>
      </c>
      <c r="O25" s="3247">
        <v>5376851.8799999999</v>
      </c>
      <c r="P25" s="3250">
        <v>144925.45000000001</v>
      </c>
      <c r="Q25" s="3249">
        <v>1093377.82</v>
      </c>
    </row>
    <row r="26" spans="1:17">
      <c r="A26" s="3237">
        <f t="shared" si="0"/>
        <v>2018.1</v>
      </c>
      <c r="B26" s="3251">
        <v>9010</v>
      </c>
      <c r="C26" s="3252">
        <v>9655</v>
      </c>
      <c r="D26" s="3251">
        <v>254808</v>
      </c>
      <c r="E26" s="3252">
        <v>233082</v>
      </c>
      <c r="F26" s="3253">
        <v>720296</v>
      </c>
      <c r="G26" s="3250">
        <v>16367784</v>
      </c>
      <c r="H26" s="3250">
        <v>907970</v>
      </c>
      <c r="I26" s="3250">
        <v>255171</v>
      </c>
      <c r="J26" s="3250">
        <v>389062</v>
      </c>
      <c r="K26" s="3252">
        <v>562329</v>
      </c>
      <c r="L26" s="3254">
        <v>3905918</v>
      </c>
      <c r="M26" s="3250">
        <v>23173573</v>
      </c>
      <c r="N26" s="3250">
        <v>5134644</v>
      </c>
      <c r="O26" s="3250">
        <v>4677352</v>
      </c>
      <c r="P26" s="3250">
        <v>703225</v>
      </c>
      <c r="Q26" s="3255">
        <v>944696</v>
      </c>
    </row>
    <row r="27" spans="1:17">
      <c r="A27" s="3237">
        <f t="shared" si="0"/>
        <v>2018.2</v>
      </c>
      <c r="B27" s="3251">
        <v>10362</v>
      </c>
      <c r="C27" s="3252">
        <v>9402</v>
      </c>
      <c r="D27" s="3251">
        <v>256154</v>
      </c>
      <c r="E27" s="3252">
        <v>244058</v>
      </c>
      <c r="F27" s="3253">
        <v>842382.57</v>
      </c>
      <c r="G27" s="3250">
        <v>14962605.93</v>
      </c>
      <c r="H27" s="3250">
        <v>995458.66</v>
      </c>
      <c r="I27" s="3250">
        <v>325926.81</v>
      </c>
      <c r="J27" s="3250">
        <v>592472.11</v>
      </c>
      <c r="K27" s="3252">
        <v>469593.8</v>
      </c>
      <c r="L27" s="3254">
        <v>6943571.8700000001</v>
      </c>
      <c r="M27" s="3250">
        <v>20349310.59</v>
      </c>
      <c r="N27" s="3250">
        <v>4826488.33</v>
      </c>
      <c r="O27" s="3250">
        <v>4945961.99</v>
      </c>
      <c r="P27" s="3250">
        <v>867434.17</v>
      </c>
      <c r="Q27" s="3255">
        <v>623998.74</v>
      </c>
    </row>
    <row r="28" spans="1:17">
      <c r="A28" s="3237">
        <f t="shared" si="0"/>
        <v>2018.3</v>
      </c>
      <c r="B28" s="3251">
        <v>8624</v>
      </c>
      <c r="C28" s="3252">
        <v>10635</v>
      </c>
      <c r="D28" s="3251">
        <v>253374</v>
      </c>
      <c r="E28" s="3252">
        <v>250122</v>
      </c>
      <c r="F28" s="3253">
        <v>1226039.21</v>
      </c>
      <c r="G28" s="3250">
        <v>14770066.050000001</v>
      </c>
      <c r="H28" s="3250">
        <v>787988.5</v>
      </c>
      <c r="I28" s="3250">
        <v>196531.1</v>
      </c>
      <c r="J28" s="3250">
        <v>335503.93</v>
      </c>
      <c r="K28" s="3252">
        <v>582462.69999999995</v>
      </c>
      <c r="L28" s="3254">
        <v>7183438.4699999997</v>
      </c>
      <c r="M28" s="3250">
        <v>19585497.329999998</v>
      </c>
      <c r="N28" s="3250">
        <v>4891011.84</v>
      </c>
      <c r="O28" s="3250">
        <v>4891708.58</v>
      </c>
      <c r="P28" s="3250">
        <v>649337.22</v>
      </c>
      <c r="Q28" s="3255">
        <v>901607.89</v>
      </c>
    </row>
    <row r="29" spans="1:17">
      <c r="A29" s="3237">
        <f t="shared" si="0"/>
        <v>2018.4</v>
      </c>
      <c r="B29" s="3251">
        <v>7949</v>
      </c>
      <c r="C29" s="3252">
        <v>5832</v>
      </c>
      <c r="D29" s="3251">
        <v>224395</v>
      </c>
      <c r="E29" s="3252">
        <v>197217</v>
      </c>
      <c r="F29" s="3253">
        <v>1458887.14</v>
      </c>
      <c r="G29" s="3250">
        <v>14300391.33</v>
      </c>
      <c r="H29" s="3250">
        <v>821853.71</v>
      </c>
      <c r="I29" s="3250">
        <v>251374.32</v>
      </c>
      <c r="J29" s="3250">
        <v>329228.78999999998</v>
      </c>
      <c r="K29" s="3252">
        <v>679667.85</v>
      </c>
      <c r="L29" s="3254">
        <v>4871303.8099999996</v>
      </c>
      <c r="M29" s="3250">
        <v>20435762.170000002</v>
      </c>
      <c r="N29" s="3250">
        <v>5199623.3</v>
      </c>
      <c r="O29" s="3250">
        <v>5818237.6100000003</v>
      </c>
      <c r="P29" s="3250">
        <v>484113.99</v>
      </c>
      <c r="Q29" s="3255">
        <v>922385.08</v>
      </c>
    </row>
    <row r="30" spans="1:17">
      <c r="A30" s="3237">
        <f t="shared" si="0"/>
        <v>2019.1</v>
      </c>
      <c r="B30" s="3244">
        <v>6866</v>
      </c>
      <c r="C30" s="3245">
        <v>7181</v>
      </c>
      <c r="D30" s="3244">
        <v>188297</v>
      </c>
      <c r="E30" s="3245">
        <v>183726</v>
      </c>
      <c r="F30" s="3253">
        <v>1275407.24</v>
      </c>
      <c r="G30" s="3247">
        <v>16120865.93</v>
      </c>
      <c r="H30" s="3247">
        <v>817586.98</v>
      </c>
      <c r="I30" s="3247">
        <v>255991.26</v>
      </c>
      <c r="J30" s="3247">
        <v>233630.71</v>
      </c>
      <c r="K30" s="3245">
        <v>458176.12</v>
      </c>
      <c r="L30" s="3248">
        <v>3848566.59</v>
      </c>
      <c r="M30" s="3247">
        <v>22316552.23</v>
      </c>
      <c r="N30" s="3247">
        <v>4116533.5</v>
      </c>
      <c r="O30" s="3247">
        <v>5269633.04</v>
      </c>
      <c r="P30" s="3247">
        <v>745095.69</v>
      </c>
      <c r="Q30" s="3249">
        <v>812387.07</v>
      </c>
    </row>
    <row r="31" spans="1:17">
      <c r="A31" s="3237">
        <f t="shared" si="0"/>
        <v>2019.2</v>
      </c>
      <c r="B31" s="3244">
        <v>6292</v>
      </c>
      <c r="C31" s="3245">
        <v>3272</v>
      </c>
      <c r="D31" s="3244">
        <v>210740</v>
      </c>
      <c r="E31" s="3245">
        <v>209192</v>
      </c>
      <c r="F31" s="3246">
        <v>547048.82999999996</v>
      </c>
      <c r="G31" s="3247">
        <v>21425534.399999999</v>
      </c>
      <c r="H31" s="3247">
        <v>771438.02</v>
      </c>
      <c r="I31" s="3247">
        <v>237635</v>
      </c>
      <c r="J31" s="3247">
        <v>223149.02</v>
      </c>
      <c r="K31" s="3245">
        <v>448818.94</v>
      </c>
      <c r="L31" s="3248">
        <v>4724227.2699999996</v>
      </c>
      <c r="M31" s="3247">
        <v>29533387.940000001</v>
      </c>
      <c r="N31" s="3247">
        <v>4059537</v>
      </c>
      <c r="O31" s="3247">
        <v>4949577.46</v>
      </c>
      <c r="P31" s="3247">
        <v>815703.49</v>
      </c>
      <c r="Q31" s="3249">
        <v>896761.5</v>
      </c>
    </row>
    <row r="32" spans="1:17">
      <c r="A32" s="3237">
        <f t="shared" si="0"/>
        <v>2019.3</v>
      </c>
      <c r="B32" s="3244">
        <v>10685</v>
      </c>
      <c r="C32" s="3245">
        <v>422</v>
      </c>
      <c r="D32" s="3244">
        <v>226299</v>
      </c>
      <c r="E32" s="3245">
        <v>208466</v>
      </c>
      <c r="F32" s="3246">
        <v>512011.31</v>
      </c>
      <c r="G32" s="3247">
        <v>20842163.210000001</v>
      </c>
      <c r="H32" s="3247">
        <v>785787.64</v>
      </c>
      <c r="I32" s="3247">
        <v>155069.64000000001</v>
      </c>
      <c r="J32" s="3247">
        <v>356731.53</v>
      </c>
      <c r="K32" s="3245">
        <v>805696.66</v>
      </c>
      <c r="L32" s="3248">
        <v>4491165.8600000003</v>
      </c>
      <c r="M32" s="3247">
        <v>28643190.489999998</v>
      </c>
      <c r="N32" s="3247">
        <v>4654007.57</v>
      </c>
      <c r="O32" s="3247">
        <v>4628493.18</v>
      </c>
      <c r="P32" s="3247">
        <v>1124619.74</v>
      </c>
      <c r="Q32" s="3249">
        <v>1380046.93</v>
      </c>
    </row>
    <row r="33" spans="1:17">
      <c r="A33" s="3237">
        <f t="shared" si="0"/>
        <v>2019.4</v>
      </c>
      <c r="B33" s="3244">
        <v>7549</v>
      </c>
      <c r="C33" s="3245">
        <v>250</v>
      </c>
      <c r="D33" s="3244">
        <v>216674</v>
      </c>
      <c r="E33" s="3245">
        <v>199558</v>
      </c>
      <c r="F33" s="3246">
        <v>503928.32000000001</v>
      </c>
      <c r="G33" s="3247">
        <v>19133181.32</v>
      </c>
      <c r="H33" s="3247">
        <v>727734.71</v>
      </c>
      <c r="I33" s="3247">
        <v>45643.54</v>
      </c>
      <c r="J33" s="3247">
        <v>185362.35</v>
      </c>
      <c r="K33" s="3245">
        <v>555077.9</v>
      </c>
      <c r="L33" s="3248">
        <v>2447130.64</v>
      </c>
      <c r="M33" s="3247">
        <v>27009726.82</v>
      </c>
      <c r="N33" s="3247">
        <v>4368632.57</v>
      </c>
      <c r="O33" s="3247">
        <v>4552756.38</v>
      </c>
      <c r="P33" s="3247">
        <v>743575.24</v>
      </c>
      <c r="Q33" s="3249">
        <v>930736.42</v>
      </c>
    </row>
    <row r="34" spans="1:17">
      <c r="A34" s="3237">
        <f t="shared" si="0"/>
        <v>2020.1</v>
      </c>
      <c r="B34" s="3244">
        <v>4862</v>
      </c>
      <c r="C34" s="3245">
        <v>2333</v>
      </c>
      <c r="D34" s="3244">
        <v>193133</v>
      </c>
      <c r="E34" s="3245">
        <v>183176</v>
      </c>
      <c r="F34" s="3253">
        <v>992259.51</v>
      </c>
      <c r="G34" s="3247">
        <v>22590044.550000001</v>
      </c>
      <c r="H34" s="3247">
        <v>897289.54</v>
      </c>
      <c r="I34" s="3247">
        <v>20484</v>
      </c>
      <c r="J34" s="3247">
        <v>74378.17</v>
      </c>
      <c r="K34" s="3245">
        <v>342730.22</v>
      </c>
      <c r="L34" s="3248">
        <v>4749765.8499999996</v>
      </c>
      <c r="M34" s="3247">
        <v>30408489.329999998</v>
      </c>
      <c r="N34" s="3247">
        <v>5634854.0800000001</v>
      </c>
      <c r="O34" s="3247">
        <v>5794467.29</v>
      </c>
      <c r="P34" s="3247">
        <v>745710.65</v>
      </c>
      <c r="Q34" s="3249">
        <v>954475.32</v>
      </c>
    </row>
    <row r="35" spans="1:17">
      <c r="A35" s="3237">
        <f t="shared" si="0"/>
        <v>2020.2</v>
      </c>
      <c r="B35" s="3244">
        <v>6007</v>
      </c>
      <c r="C35" s="3245">
        <v>2657</v>
      </c>
      <c r="D35" s="3244">
        <v>202058</v>
      </c>
      <c r="E35" s="3245">
        <v>197948</v>
      </c>
      <c r="F35" s="3246">
        <v>276228.90000000002</v>
      </c>
      <c r="G35" s="3247">
        <v>21956283.170000002</v>
      </c>
      <c r="H35" s="3247">
        <v>605505.57999999996</v>
      </c>
      <c r="I35" s="3247">
        <v>63982</v>
      </c>
      <c r="J35" s="3247">
        <v>156553.42000000001</v>
      </c>
      <c r="K35" s="3245">
        <v>415449.36</v>
      </c>
      <c r="L35" s="3248">
        <v>3751559.97</v>
      </c>
      <c r="M35" s="3247">
        <v>31489157.059999999</v>
      </c>
      <c r="N35" s="3247">
        <v>3499950.34</v>
      </c>
      <c r="O35" s="3247">
        <v>3139577.04</v>
      </c>
      <c r="P35" s="3247">
        <v>715153.45</v>
      </c>
      <c r="Q35" s="3249">
        <v>906828.83</v>
      </c>
    </row>
    <row r="36" spans="1:17">
      <c r="A36" s="3237">
        <f t="shared" si="0"/>
        <v>2020.3</v>
      </c>
      <c r="B36" s="3244">
        <v>4536</v>
      </c>
      <c r="C36" s="3245">
        <v>2523</v>
      </c>
      <c r="D36" s="3244">
        <v>191830</v>
      </c>
      <c r="E36" s="3245">
        <v>190660</v>
      </c>
      <c r="F36" s="3246">
        <v>633821.57999999996</v>
      </c>
      <c r="G36" s="3247">
        <v>19444712.289999999</v>
      </c>
      <c r="H36" s="3247">
        <v>689917.87</v>
      </c>
      <c r="I36" s="3247">
        <v>104298.95</v>
      </c>
      <c r="J36" s="3247">
        <v>156050.03</v>
      </c>
      <c r="K36" s="3245">
        <v>493299.35</v>
      </c>
      <c r="L36" s="3248">
        <v>5391399.0800000001</v>
      </c>
      <c r="M36" s="3247">
        <v>26757180.57</v>
      </c>
      <c r="N36" s="3247">
        <v>4413725.2699999996</v>
      </c>
      <c r="O36" s="3247">
        <v>3772114.35</v>
      </c>
      <c r="P36" s="3247">
        <v>527123.87</v>
      </c>
      <c r="Q36" s="3249">
        <v>942532.54</v>
      </c>
    </row>
    <row r="37" spans="1:17">
      <c r="A37" s="3237">
        <f t="shared" si="0"/>
        <v>2020.4</v>
      </c>
      <c r="B37" s="3244">
        <v>5094</v>
      </c>
      <c r="C37" s="3245">
        <v>3123</v>
      </c>
      <c r="D37" s="3244">
        <v>252812</v>
      </c>
      <c r="E37" s="3245">
        <v>248800</v>
      </c>
      <c r="F37" s="3246">
        <v>606557.77</v>
      </c>
      <c r="G37" s="3247">
        <v>10905158.390000001</v>
      </c>
      <c r="H37" s="3247">
        <v>634220.85</v>
      </c>
      <c r="I37" s="3247">
        <v>68633.820000000007</v>
      </c>
      <c r="J37" s="3247">
        <v>263960.08</v>
      </c>
      <c r="K37" s="3245">
        <v>382181.06</v>
      </c>
      <c r="L37" s="3248">
        <v>4024493.51</v>
      </c>
      <c r="M37" s="3247">
        <v>14854941.27</v>
      </c>
      <c r="N37" s="3247">
        <v>4104728.27</v>
      </c>
      <c r="O37" s="3247">
        <v>3643771.22</v>
      </c>
      <c r="P37" s="3247">
        <v>691674.42</v>
      </c>
      <c r="Q37" s="3249">
        <v>761759.44</v>
      </c>
    </row>
    <row r="38" spans="1:17">
      <c r="A38" s="3237">
        <f t="shared" si="0"/>
        <v>2021.1</v>
      </c>
      <c r="B38" s="3244">
        <v>4985</v>
      </c>
      <c r="C38" s="3245">
        <v>3697</v>
      </c>
      <c r="D38" s="3244">
        <v>211282</v>
      </c>
      <c r="E38" s="3245">
        <v>216701</v>
      </c>
      <c r="F38" s="3253">
        <v>616786.25</v>
      </c>
      <c r="G38" s="3247">
        <v>15906419.699999999</v>
      </c>
      <c r="H38" s="3247">
        <v>672031.21</v>
      </c>
      <c r="I38" s="3247">
        <v>24206</v>
      </c>
      <c r="J38" s="3247">
        <v>209286.48</v>
      </c>
      <c r="K38" s="3245">
        <v>465272.54</v>
      </c>
      <c r="L38" s="3248">
        <v>4192135.22</v>
      </c>
      <c r="M38" s="3247">
        <v>22320169.370000001</v>
      </c>
      <c r="N38" s="3247">
        <v>4459675</v>
      </c>
      <c r="O38" s="3247">
        <v>3679789.97</v>
      </c>
      <c r="P38" s="3247">
        <v>581305.74</v>
      </c>
      <c r="Q38" s="3249">
        <v>980784.59</v>
      </c>
    </row>
    <row r="39" spans="1:17">
      <c r="A39" s="3237">
        <f t="shared" si="0"/>
        <v>2021.2</v>
      </c>
      <c r="B39" s="3244">
        <v>9094</v>
      </c>
      <c r="C39" s="3245">
        <v>4928</v>
      </c>
      <c r="D39" s="3244">
        <v>233049</v>
      </c>
      <c r="E39" s="3245">
        <v>240299</v>
      </c>
      <c r="F39" s="3246">
        <v>488822.7</v>
      </c>
      <c r="G39" s="3247">
        <v>21708493.59</v>
      </c>
      <c r="H39" s="3247">
        <v>1065285.47</v>
      </c>
      <c r="I39" s="3247">
        <v>46006.13</v>
      </c>
      <c r="J39" s="3247">
        <v>296047.08</v>
      </c>
      <c r="K39" s="3245">
        <v>340707.22</v>
      </c>
      <c r="L39" s="3248">
        <v>6014522.6699999999</v>
      </c>
      <c r="M39" s="3247">
        <v>30322163.620000001</v>
      </c>
      <c r="N39" s="3247">
        <v>4987331.87</v>
      </c>
      <c r="O39" s="3247">
        <v>4173432.45</v>
      </c>
      <c r="P39" s="3247">
        <v>683331.08</v>
      </c>
      <c r="Q39" s="3249">
        <v>633383.12</v>
      </c>
    </row>
    <row r="40" spans="1:17">
      <c r="A40" s="3237">
        <f t="shared" si="0"/>
        <v>2021.3</v>
      </c>
      <c r="B40" s="3244">
        <v>5673</v>
      </c>
      <c r="C40" s="3245">
        <v>2785</v>
      </c>
      <c r="D40" s="3244">
        <v>245586</v>
      </c>
      <c r="E40" s="3245">
        <v>228483</v>
      </c>
      <c r="F40" s="3246">
        <v>997610.65</v>
      </c>
      <c r="G40" s="3247">
        <v>22271678.800000001</v>
      </c>
      <c r="H40" s="3247">
        <v>1002325.66</v>
      </c>
      <c r="I40" s="3247">
        <v>88110</v>
      </c>
      <c r="J40" s="3247">
        <v>84345.61</v>
      </c>
      <c r="K40" s="3245">
        <v>382727.29</v>
      </c>
      <c r="L40" s="3248">
        <v>7181107.3799999999</v>
      </c>
      <c r="M40" s="3247">
        <v>32293089.059999999</v>
      </c>
      <c r="N40" s="3247">
        <v>4772111.04</v>
      </c>
      <c r="O40" s="3247">
        <v>3762456.08</v>
      </c>
      <c r="P40" s="3247">
        <v>448440.21</v>
      </c>
      <c r="Q40" s="3249">
        <v>809900.65</v>
      </c>
    </row>
    <row r="41" spans="1:17">
      <c r="A41" s="3237">
        <f t="shared" si="0"/>
        <v>2021.4</v>
      </c>
      <c r="B41" s="3244">
        <v>4653</v>
      </c>
      <c r="C41" s="3245">
        <v>3976</v>
      </c>
      <c r="D41" s="3244">
        <v>183475</v>
      </c>
      <c r="E41" s="3245">
        <v>182510</v>
      </c>
      <c r="F41" s="3246">
        <v>1031283.7</v>
      </c>
      <c r="G41" s="3247">
        <v>16811488.850000001</v>
      </c>
      <c r="H41" s="3247">
        <v>942645.26</v>
      </c>
      <c r="I41" s="3247">
        <v>46230.03</v>
      </c>
      <c r="J41" s="3247">
        <v>166817.70000000001</v>
      </c>
      <c r="K41" s="3245">
        <v>232488.88</v>
      </c>
      <c r="L41" s="3248">
        <v>5156912.87</v>
      </c>
      <c r="M41" s="3247">
        <v>23671022.969999999</v>
      </c>
      <c r="N41" s="3247">
        <v>4287623.01</v>
      </c>
      <c r="O41" s="3247">
        <v>3921633.85</v>
      </c>
      <c r="P41" s="3247">
        <v>474282.06</v>
      </c>
      <c r="Q41" s="3249">
        <v>667813.46</v>
      </c>
    </row>
    <row r="42" spans="1:17">
      <c r="A42" s="3237">
        <f t="shared" si="0"/>
        <v>2022.1</v>
      </c>
      <c r="B42" s="3244">
        <v>4994</v>
      </c>
      <c r="C42" s="3245">
        <v>3393</v>
      </c>
      <c r="D42" s="3244">
        <v>203481</v>
      </c>
      <c r="E42" s="3245">
        <v>195666</v>
      </c>
      <c r="F42" s="3253">
        <v>881749.23</v>
      </c>
      <c r="G42" s="3247">
        <v>23677800.41</v>
      </c>
      <c r="H42" s="3247">
        <v>1945742.27</v>
      </c>
      <c r="I42" s="3247">
        <v>207135.95</v>
      </c>
      <c r="J42" s="3247">
        <v>85351.46</v>
      </c>
      <c r="K42" s="3245">
        <v>303666.18</v>
      </c>
      <c r="L42" s="3248">
        <v>6223483.9100000001</v>
      </c>
      <c r="M42" s="3247">
        <v>36484351.280000001</v>
      </c>
      <c r="N42" s="3247">
        <v>6091325.5099999998</v>
      </c>
      <c r="O42" s="3247">
        <v>5226606.3</v>
      </c>
      <c r="P42" s="3247">
        <v>568761.61</v>
      </c>
      <c r="Q42" s="3249">
        <v>816645.68</v>
      </c>
    </row>
    <row r="43" spans="1:17">
      <c r="A43" s="3237">
        <f t="shared" si="0"/>
        <v>2022.2</v>
      </c>
      <c r="B43" s="3244">
        <v>4032</v>
      </c>
      <c r="C43" s="3245">
        <v>6225</v>
      </c>
      <c r="D43" s="3244">
        <v>205386</v>
      </c>
      <c r="E43" s="3245">
        <v>208138</v>
      </c>
      <c r="F43" s="3246">
        <v>538396.14</v>
      </c>
      <c r="G43" s="3247">
        <v>14356618.779999999</v>
      </c>
      <c r="H43" s="3247">
        <v>833771.43</v>
      </c>
      <c r="I43" s="3247">
        <v>47542.21</v>
      </c>
      <c r="J43" s="3247">
        <v>37970.199999999997</v>
      </c>
      <c r="K43" s="3245">
        <v>243986.82</v>
      </c>
      <c r="L43" s="3248">
        <v>4784281.83</v>
      </c>
      <c r="M43" s="3247">
        <v>19759587.98</v>
      </c>
      <c r="N43" s="3247">
        <v>3311672.54</v>
      </c>
      <c r="O43" s="3247">
        <v>2922664.89</v>
      </c>
      <c r="P43" s="3247">
        <v>363477.59</v>
      </c>
      <c r="Q43" s="3249">
        <v>491399.41</v>
      </c>
    </row>
    <row r="44" spans="1:17">
      <c r="A44" s="3237">
        <f t="shared" si="0"/>
        <v>2022.3</v>
      </c>
      <c r="B44" s="3244">
        <v>5503</v>
      </c>
      <c r="C44" s="3245">
        <v>5305</v>
      </c>
      <c r="D44" s="3244">
        <v>225207</v>
      </c>
      <c r="E44" s="3245">
        <v>234913</v>
      </c>
      <c r="F44" s="3246">
        <v>706684.81</v>
      </c>
      <c r="G44" s="3247">
        <v>17159654.75</v>
      </c>
      <c r="H44" s="3247">
        <v>1189772.08</v>
      </c>
      <c r="I44" s="3247">
        <v>59652.44</v>
      </c>
      <c r="J44" s="3247">
        <v>284833.37</v>
      </c>
      <c r="K44" s="3245">
        <v>676416.42</v>
      </c>
      <c r="L44" s="3248">
        <v>6539168.2000000002</v>
      </c>
      <c r="M44" s="3247">
        <v>25894948.16</v>
      </c>
      <c r="N44" s="3247">
        <v>5419997.5499999998</v>
      </c>
      <c r="O44" s="3247">
        <v>4440327.22</v>
      </c>
      <c r="P44" s="3247">
        <v>709511.77</v>
      </c>
      <c r="Q44" s="3249">
        <v>853887.07</v>
      </c>
    </row>
    <row r="45" spans="1:17">
      <c r="A45" s="3237">
        <f t="shared" si="0"/>
        <v>2022.4</v>
      </c>
      <c r="B45" s="3244">
        <v>2795</v>
      </c>
      <c r="C45" s="3245">
        <v>3744</v>
      </c>
      <c r="D45" s="3244">
        <v>207598</v>
      </c>
      <c r="E45" s="3245">
        <v>198836</v>
      </c>
      <c r="F45" s="3246">
        <v>1020661.44</v>
      </c>
      <c r="G45" s="3247">
        <v>22539661.93</v>
      </c>
      <c r="H45" s="3247">
        <v>2052017.08</v>
      </c>
      <c r="I45" s="3247">
        <v>261673.19</v>
      </c>
      <c r="J45" s="3247">
        <v>665075.23</v>
      </c>
      <c r="K45" s="3245">
        <v>980813.45</v>
      </c>
      <c r="L45" s="3248">
        <v>4097770.96</v>
      </c>
      <c r="M45" s="3247">
        <v>30043682.23</v>
      </c>
      <c r="N45" s="3247">
        <v>6212288.3899999997</v>
      </c>
      <c r="O45" s="3247">
        <v>4712789.6100000003</v>
      </c>
      <c r="P45" s="3247">
        <v>994444.88</v>
      </c>
      <c r="Q45" s="3249">
        <v>1155903.05</v>
      </c>
    </row>
    <row r="46" spans="1:17" s="3256" customFormat="1" ht="15">
      <c r="A46" s="3237">
        <f t="shared" si="0"/>
        <v>2023.1</v>
      </c>
      <c r="B46" s="3244">
        <v>1168</v>
      </c>
      <c r="C46" s="3245">
        <v>5849</v>
      </c>
      <c r="D46" s="3244">
        <v>173403</v>
      </c>
      <c r="E46" s="3245">
        <v>172218</v>
      </c>
      <c r="F46" s="3246">
        <v>916401</v>
      </c>
      <c r="G46" s="3247">
        <v>9204286.6699999999</v>
      </c>
      <c r="H46" s="3247">
        <v>1053798.07</v>
      </c>
      <c r="I46" s="3247">
        <v>116000</v>
      </c>
      <c r="J46" s="3247">
        <v>211066.91</v>
      </c>
      <c r="K46" s="3245">
        <v>387520.06</v>
      </c>
      <c r="L46" s="3248">
        <v>4374085.6500000004</v>
      </c>
      <c r="M46" s="3247">
        <v>15373303.470000001</v>
      </c>
      <c r="N46" s="3247">
        <v>5153941.7699999996</v>
      </c>
      <c r="O46" s="3247">
        <v>4207044.51</v>
      </c>
      <c r="P46" s="3247">
        <v>561520.64000000001</v>
      </c>
      <c r="Q46" s="3249">
        <v>608539.53</v>
      </c>
    </row>
    <row r="47" spans="1:17">
      <c r="A47" s="3237">
        <f t="shared" si="0"/>
        <v>2023.2</v>
      </c>
      <c r="B47" s="3244">
        <v>1721</v>
      </c>
      <c r="C47" s="3245">
        <v>4341</v>
      </c>
      <c r="D47" s="3244">
        <v>184789</v>
      </c>
      <c r="E47" s="3245">
        <v>196359</v>
      </c>
      <c r="F47" s="3246">
        <v>1532669.06</v>
      </c>
      <c r="G47" s="3247">
        <v>13574434.140000001</v>
      </c>
      <c r="H47" s="3247">
        <v>922139.8</v>
      </c>
      <c r="I47" s="3247">
        <v>121070.18</v>
      </c>
      <c r="J47" s="3247">
        <v>281805.40999999997</v>
      </c>
      <c r="K47" s="3245">
        <v>486367.76</v>
      </c>
      <c r="L47" s="3248">
        <v>6642208.4400000004</v>
      </c>
      <c r="M47" s="3247">
        <v>22060058.66</v>
      </c>
      <c r="N47" s="3247">
        <v>4255185.16</v>
      </c>
      <c r="O47" s="3247">
        <v>4081440.78</v>
      </c>
      <c r="P47" s="3247">
        <v>733574.91</v>
      </c>
      <c r="Q47" s="3249">
        <v>762885.85</v>
      </c>
    </row>
    <row r="48" spans="1:17">
      <c r="A48" s="3237">
        <f t="shared" si="0"/>
        <v>2023.3</v>
      </c>
      <c r="B48" s="3244">
        <v>3904</v>
      </c>
      <c r="C48" s="3245">
        <v>5270</v>
      </c>
      <c r="D48" s="3244">
        <v>217825</v>
      </c>
      <c r="E48" s="3245">
        <v>220392</v>
      </c>
      <c r="F48" s="3246">
        <v>1000366.04</v>
      </c>
      <c r="G48" s="3247">
        <v>12800173.310000001</v>
      </c>
      <c r="H48" s="3247">
        <v>1031474.49</v>
      </c>
      <c r="I48" s="3247">
        <v>142289.26999999999</v>
      </c>
      <c r="J48" s="3247">
        <v>439844.67</v>
      </c>
      <c r="K48" s="3245">
        <v>647926.67000000004</v>
      </c>
      <c r="L48" s="3248">
        <v>5103112.67</v>
      </c>
      <c r="M48" s="3247">
        <v>22315744.100000001</v>
      </c>
      <c r="N48" s="3247">
        <v>4650266.5999999996</v>
      </c>
      <c r="O48" s="3247">
        <v>3679848.52</v>
      </c>
      <c r="P48" s="3247">
        <v>917674.56</v>
      </c>
      <c r="Q48" s="3249">
        <v>931198.81</v>
      </c>
    </row>
    <row r="49" spans="1:17">
      <c r="A49" s="3237">
        <f t="shared" si="0"/>
        <v>2023.4</v>
      </c>
      <c r="B49" s="3257" t="e">
        <v>#N/A</v>
      </c>
      <c r="C49" s="3258" t="e">
        <v>#N/A</v>
      </c>
      <c r="D49" s="3259" t="e">
        <v>#N/A</v>
      </c>
      <c r="E49" s="3258" t="e">
        <v>#N/A</v>
      </c>
      <c r="F49" s="3260" t="e">
        <v>#N/A</v>
      </c>
      <c r="G49" s="3261" t="e">
        <v>#N/A</v>
      </c>
      <c r="H49" s="3261" t="e">
        <v>#N/A</v>
      </c>
      <c r="I49" s="3261" t="e">
        <v>#N/A</v>
      </c>
      <c r="J49" s="3261" t="e">
        <v>#N/A</v>
      </c>
      <c r="K49" s="3262" t="e">
        <v>#N/A</v>
      </c>
      <c r="L49" s="3263" t="e">
        <v>#N/A</v>
      </c>
      <c r="M49" s="3261" t="e">
        <v>#N/A</v>
      </c>
      <c r="N49" s="3261" t="e">
        <v>#N/A</v>
      </c>
      <c r="O49" s="3261" t="e">
        <v>#N/A</v>
      </c>
      <c r="P49" s="3261" t="e">
        <v>#N/A</v>
      </c>
      <c r="Q49" s="3264" t="e">
        <v>#N/A</v>
      </c>
    </row>
    <row r="50" spans="1:17">
      <c r="A50" s="3237">
        <f t="shared" si="0"/>
        <v>2024.1</v>
      </c>
      <c r="B50" s="3257" t="e">
        <v>#N/A</v>
      </c>
      <c r="C50" s="3258" t="e">
        <v>#N/A</v>
      </c>
      <c r="D50" s="3259" t="e">
        <v>#N/A</v>
      </c>
      <c r="E50" s="3258" t="e">
        <v>#N/A</v>
      </c>
      <c r="F50" s="3260" t="e">
        <v>#N/A</v>
      </c>
      <c r="G50" s="3261" t="e">
        <v>#N/A</v>
      </c>
      <c r="H50" s="3261" t="e">
        <v>#N/A</v>
      </c>
      <c r="I50" s="3261" t="e">
        <v>#N/A</v>
      </c>
      <c r="J50" s="3261" t="e">
        <v>#N/A</v>
      </c>
      <c r="K50" s="3262" t="e">
        <v>#N/A</v>
      </c>
      <c r="L50" s="3263" t="e">
        <v>#N/A</v>
      </c>
      <c r="M50" s="3261" t="e">
        <v>#N/A</v>
      </c>
      <c r="N50" s="3261" t="e">
        <v>#N/A</v>
      </c>
      <c r="O50" s="3261" t="e">
        <v>#N/A</v>
      </c>
      <c r="P50" s="3261" t="e">
        <v>#N/A</v>
      </c>
      <c r="Q50" s="3264" t="e">
        <v>#N/A</v>
      </c>
    </row>
    <row r="51" spans="1:17">
      <c r="A51" s="3237">
        <f t="shared" si="0"/>
        <v>2024.2</v>
      </c>
      <c r="B51" s="3257" t="e">
        <v>#N/A</v>
      </c>
      <c r="C51" s="3258" t="e">
        <v>#N/A</v>
      </c>
      <c r="D51" s="3259" t="e">
        <v>#N/A</v>
      </c>
      <c r="E51" s="3258" t="e">
        <v>#N/A</v>
      </c>
      <c r="F51" s="3260" t="e">
        <v>#N/A</v>
      </c>
      <c r="G51" s="3261" t="e">
        <v>#N/A</v>
      </c>
      <c r="H51" s="3261" t="e">
        <v>#N/A</v>
      </c>
      <c r="I51" s="3261" t="e">
        <v>#N/A</v>
      </c>
      <c r="J51" s="3261" t="e">
        <v>#N/A</v>
      </c>
      <c r="K51" s="3262" t="e">
        <v>#N/A</v>
      </c>
      <c r="L51" s="3263" t="e">
        <v>#N/A</v>
      </c>
      <c r="M51" s="3261" t="e">
        <v>#N/A</v>
      </c>
      <c r="N51" s="3261" t="e">
        <v>#N/A</v>
      </c>
      <c r="O51" s="3261" t="e">
        <v>#N/A</v>
      </c>
      <c r="P51" s="3261" t="e">
        <v>#N/A</v>
      </c>
      <c r="Q51" s="3264" t="e">
        <v>#N/A</v>
      </c>
    </row>
    <row r="52" spans="1:17">
      <c r="A52" s="3237">
        <f t="shared" si="0"/>
        <v>2024.3</v>
      </c>
      <c r="B52" s="3257" t="e">
        <v>#N/A</v>
      </c>
      <c r="C52" s="3258" t="e">
        <v>#N/A</v>
      </c>
      <c r="D52" s="3259" t="e">
        <v>#N/A</v>
      </c>
      <c r="E52" s="3258" t="e">
        <v>#N/A</v>
      </c>
      <c r="F52" s="3260" t="e">
        <v>#N/A</v>
      </c>
      <c r="G52" s="3261" t="e">
        <v>#N/A</v>
      </c>
      <c r="H52" s="3261" t="e">
        <v>#N/A</v>
      </c>
      <c r="I52" s="3261" t="e">
        <v>#N/A</v>
      </c>
      <c r="J52" s="3261" t="e">
        <v>#N/A</v>
      </c>
      <c r="K52" s="3262" t="e">
        <v>#N/A</v>
      </c>
      <c r="L52" s="3263" t="e">
        <v>#N/A</v>
      </c>
      <c r="M52" s="3261" t="e">
        <v>#N/A</v>
      </c>
      <c r="N52" s="3261" t="e">
        <v>#N/A</v>
      </c>
      <c r="O52" s="3261" t="e">
        <v>#N/A</v>
      </c>
      <c r="P52" s="3261" t="e">
        <v>#N/A</v>
      </c>
      <c r="Q52" s="3264" t="e">
        <v>#N/A</v>
      </c>
    </row>
    <row r="53" spans="1:17">
      <c r="A53" s="3237">
        <f t="shared" si="0"/>
        <v>2024.4</v>
      </c>
      <c r="B53" s="3257" t="e">
        <v>#N/A</v>
      </c>
      <c r="C53" s="3258" t="e">
        <v>#N/A</v>
      </c>
      <c r="D53" s="3259" t="e">
        <v>#N/A</v>
      </c>
      <c r="E53" s="3258" t="e">
        <v>#N/A</v>
      </c>
      <c r="F53" s="3260" t="e">
        <v>#N/A</v>
      </c>
      <c r="G53" s="3261" t="e">
        <v>#N/A</v>
      </c>
      <c r="H53" s="3261" t="e">
        <v>#N/A</v>
      </c>
      <c r="I53" s="3261" t="e">
        <v>#N/A</v>
      </c>
      <c r="J53" s="3261" t="e">
        <v>#N/A</v>
      </c>
      <c r="K53" s="3262" t="e">
        <v>#N/A</v>
      </c>
      <c r="L53" s="3263" t="e">
        <v>#N/A</v>
      </c>
      <c r="M53" s="3261" t="e">
        <v>#N/A</v>
      </c>
      <c r="N53" s="3261" t="e">
        <v>#N/A</v>
      </c>
      <c r="O53" s="3261" t="e">
        <v>#N/A</v>
      </c>
      <c r="P53" s="3261" t="e">
        <v>#N/A</v>
      </c>
      <c r="Q53" s="3264" t="e">
        <v>#N/A</v>
      </c>
    </row>
    <row r="54" spans="1:17">
      <c r="A54" s="3237">
        <f t="shared" si="0"/>
        <v>2025.1</v>
      </c>
      <c r="B54" s="3257" t="e">
        <v>#N/A</v>
      </c>
      <c r="C54" s="3258" t="e">
        <v>#N/A</v>
      </c>
      <c r="D54" s="3259" t="e">
        <v>#N/A</v>
      </c>
      <c r="E54" s="3258" t="e">
        <v>#N/A</v>
      </c>
      <c r="F54" s="3260" t="e">
        <v>#N/A</v>
      </c>
      <c r="G54" s="3261" t="e">
        <v>#N/A</v>
      </c>
      <c r="H54" s="3261" t="e">
        <v>#N/A</v>
      </c>
      <c r="I54" s="3261" t="e">
        <v>#N/A</v>
      </c>
      <c r="J54" s="3261" t="e">
        <v>#N/A</v>
      </c>
      <c r="K54" s="3262" t="e">
        <v>#N/A</v>
      </c>
      <c r="L54" s="3263" t="e">
        <v>#N/A</v>
      </c>
      <c r="M54" s="3261" t="e">
        <v>#N/A</v>
      </c>
      <c r="N54" s="3261" t="e">
        <v>#N/A</v>
      </c>
      <c r="O54" s="3261" t="e">
        <v>#N/A</v>
      </c>
      <c r="P54" s="3261" t="e">
        <v>#N/A</v>
      </c>
      <c r="Q54" s="3264" t="e">
        <v>#N/A</v>
      </c>
    </row>
    <row r="55" spans="1:17">
      <c r="A55" s="3237">
        <f t="shared" si="0"/>
        <v>2025.2</v>
      </c>
      <c r="B55" s="3257" t="e">
        <v>#N/A</v>
      </c>
      <c r="C55" s="3258" t="e">
        <v>#N/A</v>
      </c>
      <c r="D55" s="3259" t="e">
        <v>#N/A</v>
      </c>
      <c r="E55" s="3258" t="e">
        <v>#N/A</v>
      </c>
      <c r="F55" s="3260" t="e">
        <v>#N/A</v>
      </c>
      <c r="G55" s="3261" t="e">
        <v>#N/A</v>
      </c>
      <c r="H55" s="3261" t="e">
        <v>#N/A</v>
      </c>
      <c r="I55" s="3261" t="e">
        <v>#N/A</v>
      </c>
      <c r="J55" s="3261" t="e">
        <v>#N/A</v>
      </c>
      <c r="K55" s="3262" t="e">
        <v>#N/A</v>
      </c>
      <c r="L55" s="3263" t="e">
        <v>#N/A</v>
      </c>
      <c r="M55" s="3261" t="e">
        <v>#N/A</v>
      </c>
      <c r="N55" s="3261" t="e">
        <v>#N/A</v>
      </c>
      <c r="O55" s="3261" t="e">
        <v>#N/A</v>
      </c>
      <c r="P55" s="3261" t="e">
        <v>#N/A</v>
      </c>
      <c r="Q55" s="3264" t="e">
        <v>#N/A</v>
      </c>
    </row>
    <row r="56" spans="1:17">
      <c r="A56" s="3237">
        <f t="shared" si="0"/>
        <v>2025.3</v>
      </c>
      <c r="B56" s="3257" t="e">
        <v>#N/A</v>
      </c>
      <c r="C56" s="3258" t="e">
        <v>#N/A</v>
      </c>
      <c r="D56" s="3259" t="e">
        <v>#N/A</v>
      </c>
      <c r="E56" s="3258" t="e">
        <v>#N/A</v>
      </c>
      <c r="F56" s="3260" t="e">
        <v>#N/A</v>
      </c>
      <c r="G56" s="3261" t="e">
        <v>#N/A</v>
      </c>
      <c r="H56" s="3261" t="e">
        <v>#N/A</v>
      </c>
      <c r="I56" s="3261" t="e">
        <v>#N/A</v>
      </c>
      <c r="J56" s="3261" t="e">
        <v>#N/A</v>
      </c>
      <c r="K56" s="3262" t="e">
        <v>#N/A</v>
      </c>
      <c r="L56" s="3263" t="e">
        <v>#N/A</v>
      </c>
      <c r="M56" s="3261" t="e">
        <v>#N/A</v>
      </c>
      <c r="N56" s="3261" t="e">
        <v>#N/A</v>
      </c>
      <c r="O56" s="3261" t="e">
        <v>#N/A</v>
      </c>
      <c r="P56" s="3261" t="e">
        <v>#N/A</v>
      </c>
      <c r="Q56" s="3264" t="e">
        <v>#N/A</v>
      </c>
    </row>
    <row r="57" spans="1:17">
      <c r="A57" s="3237">
        <f t="shared" si="0"/>
        <v>2025.4</v>
      </c>
      <c r="B57" s="3257" t="e">
        <v>#N/A</v>
      </c>
      <c r="C57" s="3258" t="e">
        <v>#N/A</v>
      </c>
      <c r="D57" s="3259" t="e">
        <v>#N/A</v>
      </c>
      <c r="E57" s="3258" t="e">
        <v>#N/A</v>
      </c>
      <c r="F57" s="3260" t="e">
        <v>#N/A</v>
      </c>
      <c r="G57" s="3261" t="e">
        <v>#N/A</v>
      </c>
      <c r="H57" s="3261" t="e">
        <v>#N/A</v>
      </c>
      <c r="I57" s="3261" t="e">
        <v>#N/A</v>
      </c>
      <c r="J57" s="3261" t="e">
        <v>#N/A</v>
      </c>
      <c r="K57" s="3262" t="e">
        <v>#N/A</v>
      </c>
      <c r="L57" s="3263" t="e">
        <v>#N/A</v>
      </c>
      <c r="M57" s="3261" t="e">
        <v>#N/A</v>
      </c>
      <c r="N57" s="3261" t="e">
        <v>#N/A</v>
      </c>
      <c r="O57" s="3261" t="e">
        <v>#N/A</v>
      </c>
      <c r="P57" s="3261" t="e">
        <v>#N/A</v>
      </c>
      <c r="Q57" s="3264" t="e">
        <v>#N/A</v>
      </c>
    </row>
    <row r="58" spans="1:17">
      <c r="A58" s="3237">
        <f t="shared" si="0"/>
        <v>2026.1</v>
      </c>
      <c r="B58" s="3257" t="e">
        <v>#N/A</v>
      </c>
      <c r="C58" s="3258" t="e">
        <v>#N/A</v>
      </c>
      <c r="D58" s="3259" t="e">
        <v>#N/A</v>
      </c>
      <c r="E58" s="3258" t="e">
        <v>#N/A</v>
      </c>
      <c r="F58" s="3260" t="e">
        <v>#N/A</v>
      </c>
      <c r="G58" s="3261" t="e">
        <v>#N/A</v>
      </c>
      <c r="H58" s="3261" t="e">
        <v>#N/A</v>
      </c>
      <c r="I58" s="3261" t="e">
        <v>#N/A</v>
      </c>
      <c r="J58" s="3261" t="e">
        <v>#N/A</v>
      </c>
      <c r="K58" s="3262" t="e">
        <v>#N/A</v>
      </c>
      <c r="L58" s="3263" t="e">
        <v>#N/A</v>
      </c>
      <c r="M58" s="3261" t="e">
        <v>#N/A</v>
      </c>
      <c r="N58" s="3261" t="e">
        <v>#N/A</v>
      </c>
      <c r="O58" s="3261" t="e">
        <v>#N/A</v>
      </c>
      <c r="P58" s="3261" t="e">
        <v>#N/A</v>
      </c>
      <c r="Q58" s="3264" t="e">
        <v>#N/A</v>
      </c>
    </row>
    <row r="59" spans="1:17">
      <c r="A59" s="3237">
        <f t="shared" si="0"/>
        <v>2026.2</v>
      </c>
      <c r="B59" s="3257" t="e">
        <v>#N/A</v>
      </c>
      <c r="C59" s="3258" t="e">
        <v>#N/A</v>
      </c>
      <c r="D59" s="3259" t="e">
        <v>#N/A</v>
      </c>
      <c r="E59" s="3258" t="e">
        <v>#N/A</v>
      </c>
      <c r="F59" s="3260" t="e">
        <v>#N/A</v>
      </c>
      <c r="G59" s="3261" t="e">
        <v>#N/A</v>
      </c>
      <c r="H59" s="3261" t="e">
        <v>#N/A</v>
      </c>
      <c r="I59" s="3261" t="e">
        <v>#N/A</v>
      </c>
      <c r="J59" s="3261" t="e">
        <v>#N/A</v>
      </c>
      <c r="K59" s="3262" t="e">
        <v>#N/A</v>
      </c>
      <c r="L59" s="3263" t="e">
        <v>#N/A</v>
      </c>
      <c r="M59" s="3261" t="e">
        <v>#N/A</v>
      </c>
      <c r="N59" s="3261" t="e">
        <v>#N/A</v>
      </c>
      <c r="O59" s="3261" t="e">
        <v>#N/A</v>
      </c>
      <c r="P59" s="3261" t="e">
        <v>#N/A</v>
      </c>
      <c r="Q59" s="3264" t="e">
        <v>#N/A</v>
      </c>
    </row>
    <row r="60" spans="1:17">
      <c r="A60" s="3237">
        <f t="shared" si="0"/>
        <v>2026.3</v>
      </c>
      <c r="B60" s="3257" t="e">
        <v>#N/A</v>
      </c>
      <c r="C60" s="3258" t="e">
        <v>#N/A</v>
      </c>
      <c r="D60" s="3259" t="e">
        <v>#N/A</v>
      </c>
      <c r="E60" s="3258" t="e">
        <v>#N/A</v>
      </c>
      <c r="F60" s="3260" t="e">
        <v>#N/A</v>
      </c>
      <c r="G60" s="3261" t="e">
        <v>#N/A</v>
      </c>
      <c r="H60" s="3261" t="e">
        <v>#N/A</v>
      </c>
      <c r="I60" s="3261" t="e">
        <v>#N/A</v>
      </c>
      <c r="J60" s="3261" t="e">
        <v>#N/A</v>
      </c>
      <c r="K60" s="3262" t="e">
        <v>#N/A</v>
      </c>
      <c r="L60" s="3263" t="e">
        <v>#N/A</v>
      </c>
      <c r="M60" s="3261" t="e">
        <v>#N/A</v>
      </c>
      <c r="N60" s="3261" t="e">
        <v>#N/A</v>
      </c>
      <c r="O60" s="3261" t="e">
        <v>#N/A</v>
      </c>
      <c r="P60" s="3261" t="e">
        <v>#N/A</v>
      </c>
      <c r="Q60" s="3264" t="e">
        <v>#N/A</v>
      </c>
    </row>
    <row r="61" spans="1:17">
      <c r="A61" s="3237">
        <f t="shared" si="0"/>
        <v>2026.4</v>
      </c>
      <c r="B61" s="3257" t="e">
        <v>#N/A</v>
      </c>
      <c r="C61" s="3258" t="e">
        <v>#N/A</v>
      </c>
      <c r="D61" s="3259" t="e">
        <v>#N/A</v>
      </c>
      <c r="E61" s="3258" t="e">
        <v>#N/A</v>
      </c>
      <c r="F61" s="3260" t="e">
        <v>#N/A</v>
      </c>
      <c r="G61" s="3261" t="e">
        <v>#N/A</v>
      </c>
      <c r="H61" s="3261" t="e">
        <v>#N/A</v>
      </c>
      <c r="I61" s="3261" t="e">
        <v>#N/A</v>
      </c>
      <c r="J61" s="3261" t="e">
        <v>#N/A</v>
      </c>
      <c r="K61" s="3262" t="e">
        <v>#N/A</v>
      </c>
      <c r="L61" s="3263" t="e">
        <v>#N/A</v>
      </c>
      <c r="M61" s="3261" t="e">
        <v>#N/A</v>
      </c>
      <c r="N61" s="3261" t="e">
        <v>#N/A</v>
      </c>
      <c r="O61" s="3261" t="e">
        <v>#N/A</v>
      </c>
      <c r="P61" s="3261" t="e">
        <v>#N/A</v>
      </c>
      <c r="Q61" s="3264" t="e">
        <v>#N/A</v>
      </c>
    </row>
    <row r="62" spans="1:17">
      <c r="A62" s="3237">
        <f t="shared" si="0"/>
        <v>2027.1</v>
      </c>
      <c r="B62" s="3257" t="e">
        <v>#N/A</v>
      </c>
      <c r="C62" s="3258" t="e">
        <v>#N/A</v>
      </c>
      <c r="D62" s="3259" t="e">
        <v>#N/A</v>
      </c>
      <c r="E62" s="3258" t="e">
        <v>#N/A</v>
      </c>
      <c r="F62" s="3260" t="e">
        <v>#N/A</v>
      </c>
      <c r="G62" s="3261" t="e">
        <v>#N/A</v>
      </c>
      <c r="H62" s="3261" t="e">
        <v>#N/A</v>
      </c>
      <c r="I62" s="3261" t="e">
        <v>#N/A</v>
      </c>
      <c r="J62" s="3261" t="e">
        <v>#N/A</v>
      </c>
      <c r="K62" s="3262" t="e">
        <v>#N/A</v>
      </c>
      <c r="L62" s="3263" t="e">
        <v>#N/A</v>
      </c>
      <c r="M62" s="3261" t="e">
        <v>#N/A</v>
      </c>
      <c r="N62" s="3261" t="e">
        <v>#N/A</v>
      </c>
      <c r="O62" s="3261" t="e">
        <v>#N/A</v>
      </c>
      <c r="P62" s="3261" t="e">
        <v>#N/A</v>
      </c>
      <c r="Q62" s="3264" t="e">
        <v>#N/A</v>
      </c>
    </row>
    <row r="63" spans="1:17">
      <c r="A63" s="3237">
        <f t="shared" si="0"/>
        <v>2027.2</v>
      </c>
      <c r="B63" s="3257" t="e">
        <v>#N/A</v>
      </c>
      <c r="C63" s="3258" t="e">
        <v>#N/A</v>
      </c>
      <c r="D63" s="3259" t="e">
        <v>#N/A</v>
      </c>
      <c r="E63" s="3258" t="e">
        <v>#N/A</v>
      </c>
      <c r="F63" s="3260" t="e">
        <v>#N/A</v>
      </c>
      <c r="G63" s="3261" t="e">
        <v>#N/A</v>
      </c>
      <c r="H63" s="3261" t="e">
        <v>#N/A</v>
      </c>
      <c r="I63" s="3261" t="e">
        <v>#N/A</v>
      </c>
      <c r="J63" s="3261" t="e">
        <v>#N/A</v>
      </c>
      <c r="K63" s="3262" t="e">
        <v>#N/A</v>
      </c>
      <c r="L63" s="3263" t="e">
        <v>#N/A</v>
      </c>
      <c r="M63" s="3261" t="e">
        <v>#N/A</v>
      </c>
      <c r="N63" s="3261" t="e">
        <v>#N/A</v>
      </c>
      <c r="O63" s="3261" t="e">
        <v>#N/A</v>
      </c>
      <c r="P63" s="3261" t="e">
        <v>#N/A</v>
      </c>
      <c r="Q63" s="3264" t="e">
        <v>#N/A</v>
      </c>
    </row>
    <row r="64" spans="1:17">
      <c r="A64" s="3237">
        <f t="shared" si="0"/>
        <v>2027.3</v>
      </c>
      <c r="B64" s="3257" t="e">
        <v>#N/A</v>
      </c>
      <c r="C64" s="3258" t="e">
        <v>#N/A</v>
      </c>
      <c r="D64" s="3259" t="e">
        <v>#N/A</v>
      </c>
      <c r="E64" s="3258" t="e">
        <v>#N/A</v>
      </c>
      <c r="F64" s="3260" t="e">
        <v>#N/A</v>
      </c>
      <c r="G64" s="3261" t="e">
        <v>#N/A</v>
      </c>
      <c r="H64" s="3261" t="e">
        <v>#N/A</v>
      </c>
      <c r="I64" s="3261" t="e">
        <v>#N/A</v>
      </c>
      <c r="J64" s="3261" t="e">
        <v>#N/A</v>
      </c>
      <c r="K64" s="3262" t="e">
        <v>#N/A</v>
      </c>
      <c r="L64" s="3263" t="e">
        <v>#N/A</v>
      </c>
      <c r="M64" s="3261" t="e">
        <v>#N/A</v>
      </c>
      <c r="N64" s="3261" t="e">
        <v>#N/A</v>
      </c>
      <c r="O64" s="3261" t="e">
        <v>#N/A</v>
      </c>
      <c r="P64" s="3261" t="e">
        <v>#N/A</v>
      </c>
      <c r="Q64" s="3264" t="e">
        <v>#N/A</v>
      </c>
    </row>
    <row r="65" spans="1:17">
      <c r="A65" s="3237">
        <f t="shared" si="0"/>
        <v>2027.4</v>
      </c>
      <c r="B65" s="3257" t="e">
        <v>#N/A</v>
      </c>
      <c r="C65" s="3258" t="e">
        <v>#N/A</v>
      </c>
      <c r="D65" s="3259" t="e">
        <v>#N/A</v>
      </c>
      <c r="E65" s="3258" t="e">
        <v>#N/A</v>
      </c>
      <c r="F65" s="3260" t="e">
        <v>#N/A</v>
      </c>
      <c r="G65" s="3261" t="e">
        <v>#N/A</v>
      </c>
      <c r="H65" s="3261" t="e">
        <v>#N/A</v>
      </c>
      <c r="I65" s="3261" t="e">
        <v>#N/A</v>
      </c>
      <c r="J65" s="3261" t="e">
        <v>#N/A</v>
      </c>
      <c r="K65" s="3262" t="e">
        <v>#N/A</v>
      </c>
      <c r="L65" s="3263" t="e">
        <v>#N/A</v>
      </c>
      <c r="M65" s="3261" t="e">
        <v>#N/A</v>
      </c>
      <c r="N65" s="3261" t="e">
        <v>#N/A</v>
      </c>
      <c r="O65" s="3261" t="e">
        <v>#N/A</v>
      </c>
      <c r="P65" s="3261" t="e">
        <v>#N/A</v>
      </c>
      <c r="Q65" s="3264" t="e">
        <v>#N/A</v>
      </c>
    </row>
    <row r="66" spans="1:17">
      <c r="A66" s="3237">
        <f t="shared" si="0"/>
        <v>2028.1</v>
      </c>
      <c r="B66" s="3257" t="e">
        <v>#N/A</v>
      </c>
      <c r="C66" s="3258" t="e">
        <v>#N/A</v>
      </c>
      <c r="D66" s="3259" t="e">
        <v>#N/A</v>
      </c>
      <c r="E66" s="3258" t="e">
        <v>#N/A</v>
      </c>
      <c r="F66" s="3260" t="e">
        <v>#N/A</v>
      </c>
      <c r="G66" s="3261" t="e">
        <v>#N/A</v>
      </c>
      <c r="H66" s="3261" t="e">
        <v>#N/A</v>
      </c>
      <c r="I66" s="3261" t="e">
        <v>#N/A</v>
      </c>
      <c r="J66" s="3261" t="e">
        <v>#N/A</v>
      </c>
      <c r="K66" s="3262" t="e">
        <v>#N/A</v>
      </c>
      <c r="L66" s="3263" t="e">
        <v>#N/A</v>
      </c>
      <c r="M66" s="3261" t="e">
        <v>#N/A</v>
      </c>
      <c r="N66" s="3261" t="e">
        <v>#N/A</v>
      </c>
      <c r="O66" s="3261" t="e">
        <v>#N/A</v>
      </c>
      <c r="P66" s="3261" t="e">
        <v>#N/A</v>
      </c>
      <c r="Q66" s="3264" t="e">
        <v>#N/A</v>
      </c>
    </row>
    <row r="67" spans="1:17">
      <c r="A67" s="3237">
        <f t="shared" si="0"/>
        <v>2028.2</v>
      </c>
      <c r="B67" s="3257" t="e">
        <v>#N/A</v>
      </c>
      <c r="C67" s="3258" t="e">
        <v>#N/A</v>
      </c>
      <c r="D67" s="3259" t="e">
        <v>#N/A</v>
      </c>
      <c r="E67" s="3258" t="e">
        <v>#N/A</v>
      </c>
      <c r="F67" s="3260" t="e">
        <v>#N/A</v>
      </c>
      <c r="G67" s="3261" t="e">
        <v>#N/A</v>
      </c>
      <c r="H67" s="3261" t="e">
        <v>#N/A</v>
      </c>
      <c r="I67" s="3261" t="e">
        <v>#N/A</v>
      </c>
      <c r="J67" s="3261" t="e">
        <v>#N/A</v>
      </c>
      <c r="K67" s="3262" t="e">
        <v>#N/A</v>
      </c>
      <c r="L67" s="3263" t="e">
        <v>#N/A</v>
      </c>
      <c r="M67" s="3261" t="e">
        <v>#N/A</v>
      </c>
      <c r="N67" s="3261" t="e">
        <v>#N/A</v>
      </c>
      <c r="O67" s="3261" t="e">
        <v>#N/A</v>
      </c>
      <c r="P67" s="3261" t="e">
        <v>#N/A</v>
      </c>
      <c r="Q67" s="3264" t="e">
        <v>#N/A</v>
      </c>
    </row>
    <row r="68" spans="1:17">
      <c r="A68" s="3237">
        <f t="shared" si="0"/>
        <v>2028.3</v>
      </c>
      <c r="B68" s="3257" t="e">
        <v>#N/A</v>
      </c>
      <c r="C68" s="3258" t="e">
        <v>#N/A</v>
      </c>
      <c r="D68" s="3259" t="e">
        <v>#N/A</v>
      </c>
      <c r="E68" s="3258" t="e">
        <v>#N/A</v>
      </c>
      <c r="F68" s="3260" t="e">
        <v>#N/A</v>
      </c>
      <c r="G68" s="3261" t="e">
        <v>#N/A</v>
      </c>
      <c r="H68" s="3261" t="e">
        <v>#N/A</v>
      </c>
      <c r="I68" s="3261" t="e">
        <v>#N/A</v>
      </c>
      <c r="J68" s="3261" t="e">
        <v>#N/A</v>
      </c>
      <c r="K68" s="3262" t="e">
        <v>#N/A</v>
      </c>
      <c r="L68" s="3263" t="e">
        <v>#N/A</v>
      </c>
      <c r="M68" s="3261" t="e">
        <v>#N/A</v>
      </c>
      <c r="N68" s="3261" t="e">
        <v>#N/A</v>
      </c>
      <c r="O68" s="3261" t="e">
        <v>#N/A</v>
      </c>
      <c r="P68" s="3261" t="e">
        <v>#N/A</v>
      </c>
      <c r="Q68" s="3264" t="e">
        <v>#N/A</v>
      </c>
    </row>
    <row r="69" spans="1:17">
      <c r="A69" s="3237">
        <f t="shared" si="0"/>
        <v>2028.4</v>
      </c>
      <c r="B69" s="3257" t="e">
        <v>#N/A</v>
      </c>
      <c r="C69" s="3258" t="e">
        <v>#N/A</v>
      </c>
      <c r="D69" s="3259" t="e">
        <v>#N/A</v>
      </c>
      <c r="E69" s="3258" t="e">
        <v>#N/A</v>
      </c>
      <c r="F69" s="3260" t="e">
        <v>#N/A</v>
      </c>
      <c r="G69" s="3261" t="e">
        <v>#N/A</v>
      </c>
      <c r="H69" s="3261" t="e">
        <v>#N/A</v>
      </c>
      <c r="I69" s="3261" t="e">
        <v>#N/A</v>
      </c>
      <c r="J69" s="3261" t="e">
        <v>#N/A</v>
      </c>
      <c r="K69" s="3262" t="e">
        <v>#N/A</v>
      </c>
      <c r="L69" s="3263" t="e">
        <v>#N/A</v>
      </c>
      <c r="M69" s="3261" t="e">
        <v>#N/A</v>
      </c>
      <c r="N69" s="3261" t="e">
        <v>#N/A</v>
      </c>
      <c r="O69" s="3261" t="e">
        <v>#N/A</v>
      </c>
      <c r="P69" s="3261" t="e">
        <v>#N/A</v>
      </c>
      <c r="Q69" s="3264" t="e">
        <v>#N/A</v>
      </c>
    </row>
    <row r="70" spans="1:17">
      <c r="A70" s="3237">
        <f t="shared" si="0"/>
        <v>2029.1</v>
      </c>
      <c r="B70" s="3257" t="e">
        <v>#N/A</v>
      </c>
      <c r="C70" s="3258" t="e">
        <v>#N/A</v>
      </c>
      <c r="D70" s="3259" t="e">
        <v>#N/A</v>
      </c>
      <c r="E70" s="3258" t="e">
        <v>#N/A</v>
      </c>
      <c r="F70" s="3260" t="e">
        <v>#N/A</v>
      </c>
      <c r="G70" s="3261" t="e">
        <v>#N/A</v>
      </c>
      <c r="H70" s="3261" t="e">
        <v>#N/A</v>
      </c>
      <c r="I70" s="3261" t="e">
        <v>#N/A</v>
      </c>
      <c r="J70" s="3261" t="e">
        <v>#N/A</v>
      </c>
      <c r="K70" s="3262" t="e">
        <v>#N/A</v>
      </c>
      <c r="L70" s="3263" t="e">
        <v>#N/A</v>
      </c>
      <c r="M70" s="3261" t="e">
        <v>#N/A</v>
      </c>
      <c r="N70" s="3261" t="e">
        <v>#N/A</v>
      </c>
      <c r="O70" s="3261" t="e">
        <v>#N/A</v>
      </c>
      <c r="P70" s="3261" t="e">
        <v>#N/A</v>
      </c>
      <c r="Q70" s="3264" t="e">
        <v>#N/A</v>
      </c>
    </row>
    <row r="71" spans="1:17">
      <c r="A71" s="3237">
        <f t="shared" si="0"/>
        <v>2029.2</v>
      </c>
      <c r="B71" s="3257" t="e">
        <v>#N/A</v>
      </c>
      <c r="C71" s="3258" t="e">
        <v>#N/A</v>
      </c>
      <c r="D71" s="3259" t="e">
        <v>#N/A</v>
      </c>
      <c r="E71" s="3258" t="e">
        <v>#N/A</v>
      </c>
      <c r="F71" s="3260" t="e">
        <v>#N/A</v>
      </c>
      <c r="G71" s="3261" t="e">
        <v>#N/A</v>
      </c>
      <c r="H71" s="3261" t="e">
        <v>#N/A</v>
      </c>
      <c r="I71" s="3261" t="e">
        <v>#N/A</v>
      </c>
      <c r="J71" s="3261" t="e">
        <v>#N/A</v>
      </c>
      <c r="K71" s="3262" t="e">
        <v>#N/A</v>
      </c>
      <c r="L71" s="3263" t="e">
        <v>#N/A</v>
      </c>
      <c r="M71" s="3261" t="e">
        <v>#N/A</v>
      </c>
      <c r="N71" s="3261" t="e">
        <v>#N/A</v>
      </c>
      <c r="O71" s="3261" t="e">
        <v>#N/A</v>
      </c>
      <c r="P71" s="3261" t="e">
        <v>#N/A</v>
      </c>
      <c r="Q71" s="3264" t="e">
        <v>#N/A</v>
      </c>
    </row>
    <row r="72" spans="1:17">
      <c r="A72" s="3237">
        <f t="shared" si="0"/>
        <v>2029.3</v>
      </c>
      <c r="B72" s="3257" t="e">
        <v>#N/A</v>
      </c>
      <c r="C72" s="3258" t="e">
        <v>#N/A</v>
      </c>
      <c r="D72" s="3259" t="e">
        <v>#N/A</v>
      </c>
      <c r="E72" s="3258" t="e">
        <v>#N/A</v>
      </c>
      <c r="F72" s="3260" t="e">
        <v>#N/A</v>
      </c>
      <c r="G72" s="3261" t="e">
        <v>#N/A</v>
      </c>
      <c r="H72" s="3261" t="e">
        <v>#N/A</v>
      </c>
      <c r="I72" s="3261" t="e">
        <v>#N/A</v>
      </c>
      <c r="J72" s="3261" t="e">
        <v>#N/A</v>
      </c>
      <c r="K72" s="3262" t="e">
        <v>#N/A</v>
      </c>
      <c r="L72" s="3263" t="e">
        <v>#N/A</v>
      </c>
      <c r="M72" s="3261" t="e">
        <v>#N/A</v>
      </c>
      <c r="N72" s="3261" t="e">
        <v>#N/A</v>
      </c>
      <c r="O72" s="3261" t="e">
        <v>#N/A</v>
      </c>
      <c r="P72" s="3261" t="e">
        <v>#N/A</v>
      </c>
      <c r="Q72" s="3264" t="e">
        <v>#N/A</v>
      </c>
    </row>
    <row r="73" spans="1:17">
      <c r="A73" s="3237">
        <f t="shared" si="0"/>
        <v>2029.4</v>
      </c>
      <c r="B73" s="3257" t="e">
        <v>#N/A</v>
      </c>
      <c r="C73" s="3258" t="e">
        <v>#N/A</v>
      </c>
      <c r="D73" s="3259" t="e">
        <v>#N/A</v>
      </c>
      <c r="E73" s="3258" t="e">
        <v>#N/A</v>
      </c>
      <c r="F73" s="3260" t="e">
        <v>#N/A</v>
      </c>
      <c r="G73" s="3261" t="e">
        <v>#N/A</v>
      </c>
      <c r="H73" s="3261" t="e">
        <v>#N/A</v>
      </c>
      <c r="I73" s="3261" t="e">
        <v>#N/A</v>
      </c>
      <c r="J73" s="3261" t="e">
        <v>#N/A</v>
      </c>
      <c r="K73" s="3262" t="e">
        <v>#N/A</v>
      </c>
      <c r="L73" s="3263" t="e">
        <v>#N/A</v>
      </c>
      <c r="M73" s="3261" t="e">
        <v>#N/A</v>
      </c>
      <c r="N73" s="3261" t="e">
        <v>#N/A</v>
      </c>
      <c r="O73" s="3261" t="e">
        <v>#N/A</v>
      </c>
      <c r="P73" s="3261" t="e">
        <v>#N/A</v>
      </c>
      <c r="Q73" s="3264" t="e">
        <v>#N/A</v>
      </c>
    </row>
    <row r="74" spans="1:17">
      <c r="A74" s="3237">
        <f t="shared" si="0"/>
        <v>2030.1</v>
      </c>
      <c r="B74" s="3257" t="e">
        <v>#N/A</v>
      </c>
      <c r="C74" s="3258" t="e">
        <v>#N/A</v>
      </c>
      <c r="D74" s="3259" t="e">
        <v>#N/A</v>
      </c>
      <c r="E74" s="3258" t="e">
        <v>#N/A</v>
      </c>
      <c r="F74" s="3260" t="e">
        <v>#N/A</v>
      </c>
      <c r="G74" s="3261" t="e">
        <v>#N/A</v>
      </c>
      <c r="H74" s="3261" t="e">
        <v>#N/A</v>
      </c>
      <c r="I74" s="3261" t="e">
        <v>#N/A</v>
      </c>
      <c r="J74" s="3261" t="e">
        <v>#N/A</v>
      </c>
      <c r="K74" s="3262" t="e">
        <v>#N/A</v>
      </c>
      <c r="L74" s="3263" t="e">
        <v>#N/A</v>
      </c>
      <c r="M74" s="3261" t="e">
        <v>#N/A</v>
      </c>
      <c r="N74" s="3261" t="e">
        <v>#N/A</v>
      </c>
      <c r="O74" s="3261" t="e">
        <v>#N/A</v>
      </c>
      <c r="P74" s="3261" t="e">
        <v>#N/A</v>
      </c>
      <c r="Q74" s="3264" t="e">
        <v>#N/A</v>
      </c>
    </row>
    <row r="75" spans="1:17">
      <c r="A75" s="3237">
        <f t="shared" si="0"/>
        <v>2030.2</v>
      </c>
      <c r="B75" s="3257" t="e">
        <v>#N/A</v>
      </c>
      <c r="C75" s="3258" t="e">
        <v>#N/A</v>
      </c>
      <c r="D75" s="3259" t="e">
        <v>#N/A</v>
      </c>
      <c r="E75" s="3258" t="e">
        <v>#N/A</v>
      </c>
      <c r="F75" s="3260" t="e">
        <v>#N/A</v>
      </c>
      <c r="G75" s="3261" t="e">
        <v>#N/A</v>
      </c>
      <c r="H75" s="3261" t="e">
        <v>#N/A</v>
      </c>
      <c r="I75" s="3261" t="e">
        <v>#N/A</v>
      </c>
      <c r="J75" s="3261" t="e">
        <v>#N/A</v>
      </c>
      <c r="K75" s="3262" t="e">
        <v>#N/A</v>
      </c>
      <c r="L75" s="3263" t="e">
        <v>#N/A</v>
      </c>
      <c r="M75" s="3261" t="e">
        <v>#N/A</v>
      </c>
      <c r="N75" s="3261" t="e">
        <v>#N/A</v>
      </c>
      <c r="O75" s="3261" t="e">
        <v>#N/A</v>
      </c>
      <c r="P75" s="3261" t="e">
        <v>#N/A</v>
      </c>
      <c r="Q75" s="3264" t="e">
        <v>#N/A</v>
      </c>
    </row>
    <row r="76" spans="1:17">
      <c r="A76" s="3237">
        <f t="shared" si="0"/>
        <v>2030.3</v>
      </c>
      <c r="B76" s="3257" t="e">
        <v>#N/A</v>
      </c>
      <c r="C76" s="3258" t="e">
        <v>#N/A</v>
      </c>
      <c r="D76" s="3259" t="e">
        <v>#N/A</v>
      </c>
      <c r="E76" s="3258" t="e">
        <v>#N/A</v>
      </c>
      <c r="F76" s="3260" t="e">
        <v>#N/A</v>
      </c>
      <c r="G76" s="3261" t="e">
        <v>#N/A</v>
      </c>
      <c r="H76" s="3261" t="e">
        <v>#N/A</v>
      </c>
      <c r="I76" s="3261" t="e">
        <v>#N/A</v>
      </c>
      <c r="J76" s="3261" t="e">
        <v>#N/A</v>
      </c>
      <c r="K76" s="3262" t="e">
        <v>#N/A</v>
      </c>
      <c r="L76" s="3263" t="e">
        <v>#N/A</v>
      </c>
      <c r="M76" s="3261" t="e">
        <v>#N/A</v>
      </c>
      <c r="N76" s="3261" t="e">
        <v>#N/A</v>
      </c>
      <c r="O76" s="3261" t="e">
        <v>#N/A</v>
      </c>
      <c r="P76" s="3261" t="e">
        <v>#N/A</v>
      </c>
      <c r="Q76" s="3264" t="e">
        <v>#N/A</v>
      </c>
    </row>
    <row r="77" spans="1:17">
      <c r="A77" s="3237">
        <f t="shared" si="0"/>
        <v>2030.4</v>
      </c>
      <c r="B77" s="3257" t="e">
        <v>#N/A</v>
      </c>
      <c r="C77" s="3258" t="e">
        <v>#N/A</v>
      </c>
      <c r="D77" s="3259" t="e">
        <v>#N/A</v>
      </c>
      <c r="E77" s="3258" t="e">
        <v>#N/A</v>
      </c>
      <c r="F77" s="3260" t="e">
        <v>#N/A</v>
      </c>
      <c r="G77" s="3261" t="e">
        <v>#N/A</v>
      </c>
      <c r="H77" s="3261" t="e">
        <v>#N/A</v>
      </c>
      <c r="I77" s="3261" t="e">
        <v>#N/A</v>
      </c>
      <c r="J77" s="3261" t="e">
        <v>#N/A</v>
      </c>
      <c r="K77" s="3262" t="e">
        <v>#N/A</v>
      </c>
      <c r="L77" s="3263" t="e">
        <v>#N/A</v>
      </c>
      <c r="M77" s="3261" t="e">
        <v>#N/A</v>
      </c>
      <c r="N77" s="3261" t="e">
        <v>#N/A</v>
      </c>
      <c r="O77" s="3261" t="e">
        <v>#N/A</v>
      </c>
      <c r="P77" s="3261" t="e">
        <v>#N/A</v>
      </c>
      <c r="Q77" s="3264" t="e">
        <v>#N/A</v>
      </c>
    </row>
    <row r="78" spans="1:17">
      <c r="A78" s="516"/>
      <c r="B78" s="516"/>
      <c r="C78" s="516"/>
      <c r="D78" s="516"/>
      <c r="E78" s="516"/>
      <c r="F78" s="516"/>
      <c r="G78" s="516"/>
      <c r="H78" s="516"/>
      <c r="I78" s="516"/>
      <c r="J78" s="516"/>
      <c r="K78" s="516"/>
      <c r="L78" s="516"/>
      <c r="M78" s="516"/>
      <c r="N78" s="516"/>
      <c r="O78" s="516"/>
      <c r="P78" s="516"/>
      <c r="Q78" s="516"/>
    </row>
    <row r="79" spans="1:17">
      <c r="A79" s="516"/>
      <c r="B79" s="516"/>
      <c r="C79" s="516"/>
      <c r="D79" s="516"/>
      <c r="E79" s="516"/>
      <c r="F79" s="516"/>
      <c r="G79" s="516"/>
      <c r="H79" s="516"/>
      <c r="I79" s="516"/>
      <c r="J79" s="516"/>
      <c r="K79" s="516"/>
      <c r="L79" s="516"/>
      <c r="M79" s="516"/>
      <c r="N79" s="516"/>
      <c r="O79" s="516"/>
      <c r="P79" s="516"/>
      <c r="Q79" s="516"/>
    </row>
    <row r="80" spans="1:17">
      <c r="A80" s="516"/>
      <c r="B80" s="516"/>
      <c r="C80" s="516"/>
      <c r="D80" s="516"/>
      <c r="E80" s="516"/>
      <c r="F80" s="516"/>
      <c r="G80" s="516"/>
      <c r="H80" s="516"/>
      <c r="I80" s="516"/>
      <c r="J80" s="516"/>
      <c r="K80" s="516"/>
      <c r="L80" s="516"/>
      <c r="M80" s="516"/>
      <c r="N80" s="516"/>
      <c r="O80" s="516"/>
      <c r="P80" s="516"/>
      <c r="Q80" s="516"/>
    </row>
    <row r="81" spans="1:17">
      <c r="A81" s="516"/>
      <c r="B81" s="516"/>
      <c r="C81" s="516"/>
      <c r="D81" s="516"/>
      <c r="E81" s="516"/>
      <c r="F81" s="516"/>
      <c r="G81" s="516"/>
      <c r="H81" s="516"/>
      <c r="I81" s="516"/>
      <c r="J81" s="516"/>
      <c r="K81" s="516"/>
      <c r="L81" s="516"/>
      <c r="M81" s="516"/>
      <c r="N81" s="516"/>
      <c r="O81" s="516"/>
      <c r="P81" s="516"/>
      <c r="Q81" s="516"/>
    </row>
    <row r="82" spans="1:17">
      <c r="A82" s="516"/>
      <c r="B82" s="516"/>
      <c r="C82" s="516"/>
      <c r="D82" s="516"/>
      <c r="E82" s="516"/>
      <c r="F82" s="516"/>
      <c r="G82" s="516"/>
      <c r="H82" s="516"/>
      <c r="I82" s="516"/>
      <c r="J82" s="516"/>
      <c r="K82" s="516"/>
      <c r="L82" s="516"/>
      <c r="M82" s="516"/>
      <c r="N82" s="516"/>
      <c r="O82" s="516"/>
      <c r="P82" s="516"/>
      <c r="Q82" s="516"/>
    </row>
    <row r="83" spans="1:17">
      <c r="A83" s="516"/>
      <c r="B83" s="516"/>
      <c r="C83" s="516"/>
      <c r="D83" s="516"/>
      <c r="E83" s="516"/>
      <c r="F83" s="516"/>
      <c r="G83" s="516"/>
      <c r="H83" s="516"/>
      <c r="I83" s="516"/>
      <c r="J83" s="516"/>
      <c r="K83" s="516"/>
      <c r="L83" s="516"/>
      <c r="M83" s="516"/>
      <c r="N83" s="516"/>
      <c r="O83" s="516"/>
      <c r="P83" s="516"/>
      <c r="Q83" s="516"/>
    </row>
    <row r="84" spans="1:17">
      <c r="A84" s="516"/>
      <c r="B84" s="516"/>
      <c r="C84" s="516"/>
      <c r="D84" s="516"/>
      <c r="E84" s="516"/>
      <c r="F84" s="516"/>
      <c r="G84" s="516"/>
      <c r="H84" s="516"/>
      <c r="I84" s="516"/>
      <c r="J84" s="516"/>
      <c r="K84" s="516"/>
      <c r="L84" s="516"/>
      <c r="M84" s="516"/>
      <c r="N84" s="516"/>
      <c r="O84" s="516"/>
      <c r="P84" s="516"/>
      <c r="Q84" s="516"/>
    </row>
    <row r="85" spans="1:17">
      <c r="A85" s="516"/>
      <c r="B85" s="516"/>
      <c r="C85" s="516"/>
      <c r="D85" s="516"/>
      <c r="E85" s="516"/>
      <c r="F85" s="516"/>
      <c r="G85" s="516"/>
      <c r="H85" s="516"/>
      <c r="I85" s="516"/>
      <c r="J85" s="516"/>
      <c r="K85" s="516"/>
      <c r="L85" s="516"/>
      <c r="M85" s="516"/>
      <c r="N85" s="516"/>
      <c r="O85" s="516"/>
      <c r="P85" s="516"/>
      <c r="Q85" s="516"/>
    </row>
    <row r="86" spans="1:17">
      <c r="A86" s="516"/>
      <c r="B86" s="516"/>
      <c r="C86" s="516"/>
      <c r="D86" s="516"/>
      <c r="E86" s="516"/>
      <c r="F86" s="516"/>
      <c r="G86" s="516"/>
      <c r="H86" s="516"/>
      <c r="I86" s="516"/>
      <c r="J86" s="516"/>
      <c r="K86" s="516"/>
      <c r="L86" s="516"/>
      <c r="M86" s="516"/>
      <c r="N86" s="516"/>
      <c r="O86" s="516"/>
      <c r="P86" s="516"/>
      <c r="Q86" s="516"/>
    </row>
    <row r="87" spans="1:17">
      <c r="A87" s="516"/>
      <c r="B87" s="516"/>
      <c r="C87" s="516"/>
      <c r="D87" s="516"/>
      <c r="E87" s="516"/>
      <c r="F87" s="516"/>
      <c r="G87" s="516"/>
      <c r="H87" s="516"/>
      <c r="I87" s="516"/>
      <c r="J87" s="516"/>
      <c r="K87" s="516"/>
      <c r="L87" s="516"/>
      <c r="M87" s="516"/>
      <c r="N87" s="516"/>
      <c r="O87" s="516"/>
      <c r="P87" s="516"/>
      <c r="Q87" s="516"/>
    </row>
    <row r="88" spans="1:17">
      <c r="A88" s="516"/>
      <c r="B88" s="516"/>
      <c r="C88" s="516"/>
      <c r="D88" s="516"/>
      <c r="E88" s="516"/>
      <c r="F88" s="516"/>
      <c r="G88" s="516"/>
      <c r="H88" s="516"/>
      <c r="I88" s="516"/>
      <c r="J88" s="516"/>
      <c r="K88" s="516"/>
      <c r="L88" s="516"/>
      <c r="M88" s="516"/>
      <c r="N88" s="516"/>
      <c r="O88" s="516"/>
      <c r="P88" s="516"/>
      <c r="Q88" s="516"/>
    </row>
    <row r="89" spans="1:17">
      <c r="A89" s="516"/>
      <c r="B89" s="516"/>
      <c r="C89" s="516"/>
      <c r="D89" s="516"/>
      <c r="E89" s="516"/>
      <c r="F89" s="516"/>
      <c r="G89" s="516"/>
      <c r="H89" s="516"/>
      <c r="I89" s="516"/>
      <c r="J89" s="516"/>
      <c r="K89" s="516"/>
      <c r="L89" s="516"/>
      <c r="M89" s="516"/>
      <c r="N89" s="516"/>
      <c r="O89" s="516"/>
      <c r="P89" s="516"/>
      <c r="Q89" s="516"/>
    </row>
    <row r="90" spans="1:17">
      <c r="A90" s="516"/>
      <c r="B90" s="516"/>
      <c r="C90" s="516"/>
      <c r="D90" s="516"/>
      <c r="E90" s="516"/>
      <c r="F90" s="516"/>
      <c r="G90" s="516"/>
      <c r="H90" s="516"/>
      <c r="I90" s="516"/>
      <c r="J90" s="516"/>
      <c r="K90" s="516"/>
      <c r="L90" s="516"/>
      <c r="M90" s="516"/>
      <c r="N90" s="516"/>
      <c r="O90" s="516"/>
      <c r="P90" s="516"/>
      <c r="Q90" s="516"/>
    </row>
    <row r="91" spans="1:17">
      <c r="A91" s="516"/>
      <c r="B91" s="516"/>
      <c r="C91" s="516"/>
      <c r="D91" s="516"/>
      <c r="E91" s="516"/>
      <c r="F91" s="516"/>
      <c r="G91" s="516"/>
      <c r="H91" s="516"/>
      <c r="I91" s="516"/>
      <c r="J91" s="516"/>
      <c r="K91" s="516"/>
      <c r="L91" s="516"/>
      <c r="M91" s="516"/>
      <c r="N91" s="516"/>
      <c r="O91" s="516"/>
      <c r="P91" s="516"/>
      <c r="Q91" s="516"/>
    </row>
    <row r="92" spans="1:17">
      <c r="A92" s="516"/>
      <c r="B92" s="516"/>
      <c r="C92" s="516"/>
      <c r="D92" s="516"/>
      <c r="E92" s="516"/>
      <c r="F92" s="516"/>
      <c r="G92" s="516"/>
      <c r="H92" s="516"/>
      <c r="I92" s="516"/>
      <c r="J92" s="516"/>
      <c r="K92" s="516"/>
      <c r="L92" s="516"/>
      <c r="M92" s="516"/>
      <c r="N92" s="516"/>
      <c r="O92" s="516"/>
      <c r="P92" s="516"/>
      <c r="Q92" s="516"/>
    </row>
    <row r="93" spans="1:17">
      <c r="A93" s="516"/>
      <c r="B93" s="516"/>
      <c r="C93" s="516"/>
      <c r="D93" s="516"/>
      <c r="E93" s="516"/>
      <c r="F93" s="516"/>
      <c r="G93" s="516"/>
      <c r="H93" s="516"/>
      <c r="I93" s="516"/>
      <c r="J93" s="516"/>
      <c r="K93" s="516"/>
      <c r="L93" s="516"/>
      <c r="M93" s="516"/>
      <c r="N93" s="516"/>
      <c r="O93" s="516"/>
      <c r="P93" s="516"/>
      <c r="Q93" s="516"/>
    </row>
    <row r="94" spans="1:17">
      <c r="A94" s="516"/>
      <c r="B94" s="516"/>
      <c r="C94" s="516"/>
      <c r="D94" s="516"/>
      <c r="E94" s="516"/>
      <c r="F94" s="516"/>
      <c r="G94" s="516"/>
      <c r="H94" s="516"/>
      <c r="I94" s="516"/>
      <c r="J94" s="516"/>
      <c r="K94" s="516"/>
      <c r="L94" s="516"/>
      <c r="M94" s="516"/>
      <c r="N94" s="516"/>
      <c r="O94" s="516"/>
      <c r="P94" s="516"/>
      <c r="Q94" s="516"/>
    </row>
    <row r="95" spans="1:17">
      <c r="A95" s="516"/>
      <c r="B95" s="516"/>
      <c r="C95" s="516"/>
      <c r="D95" s="516"/>
      <c r="E95" s="516"/>
      <c r="F95" s="516"/>
      <c r="G95" s="516"/>
      <c r="H95" s="516"/>
      <c r="I95" s="516"/>
      <c r="J95" s="516"/>
      <c r="K95" s="516"/>
      <c r="L95" s="516"/>
      <c r="M95" s="516"/>
      <c r="N95" s="516"/>
      <c r="O95" s="516"/>
      <c r="P95" s="516"/>
      <c r="Q95" s="516"/>
    </row>
    <row r="96" spans="1:17">
      <c r="A96" s="516"/>
      <c r="B96" s="516"/>
      <c r="C96" s="516"/>
      <c r="D96" s="516"/>
      <c r="E96" s="516"/>
      <c r="F96" s="516"/>
      <c r="G96" s="516"/>
      <c r="H96" s="516"/>
      <c r="I96" s="516"/>
      <c r="J96" s="516"/>
      <c r="K96" s="516"/>
      <c r="L96" s="516"/>
      <c r="M96" s="516"/>
      <c r="N96" s="516"/>
      <c r="O96" s="516"/>
      <c r="P96" s="516"/>
      <c r="Q96" s="516"/>
    </row>
    <row r="97" spans="1:17">
      <c r="A97" s="516"/>
      <c r="B97" s="516"/>
      <c r="C97" s="516"/>
      <c r="D97" s="516"/>
      <c r="E97" s="516"/>
      <c r="F97" s="516"/>
      <c r="G97" s="516"/>
      <c r="H97" s="516"/>
      <c r="I97" s="516"/>
      <c r="J97" s="516"/>
      <c r="K97" s="516"/>
      <c r="L97" s="516"/>
      <c r="M97" s="516"/>
      <c r="N97" s="516"/>
      <c r="O97" s="516"/>
      <c r="P97" s="516"/>
      <c r="Q97" s="516"/>
    </row>
    <row r="98" spans="1:17">
      <c r="A98" s="516"/>
      <c r="B98" s="516"/>
      <c r="C98" s="516"/>
      <c r="D98" s="516"/>
      <c r="E98" s="516"/>
      <c r="F98" s="516"/>
      <c r="G98" s="516"/>
      <c r="H98" s="516"/>
      <c r="I98" s="516"/>
      <c r="J98" s="516"/>
      <c r="K98" s="516"/>
      <c r="L98" s="516"/>
      <c r="M98" s="516"/>
      <c r="N98" s="516"/>
      <c r="O98" s="516"/>
      <c r="P98" s="516"/>
      <c r="Q98" s="516"/>
    </row>
    <row r="99" spans="1:17">
      <c r="A99" s="516"/>
      <c r="B99" s="516"/>
      <c r="C99" s="516"/>
      <c r="D99" s="516"/>
      <c r="E99" s="516"/>
      <c r="F99" s="516"/>
      <c r="G99" s="516"/>
      <c r="H99" s="516"/>
      <c r="I99" s="516"/>
      <c r="J99" s="516"/>
      <c r="K99" s="516"/>
      <c r="L99" s="516"/>
      <c r="M99" s="516"/>
      <c r="N99" s="516"/>
      <c r="O99" s="516"/>
      <c r="P99" s="516"/>
      <c r="Q99" s="516"/>
    </row>
    <row r="100" spans="1:17">
      <c r="A100" s="516"/>
      <c r="B100" s="516"/>
      <c r="C100" s="516"/>
      <c r="D100" s="516"/>
      <c r="E100" s="516"/>
      <c r="F100" s="516"/>
      <c r="G100" s="516"/>
      <c r="H100" s="516"/>
      <c r="I100" s="516"/>
      <c r="J100" s="516"/>
      <c r="K100" s="516"/>
      <c r="L100" s="516"/>
      <c r="M100" s="516"/>
      <c r="N100" s="516"/>
      <c r="O100" s="516"/>
      <c r="P100" s="516"/>
      <c r="Q100" s="516"/>
    </row>
    <row r="101" spans="1:17">
      <c r="A101" s="516"/>
      <c r="B101" s="516"/>
      <c r="C101" s="516"/>
      <c r="D101" s="516"/>
      <c r="E101" s="516"/>
      <c r="F101" s="516"/>
      <c r="G101" s="516"/>
      <c r="H101" s="516"/>
      <c r="I101" s="516"/>
      <c r="J101" s="516"/>
      <c r="K101" s="516"/>
      <c r="L101" s="516"/>
      <c r="M101" s="516"/>
      <c r="N101" s="516"/>
      <c r="O101" s="516"/>
      <c r="P101" s="516"/>
      <c r="Q101" s="516"/>
    </row>
    <row r="102" spans="1:17">
      <c r="A102" s="516"/>
      <c r="B102" s="516"/>
      <c r="C102" s="516"/>
      <c r="D102" s="516"/>
      <c r="E102" s="516"/>
      <c r="F102" s="516"/>
      <c r="G102" s="516"/>
      <c r="H102" s="516"/>
      <c r="I102" s="516"/>
      <c r="J102" s="516"/>
      <c r="K102" s="516"/>
      <c r="L102" s="516"/>
      <c r="M102" s="516"/>
      <c r="N102" s="516"/>
      <c r="O102" s="516"/>
      <c r="P102" s="516"/>
      <c r="Q102" s="516"/>
    </row>
    <row r="103" spans="1:17">
      <c r="A103" s="516"/>
      <c r="B103" s="516"/>
      <c r="C103" s="516"/>
      <c r="D103" s="516"/>
      <c r="E103" s="516"/>
      <c r="F103" s="516"/>
      <c r="G103" s="516"/>
      <c r="H103" s="516"/>
      <c r="I103" s="516"/>
      <c r="J103" s="516"/>
      <c r="K103" s="516"/>
      <c r="L103" s="516"/>
      <c r="M103" s="516"/>
      <c r="N103" s="516"/>
      <c r="O103" s="516"/>
      <c r="P103" s="516"/>
      <c r="Q103" s="516"/>
    </row>
    <row r="104" spans="1:17">
      <c r="A104" s="516"/>
      <c r="B104" s="516"/>
      <c r="C104" s="516"/>
      <c r="D104" s="516"/>
      <c r="E104" s="516"/>
      <c r="F104" s="516"/>
      <c r="G104" s="516"/>
      <c r="H104" s="516"/>
      <c r="I104" s="516"/>
      <c r="J104" s="516"/>
      <c r="K104" s="516"/>
      <c r="L104" s="516"/>
      <c r="M104" s="516"/>
      <c r="N104" s="516"/>
      <c r="O104" s="516"/>
      <c r="P104" s="516"/>
      <c r="Q104" s="516"/>
    </row>
    <row r="105" spans="1:17">
      <c r="A105" s="516"/>
      <c r="B105" s="516"/>
      <c r="C105" s="516"/>
      <c r="D105" s="516"/>
      <c r="E105" s="516"/>
      <c r="F105" s="516"/>
      <c r="G105" s="516"/>
      <c r="H105" s="516"/>
      <c r="I105" s="516"/>
      <c r="J105" s="516"/>
      <c r="K105" s="516"/>
      <c r="L105" s="516"/>
      <c r="M105" s="516"/>
      <c r="N105" s="516"/>
      <c r="O105" s="516"/>
      <c r="P105" s="516"/>
      <c r="Q105" s="516"/>
    </row>
    <row r="106" spans="1:17">
      <c r="A106" s="516"/>
      <c r="B106" s="516"/>
      <c r="C106" s="516"/>
      <c r="D106" s="516"/>
      <c r="E106" s="516"/>
      <c r="F106" s="516"/>
      <c r="G106" s="516"/>
      <c r="H106" s="516"/>
      <c r="I106" s="516"/>
      <c r="J106" s="516"/>
      <c r="K106" s="516"/>
      <c r="L106" s="516"/>
      <c r="M106" s="516"/>
      <c r="N106" s="516"/>
      <c r="O106" s="516"/>
      <c r="P106" s="516"/>
      <c r="Q106" s="516"/>
    </row>
    <row r="107" spans="1:17">
      <c r="A107" s="516"/>
      <c r="B107" s="516"/>
      <c r="C107" s="516"/>
      <c r="D107" s="516"/>
      <c r="E107" s="516"/>
      <c r="F107" s="516"/>
      <c r="G107" s="516"/>
      <c r="H107" s="516"/>
      <c r="I107" s="516"/>
      <c r="J107" s="516"/>
      <c r="K107" s="516"/>
      <c r="L107" s="516"/>
      <c r="M107" s="516"/>
      <c r="N107" s="516"/>
      <c r="O107" s="516"/>
      <c r="P107" s="516"/>
      <c r="Q107" s="516"/>
    </row>
    <row r="108" spans="1:17">
      <c r="A108" s="516"/>
      <c r="B108" s="516"/>
      <c r="C108" s="516"/>
      <c r="D108" s="516"/>
      <c r="E108" s="516"/>
      <c r="F108" s="516"/>
      <c r="G108" s="516"/>
      <c r="H108" s="516"/>
      <c r="I108" s="516"/>
      <c r="J108" s="516"/>
      <c r="K108" s="516"/>
      <c r="L108" s="516"/>
      <c r="M108" s="516"/>
      <c r="N108" s="516"/>
      <c r="O108" s="516"/>
      <c r="P108" s="516"/>
      <c r="Q108" s="516"/>
    </row>
    <row r="109" spans="1:17">
      <c r="A109" s="516"/>
      <c r="B109" s="516"/>
      <c r="C109" s="516"/>
      <c r="D109" s="516"/>
      <c r="E109" s="516"/>
      <c r="F109" s="516"/>
      <c r="G109" s="516"/>
      <c r="H109" s="516"/>
      <c r="I109" s="516"/>
      <c r="J109" s="516"/>
      <c r="K109" s="516"/>
      <c r="L109" s="516"/>
      <c r="M109" s="516"/>
      <c r="N109" s="516"/>
      <c r="O109" s="516"/>
      <c r="P109" s="516"/>
      <c r="Q109" s="516"/>
    </row>
    <row r="110" spans="1:17">
      <c r="A110" s="516"/>
      <c r="B110" s="516"/>
      <c r="C110" s="516"/>
      <c r="D110" s="516"/>
      <c r="E110" s="516"/>
      <c r="F110" s="516"/>
      <c r="G110" s="516"/>
      <c r="H110" s="516"/>
      <c r="I110" s="516"/>
      <c r="J110" s="516"/>
      <c r="K110" s="516"/>
      <c r="L110" s="516"/>
      <c r="M110" s="516"/>
      <c r="N110" s="516"/>
      <c r="O110" s="516"/>
      <c r="P110" s="516"/>
      <c r="Q110" s="516"/>
    </row>
    <row r="111" spans="1:17">
      <c r="A111" s="516"/>
      <c r="B111" s="516"/>
      <c r="C111" s="516"/>
      <c r="D111" s="516"/>
      <c r="E111" s="516"/>
      <c r="F111" s="516"/>
      <c r="G111" s="516"/>
      <c r="H111" s="516"/>
      <c r="I111" s="516"/>
      <c r="J111" s="516"/>
      <c r="K111" s="516"/>
      <c r="L111" s="516"/>
      <c r="M111" s="516"/>
      <c r="N111" s="516"/>
      <c r="O111" s="516"/>
      <c r="P111" s="516"/>
      <c r="Q111" s="516"/>
    </row>
    <row r="112" spans="1:17">
      <c r="A112" s="516"/>
      <c r="B112" s="516"/>
      <c r="C112" s="516"/>
      <c r="D112" s="516"/>
      <c r="E112" s="516"/>
      <c r="F112" s="516"/>
      <c r="G112" s="516"/>
      <c r="H112" s="516"/>
      <c r="I112" s="516"/>
      <c r="J112" s="516"/>
      <c r="K112" s="516"/>
      <c r="L112" s="516"/>
      <c r="M112" s="516"/>
      <c r="N112" s="516"/>
      <c r="O112" s="516"/>
      <c r="P112" s="516"/>
      <c r="Q112" s="516"/>
    </row>
    <row r="113" spans="1:17">
      <c r="A113" s="516"/>
      <c r="B113" s="516"/>
      <c r="C113" s="516"/>
      <c r="D113" s="516"/>
      <c r="E113" s="516"/>
      <c r="F113" s="516"/>
      <c r="G113" s="516"/>
      <c r="H113" s="516"/>
      <c r="I113" s="516"/>
      <c r="J113" s="516"/>
      <c r="K113" s="516"/>
      <c r="L113" s="516"/>
      <c r="M113" s="516"/>
      <c r="N113" s="516"/>
      <c r="O113" s="516"/>
      <c r="P113" s="516"/>
      <c r="Q113" s="516"/>
    </row>
    <row r="114" spans="1:17">
      <c r="A114" s="516"/>
      <c r="B114" s="516"/>
      <c r="C114" s="516"/>
      <c r="D114" s="516"/>
      <c r="E114" s="516"/>
      <c r="F114" s="516"/>
      <c r="G114" s="516"/>
      <c r="H114" s="516"/>
      <c r="I114" s="516"/>
      <c r="J114" s="516"/>
      <c r="K114" s="516"/>
      <c r="L114" s="516"/>
      <c r="M114" s="516"/>
      <c r="N114" s="516"/>
      <c r="O114" s="516"/>
      <c r="P114" s="516"/>
      <c r="Q114" s="516"/>
    </row>
    <row r="115" spans="1:17">
      <c r="A115" s="516"/>
      <c r="B115" s="516"/>
      <c r="C115" s="516"/>
      <c r="D115" s="516"/>
      <c r="E115" s="516"/>
      <c r="F115" s="516"/>
      <c r="G115" s="516"/>
      <c r="H115" s="516"/>
      <c r="I115" s="516"/>
      <c r="J115" s="516"/>
      <c r="K115" s="516"/>
      <c r="L115" s="516"/>
      <c r="M115" s="516"/>
      <c r="N115" s="516"/>
      <c r="O115" s="516"/>
      <c r="P115" s="516"/>
      <c r="Q115" s="516"/>
    </row>
    <row r="116" spans="1:17">
      <c r="A116" s="516"/>
      <c r="B116" s="516"/>
      <c r="C116" s="516"/>
      <c r="D116" s="516"/>
      <c r="E116" s="516"/>
      <c r="F116" s="516"/>
      <c r="G116" s="516"/>
      <c r="H116" s="516"/>
      <c r="I116" s="516"/>
      <c r="J116" s="516"/>
      <c r="K116" s="516"/>
      <c r="L116" s="516"/>
      <c r="M116" s="516"/>
      <c r="N116" s="516"/>
      <c r="O116" s="516"/>
      <c r="P116" s="516"/>
      <c r="Q116" s="516"/>
    </row>
    <row r="117" spans="1:17">
      <c r="A117" s="516"/>
      <c r="B117" s="516"/>
      <c r="C117" s="516"/>
      <c r="D117" s="516"/>
      <c r="E117" s="516"/>
      <c r="F117" s="516"/>
      <c r="G117" s="516"/>
      <c r="H117" s="516"/>
      <c r="I117" s="516"/>
      <c r="J117" s="516"/>
      <c r="K117" s="516"/>
      <c r="L117" s="516"/>
      <c r="M117" s="516"/>
      <c r="N117" s="516"/>
      <c r="O117" s="516"/>
      <c r="P117" s="516"/>
      <c r="Q117" s="516"/>
    </row>
    <row r="118" spans="1:17">
      <c r="A118" s="516"/>
      <c r="B118" s="516"/>
      <c r="C118" s="516"/>
      <c r="D118" s="516"/>
      <c r="E118" s="516"/>
      <c r="F118" s="516"/>
      <c r="G118" s="516"/>
      <c r="H118" s="516"/>
      <c r="I118" s="516"/>
      <c r="J118" s="516"/>
      <c r="K118" s="516"/>
      <c r="L118" s="516"/>
      <c r="M118" s="516"/>
      <c r="N118" s="516"/>
      <c r="O118" s="516"/>
      <c r="P118" s="516"/>
      <c r="Q118" s="516"/>
    </row>
    <row r="119" spans="1:17">
      <c r="A119" s="516"/>
      <c r="B119" s="516"/>
      <c r="C119" s="516"/>
      <c r="D119" s="516"/>
      <c r="E119" s="516"/>
      <c r="F119" s="516"/>
      <c r="G119" s="516"/>
      <c r="H119" s="516"/>
      <c r="I119" s="516"/>
      <c r="J119" s="516"/>
      <c r="K119" s="516"/>
      <c r="L119" s="516"/>
      <c r="M119" s="516"/>
      <c r="N119" s="516"/>
      <c r="O119" s="516"/>
      <c r="P119" s="516"/>
      <c r="Q119" s="516"/>
    </row>
    <row r="120" spans="1:17">
      <c r="A120" s="516"/>
      <c r="B120" s="516"/>
      <c r="C120" s="516"/>
      <c r="D120" s="516"/>
      <c r="E120" s="516"/>
      <c r="F120" s="516"/>
      <c r="G120" s="516"/>
      <c r="H120" s="516"/>
      <c r="I120" s="516"/>
      <c r="J120" s="516"/>
      <c r="K120" s="516"/>
      <c r="L120" s="516"/>
      <c r="M120" s="516"/>
      <c r="N120" s="516"/>
      <c r="O120" s="516"/>
      <c r="P120" s="516"/>
      <c r="Q120" s="516"/>
    </row>
    <row r="121" spans="1:17">
      <c r="A121" s="516"/>
      <c r="B121" s="516"/>
      <c r="C121" s="516"/>
      <c r="D121" s="516"/>
      <c r="E121" s="516"/>
      <c r="F121" s="516"/>
      <c r="G121" s="516"/>
      <c r="H121" s="516"/>
      <c r="I121" s="516"/>
      <c r="J121" s="516"/>
      <c r="K121" s="516"/>
      <c r="L121" s="516"/>
      <c r="M121" s="516"/>
      <c r="N121" s="516"/>
      <c r="O121" s="516"/>
      <c r="P121" s="516"/>
      <c r="Q121" s="516"/>
    </row>
    <row r="122" spans="1:17">
      <c r="A122" s="516"/>
      <c r="B122" s="516"/>
      <c r="C122" s="516"/>
      <c r="D122" s="516"/>
      <c r="E122" s="516"/>
      <c r="F122" s="516"/>
      <c r="G122" s="516"/>
      <c r="H122" s="516"/>
      <c r="I122" s="516"/>
      <c r="J122" s="516"/>
      <c r="K122" s="516"/>
      <c r="L122" s="516"/>
      <c r="M122" s="516"/>
      <c r="N122" s="516"/>
      <c r="O122" s="516"/>
      <c r="P122" s="516"/>
      <c r="Q122" s="516"/>
    </row>
    <row r="123" spans="1:17">
      <c r="A123" s="516"/>
      <c r="B123" s="516"/>
      <c r="C123" s="516"/>
      <c r="D123" s="516"/>
      <c r="E123" s="516"/>
      <c r="F123" s="516"/>
      <c r="G123" s="516"/>
      <c r="H123" s="516"/>
      <c r="I123" s="516"/>
      <c r="J123" s="516"/>
      <c r="K123" s="516"/>
      <c r="L123" s="516"/>
      <c r="M123" s="516"/>
      <c r="N123" s="516"/>
      <c r="O123" s="516"/>
      <c r="P123" s="516"/>
      <c r="Q123" s="516"/>
    </row>
    <row r="124" spans="1:17">
      <c r="A124" s="516"/>
      <c r="B124" s="516"/>
      <c r="C124" s="516"/>
      <c r="D124" s="516"/>
      <c r="E124" s="516"/>
      <c r="F124" s="516"/>
      <c r="G124" s="516"/>
      <c r="H124" s="516"/>
      <c r="I124" s="516"/>
      <c r="J124" s="516"/>
      <c r="K124" s="516"/>
      <c r="L124" s="516"/>
      <c r="M124" s="516"/>
      <c r="N124" s="516"/>
      <c r="O124" s="516"/>
      <c r="P124" s="516"/>
      <c r="Q124" s="516"/>
    </row>
    <row r="125" spans="1:17">
      <c r="A125" s="516"/>
      <c r="B125" s="516"/>
      <c r="C125" s="516"/>
      <c r="D125" s="516"/>
      <c r="E125" s="516"/>
      <c r="F125" s="516"/>
      <c r="G125" s="516"/>
      <c r="H125" s="516"/>
      <c r="I125" s="516"/>
      <c r="J125" s="516"/>
      <c r="K125" s="516"/>
      <c r="L125" s="516"/>
      <c r="M125" s="516"/>
      <c r="N125" s="516"/>
      <c r="O125" s="516"/>
      <c r="P125" s="516"/>
      <c r="Q125" s="516"/>
    </row>
    <row r="126" spans="1:17">
      <c r="A126" s="516"/>
      <c r="B126" s="516"/>
      <c r="C126" s="516"/>
      <c r="D126" s="516"/>
      <c r="E126" s="516"/>
      <c r="F126" s="516"/>
      <c r="G126" s="516"/>
      <c r="H126" s="516"/>
      <c r="I126" s="516"/>
      <c r="J126" s="516"/>
      <c r="K126" s="516"/>
      <c r="L126" s="516"/>
      <c r="M126" s="516"/>
      <c r="N126" s="516"/>
      <c r="O126" s="516"/>
      <c r="P126" s="516"/>
      <c r="Q126" s="516"/>
    </row>
    <row r="127" spans="1:17">
      <c r="A127" s="516"/>
      <c r="B127" s="516"/>
      <c r="C127" s="516"/>
      <c r="D127" s="516"/>
      <c r="E127" s="516"/>
      <c r="F127" s="516"/>
      <c r="G127" s="516"/>
      <c r="H127" s="516"/>
      <c r="I127" s="516"/>
      <c r="J127" s="516"/>
      <c r="K127" s="516"/>
      <c r="L127" s="516"/>
      <c r="M127" s="516"/>
      <c r="N127" s="516"/>
      <c r="O127" s="516"/>
      <c r="P127" s="516"/>
      <c r="Q127" s="516"/>
    </row>
    <row r="128" spans="1:17">
      <c r="A128" s="516"/>
      <c r="B128" s="516"/>
      <c r="C128" s="516"/>
      <c r="D128" s="516"/>
      <c r="E128" s="516"/>
      <c r="F128" s="516"/>
      <c r="G128" s="516"/>
      <c r="H128" s="516"/>
      <c r="I128" s="516"/>
      <c r="J128" s="516"/>
      <c r="K128" s="516"/>
      <c r="L128" s="516"/>
      <c r="M128" s="516"/>
      <c r="N128" s="516"/>
      <c r="O128" s="516"/>
      <c r="P128" s="516"/>
      <c r="Q128" s="516"/>
    </row>
    <row r="129" spans="1:17">
      <c r="A129" s="516"/>
      <c r="B129" s="516"/>
      <c r="C129" s="516"/>
      <c r="D129" s="516"/>
      <c r="E129" s="516"/>
      <c r="F129" s="516"/>
      <c r="G129" s="516"/>
      <c r="H129" s="516"/>
      <c r="I129" s="516"/>
      <c r="J129" s="516"/>
      <c r="K129" s="516"/>
      <c r="L129" s="516"/>
      <c r="M129" s="516"/>
      <c r="N129" s="516"/>
      <c r="O129" s="516"/>
      <c r="P129" s="516"/>
      <c r="Q129" s="516"/>
    </row>
    <row r="130" spans="1:17">
      <c r="A130" s="516"/>
      <c r="B130" s="516"/>
      <c r="C130" s="516"/>
      <c r="D130" s="516"/>
      <c r="E130" s="516"/>
      <c r="F130" s="516"/>
      <c r="G130" s="516"/>
      <c r="H130" s="516"/>
      <c r="I130" s="516"/>
      <c r="J130" s="516"/>
      <c r="K130" s="516"/>
      <c r="L130" s="516"/>
      <c r="M130" s="516"/>
      <c r="N130" s="516"/>
      <c r="O130" s="516"/>
      <c r="P130" s="516"/>
      <c r="Q130" s="516"/>
    </row>
    <row r="131" spans="1:17">
      <c r="A131" s="516"/>
      <c r="B131" s="516"/>
      <c r="C131" s="516"/>
      <c r="D131" s="516"/>
      <c r="E131" s="516"/>
      <c r="F131" s="516"/>
      <c r="G131" s="516"/>
      <c r="H131" s="516"/>
      <c r="I131" s="516"/>
      <c r="J131" s="516"/>
      <c r="K131" s="516"/>
      <c r="L131" s="516"/>
      <c r="M131" s="516"/>
      <c r="N131" s="516"/>
      <c r="O131" s="516"/>
      <c r="P131" s="516"/>
      <c r="Q131" s="516"/>
    </row>
    <row r="132" spans="1:17">
      <c r="A132" s="516"/>
      <c r="B132" s="516"/>
      <c r="C132" s="516"/>
      <c r="D132" s="516"/>
      <c r="E132" s="516"/>
      <c r="F132" s="516"/>
      <c r="G132" s="516"/>
      <c r="H132" s="516"/>
      <c r="I132" s="516"/>
      <c r="J132" s="516"/>
      <c r="K132" s="516"/>
      <c r="L132" s="516"/>
      <c r="M132" s="516"/>
      <c r="N132" s="516"/>
      <c r="O132" s="516"/>
      <c r="P132" s="516"/>
      <c r="Q132" s="516"/>
    </row>
    <row r="133" spans="1:17">
      <c r="A133" s="516"/>
      <c r="B133" s="516"/>
      <c r="C133" s="516"/>
      <c r="D133" s="516"/>
      <c r="E133" s="516"/>
      <c r="F133" s="516"/>
      <c r="G133" s="516"/>
      <c r="H133" s="516"/>
      <c r="I133" s="516"/>
      <c r="J133" s="516"/>
      <c r="K133" s="516"/>
      <c r="L133" s="516"/>
      <c r="M133" s="516"/>
      <c r="N133" s="516"/>
      <c r="O133" s="516"/>
      <c r="P133" s="516"/>
      <c r="Q133" s="516"/>
    </row>
    <row r="134" spans="1:17">
      <c r="A134" s="516"/>
      <c r="B134" s="516"/>
      <c r="C134" s="516"/>
      <c r="D134" s="516"/>
      <c r="E134" s="516"/>
      <c r="F134" s="516"/>
      <c r="G134" s="516"/>
      <c r="H134" s="516"/>
      <c r="I134" s="516"/>
      <c r="J134" s="516"/>
      <c r="K134" s="516"/>
      <c r="L134" s="516"/>
      <c r="M134" s="516"/>
      <c r="N134" s="516"/>
      <c r="O134" s="516"/>
      <c r="P134" s="516"/>
      <c r="Q134" s="516"/>
    </row>
    <row r="135" spans="1:17">
      <c r="A135" s="516"/>
      <c r="B135" s="516"/>
      <c r="C135" s="516"/>
      <c r="D135" s="516"/>
      <c r="E135" s="516"/>
      <c r="F135" s="516"/>
      <c r="G135" s="516"/>
      <c r="H135" s="516"/>
      <c r="I135" s="516"/>
      <c r="J135" s="516"/>
      <c r="K135" s="516"/>
      <c r="L135" s="516"/>
      <c r="M135" s="516"/>
      <c r="N135" s="516"/>
      <c r="O135" s="516"/>
      <c r="P135" s="516"/>
      <c r="Q135" s="516"/>
    </row>
    <row r="136" spans="1:17">
      <c r="A136" s="516"/>
      <c r="B136" s="516"/>
      <c r="C136" s="516"/>
      <c r="D136" s="516"/>
      <c r="E136" s="516"/>
      <c r="F136" s="516"/>
      <c r="G136" s="516"/>
      <c r="H136" s="516"/>
      <c r="I136" s="516"/>
      <c r="J136" s="516"/>
      <c r="K136" s="516"/>
      <c r="L136" s="516"/>
      <c r="M136" s="516"/>
      <c r="N136" s="516"/>
      <c r="O136" s="516"/>
      <c r="P136" s="516"/>
      <c r="Q136" s="516"/>
    </row>
    <row r="137" spans="1:17">
      <c r="A137" s="516"/>
      <c r="B137" s="516"/>
      <c r="C137" s="516"/>
      <c r="D137" s="516"/>
      <c r="E137" s="516"/>
      <c r="F137" s="516"/>
      <c r="G137" s="516"/>
      <c r="H137" s="516"/>
      <c r="I137" s="516"/>
      <c r="J137" s="516"/>
      <c r="K137" s="516"/>
      <c r="L137" s="516"/>
      <c r="M137" s="516"/>
      <c r="N137" s="516"/>
      <c r="O137" s="516"/>
      <c r="P137" s="516"/>
      <c r="Q137" s="516"/>
    </row>
    <row r="138" spans="1:17">
      <c r="A138" s="516"/>
      <c r="B138" s="516"/>
      <c r="C138" s="516"/>
      <c r="D138" s="516"/>
      <c r="E138" s="516"/>
      <c r="F138" s="516"/>
      <c r="G138" s="516"/>
      <c r="H138" s="516"/>
      <c r="I138" s="516"/>
      <c r="J138" s="516"/>
      <c r="K138" s="516"/>
      <c r="L138" s="516"/>
      <c r="M138" s="516"/>
      <c r="N138" s="516"/>
      <c r="O138" s="516"/>
      <c r="P138" s="516"/>
      <c r="Q138" s="516"/>
    </row>
    <row r="139" spans="1:17">
      <c r="A139" s="516"/>
      <c r="B139" s="516"/>
      <c r="C139" s="516"/>
      <c r="D139" s="516"/>
      <c r="E139" s="516"/>
      <c r="F139" s="516"/>
      <c r="G139" s="516"/>
      <c r="H139" s="516"/>
      <c r="I139" s="516"/>
      <c r="J139" s="516"/>
      <c r="K139" s="516"/>
      <c r="L139" s="516"/>
      <c r="M139" s="516"/>
      <c r="N139" s="516"/>
      <c r="O139" s="516"/>
      <c r="P139" s="516"/>
      <c r="Q139" s="516"/>
    </row>
    <row r="140" spans="1:17">
      <c r="A140" s="516"/>
      <c r="B140" s="516"/>
      <c r="C140" s="516"/>
      <c r="D140" s="516"/>
      <c r="E140" s="516"/>
      <c r="F140" s="516"/>
      <c r="G140" s="516"/>
      <c r="H140" s="516"/>
      <c r="I140" s="516"/>
      <c r="J140" s="516"/>
      <c r="K140" s="516"/>
      <c r="L140" s="516"/>
      <c r="M140" s="516"/>
      <c r="N140" s="516"/>
      <c r="O140" s="516"/>
      <c r="P140" s="516"/>
      <c r="Q140" s="516"/>
    </row>
    <row r="141" spans="1:17">
      <c r="A141" s="516"/>
      <c r="B141" s="516"/>
      <c r="C141" s="516"/>
      <c r="D141" s="516"/>
      <c r="E141" s="516"/>
      <c r="F141" s="516"/>
      <c r="G141" s="516"/>
      <c r="H141" s="516"/>
      <c r="I141" s="516"/>
      <c r="J141" s="516"/>
      <c r="K141" s="516"/>
      <c r="L141" s="516"/>
      <c r="M141" s="516"/>
      <c r="N141" s="516"/>
      <c r="O141" s="516"/>
      <c r="P141" s="516"/>
      <c r="Q141" s="516"/>
    </row>
    <row r="142" spans="1:17">
      <c r="A142" s="516"/>
      <c r="B142" s="516"/>
      <c r="C142" s="516"/>
      <c r="D142" s="516"/>
      <c r="E142" s="516"/>
      <c r="F142" s="516"/>
      <c r="G142" s="516"/>
      <c r="H142" s="516"/>
      <c r="I142" s="516"/>
      <c r="J142" s="516"/>
      <c r="K142" s="516"/>
      <c r="L142" s="516"/>
      <c r="M142" s="516"/>
      <c r="N142" s="516"/>
      <c r="O142" s="516"/>
      <c r="P142" s="516"/>
      <c r="Q142" s="516"/>
    </row>
    <row r="143" spans="1:17">
      <c r="A143" s="516"/>
      <c r="B143" s="516"/>
      <c r="C143" s="516"/>
      <c r="D143" s="516"/>
      <c r="E143" s="516"/>
      <c r="F143" s="516"/>
      <c r="G143" s="516"/>
      <c r="H143" s="516"/>
      <c r="I143" s="516"/>
      <c r="J143" s="516"/>
      <c r="K143" s="516"/>
      <c r="L143" s="516"/>
      <c r="M143" s="516"/>
      <c r="N143" s="516"/>
      <c r="O143" s="516"/>
      <c r="P143" s="516"/>
      <c r="Q143" s="516"/>
    </row>
    <row r="144" spans="1:17">
      <c r="A144" s="516"/>
      <c r="B144" s="516"/>
      <c r="C144" s="516"/>
      <c r="D144" s="516"/>
      <c r="E144" s="516"/>
      <c r="F144" s="516"/>
      <c r="G144" s="516"/>
      <c r="H144" s="516"/>
      <c r="I144" s="516"/>
      <c r="J144" s="516"/>
      <c r="K144" s="516"/>
      <c r="L144" s="516"/>
      <c r="M144" s="516"/>
      <c r="N144" s="516"/>
      <c r="O144" s="516"/>
      <c r="P144" s="516"/>
      <c r="Q144" s="516"/>
    </row>
    <row r="145" spans="1:17">
      <c r="A145" s="516"/>
      <c r="B145" s="516"/>
      <c r="C145" s="516"/>
      <c r="D145" s="516"/>
      <c r="E145" s="516"/>
      <c r="F145" s="516"/>
      <c r="G145" s="516"/>
      <c r="H145" s="516"/>
      <c r="I145" s="516"/>
      <c r="J145" s="516"/>
      <c r="K145" s="516"/>
      <c r="L145" s="516"/>
      <c r="M145" s="516"/>
      <c r="N145" s="516"/>
      <c r="O145" s="516"/>
      <c r="P145" s="516"/>
      <c r="Q145" s="516"/>
    </row>
    <row r="146" spans="1:17">
      <c r="A146" s="516"/>
      <c r="B146" s="516"/>
      <c r="C146" s="516"/>
      <c r="D146" s="516"/>
      <c r="E146" s="516"/>
      <c r="F146" s="516"/>
      <c r="G146" s="516"/>
      <c r="H146" s="516"/>
      <c r="I146" s="516"/>
      <c r="J146" s="516"/>
      <c r="K146" s="516"/>
      <c r="L146" s="516"/>
      <c r="M146" s="516"/>
      <c r="N146" s="516"/>
      <c r="O146" s="516"/>
      <c r="P146" s="516"/>
      <c r="Q146" s="516"/>
    </row>
    <row r="147" spans="1:17">
      <c r="A147" s="516"/>
      <c r="B147" s="516"/>
      <c r="C147" s="516"/>
      <c r="D147" s="516"/>
      <c r="E147" s="516"/>
      <c r="F147" s="516"/>
      <c r="G147" s="516"/>
      <c r="H147" s="516"/>
      <c r="I147" s="516"/>
      <c r="J147" s="516"/>
      <c r="K147" s="516"/>
      <c r="L147" s="516"/>
      <c r="M147" s="516"/>
      <c r="N147" s="516"/>
      <c r="O147" s="516"/>
      <c r="P147" s="516"/>
      <c r="Q147" s="516"/>
    </row>
    <row r="148" spans="1:17">
      <c r="A148" s="516"/>
      <c r="B148" s="516"/>
      <c r="C148" s="516"/>
      <c r="D148" s="516"/>
      <c r="E148" s="516"/>
      <c r="F148" s="516"/>
      <c r="G148" s="516"/>
      <c r="H148" s="516"/>
      <c r="I148" s="516"/>
      <c r="J148" s="516"/>
      <c r="K148" s="516"/>
      <c r="L148" s="516"/>
      <c r="M148" s="516"/>
      <c r="N148" s="516"/>
      <c r="O148" s="516"/>
      <c r="P148" s="516"/>
      <c r="Q148" s="516"/>
    </row>
    <row r="149" spans="1:17">
      <c r="A149" s="516"/>
      <c r="B149" s="516"/>
      <c r="C149" s="516"/>
      <c r="D149" s="516"/>
      <c r="E149" s="516"/>
      <c r="F149" s="516"/>
      <c r="G149" s="516"/>
      <c r="H149" s="516"/>
      <c r="I149" s="516"/>
      <c r="J149" s="516"/>
      <c r="K149" s="516"/>
      <c r="L149" s="516"/>
      <c r="M149" s="516"/>
      <c r="N149" s="516"/>
      <c r="O149" s="516"/>
      <c r="P149" s="516"/>
      <c r="Q149" s="516"/>
    </row>
    <row r="150" spans="1:17">
      <c r="A150" s="516"/>
      <c r="B150" s="516"/>
      <c r="C150" s="516"/>
      <c r="D150" s="516"/>
      <c r="E150" s="516"/>
      <c r="F150" s="516"/>
      <c r="G150" s="516"/>
      <c r="H150" s="516"/>
      <c r="I150" s="516"/>
      <c r="J150" s="516"/>
      <c r="K150" s="516"/>
      <c r="L150" s="516"/>
      <c r="M150" s="516"/>
      <c r="N150" s="516"/>
      <c r="O150" s="516"/>
      <c r="P150" s="516"/>
      <c r="Q150" s="516"/>
    </row>
    <row r="151" spans="1:17">
      <c r="A151" s="516"/>
      <c r="B151" s="516"/>
      <c r="C151" s="516"/>
      <c r="D151" s="516"/>
      <c r="E151" s="516"/>
      <c r="F151" s="516"/>
      <c r="G151" s="516"/>
      <c r="H151" s="516"/>
      <c r="I151" s="516"/>
      <c r="J151" s="516"/>
      <c r="K151" s="516"/>
      <c r="L151" s="516"/>
      <c r="M151" s="516"/>
      <c r="N151" s="516"/>
      <c r="O151" s="516"/>
      <c r="P151" s="516"/>
      <c r="Q151" s="516"/>
    </row>
    <row r="152" spans="1:17">
      <c r="A152" s="516"/>
      <c r="B152" s="516"/>
      <c r="C152" s="516"/>
      <c r="D152" s="516"/>
      <c r="E152" s="516"/>
      <c r="F152" s="516"/>
      <c r="G152" s="516"/>
      <c r="H152" s="516"/>
      <c r="I152" s="516"/>
      <c r="J152" s="516"/>
      <c r="K152" s="516"/>
      <c r="L152" s="516"/>
      <c r="M152" s="516"/>
      <c r="N152" s="516"/>
      <c r="O152" s="516"/>
      <c r="P152" s="516"/>
      <c r="Q152" s="516"/>
    </row>
    <row r="153" spans="1:17">
      <c r="A153" s="516"/>
      <c r="B153" s="516"/>
      <c r="C153" s="516"/>
      <c r="D153" s="516"/>
      <c r="E153" s="516"/>
      <c r="F153" s="516"/>
      <c r="G153" s="516"/>
      <c r="H153" s="516"/>
      <c r="I153" s="516"/>
      <c r="J153" s="516"/>
      <c r="K153" s="516"/>
      <c r="L153" s="516"/>
      <c r="M153" s="516"/>
      <c r="N153" s="516"/>
      <c r="O153" s="516"/>
      <c r="P153" s="516"/>
      <c r="Q153" s="516"/>
    </row>
    <row r="154" spans="1:17">
      <c r="A154" s="516"/>
      <c r="B154" s="516"/>
      <c r="C154" s="516"/>
      <c r="D154" s="516"/>
      <c r="E154" s="516"/>
      <c r="F154" s="516"/>
      <c r="G154" s="516"/>
      <c r="H154" s="516"/>
      <c r="I154" s="516"/>
      <c r="J154" s="516"/>
      <c r="K154" s="516"/>
      <c r="L154" s="516"/>
      <c r="M154" s="516"/>
      <c r="N154" s="516"/>
      <c r="O154" s="516"/>
      <c r="P154" s="516"/>
      <c r="Q154" s="516"/>
    </row>
    <row r="155" spans="1:17">
      <c r="A155" s="516"/>
      <c r="B155" s="516"/>
      <c r="C155" s="516"/>
      <c r="D155" s="516"/>
      <c r="E155" s="516"/>
      <c r="F155" s="516"/>
      <c r="G155" s="516"/>
      <c r="H155" s="516"/>
      <c r="I155" s="516"/>
      <c r="J155" s="516"/>
      <c r="K155" s="516"/>
      <c r="L155" s="516"/>
      <c r="M155" s="516"/>
      <c r="N155" s="516"/>
      <c r="O155" s="516"/>
      <c r="P155" s="516"/>
      <c r="Q155" s="516"/>
    </row>
    <row r="156" spans="1:17">
      <c r="A156" s="516"/>
      <c r="B156" s="516"/>
      <c r="C156" s="516"/>
      <c r="D156" s="516"/>
      <c r="E156" s="516"/>
      <c r="F156" s="516"/>
      <c r="G156" s="516"/>
      <c r="H156" s="516"/>
      <c r="I156" s="516"/>
      <c r="J156" s="516"/>
      <c r="K156" s="516"/>
      <c r="L156" s="516"/>
      <c r="M156" s="516"/>
      <c r="N156" s="516"/>
      <c r="O156" s="516"/>
      <c r="P156" s="516"/>
      <c r="Q156" s="516"/>
    </row>
    <row r="157" spans="1:17">
      <c r="A157" s="516"/>
      <c r="B157" s="516"/>
      <c r="C157" s="516"/>
      <c r="D157" s="516"/>
      <c r="E157" s="516"/>
      <c r="F157" s="516"/>
      <c r="G157" s="516"/>
      <c r="H157" s="516"/>
      <c r="I157" s="516"/>
      <c r="J157" s="516"/>
      <c r="K157" s="516"/>
      <c r="L157" s="516"/>
      <c r="M157" s="516"/>
      <c r="N157" s="516"/>
      <c r="O157" s="516"/>
      <c r="P157" s="516"/>
      <c r="Q157" s="516"/>
    </row>
    <row r="158" spans="1:17">
      <c r="A158" s="516"/>
      <c r="B158" s="516"/>
      <c r="C158" s="516"/>
      <c r="D158" s="516"/>
      <c r="E158" s="516"/>
      <c r="F158" s="516"/>
      <c r="G158" s="516"/>
      <c r="H158" s="516"/>
      <c r="I158" s="516"/>
      <c r="J158" s="516"/>
      <c r="K158" s="516"/>
      <c r="L158" s="516"/>
      <c r="M158" s="516"/>
      <c r="N158" s="516"/>
      <c r="O158" s="516"/>
      <c r="P158" s="516"/>
      <c r="Q158" s="516"/>
    </row>
    <row r="159" spans="1:17">
      <c r="A159" s="516"/>
      <c r="B159" s="516"/>
      <c r="C159" s="516"/>
      <c r="D159" s="516"/>
      <c r="E159" s="516"/>
      <c r="F159" s="516"/>
      <c r="G159" s="516"/>
      <c r="H159" s="516"/>
      <c r="I159" s="516"/>
      <c r="J159" s="516"/>
      <c r="K159" s="516"/>
      <c r="L159" s="516"/>
      <c r="M159" s="516"/>
      <c r="N159" s="516"/>
      <c r="O159" s="516"/>
      <c r="P159" s="516"/>
      <c r="Q159" s="516"/>
    </row>
    <row r="160" spans="1:17">
      <c r="A160" s="516"/>
      <c r="B160" s="516"/>
      <c r="C160" s="516"/>
      <c r="D160" s="516"/>
      <c r="E160" s="516"/>
      <c r="F160" s="516"/>
      <c r="G160" s="516"/>
      <c r="H160" s="516"/>
      <c r="I160" s="516"/>
      <c r="J160" s="516"/>
      <c r="K160" s="516"/>
      <c r="L160" s="516"/>
      <c r="M160" s="516"/>
      <c r="N160" s="516"/>
      <c r="O160" s="516"/>
      <c r="P160" s="516"/>
      <c r="Q160" s="516"/>
    </row>
    <row r="161" spans="1:17">
      <c r="A161" s="516"/>
      <c r="B161" s="516"/>
      <c r="C161" s="516"/>
      <c r="D161" s="516"/>
      <c r="E161" s="516"/>
      <c r="F161" s="516"/>
      <c r="G161" s="516"/>
      <c r="H161" s="516"/>
      <c r="I161" s="516"/>
      <c r="J161" s="516"/>
      <c r="K161" s="516"/>
      <c r="L161" s="516"/>
      <c r="M161" s="516"/>
      <c r="N161" s="516"/>
      <c r="O161" s="516"/>
      <c r="P161" s="516"/>
      <c r="Q161" s="516"/>
    </row>
    <row r="162" spans="1:17">
      <c r="A162" s="516"/>
      <c r="B162" s="516"/>
      <c r="C162" s="516"/>
      <c r="D162" s="516"/>
      <c r="E162" s="516"/>
      <c r="F162" s="516"/>
      <c r="G162" s="516"/>
      <c r="H162" s="516"/>
      <c r="I162" s="516"/>
      <c r="J162" s="516"/>
      <c r="K162" s="516"/>
      <c r="L162" s="516"/>
      <c r="M162" s="516"/>
      <c r="N162" s="516"/>
      <c r="O162" s="516"/>
      <c r="P162" s="516"/>
      <c r="Q162" s="516"/>
    </row>
    <row r="163" spans="1:17">
      <c r="A163" s="516"/>
      <c r="B163" s="516"/>
      <c r="C163" s="516"/>
      <c r="D163" s="516"/>
      <c r="E163" s="516"/>
      <c r="F163" s="516"/>
      <c r="G163" s="516"/>
      <c r="H163" s="516"/>
      <c r="I163" s="516"/>
      <c r="J163" s="516"/>
      <c r="K163" s="516"/>
      <c r="L163" s="516"/>
      <c r="M163" s="516"/>
      <c r="N163" s="516"/>
      <c r="O163" s="516"/>
      <c r="P163" s="516"/>
      <c r="Q163" s="516"/>
    </row>
    <row r="164" spans="1:17">
      <c r="A164" s="516"/>
      <c r="B164" s="516"/>
      <c r="C164" s="516"/>
      <c r="D164" s="516"/>
      <c r="E164" s="516"/>
      <c r="F164" s="516"/>
      <c r="G164" s="516"/>
      <c r="H164" s="516"/>
      <c r="I164" s="516"/>
      <c r="J164" s="516"/>
      <c r="K164" s="516"/>
      <c r="L164" s="516"/>
      <c r="M164" s="516"/>
      <c r="N164" s="516"/>
      <c r="O164" s="516"/>
      <c r="P164" s="516"/>
      <c r="Q164" s="516"/>
    </row>
    <row r="165" spans="1:17">
      <c r="A165" s="516"/>
      <c r="B165" s="516"/>
      <c r="C165" s="516"/>
      <c r="D165" s="516"/>
      <c r="E165" s="516"/>
      <c r="F165" s="516"/>
      <c r="G165" s="516"/>
      <c r="H165" s="516"/>
      <c r="I165" s="516"/>
      <c r="J165" s="516"/>
      <c r="K165" s="516"/>
      <c r="L165" s="516"/>
      <c r="M165" s="516"/>
      <c r="N165" s="516"/>
      <c r="O165" s="516"/>
      <c r="P165" s="516"/>
      <c r="Q165" s="516"/>
    </row>
    <row r="166" spans="1:17">
      <c r="A166" s="516"/>
      <c r="B166" s="516"/>
      <c r="C166" s="516"/>
      <c r="D166" s="516"/>
      <c r="E166" s="516"/>
      <c r="F166" s="516"/>
      <c r="G166" s="516"/>
      <c r="H166" s="516"/>
      <c r="I166" s="516"/>
      <c r="J166" s="516"/>
      <c r="K166" s="516"/>
      <c r="L166" s="516"/>
      <c r="M166" s="516"/>
      <c r="N166" s="516"/>
      <c r="O166" s="516"/>
      <c r="P166" s="516"/>
      <c r="Q166" s="516"/>
    </row>
    <row r="167" spans="1:17">
      <c r="A167" s="516"/>
      <c r="B167" s="516"/>
      <c r="C167" s="516"/>
      <c r="D167" s="516"/>
      <c r="E167" s="516"/>
      <c r="F167" s="516"/>
      <c r="G167" s="516"/>
      <c r="H167" s="516"/>
      <c r="I167" s="516"/>
      <c r="J167" s="516"/>
      <c r="K167" s="516"/>
      <c r="L167" s="516"/>
      <c r="M167" s="516"/>
      <c r="N167" s="516"/>
      <c r="O167" s="516"/>
      <c r="P167" s="516"/>
      <c r="Q167" s="516"/>
    </row>
    <row r="168" spans="1:17">
      <c r="A168" s="516"/>
      <c r="B168" s="516"/>
      <c r="C168" s="516"/>
      <c r="D168" s="516"/>
      <c r="E168" s="516"/>
      <c r="F168" s="516"/>
      <c r="G168" s="516"/>
      <c r="H168" s="516"/>
      <c r="I168" s="516"/>
      <c r="J168" s="516"/>
      <c r="K168" s="516"/>
      <c r="L168" s="516"/>
      <c r="M168" s="516"/>
      <c r="N168" s="516"/>
      <c r="O168" s="516"/>
      <c r="P168" s="516"/>
      <c r="Q168" s="516"/>
    </row>
    <row r="169" spans="1:17">
      <c r="A169" s="516"/>
      <c r="B169" s="516"/>
      <c r="C169" s="516"/>
      <c r="D169" s="516"/>
      <c r="E169" s="516"/>
      <c r="F169" s="516"/>
      <c r="G169" s="516"/>
      <c r="H169" s="516"/>
      <c r="I169" s="516"/>
      <c r="J169" s="516"/>
      <c r="K169" s="516"/>
      <c r="L169" s="516"/>
      <c r="M169" s="516"/>
      <c r="N169" s="516"/>
      <c r="O169" s="516"/>
      <c r="P169" s="516"/>
      <c r="Q169" s="516"/>
    </row>
    <row r="170" spans="1:17">
      <c r="A170" s="516"/>
      <c r="B170" s="516"/>
      <c r="C170" s="516"/>
      <c r="D170" s="516"/>
      <c r="E170" s="516"/>
      <c r="F170" s="516"/>
      <c r="G170" s="516"/>
      <c r="H170" s="516"/>
      <c r="I170" s="516"/>
      <c r="J170" s="516"/>
      <c r="K170" s="516"/>
      <c r="L170" s="516"/>
      <c r="M170" s="516"/>
      <c r="N170" s="516"/>
      <c r="O170" s="516"/>
      <c r="P170" s="516"/>
      <c r="Q170" s="516"/>
    </row>
    <row r="171" spans="1:17">
      <c r="A171" s="516"/>
      <c r="B171" s="516"/>
      <c r="C171" s="516"/>
      <c r="D171" s="516"/>
      <c r="E171" s="516"/>
      <c r="F171" s="516"/>
      <c r="G171" s="516"/>
      <c r="H171" s="516"/>
      <c r="I171" s="516"/>
      <c r="J171" s="516"/>
      <c r="K171" s="516"/>
      <c r="L171" s="516"/>
      <c r="M171" s="516"/>
      <c r="N171" s="516"/>
      <c r="O171" s="516"/>
      <c r="P171" s="516"/>
      <c r="Q171" s="516"/>
    </row>
    <row r="172" spans="1:17">
      <c r="A172" s="516"/>
      <c r="B172" s="516"/>
      <c r="C172" s="516"/>
      <c r="D172" s="516"/>
      <c r="E172" s="516"/>
      <c r="F172" s="516"/>
      <c r="G172" s="516"/>
      <c r="H172" s="516"/>
      <c r="I172" s="516"/>
      <c r="J172" s="516"/>
      <c r="K172" s="516"/>
      <c r="L172" s="516"/>
      <c r="M172" s="516"/>
      <c r="N172" s="516"/>
      <c r="O172" s="516"/>
      <c r="P172" s="516"/>
      <c r="Q172" s="516"/>
    </row>
    <row r="173" spans="1:17">
      <c r="A173" s="516"/>
      <c r="B173" s="516"/>
      <c r="C173" s="516"/>
      <c r="D173" s="516"/>
      <c r="E173" s="516"/>
      <c r="F173" s="516"/>
      <c r="G173" s="516"/>
      <c r="H173" s="516"/>
      <c r="I173" s="516"/>
      <c r="J173" s="516"/>
      <c r="K173" s="516"/>
      <c r="L173" s="516"/>
      <c r="M173" s="516"/>
      <c r="N173" s="516"/>
      <c r="O173" s="516"/>
      <c r="P173" s="516"/>
      <c r="Q173" s="516"/>
    </row>
    <row r="174" spans="1:17">
      <c r="A174" s="516"/>
      <c r="B174" s="516"/>
      <c r="C174" s="516"/>
      <c r="D174" s="516"/>
      <c r="E174" s="516"/>
      <c r="F174" s="516"/>
      <c r="G174" s="516"/>
      <c r="H174" s="516"/>
      <c r="I174" s="516"/>
      <c r="J174" s="516"/>
      <c r="K174" s="516"/>
      <c r="L174" s="516"/>
      <c r="M174" s="516"/>
      <c r="N174" s="516"/>
      <c r="O174" s="516"/>
      <c r="P174" s="516"/>
      <c r="Q174" s="516"/>
    </row>
    <row r="175" spans="1:17">
      <c r="A175" s="516"/>
      <c r="B175" s="516"/>
      <c r="C175" s="516"/>
      <c r="D175" s="516"/>
      <c r="E175" s="516"/>
      <c r="F175" s="516"/>
      <c r="G175" s="516"/>
      <c r="H175" s="516"/>
      <c r="I175" s="516"/>
      <c r="J175" s="516"/>
      <c r="K175" s="516"/>
      <c r="L175" s="516"/>
      <c r="M175" s="516"/>
      <c r="N175" s="516"/>
      <c r="O175" s="516"/>
      <c r="P175" s="516"/>
      <c r="Q175" s="516"/>
    </row>
    <row r="176" spans="1:17">
      <c r="A176" s="516"/>
      <c r="B176" s="516"/>
      <c r="C176" s="516"/>
      <c r="D176" s="516"/>
      <c r="E176" s="516"/>
      <c r="F176" s="516"/>
      <c r="G176" s="516"/>
      <c r="H176" s="516"/>
      <c r="I176" s="516"/>
      <c r="J176" s="516"/>
      <c r="K176" s="516"/>
      <c r="L176" s="516"/>
      <c r="M176" s="516"/>
      <c r="N176" s="516"/>
      <c r="O176" s="516"/>
      <c r="P176" s="516"/>
      <c r="Q176" s="516"/>
    </row>
    <row r="177" spans="1:17">
      <c r="A177" s="516"/>
      <c r="B177" s="516"/>
      <c r="C177" s="516"/>
      <c r="D177" s="516"/>
      <c r="E177" s="516"/>
      <c r="F177" s="516"/>
      <c r="G177" s="516"/>
      <c r="H177" s="516"/>
      <c r="I177" s="516"/>
      <c r="J177" s="516"/>
      <c r="K177" s="516"/>
      <c r="L177" s="516"/>
      <c r="M177" s="516"/>
      <c r="N177" s="516"/>
      <c r="O177" s="516"/>
      <c r="P177" s="516"/>
      <c r="Q177" s="516"/>
    </row>
    <row r="178" spans="1:17">
      <c r="A178" s="516"/>
      <c r="B178" s="516"/>
      <c r="C178" s="516"/>
      <c r="D178" s="516"/>
      <c r="E178" s="516"/>
      <c r="F178" s="516"/>
      <c r="G178" s="516"/>
      <c r="H178" s="516"/>
      <c r="I178" s="516"/>
      <c r="J178" s="516"/>
      <c r="K178" s="516"/>
      <c r="L178" s="516"/>
      <c r="M178" s="516"/>
      <c r="N178" s="516"/>
      <c r="O178" s="516"/>
      <c r="P178" s="516"/>
      <c r="Q178" s="516"/>
    </row>
    <row r="179" spans="1:17">
      <c r="A179" s="516"/>
      <c r="B179" s="516"/>
      <c r="C179" s="516"/>
      <c r="D179" s="516"/>
      <c r="E179" s="516"/>
      <c r="F179" s="516"/>
      <c r="G179" s="516"/>
      <c r="H179" s="516"/>
      <c r="I179" s="516"/>
      <c r="J179" s="516"/>
      <c r="K179" s="516"/>
      <c r="L179" s="516"/>
      <c r="M179" s="516"/>
      <c r="N179" s="516"/>
      <c r="O179" s="516"/>
      <c r="P179" s="516"/>
      <c r="Q179" s="516"/>
    </row>
    <row r="180" spans="1:17">
      <c r="A180" s="516"/>
      <c r="B180" s="516"/>
      <c r="C180" s="516"/>
      <c r="D180" s="516"/>
      <c r="E180" s="516"/>
      <c r="F180" s="516"/>
      <c r="G180" s="516"/>
      <c r="H180" s="516"/>
      <c r="I180" s="516"/>
      <c r="J180" s="516"/>
      <c r="K180" s="516"/>
      <c r="L180" s="516"/>
      <c r="M180" s="516"/>
      <c r="N180" s="516"/>
      <c r="O180" s="516"/>
      <c r="P180" s="516"/>
      <c r="Q180" s="516"/>
    </row>
    <row r="181" spans="1:17">
      <c r="A181" s="516"/>
      <c r="B181" s="516"/>
      <c r="C181" s="516"/>
      <c r="D181" s="516"/>
      <c r="E181" s="516"/>
      <c r="F181" s="516"/>
      <c r="G181" s="516"/>
      <c r="H181" s="516"/>
      <c r="I181" s="516"/>
      <c r="J181" s="516"/>
      <c r="K181" s="516"/>
      <c r="L181" s="516"/>
      <c r="M181" s="516"/>
      <c r="N181" s="516"/>
      <c r="O181" s="516"/>
      <c r="P181" s="516"/>
      <c r="Q181" s="516"/>
    </row>
    <row r="182" spans="1:17">
      <c r="A182" s="516"/>
      <c r="B182" s="516"/>
      <c r="C182" s="516"/>
      <c r="D182" s="516"/>
      <c r="E182" s="516"/>
      <c r="F182" s="516"/>
      <c r="G182" s="516"/>
      <c r="H182" s="516"/>
      <c r="I182" s="516"/>
      <c r="J182" s="516"/>
      <c r="K182" s="516"/>
      <c r="L182" s="516"/>
      <c r="M182" s="516"/>
      <c r="N182" s="516"/>
      <c r="O182" s="516"/>
      <c r="P182" s="516"/>
      <c r="Q182" s="516"/>
    </row>
    <row r="183" spans="1:17">
      <c r="A183" s="516"/>
      <c r="B183" s="516"/>
      <c r="C183" s="516"/>
      <c r="D183" s="516"/>
      <c r="E183" s="516"/>
      <c r="F183" s="516"/>
      <c r="G183" s="516"/>
      <c r="H183" s="516"/>
      <c r="I183" s="516"/>
      <c r="J183" s="516"/>
      <c r="K183" s="516"/>
      <c r="L183" s="516"/>
      <c r="M183" s="516"/>
      <c r="N183" s="516"/>
      <c r="O183" s="516"/>
      <c r="P183" s="516"/>
      <c r="Q183" s="516"/>
    </row>
    <row r="184" spans="1:17">
      <c r="A184" s="516"/>
      <c r="B184" s="516"/>
      <c r="C184" s="516"/>
      <c r="D184" s="516"/>
      <c r="E184" s="516"/>
      <c r="F184" s="516"/>
      <c r="G184" s="516"/>
      <c r="H184" s="516"/>
      <c r="I184" s="516"/>
      <c r="J184" s="516"/>
      <c r="K184" s="516"/>
      <c r="L184" s="516"/>
      <c r="M184" s="516"/>
      <c r="N184" s="516"/>
      <c r="O184" s="516"/>
      <c r="P184" s="516"/>
      <c r="Q184" s="516"/>
    </row>
    <row r="185" spans="1:17">
      <c r="A185" s="516"/>
      <c r="B185" s="516"/>
      <c r="C185" s="516"/>
      <c r="D185" s="516"/>
      <c r="E185" s="516"/>
      <c r="F185" s="516"/>
      <c r="G185" s="516"/>
      <c r="H185" s="516"/>
      <c r="I185" s="516"/>
      <c r="J185" s="516"/>
      <c r="K185" s="516"/>
      <c r="L185" s="516"/>
      <c r="M185" s="516"/>
      <c r="N185" s="516"/>
      <c r="O185" s="516"/>
      <c r="P185" s="516"/>
      <c r="Q185" s="516"/>
    </row>
    <row r="186" spans="1:17">
      <c r="A186" s="516"/>
      <c r="B186" s="516"/>
      <c r="C186" s="516"/>
      <c r="D186" s="516"/>
      <c r="E186" s="516"/>
      <c r="F186" s="516"/>
      <c r="G186" s="516"/>
      <c r="H186" s="516"/>
      <c r="I186" s="516"/>
      <c r="J186" s="516"/>
      <c r="K186" s="516"/>
      <c r="L186" s="516"/>
      <c r="M186" s="516"/>
      <c r="N186" s="516"/>
      <c r="O186" s="516"/>
      <c r="P186" s="516"/>
      <c r="Q186" s="516"/>
    </row>
    <row r="187" spans="1:17">
      <c r="A187" s="516"/>
      <c r="B187" s="516"/>
      <c r="C187" s="516"/>
      <c r="D187" s="516"/>
      <c r="E187" s="516"/>
      <c r="F187" s="516"/>
      <c r="G187" s="516"/>
      <c r="H187" s="516"/>
      <c r="I187" s="516"/>
      <c r="J187" s="516"/>
      <c r="K187" s="516"/>
      <c r="L187" s="516"/>
      <c r="M187" s="516"/>
      <c r="N187" s="516"/>
      <c r="O187" s="516"/>
      <c r="P187" s="516"/>
      <c r="Q187" s="516"/>
    </row>
    <row r="188" spans="1:17">
      <c r="A188" s="516"/>
      <c r="B188" s="516"/>
      <c r="C188" s="516"/>
      <c r="D188" s="516"/>
      <c r="E188" s="516"/>
      <c r="F188" s="516"/>
      <c r="G188" s="516"/>
      <c r="H188" s="516"/>
      <c r="I188" s="516"/>
      <c r="J188" s="516"/>
      <c r="K188" s="516"/>
      <c r="L188" s="516"/>
      <c r="M188" s="516"/>
      <c r="N188" s="516"/>
      <c r="O188" s="516"/>
      <c r="P188" s="516"/>
      <c r="Q188" s="516"/>
    </row>
    <row r="189" spans="1:17">
      <c r="A189" s="516"/>
      <c r="B189" s="516"/>
      <c r="C189" s="516"/>
      <c r="D189" s="516"/>
      <c r="E189" s="516"/>
      <c r="F189" s="516"/>
      <c r="G189" s="516"/>
      <c r="H189" s="516"/>
      <c r="I189" s="516"/>
      <c r="J189" s="516"/>
      <c r="K189" s="516"/>
      <c r="L189" s="516"/>
      <c r="M189" s="516"/>
      <c r="N189" s="516"/>
      <c r="O189" s="516"/>
      <c r="P189" s="516"/>
      <c r="Q189" s="516"/>
    </row>
    <row r="190" spans="1:17">
      <c r="A190" s="516"/>
      <c r="B190" s="516"/>
      <c r="C190" s="516"/>
      <c r="D190" s="516"/>
      <c r="E190" s="516"/>
      <c r="F190" s="516"/>
      <c r="G190" s="516"/>
      <c r="H190" s="516"/>
      <c r="I190" s="516"/>
      <c r="J190" s="516"/>
      <c r="K190" s="516"/>
      <c r="L190" s="516"/>
      <c r="M190" s="516"/>
      <c r="N190" s="516"/>
      <c r="O190" s="516"/>
      <c r="P190" s="516"/>
      <c r="Q190" s="516"/>
    </row>
    <row r="191" spans="1:17">
      <c r="A191" s="516"/>
      <c r="B191" s="516"/>
      <c r="C191" s="516"/>
      <c r="D191" s="516"/>
      <c r="E191" s="516"/>
      <c r="F191" s="516"/>
      <c r="G191" s="516"/>
      <c r="H191" s="516"/>
      <c r="I191" s="516"/>
      <c r="J191" s="516"/>
      <c r="K191" s="516"/>
      <c r="L191" s="516"/>
      <c r="M191" s="516"/>
      <c r="N191" s="516"/>
      <c r="O191" s="516"/>
      <c r="P191" s="516"/>
      <c r="Q191" s="516"/>
    </row>
    <row r="192" spans="1:17">
      <c r="A192" s="516"/>
      <c r="B192" s="516"/>
      <c r="C192" s="516"/>
      <c r="D192" s="516"/>
      <c r="E192" s="516"/>
      <c r="F192" s="516"/>
      <c r="G192" s="516"/>
      <c r="H192" s="516"/>
      <c r="I192" s="516"/>
      <c r="J192" s="516"/>
      <c r="K192" s="516"/>
      <c r="L192" s="516"/>
      <c r="M192" s="516"/>
      <c r="N192" s="516"/>
      <c r="O192" s="516"/>
      <c r="P192" s="516"/>
      <c r="Q192" s="516"/>
    </row>
    <row r="193" spans="1:17">
      <c r="A193" s="516"/>
      <c r="B193" s="516"/>
      <c r="C193" s="516"/>
      <c r="D193" s="516"/>
      <c r="E193" s="516"/>
      <c r="F193" s="516"/>
      <c r="G193" s="516"/>
      <c r="H193" s="516"/>
      <c r="I193" s="516"/>
      <c r="J193" s="516"/>
      <c r="K193" s="516"/>
      <c r="L193" s="516"/>
      <c r="M193" s="516"/>
      <c r="N193" s="516"/>
      <c r="O193" s="516"/>
      <c r="P193" s="516"/>
      <c r="Q193" s="516"/>
    </row>
    <row r="194" spans="1:17">
      <c r="A194" s="516"/>
      <c r="B194" s="516"/>
      <c r="C194" s="516"/>
      <c r="D194" s="516"/>
      <c r="E194" s="516"/>
      <c r="F194" s="516"/>
      <c r="G194" s="516"/>
      <c r="H194" s="516"/>
      <c r="I194" s="516"/>
      <c r="J194" s="516"/>
      <c r="K194" s="516"/>
      <c r="L194" s="516"/>
      <c r="M194" s="516"/>
      <c r="N194" s="516"/>
      <c r="O194" s="516"/>
      <c r="P194" s="516"/>
      <c r="Q194" s="516"/>
    </row>
    <row r="195" spans="1:17">
      <c r="A195" s="516"/>
      <c r="B195" s="516"/>
      <c r="C195" s="516"/>
      <c r="D195" s="516"/>
      <c r="E195" s="516"/>
      <c r="F195" s="516"/>
      <c r="G195" s="516"/>
      <c r="H195" s="516"/>
      <c r="I195" s="516"/>
      <c r="J195" s="516"/>
      <c r="K195" s="516"/>
      <c r="L195" s="516"/>
      <c r="M195" s="516"/>
      <c r="N195" s="516"/>
      <c r="O195" s="516"/>
      <c r="P195" s="516"/>
      <c r="Q195" s="516"/>
    </row>
    <row r="196" spans="1:17">
      <c r="A196" s="516"/>
      <c r="B196" s="516"/>
      <c r="C196" s="516"/>
      <c r="D196" s="516"/>
      <c r="E196" s="516"/>
      <c r="F196" s="516"/>
      <c r="G196" s="516"/>
      <c r="H196" s="516"/>
      <c r="I196" s="516"/>
      <c r="J196" s="516"/>
      <c r="K196" s="516"/>
      <c r="L196" s="516"/>
      <c r="M196" s="516"/>
      <c r="N196" s="516"/>
      <c r="O196" s="516"/>
      <c r="P196" s="516"/>
      <c r="Q196" s="516"/>
    </row>
    <row r="197" spans="1:17">
      <c r="A197" s="516"/>
      <c r="B197" s="516"/>
      <c r="C197" s="516"/>
      <c r="D197" s="516"/>
      <c r="E197" s="516"/>
      <c r="F197" s="516"/>
      <c r="G197" s="516"/>
      <c r="H197" s="516"/>
      <c r="I197" s="516"/>
      <c r="J197" s="516"/>
      <c r="K197" s="516"/>
      <c r="L197" s="516"/>
      <c r="M197" s="516"/>
      <c r="N197" s="516"/>
      <c r="O197" s="516"/>
      <c r="P197" s="516"/>
      <c r="Q197" s="516"/>
    </row>
    <row r="198" spans="1:17">
      <c r="A198" s="516"/>
      <c r="B198" s="516"/>
      <c r="C198" s="516"/>
      <c r="D198" s="516"/>
      <c r="E198" s="516"/>
      <c r="F198" s="516"/>
      <c r="G198" s="516"/>
      <c r="H198" s="516"/>
      <c r="I198" s="516"/>
      <c r="J198" s="516"/>
      <c r="K198" s="516"/>
      <c r="L198" s="516"/>
      <c r="M198" s="516"/>
      <c r="N198" s="516"/>
      <c r="O198" s="516"/>
      <c r="P198" s="516"/>
      <c r="Q198" s="516"/>
    </row>
    <row r="199" spans="1:17">
      <c r="A199" s="516"/>
      <c r="B199" s="516"/>
      <c r="C199" s="516"/>
      <c r="D199" s="516"/>
      <c r="E199" s="516"/>
      <c r="F199" s="516"/>
      <c r="G199" s="516"/>
      <c r="H199" s="516"/>
      <c r="I199" s="516"/>
      <c r="J199" s="516"/>
      <c r="K199" s="516"/>
      <c r="L199" s="516"/>
      <c r="M199" s="516"/>
      <c r="N199" s="516"/>
      <c r="O199" s="516"/>
      <c r="P199" s="516"/>
      <c r="Q199" s="516"/>
    </row>
    <row r="200" spans="1:17">
      <c r="A200" s="516"/>
      <c r="B200" s="516"/>
      <c r="C200" s="516"/>
      <c r="D200" s="516"/>
      <c r="E200" s="516"/>
      <c r="F200" s="516"/>
      <c r="G200" s="516"/>
      <c r="H200" s="516"/>
      <c r="I200" s="516"/>
      <c r="J200" s="516"/>
      <c r="K200" s="516"/>
      <c r="L200" s="516"/>
      <c r="M200" s="516"/>
      <c r="N200" s="516"/>
      <c r="O200" s="516"/>
      <c r="P200" s="516"/>
      <c r="Q200" s="516"/>
    </row>
    <row r="201" spans="1:17">
      <c r="A201" s="516"/>
      <c r="B201" s="516"/>
      <c r="C201" s="516"/>
      <c r="D201" s="516"/>
      <c r="E201" s="516"/>
      <c r="F201" s="516"/>
      <c r="G201" s="516"/>
      <c r="H201" s="516"/>
      <c r="I201" s="516"/>
      <c r="J201" s="516"/>
      <c r="K201" s="516"/>
      <c r="L201" s="516"/>
      <c r="M201" s="516"/>
      <c r="N201" s="516"/>
      <c r="O201" s="516"/>
      <c r="P201" s="516"/>
      <c r="Q201" s="516"/>
    </row>
    <row r="202" spans="1:17">
      <c r="A202" s="516"/>
      <c r="B202" s="516"/>
      <c r="C202" s="516"/>
      <c r="D202" s="516"/>
      <c r="E202" s="516"/>
      <c r="F202" s="516"/>
      <c r="G202" s="516"/>
      <c r="H202" s="516"/>
      <c r="I202" s="516"/>
      <c r="J202" s="516"/>
      <c r="K202" s="516"/>
      <c r="L202" s="516"/>
      <c r="M202" s="516"/>
      <c r="N202" s="516"/>
      <c r="O202" s="516"/>
      <c r="P202" s="516"/>
      <c r="Q202" s="516"/>
    </row>
    <row r="203" spans="1:17">
      <c r="A203" s="516"/>
      <c r="B203" s="516"/>
      <c r="C203" s="516"/>
      <c r="D203" s="516"/>
      <c r="E203" s="516"/>
      <c r="F203" s="516"/>
      <c r="G203" s="516"/>
      <c r="H203" s="516"/>
      <c r="I203" s="516"/>
      <c r="J203" s="516"/>
      <c r="K203" s="516"/>
      <c r="L203" s="516"/>
      <c r="M203" s="516"/>
      <c r="N203" s="516"/>
      <c r="O203" s="516"/>
      <c r="P203" s="516"/>
      <c r="Q203" s="516"/>
    </row>
    <row r="204" spans="1:17">
      <c r="A204" s="516"/>
      <c r="B204" s="516"/>
      <c r="C204" s="516"/>
      <c r="D204" s="516"/>
      <c r="E204" s="516"/>
      <c r="F204" s="516"/>
      <c r="G204" s="516"/>
      <c r="H204" s="516"/>
      <c r="I204" s="516"/>
      <c r="J204" s="516"/>
      <c r="K204" s="516"/>
      <c r="L204" s="516"/>
      <c r="M204" s="516"/>
      <c r="N204" s="516"/>
      <c r="O204" s="516"/>
      <c r="P204" s="516"/>
      <c r="Q204" s="516"/>
    </row>
    <row r="205" spans="1:17">
      <c r="A205" s="516"/>
      <c r="B205" s="516"/>
      <c r="C205" s="516"/>
      <c r="D205" s="516"/>
      <c r="E205" s="516"/>
      <c r="F205" s="516"/>
      <c r="G205" s="516"/>
      <c r="H205" s="516"/>
      <c r="I205" s="516"/>
      <c r="J205" s="516"/>
      <c r="K205" s="516"/>
      <c r="L205" s="516"/>
      <c r="M205" s="516"/>
      <c r="N205" s="516"/>
      <c r="O205" s="516"/>
      <c r="P205" s="516"/>
      <c r="Q205" s="516"/>
    </row>
    <row r="206" spans="1:17">
      <c r="A206" s="516"/>
      <c r="B206" s="516"/>
      <c r="C206" s="516"/>
      <c r="D206" s="516"/>
      <c r="E206" s="516"/>
      <c r="F206" s="516"/>
      <c r="G206" s="516"/>
      <c r="H206" s="516"/>
      <c r="I206" s="516"/>
      <c r="J206" s="516"/>
      <c r="K206" s="516"/>
      <c r="L206" s="516"/>
      <c r="M206" s="516"/>
      <c r="N206" s="516"/>
      <c r="O206" s="516"/>
      <c r="P206" s="516"/>
      <c r="Q206" s="516"/>
    </row>
    <row r="207" spans="1:17">
      <c r="A207" s="516"/>
      <c r="B207" s="516"/>
      <c r="C207" s="516"/>
      <c r="D207" s="516"/>
      <c r="E207" s="516"/>
      <c r="F207" s="516"/>
      <c r="G207" s="516"/>
      <c r="H207" s="516"/>
      <c r="I207" s="516"/>
      <c r="J207" s="516"/>
      <c r="K207" s="516"/>
      <c r="L207" s="516"/>
      <c r="M207" s="516"/>
      <c r="N207" s="516"/>
      <c r="O207" s="516"/>
      <c r="P207" s="516"/>
      <c r="Q207" s="516"/>
    </row>
    <row r="208" spans="1:17">
      <c r="A208" s="516"/>
      <c r="B208" s="516"/>
      <c r="C208" s="516"/>
      <c r="D208" s="516"/>
      <c r="E208" s="516"/>
      <c r="F208" s="516"/>
      <c r="G208" s="516"/>
      <c r="H208" s="516"/>
      <c r="I208" s="516"/>
      <c r="J208" s="516"/>
      <c r="K208" s="516"/>
      <c r="L208" s="516"/>
      <c r="M208" s="516"/>
      <c r="N208" s="516"/>
      <c r="O208" s="516"/>
      <c r="P208" s="516"/>
      <c r="Q208" s="516"/>
    </row>
    <row r="209" spans="1:17">
      <c r="A209" s="516"/>
      <c r="B209" s="516"/>
      <c r="C209" s="516"/>
      <c r="D209" s="516"/>
      <c r="E209" s="516"/>
      <c r="F209" s="516"/>
      <c r="G209" s="516"/>
      <c r="H209" s="516"/>
      <c r="I209" s="516"/>
      <c r="J209" s="516"/>
      <c r="K209" s="516"/>
      <c r="L209" s="516"/>
      <c r="M209" s="516"/>
      <c r="N209" s="516"/>
      <c r="O209" s="516"/>
      <c r="P209" s="516"/>
      <c r="Q209" s="516"/>
    </row>
    <row r="210" spans="1:17">
      <c r="A210" s="516"/>
      <c r="B210" s="516"/>
      <c r="C210" s="516"/>
      <c r="D210" s="516"/>
      <c r="E210" s="516"/>
      <c r="F210" s="516"/>
      <c r="G210" s="516"/>
      <c r="H210" s="516"/>
      <c r="I210" s="516"/>
      <c r="J210" s="516"/>
      <c r="K210" s="516"/>
      <c r="L210" s="516"/>
      <c r="M210" s="516"/>
      <c r="N210" s="516"/>
      <c r="O210" s="516"/>
      <c r="P210" s="516"/>
      <c r="Q210" s="516"/>
    </row>
    <row r="211" spans="1:17">
      <c r="A211" s="516"/>
      <c r="B211" s="516"/>
      <c r="C211" s="516"/>
      <c r="D211" s="516"/>
      <c r="E211" s="516"/>
      <c r="F211" s="516"/>
      <c r="G211" s="516"/>
      <c r="H211" s="516"/>
      <c r="I211" s="516"/>
      <c r="J211" s="516"/>
      <c r="K211" s="516"/>
      <c r="L211" s="516"/>
      <c r="M211" s="516"/>
      <c r="N211" s="516"/>
      <c r="O211" s="516"/>
      <c r="P211" s="516"/>
      <c r="Q211" s="516"/>
    </row>
    <row r="212" spans="1:17">
      <c r="A212" s="516"/>
      <c r="B212" s="516"/>
      <c r="C212" s="516"/>
      <c r="D212" s="516"/>
      <c r="E212" s="516"/>
      <c r="F212" s="516"/>
      <c r="G212" s="516"/>
      <c r="H212" s="516"/>
      <c r="I212" s="516"/>
      <c r="J212" s="516"/>
      <c r="K212" s="516"/>
      <c r="L212" s="516"/>
      <c r="M212" s="516"/>
      <c r="N212" s="516"/>
      <c r="O212" s="516"/>
      <c r="P212" s="516"/>
      <c r="Q212" s="516"/>
    </row>
    <row r="213" spans="1:17">
      <c r="A213" s="516"/>
      <c r="B213" s="516"/>
      <c r="C213" s="516"/>
      <c r="D213" s="516"/>
      <c r="E213" s="516"/>
      <c r="F213" s="516"/>
      <c r="G213" s="516"/>
      <c r="H213" s="516"/>
      <c r="I213" s="516"/>
      <c r="J213" s="516"/>
      <c r="K213" s="516"/>
      <c r="L213" s="516"/>
      <c r="M213" s="516"/>
      <c r="N213" s="516"/>
      <c r="O213" s="516"/>
      <c r="P213" s="516"/>
      <c r="Q213" s="516"/>
    </row>
    <row r="214" spans="1:17">
      <c r="A214" s="516"/>
      <c r="B214" s="516"/>
      <c r="C214" s="516"/>
      <c r="D214" s="516"/>
      <c r="E214" s="516"/>
      <c r="F214" s="516"/>
      <c r="G214" s="516"/>
      <c r="H214" s="516"/>
      <c r="I214" s="516"/>
      <c r="J214" s="516"/>
      <c r="K214" s="516"/>
      <c r="L214" s="516"/>
      <c r="M214" s="516"/>
      <c r="N214" s="516"/>
      <c r="O214" s="516"/>
      <c r="P214" s="516"/>
      <c r="Q214" s="516"/>
    </row>
    <row r="215" spans="1:17">
      <c r="A215" s="516"/>
      <c r="B215" s="516"/>
      <c r="C215" s="516"/>
      <c r="D215" s="516"/>
      <c r="E215" s="516"/>
      <c r="F215" s="516"/>
      <c r="G215" s="516"/>
      <c r="H215" s="516"/>
      <c r="I215" s="516"/>
      <c r="J215" s="516"/>
      <c r="K215" s="516"/>
      <c r="L215" s="516"/>
      <c r="M215" s="516"/>
      <c r="N215" s="516"/>
      <c r="O215" s="516"/>
      <c r="P215" s="516"/>
      <c r="Q215" s="516"/>
    </row>
    <row r="216" spans="1:17">
      <c r="A216" s="516"/>
      <c r="B216" s="516"/>
      <c r="C216" s="516"/>
      <c r="D216" s="516"/>
      <c r="E216" s="516"/>
      <c r="F216" s="516"/>
      <c r="G216" s="516"/>
      <c r="H216" s="516"/>
      <c r="I216" s="516"/>
      <c r="J216" s="516"/>
      <c r="K216" s="516"/>
      <c r="L216" s="516"/>
      <c r="M216" s="516"/>
      <c r="N216" s="516"/>
      <c r="O216" s="516"/>
      <c r="P216" s="516"/>
      <c r="Q216" s="516"/>
    </row>
    <row r="217" spans="1:17">
      <c r="A217" s="516"/>
      <c r="B217" s="516"/>
      <c r="C217" s="516"/>
      <c r="D217" s="516"/>
      <c r="E217" s="516"/>
      <c r="F217" s="516"/>
      <c r="G217" s="516"/>
      <c r="H217" s="516"/>
      <c r="I217" s="516"/>
      <c r="J217" s="516"/>
      <c r="K217" s="516"/>
      <c r="L217" s="516"/>
      <c r="M217" s="516"/>
      <c r="N217" s="516"/>
      <c r="O217" s="516"/>
      <c r="P217" s="516"/>
      <c r="Q217" s="516"/>
    </row>
    <row r="218" spans="1:17">
      <c r="A218" s="516"/>
      <c r="B218" s="516"/>
      <c r="C218" s="516"/>
      <c r="D218" s="516"/>
      <c r="E218" s="516"/>
      <c r="F218" s="516"/>
      <c r="G218" s="516"/>
      <c r="H218" s="516"/>
      <c r="I218" s="516"/>
      <c r="J218" s="516"/>
      <c r="K218" s="516"/>
      <c r="L218" s="516"/>
      <c r="M218" s="516"/>
      <c r="N218" s="516"/>
      <c r="O218" s="516"/>
      <c r="P218" s="516"/>
      <c r="Q218" s="516"/>
    </row>
    <row r="219" spans="1:17">
      <c r="A219" s="516"/>
      <c r="B219" s="516"/>
      <c r="C219" s="516"/>
      <c r="D219" s="516"/>
      <c r="E219" s="516"/>
      <c r="F219" s="516"/>
      <c r="G219" s="516"/>
      <c r="H219" s="516"/>
      <c r="I219" s="516"/>
      <c r="J219" s="516"/>
      <c r="K219" s="516"/>
      <c r="L219" s="516"/>
      <c r="M219" s="516"/>
      <c r="N219" s="516"/>
      <c r="O219" s="516"/>
      <c r="P219" s="516"/>
      <c r="Q219" s="516"/>
    </row>
    <row r="220" spans="1:17">
      <c r="A220" s="516"/>
      <c r="B220" s="516"/>
      <c r="C220" s="516"/>
      <c r="D220" s="516"/>
      <c r="E220" s="516"/>
      <c r="F220" s="516"/>
      <c r="G220" s="516"/>
      <c r="H220" s="516"/>
      <c r="I220" s="516"/>
      <c r="J220" s="516"/>
      <c r="K220" s="516"/>
      <c r="L220" s="516"/>
      <c r="M220" s="516"/>
      <c r="N220" s="516"/>
      <c r="O220" s="516"/>
      <c r="P220" s="516"/>
      <c r="Q220" s="516"/>
    </row>
    <row r="221" spans="1:17">
      <c r="A221" s="516"/>
      <c r="B221" s="516"/>
      <c r="C221" s="516"/>
      <c r="D221" s="516"/>
      <c r="E221" s="516"/>
      <c r="F221" s="516"/>
      <c r="G221" s="516"/>
      <c r="H221" s="516"/>
      <c r="I221" s="516"/>
      <c r="J221" s="516"/>
      <c r="K221" s="516"/>
      <c r="L221" s="516"/>
      <c r="M221" s="516"/>
      <c r="N221" s="516"/>
      <c r="O221" s="516"/>
      <c r="P221" s="516"/>
      <c r="Q221" s="516"/>
    </row>
    <row r="222" spans="1:17">
      <c r="A222" s="516"/>
      <c r="B222" s="516"/>
      <c r="C222" s="516"/>
      <c r="D222" s="516"/>
      <c r="E222" s="516"/>
      <c r="F222" s="516"/>
      <c r="G222" s="516"/>
      <c r="H222" s="516"/>
      <c r="I222" s="516"/>
      <c r="J222" s="516"/>
      <c r="K222" s="516"/>
      <c r="L222" s="516"/>
      <c r="M222" s="516"/>
      <c r="N222" s="516"/>
      <c r="O222" s="516"/>
      <c r="P222" s="516"/>
      <c r="Q222" s="516"/>
    </row>
    <row r="223" spans="1:17">
      <c r="A223" s="516"/>
      <c r="B223" s="516"/>
      <c r="C223" s="516"/>
      <c r="D223" s="516"/>
      <c r="E223" s="516"/>
      <c r="F223" s="516"/>
      <c r="G223" s="516"/>
      <c r="H223" s="516"/>
      <c r="I223" s="516"/>
      <c r="J223" s="516"/>
      <c r="K223" s="516"/>
      <c r="L223" s="516"/>
      <c r="M223" s="516"/>
      <c r="N223" s="516"/>
      <c r="O223" s="516"/>
      <c r="P223" s="516"/>
      <c r="Q223" s="516"/>
    </row>
    <row r="224" spans="1:17">
      <c r="A224" s="516"/>
      <c r="B224" s="516"/>
      <c r="C224" s="516"/>
      <c r="D224" s="516"/>
      <c r="E224" s="516"/>
      <c r="F224" s="516"/>
      <c r="G224" s="516"/>
      <c r="H224" s="516"/>
      <c r="I224" s="516"/>
      <c r="J224" s="516"/>
      <c r="K224" s="516"/>
      <c r="L224" s="516"/>
      <c r="M224" s="516"/>
      <c r="N224" s="516"/>
      <c r="O224" s="516"/>
      <c r="P224" s="516"/>
      <c r="Q224" s="516"/>
    </row>
    <row r="225" spans="1:17">
      <c r="A225" s="516"/>
      <c r="B225" s="516"/>
      <c r="C225" s="516"/>
      <c r="D225" s="516"/>
      <c r="E225" s="516"/>
      <c r="F225" s="516"/>
      <c r="G225" s="516"/>
      <c r="H225" s="516"/>
      <c r="I225" s="516"/>
      <c r="J225" s="516"/>
      <c r="K225" s="516"/>
      <c r="L225" s="516"/>
      <c r="M225" s="516"/>
      <c r="N225" s="516"/>
      <c r="O225" s="516"/>
      <c r="P225" s="516"/>
      <c r="Q225" s="516"/>
    </row>
    <row r="226" spans="1:17">
      <c r="A226" s="516"/>
      <c r="B226" s="516"/>
      <c r="C226" s="516"/>
      <c r="D226" s="516"/>
      <c r="E226" s="516"/>
      <c r="F226" s="516"/>
      <c r="G226" s="516"/>
      <c r="H226" s="516"/>
      <c r="I226" s="516"/>
      <c r="J226" s="516"/>
      <c r="K226" s="516"/>
      <c r="L226" s="516"/>
      <c r="M226" s="516"/>
      <c r="N226" s="516"/>
      <c r="O226" s="516"/>
      <c r="P226" s="516"/>
      <c r="Q226" s="516"/>
    </row>
    <row r="227" spans="1:17">
      <c r="A227" s="516"/>
      <c r="B227" s="516"/>
      <c r="C227" s="516"/>
      <c r="D227" s="516"/>
      <c r="E227" s="516"/>
      <c r="F227" s="516"/>
      <c r="G227" s="516"/>
      <c r="H227" s="516"/>
      <c r="I227" s="516"/>
      <c r="J227" s="516"/>
      <c r="K227" s="516"/>
      <c r="L227" s="516"/>
      <c r="M227" s="516"/>
      <c r="N227" s="516"/>
      <c r="O227" s="516"/>
      <c r="P227" s="516"/>
      <c r="Q227" s="516"/>
    </row>
    <row r="228" spans="1:17">
      <c r="A228" s="516"/>
      <c r="B228" s="516"/>
      <c r="C228" s="516"/>
      <c r="D228" s="516"/>
      <c r="E228" s="516"/>
      <c r="F228" s="516"/>
      <c r="G228" s="516"/>
      <c r="H228" s="516"/>
      <c r="I228" s="516"/>
      <c r="J228" s="516"/>
      <c r="K228" s="516"/>
      <c r="L228" s="516"/>
      <c r="M228" s="516"/>
      <c r="N228" s="516"/>
      <c r="O228" s="516"/>
      <c r="P228" s="516"/>
      <c r="Q228" s="516"/>
    </row>
    <row r="229" spans="1:17">
      <c r="A229" s="516"/>
      <c r="B229" s="516"/>
      <c r="C229" s="516"/>
      <c r="D229" s="516"/>
      <c r="E229" s="516"/>
      <c r="F229" s="516"/>
      <c r="G229" s="516"/>
      <c r="H229" s="516"/>
      <c r="I229" s="516"/>
      <c r="J229" s="516"/>
      <c r="K229" s="516"/>
      <c r="L229" s="516"/>
      <c r="M229" s="516"/>
      <c r="N229" s="516"/>
      <c r="O229" s="516"/>
      <c r="P229" s="516"/>
      <c r="Q229" s="516"/>
    </row>
    <row r="230" spans="1:17">
      <c r="A230" s="516"/>
      <c r="B230" s="516"/>
      <c r="C230" s="516"/>
      <c r="D230" s="516"/>
      <c r="E230" s="516"/>
      <c r="F230" s="516"/>
      <c r="G230" s="516"/>
      <c r="H230" s="516"/>
      <c r="I230" s="516"/>
      <c r="J230" s="516"/>
      <c r="K230" s="516"/>
      <c r="L230" s="516"/>
      <c r="M230" s="516"/>
      <c r="N230" s="516"/>
      <c r="O230" s="516"/>
      <c r="P230" s="516"/>
      <c r="Q230" s="516"/>
    </row>
    <row r="231" spans="1:17">
      <c r="A231" s="516"/>
      <c r="B231" s="516"/>
      <c r="C231" s="516"/>
      <c r="D231" s="516"/>
      <c r="E231" s="516"/>
      <c r="F231" s="516"/>
      <c r="G231" s="516"/>
      <c r="H231" s="516"/>
      <c r="I231" s="516"/>
      <c r="J231" s="516"/>
      <c r="K231" s="516"/>
      <c r="L231" s="516"/>
      <c r="M231" s="516"/>
      <c r="N231" s="516"/>
      <c r="O231" s="516"/>
      <c r="P231" s="516"/>
      <c r="Q231" s="516"/>
    </row>
    <row r="232" spans="1:17">
      <c r="A232" s="516"/>
      <c r="B232" s="516"/>
      <c r="C232" s="516"/>
      <c r="D232" s="516"/>
      <c r="E232" s="516"/>
      <c r="F232" s="516"/>
      <c r="G232" s="516"/>
      <c r="H232" s="516"/>
      <c r="I232" s="516"/>
      <c r="J232" s="516"/>
      <c r="K232" s="516"/>
      <c r="L232" s="516"/>
      <c r="M232" s="516"/>
      <c r="N232" s="516"/>
      <c r="O232" s="516"/>
      <c r="P232" s="516"/>
      <c r="Q232" s="516"/>
    </row>
    <row r="233" spans="1:17">
      <c r="A233" s="516"/>
      <c r="B233" s="516"/>
      <c r="C233" s="516"/>
      <c r="D233" s="516"/>
      <c r="E233" s="516"/>
      <c r="F233" s="516"/>
      <c r="G233" s="516"/>
      <c r="H233" s="516"/>
      <c r="I233" s="516"/>
      <c r="J233" s="516"/>
      <c r="K233" s="516"/>
      <c r="L233" s="516"/>
      <c r="M233" s="516"/>
      <c r="N233" s="516"/>
      <c r="O233" s="516"/>
      <c r="P233" s="516"/>
      <c r="Q233" s="516"/>
    </row>
    <row r="234" spans="1:17">
      <c r="A234" s="516"/>
      <c r="B234" s="516"/>
      <c r="C234" s="516"/>
      <c r="D234" s="516"/>
      <c r="E234" s="516"/>
      <c r="F234" s="516"/>
      <c r="G234" s="516"/>
      <c r="H234" s="516"/>
      <c r="I234" s="516"/>
      <c r="J234" s="516"/>
      <c r="K234" s="516"/>
      <c r="L234" s="516"/>
      <c r="M234" s="516"/>
      <c r="N234" s="516"/>
      <c r="O234" s="516"/>
      <c r="P234" s="516"/>
      <c r="Q234" s="516"/>
    </row>
    <row r="235" spans="1:17">
      <c r="A235" s="516"/>
      <c r="B235" s="516"/>
      <c r="C235" s="516"/>
      <c r="D235" s="516"/>
      <c r="E235" s="516"/>
      <c r="F235" s="516"/>
      <c r="G235" s="516"/>
      <c r="H235" s="516"/>
      <c r="I235" s="516"/>
      <c r="J235" s="516"/>
      <c r="K235" s="516"/>
      <c r="L235" s="516"/>
      <c r="M235" s="516"/>
      <c r="N235" s="516"/>
      <c r="O235" s="516"/>
      <c r="P235" s="516"/>
      <c r="Q235" s="516"/>
    </row>
    <row r="236" spans="1:17">
      <c r="A236" s="516"/>
      <c r="B236" s="516"/>
      <c r="C236" s="516"/>
      <c r="D236" s="516"/>
      <c r="E236" s="516"/>
      <c r="F236" s="516"/>
      <c r="G236" s="516"/>
      <c r="H236" s="516"/>
      <c r="I236" s="516"/>
      <c r="J236" s="516"/>
      <c r="K236" s="516"/>
      <c r="L236" s="516"/>
      <c r="M236" s="516"/>
      <c r="N236" s="516"/>
      <c r="O236" s="516"/>
      <c r="P236" s="516"/>
      <c r="Q236" s="516"/>
    </row>
    <row r="237" spans="1:17">
      <c r="A237" s="516"/>
      <c r="B237" s="516"/>
      <c r="C237" s="516"/>
      <c r="D237" s="516"/>
      <c r="E237" s="516"/>
      <c r="F237" s="516"/>
      <c r="G237" s="516"/>
      <c r="H237" s="516"/>
      <c r="I237" s="516"/>
      <c r="J237" s="516"/>
      <c r="K237" s="516"/>
      <c r="L237" s="516"/>
      <c r="M237" s="516"/>
      <c r="N237" s="516"/>
      <c r="O237" s="516"/>
      <c r="P237" s="516"/>
      <c r="Q237" s="516"/>
    </row>
    <row r="238" spans="1:17">
      <c r="A238" s="516"/>
      <c r="B238" s="516"/>
      <c r="C238" s="516"/>
      <c r="D238" s="516"/>
      <c r="E238" s="516"/>
      <c r="F238" s="516"/>
      <c r="G238" s="516"/>
      <c r="H238" s="516"/>
      <c r="I238" s="516"/>
      <c r="J238" s="516"/>
      <c r="K238" s="516"/>
      <c r="L238" s="516"/>
      <c r="M238" s="516"/>
      <c r="N238" s="516"/>
      <c r="O238" s="516"/>
      <c r="P238" s="516"/>
      <c r="Q238" s="516"/>
    </row>
    <row r="239" spans="1:17">
      <c r="A239" s="516"/>
      <c r="B239" s="516"/>
      <c r="C239" s="516"/>
      <c r="D239" s="516"/>
      <c r="E239" s="516"/>
      <c r="F239" s="516"/>
      <c r="G239" s="516"/>
      <c r="H239" s="516"/>
      <c r="I239" s="516"/>
      <c r="J239" s="516"/>
      <c r="K239" s="516"/>
      <c r="L239" s="516"/>
      <c r="M239" s="516"/>
      <c r="N239" s="516"/>
      <c r="O239" s="516"/>
      <c r="P239" s="516"/>
      <c r="Q239" s="516"/>
    </row>
    <row r="240" spans="1:17">
      <c r="A240" s="516"/>
      <c r="B240" s="516"/>
      <c r="C240" s="516"/>
      <c r="D240" s="516"/>
      <c r="E240" s="516"/>
      <c r="F240" s="516"/>
      <c r="G240" s="516"/>
      <c r="H240" s="516"/>
      <c r="I240" s="516"/>
      <c r="J240" s="516"/>
      <c r="K240" s="516"/>
      <c r="L240" s="516"/>
      <c r="M240" s="516"/>
      <c r="N240" s="516"/>
      <c r="O240" s="516"/>
      <c r="P240" s="516"/>
      <c r="Q240" s="516"/>
    </row>
    <row r="241" spans="1:17">
      <c r="A241" s="516"/>
      <c r="B241" s="516"/>
      <c r="C241" s="516"/>
      <c r="D241" s="516"/>
      <c r="E241" s="516"/>
      <c r="F241" s="516"/>
      <c r="G241" s="516"/>
      <c r="H241" s="516"/>
      <c r="I241" s="516"/>
      <c r="J241" s="516"/>
      <c r="K241" s="516"/>
      <c r="L241" s="516"/>
      <c r="M241" s="516"/>
      <c r="N241" s="516"/>
      <c r="O241" s="516"/>
      <c r="P241" s="516"/>
      <c r="Q241" s="516"/>
    </row>
    <row r="242" spans="1:17">
      <c r="A242" s="516"/>
      <c r="B242" s="516"/>
      <c r="C242" s="516"/>
      <c r="D242" s="516"/>
      <c r="E242" s="516"/>
      <c r="F242" s="516"/>
      <c r="G242" s="516"/>
      <c r="H242" s="516"/>
      <c r="I242" s="516"/>
      <c r="J242" s="516"/>
      <c r="K242" s="516"/>
      <c r="L242" s="516"/>
      <c r="M242" s="516"/>
      <c r="N242" s="516"/>
      <c r="O242" s="516"/>
      <c r="P242" s="516"/>
      <c r="Q242" s="516"/>
    </row>
    <row r="243" spans="1:17">
      <c r="A243" s="516"/>
      <c r="B243" s="516"/>
      <c r="C243" s="516"/>
      <c r="D243" s="516"/>
      <c r="E243" s="516"/>
      <c r="F243" s="516"/>
      <c r="G243" s="516"/>
      <c r="H243" s="516"/>
      <c r="I243" s="516"/>
      <c r="J243" s="516"/>
      <c r="K243" s="516"/>
      <c r="L243" s="516"/>
      <c r="M243" s="516"/>
      <c r="N243" s="516"/>
      <c r="O243" s="516"/>
      <c r="P243" s="516"/>
      <c r="Q243" s="516"/>
    </row>
    <row r="244" spans="1:17">
      <c r="A244" s="516"/>
      <c r="B244" s="516"/>
      <c r="C244" s="516"/>
      <c r="D244" s="516"/>
      <c r="E244" s="516"/>
      <c r="F244" s="516"/>
      <c r="G244" s="516"/>
      <c r="H244" s="516"/>
      <c r="I244" s="516"/>
      <c r="J244" s="516"/>
      <c r="K244" s="516"/>
      <c r="L244" s="516"/>
      <c r="M244" s="516"/>
      <c r="N244" s="516"/>
      <c r="O244" s="516"/>
      <c r="P244" s="516"/>
      <c r="Q244" s="516"/>
    </row>
    <row r="245" spans="1:17">
      <c r="A245" s="516"/>
      <c r="B245" s="516"/>
      <c r="C245" s="516"/>
      <c r="D245" s="516"/>
      <c r="E245" s="516"/>
      <c r="F245" s="516"/>
      <c r="G245" s="516"/>
      <c r="H245" s="516"/>
      <c r="I245" s="516"/>
      <c r="J245" s="516"/>
      <c r="K245" s="516"/>
      <c r="L245" s="516"/>
      <c r="M245" s="516"/>
      <c r="N245" s="516"/>
      <c r="O245" s="516"/>
      <c r="P245" s="516"/>
      <c r="Q245" s="516"/>
    </row>
    <row r="246" spans="1:17">
      <c r="A246" s="516"/>
      <c r="B246" s="516"/>
      <c r="C246" s="516"/>
      <c r="D246" s="516"/>
      <c r="E246" s="516"/>
      <c r="F246" s="516"/>
      <c r="G246" s="516"/>
      <c r="H246" s="516"/>
      <c r="I246" s="516"/>
      <c r="J246" s="516"/>
      <c r="K246" s="516"/>
      <c r="L246" s="516"/>
      <c r="M246" s="516"/>
      <c r="N246" s="516"/>
      <c r="O246" s="516"/>
      <c r="P246" s="516"/>
      <c r="Q246" s="516"/>
    </row>
    <row r="247" spans="1:17">
      <c r="A247" s="516"/>
      <c r="B247" s="516"/>
      <c r="C247" s="516"/>
      <c r="D247" s="516"/>
      <c r="E247" s="516"/>
      <c r="F247" s="516"/>
      <c r="G247" s="516"/>
      <c r="H247" s="516"/>
      <c r="I247" s="516"/>
      <c r="J247" s="516"/>
      <c r="K247" s="516"/>
      <c r="L247" s="516"/>
      <c r="M247" s="516"/>
      <c r="N247" s="516"/>
      <c r="O247" s="516"/>
      <c r="P247" s="516"/>
      <c r="Q247" s="516"/>
    </row>
    <row r="248" spans="1:17">
      <c r="A248" s="516"/>
      <c r="B248" s="516"/>
      <c r="C248" s="516"/>
      <c r="D248" s="516"/>
      <c r="E248" s="516"/>
      <c r="F248" s="516"/>
      <c r="G248" s="516"/>
      <c r="H248" s="516"/>
      <c r="I248" s="516"/>
      <c r="J248" s="516"/>
      <c r="K248" s="516"/>
      <c r="L248" s="516"/>
      <c r="M248" s="516"/>
      <c r="N248" s="516"/>
      <c r="O248" s="516"/>
      <c r="P248" s="516"/>
      <c r="Q248" s="516"/>
    </row>
    <row r="249" spans="1:17">
      <c r="A249" s="516"/>
      <c r="B249" s="516"/>
      <c r="C249" s="516"/>
      <c r="D249" s="516"/>
      <c r="E249" s="516"/>
      <c r="F249" s="516"/>
      <c r="G249" s="516"/>
      <c r="H249" s="516"/>
      <c r="I249" s="516"/>
      <c r="J249" s="516"/>
      <c r="K249" s="516"/>
      <c r="L249" s="516"/>
      <c r="M249" s="516"/>
      <c r="N249" s="516"/>
      <c r="O249" s="516"/>
      <c r="P249" s="516"/>
      <c r="Q249" s="516"/>
    </row>
    <row r="250" spans="1:17">
      <c r="A250" s="516"/>
      <c r="B250" s="516"/>
      <c r="C250" s="516"/>
      <c r="D250" s="516"/>
      <c r="E250" s="516"/>
      <c r="F250" s="516"/>
      <c r="G250" s="516"/>
      <c r="H250" s="516"/>
      <c r="I250" s="516"/>
      <c r="J250" s="516"/>
      <c r="K250" s="516"/>
      <c r="L250" s="516"/>
      <c r="M250" s="516"/>
      <c r="N250" s="516"/>
      <c r="O250" s="516"/>
      <c r="P250" s="516"/>
      <c r="Q250" s="516"/>
    </row>
    <row r="251" spans="1:17">
      <c r="A251" s="516"/>
      <c r="B251" s="516"/>
      <c r="C251" s="516"/>
      <c r="D251" s="516"/>
      <c r="E251" s="516"/>
      <c r="F251" s="516"/>
      <c r="G251" s="516"/>
      <c r="H251" s="516"/>
      <c r="I251" s="516"/>
      <c r="J251" s="516"/>
      <c r="K251" s="516"/>
      <c r="L251" s="516"/>
      <c r="M251" s="516"/>
      <c r="N251" s="516"/>
      <c r="O251" s="516"/>
      <c r="P251" s="516"/>
      <c r="Q251" s="516"/>
    </row>
    <row r="252" spans="1:17">
      <c r="A252" s="516"/>
      <c r="B252" s="516"/>
      <c r="C252" s="516"/>
      <c r="D252" s="516"/>
      <c r="E252" s="516"/>
      <c r="F252" s="516"/>
      <c r="G252" s="516"/>
      <c r="H252" s="516"/>
      <c r="I252" s="516"/>
      <c r="J252" s="516"/>
      <c r="K252" s="516"/>
      <c r="L252" s="516"/>
      <c r="M252" s="516"/>
      <c r="N252" s="516"/>
      <c r="O252" s="516"/>
      <c r="P252" s="516"/>
      <c r="Q252" s="516"/>
    </row>
    <row r="253" spans="1:17">
      <c r="A253" s="516"/>
      <c r="B253" s="516"/>
      <c r="C253" s="516"/>
      <c r="D253" s="516"/>
      <c r="E253" s="516"/>
      <c r="F253" s="516"/>
      <c r="G253" s="516"/>
      <c r="H253" s="516"/>
      <c r="I253" s="516"/>
      <c r="J253" s="516"/>
      <c r="K253" s="516"/>
      <c r="L253" s="516"/>
      <c r="M253" s="516"/>
      <c r="N253" s="516"/>
      <c r="O253" s="516"/>
      <c r="P253" s="516"/>
      <c r="Q253" s="516"/>
    </row>
    <row r="254" spans="1:17">
      <c r="A254" s="516"/>
      <c r="B254" s="516"/>
      <c r="C254" s="516"/>
      <c r="D254" s="516"/>
      <c r="E254" s="516"/>
      <c r="F254" s="516"/>
      <c r="G254" s="516"/>
      <c r="H254" s="516"/>
      <c r="I254" s="516"/>
      <c r="J254" s="516"/>
      <c r="K254" s="516"/>
      <c r="L254" s="516"/>
      <c r="M254" s="516"/>
      <c r="N254" s="516"/>
      <c r="O254" s="516"/>
      <c r="P254" s="516"/>
      <c r="Q254" s="516"/>
    </row>
    <row r="255" spans="1:17">
      <c r="A255" s="516"/>
      <c r="B255" s="516"/>
      <c r="C255" s="516"/>
      <c r="D255" s="516"/>
      <c r="E255" s="516"/>
      <c r="F255" s="516"/>
      <c r="G255" s="516"/>
      <c r="H255" s="516"/>
      <c r="I255" s="516"/>
      <c r="J255" s="516"/>
      <c r="K255" s="516"/>
      <c r="L255" s="516"/>
      <c r="M255" s="516"/>
      <c r="N255" s="516"/>
      <c r="O255" s="516"/>
      <c r="P255" s="516"/>
      <c r="Q255" s="516"/>
    </row>
    <row r="256" spans="1:17">
      <c r="A256" s="516"/>
      <c r="B256" s="516"/>
      <c r="C256" s="516"/>
      <c r="D256" s="516"/>
      <c r="E256" s="516"/>
      <c r="F256" s="516"/>
      <c r="G256" s="516"/>
      <c r="H256" s="516"/>
      <c r="I256" s="516"/>
      <c r="J256" s="516"/>
      <c r="K256" s="516"/>
      <c r="L256" s="516"/>
      <c r="M256" s="516"/>
      <c r="N256" s="516"/>
      <c r="O256" s="516"/>
      <c r="P256" s="516"/>
      <c r="Q256" s="516"/>
    </row>
    <row r="257" spans="1:17">
      <c r="A257" s="516"/>
      <c r="B257" s="516"/>
      <c r="C257" s="516"/>
      <c r="D257" s="516"/>
      <c r="E257" s="516"/>
      <c r="F257" s="516"/>
      <c r="G257" s="516"/>
      <c r="H257" s="516"/>
      <c r="I257" s="516"/>
      <c r="J257" s="516"/>
      <c r="K257" s="516"/>
      <c r="L257" s="516"/>
      <c r="M257" s="516"/>
      <c r="N257" s="516"/>
      <c r="O257" s="516"/>
      <c r="P257" s="516"/>
      <c r="Q257" s="516"/>
    </row>
    <row r="258" spans="1:17">
      <c r="A258" s="516"/>
      <c r="B258" s="516"/>
      <c r="C258" s="516"/>
      <c r="D258" s="516"/>
      <c r="E258" s="516"/>
      <c r="F258" s="516"/>
      <c r="G258" s="516"/>
      <c r="H258" s="516"/>
      <c r="I258" s="516"/>
      <c r="J258" s="516"/>
      <c r="K258" s="516"/>
      <c r="L258" s="516"/>
      <c r="M258" s="516"/>
      <c r="N258" s="516"/>
      <c r="O258" s="516"/>
      <c r="P258" s="516"/>
      <c r="Q258" s="516"/>
    </row>
    <row r="259" spans="1:17">
      <c r="A259" s="516"/>
      <c r="B259" s="516"/>
      <c r="C259" s="516"/>
      <c r="D259" s="516"/>
      <c r="E259" s="516"/>
      <c r="F259" s="516"/>
      <c r="G259" s="516"/>
      <c r="H259" s="516"/>
      <c r="I259" s="516"/>
      <c r="J259" s="516"/>
      <c r="K259" s="516"/>
      <c r="L259" s="516"/>
      <c r="M259" s="516"/>
      <c r="N259" s="516"/>
      <c r="O259" s="516"/>
      <c r="P259" s="516"/>
      <c r="Q259" s="516"/>
    </row>
    <row r="260" spans="1:17">
      <c r="A260" s="516"/>
      <c r="B260" s="516"/>
      <c r="C260" s="516"/>
      <c r="D260" s="516"/>
      <c r="E260" s="516"/>
      <c r="F260" s="516"/>
      <c r="G260" s="516"/>
      <c r="H260" s="516"/>
      <c r="I260" s="516"/>
      <c r="J260" s="516"/>
      <c r="K260" s="516"/>
      <c r="L260" s="516"/>
      <c r="M260" s="516"/>
      <c r="N260" s="516"/>
      <c r="O260" s="516"/>
      <c r="P260" s="516"/>
      <c r="Q260" s="516"/>
    </row>
    <row r="261" spans="1:17">
      <c r="A261" s="516"/>
      <c r="B261" s="516"/>
      <c r="C261" s="516"/>
      <c r="D261" s="516"/>
      <c r="E261" s="516"/>
      <c r="F261" s="516"/>
      <c r="G261" s="516"/>
      <c r="H261" s="516"/>
      <c r="I261" s="516"/>
      <c r="J261" s="516"/>
      <c r="K261" s="516"/>
      <c r="L261" s="516"/>
      <c r="M261" s="516"/>
      <c r="N261" s="516"/>
      <c r="O261" s="516"/>
      <c r="P261" s="516"/>
      <c r="Q261" s="516"/>
    </row>
    <row r="262" spans="1:17">
      <c r="A262" s="516"/>
      <c r="B262" s="516"/>
      <c r="C262" s="516"/>
      <c r="D262" s="516"/>
      <c r="E262" s="516"/>
      <c r="F262" s="516"/>
      <c r="G262" s="516"/>
      <c r="H262" s="516"/>
      <c r="I262" s="516"/>
      <c r="J262" s="516"/>
      <c r="K262" s="516"/>
      <c r="L262" s="516"/>
      <c r="M262" s="516"/>
      <c r="N262" s="516"/>
      <c r="O262" s="516"/>
      <c r="P262" s="516"/>
      <c r="Q262" s="516"/>
    </row>
    <row r="263" spans="1:17">
      <c r="A263" s="516"/>
      <c r="B263" s="516"/>
      <c r="C263" s="516"/>
      <c r="D263" s="516"/>
      <c r="E263" s="516"/>
      <c r="F263" s="516"/>
      <c r="G263" s="516"/>
      <c r="H263" s="516"/>
      <c r="I263" s="516"/>
      <c r="J263" s="516"/>
      <c r="K263" s="516"/>
      <c r="L263" s="516"/>
      <c r="M263" s="516"/>
      <c r="N263" s="516"/>
      <c r="O263" s="516"/>
      <c r="P263" s="516"/>
      <c r="Q263" s="516"/>
    </row>
    <row r="264" spans="1:17">
      <c r="A264" s="516"/>
      <c r="B264" s="516"/>
      <c r="C264" s="516"/>
      <c r="D264" s="516"/>
      <c r="E264" s="516"/>
      <c r="F264" s="516"/>
      <c r="G264" s="516"/>
      <c r="H264" s="516"/>
      <c r="I264" s="516"/>
      <c r="J264" s="516"/>
      <c r="K264" s="516"/>
      <c r="L264" s="516"/>
      <c r="M264" s="516"/>
      <c r="N264" s="516"/>
      <c r="O264" s="516"/>
      <c r="P264" s="516"/>
      <c r="Q264" s="516"/>
    </row>
    <row r="265" spans="1:17">
      <c r="A265" s="516"/>
      <c r="B265" s="516"/>
      <c r="C265" s="516"/>
      <c r="D265" s="516"/>
      <c r="E265" s="516"/>
      <c r="F265" s="516"/>
      <c r="G265" s="516"/>
      <c r="H265" s="516"/>
      <c r="I265" s="516"/>
      <c r="J265" s="516"/>
      <c r="K265" s="516"/>
      <c r="L265" s="516"/>
      <c r="M265" s="516"/>
      <c r="N265" s="516"/>
      <c r="O265" s="516"/>
      <c r="P265" s="516"/>
      <c r="Q265" s="516"/>
    </row>
    <row r="266" spans="1:17">
      <c r="A266" s="516"/>
      <c r="B266" s="516"/>
      <c r="C266" s="516"/>
      <c r="D266" s="516"/>
      <c r="E266" s="516"/>
      <c r="F266" s="516"/>
      <c r="G266" s="516"/>
      <c r="H266" s="516"/>
      <c r="I266" s="516"/>
      <c r="J266" s="516"/>
      <c r="K266" s="516"/>
      <c r="L266" s="516"/>
      <c r="M266" s="516"/>
      <c r="N266" s="516"/>
      <c r="O266" s="516"/>
      <c r="P266" s="516"/>
      <c r="Q266" s="516"/>
    </row>
    <row r="267" spans="1:17">
      <c r="A267" s="516"/>
      <c r="B267" s="516"/>
      <c r="C267" s="516"/>
      <c r="D267" s="516"/>
      <c r="E267" s="516"/>
      <c r="F267" s="516"/>
      <c r="G267" s="516"/>
      <c r="H267" s="516"/>
      <c r="I267" s="516"/>
      <c r="J267" s="516"/>
      <c r="K267" s="516"/>
      <c r="L267" s="516"/>
      <c r="M267" s="516"/>
      <c r="N267" s="516"/>
      <c r="O267" s="516"/>
      <c r="P267" s="516"/>
      <c r="Q267" s="516"/>
    </row>
    <row r="268" spans="1:17">
      <c r="A268" s="516"/>
      <c r="B268" s="516"/>
      <c r="C268" s="516"/>
      <c r="D268" s="516"/>
      <c r="E268" s="516"/>
      <c r="F268" s="516"/>
      <c r="G268" s="516"/>
      <c r="H268" s="516"/>
      <c r="I268" s="516"/>
      <c r="J268" s="516"/>
      <c r="K268" s="516"/>
      <c r="L268" s="516"/>
      <c r="M268" s="516"/>
      <c r="N268" s="516"/>
      <c r="O268" s="516"/>
      <c r="P268" s="516"/>
      <c r="Q268" s="516"/>
    </row>
    <row r="269" spans="1:17">
      <c r="A269" s="516"/>
      <c r="B269" s="516"/>
      <c r="C269" s="516"/>
      <c r="D269" s="516"/>
      <c r="E269" s="516"/>
      <c r="F269" s="516"/>
      <c r="G269" s="516"/>
      <c r="H269" s="516"/>
      <c r="I269" s="516"/>
      <c r="J269" s="516"/>
      <c r="K269" s="516"/>
      <c r="L269" s="516"/>
      <c r="M269" s="516"/>
      <c r="N269" s="516"/>
      <c r="O269" s="516"/>
      <c r="P269" s="516"/>
      <c r="Q269" s="516"/>
    </row>
    <row r="270" spans="1:17">
      <c r="A270" s="516"/>
      <c r="B270" s="516"/>
      <c r="C270" s="516"/>
      <c r="D270" s="516"/>
      <c r="E270" s="516"/>
      <c r="F270" s="516"/>
      <c r="G270" s="516"/>
      <c r="H270" s="516"/>
      <c r="I270" s="516"/>
      <c r="J270" s="516"/>
      <c r="K270" s="516"/>
      <c r="L270" s="516"/>
      <c r="M270" s="516"/>
      <c r="N270" s="516"/>
      <c r="O270" s="516"/>
      <c r="P270" s="516"/>
      <c r="Q270" s="516"/>
    </row>
    <row r="271" spans="1:17">
      <c r="A271" s="516"/>
      <c r="B271" s="516"/>
      <c r="C271" s="516"/>
      <c r="D271" s="516"/>
      <c r="E271" s="516"/>
      <c r="F271" s="516"/>
      <c r="G271" s="516"/>
      <c r="H271" s="516"/>
      <c r="I271" s="516"/>
      <c r="J271" s="516"/>
      <c r="K271" s="516"/>
      <c r="L271" s="516"/>
      <c r="M271" s="516"/>
      <c r="N271" s="516"/>
      <c r="O271" s="516"/>
      <c r="P271" s="516"/>
      <c r="Q271" s="516"/>
    </row>
    <row r="272" spans="1:17">
      <c r="A272" s="516"/>
      <c r="B272" s="516"/>
      <c r="C272" s="516"/>
      <c r="D272" s="516"/>
      <c r="E272" s="516"/>
      <c r="F272" s="516"/>
      <c r="G272" s="516"/>
      <c r="H272" s="516"/>
      <c r="I272" s="516"/>
      <c r="J272" s="516"/>
      <c r="K272" s="516"/>
      <c r="L272" s="516"/>
      <c r="M272" s="516"/>
      <c r="N272" s="516"/>
      <c r="O272" s="516"/>
      <c r="P272" s="516"/>
      <c r="Q272" s="516"/>
    </row>
    <row r="273" spans="1:17">
      <c r="A273" s="516"/>
      <c r="B273" s="516"/>
      <c r="C273" s="516"/>
      <c r="D273" s="516"/>
      <c r="E273" s="516"/>
      <c r="F273" s="516"/>
      <c r="G273" s="516"/>
      <c r="H273" s="516"/>
      <c r="I273" s="516"/>
      <c r="J273" s="516"/>
      <c r="K273" s="516"/>
      <c r="L273" s="516"/>
      <c r="M273" s="516"/>
      <c r="N273" s="516"/>
      <c r="O273" s="516"/>
      <c r="P273" s="516"/>
      <c r="Q273" s="516"/>
    </row>
    <row r="274" spans="1:17">
      <c r="A274" s="516"/>
      <c r="B274" s="516"/>
      <c r="C274" s="516"/>
      <c r="D274" s="516"/>
      <c r="E274" s="516"/>
      <c r="F274" s="516"/>
      <c r="G274" s="516"/>
      <c r="H274" s="516"/>
      <c r="I274" s="516"/>
      <c r="J274" s="516"/>
      <c r="K274" s="516"/>
      <c r="L274" s="516"/>
      <c r="M274" s="516"/>
      <c r="N274" s="516"/>
      <c r="O274" s="516"/>
      <c r="P274" s="516"/>
      <c r="Q274" s="516"/>
    </row>
    <row r="275" spans="1:17">
      <c r="A275" s="516"/>
      <c r="B275" s="516"/>
      <c r="C275" s="516"/>
      <c r="D275" s="516"/>
      <c r="E275" s="516"/>
      <c r="F275" s="516"/>
      <c r="G275" s="516"/>
      <c r="H275" s="516"/>
      <c r="I275" s="516"/>
      <c r="J275" s="516"/>
      <c r="K275" s="516"/>
      <c r="L275" s="516"/>
      <c r="M275" s="516"/>
      <c r="N275" s="516"/>
      <c r="O275" s="516"/>
      <c r="P275" s="516"/>
      <c r="Q275" s="516"/>
    </row>
    <row r="276" spans="1:17">
      <c r="A276" s="516"/>
      <c r="B276" s="516"/>
      <c r="C276" s="516"/>
      <c r="D276" s="516"/>
      <c r="E276" s="516"/>
      <c r="F276" s="516"/>
      <c r="G276" s="516"/>
      <c r="H276" s="516"/>
      <c r="I276" s="516"/>
      <c r="J276" s="516"/>
      <c r="K276" s="516"/>
      <c r="L276" s="516"/>
      <c r="M276" s="516"/>
      <c r="N276" s="516"/>
      <c r="O276" s="516"/>
      <c r="P276" s="516"/>
      <c r="Q276" s="516"/>
    </row>
    <row r="277" spans="1:17">
      <c r="A277" s="516"/>
      <c r="B277" s="516"/>
      <c r="C277" s="516"/>
      <c r="D277" s="516"/>
      <c r="E277" s="516"/>
      <c r="F277" s="516"/>
      <c r="G277" s="516"/>
      <c r="H277" s="516"/>
      <c r="I277" s="516"/>
      <c r="J277" s="516"/>
      <c r="K277" s="516"/>
      <c r="L277" s="516"/>
      <c r="M277" s="516"/>
      <c r="N277" s="516"/>
      <c r="O277" s="516"/>
      <c r="P277" s="516"/>
      <c r="Q277" s="516"/>
    </row>
    <row r="278" spans="1:17">
      <c r="A278" s="516"/>
      <c r="B278" s="516"/>
      <c r="C278" s="516"/>
      <c r="D278" s="516"/>
      <c r="E278" s="516"/>
      <c r="F278" s="516"/>
      <c r="G278" s="516"/>
      <c r="H278" s="516"/>
      <c r="I278" s="516"/>
      <c r="J278" s="516"/>
      <c r="K278" s="516"/>
      <c r="L278" s="516"/>
      <c r="M278" s="516"/>
      <c r="N278" s="516"/>
      <c r="O278" s="516"/>
      <c r="P278" s="516"/>
      <c r="Q278" s="516"/>
    </row>
    <row r="279" spans="1:17">
      <c r="A279" s="516"/>
      <c r="B279" s="516"/>
      <c r="C279" s="516"/>
      <c r="D279" s="516"/>
      <c r="E279" s="516"/>
      <c r="F279" s="516"/>
      <c r="G279" s="516"/>
      <c r="H279" s="516"/>
      <c r="I279" s="516"/>
      <c r="J279" s="516"/>
      <c r="K279" s="516"/>
      <c r="L279" s="516"/>
      <c r="M279" s="516"/>
      <c r="N279" s="516"/>
      <c r="O279" s="516"/>
      <c r="P279" s="516"/>
      <c r="Q279" s="516"/>
    </row>
    <row r="280" spans="1:17">
      <c r="A280" s="516"/>
      <c r="B280" s="516"/>
      <c r="C280" s="516"/>
      <c r="D280" s="516"/>
      <c r="E280" s="516"/>
      <c r="F280" s="516"/>
      <c r="G280" s="516"/>
      <c r="H280" s="516"/>
      <c r="I280" s="516"/>
      <c r="J280" s="516"/>
      <c r="K280" s="516"/>
      <c r="L280" s="516"/>
      <c r="M280" s="516"/>
      <c r="N280" s="516"/>
      <c r="O280" s="516"/>
      <c r="P280" s="516"/>
      <c r="Q280" s="516"/>
    </row>
    <row r="281" spans="1:17">
      <c r="A281" s="516"/>
      <c r="B281" s="516"/>
      <c r="C281" s="516"/>
      <c r="D281" s="516"/>
      <c r="E281" s="516"/>
      <c r="F281" s="516"/>
      <c r="G281" s="516"/>
      <c r="H281" s="516"/>
      <c r="I281" s="516"/>
      <c r="J281" s="516"/>
      <c r="K281" s="516"/>
      <c r="L281" s="516"/>
      <c r="M281" s="516"/>
      <c r="N281" s="516"/>
      <c r="O281" s="516"/>
      <c r="P281" s="516"/>
      <c r="Q281" s="516"/>
    </row>
    <row r="282" spans="1:17">
      <c r="A282" s="516"/>
      <c r="B282" s="516"/>
      <c r="C282" s="516"/>
      <c r="D282" s="516"/>
      <c r="E282" s="516"/>
      <c r="F282" s="516"/>
      <c r="G282" s="516"/>
      <c r="H282" s="516"/>
      <c r="I282" s="516"/>
      <c r="J282" s="516"/>
      <c r="K282" s="516"/>
      <c r="L282" s="516"/>
      <c r="M282" s="516"/>
      <c r="N282" s="516"/>
      <c r="O282" s="516"/>
      <c r="P282" s="516"/>
      <c r="Q282" s="516"/>
    </row>
    <row r="283" spans="1:17">
      <c r="A283" s="516"/>
      <c r="B283" s="516"/>
      <c r="C283" s="516"/>
      <c r="D283" s="516"/>
      <c r="E283" s="516"/>
      <c r="F283" s="516"/>
      <c r="G283" s="516"/>
      <c r="H283" s="516"/>
      <c r="I283" s="516"/>
      <c r="J283" s="516"/>
      <c r="K283" s="516"/>
      <c r="L283" s="516"/>
      <c r="M283" s="516"/>
      <c r="N283" s="516"/>
      <c r="O283" s="516"/>
      <c r="P283" s="516"/>
      <c r="Q283" s="516"/>
    </row>
    <row r="284" spans="1:17">
      <c r="A284" s="516"/>
      <c r="B284" s="516"/>
      <c r="C284" s="516"/>
      <c r="D284" s="516"/>
      <c r="E284" s="516"/>
      <c r="F284" s="516"/>
      <c r="G284" s="516"/>
      <c r="H284" s="516"/>
      <c r="I284" s="516"/>
      <c r="J284" s="516"/>
      <c r="K284" s="516"/>
      <c r="L284" s="516"/>
      <c r="M284" s="516"/>
      <c r="N284" s="516"/>
      <c r="O284" s="516"/>
      <c r="P284" s="516"/>
      <c r="Q284" s="516"/>
    </row>
    <row r="285" spans="1:17">
      <c r="A285" s="516"/>
      <c r="B285" s="516"/>
      <c r="C285" s="516"/>
      <c r="D285" s="516"/>
      <c r="E285" s="516"/>
      <c r="F285" s="516"/>
      <c r="G285" s="516"/>
      <c r="H285" s="516"/>
      <c r="I285" s="516"/>
      <c r="J285" s="516"/>
      <c r="K285" s="516"/>
      <c r="L285" s="516"/>
      <c r="M285" s="516"/>
      <c r="N285" s="516"/>
      <c r="O285" s="516"/>
      <c r="P285" s="516"/>
      <c r="Q285" s="516"/>
    </row>
    <row r="286" spans="1:17">
      <c r="A286" s="516"/>
      <c r="B286" s="516"/>
      <c r="C286" s="516"/>
      <c r="D286" s="516"/>
      <c r="E286" s="516"/>
      <c r="F286" s="516"/>
      <c r="G286" s="516"/>
      <c r="H286" s="516"/>
      <c r="I286" s="516"/>
      <c r="J286" s="516"/>
      <c r="K286" s="516"/>
      <c r="L286" s="516"/>
      <c r="M286" s="516"/>
      <c r="N286" s="516"/>
      <c r="O286" s="516"/>
      <c r="P286" s="516"/>
      <c r="Q286" s="516"/>
    </row>
    <row r="287" spans="1:17">
      <c r="A287" s="516"/>
      <c r="B287" s="516"/>
      <c r="C287" s="516"/>
      <c r="D287" s="516"/>
      <c r="E287" s="516"/>
      <c r="F287" s="516"/>
      <c r="G287" s="516"/>
      <c r="H287" s="516"/>
      <c r="I287" s="516"/>
      <c r="J287" s="516"/>
      <c r="K287" s="516"/>
      <c r="L287" s="516"/>
      <c r="M287" s="516"/>
      <c r="N287" s="516"/>
      <c r="O287" s="516"/>
      <c r="P287" s="516"/>
      <c r="Q287" s="516"/>
    </row>
    <row r="288" spans="1:17">
      <c r="A288" s="516"/>
      <c r="B288" s="516"/>
      <c r="C288" s="516"/>
      <c r="D288" s="516"/>
      <c r="E288" s="516"/>
      <c r="F288" s="516"/>
      <c r="G288" s="516"/>
      <c r="H288" s="516"/>
      <c r="I288" s="516"/>
      <c r="J288" s="516"/>
      <c r="K288" s="516"/>
      <c r="L288" s="516"/>
      <c r="M288" s="516"/>
      <c r="N288" s="516"/>
      <c r="O288" s="516"/>
      <c r="P288" s="516"/>
      <c r="Q288" s="516"/>
    </row>
    <row r="289" spans="1:17">
      <c r="A289" s="516"/>
      <c r="B289" s="516"/>
      <c r="C289" s="516"/>
      <c r="D289" s="516"/>
      <c r="E289" s="516"/>
      <c r="F289" s="516"/>
      <c r="G289" s="516"/>
      <c r="H289" s="516"/>
      <c r="I289" s="516"/>
      <c r="J289" s="516"/>
      <c r="K289" s="516"/>
      <c r="L289" s="516"/>
      <c r="M289" s="516"/>
      <c r="N289" s="516"/>
      <c r="O289" s="516"/>
      <c r="P289" s="516"/>
      <c r="Q289" s="516"/>
    </row>
    <row r="290" spans="1:17">
      <c r="A290" s="516"/>
      <c r="B290" s="516"/>
      <c r="C290" s="516"/>
      <c r="D290" s="516"/>
      <c r="E290" s="516"/>
      <c r="F290" s="516"/>
      <c r="G290" s="516"/>
      <c r="H290" s="516"/>
      <c r="I290" s="516"/>
      <c r="J290" s="516"/>
      <c r="K290" s="516"/>
      <c r="L290" s="516"/>
      <c r="M290" s="516"/>
      <c r="N290" s="516"/>
      <c r="O290" s="516"/>
      <c r="P290" s="516"/>
      <c r="Q290" s="516"/>
    </row>
    <row r="291" spans="1:17">
      <c r="A291" s="516"/>
      <c r="B291" s="516"/>
      <c r="C291" s="516"/>
      <c r="D291" s="516"/>
      <c r="E291" s="516"/>
      <c r="F291" s="516"/>
      <c r="G291" s="516"/>
      <c r="H291" s="516"/>
      <c r="I291" s="516"/>
      <c r="J291" s="516"/>
      <c r="K291" s="516"/>
      <c r="L291" s="516"/>
      <c r="M291" s="516"/>
      <c r="N291" s="516"/>
      <c r="O291" s="516"/>
      <c r="P291" s="516"/>
      <c r="Q291" s="516"/>
    </row>
    <row r="292" spans="1:17">
      <c r="A292" s="516"/>
      <c r="B292" s="516"/>
      <c r="C292" s="516"/>
      <c r="D292" s="516"/>
      <c r="E292" s="516"/>
      <c r="F292" s="516"/>
      <c r="G292" s="516"/>
      <c r="H292" s="516"/>
      <c r="I292" s="516"/>
      <c r="J292" s="516"/>
      <c r="K292" s="516"/>
      <c r="L292" s="516"/>
      <c r="M292" s="516"/>
      <c r="N292" s="516"/>
      <c r="O292" s="516"/>
      <c r="P292" s="516"/>
      <c r="Q292" s="516"/>
    </row>
    <row r="293" spans="1:17">
      <c r="A293" s="516"/>
      <c r="B293" s="516"/>
      <c r="C293" s="516"/>
      <c r="D293" s="516"/>
      <c r="E293" s="516"/>
      <c r="F293" s="516"/>
      <c r="G293" s="516"/>
      <c r="H293" s="516"/>
      <c r="I293" s="516"/>
      <c r="J293" s="516"/>
      <c r="K293" s="516"/>
      <c r="L293" s="516"/>
      <c r="M293" s="516"/>
      <c r="N293" s="516"/>
      <c r="O293" s="516"/>
      <c r="P293" s="516"/>
      <c r="Q293" s="516"/>
    </row>
    <row r="294" spans="1:17">
      <c r="A294" s="516"/>
      <c r="B294" s="516"/>
      <c r="C294" s="516"/>
      <c r="D294" s="516"/>
      <c r="E294" s="516"/>
      <c r="F294" s="516"/>
      <c r="G294" s="516"/>
      <c r="H294" s="516"/>
      <c r="I294" s="516"/>
      <c r="J294" s="516"/>
      <c r="K294" s="516"/>
      <c r="L294" s="516"/>
      <c r="M294" s="516"/>
      <c r="N294" s="516"/>
      <c r="O294" s="516"/>
      <c r="P294" s="516"/>
      <c r="Q294" s="516"/>
    </row>
    <row r="295" spans="1:17">
      <c r="A295" s="516"/>
      <c r="B295" s="516"/>
      <c r="C295" s="516"/>
      <c r="D295" s="516"/>
      <c r="E295" s="516"/>
      <c r="F295" s="516"/>
      <c r="G295" s="516"/>
      <c r="H295" s="516"/>
      <c r="I295" s="516"/>
      <c r="J295" s="516"/>
      <c r="K295" s="516"/>
      <c r="L295" s="516"/>
      <c r="M295" s="516"/>
      <c r="N295" s="516"/>
      <c r="O295" s="516"/>
      <c r="P295" s="516"/>
      <c r="Q295" s="516"/>
    </row>
    <row r="296" spans="1:17">
      <c r="A296" s="516"/>
      <c r="B296" s="516"/>
      <c r="C296" s="516"/>
      <c r="D296" s="516"/>
      <c r="E296" s="516"/>
      <c r="F296" s="516"/>
      <c r="G296" s="516"/>
      <c r="H296" s="516"/>
      <c r="I296" s="516"/>
      <c r="J296" s="516"/>
      <c r="K296" s="516"/>
      <c r="L296" s="516"/>
      <c r="M296" s="516"/>
      <c r="N296" s="516"/>
      <c r="O296" s="516"/>
      <c r="P296" s="516"/>
      <c r="Q296" s="516"/>
    </row>
    <row r="297" spans="1:17">
      <c r="A297" s="516"/>
      <c r="B297" s="516"/>
      <c r="C297" s="516"/>
      <c r="D297" s="516"/>
      <c r="E297" s="516"/>
      <c r="F297" s="516"/>
      <c r="G297" s="516"/>
      <c r="H297" s="516"/>
      <c r="I297" s="516"/>
      <c r="J297" s="516"/>
      <c r="K297" s="516"/>
      <c r="L297" s="516"/>
      <c r="M297" s="516"/>
      <c r="N297" s="516"/>
      <c r="O297" s="516"/>
      <c r="P297" s="516"/>
      <c r="Q297" s="516"/>
    </row>
    <row r="298" spans="1:17">
      <c r="A298" s="516"/>
      <c r="B298" s="516"/>
      <c r="C298" s="516"/>
      <c r="D298" s="516"/>
      <c r="E298" s="516"/>
      <c r="F298" s="516"/>
      <c r="G298" s="516"/>
      <c r="H298" s="516"/>
      <c r="I298" s="516"/>
      <c r="J298" s="516"/>
      <c r="K298" s="516"/>
      <c r="L298" s="516"/>
      <c r="M298" s="516"/>
      <c r="N298" s="516"/>
      <c r="O298" s="516"/>
      <c r="P298" s="516"/>
      <c r="Q298" s="516"/>
    </row>
    <row r="299" spans="1:17">
      <c r="A299" s="516"/>
      <c r="B299" s="516"/>
      <c r="C299" s="516"/>
      <c r="D299" s="516"/>
      <c r="E299" s="516"/>
      <c r="F299" s="516"/>
      <c r="G299" s="516"/>
      <c r="H299" s="516"/>
      <c r="I299" s="516"/>
      <c r="J299" s="516"/>
      <c r="K299" s="516"/>
      <c r="L299" s="516"/>
      <c r="M299" s="516"/>
      <c r="N299" s="516"/>
      <c r="O299" s="516"/>
      <c r="P299" s="516"/>
      <c r="Q299" s="516"/>
    </row>
    <row r="300" spans="1:17">
      <c r="A300" s="516"/>
      <c r="B300" s="516"/>
      <c r="C300" s="516"/>
      <c r="D300" s="516"/>
      <c r="E300" s="516"/>
      <c r="F300" s="516"/>
      <c r="G300" s="516"/>
      <c r="H300" s="516"/>
      <c r="I300" s="516"/>
      <c r="J300" s="516"/>
      <c r="K300" s="516"/>
      <c r="L300" s="516"/>
      <c r="M300" s="516"/>
      <c r="N300" s="516"/>
      <c r="O300" s="516"/>
      <c r="P300" s="516"/>
      <c r="Q300" s="516"/>
    </row>
    <row r="301" spans="1:17">
      <c r="A301" s="516"/>
      <c r="B301" s="516"/>
      <c r="C301" s="516"/>
      <c r="D301" s="516"/>
      <c r="E301" s="516"/>
      <c r="F301" s="516"/>
      <c r="G301" s="516"/>
      <c r="H301" s="516"/>
      <c r="I301" s="516"/>
      <c r="J301" s="516"/>
      <c r="K301" s="516"/>
      <c r="L301" s="516"/>
      <c r="M301" s="516"/>
      <c r="N301" s="516"/>
      <c r="O301" s="516"/>
      <c r="P301" s="516"/>
      <c r="Q301" s="516"/>
    </row>
    <row r="302" spans="1:17">
      <c r="A302" s="516"/>
      <c r="B302" s="516"/>
      <c r="C302" s="516"/>
      <c r="D302" s="516"/>
      <c r="E302" s="516"/>
      <c r="F302" s="516"/>
      <c r="G302" s="516"/>
      <c r="H302" s="516"/>
      <c r="I302" s="516"/>
      <c r="J302" s="516"/>
      <c r="K302" s="516"/>
      <c r="L302" s="516"/>
      <c r="M302" s="516"/>
      <c r="N302" s="516"/>
      <c r="O302" s="516"/>
      <c r="P302" s="516"/>
      <c r="Q302" s="516"/>
    </row>
    <row r="303" spans="1:17">
      <c r="A303" s="516"/>
      <c r="B303" s="516"/>
      <c r="C303" s="516"/>
      <c r="D303" s="516"/>
      <c r="E303" s="516"/>
      <c r="F303" s="516"/>
      <c r="G303" s="516"/>
      <c r="H303" s="516"/>
      <c r="I303" s="516"/>
      <c r="J303" s="516"/>
      <c r="K303" s="516"/>
      <c r="L303" s="516"/>
      <c r="M303" s="516"/>
      <c r="N303" s="516"/>
      <c r="O303" s="516"/>
      <c r="P303" s="516"/>
      <c r="Q303" s="516"/>
    </row>
    <row r="304" spans="1:17">
      <c r="A304" s="516"/>
      <c r="B304" s="516"/>
      <c r="C304" s="516"/>
      <c r="D304" s="516"/>
      <c r="E304" s="516"/>
      <c r="F304" s="516"/>
      <c r="G304" s="516"/>
      <c r="H304" s="516"/>
      <c r="I304" s="516"/>
      <c r="J304" s="516"/>
      <c r="K304" s="516"/>
      <c r="L304" s="516"/>
      <c r="M304" s="516"/>
      <c r="N304" s="516"/>
      <c r="O304" s="516"/>
      <c r="P304" s="516"/>
      <c r="Q304" s="516"/>
    </row>
    <row r="305" spans="1:17">
      <c r="A305" s="516"/>
      <c r="B305" s="516"/>
      <c r="C305" s="516"/>
      <c r="D305" s="516"/>
      <c r="E305" s="516"/>
      <c r="F305" s="516"/>
      <c r="G305" s="516"/>
      <c r="H305" s="516"/>
      <c r="I305" s="516"/>
      <c r="J305" s="516"/>
      <c r="K305" s="516"/>
      <c r="L305" s="516"/>
      <c r="M305" s="516"/>
      <c r="N305" s="516"/>
      <c r="O305" s="516"/>
      <c r="P305" s="516"/>
      <c r="Q305" s="516"/>
    </row>
    <row r="306" spans="1:17">
      <c r="A306" s="516"/>
      <c r="B306" s="516"/>
      <c r="C306" s="516"/>
      <c r="D306" s="516"/>
      <c r="E306" s="516"/>
      <c r="F306" s="516"/>
      <c r="G306" s="516"/>
      <c r="H306" s="516"/>
      <c r="I306" s="516"/>
      <c r="J306" s="516"/>
      <c r="K306" s="516"/>
      <c r="L306" s="516"/>
      <c r="M306" s="516"/>
      <c r="N306" s="516"/>
      <c r="O306" s="516"/>
      <c r="P306" s="516"/>
      <c r="Q306" s="516"/>
    </row>
    <row r="307" spans="1:17">
      <c r="A307" s="516"/>
      <c r="B307" s="516"/>
      <c r="C307" s="516"/>
      <c r="D307" s="516"/>
      <c r="E307" s="516"/>
      <c r="F307" s="516"/>
      <c r="G307" s="516"/>
      <c r="H307" s="516"/>
      <c r="I307" s="516"/>
      <c r="J307" s="516"/>
      <c r="K307" s="516"/>
      <c r="L307" s="516"/>
      <c r="M307" s="516"/>
      <c r="N307" s="516"/>
      <c r="O307" s="516"/>
      <c r="P307" s="516"/>
      <c r="Q307" s="516"/>
    </row>
    <row r="308" spans="1:17">
      <c r="A308" s="516"/>
      <c r="B308" s="516"/>
      <c r="C308" s="516"/>
      <c r="D308" s="516"/>
      <c r="E308" s="516"/>
      <c r="F308" s="516"/>
      <c r="G308" s="516"/>
      <c r="H308" s="516"/>
      <c r="I308" s="516"/>
      <c r="J308" s="516"/>
      <c r="K308" s="516"/>
      <c r="L308" s="516"/>
      <c r="M308" s="516"/>
      <c r="N308" s="516"/>
      <c r="O308" s="516"/>
      <c r="P308" s="516"/>
      <c r="Q308" s="516"/>
    </row>
    <row r="309" spans="1:17">
      <c r="A309" s="516"/>
      <c r="B309" s="516"/>
      <c r="C309" s="516"/>
      <c r="D309" s="516"/>
      <c r="E309" s="516"/>
      <c r="F309" s="516"/>
      <c r="G309" s="516"/>
      <c r="H309" s="516"/>
      <c r="I309" s="516"/>
      <c r="J309" s="516"/>
      <c r="K309" s="516"/>
      <c r="L309" s="516"/>
      <c r="M309" s="516"/>
      <c r="N309" s="516"/>
      <c r="O309" s="516"/>
      <c r="P309" s="516"/>
      <c r="Q309" s="516"/>
    </row>
    <row r="310" spans="1:17">
      <c r="A310" s="516"/>
      <c r="B310" s="516"/>
      <c r="C310" s="516"/>
      <c r="D310" s="516"/>
      <c r="E310" s="516"/>
      <c r="F310" s="516"/>
      <c r="G310" s="516"/>
      <c r="H310" s="516"/>
      <c r="I310" s="516"/>
      <c r="J310" s="516"/>
      <c r="K310" s="516"/>
      <c r="L310" s="516"/>
      <c r="M310" s="516"/>
      <c r="N310" s="516"/>
      <c r="O310" s="516"/>
      <c r="P310" s="516"/>
      <c r="Q310" s="516"/>
    </row>
    <row r="311" spans="1:17">
      <c r="A311" s="516"/>
      <c r="B311" s="516"/>
      <c r="C311" s="516"/>
      <c r="D311" s="516"/>
      <c r="E311" s="516"/>
      <c r="F311" s="516"/>
      <c r="G311" s="516"/>
      <c r="H311" s="516"/>
      <c r="I311" s="516"/>
      <c r="J311" s="516"/>
      <c r="K311" s="516"/>
      <c r="L311" s="516"/>
      <c r="M311" s="516"/>
      <c r="N311" s="516"/>
      <c r="O311" s="516"/>
      <c r="P311" s="516"/>
      <c r="Q311" s="516"/>
    </row>
    <row r="312" spans="1:17">
      <c r="A312" s="516"/>
      <c r="B312" s="516"/>
      <c r="C312" s="516"/>
      <c r="D312" s="516"/>
      <c r="E312" s="516"/>
      <c r="F312" s="516"/>
      <c r="G312" s="516"/>
      <c r="H312" s="516"/>
      <c r="I312" s="516"/>
      <c r="J312" s="516"/>
      <c r="K312" s="516"/>
      <c r="L312" s="516"/>
      <c r="M312" s="516"/>
      <c r="N312" s="516"/>
      <c r="O312" s="516"/>
      <c r="P312" s="516"/>
      <c r="Q312" s="516"/>
    </row>
    <row r="313" spans="1:17">
      <c r="A313" s="516"/>
      <c r="B313" s="516"/>
      <c r="C313" s="516"/>
      <c r="D313" s="516"/>
      <c r="E313" s="516"/>
      <c r="F313" s="516"/>
      <c r="G313" s="516"/>
      <c r="H313" s="516"/>
      <c r="I313" s="516"/>
      <c r="J313" s="516"/>
      <c r="K313" s="516"/>
      <c r="L313" s="516"/>
      <c r="M313" s="516"/>
      <c r="N313" s="516"/>
      <c r="O313" s="516"/>
      <c r="P313" s="516"/>
      <c r="Q313" s="516"/>
    </row>
    <row r="314" spans="1:17">
      <c r="A314" s="516"/>
      <c r="B314" s="516"/>
      <c r="C314" s="516"/>
      <c r="D314" s="516"/>
      <c r="E314" s="516"/>
      <c r="F314" s="516"/>
      <c r="G314" s="516"/>
      <c r="H314" s="516"/>
      <c r="I314" s="516"/>
      <c r="J314" s="516"/>
      <c r="K314" s="516"/>
      <c r="L314" s="516"/>
      <c r="M314" s="516"/>
      <c r="N314" s="516"/>
      <c r="O314" s="516"/>
      <c r="P314" s="516"/>
      <c r="Q314" s="516"/>
    </row>
    <row r="315" spans="1:17">
      <c r="A315" s="516"/>
      <c r="B315" s="516"/>
      <c r="C315" s="516"/>
      <c r="D315" s="516"/>
      <c r="E315" s="516"/>
      <c r="F315" s="516"/>
      <c r="G315" s="516"/>
      <c r="H315" s="516"/>
      <c r="I315" s="516"/>
      <c r="J315" s="516"/>
      <c r="K315" s="516"/>
      <c r="L315" s="516"/>
      <c r="M315" s="516"/>
      <c r="N315" s="516"/>
      <c r="O315" s="516"/>
      <c r="P315" s="516"/>
      <c r="Q315" s="516"/>
    </row>
    <row r="316" spans="1:17">
      <c r="A316" s="516"/>
      <c r="B316" s="516"/>
      <c r="C316" s="516"/>
      <c r="D316" s="516"/>
      <c r="E316" s="516"/>
      <c r="F316" s="516"/>
      <c r="G316" s="516"/>
      <c r="H316" s="516"/>
      <c r="I316" s="516"/>
      <c r="J316" s="516"/>
      <c r="K316" s="516"/>
      <c r="L316" s="516"/>
      <c r="M316" s="516"/>
      <c r="N316" s="516"/>
      <c r="O316" s="516"/>
      <c r="P316" s="516"/>
      <c r="Q316" s="516"/>
    </row>
    <row r="317" spans="1:17">
      <c r="A317" s="516"/>
      <c r="B317" s="516"/>
      <c r="C317" s="516"/>
      <c r="D317" s="516"/>
      <c r="E317" s="516"/>
      <c r="F317" s="516"/>
      <c r="G317" s="516"/>
      <c r="H317" s="516"/>
      <c r="I317" s="516"/>
      <c r="J317" s="516"/>
      <c r="K317" s="516"/>
      <c r="L317" s="516"/>
      <c r="M317" s="516"/>
      <c r="N317" s="516"/>
      <c r="O317" s="516"/>
      <c r="P317" s="516"/>
      <c r="Q317" s="516"/>
    </row>
    <row r="318" spans="1:17">
      <c r="A318" s="516"/>
      <c r="B318" s="516"/>
      <c r="C318" s="516"/>
      <c r="D318" s="516"/>
      <c r="E318" s="516"/>
      <c r="F318" s="516"/>
      <c r="G318" s="516"/>
      <c r="H318" s="516"/>
      <c r="I318" s="516"/>
      <c r="J318" s="516"/>
      <c r="K318" s="516"/>
      <c r="L318" s="516"/>
      <c r="M318" s="516"/>
      <c r="N318" s="516"/>
      <c r="O318" s="516"/>
      <c r="P318" s="516"/>
      <c r="Q318" s="516"/>
    </row>
    <row r="319" spans="1:17">
      <c r="A319" s="516"/>
      <c r="B319" s="516"/>
      <c r="C319" s="516"/>
      <c r="D319" s="516"/>
      <c r="E319" s="516"/>
      <c r="F319" s="516"/>
      <c r="G319" s="516"/>
      <c r="H319" s="516"/>
      <c r="I319" s="516"/>
      <c r="J319" s="516"/>
      <c r="K319" s="516"/>
      <c r="L319" s="516"/>
      <c r="M319" s="516"/>
      <c r="N319" s="516"/>
      <c r="O319" s="516"/>
      <c r="P319" s="516"/>
      <c r="Q319" s="516"/>
    </row>
  </sheetData>
  <phoneticPr fontId="58" type="noConversion"/>
  <hyperlinks>
    <hyperlink ref="A5" location="INDICE!A13" display="VOLVER AL INDICE" xr:uid="{714B7DD4-E33E-44CC-AA7C-94861EED8428}"/>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5">
    <pageSetUpPr autoPageBreaks="0"/>
  </sheetPr>
  <dimension ref="A1:U465"/>
  <sheetViews>
    <sheetView zoomScale="120" zoomScaleNormal="120" workbookViewId="0">
      <pane xSplit="1" ySplit="9" topLeftCell="B373" activePane="bottomRight" state="frozen"/>
      <selection activeCell="B5" sqref="B5"/>
      <selection pane="topRight" activeCell="B5" sqref="B5"/>
      <selection pane="bottomLeft" activeCell="B5" sqref="B5"/>
      <selection pane="bottomRight" activeCell="A5" sqref="A5"/>
    </sheetView>
  </sheetViews>
  <sheetFormatPr baseColWidth="10" defaultColWidth="11.42578125" defaultRowHeight="12.75"/>
  <cols>
    <col min="1" max="1" width="12" style="19" bestFit="1" customWidth="1"/>
    <col min="2" max="10" width="13.5703125" style="19" customWidth="1"/>
    <col min="11" max="11" width="19.42578125" style="19" customWidth="1"/>
    <col min="12" max="14" width="14.42578125" style="19" customWidth="1"/>
    <col min="15" max="16384" width="11.42578125" style="1"/>
  </cols>
  <sheetData>
    <row r="1" spans="1:16" ht="4.5" customHeight="1">
      <c r="A1" s="37"/>
      <c r="B1" s="154"/>
      <c r="C1" s="155"/>
      <c r="D1" s="155"/>
      <c r="E1" s="155"/>
      <c r="F1" s="155"/>
      <c r="G1" s="155"/>
      <c r="H1" s="155"/>
      <c r="I1" s="155"/>
      <c r="J1" s="155"/>
      <c r="K1" s="157"/>
      <c r="L1" s="6"/>
      <c r="M1" s="6"/>
      <c r="N1" s="129"/>
    </row>
    <row r="2" spans="1:16" ht="45">
      <c r="A2" s="121" t="s">
        <v>212</v>
      </c>
      <c r="B2" s="156" t="s">
        <v>232</v>
      </c>
      <c r="C2" s="94"/>
      <c r="D2" s="94"/>
      <c r="E2" s="94"/>
      <c r="F2" s="84"/>
      <c r="G2" s="84"/>
      <c r="H2" s="84"/>
      <c r="I2" s="84"/>
      <c r="J2" s="84"/>
      <c r="K2" s="94" t="s">
        <v>234</v>
      </c>
      <c r="L2" s="94" t="s">
        <v>235</v>
      </c>
      <c r="M2" s="84"/>
      <c r="N2" s="90"/>
    </row>
    <row r="3" spans="1:16">
      <c r="A3" s="42" t="s">
        <v>211</v>
      </c>
      <c r="B3" s="156" t="s">
        <v>1313</v>
      </c>
      <c r="C3" s="94"/>
      <c r="D3" s="94"/>
      <c r="E3" s="94"/>
      <c r="F3" s="84"/>
      <c r="G3" s="84"/>
      <c r="H3" s="84"/>
      <c r="I3" s="84"/>
      <c r="J3" s="84"/>
      <c r="K3" s="94" t="s">
        <v>233</v>
      </c>
      <c r="L3" s="94" t="s">
        <v>233</v>
      </c>
      <c r="M3" s="84"/>
      <c r="N3" s="90"/>
    </row>
    <row r="4" spans="1:16">
      <c r="A4" s="160"/>
      <c r="B4" s="159" t="s">
        <v>272</v>
      </c>
      <c r="C4" s="84"/>
      <c r="D4" s="84"/>
      <c r="E4" s="84"/>
      <c r="F4" s="84"/>
      <c r="G4" s="84"/>
      <c r="H4" s="84"/>
      <c r="I4" s="84"/>
      <c r="J4" s="84"/>
      <c r="K4" s="365"/>
      <c r="L4" s="409" t="s">
        <v>273</v>
      </c>
      <c r="M4" s="407"/>
      <c r="N4" s="408"/>
    </row>
    <row r="5" spans="1:16" ht="33.75">
      <c r="A5" s="45" t="s">
        <v>213</v>
      </c>
      <c r="B5" s="1954" t="s">
        <v>2</v>
      </c>
      <c r="C5" s="1673" t="s">
        <v>3</v>
      </c>
      <c r="D5" s="1956" t="s">
        <v>4</v>
      </c>
      <c r="E5" s="1957" t="s">
        <v>357</v>
      </c>
      <c r="F5" s="1956" t="s">
        <v>5</v>
      </c>
      <c r="G5" s="1957" t="s">
        <v>6</v>
      </c>
      <c r="H5" s="1956" t="s">
        <v>363</v>
      </c>
      <c r="I5" s="1957" t="s">
        <v>314</v>
      </c>
      <c r="J5" s="2293" t="s">
        <v>271</v>
      </c>
      <c r="K5" s="851" t="s">
        <v>6</v>
      </c>
      <c r="L5" s="104" t="s">
        <v>7</v>
      </c>
      <c r="M5" s="1339" t="s">
        <v>8</v>
      </c>
      <c r="N5" s="866" t="s">
        <v>9</v>
      </c>
    </row>
    <row r="6" spans="1:16" ht="3.75" customHeight="1">
      <c r="A6" s="160"/>
      <c r="B6" s="403"/>
      <c r="C6" s="1942"/>
      <c r="D6" s="1939"/>
      <c r="E6" s="404"/>
      <c r="F6" s="1939"/>
      <c r="G6" s="404"/>
      <c r="H6" s="1939"/>
      <c r="I6" s="404"/>
      <c r="J6" s="1947">
        <v>0.30989999999999995</v>
      </c>
      <c r="K6" s="365"/>
      <c r="L6" s="405"/>
      <c r="M6" s="1953"/>
      <c r="N6" s="406"/>
    </row>
    <row r="7" spans="1:16" ht="22.5">
      <c r="A7" s="47" t="s">
        <v>210</v>
      </c>
      <c r="B7" s="104" t="s">
        <v>722</v>
      </c>
      <c r="C7" s="1644" t="s">
        <v>722</v>
      </c>
      <c r="D7" s="1339" t="s">
        <v>722</v>
      </c>
      <c r="E7" s="106" t="s">
        <v>722</v>
      </c>
      <c r="F7" s="1339" t="s">
        <v>722</v>
      </c>
      <c r="G7" s="106" t="s">
        <v>722</v>
      </c>
      <c r="H7" s="1339" t="s">
        <v>722</v>
      </c>
      <c r="I7" s="106" t="s">
        <v>722</v>
      </c>
      <c r="J7" s="1586" t="s">
        <v>722</v>
      </c>
      <c r="K7" s="83" t="s">
        <v>722</v>
      </c>
      <c r="L7" s="104" t="s">
        <v>722</v>
      </c>
      <c r="M7" s="1339" t="s">
        <v>722</v>
      </c>
      <c r="N7" s="866" t="s">
        <v>722</v>
      </c>
    </row>
    <row r="8" spans="1:16" ht="13.5" customHeight="1">
      <c r="A8" s="390" t="s">
        <v>412</v>
      </c>
      <c r="B8" s="397" t="s">
        <v>629</v>
      </c>
      <c r="C8" s="1588" t="s">
        <v>630</v>
      </c>
      <c r="D8" s="1290" t="s">
        <v>631</v>
      </c>
      <c r="E8" s="397" t="s">
        <v>632</v>
      </c>
      <c r="F8" s="1290" t="s">
        <v>633</v>
      </c>
      <c r="G8" s="397" t="s">
        <v>634</v>
      </c>
      <c r="H8" s="1290" t="s">
        <v>635</v>
      </c>
      <c r="I8" s="397" t="s">
        <v>636</v>
      </c>
      <c r="J8" s="1156" t="s">
        <v>637</v>
      </c>
      <c r="K8" s="394" t="s">
        <v>638</v>
      </c>
      <c r="L8" s="398" t="s">
        <v>639</v>
      </c>
      <c r="M8" s="1290" t="s">
        <v>13</v>
      </c>
      <c r="N8" s="391" t="s">
        <v>14</v>
      </c>
      <c r="P8" s="516"/>
    </row>
    <row r="9" spans="1:16" ht="13.5" thickBot="1">
      <c r="A9" s="52"/>
      <c r="B9" s="466"/>
      <c r="C9" s="1674"/>
      <c r="D9" s="1571"/>
      <c r="E9" s="308"/>
      <c r="F9" s="1337"/>
      <c r="G9" s="308"/>
      <c r="H9" s="1571"/>
      <c r="I9" s="1571"/>
      <c r="J9" s="308"/>
      <c r="K9" s="153"/>
      <c r="L9" s="330"/>
      <c r="M9" s="1337"/>
      <c r="N9" s="309"/>
    </row>
    <row r="10" spans="1:16">
      <c r="A10" s="85">
        <v>1993.01</v>
      </c>
      <c r="B10" s="54">
        <v>119114</v>
      </c>
      <c r="C10" s="1943">
        <v>7523</v>
      </c>
      <c r="D10" s="1940">
        <v>2983</v>
      </c>
      <c r="E10" s="1937">
        <v>2063</v>
      </c>
      <c r="F10" s="1940">
        <v>25858</v>
      </c>
      <c r="G10" s="1937">
        <v>77442</v>
      </c>
      <c r="H10" s="1945">
        <f>F10+G10</f>
        <v>103300</v>
      </c>
      <c r="I10" s="1937">
        <v>252</v>
      </c>
      <c r="J10" s="1948">
        <v>2993</v>
      </c>
      <c r="K10" s="164"/>
      <c r="L10" s="513">
        <v>8461</v>
      </c>
      <c r="M10" s="1940">
        <v>0</v>
      </c>
      <c r="N10" s="514">
        <v>99885</v>
      </c>
    </row>
    <row r="11" spans="1:16">
      <c r="A11" s="85">
        <v>1993.02</v>
      </c>
      <c r="B11" s="50">
        <v>113930</v>
      </c>
      <c r="C11" s="1944">
        <v>6333</v>
      </c>
      <c r="D11" s="1941">
        <v>1624</v>
      </c>
      <c r="E11" s="1938">
        <v>2222</v>
      </c>
      <c r="F11" s="1941">
        <v>28684</v>
      </c>
      <c r="G11" s="1938">
        <v>71887</v>
      </c>
      <c r="H11" s="1946">
        <f>F11+G11</f>
        <v>100571</v>
      </c>
      <c r="I11" s="73">
        <v>337</v>
      </c>
      <c r="J11" s="1949">
        <v>2843</v>
      </c>
      <c r="K11" s="165"/>
      <c r="L11" s="1951">
        <v>8319</v>
      </c>
      <c r="M11" s="1941">
        <v>0</v>
      </c>
      <c r="N11" s="162">
        <v>96098</v>
      </c>
    </row>
    <row r="12" spans="1:16">
      <c r="A12" s="85">
        <v>1993.03</v>
      </c>
      <c r="B12" s="50">
        <v>142901</v>
      </c>
      <c r="C12" s="1944">
        <v>6923</v>
      </c>
      <c r="D12" s="1941">
        <v>2151</v>
      </c>
      <c r="E12" s="1938">
        <v>1329</v>
      </c>
      <c r="F12" s="1941">
        <v>46339</v>
      </c>
      <c r="G12" s="1938">
        <v>82038</v>
      </c>
      <c r="H12" s="1946">
        <f t="shared" ref="H12:H75" si="0">F12+G12</f>
        <v>128377</v>
      </c>
      <c r="I12" s="73">
        <v>583</v>
      </c>
      <c r="J12" s="1949">
        <v>3538</v>
      </c>
      <c r="K12" s="165"/>
      <c r="L12" s="1951">
        <v>11322</v>
      </c>
      <c r="M12" s="1941">
        <v>0</v>
      </c>
      <c r="N12" s="162">
        <v>120535</v>
      </c>
    </row>
    <row r="13" spans="1:16">
      <c r="A13" s="85">
        <v>1993.04</v>
      </c>
      <c r="B13" s="50">
        <v>133583</v>
      </c>
      <c r="C13" s="1944">
        <v>8599</v>
      </c>
      <c r="D13" s="1941">
        <v>2459</v>
      </c>
      <c r="E13" s="1938">
        <v>736</v>
      </c>
      <c r="F13" s="1941">
        <v>39270</v>
      </c>
      <c r="G13" s="1938">
        <v>78293</v>
      </c>
      <c r="H13" s="1946">
        <f t="shared" si="0"/>
        <v>117563</v>
      </c>
      <c r="I13" s="73">
        <v>751</v>
      </c>
      <c r="J13" s="1949">
        <v>3475</v>
      </c>
      <c r="K13" s="165"/>
      <c r="L13" s="1951">
        <v>11035</v>
      </c>
      <c r="M13" s="1941">
        <v>0</v>
      </c>
      <c r="N13" s="162">
        <v>109723</v>
      </c>
    </row>
    <row r="14" spans="1:16">
      <c r="A14" s="85">
        <v>1993.05</v>
      </c>
      <c r="B14" s="50">
        <v>144213</v>
      </c>
      <c r="C14" s="1944">
        <v>23801</v>
      </c>
      <c r="D14" s="1941">
        <v>4789</v>
      </c>
      <c r="E14" s="1938">
        <v>577</v>
      </c>
      <c r="F14" s="1941">
        <v>27313</v>
      </c>
      <c r="G14" s="1938">
        <v>82644</v>
      </c>
      <c r="H14" s="1946">
        <f t="shared" si="0"/>
        <v>109957</v>
      </c>
      <c r="I14" s="73">
        <v>1371</v>
      </c>
      <c r="J14" s="1949">
        <v>3718</v>
      </c>
      <c r="K14" s="165"/>
      <c r="L14" s="1951">
        <v>19232</v>
      </c>
      <c r="M14" s="1941">
        <v>0</v>
      </c>
      <c r="N14" s="162">
        <v>96091</v>
      </c>
    </row>
    <row r="15" spans="1:16">
      <c r="A15" s="85">
        <v>1993.06</v>
      </c>
      <c r="B15" s="50">
        <v>131956</v>
      </c>
      <c r="C15" s="1944">
        <v>36433</v>
      </c>
      <c r="D15" s="1941">
        <v>4776</v>
      </c>
      <c r="E15" s="1938">
        <v>1393</v>
      </c>
      <c r="F15" s="1941">
        <v>22281</v>
      </c>
      <c r="G15" s="1938">
        <v>60761</v>
      </c>
      <c r="H15" s="1946">
        <f t="shared" si="0"/>
        <v>83042</v>
      </c>
      <c r="I15" s="73">
        <v>2319</v>
      </c>
      <c r="J15" s="1949">
        <v>3993</v>
      </c>
      <c r="K15" s="165"/>
      <c r="L15" s="1951">
        <v>20064</v>
      </c>
      <c r="M15" s="1941">
        <v>0</v>
      </c>
      <c r="N15" s="162">
        <v>69147</v>
      </c>
    </row>
    <row r="16" spans="1:16">
      <c r="A16" s="85">
        <v>1993.07</v>
      </c>
      <c r="B16" s="50">
        <v>126294</v>
      </c>
      <c r="C16" s="1944">
        <v>36650</v>
      </c>
      <c r="D16" s="1941">
        <v>5000</v>
      </c>
      <c r="E16" s="1938">
        <v>1281</v>
      </c>
      <c r="F16" s="1941">
        <v>13882</v>
      </c>
      <c r="G16" s="1938">
        <v>63178</v>
      </c>
      <c r="H16" s="1946">
        <f t="shared" si="0"/>
        <v>77060</v>
      </c>
      <c r="I16" s="73">
        <v>2294</v>
      </c>
      <c r="J16" s="1949">
        <v>4009</v>
      </c>
      <c r="K16" s="165"/>
      <c r="L16" s="1951">
        <v>16259</v>
      </c>
      <c r="M16" s="1941">
        <v>0</v>
      </c>
      <c r="N16" s="162">
        <v>67082</v>
      </c>
    </row>
    <row r="17" spans="1:14">
      <c r="A17" s="85">
        <v>1993.08</v>
      </c>
      <c r="B17" s="50">
        <v>145076</v>
      </c>
      <c r="C17" s="1944">
        <v>29697</v>
      </c>
      <c r="D17" s="1941">
        <v>4163</v>
      </c>
      <c r="E17" s="1938">
        <v>1417</v>
      </c>
      <c r="F17" s="1941">
        <v>17981</v>
      </c>
      <c r="G17" s="1938">
        <v>85112</v>
      </c>
      <c r="H17" s="1946">
        <f t="shared" si="0"/>
        <v>103093</v>
      </c>
      <c r="I17" s="73">
        <v>2288</v>
      </c>
      <c r="J17" s="1949">
        <v>4418</v>
      </c>
      <c r="K17" s="165"/>
      <c r="L17" s="1951">
        <v>18428</v>
      </c>
      <c r="M17" s="1941">
        <v>0</v>
      </c>
      <c r="N17" s="162">
        <v>90245</v>
      </c>
    </row>
    <row r="18" spans="1:14">
      <c r="A18" s="85">
        <v>1993.09</v>
      </c>
      <c r="B18" s="50">
        <v>136136</v>
      </c>
      <c r="C18" s="1944">
        <v>21194</v>
      </c>
      <c r="D18" s="1941">
        <v>3260</v>
      </c>
      <c r="E18" s="1938">
        <v>934</v>
      </c>
      <c r="F18" s="1941">
        <v>17535</v>
      </c>
      <c r="G18" s="1938">
        <v>86961</v>
      </c>
      <c r="H18" s="1946">
        <f t="shared" si="0"/>
        <v>104496</v>
      </c>
      <c r="I18" s="73">
        <v>1870</v>
      </c>
      <c r="J18" s="1949">
        <v>4382</v>
      </c>
      <c r="K18" s="165"/>
      <c r="L18" s="1951">
        <v>17210</v>
      </c>
      <c r="M18" s="1941">
        <v>0</v>
      </c>
      <c r="N18" s="162">
        <v>91480</v>
      </c>
    </row>
    <row r="19" spans="1:14">
      <c r="A19" s="85">
        <v>1993.1</v>
      </c>
      <c r="B19" s="50">
        <v>128568</v>
      </c>
      <c r="C19" s="1944">
        <v>14154</v>
      </c>
      <c r="D19" s="1941">
        <v>2989</v>
      </c>
      <c r="E19" s="1938">
        <v>807</v>
      </c>
      <c r="F19" s="1941">
        <v>11574</v>
      </c>
      <c r="G19" s="1938">
        <v>92986</v>
      </c>
      <c r="H19" s="1946">
        <f t="shared" si="0"/>
        <v>104560</v>
      </c>
      <c r="I19" s="73">
        <v>1447</v>
      </c>
      <c r="J19" s="1949">
        <v>4611</v>
      </c>
      <c r="K19" s="165"/>
      <c r="L19" s="1951">
        <v>16441</v>
      </c>
      <c r="M19" s="1941">
        <v>0</v>
      </c>
      <c r="N19" s="162">
        <v>91915</v>
      </c>
    </row>
    <row r="20" spans="1:14">
      <c r="A20" s="85">
        <v>1993.11</v>
      </c>
      <c r="B20" s="50">
        <v>138105</v>
      </c>
      <c r="C20" s="1944">
        <v>9130</v>
      </c>
      <c r="D20" s="1941">
        <v>1979</v>
      </c>
      <c r="E20" s="1938">
        <v>486</v>
      </c>
      <c r="F20" s="1941">
        <v>25007</v>
      </c>
      <c r="G20" s="1938">
        <v>96213</v>
      </c>
      <c r="H20" s="1946">
        <f t="shared" si="0"/>
        <v>121220</v>
      </c>
      <c r="I20" s="73">
        <v>932</v>
      </c>
      <c r="J20" s="1949">
        <v>4358</v>
      </c>
      <c r="K20" s="165"/>
      <c r="L20" s="1951">
        <v>15087</v>
      </c>
      <c r="M20" s="1941">
        <v>0</v>
      </c>
      <c r="N20" s="162">
        <v>108598</v>
      </c>
    </row>
    <row r="21" spans="1:14">
      <c r="A21" s="85">
        <v>1993.12</v>
      </c>
      <c r="B21" s="50">
        <v>113753</v>
      </c>
      <c r="C21" s="1944">
        <v>10768</v>
      </c>
      <c r="D21" s="1941">
        <v>1980</v>
      </c>
      <c r="E21" s="1938">
        <v>402</v>
      </c>
      <c r="F21" s="1941">
        <v>8941</v>
      </c>
      <c r="G21" s="1938">
        <v>85894</v>
      </c>
      <c r="H21" s="1946">
        <f t="shared" si="0"/>
        <v>94835</v>
      </c>
      <c r="I21" s="73">
        <v>1080</v>
      </c>
      <c r="J21" s="1949">
        <v>4688</v>
      </c>
      <c r="K21" s="165"/>
      <c r="L21" s="1951">
        <v>14532</v>
      </c>
      <c r="M21" s="1941">
        <v>0</v>
      </c>
      <c r="N21" s="162">
        <v>82685</v>
      </c>
    </row>
    <row r="22" spans="1:14">
      <c r="A22" s="85">
        <v>1994.01</v>
      </c>
      <c r="B22" s="50">
        <v>108378</v>
      </c>
      <c r="C22" s="1675">
        <v>7350</v>
      </c>
      <c r="D22" s="1365">
        <v>2456</v>
      </c>
      <c r="E22" s="1938">
        <v>394</v>
      </c>
      <c r="F22" s="1365">
        <v>1393</v>
      </c>
      <c r="G22" s="73">
        <v>91459</v>
      </c>
      <c r="H22" s="1946">
        <f t="shared" si="0"/>
        <v>92852</v>
      </c>
      <c r="I22" s="73">
        <v>739</v>
      </c>
      <c r="J22" s="1950">
        <v>4587</v>
      </c>
      <c r="K22" s="165"/>
      <c r="L22" s="573">
        <v>15603</v>
      </c>
      <c r="M22" s="1941">
        <v>0</v>
      </c>
      <c r="N22" s="163">
        <v>80099</v>
      </c>
    </row>
    <row r="23" spans="1:14">
      <c r="A23" s="85">
        <v>1994.02</v>
      </c>
      <c r="B23" s="50">
        <v>99990</v>
      </c>
      <c r="C23" s="1675">
        <v>6137</v>
      </c>
      <c r="D23" s="1365">
        <v>1984</v>
      </c>
      <c r="E23" s="1938">
        <v>378</v>
      </c>
      <c r="F23" s="1365">
        <v>11185</v>
      </c>
      <c r="G23" s="73">
        <v>75227</v>
      </c>
      <c r="H23" s="1946">
        <f t="shared" si="0"/>
        <v>86412</v>
      </c>
      <c r="I23" s="73">
        <v>802</v>
      </c>
      <c r="J23" s="1950">
        <v>4277</v>
      </c>
      <c r="K23" s="165"/>
      <c r="L23" s="573">
        <v>12801</v>
      </c>
      <c r="M23" s="1941">
        <v>0</v>
      </c>
      <c r="N23" s="163">
        <v>75973</v>
      </c>
    </row>
    <row r="24" spans="1:14">
      <c r="A24" s="85">
        <v>1994.03</v>
      </c>
      <c r="B24" s="50">
        <v>130743</v>
      </c>
      <c r="C24" s="1675">
        <v>8167</v>
      </c>
      <c r="D24" s="1365">
        <v>1026</v>
      </c>
      <c r="E24" s="1938">
        <v>324</v>
      </c>
      <c r="F24" s="1365">
        <v>25516</v>
      </c>
      <c r="G24" s="73">
        <v>89500</v>
      </c>
      <c r="H24" s="1946">
        <f t="shared" si="0"/>
        <v>115016</v>
      </c>
      <c r="I24" s="73">
        <v>1085</v>
      </c>
      <c r="J24" s="1950">
        <v>5125</v>
      </c>
      <c r="K24" s="165"/>
      <c r="L24" s="573">
        <v>14200</v>
      </c>
      <c r="M24" s="1941">
        <v>0</v>
      </c>
      <c r="N24" s="163">
        <v>102166</v>
      </c>
    </row>
    <row r="25" spans="1:14">
      <c r="A25" s="85">
        <v>1994.04</v>
      </c>
      <c r="B25" s="50">
        <v>121959</v>
      </c>
      <c r="C25" s="1675">
        <v>12603</v>
      </c>
      <c r="D25" s="1365">
        <v>2666</v>
      </c>
      <c r="E25" s="1938">
        <v>463</v>
      </c>
      <c r="F25" s="1365">
        <v>13491</v>
      </c>
      <c r="G25" s="73">
        <v>86386</v>
      </c>
      <c r="H25" s="1946">
        <f t="shared" si="0"/>
        <v>99877</v>
      </c>
      <c r="I25" s="73">
        <v>1505</v>
      </c>
      <c r="J25" s="1950">
        <v>4845</v>
      </c>
      <c r="K25" s="165"/>
      <c r="L25" s="573">
        <v>15571</v>
      </c>
      <c r="M25" s="1941">
        <v>0</v>
      </c>
      <c r="N25" s="163">
        <v>87435</v>
      </c>
    </row>
    <row r="26" spans="1:14">
      <c r="A26" s="85">
        <v>1994.05</v>
      </c>
      <c r="B26" s="50">
        <v>150866</v>
      </c>
      <c r="C26" s="1675">
        <v>15385</v>
      </c>
      <c r="D26" s="1365">
        <v>3217</v>
      </c>
      <c r="E26" s="1938">
        <v>598</v>
      </c>
      <c r="F26" s="1365">
        <v>26033</v>
      </c>
      <c r="G26" s="73">
        <v>98040</v>
      </c>
      <c r="H26" s="1946">
        <f t="shared" si="0"/>
        <v>124073</v>
      </c>
      <c r="I26" s="73">
        <v>2283</v>
      </c>
      <c r="J26" s="1950">
        <v>5310</v>
      </c>
      <c r="K26" s="165"/>
      <c r="L26" s="573">
        <v>17628</v>
      </c>
      <c r="M26" s="1941">
        <v>0</v>
      </c>
      <c r="N26" s="163">
        <v>110260</v>
      </c>
    </row>
    <row r="27" spans="1:14">
      <c r="A27" s="85">
        <v>1994.06</v>
      </c>
      <c r="B27" s="50">
        <v>158568</v>
      </c>
      <c r="C27" s="1675">
        <v>31235</v>
      </c>
      <c r="D27" s="1365">
        <v>4028</v>
      </c>
      <c r="E27" s="1938">
        <v>830</v>
      </c>
      <c r="F27" s="1365">
        <v>19453</v>
      </c>
      <c r="G27" s="73">
        <v>94519</v>
      </c>
      <c r="H27" s="1946">
        <f t="shared" si="0"/>
        <v>113972</v>
      </c>
      <c r="I27" s="73">
        <v>3260</v>
      </c>
      <c r="J27" s="1950">
        <v>5243</v>
      </c>
      <c r="K27" s="165"/>
      <c r="L27" s="573">
        <v>18603</v>
      </c>
      <c r="M27" s="1941">
        <v>0</v>
      </c>
      <c r="N27" s="163">
        <v>100227</v>
      </c>
    </row>
    <row r="28" spans="1:14">
      <c r="A28" s="85">
        <v>1994.07</v>
      </c>
      <c r="B28" s="50">
        <v>156425</v>
      </c>
      <c r="C28" s="1675">
        <v>31893</v>
      </c>
      <c r="D28" s="1365">
        <v>4392</v>
      </c>
      <c r="E28" s="1938">
        <v>1938</v>
      </c>
      <c r="F28" s="1365">
        <v>15396</v>
      </c>
      <c r="G28" s="73">
        <v>94024</v>
      </c>
      <c r="H28" s="1946">
        <f t="shared" si="0"/>
        <v>109420</v>
      </c>
      <c r="I28" s="73">
        <v>3268</v>
      </c>
      <c r="J28" s="1950">
        <v>5514</v>
      </c>
      <c r="K28" s="165"/>
      <c r="L28" s="573">
        <v>18994</v>
      </c>
      <c r="M28" s="1941">
        <v>0</v>
      </c>
      <c r="N28" s="163">
        <v>96756</v>
      </c>
    </row>
    <row r="29" spans="1:14">
      <c r="A29" s="85">
        <v>1994.08</v>
      </c>
      <c r="B29" s="50">
        <v>140699</v>
      </c>
      <c r="C29" s="1675">
        <v>23803</v>
      </c>
      <c r="D29" s="1365">
        <v>5070</v>
      </c>
      <c r="E29" s="1938">
        <v>1424</v>
      </c>
      <c r="F29" s="1365">
        <v>23330</v>
      </c>
      <c r="G29" s="73">
        <v>77895</v>
      </c>
      <c r="H29" s="1946">
        <f t="shared" si="0"/>
        <v>101225</v>
      </c>
      <c r="I29" s="73">
        <v>3033</v>
      </c>
      <c r="J29" s="1950">
        <v>6144</v>
      </c>
      <c r="K29" s="165"/>
      <c r="L29" s="573">
        <v>15978</v>
      </c>
      <c r="M29" s="1941">
        <v>0</v>
      </c>
      <c r="N29" s="163">
        <v>91741</v>
      </c>
    </row>
    <row r="30" spans="1:14">
      <c r="A30" s="85">
        <v>1994.09</v>
      </c>
      <c r="B30" s="50">
        <v>137254</v>
      </c>
      <c r="C30" s="1675">
        <v>27448</v>
      </c>
      <c r="D30" s="1365">
        <v>3540</v>
      </c>
      <c r="E30" s="1938">
        <v>899</v>
      </c>
      <c r="F30" s="1365">
        <v>19962</v>
      </c>
      <c r="G30" s="73">
        <v>77672</v>
      </c>
      <c r="H30" s="1946">
        <f t="shared" si="0"/>
        <v>97634</v>
      </c>
      <c r="I30" s="73">
        <v>1985</v>
      </c>
      <c r="J30" s="1950">
        <v>5748</v>
      </c>
      <c r="K30" s="165"/>
      <c r="L30" s="573">
        <v>13709</v>
      </c>
      <c r="M30" s="1941">
        <v>0</v>
      </c>
      <c r="N30" s="163">
        <v>88364</v>
      </c>
    </row>
    <row r="31" spans="1:14">
      <c r="A31" s="85">
        <v>1994.1</v>
      </c>
      <c r="B31" s="50">
        <v>113668</v>
      </c>
      <c r="C31" s="1675">
        <v>15202</v>
      </c>
      <c r="D31" s="1365">
        <v>2608</v>
      </c>
      <c r="E31" s="1938">
        <v>594</v>
      </c>
      <c r="F31" s="1365">
        <v>10980</v>
      </c>
      <c r="G31" s="73">
        <v>77184</v>
      </c>
      <c r="H31" s="1946">
        <f t="shared" si="0"/>
        <v>88164</v>
      </c>
      <c r="I31" s="73">
        <v>1234</v>
      </c>
      <c r="J31" s="1950">
        <v>5866</v>
      </c>
      <c r="K31" s="165"/>
      <c r="L31" s="573">
        <v>12012</v>
      </c>
      <c r="M31" s="1941">
        <v>0</v>
      </c>
      <c r="N31" s="163">
        <v>79354</v>
      </c>
    </row>
    <row r="32" spans="1:14">
      <c r="A32" s="85">
        <v>1994.11</v>
      </c>
      <c r="B32" s="50">
        <v>133814</v>
      </c>
      <c r="C32" s="1675">
        <v>9257</v>
      </c>
      <c r="D32" s="1365">
        <v>2252</v>
      </c>
      <c r="E32" s="1938">
        <v>319</v>
      </c>
      <c r="F32" s="1365">
        <v>20103</v>
      </c>
      <c r="G32" s="73">
        <v>94645</v>
      </c>
      <c r="H32" s="1946">
        <f t="shared" si="0"/>
        <v>114748</v>
      </c>
      <c r="I32" s="73">
        <v>1122</v>
      </c>
      <c r="J32" s="1950">
        <v>6116</v>
      </c>
      <c r="K32" s="165"/>
      <c r="L32" s="573">
        <v>11818</v>
      </c>
      <c r="M32" s="1941">
        <v>0</v>
      </c>
      <c r="N32" s="163">
        <v>105501</v>
      </c>
    </row>
    <row r="33" spans="1:17">
      <c r="A33" s="85">
        <v>1994.12</v>
      </c>
      <c r="B33" s="50">
        <v>139863</v>
      </c>
      <c r="C33" s="1675">
        <v>7340</v>
      </c>
      <c r="D33" s="1365">
        <v>1595</v>
      </c>
      <c r="E33" s="1938">
        <v>324</v>
      </c>
      <c r="F33" s="1365">
        <v>37603</v>
      </c>
      <c r="G33" s="73">
        <v>86093</v>
      </c>
      <c r="H33" s="1946">
        <f t="shared" si="0"/>
        <v>123696</v>
      </c>
      <c r="I33" s="73">
        <v>919</v>
      </c>
      <c r="J33" s="1950">
        <v>5989</v>
      </c>
      <c r="K33" s="165"/>
      <c r="L33" s="573">
        <v>10781</v>
      </c>
      <c r="M33" s="1941">
        <v>0</v>
      </c>
      <c r="N33" s="163">
        <v>114834</v>
      </c>
    </row>
    <row r="34" spans="1:17">
      <c r="A34" s="85">
        <v>1995.01</v>
      </c>
      <c r="B34" s="50">
        <v>129367</v>
      </c>
      <c r="C34" s="1675">
        <v>6809</v>
      </c>
      <c r="D34" s="1365">
        <v>1851</v>
      </c>
      <c r="E34" s="1938">
        <v>247</v>
      </c>
      <c r="F34" s="1365">
        <v>24701</v>
      </c>
      <c r="G34" s="73">
        <v>89131</v>
      </c>
      <c r="H34" s="1946">
        <f t="shared" si="0"/>
        <v>113832</v>
      </c>
      <c r="I34" s="73">
        <v>811</v>
      </c>
      <c r="J34" s="1950">
        <v>5817</v>
      </c>
      <c r="K34" s="126">
        <v>80528</v>
      </c>
      <c r="L34" s="573">
        <v>10730</v>
      </c>
      <c r="M34" s="1941">
        <v>0</v>
      </c>
      <c r="N34" s="163">
        <v>105200</v>
      </c>
      <c r="P34" s="414"/>
      <c r="Q34" s="414"/>
    </row>
    <row r="35" spans="1:17">
      <c r="A35" s="85">
        <v>1995.02</v>
      </c>
      <c r="B35" s="50">
        <v>123833</v>
      </c>
      <c r="C35" s="1675">
        <v>5443</v>
      </c>
      <c r="D35" s="1365">
        <v>1949</v>
      </c>
      <c r="E35" s="1938">
        <v>340</v>
      </c>
      <c r="F35" s="1365">
        <v>35319</v>
      </c>
      <c r="G35" s="73">
        <v>74365</v>
      </c>
      <c r="H35" s="1946">
        <f t="shared" si="0"/>
        <v>109684</v>
      </c>
      <c r="I35" s="73">
        <v>890</v>
      </c>
      <c r="J35" s="1950">
        <v>5527</v>
      </c>
      <c r="K35" s="73">
        <v>66649</v>
      </c>
      <c r="L35" s="573">
        <v>10028</v>
      </c>
      <c r="M35" s="1941">
        <v>0</v>
      </c>
      <c r="N35" s="163">
        <v>101945</v>
      </c>
      <c r="P35" s="414"/>
      <c r="Q35" s="414"/>
    </row>
    <row r="36" spans="1:17">
      <c r="A36" s="85">
        <v>1995.03</v>
      </c>
      <c r="B36" s="50">
        <v>132611</v>
      </c>
      <c r="C36" s="1675">
        <v>6830</v>
      </c>
      <c r="D36" s="1365">
        <v>2674</v>
      </c>
      <c r="E36" s="1938">
        <v>362</v>
      </c>
      <c r="F36" s="1365">
        <v>29032</v>
      </c>
      <c r="G36" s="73">
        <v>86583</v>
      </c>
      <c r="H36" s="1946">
        <f t="shared" si="0"/>
        <v>115615</v>
      </c>
      <c r="I36" s="73">
        <v>1348</v>
      </c>
      <c r="J36" s="1950">
        <v>5782</v>
      </c>
      <c r="K36" s="73">
        <v>76648</v>
      </c>
      <c r="L36" s="573">
        <v>13031</v>
      </c>
      <c r="M36" s="1941">
        <v>0</v>
      </c>
      <c r="N36" s="163">
        <v>105620</v>
      </c>
      <c r="P36" s="414"/>
      <c r="Q36" s="414"/>
    </row>
    <row r="37" spans="1:17">
      <c r="A37" s="85">
        <v>1995.04</v>
      </c>
      <c r="B37" s="50">
        <v>137699</v>
      </c>
      <c r="C37" s="1675">
        <v>15189</v>
      </c>
      <c r="D37" s="1365">
        <v>2870</v>
      </c>
      <c r="E37" s="1938">
        <v>430</v>
      </c>
      <c r="F37" s="1365">
        <v>21778</v>
      </c>
      <c r="G37" s="73">
        <v>90017</v>
      </c>
      <c r="H37" s="1946">
        <f t="shared" si="0"/>
        <v>111795</v>
      </c>
      <c r="I37" s="73">
        <v>1470</v>
      </c>
      <c r="J37" s="1950">
        <v>5945</v>
      </c>
      <c r="K37" s="73">
        <v>80825</v>
      </c>
      <c r="L37" s="573">
        <v>12543</v>
      </c>
      <c r="M37" s="1941">
        <v>0</v>
      </c>
      <c r="N37" s="163">
        <v>102552</v>
      </c>
      <c r="P37" s="414"/>
      <c r="Q37" s="414"/>
    </row>
    <row r="38" spans="1:17">
      <c r="A38" s="85">
        <v>1995.05</v>
      </c>
      <c r="B38" s="50">
        <v>140340</v>
      </c>
      <c r="C38" s="1675">
        <v>20481</v>
      </c>
      <c r="D38" s="1365">
        <v>3830</v>
      </c>
      <c r="E38" s="1938">
        <v>627</v>
      </c>
      <c r="F38" s="1365">
        <v>7563</v>
      </c>
      <c r="G38" s="73">
        <v>98934</v>
      </c>
      <c r="H38" s="1946">
        <f t="shared" si="0"/>
        <v>106497</v>
      </c>
      <c r="I38" s="73">
        <v>2313</v>
      </c>
      <c r="J38" s="1950">
        <v>6592</v>
      </c>
      <c r="K38" s="73">
        <v>88721</v>
      </c>
      <c r="L38" s="573">
        <v>14753</v>
      </c>
      <c r="M38" s="1941">
        <v>0</v>
      </c>
      <c r="N38" s="163">
        <v>96201</v>
      </c>
      <c r="P38" s="414"/>
      <c r="Q38" s="414"/>
    </row>
    <row r="39" spans="1:17">
      <c r="A39" s="85">
        <v>1995.06</v>
      </c>
      <c r="B39" s="50">
        <v>159419</v>
      </c>
      <c r="C39" s="1675">
        <v>32335</v>
      </c>
      <c r="D39" s="1365">
        <v>3953</v>
      </c>
      <c r="E39" s="1938">
        <v>974</v>
      </c>
      <c r="F39" s="1365">
        <v>20700</v>
      </c>
      <c r="G39" s="73">
        <v>91781</v>
      </c>
      <c r="H39" s="1946">
        <f t="shared" si="0"/>
        <v>112481</v>
      </c>
      <c r="I39" s="73">
        <v>3462</v>
      </c>
      <c r="J39" s="1950">
        <v>6214</v>
      </c>
      <c r="K39" s="73">
        <v>81660</v>
      </c>
      <c r="L39" s="573">
        <v>15093</v>
      </c>
      <c r="M39" s="1941">
        <v>0</v>
      </c>
      <c r="N39" s="163">
        <v>102315</v>
      </c>
      <c r="P39" s="414"/>
      <c r="Q39" s="414"/>
    </row>
    <row r="40" spans="1:17">
      <c r="A40" s="85">
        <v>1995.07</v>
      </c>
      <c r="B40" s="50">
        <v>170478</v>
      </c>
      <c r="C40" s="1675">
        <v>44679</v>
      </c>
      <c r="D40" s="1365">
        <v>5484</v>
      </c>
      <c r="E40" s="1938">
        <v>1211</v>
      </c>
      <c r="F40" s="1365">
        <v>19049</v>
      </c>
      <c r="G40" s="73">
        <v>90104</v>
      </c>
      <c r="H40" s="1946">
        <f t="shared" si="0"/>
        <v>109153</v>
      </c>
      <c r="I40" s="73">
        <v>3975</v>
      </c>
      <c r="J40" s="1950">
        <v>5976</v>
      </c>
      <c r="K40" s="73">
        <v>80291</v>
      </c>
      <c r="L40" s="573">
        <v>16558</v>
      </c>
      <c r="M40" s="1941">
        <v>0</v>
      </c>
      <c r="N40" s="163">
        <v>99290</v>
      </c>
      <c r="P40" s="414"/>
      <c r="Q40" s="414"/>
    </row>
    <row r="41" spans="1:17">
      <c r="A41" s="85">
        <v>1995.08</v>
      </c>
      <c r="B41" s="50">
        <v>161321</v>
      </c>
      <c r="C41" s="1675">
        <v>33784</v>
      </c>
      <c r="D41" s="1365">
        <v>5371</v>
      </c>
      <c r="E41" s="1938">
        <v>1320</v>
      </c>
      <c r="F41" s="1365">
        <v>13672</v>
      </c>
      <c r="G41" s="73">
        <v>96854</v>
      </c>
      <c r="H41" s="1946">
        <f t="shared" si="0"/>
        <v>110526</v>
      </c>
      <c r="I41" s="73">
        <v>3641</v>
      </c>
      <c r="J41" s="1950">
        <v>6679</v>
      </c>
      <c r="K41" s="73">
        <v>86954</v>
      </c>
      <c r="L41" s="573">
        <v>16652</v>
      </c>
      <c r="M41" s="1941">
        <v>0</v>
      </c>
      <c r="N41" s="163">
        <v>100565</v>
      </c>
      <c r="P41" s="414"/>
      <c r="Q41" s="414"/>
    </row>
    <row r="42" spans="1:17">
      <c r="A42" s="85">
        <v>1995.09</v>
      </c>
      <c r="B42" s="50">
        <v>145349</v>
      </c>
      <c r="C42" s="1675">
        <v>16585</v>
      </c>
      <c r="D42" s="1365">
        <v>3357</v>
      </c>
      <c r="E42" s="1938">
        <v>668</v>
      </c>
      <c r="F42" s="1365">
        <v>19616</v>
      </c>
      <c r="G42" s="73">
        <v>96675</v>
      </c>
      <c r="H42" s="1946">
        <f t="shared" si="0"/>
        <v>116291</v>
      </c>
      <c r="I42" s="73">
        <v>1927</v>
      </c>
      <c r="J42" s="1950">
        <v>6521</v>
      </c>
      <c r="K42" s="73">
        <v>87500</v>
      </c>
      <c r="L42" s="573">
        <v>13240</v>
      </c>
      <c r="M42" s="1941">
        <v>0</v>
      </c>
      <c r="N42" s="163">
        <v>107076</v>
      </c>
      <c r="P42" s="414"/>
      <c r="Q42" s="414"/>
    </row>
    <row r="43" spans="1:17">
      <c r="A43" s="85">
        <v>1995.1</v>
      </c>
      <c r="B43" s="50">
        <v>126972</v>
      </c>
      <c r="C43" s="1675">
        <v>15436</v>
      </c>
      <c r="D43" s="1365">
        <v>3045</v>
      </c>
      <c r="E43" s="1938">
        <v>551</v>
      </c>
      <c r="F43" s="1365">
        <v>7027</v>
      </c>
      <c r="G43" s="73">
        <v>93023</v>
      </c>
      <c r="H43" s="1946">
        <f t="shared" si="0"/>
        <v>100050</v>
      </c>
      <c r="I43" s="73">
        <v>1529</v>
      </c>
      <c r="J43" s="1950">
        <v>6361</v>
      </c>
      <c r="K43" s="73">
        <v>84258</v>
      </c>
      <c r="L43" s="573">
        <v>12399</v>
      </c>
      <c r="M43" s="1941">
        <v>0</v>
      </c>
      <c r="N43" s="163">
        <v>91247</v>
      </c>
      <c r="P43" s="414"/>
      <c r="Q43" s="414"/>
    </row>
    <row r="44" spans="1:17">
      <c r="A44" s="85">
        <v>1995.11</v>
      </c>
      <c r="B44" s="50">
        <v>121287</v>
      </c>
      <c r="C44" s="1675">
        <v>9819</v>
      </c>
      <c r="D44" s="1365">
        <v>2581</v>
      </c>
      <c r="E44" s="1938">
        <v>365</v>
      </c>
      <c r="F44" s="1365">
        <v>7311</v>
      </c>
      <c r="G44" s="73">
        <v>93540</v>
      </c>
      <c r="H44" s="1946">
        <f t="shared" si="0"/>
        <v>100851</v>
      </c>
      <c r="I44" s="73">
        <v>1193</v>
      </c>
      <c r="J44" s="1950">
        <v>6478</v>
      </c>
      <c r="K44" s="73">
        <v>84769</v>
      </c>
      <c r="L44" s="573">
        <v>11774</v>
      </c>
      <c r="M44" s="1941">
        <v>0</v>
      </c>
      <c r="N44" s="163">
        <v>92023</v>
      </c>
      <c r="P44" s="414"/>
      <c r="Q44" s="414"/>
    </row>
    <row r="45" spans="1:17">
      <c r="A45" s="85">
        <v>1995.12</v>
      </c>
      <c r="B45" s="50">
        <v>125323</v>
      </c>
      <c r="C45" s="1675">
        <v>7670</v>
      </c>
      <c r="D45" s="1365">
        <v>2733</v>
      </c>
      <c r="E45" s="1938">
        <v>341</v>
      </c>
      <c r="F45" s="1365">
        <v>16462</v>
      </c>
      <c r="G45" s="73">
        <v>90947</v>
      </c>
      <c r="H45" s="1946">
        <f t="shared" si="0"/>
        <v>107409</v>
      </c>
      <c r="I45" s="73">
        <v>937</v>
      </c>
      <c r="J45" s="1950">
        <v>6233</v>
      </c>
      <c r="K45" s="73">
        <v>82683</v>
      </c>
      <c r="L45" s="573">
        <v>11433</v>
      </c>
      <c r="M45" s="1941">
        <v>0</v>
      </c>
      <c r="N45" s="163">
        <v>99050</v>
      </c>
      <c r="P45" s="414"/>
      <c r="Q45" s="414"/>
    </row>
    <row r="46" spans="1:17">
      <c r="A46" s="85">
        <v>1996.01</v>
      </c>
      <c r="B46" s="50">
        <v>128151</v>
      </c>
      <c r="C46" s="1675">
        <v>7902</v>
      </c>
      <c r="D46" s="1365">
        <v>2170</v>
      </c>
      <c r="E46" s="1938">
        <v>288</v>
      </c>
      <c r="F46" s="1365">
        <v>21170</v>
      </c>
      <c r="G46" s="73">
        <v>89368</v>
      </c>
      <c r="H46" s="1946">
        <f t="shared" si="0"/>
        <v>110538</v>
      </c>
      <c r="I46" s="73">
        <v>719</v>
      </c>
      <c r="J46" s="1950">
        <v>6534</v>
      </c>
      <c r="K46" s="73">
        <v>80696</v>
      </c>
      <c r="L46" s="573">
        <v>11141</v>
      </c>
      <c r="M46" s="1941">
        <v>0</v>
      </c>
      <c r="N46" s="163">
        <v>101855</v>
      </c>
      <c r="P46" s="414"/>
      <c r="Q46" s="414"/>
    </row>
    <row r="47" spans="1:17">
      <c r="A47" s="85">
        <v>1996.02</v>
      </c>
      <c r="B47" s="50">
        <v>115099</v>
      </c>
      <c r="C47" s="1675">
        <v>7605</v>
      </c>
      <c r="D47" s="1365">
        <v>2279</v>
      </c>
      <c r="E47" s="1938">
        <v>284</v>
      </c>
      <c r="F47" s="1365">
        <v>13056</v>
      </c>
      <c r="G47" s="73">
        <v>85299</v>
      </c>
      <c r="H47" s="1946">
        <f t="shared" si="0"/>
        <v>98355</v>
      </c>
      <c r="I47" s="73">
        <v>1027</v>
      </c>
      <c r="J47" s="1950">
        <v>5549</v>
      </c>
      <c r="K47" s="73">
        <v>77724</v>
      </c>
      <c r="L47" s="573">
        <v>10157</v>
      </c>
      <c r="M47" s="1941">
        <v>0</v>
      </c>
      <c r="N47" s="163">
        <v>90761</v>
      </c>
      <c r="P47" s="414"/>
      <c r="Q47" s="414"/>
    </row>
    <row r="48" spans="1:17">
      <c r="A48" s="85">
        <v>1996.03</v>
      </c>
      <c r="B48" s="50">
        <v>126949</v>
      </c>
      <c r="C48" s="1675">
        <v>10073</v>
      </c>
      <c r="D48" s="1365">
        <v>2527</v>
      </c>
      <c r="E48" s="1938">
        <v>348</v>
      </c>
      <c r="F48" s="1365">
        <v>18261</v>
      </c>
      <c r="G48" s="73">
        <v>87804</v>
      </c>
      <c r="H48" s="1946">
        <f t="shared" si="0"/>
        <v>106065</v>
      </c>
      <c r="I48" s="73">
        <v>1369</v>
      </c>
      <c r="J48" s="1950">
        <v>6567</v>
      </c>
      <c r="K48" s="73">
        <v>78100</v>
      </c>
      <c r="L48" s="573">
        <v>12608</v>
      </c>
      <c r="M48" s="1941">
        <v>0</v>
      </c>
      <c r="N48" s="163">
        <v>96332</v>
      </c>
      <c r="P48" s="414"/>
      <c r="Q48" s="414"/>
    </row>
    <row r="49" spans="1:17">
      <c r="A49" s="85">
        <v>1996.04</v>
      </c>
      <c r="B49" s="50">
        <v>124646</v>
      </c>
      <c r="C49" s="1675">
        <v>11926</v>
      </c>
      <c r="D49" s="1365">
        <v>3140</v>
      </c>
      <c r="E49" s="1938">
        <v>387</v>
      </c>
      <c r="F49" s="1365">
        <v>10098</v>
      </c>
      <c r="G49" s="73">
        <v>90863</v>
      </c>
      <c r="H49" s="1946">
        <f t="shared" si="0"/>
        <v>100961</v>
      </c>
      <c r="I49" s="73">
        <v>1833</v>
      </c>
      <c r="J49" s="1950">
        <v>6399</v>
      </c>
      <c r="K49" s="73">
        <v>81134</v>
      </c>
      <c r="L49" s="573">
        <v>13277</v>
      </c>
      <c r="M49" s="1941">
        <v>0</v>
      </c>
      <c r="N49" s="163">
        <v>91211</v>
      </c>
      <c r="P49" s="414"/>
      <c r="Q49" s="414"/>
    </row>
    <row r="50" spans="1:17">
      <c r="A50" s="85">
        <v>1996.05</v>
      </c>
      <c r="B50" s="50">
        <v>147216</v>
      </c>
      <c r="C50" s="1675">
        <v>20320</v>
      </c>
      <c r="D50" s="1365">
        <v>4268</v>
      </c>
      <c r="E50" s="1938">
        <v>615</v>
      </c>
      <c r="F50" s="1365">
        <v>12073</v>
      </c>
      <c r="G50" s="73">
        <v>100306</v>
      </c>
      <c r="H50" s="1946">
        <f t="shared" si="0"/>
        <v>112379</v>
      </c>
      <c r="I50" s="73">
        <v>2822</v>
      </c>
      <c r="J50" s="1950">
        <v>6812</v>
      </c>
      <c r="K50" s="73">
        <v>90196</v>
      </c>
      <c r="L50" s="573">
        <v>14993</v>
      </c>
      <c r="M50" s="1941">
        <v>0</v>
      </c>
      <c r="N50" s="163">
        <v>102269</v>
      </c>
      <c r="P50" s="414"/>
      <c r="Q50" s="414"/>
    </row>
    <row r="51" spans="1:17">
      <c r="A51" s="85">
        <v>1996.06</v>
      </c>
      <c r="B51" s="50">
        <v>157062</v>
      </c>
      <c r="C51" s="1675">
        <v>40211</v>
      </c>
      <c r="D51" s="1365">
        <v>4997</v>
      </c>
      <c r="E51" s="1938">
        <v>965</v>
      </c>
      <c r="F51" s="1365">
        <v>8131</v>
      </c>
      <c r="G51" s="73">
        <v>92290</v>
      </c>
      <c r="H51" s="1946">
        <f t="shared" si="0"/>
        <v>100421</v>
      </c>
      <c r="I51" s="73">
        <v>4029</v>
      </c>
      <c r="J51" s="1950">
        <v>6439</v>
      </c>
      <c r="K51" s="73">
        <v>81615</v>
      </c>
      <c r="L51" s="573">
        <v>15648</v>
      </c>
      <c r="M51" s="1941">
        <v>0</v>
      </c>
      <c r="N51" s="163">
        <v>90735</v>
      </c>
      <c r="P51" s="414"/>
      <c r="Q51" s="414"/>
    </row>
    <row r="52" spans="1:17">
      <c r="A52" s="85">
        <v>1996.07</v>
      </c>
      <c r="B52" s="50">
        <v>158832</v>
      </c>
      <c r="C52" s="1675">
        <v>41428</v>
      </c>
      <c r="D52" s="1365">
        <v>6467</v>
      </c>
      <c r="E52" s="1938">
        <v>1372</v>
      </c>
      <c r="F52" s="1365">
        <v>2785</v>
      </c>
      <c r="G52" s="73">
        <v>93342</v>
      </c>
      <c r="H52" s="1946">
        <f t="shared" si="0"/>
        <v>96127</v>
      </c>
      <c r="I52" s="73">
        <v>5921</v>
      </c>
      <c r="J52" s="1950">
        <v>7517</v>
      </c>
      <c r="K52" s="73">
        <v>81800</v>
      </c>
      <c r="L52" s="573">
        <v>19391</v>
      </c>
      <c r="M52" s="1941">
        <v>0</v>
      </c>
      <c r="N52" s="163">
        <v>84575</v>
      </c>
      <c r="P52" s="414"/>
      <c r="Q52" s="414"/>
    </row>
    <row r="53" spans="1:17">
      <c r="A53" s="85">
        <v>1996.08</v>
      </c>
      <c r="B53" s="50">
        <v>155946</v>
      </c>
      <c r="C53" s="1675">
        <v>23699</v>
      </c>
      <c r="D53" s="1365">
        <v>4668</v>
      </c>
      <c r="E53" s="1938">
        <v>1074</v>
      </c>
      <c r="F53" s="1365">
        <v>17284</v>
      </c>
      <c r="G53" s="73">
        <v>99125</v>
      </c>
      <c r="H53" s="1946">
        <f t="shared" si="0"/>
        <v>116409</v>
      </c>
      <c r="I53" s="73">
        <v>3091</v>
      </c>
      <c r="J53" s="1950">
        <v>7005</v>
      </c>
      <c r="K53" s="73">
        <v>88882</v>
      </c>
      <c r="L53" s="573">
        <v>15993</v>
      </c>
      <c r="M53" s="1941">
        <v>0</v>
      </c>
      <c r="N53" s="163">
        <v>106158</v>
      </c>
      <c r="P53" s="414"/>
      <c r="Q53" s="414"/>
    </row>
    <row r="54" spans="1:17">
      <c r="A54" s="85">
        <v>1996.09</v>
      </c>
      <c r="B54" s="50">
        <v>152110</v>
      </c>
      <c r="C54" s="1675">
        <v>18242</v>
      </c>
      <c r="D54" s="1365">
        <v>4001</v>
      </c>
      <c r="E54" s="1938">
        <v>824</v>
      </c>
      <c r="F54" s="1365">
        <v>19468</v>
      </c>
      <c r="G54" s="73">
        <v>99681</v>
      </c>
      <c r="H54" s="1946">
        <f t="shared" si="0"/>
        <v>119149</v>
      </c>
      <c r="I54" s="73">
        <v>2857</v>
      </c>
      <c r="J54" s="1950">
        <v>7037</v>
      </c>
      <c r="K54" s="73">
        <v>89356</v>
      </c>
      <c r="L54" s="573">
        <v>15151</v>
      </c>
      <c r="M54" s="1941">
        <v>0</v>
      </c>
      <c r="N54" s="163">
        <v>108823</v>
      </c>
      <c r="P54" s="414"/>
      <c r="Q54" s="414"/>
    </row>
    <row r="55" spans="1:17">
      <c r="A55" s="85">
        <v>1996.1</v>
      </c>
      <c r="B55" s="50">
        <v>134236</v>
      </c>
      <c r="C55" s="1675">
        <v>13025</v>
      </c>
      <c r="D55" s="1365">
        <v>2966</v>
      </c>
      <c r="E55" s="1938">
        <v>561</v>
      </c>
      <c r="F55" s="1365">
        <v>10878</v>
      </c>
      <c r="G55" s="73">
        <v>97588</v>
      </c>
      <c r="H55" s="1946">
        <f t="shared" si="0"/>
        <v>108466</v>
      </c>
      <c r="I55" s="73">
        <v>1715</v>
      </c>
      <c r="J55" s="1950">
        <v>7503</v>
      </c>
      <c r="K55" s="73">
        <v>87278</v>
      </c>
      <c r="L55" s="573">
        <v>13842</v>
      </c>
      <c r="M55" s="1941">
        <v>0</v>
      </c>
      <c r="N55" s="163">
        <v>98151</v>
      </c>
      <c r="P55" s="414"/>
      <c r="Q55" s="414"/>
    </row>
    <row r="56" spans="1:17">
      <c r="A56" s="85">
        <v>1996.11</v>
      </c>
      <c r="B56" s="50">
        <v>142736</v>
      </c>
      <c r="C56" s="1675">
        <v>12461</v>
      </c>
      <c r="D56" s="1365">
        <v>2910</v>
      </c>
      <c r="E56" s="1938">
        <v>423</v>
      </c>
      <c r="F56" s="1365">
        <v>24167</v>
      </c>
      <c r="G56" s="73">
        <v>94454</v>
      </c>
      <c r="H56" s="1946">
        <f t="shared" si="0"/>
        <v>118621</v>
      </c>
      <c r="I56" s="73">
        <v>1278</v>
      </c>
      <c r="J56" s="1950">
        <v>7043</v>
      </c>
      <c r="K56" s="73">
        <v>84402</v>
      </c>
      <c r="L56" s="573">
        <v>13394</v>
      </c>
      <c r="M56" s="1941">
        <v>0</v>
      </c>
      <c r="N56" s="163">
        <v>108560</v>
      </c>
      <c r="P56" s="414"/>
      <c r="Q56" s="414"/>
    </row>
    <row r="57" spans="1:17">
      <c r="A57" s="85">
        <v>1996.12</v>
      </c>
      <c r="B57" s="50">
        <v>140703</v>
      </c>
      <c r="C57" s="1675">
        <v>10178</v>
      </c>
      <c r="D57" s="1365">
        <v>2934</v>
      </c>
      <c r="E57" s="1938">
        <v>388</v>
      </c>
      <c r="F57" s="1365">
        <v>29731</v>
      </c>
      <c r="G57" s="73">
        <v>88531</v>
      </c>
      <c r="H57" s="1946">
        <f t="shared" si="0"/>
        <v>118262</v>
      </c>
      <c r="I57" s="73">
        <v>1215</v>
      </c>
      <c r="J57" s="1950">
        <v>7726</v>
      </c>
      <c r="K57" s="73">
        <v>78561</v>
      </c>
      <c r="L57" s="573">
        <v>13294</v>
      </c>
      <c r="M57" s="1941">
        <v>0</v>
      </c>
      <c r="N57" s="163">
        <v>108290</v>
      </c>
      <c r="P57" s="414"/>
      <c r="Q57" s="414"/>
    </row>
    <row r="58" spans="1:17">
      <c r="A58" s="85">
        <v>1997.01</v>
      </c>
      <c r="B58" s="50">
        <v>125815</v>
      </c>
      <c r="C58" s="1675">
        <v>8643</v>
      </c>
      <c r="D58" s="1365">
        <v>2347</v>
      </c>
      <c r="E58" s="1938">
        <v>282</v>
      </c>
      <c r="F58" s="1365">
        <v>32262</v>
      </c>
      <c r="G58" s="73">
        <v>74293</v>
      </c>
      <c r="H58" s="1946">
        <f t="shared" si="0"/>
        <v>106555</v>
      </c>
      <c r="I58" s="73">
        <v>893</v>
      </c>
      <c r="J58" s="1950">
        <v>7095</v>
      </c>
      <c r="K58" s="73">
        <v>65513</v>
      </c>
      <c r="L58" s="573">
        <v>11412</v>
      </c>
      <c r="M58" s="1941">
        <v>0</v>
      </c>
      <c r="N58" s="163">
        <v>97772</v>
      </c>
      <c r="P58" s="414"/>
      <c r="Q58" s="414"/>
    </row>
    <row r="59" spans="1:17">
      <c r="A59" s="85">
        <v>1997.02</v>
      </c>
      <c r="B59" s="50">
        <v>119423</v>
      </c>
      <c r="C59" s="1675">
        <v>8050</v>
      </c>
      <c r="D59" s="1365">
        <v>2391</v>
      </c>
      <c r="E59" s="1938">
        <v>307</v>
      </c>
      <c r="F59" s="1365">
        <v>21715</v>
      </c>
      <c r="G59" s="73">
        <v>79087</v>
      </c>
      <c r="H59" s="1946">
        <f t="shared" si="0"/>
        <v>100802</v>
      </c>
      <c r="I59" s="73">
        <v>1121</v>
      </c>
      <c r="J59" s="1950">
        <v>6752</v>
      </c>
      <c r="K59" s="73">
        <v>70973</v>
      </c>
      <c r="L59" s="573">
        <v>10815</v>
      </c>
      <c r="M59" s="1941">
        <v>0</v>
      </c>
      <c r="N59" s="163">
        <v>92685</v>
      </c>
      <c r="P59" s="414"/>
      <c r="Q59" s="414"/>
    </row>
    <row r="60" spans="1:17">
      <c r="A60" s="85">
        <v>1997.03</v>
      </c>
      <c r="B60" s="50">
        <v>138201</v>
      </c>
      <c r="C60" s="1675">
        <v>9955</v>
      </c>
      <c r="D60" s="1365">
        <v>3177</v>
      </c>
      <c r="E60" s="1938">
        <v>357</v>
      </c>
      <c r="F60" s="1365">
        <v>26387</v>
      </c>
      <c r="G60" s="73">
        <v>89529</v>
      </c>
      <c r="H60" s="1946">
        <f t="shared" si="0"/>
        <v>115916</v>
      </c>
      <c r="I60" s="73">
        <v>1484</v>
      </c>
      <c r="J60" s="1950">
        <v>7312</v>
      </c>
      <c r="K60" s="73">
        <v>79680</v>
      </c>
      <c r="L60" s="573">
        <v>13388</v>
      </c>
      <c r="M60" s="1941">
        <v>0</v>
      </c>
      <c r="N60" s="163">
        <v>106062</v>
      </c>
      <c r="P60" s="414"/>
      <c r="Q60" s="414"/>
    </row>
    <row r="61" spans="1:17">
      <c r="A61" s="85">
        <v>1997.04</v>
      </c>
      <c r="B61" s="50">
        <v>149022</v>
      </c>
      <c r="C61" s="1675">
        <v>11905</v>
      </c>
      <c r="D61" s="1365">
        <v>3238</v>
      </c>
      <c r="E61" s="1938">
        <v>399</v>
      </c>
      <c r="F61" s="1365">
        <v>27481</v>
      </c>
      <c r="G61" s="73">
        <v>95704</v>
      </c>
      <c r="H61" s="1946">
        <f t="shared" si="0"/>
        <v>123185</v>
      </c>
      <c r="I61" s="73">
        <v>1875</v>
      </c>
      <c r="J61" s="1950">
        <v>8420</v>
      </c>
      <c r="K61" s="73">
        <v>84749</v>
      </c>
      <c r="L61" s="573">
        <v>14594</v>
      </c>
      <c r="M61" s="1941">
        <v>0</v>
      </c>
      <c r="N61" s="163">
        <v>112228</v>
      </c>
      <c r="P61" s="414"/>
      <c r="Q61" s="414"/>
    </row>
    <row r="62" spans="1:17">
      <c r="A62" s="85">
        <v>1997.05</v>
      </c>
      <c r="B62" s="50">
        <v>154939</v>
      </c>
      <c r="C62" s="1675">
        <v>21444</v>
      </c>
      <c r="D62" s="1365">
        <v>3405</v>
      </c>
      <c r="E62" s="1938">
        <v>524</v>
      </c>
      <c r="F62" s="1365">
        <v>20309</v>
      </c>
      <c r="G62" s="73">
        <v>98715</v>
      </c>
      <c r="H62" s="1946">
        <f t="shared" si="0"/>
        <v>119024</v>
      </c>
      <c r="I62" s="73">
        <v>2579</v>
      </c>
      <c r="J62" s="1950">
        <v>7963</v>
      </c>
      <c r="K62" s="73">
        <v>87996</v>
      </c>
      <c r="L62" s="573">
        <v>14649</v>
      </c>
      <c r="M62" s="1941">
        <v>0</v>
      </c>
      <c r="N62" s="163">
        <v>108304</v>
      </c>
      <c r="P62" s="414"/>
      <c r="Q62" s="414"/>
    </row>
    <row r="63" spans="1:17">
      <c r="A63" s="85">
        <v>1997.06</v>
      </c>
      <c r="B63" s="50">
        <v>165533</v>
      </c>
      <c r="C63" s="1675">
        <v>39608</v>
      </c>
      <c r="D63" s="1365">
        <v>5102</v>
      </c>
      <c r="E63" s="1938">
        <v>1107</v>
      </c>
      <c r="F63" s="1365">
        <v>6119</v>
      </c>
      <c r="G63" s="73">
        <v>100922</v>
      </c>
      <c r="H63" s="1946">
        <f t="shared" si="0"/>
        <v>107041</v>
      </c>
      <c r="I63" s="73">
        <v>4545</v>
      </c>
      <c r="J63" s="1950">
        <v>8130</v>
      </c>
      <c r="K63" s="73">
        <v>90540</v>
      </c>
      <c r="L63" s="573">
        <v>16595</v>
      </c>
      <c r="M63" s="1941">
        <v>0</v>
      </c>
      <c r="N63" s="163">
        <v>96655</v>
      </c>
      <c r="P63" s="414"/>
      <c r="Q63" s="414"/>
    </row>
    <row r="64" spans="1:17">
      <c r="A64" s="85">
        <v>1997.07</v>
      </c>
      <c r="B64" s="50">
        <v>159170</v>
      </c>
      <c r="C64" s="1675">
        <v>38144</v>
      </c>
      <c r="D64" s="1365">
        <v>5879</v>
      </c>
      <c r="E64" s="1938">
        <v>1420</v>
      </c>
      <c r="F64" s="1365">
        <v>688</v>
      </c>
      <c r="G64" s="73">
        <v>99394</v>
      </c>
      <c r="H64" s="1946">
        <f t="shared" si="0"/>
        <v>100082</v>
      </c>
      <c r="I64" s="73">
        <v>5370</v>
      </c>
      <c r="J64" s="1950">
        <v>8275</v>
      </c>
      <c r="K64" s="73">
        <v>89124</v>
      </c>
      <c r="L64" s="573">
        <v>18400</v>
      </c>
      <c r="M64" s="1941">
        <v>0</v>
      </c>
      <c r="N64" s="163">
        <v>88981</v>
      </c>
      <c r="P64" s="414"/>
      <c r="Q64" s="414"/>
    </row>
    <row r="65" spans="1:17">
      <c r="A65" s="85">
        <v>1997.08</v>
      </c>
      <c r="B65" s="50">
        <v>150258</v>
      </c>
      <c r="C65" s="1675">
        <v>32925</v>
      </c>
      <c r="D65" s="1365">
        <v>5162</v>
      </c>
      <c r="E65" s="1938">
        <v>1032</v>
      </c>
      <c r="F65" s="1365">
        <v>7314</v>
      </c>
      <c r="G65" s="73">
        <v>90999</v>
      </c>
      <c r="H65" s="1946">
        <f t="shared" si="0"/>
        <v>98313</v>
      </c>
      <c r="I65" s="73">
        <v>4447</v>
      </c>
      <c r="J65" s="1950">
        <v>8379</v>
      </c>
      <c r="K65" s="73">
        <v>80331</v>
      </c>
      <c r="L65" s="573">
        <v>16868</v>
      </c>
      <c r="M65" s="1941">
        <v>0</v>
      </c>
      <c r="N65" s="163">
        <v>87639</v>
      </c>
      <c r="P65" s="414"/>
      <c r="Q65" s="414"/>
    </row>
    <row r="66" spans="1:17">
      <c r="A66" s="85">
        <v>1997.09</v>
      </c>
      <c r="B66" s="50">
        <v>151245</v>
      </c>
      <c r="C66" s="1675">
        <v>21826</v>
      </c>
      <c r="D66" s="1365">
        <v>4418</v>
      </c>
      <c r="E66" s="1938">
        <v>788</v>
      </c>
      <c r="F66" s="1365">
        <v>11561</v>
      </c>
      <c r="G66" s="73">
        <v>101574</v>
      </c>
      <c r="H66" s="1946">
        <f t="shared" si="0"/>
        <v>113135</v>
      </c>
      <c r="I66" s="73">
        <v>2644</v>
      </c>
      <c r="J66" s="1950">
        <v>8434</v>
      </c>
      <c r="K66" s="73">
        <v>90750</v>
      </c>
      <c r="L66" s="573">
        <v>16034</v>
      </c>
      <c r="M66" s="1941">
        <v>0</v>
      </c>
      <c r="N66" s="163">
        <v>102307</v>
      </c>
      <c r="P66" s="414"/>
      <c r="Q66" s="414"/>
    </row>
    <row r="67" spans="1:17">
      <c r="A67" s="85">
        <v>1997.1</v>
      </c>
      <c r="B67" s="50">
        <v>155702</v>
      </c>
      <c r="C67" s="1675">
        <v>14206</v>
      </c>
      <c r="D67" s="1365">
        <v>3569</v>
      </c>
      <c r="E67" s="1938">
        <v>536</v>
      </c>
      <c r="F67" s="1365">
        <v>15352</v>
      </c>
      <c r="G67" s="73">
        <v>111098</v>
      </c>
      <c r="H67" s="1946">
        <f t="shared" si="0"/>
        <v>126450</v>
      </c>
      <c r="I67" s="73">
        <v>1929</v>
      </c>
      <c r="J67" s="1950">
        <v>9012</v>
      </c>
      <c r="K67" s="73">
        <v>100415</v>
      </c>
      <c r="L67" s="573">
        <v>14791</v>
      </c>
      <c r="M67" s="1941">
        <v>0</v>
      </c>
      <c r="N67" s="163">
        <v>115764</v>
      </c>
      <c r="P67" s="414"/>
      <c r="Q67" s="414"/>
    </row>
    <row r="68" spans="1:17">
      <c r="A68" s="85">
        <v>1997.11</v>
      </c>
      <c r="B68" s="50">
        <v>145514</v>
      </c>
      <c r="C68" s="1675">
        <v>10455</v>
      </c>
      <c r="D68" s="1365">
        <v>3494</v>
      </c>
      <c r="E68" s="1938">
        <v>438</v>
      </c>
      <c r="F68" s="1365">
        <v>20167</v>
      </c>
      <c r="G68" s="73">
        <v>101259</v>
      </c>
      <c r="H68" s="1946">
        <f t="shared" si="0"/>
        <v>121426</v>
      </c>
      <c r="I68" s="73">
        <v>1543</v>
      </c>
      <c r="J68" s="1950">
        <v>8158</v>
      </c>
      <c r="K68" s="73">
        <v>92161</v>
      </c>
      <c r="L68" s="573">
        <v>13039</v>
      </c>
      <c r="M68" s="1941">
        <v>0</v>
      </c>
      <c r="N68" s="163">
        <v>112319</v>
      </c>
      <c r="P68" s="414"/>
      <c r="Q68" s="414"/>
    </row>
    <row r="69" spans="1:17">
      <c r="A69" s="85">
        <v>1997.12</v>
      </c>
      <c r="B69" s="50">
        <v>143071</v>
      </c>
      <c r="C69" s="1675">
        <v>11570</v>
      </c>
      <c r="D69" s="1365">
        <v>3194</v>
      </c>
      <c r="E69" s="1938">
        <v>344</v>
      </c>
      <c r="F69" s="1365">
        <v>18289</v>
      </c>
      <c r="G69" s="73">
        <v>98931</v>
      </c>
      <c r="H69" s="1946">
        <f t="shared" si="0"/>
        <v>117220</v>
      </c>
      <c r="I69" s="73">
        <v>1356</v>
      </c>
      <c r="J69" s="1950">
        <v>9387</v>
      </c>
      <c r="K69" s="73">
        <v>89798</v>
      </c>
      <c r="L69" s="573">
        <v>12674</v>
      </c>
      <c r="M69" s="1941">
        <v>0</v>
      </c>
      <c r="N69" s="163">
        <v>108084</v>
      </c>
      <c r="P69" s="414"/>
      <c r="Q69" s="414"/>
    </row>
    <row r="70" spans="1:17">
      <c r="A70" s="85">
        <v>1998.01</v>
      </c>
      <c r="B70" s="50">
        <v>139475</v>
      </c>
      <c r="C70" s="1675">
        <v>9277</v>
      </c>
      <c r="D70" s="1365">
        <v>2702</v>
      </c>
      <c r="E70" s="1938">
        <v>298</v>
      </c>
      <c r="F70" s="1365">
        <v>18401</v>
      </c>
      <c r="G70" s="73">
        <v>99058</v>
      </c>
      <c r="H70" s="1946">
        <f t="shared" si="0"/>
        <v>117459</v>
      </c>
      <c r="I70" s="73">
        <v>1275</v>
      </c>
      <c r="J70" s="1950">
        <v>8464</v>
      </c>
      <c r="K70" s="73">
        <v>91071</v>
      </c>
      <c r="L70" s="573">
        <v>10989</v>
      </c>
      <c r="M70" s="1941">
        <v>0</v>
      </c>
      <c r="N70" s="163">
        <v>109470</v>
      </c>
      <c r="P70" s="414"/>
      <c r="Q70" s="414"/>
    </row>
    <row r="71" spans="1:17">
      <c r="A71" s="85">
        <v>1998.02</v>
      </c>
      <c r="B71" s="50">
        <v>122423</v>
      </c>
      <c r="C71" s="1675">
        <v>8372</v>
      </c>
      <c r="D71" s="1365">
        <v>2760</v>
      </c>
      <c r="E71" s="1938">
        <v>310</v>
      </c>
      <c r="F71" s="1365">
        <v>15654</v>
      </c>
      <c r="G71" s="73">
        <v>86395</v>
      </c>
      <c r="H71" s="1946">
        <f t="shared" si="0"/>
        <v>102049</v>
      </c>
      <c r="I71" s="73">
        <v>1246</v>
      </c>
      <c r="J71" s="1950">
        <v>7686</v>
      </c>
      <c r="K71" s="73">
        <v>78303</v>
      </c>
      <c r="L71" s="573">
        <v>11161</v>
      </c>
      <c r="M71" s="1941">
        <v>0</v>
      </c>
      <c r="N71" s="163">
        <v>93958</v>
      </c>
      <c r="P71" s="414"/>
      <c r="Q71" s="414"/>
    </row>
    <row r="72" spans="1:17">
      <c r="A72" s="85">
        <v>1998.03</v>
      </c>
      <c r="B72" s="50">
        <v>143907</v>
      </c>
      <c r="C72" s="1675">
        <v>10866</v>
      </c>
      <c r="D72" s="1365">
        <v>4306</v>
      </c>
      <c r="E72" s="1938">
        <v>356</v>
      </c>
      <c r="F72" s="1365">
        <v>13423</v>
      </c>
      <c r="G72" s="73">
        <v>103874</v>
      </c>
      <c r="H72" s="1946">
        <f t="shared" si="0"/>
        <v>117297</v>
      </c>
      <c r="I72" s="73">
        <v>2265</v>
      </c>
      <c r="J72" s="1950">
        <v>8817</v>
      </c>
      <c r="K72" s="73">
        <v>92450</v>
      </c>
      <c r="L72" s="573">
        <v>16090</v>
      </c>
      <c r="M72" s="1941">
        <v>0</v>
      </c>
      <c r="N72" s="163">
        <v>105869</v>
      </c>
      <c r="P72" s="414"/>
      <c r="Q72" s="414"/>
    </row>
    <row r="73" spans="1:17">
      <c r="A73" s="85">
        <v>1998.04</v>
      </c>
      <c r="B73" s="50">
        <v>140611</v>
      </c>
      <c r="C73" s="1675">
        <v>12899</v>
      </c>
      <c r="D73" s="1365">
        <v>4231</v>
      </c>
      <c r="E73" s="1938">
        <v>410</v>
      </c>
      <c r="F73" s="1365">
        <v>1097</v>
      </c>
      <c r="G73" s="73">
        <v>110047</v>
      </c>
      <c r="H73" s="1946">
        <f t="shared" si="0"/>
        <v>111144</v>
      </c>
      <c r="I73" s="73">
        <v>2702</v>
      </c>
      <c r="J73" s="1950">
        <v>9225</v>
      </c>
      <c r="K73" s="73">
        <v>100215</v>
      </c>
      <c r="L73" s="573">
        <v>14480</v>
      </c>
      <c r="M73" s="1941">
        <v>0</v>
      </c>
      <c r="N73" s="163">
        <v>101305</v>
      </c>
      <c r="P73" s="414"/>
      <c r="Q73" s="414"/>
    </row>
    <row r="74" spans="1:17">
      <c r="A74" s="85">
        <v>1998.05</v>
      </c>
      <c r="B74" s="50">
        <v>175519</v>
      </c>
      <c r="C74" s="1675">
        <v>24391</v>
      </c>
      <c r="D74" s="1365">
        <v>4901</v>
      </c>
      <c r="E74" s="1938">
        <v>573</v>
      </c>
      <c r="F74" s="1365">
        <v>13946</v>
      </c>
      <c r="G74" s="73">
        <v>118739</v>
      </c>
      <c r="H74" s="1946">
        <f t="shared" si="0"/>
        <v>132685</v>
      </c>
      <c r="I74" s="73">
        <v>4145</v>
      </c>
      <c r="J74" s="1950">
        <v>8824</v>
      </c>
      <c r="K74" s="73">
        <v>108881</v>
      </c>
      <c r="L74" s="573">
        <v>15336</v>
      </c>
      <c r="M74" s="1941">
        <v>0</v>
      </c>
      <c r="N74" s="163">
        <v>122823</v>
      </c>
      <c r="P74" s="414"/>
      <c r="Q74" s="414"/>
    </row>
    <row r="75" spans="1:17">
      <c r="A75" s="85">
        <v>1998.06</v>
      </c>
      <c r="B75" s="50">
        <v>185579</v>
      </c>
      <c r="C75" s="1675">
        <v>36131</v>
      </c>
      <c r="D75" s="1365">
        <v>6130</v>
      </c>
      <c r="E75" s="1938">
        <v>972</v>
      </c>
      <c r="F75" s="1365">
        <v>11359</v>
      </c>
      <c r="G75" s="73">
        <v>115433</v>
      </c>
      <c r="H75" s="1946">
        <f t="shared" si="0"/>
        <v>126792</v>
      </c>
      <c r="I75" s="73">
        <v>6160</v>
      </c>
      <c r="J75" s="1950">
        <v>9394</v>
      </c>
      <c r="K75" s="73">
        <v>105226</v>
      </c>
      <c r="L75" s="573">
        <v>17313</v>
      </c>
      <c r="M75" s="1941">
        <v>0</v>
      </c>
      <c r="N75" s="163">
        <v>116581</v>
      </c>
      <c r="P75" s="414"/>
      <c r="Q75" s="414"/>
    </row>
    <row r="76" spans="1:17">
      <c r="A76" s="85">
        <v>1998.07</v>
      </c>
      <c r="B76" s="50">
        <v>189764</v>
      </c>
      <c r="C76" s="1675">
        <v>36461</v>
      </c>
      <c r="D76" s="1365">
        <v>5531</v>
      </c>
      <c r="E76" s="1938">
        <v>998</v>
      </c>
      <c r="F76" s="1365">
        <v>15814</v>
      </c>
      <c r="G76" s="73">
        <v>115999</v>
      </c>
      <c r="H76" s="1946">
        <f t="shared" ref="H76:H139" si="1">F76+G76</f>
        <v>131813</v>
      </c>
      <c r="I76" s="73">
        <v>5403</v>
      </c>
      <c r="J76" s="1950">
        <v>9558</v>
      </c>
      <c r="K76" s="73">
        <v>106942</v>
      </c>
      <c r="L76" s="573">
        <v>15716</v>
      </c>
      <c r="M76" s="1941">
        <v>0</v>
      </c>
      <c r="N76" s="163">
        <v>122626</v>
      </c>
      <c r="P76" s="414"/>
      <c r="Q76" s="414"/>
    </row>
    <row r="77" spans="1:17">
      <c r="A77" s="85">
        <v>1998.08</v>
      </c>
      <c r="B77" s="50">
        <v>187387</v>
      </c>
      <c r="C77" s="1675">
        <v>34044</v>
      </c>
      <c r="D77" s="1365">
        <v>6150</v>
      </c>
      <c r="E77" s="1938">
        <v>1101</v>
      </c>
      <c r="F77" s="1365">
        <v>13787</v>
      </c>
      <c r="G77" s="73">
        <v>117192</v>
      </c>
      <c r="H77" s="1946">
        <f t="shared" si="1"/>
        <v>130979</v>
      </c>
      <c r="I77" s="73">
        <v>5347</v>
      </c>
      <c r="J77" s="1950">
        <v>9766</v>
      </c>
      <c r="K77" s="73">
        <v>107524</v>
      </c>
      <c r="L77" s="573">
        <v>16842</v>
      </c>
      <c r="M77" s="1941">
        <v>0</v>
      </c>
      <c r="N77" s="163">
        <v>121388</v>
      </c>
      <c r="P77" s="414"/>
      <c r="Q77" s="414"/>
    </row>
    <row r="78" spans="1:17">
      <c r="A78" s="85">
        <v>1998.09</v>
      </c>
      <c r="B78" s="50">
        <v>181071</v>
      </c>
      <c r="C78" s="1675">
        <v>28484</v>
      </c>
      <c r="D78" s="1365">
        <v>4696</v>
      </c>
      <c r="E78" s="1938">
        <v>811</v>
      </c>
      <c r="F78" s="1365">
        <v>17664</v>
      </c>
      <c r="G78" s="73">
        <v>115162</v>
      </c>
      <c r="H78" s="1946">
        <f t="shared" si="1"/>
        <v>132826</v>
      </c>
      <c r="I78" s="73">
        <v>4030</v>
      </c>
      <c r="J78" s="1950">
        <v>10224</v>
      </c>
      <c r="K78" s="73">
        <v>105919</v>
      </c>
      <c r="L78" s="573">
        <v>14755</v>
      </c>
      <c r="M78" s="1941">
        <v>0</v>
      </c>
      <c r="N78" s="163">
        <v>123578</v>
      </c>
      <c r="P78" s="414"/>
      <c r="Q78" s="414"/>
    </row>
    <row r="79" spans="1:17">
      <c r="A79" s="85">
        <v>1998.1</v>
      </c>
      <c r="B79" s="50">
        <v>147925</v>
      </c>
      <c r="C79" s="1675">
        <v>14470</v>
      </c>
      <c r="D79" s="1365">
        <v>3838</v>
      </c>
      <c r="E79" s="1938">
        <v>524</v>
      </c>
      <c r="F79" s="1365">
        <v>3360</v>
      </c>
      <c r="G79" s="73">
        <v>114088</v>
      </c>
      <c r="H79" s="1946">
        <f t="shared" si="1"/>
        <v>117448</v>
      </c>
      <c r="I79" s="73">
        <v>2126</v>
      </c>
      <c r="J79" s="1950">
        <v>9519</v>
      </c>
      <c r="K79" s="73">
        <v>105707</v>
      </c>
      <c r="L79" s="573">
        <v>12769</v>
      </c>
      <c r="M79" s="1941">
        <v>0</v>
      </c>
      <c r="N79" s="163">
        <v>109041</v>
      </c>
      <c r="P79" s="414"/>
      <c r="Q79" s="414"/>
    </row>
    <row r="80" spans="1:17">
      <c r="A80" s="85">
        <v>1998.11</v>
      </c>
      <c r="B80" s="50">
        <v>140179</v>
      </c>
      <c r="C80" s="1675">
        <v>12397</v>
      </c>
      <c r="D80" s="1365">
        <v>3239</v>
      </c>
      <c r="E80" s="1938">
        <v>393</v>
      </c>
      <c r="F80" s="1365">
        <v>2679</v>
      </c>
      <c r="G80" s="73">
        <v>110133</v>
      </c>
      <c r="H80" s="1946">
        <f t="shared" si="1"/>
        <v>112812</v>
      </c>
      <c r="I80" s="73">
        <v>1763</v>
      </c>
      <c r="J80" s="1950">
        <v>9575</v>
      </c>
      <c r="K80" s="73">
        <v>101645</v>
      </c>
      <c r="L80" s="573">
        <v>12146</v>
      </c>
      <c r="M80" s="1941">
        <v>0</v>
      </c>
      <c r="N80" s="163">
        <v>104298</v>
      </c>
      <c r="P80" s="414"/>
      <c r="Q80" s="414"/>
    </row>
    <row r="81" spans="1:17">
      <c r="A81" s="85">
        <v>1998.12</v>
      </c>
      <c r="B81" s="50">
        <v>145173</v>
      </c>
      <c r="C81" s="1675">
        <v>13522</v>
      </c>
      <c r="D81" s="1365">
        <v>3428</v>
      </c>
      <c r="E81" s="1938">
        <v>346</v>
      </c>
      <c r="F81" s="1365">
        <v>29137</v>
      </c>
      <c r="G81" s="73">
        <v>87231</v>
      </c>
      <c r="H81" s="1946">
        <f t="shared" si="1"/>
        <v>116368</v>
      </c>
      <c r="I81" s="73">
        <v>1534</v>
      </c>
      <c r="J81" s="1950">
        <v>9975</v>
      </c>
      <c r="K81" s="73">
        <v>79464</v>
      </c>
      <c r="L81" s="573">
        <v>11726</v>
      </c>
      <c r="M81" s="1941">
        <v>0</v>
      </c>
      <c r="N81" s="163">
        <v>108416</v>
      </c>
      <c r="P81" s="414"/>
      <c r="Q81" s="414"/>
    </row>
    <row r="82" spans="1:17">
      <c r="A82" s="85">
        <v>1999.01</v>
      </c>
      <c r="B82" s="50">
        <v>122978</v>
      </c>
      <c r="C82" s="1675">
        <v>9675</v>
      </c>
      <c r="D82" s="1365">
        <v>2745</v>
      </c>
      <c r="E82" s="1938">
        <v>234</v>
      </c>
      <c r="F82" s="1365">
        <v>27237</v>
      </c>
      <c r="G82" s="73">
        <v>72784</v>
      </c>
      <c r="H82" s="1946">
        <f t="shared" si="1"/>
        <v>100021</v>
      </c>
      <c r="I82" s="73">
        <v>1170</v>
      </c>
      <c r="J82" s="1950">
        <v>9133</v>
      </c>
      <c r="K82" s="73">
        <v>65742</v>
      </c>
      <c r="L82" s="573">
        <v>10020</v>
      </c>
      <c r="M82" s="1941">
        <v>0</v>
      </c>
      <c r="N82" s="163">
        <v>92980</v>
      </c>
      <c r="P82" s="414"/>
      <c r="Q82" s="414"/>
    </row>
    <row r="83" spans="1:17">
      <c r="A83" s="85">
        <v>1999.02</v>
      </c>
      <c r="B83" s="50">
        <v>107081</v>
      </c>
      <c r="C83" s="1675">
        <v>8850</v>
      </c>
      <c r="D83" s="1365">
        <v>2916</v>
      </c>
      <c r="E83" s="1938">
        <v>279</v>
      </c>
      <c r="F83" s="1365">
        <v>22310</v>
      </c>
      <c r="G83" s="73">
        <v>62875</v>
      </c>
      <c r="H83" s="1946">
        <f t="shared" si="1"/>
        <v>85185</v>
      </c>
      <c r="I83" s="73">
        <v>1340</v>
      </c>
      <c r="J83" s="1950">
        <v>8511</v>
      </c>
      <c r="K83" s="73">
        <v>55515</v>
      </c>
      <c r="L83" s="573">
        <v>10555</v>
      </c>
      <c r="M83" s="1941">
        <v>0</v>
      </c>
      <c r="N83" s="163">
        <v>77825</v>
      </c>
      <c r="P83" s="414"/>
      <c r="Q83" s="414"/>
    </row>
    <row r="84" spans="1:17">
      <c r="A84" s="85">
        <v>1999.03</v>
      </c>
      <c r="B84" s="50">
        <v>134391</v>
      </c>
      <c r="C84" s="1675">
        <v>11205</v>
      </c>
      <c r="D84" s="1365">
        <v>3553</v>
      </c>
      <c r="E84" s="1938">
        <v>269</v>
      </c>
      <c r="F84" s="1365">
        <v>28026</v>
      </c>
      <c r="G84" s="73">
        <v>79786</v>
      </c>
      <c r="H84" s="1946">
        <f t="shared" si="1"/>
        <v>107812</v>
      </c>
      <c r="I84" s="73">
        <v>1795</v>
      </c>
      <c r="J84" s="1950">
        <v>9757</v>
      </c>
      <c r="K84" s="73">
        <v>70723</v>
      </c>
      <c r="L84" s="573">
        <v>12886</v>
      </c>
      <c r="M84" s="1941">
        <v>0</v>
      </c>
      <c r="N84" s="163">
        <v>98748</v>
      </c>
      <c r="P84" s="414"/>
      <c r="Q84" s="414"/>
    </row>
    <row r="85" spans="1:17">
      <c r="A85" s="85">
        <v>1999.04</v>
      </c>
      <c r="B85" s="50">
        <v>161333</v>
      </c>
      <c r="C85" s="1675">
        <v>19739</v>
      </c>
      <c r="D85" s="1365">
        <v>4354</v>
      </c>
      <c r="E85" s="1938">
        <v>405</v>
      </c>
      <c r="F85" s="1365">
        <v>17622</v>
      </c>
      <c r="G85" s="73">
        <v>106130</v>
      </c>
      <c r="H85" s="1946">
        <f t="shared" si="1"/>
        <v>123752</v>
      </c>
      <c r="I85" s="73">
        <v>3177</v>
      </c>
      <c r="J85" s="1950">
        <v>9906</v>
      </c>
      <c r="K85" s="73">
        <v>97011</v>
      </c>
      <c r="L85" s="573">
        <v>13879</v>
      </c>
      <c r="M85" s="1941">
        <v>0</v>
      </c>
      <c r="N85" s="163">
        <v>114632</v>
      </c>
      <c r="P85" s="414"/>
      <c r="Q85" s="414"/>
    </row>
    <row r="86" spans="1:17">
      <c r="A86" s="85">
        <v>1999.05</v>
      </c>
      <c r="B86" s="50">
        <v>171461</v>
      </c>
      <c r="C86" s="1675">
        <v>29466</v>
      </c>
      <c r="D86" s="1365">
        <v>5271</v>
      </c>
      <c r="E86" s="1938">
        <v>756</v>
      </c>
      <c r="F86" s="1365">
        <v>11395</v>
      </c>
      <c r="G86" s="73">
        <v>110891</v>
      </c>
      <c r="H86" s="1946">
        <f t="shared" si="1"/>
        <v>122286</v>
      </c>
      <c r="I86" s="73">
        <v>4100</v>
      </c>
      <c r="J86" s="1950">
        <v>9582</v>
      </c>
      <c r="K86" s="73">
        <v>102214</v>
      </c>
      <c r="L86" s="573">
        <v>14705</v>
      </c>
      <c r="M86" s="1941">
        <v>0</v>
      </c>
      <c r="N86" s="163">
        <v>113608</v>
      </c>
      <c r="P86" s="414"/>
      <c r="Q86" s="414"/>
    </row>
    <row r="87" spans="1:17">
      <c r="A87" s="85">
        <v>1999.06</v>
      </c>
      <c r="B87" s="50">
        <v>172633</v>
      </c>
      <c r="C87" s="1675">
        <v>42692</v>
      </c>
      <c r="D87" s="1365">
        <v>6367</v>
      </c>
      <c r="E87" s="1938">
        <v>1230</v>
      </c>
      <c r="F87" s="1365">
        <v>7827</v>
      </c>
      <c r="G87" s="73">
        <v>97087</v>
      </c>
      <c r="H87" s="1946">
        <f t="shared" si="1"/>
        <v>104914</v>
      </c>
      <c r="I87" s="73">
        <v>7079</v>
      </c>
      <c r="J87" s="1950">
        <v>10351</v>
      </c>
      <c r="K87" s="73">
        <v>87921</v>
      </c>
      <c r="L87" s="573">
        <v>16765</v>
      </c>
      <c r="M87" s="1941">
        <v>0</v>
      </c>
      <c r="N87" s="163">
        <v>95746</v>
      </c>
      <c r="P87" s="414"/>
      <c r="Q87" s="414"/>
    </row>
    <row r="88" spans="1:17">
      <c r="A88" s="85">
        <v>1999.07</v>
      </c>
      <c r="B88" s="50">
        <v>183101</v>
      </c>
      <c r="C88" s="1675">
        <v>48420</v>
      </c>
      <c r="D88" s="1365">
        <v>7116</v>
      </c>
      <c r="E88" s="1938">
        <v>1329</v>
      </c>
      <c r="F88" s="1365">
        <v>8655</v>
      </c>
      <c r="G88" s="73">
        <v>100013</v>
      </c>
      <c r="H88" s="1946">
        <f t="shared" si="1"/>
        <v>108668</v>
      </c>
      <c r="I88" s="73">
        <v>7594</v>
      </c>
      <c r="J88" s="1950">
        <v>9974</v>
      </c>
      <c r="K88" s="73">
        <v>91948</v>
      </c>
      <c r="L88" s="573">
        <v>16518</v>
      </c>
      <c r="M88" s="1941">
        <v>0</v>
      </c>
      <c r="N88" s="163">
        <v>100595</v>
      </c>
      <c r="P88" s="414"/>
      <c r="Q88" s="414"/>
    </row>
    <row r="89" spans="1:17">
      <c r="A89" s="85">
        <v>1999.08</v>
      </c>
      <c r="B89" s="50">
        <v>180337</v>
      </c>
      <c r="C89" s="1675">
        <v>39833</v>
      </c>
      <c r="D89" s="1365">
        <v>7557</v>
      </c>
      <c r="E89" s="1938">
        <v>1204</v>
      </c>
      <c r="F89" s="1365">
        <v>8348</v>
      </c>
      <c r="G89" s="73">
        <v>107395</v>
      </c>
      <c r="H89" s="1946">
        <f t="shared" si="1"/>
        <v>115743</v>
      </c>
      <c r="I89" s="73">
        <v>6085</v>
      </c>
      <c r="J89" s="1950">
        <v>9915</v>
      </c>
      <c r="K89" s="73">
        <v>98161</v>
      </c>
      <c r="L89" s="573">
        <v>18104</v>
      </c>
      <c r="M89" s="1941">
        <v>0</v>
      </c>
      <c r="N89" s="163">
        <v>106400</v>
      </c>
      <c r="P89" s="414"/>
      <c r="Q89" s="414"/>
    </row>
    <row r="90" spans="1:17">
      <c r="A90" s="85">
        <v>1999.09</v>
      </c>
      <c r="B90" s="50">
        <v>162180</v>
      </c>
      <c r="C90" s="1675">
        <v>20426</v>
      </c>
      <c r="D90" s="1365">
        <v>4313</v>
      </c>
      <c r="E90" s="1938">
        <v>795</v>
      </c>
      <c r="F90" s="1365">
        <v>13988</v>
      </c>
      <c r="G90" s="73">
        <v>109224</v>
      </c>
      <c r="H90" s="1946">
        <f t="shared" si="1"/>
        <v>123212</v>
      </c>
      <c r="I90" s="73">
        <v>3182</v>
      </c>
      <c r="J90" s="1950">
        <v>10252</v>
      </c>
      <c r="K90" s="73">
        <v>101158</v>
      </c>
      <c r="L90" s="573">
        <v>13268</v>
      </c>
      <c r="M90" s="1941">
        <v>0</v>
      </c>
      <c r="N90" s="163">
        <v>115052</v>
      </c>
      <c r="P90" s="414"/>
      <c r="Q90" s="414"/>
    </row>
    <row r="91" spans="1:17">
      <c r="A91" s="85">
        <v>1999.1</v>
      </c>
      <c r="B91" s="50">
        <v>164237</v>
      </c>
      <c r="C91" s="1675">
        <v>15156</v>
      </c>
      <c r="D91" s="1365">
        <v>3633</v>
      </c>
      <c r="E91" s="1938">
        <v>567</v>
      </c>
      <c r="F91" s="1365">
        <v>22156</v>
      </c>
      <c r="G91" s="73">
        <v>110256</v>
      </c>
      <c r="H91" s="1946">
        <f t="shared" si="1"/>
        <v>132412</v>
      </c>
      <c r="I91" s="73">
        <v>2470</v>
      </c>
      <c r="J91" s="1950">
        <v>9999</v>
      </c>
      <c r="K91" s="73">
        <v>89116</v>
      </c>
      <c r="L91" s="573">
        <v>12205</v>
      </c>
      <c r="M91" s="1941">
        <v>0</v>
      </c>
      <c r="N91" s="163">
        <v>124407</v>
      </c>
      <c r="P91" s="414"/>
      <c r="Q91" s="414"/>
    </row>
    <row r="92" spans="1:17">
      <c r="A92" s="85">
        <v>1999.11</v>
      </c>
      <c r="B92" s="50">
        <v>162889</v>
      </c>
      <c r="C92" s="1675">
        <v>14960</v>
      </c>
      <c r="D92" s="1365">
        <v>3446</v>
      </c>
      <c r="E92" s="1938">
        <v>404</v>
      </c>
      <c r="F92" s="1365">
        <v>24758</v>
      </c>
      <c r="G92" s="73">
        <v>107446</v>
      </c>
      <c r="H92" s="1946">
        <f t="shared" si="1"/>
        <v>132204</v>
      </c>
      <c r="I92" s="73">
        <v>1843</v>
      </c>
      <c r="J92" s="1950">
        <v>10032</v>
      </c>
      <c r="K92" s="73">
        <v>99161</v>
      </c>
      <c r="L92" s="573">
        <v>12143</v>
      </c>
      <c r="M92" s="1941">
        <v>0</v>
      </c>
      <c r="N92" s="163">
        <v>123911</v>
      </c>
      <c r="P92" s="414"/>
      <c r="Q92" s="414"/>
    </row>
    <row r="93" spans="1:17">
      <c r="A93" s="85">
        <v>1999.12</v>
      </c>
      <c r="B93" s="50">
        <v>161938</v>
      </c>
      <c r="C93" s="1675">
        <v>16706</v>
      </c>
      <c r="D93" s="1365">
        <v>3529</v>
      </c>
      <c r="E93" s="1938">
        <v>343</v>
      </c>
      <c r="F93" s="1365">
        <v>26016</v>
      </c>
      <c r="G93" s="73">
        <v>103480</v>
      </c>
      <c r="H93" s="1946">
        <f t="shared" si="1"/>
        <v>129496</v>
      </c>
      <c r="I93" s="73">
        <v>1717</v>
      </c>
      <c r="J93" s="1950">
        <v>10147</v>
      </c>
      <c r="K93" s="73">
        <v>96519</v>
      </c>
      <c r="L93" s="573">
        <v>11137</v>
      </c>
      <c r="M93" s="1941">
        <v>0</v>
      </c>
      <c r="N93" s="163">
        <v>122231</v>
      </c>
      <c r="P93" s="414"/>
      <c r="Q93" s="414"/>
    </row>
    <row r="94" spans="1:17">
      <c r="A94" s="85">
        <v>2000.01</v>
      </c>
      <c r="B94" s="50">
        <v>145370</v>
      </c>
      <c r="C94" s="1675">
        <v>9977</v>
      </c>
      <c r="D94" s="1365">
        <v>2771</v>
      </c>
      <c r="E94" s="1938">
        <v>277</v>
      </c>
      <c r="F94" s="1365">
        <v>20956</v>
      </c>
      <c r="G94" s="73">
        <v>100423</v>
      </c>
      <c r="H94" s="1946">
        <f t="shared" si="1"/>
        <v>121379</v>
      </c>
      <c r="I94" s="73">
        <v>1602</v>
      </c>
      <c r="J94" s="1950">
        <v>9364</v>
      </c>
      <c r="K94" s="73">
        <v>94206</v>
      </c>
      <c r="L94" s="573">
        <v>9278</v>
      </c>
      <c r="M94" s="1941">
        <v>0</v>
      </c>
      <c r="N94" s="163">
        <v>115149</v>
      </c>
      <c r="P94" s="414"/>
      <c r="Q94" s="414"/>
    </row>
    <row r="95" spans="1:17">
      <c r="A95" s="85">
        <v>2000.02</v>
      </c>
      <c r="B95" s="50">
        <v>140112</v>
      </c>
      <c r="C95" s="1675">
        <v>9502</v>
      </c>
      <c r="D95" s="1365">
        <v>2929</v>
      </c>
      <c r="E95" s="1938">
        <v>275</v>
      </c>
      <c r="F95" s="1365">
        <v>21273</v>
      </c>
      <c r="G95" s="73">
        <v>94707</v>
      </c>
      <c r="H95" s="1946">
        <f t="shared" si="1"/>
        <v>115980</v>
      </c>
      <c r="I95" s="73">
        <v>2036</v>
      </c>
      <c r="J95" s="1950">
        <v>9390</v>
      </c>
      <c r="K95" s="73">
        <v>87015</v>
      </c>
      <c r="L95" s="573">
        <v>10897</v>
      </c>
      <c r="M95" s="1941">
        <v>0</v>
      </c>
      <c r="N95" s="163">
        <v>108287</v>
      </c>
      <c r="P95" s="414"/>
      <c r="Q95" s="414"/>
    </row>
    <row r="96" spans="1:17">
      <c r="A96" s="85">
        <v>2000.03</v>
      </c>
      <c r="B96" s="50">
        <v>155596</v>
      </c>
      <c r="C96" s="1675">
        <v>11423</v>
      </c>
      <c r="D96" s="1365">
        <v>4293</v>
      </c>
      <c r="E96" s="1938">
        <v>349</v>
      </c>
      <c r="F96" s="1365">
        <v>18842</v>
      </c>
      <c r="G96" s="73">
        <v>107824</v>
      </c>
      <c r="H96" s="1946">
        <f t="shared" si="1"/>
        <v>126666</v>
      </c>
      <c r="I96" s="73">
        <v>2573</v>
      </c>
      <c r="J96" s="1950">
        <v>10292</v>
      </c>
      <c r="K96" s="73">
        <v>98498</v>
      </c>
      <c r="L96" s="573">
        <v>13969</v>
      </c>
      <c r="M96" s="1941">
        <v>0</v>
      </c>
      <c r="N96" s="163">
        <v>117339</v>
      </c>
      <c r="P96" s="414"/>
      <c r="Q96" s="414"/>
    </row>
    <row r="97" spans="1:17">
      <c r="A97" s="85">
        <v>2000.04</v>
      </c>
      <c r="B97" s="50">
        <v>159526</v>
      </c>
      <c r="C97" s="1675">
        <v>15341</v>
      </c>
      <c r="D97" s="1365">
        <v>3956</v>
      </c>
      <c r="E97" s="1938">
        <v>401</v>
      </c>
      <c r="F97" s="1365">
        <v>16482</v>
      </c>
      <c r="G97" s="73">
        <v>110733</v>
      </c>
      <c r="H97" s="1946">
        <f t="shared" si="1"/>
        <v>127215</v>
      </c>
      <c r="I97" s="73">
        <v>2704</v>
      </c>
      <c r="J97" s="1950">
        <v>9909</v>
      </c>
      <c r="K97" s="73">
        <v>115969</v>
      </c>
      <c r="L97" s="573">
        <v>11848</v>
      </c>
      <c r="M97" s="1941">
        <v>0</v>
      </c>
      <c r="N97" s="163">
        <v>119724</v>
      </c>
      <c r="P97" s="414"/>
      <c r="Q97" s="414"/>
    </row>
    <row r="98" spans="1:17">
      <c r="A98" s="85">
        <v>2000.05</v>
      </c>
      <c r="B98" s="50">
        <v>179430</v>
      </c>
      <c r="C98" s="1675">
        <v>34670</v>
      </c>
      <c r="D98" s="1365">
        <v>6164</v>
      </c>
      <c r="E98" s="1938">
        <v>800</v>
      </c>
      <c r="F98" s="1365">
        <v>3498</v>
      </c>
      <c r="G98" s="73">
        <v>117348</v>
      </c>
      <c r="H98" s="1946">
        <f t="shared" si="1"/>
        <v>120846</v>
      </c>
      <c r="I98" s="73">
        <v>5851</v>
      </c>
      <c r="J98" s="1950">
        <v>11099</v>
      </c>
      <c r="K98" s="73">
        <v>108705</v>
      </c>
      <c r="L98" s="573">
        <v>15610</v>
      </c>
      <c r="M98" s="1941">
        <v>0</v>
      </c>
      <c r="N98" s="163">
        <v>112200</v>
      </c>
      <c r="P98" s="414"/>
      <c r="Q98" s="414"/>
    </row>
    <row r="99" spans="1:17">
      <c r="A99" s="85">
        <v>2000.06</v>
      </c>
      <c r="B99" s="50">
        <v>171079</v>
      </c>
      <c r="C99" s="1675">
        <v>41299</v>
      </c>
      <c r="D99" s="1365">
        <v>6224</v>
      </c>
      <c r="E99" s="1938">
        <v>1026</v>
      </c>
      <c r="F99" s="1365">
        <v>2430</v>
      </c>
      <c r="G99" s="73">
        <v>101643</v>
      </c>
      <c r="H99" s="1946">
        <f t="shared" si="1"/>
        <v>104073</v>
      </c>
      <c r="I99" s="73">
        <v>7670</v>
      </c>
      <c r="J99" s="1950">
        <v>10787</v>
      </c>
      <c r="K99" s="73">
        <v>93224</v>
      </c>
      <c r="L99" s="573">
        <v>15824</v>
      </c>
      <c r="M99" s="1941">
        <v>0</v>
      </c>
      <c r="N99" s="163">
        <v>95499</v>
      </c>
      <c r="P99" s="414"/>
      <c r="Q99" s="414"/>
    </row>
    <row r="100" spans="1:17">
      <c r="A100" s="85">
        <v>2000.07</v>
      </c>
      <c r="B100" s="50">
        <v>188813</v>
      </c>
      <c r="C100" s="1675">
        <v>60830</v>
      </c>
      <c r="D100" s="1365">
        <v>7216</v>
      </c>
      <c r="E100" s="1938">
        <v>1435</v>
      </c>
      <c r="F100" s="1365">
        <v>2184</v>
      </c>
      <c r="G100" s="73">
        <v>97089</v>
      </c>
      <c r="H100" s="1946">
        <f t="shared" si="1"/>
        <v>99273</v>
      </c>
      <c r="I100" s="73">
        <v>9244</v>
      </c>
      <c r="J100" s="1950">
        <v>10815</v>
      </c>
      <c r="K100" s="73">
        <v>89092</v>
      </c>
      <c r="L100" s="573">
        <v>16646</v>
      </c>
      <c r="M100" s="1941">
        <v>0</v>
      </c>
      <c r="N100" s="163">
        <v>91278</v>
      </c>
      <c r="P100" s="414"/>
      <c r="Q100" s="414"/>
    </row>
    <row r="101" spans="1:17">
      <c r="A101" s="85">
        <v>2000.08</v>
      </c>
      <c r="B101" s="50">
        <v>182160</v>
      </c>
      <c r="C101" s="1675">
        <v>39177</v>
      </c>
      <c r="D101" s="1365">
        <v>7464</v>
      </c>
      <c r="E101" s="1938">
        <v>1403</v>
      </c>
      <c r="F101" s="1365">
        <v>3177</v>
      </c>
      <c r="G101" s="73">
        <v>112485</v>
      </c>
      <c r="H101" s="1946">
        <f t="shared" si="1"/>
        <v>115662</v>
      </c>
      <c r="I101" s="73">
        <v>6914</v>
      </c>
      <c r="J101" s="1950">
        <v>11540</v>
      </c>
      <c r="K101" s="73">
        <v>104513</v>
      </c>
      <c r="L101" s="573">
        <v>16841</v>
      </c>
      <c r="M101" s="1941">
        <v>0</v>
      </c>
      <c r="N101" s="163">
        <v>107688</v>
      </c>
      <c r="P101" s="414"/>
      <c r="Q101" s="414"/>
    </row>
    <row r="102" spans="1:17">
      <c r="A102" s="85">
        <v>2000.09</v>
      </c>
      <c r="B102" s="50">
        <v>167267</v>
      </c>
      <c r="C102" s="1675">
        <v>28324</v>
      </c>
      <c r="D102" s="1365">
        <v>5462</v>
      </c>
      <c r="E102" s="1938">
        <v>1050</v>
      </c>
      <c r="F102" s="1365">
        <v>4529</v>
      </c>
      <c r="G102" s="73">
        <v>111604</v>
      </c>
      <c r="H102" s="1946">
        <f t="shared" si="1"/>
        <v>116133</v>
      </c>
      <c r="I102" s="73">
        <v>4912</v>
      </c>
      <c r="J102" s="1950">
        <v>11386</v>
      </c>
      <c r="K102" s="73">
        <v>104166</v>
      </c>
      <c r="L102" s="573">
        <v>13952</v>
      </c>
      <c r="M102" s="1941">
        <v>0</v>
      </c>
      <c r="N102" s="163">
        <v>108693</v>
      </c>
      <c r="P102" s="414"/>
      <c r="Q102" s="414"/>
    </row>
    <row r="103" spans="1:17">
      <c r="A103" s="85">
        <v>2000.1</v>
      </c>
      <c r="B103" s="50">
        <v>155199</v>
      </c>
      <c r="C103" s="1675">
        <v>15635</v>
      </c>
      <c r="D103" s="1365">
        <v>4144</v>
      </c>
      <c r="E103" s="1938">
        <v>593</v>
      </c>
      <c r="F103" s="1365">
        <v>8945</v>
      </c>
      <c r="G103" s="73">
        <v>111491</v>
      </c>
      <c r="H103" s="1946">
        <f t="shared" si="1"/>
        <v>120436</v>
      </c>
      <c r="I103" s="73">
        <v>2954</v>
      </c>
      <c r="J103" s="1950">
        <v>11437</v>
      </c>
      <c r="K103" s="73">
        <v>104554</v>
      </c>
      <c r="L103" s="573">
        <v>11676</v>
      </c>
      <c r="M103" s="1941">
        <v>0</v>
      </c>
      <c r="N103" s="163">
        <v>113497</v>
      </c>
      <c r="P103" s="414"/>
      <c r="Q103" s="414"/>
    </row>
    <row r="104" spans="1:17">
      <c r="A104" s="85">
        <v>2000.11</v>
      </c>
      <c r="B104" s="50">
        <v>145987</v>
      </c>
      <c r="C104" s="1675">
        <v>14424</v>
      </c>
      <c r="D104" s="1365">
        <v>4273</v>
      </c>
      <c r="E104" s="1938">
        <v>463</v>
      </c>
      <c r="F104" s="1365">
        <v>2920</v>
      </c>
      <c r="G104" s="73">
        <v>109680</v>
      </c>
      <c r="H104" s="1946">
        <f t="shared" si="1"/>
        <v>112600</v>
      </c>
      <c r="I104" s="73">
        <v>2535</v>
      </c>
      <c r="J104" s="1950">
        <v>11692</v>
      </c>
      <c r="K104" s="73">
        <v>102450</v>
      </c>
      <c r="L104" s="573">
        <v>11969</v>
      </c>
      <c r="M104" s="1941">
        <v>0</v>
      </c>
      <c r="N104" s="163">
        <v>105367</v>
      </c>
      <c r="P104" s="414"/>
      <c r="Q104" s="414"/>
    </row>
    <row r="105" spans="1:17">
      <c r="A105" s="85">
        <v>2000.12</v>
      </c>
      <c r="B105" s="50">
        <v>154640</v>
      </c>
      <c r="C105" s="1675">
        <v>11044</v>
      </c>
      <c r="D105" s="1365">
        <v>3541</v>
      </c>
      <c r="E105" s="1938">
        <v>361</v>
      </c>
      <c r="F105" s="1365">
        <v>22981</v>
      </c>
      <c r="G105" s="73">
        <v>103232</v>
      </c>
      <c r="H105" s="1946">
        <f t="shared" si="1"/>
        <v>126213</v>
      </c>
      <c r="I105" s="73">
        <v>2093</v>
      </c>
      <c r="J105" s="1950">
        <v>11388</v>
      </c>
      <c r="K105" s="73">
        <v>96681</v>
      </c>
      <c r="L105" s="573">
        <v>10455</v>
      </c>
      <c r="M105" s="1941">
        <v>0</v>
      </c>
      <c r="N105" s="163">
        <v>119660</v>
      </c>
      <c r="P105" s="414"/>
      <c r="Q105" s="414"/>
    </row>
    <row r="106" spans="1:17">
      <c r="A106" s="85">
        <v>2001.01</v>
      </c>
      <c r="B106" s="50">
        <v>132758</v>
      </c>
      <c r="C106" s="1675">
        <v>10859</v>
      </c>
      <c r="D106" s="1365">
        <v>3389</v>
      </c>
      <c r="E106" s="1938">
        <v>298</v>
      </c>
      <c r="F106" s="1365">
        <v>8370</v>
      </c>
      <c r="G106" s="73">
        <v>96768</v>
      </c>
      <c r="H106" s="1946">
        <f t="shared" si="1"/>
        <v>105138</v>
      </c>
      <c r="I106" s="73">
        <v>1903</v>
      </c>
      <c r="J106" s="1950">
        <v>11171</v>
      </c>
      <c r="K106" s="73">
        <v>91340</v>
      </c>
      <c r="L106" s="573">
        <v>9589</v>
      </c>
      <c r="M106" s="1941">
        <v>0</v>
      </c>
      <c r="N106" s="163">
        <v>99236</v>
      </c>
      <c r="P106" s="414"/>
      <c r="Q106" s="414"/>
    </row>
    <row r="107" spans="1:17">
      <c r="A107" s="85">
        <v>2001.02</v>
      </c>
      <c r="B107" s="50">
        <v>107873</v>
      </c>
      <c r="C107" s="1675">
        <v>9841</v>
      </c>
      <c r="D107" s="1365">
        <v>3028</v>
      </c>
      <c r="E107" s="1938">
        <v>284</v>
      </c>
      <c r="F107" s="1365">
        <v>4033</v>
      </c>
      <c r="G107" s="73">
        <v>78651</v>
      </c>
      <c r="H107" s="1946">
        <f t="shared" si="1"/>
        <v>82684</v>
      </c>
      <c r="I107" s="73">
        <v>1867</v>
      </c>
      <c r="J107" s="1950">
        <v>10169</v>
      </c>
      <c r="K107" s="73">
        <v>72209</v>
      </c>
      <c r="L107" s="573">
        <v>9753</v>
      </c>
      <c r="M107" s="1941">
        <v>0</v>
      </c>
      <c r="N107" s="163">
        <v>76243</v>
      </c>
      <c r="P107" s="414"/>
      <c r="Q107" s="414"/>
    </row>
    <row r="108" spans="1:17">
      <c r="A108" s="85">
        <v>2001.03</v>
      </c>
      <c r="B108" s="50">
        <v>140781</v>
      </c>
      <c r="C108" s="1675">
        <v>11032</v>
      </c>
      <c r="D108" s="1365">
        <v>4551</v>
      </c>
      <c r="E108" s="1938">
        <v>300</v>
      </c>
      <c r="F108" s="1365">
        <v>10306</v>
      </c>
      <c r="G108" s="73">
        <v>100406</v>
      </c>
      <c r="H108" s="1946">
        <f t="shared" si="1"/>
        <v>110712</v>
      </c>
      <c r="I108" s="73">
        <v>2459</v>
      </c>
      <c r="J108" s="1950">
        <v>11727</v>
      </c>
      <c r="K108" s="73">
        <v>92875</v>
      </c>
      <c r="L108" s="573">
        <v>12384</v>
      </c>
      <c r="M108" s="1941">
        <v>0</v>
      </c>
      <c r="N108" s="163">
        <v>103179</v>
      </c>
      <c r="P108" s="414"/>
      <c r="Q108" s="414"/>
    </row>
    <row r="109" spans="1:17">
      <c r="A109" s="85">
        <v>2001.04</v>
      </c>
      <c r="B109" s="50">
        <v>148492</v>
      </c>
      <c r="C109" s="1675">
        <v>16907</v>
      </c>
      <c r="D109" s="1365">
        <v>4271</v>
      </c>
      <c r="E109" s="1938">
        <v>362</v>
      </c>
      <c r="F109" s="1365">
        <v>1596</v>
      </c>
      <c r="G109" s="73">
        <v>110349</v>
      </c>
      <c r="H109" s="1946">
        <f t="shared" si="1"/>
        <v>111945</v>
      </c>
      <c r="I109" s="73">
        <v>3139</v>
      </c>
      <c r="J109" s="1950">
        <v>11868</v>
      </c>
      <c r="K109" s="73">
        <v>103035</v>
      </c>
      <c r="L109" s="573">
        <v>11950</v>
      </c>
      <c r="M109" s="1941">
        <v>0</v>
      </c>
      <c r="N109" s="163">
        <v>104628</v>
      </c>
      <c r="P109" s="414"/>
      <c r="Q109" s="414"/>
    </row>
    <row r="110" spans="1:17">
      <c r="A110" s="85">
        <v>2001.05</v>
      </c>
      <c r="B110" s="50">
        <v>174970</v>
      </c>
      <c r="C110" s="1675">
        <v>35471</v>
      </c>
      <c r="D110" s="1365">
        <v>7091</v>
      </c>
      <c r="E110" s="1938">
        <v>989</v>
      </c>
      <c r="F110" s="1365">
        <v>374</v>
      </c>
      <c r="G110" s="73">
        <v>112240</v>
      </c>
      <c r="H110" s="1946">
        <f t="shared" si="1"/>
        <v>112614</v>
      </c>
      <c r="I110" s="73">
        <v>6627</v>
      </c>
      <c r="J110" s="1950">
        <v>12178</v>
      </c>
      <c r="K110" s="73">
        <v>104721</v>
      </c>
      <c r="L110" s="573">
        <v>15602</v>
      </c>
      <c r="M110" s="1941">
        <v>0</v>
      </c>
      <c r="N110" s="163">
        <v>105092</v>
      </c>
      <c r="P110" s="414"/>
      <c r="Q110" s="414"/>
    </row>
    <row r="111" spans="1:17">
      <c r="A111" s="85">
        <v>2001.06</v>
      </c>
      <c r="B111" s="50">
        <v>167653</v>
      </c>
      <c r="C111" s="1675">
        <v>37952</v>
      </c>
      <c r="D111" s="1365">
        <v>6236</v>
      </c>
      <c r="E111" s="1938">
        <v>913</v>
      </c>
      <c r="F111" s="1365">
        <v>720</v>
      </c>
      <c r="G111" s="73">
        <v>103148</v>
      </c>
      <c r="H111" s="1946">
        <f t="shared" si="1"/>
        <v>103868</v>
      </c>
      <c r="I111" s="73">
        <v>6799</v>
      </c>
      <c r="J111" s="1950">
        <v>11885</v>
      </c>
      <c r="K111" s="73">
        <v>95959</v>
      </c>
      <c r="L111" s="573">
        <v>14336</v>
      </c>
      <c r="M111" s="1941">
        <v>0</v>
      </c>
      <c r="N111" s="163">
        <v>96681</v>
      </c>
      <c r="P111" s="414"/>
      <c r="Q111" s="414"/>
    </row>
    <row r="112" spans="1:17">
      <c r="A112" s="85">
        <v>2001.07</v>
      </c>
      <c r="B112" s="50">
        <v>184252</v>
      </c>
      <c r="C112" s="1675">
        <v>46223</v>
      </c>
      <c r="D112" s="1365">
        <v>7269</v>
      </c>
      <c r="E112" s="1938">
        <v>1431</v>
      </c>
      <c r="F112" s="1365">
        <v>127</v>
      </c>
      <c r="G112" s="73">
        <v>108607</v>
      </c>
      <c r="H112" s="1946">
        <f t="shared" si="1"/>
        <v>108734</v>
      </c>
      <c r="I112" s="73">
        <v>8014</v>
      </c>
      <c r="J112" s="1950">
        <v>12581</v>
      </c>
      <c r="K112" s="73">
        <v>101222</v>
      </c>
      <c r="L112" s="573">
        <v>16084</v>
      </c>
      <c r="M112" s="1941">
        <v>0</v>
      </c>
      <c r="N112" s="163">
        <v>101350</v>
      </c>
      <c r="P112" s="414"/>
      <c r="Q112" s="414"/>
    </row>
    <row r="113" spans="1:17">
      <c r="A113" s="85">
        <v>2001.08</v>
      </c>
      <c r="B113" s="50">
        <v>166695</v>
      </c>
      <c r="C113" s="1675">
        <v>28285</v>
      </c>
      <c r="D113" s="1365">
        <v>6615</v>
      </c>
      <c r="E113" s="1938">
        <v>1151</v>
      </c>
      <c r="F113" s="1365">
        <v>229</v>
      </c>
      <c r="G113" s="73">
        <v>111053</v>
      </c>
      <c r="H113" s="1946">
        <f t="shared" si="1"/>
        <v>111282</v>
      </c>
      <c r="I113" s="73">
        <v>6090</v>
      </c>
      <c r="J113" s="1950">
        <v>13272</v>
      </c>
      <c r="K113" s="73">
        <v>103708</v>
      </c>
      <c r="L113" s="573">
        <v>15111</v>
      </c>
      <c r="M113" s="1941">
        <v>0</v>
      </c>
      <c r="N113" s="163">
        <v>103937</v>
      </c>
      <c r="P113" s="414"/>
      <c r="Q113" s="414"/>
    </row>
    <row r="114" spans="1:17">
      <c r="A114" s="85">
        <v>2001.09</v>
      </c>
      <c r="B114" s="50">
        <v>135594</v>
      </c>
      <c r="C114" s="1675">
        <v>30085</v>
      </c>
      <c r="D114" s="1365">
        <v>5103</v>
      </c>
      <c r="E114" s="1938">
        <v>891</v>
      </c>
      <c r="F114" s="1365">
        <v>132</v>
      </c>
      <c r="G114" s="73">
        <v>81982</v>
      </c>
      <c r="H114" s="1946">
        <f t="shared" si="1"/>
        <v>82114</v>
      </c>
      <c r="I114" s="73">
        <v>5252</v>
      </c>
      <c r="J114" s="1950">
        <v>12149</v>
      </c>
      <c r="K114" s="73">
        <v>75401</v>
      </c>
      <c r="L114" s="573">
        <v>12575</v>
      </c>
      <c r="M114" s="1941">
        <v>0</v>
      </c>
      <c r="N114" s="163">
        <v>75533</v>
      </c>
      <c r="P114" s="414"/>
      <c r="Q114" s="414"/>
    </row>
    <row r="115" spans="1:17">
      <c r="A115" s="85">
        <v>2001.1</v>
      </c>
      <c r="B115" s="50">
        <v>138496</v>
      </c>
      <c r="C115" s="1675">
        <v>18842</v>
      </c>
      <c r="D115" s="1365">
        <v>4684</v>
      </c>
      <c r="E115" s="1938">
        <v>712</v>
      </c>
      <c r="F115" s="1365">
        <v>1880</v>
      </c>
      <c r="G115" s="73">
        <v>95062</v>
      </c>
      <c r="H115" s="1946">
        <f t="shared" si="1"/>
        <v>96942</v>
      </c>
      <c r="I115" s="73">
        <v>3850</v>
      </c>
      <c r="J115" s="1950">
        <v>13466</v>
      </c>
      <c r="K115" s="73">
        <v>88263</v>
      </c>
      <c r="L115" s="573">
        <v>12195</v>
      </c>
      <c r="M115" s="1941">
        <v>0</v>
      </c>
      <c r="N115" s="163">
        <v>90143</v>
      </c>
      <c r="P115" s="414"/>
      <c r="Q115" s="414"/>
    </row>
    <row r="116" spans="1:17">
      <c r="A116" s="85">
        <v>2001.11</v>
      </c>
      <c r="B116" s="50">
        <v>126580</v>
      </c>
      <c r="C116" s="1675">
        <v>13327</v>
      </c>
      <c r="D116" s="1365">
        <v>3693</v>
      </c>
      <c r="E116" s="1938">
        <v>427</v>
      </c>
      <c r="F116" s="1365">
        <v>403</v>
      </c>
      <c r="G116" s="73">
        <v>93523</v>
      </c>
      <c r="H116" s="1946">
        <f t="shared" si="1"/>
        <v>93926</v>
      </c>
      <c r="I116" s="73">
        <v>2727</v>
      </c>
      <c r="J116" s="1950">
        <v>12480</v>
      </c>
      <c r="K116" s="73">
        <v>87325</v>
      </c>
      <c r="L116" s="573">
        <v>10322</v>
      </c>
      <c r="M116" s="1941">
        <v>0</v>
      </c>
      <c r="N116" s="163">
        <v>87724</v>
      </c>
      <c r="P116" s="414"/>
      <c r="Q116" s="414"/>
    </row>
    <row r="117" spans="1:17">
      <c r="A117" s="85">
        <v>2001.12</v>
      </c>
      <c r="B117" s="50">
        <v>125821</v>
      </c>
      <c r="C117" s="1675">
        <v>15433</v>
      </c>
      <c r="D117" s="1365">
        <v>3319</v>
      </c>
      <c r="E117" s="1938">
        <v>362</v>
      </c>
      <c r="F117" s="1365">
        <v>3991</v>
      </c>
      <c r="G117" s="73">
        <v>89050</v>
      </c>
      <c r="H117" s="1946">
        <f t="shared" si="1"/>
        <v>93041</v>
      </c>
      <c r="I117" s="73">
        <v>2349</v>
      </c>
      <c r="J117" s="1950">
        <v>11317</v>
      </c>
      <c r="K117" s="73">
        <v>83888</v>
      </c>
      <c r="L117" s="573">
        <v>8845</v>
      </c>
      <c r="M117" s="1941">
        <v>0</v>
      </c>
      <c r="N117" s="163">
        <v>87877</v>
      </c>
      <c r="P117" s="414"/>
      <c r="Q117" s="414"/>
    </row>
    <row r="118" spans="1:17">
      <c r="A118" s="85">
        <v>2002.01</v>
      </c>
      <c r="B118" s="50">
        <v>114559</v>
      </c>
      <c r="C118" s="1675">
        <v>11559</v>
      </c>
      <c r="D118" s="1365">
        <v>2978</v>
      </c>
      <c r="E118" s="1938">
        <v>292</v>
      </c>
      <c r="F118" s="1365">
        <v>188</v>
      </c>
      <c r="G118" s="73">
        <v>85103</v>
      </c>
      <c r="H118" s="1946">
        <f t="shared" si="1"/>
        <v>85291</v>
      </c>
      <c r="I118" s="73">
        <v>2275</v>
      </c>
      <c r="J118" s="1950">
        <v>12164</v>
      </c>
      <c r="K118" s="73">
        <v>80478</v>
      </c>
      <c r="L118" s="573">
        <v>7896</v>
      </c>
      <c r="M118" s="1941">
        <v>0</v>
      </c>
      <c r="N118" s="163">
        <v>80665</v>
      </c>
      <c r="P118" s="414"/>
      <c r="Q118" s="414"/>
    </row>
    <row r="119" spans="1:17">
      <c r="A119" s="85">
        <v>2002.02</v>
      </c>
      <c r="B119" s="50">
        <v>104600</v>
      </c>
      <c r="C119" s="1675">
        <v>10200</v>
      </c>
      <c r="D119" s="1365">
        <v>2737</v>
      </c>
      <c r="E119" s="1938">
        <v>310</v>
      </c>
      <c r="F119" s="1365">
        <v>2071</v>
      </c>
      <c r="G119" s="73">
        <v>76566</v>
      </c>
      <c r="H119" s="1946">
        <f t="shared" si="1"/>
        <v>78637</v>
      </c>
      <c r="I119" s="73">
        <v>2265</v>
      </c>
      <c r="J119" s="1950">
        <v>10451</v>
      </c>
      <c r="K119" s="73">
        <v>70800</v>
      </c>
      <c r="L119" s="573">
        <v>8812</v>
      </c>
      <c r="M119" s="1941">
        <v>0</v>
      </c>
      <c r="N119" s="163">
        <v>72872</v>
      </c>
      <c r="P119" s="414"/>
      <c r="Q119" s="414"/>
    </row>
    <row r="120" spans="1:17">
      <c r="A120" s="85">
        <v>2002.03</v>
      </c>
      <c r="B120" s="50">
        <v>126411</v>
      </c>
      <c r="C120" s="1675">
        <v>12370</v>
      </c>
      <c r="D120" s="1365">
        <v>4290</v>
      </c>
      <c r="E120" s="1938">
        <v>289</v>
      </c>
      <c r="F120" s="1365">
        <v>472</v>
      </c>
      <c r="G120" s="73">
        <v>95539</v>
      </c>
      <c r="H120" s="1946">
        <f t="shared" si="1"/>
        <v>96011</v>
      </c>
      <c r="I120" s="73">
        <v>2525</v>
      </c>
      <c r="J120" s="1950">
        <v>10926</v>
      </c>
      <c r="K120" s="73">
        <v>88412</v>
      </c>
      <c r="L120" s="573">
        <v>11708</v>
      </c>
      <c r="M120" s="1941">
        <v>0</v>
      </c>
      <c r="N120" s="163">
        <v>88882</v>
      </c>
      <c r="P120" s="414"/>
      <c r="Q120" s="414"/>
    </row>
    <row r="121" spans="1:17">
      <c r="A121" s="85">
        <v>2002.04</v>
      </c>
      <c r="B121" s="50">
        <v>154594</v>
      </c>
      <c r="C121" s="1675">
        <v>22696</v>
      </c>
      <c r="D121" s="1365">
        <v>5484</v>
      </c>
      <c r="E121" s="1938">
        <v>445</v>
      </c>
      <c r="F121" s="1365">
        <v>1082</v>
      </c>
      <c r="G121" s="73">
        <v>108008</v>
      </c>
      <c r="H121" s="1946">
        <f t="shared" si="1"/>
        <v>109090</v>
      </c>
      <c r="I121" s="73">
        <v>4022</v>
      </c>
      <c r="J121" s="1950">
        <v>12857</v>
      </c>
      <c r="K121" s="73">
        <v>100279</v>
      </c>
      <c r="L121" s="573">
        <v>13658</v>
      </c>
      <c r="M121" s="1941">
        <v>0</v>
      </c>
      <c r="N121" s="163">
        <v>101361</v>
      </c>
      <c r="P121" s="414"/>
      <c r="Q121" s="414"/>
    </row>
    <row r="122" spans="1:17">
      <c r="A122" s="85">
        <v>2002.05</v>
      </c>
      <c r="B122" s="50">
        <v>170669</v>
      </c>
      <c r="C122" s="1675">
        <v>24376</v>
      </c>
      <c r="D122" s="1365">
        <v>6029</v>
      </c>
      <c r="E122" s="1938">
        <v>581</v>
      </c>
      <c r="F122" s="1365">
        <v>207</v>
      </c>
      <c r="G122" s="73">
        <v>121251</v>
      </c>
      <c r="H122" s="1946">
        <f t="shared" si="1"/>
        <v>121458</v>
      </c>
      <c r="I122" s="73">
        <v>5152</v>
      </c>
      <c r="J122" s="1950">
        <v>13073</v>
      </c>
      <c r="K122" s="73">
        <v>113549</v>
      </c>
      <c r="L122" s="573">
        <v>14312</v>
      </c>
      <c r="M122" s="1941">
        <v>0</v>
      </c>
      <c r="N122" s="163">
        <v>113756</v>
      </c>
      <c r="P122" s="414"/>
      <c r="Q122" s="414"/>
    </row>
    <row r="123" spans="1:17">
      <c r="A123" s="85">
        <v>2002.06</v>
      </c>
      <c r="B123" s="50">
        <v>178225</v>
      </c>
      <c r="C123" s="1675">
        <v>49162</v>
      </c>
      <c r="D123" s="1365">
        <v>6843</v>
      </c>
      <c r="E123" s="1938">
        <v>1176</v>
      </c>
      <c r="F123" s="1365">
        <v>175</v>
      </c>
      <c r="G123" s="73">
        <v>100446</v>
      </c>
      <c r="H123" s="1946">
        <f t="shared" si="1"/>
        <v>100621</v>
      </c>
      <c r="I123" s="73">
        <v>8077</v>
      </c>
      <c r="J123" s="1950">
        <v>12346</v>
      </c>
      <c r="K123" s="73">
        <v>92793</v>
      </c>
      <c r="L123" s="573">
        <v>15675</v>
      </c>
      <c r="M123" s="1941">
        <v>0</v>
      </c>
      <c r="N123" s="163">
        <v>92965</v>
      </c>
      <c r="P123" s="414"/>
      <c r="Q123" s="414"/>
    </row>
    <row r="124" spans="1:17">
      <c r="A124" s="85">
        <v>2002.07</v>
      </c>
      <c r="B124" s="50">
        <v>196146</v>
      </c>
      <c r="C124" s="1675">
        <v>48570</v>
      </c>
      <c r="D124" s="1365">
        <v>8469</v>
      </c>
      <c r="E124" s="1938">
        <v>1835</v>
      </c>
      <c r="F124" s="1365">
        <v>114</v>
      </c>
      <c r="G124" s="73">
        <v>112874</v>
      </c>
      <c r="H124" s="1946">
        <f t="shared" si="1"/>
        <v>112988</v>
      </c>
      <c r="I124" s="73">
        <v>9652</v>
      </c>
      <c r="J124" s="1950">
        <v>14632</v>
      </c>
      <c r="K124" s="73">
        <v>104083</v>
      </c>
      <c r="L124" s="573">
        <v>19099</v>
      </c>
      <c r="M124" s="1941">
        <v>0</v>
      </c>
      <c r="N124" s="163">
        <v>104193</v>
      </c>
      <c r="P124" s="414"/>
      <c r="Q124" s="414"/>
    </row>
    <row r="125" spans="1:17">
      <c r="A125" s="85">
        <v>2002.08</v>
      </c>
      <c r="B125" s="50">
        <v>187069</v>
      </c>
      <c r="C125" s="1675">
        <v>36896</v>
      </c>
      <c r="D125" s="1365">
        <v>6764</v>
      </c>
      <c r="E125" s="1938">
        <v>1446</v>
      </c>
      <c r="F125" s="1365">
        <v>299</v>
      </c>
      <c r="G125" s="73">
        <v>120977</v>
      </c>
      <c r="H125" s="1946">
        <f t="shared" si="1"/>
        <v>121276</v>
      </c>
      <c r="I125" s="73">
        <v>6754</v>
      </c>
      <c r="J125" s="1950">
        <v>13933</v>
      </c>
      <c r="K125" s="73">
        <v>113174</v>
      </c>
      <c r="L125" s="573">
        <v>16016</v>
      </c>
      <c r="M125" s="1941">
        <v>0</v>
      </c>
      <c r="N125" s="163">
        <v>113470</v>
      </c>
      <c r="P125" s="414"/>
      <c r="Q125" s="414"/>
    </row>
    <row r="126" spans="1:17">
      <c r="A126" s="85">
        <v>2002.09</v>
      </c>
      <c r="B126" s="50">
        <v>166495</v>
      </c>
      <c r="C126" s="1675">
        <v>24132</v>
      </c>
      <c r="D126" s="1365">
        <v>4652</v>
      </c>
      <c r="E126" s="1938">
        <v>905</v>
      </c>
      <c r="F126" s="1365">
        <v>364</v>
      </c>
      <c r="G126" s="73">
        <v>117023</v>
      </c>
      <c r="H126" s="1946">
        <f t="shared" si="1"/>
        <v>117387</v>
      </c>
      <c r="I126" s="73">
        <v>5249</v>
      </c>
      <c r="J126" s="1950">
        <v>14170</v>
      </c>
      <c r="K126" s="73">
        <v>109202</v>
      </c>
      <c r="L126" s="573">
        <v>13377</v>
      </c>
      <c r="M126" s="1941">
        <v>0</v>
      </c>
      <c r="N126" s="163">
        <v>109567</v>
      </c>
      <c r="P126" s="414"/>
      <c r="Q126" s="414"/>
    </row>
    <row r="127" spans="1:17">
      <c r="A127" s="85">
        <v>2002.1</v>
      </c>
      <c r="B127" s="50">
        <v>157591</v>
      </c>
      <c r="C127" s="1675">
        <v>13714</v>
      </c>
      <c r="D127" s="1365">
        <v>3712</v>
      </c>
      <c r="E127" s="1938">
        <v>492</v>
      </c>
      <c r="F127" s="1365">
        <v>567</v>
      </c>
      <c r="G127" s="73">
        <v>121162</v>
      </c>
      <c r="H127" s="1946">
        <f t="shared" si="1"/>
        <v>121729</v>
      </c>
      <c r="I127" s="73">
        <v>3338</v>
      </c>
      <c r="J127" s="1950">
        <v>14606</v>
      </c>
      <c r="K127" s="73">
        <v>113706</v>
      </c>
      <c r="L127" s="573">
        <v>11660</v>
      </c>
      <c r="M127" s="1941">
        <v>0</v>
      </c>
      <c r="N127" s="163">
        <v>114273</v>
      </c>
      <c r="P127" s="414"/>
      <c r="Q127" s="414"/>
    </row>
    <row r="128" spans="1:17">
      <c r="A128" s="85">
        <v>2002.11</v>
      </c>
      <c r="B128" s="50">
        <v>146556</v>
      </c>
      <c r="C128" s="1675">
        <v>10414</v>
      </c>
      <c r="D128" s="1365">
        <v>3839</v>
      </c>
      <c r="E128" s="1938">
        <v>454</v>
      </c>
      <c r="F128" s="1365">
        <v>726</v>
      </c>
      <c r="G128" s="73">
        <v>113425</v>
      </c>
      <c r="H128" s="1946">
        <f t="shared" si="1"/>
        <v>114151</v>
      </c>
      <c r="I128" s="73">
        <v>3130</v>
      </c>
      <c r="J128" s="1950">
        <v>14568</v>
      </c>
      <c r="K128" s="73">
        <v>105461</v>
      </c>
      <c r="L128" s="573">
        <v>12256</v>
      </c>
      <c r="M128" s="1941">
        <v>0</v>
      </c>
      <c r="N128" s="163">
        <v>106188</v>
      </c>
      <c r="P128" s="414"/>
      <c r="Q128" s="414"/>
    </row>
    <row r="129" spans="1:17">
      <c r="A129" s="85">
        <v>2002.12</v>
      </c>
      <c r="B129" s="50">
        <v>145088</v>
      </c>
      <c r="C129" s="1675">
        <v>11782</v>
      </c>
      <c r="D129" s="1365">
        <v>3340</v>
      </c>
      <c r="E129" s="1938">
        <v>352</v>
      </c>
      <c r="F129" s="1365">
        <v>612</v>
      </c>
      <c r="G129" s="73">
        <v>111817</v>
      </c>
      <c r="H129" s="1946">
        <f t="shared" si="1"/>
        <v>112429</v>
      </c>
      <c r="I129" s="73">
        <v>2890</v>
      </c>
      <c r="J129" s="1950">
        <v>14295</v>
      </c>
      <c r="K129" s="73">
        <v>104532</v>
      </c>
      <c r="L129" s="573">
        <v>10976</v>
      </c>
      <c r="M129" s="1941">
        <v>0</v>
      </c>
      <c r="N129" s="163">
        <v>105145</v>
      </c>
      <c r="P129" s="414"/>
      <c r="Q129" s="414"/>
    </row>
    <row r="130" spans="1:17">
      <c r="A130" s="85">
        <v>2003.01</v>
      </c>
      <c r="B130" s="50">
        <v>140312</v>
      </c>
      <c r="C130" s="1675">
        <v>12710</v>
      </c>
      <c r="D130" s="1365">
        <v>3265</v>
      </c>
      <c r="E130" s="1938">
        <v>300</v>
      </c>
      <c r="F130" s="1365">
        <v>140</v>
      </c>
      <c r="G130" s="73">
        <v>105628</v>
      </c>
      <c r="H130" s="1946">
        <f t="shared" si="1"/>
        <v>105768</v>
      </c>
      <c r="I130" s="73">
        <v>2732</v>
      </c>
      <c r="J130" s="1950">
        <v>15537</v>
      </c>
      <c r="K130" s="73">
        <v>98545</v>
      </c>
      <c r="L130" s="573">
        <v>10649</v>
      </c>
      <c r="M130" s="1941">
        <v>0</v>
      </c>
      <c r="N130" s="163">
        <v>98684</v>
      </c>
      <c r="P130" s="414"/>
      <c r="Q130" s="414"/>
    </row>
    <row r="131" spans="1:17">
      <c r="A131" s="85">
        <v>2003.02</v>
      </c>
      <c r="B131" s="50">
        <v>127628</v>
      </c>
      <c r="C131" s="1675">
        <v>11460</v>
      </c>
      <c r="D131" s="1365">
        <v>3751</v>
      </c>
      <c r="E131" s="1938">
        <v>301</v>
      </c>
      <c r="F131" s="1365">
        <v>522</v>
      </c>
      <c r="G131" s="73">
        <v>95313</v>
      </c>
      <c r="H131" s="1946">
        <f t="shared" si="1"/>
        <v>95835</v>
      </c>
      <c r="I131" s="73">
        <v>2742</v>
      </c>
      <c r="J131" s="1950">
        <v>13539</v>
      </c>
      <c r="K131" s="73">
        <v>88607</v>
      </c>
      <c r="L131" s="573">
        <v>11621</v>
      </c>
      <c r="M131" s="1941">
        <v>0</v>
      </c>
      <c r="N131" s="163">
        <v>88266</v>
      </c>
      <c r="P131" s="414"/>
      <c r="Q131" s="414"/>
    </row>
    <row r="132" spans="1:17">
      <c r="A132" s="85">
        <v>2003.03</v>
      </c>
      <c r="B132" s="50">
        <v>146529</v>
      </c>
      <c r="C132" s="1675">
        <v>13413</v>
      </c>
      <c r="D132" s="1365">
        <v>4739</v>
      </c>
      <c r="E132" s="1938">
        <v>358</v>
      </c>
      <c r="F132" s="1365">
        <v>385</v>
      </c>
      <c r="G132" s="73">
        <v>109910</v>
      </c>
      <c r="H132" s="1946">
        <f t="shared" si="1"/>
        <v>110295</v>
      </c>
      <c r="I132" s="73">
        <v>3329</v>
      </c>
      <c r="J132" s="1950">
        <v>14395</v>
      </c>
      <c r="K132" s="73">
        <v>101880</v>
      </c>
      <c r="L132" s="573">
        <v>13128</v>
      </c>
      <c r="M132" s="1941">
        <v>0</v>
      </c>
      <c r="N132" s="163">
        <v>102264</v>
      </c>
      <c r="P132" s="414"/>
      <c r="Q132" s="414"/>
    </row>
    <row r="133" spans="1:17">
      <c r="A133" s="85">
        <v>2003.04</v>
      </c>
      <c r="B133" s="50">
        <v>168187</v>
      </c>
      <c r="C133" s="1675">
        <v>18964</v>
      </c>
      <c r="D133" s="1365">
        <v>4109</v>
      </c>
      <c r="E133" s="1938">
        <v>402</v>
      </c>
      <c r="F133" s="1365">
        <v>2627</v>
      </c>
      <c r="G133" s="73">
        <v>121176</v>
      </c>
      <c r="H133" s="1946">
        <f t="shared" si="1"/>
        <v>123803</v>
      </c>
      <c r="I133" s="73">
        <v>4188</v>
      </c>
      <c r="J133" s="1950">
        <v>16721</v>
      </c>
      <c r="K133" s="73">
        <v>112342</v>
      </c>
      <c r="L133" s="573">
        <v>13346</v>
      </c>
      <c r="M133" s="1941">
        <v>0</v>
      </c>
      <c r="N133" s="163">
        <v>114968</v>
      </c>
      <c r="P133" s="414"/>
      <c r="Q133" s="414"/>
    </row>
    <row r="134" spans="1:17">
      <c r="A134" s="85">
        <v>2003.05</v>
      </c>
      <c r="B134" s="50">
        <v>189352</v>
      </c>
      <c r="C134" s="1675">
        <v>32328</v>
      </c>
      <c r="D134" s="1365">
        <v>5850</v>
      </c>
      <c r="E134" s="1938">
        <v>679</v>
      </c>
      <c r="F134" s="1365">
        <v>3</v>
      </c>
      <c r="G134" s="73">
        <v>127802</v>
      </c>
      <c r="H134" s="1946">
        <f t="shared" si="1"/>
        <v>127805</v>
      </c>
      <c r="I134" s="73">
        <v>6441</v>
      </c>
      <c r="J134" s="1950">
        <v>16249</v>
      </c>
      <c r="K134" s="73">
        <v>118955</v>
      </c>
      <c r="L134" s="573">
        <v>15376</v>
      </c>
      <c r="M134" s="1941">
        <v>0</v>
      </c>
      <c r="N134" s="163">
        <v>118958</v>
      </c>
      <c r="P134" s="414"/>
      <c r="Q134" s="414"/>
    </row>
    <row r="135" spans="1:17">
      <c r="A135" s="85">
        <v>2003.06</v>
      </c>
      <c r="B135" s="50">
        <v>185704</v>
      </c>
      <c r="C135" s="1675">
        <v>35438</v>
      </c>
      <c r="D135" s="1365">
        <v>6821</v>
      </c>
      <c r="E135" s="1938">
        <v>1166</v>
      </c>
      <c r="F135" s="1365">
        <v>243</v>
      </c>
      <c r="G135" s="73">
        <v>117525</v>
      </c>
      <c r="H135" s="1946">
        <f t="shared" si="1"/>
        <v>117768</v>
      </c>
      <c r="I135" s="73">
        <v>7913</v>
      </c>
      <c r="J135" s="1950">
        <v>16598</v>
      </c>
      <c r="K135" s="73">
        <v>108360</v>
      </c>
      <c r="L135" s="573">
        <v>17156</v>
      </c>
      <c r="M135" s="1941">
        <v>0</v>
      </c>
      <c r="N135" s="163">
        <v>108599</v>
      </c>
      <c r="P135" s="414"/>
      <c r="Q135" s="414"/>
    </row>
    <row r="136" spans="1:17">
      <c r="A136" s="85">
        <v>2003.07</v>
      </c>
      <c r="B136" s="50">
        <v>193139</v>
      </c>
      <c r="C136" s="1675">
        <v>52907</v>
      </c>
      <c r="D136" s="1365">
        <v>6320</v>
      </c>
      <c r="E136" s="1938">
        <v>1190</v>
      </c>
      <c r="F136" s="1365">
        <v>311</v>
      </c>
      <c r="G136" s="73">
        <v>103638</v>
      </c>
      <c r="H136" s="1946">
        <f t="shared" si="1"/>
        <v>103949</v>
      </c>
      <c r="I136" s="73">
        <v>10583</v>
      </c>
      <c r="J136" s="1950">
        <v>18190</v>
      </c>
      <c r="K136" s="73">
        <v>93751</v>
      </c>
      <c r="L136" s="573">
        <v>17401</v>
      </c>
      <c r="M136" s="1941">
        <v>0</v>
      </c>
      <c r="N136" s="163">
        <v>94058</v>
      </c>
      <c r="P136" s="414"/>
      <c r="Q136" s="414"/>
    </row>
    <row r="137" spans="1:17">
      <c r="A137" s="85">
        <v>2003.08</v>
      </c>
      <c r="B137" s="50">
        <v>189969</v>
      </c>
      <c r="C137" s="1675">
        <v>44158</v>
      </c>
      <c r="D137" s="1365">
        <v>7575</v>
      </c>
      <c r="E137" s="1938">
        <v>1536</v>
      </c>
      <c r="F137" s="1365">
        <v>162</v>
      </c>
      <c r="G137" s="73">
        <v>108432</v>
      </c>
      <c r="H137" s="1946">
        <f t="shared" si="1"/>
        <v>108594</v>
      </c>
      <c r="I137" s="73">
        <v>9801</v>
      </c>
      <c r="J137" s="1950">
        <v>18305</v>
      </c>
      <c r="K137" s="73">
        <v>97974</v>
      </c>
      <c r="L137" s="573">
        <v>19567</v>
      </c>
      <c r="M137" s="1941">
        <v>0</v>
      </c>
      <c r="N137" s="163">
        <v>98138</v>
      </c>
      <c r="P137" s="414"/>
      <c r="Q137" s="414"/>
    </row>
    <row r="138" spans="1:17">
      <c r="A138" s="85">
        <v>2003.09</v>
      </c>
      <c r="B138" s="50">
        <v>197808</v>
      </c>
      <c r="C138" s="1675">
        <v>33323</v>
      </c>
      <c r="D138" s="1365">
        <v>6304</v>
      </c>
      <c r="E138" s="1938">
        <v>1270</v>
      </c>
      <c r="F138" s="1365">
        <v>1944</v>
      </c>
      <c r="G138" s="73">
        <v>129876</v>
      </c>
      <c r="H138" s="1946">
        <f t="shared" si="1"/>
        <v>131820</v>
      </c>
      <c r="I138" s="73">
        <v>6667</v>
      </c>
      <c r="J138" s="1950">
        <v>18424</v>
      </c>
      <c r="K138" s="73">
        <v>119404</v>
      </c>
      <c r="L138" s="573">
        <v>18045</v>
      </c>
      <c r="M138" s="1941">
        <v>0</v>
      </c>
      <c r="N138" s="163">
        <v>121349</v>
      </c>
      <c r="P138" s="414"/>
      <c r="Q138" s="414"/>
    </row>
    <row r="139" spans="1:17">
      <c r="A139" s="85">
        <v>2003.1</v>
      </c>
      <c r="B139" s="50">
        <v>179005</v>
      </c>
      <c r="C139" s="1675">
        <v>17566</v>
      </c>
      <c r="D139" s="1365">
        <v>4737</v>
      </c>
      <c r="E139" s="1938">
        <v>641</v>
      </c>
      <c r="F139" s="1365">
        <v>41</v>
      </c>
      <c r="G139" s="73">
        <v>132642</v>
      </c>
      <c r="H139" s="1946">
        <f t="shared" si="1"/>
        <v>132683</v>
      </c>
      <c r="I139" s="73">
        <v>4359</v>
      </c>
      <c r="J139" s="1950">
        <v>19019</v>
      </c>
      <c r="K139" s="73">
        <v>122592</v>
      </c>
      <c r="L139" s="573">
        <v>15427</v>
      </c>
      <c r="M139" s="1941">
        <v>0</v>
      </c>
      <c r="N139" s="163">
        <v>122634</v>
      </c>
      <c r="P139" s="414"/>
      <c r="Q139" s="414"/>
    </row>
    <row r="140" spans="1:17">
      <c r="A140" s="85">
        <v>2003.11</v>
      </c>
      <c r="B140" s="50">
        <v>165677</v>
      </c>
      <c r="C140" s="1675">
        <v>14365</v>
      </c>
      <c r="D140" s="1365">
        <v>4460</v>
      </c>
      <c r="E140" s="1938">
        <v>470</v>
      </c>
      <c r="F140" s="1365">
        <v>385</v>
      </c>
      <c r="G140" s="73">
        <v>125344</v>
      </c>
      <c r="H140" s="1946">
        <f t="shared" ref="H140:H203" si="2">F140+G140</f>
        <v>125729</v>
      </c>
      <c r="I140" s="73">
        <v>3064</v>
      </c>
      <c r="J140" s="1950">
        <v>17589</v>
      </c>
      <c r="K140" s="73">
        <v>116012</v>
      </c>
      <c r="L140" s="573">
        <v>14549</v>
      </c>
      <c r="M140" s="1941">
        <v>0</v>
      </c>
      <c r="N140" s="163">
        <v>116110</v>
      </c>
      <c r="P140" s="414"/>
      <c r="Q140" s="414"/>
    </row>
    <row r="141" spans="1:17">
      <c r="A141" s="85">
        <v>2003.12</v>
      </c>
      <c r="B141" s="50">
        <v>172152</v>
      </c>
      <c r="C141" s="1675">
        <v>12783</v>
      </c>
      <c r="D141" s="1365">
        <v>6513</v>
      </c>
      <c r="E141" s="1938">
        <v>532</v>
      </c>
      <c r="F141" s="1365">
        <v>148</v>
      </c>
      <c r="G141" s="73">
        <v>126170</v>
      </c>
      <c r="H141" s="1946">
        <f t="shared" si="2"/>
        <v>126318</v>
      </c>
      <c r="I141" s="73">
        <v>4546</v>
      </c>
      <c r="J141" s="1950">
        <v>21460</v>
      </c>
      <c r="K141" s="73">
        <v>115384</v>
      </c>
      <c r="L141" s="573">
        <v>17831</v>
      </c>
      <c r="M141" s="1941">
        <v>0</v>
      </c>
      <c r="N141" s="163">
        <v>115532</v>
      </c>
      <c r="P141" s="414"/>
      <c r="Q141" s="414"/>
    </row>
    <row r="142" spans="1:17">
      <c r="A142" s="85">
        <v>2004.01</v>
      </c>
      <c r="B142" s="50">
        <v>157353</v>
      </c>
      <c r="C142" s="1675">
        <v>11961</v>
      </c>
      <c r="D142" s="1365">
        <v>3421</v>
      </c>
      <c r="E142" s="1938">
        <v>304</v>
      </c>
      <c r="F142" s="1365">
        <v>437</v>
      </c>
      <c r="G142" s="73">
        <v>119930</v>
      </c>
      <c r="H142" s="1946">
        <f t="shared" si="2"/>
        <v>120367</v>
      </c>
      <c r="I142" s="73">
        <v>3118</v>
      </c>
      <c r="J142" s="1950">
        <v>18182</v>
      </c>
      <c r="K142" s="73">
        <v>111284</v>
      </c>
      <c r="L142" s="573">
        <v>12371</v>
      </c>
      <c r="M142" s="1941">
        <v>0</v>
      </c>
      <c r="N142" s="163">
        <v>111721</v>
      </c>
      <c r="P142" s="414"/>
      <c r="Q142" s="414"/>
    </row>
    <row r="143" spans="1:17">
      <c r="A143" s="85">
        <v>2004.02</v>
      </c>
      <c r="B143" s="50">
        <v>149895</v>
      </c>
      <c r="C143" s="1675">
        <v>11072</v>
      </c>
      <c r="D143" s="1365">
        <v>3733</v>
      </c>
      <c r="E143" s="1938">
        <v>311</v>
      </c>
      <c r="F143" s="1365">
        <v>1380</v>
      </c>
      <c r="G143" s="73">
        <v>112860</v>
      </c>
      <c r="H143" s="1946">
        <f t="shared" si="2"/>
        <v>114240</v>
      </c>
      <c r="I143" s="73">
        <v>2907</v>
      </c>
      <c r="J143" s="1950">
        <v>17632</v>
      </c>
      <c r="K143" s="73">
        <v>102852</v>
      </c>
      <c r="L143" s="573">
        <v>14053</v>
      </c>
      <c r="M143" s="1941">
        <v>0</v>
      </c>
      <c r="N143" s="163">
        <v>104231</v>
      </c>
      <c r="P143" s="414"/>
      <c r="Q143" s="414"/>
    </row>
    <row r="144" spans="1:17">
      <c r="A144" s="85">
        <v>2004.03</v>
      </c>
      <c r="B144" s="50">
        <v>161779</v>
      </c>
      <c r="C144" s="1675">
        <v>11948</v>
      </c>
      <c r="D144" s="1365">
        <v>5574</v>
      </c>
      <c r="E144" s="1938">
        <v>335</v>
      </c>
      <c r="F144" s="1365">
        <v>1145</v>
      </c>
      <c r="G144" s="73">
        <v>119542</v>
      </c>
      <c r="H144" s="1946">
        <f t="shared" si="2"/>
        <v>120687</v>
      </c>
      <c r="I144" s="73">
        <v>3825</v>
      </c>
      <c r="J144" s="1950">
        <v>19410</v>
      </c>
      <c r="K144" s="73">
        <v>107487</v>
      </c>
      <c r="L144" s="573">
        <v>17965</v>
      </c>
      <c r="M144" s="1941">
        <v>0</v>
      </c>
      <c r="N144" s="163">
        <v>108631</v>
      </c>
      <c r="P144" s="414"/>
      <c r="Q144" s="414"/>
    </row>
    <row r="145" spans="1:17">
      <c r="A145" s="85">
        <v>2004.04</v>
      </c>
      <c r="B145" s="50">
        <v>176361</v>
      </c>
      <c r="C145" s="1675">
        <v>18952</v>
      </c>
      <c r="D145" s="1365">
        <v>4994</v>
      </c>
      <c r="E145" s="1938">
        <v>433</v>
      </c>
      <c r="F145" s="1365">
        <v>5141</v>
      </c>
      <c r="G145" s="73">
        <v>122919</v>
      </c>
      <c r="H145" s="1946">
        <f t="shared" si="2"/>
        <v>128060</v>
      </c>
      <c r="I145" s="73">
        <v>4316</v>
      </c>
      <c r="J145" s="1950">
        <v>19606</v>
      </c>
      <c r="K145" s="73">
        <v>111796</v>
      </c>
      <c r="L145" s="573">
        <v>16551</v>
      </c>
      <c r="M145" s="1941">
        <v>0</v>
      </c>
      <c r="N145" s="163">
        <v>116936</v>
      </c>
      <c r="P145" s="414"/>
      <c r="Q145" s="414"/>
    </row>
    <row r="146" spans="1:17">
      <c r="A146" s="85">
        <v>2004.05</v>
      </c>
      <c r="B146" s="50">
        <v>193485</v>
      </c>
      <c r="C146" s="1675">
        <v>45003</v>
      </c>
      <c r="D146" s="1365">
        <v>6942</v>
      </c>
      <c r="E146" s="1938">
        <v>846</v>
      </c>
      <c r="F146" s="1365">
        <v>17</v>
      </c>
      <c r="G146" s="73">
        <v>111751</v>
      </c>
      <c r="H146" s="1946">
        <f t="shared" si="2"/>
        <v>111768</v>
      </c>
      <c r="I146" s="73">
        <v>8566</v>
      </c>
      <c r="J146" s="1950">
        <v>20360</v>
      </c>
      <c r="K146" s="73">
        <v>100021</v>
      </c>
      <c r="L146" s="573">
        <v>19508</v>
      </c>
      <c r="M146" s="1941">
        <v>0</v>
      </c>
      <c r="N146" s="163">
        <v>100048</v>
      </c>
      <c r="P146" s="414"/>
      <c r="Q146" s="414"/>
    </row>
    <row r="147" spans="1:17">
      <c r="A147" s="85">
        <v>2004.06</v>
      </c>
      <c r="B147" s="50">
        <v>189349</v>
      </c>
      <c r="C147" s="1675">
        <v>45044</v>
      </c>
      <c r="D147" s="1365">
        <v>9920</v>
      </c>
      <c r="E147" s="1938">
        <v>1855</v>
      </c>
      <c r="F147" s="1365">
        <v>94</v>
      </c>
      <c r="G147" s="73">
        <v>102488</v>
      </c>
      <c r="H147" s="1946">
        <f t="shared" si="2"/>
        <v>102582</v>
      </c>
      <c r="I147" s="73">
        <v>10565</v>
      </c>
      <c r="J147" s="1950">
        <v>19383</v>
      </c>
      <c r="K147" s="73">
        <v>89572</v>
      </c>
      <c r="L147" s="573">
        <v>24685</v>
      </c>
      <c r="M147" s="1941">
        <v>0</v>
      </c>
      <c r="N147" s="163">
        <v>89672</v>
      </c>
      <c r="P147" s="414"/>
      <c r="Q147" s="414"/>
    </row>
    <row r="148" spans="1:17">
      <c r="A148" s="85">
        <v>2004.07</v>
      </c>
      <c r="B148" s="50">
        <v>189990</v>
      </c>
      <c r="C148" s="1675">
        <v>50137</v>
      </c>
      <c r="D148" s="1365">
        <v>7419</v>
      </c>
      <c r="E148" s="1938">
        <v>1453</v>
      </c>
      <c r="F148" s="1365">
        <v>14</v>
      </c>
      <c r="G148" s="73">
        <v>99267</v>
      </c>
      <c r="H148" s="1946">
        <f t="shared" si="2"/>
        <v>99281</v>
      </c>
      <c r="I148" s="73">
        <v>10294</v>
      </c>
      <c r="J148" s="1950">
        <v>21406</v>
      </c>
      <c r="K148" s="73">
        <v>87402</v>
      </c>
      <c r="L148" s="573">
        <v>20731</v>
      </c>
      <c r="M148" s="1941">
        <v>0</v>
      </c>
      <c r="N148" s="163">
        <v>87422</v>
      </c>
      <c r="P148" s="414"/>
      <c r="Q148" s="414"/>
    </row>
    <row r="149" spans="1:17">
      <c r="A149" s="85">
        <v>2004.08</v>
      </c>
      <c r="B149" s="50">
        <v>188897</v>
      </c>
      <c r="C149" s="1675">
        <v>39673</v>
      </c>
      <c r="D149" s="1365">
        <v>6857</v>
      </c>
      <c r="E149" s="1938">
        <v>1328</v>
      </c>
      <c r="F149" s="1365">
        <v>1296</v>
      </c>
      <c r="G149" s="73">
        <v>109081</v>
      </c>
      <c r="H149" s="1946">
        <f t="shared" si="2"/>
        <v>110377</v>
      </c>
      <c r="I149" s="73">
        <v>9871</v>
      </c>
      <c r="J149" s="1950">
        <v>20791</v>
      </c>
      <c r="K149" s="73">
        <v>97179</v>
      </c>
      <c r="L149" s="573">
        <v>20083</v>
      </c>
      <c r="M149" s="1941">
        <v>0</v>
      </c>
      <c r="N149" s="163">
        <v>98479</v>
      </c>
      <c r="P149" s="414"/>
      <c r="Q149" s="414"/>
    </row>
    <row r="150" spans="1:17">
      <c r="A150" s="85">
        <v>2004.09</v>
      </c>
      <c r="B150" s="50">
        <v>193041</v>
      </c>
      <c r="C150" s="1675">
        <v>27041</v>
      </c>
      <c r="D150" s="1365">
        <v>6290</v>
      </c>
      <c r="E150" s="1938">
        <v>1046</v>
      </c>
      <c r="F150" s="1365">
        <v>6171</v>
      </c>
      <c r="G150" s="73">
        <v>126415</v>
      </c>
      <c r="H150" s="1946">
        <f t="shared" si="2"/>
        <v>132586</v>
      </c>
      <c r="I150" s="73">
        <v>5530</v>
      </c>
      <c r="J150" s="1950">
        <v>20548</v>
      </c>
      <c r="K150" s="73">
        <v>114794</v>
      </c>
      <c r="L150" s="573">
        <v>18959</v>
      </c>
      <c r="M150" s="1941">
        <v>0</v>
      </c>
      <c r="N150" s="163">
        <v>120963</v>
      </c>
      <c r="P150" s="414"/>
      <c r="Q150" s="414"/>
    </row>
    <row r="151" spans="1:17">
      <c r="A151" s="85">
        <v>2004.1</v>
      </c>
      <c r="B151" s="50">
        <v>181072</v>
      </c>
      <c r="C151" s="1675">
        <v>18337</v>
      </c>
      <c r="D151" s="1365">
        <v>4702</v>
      </c>
      <c r="E151" s="1938">
        <v>548</v>
      </c>
      <c r="F151" s="1365">
        <v>463</v>
      </c>
      <c r="G151" s="73">
        <v>131165</v>
      </c>
      <c r="H151" s="1946">
        <f t="shared" si="2"/>
        <v>131628</v>
      </c>
      <c r="I151" s="73">
        <v>4463</v>
      </c>
      <c r="J151" s="1950">
        <v>21394</v>
      </c>
      <c r="K151" s="73">
        <v>119847</v>
      </c>
      <c r="L151" s="573">
        <v>16566</v>
      </c>
      <c r="M151" s="1941">
        <v>0</v>
      </c>
      <c r="N151" s="163">
        <v>120312</v>
      </c>
      <c r="P151" s="414"/>
      <c r="Q151" s="414"/>
    </row>
    <row r="152" spans="1:17">
      <c r="A152" s="85">
        <v>2004.11</v>
      </c>
      <c r="B152" s="50">
        <v>171426</v>
      </c>
      <c r="C152" s="1675">
        <v>14593</v>
      </c>
      <c r="D152" s="1365">
        <v>4338</v>
      </c>
      <c r="E152" s="1938">
        <v>437</v>
      </c>
      <c r="F152" s="1365">
        <v>659</v>
      </c>
      <c r="G152" s="73">
        <v>126943</v>
      </c>
      <c r="H152" s="1946">
        <f t="shared" si="2"/>
        <v>127602</v>
      </c>
      <c r="I152" s="73">
        <v>3982</v>
      </c>
      <c r="J152" s="1950">
        <v>20474</v>
      </c>
      <c r="K152" s="73">
        <v>115449</v>
      </c>
      <c r="L152" s="573">
        <v>16269</v>
      </c>
      <c r="M152" s="1941">
        <v>0</v>
      </c>
      <c r="N152" s="163">
        <v>116108</v>
      </c>
      <c r="P152" s="414"/>
      <c r="Q152" s="414"/>
    </row>
    <row r="153" spans="1:17">
      <c r="A153" s="85">
        <v>2004.12</v>
      </c>
      <c r="B153" s="50">
        <v>166369</v>
      </c>
      <c r="C153" s="1675">
        <v>14203</v>
      </c>
      <c r="D153" s="1365">
        <v>2958</v>
      </c>
      <c r="E153" s="1938">
        <v>278</v>
      </c>
      <c r="F153" s="1365">
        <v>4731</v>
      </c>
      <c r="G153" s="73">
        <v>119450</v>
      </c>
      <c r="H153" s="1946">
        <f t="shared" si="2"/>
        <v>124181</v>
      </c>
      <c r="I153" s="73">
        <v>3074</v>
      </c>
      <c r="J153" s="1950">
        <v>21675</v>
      </c>
      <c r="K153" s="73">
        <v>109981</v>
      </c>
      <c r="L153" s="573">
        <v>12706</v>
      </c>
      <c r="M153" s="1941">
        <v>0</v>
      </c>
      <c r="N153" s="163">
        <v>114711</v>
      </c>
      <c r="P153" s="414"/>
      <c r="Q153" s="414"/>
    </row>
    <row r="154" spans="1:17">
      <c r="A154" s="85">
        <v>2005.01</v>
      </c>
      <c r="B154" s="50">
        <v>188523</v>
      </c>
      <c r="C154" s="1675">
        <v>13056</v>
      </c>
      <c r="D154" s="1365">
        <v>3727</v>
      </c>
      <c r="E154" s="1938">
        <v>298</v>
      </c>
      <c r="F154" s="1365">
        <v>26706</v>
      </c>
      <c r="G154" s="73">
        <v>122168</v>
      </c>
      <c r="H154" s="1946">
        <f t="shared" si="2"/>
        <v>148874</v>
      </c>
      <c r="I154" s="73">
        <v>3063</v>
      </c>
      <c r="J154" s="1950">
        <v>19505</v>
      </c>
      <c r="K154" s="73">
        <v>113088</v>
      </c>
      <c r="L154" s="573">
        <v>13105</v>
      </c>
      <c r="M154" s="1941">
        <v>0</v>
      </c>
      <c r="N154" s="163">
        <v>139794</v>
      </c>
      <c r="P154" s="414"/>
      <c r="Q154" s="414"/>
    </row>
    <row r="155" spans="1:17">
      <c r="A155" s="85">
        <v>2005.02</v>
      </c>
      <c r="B155" s="50">
        <v>177151</v>
      </c>
      <c r="C155" s="1675">
        <v>11905</v>
      </c>
      <c r="D155" s="1365">
        <v>4209</v>
      </c>
      <c r="E155" s="1938">
        <v>291</v>
      </c>
      <c r="F155" s="1365">
        <v>23438</v>
      </c>
      <c r="G155" s="73">
        <v>115707</v>
      </c>
      <c r="H155" s="1946">
        <f t="shared" si="2"/>
        <v>139145</v>
      </c>
      <c r="I155" s="73">
        <v>3170</v>
      </c>
      <c r="J155" s="1950">
        <v>18431</v>
      </c>
      <c r="K155" s="73">
        <v>105585</v>
      </c>
      <c r="L155" s="573">
        <v>14623</v>
      </c>
      <c r="M155" s="1941">
        <v>0</v>
      </c>
      <c r="N155" s="163">
        <v>129022</v>
      </c>
      <c r="P155" s="414"/>
      <c r="Q155" s="414"/>
    </row>
    <row r="156" spans="1:17">
      <c r="A156" s="85">
        <v>2005.03</v>
      </c>
      <c r="B156" s="50">
        <v>184818</v>
      </c>
      <c r="C156" s="1675">
        <v>14712</v>
      </c>
      <c r="D156" s="1365">
        <v>5810</v>
      </c>
      <c r="E156" s="1938">
        <v>309</v>
      </c>
      <c r="F156" s="1365">
        <v>9468</v>
      </c>
      <c r="G156" s="73">
        <v>129501</v>
      </c>
      <c r="H156" s="1946">
        <f t="shared" si="2"/>
        <v>138969</v>
      </c>
      <c r="I156" s="73">
        <v>4274</v>
      </c>
      <c r="J156" s="1950">
        <v>20744</v>
      </c>
      <c r="K156" s="73">
        <v>117171</v>
      </c>
      <c r="L156" s="573">
        <v>18117</v>
      </c>
      <c r="M156" s="1941">
        <v>0</v>
      </c>
      <c r="N156" s="163">
        <v>126971</v>
      </c>
      <c r="P156" s="414"/>
      <c r="Q156" s="414"/>
    </row>
    <row r="157" spans="1:17">
      <c r="A157" s="85">
        <v>2005.04</v>
      </c>
      <c r="B157" s="50">
        <v>210098</v>
      </c>
      <c r="C157" s="1675">
        <v>25415</v>
      </c>
      <c r="D157" s="1365">
        <v>4210</v>
      </c>
      <c r="E157" s="1938">
        <v>292</v>
      </c>
      <c r="F157" s="1365">
        <v>21951</v>
      </c>
      <c r="G157" s="73">
        <v>132115</v>
      </c>
      <c r="H157" s="1946">
        <f t="shared" si="2"/>
        <v>154066</v>
      </c>
      <c r="I157" s="73">
        <v>5361</v>
      </c>
      <c r="J157" s="1950">
        <v>20754</v>
      </c>
      <c r="K157" s="73">
        <v>120160</v>
      </c>
      <c r="L157" s="573">
        <v>16455</v>
      </c>
      <c r="M157" s="1941">
        <v>0</v>
      </c>
      <c r="N157" s="163">
        <v>142113</v>
      </c>
      <c r="P157" s="414"/>
      <c r="Q157" s="414"/>
    </row>
    <row r="158" spans="1:17">
      <c r="A158" s="85">
        <v>2005.05</v>
      </c>
      <c r="B158" s="50">
        <v>200048</v>
      </c>
      <c r="C158" s="1675">
        <v>36350</v>
      </c>
      <c r="D158" s="1365">
        <v>5920</v>
      </c>
      <c r="E158" s="1938">
        <v>762</v>
      </c>
      <c r="F158" s="1365">
        <v>2918</v>
      </c>
      <c r="G158" s="73">
        <v>124027</v>
      </c>
      <c r="H158" s="1946">
        <f t="shared" si="2"/>
        <v>126945</v>
      </c>
      <c r="I158" s="73">
        <v>8827</v>
      </c>
      <c r="J158" s="1950">
        <v>21244</v>
      </c>
      <c r="K158" s="73">
        <v>112263</v>
      </c>
      <c r="L158" s="573">
        <v>18447</v>
      </c>
      <c r="M158" s="1941">
        <v>0</v>
      </c>
      <c r="N158" s="163">
        <v>115180</v>
      </c>
      <c r="P158" s="414"/>
      <c r="Q158" s="414"/>
    </row>
    <row r="159" spans="1:17">
      <c r="A159" s="85">
        <v>2005.06</v>
      </c>
      <c r="B159" s="50">
        <v>189458</v>
      </c>
      <c r="C159" s="1675">
        <v>38199</v>
      </c>
      <c r="D159" s="1365">
        <v>6717</v>
      </c>
      <c r="E159" s="1938">
        <v>1082</v>
      </c>
      <c r="F159" s="1365">
        <v>133</v>
      </c>
      <c r="G159" s="73">
        <v>112405</v>
      </c>
      <c r="H159" s="1946">
        <f t="shared" si="2"/>
        <v>112538</v>
      </c>
      <c r="I159" s="73">
        <v>10378</v>
      </c>
      <c r="J159" s="1950">
        <v>20544</v>
      </c>
      <c r="K159" s="73">
        <v>100533</v>
      </c>
      <c r="L159" s="573">
        <v>19671</v>
      </c>
      <c r="M159" s="1941">
        <v>0</v>
      </c>
      <c r="N159" s="163">
        <v>100666</v>
      </c>
      <c r="P159" s="414"/>
      <c r="Q159" s="414"/>
    </row>
    <row r="160" spans="1:17">
      <c r="A160" s="85">
        <v>2005.07</v>
      </c>
      <c r="B160" s="50">
        <v>190867</v>
      </c>
      <c r="C160" s="1675">
        <v>52433</v>
      </c>
      <c r="D160" s="1365">
        <v>7535</v>
      </c>
      <c r="E160" s="1938">
        <v>1431</v>
      </c>
      <c r="F160" s="1365">
        <v>706</v>
      </c>
      <c r="G160" s="73">
        <v>94958</v>
      </c>
      <c r="H160" s="1946">
        <f t="shared" si="2"/>
        <v>95664</v>
      </c>
      <c r="I160" s="73">
        <v>12023</v>
      </c>
      <c r="J160" s="1950">
        <v>21781</v>
      </c>
      <c r="K160" s="73">
        <v>82845</v>
      </c>
      <c r="L160" s="573">
        <v>21079</v>
      </c>
      <c r="M160" s="1941">
        <v>0</v>
      </c>
      <c r="N160" s="163">
        <v>83551</v>
      </c>
      <c r="P160" s="414"/>
      <c r="Q160" s="414"/>
    </row>
    <row r="161" spans="1:17">
      <c r="A161" s="85">
        <v>2005.08</v>
      </c>
      <c r="B161" s="50">
        <v>220026</v>
      </c>
      <c r="C161" s="1675">
        <v>47316</v>
      </c>
      <c r="D161" s="1365">
        <v>7638</v>
      </c>
      <c r="E161" s="1938">
        <v>1398</v>
      </c>
      <c r="F161" s="1365">
        <v>853</v>
      </c>
      <c r="G161" s="73">
        <v>130168</v>
      </c>
      <c r="H161" s="1946">
        <f t="shared" si="2"/>
        <v>131021</v>
      </c>
      <c r="I161" s="73">
        <v>10906</v>
      </c>
      <c r="J161" s="1950">
        <v>21747</v>
      </c>
      <c r="K161" s="73">
        <v>117639</v>
      </c>
      <c r="L161" s="573">
        <v>21564</v>
      </c>
      <c r="M161" s="1941">
        <v>0</v>
      </c>
      <c r="N161" s="163">
        <v>118493</v>
      </c>
      <c r="P161" s="414"/>
      <c r="Q161" s="414"/>
    </row>
    <row r="162" spans="1:17">
      <c r="A162" s="85">
        <v>2005.09</v>
      </c>
      <c r="B162" s="50">
        <v>217192</v>
      </c>
      <c r="C162" s="1675">
        <v>43286</v>
      </c>
      <c r="D162" s="1365">
        <v>7668</v>
      </c>
      <c r="E162" s="1938">
        <v>1406</v>
      </c>
      <c r="F162" s="1365">
        <v>320</v>
      </c>
      <c r="G162" s="73">
        <v>134535</v>
      </c>
      <c r="H162" s="1946">
        <f t="shared" si="2"/>
        <v>134855</v>
      </c>
      <c r="I162" s="73">
        <v>9034</v>
      </c>
      <c r="J162" s="1950">
        <v>20943</v>
      </c>
      <c r="K162" s="73">
        <v>121899</v>
      </c>
      <c r="L162" s="573">
        <v>21710</v>
      </c>
      <c r="M162" s="1941">
        <v>0</v>
      </c>
      <c r="N162" s="163">
        <v>122219</v>
      </c>
      <c r="P162" s="414"/>
      <c r="Q162" s="414"/>
    </row>
    <row r="163" spans="1:17">
      <c r="A163" s="85">
        <v>2005.1</v>
      </c>
      <c r="B163" s="50">
        <v>203144</v>
      </c>
      <c r="C163" s="1675">
        <v>28975</v>
      </c>
      <c r="D163" s="1365">
        <v>6464</v>
      </c>
      <c r="E163" s="1938">
        <v>891</v>
      </c>
      <c r="F163" s="1365">
        <v>1156</v>
      </c>
      <c r="G163" s="73">
        <v>139060</v>
      </c>
      <c r="H163" s="1946">
        <f t="shared" si="2"/>
        <v>140216</v>
      </c>
      <c r="I163" s="73">
        <v>5136</v>
      </c>
      <c r="J163" s="1950">
        <v>21462</v>
      </c>
      <c r="K163" s="73">
        <v>128226</v>
      </c>
      <c r="L163" s="573">
        <v>18190</v>
      </c>
      <c r="M163" s="1941">
        <v>0</v>
      </c>
      <c r="N163" s="163">
        <v>129381</v>
      </c>
      <c r="P163" s="414"/>
      <c r="Q163" s="414"/>
    </row>
    <row r="164" spans="1:17">
      <c r="A164" s="85">
        <v>2005.11</v>
      </c>
      <c r="B164" s="50">
        <v>180538</v>
      </c>
      <c r="C164" s="1675">
        <v>16081</v>
      </c>
      <c r="D164" s="1365">
        <v>4886</v>
      </c>
      <c r="E164" s="1938">
        <v>479</v>
      </c>
      <c r="F164" s="1365">
        <v>5909</v>
      </c>
      <c r="G164" s="73">
        <v>128686</v>
      </c>
      <c r="H164" s="1946">
        <f t="shared" si="2"/>
        <v>134595</v>
      </c>
      <c r="I164" s="73">
        <v>4102</v>
      </c>
      <c r="J164" s="1950">
        <v>20395</v>
      </c>
      <c r="K164" s="73">
        <v>117491</v>
      </c>
      <c r="L164" s="573">
        <v>16563</v>
      </c>
      <c r="M164" s="1941">
        <v>0</v>
      </c>
      <c r="N164" s="163">
        <v>123397</v>
      </c>
      <c r="P164" s="414"/>
      <c r="Q164" s="414"/>
    </row>
    <row r="165" spans="1:17">
      <c r="A165" s="85">
        <v>2005.12</v>
      </c>
      <c r="B165" s="50">
        <v>195193</v>
      </c>
      <c r="C165" s="1675">
        <v>16449</v>
      </c>
      <c r="D165" s="1365">
        <v>5620</v>
      </c>
      <c r="E165" s="1938">
        <v>445</v>
      </c>
      <c r="F165" s="1365">
        <v>9487</v>
      </c>
      <c r="G165" s="73">
        <v>137944</v>
      </c>
      <c r="H165" s="1946">
        <f t="shared" si="2"/>
        <v>147431</v>
      </c>
      <c r="I165" s="73">
        <v>3838</v>
      </c>
      <c r="J165" s="1950">
        <v>21410</v>
      </c>
      <c r="K165" s="73">
        <v>126625</v>
      </c>
      <c r="L165" s="573">
        <v>17384</v>
      </c>
      <c r="M165" s="1941">
        <v>0</v>
      </c>
      <c r="N165" s="163">
        <v>136112</v>
      </c>
      <c r="P165" s="414"/>
      <c r="Q165" s="414"/>
    </row>
    <row r="166" spans="1:17">
      <c r="A166" s="85">
        <v>2006.01</v>
      </c>
      <c r="B166" s="50">
        <v>177681</v>
      </c>
      <c r="C166" s="1675">
        <v>12706</v>
      </c>
      <c r="D166" s="1365">
        <v>3822</v>
      </c>
      <c r="E166" s="1938">
        <v>284</v>
      </c>
      <c r="F166" s="1365">
        <v>802</v>
      </c>
      <c r="G166" s="73">
        <v>137516</v>
      </c>
      <c r="H166" s="1946">
        <f t="shared" si="2"/>
        <v>138318</v>
      </c>
      <c r="I166" s="73">
        <v>3208</v>
      </c>
      <c r="J166" s="1950">
        <v>19343</v>
      </c>
      <c r="K166" s="73">
        <v>127943</v>
      </c>
      <c r="L166" s="573">
        <v>13680</v>
      </c>
      <c r="M166" s="1941">
        <v>0</v>
      </c>
      <c r="N166" s="163">
        <v>128744</v>
      </c>
      <c r="P166" s="414"/>
      <c r="Q166" s="414"/>
    </row>
    <row r="167" spans="1:17">
      <c r="A167" s="85">
        <v>2006.02</v>
      </c>
      <c r="B167" s="50">
        <v>160328</v>
      </c>
      <c r="C167" s="1675">
        <v>12100</v>
      </c>
      <c r="D167" s="1365">
        <v>3642</v>
      </c>
      <c r="E167" s="1938">
        <v>250</v>
      </c>
      <c r="F167" s="1365">
        <v>1474</v>
      </c>
      <c r="G167" s="73">
        <v>121471</v>
      </c>
      <c r="H167" s="1946">
        <f t="shared" si="2"/>
        <v>122945</v>
      </c>
      <c r="I167" s="73">
        <v>3324</v>
      </c>
      <c r="J167" s="1950">
        <v>18067</v>
      </c>
      <c r="K167" s="73">
        <v>111238</v>
      </c>
      <c r="L167" s="573">
        <v>14126</v>
      </c>
      <c r="M167" s="1941">
        <v>0</v>
      </c>
      <c r="N167" s="163">
        <v>112711</v>
      </c>
      <c r="P167" s="414"/>
      <c r="Q167" s="414"/>
    </row>
    <row r="168" spans="1:17">
      <c r="A168" s="85">
        <v>2006.03</v>
      </c>
      <c r="B168" s="50">
        <v>194006</v>
      </c>
      <c r="C168" s="1675">
        <v>15629</v>
      </c>
      <c r="D168" s="1365">
        <v>5788</v>
      </c>
      <c r="E168" s="1938">
        <v>316</v>
      </c>
      <c r="F168" s="1365">
        <v>2276</v>
      </c>
      <c r="G168" s="73">
        <v>144749</v>
      </c>
      <c r="H168" s="1946">
        <f t="shared" si="2"/>
        <v>147025</v>
      </c>
      <c r="I168" s="73">
        <v>4683</v>
      </c>
      <c r="J168" s="1950">
        <v>20565</v>
      </c>
      <c r="K168" s="73">
        <v>128777</v>
      </c>
      <c r="L168" s="573">
        <v>22075</v>
      </c>
      <c r="M168" s="1941">
        <v>87</v>
      </c>
      <c r="N168" s="163">
        <v>130967</v>
      </c>
      <c r="P168" s="414"/>
      <c r="Q168" s="414"/>
    </row>
    <row r="169" spans="1:17">
      <c r="A169" s="85">
        <v>2006.04</v>
      </c>
      <c r="B169" s="50">
        <v>199441</v>
      </c>
      <c r="C169" s="1675">
        <v>20316</v>
      </c>
      <c r="D169" s="1365">
        <v>4893</v>
      </c>
      <c r="E169" s="1938">
        <v>244</v>
      </c>
      <c r="F169" s="1365">
        <v>2003</v>
      </c>
      <c r="G169" s="73">
        <v>147323</v>
      </c>
      <c r="H169" s="1946">
        <f t="shared" si="2"/>
        <v>149326</v>
      </c>
      <c r="I169" s="73">
        <v>4709</v>
      </c>
      <c r="J169" s="1950">
        <v>19953</v>
      </c>
      <c r="K169" s="73">
        <v>137120</v>
      </c>
      <c r="L169" s="573">
        <v>15340</v>
      </c>
      <c r="M169" s="1941">
        <v>60</v>
      </c>
      <c r="N169" s="163">
        <v>139063</v>
      </c>
      <c r="P169" s="414"/>
      <c r="Q169" s="414"/>
    </row>
    <row r="170" spans="1:17">
      <c r="A170" s="85">
        <v>2006.05</v>
      </c>
      <c r="B170" s="50">
        <v>233926</v>
      </c>
      <c r="C170" s="1675">
        <v>50258</v>
      </c>
      <c r="D170" s="1365">
        <v>5757</v>
      </c>
      <c r="E170" s="1938">
        <v>698</v>
      </c>
      <c r="F170" s="1365">
        <v>284</v>
      </c>
      <c r="G170" s="73">
        <v>145596</v>
      </c>
      <c r="H170" s="1946">
        <f t="shared" si="2"/>
        <v>145880</v>
      </c>
      <c r="I170" s="73">
        <v>10295</v>
      </c>
      <c r="J170" s="1950">
        <v>21038</v>
      </c>
      <c r="K170" s="73">
        <v>133284</v>
      </c>
      <c r="L170" s="573">
        <v>18769</v>
      </c>
      <c r="M170" s="1941">
        <v>14</v>
      </c>
      <c r="N170" s="163">
        <v>133552</v>
      </c>
      <c r="P170" s="414"/>
      <c r="Q170" s="414"/>
    </row>
    <row r="171" spans="1:17">
      <c r="A171" s="85">
        <v>2006.06</v>
      </c>
      <c r="B171" s="50">
        <v>222147</v>
      </c>
      <c r="C171" s="1675">
        <v>46535</v>
      </c>
      <c r="D171" s="1365">
        <v>7201</v>
      </c>
      <c r="E171" s="1938">
        <v>1195</v>
      </c>
      <c r="F171" s="1365">
        <v>163</v>
      </c>
      <c r="G171" s="73">
        <v>135203</v>
      </c>
      <c r="H171" s="1946">
        <f t="shared" si="2"/>
        <v>135366</v>
      </c>
      <c r="I171" s="73">
        <v>12520</v>
      </c>
      <c r="J171" s="1950">
        <v>19330</v>
      </c>
      <c r="K171" s="73">
        <v>122733</v>
      </c>
      <c r="L171" s="573">
        <v>20865</v>
      </c>
      <c r="M171" s="1941">
        <v>12</v>
      </c>
      <c r="N171" s="163">
        <v>122885</v>
      </c>
      <c r="P171" s="414"/>
      <c r="Q171" s="414"/>
    </row>
    <row r="172" spans="1:17">
      <c r="A172" s="85">
        <v>2006.07</v>
      </c>
      <c r="B172" s="50">
        <v>227805</v>
      </c>
      <c r="C172" s="1675">
        <v>46089</v>
      </c>
      <c r="D172" s="1365">
        <v>7508</v>
      </c>
      <c r="E172" s="1938">
        <v>1388</v>
      </c>
      <c r="F172" s="1365">
        <v>788</v>
      </c>
      <c r="G172" s="73">
        <v>140220</v>
      </c>
      <c r="H172" s="1946">
        <f t="shared" si="2"/>
        <v>141008</v>
      </c>
      <c r="I172" s="73">
        <v>11246</v>
      </c>
      <c r="J172" s="1950">
        <v>20566</v>
      </c>
      <c r="K172" s="73">
        <v>127572</v>
      </c>
      <c r="L172" s="573">
        <v>21544</v>
      </c>
      <c r="M172" s="1941">
        <v>25</v>
      </c>
      <c r="N172" s="163">
        <v>128335</v>
      </c>
      <c r="P172" s="414"/>
      <c r="Q172" s="414"/>
    </row>
    <row r="173" spans="1:17">
      <c r="A173" s="85">
        <v>2006.08</v>
      </c>
      <c r="B173" s="50">
        <v>228156</v>
      </c>
      <c r="C173" s="1675">
        <v>57260</v>
      </c>
      <c r="D173" s="1365">
        <v>8247</v>
      </c>
      <c r="E173" s="1938">
        <v>1461</v>
      </c>
      <c r="F173" s="1365">
        <v>299</v>
      </c>
      <c r="G173" s="73">
        <v>126648</v>
      </c>
      <c r="H173" s="1946">
        <f t="shared" si="2"/>
        <v>126947</v>
      </c>
      <c r="I173" s="73">
        <v>13203</v>
      </c>
      <c r="J173" s="1950">
        <v>21038</v>
      </c>
      <c r="K173" s="73">
        <v>113286</v>
      </c>
      <c r="L173" s="573">
        <v>23070</v>
      </c>
      <c r="M173" s="1941">
        <v>29</v>
      </c>
      <c r="N173" s="163">
        <v>113556</v>
      </c>
      <c r="P173" s="414"/>
      <c r="Q173" s="414"/>
    </row>
    <row r="174" spans="1:17">
      <c r="A174" s="85">
        <v>2006.09</v>
      </c>
      <c r="B174" s="50">
        <v>215942</v>
      </c>
      <c r="C174" s="1675">
        <v>37045</v>
      </c>
      <c r="D174" s="1365">
        <v>7441</v>
      </c>
      <c r="E174" s="1938">
        <v>1431</v>
      </c>
      <c r="F174" s="1365">
        <v>531</v>
      </c>
      <c r="G174" s="73">
        <v>140633</v>
      </c>
      <c r="H174" s="1946">
        <f t="shared" si="2"/>
        <v>141164</v>
      </c>
      <c r="I174" s="73">
        <v>8815</v>
      </c>
      <c r="J174" s="1950">
        <v>20046</v>
      </c>
      <c r="K174" s="73">
        <v>128101</v>
      </c>
      <c r="L174" s="573">
        <v>21404</v>
      </c>
      <c r="M174" s="1941">
        <v>31</v>
      </c>
      <c r="N174" s="163">
        <v>128601</v>
      </c>
      <c r="P174" s="414"/>
      <c r="Q174" s="414"/>
    </row>
    <row r="175" spans="1:17">
      <c r="A175" s="85">
        <v>2006.1</v>
      </c>
      <c r="B175" s="50">
        <v>193729</v>
      </c>
      <c r="C175" s="1675">
        <v>15998</v>
      </c>
      <c r="D175" s="1365">
        <v>5086</v>
      </c>
      <c r="E175" s="1938">
        <v>692</v>
      </c>
      <c r="F175" s="1365">
        <v>1288</v>
      </c>
      <c r="G175" s="73">
        <v>145488</v>
      </c>
      <c r="H175" s="1946">
        <f t="shared" si="2"/>
        <v>146776</v>
      </c>
      <c r="I175" s="73">
        <v>5270</v>
      </c>
      <c r="J175" s="1950">
        <v>19907</v>
      </c>
      <c r="K175" s="73">
        <v>133876</v>
      </c>
      <c r="L175" s="573">
        <v>17625</v>
      </c>
      <c r="M175" s="1365">
        <v>56</v>
      </c>
      <c r="N175" s="163">
        <v>134873</v>
      </c>
      <c r="P175" s="414"/>
      <c r="Q175" s="414"/>
    </row>
    <row r="176" spans="1:17">
      <c r="A176" s="85">
        <v>2006.11</v>
      </c>
      <c r="B176" s="50">
        <v>188490</v>
      </c>
      <c r="C176" s="1675">
        <v>15188</v>
      </c>
      <c r="D176" s="1365">
        <v>4570</v>
      </c>
      <c r="E176" s="1938">
        <v>443</v>
      </c>
      <c r="F176" s="1365">
        <v>3777</v>
      </c>
      <c r="G176" s="73">
        <v>139812</v>
      </c>
      <c r="H176" s="1946">
        <f t="shared" si="2"/>
        <v>143589</v>
      </c>
      <c r="I176" s="73">
        <v>5134</v>
      </c>
      <c r="J176" s="1950">
        <v>19566</v>
      </c>
      <c r="K176" s="73">
        <v>127834</v>
      </c>
      <c r="L176" s="573">
        <v>16992</v>
      </c>
      <c r="M176" s="1365">
        <v>62</v>
      </c>
      <c r="N176" s="163">
        <v>131548</v>
      </c>
      <c r="P176" s="414"/>
      <c r="Q176" s="414"/>
    </row>
    <row r="177" spans="1:17">
      <c r="A177" s="85">
        <v>2006.12</v>
      </c>
      <c r="B177" s="50">
        <v>189650</v>
      </c>
      <c r="C177" s="1675">
        <v>12700</v>
      </c>
      <c r="D177" s="1365">
        <v>2984</v>
      </c>
      <c r="E177" s="1938">
        <v>293</v>
      </c>
      <c r="F177" s="1365">
        <v>8035</v>
      </c>
      <c r="G177" s="73">
        <v>141748</v>
      </c>
      <c r="H177" s="1946">
        <f t="shared" si="2"/>
        <v>149783</v>
      </c>
      <c r="I177" s="73">
        <v>4211</v>
      </c>
      <c r="J177" s="1950">
        <v>19679</v>
      </c>
      <c r="K177" s="73">
        <v>131328</v>
      </c>
      <c r="L177" s="573">
        <v>13697</v>
      </c>
      <c r="M177" s="1365">
        <v>54</v>
      </c>
      <c r="N177" s="163">
        <v>139309</v>
      </c>
      <c r="P177" s="414"/>
      <c r="Q177" s="414"/>
    </row>
    <row r="178" spans="1:17">
      <c r="A178" s="85">
        <v>2007.01</v>
      </c>
      <c r="B178" s="50">
        <v>185254</v>
      </c>
      <c r="C178" s="1675">
        <v>12842</v>
      </c>
      <c r="D178" s="1365">
        <v>3932</v>
      </c>
      <c r="E178" s="1938">
        <v>292</v>
      </c>
      <c r="F178" s="1365">
        <v>4288</v>
      </c>
      <c r="G178" s="73">
        <v>140878</v>
      </c>
      <c r="H178" s="1946">
        <f t="shared" si="2"/>
        <v>145166</v>
      </c>
      <c r="I178" s="73">
        <v>4216</v>
      </c>
      <c r="J178" s="1950">
        <v>18806</v>
      </c>
      <c r="K178" s="73">
        <v>130846</v>
      </c>
      <c r="L178" s="573">
        <v>14257</v>
      </c>
      <c r="M178" s="1365">
        <v>61</v>
      </c>
      <c r="N178" s="163">
        <v>135072</v>
      </c>
      <c r="P178" s="414"/>
      <c r="Q178" s="414"/>
    </row>
    <row r="179" spans="1:17">
      <c r="A179" s="85">
        <v>2007.02</v>
      </c>
      <c r="B179" s="50">
        <v>164753</v>
      </c>
      <c r="C179" s="1675">
        <v>12308</v>
      </c>
      <c r="D179" s="1365">
        <v>4239</v>
      </c>
      <c r="E179" s="1938">
        <v>293</v>
      </c>
      <c r="F179" s="1365">
        <v>2290</v>
      </c>
      <c r="G179" s="73">
        <v>124174</v>
      </c>
      <c r="H179" s="1946">
        <f t="shared" si="2"/>
        <v>126464</v>
      </c>
      <c r="I179" s="73">
        <v>4099</v>
      </c>
      <c r="J179" s="1950">
        <v>17350</v>
      </c>
      <c r="K179" s="73">
        <v>112851</v>
      </c>
      <c r="L179" s="573">
        <v>15855</v>
      </c>
      <c r="M179" s="1365">
        <v>66</v>
      </c>
      <c r="N179" s="163">
        <v>115075</v>
      </c>
      <c r="P179" s="414"/>
      <c r="Q179" s="414"/>
    </row>
    <row r="180" spans="1:17">
      <c r="A180" s="85">
        <v>2007.03</v>
      </c>
      <c r="B180" s="50">
        <v>194550</v>
      </c>
      <c r="C180" s="1675">
        <v>13098</v>
      </c>
      <c r="D180" s="1365">
        <v>5955</v>
      </c>
      <c r="E180" s="1938">
        <v>305</v>
      </c>
      <c r="F180" s="1365">
        <v>2490</v>
      </c>
      <c r="G180" s="73">
        <v>148220</v>
      </c>
      <c r="H180" s="1946">
        <f t="shared" si="2"/>
        <v>150710</v>
      </c>
      <c r="I180" s="73">
        <v>5479</v>
      </c>
      <c r="J180" s="1950">
        <v>19003</v>
      </c>
      <c r="K180" s="73">
        <v>135812</v>
      </c>
      <c r="L180" s="573">
        <v>18668</v>
      </c>
      <c r="M180" s="1365">
        <v>111</v>
      </c>
      <c r="N180" s="163">
        <v>138191</v>
      </c>
      <c r="P180" s="414"/>
      <c r="Q180" s="414"/>
    </row>
    <row r="181" spans="1:17">
      <c r="A181" s="85">
        <v>2007.04</v>
      </c>
      <c r="B181" s="50">
        <v>206804</v>
      </c>
      <c r="C181" s="1675">
        <v>21739</v>
      </c>
      <c r="D181" s="1365">
        <v>6867</v>
      </c>
      <c r="E181" s="1938">
        <v>368</v>
      </c>
      <c r="F181" s="1365">
        <v>2854</v>
      </c>
      <c r="G181" s="73">
        <v>150490</v>
      </c>
      <c r="H181" s="1946">
        <f t="shared" si="2"/>
        <v>153344</v>
      </c>
      <c r="I181" s="73">
        <v>6172</v>
      </c>
      <c r="J181" s="1950">
        <v>18314</v>
      </c>
      <c r="K181" s="73">
        <v>139309</v>
      </c>
      <c r="L181" s="573">
        <v>18415</v>
      </c>
      <c r="M181" s="1365">
        <v>155</v>
      </c>
      <c r="N181" s="163">
        <v>142009</v>
      </c>
      <c r="P181" s="414"/>
      <c r="Q181" s="414"/>
    </row>
    <row r="182" spans="1:17">
      <c r="A182" s="85">
        <v>2007.05</v>
      </c>
      <c r="B182" s="50">
        <v>238789</v>
      </c>
      <c r="C182" s="1675">
        <v>61283</v>
      </c>
      <c r="D182" s="1365">
        <v>8003</v>
      </c>
      <c r="E182" s="1938">
        <v>869</v>
      </c>
      <c r="F182" s="1365">
        <v>432</v>
      </c>
      <c r="G182" s="73">
        <v>134506</v>
      </c>
      <c r="H182" s="1946">
        <f t="shared" si="2"/>
        <v>134938</v>
      </c>
      <c r="I182" s="73">
        <v>13803</v>
      </c>
      <c r="J182" s="1950">
        <v>19893</v>
      </c>
      <c r="K182" s="73">
        <v>120537</v>
      </c>
      <c r="L182" s="573">
        <v>22841</v>
      </c>
      <c r="M182" s="1365">
        <v>79</v>
      </c>
      <c r="N182" s="163">
        <v>120890</v>
      </c>
      <c r="P182" s="414"/>
      <c r="Q182" s="414"/>
    </row>
    <row r="183" spans="1:17">
      <c r="A183" s="85">
        <v>2007.06</v>
      </c>
      <c r="B183" s="50">
        <v>212484</v>
      </c>
      <c r="C183" s="1675">
        <v>70914</v>
      </c>
      <c r="D183" s="1365">
        <v>8899</v>
      </c>
      <c r="E183" s="1938">
        <v>1547</v>
      </c>
      <c r="F183" s="1365">
        <v>31</v>
      </c>
      <c r="G183" s="73">
        <v>95769</v>
      </c>
      <c r="H183" s="1946">
        <f t="shared" si="2"/>
        <v>95800</v>
      </c>
      <c r="I183" s="73">
        <v>16595</v>
      </c>
      <c r="J183" s="1950">
        <v>18729</v>
      </c>
      <c r="K183" s="73">
        <v>82556</v>
      </c>
      <c r="L183" s="573">
        <v>23659</v>
      </c>
      <c r="M183" s="1365">
        <v>59</v>
      </c>
      <c r="N183" s="163">
        <v>82528</v>
      </c>
      <c r="P183" s="414"/>
      <c r="Q183" s="414"/>
    </row>
    <row r="184" spans="1:17">
      <c r="A184" s="85">
        <v>2007.07</v>
      </c>
      <c r="B184" s="50">
        <v>228112</v>
      </c>
      <c r="C184" s="1675">
        <v>85054</v>
      </c>
      <c r="D184" s="1365">
        <v>10851</v>
      </c>
      <c r="E184" s="1938">
        <v>2123</v>
      </c>
      <c r="F184" s="1365">
        <v>4</v>
      </c>
      <c r="G184" s="73">
        <v>92571</v>
      </c>
      <c r="H184" s="1946">
        <f t="shared" si="2"/>
        <v>92575</v>
      </c>
      <c r="I184" s="73">
        <v>19391</v>
      </c>
      <c r="J184" s="1950">
        <v>18118</v>
      </c>
      <c r="K184" s="73">
        <v>78241</v>
      </c>
      <c r="L184" s="573">
        <v>27304</v>
      </c>
      <c r="M184" s="1365">
        <v>49</v>
      </c>
      <c r="N184" s="163">
        <v>78196</v>
      </c>
      <c r="P184" s="414"/>
      <c r="Q184" s="414"/>
    </row>
    <row r="185" spans="1:17">
      <c r="A185" s="85">
        <v>2007.08</v>
      </c>
      <c r="B185" s="50">
        <v>218689</v>
      </c>
      <c r="C185" s="1675">
        <v>76436</v>
      </c>
      <c r="D185" s="1365">
        <v>11167</v>
      </c>
      <c r="E185" s="1938">
        <v>2224</v>
      </c>
      <c r="F185" s="1365">
        <v>4</v>
      </c>
      <c r="G185" s="73">
        <v>90093</v>
      </c>
      <c r="H185" s="1946">
        <f t="shared" si="2"/>
        <v>90097</v>
      </c>
      <c r="I185" s="73">
        <v>18956</v>
      </c>
      <c r="J185" s="1950">
        <v>19809</v>
      </c>
      <c r="K185" s="73">
        <v>75258</v>
      </c>
      <c r="L185" s="573">
        <v>28227</v>
      </c>
      <c r="M185" s="1365">
        <v>48</v>
      </c>
      <c r="N185" s="163">
        <v>75213</v>
      </c>
      <c r="P185" s="414"/>
      <c r="Q185" s="414"/>
    </row>
    <row r="186" spans="1:17">
      <c r="A186" s="85">
        <v>2007.09</v>
      </c>
      <c r="B186" s="50">
        <v>178039</v>
      </c>
      <c r="C186" s="1675">
        <v>38444</v>
      </c>
      <c r="D186" s="1365">
        <v>8411</v>
      </c>
      <c r="E186" s="1938">
        <v>1577</v>
      </c>
      <c r="F186" s="1365">
        <v>1241</v>
      </c>
      <c r="G186" s="73">
        <v>100959</v>
      </c>
      <c r="H186" s="1946">
        <f t="shared" si="2"/>
        <v>102200</v>
      </c>
      <c r="I186" s="73">
        <v>8897</v>
      </c>
      <c r="J186" s="1950">
        <v>18510</v>
      </c>
      <c r="K186" s="73">
        <v>88544</v>
      </c>
      <c r="L186" s="573">
        <v>22403</v>
      </c>
      <c r="M186" s="1365">
        <v>62</v>
      </c>
      <c r="N186" s="163">
        <v>89723</v>
      </c>
      <c r="P186" s="414"/>
      <c r="Q186" s="414"/>
    </row>
    <row r="187" spans="1:17">
      <c r="A187" s="85">
        <v>2007.1</v>
      </c>
      <c r="B187" s="50">
        <v>204872</v>
      </c>
      <c r="C187" s="1675">
        <v>24180</v>
      </c>
      <c r="D187" s="1365">
        <v>6028</v>
      </c>
      <c r="E187" s="1938">
        <v>826</v>
      </c>
      <c r="F187" s="1365">
        <v>1451</v>
      </c>
      <c r="G187" s="73">
        <v>147056</v>
      </c>
      <c r="H187" s="1946">
        <f t="shared" si="2"/>
        <v>148507</v>
      </c>
      <c r="I187" s="73">
        <v>6143</v>
      </c>
      <c r="J187" s="1950">
        <v>19188</v>
      </c>
      <c r="K187" s="73">
        <v>133987</v>
      </c>
      <c r="L187" s="573">
        <v>19924</v>
      </c>
      <c r="M187" s="1365">
        <v>115</v>
      </c>
      <c r="N187" s="163">
        <v>135322</v>
      </c>
      <c r="P187" s="414"/>
      <c r="Q187" s="414"/>
    </row>
    <row r="188" spans="1:17">
      <c r="A188" s="85">
        <v>2007.11</v>
      </c>
      <c r="B188" s="50">
        <v>210683</v>
      </c>
      <c r="C188" s="1675">
        <v>22103</v>
      </c>
      <c r="D188" s="1365">
        <v>5828</v>
      </c>
      <c r="E188" s="1938">
        <v>587</v>
      </c>
      <c r="F188" s="1365">
        <v>2736</v>
      </c>
      <c r="G188" s="73">
        <v>155817</v>
      </c>
      <c r="H188" s="1946">
        <f t="shared" si="2"/>
        <v>158553</v>
      </c>
      <c r="I188" s="73">
        <v>5038</v>
      </c>
      <c r="J188" s="1950">
        <v>18574</v>
      </c>
      <c r="K188" s="73">
        <v>143171</v>
      </c>
      <c r="L188" s="573">
        <v>19061</v>
      </c>
      <c r="M188" s="1365">
        <v>90</v>
      </c>
      <c r="N188" s="163">
        <v>145817</v>
      </c>
      <c r="P188" s="414"/>
      <c r="Q188" s="414"/>
    </row>
    <row r="189" spans="1:17">
      <c r="A189" s="85">
        <v>2007.12</v>
      </c>
      <c r="B189" s="50">
        <v>213290</v>
      </c>
      <c r="C189" s="1675">
        <v>12764</v>
      </c>
      <c r="D189" s="1365">
        <v>5285</v>
      </c>
      <c r="E189" s="1938">
        <v>417</v>
      </c>
      <c r="F189" s="1365">
        <v>6017</v>
      </c>
      <c r="G189" s="73">
        <v>165648</v>
      </c>
      <c r="H189" s="1946">
        <f t="shared" si="2"/>
        <v>171665</v>
      </c>
      <c r="I189" s="73">
        <v>4187</v>
      </c>
      <c r="J189" s="1950">
        <v>18972</v>
      </c>
      <c r="K189" s="73">
        <v>154488</v>
      </c>
      <c r="L189" s="573">
        <v>16862</v>
      </c>
      <c r="M189" s="1365">
        <v>73</v>
      </c>
      <c r="N189" s="163">
        <v>160432</v>
      </c>
      <c r="P189" s="414"/>
      <c r="Q189" s="414"/>
    </row>
    <row r="190" spans="1:17">
      <c r="A190" s="85">
        <f t="shared" ref="A190:A253" si="3">A178+1</f>
        <v>2008.01</v>
      </c>
      <c r="B190" s="50">
        <v>201338</v>
      </c>
      <c r="C190" s="1675">
        <v>14260</v>
      </c>
      <c r="D190" s="1365">
        <v>4181</v>
      </c>
      <c r="E190" s="1938">
        <v>332</v>
      </c>
      <c r="F190" s="1365">
        <v>7369</v>
      </c>
      <c r="G190" s="73">
        <v>153630</v>
      </c>
      <c r="H190" s="1946">
        <f t="shared" si="2"/>
        <v>160999</v>
      </c>
      <c r="I190" s="73">
        <v>4296</v>
      </c>
      <c r="J190" s="1950">
        <v>17270</v>
      </c>
      <c r="K190" s="73">
        <v>142748</v>
      </c>
      <c r="L190" s="573">
        <v>15395</v>
      </c>
      <c r="M190" s="1365">
        <v>74</v>
      </c>
      <c r="N190" s="163">
        <v>150043</v>
      </c>
      <c r="P190" s="414"/>
      <c r="Q190" s="414"/>
    </row>
    <row r="191" spans="1:17">
      <c r="A191" s="85">
        <f t="shared" si="3"/>
        <v>2008.02</v>
      </c>
      <c r="B191" s="50">
        <v>190084</v>
      </c>
      <c r="C191" s="1675">
        <v>12698</v>
      </c>
      <c r="D191" s="1365">
        <v>4189</v>
      </c>
      <c r="E191" s="1938">
        <v>307</v>
      </c>
      <c r="F191" s="1365">
        <v>18942</v>
      </c>
      <c r="G191" s="73">
        <v>133045</v>
      </c>
      <c r="H191" s="1946">
        <f t="shared" si="2"/>
        <v>151987</v>
      </c>
      <c r="I191" s="73">
        <v>4349</v>
      </c>
      <c r="J191" s="1950">
        <v>16554</v>
      </c>
      <c r="K191" s="73">
        <v>121240</v>
      </c>
      <c r="L191" s="573">
        <v>16293</v>
      </c>
      <c r="M191" s="1365">
        <v>171</v>
      </c>
      <c r="N191" s="163">
        <v>140019</v>
      </c>
      <c r="P191" s="414"/>
      <c r="Q191" s="414"/>
    </row>
    <row r="192" spans="1:17">
      <c r="A192" s="85">
        <f t="shared" si="3"/>
        <v>2008.03</v>
      </c>
      <c r="B192" s="50">
        <v>180658</v>
      </c>
      <c r="C192" s="1675">
        <v>13497</v>
      </c>
      <c r="D192" s="1365">
        <v>6445</v>
      </c>
      <c r="E192" s="1938">
        <v>313</v>
      </c>
      <c r="F192" s="1365">
        <v>5966</v>
      </c>
      <c r="G192" s="73">
        <v>131707</v>
      </c>
      <c r="H192" s="1946">
        <f t="shared" si="2"/>
        <v>137673</v>
      </c>
      <c r="I192" s="73">
        <v>5176</v>
      </c>
      <c r="J192" s="1950">
        <v>17554</v>
      </c>
      <c r="K192" s="73">
        <v>119981</v>
      </c>
      <c r="L192" s="573">
        <v>18327</v>
      </c>
      <c r="M192" s="1365">
        <v>373</v>
      </c>
      <c r="N192" s="163">
        <v>125731</v>
      </c>
      <c r="P192" s="414"/>
      <c r="Q192" s="414"/>
    </row>
    <row r="193" spans="1:17">
      <c r="A193" s="85">
        <f t="shared" si="3"/>
        <v>2008.04</v>
      </c>
      <c r="B193" s="50">
        <v>206361</v>
      </c>
      <c r="C193" s="1675">
        <v>24124</v>
      </c>
      <c r="D193" s="1365">
        <v>4835</v>
      </c>
      <c r="E193" s="1938">
        <v>452</v>
      </c>
      <c r="F193" s="1365">
        <v>3923</v>
      </c>
      <c r="G193" s="73">
        <v>149094</v>
      </c>
      <c r="H193" s="1946">
        <f t="shared" si="2"/>
        <v>153017</v>
      </c>
      <c r="I193" s="73">
        <v>6632</v>
      </c>
      <c r="J193" s="1950">
        <v>17301</v>
      </c>
      <c r="K193" s="73">
        <v>135824</v>
      </c>
      <c r="L193" s="573">
        <v>18557</v>
      </c>
      <c r="M193" s="1365">
        <v>167</v>
      </c>
      <c r="N193" s="163">
        <v>139580</v>
      </c>
      <c r="P193" s="414"/>
      <c r="Q193" s="414"/>
    </row>
    <row r="194" spans="1:17">
      <c r="A194" s="85">
        <f t="shared" si="3"/>
        <v>2008.05</v>
      </c>
      <c r="B194" s="50">
        <v>213125</v>
      </c>
      <c r="C194" s="1675">
        <v>46849</v>
      </c>
      <c r="D194" s="1365">
        <v>5892</v>
      </c>
      <c r="E194" s="1938">
        <v>903</v>
      </c>
      <c r="F194" s="1365">
        <v>1577</v>
      </c>
      <c r="G194" s="73">
        <v>129732</v>
      </c>
      <c r="H194" s="1946">
        <f t="shared" si="2"/>
        <v>131309</v>
      </c>
      <c r="I194" s="73">
        <v>10177</v>
      </c>
      <c r="J194" s="1950">
        <v>17995</v>
      </c>
      <c r="K194" s="73">
        <v>116556</v>
      </c>
      <c r="L194" s="573">
        <v>19782</v>
      </c>
      <c r="M194" s="1365">
        <v>151</v>
      </c>
      <c r="N194" s="163">
        <v>118171</v>
      </c>
      <c r="P194" s="414"/>
      <c r="Q194" s="414"/>
    </row>
    <row r="195" spans="1:17">
      <c r="A195" s="85">
        <f t="shared" si="3"/>
        <v>2008.06</v>
      </c>
      <c r="B195" s="50">
        <v>196068</v>
      </c>
      <c r="C195" s="1675">
        <v>70097</v>
      </c>
      <c r="D195" s="1365">
        <v>7177</v>
      </c>
      <c r="E195" s="1938">
        <v>1533</v>
      </c>
      <c r="F195" s="1365">
        <v>1022</v>
      </c>
      <c r="G195" s="73">
        <v>81210</v>
      </c>
      <c r="H195" s="1946">
        <f t="shared" si="2"/>
        <v>82232</v>
      </c>
      <c r="I195" s="73">
        <v>17125</v>
      </c>
      <c r="J195" s="1950">
        <v>17904</v>
      </c>
      <c r="K195" s="73">
        <v>68985</v>
      </c>
      <c r="L195" s="573">
        <v>20678</v>
      </c>
      <c r="M195" s="1365">
        <v>126</v>
      </c>
      <c r="N195" s="163">
        <v>70138</v>
      </c>
      <c r="P195" s="414"/>
      <c r="Q195" s="414"/>
    </row>
    <row r="196" spans="1:17">
      <c r="A196" s="85">
        <f t="shared" si="3"/>
        <v>2008.07</v>
      </c>
      <c r="B196" s="50">
        <v>208379</v>
      </c>
      <c r="C196" s="1675">
        <v>52406</v>
      </c>
      <c r="D196" s="1365">
        <v>9064</v>
      </c>
      <c r="E196" s="1938">
        <v>2044</v>
      </c>
      <c r="F196" s="1365">
        <v>1809</v>
      </c>
      <c r="G196" s="73">
        <v>109371</v>
      </c>
      <c r="H196" s="1946">
        <f t="shared" si="2"/>
        <v>111180</v>
      </c>
      <c r="I196" s="73">
        <v>15125</v>
      </c>
      <c r="J196" s="1950">
        <v>18560</v>
      </c>
      <c r="K196" s="73">
        <v>95131</v>
      </c>
      <c r="L196" s="573">
        <v>25181</v>
      </c>
      <c r="M196" s="1365">
        <v>206</v>
      </c>
      <c r="N196" s="163">
        <v>96901</v>
      </c>
      <c r="P196" s="414"/>
      <c r="Q196" s="414"/>
    </row>
    <row r="197" spans="1:17">
      <c r="A197" s="85">
        <f t="shared" si="3"/>
        <v>2008.08</v>
      </c>
      <c r="B197" s="50">
        <v>211076</v>
      </c>
      <c r="C197" s="1675">
        <v>57532</v>
      </c>
      <c r="D197" s="1365">
        <v>7992</v>
      </c>
      <c r="E197" s="1938">
        <v>1806</v>
      </c>
      <c r="F197" s="1365">
        <v>521</v>
      </c>
      <c r="G197" s="73">
        <v>109949</v>
      </c>
      <c r="H197" s="1946">
        <f t="shared" si="2"/>
        <v>110470</v>
      </c>
      <c r="I197" s="73">
        <v>14377</v>
      </c>
      <c r="J197" s="1950">
        <v>18899</v>
      </c>
      <c r="K197" s="73">
        <v>97016</v>
      </c>
      <c r="L197" s="573">
        <v>22731</v>
      </c>
      <c r="M197" s="1365">
        <v>192</v>
      </c>
      <c r="N197" s="163">
        <v>97345</v>
      </c>
      <c r="P197" s="414"/>
      <c r="Q197" s="414"/>
    </row>
    <row r="198" spans="1:17">
      <c r="A198" s="85">
        <f t="shared" si="3"/>
        <v>2008.09</v>
      </c>
      <c r="B198" s="50">
        <v>211195</v>
      </c>
      <c r="C198" s="1675">
        <v>48188</v>
      </c>
      <c r="D198" s="1365">
        <v>7616</v>
      </c>
      <c r="E198" s="1938">
        <v>1797</v>
      </c>
      <c r="F198" s="1365">
        <v>478</v>
      </c>
      <c r="G198" s="73">
        <v>123835</v>
      </c>
      <c r="H198" s="1946">
        <f t="shared" si="2"/>
        <v>124313</v>
      </c>
      <c r="I198" s="73">
        <v>11066</v>
      </c>
      <c r="J198" s="1950">
        <v>18215</v>
      </c>
      <c r="K198" s="73">
        <v>110695</v>
      </c>
      <c r="L198" s="573">
        <v>22553</v>
      </c>
      <c r="M198" s="1365">
        <v>118</v>
      </c>
      <c r="N198" s="163">
        <v>111055</v>
      </c>
      <c r="P198" s="414"/>
      <c r="Q198" s="414"/>
    </row>
    <row r="199" spans="1:17">
      <c r="A199" s="85">
        <f t="shared" si="3"/>
        <v>2008.1</v>
      </c>
      <c r="B199" s="50">
        <v>216275</v>
      </c>
      <c r="C199" s="1675">
        <v>28169</v>
      </c>
      <c r="D199" s="1365">
        <v>5996</v>
      </c>
      <c r="E199" s="1938">
        <v>1138</v>
      </c>
      <c r="F199" s="1365">
        <v>2159</v>
      </c>
      <c r="G199" s="73">
        <v>153395</v>
      </c>
      <c r="H199" s="1946">
        <f t="shared" si="2"/>
        <v>155554</v>
      </c>
      <c r="I199" s="73">
        <v>6784</v>
      </c>
      <c r="J199" s="1950">
        <v>18634</v>
      </c>
      <c r="K199" s="73">
        <v>141383</v>
      </c>
      <c r="L199" s="573">
        <v>19147</v>
      </c>
      <c r="M199" s="1365">
        <v>167</v>
      </c>
      <c r="N199" s="163">
        <v>143374</v>
      </c>
      <c r="P199" s="414"/>
      <c r="Q199" s="414"/>
    </row>
    <row r="200" spans="1:17">
      <c r="A200" s="85">
        <f t="shared" si="3"/>
        <v>2008.11</v>
      </c>
      <c r="B200" s="50">
        <v>194067</v>
      </c>
      <c r="C200" s="1675">
        <v>20251</v>
      </c>
      <c r="D200" s="1365">
        <v>4656</v>
      </c>
      <c r="E200" s="1938">
        <v>701</v>
      </c>
      <c r="F200" s="1365">
        <v>11739</v>
      </c>
      <c r="G200" s="73">
        <v>135253</v>
      </c>
      <c r="H200" s="1946">
        <f t="shared" si="2"/>
        <v>146992</v>
      </c>
      <c r="I200" s="73">
        <v>4023</v>
      </c>
      <c r="J200" s="1950">
        <v>17444</v>
      </c>
      <c r="K200" s="73">
        <v>124895</v>
      </c>
      <c r="L200" s="573">
        <v>15714</v>
      </c>
      <c r="M200" s="1365">
        <v>144</v>
      </c>
      <c r="N200" s="163">
        <v>136491</v>
      </c>
      <c r="P200" s="414"/>
      <c r="Q200" s="414"/>
    </row>
    <row r="201" spans="1:17">
      <c r="A201" s="85">
        <f t="shared" si="3"/>
        <v>2008.12</v>
      </c>
      <c r="B201" s="50">
        <v>153993</v>
      </c>
      <c r="C201" s="1675">
        <v>23945</v>
      </c>
      <c r="D201" s="1365">
        <v>4789</v>
      </c>
      <c r="E201" s="1938">
        <v>616</v>
      </c>
      <c r="F201" s="1365">
        <v>2954</v>
      </c>
      <c r="G201" s="73">
        <v>99216</v>
      </c>
      <c r="H201" s="1946">
        <f t="shared" si="2"/>
        <v>102170</v>
      </c>
      <c r="I201" s="73">
        <v>4512</v>
      </c>
      <c r="J201" s="1950">
        <v>17961</v>
      </c>
      <c r="K201" s="73">
        <v>89738</v>
      </c>
      <c r="L201" s="573">
        <v>14883</v>
      </c>
      <c r="M201" s="1365">
        <v>150</v>
      </c>
      <c r="N201" s="163">
        <v>92542</v>
      </c>
      <c r="P201" s="414"/>
      <c r="Q201" s="414"/>
    </row>
    <row r="202" spans="1:17">
      <c r="A202" s="85">
        <f t="shared" si="3"/>
        <v>2009.01</v>
      </c>
      <c r="B202" s="50">
        <v>159411</v>
      </c>
      <c r="C202" s="1675">
        <v>15006</v>
      </c>
      <c r="D202" s="1365">
        <v>3880</v>
      </c>
      <c r="E202" s="1938">
        <v>428</v>
      </c>
      <c r="F202" s="1365">
        <v>16083</v>
      </c>
      <c r="G202" s="73">
        <v>103625</v>
      </c>
      <c r="H202" s="1946">
        <f t="shared" si="2"/>
        <v>119708</v>
      </c>
      <c r="I202" s="73">
        <v>3887</v>
      </c>
      <c r="J202" s="1950">
        <v>16502</v>
      </c>
      <c r="K202" s="73">
        <v>94590</v>
      </c>
      <c r="L202" s="573">
        <v>13344</v>
      </c>
      <c r="M202" s="1365">
        <v>113</v>
      </c>
      <c r="N202" s="163">
        <v>110559</v>
      </c>
      <c r="P202" s="414"/>
      <c r="Q202" s="414"/>
    </row>
    <row r="203" spans="1:17">
      <c r="A203" s="85">
        <f t="shared" si="3"/>
        <v>2009.02</v>
      </c>
      <c r="B203" s="50">
        <v>164641</v>
      </c>
      <c r="C203" s="1675">
        <v>13235</v>
      </c>
      <c r="D203" s="1365">
        <v>3598</v>
      </c>
      <c r="E203" s="1938">
        <v>381</v>
      </c>
      <c r="F203" s="1365">
        <v>13155</v>
      </c>
      <c r="G203" s="73">
        <v>115061</v>
      </c>
      <c r="H203" s="1946">
        <f t="shared" si="2"/>
        <v>128216</v>
      </c>
      <c r="I203" s="73">
        <v>3816</v>
      </c>
      <c r="J203" s="1950">
        <v>15395</v>
      </c>
      <c r="K203" s="73">
        <v>105314</v>
      </c>
      <c r="L203" s="573">
        <v>13727</v>
      </c>
      <c r="M203" s="1365">
        <v>174</v>
      </c>
      <c r="N203" s="163">
        <v>118294</v>
      </c>
      <c r="P203" s="414"/>
      <c r="Q203" s="414"/>
    </row>
    <row r="204" spans="1:17">
      <c r="A204" s="85">
        <f t="shared" si="3"/>
        <v>2009.03</v>
      </c>
      <c r="B204" s="50">
        <v>170426</v>
      </c>
      <c r="C204" s="1675">
        <v>14078</v>
      </c>
      <c r="D204" s="1365">
        <v>4716</v>
      </c>
      <c r="E204" s="1938">
        <v>415</v>
      </c>
      <c r="F204" s="1365">
        <v>21639</v>
      </c>
      <c r="G204" s="73">
        <v>107658</v>
      </c>
      <c r="H204" s="1946">
        <f t="shared" ref="H204:H209" si="4">F204+G204</f>
        <v>129297</v>
      </c>
      <c r="I204" s="73">
        <v>4782</v>
      </c>
      <c r="J204" s="1950">
        <v>17138</v>
      </c>
      <c r="K204" s="73">
        <v>96236</v>
      </c>
      <c r="L204" s="573">
        <v>16553</v>
      </c>
      <c r="M204" s="1365">
        <v>259</v>
      </c>
      <c r="N204" s="163">
        <v>117616</v>
      </c>
      <c r="P204" s="414"/>
      <c r="Q204" s="414"/>
    </row>
    <row r="205" spans="1:17">
      <c r="A205" s="85">
        <f t="shared" si="3"/>
        <v>2009.04</v>
      </c>
      <c r="B205" s="50">
        <v>205342</v>
      </c>
      <c r="C205" s="1675">
        <v>16998</v>
      </c>
      <c r="D205" s="1365">
        <v>4303</v>
      </c>
      <c r="E205" s="1938">
        <v>516</v>
      </c>
      <c r="F205" s="1365">
        <v>14753</v>
      </c>
      <c r="G205" s="73">
        <v>146889</v>
      </c>
      <c r="H205" s="1946">
        <f t="shared" si="4"/>
        <v>161642</v>
      </c>
      <c r="I205" s="73">
        <v>4997</v>
      </c>
      <c r="J205" s="1950">
        <v>16886</v>
      </c>
      <c r="K205" s="73">
        <v>135937</v>
      </c>
      <c r="L205" s="573">
        <v>15771</v>
      </c>
      <c r="M205" s="1365">
        <v>265</v>
      </c>
      <c r="N205" s="163">
        <v>150425</v>
      </c>
      <c r="P205" s="414"/>
      <c r="Q205" s="414"/>
    </row>
    <row r="206" spans="1:17">
      <c r="A206" s="85">
        <f t="shared" si="3"/>
        <v>2009.05</v>
      </c>
      <c r="B206" s="50">
        <v>210330</v>
      </c>
      <c r="C206" s="1675">
        <v>41017</v>
      </c>
      <c r="D206" s="1365">
        <v>4916</v>
      </c>
      <c r="E206" s="1938">
        <v>831</v>
      </c>
      <c r="F206" s="1365">
        <v>838</v>
      </c>
      <c r="G206" s="73">
        <v>137419</v>
      </c>
      <c r="H206" s="1946">
        <f t="shared" si="4"/>
        <v>138257</v>
      </c>
      <c r="I206" s="73">
        <v>7606</v>
      </c>
      <c r="J206" s="1950">
        <v>17703</v>
      </c>
      <c r="K206" s="73">
        <v>126804</v>
      </c>
      <c r="L206" s="573">
        <v>16367</v>
      </c>
      <c r="M206" s="1365">
        <v>266</v>
      </c>
      <c r="N206" s="163">
        <v>127371</v>
      </c>
      <c r="P206" s="414"/>
      <c r="Q206" s="414"/>
    </row>
    <row r="207" spans="1:17">
      <c r="A207" s="85">
        <f t="shared" si="3"/>
        <v>2009.06</v>
      </c>
      <c r="B207" s="50">
        <v>241342</v>
      </c>
      <c r="C207" s="1675">
        <v>69963</v>
      </c>
      <c r="D207" s="1365">
        <v>6602</v>
      </c>
      <c r="E207" s="1938">
        <v>1782</v>
      </c>
      <c r="F207" s="1365">
        <v>124</v>
      </c>
      <c r="G207" s="73">
        <v>128395</v>
      </c>
      <c r="H207" s="1946">
        <f t="shared" si="4"/>
        <v>128519</v>
      </c>
      <c r="I207" s="73">
        <v>16794</v>
      </c>
      <c r="J207" s="1950">
        <v>17682</v>
      </c>
      <c r="K207" s="73">
        <v>116658</v>
      </c>
      <c r="L207" s="573">
        <v>20122</v>
      </c>
      <c r="M207" s="1365">
        <v>230</v>
      </c>
      <c r="N207" s="163">
        <v>116551</v>
      </c>
      <c r="P207" s="414"/>
      <c r="Q207" s="414"/>
    </row>
    <row r="208" spans="1:17">
      <c r="A208" s="85">
        <f t="shared" si="3"/>
        <v>2009.07</v>
      </c>
      <c r="B208" s="50">
        <v>237833</v>
      </c>
      <c r="C208" s="1675">
        <v>83068</v>
      </c>
      <c r="D208" s="1365">
        <v>8823</v>
      </c>
      <c r="E208" s="1938">
        <v>2529</v>
      </c>
      <c r="F208" s="1365">
        <v>56</v>
      </c>
      <c r="G208" s="73">
        <v>107712</v>
      </c>
      <c r="H208" s="1946">
        <f t="shared" si="4"/>
        <v>107768</v>
      </c>
      <c r="I208" s="73">
        <v>17985</v>
      </c>
      <c r="J208" s="1950">
        <v>17660</v>
      </c>
      <c r="K208" s="73">
        <v>94719</v>
      </c>
      <c r="L208" s="573">
        <v>24346</v>
      </c>
      <c r="M208" s="1365">
        <v>227</v>
      </c>
      <c r="N208" s="163">
        <v>94547</v>
      </c>
      <c r="P208" s="414"/>
      <c r="Q208" s="414"/>
    </row>
    <row r="209" spans="1:17">
      <c r="A209" s="85">
        <f t="shared" si="3"/>
        <v>2009.08</v>
      </c>
      <c r="B209" s="50">
        <v>193456</v>
      </c>
      <c r="C209" s="1675">
        <v>50367</v>
      </c>
      <c r="D209" s="1365">
        <v>8414</v>
      </c>
      <c r="E209" s="1938">
        <v>2200</v>
      </c>
      <c r="F209" s="1365">
        <v>351</v>
      </c>
      <c r="G209" s="73">
        <v>101438</v>
      </c>
      <c r="H209" s="1946">
        <f t="shared" si="4"/>
        <v>101789</v>
      </c>
      <c r="I209" s="73">
        <v>12347</v>
      </c>
      <c r="J209" s="1950">
        <v>18339</v>
      </c>
      <c r="K209" s="73">
        <v>89940</v>
      </c>
      <c r="L209" s="573">
        <v>22042</v>
      </c>
      <c r="M209" s="1365">
        <v>271</v>
      </c>
      <c r="N209" s="163">
        <v>90090</v>
      </c>
      <c r="P209" s="414"/>
      <c r="Q209" s="414"/>
    </row>
    <row r="210" spans="1:17">
      <c r="A210" s="85">
        <f t="shared" si="3"/>
        <v>2009.09</v>
      </c>
      <c r="B210" s="50">
        <v>209101</v>
      </c>
      <c r="C210" s="1675">
        <v>54996</v>
      </c>
      <c r="D210" s="1365">
        <v>7431</v>
      </c>
      <c r="E210" s="1938">
        <v>1799</v>
      </c>
      <c r="F210" s="1365">
        <v>513</v>
      </c>
      <c r="G210" s="73">
        <v>115665</v>
      </c>
      <c r="H210" s="1946">
        <f>F210+G210</f>
        <v>116178</v>
      </c>
      <c r="I210" s="73">
        <v>10560</v>
      </c>
      <c r="J210" s="1950">
        <v>18137</v>
      </c>
      <c r="K210" s="73">
        <v>103474</v>
      </c>
      <c r="L210" s="573">
        <v>21420</v>
      </c>
      <c r="M210" s="1365">
        <v>265</v>
      </c>
      <c r="N210" s="163">
        <v>103723</v>
      </c>
      <c r="P210" s="414"/>
      <c r="Q210" s="414"/>
    </row>
    <row r="211" spans="1:17">
      <c r="A211" s="85">
        <f t="shared" si="3"/>
        <v>2009.1</v>
      </c>
      <c r="B211" s="50">
        <v>195592</v>
      </c>
      <c r="C211" s="1675">
        <v>27910</v>
      </c>
      <c r="D211" s="1365">
        <v>5955</v>
      </c>
      <c r="E211" s="1938">
        <v>1263</v>
      </c>
      <c r="F211" s="1365">
        <v>357</v>
      </c>
      <c r="G211" s="73">
        <v>134989</v>
      </c>
      <c r="H211" s="1946">
        <f>F211+G211</f>
        <v>135346</v>
      </c>
      <c r="I211" s="73">
        <v>6733</v>
      </c>
      <c r="J211" s="1950">
        <v>18385</v>
      </c>
      <c r="K211" s="73">
        <v>123533</v>
      </c>
      <c r="L211" s="573">
        <v>18674</v>
      </c>
      <c r="M211" s="1365">
        <v>323</v>
      </c>
      <c r="N211" s="163">
        <v>123567</v>
      </c>
      <c r="P211" s="414"/>
      <c r="Q211" s="414"/>
    </row>
    <row r="212" spans="1:17">
      <c r="A212" s="85">
        <f t="shared" si="3"/>
        <v>2009.11</v>
      </c>
      <c r="B212" s="50">
        <v>170742</v>
      </c>
      <c r="C212" s="1675">
        <v>18453</v>
      </c>
      <c r="D212" s="1365">
        <v>4772</v>
      </c>
      <c r="E212" s="1938">
        <v>745</v>
      </c>
      <c r="F212" s="1365">
        <v>2566</v>
      </c>
      <c r="G212" s="73">
        <v>122645</v>
      </c>
      <c r="H212" s="1946">
        <f>F212+G212</f>
        <v>125211</v>
      </c>
      <c r="I212" s="73">
        <v>4364</v>
      </c>
      <c r="J212" s="1950">
        <v>17197</v>
      </c>
      <c r="K212" s="73">
        <v>112042</v>
      </c>
      <c r="L212" s="573">
        <v>16121</v>
      </c>
      <c r="M212" s="1365">
        <v>342</v>
      </c>
      <c r="N212" s="163">
        <v>114265</v>
      </c>
      <c r="P212" s="414"/>
      <c r="Q212" s="414"/>
    </row>
    <row r="213" spans="1:17">
      <c r="A213" s="85">
        <f t="shared" si="3"/>
        <v>2009.12</v>
      </c>
      <c r="B213" s="50">
        <v>174253</v>
      </c>
      <c r="C213" s="1675">
        <v>20199</v>
      </c>
      <c r="D213" s="1365">
        <v>3794</v>
      </c>
      <c r="E213" s="1938">
        <v>447</v>
      </c>
      <c r="F213" s="1365">
        <v>1600</v>
      </c>
      <c r="G213" s="73">
        <v>125375</v>
      </c>
      <c r="H213" s="1946">
        <f>F213+G213</f>
        <v>126975</v>
      </c>
      <c r="I213" s="73">
        <v>4428</v>
      </c>
      <c r="J213" s="1950">
        <v>18410</v>
      </c>
      <c r="K213" s="73">
        <v>115492</v>
      </c>
      <c r="L213" s="573">
        <v>14124</v>
      </c>
      <c r="M213" s="1365">
        <v>289</v>
      </c>
      <c r="N213" s="163">
        <v>116803</v>
      </c>
      <c r="P213" s="414"/>
      <c r="Q213" s="414"/>
    </row>
    <row r="214" spans="1:17">
      <c r="A214" s="85">
        <f t="shared" si="3"/>
        <v>2010.01</v>
      </c>
      <c r="B214" s="50">
        <v>158367</v>
      </c>
      <c r="C214" s="1675">
        <v>15127</v>
      </c>
      <c r="D214" s="1365">
        <v>4187</v>
      </c>
      <c r="E214" s="1938">
        <v>387</v>
      </c>
      <c r="F214" s="1365">
        <v>2750</v>
      </c>
      <c r="G214" s="73">
        <v>115578</v>
      </c>
      <c r="H214" s="1946">
        <f t="shared" ref="H214:H277" si="5">F214+G214</f>
        <v>118328</v>
      </c>
      <c r="I214" s="73">
        <v>3626</v>
      </c>
      <c r="J214" s="1950">
        <v>16712</v>
      </c>
      <c r="K214" s="73">
        <v>107025</v>
      </c>
      <c r="L214" s="573">
        <v>12985</v>
      </c>
      <c r="M214" s="1365">
        <v>427</v>
      </c>
      <c r="N214" s="163">
        <v>109490</v>
      </c>
      <c r="P214" s="414"/>
      <c r="Q214" s="414"/>
    </row>
    <row r="215" spans="1:17">
      <c r="A215" s="85">
        <f t="shared" si="3"/>
        <v>2010.02</v>
      </c>
      <c r="B215" s="50">
        <v>150759</v>
      </c>
      <c r="C215" s="1675">
        <v>14048</v>
      </c>
      <c r="D215" s="1365">
        <v>3890</v>
      </c>
      <c r="E215" s="1938">
        <v>312</v>
      </c>
      <c r="F215" s="1365">
        <v>4211</v>
      </c>
      <c r="G215" s="73">
        <v>108500</v>
      </c>
      <c r="H215" s="1946">
        <f t="shared" si="5"/>
        <v>112711</v>
      </c>
      <c r="I215" s="73">
        <v>4218</v>
      </c>
      <c r="J215" s="1950">
        <v>15580</v>
      </c>
      <c r="K215" s="73">
        <v>98777</v>
      </c>
      <c r="L215" s="573">
        <v>13781</v>
      </c>
      <c r="M215" s="1365">
        <v>448</v>
      </c>
      <c r="N215" s="163">
        <v>102684</v>
      </c>
      <c r="P215" s="414"/>
      <c r="Q215" s="414"/>
    </row>
    <row r="216" spans="1:17">
      <c r="A216" s="85">
        <f t="shared" si="3"/>
        <v>2010.03</v>
      </c>
      <c r="B216" s="50">
        <v>173937</v>
      </c>
      <c r="C216" s="1675">
        <v>15415</v>
      </c>
      <c r="D216" s="1365">
        <v>7336</v>
      </c>
      <c r="E216" s="1938">
        <v>426</v>
      </c>
      <c r="F216" s="1365">
        <v>1886</v>
      </c>
      <c r="G216" s="73">
        <v>126269</v>
      </c>
      <c r="H216" s="1946">
        <f t="shared" si="5"/>
        <v>128155</v>
      </c>
      <c r="I216" s="73">
        <v>5066</v>
      </c>
      <c r="J216" s="1950">
        <v>17539</v>
      </c>
      <c r="K216" s="73">
        <v>114316</v>
      </c>
      <c r="L216" s="573">
        <v>19444</v>
      </c>
      <c r="M216" s="1365">
        <v>944</v>
      </c>
      <c r="N216" s="163">
        <v>115529</v>
      </c>
      <c r="P216" s="414"/>
      <c r="Q216" s="414"/>
    </row>
    <row r="217" spans="1:17">
      <c r="A217" s="85">
        <f t="shared" si="3"/>
        <v>2010.04</v>
      </c>
      <c r="B217" s="50">
        <v>218270</v>
      </c>
      <c r="C217" s="1675">
        <v>26094</v>
      </c>
      <c r="D217" s="1365">
        <v>5017</v>
      </c>
      <c r="E217" s="1938">
        <v>580</v>
      </c>
      <c r="F217" s="1365">
        <v>913</v>
      </c>
      <c r="G217" s="73">
        <v>161621</v>
      </c>
      <c r="H217" s="1946">
        <f>F217+G217</f>
        <v>162534</v>
      </c>
      <c r="I217" s="73">
        <v>6553</v>
      </c>
      <c r="J217" s="1950">
        <v>17492</v>
      </c>
      <c r="K217" s="73">
        <v>150049</v>
      </c>
      <c r="L217" s="573">
        <v>17021</v>
      </c>
      <c r="M217" s="1365">
        <v>501</v>
      </c>
      <c r="N217" s="163">
        <v>150609</v>
      </c>
      <c r="P217" s="414"/>
      <c r="Q217" s="414"/>
    </row>
    <row r="218" spans="1:17">
      <c r="A218" s="85">
        <f t="shared" si="3"/>
        <v>2010.05</v>
      </c>
      <c r="B218" s="50">
        <v>251658</v>
      </c>
      <c r="C218" s="1675">
        <v>48564</v>
      </c>
      <c r="D218" s="1365">
        <v>6802</v>
      </c>
      <c r="E218" s="1938">
        <v>1099</v>
      </c>
      <c r="F218" s="1365">
        <v>419</v>
      </c>
      <c r="G218" s="73">
        <v>166222</v>
      </c>
      <c r="H218" s="1946">
        <f>F218+G218</f>
        <v>166641</v>
      </c>
      <c r="I218" s="73">
        <v>10467</v>
      </c>
      <c r="J218" s="1950">
        <v>18085</v>
      </c>
      <c r="K218" s="73">
        <v>154929</v>
      </c>
      <c r="L218" s="573">
        <v>19193</v>
      </c>
      <c r="M218" s="1365">
        <v>294</v>
      </c>
      <c r="N218" s="163">
        <v>155055</v>
      </c>
      <c r="P218" s="414"/>
      <c r="Q218" s="414"/>
    </row>
    <row r="219" spans="1:17">
      <c r="A219" s="85">
        <f t="shared" si="3"/>
        <v>2010.06</v>
      </c>
      <c r="B219" s="50">
        <v>235434</v>
      </c>
      <c r="C219" s="1675">
        <v>65764</v>
      </c>
      <c r="D219" s="1365">
        <v>7546</v>
      </c>
      <c r="E219" s="1938">
        <v>2025</v>
      </c>
      <c r="F219" s="1365">
        <v>58</v>
      </c>
      <c r="G219" s="73">
        <v>124388</v>
      </c>
      <c r="H219" s="1946">
        <f t="shared" si="5"/>
        <v>124446</v>
      </c>
      <c r="I219" s="73">
        <v>17553</v>
      </c>
      <c r="J219" s="1950">
        <v>18100</v>
      </c>
      <c r="K219" s="73">
        <v>112068</v>
      </c>
      <c r="L219" s="573">
        <v>22283</v>
      </c>
      <c r="M219" s="1365">
        <v>390</v>
      </c>
      <c r="N219" s="163">
        <v>111344</v>
      </c>
      <c r="P219" s="414"/>
      <c r="Q219" s="414"/>
    </row>
    <row r="220" spans="1:17">
      <c r="A220" s="85">
        <f t="shared" si="3"/>
        <v>2010.07</v>
      </c>
      <c r="B220" s="50">
        <v>220423</v>
      </c>
      <c r="C220" s="1675">
        <v>88404</v>
      </c>
      <c r="D220" s="1365">
        <v>9060</v>
      </c>
      <c r="E220" s="1938">
        <v>2325</v>
      </c>
      <c r="F220" s="1365">
        <v>1</v>
      </c>
      <c r="G220" s="73">
        <v>83130</v>
      </c>
      <c r="H220" s="1946">
        <f t="shared" si="5"/>
        <v>83131</v>
      </c>
      <c r="I220" s="73">
        <v>18461</v>
      </c>
      <c r="J220" s="1950">
        <v>19042</v>
      </c>
      <c r="K220" s="73">
        <v>70726</v>
      </c>
      <c r="L220" s="573">
        <v>23751</v>
      </c>
      <c r="M220" s="1365">
        <v>362</v>
      </c>
      <c r="N220" s="163">
        <v>70403</v>
      </c>
      <c r="P220" s="414"/>
      <c r="Q220" s="414"/>
    </row>
    <row r="221" spans="1:17">
      <c r="A221" s="85">
        <f t="shared" si="3"/>
        <v>2010.08</v>
      </c>
      <c r="B221" s="50">
        <v>272978</v>
      </c>
      <c r="C221" s="1675">
        <v>82656</v>
      </c>
      <c r="D221" s="1365">
        <v>10450</v>
      </c>
      <c r="E221" s="1938">
        <v>2772</v>
      </c>
      <c r="F221" s="1365">
        <v>233</v>
      </c>
      <c r="G221" s="73">
        <v>140206</v>
      </c>
      <c r="H221" s="1946">
        <f t="shared" si="5"/>
        <v>140439</v>
      </c>
      <c r="I221" s="73">
        <v>17578</v>
      </c>
      <c r="J221" s="1950">
        <v>19083</v>
      </c>
      <c r="K221" s="73">
        <v>127072</v>
      </c>
      <c r="L221" s="573">
        <v>26273</v>
      </c>
      <c r="M221" s="1365">
        <v>423</v>
      </c>
      <c r="N221" s="163">
        <v>126965</v>
      </c>
      <c r="P221" s="414"/>
      <c r="Q221" s="414"/>
    </row>
    <row r="222" spans="1:17">
      <c r="A222" s="85">
        <f t="shared" si="3"/>
        <v>2010.09</v>
      </c>
      <c r="B222" s="50">
        <v>248855</v>
      </c>
      <c r="C222" s="1675">
        <v>54379</v>
      </c>
      <c r="D222" s="1365">
        <v>8728</v>
      </c>
      <c r="E222" s="1938">
        <v>2191</v>
      </c>
      <c r="F222" s="1365">
        <v>644</v>
      </c>
      <c r="G222" s="73">
        <v>153504</v>
      </c>
      <c r="H222" s="1946">
        <f t="shared" si="5"/>
        <v>154148</v>
      </c>
      <c r="I222" s="73">
        <v>10894</v>
      </c>
      <c r="J222" s="1950">
        <v>18515</v>
      </c>
      <c r="K222" s="73">
        <v>141458</v>
      </c>
      <c r="L222" s="573">
        <v>22891</v>
      </c>
      <c r="M222" s="1365">
        <v>380</v>
      </c>
      <c r="N222" s="163">
        <v>141796</v>
      </c>
      <c r="P222" s="414"/>
      <c r="Q222" s="414"/>
    </row>
    <row r="223" spans="1:17">
      <c r="A223" s="85">
        <f t="shared" si="3"/>
        <v>2010.1</v>
      </c>
      <c r="B223" s="50">
        <v>226309</v>
      </c>
      <c r="C223" s="1675">
        <v>33217</v>
      </c>
      <c r="D223" s="1365">
        <v>6324</v>
      </c>
      <c r="E223" s="1938">
        <v>1194</v>
      </c>
      <c r="F223" s="1365">
        <v>79</v>
      </c>
      <c r="G223" s="73">
        <v>159769</v>
      </c>
      <c r="H223" s="1946">
        <f t="shared" si="5"/>
        <v>159848</v>
      </c>
      <c r="I223" s="73">
        <v>6893</v>
      </c>
      <c r="J223" s="1950">
        <v>18833</v>
      </c>
      <c r="K223" s="73">
        <v>149236</v>
      </c>
      <c r="L223" s="573">
        <v>17946</v>
      </c>
      <c r="M223" s="1365">
        <v>429</v>
      </c>
      <c r="N223" s="163">
        <v>148991</v>
      </c>
      <c r="P223" s="414"/>
      <c r="Q223" s="414"/>
    </row>
    <row r="224" spans="1:17">
      <c r="A224" s="85">
        <f t="shared" si="3"/>
        <v>2010.11</v>
      </c>
      <c r="B224" s="50">
        <v>198230</v>
      </c>
      <c r="C224" s="1675">
        <v>18946</v>
      </c>
      <c r="D224" s="1365">
        <v>5205</v>
      </c>
      <c r="E224" s="1938">
        <v>777</v>
      </c>
      <c r="F224" s="1365">
        <v>978</v>
      </c>
      <c r="G224" s="73">
        <v>149040</v>
      </c>
      <c r="H224" s="1946">
        <f t="shared" si="5"/>
        <v>150018</v>
      </c>
      <c r="I224" s="73">
        <v>5229</v>
      </c>
      <c r="J224" s="1950">
        <v>18055</v>
      </c>
      <c r="K224" s="73">
        <v>137853</v>
      </c>
      <c r="L224" s="573">
        <v>17036</v>
      </c>
      <c r="M224" s="1365">
        <v>489</v>
      </c>
      <c r="N224" s="163">
        <v>138475</v>
      </c>
      <c r="P224" s="414"/>
      <c r="Q224" s="414"/>
    </row>
    <row r="225" spans="1:17">
      <c r="A225" s="85">
        <f t="shared" si="3"/>
        <v>2010.12</v>
      </c>
      <c r="B225" s="50">
        <v>175530</v>
      </c>
      <c r="C225" s="1675">
        <v>16210</v>
      </c>
      <c r="D225" s="1365">
        <v>4816</v>
      </c>
      <c r="E225" s="1938">
        <v>517</v>
      </c>
      <c r="F225" s="1365">
        <v>3052</v>
      </c>
      <c r="G225" s="73">
        <v>127757</v>
      </c>
      <c r="H225" s="1946">
        <f t="shared" si="5"/>
        <v>130809</v>
      </c>
      <c r="I225" s="73">
        <v>4236</v>
      </c>
      <c r="J225" s="1950">
        <v>18942</v>
      </c>
      <c r="K225" s="73">
        <v>117686</v>
      </c>
      <c r="L225" s="573">
        <v>15268</v>
      </c>
      <c r="M225" s="1365">
        <v>505</v>
      </c>
      <c r="N225" s="163">
        <v>120369</v>
      </c>
      <c r="P225" s="414"/>
      <c r="Q225" s="414"/>
    </row>
    <row r="226" spans="1:17">
      <c r="A226" s="85">
        <f t="shared" si="3"/>
        <v>2011.01</v>
      </c>
      <c r="B226" s="50">
        <v>183280</v>
      </c>
      <c r="C226" s="1675">
        <v>15250</v>
      </c>
      <c r="D226" s="1365">
        <v>4311</v>
      </c>
      <c r="E226" s="1938">
        <v>371</v>
      </c>
      <c r="F226" s="1365">
        <v>11653</v>
      </c>
      <c r="G226" s="73">
        <v>130503</v>
      </c>
      <c r="H226" s="1946">
        <f t="shared" si="5"/>
        <v>142156</v>
      </c>
      <c r="I226" s="73">
        <v>3914</v>
      </c>
      <c r="J226" s="1950">
        <v>17278</v>
      </c>
      <c r="K226" s="73">
        <v>121951</v>
      </c>
      <c r="L226" s="573">
        <v>13233</v>
      </c>
      <c r="M226" s="1365">
        <v>380</v>
      </c>
      <c r="N226" s="163">
        <v>133225</v>
      </c>
      <c r="P226" s="414"/>
      <c r="Q226" s="414"/>
    </row>
    <row r="227" spans="1:17">
      <c r="A227" s="85">
        <f t="shared" si="3"/>
        <v>2011.02</v>
      </c>
      <c r="B227" s="50">
        <v>161841</v>
      </c>
      <c r="C227" s="1675">
        <v>13478</v>
      </c>
      <c r="D227" s="1365">
        <v>4047</v>
      </c>
      <c r="E227" s="1938">
        <v>325</v>
      </c>
      <c r="F227" s="1365">
        <v>1689</v>
      </c>
      <c r="G227" s="73">
        <v>121877</v>
      </c>
      <c r="H227" s="1946">
        <f t="shared" si="5"/>
        <v>123566</v>
      </c>
      <c r="I227" s="73">
        <v>4180</v>
      </c>
      <c r="J227" s="1950">
        <v>16245</v>
      </c>
      <c r="K227" s="73">
        <v>112436</v>
      </c>
      <c r="L227" s="573">
        <v>13813</v>
      </c>
      <c r="M227" s="1365">
        <v>411</v>
      </c>
      <c r="N227" s="163">
        <v>113714</v>
      </c>
      <c r="P227" s="414"/>
      <c r="Q227" s="414"/>
    </row>
    <row r="228" spans="1:17">
      <c r="A228" s="85">
        <f t="shared" si="3"/>
        <v>2011.03</v>
      </c>
      <c r="B228" s="50">
        <v>203230</v>
      </c>
      <c r="C228" s="1675">
        <v>18812</v>
      </c>
      <c r="D228" s="1365">
        <v>6498</v>
      </c>
      <c r="E228" s="1938">
        <v>406</v>
      </c>
      <c r="F228" s="1365">
        <v>1168</v>
      </c>
      <c r="G228" s="73">
        <v>152787</v>
      </c>
      <c r="H228" s="1946">
        <f t="shared" si="5"/>
        <v>153955</v>
      </c>
      <c r="I228" s="73">
        <v>5328</v>
      </c>
      <c r="J228" s="1950">
        <v>18231</v>
      </c>
      <c r="K228" s="73">
        <v>141525</v>
      </c>
      <c r="L228" s="573">
        <v>18164</v>
      </c>
      <c r="M228" s="1365">
        <v>491</v>
      </c>
      <c r="N228" s="163">
        <v>142204</v>
      </c>
      <c r="P228" s="414"/>
      <c r="Q228" s="414"/>
    </row>
    <row r="229" spans="1:17">
      <c r="A229" s="85">
        <f t="shared" si="3"/>
        <v>2011.04</v>
      </c>
      <c r="B229" s="50">
        <v>223070</v>
      </c>
      <c r="C229" s="1675">
        <v>24035</v>
      </c>
      <c r="D229" s="1365">
        <v>5280</v>
      </c>
      <c r="E229" s="1938">
        <v>568</v>
      </c>
      <c r="F229" s="1365">
        <v>774</v>
      </c>
      <c r="G229" s="73">
        <v>168205</v>
      </c>
      <c r="H229" s="1946">
        <f t="shared" si="5"/>
        <v>168979</v>
      </c>
      <c r="I229" s="73">
        <v>6129</v>
      </c>
      <c r="J229" s="1950">
        <v>18079</v>
      </c>
      <c r="K229" s="73">
        <v>156227</v>
      </c>
      <c r="L229" s="573">
        <v>17824</v>
      </c>
      <c r="M229" s="1365">
        <v>454</v>
      </c>
      <c r="N229" s="163">
        <v>156549</v>
      </c>
      <c r="P229" s="414"/>
      <c r="Q229" s="414"/>
    </row>
    <row r="230" spans="1:17">
      <c r="A230" s="85">
        <f t="shared" si="3"/>
        <v>2011.05</v>
      </c>
      <c r="B230" s="50">
        <v>261640</v>
      </c>
      <c r="C230" s="1675">
        <v>50355</v>
      </c>
      <c r="D230" s="1365">
        <v>6021</v>
      </c>
      <c r="E230" s="1938">
        <v>1083</v>
      </c>
      <c r="F230" s="1365">
        <v>152</v>
      </c>
      <c r="G230" s="73">
        <v>173531</v>
      </c>
      <c r="H230" s="1946">
        <f t="shared" si="5"/>
        <v>173683</v>
      </c>
      <c r="I230" s="73">
        <v>11669</v>
      </c>
      <c r="J230" s="1950">
        <v>18829</v>
      </c>
      <c r="K230" s="73">
        <v>161874</v>
      </c>
      <c r="L230" s="573">
        <v>18718</v>
      </c>
      <c r="M230" s="1365">
        <v>457</v>
      </c>
      <c r="N230" s="163">
        <v>161612</v>
      </c>
      <c r="P230" s="414"/>
      <c r="Q230" s="414"/>
    </row>
    <row r="231" spans="1:17">
      <c r="A231" s="85">
        <f t="shared" si="3"/>
        <v>2011.06</v>
      </c>
      <c r="B231" s="50">
        <v>242710</v>
      </c>
      <c r="C231" s="1675">
        <v>79510</v>
      </c>
      <c r="D231" s="1365">
        <v>9152</v>
      </c>
      <c r="E231" s="1938">
        <v>2079</v>
      </c>
      <c r="F231" s="1365">
        <v>108</v>
      </c>
      <c r="G231" s="73">
        <v>114300</v>
      </c>
      <c r="H231" s="1946">
        <f>F231+G231</f>
        <v>114408</v>
      </c>
      <c r="I231" s="73">
        <v>18781</v>
      </c>
      <c r="J231" s="1950">
        <v>18780</v>
      </c>
      <c r="K231" s="73">
        <v>101524</v>
      </c>
      <c r="L231" s="573">
        <v>23893</v>
      </c>
      <c r="M231" s="1365">
        <v>560</v>
      </c>
      <c r="N231" s="163">
        <v>101186</v>
      </c>
      <c r="P231" s="414"/>
      <c r="Q231" s="414"/>
    </row>
    <row r="232" spans="1:17">
      <c r="A232" s="85">
        <f t="shared" si="3"/>
        <v>2011.07</v>
      </c>
      <c r="B232" s="50">
        <v>266733</v>
      </c>
      <c r="C232" s="1675">
        <v>99788</v>
      </c>
      <c r="D232" s="1365">
        <v>11287</v>
      </c>
      <c r="E232" s="1938">
        <v>2806</v>
      </c>
      <c r="F232" s="1365">
        <v>321</v>
      </c>
      <c r="G232" s="73">
        <v>112477</v>
      </c>
      <c r="H232" s="1946">
        <f t="shared" si="5"/>
        <v>112798</v>
      </c>
      <c r="I232" s="73">
        <v>20315</v>
      </c>
      <c r="J232" s="1950">
        <v>19739</v>
      </c>
      <c r="K232" s="73">
        <v>99344</v>
      </c>
      <c r="L232" s="573">
        <v>27092</v>
      </c>
      <c r="M232" s="1365">
        <v>587</v>
      </c>
      <c r="N232" s="163">
        <v>99212</v>
      </c>
      <c r="P232" s="414"/>
      <c r="Q232" s="414"/>
    </row>
    <row r="233" spans="1:17">
      <c r="A233" s="85">
        <f t="shared" si="3"/>
        <v>2011.08</v>
      </c>
      <c r="B233" s="50">
        <v>254340</v>
      </c>
      <c r="C233" s="1675">
        <v>90121</v>
      </c>
      <c r="D233" s="1365">
        <v>10903</v>
      </c>
      <c r="E233" s="1938">
        <v>2899</v>
      </c>
      <c r="F233" s="1365">
        <v>885</v>
      </c>
      <c r="G233" s="73">
        <v>109800</v>
      </c>
      <c r="H233" s="1946">
        <f t="shared" si="5"/>
        <v>110685</v>
      </c>
      <c r="I233" s="73">
        <v>20002</v>
      </c>
      <c r="J233" s="1950">
        <v>19730</v>
      </c>
      <c r="K233" s="73">
        <v>97086</v>
      </c>
      <c r="L233" s="573">
        <v>26597</v>
      </c>
      <c r="M233" s="1365">
        <v>548</v>
      </c>
      <c r="N233" s="163">
        <v>97342</v>
      </c>
      <c r="P233" s="414"/>
      <c r="Q233" s="414"/>
    </row>
    <row r="234" spans="1:17">
      <c r="A234" s="85">
        <f t="shared" si="3"/>
        <v>2011.09</v>
      </c>
      <c r="B234" s="50">
        <v>251135</v>
      </c>
      <c r="C234" s="1675">
        <v>46737</v>
      </c>
      <c r="D234" s="1365">
        <v>8287</v>
      </c>
      <c r="E234" s="1938">
        <v>1980</v>
      </c>
      <c r="F234" s="1365">
        <v>1836</v>
      </c>
      <c r="G234" s="73">
        <v>162627</v>
      </c>
      <c r="H234" s="1946">
        <f t="shared" si="5"/>
        <v>164463</v>
      </c>
      <c r="I234" s="73">
        <v>10712</v>
      </c>
      <c r="J234" s="1950">
        <v>18956</v>
      </c>
      <c r="K234" s="73">
        <v>150611</v>
      </c>
      <c r="L234" s="573">
        <v>22148</v>
      </c>
      <c r="M234" s="1365">
        <v>524</v>
      </c>
      <c r="N234" s="163">
        <v>152058</v>
      </c>
      <c r="P234" s="414"/>
      <c r="Q234" s="414"/>
    </row>
    <row r="235" spans="1:17">
      <c r="A235" s="85">
        <f t="shared" si="3"/>
        <v>2011.1</v>
      </c>
      <c r="B235" s="50">
        <v>226303</v>
      </c>
      <c r="C235" s="1675">
        <v>29709</v>
      </c>
      <c r="D235" s="1365">
        <v>6241</v>
      </c>
      <c r="E235" s="1938">
        <v>1199</v>
      </c>
      <c r="F235" s="1365">
        <v>1399</v>
      </c>
      <c r="G235" s="73">
        <v>161104</v>
      </c>
      <c r="H235" s="1946">
        <f t="shared" si="5"/>
        <v>162503</v>
      </c>
      <c r="I235" s="73">
        <v>7144</v>
      </c>
      <c r="J235" s="1950">
        <v>19507</v>
      </c>
      <c r="K235" s="73">
        <v>149910</v>
      </c>
      <c r="L235" s="573">
        <v>18632</v>
      </c>
      <c r="M235" s="1365">
        <v>424</v>
      </c>
      <c r="N235" s="163">
        <v>150887</v>
      </c>
      <c r="P235" s="414"/>
      <c r="Q235" s="414"/>
    </row>
    <row r="236" spans="1:17">
      <c r="A236" s="85">
        <f t="shared" si="3"/>
        <v>2011.11</v>
      </c>
      <c r="B236" s="50">
        <v>191922</v>
      </c>
      <c r="C236" s="1675">
        <v>13720</v>
      </c>
      <c r="D236" s="1365">
        <v>4815</v>
      </c>
      <c r="E236" s="1938">
        <v>698</v>
      </c>
      <c r="F236" s="1365">
        <v>6830</v>
      </c>
      <c r="G236" s="73">
        <v>141679</v>
      </c>
      <c r="H236" s="1946">
        <f t="shared" si="5"/>
        <v>148509</v>
      </c>
      <c r="I236" s="73">
        <v>5335</v>
      </c>
      <c r="J236" s="1950">
        <v>18845</v>
      </c>
      <c r="K236" s="73">
        <v>130674</v>
      </c>
      <c r="L236" s="573">
        <v>16519</v>
      </c>
      <c r="M236" s="1365">
        <v>440</v>
      </c>
      <c r="N236" s="163">
        <v>137063</v>
      </c>
      <c r="P236" s="414"/>
      <c r="Q236" s="414"/>
    </row>
    <row r="237" spans="1:17">
      <c r="A237" s="85">
        <f t="shared" si="3"/>
        <v>2011.12</v>
      </c>
      <c r="B237" s="50">
        <v>202527</v>
      </c>
      <c r="C237" s="1675">
        <v>14503</v>
      </c>
      <c r="D237" s="1365">
        <v>5026</v>
      </c>
      <c r="E237" s="1938">
        <v>457</v>
      </c>
      <c r="F237" s="1365">
        <v>9808</v>
      </c>
      <c r="G237" s="73">
        <v>148732</v>
      </c>
      <c r="H237" s="1946">
        <f t="shared" si="5"/>
        <v>158540</v>
      </c>
      <c r="I237" s="73">
        <v>4482</v>
      </c>
      <c r="J237" s="1950">
        <v>19519</v>
      </c>
      <c r="K237" s="73">
        <v>138442</v>
      </c>
      <c r="L237" s="573">
        <v>15621</v>
      </c>
      <c r="M237" s="1365">
        <v>566</v>
      </c>
      <c r="N237" s="163">
        <v>147836</v>
      </c>
      <c r="P237" s="414"/>
      <c r="Q237" s="414"/>
    </row>
    <row r="238" spans="1:17">
      <c r="A238" s="85">
        <f t="shared" si="3"/>
        <v>2012.01</v>
      </c>
      <c r="B238" s="50">
        <v>201834</v>
      </c>
      <c r="C238" s="1675">
        <v>14648</v>
      </c>
      <c r="D238" s="1365">
        <v>4173</v>
      </c>
      <c r="E238" s="1938">
        <v>408</v>
      </c>
      <c r="F238" s="1365">
        <v>24498</v>
      </c>
      <c r="G238" s="73">
        <v>136066</v>
      </c>
      <c r="H238" s="1946">
        <f t="shared" si="5"/>
        <v>160564</v>
      </c>
      <c r="I238" s="73">
        <v>4330</v>
      </c>
      <c r="J238" s="1950">
        <v>17711</v>
      </c>
      <c r="K238" s="73">
        <v>127044</v>
      </c>
      <c r="L238" s="573">
        <v>13436</v>
      </c>
      <c r="M238" s="1365">
        <v>677</v>
      </c>
      <c r="N238" s="163">
        <v>151032</v>
      </c>
      <c r="P238" s="414"/>
      <c r="Q238" s="414"/>
    </row>
    <row r="239" spans="1:17">
      <c r="A239" s="85">
        <f t="shared" si="3"/>
        <v>2012.02</v>
      </c>
      <c r="B239" s="50">
        <v>185348</v>
      </c>
      <c r="C239" s="1675">
        <v>13808</v>
      </c>
      <c r="D239" s="1365">
        <v>4237</v>
      </c>
      <c r="E239" s="1938">
        <v>341</v>
      </c>
      <c r="F239" s="1365">
        <v>15488</v>
      </c>
      <c r="G239" s="73">
        <v>129912</v>
      </c>
      <c r="H239" s="1946">
        <f t="shared" si="5"/>
        <v>145400</v>
      </c>
      <c r="I239" s="73">
        <v>5060</v>
      </c>
      <c r="J239" s="1950">
        <v>16502</v>
      </c>
      <c r="K239" s="73">
        <v>120239</v>
      </c>
      <c r="L239" s="573">
        <v>14252</v>
      </c>
      <c r="M239" s="1365">
        <v>411</v>
      </c>
      <c r="N239" s="163">
        <v>135315</v>
      </c>
      <c r="P239" s="414"/>
      <c r="Q239" s="414"/>
    </row>
    <row r="240" spans="1:17">
      <c r="A240" s="85">
        <f t="shared" si="3"/>
        <v>2012.03</v>
      </c>
      <c r="B240" s="50">
        <v>194060</v>
      </c>
      <c r="C240" s="1675">
        <v>19100</v>
      </c>
      <c r="D240" s="1365">
        <v>5881</v>
      </c>
      <c r="E240" s="1938">
        <v>390</v>
      </c>
      <c r="F240" s="1365">
        <v>4462</v>
      </c>
      <c r="G240" s="73">
        <v>139968</v>
      </c>
      <c r="H240" s="1946">
        <f t="shared" si="5"/>
        <v>144430</v>
      </c>
      <c r="I240" s="73">
        <v>4660</v>
      </c>
      <c r="J240" s="1950">
        <v>19599</v>
      </c>
      <c r="K240" s="73">
        <v>128880</v>
      </c>
      <c r="L240" s="573">
        <v>17358</v>
      </c>
      <c r="M240" s="1365">
        <v>615</v>
      </c>
      <c r="N240" s="163">
        <v>132728</v>
      </c>
      <c r="P240" s="414"/>
      <c r="Q240" s="414"/>
    </row>
    <row r="241" spans="1:17">
      <c r="A241" s="85">
        <f t="shared" si="3"/>
        <v>2012.04</v>
      </c>
      <c r="B241" s="50">
        <v>216155</v>
      </c>
      <c r="C241" s="1675">
        <v>28135</v>
      </c>
      <c r="D241" s="1365">
        <v>5634</v>
      </c>
      <c r="E241" s="1938">
        <v>580</v>
      </c>
      <c r="F241" s="1365">
        <v>1506</v>
      </c>
      <c r="G241" s="73">
        <v>156165</v>
      </c>
      <c r="H241" s="1946">
        <f t="shared" si="5"/>
        <v>157671</v>
      </c>
      <c r="I241" s="73">
        <v>5955</v>
      </c>
      <c r="J241" s="1950">
        <v>18180</v>
      </c>
      <c r="K241" s="73">
        <v>145432</v>
      </c>
      <c r="L241" s="573">
        <v>16948</v>
      </c>
      <c r="M241" s="1365">
        <v>506</v>
      </c>
      <c r="N241" s="163">
        <v>146431</v>
      </c>
      <c r="P241" s="414"/>
      <c r="Q241" s="414"/>
    </row>
    <row r="242" spans="1:17">
      <c r="A242" s="85">
        <f t="shared" si="3"/>
        <v>2012.05</v>
      </c>
      <c r="B242" s="50">
        <v>237949</v>
      </c>
      <c r="C242" s="1675">
        <v>40456</v>
      </c>
      <c r="D242" s="1365">
        <v>6025</v>
      </c>
      <c r="E242" s="1938">
        <v>1108</v>
      </c>
      <c r="F242" s="1365">
        <v>694</v>
      </c>
      <c r="G242" s="73">
        <v>158569</v>
      </c>
      <c r="H242" s="1946">
        <f t="shared" si="5"/>
        <v>159263</v>
      </c>
      <c r="I242" s="73">
        <v>13170</v>
      </c>
      <c r="J242" s="1950">
        <v>17927</v>
      </c>
      <c r="K242" s="73">
        <v>147420</v>
      </c>
      <c r="L242" s="573">
        <v>18282</v>
      </c>
      <c r="M242" s="1365">
        <v>468</v>
      </c>
      <c r="N242" s="163">
        <v>147646</v>
      </c>
      <c r="P242" s="414"/>
      <c r="Q242" s="414"/>
    </row>
    <row r="243" spans="1:17">
      <c r="A243" s="85">
        <f t="shared" si="3"/>
        <v>2012.06</v>
      </c>
      <c r="B243" s="50">
        <v>241028</v>
      </c>
      <c r="C243" s="1675">
        <v>81910</v>
      </c>
      <c r="D243" s="1365">
        <v>9183</v>
      </c>
      <c r="E243" s="1938">
        <v>2120</v>
      </c>
      <c r="F243" s="1365">
        <v>548</v>
      </c>
      <c r="G243" s="73">
        <v>109773</v>
      </c>
      <c r="H243" s="1946">
        <f t="shared" si="5"/>
        <v>110321</v>
      </c>
      <c r="I243" s="73">
        <v>19358</v>
      </c>
      <c r="J243" s="1950">
        <v>18136</v>
      </c>
      <c r="K243" s="73">
        <v>97550</v>
      </c>
      <c r="L243" s="573">
        <v>23525</v>
      </c>
      <c r="M243" s="1365">
        <v>397</v>
      </c>
      <c r="N243" s="163">
        <v>97702</v>
      </c>
      <c r="P243" s="414"/>
      <c r="Q243" s="414"/>
    </row>
    <row r="244" spans="1:17">
      <c r="A244" s="85">
        <f t="shared" si="3"/>
        <v>2012.07</v>
      </c>
      <c r="B244" s="50">
        <v>267692</v>
      </c>
      <c r="C244" s="1675">
        <v>119401</v>
      </c>
      <c r="D244" s="1365">
        <v>11049</v>
      </c>
      <c r="E244" s="1938">
        <v>2989</v>
      </c>
      <c r="F244" s="1365">
        <v>225</v>
      </c>
      <c r="G244" s="73">
        <v>91148</v>
      </c>
      <c r="H244" s="1946">
        <f t="shared" si="5"/>
        <v>91373</v>
      </c>
      <c r="I244" s="73">
        <v>22714</v>
      </c>
      <c r="J244" s="1950">
        <v>20166</v>
      </c>
      <c r="K244" s="73">
        <v>78907</v>
      </c>
      <c r="L244" s="573">
        <v>26661</v>
      </c>
      <c r="M244" s="1365">
        <v>459</v>
      </c>
      <c r="N244" s="163">
        <v>78291</v>
      </c>
      <c r="P244" s="414"/>
      <c r="Q244" s="414"/>
    </row>
    <row r="245" spans="1:17">
      <c r="A245" s="85">
        <f t="shared" si="3"/>
        <v>2012.08</v>
      </c>
      <c r="B245" s="50">
        <v>228655</v>
      </c>
      <c r="C245" s="1675">
        <v>75532</v>
      </c>
      <c r="D245" s="1365">
        <v>9850</v>
      </c>
      <c r="E245" s="1938">
        <v>2494</v>
      </c>
      <c r="F245" s="1365">
        <v>420</v>
      </c>
      <c r="G245" s="73">
        <v>102396</v>
      </c>
      <c r="H245" s="1946">
        <f t="shared" si="5"/>
        <v>102816</v>
      </c>
      <c r="I245" s="73">
        <v>18216</v>
      </c>
      <c r="J245" s="1950">
        <v>19747</v>
      </c>
      <c r="K245" s="73">
        <v>90759</v>
      </c>
      <c r="L245" s="573">
        <v>23980</v>
      </c>
      <c r="M245" s="1365">
        <v>468</v>
      </c>
      <c r="N245" s="163">
        <v>90712</v>
      </c>
      <c r="P245" s="414"/>
      <c r="Q245" s="414"/>
    </row>
    <row r="246" spans="1:17">
      <c r="A246" s="85">
        <f t="shared" si="3"/>
        <v>2012.09</v>
      </c>
      <c r="B246" s="50">
        <v>229574</v>
      </c>
      <c r="C246" s="1675">
        <v>48546</v>
      </c>
      <c r="D246" s="1365">
        <v>7670</v>
      </c>
      <c r="E246" s="1938">
        <v>1805</v>
      </c>
      <c r="F246" s="1365">
        <v>1250</v>
      </c>
      <c r="G246" s="73">
        <v>140727</v>
      </c>
      <c r="H246" s="1946">
        <f t="shared" si="5"/>
        <v>141977</v>
      </c>
      <c r="I246" s="73">
        <v>10444</v>
      </c>
      <c r="J246" s="1950">
        <v>19132</v>
      </c>
      <c r="K246" s="73">
        <v>130237</v>
      </c>
      <c r="L246" s="573">
        <v>19965</v>
      </c>
      <c r="M246" s="1365">
        <v>457</v>
      </c>
      <c r="N246" s="163">
        <v>131030</v>
      </c>
      <c r="P246" s="414"/>
      <c r="Q246" s="414"/>
    </row>
    <row r="247" spans="1:17">
      <c r="A247" s="85">
        <f t="shared" si="3"/>
        <v>2012.1</v>
      </c>
      <c r="B247" s="50">
        <v>212169</v>
      </c>
      <c r="C247" s="1675">
        <v>29967</v>
      </c>
      <c r="D247" s="1365">
        <v>6678</v>
      </c>
      <c r="E247" s="1938">
        <v>1304</v>
      </c>
      <c r="F247" s="1365">
        <v>6024</v>
      </c>
      <c r="G247" s="73">
        <v>139727</v>
      </c>
      <c r="H247" s="1946">
        <f t="shared" si="5"/>
        <v>145751</v>
      </c>
      <c r="I247" s="73">
        <v>9117</v>
      </c>
      <c r="J247" s="1950">
        <v>19352</v>
      </c>
      <c r="K247" s="73">
        <v>128436</v>
      </c>
      <c r="L247" s="573">
        <v>19273</v>
      </c>
      <c r="M247" s="1365">
        <v>497</v>
      </c>
      <c r="N247" s="163">
        <v>133963</v>
      </c>
      <c r="P247" s="414"/>
      <c r="Q247" s="414"/>
    </row>
    <row r="248" spans="1:17">
      <c r="A248" s="85">
        <f t="shared" si="3"/>
        <v>2012.11</v>
      </c>
      <c r="B248" s="50">
        <v>211878</v>
      </c>
      <c r="C248" s="1675">
        <v>25167</v>
      </c>
      <c r="D248" s="1365">
        <v>5057</v>
      </c>
      <c r="E248" s="1938">
        <v>1105</v>
      </c>
      <c r="F248" s="1365">
        <v>15706</v>
      </c>
      <c r="G248" s="73">
        <v>140413</v>
      </c>
      <c r="H248" s="1946">
        <f t="shared" si="5"/>
        <v>156119</v>
      </c>
      <c r="I248" s="73">
        <v>5782</v>
      </c>
      <c r="J248" s="1950">
        <v>18648</v>
      </c>
      <c r="K248" s="73">
        <v>130148</v>
      </c>
      <c r="L248" s="573">
        <v>16426</v>
      </c>
      <c r="M248" s="1365">
        <v>462</v>
      </c>
      <c r="N248" s="163">
        <v>145393</v>
      </c>
      <c r="P248" s="414"/>
      <c r="Q248" s="414"/>
    </row>
    <row r="249" spans="1:17">
      <c r="A249" s="85">
        <f t="shared" si="3"/>
        <v>2012.12</v>
      </c>
      <c r="B249" s="50">
        <v>176322</v>
      </c>
      <c r="C249" s="1675">
        <v>18009</v>
      </c>
      <c r="D249" s="1365">
        <v>6338</v>
      </c>
      <c r="E249" s="1938">
        <v>780</v>
      </c>
      <c r="F249" s="1365">
        <v>6339</v>
      </c>
      <c r="G249" s="73">
        <v>121000</v>
      </c>
      <c r="H249" s="1946">
        <f t="shared" si="5"/>
        <v>127339</v>
      </c>
      <c r="I249" s="73">
        <v>4999</v>
      </c>
      <c r="J249" s="1950">
        <v>18857</v>
      </c>
      <c r="K249" s="73">
        <v>112125</v>
      </c>
      <c r="L249" s="573">
        <v>15993</v>
      </c>
      <c r="M249" s="1365">
        <v>384</v>
      </c>
      <c r="N249" s="163">
        <v>118080</v>
      </c>
      <c r="P249" s="414"/>
      <c r="Q249" s="414"/>
    </row>
    <row r="250" spans="1:17">
      <c r="A250" s="85">
        <f t="shared" si="3"/>
        <v>2013.01</v>
      </c>
      <c r="B250" s="50">
        <v>185453</v>
      </c>
      <c r="C250" s="1675">
        <v>15978</v>
      </c>
      <c r="D250" s="1365">
        <v>4278</v>
      </c>
      <c r="E250" s="1938">
        <v>571</v>
      </c>
      <c r="F250" s="1365">
        <v>21180</v>
      </c>
      <c r="G250" s="73">
        <v>120635</v>
      </c>
      <c r="H250" s="1946">
        <f t="shared" si="5"/>
        <v>141815</v>
      </c>
      <c r="I250" s="73">
        <v>5192</v>
      </c>
      <c r="J250" s="1950">
        <v>17619</v>
      </c>
      <c r="K250" s="73">
        <v>112644</v>
      </c>
      <c r="L250" s="573">
        <v>12974</v>
      </c>
      <c r="M250" s="1365">
        <v>369</v>
      </c>
      <c r="N250" s="163">
        <v>133321</v>
      </c>
      <c r="P250" s="414"/>
      <c r="Q250" s="414"/>
    </row>
    <row r="251" spans="1:17">
      <c r="A251" s="85">
        <f t="shared" si="3"/>
        <v>2013.02</v>
      </c>
      <c r="B251" s="50">
        <v>166685</v>
      </c>
      <c r="C251" s="1675">
        <v>14873</v>
      </c>
      <c r="D251" s="1365">
        <v>3924</v>
      </c>
      <c r="E251" s="1938">
        <v>491</v>
      </c>
      <c r="F251" s="1365">
        <v>17655</v>
      </c>
      <c r="G251" s="73">
        <v>108778</v>
      </c>
      <c r="H251" s="1946">
        <f t="shared" si="5"/>
        <v>126433</v>
      </c>
      <c r="I251" s="73">
        <v>4858</v>
      </c>
      <c r="J251" s="1950">
        <v>16106</v>
      </c>
      <c r="K251" s="73">
        <v>99551</v>
      </c>
      <c r="L251" s="573">
        <v>13644</v>
      </c>
      <c r="M251" s="1365">
        <v>445</v>
      </c>
      <c r="N251" s="163">
        <v>116759</v>
      </c>
      <c r="P251" s="414"/>
      <c r="Q251" s="414"/>
    </row>
    <row r="252" spans="1:17">
      <c r="A252" s="85">
        <f t="shared" si="3"/>
        <v>2013.03</v>
      </c>
      <c r="B252" s="50">
        <v>196410</v>
      </c>
      <c r="C252" s="1675">
        <v>24780</v>
      </c>
      <c r="D252" s="1365">
        <v>5671</v>
      </c>
      <c r="E252" s="1938">
        <v>626</v>
      </c>
      <c r="F252" s="1365">
        <v>3096</v>
      </c>
      <c r="G252" s="73">
        <v>137615</v>
      </c>
      <c r="H252" s="1946">
        <f t="shared" si="5"/>
        <v>140711</v>
      </c>
      <c r="I252" s="73">
        <v>6180</v>
      </c>
      <c r="J252" s="1950">
        <v>18442</v>
      </c>
      <c r="K252" s="73">
        <v>126716</v>
      </c>
      <c r="L252" s="573">
        <v>17197</v>
      </c>
      <c r="M252" s="1365">
        <v>525</v>
      </c>
      <c r="N252" s="163">
        <v>129286</v>
      </c>
      <c r="P252" s="414"/>
      <c r="Q252" s="414"/>
    </row>
    <row r="253" spans="1:17">
      <c r="A253" s="85">
        <f t="shared" si="3"/>
        <v>2013.04</v>
      </c>
      <c r="B253" s="50">
        <v>229911</v>
      </c>
      <c r="C253" s="1675">
        <v>28131</v>
      </c>
      <c r="D253" s="1365">
        <v>4989</v>
      </c>
      <c r="E253" s="1938">
        <v>903</v>
      </c>
      <c r="F253" s="1365">
        <v>2073</v>
      </c>
      <c r="G253" s="73">
        <v>168891</v>
      </c>
      <c r="H253" s="1946">
        <f t="shared" si="5"/>
        <v>170964</v>
      </c>
      <c r="I253" s="73">
        <v>6928</v>
      </c>
      <c r="J253" s="1950">
        <v>17996</v>
      </c>
      <c r="K253" s="73">
        <v>157944</v>
      </c>
      <c r="L253" s="573">
        <v>16838</v>
      </c>
      <c r="M253" s="1365">
        <v>467</v>
      </c>
      <c r="N253" s="163">
        <v>159551</v>
      </c>
      <c r="P253" s="414"/>
      <c r="Q253" s="414"/>
    </row>
    <row r="254" spans="1:17">
      <c r="A254" s="85">
        <f t="shared" ref="A254:A317" si="6">A242+1</f>
        <v>2013.05</v>
      </c>
      <c r="B254" s="50">
        <v>250569</v>
      </c>
      <c r="C254" s="1675">
        <v>58009</v>
      </c>
      <c r="D254" s="1365">
        <v>6414</v>
      </c>
      <c r="E254" s="1938">
        <v>1504</v>
      </c>
      <c r="F254" s="1365">
        <v>1392</v>
      </c>
      <c r="G254" s="73">
        <v>150685</v>
      </c>
      <c r="H254" s="1946">
        <f t="shared" si="5"/>
        <v>152077</v>
      </c>
      <c r="I254" s="73">
        <v>13480</v>
      </c>
      <c r="J254" s="1950">
        <v>19085</v>
      </c>
      <c r="K254" s="73">
        <v>138774</v>
      </c>
      <c r="L254" s="573">
        <v>19829</v>
      </c>
      <c r="M254" s="1365">
        <v>671</v>
      </c>
      <c r="N254" s="163">
        <v>139495</v>
      </c>
      <c r="P254" s="414"/>
      <c r="Q254" s="414"/>
    </row>
    <row r="255" spans="1:17">
      <c r="A255" s="85">
        <f t="shared" si="6"/>
        <v>2013.06</v>
      </c>
      <c r="B255" s="50">
        <v>250407</v>
      </c>
      <c r="C255" s="1675">
        <v>80445</v>
      </c>
      <c r="D255" s="1365">
        <v>9043</v>
      </c>
      <c r="E255" s="1938">
        <v>2813</v>
      </c>
      <c r="F255" s="1365">
        <v>1238</v>
      </c>
      <c r="G255" s="73">
        <v>118863</v>
      </c>
      <c r="H255" s="1946">
        <f t="shared" si="5"/>
        <v>120101</v>
      </c>
      <c r="I255" s="73">
        <v>19118</v>
      </c>
      <c r="J255" s="1950">
        <v>18887</v>
      </c>
      <c r="K255" s="73">
        <v>107398</v>
      </c>
      <c r="L255" s="573">
        <v>23321</v>
      </c>
      <c r="M255" s="1365">
        <v>639</v>
      </c>
      <c r="N255" s="163">
        <v>107997</v>
      </c>
      <c r="P255" s="414"/>
      <c r="Q255" s="414"/>
    </row>
    <row r="256" spans="1:17">
      <c r="A256" s="85">
        <f t="shared" si="6"/>
        <v>2013.07</v>
      </c>
      <c r="B256" s="50">
        <v>273866</v>
      </c>
      <c r="C256" s="1675">
        <v>110787</v>
      </c>
      <c r="D256" s="1365">
        <v>10069</v>
      </c>
      <c r="E256" s="1938">
        <v>3584</v>
      </c>
      <c r="F256" s="1365">
        <v>1252</v>
      </c>
      <c r="G256" s="73">
        <v>107640</v>
      </c>
      <c r="H256" s="1946">
        <f t="shared" si="5"/>
        <v>108892</v>
      </c>
      <c r="I256" s="73">
        <v>22921</v>
      </c>
      <c r="J256" s="1950">
        <v>17965</v>
      </c>
      <c r="K256" s="73">
        <v>94815</v>
      </c>
      <c r="L256" s="573">
        <v>26459</v>
      </c>
      <c r="M256" s="1365">
        <v>298</v>
      </c>
      <c r="N256" s="163">
        <v>95788</v>
      </c>
      <c r="P256" s="414"/>
      <c r="Q256" s="414"/>
    </row>
    <row r="257" spans="1:17">
      <c r="A257" s="85">
        <f t="shared" si="6"/>
        <v>2013.08</v>
      </c>
      <c r="B257" s="50">
        <v>265778</v>
      </c>
      <c r="C257" s="1675">
        <v>93256</v>
      </c>
      <c r="D257" s="1365">
        <v>9647</v>
      </c>
      <c r="E257" s="1938">
        <v>3603</v>
      </c>
      <c r="F257" s="1365">
        <v>992</v>
      </c>
      <c r="G257" s="73">
        <v>114978</v>
      </c>
      <c r="H257" s="1946">
        <f t="shared" si="5"/>
        <v>115970</v>
      </c>
      <c r="I257" s="73">
        <v>21452</v>
      </c>
      <c r="J257" s="1950">
        <v>22724</v>
      </c>
      <c r="K257" s="73">
        <v>103773</v>
      </c>
      <c r="L257" s="573">
        <v>24454</v>
      </c>
      <c r="M257" s="1365">
        <v>1040</v>
      </c>
      <c r="N257" s="163">
        <v>103726</v>
      </c>
      <c r="P257" s="414"/>
      <c r="Q257" s="414"/>
    </row>
    <row r="258" spans="1:17">
      <c r="A258" s="85">
        <f t="shared" si="6"/>
        <v>2013.09</v>
      </c>
      <c r="B258" s="50">
        <v>245653</v>
      </c>
      <c r="C258" s="1675">
        <v>58597</v>
      </c>
      <c r="D258" s="1365">
        <v>7229</v>
      </c>
      <c r="E258" s="1938">
        <v>2727</v>
      </c>
      <c r="F258" s="1365">
        <v>1027</v>
      </c>
      <c r="G258" s="73">
        <v>142140</v>
      </c>
      <c r="H258" s="1946">
        <f t="shared" si="5"/>
        <v>143167</v>
      </c>
      <c r="I258" s="73">
        <v>14626</v>
      </c>
      <c r="J258" s="1950">
        <v>19307</v>
      </c>
      <c r="K258" s="73">
        <v>130853</v>
      </c>
      <c r="L258" s="573">
        <v>21242</v>
      </c>
      <c r="M258" s="1365">
        <v>691</v>
      </c>
      <c r="N258" s="163">
        <v>131190</v>
      </c>
      <c r="P258" s="414"/>
      <c r="Q258" s="414"/>
    </row>
    <row r="259" spans="1:17">
      <c r="A259" s="85">
        <f t="shared" si="6"/>
        <v>2013.1</v>
      </c>
      <c r="B259" s="50">
        <v>226520</v>
      </c>
      <c r="C259" s="1675">
        <v>31062</v>
      </c>
      <c r="D259" s="1365">
        <v>6187</v>
      </c>
      <c r="E259" s="1938">
        <v>1999</v>
      </c>
      <c r="F259" s="1365">
        <v>6900</v>
      </c>
      <c r="G259" s="73">
        <v>151713</v>
      </c>
      <c r="H259" s="1946">
        <f t="shared" si="5"/>
        <v>158613</v>
      </c>
      <c r="I259" s="73">
        <v>9028</v>
      </c>
      <c r="J259" s="1950">
        <v>19631</v>
      </c>
      <c r="K259" s="73">
        <v>140431</v>
      </c>
      <c r="L259" s="573">
        <v>19470</v>
      </c>
      <c r="M259" s="1365">
        <v>566</v>
      </c>
      <c r="N259" s="163">
        <v>146763</v>
      </c>
      <c r="P259" s="414"/>
      <c r="Q259" s="414"/>
    </row>
    <row r="260" spans="1:17">
      <c r="A260" s="85">
        <f t="shared" si="6"/>
        <v>2013.11</v>
      </c>
      <c r="B260" s="50">
        <v>204292</v>
      </c>
      <c r="C260" s="1675">
        <v>15667</v>
      </c>
      <c r="D260" s="1365">
        <v>4678</v>
      </c>
      <c r="E260" s="1938">
        <v>1065</v>
      </c>
      <c r="F260" s="1365">
        <v>14020</v>
      </c>
      <c r="G260" s="73">
        <v>143815</v>
      </c>
      <c r="H260" s="1946">
        <f t="shared" si="5"/>
        <v>157835</v>
      </c>
      <c r="I260" s="73">
        <v>6252</v>
      </c>
      <c r="J260" s="1950">
        <v>18795</v>
      </c>
      <c r="K260" s="73">
        <v>133658</v>
      </c>
      <c r="L260" s="573">
        <v>15900</v>
      </c>
      <c r="M260" s="1365">
        <v>901</v>
      </c>
      <c r="N260" s="163">
        <v>146777</v>
      </c>
      <c r="P260" s="414"/>
      <c r="Q260" s="414"/>
    </row>
    <row r="261" spans="1:17">
      <c r="A261" s="85">
        <f t="shared" si="6"/>
        <v>2013.12</v>
      </c>
      <c r="B261" s="50">
        <v>184331</v>
      </c>
      <c r="C261" s="1675">
        <v>15866</v>
      </c>
      <c r="D261" s="1365">
        <v>2597</v>
      </c>
      <c r="E261" s="1938">
        <v>903</v>
      </c>
      <c r="F261" s="1365">
        <v>14935</v>
      </c>
      <c r="G261" s="73">
        <v>124917</v>
      </c>
      <c r="H261" s="1946">
        <f t="shared" si="5"/>
        <v>139852</v>
      </c>
      <c r="I261" s="73">
        <v>5663</v>
      </c>
      <c r="J261" s="1950">
        <v>19450</v>
      </c>
      <c r="K261" s="73">
        <v>115695</v>
      </c>
      <c r="L261" s="573">
        <v>12724</v>
      </c>
      <c r="M261" s="1365">
        <v>653</v>
      </c>
      <c r="N261" s="163">
        <v>129975</v>
      </c>
      <c r="P261" s="414"/>
      <c r="Q261" s="414"/>
    </row>
    <row r="262" spans="1:17">
      <c r="A262" s="85">
        <f t="shared" si="6"/>
        <v>2014.01</v>
      </c>
      <c r="B262" s="50">
        <v>186624</v>
      </c>
      <c r="C262" s="1675">
        <v>14993</v>
      </c>
      <c r="D262" s="1365">
        <v>3901</v>
      </c>
      <c r="E262" s="1938">
        <v>513</v>
      </c>
      <c r="F262" s="1365">
        <v>17462</v>
      </c>
      <c r="G262" s="73">
        <v>126631</v>
      </c>
      <c r="H262" s="1946">
        <f t="shared" si="5"/>
        <v>144093</v>
      </c>
      <c r="I262" s="73">
        <v>5236</v>
      </c>
      <c r="J262" s="1950">
        <v>17888</v>
      </c>
      <c r="K262" s="73">
        <v>117814</v>
      </c>
      <c r="L262" s="573">
        <v>13231</v>
      </c>
      <c r="M262" s="1365">
        <v>731</v>
      </c>
      <c r="N262" s="163">
        <v>134545</v>
      </c>
      <c r="P262" s="414"/>
      <c r="Q262" s="414"/>
    </row>
    <row r="263" spans="1:17">
      <c r="A263" s="85">
        <f t="shared" si="6"/>
        <v>2014.02</v>
      </c>
      <c r="B263" s="50">
        <v>170648</v>
      </c>
      <c r="C263" s="1675">
        <v>14352</v>
      </c>
      <c r="D263" s="1365">
        <v>3662</v>
      </c>
      <c r="E263" s="1938">
        <v>463</v>
      </c>
      <c r="F263" s="1365">
        <v>6466</v>
      </c>
      <c r="G263" s="73">
        <v>123362</v>
      </c>
      <c r="H263" s="1946">
        <f t="shared" si="5"/>
        <v>129828</v>
      </c>
      <c r="I263" s="73">
        <v>5716</v>
      </c>
      <c r="J263" s="1950">
        <v>16627</v>
      </c>
      <c r="K263" s="73">
        <v>114003</v>
      </c>
      <c r="L263" s="573">
        <v>13485</v>
      </c>
      <c r="M263" s="1365">
        <v>677</v>
      </c>
      <c r="N263" s="163">
        <v>119791</v>
      </c>
      <c r="P263" s="414"/>
      <c r="Q263" s="414"/>
    </row>
    <row r="264" spans="1:17">
      <c r="A264" s="85">
        <f t="shared" si="6"/>
        <v>2014.03</v>
      </c>
      <c r="B264" s="50">
        <v>210106</v>
      </c>
      <c r="C264" s="1675">
        <v>20134</v>
      </c>
      <c r="D264" s="1365">
        <v>5008</v>
      </c>
      <c r="E264" s="1938">
        <v>618</v>
      </c>
      <c r="F264" s="1365">
        <v>14176</v>
      </c>
      <c r="G264" s="73">
        <v>145686</v>
      </c>
      <c r="H264" s="1946">
        <f t="shared" si="5"/>
        <v>159862</v>
      </c>
      <c r="I264" s="73">
        <v>5627</v>
      </c>
      <c r="J264" s="1950">
        <v>18857</v>
      </c>
      <c r="K264" s="73">
        <v>135030</v>
      </c>
      <c r="L264" s="573">
        <v>16282</v>
      </c>
      <c r="M264" s="1365">
        <v>655</v>
      </c>
      <c r="N264" s="163">
        <v>148551</v>
      </c>
      <c r="P264" s="414"/>
      <c r="Q264" s="414"/>
    </row>
    <row r="265" spans="1:17">
      <c r="A265" s="85">
        <f t="shared" si="6"/>
        <v>2014.04</v>
      </c>
      <c r="B265" s="50">
        <v>238379</v>
      </c>
      <c r="C265" s="1675">
        <v>30031</v>
      </c>
      <c r="D265" s="1365">
        <v>4583</v>
      </c>
      <c r="E265" s="1938">
        <v>683</v>
      </c>
      <c r="F265" s="1365">
        <v>1683</v>
      </c>
      <c r="G265" s="73">
        <v>174265</v>
      </c>
      <c r="H265" s="1946">
        <f t="shared" si="5"/>
        <v>175948</v>
      </c>
      <c r="I265" s="73">
        <v>8310</v>
      </c>
      <c r="J265" s="1950">
        <v>18824</v>
      </c>
      <c r="K265" s="73">
        <v>163798</v>
      </c>
      <c r="L265" s="573">
        <v>15732</v>
      </c>
      <c r="M265" s="1365">
        <v>836</v>
      </c>
      <c r="N265" s="163">
        <v>164646</v>
      </c>
      <c r="P265" s="414"/>
      <c r="Q265" s="414"/>
    </row>
    <row r="266" spans="1:17">
      <c r="A266" s="85">
        <f t="shared" si="6"/>
        <v>2014.05</v>
      </c>
      <c r="B266" s="50">
        <v>267548</v>
      </c>
      <c r="C266" s="1675">
        <v>55487</v>
      </c>
      <c r="D266" s="1365">
        <v>8049</v>
      </c>
      <c r="E266" s="1938">
        <v>1415</v>
      </c>
      <c r="F266" s="1365">
        <v>1338</v>
      </c>
      <c r="G266" s="73">
        <v>167617</v>
      </c>
      <c r="H266" s="1946">
        <f t="shared" si="5"/>
        <v>168955</v>
      </c>
      <c r="I266" s="73">
        <v>13657</v>
      </c>
      <c r="J266" s="1950">
        <v>19985</v>
      </c>
      <c r="K266" s="73">
        <v>155292</v>
      </c>
      <c r="L266" s="573">
        <v>21788</v>
      </c>
      <c r="M266" s="1365">
        <v>825</v>
      </c>
      <c r="N266" s="163">
        <v>155806</v>
      </c>
      <c r="P266" s="414"/>
      <c r="Q266" s="414"/>
    </row>
    <row r="267" spans="1:17">
      <c r="A267" s="85">
        <f t="shared" si="6"/>
        <v>2014.06</v>
      </c>
      <c r="B267" s="50">
        <v>260087</v>
      </c>
      <c r="C267" s="1675">
        <v>88973</v>
      </c>
      <c r="D267" s="1365">
        <v>10351</v>
      </c>
      <c r="E267" s="1938">
        <v>2523</v>
      </c>
      <c r="F267" s="1365">
        <v>1066</v>
      </c>
      <c r="G267" s="73">
        <v>117878</v>
      </c>
      <c r="H267" s="1946">
        <f t="shared" si="5"/>
        <v>118944</v>
      </c>
      <c r="I267" s="73">
        <v>19743</v>
      </c>
      <c r="J267" s="1950">
        <v>19553</v>
      </c>
      <c r="K267" s="73">
        <v>105355</v>
      </c>
      <c r="L267" s="573">
        <v>25398</v>
      </c>
      <c r="M267" s="1365">
        <v>1559</v>
      </c>
      <c r="N267" s="163">
        <v>104861</v>
      </c>
      <c r="P267" s="414"/>
      <c r="Q267" s="414"/>
    </row>
    <row r="268" spans="1:17">
      <c r="A268" s="85">
        <f t="shared" si="6"/>
        <v>2014.07</v>
      </c>
      <c r="B268" s="50">
        <v>274981</v>
      </c>
      <c r="C268" s="1675">
        <v>99832</v>
      </c>
      <c r="D268" s="1365">
        <v>10142</v>
      </c>
      <c r="E268" s="1938">
        <v>3242</v>
      </c>
      <c r="F268" s="1365">
        <v>1292</v>
      </c>
      <c r="G268" s="73">
        <v>117570</v>
      </c>
      <c r="H268" s="1946">
        <f t="shared" si="5"/>
        <v>118862</v>
      </c>
      <c r="I268" s="73">
        <v>22502</v>
      </c>
      <c r="J268" s="1950">
        <v>20401</v>
      </c>
      <c r="K268" s="73">
        <v>105586</v>
      </c>
      <c r="L268" s="573">
        <v>25368</v>
      </c>
      <c r="M268" s="1365">
        <v>898</v>
      </c>
      <c r="N268" s="163">
        <v>105980</v>
      </c>
      <c r="P268" s="414"/>
      <c r="Q268" s="414"/>
    </row>
    <row r="269" spans="1:17">
      <c r="A269" s="85">
        <f t="shared" si="6"/>
        <v>2014.08</v>
      </c>
      <c r="B269" s="50">
        <v>280859</v>
      </c>
      <c r="C269" s="1675">
        <v>71014</v>
      </c>
      <c r="D269" s="1365">
        <v>9921</v>
      </c>
      <c r="E269" s="1938">
        <v>2952</v>
      </c>
      <c r="F269" s="1365">
        <v>3443</v>
      </c>
      <c r="G269" s="73">
        <v>156652</v>
      </c>
      <c r="H269" s="1946">
        <f t="shared" si="5"/>
        <v>160095</v>
      </c>
      <c r="I269" s="73">
        <v>15849</v>
      </c>
      <c r="J269" s="1950">
        <v>21028</v>
      </c>
      <c r="K269" s="568">
        <v>146364</v>
      </c>
      <c r="L269" s="573">
        <v>23160</v>
      </c>
      <c r="M269" s="1365">
        <v>647</v>
      </c>
      <c r="N269" s="163">
        <v>149161</v>
      </c>
      <c r="P269" s="414"/>
      <c r="Q269" s="414"/>
    </row>
    <row r="270" spans="1:17">
      <c r="A270" s="85">
        <f t="shared" si="6"/>
        <v>2014.09</v>
      </c>
      <c r="B270" s="50">
        <v>249447</v>
      </c>
      <c r="C270" s="1675">
        <v>47568</v>
      </c>
      <c r="D270" s="1365">
        <v>7098</v>
      </c>
      <c r="E270" s="1938">
        <v>2215</v>
      </c>
      <c r="F270" s="1365">
        <v>825</v>
      </c>
      <c r="G270" s="73">
        <v>159918</v>
      </c>
      <c r="H270" s="1946">
        <f t="shared" si="5"/>
        <v>160743</v>
      </c>
      <c r="I270" s="73">
        <v>10911</v>
      </c>
      <c r="J270" s="1950">
        <v>20912</v>
      </c>
      <c r="K270" s="73">
        <v>150034</v>
      </c>
      <c r="L270" s="573">
        <v>19196</v>
      </c>
      <c r="M270" s="1365">
        <v>710</v>
      </c>
      <c r="N270" s="163">
        <v>150150</v>
      </c>
      <c r="P270" s="414"/>
      <c r="Q270" s="414"/>
    </row>
    <row r="271" spans="1:17">
      <c r="A271" s="85">
        <f t="shared" si="6"/>
        <v>2014.1</v>
      </c>
      <c r="B271" s="50">
        <v>211347</v>
      </c>
      <c r="C271" s="1675">
        <v>29063</v>
      </c>
      <c r="D271" s="1365">
        <v>5488</v>
      </c>
      <c r="E271" s="1938">
        <v>1600</v>
      </c>
      <c r="F271" s="1365">
        <v>5119</v>
      </c>
      <c r="G271" s="73">
        <v>140612</v>
      </c>
      <c r="H271" s="1946">
        <f t="shared" si="5"/>
        <v>145731</v>
      </c>
      <c r="I271" s="73">
        <v>7966</v>
      </c>
      <c r="J271" s="1950">
        <v>21499</v>
      </c>
      <c r="K271" s="73">
        <v>129966</v>
      </c>
      <c r="L271" s="573">
        <v>17736</v>
      </c>
      <c r="M271" s="1365">
        <v>720</v>
      </c>
      <c r="N271" s="163">
        <v>134363</v>
      </c>
      <c r="P271" s="414"/>
      <c r="Q271" s="414"/>
    </row>
    <row r="272" spans="1:17">
      <c r="A272" s="85">
        <f t="shared" si="6"/>
        <v>2014.11</v>
      </c>
      <c r="B272" s="50">
        <v>200147</v>
      </c>
      <c r="C272" s="1675">
        <v>11339</v>
      </c>
      <c r="D272" s="1365">
        <v>4328</v>
      </c>
      <c r="E272" s="1938">
        <v>913</v>
      </c>
      <c r="F272" s="1365">
        <v>3939</v>
      </c>
      <c r="G272" s="73">
        <v>153208</v>
      </c>
      <c r="H272" s="1946">
        <f t="shared" si="5"/>
        <v>157147</v>
      </c>
      <c r="I272" s="73">
        <v>6223</v>
      </c>
      <c r="J272" s="1950">
        <v>20197</v>
      </c>
      <c r="K272" s="73">
        <v>143562</v>
      </c>
      <c r="L272" s="573">
        <v>14883</v>
      </c>
      <c r="M272" s="1365">
        <v>810</v>
      </c>
      <c r="N272" s="163">
        <v>146695</v>
      </c>
      <c r="P272" s="414"/>
      <c r="Q272" s="414"/>
    </row>
    <row r="273" spans="1:17">
      <c r="A273" s="85">
        <f t="shared" si="6"/>
        <v>2014.12</v>
      </c>
      <c r="B273" s="50">
        <v>179205</v>
      </c>
      <c r="C273" s="1675">
        <v>8498</v>
      </c>
      <c r="D273" s="1365">
        <v>4085</v>
      </c>
      <c r="E273" s="1938">
        <v>680</v>
      </c>
      <c r="F273" s="1365">
        <v>3268</v>
      </c>
      <c r="G273" s="73">
        <v>135004</v>
      </c>
      <c r="H273" s="1946">
        <f>F273+G273</f>
        <v>138272</v>
      </c>
      <c r="I273" s="73">
        <v>5705</v>
      </c>
      <c r="J273" s="1950">
        <v>21965</v>
      </c>
      <c r="K273" s="73">
        <v>125288</v>
      </c>
      <c r="L273" s="573">
        <v>14482</v>
      </c>
      <c r="M273" s="1365">
        <v>1127</v>
      </c>
      <c r="N273" s="163">
        <v>127428</v>
      </c>
      <c r="P273" s="414"/>
      <c r="Q273" s="414"/>
    </row>
    <row r="274" spans="1:17">
      <c r="A274" s="85">
        <f t="shared" si="6"/>
        <v>2015.01</v>
      </c>
      <c r="B274" s="50">
        <v>175933</v>
      </c>
      <c r="C274" s="1675">
        <v>15183</v>
      </c>
      <c r="D274" s="1365">
        <v>3093</v>
      </c>
      <c r="E274" s="1938">
        <v>726</v>
      </c>
      <c r="F274" s="1365">
        <v>36940</v>
      </c>
      <c r="G274" s="73">
        <v>94482</v>
      </c>
      <c r="H274" s="1946">
        <f t="shared" si="5"/>
        <v>131422</v>
      </c>
      <c r="I274" s="73">
        <v>5183</v>
      </c>
      <c r="J274" s="1950">
        <v>20326</v>
      </c>
      <c r="K274" s="73">
        <v>116718</v>
      </c>
      <c r="L274" s="573">
        <v>12440</v>
      </c>
      <c r="M274" s="1365">
        <v>844</v>
      </c>
      <c r="N274" s="163">
        <v>121957</v>
      </c>
      <c r="P274" s="414"/>
      <c r="Q274" s="414"/>
    </row>
    <row r="275" spans="1:17">
      <c r="A275" s="85">
        <f t="shared" si="6"/>
        <v>2015.02</v>
      </c>
      <c r="B275" s="50">
        <v>170990</v>
      </c>
      <c r="C275" s="1675">
        <v>15368</v>
      </c>
      <c r="D275" s="1365">
        <v>3989</v>
      </c>
      <c r="E275" s="1938">
        <v>507</v>
      </c>
      <c r="F275" s="1365">
        <v>3258</v>
      </c>
      <c r="G275" s="73">
        <v>123256</v>
      </c>
      <c r="H275" s="1946">
        <f t="shared" si="5"/>
        <v>126514</v>
      </c>
      <c r="I275" s="73">
        <v>6101</v>
      </c>
      <c r="J275" s="1950">
        <v>18511</v>
      </c>
      <c r="K275" s="73">
        <v>114169</v>
      </c>
      <c r="L275" s="573">
        <v>13583</v>
      </c>
      <c r="M275" s="1365">
        <v>590</v>
      </c>
      <c r="N275" s="163">
        <v>116837</v>
      </c>
      <c r="P275" s="414"/>
      <c r="Q275" s="414"/>
    </row>
    <row r="276" spans="1:17">
      <c r="A276" s="85">
        <f t="shared" si="6"/>
        <v>2015.03</v>
      </c>
      <c r="B276" s="50">
        <v>181499</v>
      </c>
      <c r="C276" s="1675">
        <v>19327</v>
      </c>
      <c r="D276" s="1365">
        <v>4304</v>
      </c>
      <c r="E276" s="1938">
        <v>572</v>
      </c>
      <c r="F276" s="1365">
        <v>5498</v>
      </c>
      <c r="G276" s="73">
        <v>125593</v>
      </c>
      <c r="H276" s="1946">
        <f t="shared" si="5"/>
        <v>131091</v>
      </c>
      <c r="I276" s="73">
        <v>5885</v>
      </c>
      <c r="J276" s="1950">
        <v>20320</v>
      </c>
      <c r="K276" s="73">
        <v>115432</v>
      </c>
      <c r="L276" s="573">
        <v>15036</v>
      </c>
      <c r="M276" s="1365">
        <v>804</v>
      </c>
      <c r="N276" s="163">
        <v>120127</v>
      </c>
      <c r="P276" s="414"/>
      <c r="Q276" s="414"/>
    </row>
    <row r="277" spans="1:17">
      <c r="A277" s="85">
        <f t="shared" si="6"/>
        <v>2015.04</v>
      </c>
      <c r="B277" s="50">
        <v>206067</v>
      </c>
      <c r="C277" s="1675">
        <v>20127</v>
      </c>
      <c r="D277" s="1365">
        <v>5073</v>
      </c>
      <c r="E277" s="1938">
        <v>545</v>
      </c>
      <c r="F277" s="1365">
        <v>5201</v>
      </c>
      <c r="G277" s="73">
        <v>147440</v>
      </c>
      <c r="H277" s="1946">
        <f t="shared" si="5"/>
        <v>152641</v>
      </c>
      <c r="I277" s="73">
        <v>7115</v>
      </c>
      <c r="J277" s="1950">
        <v>20566</v>
      </c>
      <c r="K277" s="73">
        <v>137570</v>
      </c>
      <c r="L277" s="573">
        <v>15487</v>
      </c>
      <c r="M277" s="1365">
        <v>1183</v>
      </c>
      <c r="N277" s="163">
        <v>141589</v>
      </c>
      <c r="P277" s="414"/>
      <c r="Q277" s="414"/>
    </row>
    <row r="278" spans="1:17">
      <c r="A278" s="85">
        <f t="shared" si="6"/>
        <v>2015.05</v>
      </c>
      <c r="B278" s="50">
        <v>238834</v>
      </c>
      <c r="C278" s="1675">
        <v>42009</v>
      </c>
      <c r="D278" s="1365">
        <v>5838</v>
      </c>
      <c r="E278" s="1938">
        <v>806</v>
      </c>
      <c r="F278" s="1365">
        <v>3710</v>
      </c>
      <c r="G278" s="73">
        <v>154878</v>
      </c>
      <c r="H278" s="1946">
        <f t="shared" ref="H278:H285" si="7">F278+G278</f>
        <v>158588</v>
      </c>
      <c r="I278" s="73">
        <v>10415</v>
      </c>
      <c r="J278" s="1950">
        <v>21178</v>
      </c>
      <c r="K278" s="73">
        <v>144549</v>
      </c>
      <c r="L278" s="573">
        <v>16972</v>
      </c>
      <c r="M278" s="1365">
        <v>1540</v>
      </c>
      <c r="N278" s="163">
        <v>146720</v>
      </c>
      <c r="P278" s="414"/>
      <c r="Q278" s="414"/>
    </row>
    <row r="279" spans="1:17">
      <c r="A279" s="85">
        <f t="shared" si="6"/>
        <v>2015.06</v>
      </c>
      <c r="B279" s="50">
        <v>260649</v>
      </c>
      <c r="C279" s="1675">
        <v>76884</v>
      </c>
      <c r="D279" s="1365">
        <v>7690</v>
      </c>
      <c r="E279" s="1938">
        <v>1508</v>
      </c>
      <c r="F279" s="1365">
        <v>871</v>
      </c>
      <c r="G279" s="73">
        <v>133875</v>
      </c>
      <c r="H279" s="1946">
        <f t="shared" si="7"/>
        <v>134746</v>
      </c>
      <c r="I279" s="73">
        <v>18681</v>
      </c>
      <c r="J279" s="1950">
        <v>21140</v>
      </c>
      <c r="K279" s="73">
        <v>122563</v>
      </c>
      <c r="L279" s="573">
        <v>20510</v>
      </c>
      <c r="M279" s="1365">
        <v>1277</v>
      </c>
      <c r="N279" s="163">
        <v>122157</v>
      </c>
      <c r="P279" s="414"/>
      <c r="Q279" s="414"/>
    </row>
    <row r="280" spans="1:17">
      <c r="A280" s="85">
        <f t="shared" si="6"/>
        <v>2015.07</v>
      </c>
      <c r="B280" s="50">
        <v>297293</v>
      </c>
      <c r="C280" s="1675">
        <v>94497</v>
      </c>
      <c r="D280" s="1365">
        <v>10345</v>
      </c>
      <c r="E280" s="1938">
        <v>1991</v>
      </c>
      <c r="F280" s="1365">
        <v>996</v>
      </c>
      <c r="G280" s="73">
        <v>146196</v>
      </c>
      <c r="H280" s="1946">
        <f>F280+G280</f>
        <v>147192</v>
      </c>
      <c r="I280" s="73">
        <v>21301</v>
      </c>
      <c r="J280" s="1950">
        <v>21967</v>
      </c>
      <c r="K280" s="73">
        <v>134798</v>
      </c>
      <c r="L280" s="573">
        <v>23734</v>
      </c>
      <c r="M280" s="1365">
        <v>1293</v>
      </c>
      <c r="N280" s="163">
        <v>134501</v>
      </c>
      <c r="P280" s="414"/>
      <c r="Q280" s="414"/>
    </row>
    <row r="281" spans="1:17">
      <c r="A281" s="85">
        <f t="shared" si="6"/>
        <v>2015.08</v>
      </c>
      <c r="B281" s="50">
        <v>283055</v>
      </c>
      <c r="C281" s="1675">
        <v>67328</v>
      </c>
      <c r="D281" s="1365">
        <v>9597</v>
      </c>
      <c r="E281" s="1938">
        <v>1955</v>
      </c>
      <c r="F281" s="1365">
        <v>962</v>
      </c>
      <c r="G281" s="73">
        <v>164363</v>
      </c>
      <c r="H281" s="1946">
        <f t="shared" si="7"/>
        <v>165325</v>
      </c>
      <c r="I281" s="73">
        <v>17536</v>
      </c>
      <c r="J281" s="1950">
        <v>21314</v>
      </c>
      <c r="K281" s="73">
        <v>154339</v>
      </c>
      <c r="L281" s="573">
        <v>21576</v>
      </c>
      <c r="M281" s="1365">
        <v>1421</v>
      </c>
      <c r="N281" s="163">
        <v>153880</v>
      </c>
      <c r="P281" s="414"/>
      <c r="Q281" s="414"/>
    </row>
    <row r="282" spans="1:17">
      <c r="A282" s="85">
        <f t="shared" si="6"/>
        <v>2015.09</v>
      </c>
      <c r="B282" s="50">
        <v>265895</v>
      </c>
      <c r="C282" s="1675">
        <v>60984</v>
      </c>
      <c r="D282" s="1365">
        <v>7827</v>
      </c>
      <c r="E282" s="1938">
        <v>1369</v>
      </c>
      <c r="F282" s="1365">
        <v>408</v>
      </c>
      <c r="G282" s="73">
        <v>160943</v>
      </c>
      <c r="H282" s="1946">
        <f t="shared" si="7"/>
        <v>161351</v>
      </c>
      <c r="I282" s="73">
        <v>13023</v>
      </c>
      <c r="J282" s="1950">
        <v>21341</v>
      </c>
      <c r="K282" s="73">
        <v>150074</v>
      </c>
      <c r="L282" s="573">
        <v>20065</v>
      </c>
      <c r="M282" s="1365">
        <v>861</v>
      </c>
      <c r="N282" s="163">
        <v>149621</v>
      </c>
      <c r="P282" s="414"/>
      <c r="Q282" s="414"/>
    </row>
    <row r="283" spans="1:17">
      <c r="A283" s="85">
        <f t="shared" si="6"/>
        <v>2015.1</v>
      </c>
      <c r="B283" s="50">
        <v>252396</v>
      </c>
      <c r="C283" s="1675">
        <v>40287</v>
      </c>
      <c r="D283" s="1365">
        <v>6999</v>
      </c>
      <c r="E283" s="1938">
        <v>1267</v>
      </c>
      <c r="F283" s="1365">
        <v>1056</v>
      </c>
      <c r="G283" s="73">
        <v>169804</v>
      </c>
      <c r="H283" s="1946">
        <f t="shared" si="7"/>
        <v>170860</v>
      </c>
      <c r="I283" s="73">
        <v>10695</v>
      </c>
      <c r="J283" s="1950">
        <v>22288</v>
      </c>
      <c r="K283" s="73">
        <v>159267</v>
      </c>
      <c r="L283" s="573">
        <v>18803</v>
      </c>
      <c r="M283" s="1365">
        <v>1973</v>
      </c>
      <c r="N283" s="163">
        <v>158350</v>
      </c>
      <c r="P283" s="414"/>
      <c r="Q283" s="414"/>
    </row>
    <row r="284" spans="1:17">
      <c r="A284" s="85">
        <f t="shared" si="6"/>
        <v>2015.11</v>
      </c>
      <c r="B284" s="50">
        <v>208884</v>
      </c>
      <c r="C284" s="1675">
        <v>24847</v>
      </c>
      <c r="D284" s="1365">
        <v>5470</v>
      </c>
      <c r="E284" s="1938">
        <v>752</v>
      </c>
      <c r="F284" s="1365">
        <v>1520</v>
      </c>
      <c r="G284" s="73">
        <v>146908</v>
      </c>
      <c r="H284" s="1946">
        <f t="shared" si="7"/>
        <v>148428</v>
      </c>
      <c r="I284" s="73">
        <v>8453</v>
      </c>
      <c r="J284" s="1950">
        <v>20934</v>
      </c>
      <c r="K284" s="73">
        <v>137738</v>
      </c>
      <c r="L284" s="573">
        <v>15393</v>
      </c>
      <c r="M284" s="1365">
        <v>814</v>
      </c>
      <c r="N284" s="163">
        <v>138443</v>
      </c>
      <c r="P284" s="414"/>
      <c r="Q284" s="414"/>
    </row>
    <row r="285" spans="1:17">
      <c r="A285" s="85">
        <f t="shared" si="6"/>
        <v>2015.12</v>
      </c>
      <c r="B285" s="50">
        <v>202462</v>
      </c>
      <c r="C285" s="1675">
        <v>25227</v>
      </c>
      <c r="D285" s="1365">
        <v>5288</v>
      </c>
      <c r="E285" s="1938">
        <v>791</v>
      </c>
      <c r="F285" s="1365">
        <v>4772</v>
      </c>
      <c r="G285" s="73">
        <v>140658</v>
      </c>
      <c r="H285" s="1946">
        <f t="shared" si="7"/>
        <v>145430</v>
      </c>
      <c r="I285" s="73">
        <v>4020</v>
      </c>
      <c r="J285" s="1950">
        <v>21706</v>
      </c>
      <c r="K285" s="73">
        <v>131929</v>
      </c>
      <c r="L285" s="573">
        <v>14809</v>
      </c>
      <c r="M285" s="1365">
        <v>866</v>
      </c>
      <c r="N285" s="163">
        <v>135834</v>
      </c>
      <c r="P285" s="414"/>
      <c r="Q285" s="414"/>
    </row>
    <row r="286" spans="1:17">
      <c r="A286" s="85">
        <f t="shared" si="6"/>
        <v>2016.01</v>
      </c>
      <c r="B286" s="50">
        <v>213447</v>
      </c>
      <c r="C286" s="1675">
        <v>16285</v>
      </c>
      <c r="D286" s="1365">
        <v>3833</v>
      </c>
      <c r="E286" s="1938">
        <v>523</v>
      </c>
      <c r="F286" s="1365">
        <v>9204</v>
      </c>
      <c r="G286" s="73">
        <v>158614</v>
      </c>
      <c r="H286" s="1946">
        <f t="shared" ref="H286:H299" si="8">F286+G286</f>
        <v>167818</v>
      </c>
      <c r="I286" s="73">
        <v>5275</v>
      </c>
      <c r="J286" s="1950">
        <v>19713</v>
      </c>
      <c r="K286" s="73">
        <v>150924</v>
      </c>
      <c r="L286" s="573">
        <v>12048</v>
      </c>
      <c r="M286" s="1365">
        <v>642</v>
      </c>
      <c r="N286" s="163">
        <v>159484</v>
      </c>
      <c r="P286" s="414"/>
      <c r="Q286" s="414"/>
    </row>
    <row r="287" spans="1:17">
      <c r="A287" s="85">
        <f t="shared" si="6"/>
        <v>2016.02</v>
      </c>
      <c r="B287" s="50">
        <v>194842</v>
      </c>
      <c r="C287" s="1675">
        <v>15901</v>
      </c>
      <c r="D287" s="1365">
        <v>3652</v>
      </c>
      <c r="E287" s="1938">
        <v>517</v>
      </c>
      <c r="F287" s="1365">
        <v>3711</v>
      </c>
      <c r="G287" s="73">
        <v>147015</v>
      </c>
      <c r="H287" s="1946">
        <f t="shared" si="8"/>
        <v>150726</v>
      </c>
      <c r="I287" s="73">
        <v>5283</v>
      </c>
      <c r="J287" s="1950">
        <v>18763</v>
      </c>
      <c r="K287" s="73">
        <v>139055</v>
      </c>
      <c r="L287" s="573">
        <v>12127</v>
      </c>
      <c r="M287" s="1365">
        <v>532</v>
      </c>
      <c r="N287" s="163">
        <v>142236</v>
      </c>
      <c r="P287" s="414"/>
      <c r="Q287" s="414"/>
    </row>
    <row r="288" spans="1:17">
      <c r="A288" s="85">
        <f t="shared" si="6"/>
        <v>2016.03</v>
      </c>
      <c r="B288" s="50">
        <v>216344</v>
      </c>
      <c r="C288" s="1675">
        <v>18895</v>
      </c>
      <c r="D288" s="1365">
        <v>4183</v>
      </c>
      <c r="E288" s="1938">
        <v>575</v>
      </c>
      <c r="F288" s="1365">
        <v>5627</v>
      </c>
      <c r="G288" s="73">
        <v>160167</v>
      </c>
      <c r="H288" s="1946">
        <f t="shared" si="8"/>
        <v>165794</v>
      </c>
      <c r="I288" s="73">
        <v>6290</v>
      </c>
      <c r="J288" s="1950">
        <v>20607</v>
      </c>
      <c r="K288" s="73">
        <v>150699</v>
      </c>
      <c r="L288" s="573">
        <v>14227</v>
      </c>
      <c r="M288" s="1365">
        <v>1359</v>
      </c>
      <c r="N288" s="163">
        <v>154966</v>
      </c>
      <c r="P288" s="414"/>
      <c r="Q288" s="414"/>
    </row>
    <row r="289" spans="1:18">
      <c r="A289" s="85">
        <f t="shared" si="6"/>
        <v>2016.04</v>
      </c>
      <c r="B289" s="50">
        <v>221603</v>
      </c>
      <c r="C289" s="1675">
        <v>35924</v>
      </c>
      <c r="D289" s="1365">
        <v>8044</v>
      </c>
      <c r="E289" s="1938">
        <v>664</v>
      </c>
      <c r="F289" s="1365">
        <v>399</v>
      </c>
      <c r="G289" s="73">
        <v>146901</v>
      </c>
      <c r="H289" s="1946">
        <f t="shared" si="8"/>
        <v>147300</v>
      </c>
      <c r="I289" s="73">
        <v>9916</v>
      </c>
      <c r="J289" s="1950">
        <v>19755</v>
      </c>
      <c r="K289" s="73">
        <v>138690</v>
      </c>
      <c r="L289" s="573">
        <v>16919</v>
      </c>
      <c r="M289" s="1365">
        <v>1284</v>
      </c>
      <c r="N289" s="163">
        <v>137805</v>
      </c>
      <c r="P289" s="414"/>
      <c r="Q289" s="414"/>
    </row>
    <row r="290" spans="1:18">
      <c r="A290" s="85">
        <f t="shared" si="6"/>
        <v>2016.05</v>
      </c>
      <c r="B290" s="50">
        <v>282300</v>
      </c>
      <c r="C290" s="1675">
        <v>74356</v>
      </c>
      <c r="D290" s="1365">
        <v>7791</v>
      </c>
      <c r="E290" s="1938">
        <v>1423</v>
      </c>
      <c r="F290" s="1365">
        <v>84</v>
      </c>
      <c r="G290" s="73">
        <v>158917</v>
      </c>
      <c r="H290" s="1946">
        <f t="shared" si="8"/>
        <v>159001</v>
      </c>
      <c r="I290" s="73">
        <v>19530</v>
      </c>
      <c r="J290" s="1950">
        <v>20199</v>
      </c>
      <c r="K290" s="73">
        <v>145624</v>
      </c>
      <c r="L290" s="573">
        <v>22507</v>
      </c>
      <c r="M290" s="1365">
        <v>905</v>
      </c>
      <c r="N290" s="163">
        <v>144803</v>
      </c>
      <c r="P290" s="414"/>
      <c r="Q290" s="414"/>
    </row>
    <row r="291" spans="1:18">
      <c r="A291" s="85">
        <f t="shared" si="6"/>
        <v>2016.06</v>
      </c>
      <c r="B291" s="50">
        <v>273213</v>
      </c>
      <c r="C291" s="1675">
        <v>96790</v>
      </c>
      <c r="D291" s="1365">
        <v>9600</v>
      </c>
      <c r="E291" s="1938">
        <v>2091</v>
      </c>
      <c r="F291" s="1365">
        <v>145</v>
      </c>
      <c r="G291" s="73">
        <v>122699</v>
      </c>
      <c r="H291" s="1946">
        <f t="shared" si="8"/>
        <v>122844</v>
      </c>
      <c r="I291" s="73">
        <v>22406</v>
      </c>
      <c r="J291" s="1950">
        <v>19482</v>
      </c>
      <c r="K291" s="73">
        <v>113085</v>
      </c>
      <c r="L291" s="573">
        <v>21305</v>
      </c>
      <c r="M291" s="1365">
        <v>1128</v>
      </c>
      <c r="N291" s="163">
        <v>112102</v>
      </c>
      <c r="P291" s="414"/>
      <c r="Q291" s="414"/>
    </row>
    <row r="292" spans="1:18">
      <c r="A292" s="85">
        <f t="shared" si="6"/>
        <v>2016.07</v>
      </c>
      <c r="B292" s="50">
        <v>296634</v>
      </c>
      <c r="C292" s="1675">
        <v>103007</v>
      </c>
      <c r="D292" s="1365">
        <v>3975</v>
      </c>
      <c r="E292" s="1938">
        <v>2528</v>
      </c>
      <c r="F292" s="1365">
        <v>80</v>
      </c>
      <c r="G292" s="73">
        <v>145515</v>
      </c>
      <c r="H292" s="1946">
        <f t="shared" si="8"/>
        <v>145595</v>
      </c>
      <c r="I292" s="73">
        <v>21247</v>
      </c>
      <c r="J292" s="1950">
        <v>20282</v>
      </c>
      <c r="K292" s="73">
        <v>128278</v>
      </c>
      <c r="L292" s="573">
        <v>23741</v>
      </c>
      <c r="M292" s="1365">
        <v>1083</v>
      </c>
      <c r="N292" s="163">
        <v>127274</v>
      </c>
      <c r="P292" s="414"/>
      <c r="Q292" s="414"/>
    </row>
    <row r="293" spans="1:18">
      <c r="A293" s="85">
        <f t="shared" si="6"/>
        <v>2016.08</v>
      </c>
      <c r="B293" s="50">
        <v>287242</v>
      </c>
      <c r="C293" s="1675">
        <v>98432</v>
      </c>
      <c r="D293" s="1365">
        <v>3828</v>
      </c>
      <c r="E293" s="1938">
        <v>2416</v>
      </c>
      <c r="F293" s="1365">
        <v>379</v>
      </c>
      <c r="G293" s="73">
        <v>148861</v>
      </c>
      <c r="H293" s="1946">
        <f t="shared" si="8"/>
        <v>149240</v>
      </c>
      <c r="I293" s="73">
        <v>13271</v>
      </c>
      <c r="J293" s="1950">
        <v>20055</v>
      </c>
      <c r="K293" s="73">
        <v>132394</v>
      </c>
      <c r="L293" s="573">
        <v>22711</v>
      </c>
      <c r="M293" s="1365">
        <v>1160</v>
      </c>
      <c r="N293" s="163">
        <v>131613</v>
      </c>
      <c r="P293" s="414"/>
      <c r="Q293" s="414"/>
    </row>
    <row r="294" spans="1:18">
      <c r="A294" s="85">
        <f t="shared" si="6"/>
        <v>2016.09</v>
      </c>
      <c r="B294" s="50">
        <v>242887</v>
      </c>
      <c r="C294" s="1675">
        <v>66267</v>
      </c>
      <c r="D294" s="1365">
        <v>2138</v>
      </c>
      <c r="E294" s="1938">
        <v>2068</v>
      </c>
      <c r="F294" s="1365">
        <v>2</v>
      </c>
      <c r="G294" s="73">
        <v>136501</v>
      </c>
      <c r="H294" s="1946">
        <f t="shared" si="8"/>
        <v>136503</v>
      </c>
      <c r="I294" s="73">
        <v>16362</v>
      </c>
      <c r="J294" s="1950">
        <v>19549</v>
      </c>
      <c r="K294" s="73">
        <v>123456</v>
      </c>
      <c r="L294" s="573">
        <v>17252</v>
      </c>
      <c r="M294" s="1365">
        <v>1064</v>
      </c>
      <c r="N294" s="163">
        <v>122393</v>
      </c>
      <c r="P294" s="414"/>
      <c r="Q294" s="414"/>
    </row>
    <row r="295" spans="1:18">
      <c r="A295" s="85">
        <f t="shared" si="6"/>
        <v>2016.1</v>
      </c>
      <c r="B295" s="50">
        <v>250770</v>
      </c>
      <c r="C295" s="1675">
        <v>51129</v>
      </c>
      <c r="D295" s="1365">
        <v>3121</v>
      </c>
      <c r="E295" s="1938">
        <v>3406</v>
      </c>
      <c r="F295" s="1365">
        <v>0</v>
      </c>
      <c r="G295" s="73">
        <v>164876</v>
      </c>
      <c r="H295" s="1946">
        <f t="shared" si="8"/>
        <v>164876</v>
      </c>
      <c r="I295" s="73">
        <v>8810</v>
      </c>
      <c r="J295" s="1950">
        <v>19428</v>
      </c>
      <c r="K295" s="73">
        <v>149049</v>
      </c>
      <c r="L295" s="573">
        <v>22240</v>
      </c>
      <c r="M295" s="1365">
        <v>1129</v>
      </c>
      <c r="N295" s="163">
        <v>148034</v>
      </c>
      <c r="P295" s="414"/>
      <c r="Q295" s="414"/>
    </row>
    <row r="296" spans="1:18">
      <c r="A296" s="85">
        <f t="shared" si="6"/>
        <v>2016.11</v>
      </c>
      <c r="B296" s="50">
        <v>220709</v>
      </c>
      <c r="C296" s="1675">
        <v>26440</v>
      </c>
      <c r="D296" s="1365">
        <v>4019</v>
      </c>
      <c r="E296" s="1938">
        <v>1855</v>
      </c>
      <c r="F296" s="1365">
        <v>5945</v>
      </c>
      <c r="G296" s="73">
        <v>153523</v>
      </c>
      <c r="H296" s="1946">
        <f t="shared" si="8"/>
        <v>159468</v>
      </c>
      <c r="I296" s="73">
        <v>10464</v>
      </c>
      <c r="J296" s="1950">
        <v>18463</v>
      </c>
      <c r="K296" s="73">
        <v>141995</v>
      </c>
      <c r="L296" s="573">
        <v>17403</v>
      </c>
      <c r="M296" s="1365">
        <v>1044</v>
      </c>
      <c r="N296" s="163">
        <v>146895</v>
      </c>
      <c r="P296" s="414"/>
      <c r="Q296" s="414"/>
    </row>
    <row r="297" spans="1:18">
      <c r="A297" s="85">
        <f t="shared" si="6"/>
        <v>2016.12</v>
      </c>
      <c r="B297" s="50">
        <v>197498</v>
      </c>
      <c r="C297" s="1675">
        <v>8298</v>
      </c>
      <c r="D297" s="1365">
        <v>2448</v>
      </c>
      <c r="E297" s="1938">
        <v>1844</v>
      </c>
      <c r="F297" s="1365">
        <v>15117</v>
      </c>
      <c r="G297" s="73">
        <v>148413</v>
      </c>
      <c r="H297" s="1946">
        <f t="shared" si="8"/>
        <v>163530</v>
      </c>
      <c r="I297" s="73">
        <v>2201</v>
      </c>
      <c r="J297" s="1950">
        <v>19177</v>
      </c>
      <c r="K297" s="73">
        <v>136066</v>
      </c>
      <c r="L297" s="573">
        <v>16640</v>
      </c>
      <c r="M297" s="1365">
        <v>1074</v>
      </c>
      <c r="N297" s="163">
        <v>150108</v>
      </c>
      <c r="P297" s="414"/>
      <c r="Q297" s="414"/>
    </row>
    <row r="298" spans="1:18">
      <c r="A298" s="85">
        <f t="shared" si="6"/>
        <v>2017.01</v>
      </c>
      <c r="B298" s="50">
        <v>201027</v>
      </c>
      <c r="C298" s="1675">
        <v>16971</v>
      </c>
      <c r="D298" s="1365">
        <v>2181</v>
      </c>
      <c r="E298" s="1938">
        <v>526</v>
      </c>
      <c r="F298" s="1365">
        <v>13524</v>
      </c>
      <c r="G298" s="73">
        <v>146298</v>
      </c>
      <c r="H298" s="1946">
        <f t="shared" si="8"/>
        <v>159822</v>
      </c>
      <c r="I298" s="73">
        <v>3781</v>
      </c>
      <c r="J298" s="1950">
        <v>17746</v>
      </c>
      <c r="K298" s="73">
        <v>137271</v>
      </c>
      <c r="L298" s="573">
        <v>11734</v>
      </c>
      <c r="M298" s="1365">
        <v>810</v>
      </c>
      <c r="N298" s="163">
        <v>149985</v>
      </c>
      <c r="P298" s="414"/>
      <c r="Q298" s="414"/>
      <c r="R298" s="512"/>
    </row>
    <row r="299" spans="1:18">
      <c r="A299" s="85">
        <f t="shared" si="6"/>
        <v>2017.02</v>
      </c>
      <c r="B299" s="50">
        <v>170143</v>
      </c>
      <c r="C299" s="1675">
        <v>14358</v>
      </c>
      <c r="D299" s="1365">
        <v>2206</v>
      </c>
      <c r="E299" s="1938">
        <v>514</v>
      </c>
      <c r="F299" s="1365">
        <v>3779</v>
      </c>
      <c r="G299" s="73">
        <v>127603</v>
      </c>
      <c r="H299" s="1946">
        <f t="shared" si="8"/>
        <v>131382</v>
      </c>
      <c r="I299" s="73">
        <v>4996</v>
      </c>
      <c r="J299" s="1950">
        <v>16687</v>
      </c>
      <c r="K299" s="73">
        <v>117822</v>
      </c>
      <c r="L299" s="573">
        <v>12723</v>
      </c>
      <c r="M299" s="1365">
        <v>1175</v>
      </c>
      <c r="N299" s="163">
        <v>120204</v>
      </c>
      <c r="P299" s="414"/>
      <c r="Q299" s="414"/>
      <c r="R299" s="512"/>
    </row>
    <row r="300" spans="1:18">
      <c r="A300" s="85">
        <f t="shared" si="6"/>
        <v>2017.03</v>
      </c>
      <c r="B300" s="50">
        <v>217240</v>
      </c>
      <c r="C300" s="1675">
        <v>18979</v>
      </c>
      <c r="D300" s="1365">
        <v>3209</v>
      </c>
      <c r="E300" s="1938">
        <v>636</v>
      </c>
      <c r="F300" s="1365">
        <v>6803</v>
      </c>
      <c r="G300" s="73">
        <v>163413</v>
      </c>
      <c r="H300" s="1946">
        <f t="shared" ref="H300:H345" si="9">F300+G300</f>
        <v>170216</v>
      </c>
      <c r="I300" s="73">
        <v>5914</v>
      </c>
      <c r="J300" s="1950">
        <v>18286</v>
      </c>
      <c r="K300" s="73">
        <v>151661</v>
      </c>
      <c r="L300" s="573">
        <v>16292</v>
      </c>
      <c r="M300" s="1365">
        <v>1060</v>
      </c>
      <c r="N300" s="163">
        <v>156709</v>
      </c>
      <c r="P300" s="414"/>
      <c r="Q300" s="414"/>
      <c r="R300" s="512"/>
    </row>
    <row r="301" spans="1:18">
      <c r="A301" s="85">
        <f t="shared" si="6"/>
        <v>2017.04</v>
      </c>
      <c r="B301" s="50">
        <v>241714</v>
      </c>
      <c r="C301" s="1675">
        <v>28327</v>
      </c>
      <c r="D301" s="1365">
        <v>2904</v>
      </c>
      <c r="E301" s="1938">
        <v>665</v>
      </c>
      <c r="F301" s="1365">
        <v>3475</v>
      </c>
      <c r="G301" s="73">
        <v>180773</v>
      </c>
      <c r="H301" s="1946">
        <f t="shared" si="9"/>
        <v>184248</v>
      </c>
      <c r="I301" s="73">
        <v>7658</v>
      </c>
      <c r="J301" s="1950">
        <v>17912</v>
      </c>
      <c r="K301" s="73">
        <v>168762</v>
      </c>
      <c r="L301" s="1952">
        <v>15896</v>
      </c>
      <c r="M301" s="1365">
        <v>867</v>
      </c>
      <c r="N301" s="725">
        <v>171054</v>
      </c>
      <c r="P301" s="414"/>
      <c r="Q301" s="414"/>
      <c r="R301" s="512"/>
    </row>
    <row r="302" spans="1:18">
      <c r="A302" s="85">
        <f t="shared" si="6"/>
        <v>2017.05</v>
      </c>
      <c r="B302" s="50">
        <v>288185</v>
      </c>
      <c r="C302" s="1675">
        <v>61286</v>
      </c>
      <c r="D302" s="1365">
        <v>2877</v>
      </c>
      <c r="E302" s="1938">
        <v>1263</v>
      </c>
      <c r="F302" s="1365">
        <v>1</v>
      </c>
      <c r="G302" s="73">
        <v>191700</v>
      </c>
      <c r="H302" s="1946">
        <f t="shared" si="9"/>
        <v>191701</v>
      </c>
      <c r="I302" s="73">
        <v>12887</v>
      </c>
      <c r="J302" s="1950">
        <v>18171</v>
      </c>
      <c r="K302" s="73">
        <v>177835</v>
      </c>
      <c r="L302" s="1952">
        <v>18004</v>
      </c>
      <c r="M302" s="1365">
        <v>987</v>
      </c>
      <c r="N302" s="163">
        <v>176850</v>
      </c>
      <c r="P302" s="414"/>
      <c r="Q302" s="414"/>
      <c r="R302" s="512"/>
    </row>
    <row r="303" spans="1:18">
      <c r="A303" s="85">
        <f t="shared" si="6"/>
        <v>2017.06</v>
      </c>
      <c r="B303" s="50">
        <v>292406</v>
      </c>
      <c r="C303" s="1675">
        <v>82910</v>
      </c>
      <c r="D303" s="1365">
        <v>3462</v>
      </c>
      <c r="E303" s="1938">
        <v>2489</v>
      </c>
      <c r="F303" s="1365">
        <v>24</v>
      </c>
      <c r="G303" s="73">
        <v>167667</v>
      </c>
      <c r="H303" s="1946">
        <f t="shared" si="9"/>
        <v>167691</v>
      </c>
      <c r="I303" s="73">
        <v>17952</v>
      </c>
      <c r="J303" s="1950">
        <v>17902</v>
      </c>
      <c r="K303" s="73">
        <v>149882</v>
      </c>
      <c r="L303" s="1952">
        <v>23737</v>
      </c>
      <c r="M303" s="1365">
        <v>1219</v>
      </c>
      <c r="N303" s="163">
        <v>148686</v>
      </c>
      <c r="P303" s="414"/>
      <c r="Q303" s="414"/>
    </row>
    <row r="304" spans="1:18">
      <c r="A304" s="85">
        <f t="shared" si="6"/>
        <v>2017.07</v>
      </c>
      <c r="B304" s="50">
        <v>278798</v>
      </c>
      <c r="C304" s="1675">
        <v>84809</v>
      </c>
      <c r="D304" s="1365">
        <v>3748</v>
      </c>
      <c r="E304" s="1938">
        <v>2912</v>
      </c>
      <c r="F304" s="1365">
        <v>3</v>
      </c>
      <c r="G304" s="73">
        <v>150387</v>
      </c>
      <c r="H304" s="1946">
        <f t="shared" si="9"/>
        <v>150390</v>
      </c>
      <c r="I304" s="73">
        <v>18443</v>
      </c>
      <c r="J304" s="1950">
        <v>18496</v>
      </c>
      <c r="K304" s="73">
        <v>135447</v>
      </c>
      <c r="L304" s="573">
        <v>21600</v>
      </c>
      <c r="M304" s="1365">
        <v>1001</v>
      </c>
      <c r="N304" s="163">
        <v>134449</v>
      </c>
      <c r="P304" s="414"/>
      <c r="Q304" s="414"/>
    </row>
    <row r="305" spans="1:17">
      <c r="A305" s="85">
        <f t="shared" si="6"/>
        <v>2017.08</v>
      </c>
      <c r="B305" s="50">
        <v>255461</v>
      </c>
      <c r="C305" s="1675">
        <v>66838</v>
      </c>
      <c r="D305" s="1365">
        <v>3450</v>
      </c>
      <c r="E305" s="1938">
        <v>2854</v>
      </c>
      <c r="F305" s="1365">
        <v>0</v>
      </c>
      <c r="G305" s="73">
        <v>147808</v>
      </c>
      <c r="H305" s="1946">
        <f t="shared" si="9"/>
        <v>147808</v>
      </c>
      <c r="I305" s="73">
        <v>15824</v>
      </c>
      <c r="J305" s="1950">
        <v>18687</v>
      </c>
      <c r="K305" s="73">
        <v>135006</v>
      </c>
      <c r="L305" s="573">
        <v>19105</v>
      </c>
      <c r="M305" s="1365">
        <v>997</v>
      </c>
      <c r="N305" s="163">
        <v>134010</v>
      </c>
      <c r="P305" s="414"/>
      <c r="Q305" s="414"/>
    </row>
    <row r="306" spans="1:17">
      <c r="A306" s="85">
        <f t="shared" si="6"/>
        <v>2017.09</v>
      </c>
      <c r="B306" s="50">
        <v>244602</v>
      </c>
      <c r="C306" s="1675">
        <v>49181</v>
      </c>
      <c r="D306" s="1365">
        <v>3043</v>
      </c>
      <c r="E306" s="1938">
        <v>2242</v>
      </c>
      <c r="F306" s="1365">
        <v>0</v>
      </c>
      <c r="G306" s="73">
        <v>159710</v>
      </c>
      <c r="H306" s="1946">
        <f t="shared" si="9"/>
        <v>159710</v>
      </c>
      <c r="I306" s="73">
        <v>12730</v>
      </c>
      <c r="J306" s="1950">
        <v>17696</v>
      </c>
      <c r="K306" s="73">
        <v>144896</v>
      </c>
      <c r="L306" s="573">
        <v>20099</v>
      </c>
      <c r="M306" s="1365">
        <v>1057</v>
      </c>
      <c r="N306" s="163">
        <v>143839</v>
      </c>
      <c r="P306" s="414"/>
      <c r="Q306" s="414"/>
    </row>
    <row r="307" spans="1:17">
      <c r="A307" s="85">
        <f t="shared" si="6"/>
        <v>2017.1</v>
      </c>
      <c r="B307" s="50">
        <v>239902</v>
      </c>
      <c r="C307" s="1675">
        <v>31252</v>
      </c>
      <c r="D307" s="1365">
        <v>2783</v>
      </c>
      <c r="E307" s="1938">
        <v>1800</v>
      </c>
      <c r="F307" s="1365">
        <v>13331</v>
      </c>
      <c r="G307" s="73">
        <v>164162</v>
      </c>
      <c r="H307" s="1946">
        <f>F307+G307</f>
        <v>177493</v>
      </c>
      <c r="I307" s="73">
        <v>8333</v>
      </c>
      <c r="J307" s="1950">
        <v>18241</v>
      </c>
      <c r="K307" s="73">
        <v>153877</v>
      </c>
      <c r="L307" s="573">
        <v>14870</v>
      </c>
      <c r="M307" s="1365">
        <v>1145</v>
      </c>
      <c r="N307" s="163">
        <v>166061</v>
      </c>
      <c r="P307" s="414"/>
      <c r="Q307" s="414"/>
    </row>
    <row r="308" spans="1:17">
      <c r="A308" s="85">
        <f t="shared" si="6"/>
        <v>2017.11</v>
      </c>
      <c r="B308" s="50">
        <v>212349</v>
      </c>
      <c r="C308" s="1675">
        <v>17784</v>
      </c>
      <c r="D308" s="1365">
        <v>2577</v>
      </c>
      <c r="E308" s="1938">
        <v>1192</v>
      </c>
      <c r="F308" s="1365">
        <v>17307</v>
      </c>
      <c r="G308" s="73">
        <v>149516</v>
      </c>
      <c r="H308" s="1946">
        <f t="shared" si="9"/>
        <v>166823</v>
      </c>
      <c r="I308" s="73">
        <v>6206</v>
      </c>
      <c r="J308" s="1950">
        <v>17767</v>
      </c>
      <c r="K308" s="73">
        <v>137662</v>
      </c>
      <c r="L308" s="573">
        <v>15624</v>
      </c>
      <c r="M308" s="1365">
        <v>980</v>
      </c>
      <c r="N308" s="163">
        <v>153988</v>
      </c>
      <c r="P308" s="414"/>
      <c r="Q308" s="414"/>
    </row>
    <row r="309" spans="1:17">
      <c r="A309" s="85">
        <f t="shared" si="6"/>
        <v>2017.12</v>
      </c>
      <c r="B309" s="50">
        <v>184314</v>
      </c>
      <c r="C309" s="1675">
        <v>18965</v>
      </c>
      <c r="D309" s="1365">
        <v>3111</v>
      </c>
      <c r="E309" s="1938">
        <v>857</v>
      </c>
      <c r="F309" s="1365">
        <v>14195</v>
      </c>
      <c r="G309" s="73">
        <v>124146</v>
      </c>
      <c r="H309" s="1946">
        <f t="shared" si="9"/>
        <v>138341</v>
      </c>
      <c r="I309" s="73">
        <v>5107</v>
      </c>
      <c r="J309" s="1950">
        <v>17933</v>
      </c>
      <c r="K309" s="73">
        <v>117575</v>
      </c>
      <c r="L309" s="573">
        <v>10540</v>
      </c>
      <c r="M309" s="1365">
        <v>634</v>
      </c>
      <c r="N309" s="163">
        <v>131135</v>
      </c>
      <c r="P309" s="414"/>
      <c r="Q309" s="414"/>
    </row>
    <row r="310" spans="1:17">
      <c r="A310" s="85">
        <f t="shared" si="6"/>
        <v>2018.01</v>
      </c>
      <c r="B310" s="50">
        <v>201292</v>
      </c>
      <c r="C310" s="1675">
        <v>16429</v>
      </c>
      <c r="D310" s="1365">
        <v>5675</v>
      </c>
      <c r="E310" s="1938">
        <v>714</v>
      </c>
      <c r="F310" s="1365">
        <v>8375</v>
      </c>
      <c r="G310" s="73">
        <v>148915</v>
      </c>
      <c r="H310" s="1946">
        <f t="shared" si="9"/>
        <v>157290</v>
      </c>
      <c r="I310" s="73">
        <v>5137</v>
      </c>
      <c r="J310" s="1950">
        <v>16047</v>
      </c>
      <c r="K310" s="73">
        <v>141031</v>
      </c>
      <c r="L310" s="573">
        <v>14154</v>
      </c>
      <c r="M310" s="1365">
        <v>320</v>
      </c>
      <c r="N310" s="163">
        <v>149205</v>
      </c>
      <c r="P310" s="414"/>
      <c r="Q310" s="414"/>
    </row>
    <row r="311" spans="1:17">
      <c r="A311" s="85">
        <f t="shared" si="6"/>
        <v>2018.02</v>
      </c>
      <c r="B311" s="50">
        <v>167514</v>
      </c>
      <c r="C311" s="1675">
        <v>14193</v>
      </c>
      <c r="D311" s="1365">
        <v>3100</v>
      </c>
      <c r="E311" s="1938">
        <v>364</v>
      </c>
      <c r="F311" s="1365">
        <v>1463</v>
      </c>
      <c r="G311" s="73">
        <v>128540</v>
      </c>
      <c r="H311" s="1946">
        <f t="shared" si="9"/>
        <v>130003</v>
      </c>
      <c r="I311" s="73">
        <v>4662</v>
      </c>
      <c r="J311" s="1950">
        <v>15192</v>
      </c>
      <c r="K311" s="73">
        <v>121222</v>
      </c>
      <c r="L311" s="573">
        <v>10782</v>
      </c>
      <c r="M311" s="1365">
        <v>858</v>
      </c>
      <c r="N311" s="163">
        <v>121827</v>
      </c>
      <c r="P311" s="414"/>
      <c r="Q311" s="414"/>
    </row>
    <row r="312" spans="1:17">
      <c r="A312" s="85">
        <f t="shared" si="6"/>
        <v>2018.03</v>
      </c>
      <c r="B312" s="50">
        <v>199382</v>
      </c>
      <c r="C312" s="1675">
        <v>18979</v>
      </c>
      <c r="D312" s="1365">
        <v>2635</v>
      </c>
      <c r="E312" s="1938">
        <v>359</v>
      </c>
      <c r="F312" s="1365">
        <v>177</v>
      </c>
      <c r="G312" s="73">
        <v>154370</v>
      </c>
      <c r="H312" s="1946">
        <f t="shared" si="9"/>
        <v>154547</v>
      </c>
      <c r="I312" s="73">
        <v>5668</v>
      </c>
      <c r="J312" s="1950">
        <v>17194</v>
      </c>
      <c r="K312" s="73">
        <v>143238</v>
      </c>
      <c r="L312" s="573">
        <v>14127</v>
      </c>
      <c r="M312" s="1365">
        <v>200</v>
      </c>
      <c r="N312" s="163">
        <v>143214</v>
      </c>
      <c r="P312" s="414"/>
      <c r="Q312" s="414"/>
    </row>
    <row r="313" spans="1:17">
      <c r="A313" s="85">
        <f t="shared" si="6"/>
        <v>2018.04</v>
      </c>
      <c r="B313" s="50">
        <v>206229</v>
      </c>
      <c r="C313" s="1675">
        <v>18366</v>
      </c>
      <c r="D313" s="1365">
        <v>2431</v>
      </c>
      <c r="E313" s="1938">
        <v>373</v>
      </c>
      <c r="F313" s="1365">
        <v>33</v>
      </c>
      <c r="G313" s="73">
        <v>162320</v>
      </c>
      <c r="H313" s="1946">
        <f t="shared" si="9"/>
        <v>162353</v>
      </c>
      <c r="I313" s="73">
        <v>6510</v>
      </c>
      <c r="J313" s="1950">
        <v>16196</v>
      </c>
      <c r="K313" s="73">
        <v>149917</v>
      </c>
      <c r="L313" s="573">
        <v>15207</v>
      </c>
      <c r="M313" s="1365">
        <v>234</v>
      </c>
      <c r="N313" s="163">
        <v>149716</v>
      </c>
      <c r="P313" s="414"/>
      <c r="Q313" s="414"/>
    </row>
    <row r="314" spans="1:17">
      <c r="A314" s="85">
        <f t="shared" si="6"/>
        <v>2018.05</v>
      </c>
      <c r="B314" s="50">
        <v>252769</v>
      </c>
      <c r="C314" s="1675">
        <v>47138</v>
      </c>
      <c r="D314" s="1365">
        <v>3331</v>
      </c>
      <c r="E314" s="1938">
        <v>364</v>
      </c>
      <c r="F314" s="1365">
        <v>0</v>
      </c>
      <c r="G314" s="73">
        <v>174296</v>
      </c>
      <c r="H314" s="1946">
        <f t="shared" si="9"/>
        <v>174296</v>
      </c>
      <c r="I314" s="73">
        <v>10925</v>
      </c>
      <c r="J314" s="1950">
        <v>16715</v>
      </c>
      <c r="K314" s="73">
        <v>158116</v>
      </c>
      <c r="L314" s="573">
        <v>19833</v>
      </c>
      <c r="M314" s="1365">
        <v>0</v>
      </c>
      <c r="N314" s="163">
        <v>158158</v>
      </c>
      <c r="P314" s="414"/>
      <c r="Q314" s="414"/>
    </row>
    <row r="315" spans="1:17">
      <c r="A315" s="85">
        <f t="shared" si="6"/>
        <v>2018.06</v>
      </c>
      <c r="B315" s="50">
        <v>296756</v>
      </c>
      <c r="C315" s="1675">
        <v>86165</v>
      </c>
      <c r="D315" s="1365">
        <v>4213</v>
      </c>
      <c r="E315" s="1938">
        <v>360</v>
      </c>
      <c r="F315" s="1365">
        <v>0</v>
      </c>
      <c r="G315" s="73">
        <v>169570</v>
      </c>
      <c r="H315" s="1946">
        <f t="shared" si="9"/>
        <v>169570</v>
      </c>
      <c r="I315" s="73">
        <v>20175</v>
      </c>
      <c r="J315" s="1950">
        <v>16273</v>
      </c>
      <c r="K315" s="73">
        <v>153570</v>
      </c>
      <c r="L315" s="573">
        <v>20414</v>
      </c>
      <c r="M315" s="1365">
        <v>0</v>
      </c>
      <c r="N315" s="163">
        <v>153729</v>
      </c>
      <c r="P315" s="414"/>
      <c r="Q315" s="414"/>
    </row>
    <row r="316" spans="1:17">
      <c r="A316" s="85">
        <f t="shared" si="6"/>
        <v>2018.07</v>
      </c>
      <c r="B316" s="50">
        <v>297352</v>
      </c>
      <c r="C316" s="1675">
        <v>93277</v>
      </c>
      <c r="D316" s="1365">
        <v>3384</v>
      </c>
      <c r="E316" s="1938">
        <v>387</v>
      </c>
      <c r="F316" s="1365">
        <v>0</v>
      </c>
      <c r="G316" s="73">
        <v>161543</v>
      </c>
      <c r="H316" s="1946">
        <f t="shared" si="9"/>
        <v>161543</v>
      </c>
      <c r="I316" s="73">
        <v>21488</v>
      </c>
      <c r="J316" s="1950">
        <v>17273</v>
      </c>
      <c r="K316" s="73">
        <v>140238</v>
      </c>
      <c r="L316" s="573">
        <v>25075</v>
      </c>
      <c r="M316" s="1365">
        <v>0</v>
      </c>
      <c r="N316" s="163">
        <v>140239</v>
      </c>
      <c r="P316" s="414"/>
      <c r="Q316" s="414"/>
    </row>
    <row r="317" spans="1:17">
      <c r="A317" s="85">
        <f t="shared" si="6"/>
        <v>2018.08</v>
      </c>
      <c r="B317" s="50">
        <v>272437</v>
      </c>
      <c r="C317" s="1675">
        <v>84003</v>
      </c>
      <c r="D317" s="1365">
        <v>3381</v>
      </c>
      <c r="E317" s="1938">
        <v>383</v>
      </c>
      <c r="F317" s="1365">
        <v>0</v>
      </c>
      <c r="G317" s="73">
        <v>148521</v>
      </c>
      <c r="H317" s="1946">
        <f t="shared" si="9"/>
        <v>148521</v>
      </c>
      <c r="I317" s="73">
        <v>18670</v>
      </c>
      <c r="J317" s="1950">
        <v>17479</v>
      </c>
      <c r="K317" s="73">
        <v>136256</v>
      </c>
      <c r="L317" s="573">
        <v>15941</v>
      </c>
      <c r="M317" s="1365">
        <v>432</v>
      </c>
      <c r="N317" s="163">
        <v>135912</v>
      </c>
      <c r="P317" s="414"/>
      <c r="Q317" s="414"/>
    </row>
    <row r="318" spans="1:17">
      <c r="A318" s="85">
        <f t="shared" ref="A318:A381" si="10">A306+1</f>
        <v>2018.09</v>
      </c>
      <c r="B318" s="50">
        <v>217301</v>
      </c>
      <c r="C318" s="1675">
        <v>32046</v>
      </c>
      <c r="D318" s="1365">
        <v>2931</v>
      </c>
      <c r="E318" s="1938">
        <v>363</v>
      </c>
      <c r="F318" s="1365">
        <v>0</v>
      </c>
      <c r="G318" s="73">
        <v>156398</v>
      </c>
      <c r="H318" s="1946">
        <f t="shared" si="9"/>
        <v>156398</v>
      </c>
      <c r="I318" s="73">
        <v>9042</v>
      </c>
      <c r="J318" s="1950">
        <v>16521</v>
      </c>
      <c r="K318" s="73">
        <v>137956</v>
      </c>
      <c r="L318" s="573">
        <v>21645</v>
      </c>
      <c r="M318" s="1365">
        <v>344</v>
      </c>
      <c r="N318" s="163">
        <v>137703</v>
      </c>
      <c r="P318" s="414"/>
      <c r="Q318" s="414"/>
    </row>
    <row r="319" spans="1:17">
      <c r="A319" s="85">
        <f t="shared" si="10"/>
        <v>2018.1</v>
      </c>
      <c r="B319" s="50">
        <v>218974</v>
      </c>
      <c r="C319" s="1675">
        <v>26291</v>
      </c>
      <c r="D319" s="1365">
        <v>2660</v>
      </c>
      <c r="E319" s="1938">
        <v>389</v>
      </c>
      <c r="F319" s="1365">
        <v>0</v>
      </c>
      <c r="G319" s="73">
        <v>165631</v>
      </c>
      <c r="H319" s="1946">
        <f t="shared" si="9"/>
        <v>165631</v>
      </c>
      <c r="I319" s="73">
        <v>6928</v>
      </c>
      <c r="J319" s="1950">
        <v>17075</v>
      </c>
      <c r="K319" s="73">
        <v>153094</v>
      </c>
      <c r="L319" s="573">
        <v>15585</v>
      </c>
      <c r="M319" s="1365">
        <v>421</v>
      </c>
      <c r="N319" s="163">
        <v>152674</v>
      </c>
      <c r="P319" s="414"/>
      <c r="Q319" s="414"/>
    </row>
    <row r="320" spans="1:17">
      <c r="A320" s="85">
        <f t="shared" si="10"/>
        <v>2018.11</v>
      </c>
      <c r="B320" s="50">
        <v>207176</v>
      </c>
      <c r="C320" s="1675">
        <v>22206</v>
      </c>
      <c r="D320" s="1365">
        <v>2429</v>
      </c>
      <c r="E320" s="1938">
        <v>388</v>
      </c>
      <c r="F320" s="1365">
        <v>0</v>
      </c>
      <c r="G320" s="73">
        <v>160450</v>
      </c>
      <c r="H320" s="1946">
        <f t="shared" si="9"/>
        <v>160450</v>
      </c>
      <c r="I320" s="73">
        <v>5811</v>
      </c>
      <c r="J320" s="1950">
        <v>15892</v>
      </c>
      <c r="K320" s="73">
        <v>151422</v>
      </c>
      <c r="L320" s="573">
        <v>11396</v>
      </c>
      <c r="M320" s="1365">
        <v>359</v>
      </c>
      <c r="N320" s="163">
        <v>151512</v>
      </c>
      <c r="P320" s="414"/>
      <c r="Q320" s="414"/>
    </row>
    <row r="321" spans="1:21">
      <c r="A321" s="85">
        <f t="shared" si="10"/>
        <v>2018.12</v>
      </c>
      <c r="B321" s="50">
        <v>165843</v>
      </c>
      <c r="C321" s="1675">
        <v>14556</v>
      </c>
      <c r="D321" s="1365">
        <v>6565</v>
      </c>
      <c r="E321" s="1938">
        <v>679</v>
      </c>
      <c r="F321" s="1365">
        <v>0</v>
      </c>
      <c r="G321" s="73">
        <v>121639</v>
      </c>
      <c r="H321" s="1946">
        <f t="shared" si="9"/>
        <v>121639</v>
      </c>
      <c r="I321" s="73">
        <v>5040</v>
      </c>
      <c r="J321" s="1950">
        <v>17364</v>
      </c>
      <c r="K321" s="73">
        <v>129135</v>
      </c>
      <c r="L321" s="573">
        <v>12553</v>
      </c>
      <c r="M321" s="1365">
        <v>315</v>
      </c>
      <c r="N321" s="163">
        <v>116015</v>
      </c>
      <c r="P321" s="414"/>
      <c r="Q321" s="414"/>
    </row>
    <row r="322" spans="1:21">
      <c r="A322" s="85">
        <f t="shared" si="10"/>
        <v>2019.01</v>
      </c>
      <c r="B322" s="50">
        <v>171354</v>
      </c>
      <c r="C322" s="1675">
        <v>14988</v>
      </c>
      <c r="D322" s="1365">
        <v>8737</v>
      </c>
      <c r="E322" s="1938">
        <v>160</v>
      </c>
      <c r="F322" s="1365">
        <v>405</v>
      </c>
      <c r="G322" s="73">
        <v>128244</v>
      </c>
      <c r="H322" s="1946">
        <f>F322+G322</f>
        <v>128649</v>
      </c>
      <c r="I322" s="73">
        <v>2994</v>
      </c>
      <c r="J322" s="1950">
        <v>15827</v>
      </c>
      <c r="K322" s="73">
        <v>124571</v>
      </c>
      <c r="L322" s="573">
        <v>12708</v>
      </c>
      <c r="M322" s="1365">
        <v>0</v>
      </c>
      <c r="N322" s="163">
        <v>124838</v>
      </c>
      <c r="P322" s="414"/>
      <c r="Q322" s="414"/>
    </row>
    <row r="323" spans="1:21">
      <c r="A323" s="85">
        <f t="shared" si="10"/>
        <v>2019.02</v>
      </c>
      <c r="B323" s="50">
        <v>153107</v>
      </c>
      <c r="C323" s="1675">
        <v>13447</v>
      </c>
      <c r="D323" s="1365">
        <v>9279</v>
      </c>
      <c r="E323" s="1938">
        <v>474</v>
      </c>
      <c r="F323" s="1365">
        <v>781</v>
      </c>
      <c r="G323" s="73">
        <v>111106</v>
      </c>
      <c r="H323" s="1946">
        <f>F323+G323</f>
        <v>111887</v>
      </c>
      <c r="I323" s="73">
        <v>3041</v>
      </c>
      <c r="J323" s="1950">
        <v>14978</v>
      </c>
      <c r="K323" s="73">
        <v>107556</v>
      </c>
      <c r="L323" s="573">
        <v>13303</v>
      </c>
      <c r="M323" s="1365">
        <v>202</v>
      </c>
      <c r="N323" s="163">
        <v>108135</v>
      </c>
      <c r="P323" s="414"/>
      <c r="Q323" s="414"/>
    </row>
    <row r="324" spans="1:21">
      <c r="A324" s="85">
        <f t="shared" si="10"/>
        <v>2019.03</v>
      </c>
      <c r="B324" s="50">
        <v>178686</v>
      </c>
      <c r="C324" s="1675">
        <v>18118</v>
      </c>
      <c r="D324" s="1365">
        <v>11638</v>
      </c>
      <c r="E324" s="1938">
        <v>580</v>
      </c>
      <c r="F324" s="1365">
        <v>8</v>
      </c>
      <c r="G324" s="73">
        <v>127952</v>
      </c>
      <c r="H324" s="1946">
        <f t="shared" si="9"/>
        <v>127960</v>
      </c>
      <c r="I324" s="73">
        <v>3920</v>
      </c>
      <c r="J324" s="1950">
        <v>16469</v>
      </c>
      <c r="K324" s="73">
        <v>122618</v>
      </c>
      <c r="L324" s="573">
        <v>17552</v>
      </c>
      <c r="M324" s="1365">
        <v>308</v>
      </c>
      <c r="N324" s="163">
        <v>122318</v>
      </c>
      <c r="P324" s="414"/>
      <c r="Q324" s="414"/>
    </row>
    <row r="325" spans="1:21">
      <c r="A325" s="85">
        <f t="shared" si="10"/>
        <v>2019.04</v>
      </c>
      <c r="B325" s="50">
        <v>203478</v>
      </c>
      <c r="C325" s="1675">
        <v>23818</v>
      </c>
      <c r="D325" s="1365">
        <v>9850</v>
      </c>
      <c r="E325" s="1938">
        <v>549</v>
      </c>
      <c r="F325" s="1365">
        <v>274</v>
      </c>
      <c r="G325" s="73">
        <v>147472</v>
      </c>
      <c r="H325" s="1946">
        <f t="shared" si="9"/>
        <v>147746</v>
      </c>
      <c r="I325" s="73">
        <v>5212</v>
      </c>
      <c r="J325" s="1950">
        <v>16303</v>
      </c>
      <c r="K325" s="73">
        <v>142466</v>
      </c>
      <c r="L325" s="573">
        <v>15404</v>
      </c>
      <c r="M325" s="1365">
        <v>234</v>
      </c>
      <c r="N325" s="163">
        <v>142507</v>
      </c>
      <c r="P325" s="414"/>
      <c r="Q325" s="414"/>
    </row>
    <row r="326" spans="1:21">
      <c r="A326" s="85">
        <f t="shared" si="10"/>
        <v>2019.05</v>
      </c>
      <c r="B326" s="50">
        <v>240412</v>
      </c>
      <c r="C326" s="1675">
        <v>51105</v>
      </c>
      <c r="D326" s="1365">
        <v>12028</v>
      </c>
      <c r="E326" s="1938">
        <v>1189</v>
      </c>
      <c r="F326" s="1365">
        <v>37</v>
      </c>
      <c r="G326" s="73">
        <v>151676</v>
      </c>
      <c r="H326" s="1946">
        <f t="shared" si="9"/>
        <v>151713</v>
      </c>
      <c r="I326" s="73">
        <v>7503</v>
      </c>
      <c r="J326" s="1950">
        <v>16874</v>
      </c>
      <c r="K326" s="73">
        <v>146933</v>
      </c>
      <c r="L326" s="573">
        <v>17961</v>
      </c>
      <c r="M326" s="1365">
        <v>319</v>
      </c>
      <c r="N326" s="163">
        <v>146650</v>
      </c>
      <c r="P326" s="414"/>
      <c r="Q326" s="414"/>
    </row>
    <row r="327" spans="1:21">
      <c r="A327" s="85">
        <f t="shared" si="10"/>
        <v>2019.06</v>
      </c>
      <c r="B327" s="50">
        <v>257716</v>
      </c>
      <c r="C327" s="1675">
        <v>66338</v>
      </c>
      <c r="D327" s="1365">
        <v>11359</v>
      </c>
      <c r="E327" s="1938">
        <v>2017</v>
      </c>
      <c r="F327" s="1365">
        <v>94</v>
      </c>
      <c r="G327" s="73">
        <v>150504</v>
      </c>
      <c r="H327" s="1946">
        <f t="shared" si="9"/>
        <v>150598</v>
      </c>
      <c r="I327" s="73">
        <v>10619</v>
      </c>
      <c r="J327" s="1950">
        <v>16786</v>
      </c>
      <c r="K327" s="73">
        <v>144053</v>
      </c>
      <c r="L327" s="573">
        <v>19826</v>
      </c>
      <c r="M327" s="1365">
        <v>350</v>
      </c>
      <c r="N327" s="163">
        <v>143797</v>
      </c>
      <c r="P327" s="414"/>
      <c r="Q327" s="414"/>
    </row>
    <row r="328" spans="1:21">
      <c r="A328" s="85">
        <f t="shared" si="10"/>
        <v>2019.07</v>
      </c>
      <c r="B328" s="50">
        <v>270746</v>
      </c>
      <c r="C328" s="1675">
        <v>91248</v>
      </c>
      <c r="D328" s="1365">
        <v>11633</v>
      </c>
      <c r="E328" s="1938">
        <v>2982</v>
      </c>
      <c r="F328" s="1365">
        <v>232</v>
      </c>
      <c r="G328" s="73">
        <v>132706</v>
      </c>
      <c r="H328" s="1946">
        <f t="shared" si="9"/>
        <v>132938</v>
      </c>
      <c r="I328" s="73">
        <v>14412</v>
      </c>
      <c r="J328" s="1950">
        <v>17533</v>
      </c>
      <c r="K328" s="73">
        <v>124036</v>
      </c>
      <c r="L328" s="573">
        <v>23285</v>
      </c>
      <c r="M328" s="1365">
        <v>310</v>
      </c>
      <c r="N328" s="163">
        <v>123958</v>
      </c>
      <c r="P328" s="414"/>
      <c r="Q328" s="414"/>
    </row>
    <row r="329" spans="1:21">
      <c r="A329" s="85">
        <f t="shared" si="10"/>
        <v>2019.08</v>
      </c>
      <c r="B329" s="50">
        <v>200537</v>
      </c>
      <c r="C329" s="1675">
        <v>19822</v>
      </c>
      <c r="D329" s="1365">
        <v>12340</v>
      </c>
      <c r="E329" s="1938">
        <v>3159</v>
      </c>
      <c r="F329" s="1365">
        <v>69</v>
      </c>
      <c r="G329" s="73">
        <v>134991</v>
      </c>
      <c r="H329" s="1946">
        <f t="shared" si="9"/>
        <v>135060</v>
      </c>
      <c r="I329" s="73">
        <v>12259</v>
      </c>
      <c r="J329" s="1950">
        <v>17897</v>
      </c>
      <c r="K329" s="73">
        <v>127289</v>
      </c>
      <c r="L329" s="573">
        <v>23202</v>
      </c>
      <c r="M329" s="1365">
        <v>323</v>
      </c>
      <c r="N329" s="163">
        <v>127035</v>
      </c>
      <c r="P329" s="414"/>
      <c r="Q329" s="414"/>
    </row>
    <row r="330" spans="1:21">
      <c r="A330" s="85">
        <f t="shared" si="10"/>
        <v>2019.09</v>
      </c>
      <c r="B330" s="50">
        <v>221093</v>
      </c>
      <c r="C330" s="1675">
        <v>49382</v>
      </c>
      <c r="D330" s="1365">
        <v>9919</v>
      </c>
      <c r="E330" s="1938">
        <v>2790</v>
      </c>
      <c r="F330" s="1365">
        <v>4</v>
      </c>
      <c r="G330" s="73">
        <v>133186</v>
      </c>
      <c r="H330" s="1946">
        <f t="shared" si="9"/>
        <v>133190</v>
      </c>
      <c r="I330" s="73">
        <v>8923</v>
      </c>
      <c r="J330" s="1950">
        <v>16890</v>
      </c>
      <c r="K330" s="73">
        <v>126502</v>
      </c>
      <c r="L330" s="573">
        <v>19392</v>
      </c>
      <c r="M330" s="1365">
        <v>249</v>
      </c>
      <c r="N330" s="163">
        <v>126258</v>
      </c>
      <c r="P330" s="414"/>
      <c r="Q330" s="414"/>
    </row>
    <row r="331" spans="1:21">
      <c r="A331" s="85">
        <f t="shared" si="10"/>
        <v>2019.1</v>
      </c>
      <c r="B331" s="50">
        <v>210523</v>
      </c>
      <c r="C331" s="1675">
        <v>28946</v>
      </c>
      <c r="D331" s="1365">
        <v>10717</v>
      </c>
      <c r="E331" s="1938">
        <v>1776</v>
      </c>
      <c r="F331" s="1365">
        <v>161</v>
      </c>
      <c r="G331" s="73">
        <v>145879</v>
      </c>
      <c r="H331" s="1946">
        <f t="shared" si="9"/>
        <v>146040</v>
      </c>
      <c r="I331" s="73">
        <v>5293</v>
      </c>
      <c r="J331" s="1950">
        <v>17752</v>
      </c>
      <c r="K331" s="73">
        <v>141049</v>
      </c>
      <c r="L331" s="573">
        <v>17323</v>
      </c>
      <c r="M331" s="1365">
        <v>231</v>
      </c>
      <c r="N331" s="163">
        <v>140979</v>
      </c>
      <c r="P331" s="414"/>
      <c r="Q331" s="414"/>
    </row>
    <row r="332" spans="1:21">
      <c r="A332" s="85">
        <f t="shared" si="10"/>
        <v>2019.11</v>
      </c>
      <c r="B332" s="50">
        <v>171896</v>
      </c>
      <c r="C332" s="1675">
        <v>15387</v>
      </c>
      <c r="D332" s="1365">
        <v>9767</v>
      </c>
      <c r="E332" s="1938">
        <v>1020</v>
      </c>
      <c r="F332" s="1365">
        <v>135</v>
      </c>
      <c r="G332" s="73">
        <v>125220</v>
      </c>
      <c r="H332" s="1946">
        <f>F332+G332</f>
        <v>125355</v>
      </c>
      <c r="I332" s="73">
        <v>3286</v>
      </c>
      <c r="J332" s="1950">
        <v>17082</v>
      </c>
      <c r="K332" s="73">
        <v>121124</v>
      </c>
      <c r="L332" s="573">
        <v>14882</v>
      </c>
      <c r="M332" s="1365">
        <v>213</v>
      </c>
      <c r="N332" s="163">
        <v>121047</v>
      </c>
      <c r="P332" s="414"/>
    </row>
    <row r="333" spans="1:21">
      <c r="A333" s="85">
        <f t="shared" si="10"/>
        <v>2019.12</v>
      </c>
      <c r="B333" s="50">
        <v>150469</v>
      </c>
      <c r="C333" s="1675">
        <v>16628</v>
      </c>
      <c r="D333" s="1365">
        <v>9388</v>
      </c>
      <c r="E333" s="1938">
        <v>671</v>
      </c>
      <c r="F333" s="1365">
        <v>440</v>
      </c>
      <c r="G333" s="73">
        <v>102778</v>
      </c>
      <c r="H333" s="1946">
        <f t="shared" si="9"/>
        <v>103218</v>
      </c>
      <c r="I333" s="73">
        <v>2910</v>
      </c>
      <c r="J333" s="1950">
        <v>17655</v>
      </c>
      <c r="K333" s="73">
        <v>99054</v>
      </c>
      <c r="L333" s="573">
        <v>13783</v>
      </c>
      <c r="M333" s="1365">
        <v>151</v>
      </c>
      <c r="N333" s="163">
        <v>99343</v>
      </c>
      <c r="P333" s="516"/>
      <c r="R333" s="516"/>
      <c r="S333" s="516"/>
      <c r="T333" s="516"/>
      <c r="U333" s="516"/>
    </row>
    <row r="334" spans="1:21">
      <c r="A334" s="85">
        <f t="shared" si="10"/>
        <v>2020.01</v>
      </c>
      <c r="B334" s="50">
        <v>141050</v>
      </c>
      <c r="C334" s="1675">
        <v>15194</v>
      </c>
      <c r="D334" s="1365">
        <v>8726</v>
      </c>
      <c r="E334" s="1938">
        <v>506</v>
      </c>
      <c r="F334" s="1365">
        <v>236</v>
      </c>
      <c r="G334" s="73">
        <v>97101</v>
      </c>
      <c r="H334" s="1946">
        <f t="shared" si="9"/>
        <v>97337</v>
      </c>
      <c r="I334" s="73">
        <v>2909</v>
      </c>
      <c r="J334" s="1950">
        <v>16378</v>
      </c>
      <c r="K334" s="73">
        <v>93987</v>
      </c>
      <c r="L334" s="573">
        <v>12346</v>
      </c>
      <c r="M334" s="1365">
        <v>162</v>
      </c>
      <c r="N334" s="163">
        <v>94060</v>
      </c>
    </row>
    <row r="335" spans="1:21">
      <c r="A335" s="85">
        <f t="shared" si="10"/>
        <v>2020.02</v>
      </c>
      <c r="B335" s="50">
        <v>153198</v>
      </c>
      <c r="C335" s="1675">
        <v>15096</v>
      </c>
      <c r="D335" s="1365">
        <v>9508</v>
      </c>
      <c r="E335" s="1938">
        <v>477</v>
      </c>
      <c r="F335" s="1365">
        <v>1760</v>
      </c>
      <c r="G335" s="73">
        <v>107731</v>
      </c>
      <c r="H335" s="1946">
        <f t="shared" si="9"/>
        <v>109491</v>
      </c>
      <c r="I335" s="73">
        <v>2907</v>
      </c>
      <c r="J335" s="1950">
        <v>15720</v>
      </c>
      <c r="K335" s="73">
        <v>104807</v>
      </c>
      <c r="L335" s="573">
        <v>12908</v>
      </c>
      <c r="M335" s="1365">
        <v>216</v>
      </c>
      <c r="N335" s="163">
        <v>106351</v>
      </c>
    </row>
    <row r="336" spans="1:21">
      <c r="A336" s="85">
        <f t="shared" si="10"/>
        <v>2020.03</v>
      </c>
      <c r="B336" s="50">
        <v>151041</v>
      </c>
      <c r="C336" s="1675">
        <v>16968</v>
      </c>
      <c r="D336" s="1365">
        <v>10092</v>
      </c>
      <c r="E336" s="1938">
        <v>503</v>
      </c>
      <c r="F336" s="1365">
        <v>150</v>
      </c>
      <c r="G336" s="73">
        <v>108172</v>
      </c>
      <c r="H336" s="1946">
        <f t="shared" si="9"/>
        <v>108322</v>
      </c>
      <c r="I336" s="73">
        <v>3463</v>
      </c>
      <c r="J336" s="1950">
        <v>11695</v>
      </c>
      <c r="K336" s="73">
        <v>104530</v>
      </c>
      <c r="L336" s="573">
        <v>14236</v>
      </c>
      <c r="M336" s="1365">
        <v>309</v>
      </c>
      <c r="N336" s="163">
        <v>104371</v>
      </c>
    </row>
    <row r="337" spans="1:14">
      <c r="A337" s="85">
        <f t="shared" si="10"/>
        <v>2020.04</v>
      </c>
      <c r="B337" s="50">
        <v>145162</v>
      </c>
      <c r="C337" s="1675">
        <v>26221</v>
      </c>
      <c r="D337" s="1365">
        <v>8938</v>
      </c>
      <c r="E337" s="1938">
        <v>267</v>
      </c>
      <c r="F337" s="1365">
        <v>1</v>
      </c>
      <c r="G337" s="73">
        <v>99186</v>
      </c>
      <c r="H337" s="1946">
        <f t="shared" si="9"/>
        <v>99187</v>
      </c>
      <c r="I337" s="73">
        <v>4352</v>
      </c>
      <c r="J337" s="1950">
        <v>6197</v>
      </c>
      <c r="K337" s="73">
        <v>96808</v>
      </c>
      <c r="L337" s="573">
        <v>11583</v>
      </c>
      <c r="M337" s="1365">
        <v>182</v>
      </c>
      <c r="N337" s="163">
        <v>96627</v>
      </c>
    </row>
    <row r="338" spans="1:14">
      <c r="A338" s="85">
        <f t="shared" si="10"/>
        <v>2020.05</v>
      </c>
      <c r="B338" s="50">
        <v>192417</v>
      </c>
      <c r="C338" s="1675">
        <v>54817</v>
      </c>
      <c r="D338" s="1365">
        <v>9778</v>
      </c>
      <c r="E338" s="1938">
        <v>773</v>
      </c>
      <c r="F338" s="1365">
        <v>0</v>
      </c>
      <c r="G338" s="73">
        <v>109579</v>
      </c>
      <c r="H338" s="1946">
        <f t="shared" si="9"/>
        <v>109579</v>
      </c>
      <c r="I338" s="73">
        <v>7566</v>
      </c>
      <c r="J338" s="1950">
        <v>9903</v>
      </c>
      <c r="K338" s="73">
        <v>106688</v>
      </c>
      <c r="L338" s="573">
        <v>13442</v>
      </c>
      <c r="M338" s="1365">
        <v>545</v>
      </c>
      <c r="N338" s="163">
        <v>106143</v>
      </c>
    </row>
    <row r="339" spans="1:14">
      <c r="A339" s="85">
        <f t="shared" si="10"/>
        <v>2020.06</v>
      </c>
      <c r="B339" s="50">
        <v>224643</v>
      </c>
      <c r="C339" s="1675">
        <v>80370</v>
      </c>
      <c r="D339" s="1365">
        <v>10382</v>
      </c>
      <c r="E339" s="1938">
        <v>1240</v>
      </c>
      <c r="F339" s="1365">
        <v>1</v>
      </c>
      <c r="G339" s="73">
        <v>106254</v>
      </c>
      <c r="H339" s="1946">
        <f t="shared" si="9"/>
        <v>106255</v>
      </c>
      <c r="I339" s="73">
        <v>14029</v>
      </c>
      <c r="J339" s="1950">
        <v>12366</v>
      </c>
      <c r="K339" s="73">
        <v>103397</v>
      </c>
      <c r="L339" s="573">
        <v>14479</v>
      </c>
      <c r="M339" s="1365">
        <v>680</v>
      </c>
      <c r="N339" s="163">
        <v>102719</v>
      </c>
    </row>
    <row r="340" spans="1:14">
      <c r="A340" s="85">
        <f t="shared" si="10"/>
        <v>2020.07</v>
      </c>
      <c r="B340" s="50">
        <v>281043</v>
      </c>
      <c r="C340" s="1675">
        <v>102857</v>
      </c>
      <c r="D340" s="1365">
        <v>12065</v>
      </c>
      <c r="E340" s="1938">
        <v>1847</v>
      </c>
      <c r="F340" s="1365">
        <v>312</v>
      </c>
      <c r="G340" s="73">
        <v>133259</v>
      </c>
      <c r="H340" s="1946">
        <f t="shared" si="9"/>
        <v>133571</v>
      </c>
      <c r="I340" s="73">
        <v>16431</v>
      </c>
      <c r="J340" s="1950">
        <v>14272</v>
      </c>
      <c r="K340" s="73">
        <v>128125</v>
      </c>
      <c r="L340" s="573">
        <v>19048</v>
      </c>
      <c r="M340" s="1365">
        <v>541</v>
      </c>
      <c r="N340" s="163">
        <v>127896</v>
      </c>
    </row>
    <row r="341" spans="1:14">
      <c r="A341" s="85">
        <f t="shared" si="10"/>
        <v>2020.08</v>
      </c>
      <c r="B341" s="50">
        <v>228270</v>
      </c>
      <c r="C341" s="1675">
        <v>67168</v>
      </c>
      <c r="D341" s="1365">
        <v>11020</v>
      </c>
      <c r="E341" s="1938">
        <v>1842</v>
      </c>
      <c r="F341" s="1365">
        <v>186</v>
      </c>
      <c r="G341" s="73">
        <v>124131</v>
      </c>
      <c r="H341" s="1946">
        <f t="shared" si="9"/>
        <v>124317</v>
      </c>
      <c r="I341" s="73">
        <v>10717</v>
      </c>
      <c r="J341" s="1950">
        <v>13206</v>
      </c>
      <c r="K341" s="73">
        <v>118845</v>
      </c>
      <c r="L341" s="573">
        <v>18148</v>
      </c>
      <c r="M341" s="1365">
        <v>441</v>
      </c>
      <c r="N341" s="163">
        <v>118589</v>
      </c>
    </row>
    <row r="342" spans="1:14">
      <c r="A342" s="85">
        <f t="shared" si="10"/>
        <v>2020.09</v>
      </c>
      <c r="B342" s="50">
        <v>194813</v>
      </c>
      <c r="C342" s="1675">
        <v>48148</v>
      </c>
      <c r="D342" s="1365">
        <v>11505</v>
      </c>
      <c r="E342" s="1938">
        <v>1486</v>
      </c>
      <c r="F342" s="1365">
        <v>24</v>
      </c>
      <c r="G342" s="73">
        <v>112250</v>
      </c>
      <c r="H342" s="1946">
        <f t="shared" si="9"/>
        <v>112274</v>
      </c>
      <c r="I342" s="73">
        <v>9238</v>
      </c>
      <c r="J342" s="1950">
        <v>12163</v>
      </c>
      <c r="K342" s="73">
        <v>107436</v>
      </c>
      <c r="L342" s="573">
        <v>17804</v>
      </c>
      <c r="M342" s="1365">
        <v>409</v>
      </c>
      <c r="N342" s="163">
        <v>107051</v>
      </c>
    </row>
    <row r="343" spans="1:14">
      <c r="A343" s="85">
        <f t="shared" si="10"/>
        <v>2020.1</v>
      </c>
      <c r="B343" s="50">
        <v>179810</v>
      </c>
      <c r="C343" s="1675">
        <v>16474</v>
      </c>
      <c r="D343" s="1365">
        <v>11070</v>
      </c>
      <c r="E343" s="1938">
        <v>1016</v>
      </c>
      <c r="F343" s="1365">
        <v>0</v>
      </c>
      <c r="G343" s="73">
        <v>121633</v>
      </c>
      <c r="H343" s="1946">
        <f t="shared" si="9"/>
        <v>121633</v>
      </c>
      <c r="I343" s="73">
        <v>5236</v>
      </c>
      <c r="J343" s="1950">
        <v>13273</v>
      </c>
      <c r="K343" s="73">
        <v>118116</v>
      </c>
      <c r="L343" s="573">
        <v>15603</v>
      </c>
      <c r="M343" s="1365">
        <v>345</v>
      </c>
      <c r="N343" s="163">
        <v>117770</v>
      </c>
    </row>
    <row r="344" spans="1:14">
      <c r="A344" s="85">
        <f t="shared" si="10"/>
        <v>2020.11</v>
      </c>
      <c r="B344" s="50">
        <v>156152</v>
      </c>
      <c r="C344" s="1675">
        <v>16474</v>
      </c>
      <c r="D344" s="1365">
        <v>9592</v>
      </c>
      <c r="E344" s="1938">
        <v>657</v>
      </c>
      <c r="F344" s="1365">
        <v>203</v>
      </c>
      <c r="G344" s="73">
        <v>111020</v>
      </c>
      <c r="H344" s="1946">
        <f t="shared" si="9"/>
        <v>111223</v>
      </c>
      <c r="I344" s="73">
        <v>4154</v>
      </c>
      <c r="J344" s="1950">
        <v>14052</v>
      </c>
      <c r="K344" s="73">
        <v>107943</v>
      </c>
      <c r="L344" s="573">
        <v>13327</v>
      </c>
      <c r="M344" s="1365">
        <v>328</v>
      </c>
      <c r="N344" s="163">
        <v>107818</v>
      </c>
    </row>
    <row r="345" spans="1:14">
      <c r="A345" s="85">
        <f t="shared" si="10"/>
        <v>2020.12</v>
      </c>
      <c r="B345" s="50">
        <v>125329</v>
      </c>
      <c r="C345" s="1675">
        <v>16167</v>
      </c>
      <c r="D345" s="1365">
        <v>7622</v>
      </c>
      <c r="E345" s="1938">
        <v>481</v>
      </c>
      <c r="F345" s="1365">
        <v>110</v>
      </c>
      <c r="G345" s="73">
        <v>80570</v>
      </c>
      <c r="H345" s="1946">
        <f t="shared" si="9"/>
        <v>80680</v>
      </c>
      <c r="I345" s="73">
        <v>4490</v>
      </c>
      <c r="J345" s="1950">
        <v>15888</v>
      </c>
      <c r="K345" s="73">
        <v>77561</v>
      </c>
      <c r="L345" s="573">
        <v>12902</v>
      </c>
      <c r="M345" s="1365">
        <v>336</v>
      </c>
      <c r="N345" s="163">
        <v>94077</v>
      </c>
    </row>
    <row r="346" spans="1:14">
      <c r="A346" s="85">
        <f t="shared" si="10"/>
        <v>2021.01</v>
      </c>
      <c r="B346" s="50">
        <v>168555</v>
      </c>
      <c r="C346" s="1675">
        <v>14393</v>
      </c>
      <c r="D346" s="1365">
        <v>8891</v>
      </c>
      <c r="E346" s="1938">
        <v>417</v>
      </c>
      <c r="F346" s="1365">
        <v>84</v>
      </c>
      <c r="G346" s="73">
        <v>127127</v>
      </c>
      <c r="H346" s="1946">
        <f t="shared" ref="H346:H405" si="11">F346+G346</f>
        <v>127211</v>
      </c>
      <c r="I346" s="73">
        <v>3022</v>
      </c>
      <c r="J346" s="1950">
        <v>14621</v>
      </c>
      <c r="K346" s="73">
        <v>124306</v>
      </c>
      <c r="L346" s="573">
        <v>12129</v>
      </c>
      <c r="M346" s="1365">
        <v>430</v>
      </c>
      <c r="N346" s="163">
        <v>123959</v>
      </c>
    </row>
    <row r="347" spans="1:14">
      <c r="A347" s="85">
        <f t="shared" si="10"/>
        <v>2021.02</v>
      </c>
      <c r="B347" s="50">
        <v>165229</v>
      </c>
      <c r="C347" s="1675">
        <v>14077</v>
      </c>
      <c r="D347" s="1365">
        <v>9617</v>
      </c>
      <c r="E347" s="1938">
        <v>389</v>
      </c>
      <c r="F347" s="1365">
        <v>0</v>
      </c>
      <c r="G347" s="73">
        <v>123996</v>
      </c>
      <c r="H347" s="1946">
        <f t="shared" si="11"/>
        <v>123996</v>
      </c>
      <c r="I347" s="73">
        <v>2843</v>
      </c>
      <c r="J347" s="1950">
        <v>14307</v>
      </c>
      <c r="K347" s="73">
        <v>121417</v>
      </c>
      <c r="L347" s="573">
        <v>12585</v>
      </c>
      <c r="M347" s="1365">
        <v>439</v>
      </c>
      <c r="N347" s="163">
        <v>120978</v>
      </c>
    </row>
    <row r="348" spans="1:14">
      <c r="A348" s="85">
        <f t="shared" si="10"/>
        <v>2021.03</v>
      </c>
      <c r="B348" s="50">
        <v>188238</v>
      </c>
      <c r="C348" s="1675">
        <v>17347</v>
      </c>
      <c r="D348" s="1365">
        <v>12718</v>
      </c>
      <c r="E348" s="1938">
        <v>491</v>
      </c>
      <c r="F348" s="1365">
        <v>417</v>
      </c>
      <c r="G348" s="73">
        <v>137250</v>
      </c>
      <c r="H348" s="1946">
        <f t="shared" si="11"/>
        <v>137667</v>
      </c>
      <c r="I348" s="73">
        <v>3509</v>
      </c>
      <c r="J348" s="1950">
        <v>16506</v>
      </c>
      <c r="K348" s="73">
        <v>133063</v>
      </c>
      <c r="L348" s="573">
        <v>17397</v>
      </c>
      <c r="M348" s="1365">
        <v>520</v>
      </c>
      <c r="N348" s="163">
        <v>132960</v>
      </c>
    </row>
    <row r="349" spans="1:14">
      <c r="A349" s="85">
        <f t="shared" si="10"/>
        <v>2021.04</v>
      </c>
      <c r="B349" s="50">
        <v>201460</v>
      </c>
      <c r="C349" s="1675">
        <v>18942</v>
      </c>
      <c r="D349" s="1365">
        <v>12417</v>
      </c>
      <c r="E349" s="1938">
        <v>580</v>
      </c>
      <c r="F349" s="1365">
        <v>77</v>
      </c>
      <c r="G349" s="73">
        <v>150160</v>
      </c>
      <c r="H349" s="1946">
        <f t="shared" si="11"/>
        <v>150237</v>
      </c>
      <c r="I349" s="73">
        <v>4193</v>
      </c>
      <c r="J349" s="1950">
        <v>15091</v>
      </c>
      <c r="K349" s="73">
        <v>145357</v>
      </c>
      <c r="L349" s="573">
        <v>17800</v>
      </c>
      <c r="M349" s="1365">
        <v>421</v>
      </c>
      <c r="N349" s="163">
        <v>145014</v>
      </c>
    </row>
    <row r="350" spans="1:14">
      <c r="A350" s="85">
        <v>2021.05</v>
      </c>
      <c r="B350" s="50">
        <v>252139</v>
      </c>
      <c r="C350" s="1675">
        <v>65409</v>
      </c>
      <c r="D350" s="1365">
        <v>10059</v>
      </c>
      <c r="E350" s="1938">
        <v>944</v>
      </c>
      <c r="F350" s="1365">
        <v>636</v>
      </c>
      <c r="G350" s="73">
        <v>153101</v>
      </c>
      <c r="H350" s="1946">
        <v>153737</v>
      </c>
      <c r="I350" s="73">
        <v>8503</v>
      </c>
      <c r="J350" s="1950">
        <v>13488</v>
      </c>
      <c r="K350" s="73">
        <v>148941</v>
      </c>
      <c r="L350" s="573">
        <v>15163</v>
      </c>
      <c r="M350" s="1365">
        <v>439</v>
      </c>
      <c r="N350" s="163">
        <v>149138</v>
      </c>
    </row>
    <row r="351" spans="1:14">
      <c r="A351" s="85">
        <v>2021.06</v>
      </c>
      <c r="B351" s="50">
        <v>274513</v>
      </c>
      <c r="C351" s="1675">
        <v>85014</v>
      </c>
      <c r="D351" s="1365">
        <v>9145</v>
      </c>
      <c r="E351" s="1938">
        <v>2120</v>
      </c>
      <c r="F351" s="1365">
        <v>101</v>
      </c>
      <c r="G351" s="73">
        <v>149511</v>
      </c>
      <c r="H351" s="1946">
        <v>149612</v>
      </c>
      <c r="I351" s="73">
        <v>14592</v>
      </c>
      <c r="J351" s="1950">
        <v>14029</v>
      </c>
      <c r="K351" s="73">
        <v>142323</v>
      </c>
      <c r="L351" s="573">
        <v>18453</v>
      </c>
      <c r="M351" s="1365">
        <v>464</v>
      </c>
      <c r="N351" s="163">
        <v>141961</v>
      </c>
    </row>
    <row r="352" spans="1:14">
      <c r="A352" s="85">
        <v>2021.07</v>
      </c>
      <c r="B352" s="50">
        <v>289578</v>
      </c>
      <c r="C352" s="1675">
        <v>87100</v>
      </c>
      <c r="D352" s="1365">
        <v>9838</v>
      </c>
      <c r="E352" s="1938">
        <v>3479</v>
      </c>
      <c r="F352" s="1365">
        <v>253</v>
      </c>
      <c r="G352" s="73">
        <v>156406</v>
      </c>
      <c r="H352" s="1946">
        <v>156659</v>
      </c>
      <c r="I352" s="73">
        <v>16183</v>
      </c>
      <c r="J352" s="1950">
        <v>16319</v>
      </c>
      <c r="K352" s="73">
        <v>147548</v>
      </c>
      <c r="L352" s="573">
        <v>22175</v>
      </c>
      <c r="M352" s="1365">
        <v>548</v>
      </c>
      <c r="N352" s="163">
        <v>147253</v>
      </c>
    </row>
    <row r="353" spans="1:14">
      <c r="A353" s="85">
        <v>2021.08</v>
      </c>
      <c r="B353" s="50">
        <v>255155</v>
      </c>
      <c r="C353" s="1675">
        <v>62285</v>
      </c>
      <c r="D353" s="1365">
        <v>9099</v>
      </c>
      <c r="E353" s="1938">
        <v>3845</v>
      </c>
      <c r="F353" s="1365">
        <v>315</v>
      </c>
      <c r="G353" s="73">
        <v>150001</v>
      </c>
      <c r="H353" s="1946">
        <v>150316</v>
      </c>
      <c r="I353" s="73">
        <v>12943</v>
      </c>
      <c r="J353" s="1950">
        <v>16665</v>
      </c>
      <c r="K353" s="73">
        <v>141326</v>
      </c>
      <c r="L353" s="573">
        <v>21620</v>
      </c>
      <c r="M353" s="1365">
        <v>562</v>
      </c>
      <c r="N353" s="163">
        <v>141080</v>
      </c>
    </row>
    <row r="354" spans="1:14">
      <c r="A354" s="85">
        <v>2021.09</v>
      </c>
      <c r="B354" s="50">
        <v>225690</v>
      </c>
      <c r="C354" s="1675">
        <v>37134</v>
      </c>
      <c r="D354" s="1365">
        <v>8568</v>
      </c>
      <c r="E354" s="1938">
        <v>3283</v>
      </c>
      <c r="F354" s="1365">
        <v>0</v>
      </c>
      <c r="G354" s="73">
        <v>152629</v>
      </c>
      <c r="H354" s="1946">
        <v>152629</v>
      </c>
      <c r="I354" s="73">
        <v>7281</v>
      </c>
      <c r="J354" s="1950">
        <v>16794</v>
      </c>
      <c r="K354" s="73">
        <v>144930</v>
      </c>
      <c r="L354" s="573">
        <v>19550</v>
      </c>
      <c r="M354" s="1365">
        <v>532</v>
      </c>
      <c r="N354" s="163">
        <v>144399</v>
      </c>
    </row>
    <row r="355" spans="1:14">
      <c r="A355" s="85">
        <v>2021.1</v>
      </c>
      <c r="B355" s="50">
        <v>189249</v>
      </c>
      <c r="C355" s="1675">
        <v>24070</v>
      </c>
      <c r="D355" s="1365">
        <v>8677</v>
      </c>
      <c r="E355" s="1938">
        <v>2035</v>
      </c>
      <c r="F355" s="1365">
        <v>108</v>
      </c>
      <c r="G355" s="73">
        <v>131558</v>
      </c>
      <c r="H355" s="1946">
        <v>131666</v>
      </c>
      <c r="I355" s="73">
        <v>5471</v>
      </c>
      <c r="J355" s="1950">
        <v>17331</v>
      </c>
      <c r="K355" s="73">
        <v>124726</v>
      </c>
      <c r="L355" s="573">
        <v>17544</v>
      </c>
      <c r="M355" s="1365">
        <v>522</v>
      </c>
      <c r="N355" s="163">
        <v>124313</v>
      </c>
    </row>
    <row r="356" spans="1:14">
      <c r="A356" s="85">
        <v>2021.11</v>
      </c>
      <c r="B356" s="50">
        <v>176966</v>
      </c>
      <c r="C356" s="1675">
        <v>14748</v>
      </c>
      <c r="D356" s="1365">
        <v>9130</v>
      </c>
      <c r="E356" s="1938">
        <v>1389</v>
      </c>
      <c r="F356" s="1365">
        <v>273</v>
      </c>
      <c r="G356" s="73">
        <v>130075</v>
      </c>
      <c r="H356" s="1946">
        <v>130348</v>
      </c>
      <c r="I356" s="73">
        <v>4495</v>
      </c>
      <c r="J356" s="1950">
        <v>16855</v>
      </c>
      <c r="K356" s="73">
        <v>123734</v>
      </c>
      <c r="L356" s="573">
        <v>16859</v>
      </c>
      <c r="M356" s="1365">
        <v>565</v>
      </c>
      <c r="N356" s="163">
        <v>123442</v>
      </c>
    </row>
    <row r="357" spans="1:14">
      <c r="A357" s="85">
        <v>2021.12</v>
      </c>
      <c r="B357" s="50">
        <v>165548</v>
      </c>
      <c r="C357" s="1675">
        <v>9934</v>
      </c>
      <c r="D357" s="1365">
        <v>8188</v>
      </c>
      <c r="E357" s="1938">
        <v>920</v>
      </c>
      <c r="F357" s="1365">
        <v>637</v>
      </c>
      <c r="G357" s="73">
        <v>124726</v>
      </c>
      <c r="H357" s="1946">
        <v>125363</v>
      </c>
      <c r="I357" s="73">
        <v>3619</v>
      </c>
      <c r="J357" s="1950">
        <v>17523</v>
      </c>
      <c r="K357" s="73">
        <v>119110</v>
      </c>
      <c r="L357" s="573">
        <v>14724</v>
      </c>
      <c r="M357" s="1365">
        <v>461</v>
      </c>
      <c r="N357" s="163">
        <v>119286</v>
      </c>
    </row>
    <row r="358" spans="1:14">
      <c r="A358" s="85">
        <v>2022.01</v>
      </c>
      <c r="B358" s="50">
        <v>153279</v>
      </c>
      <c r="C358" s="1675">
        <v>13092</v>
      </c>
      <c r="D358" s="1365">
        <v>6398</v>
      </c>
      <c r="E358" s="1938">
        <v>672</v>
      </c>
      <c r="F358" s="1365">
        <v>1196</v>
      </c>
      <c r="G358" s="73">
        <v>114372</v>
      </c>
      <c r="H358" s="1946">
        <v>115568</v>
      </c>
      <c r="I358" s="73">
        <v>3138</v>
      </c>
      <c r="J358" s="1950">
        <v>14412</v>
      </c>
      <c r="K358" s="73">
        <v>109803</v>
      </c>
      <c r="L358" s="573">
        <v>11639</v>
      </c>
      <c r="M358" s="1365">
        <v>432</v>
      </c>
      <c r="N358" s="163">
        <v>110567</v>
      </c>
    </row>
    <row r="359" spans="1:14">
      <c r="A359" s="85">
        <v>2022.02</v>
      </c>
      <c r="B359" s="50">
        <v>150006</v>
      </c>
      <c r="C359" s="1675">
        <v>14318</v>
      </c>
      <c r="D359" s="1365">
        <v>7562</v>
      </c>
      <c r="E359" s="1938">
        <v>673</v>
      </c>
      <c r="F359" s="1365">
        <v>344</v>
      </c>
      <c r="G359" s="73">
        <v>108870</v>
      </c>
      <c r="H359" s="1946">
        <v>109214</v>
      </c>
      <c r="I359" s="73">
        <v>3594</v>
      </c>
      <c r="J359" s="1950">
        <v>14644</v>
      </c>
      <c r="K359" s="73">
        <v>103608</v>
      </c>
      <c r="L359" s="573">
        <v>13498</v>
      </c>
      <c r="M359" s="1365">
        <v>426</v>
      </c>
      <c r="N359" s="163">
        <v>103527</v>
      </c>
    </row>
    <row r="360" spans="1:14">
      <c r="A360" s="85">
        <v>2022.03</v>
      </c>
      <c r="B360" s="2666">
        <v>179855</v>
      </c>
      <c r="C360" s="2058">
        <v>22537</v>
      </c>
      <c r="D360" s="1365">
        <v>8542</v>
      </c>
      <c r="E360" s="1938">
        <v>760</v>
      </c>
      <c r="F360" s="1365">
        <v>1192</v>
      </c>
      <c r="G360" s="73">
        <v>125628</v>
      </c>
      <c r="H360" s="1946">
        <v>126820</v>
      </c>
      <c r="I360" s="73">
        <v>4712</v>
      </c>
      <c r="J360" s="1950">
        <v>16484</v>
      </c>
      <c r="K360" s="73">
        <v>119262</v>
      </c>
      <c r="L360" s="573">
        <v>15668</v>
      </c>
      <c r="M360" s="1365">
        <v>479</v>
      </c>
      <c r="N360" s="163">
        <v>119975</v>
      </c>
    </row>
    <row r="361" spans="1:14">
      <c r="A361" s="85">
        <v>2022.04</v>
      </c>
      <c r="B361" s="50">
        <v>205011</v>
      </c>
      <c r="C361" s="1675">
        <v>31361</v>
      </c>
      <c r="D361" s="1365">
        <v>8732</v>
      </c>
      <c r="E361" s="1938">
        <v>1080</v>
      </c>
      <c r="F361" s="1365">
        <v>14</v>
      </c>
      <c r="G361" s="73">
        <v>141907</v>
      </c>
      <c r="H361" s="1946">
        <v>141921</v>
      </c>
      <c r="I361" s="73">
        <v>5548</v>
      </c>
      <c r="J361" s="1950">
        <v>16369</v>
      </c>
      <c r="K361" s="73">
        <v>134181</v>
      </c>
      <c r="L361" s="573">
        <v>17538</v>
      </c>
      <c r="M361" s="1365">
        <v>475</v>
      </c>
      <c r="N361" s="163">
        <v>133720</v>
      </c>
    </row>
    <row r="362" spans="1:14">
      <c r="A362" s="85">
        <v>2022.05</v>
      </c>
      <c r="B362" s="50">
        <v>258392</v>
      </c>
      <c r="C362" s="1675">
        <v>70662</v>
      </c>
      <c r="D362" s="1365">
        <v>8491</v>
      </c>
      <c r="E362" s="1938">
        <v>2074</v>
      </c>
      <c r="F362" s="1365">
        <v>1</v>
      </c>
      <c r="G362" s="73">
        <v>149908</v>
      </c>
      <c r="H362" s="1946">
        <v>149909</v>
      </c>
      <c r="I362" s="73">
        <v>11207</v>
      </c>
      <c r="J362" s="1950">
        <v>16736</v>
      </c>
      <c r="K362" s="73">
        <v>141654</v>
      </c>
      <c r="L362" s="573">
        <v>18819</v>
      </c>
      <c r="M362" s="1365">
        <v>495</v>
      </c>
      <c r="N362" s="163">
        <v>141159</v>
      </c>
    </row>
    <row r="363" spans="1:14">
      <c r="A363" s="85">
        <v>2022.06</v>
      </c>
      <c r="B363" s="50">
        <v>306169</v>
      </c>
      <c r="C363" s="1675">
        <v>103284</v>
      </c>
      <c r="D363" s="1365">
        <v>7472</v>
      </c>
      <c r="E363" s="1938">
        <v>3639</v>
      </c>
      <c r="F363" s="1365">
        <v>6</v>
      </c>
      <c r="G363" s="73">
        <v>159845</v>
      </c>
      <c r="H363" s="1946">
        <v>159851</v>
      </c>
      <c r="I363" s="73">
        <v>15279</v>
      </c>
      <c r="J363" s="1950">
        <v>16643</v>
      </c>
      <c r="K363" s="73">
        <v>149546</v>
      </c>
      <c r="L363" s="573">
        <v>21411</v>
      </c>
      <c r="M363" s="1365">
        <v>464</v>
      </c>
      <c r="N363" s="163">
        <v>149089</v>
      </c>
    </row>
    <row r="364" spans="1:14">
      <c r="A364" s="85">
        <v>2022.07</v>
      </c>
      <c r="B364" s="50">
        <v>266569</v>
      </c>
      <c r="C364" s="1675">
        <v>85758</v>
      </c>
      <c r="D364" s="1365">
        <v>7275</v>
      </c>
      <c r="E364" s="1938">
        <v>4299</v>
      </c>
      <c r="F364" s="1365">
        <v>125</v>
      </c>
      <c r="G364" s="73">
        <v>138570</v>
      </c>
      <c r="H364" s="1946">
        <v>138695</v>
      </c>
      <c r="I364" s="73">
        <v>13179</v>
      </c>
      <c r="J364" s="1950">
        <v>16823</v>
      </c>
      <c r="K364" s="73">
        <v>127326</v>
      </c>
      <c r="L364" s="573">
        <v>22819</v>
      </c>
      <c r="M364" s="1365">
        <v>542</v>
      </c>
      <c r="N364" s="163">
        <v>126908</v>
      </c>
    </row>
    <row r="365" spans="1:14">
      <c r="A365" s="85">
        <f t="shared" si="10"/>
        <v>2022.08</v>
      </c>
      <c r="B365" s="50">
        <v>227967</v>
      </c>
      <c r="C365" s="1675">
        <v>71975</v>
      </c>
      <c r="D365" s="1365">
        <v>7131</v>
      </c>
      <c r="E365" s="1938">
        <v>3887</v>
      </c>
      <c r="F365" s="1365">
        <v>321</v>
      </c>
      <c r="G365" s="73">
        <v>115422</v>
      </c>
      <c r="H365" s="1946">
        <v>138695</v>
      </c>
      <c r="I365" s="73">
        <v>12595</v>
      </c>
      <c r="J365" s="1950">
        <v>16636</v>
      </c>
      <c r="K365" s="73">
        <v>104366</v>
      </c>
      <c r="L365" s="573">
        <v>21711</v>
      </c>
      <c r="M365" s="1365">
        <v>511</v>
      </c>
      <c r="N365" s="163">
        <v>104176</v>
      </c>
    </row>
    <row r="366" spans="1:14">
      <c r="A366" s="85">
        <f t="shared" si="10"/>
        <v>2022.09</v>
      </c>
      <c r="B366" s="50">
        <v>198152</v>
      </c>
      <c r="C366" s="1675">
        <v>42127</v>
      </c>
      <c r="D366" s="1365">
        <v>6997</v>
      </c>
      <c r="E366" s="1938">
        <v>3349</v>
      </c>
      <c r="F366" s="1365">
        <v>23</v>
      </c>
      <c r="G366" s="73">
        <v>120473</v>
      </c>
      <c r="H366" s="1946">
        <f t="shared" si="11"/>
        <v>120496</v>
      </c>
      <c r="I366" s="73">
        <v>9073</v>
      </c>
      <c r="J366" s="1950">
        <v>16109</v>
      </c>
      <c r="K366" s="73">
        <v>110757</v>
      </c>
      <c r="L366" s="573">
        <v>20062</v>
      </c>
      <c r="M366" s="1365">
        <v>521</v>
      </c>
      <c r="N366" s="163">
        <v>110258</v>
      </c>
    </row>
    <row r="367" spans="1:14">
      <c r="A367" s="85">
        <f t="shared" si="10"/>
        <v>2022.1</v>
      </c>
      <c r="B367" s="50">
        <v>189942</v>
      </c>
      <c r="C367" s="1675">
        <v>26562</v>
      </c>
      <c r="D367" s="1365">
        <v>6539</v>
      </c>
      <c r="E367" s="1938">
        <v>2432</v>
      </c>
      <c r="F367" s="1365">
        <v>262</v>
      </c>
      <c r="G367" s="73">
        <v>132298</v>
      </c>
      <c r="H367" s="1946">
        <f t="shared" si="11"/>
        <v>132560</v>
      </c>
      <c r="I367" s="73">
        <v>5547</v>
      </c>
      <c r="J367" s="1950">
        <v>16302</v>
      </c>
      <c r="K367" s="73">
        <v>124182</v>
      </c>
      <c r="L367" s="573">
        <v>17087</v>
      </c>
      <c r="M367" s="1365">
        <v>520</v>
      </c>
      <c r="N367" s="163">
        <v>123925</v>
      </c>
    </row>
    <row r="368" spans="1:14">
      <c r="A368" s="85">
        <f t="shared" si="10"/>
        <v>2022.11</v>
      </c>
      <c r="B368" s="50">
        <v>182186</v>
      </c>
      <c r="C368" s="1675">
        <v>13658</v>
      </c>
      <c r="D368" s="1365">
        <v>6922</v>
      </c>
      <c r="E368" s="1938">
        <v>1694</v>
      </c>
      <c r="F368" s="1365">
        <v>315</v>
      </c>
      <c r="G368" s="73">
        <v>139471</v>
      </c>
      <c r="H368" s="1946">
        <f t="shared" si="11"/>
        <v>139786</v>
      </c>
      <c r="I368" s="73">
        <v>4558</v>
      </c>
      <c r="J368" s="1950">
        <v>15569</v>
      </c>
      <c r="K368" s="73">
        <v>131556</v>
      </c>
      <c r="L368" s="573">
        <v>16529</v>
      </c>
      <c r="M368" s="1365">
        <v>498</v>
      </c>
      <c r="N368" s="163">
        <v>131374</v>
      </c>
    </row>
    <row r="369" spans="1:14">
      <c r="A369" s="85">
        <f t="shared" si="10"/>
        <v>2022.12</v>
      </c>
      <c r="B369" s="50">
        <v>166931</v>
      </c>
      <c r="C369" s="1675">
        <v>11692</v>
      </c>
      <c r="D369" s="1365">
        <v>6345</v>
      </c>
      <c r="E369" s="1938">
        <v>1081</v>
      </c>
      <c r="F369" s="1365">
        <v>2195</v>
      </c>
      <c r="G369" s="73">
        <v>126029</v>
      </c>
      <c r="H369" s="1946">
        <f t="shared" si="11"/>
        <v>128224</v>
      </c>
      <c r="I369" s="73">
        <v>3737</v>
      </c>
      <c r="J369" s="1950">
        <v>15852</v>
      </c>
      <c r="K369" s="73">
        <v>119435</v>
      </c>
      <c r="L369" s="573">
        <v>14019</v>
      </c>
      <c r="M369" s="1365">
        <v>481</v>
      </c>
      <c r="N369" s="163">
        <v>121150</v>
      </c>
    </row>
    <row r="370" spans="1:14">
      <c r="A370" s="85">
        <f t="shared" si="10"/>
        <v>2023.01</v>
      </c>
      <c r="B370" s="50">
        <v>142736</v>
      </c>
      <c r="C370" s="1675">
        <v>10418</v>
      </c>
      <c r="D370" s="1365">
        <v>5771</v>
      </c>
      <c r="E370" s="1938">
        <v>817</v>
      </c>
      <c r="F370" s="1365">
        <v>348</v>
      </c>
      <c r="G370" s="73">
        <v>107344</v>
      </c>
      <c r="H370" s="1946">
        <f t="shared" si="11"/>
        <v>107692</v>
      </c>
      <c r="I370" s="73">
        <v>3441</v>
      </c>
      <c r="J370" s="1950">
        <v>14597</v>
      </c>
      <c r="K370" s="73">
        <v>101282</v>
      </c>
      <c r="L370" s="573">
        <v>12651</v>
      </c>
      <c r="M370" s="1365">
        <v>478</v>
      </c>
      <c r="N370" s="163">
        <v>101152</v>
      </c>
    </row>
    <row r="371" spans="1:14">
      <c r="A371" s="85">
        <f t="shared" si="10"/>
        <v>2023.02</v>
      </c>
      <c r="B371" s="50">
        <v>132166</v>
      </c>
      <c r="C371" s="1675">
        <v>12720</v>
      </c>
      <c r="D371" s="1365">
        <v>6069</v>
      </c>
      <c r="E371" s="1938">
        <v>759</v>
      </c>
      <c r="F371" s="1365">
        <v>1475</v>
      </c>
      <c r="G371" s="73">
        <v>94163</v>
      </c>
      <c r="H371" s="1946">
        <f t="shared" si="11"/>
        <v>95638</v>
      </c>
      <c r="I371" s="73">
        <v>3288</v>
      </c>
      <c r="J371" s="1950">
        <v>13692</v>
      </c>
      <c r="K371" s="73">
        <v>88406</v>
      </c>
      <c r="L371" s="573">
        <v>12575</v>
      </c>
      <c r="M371" s="1365">
        <v>448</v>
      </c>
      <c r="N371" s="163">
        <v>89443</v>
      </c>
    </row>
    <row r="372" spans="1:14">
      <c r="A372" s="85">
        <f t="shared" si="10"/>
        <v>2023.03</v>
      </c>
      <c r="B372" s="50">
        <v>154835</v>
      </c>
      <c r="C372" s="1675">
        <v>14745</v>
      </c>
      <c r="D372" s="1365">
        <v>6815</v>
      </c>
      <c r="E372" s="1938">
        <v>840</v>
      </c>
      <c r="F372" s="1365">
        <v>493</v>
      </c>
      <c r="G372" s="73">
        <v>112057</v>
      </c>
      <c r="H372" s="1946">
        <f t="shared" si="11"/>
        <v>112550</v>
      </c>
      <c r="I372" s="73">
        <v>4095</v>
      </c>
      <c r="J372" s="1950">
        <v>15792</v>
      </c>
      <c r="K372" s="73">
        <v>105769</v>
      </c>
      <c r="L372" s="573">
        <v>13942</v>
      </c>
      <c r="M372" s="1365">
        <v>523</v>
      </c>
      <c r="N372" s="163">
        <v>105740</v>
      </c>
    </row>
    <row r="373" spans="1:14">
      <c r="A373" s="85">
        <f t="shared" si="10"/>
        <v>2023.04</v>
      </c>
      <c r="B373" s="50">
        <v>177658</v>
      </c>
      <c r="C373" s="1675">
        <v>25690</v>
      </c>
      <c r="D373" s="1365">
        <v>10652</v>
      </c>
      <c r="E373" s="1938">
        <v>1157</v>
      </c>
      <c r="F373" s="1365">
        <v>120</v>
      </c>
      <c r="G373" s="73">
        <v>120678</v>
      </c>
      <c r="H373" s="1946">
        <f t="shared" si="11"/>
        <v>120798</v>
      </c>
      <c r="I373" s="73">
        <v>4432</v>
      </c>
      <c r="J373" s="1950">
        <v>14930</v>
      </c>
      <c r="K373" s="73">
        <v>115515</v>
      </c>
      <c r="L373" s="573">
        <v>16972</v>
      </c>
      <c r="M373" s="1365">
        <v>539</v>
      </c>
      <c r="N373" s="163">
        <v>115095</v>
      </c>
    </row>
    <row r="374" spans="1:14">
      <c r="A374" s="85">
        <f t="shared" si="10"/>
        <v>2023.05</v>
      </c>
      <c r="B374" s="50">
        <v>214967</v>
      </c>
      <c r="C374" s="1675">
        <v>44716</v>
      </c>
      <c r="D374" s="1365">
        <v>9411</v>
      </c>
      <c r="E374" s="1938">
        <v>1723</v>
      </c>
      <c r="F374" s="1365">
        <v>14</v>
      </c>
      <c r="G374" s="73">
        <v>136420</v>
      </c>
      <c r="H374" s="1946">
        <f t="shared" si="11"/>
        <v>136434</v>
      </c>
      <c r="I374" s="73">
        <v>7206</v>
      </c>
      <c r="J374" s="1950">
        <v>15479</v>
      </c>
      <c r="K374" s="73">
        <v>130585</v>
      </c>
      <c r="L374" s="573">
        <v>16969</v>
      </c>
      <c r="M374" s="1365">
        <v>447</v>
      </c>
      <c r="N374" s="163">
        <v>130151</v>
      </c>
    </row>
    <row r="375" spans="1:14">
      <c r="A375" s="85">
        <f t="shared" si="10"/>
        <v>2023.06</v>
      </c>
      <c r="B375" s="50">
        <v>240779</v>
      </c>
      <c r="C375" s="1675">
        <v>75683</v>
      </c>
      <c r="D375" s="1365">
        <v>9145</v>
      </c>
      <c r="E375" s="1938">
        <v>2539</v>
      </c>
      <c r="F375" s="1365">
        <v>189</v>
      </c>
      <c r="G375" s="73">
        <v>125795</v>
      </c>
      <c r="H375" s="1946">
        <f t="shared" si="11"/>
        <v>125984</v>
      </c>
      <c r="I375" s="73">
        <v>12043</v>
      </c>
      <c r="J375" s="1950">
        <v>15384</v>
      </c>
      <c r="K375" s="73">
        <v>119209</v>
      </c>
      <c r="L375" s="573">
        <v>18271</v>
      </c>
      <c r="M375" s="1365">
        <v>481</v>
      </c>
      <c r="N375" s="163">
        <v>118917</v>
      </c>
    </row>
    <row r="376" spans="1:14">
      <c r="A376" s="85">
        <f t="shared" si="10"/>
        <v>2023.07</v>
      </c>
      <c r="B376" s="50">
        <v>236814</v>
      </c>
      <c r="C376" s="1675">
        <v>89695</v>
      </c>
      <c r="D376" s="1365">
        <v>8564</v>
      </c>
      <c r="E376" s="1938">
        <v>3501</v>
      </c>
      <c r="F376" s="1365">
        <v>0</v>
      </c>
      <c r="G376" s="73">
        <v>106198</v>
      </c>
      <c r="H376" s="1946">
        <f t="shared" si="11"/>
        <v>106198</v>
      </c>
      <c r="I376" s="73">
        <v>13193</v>
      </c>
      <c r="J376" s="1950">
        <v>15664</v>
      </c>
      <c r="K376" s="73">
        <v>98293</v>
      </c>
      <c r="L376" s="573">
        <v>19643</v>
      </c>
      <c r="M376" s="1365">
        <f>411</f>
        <v>411</v>
      </c>
      <c r="N376" s="163">
        <v>97883</v>
      </c>
    </row>
    <row r="377" spans="1:14">
      <c r="A377" s="85">
        <f t="shared" si="10"/>
        <v>2023.08</v>
      </c>
      <c r="B377" s="50">
        <v>208424</v>
      </c>
      <c r="C377" s="1675">
        <v>67333</v>
      </c>
      <c r="D377" s="1365">
        <v>9196</v>
      </c>
      <c r="E377" s="1938">
        <v>3888</v>
      </c>
      <c r="F377" s="1365">
        <v>493</v>
      </c>
      <c r="G377" s="73">
        <v>100274</v>
      </c>
      <c r="H377" s="1946">
        <f t="shared" si="11"/>
        <v>100767</v>
      </c>
      <c r="I377" s="73">
        <v>11471</v>
      </c>
      <c r="J377" s="1950">
        <v>15769</v>
      </c>
      <c r="K377" s="73">
        <v>90964</v>
      </c>
      <c r="L377" s="573">
        <v>22394</v>
      </c>
      <c r="M377" s="1365">
        <v>429</v>
      </c>
      <c r="N377" s="163">
        <v>91029</v>
      </c>
    </row>
    <row r="378" spans="1:14">
      <c r="A378" s="85">
        <f t="shared" si="10"/>
        <v>2023.09</v>
      </c>
      <c r="B378" s="50">
        <v>199852</v>
      </c>
      <c r="C378" s="1675">
        <v>51722</v>
      </c>
      <c r="D378" s="1365">
        <v>9236</v>
      </c>
      <c r="E378" s="1938">
        <v>3513</v>
      </c>
      <c r="F378" s="1365">
        <v>554</v>
      </c>
      <c r="G378" s="73">
        <v>110468</v>
      </c>
      <c r="H378" s="1946">
        <f t="shared" si="11"/>
        <v>111022</v>
      </c>
      <c r="I378" s="73">
        <v>9217</v>
      </c>
      <c r="J378" s="1950">
        <v>15142</v>
      </c>
      <c r="K378" s="73">
        <v>102385</v>
      </c>
      <c r="L378" s="573">
        <v>18418</v>
      </c>
      <c r="M378" s="1365">
        <v>401</v>
      </c>
      <c r="N378" s="163">
        <v>102556</v>
      </c>
    </row>
    <row r="379" spans="1:14">
      <c r="A379" s="85">
        <f t="shared" si="10"/>
        <v>2023.1</v>
      </c>
      <c r="B379" s="50">
        <v>175829</v>
      </c>
      <c r="C379" s="1675">
        <v>24810</v>
      </c>
      <c r="D379" s="1365">
        <v>9041</v>
      </c>
      <c r="E379" s="1938">
        <v>2707</v>
      </c>
      <c r="F379" s="1365">
        <v>1282</v>
      </c>
      <c r="G379" s="73">
        <v>117144</v>
      </c>
      <c r="H379" s="1946">
        <f t="shared" si="11"/>
        <v>118426</v>
      </c>
      <c r="I379" s="73">
        <v>5348</v>
      </c>
      <c r="J379" s="1950">
        <v>15499</v>
      </c>
      <c r="K379" s="73">
        <v>110124</v>
      </c>
      <c r="L379" s="573">
        <v>18768</v>
      </c>
      <c r="M379" s="1365">
        <v>389</v>
      </c>
      <c r="N379" s="163">
        <v>111018</v>
      </c>
    </row>
    <row r="380" spans="1:14">
      <c r="A380" s="85">
        <f t="shared" si="10"/>
        <v>2023.11</v>
      </c>
      <c r="B380" s="50">
        <v>162066</v>
      </c>
      <c r="C380" s="1675">
        <v>21219</v>
      </c>
      <c r="D380" s="1365">
        <v>8700</v>
      </c>
      <c r="E380" s="1938">
        <v>1725</v>
      </c>
      <c r="F380" s="1365">
        <v>666</v>
      </c>
      <c r="G380" s="73">
        <v>109895</v>
      </c>
      <c r="H380" s="1946">
        <f t="shared" si="11"/>
        <v>110561</v>
      </c>
      <c r="I380" s="73">
        <v>4874</v>
      </c>
      <c r="J380" s="1950">
        <v>14987</v>
      </c>
      <c r="K380" s="73">
        <v>103894</v>
      </c>
      <c r="L380" s="573">
        <v>16426</v>
      </c>
      <c r="M380" s="1365">
        <v>460</v>
      </c>
      <c r="N380" s="163">
        <v>104100</v>
      </c>
    </row>
    <row r="381" spans="1:14">
      <c r="A381" s="85">
        <f t="shared" si="10"/>
        <v>2023.12</v>
      </c>
      <c r="B381" s="50">
        <v>131655</v>
      </c>
      <c r="C381" s="1675">
        <v>15923</v>
      </c>
      <c r="D381" s="1365">
        <v>7705</v>
      </c>
      <c r="E381" s="1938">
        <v>1288</v>
      </c>
      <c r="F381" s="1365">
        <v>1013</v>
      </c>
      <c r="G381" s="73">
        <v>86802</v>
      </c>
      <c r="H381" s="1946">
        <f t="shared" si="11"/>
        <v>87815</v>
      </c>
      <c r="I381" s="73">
        <v>3509</v>
      </c>
      <c r="J381" s="1950">
        <v>15414</v>
      </c>
      <c r="K381" s="73">
        <v>81155</v>
      </c>
      <c r="L381" s="573">
        <v>14640</v>
      </c>
      <c r="M381" s="1365">
        <v>270</v>
      </c>
      <c r="N381" s="163">
        <v>81898</v>
      </c>
    </row>
    <row r="382" spans="1:14">
      <c r="A382" s="85">
        <f t="shared" ref="A382:A445" si="12">A370+1</f>
        <v>2024.01</v>
      </c>
      <c r="B382" s="50">
        <v>142301</v>
      </c>
      <c r="C382" s="1675">
        <v>14623</v>
      </c>
      <c r="D382" s="1365">
        <v>6802</v>
      </c>
      <c r="E382" s="1938">
        <v>943</v>
      </c>
      <c r="F382" s="1365">
        <v>1015</v>
      </c>
      <c r="G382" s="73">
        <v>101923</v>
      </c>
      <c r="H382" s="1946">
        <f t="shared" si="11"/>
        <v>102938</v>
      </c>
      <c r="I382" s="73">
        <v>3405</v>
      </c>
      <c r="J382" s="1950">
        <v>13589</v>
      </c>
      <c r="K382" s="73">
        <v>97083</v>
      </c>
      <c r="L382" s="573">
        <v>12585</v>
      </c>
      <c r="M382" s="1365">
        <v>322</v>
      </c>
      <c r="N382" s="163">
        <v>97776</v>
      </c>
    </row>
    <row r="383" spans="1:14">
      <c r="A383" s="85">
        <f t="shared" si="12"/>
        <v>2024.02</v>
      </c>
      <c r="B383" s="50">
        <v>142913</v>
      </c>
      <c r="C383" s="1675">
        <v>14514</v>
      </c>
      <c r="D383" s="1365">
        <v>7493</v>
      </c>
      <c r="E383" s="1938">
        <v>810</v>
      </c>
      <c r="F383" s="1365">
        <v>719</v>
      </c>
      <c r="G383" s="73">
        <v>103276</v>
      </c>
      <c r="H383" s="1946">
        <f t="shared" si="11"/>
        <v>103995</v>
      </c>
      <c r="I383" s="73">
        <v>2978</v>
      </c>
      <c r="J383" s="1950">
        <v>13124</v>
      </c>
      <c r="K383" s="73">
        <v>98884</v>
      </c>
      <c r="L383" s="573">
        <v>12695</v>
      </c>
      <c r="M383" s="1365">
        <v>368</v>
      </c>
      <c r="N383" s="163">
        <v>99236</v>
      </c>
    </row>
    <row r="384" spans="1:14">
      <c r="A384" s="85">
        <f t="shared" si="12"/>
        <v>2024.03</v>
      </c>
      <c r="B384" s="50" t="e">
        <v>#N/A</v>
      </c>
      <c r="C384" s="1675" t="e">
        <v>#N/A</v>
      </c>
      <c r="D384" s="1365" t="e">
        <v>#N/A</v>
      </c>
      <c r="E384" s="1938" t="e">
        <v>#N/A</v>
      </c>
      <c r="F384" s="1365" t="e">
        <v>#N/A</v>
      </c>
      <c r="G384" s="73" t="e">
        <v>#N/A</v>
      </c>
      <c r="H384" s="1946" t="e">
        <f t="shared" si="11"/>
        <v>#N/A</v>
      </c>
      <c r="I384" s="73" t="e">
        <v>#N/A</v>
      </c>
      <c r="J384" s="1950" t="e">
        <v>#N/A</v>
      </c>
      <c r="K384" s="73" t="e">
        <v>#N/A</v>
      </c>
      <c r="L384" s="573" t="e">
        <v>#N/A</v>
      </c>
      <c r="M384" s="1365" t="e">
        <v>#N/A</v>
      </c>
      <c r="N384" s="163" t="e">
        <v>#N/A</v>
      </c>
    </row>
    <row r="385" spans="1:14">
      <c r="A385" s="85">
        <f t="shared" si="12"/>
        <v>2024.04</v>
      </c>
      <c r="B385" s="50" t="e">
        <v>#N/A</v>
      </c>
      <c r="C385" s="1675" t="e">
        <v>#N/A</v>
      </c>
      <c r="D385" s="1365" t="e">
        <v>#N/A</v>
      </c>
      <c r="E385" s="1938" t="e">
        <v>#N/A</v>
      </c>
      <c r="F385" s="1365" t="e">
        <v>#N/A</v>
      </c>
      <c r="G385" s="73" t="e">
        <v>#N/A</v>
      </c>
      <c r="H385" s="1946" t="e">
        <f t="shared" si="11"/>
        <v>#N/A</v>
      </c>
      <c r="I385" s="73" t="e">
        <v>#N/A</v>
      </c>
      <c r="J385" s="1950" t="e">
        <v>#N/A</v>
      </c>
      <c r="K385" s="73" t="e">
        <v>#N/A</v>
      </c>
      <c r="L385" s="573" t="e">
        <v>#N/A</v>
      </c>
      <c r="M385" s="1365" t="e">
        <v>#N/A</v>
      </c>
      <c r="N385" s="163" t="e">
        <v>#N/A</v>
      </c>
    </row>
    <row r="386" spans="1:14">
      <c r="A386" s="85">
        <f t="shared" si="12"/>
        <v>2024.05</v>
      </c>
      <c r="B386" s="50" t="e">
        <v>#N/A</v>
      </c>
      <c r="C386" s="1675" t="e">
        <v>#N/A</v>
      </c>
      <c r="D386" s="1365" t="e">
        <v>#N/A</v>
      </c>
      <c r="E386" s="1938" t="e">
        <v>#N/A</v>
      </c>
      <c r="F386" s="1365" t="e">
        <v>#N/A</v>
      </c>
      <c r="G386" s="73" t="e">
        <v>#N/A</v>
      </c>
      <c r="H386" s="1946" t="e">
        <f t="shared" si="11"/>
        <v>#N/A</v>
      </c>
      <c r="I386" s="73" t="e">
        <v>#N/A</v>
      </c>
      <c r="J386" s="1950" t="e">
        <v>#N/A</v>
      </c>
      <c r="K386" s="73" t="e">
        <v>#N/A</v>
      </c>
      <c r="L386" s="573" t="e">
        <v>#N/A</v>
      </c>
      <c r="M386" s="1365" t="e">
        <v>#N/A</v>
      </c>
      <c r="N386" s="163" t="e">
        <v>#N/A</v>
      </c>
    </row>
    <row r="387" spans="1:14">
      <c r="A387" s="85">
        <f t="shared" si="12"/>
        <v>2024.06</v>
      </c>
      <c r="B387" s="50" t="e">
        <v>#N/A</v>
      </c>
      <c r="C387" s="1675" t="e">
        <v>#N/A</v>
      </c>
      <c r="D387" s="1365" t="e">
        <v>#N/A</v>
      </c>
      <c r="E387" s="1938" t="e">
        <v>#N/A</v>
      </c>
      <c r="F387" s="1365" t="e">
        <v>#N/A</v>
      </c>
      <c r="G387" s="73" t="e">
        <v>#N/A</v>
      </c>
      <c r="H387" s="1946" t="e">
        <f t="shared" si="11"/>
        <v>#N/A</v>
      </c>
      <c r="I387" s="73" t="e">
        <v>#N/A</v>
      </c>
      <c r="J387" s="1950" t="e">
        <v>#N/A</v>
      </c>
      <c r="K387" s="73" t="e">
        <v>#N/A</v>
      </c>
      <c r="L387" s="573" t="e">
        <v>#N/A</v>
      </c>
      <c r="M387" s="1365" t="e">
        <v>#N/A</v>
      </c>
      <c r="N387" s="163" t="e">
        <v>#N/A</v>
      </c>
    </row>
    <row r="388" spans="1:14">
      <c r="A388" s="85">
        <f t="shared" si="12"/>
        <v>2024.07</v>
      </c>
      <c r="B388" s="50" t="e">
        <v>#N/A</v>
      </c>
      <c r="C388" s="1675" t="e">
        <v>#N/A</v>
      </c>
      <c r="D388" s="1365" t="e">
        <v>#N/A</v>
      </c>
      <c r="E388" s="1938" t="e">
        <v>#N/A</v>
      </c>
      <c r="F388" s="1365" t="e">
        <v>#N/A</v>
      </c>
      <c r="G388" s="73" t="e">
        <v>#N/A</v>
      </c>
      <c r="H388" s="1946" t="e">
        <f t="shared" si="11"/>
        <v>#N/A</v>
      </c>
      <c r="I388" s="73" t="e">
        <v>#N/A</v>
      </c>
      <c r="J388" s="1950" t="e">
        <v>#N/A</v>
      </c>
      <c r="K388" s="73" t="e">
        <v>#N/A</v>
      </c>
      <c r="L388" s="573" t="e">
        <v>#N/A</v>
      </c>
      <c r="M388" s="1365" t="e">
        <v>#N/A</v>
      </c>
      <c r="N388" s="163" t="e">
        <v>#N/A</v>
      </c>
    </row>
    <row r="389" spans="1:14">
      <c r="A389" s="85">
        <f t="shared" si="12"/>
        <v>2024.08</v>
      </c>
      <c r="B389" s="50" t="e">
        <v>#N/A</v>
      </c>
      <c r="C389" s="1675" t="e">
        <v>#N/A</v>
      </c>
      <c r="D389" s="1365" t="e">
        <v>#N/A</v>
      </c>
      <c r="E389" s="1938" t="e">
        <v>#N/A</v>
      </c>
      <c r="F389" s="1365" t="e">
        <v>#N/A</v>
      </c>
      <c r="G389" s="73" t="e">
        <v>#N/A</v>
      </c>
      <c r="H389" s="1946" t="e">
        <f t="shared" si="11"/>
        <v>#N/A</v>
      </c>
      <c r="I389" s="73" t="e">
        <v>#N/A</v>
      </c>
      <c r="J389" s="1950" t="e">
        <v>#N/A</v>
      </c>
      <c r="K389" s="73" t="e">
        <v>#N/A</v>
      </c>
      <c r="L389" s="573" t="e">
        <v>#N/A</v>
      </c>
      <c r="M389" s="1365" t="e">
        <v>#N/A</v>
      </c>
      <c r="N389" s="163" t="e">
        <v>#N/A</v>
      </c>
    </row>
    <row r="390" spans="1:14">
      <c r="A390" s="85">
        <f t="shared" si="12"/>
        <v>2024.09</v>
      </c>
      <c r="B390" s="50" t="e">
        <v>#N/A</v>
      </c>
      <c r="C390" s="1675" t="e">
        <v>#N/A</v>
      </c>
      <c r="D390" s="1365" t="e">
        <v>#N/A</v>
      </c>
      <c r="E390" s="1938" t="e">
        <v>#N/A</v>
      </c>
      <c r="F390" s="1365" t="e">
        <v>#N/A</v>
      </c>
      <c r="G390" s="73" t="e">
        <v>#N/A</v>
      </c>
      <c r="H390" s="1946" t="e">
        <f t="shared" si="11"/>
        <v>#N/A</v>
      </c>
      <c r="I390" s="73" t="e">
        <v>#N/A</v>
      </c>
      <c r="J390" s="1950" t="e">
        <v>#N/A</v>
      </c>
      <c r="K390" s="73" t="e">
        <v>#N/A</v>
      </c>
      <c r="L390" s="573" t="e">
        <v>#N/A</v>
      </c>
      <c r="M390" s="1365" t="e">
        <v>#N/A</v>
      </c>
      <c r="N390" s="163" t="e">
        <v>#N/A</v>
      </c>
    </row>
    <row r="391" spans="1:14">
      <c r="A391" s="85">
        <f t="shared" si="12"/>
        <v>2024.1</v>
      </c>
      <c r="B391" s="50" t="e">
        <v>#N/A</v>
      </c>
      <c r="C391" s="1675" t="e">
        <v>#N/A</v>
      </c>
      <c r="D391" s="1365" t="e">
        <v>#N/A</v>
      </c>
      <c r="E391" s="1938" t="e">
        <v>#N/A</v>
      </c>
      <c r="F391" s="1365" t="e">
        <v>#N/A</v>
      </c>
      <c r="G391" s="73" t="e">
        <v>#N/A</v>
      </c>
      <c r="H391" s="1946" t="e">
        <f t="shared" si="11"/>
        <v>#N/A</v>
      </c>
      <c r="I391" s="73" t="e">
        <v>#N/A</v>
      </c>
      <c r="J391" s="1950" t="e">
        <v>#N/A</v>
      </c>
      <c r="K391" s="73" t="e">
        <v>#N/A</v>
      </c>
      <c r="L391" s="573" t="e">
        <v>#N/A</v>
      </c>
      <c r="M391" s="1365" t="e">
        <v>#N/A</v>
      </c>
      <c r="N391" s="163" t="e">
        <v>#N/A</v>
      </c>
    </row>
    <row r="392" spans="1:14">
      <c r="A392" s="85">
        <f t="shared" si="12"/>
        <v>2024.11</v>
      </c>
      <c r="B392" s="50" t="e">
        <v>#N/A</v>
      </c>
      <c r="C392" s="1675" t="e">
        <v>#N/A</v>
      </c>
      <c r="D392" s="1365" t="e">
        <v>#N/A</v>
      </c>
      <c r="E392" s="1938" t="e">
        <v>#N/A</v>
      </c>
      <c r="F392" s="1365" t="e">
        <v>#N/A</v>
      </c>
      <c r="G392" s="73" t="e">
        <v>#N/A</v>
      </c>
      <c r="H392" s="1946" t="e">
        <f t="shared" si="11"/>
        <v>#N/A</v>
      </c>
      <c r="I392" s="73" t="e">
        <v>#N/A</v>
      </c>
      <c r="J392" s="1950" t="e">
        <v>#N/A</v>
      </c>
      <c r="K392" s="73" t="e">
        <v>#N/A</v>
      </c>
      <c r="L392" s="573" t="e">
        <v>#N/A</v>
      </c>
      <c r="M392" s="1365" t="e">
        <v>#N/A</v>
      </c>
      <c r="N392" s="163" t="e">
        <v>#N/A</v>
      </c>
    </row>
    <row r="393" spans="1:14">
      <c r="A393" s="85">
        <f t="shared" si="12"/>
        <v>2024.12</v>
      </c>
      <c r="B393" s="50" t="e">
        <v>#N/A</v>
      </c>
      <c r="C393" s="1675" t="e">
        <v>#N/A</v>
      </c>
      <c r="D393" s="1365" t="e">
        <v>#N/A</v>
      </c>
      <c r="E393" s="1938" t="e">
        <v>#N/A</v>
      </c>
      <c r="F393" s="1365" t="e">
        <v>#N/A</v>
      </c>
      <c r="G393" s="73" t="e">
        <v>#N/A</v>
      </c>
      <c r="H393" s="1946" t="e">
        <f t="shared" si="11"/>
        <v>#N/A</v>
      </c>
      <c r="I393" s="73" t="e">
        <v>#N/A</v>
      </c>
      <c r="J393" s="1950" t="e">
        <v>#N/A</v>
      </c>
      <c r="K393" s="73" t="e">
        <v>#N/A</v>
      </c>
      <c r="L393" s="573" t="e">
        <v>#N/A</v>
      </c>
      <c r="M393" s="1365" t="e">
        <v>#N/A</v>
      </c>
      <c r="N393" s="163" t="e">
        <v>#N/A</v>
      </c>
    </row>
    <row r="394" spans="1:14">
      <c r="A394" s="85">
        <f t="shared" si="12"/>
        <v>2025.01</v>
      </c>
      <c r="B394" s="50" t="e">
        <v>#N/A</v>
      </c>
      <c r="C394" s="1675" t="e">
        <v>#N/A</v>
      </c>
      <c r="D394" s="1365" t="e">
        <v>#N/A</v>
      </c>
      <c r="E394" s="1938" t="e">
        <v>#N/A</v>
      </c>
      <c r="F394" s="1365" t="e">
        <v>#N/A</v>
      </c>
      <c r="G394" s="73" t="e">
        <v>#N/A</v>
      </c>
      <c r="H394" s="1946" t="e">
        <f t="shared" si="11"/>
        <v>#N/A</v>
      </c>
      <c r="I394" s="73" t="e">
        <v>#N/A</v>
      </c>
      <c r="J394" s="1950" t="e">
        <v>#N/A</v>
      </c>
      <c r="K394" s="73" t="e">
        <v>#N/A</v>
      </c>
      <c r="L394" s="573" t="e">
        <v>#N/A</v>
      </c>
      <c r="M394" s="1365" t="e">
        <v>#N/A</v>
      </c>
      <c r="N394" s="163" t="e">
        <v>#N/A</v>
      </c>
    </row>
    <row r="395" spans="1:14">
      <c r="A395" s="85">
        <f t="shared" si="12"/>
        <v>2025.02</v>
      </c>
      <c r="B395" s="50" t="e">
        <v>#N/A</v>
      </c>
      <c r="C395" s="1675" t="e">
        <v>#N/A</v>
      </c>
      <c r="D395" s="1365" t="e">
        <v>#N/A</v>
      </c>
      <c r="E395" s="1938" t="e">
        <v>#N/A</v>
      </c>
      <c r="F395" s="1365" t="e">
        <v>#N/A</v>
      </c>
      <c r="G395" s="73" t="e">
        <v>#N/A</v>
      </c>
      <c r="H395" s="1946" t="e">
        <f t="shared" si="11"/>
        <v>#N/A</v>
      </c>
      <c r="I395" s="73" t="e">
        <v>#N/A</v>
      </c>
      <c r="J395" s="1950" t="e">
        <v>#N/A</v>
      </c>
      <c r="K395" s="73" t="e">
        <v>#N/A</v>
      </c>
      <c r="L395" s="573" t="e">
        <v>#N/A</v>
      </c>
      <c r="M395" s="1365" t="e">
        <v>#N/A</v>
      </c>
      <c r="N395" s="163" t="e">
        <v>#N/A</v>
      </c>
    </row>
    <row r="396" spans="1:14">
      <c r="A396" s="85">
        <f t="shared" si="12"/>
        <v>2025.03</v>
      </c>
      <c r="B396" s="50" t="e">
        <v>#N/A</v>
      </c>
      <c r="C396" s="1675" t="e">
        <v>#N/A</v>
      </c>
      <c r="D396" s="1365" t="e">
        <v>#N/A</v>
      </c>
      <c r="E396" s="1938" t="e">
        <v>#N/A</v>
      </c>
      <c r="F396" s="1365" t="e">
        <v>#N/A</v>
      </c>
      <c r="G396" s="73" t="e">
        <v>#N/A</v>
      </c>
      <c r="H396" s="1946" t="e">
        <f t="shared" si="11"/>
        <v>#N/A</v>
      </c>
      <c r="I396" s="73" t="e">
        <v>#N/A</v>
      </c>
      <c r="J396" s="1950" t="e">
        <v>#N/A</v>
      </c>
      <c r="K396" s="73" t="e">
        <v>#N/A</v>
      </c>
      <c r="L396" s="573" t="e">
        <v>#N/A</v>
      </c>
      <c r="M396" s="1365" t="e">
        <v>#N/A</v>
      </c>
      <c r="N396" s="163" t="e">
        <v>#N/A</v>
      </c>
    </row>
    <row r="397" spans="1:14">
      <c r="A397" s="85">
        <f t="shared" si="12"/>
        <v>2025.04</v>
      </c>
      <c r="B397" s="50" t="e">
        <v>#N/A</v>
      </c>
      <c r="C397" s="1675" t="e">
        <v>#N/A</v>
      </c>
      <c r="D397" s="1365" t="e">
        <v>#N/A</v>
      </c>
      <c r="E397" s="1938" t="e">
        <v>#N/A</v>
      </c>
      <c r="F397" s="1365" t="e">
        <v>#N/A</v>
      </c>
      <c r="G397" s="73" t="e">
        <v>#N/A</v>
      </c>
      <c r="H397" s="1946" t="e">
        <f t="shared" si="11"/>
        <v>#N/A</v>
      </c>
      <c r="I397" s="73" t="e">
        <v>#N/A</v>
      </c>
      <c r="J397" s="1950" t="e">
        <v>#N/A</v>
      </c>
      <c r="K397" s="73" t="e">
        <v>#N/A</v>
      </c>
      <c r="L397" s="573" t="e">
        <v>#N/A</v>
      </c>
      <c r="M397" s="1365" t="e">
        <v>#N/A</v>
      </c>
      <c r="N397" s="163" t="e">
        <v>#N/A</v>
      </c>
    </row>
    <row r="398" spans="1:14">
      <c r="A398" s="85">
        <f t="shared" si="12"/>
        <v>2025.05</v>
      </c>
      <c r="B398" s="50" t="e">
        <v>#N/A</v>
      </c>
      <c r="C398" s="1675" t="e">
        <v>#N/A</v>
      </c>
      <c r="D398" s="1365" t="e">
        <v>#N/A</v>
      </c>
      <c r="E398" s="1938" t="e">
        <v>#N/A</v>
      </c>
      <c r="F398" s="1365" t="e">
        <v>#N/A</v>
      </c>
      <c r="G398" s="73" t="e">
        <v>#N/A</v>
      </c>
      <c r="H398" s="1946" t="e">
        <f t="shared" si="11"/>
        <v>#N/A</v>
      </c>
      <c r="I398" s="73" t="e">
        <v>#N/A</v>
      </c>
      <c r="J398" s="1950" t="e">
        <v>#N/A</v>
      </c>
      <c r="K398" s="73" t="e">
        <v>#N/A</v>
      </c>
      <c r="L398" s="573" t="e">
        <v>#N/A</v>
      </c>
      <c r="M398" s="1365" t="e">
        <v>#N/A</v>
      </c>
      <c r="N398" s="163" t="e">
        <v>#N/A</v>
      </c>
    </row>
    <row r="399" spans="1:14">
      <c r="A399" s="85">
        <f t="shared" si="12"/>
        <v>2025.06</v>
      </c>
      <c r="B399" s="50" t="e">
        <v>#N/A</v>
      </c>
      <c r="C399" s="1675" t="e">
        <v>#N/A</v>
      </c>
      <c r="D399" s="1365" t="e">
        <v>#N/A</v>
      </c>
      <c r="E399" s="1938" t="e">
        <v>#N/A</v>
      </c>
      <c r="F399" s="1365" t="e">
        <v>#N/A</v>
      </c>
      <c r="G399" s="73" t="e">
        <v>#N/A</v>
      </c>
      <c r="H399" s="1946" t="e">
        <f t="shared" si="11"/>
        <v>#N/A</v>
      </c>
      <c r="I399" s="73" t="e">
        <v>#N/A</v>
      </c>
      <c r="J399" s="1950" t="e">
        <v>#N/A</v>
      </c>
      <c r="K399" s="73" t="e">
        <v>#N/A</v>
      </c>
      <c r="L399" s="573" t="e">
        <v>#N/A</v>
      </c>
      <c r="M399" s="1365" t="e">
        <v>#N/A</v>
      </c>
      <c r="N399" s="163" t="e">
        <v>#N/A</v>
      </c>
    </row>
    <row r="400" spans="1:14">
      <c r="A400" s="85">
        <f t="shared" si="12"/>
        <v>2025.07</v>
      </c>
      <c r="B400" s="50" t="e">
        <v>#N/A</v>
      </c>
      <c r="C400" s="1675" t="e">
        <v>#N/A</v>
      </c>
      <c r="D400" s="1365" t="e">
        <v>#N/A</v>
      </c>
      <c r="E400" s="1938" t="e">
        <v>#N/A</v>
      </c>
      <c r="F400" s="1365" t="e">
        <v>#N/A</v>
      </c>
      <c r="G400" s="73" t="e">
        <v>#N/A</v>
      </c>
      <c r="H400" s="1946" t="e">
        <f t="shared" si="11"/>
        <v>#N/A</v>
      </c>
      <c r="I400" s="73" t="e">
        <v>#N/A</v>
      </c>
      <c r="J400" s="1950" t="e">
        <v>#N/A</v>
      </c>
      <c r="K400" s="73" t="e">
        <v>#N/A</v>
      </c>
      <c r="L400" s="573" t="e">
        <v>#N/A</v>
      </c>
      <c r="M400" s="1365" t="e">
        <v>#N/A</v>
      </c>
      <c r="N400" s="163" t="e">
        <v>#N/A</v>
      </c>
    </row>
    <row r="401" spans="1:14">
      <c r="A401" s="85">
        <f t="shared" si="12"/>
        <v>2025.08</v>
      </c>
      <c r="B401" s="50" t="e">
        <v>#N/A</v>
      </c>
      <c r="C401" s="1675" t="e">
        <v>#N/A</v>
      </c>
      <c r="D401" s="1365" t="e">
        <v>#N/A</v>
      </c>
      <c r="E401" s="1938" t="e">
        <v>#N/A</v>
      </c>
      <c r="F401" s="1365" t="e">
        <v>#N/A</v>
      </c>
      <c r="G401" s="73" t="e">
        <v>#N/A</v>
      </c>
      <c r="H401" s="1946" t="e">
        <f t="shared" si="11"/>
        <v>#N/A</v>
      </c>
      <c r="I401" s="73" t="e">
        <v>#N/A</v>
      </c>
      <c r="J401" s="1950" t="e">
        <v>#N/A</v>
      </c>
      <c r="K401" s="73" t="e">
        <v>#N/A</v>
      </c>
      <c r="L401" s="573" t="e">
        <v>#N/A</v>
      </c>
      <c r="M401" s="1365" t="e">
        <v>#N/A</v>
      </c>
      <c r="N401" s="163" t="e">
        <v>#N/A</v>
      </c>
    </row>
    <row r="402" spans="1:14">
      <c r="A402" s="85">
        <f t="shared" si="12"/>
        <v>2025.09</v>
      </c>
      <c r="B402" s="50" t="e">
        <v>#N/A</v>
      </c>
      <c r="C402" s="1675" t="e">
        <v>#N/A</v>
      </c>
      <c r="D402" s="1365" t="e">
        <v>#N/A</v>
      </c>
      <c r="E402" s="1938" t="e">
        <v>#N/A</v>
      </c>
      <c r="F402" s="1365" t="e">
        <v>#N/A</v>
      </c>
      <c r="G402" s="73" t="e">
        <v>#N/A</v>
      </c>
      <c r="H402" s="1946" t="e">
        <f t="shared" si="11"/>
        <v>#N/A</v>
      </c>
      <c r="I402" s="73" t="e">
        <v>#N/A</v>
      </c>
      <c r="J402" s="1950" t="e">
        <v>#N/A</v>
      </c>
      <c r="K402" s="73" t="e">
        <v>#N/A</v>
      </c>
      <c r="L402" s="573" t="e">
        <v>#N/A</v>
      </c>
      <c r="M402" s="1365" t="e">
        <v>#N/A</v>
      </c>
      <c r="N402" s="163" t="e">
        <v>#N/A</v>
      </c>
    </row>
    <row r="403" spans="1:14">
      <c r="A403" s="85">
        <f t="shared" si="12"/>
        <v>2025.1</v>
      </c>
      <c r="B403" s="50" t="e">
        <v>#N/A</v>
      </c>
      <c r="C403" s="1675" t="e">
        <v>#N/A</v>
      </c>
      <c r="D403" s="1365" t="e">
        <v>#N/A</v>
      </c>
      <c r="E403" s="1938" t="e">
        <v>#N/A</v>
      </c>
      <c r="F403" s="1365" t="e">
        <v>#N/A</v>
      </c>
      <c r="G403" s="73" t="e">
        <v>#N/A</v>
      </c>
      <c r="H403" s="1946" t="e">
        <f t="shared" si="11"/>
        <v>#N/A</v>
      </c>
      <c r="I403" s="73" t="e">
        <v>#N/A</v>
      </c>
      <c r="J403" s="1950" t="e">
        <v>#N/A</v>
      </c>
      <c r="K403" s="73" t="e">
        <v>#N/A</v>
      </c>
      <c r="L403" s="573" t="e">
        <v>#N/A</v>
      </c>
      <c r="M403" s="1365" t="e">
        <v>#N/A</v>
      </c>
      <c r="N403" s="163" t="e">
        <v>#N/A</v>
      </c>
    </row>
    <row r="404" spans="1:14">
      <c r="A404" s="85">
        <f t="shared" si="12"/>
        <v>2025.11</v>
      </c>
      <c r="B404" s="50" t="e">
        <v>#N/A</v>
      </c>
      <c r="C404" s="1675" t="e">
        <v>#N/A</v>
      </c>
      <c r="D404" s="1365" t="e">
        <v>#N/A</v>
      </c>
      <c r="E404" s="1938" t="e">
        <v>#N/A</v>
      </c>
      <c r="F404" s="1365" t="e">
        <v>#N/A</v>
      </c>
      <c r="G404" s="73" t="e">
        <v>#N/A</v>
      </c>
      <c r="H404" s="1946" t="e">
        <f t="shared" si="11"/>
        <v>#N/A</v>
      </c>
      <c r="I404" s="73" t="e">
        <v>#N/A</v>
      </c>
      <c r="J404" s="1950" t="e">
        <v>#N/A</v>
      </c>
      <c r="K404" s="73" t="e">
        <v>#N/A</v>
      </c>
      <c r="L404" s="573" t="e">
        <v>#N/A</v>
      </c>
      <c r="M404" s="1365" t="e">
        <v>#N/A</v>
      </c>
      <c r="N404" s="163" t="e">
        <v>#N/A</v>
      </c>
    </row>
    <row r="405" spans="1:14">
      <c r="A405" s="85">
        <f t="shared" si="12"/>
        <v>2025.12</v>
      </c>
      <c r="B405" s="50" t="e">
        <v>#N/A</v>
      </c>
      <c r="C405" s="1675" t="e">
        <v>#N/A</v>
      </c>
      <c r="D405" s="1365" t="e">
        <v>#N/A</v>
      </c>
      <c r="E405" s="1938" t="e">
        <v>#N/A</v>
      </c>
      <c r="F405" s="1365" t="e">
        <v>#N/A</v>
      </c>
      <c r="G405" s="73" t="e">
        <v>#N/A</v>
      </c>
      <c r="H405" s="1946" t="e">
        <f t="shared" si="11"/>
        <v>#N/A</v>
      </c>
      <c r="I405" s="73" t="e">
        <v>#N/A</v>
      </c>
      <c r="J405" s="1950" t="e">
        <v>#N/A</v>
      </c>
      <c r="K405" s="73" t="e">
        <v>#N/A</v>
      </c>
      <c r="L405" s="573" t="e">
        <v>#N/A</v>
      </c>
      <c r="M405" s="1365" t="e">
        <v>#N/A</v>
      </c>
      <c r="N405" s="163" t="e">
        <v>#N/A</v>
      </c>
    </row>
    <row r="406" spans="1:14">
      <c r="A406" s="85">
        <f t="shared" si="12"/>
        <v>2026.01</v>
      </c>
      <c r="B406" s="50" t="e">
        <v>#N/A</v>
      </c>
      <c r="C406" s="1675" t="e">
        <v>#N/A</v>
      </c>
      <c r="D406" s="1365" t="e">
        <v>#N/A</v>
      </c>
      <c r="E406" s="1938" t="e">
        <v>#N/A</v>
      </c>
      <c r="F406" s="1365" t="e">
        <v>#N/A</v>
      </c>
      <c r="G406" s="73" t="e">
        <v>#N/A</v>
      </c>
      <c r="H406" s="1946" t="e">
        <f t="shared" ref="H406:H420" si="13">F406+G406</f>
        <v>#N/A</v>
      </c>
      <c r="I406" s="73" t="e">
        <v>#N/A</v>
      </c>
      <c r="J406" s="1950" t="e">
        <v>#N/A</v>
      </c>
      <c r="K406" s="73" t="e">
        <v>#N/A</v>
      </c>
      <c r="L406" s="573" t="e">
        <v>#N/A</v>
      </c>
      <c r="M406" s="1365" t="e">
        <v>#N/A</v>
      </c>
      <c r="N406" s="163" t="e">
        <v>#N/A</v>
      </c>
    </row>
    <row r="407" spans="1:14">
      <c r="A407" s="85">
        <f t="shared" si="12"/>
        <v>2026.02</v>
      </c>
      <c r="B407" s="50" t="e">
        <v>#N/A</v>
      </c>
      <c r="C407" s="1675" t="e">
        <v>#N/A</v>
      </c>
      <c r="D407" s="1365" t="e">
        <v>#N/A</v>
      </c>
      <c r="E407" s="1938" t="e">
        <v>#N/A</v>
      </c>
      <c r="F407" s="1365" t="e">
        <v>#N/A</v>
      </c>
      <c r="G407" s="73" t="e">
        <v>#N/A</v>
      </c>
      <c r="H407" s="1946" t="e">
        <f t="shared" si="13"/>
        <v>#N/A</v>
      </c>
      <c r="I407" s="73" t="e">
        <v>#N/A</v>
      </c>
      <c r="J407" s="1950" t="e">
        <v>#N/A</v>
      </c>
      <c r="K407" s="73" t="e">
        <v>#N/A</v>
      </c>
      <c r="L407" s="573" t="e">
        <v>#N/A</v>
      </c>
      <c r="M407" s="1365" t="e">
        <v>#N/A</v>
      </c>
      <c r="N407" s="163" t="e">
        <v>#N/A</v>
      </c>
    </row>
    <row r="408" spans="1:14">
      <c r="A408" s="85">
        <f t="shared" si="12"/>
        <v>2026.03</v>
      </c>
      <c r="B408" s="50" t="e">
        <v>#N/A</v>
      </c>
      <c r="C408" s="1675" t="e">
        <v>#N/A</v>
      </c>
      <c r="D408" s="1365" t="e">
        <v>#N/A</v>
      </c>
      <c r="E408" s="1938" t="e">
        <v>#N/A</v>
      </c>
      <c r="F408" s="1365" t="e">
        <v>#N/A</v>
      </c>
      <c r="G408" s="73" t="e">
        <v>#N/A</v>
      </c>
      <c r="H408" s="1946" t="e">
        <f t="shared" si="13"/>
        <v>#N/A</v>
      </c>
      <c r="I408" s="73" t="e">
        <v>#N/A</v>
      </c>
      <c r="J408" s="1950" t="e">
        <v>#N/A</v>
      </c>
      <c r="K408" s="73" t="e">
        <v>#N/A</v>
      </c>
      <c r="L408" s="573" t="e">
        <v>#N/A</v>
      </c>
      <c r="M408" s="1365" t="e">
        <v>#N/A</v>
      </c>
      <c r="N408" s="163" t="e">
        <v>#N/A</v>
      </c>
    </row>
    <row r="409" spans="1:14">
      <c r="A409" s="85">
        <f t="shared" si="12"/>
        <v>2026.04</v>
      </c>
      <c r="B409" s="50" t="e">
        <v>#N/A</v>
      </c>
      <c r="C409" s="1675" t="e">
        <v>#N/A</v>
      </c>
      <c r="D409" s="1365" t="e">
        <v>#N/A</v>
      </c>
      <c r="E409" s="1938" t="e">
        <v>#N/A</v>
      </c>
      <c r="F409" s="1365" t="e">
        <v>#N/A</v>
      </c>
      <c r="G409" s="73" t="e">
        <v>#N/A</v>
      </c>
      <c r="H409" s="1946" t="e">
        <f t="shared" si="13"/>
        <v>#N/A</v>
      </c>
      <c r="I409" s="73" t="e">
        <v>#N/A</v>
      </c>
      <c r="J409" s="1950" t="e">
        <v>#N/A</v>
      </c>
      <c r="K409" s="73" t="e">
        <v>#N/A</v>
      </c>
      <c r="L409" s="573" t="e">
        <v>#N/A</v>
      </c>
      <c r="M409" s="1365" t="e">
        <v>#N/A</v>
      </c>
      <c r="N409" s="163" t="e">
        <v>#N/A</v>
      </c>
    </row>
    <row r="410" spans="1:14">
      <c r="A410" s="85">
        <f t="shared" si="12"/>
        <v>2026.05</v>
      </c>
      <c r="B410" s="50" t="e">
        <v>#N/A</v>
      </c>
      <c r="C410" s="1675" t="e">
        <v>#N/A</v>
      </c>
      <c r="D410" s="1365" t="e">
        <v>#N/A</v>
      </c>
      <c r="E410" s="1938" t="e">
        <v>#N/A</v>
      </c>
      <c r="F410" s="1365" t="e">
        <v>#N/A</v>
      </c>
      <c r="G410" s="73" t="e">
        <v>#N/A</v>
      </c>
      <c r="H410" s="1946" t="e">
        <f t="shared" si="13"/>
        <v>#N/A</v>
      </c>
      <c r="I410" s="73" t="e">
        <v>#N/A</v>
      </c>
      <c r="J410" s="1950" t="e">
        <v>#N/A</v>
      </c>
      <c r="K410" s="73" t="e">
        <v>#N/A</v>
      </c>
      <c r="L410" s="573" t="e">
        <v>#N/A</v>
      </c>
      <c r="M410" s="1365" t="e">
        <v>#N/A</v>
      </c>
      <c r="N410" s="163" t="e">
        <v>#N/A</v>
      </c>
    </row>
    <row r="411" spans="1:14">
      <c r="A411" s="85">
        <f t="shared" si="12"/>
        <v>2026.06</v>
      </c>
      <c r="B411" s="50" t="e">
        <v>#N/A</v>
      </c>
      <c r="C411" s="1675" t="e">
        <v>#N/A</v>
      </c>
      <c r="D411" s="1365" t="e">
        <v>#N/A</v>
      </c>
      <c r="E411" s="1938" t="e">
        <v>#N/A</v>
      </c>
      <c r="F411" s="1365" t="e">
        <v>#N/A</v>
      </c>
      <c r="G411" s="73" t="e">
        <v>#N/A</v>
      </c>
      <c r="H411" s="1946" t="e">
        <f t="shared" si="13"/>
        <v>#N/A</v>
      </c>
      <c r="I411" s="73" t="e">
        <v>#N/A</v>
      </c>
      <c r="J411" s="1950" t="e">
        <v>#N/A</v>
      </c>
      <c r="K411" s="73" t="e">
        <v>#N/A</v>
      </c>
      <c r="L411" s="573" t="e">
        <v>#N/A</v>
      </c>
      <c r="M411" s="1365" t="e">
        <v>#N/A</v>
      </c>
      <c r="N411" s="163" t="e">
        <v>#N/A</v>
      </c>
    </row>
    <row r="412" spans="1:14">
      <c r="A412" s="85">
        <f t="shared" si="12"/>
        <v>2026.07</v>
      </c>
      <c r="B412" s="50" t="e">
        <v>#N/A</v>
      </c>
      <c r="C412" s="1675" t="e">
        <v>#N/A</v>
      </c>
      <c r="D412" s="1365" t="e">
        <v>#N/A</v>
      </c>
      <c r="E412" s="1938" t="e">
        <v>#N/A</v>
      </c>
      <c r="F412" s="1365" t="e">
        <v>#N/A</v>
      </c>
      <c r="G412" s="73" t="e">
        <v>#N/A</v>
      </c>
      <c r="H412" s="1946" t="e">
        <f t="shared" si="13"/>
        <v>#N/A</v>
      </c>
      <c r="I412" s="73" t="e">
        <v>#N/A</v>
      </c>
      <c r="J412" s="1950" t="e">
        <v>#N/A</v>
      </c>
      <c r="K412" s="73" t="e">
        <v>#N/A</v>
      </c>
      <c r="L412" s="573" t="e">
        <v>#N/A</v>
      </c>
      <c r="M412" s="1365" t="e">
        <v>#N/A</v>
      </c>
      <c r="N412" s="163" t="e">
        <v>#N/A</v>
      </c>
    </row>
    <row r="413" spans="1:14">
      <c r="A413" s="85">
        <f t="shared" si="12"/>
        <v>2026.08</v>
      </c>
      <c r="B413" s="50" t="e">
        <v>#N/A</v>
      </c>
      <c r="C413" s="1675" t="e">
        <v>#N/A</v>
      </c>
      <c r="D413" s="1365" t="e">
        <v>#N/A</v>
      </c>
      <c r="E413" s="1938" t="e">
        <v>#N/A</v>
      </c>
      <c r="F413" s="1365" t="e">
        <v>#N/A</v>
      </c>
      <c r="G413" s="73" t="e">
        <v>#N/A</v>
      </c>
      <c r="H413" s="1946" t="e">
        <f t="shared" si="13"/>
        <v>#N/A</v>
      </c>
      <c r="I413" s="73" t="e">
        <v>#N/A</v>
      </c>
      <c r="J413" s="1950" t="e">
        <v>#N/A</v>
      </c>
      <c r="K413" s="73" t="e">
        <v>#N/A</v>
      </c>
      <c r="L413" s="573" t="e">
        <v>#N/A</v>
      </c>
      <c r="M413" s="1365" t="e">
        <v>#N/A</v>
      </c>
      <c r="N413" s="163" t="e">
        <v>#N/A</v>
      </c>
    </row>
    <row r="414" spans="1:14">
      <c r="A414" s="85">
        <f t="shared" si="12"/>
        <v>2026.09</v>
      </c>
      <c r="B414" s="50" t="e">
        <v>#N/A</v>
      </c>
      <c r="C414" s="1675" t="e">
        <v>#N/A</v>
      </c>
      <c r="D414" s="1365" t="e">
        <v>#N/A</v>
      </c>
      <c r="E414" s="1938" t="e">
        <v>#N/A</v>
      </c>
      <c r="F414" s="1365" t="e">
        <v>#N/A</v>
      </c>
      <c r="G414" s="73" t="e">
        <v>#N/A</v>
      </c>
      <c r="H414" s="1946" t="e">
        <f t="shared" si="13"/>
        <v>#N/A</v>
      </c>
      <c r="I414" s="73" t="e">
        <v>#N/A</v>
      </c>
      <c r="J414" s="1950" t="e">
        <v>#N/A</v>
      </c>
      <c r="K414" s="73" t="e">
        <v>#N/A</v>
      </c>
      <c r="L414" s="573" t="e">
        <v>#N/A</v>
      </c>
      <c r="M414" s="1365" t="e">
        <v>#N/A</v>
      </c>
      <c r="N414" s="163" t="e">
        <v>#N/A</v>
      </c>
    </row>
    <row r="415" spans="1:14">
      <c r="A415" s="85">
        <f t="shared" si="12"/>
        <v>2026.1</v>
      </c>
      <c r="B415" s="50" t="e">
        <v>#N/A</v>
      </c>
      <c r="C415" s="1675" t="e">
        <v>#N/A</v>
      </c>
      <c r="D415" s="1365" t="e">
        <v>#N/A</v>
      </c>
      <c r="E415" s="1938" t="e">
        <v>#N/A</v>
      </c>
      <c r="F415" s="1365" t="e">
        <v>#N/A</v>
      </c>
      <c r="G415" s="73" t="e">
        <v>#N/A</v>
      </c>
      <c r="H415" s="1946" t="e">
        <f t="shared" si="13"/>
        <v>#N/A</v>
      </c>
      <c r="I415" s="73" t="e">
        <v>#N/A</v>
      </c>
      <c r="J415" s="1950" t="e">
        <v>#N/A</v>
      </c>
      <c r="K415" s="73" t="e">
        <v>#N/A</v>
      </c>
      <c r="L415" s="573" t="e">
        <v>#N/A</v>
      </c>
      <c r="M415" s="1365" t="e">
        <v>#N/A</v>
      </c>
      <c r="N415" s="163" t="e">
        <v>#N/A</v>
      </c>
    </row>
    <row r="416" spans="1:14">
      <c r="A416" s="85">
        <f t="shared" si="12"/>
        <v>2026.11</v>
      </c>
      <c r="B416" s="50" t="e">
        <v>#N/A</v>
      </c>
      <c r="C416" s="1675" t="e">
        <v>#N/A</v>
      </c>
      <c r="D416" s="1365" t="e">
        <v>#N/A</v>
      </c>
      <c r="E416" s="1938" t="e">
        <v>#N/A</v>
      </c>
      <c r="F416" s="1365" t="e">
        <v>#N/A</v>
      </c>
      <c r="G416" s="73" t="e">
        <v>#N/A</v>
      </c>
      <c r="H416" s="1946" t="e">
        <f t="shared" si="13"/>
        <v>#N/A</v>
      </c>
      <c r="I416" s="73" t="e">
        <v>#N/A</v>
      </c>
      <c r="J416" s="1950" t="e">
        <v>#N/A</v>
      </c>
      <c r="K416" s="73" t="e">
        <v>#N/A</v>
      </c>
      <c r="L416" s="573" t="e">
        <v>#N/A</v>
      </c>
      <c r="M416" s="1365" t="e">
        <v>#N/A</v>
      </c>
      <c r="N416" s="163" t="e">
        <v>#N/A</v>
      </c>
    </row>
    <row r="417" spans="1:14">
      <c r="A417" s="85">
        <f t="shared" si="12"/>
        <v>2026.12</v>
      </c>
      <c r="B417" s="50" t="e">
        <v>#N/A</v>
      </c>
      <c r="C417" s="1675" t="e">
        <v>#N/A</v>
      </c>
      <c r="D417" s="1365" t="e">
        <v>#N/A</v>
      </c>
      <c r="E417" s="1938" t="e">
        <v>#N/A</v>
      </c>
      <c r="F417" s="1365" t="e">
        <v>#N/A</v>
      </c>
      <c r="G417" s="73" t="e">
        <v>#N/A</v>
      </c>
      <c r="H417" s="1946" t="e">
        <f t="shared" si="13"/>
        <v>#N/A</v>
      </c>
      <c r="I417" s="73" t="e">
        <v>#N/A</v>
      </c>
      <c r="J417" s="1950" t="e">
        <v>#N/A</v>
      </c>
      <c r="K417" s="73" t="e">
        <v>#N/A</v>
      </c>
      <c r="L417" s="573" t="e">
        <v>#N/A</v>
      </c>
      <c r="M417" s="1365" t="e">
        <v>#N/A</v>
      </c>
      <c r="N417" s="163" t="e">
        <v>#N/A</v>
      </c>
    </row>
    <row r="418" spans="1:14">
      <c r="A418" s="85">
        <f t="shared" si="12"/>
        <v>2027.01</v>
      </c>
      <c r="B418" s="50" t="e">
        <v>#N/A</v>
      </c>
      <c r="C418" s="1675" t="e">
        <v>#N/A</v>
      </c>
      <c r="D418" s="1365" t="e">
        <v>#N/A</v>
      </c>
      <c r="E418" s="1938" t="e">
        <v>#N/A</v>
      </c>
      <c r="F418" s="1365" t="e">
        <v>#N/A</v>
      </c>
      <c r="G418" s="73" t="e">
        <v>#N/A</v>
      </c>
      <c r="H418" s="1946" t="e">
        <f t="shared" si="13"/>
        <v>#N/A</v>
      </c>
      <c r="I418" s="73" t="e">
        <v>#N/A</v>
      </c>
      <c r="J418" s="1950" t="e">
        <v>#N/A</v>
      </c>
      <c r="K418" s="73" t="e">
        <v>#N/A</v>
      </c>
      <c r="L418" s="573" t="e">
        <v>#N/A</v>
      </c>
      <c r="M418" s="1365" t="e">
        <v>#N/A</v>
      </c>
      <c r="N418" s="163" t="e">
        <v>#N/A</v>
      </c>
    </row>
    <row r="419" spans="1:14">
      <c r="A419" s="85">
        <f t="shared" si="12"/>
        <v>2027.02</v>
      </c>
      <c r="B419" s="50" t="e">
        <v>#N/A</v>
      </c>
      <c r="C419" s="1675" t="e">
        <v>#N/A</v>
      </c>
      <c r="D419" s="1365" t="e">
        <v>#N/A</v>
      </c>
      <c r="E419" s="1938" t="e">
        <v>#N/A</v>
      </c>
      <c r="F419" s="1365" t="e">
        <v>#N/A</v>
      </c>
      <c r="G419" s="73" t="e">
        <v>#N/A</v>
      </c>
      <c r="H419" s="1946" t="e">
        <f t="shared" si="13"/>
        <v>#N/A</v>
      </c>
      <c r="I419" s="73" t="e">
        <v>#N/A</v>
      </c>
      <c r="J419" s="1950" t="e">
        <v>#N/A</v>
      </c>
      <c r="K419" s="73" t="e">
        <v>#N/A</v>
      </c>
      <c r="L419" s="573" t="e">
        <v>#N/A</v>
      </c>
      <c r="M419" s="1365" t="e">
        <v>#N/A</v>
      </c>
      <c r="N419" s="163" t="e">
        <v>#N/A</v>
      </c>
    </row>
    <row r="420" spans="1:14">
      <c r="A420" s="85">
        <f t="shared" si="12"/>
        <v>2027.03</v>
      </c>
      <c r="B420" s="50" t="e">
        <v>#N/A</v>
      </c>
      <c r="C420" s="1675" t="e">
        <v>#N/A</v>
      </c>
      <c r="D420" s="1365" t="e">
        <v>#N/A</v>
      </c>
      <c r="E420" s="1938" t="e">
        <v>#N/A</v>
      </c>
      <c r="F420" s="1365" t="e">
        <v>#N/A</v>
      </c>
      <c r="G420" s="73" t="e">
        <v>#N/A</v>
      </c>
      <c r="H420" s="1946" t="e">
        <f t="shared" si="13"/>
        <v>#N/A</v>
      </c>
      <c r="I420" s="73" t="e">
        <v>#N/A</v>
      </c>
      <c r="J420" s="1950" t="e">
        <v>#N/A</v>
      </c>
      <c r="K420" s="73" t="e">
        <v>#N/A</v>
      </c>
      <c r="L420" s="573" t="e">
        <v>#N/A</v>
      </c>
      <c r="M420" s="1365" t="e">
        <v>#N/A</v>
      </c>
      <c r="N420" s="163" t="e">
        <v>#N/A</v>
      </c>
    </row>
    <row r="421" spans="1:14">
      <c r="A421" s="85">
        <f t="shared" si="12"/>
        <v>2027.04</v>
      </c>
      <c r="B421" s="50" t="e">
        <v>#N/A</v>
      </c>
      <c r="C421" s="1675" t="e">
        <v>#N/A</v>
      </c>
      <c r="D421" s="1365" t="e">
        <v>#N/A</v>
      </c>
      <c r="E421" s="1938" t="e">
        <v>#N/A</v>
      </c>
      <c r="F421" s="1365" t="e">
        <v>#N/A</v>
      </c>
      <c r="G421" s="73" t="e">
        <v>#N/A</v>
      </c>
      <c r="H421" s="1946" t="e">
        <f t="shared" ref="H421:H465" si="14">F421+G421</f>
        <v>#N/A</v>
      </c>
      <c r="I421" s="73" t="e">
        <v>#N/A</v>
      </c>
      <c r="J421" s="1950" t="e">
        <v>#N/A</v>
      </c>
      <c r="K421" s="73" t="e">
        <v>#N/A</v>
      </c>
      <c r="L421" s="573" t="e">
        <v>#N/A</v>
      </c>
      <c r="M421" s="1365" t="e">
        <v>#N/A</v>
      </c>
      <c r="N421" s="163" t="e">
        <v>#N/A</v>
      </c>
    </row>
    <row r="422" spans="1:14">
      <c r="A422" s="85">
        <f t="shared" si="12"/>
        <v>2027.05</v>
      </c>
      <c r="B422" s="50" t="e">
        <v>#N/A</v>
      </c>
      <c r="C422" s="1675" t="e">
        <v>#N/A</v>
      </c>
      <c r="D422" s="1365" t="e">
        <v>#N/A</v>
      </c>
      <c r="E422" s="1938" t="e">
        <v>#N/A</v>
      </c>
      <c r="F422" s="1365" t="e">
        <v>#N/A</v>
      </c>
      <c r="G422" s="73" t="e">
        <v>#N/A</v>
      </c>
      <c r="H422" s="1946" t="e">
        <f t="shared" si="14"/>
        <v>#N/A</v>
      </c>
      <c r="I422" s="73" t="e">
        <v>#N/A</v>
      </c>
      <c r="J422" s="1950" t="e">
        <v>#N/A</v>
      </c>
      <c r="K422" s="73" t="e">
        <v>#N/A</v>
      </c>
      <c r="L422" s="573" t="e">
        <v>#N/A</v>
      </c>
      <c r="M422" s="1365" t="e">
        <v>#N/A</v>
      </c>
      <c r="N422" s="163" t="e">
        <v>#N/A</v>
      </c>
    </row>
    <row r="423" spans="1:14">
      <c r="A423" s="85">
        <f t="shared" si="12"/>
        <v>2027.06</v>
      </c>
      <c r="B423" s="50" t="e">
        <v>#N/A</v>
      </c>
      <c r="C423" s="1675" t="e">
        <v>#N/A</v>
      </c>
      <c r="D423" s="1365" t="e">
        <v>#N/A</v>
      </c>
      <c r="E423" s="1938" t="e">
        <v>#N/A</v>
      </c>
      <c r="F423" s="1365" t="e">
        <v>#N/A</v>
      </c>
      <c r="G423" s="73" t="e">
        <v>#N/A</v>
      </c>
      <c r="H423" s="1946" t="e">
        <f t="shared" si="14"/>
        <v>#N/A</v>
      </c>
      <c r="I423" s="73" t="e">
        <v>#N/A</v>
      </c>
      <c r="J423" s="1950" t="e">
        <v>#N/A</v>
      </c>
      <c r="K423" s="73" t="e">
        <v>#N/A</v>
      </c>
      <c r="L423" s="573" t="e">
        <v>#N/A</v>
      </c>
      <c r="M423" s="1365" t="e">
        <v>#N/A</v>
      </c>
      <c r="N423" s="163" t="e">
        <v>#N/A</v>
      </c>
    </row>
    <row r="424" spans="1:14">
      <c r="A424" s="85">
        <f t="shared" si="12"/>
        <v>2027.07</v>
      </c>
      <c r="B424" s="50" t="e">
        <v>#N/A</v>
      </c>
      <c r="C424" s="1675" t="e">
        <v>#N/A</v>
      </c>
      <c r="D424" s="1365" t="e">
        <v>#N/A</v>
      </c>
      <c r="E424" s="1938" t="e">
        <v>#N/A</v>
      </c>
      <c r="F424" s="1365" t="e">
        <v>#N/A</v>
      </c>
      <c r="G424" s="73" t="e">
        <v>#N/A</v>
      </c>
      <c r="H424" s="1946" t="e">
        <f t="shared" si="14"/>
        <v>#N/A</v>
      </c>
      <c r="I424" s="73" t="e">
        <v>#N/A</v>
      </c>
      <c r="J424" s="1950" t="e">
        <v>#N/A</v>
      </c>
      <c r="K424" s="73" t="e">
        <v>#N/A</v>
      </c>
      <c r="L424" s="573" t="e">
        <v>#N/A</v>
      </c>
      <c r="M424" s="1365" t="e">
        <v>#N/A</v>
      </c>
      <c r="N424" s="163" t="e">
        <v>#N/A</v>
      </c>
    </row>
    <row r="425" spans="1:14">
      <c r="A425" s="85">
        <f t="shared" si="12"/>
        <v>2027.08</v>
      </c>
      <c r="B425" s="50" t="e">
        <v>#N/A</v>
      </c>
      <c r="C425" s="1675" t="e">
        <v>#N/A</v>
      </c>
      <c r="D425" s="1365" t="e">
        <v>#N/A</v>
      </c>
      <c r="E425" s="1938" t="e">
        <v>#N/A</v>
      </c>
      <c r="F425" s="1365" t="e">
        <v>#N/A</v>
      </c>
      <c r="G425" s="73" t="e">
        <v>#N/A</v>
      </c>
      <c r="H425" s="1946" t="e">
        <f t="shared" si="14"/>
        <v>#N/A</v>
      </c>
      <c r="I425" s="73" t="e">
        <v>#N/A</v>
      </c>
      <c r="J425" s="1950" t="e">
        <v>#N/A</v>
      </c>
      <c r="K425" s="73" t="e">
        <v>#N/A</v>
      </c>
      <c r="L425" s="573" t="e">
        <v>#N/A</v>
      </c>
      <c r="M425" s="1365" t="e">
        <v>#N/A</v>
      </c>
      <c r="N425" s="163" t="e">
        <v>#N/A</v>
      </c>
    </row>
    <row r="426" spans="1:14">
      <c r="A426" s="85">
        <f t="shared" si="12"/>
        <v>2027.09</v>
      </c>
      <c r="B426" s="50" t="e">
        <v>#N/A</v>
      </c>
      <c r="C426" s="1675" t="e">
        <v>#N/A</v>
      </c>
      <c r="D426" s="1365" t="e">
        <v>#N/A</v>
      </c>
      <c r="E426" s="1938" t="e">
        <v>#N/A</v>
      </c>
      <c r="F426" s="1365" t="e">
        <v>#N/A</v>
      </c>
      <c r="G426" s="73" t="e">
        <v>#N/A</v>
      </c>
      <c r="H426" s="1946" t="e">
        <f t="shared" si="14"/>
        <v>#N/A</v>
      </c>
      <c r="I426" s="73" t="e">
        <v>#N/A</v>
      </c>
      <c r="J426" s="1950" t="e">
        <v>#N/A</v>
      </c>
      <c r="K426" s="73" t="e">
        <v>#N/A</v>
      </c>
      <c r="L426" s="573" t="e">
        <v>#N/A</v>
      </c>
      <c r="M426" s="1365" t="e">
        <v>#N/A</v>
      </c>
      <c r="N426" s="163" t="e">
        <v>#N/A</v>
      </c>
    </row>
    <row r="427" spans="1:14">
      <c r="A427" s="85">
        <f t="shared" si="12"/>
        <v>2027.1</v>
      </c>
      <c r="B427" s="50" t="e">
        <v>#N/A</v>
      </c>
      <c r="C427" s="1675" t="e">
        <v>#N/A</v>
      </c>
      <c r="D427" s="1365" t="e">
        <v>#N/A</v>
      </c>
      <c r="E427" s="1938" t="e">
        <v>#N/A</v>
      </c>
      <c r="F427" s="1365" t="e">
        <v>#N/A</v>
      </c>
      <c r="G427" s="73" t="e">
        <v>#N/A</v>
      </c>
      <c r="H427" s="1946" t="e">
        <f t="shared" si="14"/>
        <v>#N/A</v>
      </c>
      <c r="I427" s="73" t="e">
        <v>#N/A</v>
      </c>
      <c r="J427" s="1950" t="e">
        <v>#N/A</v>
      </c>
      <c r="K427" s="73" t="e">
        <v>#N/A</v>
      </c>
      <c r="L427" s="573" t="e">
        <v>#N/A</v>
      </c>
      <c r="M427" s="1365" t="e">
        <v>#N/A</v>
      </c>
      <c r="N427" s="163" t="e">
        <v>#N/A</v>
      </c>
    </row>
    <row r="428" spans="1:14">
      <c r="A428" s="85">
        <f t="shared" si="12"/>
        <v>2027.11</v>
      </c>
      <c r="B428" s="50" t="e">
        <v>#N/A</v>
      </c>
      <c r="C428" s="1675" t="e">
        <v>#N/A</v>
      </c>
      <c r="D428" s="1365" t="e">
        <v>#N/A</v>
      </c>
      <c r="E428" s="1938" t="e">
        <v>#N/A</v>
      </c>
      <c r="F428" s="1365" t="e">
        <v>#N/A</v>
      </c>
      <c r="G428" s="73" t="e">
        <v>#N/A</v>
      </c>
      <c r="H428" s="1946" t="e">
        <f t="shared" si="14"/>
        <v>#N/A</v>
      </c>
      <c r="I428" s="73" t="e">
        <v>#N/A</v>
      </c>
      <c r="J428" s="1950" t="e">
        <v>#N/A</v>
      </c>
      <c r="K428" s="73" t="e">
        <v>#N/A</v>
      </c>
      <c r="L428" s="573" t="e">
        <v>#N/A</v>
      </c>
      <c r="M428" s="1365" t="e">
        <v>#N/A</v>
      </c>
      <c r="N428" s="163" t="e">
        <v>#N/A</v>
      </c>
    </row>
    <row r="429" spans="1:14">
      <c r="A429" s="85">
        <f t="shared" si="12"/>
        <v>2027.12</v>
      </c>
      <c r="B429" s="50" t="e">
        <v>#N/A</v>
      </c>
      <c r="C429" s="1675" t="e">
        <v>#N/A</v>
      </c>
      <c r="D429" s="1365" t="e">
        <v>#N/A</v>
      </c>
      <c r="E429" s="1938" t="e">
        <v>#N/A</v>
      </c>
      <c r="F429" s="1365" t="e">
        <v>#N/A</v>
      </c>
      <c r="G429" s="73" t="e">
        <v>#N/A</v>
      </c>
      <c r="H429" s="1946" t="e">
        <f t="shared" si="14"/>
        <v>#N/A</v>
      </c>
      <c r="I429" s="73" t="e">
        <v>#N/A</v>
      </c>
      <c r="J429" s="1950" t="e">
        <v>#N/A</v>
      </c>
      <c r="K429" s="73" t="e">
        <v>#N/A</v>
      </c>
      <c r="L429" s="573" t="e">
        <v>#N/A</v>
      </c>
      <c r="M429" s="1365" t="e">
        <v>#N/A</v>
      </c>
      <c r="N429" s="163" t="e">
        <v>#N/A</v>
      </c>
    </row>
    <row r="430" spans="1:14">
      <c r="A430" s="85">
        <f t="shared" si="12"/>
        <v>2028.01</v>
      </c>
      <c r="B430" s="50" t="e">
        <v>#N/A</v>
      </c>
      <c r="C430" s="1675" t="e">
        <v>#N/A</v>
      </c>
      <c r="D430" s="1365" t="e">
        <v>#N/A</v>
      </c>
      <c r="E430" s="1938" t="e">
        <v>#N/A</v>
      </c>
      <c r="F430" s="1365" t="e">
        <v>#N/A</v>
      </c>
      <c r="G430" s="73" t="e">
        <v>#N/A</v>
      </c>
      <c r="H430" s="1946" t="e">
        <f t="shared" si="14"/>
        <v>#N/A</v>
      </c>
      <c r="I430" s="73" t="e">
        <v>#N/A</v>
      </c>
      <c r="J430" s="1950" t="e">
        <v>#N/A</v>
      </c>
      <c r="K430" s="73" t="e">
        <v>#N/A</v>
      </c>
      <c r="L430" s="573" t="e">
        <v>#N/A</v>
      </c>
      <c r="M430" s="1365" t="e">
        <v>#N/A</v>
      </c>
      <c r="N430" s="163" t="e">
        <v>#N/A</v>
      </c>
    </row>
    <row r="431" spans="1:14">
      <c r="A431" s="85">
        <f t="shared" si="12"/>
        <v>2028.02</v>
      </c>
      <c r="B431" s="50" t="e">
        <v>#N/A</v>
      </c>
      <c r="C431" s="1675" t="e">
        <v>#N/A</v>
      </c>
      <c r="D431" s="1365" t="e">
        <v>#N/A</v>
      </c>
      <c r="E431" s="1938" t="e">
        <v>#N/A</v>
      </c>
      <c r="F431" s="1365" t="e">
        <v>#N/A</v>
      </c>
      <c r="G431" s="73" t="e">
        <v>#N/A</v>
      </c>
      <c r="H431" s="1946" t="e">
        <f t="shared" si="14"/>
        <v>#N/A</v>
      </c>
      <c r="I431" s="73" t="e">
        <v>#N/A</v>
      </c>
      <c r="J431" s="1950" t="e">
        <v>#N/A</v>
      </c>
      <c r="K431" s="73" t="e">
        <v>#N/A</v>
      </c>
      <c r="L431" s="573" t="e">
        <v>#N/A</v>
      </c>
      <c r="M431" s="1365" t="e">
        <v>#N/A</v>
      </c>
      <c r="N431" s="163" t="e">
        <v>#N/A</v>
      </c>
    </row>
    <row r="432" spans="1:14">
      <c r="A432" s="85">
        <f t="shared" si="12"/>
        <v>2028.03</v>
      </c>
      <c r="B432" s="50" t="e">
        <v>#N/A</v>
      </c>
      <c r="C432" s="1675" t="e">
        <v>#N/A</v>
      </c>
      <c r="D432" s="1365" t="e">
        <v>#N/A</v>
      </c>
      <c r="E432" s="1938" t="e">
        <v>#N/A</v>
      </c>
      <c r="F432" s="1365" t="e">
        <v>#N/A</v>
      </c>
      <c r="G432" s="73" t="e">
        <v>#N/A</v>
      </c>
      <c r="H432" s="1946" t="e">
        <f t="shared" si="14"/>
        <v>#N/A</v>
      </c>
      <c r="I432" s="73" t="e">
        <v>#N/A</v>
      </c>
      <c r="J432" s="1950" t="e">
        <v>#N/A</v>
      </c>
      <c r="K432" s="73" t="e">
        <v>#N/A</v>
      </c>
      <c r="L432" s="573" t="e">
        <v>#N/A</v>
      </c>
      <c r="M432" s="1365" t="e">
        <v>#N/A</v>
      </c>
      <c r="N432" s="163" t="e">
        <v>#N/A</v>
      </c>
    </row>
    <row r="433" spans="1:14">
      <c r="A433" s="85">
        <f t="shared" si="12"/>
        <v>2028.04</v>
      </c>
      <c r="B433" s="50" t="e">
        <v>#N/A</v>
      </c>
      <c r="C433" s="1675" t="e">
        <v>#N/A</v>
      </c>
      <c r="D433" s="1365" t="e">
        <v>#N/A</v>
      </c>
      <c r="E433" s="1938" t="e">
        <v>#N/A</v>
      </c>
      <c r="F433" s="1365" t="e">
        <v>#N/A</v>
      </c>
      <c r="G433" s="73" t="e">
        <v>#N/A</v>
      </c>
      <c r="H433" s="1946" t="e">
        <f t="shared" si="14"/>
        <v>#N/A</v>
      </c>
      <c r="I433" s="73" t="e">
        <v>#N/A</v>
      </c>
      <c r="J433" s="1950" t="e">
        <v>#N/A</v>
      </c>
      <c r="K433" s="73" t="e">
        <v>#N/A</v>
      </c>
      <c r="L433" s="573" t="e">
        <v>#N/A</v>
      </c>
      <c r="M433" s="1365" t="e">
        <v>#N/A</v>
      </c>
      <c r="N433" s="163" t="e">
        <v>#N/A</v>
      </c>
    </row>
    <row r="434" spans="1:14">
      <c r="A434" s="85">
        <f t="shared" si="12"/>
        <v>2028.05</v>
      </c>
      <c r="B434" s="50" t="e">
        <v>#N/A</v>
      </c>
      <c r="C434" s="1675" t="e">
        <v>#N/A</v>
      </c>
      <c r="D434" s="1365" t="e">
        <v>#N/A</v>
      </c>
      <c r="E434" s="1938" t="e">
        <v>#N/A</v>
      </c>
      <c r="F434" s="1365" t="e">
        <v>#N/A</v>
      </c>
      <c r="G434" s="73" t="e">
        <v>#N/A</v>
      </c>
      <c r="H434" s="1946" t="e">
        <f t="shared" si="14"/>
        <v>#N/A</v>
      </c>
      <c r="I434" s="73" t="e">
        <v>#N/A</v>
      </c>
      <c r="J434" s="1950" t="e">
        <v>#N/A</v>
      </c>
      <c r="K434" s="73" t="e">
        <v>#N/A</v>
      </c>
      <c r="L434" s="573" t="e">
        <v>#N/A</v>
      </c>
      <c r="M434" s="1365" t="e">
        <v>#N/A</v>
      </c>
      <c r="N434" s="163" t="e">
        <v>#N/A</v>
      </c>
    </row>
    <row r="435" spans="1:14">
      <c r="A435" s="85">
        <f t="shared" si="12"/>
        <v>2028.06</v>
      </c>
      <c r="B435" s="50" t="e">
        <v>#N/A</v>
      </c>
      <c r="C435" s="1675" t="e">
        <v>#N/A</v>
      </c>
      <c r="D435" s="1365" t="e">
        <v>#N/A</v>
      </c>
      <c r="E435" s="1938" t="e">
        <v>#N/A</v>
      </c>
      <c r="F435" s="1365" t="e">
        <v>#N/A</v>
      </c>
      <c r="G435" s="73" t="e">
        <v>#N/A</v>
      </c>
      <c r="H435" s="1946" t="e">
        <f t="shared" si="14"/>
        <v>#N/A</v>
      </c>
      <c r="I435" s="73" t="e">
        <v>#N/A</v>
      </c>
      <c r="J435" s="1950" t="e">
        <v>#N/A</v>
      </c>
      <c r="K435" s="73" t="e">
        <v>#N/A</v>
      </c>
      <c r="L435" s="573" t="e">
        <v>#N/A</v>
      </c>
      <c r="M435" s="1365" t="e">
        <v>#N/A</v>
      </c>
      <c r="N435" s="163" t="e">
        <v>#N/A</v>
      </c>
    </row>
    <row r="436" spans="1:14">
      <c r="A436" s="85">
        <f t="shared" si="12"/>
        <v>2028.07</v>
      </c>
      <c r="B436" s="50" t="e">
        <v>#N/A</v>
      </c>
      <c r="C436" s="1675" t="e">
        <v>#N/A</v>
      </c>
      <c r="D436" s="1365" t="e">
        <v>#N/A</v>
      </c>
      <c r="E436" s="1938" t="e">
        <v>#N/A</v>
      </c>
      <c r="F436" s="1365" t="e">
        <v>#N/A</v>
      </c>
      <c r="G436" s="73" t="e">
        <v>#N/A</v>
      </c>
      <c r="H436" s="1946" t="e">
        <f t="shared" si="14"/>
        <v>#N/A</v>
      </c>
      <c r="I436" s="73" t="e">
        <v>#N/A</v>
      </c>
      <c r="J436" s="1950" t="e">
        <v>#N/A</v>
      </c>
      <c r="K436" s="73" t="e">
        <v>#N/A</v>
      </c>
      <c r="L436" s="573" t="e">
        <v>#N/A</v>
      </c>
      <c r="M436" s="1365" t="e">
        <v>#N/A</v>
      </c>
      <c r="N436" s="163" t="e">
        <v>#N/A</v>
      </c>
    </row>
    <row r="437" spans="1:14">
      <c r="A437" s="85">
        <f t="shared" si="12"/>
        <v>2028.08</v>
      </c>
      <c r="B437" s="50" t="e">
        <v>#N/A</v>
      </c>
      <c r="C437" s="1675" t="e">
        <v>#N/A</v>
      </c>
      <c r="D437" s="1365" t="e">
        <v>#N/A</v>
      </c>
      <c r="E437" s="1938" t="e">
        <v>#N/A</v>
      </c>
      <c r="F437" s="1365" t="e">
        <v>#N/A</v>
      </c>
      <c r="G437" s="73" t="e">
        <v>#N/A</v>
      </c>
      <c r="H437" s="1946" t="e">
        <f t="shared" si="14"/>
        <v>#N/A</v>
      </c>
      <c r="I437" s="73" t="e">
        <v>#N/A</v>
      </c>
      <c r="J437" s="1950" t="e">
        <v>#N/A</v>
      </c>
      <c r="K437" s="73" t="e">
        <v>#N/A</v>
      </c>
      <c r="L437" s="573" t="e">
        <v>#N/A</v>
      </c>
      <c r="M437" s="1365" t="e">
        <v>#N/A</v>
      </c>
      <c r="N437" s="163" t="e">
        <v>#N/A</v>
      </c>
    </row>
    <row r="438" spans="1:14">
      <c r="A438" s="85">
        <f t="shared" si="12"/>
        <v>2028.09</v>
      </c>
      <c r="B438" s="50" t="e">
        <v>#N/A</v>
      </c>
      <c r="C438" s="1675" t="e">
        <v>#N/A</v>
      </c>
      <c r="D438" s="1365" t="e">
        <v>#N/A</v>
      </c>
      <c r="E438" s="1938" t="e">
        <v>#N/A</v>
      </c>
      <c r="F438" s="1365" t="e">
        <v>#N/A</v>
      </c>
      <c r="G438" s="73" t="e">
        <v>#N/A</v>
      </c>
      <c r="H438" s="1946" t="e">
        <f t="shared" si="14"/>
        <v>#N/A</v>
      </c>
      <c r="I438" s="73" t="e">
        <v>#N/A</v>
      </c>
      <c r="J438" s="1950" t="e">
        <v>#N/A</v>
      </c>
      <c r="K438" s="73" t="e">
        <v>#N/A</v>
      </c>
      <c r="L438" s="573" t="e">
        <v>#N/A</v>
      </c>
      <c r="M438" s="1365" t="e">
        <v>#N/A</v>
      </c>
      <c r="N438" s="163" t="e">
        <v>#N/A</v>
      </c>
    </row>
    <row r="439" spans="1:14">
      <c r="A439" s="85">
        <f t="shared" si="12"/>
        <v>2028.1</v>
      </c>
      <c r="B439" s="50" t="e">
        <v>#N/A</v>
      </c>
      <c r="C439" s="1675" t="e">
        <v>#N/A</v>
      </c>
      <c r="D439" s="1365" t="e">
        <v>#N/A</v>
      </c>
      <c r="E439" s="1938" t="e">
        <v>#N/A</v>
      </c>
      <c r="F439" s="1365" t="e">
        <v>#N/A</v>
      </c>
      <c r="G439" s="73" t="e">
        <v>#N/A</v>
      </c>
      <c r="H439" s="1946" t="e">
        <f t="shared" si="14"/>
        <v>#N/A</v>
      </c>
      <c r="I439" s="73" t="e">
        <v>#N/A</v>
      </c>
      <c r="J439" s="1950" t="e">
        <v>#N/A</v>
      </c>
      <c r="K439" s="73" t="e">
        <v>#N/A</v>
      </c>
      <c r="L439" s="573" t="e">
        <v>#N/A</v>
      </c>
      <c r="M439" s="1365" t="e">
        <v>#N/A</v>
      </c>
      <c r="N439" s="163" t="e">
        <v>#N/A</v>
      </c>
    </row>
    <row r="440" spans="1:14">
      <c r="A440" s="85">
        <f t="shared" si="12"/>
        <v>2028.11</v>
      </c>
      <c r="B440" s="50" t="e">
        <v>#N/A</v>
      </c>
      <c r="C440" s="1675" t="e">
        <v>#N/A</v>
      </c>
      <c r="D440" s="1365" t="e">
        <v>#N/A</v>
      </c>
      <c r="E440" s="1938" t="e">
        <v>#N/A</v>
      </c>
      <c r="F440" s="1365" t="e">
        <v>#N/A</v>
      </c>
      <c r="G440" s="73" t="e">
        <v>#N/A</v>
      </c>
      <c r="H440" s="1946" t="e">
        <f t="shared" si="14"/>
        <v>#N/A</v>
      </c>
      <c r="I440" s="73" t="e">
        <v>#N/A</v>
      </c>
      <c r="J440" s="1950" t="e">
        <v>#N/A</v>
      </c>
      <c r="K440" s="73" t="e">
        <v>#N/A</v>
      </c>
      <c r="L440" s="573" t="e">
        <v>#N/A</v>
      </c>
      <c r="M440" s="1365" t="e">
        <v>#N/A</v>
      </c>
      <c r="N440" s="163" t="e">
        <v>#N/A</v>
      </c>
    </row>
    <row r="441" spans="1:14">
      <c r="A441" s="85">
        <f t="shared" si="12"/>
        <v>2028.12</v>
      </c>
      <c r="B441" s="50" t="e">
        <v>#N/A</v>
      </c>
      <c r="C441" s="1675" t="e">
        <v>#N/A</v>
      </c>
      <c r="D441" s="1365" t="e">
        <v>#N/A</v>
      </c>
      <c r="E441" s="1938" t="e">
        <v>#N/A</v>
      </c>
      <c r="F441" s="1365" t="e">
        <v>#N/A</v>
      </c>
      <c r="G441" s="73" t="e">
        <v>#N/A</v>
      </c>
      <c r="H441" s="1946" t="e">
        <f t="shared" si="14"/>
        <v>#N/A</v>
      </c>
      <c r="I441" s="73" t="e">
        <v>#N/A</v>
      </c>
      <c r="J441" s="1950" t="e">
        <v>#N/A</v>
      </c>
      <c r="K441" s="73" t="e">
        <v>#N/A</v>
      </c>
      <c r="L441" s="573" t="e">
        <v>#N/A</v>
      </c>
      <c r="M441" s="1365" t="e">
        <v>#N/A</v>
      </c>
      <c r="N441" s="163" t="e">
        <v>#N/A</v>
      </c>
    </row>
    <row r="442" spans="1:14">
      <c r="A442" s="85">
        <f t="shared" si="12"/>
        <v>2029.01</v>
      </c>
      <c r="B442" s="50" t="e">
        <v>#N/A</v>
      </c>
      <c r="C442" s="1675" t="e">
        <v>#N/A</v>
      </c>
      <c r="D442" s="1365" t="e">
        <v>#N/A</v>
      </c>
      <c r="E442" s="1938" t="e">
        <v>#N/A</v>
      </c>
      <c r="F442" s="1365" t="e">
        <v>#N/A</v>
      </c>
      <c r="G442" s="73" t="e">
        <v>#N/A</v>
      </c>
      <c r="H442" s="1946" t="e">
        <f t="shared" si="14"/>
        <v>#N/A</v>
      </c>
      <c r="I442" s="73" t="e">
        <v>#N/A</v>
      </c>
      <c r="J442" s="1950" t="e">
        <v>#N/A</v>
      </c>
      <c r="K442" s="73" t="e">
        <v>#N/A</v>
      </c>
      <c r="L442" s="573" t="e">
        <v>#N/A</v>
      </c>
      <c r="M442" s="1365" t="e">
        <v>#N/A</v>
      </c>
      <c r="N442" s="163" t="e">
        <v>#N/A</v>
      </c>
    </row>
    <row r="443" spans="1:14">
      <c r="A443" s="85">
        <f t="shared" si="12"/>
        <v>2029.02</v>
      </c>
      <c r="B443" s="50" t="e">
        <v>#N/A</v>
      </c>
      <c r="C443" s="1675" t="e">
        <v>#N/A</v>
      </c>
      <c r="D443" s="1365" t="e">
        <v>#N/A</v>
      </c>
      <c r="E443" s="1938" t="e">
        <v>#N/A</v>
      </c>
      <c r="F443" s="1365" t="e">
        <v>#N/A</v>
      </c>
      <c r="G443" s="73" t="e">
        <v>#N/A</v>
      </c>
      <c r="H443" s="1946" t="e">
        <f t="shared" si="14"/>
        <v>#N/A</v>
      </c>
      <c r="I443" s="73" t="e">
        <v>#N/A</v>
      </c>
      <c r="J443" s="1950" t="e">
        <v>#N/A</v>
      </c>
      <c r="K443" s="73" t="e">
        <v>#N/A</v>
      </c>
      <c r="L443" s="573" t="e">
        <v>#N/A</v>
      </c>
      <c r="M443" s="1365" t="e">
        <v>#N/A</v>
      </c>
      <c r="N443" s="163" t="e">
        <v>#N/A</v>
      </c>
    </row>
    <row r="444" spans="1:14">
      <c r="A444" s="85">
        <f t="shared" si="12"/>
        <v>2029.03</v>
      </c>
      <c r="B444" s="50" t="e">
        <v>#N/A</v>
      </c>
      <c r="C444" s="1675" t="e">
        <v>#N/A</v>
      </c>
      <c r="D444" s="1365" t="e">
        <v>#N/A</v>
      </c>
      <c r="E444" s="1938" t="e">
        <v>#N/A</v>
      </c>
      <c r="F444" s="1365" t="e">
        <v>#N/A</v>
      </c>
      <c r="G444" s="73" t="e">
        <v>#N/A</v>
      </c>
      <c r="H444" s="1946" t="e">
        <f t="shared" si="14"/>
        <v>#N/A</v>
      </c>
      <c r="I444" s="73" t="e">
        <v>#N/A</v>
      </c>
      <c r="J444" s="1950" t="e">
        <v>#N/A</v>
      </c>
      <c r="K444" s="73" t="e">
        <v>#N/A</v>
      </c>
      <c r="L444" s="573" t="e">
        <v>#N/A</v>
      </c>
      <c r="M444" s="1365" t="e">
        <v>#N/A</v>
      </c>
      <c r="N444" s="163" t="e">
        <v>#N/A</v>
      </c>
    </row>
    <row r="445" spans="1:14">
      <c r="A445" s="85">
        <f t="shared" si="12"/>
        <v>2029.04</v>
      </c>
      <c r="B445" s="50" t="e">
        <v>#N/A</v>
      </c>
      <c r="C445" s="1675" t="e">
        <v>#N/A</v>
      </c>
      <c r="D445" s="1365" t="e">
        <v>#N/A</v>
      </c>
      <c r="E445" s="1938" t="e">
        <v>#N/A</v>
      </c>
      <c r="F445" s="1365" t="e">
        <v>#N/A</v>
      </c>
      <c r="G445" s="73" t="e">
        <v>#N/A</v>
      </c>
      <c r="H445" s="1946" t="e">
        <f t="shared" si="14"/>
        <v>#N/A</v>
      </c>
      <c r="I445" s="73" t="e">
        <v>#N/A</v>
      </c>
      <c r="J445" s="1950" t="e">
        <v>#N/A</v>
      </c>
      <c r="K445" s="73" t="e">
        <v>#N/A</v>
      </c>
      <c r="L445" s="573" t="e">
        <v>#N/A</v>
      </c>
      <c r="M445" s="1365" t="e">
        <v>#N/A</v>
      </c>
      <c r="N445" s="163" t="e">
        <v>#N/A</v>
      </c>
    </row>
    <row r="446" spans="1:14">
      <c r="A446" s="85">
        <f t="shared" ref="A446:A465" si="15">A434+1</f>
        <v>2029.05</v>
      </c>
      <c r="B446" s="50" t="e">
        <v>#N/A</v>
      </c>
      <c r="C446" s="1675" t="e">
        <v>#N/A</v>
      </c>
      <c r="D446" s="1365" t="e">
        <v>#N/A</v>
      </c>
      <c r="E446" s="1938" t="e">
        <v>#N/A</v>
      </c>
      <c r="F446" s="1365" t="e">
        <v>#N/A</v>
      </c>
      <c r="G446" s="73" t="e">
        <v>#N/A</v>
      </c>
      <c r="H446" s="1946" t="e">
        <f t="shared" si="14"/>
        <v>#N/A</v>
      </c>
      <c r="I446" s="73" t="e">
        <v>#N/A</v>
      </c>
      <c r="J446" s="1950" t="e">
        <v>#N/A</v>
      </c>
      <c r="K446" s="73" t="e">
        <v>#N/A</v>
      </c>
      <c r="L446" s="573" t="e">
        <v>#N/A</v>
      </c>
      <c r="M446" s="1365" t="e">
        <v>#N/A</v>
      </c>
      <c r="N446" s="163" t="e">
        <v>#N/A</v>
      </c>
    </row>
    <row r="447" spans="1:14">
      <c r="A447" s="85">
        <f t="shared" si="15"/>
        <v>2029.06</v>
      </c>
      <c r="B447" s="50" t="e">
        <v>#N/A</v>
      </c>
      <c r="C447" s="1675" t="e">
        <v>#N/A</v>
      </c>
      <c r="D447" s="1365" t="e">
        <v>#N/A</v>
      </c>
      <c r="E447" s="1938" t="e">
        <v>#N/A</v>
      </c>
      <c r="F447" s="1365" t="e">
        <v>#N/A</v>
      </c>
      <c r="G447" s="73" t="e">
        <v>#N/A</v>
      </c>
      <c r="H447" s="1946" t="e">
        <f t="shared" si="14"/>
        <v>#N/A</v>
      </c>
      <c r="I447" s="73" t="e">
        <v>#N/A</v>
      </c>
      <c r="J447" s="1950" t="e">
        <v>#N/A</v>
      </c>
      <c r="K447" s="73" t="e">
        <v>#N/A</v>
      </c>
      <c r="L447" s="573" t="e">
        <v>#N/A</v>
      </c>
      <c r="M447" s="1365" t="e">
        <v>#N/A</v>
      </c>
      <c r="N447" s="163" t="e">
        <v>#N/A</v>
      </c>
    </row>
    <row r="448" spans="1:14">
      <c r="A448" s="85">
        <f t="shared" si="15"/>
        <v>2029.07</v>
      </c>
      <c r="B448" s="50" t="e">
        <v>#N/A</v>
      </c>
      <c r="C448" s="1675" t="e">
        <v>#N/A</v>
      </c>
      <c r="D448" s="1365" t="e">
        <v>#N/A</v>
      </c>
      <c r="E448" s="1938" t="e">
        <v>#N/A</v>
      </c>
      <c r="F448" s="1365" t="e">
        <v>#N/A</v>
      </c>
      <c r="G448" s="73" t="e">
        <v>#N/A</v>
      </c>
      <c r="H448" s="1946" t="e">
        <f t="shared" si="14"/>
        <v>#N/A</v>
      </c>
      <c r="I448" s="73" t="e">
        <v>#N/A</v>
      </c>
      <c r="J448" s="1950" t="e">
        <v>#N/A</v>
      </c>
      <c r="K448" s="73" t="e">
        <v>#N/A</v>
      </c>
      <c r="L448" s="573" t="e">
        <v>#N/A</v>
      </c>
      <c r="M448" s="1365" t="e">
        <v>#N/A</v>
      </c>
      <c r="N448" s="163" t="e">
        <v>#N/A</v>
      </c>
    </row>
    <row r="449" spans="1:14">
      <c r="A449" s="85">
        <f t="shared" si="15"/>
        <v>2029.08</v>
      </c>
      <c r="B449" s="50" t="e">
        <v>#N/A</v>
      </c>
      <c r="C449" s="1675" t="e">
        <v>#N/A</v>
      </c>
      <c r="D449" s="1365" t="e">
        <v>#N/A</v>
      </c>
      <c r="E449" s="1938" t="e">
        <v>#N/A</v>
      </c>
      <c r="F449" s="1365" t="e">
        <v>#N/A</v>
      </c>
      <c r="G449" s="73" t="e">
        <v>#N/A</v>
      </c>
      <c r="H449" s="1946" t="e">
        <f t="shared" si="14"/>
        <v>#N/A</v>
      </c>
      <c r="I449" s="73" t="e">
        <v>#N/A</v>
      </c>
      <c r="J449" s="1950" t="e">
        <v>#N/A</v>
      </c>
      <c r="K449" s="73" t="e">
        <v>#N/A</v>
      </c>
      <c r="L449" s="573" t="e">
        <v>#N/A</v>
      </c>
      <c r="M449" s="1365" t="e">
        <v>#N/A</v>
      </c>
      <c r="N449" s="163" t="e">
        <v>#N/A</v>
      </c>
    </row>
    <row r="450" spans="1:14">
      <c r="A450" s="85">
        <f t="shared" si="15"/>
        <v>2029.09</v>
      </c>
      <c r="B450" s="50" t="e">
        <v>#N/A</v>
      </c>
      <c r="C450" s="1675" t="e">
        <v>#N/A</v>
      </c>
      <c r="D450" s="1365" t="e">
        <v>#N/A</v>
      </c>
      <c r="E450" s="1938" t="e">
        <v>#N/A</v>
      </c>
      <c r="F450" s="1365" t="e">
        <v>#N/A</v>
      </c>
      <c r="G450" s="73" t="e">
        <v>#N/A</v>
      </c>
      <c r="H450" s="1946" t="e">
        <f t="shared" si="14"/>
        <v>#N/A</v>
      </c>
      <c r="I450" s="73" t="e">
        <v>#N/A</v>
      </c>
      <c r="J450" s="1950" t="e">
        <v>#N/A</v>
      </c>
      <c r="K450" s="73" t="e">
        <v>#N/A</v>
      </c>
      <c r="L450" s="573" t="e">
        <v>#N/A</v>
      </c>
      <c r="M450" s="1365" t="e">
        <v>#N/A</v>
      </c>
      <c r="N450" s="163" t="e">
        <v>#N/A</v>
      </c>
    </row>
    <row r="451" spans="1:14">
      <c r="A451" s="85">
        <f t="shared" si="15"/>
        <v>2029.1</v>
      </c>
      <c r="B451" s="50" t="e">
        <v>#N/A</v>
      </c>
      <c r="C451" s="1675" t="e">
        <v>#N/A</v>
      </c>
      <c r="D451" s="1365" t="e">
        <v>#N/A</v>
      </c>
      <c r="E451" s="1938" t="e">
        <v>#N/A</v>
      </c>
      <c r="F451" s="1365" t="e">
        <v>#N/A</v>
      </c>
      <c r="G451" s="73" t="e">
        <v>#N/A</v>
      </c>
      <c r="H451" s="1946" t="e">
        <f t="shared" si="14"/>
        <v>#N/A</v>
      </c>
      <c r="I451" s="73" t="e">
        <v>#N/A</v>
      </c>
      <c r="J451" s="1950" t="e">
        <v>#N/A</v>
      </c>
      <c r="K451" s="73" t="e">
        <v>#N/A</v>
      </c>
      <c r="L451" s="573" t="e">
        <v>#N/A</v>
      </c>
      <c r="M451" s="1365" t="e">
        <v>#N/A</v>
      </c>
      <c r="N451" s="163" t="e">
        <v>#N/A</v>
      </c>
    </row>
    <row r="452" spans="1:14">
      <c r="A452" s="85">
        <f t="shared" si="15"/>
        <v>2029.11</v>
      </c>
      <c r="B452" s="50" t="e">
        <v>#N/A</v>
      </c>
      <c r="C452" s="1675" t="e">
        <v>#N/A</v>
      </c>
      <c r="D452" s="1365" t="e">
        <v>#N/A</v>
      </c>
      <c r="E452" s="1938" t="e">
        <v>#N/A</v>
      </c>
      <c r="F452" s="1365" t="e">
        <v>#N/A</v>
      </c>
      <c r="G452" s="73" t="e">
        <v>#N/A</v>
      </c>
      <c r="H452" s="1946" t="e">
        <f t="shared" si="14"/>
        <v>#N/A</v>
      </c>
      <c r="I452" s="73" t="e">
        <v>#N/A</v>
      </c>
      <c r="J452" s="1950" t="e">
        <v>#N/A</v>
      </c>
      <c r="K452" s="73" t="e">
        <v>#N/A</v>
      </c>
      <c r="L452" s="573" t="e">
        <v>#N/A</v>
      </c>
      <c r="M452" s="1365" t="e">
        <v>#N/A</v>
      </c>
      <c r="N452" s="163" t="e">
        <v>#N/A</v>
      </c>
    </row>
    <row r="453" spans="1:14">
      <c r="A453" s="85">
        <f t="shared" si="15"/>
        <v>2029.12</v>
      </c>
      <c r="B453" s="50" t="e">
        <v>#N/A</v>
      </c>
      <c r="C453" s="1675" t="e">
        <v>#N/A</v>
      </c>
      <c r="D453" s="1365" t="e">
        <v>#N/A</v>
      </c>
      <c r="E453" s="1938" t="e">
        <v>#N/A</v>
      </c>
      <c r="F453" s="1365" t="e">
        <v>#N/A</v>
      </c>
      <c r="G453" s="73" t="e">
        <v>#N/A</v>
      </c>
      <c r="H453" s="1946" t="e">
        <f t="shared" si="14"/>
        <v>#N/A</v>
      </c>
      <c r="I453" s="73" t="e">
        <v>#N/A</v>
      </c>
      <c r="J453" s="1950" t="e">
        <v>#N/A</v>
      </c>
      <c r="K453" s="73" t="e">
        <v>#N/A</v>
      </c>
      <c r="L453" s="573" t="e">
        <v>#N/A</v>
      </c>
      <c r="M453" s="1365" t="e">
        <v>#N/A</v>
      </c>
      <c r="N453" s="163" t="e">
        <v>#N/A</v>
      </c>
    </row>
    <row r="454" spans="1:14">
      <c r="A454" s="85">
        <f t="shared" si="15"/>
        <v>2030.01</v>
      </c>
      <c r="B454" s="50" t="e">
        <v>#N/A</v>
      </c>
      <c r="C454" s="1675" t="e">
        <v>#N/A</v>
      </c>
      <c r="D454" s="1365" t="e">
        <v>#N/A</v>
      </c>
      <c r="E454" s="1938" t="e">
        <v>#N/A</v>
      </c>
      <c r="F454" s="1365" t="e">
        <v>#N/A</v>
      </c>
      <c r="G454" s="73" t="e">
        <v>#N/A</v>
      </c>
      <c r="H454" s="1946" t="e">
        <f t="shared" si="14"/>
        <v>#N/A</v>
      </c>
      <c r="I454" s="73" t="e">
        <v>#N/A</v>
      </c>
      <c r="J454" s="1950" t="e">
        <v>#N/A</v>
      </c>
      <c r="K454" s="73" t="e">
        <v>#N/A</v>
      </c>
      <c r="L454" s="573" t="e">
        <v>#N/A</v>
      </c>
      <c r="M454" s="1365" t="e">
        <v>#N/A</v>
      </c>
      <c r="N454" s="163" t="e">
        <v>#N/A</v>
      </c>
    </row>
    <row r="455" spans="1:14">
      <c r="A455" s="85">
        <f t="shared" si="15"/>
        <v>2030.02</v>
      </c>
      <c r="B455" s="50" t="e">
        <v>#N/A</v>
      </c>
      <c r="C455" s="1675" t="e">
        <v>#N/A</v>
      </c>
      <c r="D455" s="1365" t="e">
        <v>#N/A</v>
      </c>
      <c r="E455" s="1938" t="e">
        <v>#N/A</v>
      </c>
      <c r="F455" s="1365" t="e">
        <v>#N/A</v>
      </c>
      <c r="G455" s="73" t="e">
        <v>#N/A</v>
      </c>
      <c r="H455" s="1946" t="e">
        <f t="shared" si="14"/>
        <v>#N/A</v>
      </c>
      <c r="I455" s="73" t="e">
        <v>#N/A</v>
      </c>
      <c r="J455" s="1950" t="e">
        <v>#N/A</v>
      </c>
      <c r="K455" s="73" t="e">
        <v>#N/A</v>
      </c>
      <c r="L455" s="573" t="e">
        <v>#N/A</v>
      </c>
      <c r="M455" s="1365" t="e">
        <v>#N/A</v>
      </c>
      <c r="N455" s="163" t="e">
        <v>#N/A</v>
      </c>
    </row>
    <row r="456" spans="1:14">
      <c r="A456" s="85">
        <f t="shared" si="15"/>
        <v>2030.03</v>
      </c>
      <c r="B456" s="50" t="e">
        <v>#N/A</v>
      </c>
      <c r="C456" s="1675" t="e">
        <v>#N/A</v>
      </c>
      <c r="D456" s="1365" t="e">
        <v>#N/A</v>
      </c>
      <c r="E456" s="1938" t="e">
        <v>#N/A</v>
      </c>
      <c r="F456" s="1365" t="e">
        <v>#N/A</v>
      </c>
      <c r="G456" s="73" t="e">
        <v>#N/A</v>
      </c>
      <c r="H456" s="1946" t="e">
        <f t="shared" si="14"/>
        <v>#N/A</v>
      </c>
      <c r="I456" s="73" t="e">
        <v>#N/A</v>
      </c>
      <c r="J456" s="1950" t="e">
        <v>#N/A</v>
      </c>
      <c r="K456" s="73" t="e">
        <v>#N/A</v>
      </c>
      <c r="L456" s="573" t="e">
        <v>#N/A</v>
      </c>
      <c r="M456" s="1365" t="e">
        <v>#N/A</v>
      </c>
      <c r="N456" s="163" t="e">
        <v>#N/A</v>
      </c>
    </row>
    <row r="457" spans="1:14">
      <c r="A457" s="85">
        <f t="shared" si="15"/>
        <v>2030.04</v>
      </c>
      <c r="B457" s="50" t="e">
        <v>#N/A</v>
      </c>
      <c r="C457" s="1675" t="e">
        <v>#N/A</v>
      </c>
      <c r="D457" s="1365" t="e">
        <v>#N/A</v>
      </c>
      <c r="E457" s="1938" t="e">
        <v>#N/A</v>
      </c>
      <c r="F457" s="1365" t="e">
        <v>#N/A</v>
      </c>
      <c r="G457" s="73" t="e">
        <v>#N/A</v>
      </c>
      <c r="H457" s="1946" t="e">
        <f t="shared" si="14"/>
        <v>#N/A</v>
      </c>
      <c r="I457" s="73" t="e">
        <v>#N/A</v>
      </c>
      <c r="J457" s="1950" t="e">
        <v>#N/A</v>
      </c>
      <c r="K457" s="73" t="e">
        <v>#N/A</v>
      </c>
      <c r="L457" s="573" t="e">
        <v>#N/A</v>
      </c>
      <c r="M457" s="1365" t="e">
        <v>#N/A</v>
      </c>
      <c r="N457" s="163" t="e">
        <v>#N/A</v>
      </c>
    </row>
    <row r="458" spans="1:14">
      <c r="A458" s="85">
        <f t="shared" si="15"/>
        <v>2030.05</v>
      </c>
      <c r="B458" s="50" t="e">
        <v>#N/A</v>
      </c>
      <c r="C458" s="1675" t="e">
        <v>#N/A</v>
      </c>
      <c r="D458" s="1365" t="e">
        <v>#N/A</v>
      </c>
      <c r="E458" s="1938" t="e">
        <v>#N/A</v>
      </c>
      <c r="F458" s="1365" t="e">
        <v>#N/A</v>
      </c>
      <c r="G458" s="73" t="e">
        <v>#N/A</v>
      </c>
      <c r="H458" s="1946" t="e">
        <f t="shared" si="14"/>
        <v>#N/A</v>
      </c>
      <c r="I458" s="73" t="e">
        <v>#N/A</v>
      </c>
      <c r="J458" s="1950" t="e">
        <v>#N/A</v>
      </c>
      <c r="K458" s="73" t="e">
        <v>#N/A</v>
      </c>
      <c r="L458" s="573" t="e">
        <v>#N/A</v>
      </c>
      <c r="M458" s="1365" t="e">
        <v>#N/A</v>
      </c>
      <c r="N458" s="163" t="e">
        <v>#N/A</v>
      </c>
    </row>
    <row r="459" spans="1:14">
      <c r="A459" s="85">
        <f t="shared" si="15"/>
        <v>2030.06</v>
      </c>
      <c r="B459" s="50" t="e">
        <v>#N/A</v>
      </c>
      <c r="C459" s="1675" t="e">
        <v>#N/A</v>
      </c>
      <c r="D459" s="1365" t="e">
        <v>#N/A</v>
      </c>
      <c r="E459" s="1938" t="e">
        <v>#N/A</v>
      </c>
      <c r="F459" s="1365" t="e">
        <v>#N/A</v>
      </c>
      <c r="G459" s="73" t="e">
        <v>#N/A</v>
      </c>
      <c r="H459" s="1946" t="e">
        <f t="shared" si="14"/>
        <v>#N/A</v>
      </c>
      <c r="I459" s="73" t="e">
        <v>#N/A</v>
      </c>
      <c r="J459" s="1950" t="e">
        <v>#N/A</v>
      </c>
      <c r="K459" s="73" t="e">
        <v>#N/A</v>
      </c>
      <c r="L459" s="573" t="e">
        <v>#N/A</v>
      </c>
      <c r="M459" s="1365" t="e">
        <v>#N/A</v>
      </c>
      <c r="N459" s="163" t="e">
        <v>#N/A</v>
      </c>
    </row>
    <row r="460" spans="1:14">
      <c r="A460" s="85">
        <f t="shared" si="15"/>
        <v>2030.07</v>
      </c>
      <c r="B460" s="50" t="e">
        <v>#N/A</v>
      </c>
      <c r="C460" s="1675" t="e">
        <v>#N/A</v>
      </c>
      <c r="D460" s="1365" t="e">
        <v>#N/A</v>
      </c>
      <c r="E460" s="1938" t="e">
        <v>#N/A</v>
      </c>
      <c r="F460" s="1365" t="e">
        <v>#N/A</v>
      </c>
      <c r="G460" s="73" t="e">
        <v>#N/A</v>
      </c>
      <c r="H460" s="1946" t="e">
        <f t="shared" si="14"/>
        <v>#N/A</v>
      </c>
      <c r="I460" s="73" t="e">
        <v>#N/A</v>
      </c>
      <c r="J460" s="1950" t="e">
        <v>#N/A</v>
      </c>
      <c r="K460" s="73" t="e">
        <v>#N/A</v>
      </c>
      <c r="L460" s="573" t="e">
        <v>#N/A</v>
      </c>
      <c r="M460" s="1365" t="e">
        <v>#N/A</v>
      </c>
      <c r="N460" s="163" t="e">
        <v>#N/A</v>
      </c>
    </row>
    <row r="461" spans="1:14">
      <c r="A461" s="85">
        <f t="shared" si="15"/>
        <v>2030.08</v>
      </c>
      <c r="B461" s="50" t="e">
        <v>#N/A</v>
      </c>
      <c r="C461" s="1675" t="e">
        <v>#N/A</v>
      </c>
      <c r="D461" s="1365" t="e">
        <v>#N/A</v>
      </c>
      <c r="E461" s="1938" t="e">
        <v>#N/A</v>
      </c>
      <c r="F461" s="1365" t="e">
        <v>#N/A</v>
      </c>
      <c r="G461" s="73" t="e">
        <v>#N/A</v>
      </c>
      <c r="H461" s="1946" t="e">
        <f t="shared" si="14"/>
        <v>#N/A</v>
      </c>
      <c r="I461" s="73" t="e">
        <v>#N/A</v>
      </c>
      <c r="J461" s="1950" t="e">
        <v>#N/A</v>
      </c>
      <c r="K461" s="73" t="e">
        <v>#N/A</v>
      </c>
      <c r="L461" s="573" t="e">
        <v>#N/A</v>
      </c>
      <c r="M461" s="1365" t="e">
        <v>#N/A</v>
      </c>
      <c r="N461" s="163" t="e">
        <v>#N/A</v>
      </c>
    </row>
    <row r="462" spans="1:14">
      <c r="A462" s="85">
        <f t="shared" si="15"/>
        <v>2030.09</v>
      </c>
      <c r="B462" s="50" t="e">
        <v>#N/A</v>
      </c>
      <c r="C462" s="1675" t="e">
        <v>#N/A</v>
      </c>
      <c r="D462" s="1365" t="e">
        <v>#N/A</v>
      </c>
      <c r="E462" s="1938" t="e">
        <v>#N/A</v>
      </c>
      <c r="F462" s="1365" t="e">
        <v>#N/A</v>
      </c>
      <c r="G462" s="73" t="e">
        <v>#N/A</v>
      </c>
      <c r="H462" s="1946" t="e">
        <f t="shared" si="14"/>
        <v>#N/A</v>
      </c>
      <c r="I462" s="73" t="e">
        <v>#N/A</v>
      </c>
      <c r="J462" s="1950" t="e">
        <v>#N/A</v>
      </c>
      <c r="K462" s="73" t="e">
        <v>#N/A</v>
      </c>
      <c r="L462" s="573" t="e">
        <v>#N/A</v>
      </c>
      <c r="M462" s="1365" t="e">
        <v>#N/A</v>
      </c>
      <c r="N462" s="163" t="e">
        <v>#N/A</v>
      </c>
    </row>
    <row r="463" spans="1:14">
      <c r="A463" s="85">
        <f t="shared" si="15"/>
        <v>2030.1</v>
      </c>
      <c r="B463" s="50" t="e">
        <v>#N/A</v>
      </c>
      <c r="C463" s="1675" t="e">
        <v>#N/A</v>
      </c>
      <c r="D463" s="1365" t="e">
        <v>#N/A</v>
      </c>
      <c r="E463" s="1938" t="e">
        <v>#N/A</v>
      </c>
      <c r="F463" s="1365" t="e">
        <v>#N/A</v>
      </c>
      <c r="G463" s="73" t="e">
        <v>#N/A</v>
      </c>
      <c r="H463" s="1946" t="e">
        <f t="shared" si="14"/>
        <v>#N/A</v>
      </c>
      <c r="I463" s="73" t="e">
        <v>#N/A</v>
      </c>
      <c r="J463" s="1950" t="e">
        <v>#N/A</v>
      </c>
      <c r="K463" s="73" t="e">
        <v>#N/A</v>
      </c>
      <c r="L463" s="573" t="e">
        <v>#N/A</v>
      </c>
      <c r="M463" s="1365" t="e">
        <v>#N/A</v>
      </c>
      <c r="N463" s="163" t="e">
        <v>#N/A</v>
      </c>
    </row>
    <row r="464" spans="1:14">
      <c r="A464" s="85">
        <f t="shared" si="15"/>
        <v>2030.11</v>
      </c>
      <c r="B464" s="50" t="e">
        <v>#N/A</v>
      </c>
      <c r="C464" s="1675" t="e">
        <v>#N/A</v>
      </c>
      <c r="D464" s="1365" t="e">
        <v>#N/A</v>
      </c>
      <c r="E464" s="1938" t="e">
        <v>#N/A</v>
      </c>
      <c r="F464" s="1365" t="e">
        <v>#N/A</v>
      </c>
      <c r="G464" s="73" t="e">
        <v>#N/A</v>
      </c>
      <c r="H464" s="1946" t="e">
        <f t="shared" si="14"/>
        <v>#N/A</v>
      </c>
      <c r="I464" s="73" t="e">
        <v>#N/A</v>
      </c>
      <c r="J464" s="1950" t="e">
        <v>#N/A</v>
      </c>
      <c r="K464" s="73" t="e">
        <v>#N/A</v>
      </c>
      <c r="L464" s="573" t="e">
        <v>#N/A</v>
      </c>
      <c r="M464" s="1365" t="e">
        <v>#N/A</v>
      </c>
      <c r="N464" s="163" t="e">
        <v>#N/A</v>
      </c>
    </row>
    <row r="465" spans="1:14">
      <c r="A465" s="85">
        <f t="shared" si="15"/>
        <v>2030.12</v>
      </c>
      <c r="B465" s="50" t="e">
        <v>#N/A</v>
      </c>
      <c r="C465" s="1675" t="e">
        <v>#N/A</v>
      </c>
      <c r="D465" s="1365" t="e">
        <v>#N/A</v>
      </c>
      <c r="E465" s="1938" t="e">
        <v>#N/A</v>
      </c>
      <c r="F465" s="1365" t="e">
        <v>#N/A</v>
      </c>
      <c r="G465" s="73" t="e">
        <v>#N/A</v>
      </c>
      <c r="H465" s="1946" t="e">
        <f t="shared" si="14"/>
        <v>#N/A</v>
      </c>
      <c r="I465" s="73" t="e">
        <v>#N/A</v>
      </c>
      <c r="J465" s="1950" t="e">
        <v>#N/A</v>
      </c>
      <c r="K465" s="73" t="e">
        <v>#N/A</v>
      </c>
      <c r="L465" s="573" t="e">
        <v>#N/A</v>
      </c>
      <c r="M465" s="1365" t="e">
        <v>#N/A</v>
      </c>
      <c r="N465" s="163" t="e">
        <v>#N/A</v>
      </c>
    </row>
  </sheetData>
  <phoneticPr fontId="0" type="noConversion"/>
  <hyperlinks>
    <hyperlink ref="A5" location="INDICE!A13" display="VOLVER AL INDICE" xr:uid="{00000000-0004-0000-2600-000000000000}"/>
  </hyperlinks>
  <pageMargins left="0.75" right="0.75" top="1" bottom="1" header="0" footer="0"/>
  <pageSetup paperSize="9" orientation="portrait"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AC0D-E7BE-4F07-A733-C898CEDF4276}">
  <dimension ref="A1:T359"/>
  <sheetViews>
    <sheetView zoomScale="115" zoomScaleNormal="115" workbookViewId="0">
      <pane xSplit="1" ySplit="9" topLeftCell="B238" activePane="bottomRight" state="frozen"/>
      <selection pane="topRight" activeCell="C1" sqref="C1"/>
      <selection pane="bottomLeft" activeCell="A10" sqref="A10"/>
      <selection pane="bottomRight" activeCell="A5" sqref="A5"/>
    </sheetView>
  </sheetViews>
  <sheetFormatPr baseColWidth="10" defaultColWidth="11.42578125" defaultRowHeight="12.75"/>
  <cols>
    <col min="1" max="1" width="9.7109375" style="19" bestFit="1" customWidth="1"/>
    <col min="2" max="3" width="15.5703125" style="2580" customWidth="1"/>
    <col min="4" max="4" width="15.5703125" style="289" customWidth="1"/>
    <col min="5" max="20" width="15.5703125" style="1" customWidth="1"/>
    <col min="21" max="16384" width="11.42578125" style="1"/>
  </cols>
  <sheetData>
    <row r="1" spans="1:20" s="8" customFormat="1" ht="3" customHeight="1">
      <c r="A1" s="37"/>
      <c r="B1" s="2581"/>
      <c r="C1" s="2571"/>
      <c r="D1" s="2528"/>
      <c r="E1" s="2535"/>
      <c r="F1" s="173"/>
      <c r="G1" s="173"/>
      <c r="H1" s="173"/>
      <c r="I1" s="173"/>
      <c r="J1" s="173"/>
      <c r="K1" s="173"/>
      <c r="L1" s="173"/>
      <c r="M1" s="173"/>
      <c r="N1" s="173"/>
      <c r="O1" s="173"/>
      <c r="P1" s="173"/>
      <c r="Q1" s="173"/>
      <c r="R1" s="173"/>
      <c r="S1" s="173"/>
      <c r="T1" s="3126"/>
    </row>
    <row r="2" spans="1:20" s="8" customFormat="1" ht="41.25" customHeight="1">
      <c r="A2" s="2294" t="s">
        <v>212</v>
      </c>
      <c r="B2" s="2582" t="s">
        <v>1564</v>
      </c>
      <c r="C2" s="2572"/>
      <c r="D2" s="77"/>
      <c r="E2" s="803" t="s">
        <v>1576</v>
      </c>
      <c r="F2" s="848"/>
      <c r="G2" s="848"/>
      <c r="H2" s="848"/>
      <c r="I2" s="848"/>
      <c r="J2" s="848"/>
      <c r="K2" s="848"/>
      <c r="L2" s="848"/>
      <c r="M2" s="848"/>
      <c r="N2" s="848"/>
      <c r="O2" s="848"/>
      <c r="P2" s="848"/>
      <c r="Q2" s="848"/>
      <c r="R2" s="848"/>
      <c r="S2" s="848"/>
      <c r="T2" s="842"/>
    </row>
    <row r="3" spans="1:20" s="8" customFormat="1">
      <c r="A3" s="121" t="s">
        <v>330</v>
      </c>
      <c r="B3" s="2583" t="s">
        <v>1382</v>
      </c>
      <c r="C3" s="2573"/>
      <c r="D3" s="2529"/>
      <c r="E3" s="139" t="s">
        <v>1382</v>
      </c>
      <c r="F3" s="136"/>
      <c r="G3" s="136"/>
      <c r="H3" s="136"/>
      <c r="I3" s="136"/>
      <c r="J3" s="136"/>
      <c r="K3" s="3093"/>
      <c r="L3" s="3093"/>
      <c r="M3" s="3093"/>
      <c r="N3" s="3093"/>
      <c r="O3" s="3093"/>
      <c r="P3" s="3093"/>
      <c r="Q3" s="3093"/>
      <c r="R3" s="3093"/>
      <c r="S3" s="3093"/>
      <c r="T3" s="3096"/>
    </row>
    <row r="4" spans="1:20" s="8" customFormat="1" ht="42" customHeight="1">
      <c r="A4" s="2296"/>
      <c r="B4" s="2593"/>
      <c r="C4" s="2574"/>
      <c r="D4" s="2548"/>
      <c r="E4" s="3117" t="s">
        <v>1565</v>
      </c>
      <c r="F4" s="3118" t="s">
        <v>1566</v>
      </c>
      <c r="G4" s="3118" t="s">
        <v>1300</v>
      </c>
      <c r="H4" s="3118" t="s">
        <v>95</v>
      </c>
      <c r="I4" s="3118" t="s">
        <v>96</v>
      </c>
      <c r="J4" s="3118" t="s">
        <v>1516</v>
      </c>
      <c r="K4" s="3118" t="s">
        <v>1567</v>
      </c>
      <c r="L4" s="3119" t="s">
        <v>1568</v>
      </c>
      <c r="M4" s="3119" t="s">
        <v>1569</v>
      </c>
      <c r="N4" s="3119" t="s">
        <v>101</v>
      </c>
      <c r="O4" s="3094" t="s">
        <v>1570</v>
      </c>
      <c r="P4" s="3094" t="s">
        <v>1571</v>
      </c>
      <c r="Q4" s="3119" t="s">
        <v>104</v>
      </c>
      <c r="R4" s="3119" t="s">
        <v>105</v>
      </c>
      <c r="S4" s="3094" t="s">
        <v>1572</v>
      </c>
      <c r="T4" s="3120" t="s">
        <v>107</v>
      </c>
    </row>
    <row r="5" spans="1:20" s="8" customFormat="1" ht="22.5">
      <c r="A5" s="2297" t="s">
        <v>213</v>
      </c>
      <c r="B5" s="2584" t="s">
        <v>1573</v>
      </c>
      <c r="C5" s="2575" t="s">
        <v>394</v>
      </c>
      <c r="D5" s="1348" t="s">
        <v>288</v>
      </c>
      <c r="E5" s="2536" t="s">
        <v>1574</v>
      </c>
      <c r="F5" s="2518"/>
      <c r="G5" s="2518"/>
      <c r="H5" s="2518"/>
      <c r="I5" s="2518"/>
      <c r="J5" s="2518"/>
      <c r="K5" s="2518"/>
      <c r="L5" s="2518"/>
      <c r="M5" s="2518"/>
      <c r="N5" s="2518"/>
      <c r="O5" s="2518"/>
      <c r="P5" s="2518"/>
      <c r="Q5" s="2518"/>
      <c r="R5" s="2518"/>
      <c r="S5" s="2518"/>
      <c r="T5" s="2523"/>
    </row>
    <row r="6" spans="1:20" s="8" customFormat="1" ht="3" customHeight="1">
      <c r="A6" s="2299"/>
      <c r="B6" s="2585"/>
      <c r="C6" s="2576"/>
      <c r="D6" s="453"/>
      <c r="E6" s="815"/>
      <c r="F6" s="149"/>
      <c r="G6" s="807"/>
      <c r="H6" s="807"/>
      <c r="I6" s="807"/>
      <c r="J6" s="807"/>
      <c r="K6" s="807"/>
      <c r="L6" s="807"/>
      <c r="M6" s="807"/>
      <c r="N6" s="807"/>
      <c r="O6" s="807"/>
      <c r="P6" s="807"/>
      <c r="Q6" s="807"/>
      <c r="R6" s="807"/>
      <c r="S6" s="807"/>
      <c r="T6" s="809"/>
    </row>
    <row r="7" spans="1:20" s="8" customFormat="1" ht="22.5">
      <c r="A7" s="2300" t="s">
        <v>210</v>
      </c>
      <c r="B7" s="2584" t="s">
        <v>955</v>
      </c>
      <c r="C7" s="1765" t="s">
        <v>793</v>
      </c>
      <c r="D7" s="2530" t="s">
        <v>793</v>
      </c>
      <c r="E7" s="2520" t="s">
        <v>955</v>
      </c>
      <c r="F7" s="2521"/>
      <c r="G7" s="2521"/>
      <c r="H7" s="2521"/>
      <c r="I7" s="2521"/>
      <c r="J7" s="2522"/>
      <c r="K7" s="2521"/>
      <c r="L7" s="2521"/>
      <c r="M7" s="2521"/>
      <c r="N7" s="2521"/>
      <c r="O7" s="2521"/>
      <c r="P7" s="2521"/>
      <c r="Q7" s="2521"/>
      <c r="R7" s="2521"/>
      <c r="S7" s="2521"/>
      <c r="T7" s="2524"/>
    </row>
    <row r="8" spans="1:20" s="8" customFormat="1">
      <c r="A8" s="2301" t="s">
        <v>412</v>
      </c>
      <c r="B8" s="2586" t="s">
        <v>1596</v>
      </c>
      <c r="C8" s="2577" t="s">
        <v>1578</v>
      </c>
      <c r="D8" s="2531" t="s">
        <v>1579</v>
      </c>
      <c r="E8" s="2547" t="s">
        <v>1580</v>
      </c>
      <c r="F8" s="1336" t="s">
        <v>1581</v>
      </c>
      <c r="G8" s="1336" t="s">
        <v>1582</v>
      </c>
      <c r="H8" s="1336" t="s">
        <v>1583</v>
      </c>
      <c r="I8" s="1336" t="s">
        <v>1584</v>
      </c>
      <c r="J8" s="3095" t="s">
        <v>1585</v>
      </c>
      <c r="K8" s="3097" t="s">
        <v>1586</v>
      </c>
      <c r="L8" s="3098" t="s">
        <v>1587</v>
      </c>
      <c r="M8" s="3097" t="s">
        <v>1588</v>
      </c>
      <c r="N8" s="3098" t="s">
        <v>1589</v>
      </c>
      <c r="O8" s="3097" t="s">
        <v>1590</v>
      </c>
      <c r="P8" s="3098" t="s">
        <v>1591</v>
      </c>
      <c r="Q8" s="3097" t="s">
        <v>1592</v>
      </c>
      <c r="R8" s="3098" t="s">
        <v>1593</v>
      </c>
      <c r="S8" s="3097" t="s">
        <v>1594</v>
      </c>
      <c r="T8" s="3099" t="s">
        <v>1595</v>
      </c>
    </row>
    <row r="9" spans="1:20" s="9" customFormat="1" ht="13.5" thickBot="1">
      <c r="A9" s="2302"/>
      <c r="B9" s="2587"/>
      <c r="C9" s="2578"/>
      <c r="D9" s="2532"/>
      <c r="E9" s="2542"/>
      <c r="F9" s="2543"/>
      <c r="G9" s="2543"/>
      <c r="H9" s="2543"/>
      <c r="I9" s="2543"/>
      <c r="J9" s="2543"/>
      <c r="K9" s="2543"/>
      <c r="L9" s="2543"/>
      <c r="M9" s="2543"/>
      <c r="N9" s="2543"/>
      <c r="O9" s="2543"/>
      <c r="P9" s="2543"/>
      <c r="Q9" s="2543"/>
      <c r="R9" s="2543"/>
      <c r="S9" s="2543"/>
      <c r="T9" s="2545"/>
    </row>
    <row r="10" spans="1:20">
      <c r="A10" s="329">
        <v>2004.01</v>
      </c>
      <c r="B10" s="3110">
        <v>78.5256462521006</v>
      </c>
      <c r="C10" s="3091"/>
      <c r="D10" s="3092"/>
      <c r="E10" s="3111">
        <v>41.465990488107593</v>
      </c>
      <c r="F10" s="3112">
        <v>75.456413982113673</v>
      </c>
      <c r="G10" s="3112">
        <v>109.38200034258278</v>
      </c>
      <c r="H10" s="3112">
        <v>81.311449271513126</v>
      </c>
      <c r="I10" s="3112">
        <v>98.533781691552605</v>
      </c>
      <c r="J10" s="3113">
        <v>75.648056517940347</v>
      </c>
      <c r="K10" s="3114">
        <v>89.059489865966981</v>
      </c>
      <c r="L10" s="3115">
        <v>96.158531463122884</v>
      </c>
      <c r="M10" s="3115">
        <v>75.785679235335266</v>
      </c>
      <c r="N10" s="3115">
        <v>104.02399722762856</v>
      </c>
      <c r="O10" s="3115">
        <v>95.679389941957481</v>
      </c>
      <c r="P10" s="3115">
        <v>100.52445858593914</v>
      </c>
      <c r="Q10" s="3115">
        <v>100.0278405813844</v>
      </c>
      <c r="R10" s="3115">
        <v>99.725247168251414</v>
      </c>
      <c r="S10" s="3115">
        <v>95.854078989788633</v>
      </c>
      <c r="T10" s="3116">
        <v>92.768572511222061</v>
      </c>
    </row>
    <row r="11" spans="1:20">
      <c r="A11" s="329">
        <v>2004.02</v>
      </c>
      <c r="B11" s="2591">
        <v>77.966212524664854</v>
      </c>
      <c r="C11" s="3121">
        <f>B11/B10-1</f>
        <v>-7.1242167895024799E-3</v>
      </c>
      <c r="D11" s="3092"/>
      <c r="E11" s="3100">
        <v>46.838570465979181</v>
      </c>
      <c r="F11" s="3101">
        <v>81.563620302318839</v>
      </c>
      <c r="G11" s="3101">
        <v>105.04424591252253</v>
      </c>
      <c r="H11" s="3101">
        <v>79.797070686128606</v>
      </c>
      <c r="I11" s="3101">
        <v>93.337075251163114</v>
      </c>
      <c r="J11" s="3105">
        <v>76.60352655177698</v>
      </c>
      <c r="K11" s="3102">
        <v>83.624295580005324</v>
      </c>
      <c r="L11" s="3103">
        <v>96.819096678122094</v>
      </c>
      <c r="M11" s="3103">
        <v>75.811596934051082</v>
      </c>
      <c r="N11" s="3103">
        <v>92.158246345030108</v>
      </c>
      <c r="O11" s="3103">
        <v>96.529350148290291</v>
      </c>
      <c r="P11" s="3103">
        <v>100.26880058647858</v>
      </c>
      <c r="Q11" s="3103">
        <v>99.836903543118467</v>
      </c>
      <c r="R11" s="3103">
        <v>98.578189110214737</v>
      </c>
      <c r="S11" s="3103">
        <v>96.111856655308429</v>
      </c>
      <c r="T11" s="3104">
        <v>92.908657483464779</v>
      </c>
    </row>
    <row r="12" spans="1:20">
      <c r="A12" s="329">
        <v>2004.03</v>
      </c>
      <c r="B12" s="2591">
        <v>129.90511976796162</v>
      </c>
      <c r="C12" s="3122">
        <f>B12/B11-1</f>
        <v>0.66617199375775416</v>
      </c>
      <c r="D12" s="3092"/>
      <c r="E12" s="3100">
        <v>233.3971610542792</v>
      </c>
      <c r="F12" s="3101">
        <v>151.77889101835734</v>
      </c>
      <c r="G12" s="3101">
        <v>106.35914848877228</v>
      </c>
      <c r="H12" s="3101">
        <v>108.0150811515954</v>
      </c>
      <c r="I12" s="3101">
        <v>124.96339559973981</v>
      </c>
      <c r="J12" s="3105">
        <v>99.249618102949086</v>
      </c>
      <c r="K12" s="3102">
        <v>97.679819475498491</v>
      </c>
      <c r="L12" s="3103">
        <v>95.613961405563515</v>
      </c>
      <c r="M12" s="3103">
        <v>120.42887433721695</v>
      </c>
      <c r="N12" s="3103">
        <v>93.486744312819766</v>
      </c>
      <c r="O12" s="3103">
        <v>102.98263520882796</v>
      </c>
      <c r="P12" s="3103">
        <v>100.43358922543024</v>
      </c>
      <c r="Q12" s="3103">
        <v>99.618699993201119</v>
      </c>
      <c r="R12" s="3103">
        <v>98.271719786060203</v>
      </c>
      <c r="S12" s="3103">
        <v>96.397081968098092</v>
      </c>
      <c r="T12" s="3104">
        <v>87.559537594503965</v>
      </c>
    </row>
    <row r="13" spans="1:20">
      <c r="A13" s="329">
        <v>2004.04</v>
      </c>
      <c r="B13" s="2591">
        <v>145.00259013501943</v>
      </c>
      <c r="C13" s="3122">
        <f t="shared" ref="C13:C76" si="0">B13/B12-1</f>
        <v>0.11621920978961509</v>
      </c>
      <c r="D13" s="3092"/>
      <c r="E13" s="3100">
        <v>327.65217700857636</v>
      </c>
      <c r="F13" s="3101">
        <v>71.856918310381047</v>
      </c>
      <c r="G13" s="3101">
        <v>79.991777280199159</v>
      </c>
      <c r="H13" s="3101">
        <v>96.570089778129329</v>
      </c>
      <c r="I13" s="3101">
        <v>113.21113882904135</v>
      </c>
      <c r="J13" s="3105">
        <v>80.411291928143413</v>
      </c>
      <c r="K13" s="3102">
        <v>100.02977807822944</v>
      </c>
      <c r="L13" s="3103">
        <v>90.313368151612309</v>
      </c>
      <c r="M13" s="3103">
        <v>129.0182932774687</v>
      </c>
      <c r="N13" s="3103">
        <v>86.189408121380524</v>
      </c>
      <c r="O13" s="3103">
        <v>97.987755754714783</v>
      </c>
      <c r="P13" s="3103">
        <v>100.29169169537627</v>
      </c>
      <c r="Q13" s="3103">
        <v>99.444467276199092</v>
      </c>
      <c r="R13" s="3103">
        <v>98.617531594561058</v>
      </c>
      <c r="S13" s="3103">
        <v>96.646675008054217</v>
      </c>
      <c r="T13" s="3104">
        <v>86.200019456611898</v>
      </c>
    </row>
    <row r="14" spans="1:20">
      <c r="A14" s="329">
        <v>2004.05</v>
      </c>
      <c r="B14" s="2591">
        <v>120.33380741757475</v>
      </c>
      <c r="C14" s="3122">
        <f t="shared" si="0"/>
        <v>-0.17012649701273819</v>
      </c>
      <c r="D14" s="3092"/>
      <c r="E14" s="3100">
        <v>203.054887903544</v>
      </c>
      <c r="F14" s="3101">
        <v>81.605524410556043</v>
      </c>
      <c r="G14" s="3101">
        <v>93.621601648806333</v>
      </c>
      <c r="H14" s="3101">
        <v>98.458591696409442</v>
      </c>
      <c r="I14" s="3101">
        <v>99.051753966737849</v>
      </c>
      <c r="J14" s="3105">
        <v>93.417583703350175</v>
      </c>
      <c r="K14" s="3102">
        <v>101.95770825570453</v>
      </c>
      <c r="L14" s="3103">
        <v>91.551296377423753</v>
      </c>
      <c r="M14" s="3103">
        <v>113.33598264817842</v>
      </c>
      <c r="N14" s="3103">
        <v>88.938699082810075</v>
      </c>
      <c r="O14" s="3103">
        <v>97.242968432105883</v>
      </c>
      <c r="P14" s="3103">
        <v>100.18830187621288</v>
      </c>
      <c r="Q14" s="3103">
        <v>99.602064372537171</v>
      </c>
      <c r="R14" s="3103">
        <v>98.947825299721899</v>
      </c>
      <c r="S14" s="3103">
        <v>96.872277104079586</v>
      </c>
      <c r="T14" s="3104">
        <v>89.999334402166838</v>
      </c>
    </row>
    <row r="15" spans="1:20">
      <c r="A15" s="329">
        <v>2004.06</v>
      </c>
      <c r="B15" s="2591">
        <v>93.50075947402685</v>
      </c>
      <c r="C15" s="3122">
        <f t="shared" si="0"/>
        <v>-0.22298843956988379</v>
      </c>
      <c r="D15" s="3092"/>
      <c r="E15" s="3100">
        <v>59.715033610057787</v>
      </c>
      <c r="F15" s="3101">
        <v>118.81607374366136</v>
      </c>
      <c r="G15" s="3101">
        <v>107.53253836040484</v>
      </c>
      <c r="H15" s="3101">
        <v>106.20800233371259</v>
      </c>
      <c r="I15" s="3101">
        <v>93.782994376252688</v>
      </c>
      <c r="J15" s="3105">
        <v>107.48185667200325</v>
      </c>
      <c r="K15" s="3102">
        <v>101.69490035055415</v>
      </c>
      <c r="L15" s="3103">
        <v>92.94825221563724</v>
      </c>
      <c r="M15" s="3103">
        <v>95.167407436459953</v>
      </c>
      <c r="N15" s="3103">
        <v>92.36095223284488</v>
      </c>
      <c r="O15" s="3103">
        <v>99.563986396249803</v>
      </c>
      <c r="P15" s="3103">
        <v>99.90469185308406</v>
      </c>
      <c r="Q15" s="3103">
        <v>99.684406420882794</v>
      </c>
      <c r="R15" s="3103">
        <v>99.332903818087857</v>
      </c>
      <c r="S15" s="3103">
        <v>97.529213818527282</v>
      </c>
      <c r="T15" s="3104">
        <v>94.967972849928614</v>
      </c>
    </row>
    <row r="16" spans="1:20">
      <c r="A16" s="329">
        <v>2004.07</v>
      </c>
      <c r="B16" s="2591">
        <v>88.482152103074981</v>
      </c>
      <c r="C16" s="3122">
        <f t="shared" si="0"/>
        <v>-5.3674509161029449E-2</v>
      </c>
      <c r="D16" s="3092"/>
      <c r="E16" s="3100">
        <v>40.151537078091252</v>
      </c>
      <c r="F16" s="3101">
        <v>127.77578458688967</v>
      </c>
      <c r="G16" s="3101">
        <v>133.37892012271749</v>
      </c>
      <c r="H16" s="3101">
        <v>103.1658974247722</v>
      </c>
      <c r="I16" s="3101">
        <v>98.932570223501983</v>
      </c>
      <c r="J16" s="3105">
        <v>99.170252666438103</v>
      </c>
      <c r="K16" s="3102">
        <v>99.22123246260017</v>
      </c>
      <c r="L16" s="3103">
        <v>98.771003841581816</v>
      </c>
      <c r="M16" s="3103">
        <v>93.349986248951836</v>
      </c>
      <c r="N16" s="3103">
        <v>101.14169852092567</v>
      </c>
      <c r="O16" s="3103">
        <v>101.33877895505169</v>
      </c>
      <c r="P16" s="3103">
        <v>99.979502196940658</v>
      </c>
      <c r="Q16" s="3103">
        <v>99.704467575442166</v>
      </c>
      <c r="R16" s="3103">
        <v>99.915776086352395</v>
      </c>
      <c r="S16" s="3103">
        <v>98.747833292694622</v>
      </c>
      <c r="T16" s="3104">
        <v>98.561832469617912</v>
      </c>
    </row>
    <row r="17" spans="1:20">
      <c r="A17" s="329">
        <v>2004.08</v>
      </c>
      <c r="B17" s="2591">
        <v>92.191684997151668</v>
      </c>
      <c r="C17" s="3122">
        <f t="shared" si="0"/>
        <v>4.1924080799428998E-2</v>
      </c>
      <c r="D17" s="3092"/>
      <c r="E17" s="3100">
        <v>41.088133590005008</v>
      </c>
      <c r="F17" s="3101">
        <v>122.97772684604125</v>
      </c>
      <c r="G17" s="3101">
        <v>100.98849746944751</v>
      </c>
      <c r="H17" s="3101">
        <v>115.07515973412596</v>
      </c>
      <c r="I17" s="3101">
        <v>98.382968417166154</v>
      </c>
      <c r="J17" s="3105">
        <v>101.12751464320668</v>
      </c>
      <c r="K17" s="3102">
        <v>96.355917971428681</v>
      </c>
      <c r="L17" s="3103">
        <v>100.94242839059717</v>
      </c>
      <c r="M17" s="3103">
        <v>97.669688217958551</v>
      </c>
      <c r="N17" s="3103">
        <v>107.5241879487433</v>
      </c>
      <c r="O17" s="3103">
        <v>103.16487100517551</v>
      </c>
      <c r="P17" s="3103">
        <v>100.04159893746642</v>
      </c>
      <c r="Q17" s="3103">
        <v>100.18823011457519</v>
      </c>
      <c r="R17" s="3103">
        <v>100.50719899502342</v>
      </c>
      <c r="S17" s="3103">
        <v>100.6928546345585</v>
      </c>
      <c r="T17" s="3104">
        <v>102.67566159338327</v>
      </c>
    </row>
    <row r="18" spans="1:20">
      <c r="A18" s="329">
        <v>2004.09</v>
      </c>
      <c r="B18" s="2591">
        <v>89.94160187165626</v>
      </c>
      <c r="C18" s="3122">
        <f t="shared" si="0"/>
        <v>-2.4406573386362651E-2</v>
      </c>
      <c r="D18" s="3092"/>
      <c r="E18" s="3100">
        <v>39.432615412796778</v>
      </c>
      <c r="F18" s="3101">
        <v>82.156328143427785</v>
      </c>
      <c r="G18" s="3101">
        <v>118.32769401285633</v>
      </c>
      <c r="H18" s="3101">
        <v>104.53593716110909</v>
      </c>
      <c r="I18" s="3101">
        <v>95.437752801725608</v>
      </c>
      <c r="J18" s="3105">
        <v>118.85941909229041</v>
      </c>
      <c r="K18" s="3102">
        <v>100.50057584747348</v>
      </c>
      <c r="L18" s="3103">
        <v>104.70292477288908</v>
      </c>
      <c r="M18" s="3103">
        <v>94.248965204184998</v>
      </c>
      <c r="N18" s="3103">
        <v>107.3992795422202</v>
      </c>
      <c r="O18" s="3103">
        <v>101.48511645486882</v>
      </c>
      <c r="P18" s="3103">
        <v>99.87791165456656</v>
      </c>
      <c r="Q18" s="3103">
        <v>100.21138343028608</v>
      </c>
      <c r="R18" s="3103">
        <v>101.04304443900384</v>
      </c>
      <c r="S18" s="3103">
        <v>102.78219050710982</v>
      </c>
      <c r="T18" s="3104">
        <v>108.86780184636795</v>
      </c>
    </row>
    <row r="19" spans="1:20">
      <c r="A19" s="329">
        <v>2004.1</v>
      </c>
      <c r="B19" s="2591">
        <v>92.28100034420126</v>
      </c>
      <c r="C19" s="3122">
        <f t="shared" si="0"/>
        <v>2.6010193546288418E-2</v>
      </c>
      <c r="D19" s="3092"/>
      <c r="E19" s="3100">
        <v>38.330402029172639</v>
      </c>
      <c r="F19" s="3101">
        <v>83.562468673846908</v>
      </c>
      <c r="G19" s="3101">
        <v>106.73669835286429</v>
      </c>
      <c r="H19" s="3101">
        <v>111.88034664434916</v>
      </c>
      <c r="I19" s="3101">
        <v>92.097329774599274</v>
      </c>
      <c r="J19" s="3105">
        <v>122.30287080309506</v>
      </c>
      <c r="K19" s="3102">
        <v>102.24562729658903</v>
      </c>
      <c r="L19" s="3103">
        <v>110.8680909607186</v>
      </c>
      <c r="M19" s="3103">
        <v>98.954394278071163</v>
      </c>
      <c r="N19" s="3103">
        <v>107.34440815399442</v>
      </c>
      <c r="O19" s="3103">
        <v>98.805634748791363</v>
      </c>
      <c r="P19" s="3103">
        <v>99.620926113479527</v>
      </c>
      <c r="Q19" s="3103">
        <v>100.48613435409922</v>
      </c>
      <c r="R19" s="3103">
        <v>101.31476388515709</v>
      </c>
      <c r="S19" s="3103">
        <v>105.0855711950023</v>
      </c>
      <c r="T19" s="3104">
        <v>116.01901744461038</v>
      </c>
    </row>
    <row r="20" spans="1:20">
      <c r="A20" s="329">
        <v>2004.11</v>
      </c>
      <c r="B20" s="2591">
        <v>94.842610651599315</v>
      </c>
      <c r="C20" s="3122">
        <f t="shared" si="0"/>
        <v>2.7758805147792609E-2</v>
      </c>
      <c r="D20" s="3092"/>
      <c r="E20" s="3100">
        <v>70.412704745255397</v>
      </c>
      <c r="F20" s="3101">
        <v>94.587880253794481</v>
      </c>
      <c r="G20" s="3101">
        <v>96.538287925003573</v>
      </c>
      <c r="H20" s="3101">
        <v>96.437039416962193</v>
      </c>
      <c r="I20" s="3101">
        <v>94.555337815573807</v>
      </c>
      <c r="J20" s="3105">
        <v>114.75104503199805</v>
      </c>
      <c r="K20" s="3102">
        <v>103.47541299274091</v>
      </c>
      <c r="L20" s="3103">
        <v>111.90238017648626</v>
      </c>
      <c r="M20" s="3103">
        <v>102.40825265487462</v>
      </c>
      <c r="N20" s="3103">
        <v>107.70310089025924</v>
      </c>
      <c r="O20" s="3103">
        <v>100.95843673591327</v>
      </c>
      <c r="P20" s="3103">
        <v>99.481009650514522</v>
      </c>
      <c r="Q20" s="3103">
        <v>100.56365603012365</v>
      </c>
      <c r="R20" s="3103">
        <v>101.70722531933217</v>
      </c>
      <c r="S20" s="3103">
        <v>106.55375849782354</v>
      </c>
      <c r="T20" s="3104">
        <v>117.14930482991628</v>
      </c>
    </row>
    <row r="21" spans="1:20">
      <c r="A21" s="329">
        <v>2004.12</v>
      </c>
      <c r="B21" s="2591">
        <v>97.026814460968424</v>
      </c>
      <c r="C21" s="3122">
        <f t="shared" si="0"/>
        <v>2.3029773161693079E-2</v>
      </c>
      <c r="D21" s="3092"/>
      <c r="E21" s="3100">
        <v>58.46078661413484</v>
      </c>
      <c r="F21" s="3101">
        <v>107.86236972861165</v>
      </c>
      <c r="G21" s="3101">
        <v>42.098590083822984</v>
      </c>
      <c r="H21" s="3101">
        <v>98.545334701192999</v>
      </c>
      <c r="I21" s="3101">
        <v>97.713901252945789</v>
      </c>
      <c r="J21" s="3105">
        <v>110.97696428680841</v>
      </c>
      <c r="K21" s="3102">
        <v>124.15524182320874</v>
      </c>
      <c r="L21" s="3103">
        <v>109.40866556624533</v>
      </c>
      <c r="M21" s="3103">
        <v>103.82087952724839</v>
      </c>
      <c r="N21" s="3103">
        <v>111.72927762134326</v>
      </c>
      <c r="O21" s="3103">
        <v>104.26107621805312</v>
      </c>
      <c r="P21" s="3103">
        <v>99.387517624511077</v>
      </c>
      <c r="Q21" s="3103">
        <v>100.63174630815057</v>
      </c>
      <c r="R21" s="3103">
        <v>102.03857449823388</v>
      </c>
      <c r="S21" s="3103">
        <v>106.72660832895482</v>
      </c>
      <c r="T21" s="3104">
        <v>112.32228751820601</v>
      </c>
    </row>
    <row r="22" spans="1:20">
      <c r="A22" s="329">
        <v>2005.01</v>
      </c>
      <c r="B22" s="2591">
        <v>85.747322904494979</v>
      </c>
      <c r="C22" s="3122">
        <f t="shared" si="0"/>
        <v>-0.11625128186611666</v>
      </c>
      <c r="D22" s="2130">
        <v>9.1999999999999998E-2</v>
      </c>
      <c r="E22" s="3100">
        <v>42.824522436060455</v>
      </c>
      <c r="F22" s="3101">
        <v>126.63523168719576</v>
      </c>
      <c r="G22" s="3101">
        <v>143.38327012700719</v>
      </c>
      <c r="H22" s="3101">
        <v>91.144926915546634</v>
      </c>
      <c r="I22" s="3101">
        <v>121.60912136380351</v>
      </c>
      <c r="J22" s="3105">
        <v>95.167078382565563</v>
      </c>
      <c r="K22" s="3102">
        <v>99.427401997338421</v>
      </c>
      <c r="L22" s="3103">
        <v>112.64994934714375</v>
      </c>
      <c r="M22" s="3103">
        <v>88.147442288509637</v>
      </c>
      <c r="N22" s="3103">
        <v>108.90411305160328</v>
      </c>
      <c r="O22" s="3103">
        <v>97.14045010832541</v>
      </c>
      <c r="P22" s="3103">
        <v>101.67544261763544</v>
      </c>
      <c r="Q22" s="3103">
        <v>102.69852235930898</v>
      </c>
      <c r="R22" s="3103">
        <v>97.875305609899613</v>
      </c>
      <c r="S22" s="3103">
        <v>107.1701116307531</v>
      </c>
      <c r="T22" s="3104">
        <v>102.92639863929243</v>
      </c>
    </row>
    <row r="23" spans="1:20">
      <c r="A23" s="329">
        <v>2005.02</v>
      </c>
      <c r="B23" s="2591">
        <v>84.913486886874992</v>
      </c>
      <c r="C23" s="3122">
        <f t="shared" si="0"/>
        <v>-9.7243387825496352E-3</v>
      </c>
      <c r="D23" s="2663">
        <v>8.900000000000001E-2</v>
      </c>
      <c r="E23" s="3100">
        <v>50.29801764277633</v>
      </c>
      <c r="F23" s="3101">
        <v>134.88746698786446</v>
      </c>
      <c r="G23" s="3101">
        <v>133.36835312796808</v>
      </c>
      <c r="H23" s="3101">
        <v>90.706918718368399</v>
      </c>
      <c r="I23" s="3101">
        <v>107.23329712944216</v>
      </c>
      <c r="J23" s="3105">
        <v>95.530872020739082</v>
      </c>
      <c r="K23" s="3102">
        <v>85.672753721938676</v>
      </c>
      <c r="L23" s="3103">
        <v>114.34043858347727</v>
      </c>
      <c r="M23" s="3103">
        <v>90.795413210596735</v>
      </c>
      <c r="N23" s="3103">
        <v>105.39954739307032</v>
      </c>
      <c r="O23" s="3103">
        <v>101.11607985883229</v>
      </c>
      <c r="P23" s="3103">
        <v>101.47452545618384</v>
      </c>
      <c r="Q23" s="3103">
        <v>102.68889072696993</v>
      </c>
      <c r="R23" s="3103">
        <v>98.188938786678563</v>
      </c>
      <c r="S23" s="3103">
        <v>105.53678422996147</v>
      </c>
      <c r="T23" s="3104">
        <v>99.35501967968483</v>
      </c>
    </row>
    <row r="24" spans="1:20">
      <c r="A24" s="329">
        <v>2005.03</v>
      </c>
      <c r="B24" s="2591">
        <v>136.52733433335828</v>
      </c>
      <c r="C24" s="3122">
        <f t="shared" si="0"/>
        <v>0.60784039542793988</v>
      </c>
      <c r="D24" s="2663">
        <v>5.0999999999999997E-2</v>
      </c>
      <c r="E24" s="3100">
        <v>257.84817741004787</v>
      </c>
      <c r="F24" s="3101">
        <v>134.39551675335147</v>
      </c>
      <c r="G24" s="3101">
        <v>112.54756837843168</v>
      </c>
      <c r="H24" s="3101">
        <v>104.20361051450185</v>
      </c>
      <c r="I24" s="3101">
        <v>115.46412268629136</v>
      </c>
      <c r="J24" s="3105">
        <v>120.68590668417647</v>
      </c>
      <c r="K24" s="3102">
        <v>99.470382707149824</v>
      </c>
      <c r="L24" s="3103">
        <v>114.21766236480545</v>
      </c>
      <c r="M24" s="3103">
        <v>134.70208045559468</v>
      </c>
      <c r="N24" s="3103">
        <v>112.66531156024988</v>
      </c>
      <c r="O24" s="3103">
        <v>105.00211493062127</v>
      </c>
      <c r="P24" s="3103">
        <v>101.70023589958795</v>
      </c>
      <c r="Q24" s="3103">
        <v>102.61995272092838</v>
      </c>
      <c r="R24" s="3103">
        <v>98.392407554756332</v>
      </c>
      <c r="S24" s="3103">
        <v>105.63286766051699</v>
      </c>
      <c r="T24" s="3104">
        <v>97.151778931456306</v>
      </c>
    </row>
    <row r="25" spans="1:20">
      <c r="A25" s="329">
        <v>2005.04</v>
      </c>
      <c r="B25" s="2591">
        <v>161.26520412499883</v>
      </c>
      <c r="C25" s="3122">
        <f t="shared" si="0"/>
        <v>0.18119353104220282</v>
      </c>
      <c r="D25" s="2663">
        <v>0.11199999999999999</v>
      </c>
      <c r="E25" s="3100">
        <v>370.77318208514043</v>
      </c>
      <c r="F25" s="3101">
        <v>101.6532401637772</v>
      </c>
      <c r="G25" s="3101">
        <v>126.30396849248322</v>
      </c>
      <c r="H25" s="3101">
        <v>106.50007831962074</v>
      </c>
      <c r="I25" s="3101">
        <v>115.95167877883618</v>
      </c>
      <c r="J25" s="3105">
        <v>108.22752393892594</v>
      </c>
      <c r="K25" s="3102">
        <v>105.7707902457567</v>
      </c>
      <c r="L25" s="3103">
        <v>110.01709533522299</v>
      </c>
      <c r="M25" s="3103">
        <v>151.85949480045224</v>
      </c>
      <c r="N25" s="3103">
        <v>114.58284215134809</v>
      </c>
      <c r="O25" s="3103">
        <v>102.05350806052765</v>
      </c>
      <c r="P25" s="3103">
        <v>101.60156738739971</v>
      </c>
      <c r="Q25" s="3103">
        <v>102.56738639226631</v>
      </c>
      <c r="R25" s="3103">
        <v>98.376399753221591</v>
      </c>
      <c r="S25" s="3103">
        <v>107.56948640241089</v>
      </c>
      <c r="T25" s="3104">
        <v>104.73278682915974</v>
      </c>
    </row>
    <row r="26" spans="1:20">
      <c r="A26" s="329">
        <v>2005.05</v>
      </c>
      <c r="B26" s="2591">
        <v>130.41380201312938</v>
      </c>
      <c r="C26" s="3122">
        <f t="shared" si="0"/>
        <v>-0.19130848641072074</v>
      </c>
      <c r="D26" s="2663">
        <v>8.4000000000000005E-2</v>
      </c>
      <c r="E26" s="3100">
        <v>227.12327902713815</v>
      </c>
      <c r="F26" s="3101">
        <v>136.10584840978925</v>
      </c>
      <c r="G26" s="3101">
        <v>135.87269043489724</v>
      </c>
      <c r="H26" s="3101">
        <v>99.818798503582613</v>
      </c>
      <c r="I26" s="3101">
        <v>113.04959051887771</v>
      </c>
      <c r="J26" s="3105">
        <v>126.93318193057462</v>
      </c>
      <c r="K26" s="3102">
        <v>107.93439503242497</v>
      </c>
      <c r="L26" s="3103">
        <v>110.40599242574692</v>
      </c>
      <c r="M26" s="3103">
        <v>129.29413092568606</v>
      </c>
      <c r="N26" s="3103">
        <v>119.77344056345815</v>
      </c>
      <c r="O26" s="3103">
        <v>100.55917103906101</v>
      </c>
      <c r="P26" s="3103">
        <v>101.5659333676449</v>
      </c>
      <c r="Q26" s="3103">
        <v>102.8618492395249</v>
      </c>
      <c r="R26" s="3103">
        <v>98.526217456218347</v>
      </c>
      <c r="S26" s="3103">
        <v>109.63740236829221</v>
      </c>
      <c r="T26" s="3104">
        <v>111.9435836379857</v>
      </c>
    </row>
    <row r="27" spans="1:20">
      <c r="A27" s="329">
        <v>2005.06</v>
      </c>
      <c r="B27" s="2591">
        <v>101.08337753405152</v>
      </c>
      <c r="C27" s="3122">
        <f t="shared" si="0"/>
        <v>-0.22490276355968075</v>
      </c>
      <c r="D27" s="2663">
        <v>8.1000000000000003E-2</v>
      </c>
      <c r="E27" s="3100">
        <v>63.380908590629247</v>
      </c>
      <c r="F27" s="3101">
        <v>123.43353220533595</v>
      </c>
      <c r="G27" s="3101">
        <v>129.84153313347105</v>
      </c>
      <c r="H27" s="3101">
        <v>117.30234974548084</v>
      </c>
      <c r="I27" s="3101">
        <v>103.18890338788721</v>
      </c>
      <c r="J27" s="3105">
        <v>139.17590511950883</v>
      </c>
      <c r="K27" s="3102">
        <v>104.14640018578645</v>
      </c>
      <c r="L27" s="3103">
        <v>110.5372059203311</v>
      </c>
      <c r="M27" s="3103">
        <v>109.79762707077359</v>
      </c>
      <c r="N27" s="3103">
        <v>120.37156539815055</v>
      </c>
      <c r="O27" s="3103">
        <v>100.60253344831179</v>
      </c>
      <c r="P27" s="3103">
        <v>101.3364236874128</v>
      </c>
      <c r="Q27" s="3103">
        <v>103.05287161776872</v>
      </c>
      <c r="R27" s="3103">
        <v>98.799306736010877</v>
      </c>
      <c r="S27" s="3103">
        <v>110.78972329869895</v>
      </c>
      <c r="T27" s="3104">
        <v>112.72486338401481</v>
      </c>
    </row>
    <row r="28" spans="1:20">
      <c r="A28" s="329">
        <v>2005.07</v>
      </c>
      <c r="B28" s="2591">
        <v>94.208555929710954</v>
      </c>
      <c r="C28" s="3122">
        <f t="shared" si="0"/>
        <v>-6.8011395860062884E-2</v>
      </c>
      <c r="D28" s="2663">
        <v>6.5000000000000002E-2</v>
      </c>
      <c r="E28" s="3100">
        <v>40.87602803661995</v>
      </c>
      <c r="F28" s="3101">
        <v>127.43120256897207</v>
      </c>
      <c r="G28" s="3101">
        <v>167.31238742308548</v>
      </c>
      <c r="H28" s="3101">
        <v>108.60429765517456</v>
      </c>
      <c r="I28" s="3101">
        <v>109.21761872532404</v>
      </c>
      <c r="J28" s="3105">
        <v>124.06170030898087</v>
      </c>
      <c r="K28" s="3102">
        <v>104.79243434138418</v>
      </c>
      <c r="L28" s="3103">
        <v>114.76327258845315</v>
      </c>
      <c r="M28" s="3103">
        <v>106.29878995699495</v>
      </c>
      <c r="N28" s="3103">
        <v>122.36738327117074</v>
      </c>
      <c r="O28" s="3103">
        <v>105.48128647601288</v>
      </c>
      <c r="P28" s="3103">
        <v>101.47192474535144</v>
      </c>
      <c r="Q28" s="3103">
        <v>103.15567456386543</v>
      </c>
      <c r="R28" s="3103">
        <v>99.314448334708544</v>
      </c>
      <c r="S28" s="3103">
        <v>111.07681672659028</v>
      </c>
      <c r="T28" s="3104">
        <v>104.85550437228429</v>
      </c>
    </row>
    <row r="29" spans="1:20">
      <c r="A29" s="329">
        <v>2005.08</v>
      </c>
      <c r="B29" s="2591">
        <v>101.65068404990224</v>
      </c>
      <c r="C29" s="3122">
        <f t="shared" si="0"/>
        <v>7.8996308209456689E-2</v>
      </c>
      <c r="D29" s="2663">
        <v>0.10300000000000001</v>
      </c>
      <c r="E29" s="3100">
        <v>44.433346611927796</v>
      </c>
      <c r="F29" s="3101">
        <v>88.597018869774033</v>
      </c>
      <c r="G29" s="3101">
        <v>140.60114734245124</v>
      </c>
      <c r="H29" s="3101">
        <v>130.62067866206709</v>
      </c>
      <c r="I29" s="3101">
        <v>101.6915308810829</v>
      </c>
      <c r="J29" s="3105">
        <v>131.68169864361977</v>
      </c>
      <c r="K29" s="3102">
        <v>103.00780367762374</v>
      </c>
      <c r="L29" s="3103">
        <v>116.36091063469325</v>
      </c>
      <c r="M29" s="3103">
        <v>115.88215884394224</v>
      </c>
      <c r="N29" s="3103">
        <v>117.80212611881413</v>
      </c>
      <c r="O29" s="3103">
        <v>108.63721183970827</v>
      </c>
      <c r="P29" s="3103">
        <v>101.59616531900485</v>
      </c>
      <c r="Q29" s="3103">
        <v>103.69832403560702</v>
      </c>
      <c r="R29" s="3103">
        <v>99.864021520690471</v>
      </c>
      <c r="S29" s="3103">
        <v>111.7980287622203</v>
      </c>
      <c r="T29" s="3104">
        <v>100.54602503679277</v>
      </c>
    </row>
    <row r="30" spans="1:20">
      <c r="A30" s="329">
        <v>2005.09</v>
      </c>
      <c r="B30" s="2591">
        <v>97.460812945652762</v>
      </c>
      <c r="C30" s="3122">
        <f t="shared" si="0"/>
        <v>-4.1218326698053365E-2</v>
      </c>
      <c r="D30" s="2663">
        <v>8.4000000000000005E-2</v>
      </c>
      <c r="E30" s="3100">
        <v>41.308849737790041</v>
      </c>
      <c r="F30" s="3101">
        <v>120.72320824977123</v>
      </c>
      <c r="G30" s="3101">
        <v>175.01491352237093</v>
      </c>
      <c r="H30" s="3101">
        <v>114.25499585387419</v>
      </c>
      <c r="I30" s="3101">
        <v>105.40658642367424</v>
      </c>
      <c r="J30" s="3105">
        <v>148.06341016556473</v>
      </c>
      <c r="K30" s="3102">
        <v>107.66982863383549</v>
      </c>
      <c r="L30" s="3103">
        <v>119.65602163236954</v>
      </c>
      <c r="M30" s="3103">
        <v>107.24344820276534</v>
      </c>
      <c r="N30" s="3103">
        <v>116.16569598766384</v>
      </c>
      <c r="O30" s="3103">
        <v>108.89813554379107</v>
      </c>
      <c r="P30" s="3103">
        <v>101.50137611087345</v>
      </c>
      <c r="Q30" s="3103">
        <v>103.74258698257256</v>
      </c>
      <c r="R30" s="3103">
        <v>100.50549726096874</v>
      </c>
      <c r="S30" s="3103">
        <v>113.0356361029729</v>
      </c>
      <c r="T30" s="3104">
        <v>102.54956887891886</v>
      </c>
    </row>
    <row r="31" spans="1:20">
      <c r="A31" s="329">
        <v>2005.1</v>
      </c>
      <c r="B31" s="2591">
        <v>101.80092378306988</v>
      </c>
      <c r="C31" s="3122">
        <f t="shared" si="0"/>
        <v>4.4531855483673111E-2</v>
      </c>
      <c r="D31" s="2663">
        <v>0.10300000000000001</v>
      </c>
      <c r="E31" s="3100">
        <v>40.901000819853287</v>
      </c>
      <c r="F31" s="3101">
        <v>138.92076926100972</v>
      </c>
      <c r="G31" s="3101">
        <v>148.69731305465399</v>
      </c>
      <c r="H31" s="3101">
        <v>129.73607318225976</v>
      </c>
      <c r="I31" s="3101">
        <v>99.865314006463379</v>
      </c>
      <c r="J31" s="3105">
        <v>163.50769334155979</v>
      </c>
      <c r="K31" s="3102">
        <v>105.56074133088001</v>
      </c>
      <c r="L31" s="3103">
        <v>125.47594904069152</v>
      </c>
      <c r="M31" s="3103">
        <v>115.30776573913198</v>
      </c>
      <c r="N31" s="3103">
        <v>114.76747477267047</v>
      </c>
      <c r="O31" s="3103">
        <v>103.88239635229422</v>
      </c>
      <c r="P31" s="3103">
        <v>101.30491884179673</v>
      </c>
      <c r="Q31" s="3103">
        <v>104.02806163382546</v>
      </c>
      <c r="R31" s="3103">
        <v>101.03523848000765</v>
      </c>
      <c r="S31" s="3103">
        <v>114.80878088942379</v>
      </c>
      <c r="T31" s="3104">
        <v>108.72698829357593</v>
      </c>
    </row>
    <row r="32" spans="1:20">
      <c r="A32" s="329">
        <v>2005.11</v>
      </c>
      <c r="B32" s="2591">
        <v>101.48740665582024</v>
      </c>
      <c r="C32" s="3122">
        <f t="shared" si="0"/>
        <v>-3.0797080772834162E-3</v>
      </c>
      <c r="D32" s="2663">
        <v>7.0000000000000007E-2</v>
      </c>
      <c r="E32" s="3100">
        <v>72.566187410004957</v>
      </c>
      <c r="F32" s="3101">
        <v>182.13417498324151</v>
      </c>
      <c r="G32" s="3101">
        <v>138.62678217737988</v>
      </c>
      <c r="H32" s="3101">
        <v>107.89708162776013</v>
      </c>
      <c r="I32" s="3101">
        <v>104.64748486539457</v>
      </c>
      <c r="J32" s="3105">
        <v>149.86087601995172</v>
      </c>
      <c r="K32" s="3102">
        <v>104.47741851922049</v>
      </c>
      <c r="L32" s="3103">
        <v>126.58092202906909</v>
      </c>
      <c r="M32" s="3103">
        <v>114.13480694642705</v>
      </c>
      <c r="N32" s="3103">
        <v>118.17721486150378</v>
      </c>
      <c r="O32" s="3103">
        <v>103.27739053200058</v>
      </c>
      <c r="P32" s="3103">
        <v>101.23095257939855</v>
      </c>
      <c r="Q32" s="3103">
        <v>104.0907801750248</v>
      </c>
      <c r="R32" s="3103">
        <v>101.66428488903006</v>
      </c>
      <c r="S32" s="3103">
        <v>116.0636159127593</v>
      </c>
      <c r="T32" s="3104">
        <v>112.20199272485986</v>
      </c>
    </row>
    <row r="33" spans="1:20">
      <c r="A33" s="329">
        <v>2005.12</v>
      </c>
      <c r="B33" s="2591">
        <v>104.07304587300051</v>
      </c>
      <c r="C33" s="3122">
        <f t="shared" si="0"/>
        <v>2.5477439047675077E-2</v>
      </c>
      <c r="D33" s="2663">
        <v>7.2999999999999995E-2</v>
      </c>
      <c r="E33" s="3100">
        <v>60.788965365854054</v>
      </c>
      <c r="F33" s="3101">
        <v>176.14921819942583</v>
      </c>
      <c r="G33" s="3101">
        <v>135.36911859880348</v>
      </c>
      <c r="H33" s="3101">
        <v>112.30543735659384</v>
      </c>
      <c r="I33" s="3101">
        <v>111.62204408289843</v>
      </c>
      <c r="J33" s="3105">
        <v>182.67953491088576</v>
      </c>
      <c r="K33" s="3102">
        <v>112.21689460460165</v>
      </c>
      <c r="L33" s="3103">
        <v>124.13157065425126</v>
      </c>
      <c r="M33" s="3103">
        <v>117.70620891554023</v>
      </c>
      <c r="N33" s="3103">
        <v>125.71824305546453</v>
      </c>
      <c r="O33" s="3103">
        <v>112.02015198625791</v>
      </c>
      <c r="P33" s="3103">
        <v>101.20615755089221</v>
      </c>
      <c r="Q33" s="3103">
        <v>104.12783710221554</v>
      </c>
      <c r="R33" s="3103">
        <v>102.06882713284398</v>
      </c>
      <c r="S33" s="3103">
        <v>116.70442287065792</v>
      </c>
      <c r="T33" s="3104">
        <v>112.17323134931998</v>
      </c>
    </row>
    <row r="34" spans="1:20">
      <c r="A34" s="329">
        <v>2006.01</v>
      </c>
      <c r="B34" s="2591">
        <v>97.052334236728385</v>
      </c>
      <c r="C34" s="3122">
        <f t="shared" si="0"/>
        <v>-6.7459461548184607E-2</v>
      </c>
      <c r="D34" s="2663">
        <v>0.13200000000000001</v>
      </c>
      <c r="E34" s="3100">
        <v>44.463703078835088</v>
      </c>
      <c r="F34" s="3101">
        <v>124.14289494164457</v>
      </c>
      <c r="G34" s="3101">
        <v>155.30583823546712</v>
      </c>
      <c r="H34" s="3101">
        <v>108.96753907143575</v>
      </c>
      <c r="I34" s="3101">
        <v>113.06776973987496</v>
      </c>
      <c r="J34" s="3105">
        <v>115.96424917131414</v>
      </c>
      <c r="K34" s="3102">
        <v>118.35018909080807</v>
      </c>
      <c r="L34" s="3103">
        <v>127.58118464199359</v>
      </c>
      <c r="M34" s="3103">
        <v>103.84024179410319</v>
      </c>
      <c r="N34" s="3103">
        <v>128.77758027940277</v>
      </c>
      <c r="O34" s="3103">
        <v>100.31632481804758</v>
      </c>
      <c r="P34" s="3103">
        <v>101.25900858068923</v>
      </c>
      <c r="Q34" s="3103">
        <v>105.20784655493874</v>
      </c>
      <c r="R34" s="3103">
        <v>100.16136097856584</v>
      </c>
      <c r="S34" s="3103">
        <v>117.43027482256853</v>
      </c>
      <c r="T34" s="3104">
        <v>109.96751957187905</v>
      </c>
    </row>
    <row r="35" spans="1:20">
      <c r="A35" s="329">
        <v>2006.02</v>
      </c>
      <c r="B35" s="2591">
        <v>94.548974193437047</v>
      </c>
      <c r="C35" s="3122">
        <f t="shared" si="0"/>
        <v>-2.5793918950833161E-2</v>
      </c>
      <c r="D35" s="2663">
        <v>0.113</v>
      </c>
      <c r="E35" s="3100">
        <v>44.584758398144572</v>
      </c>
      <c r="F35" s="3101">
        <v>145.7979677370644</v>
      </c>
      <c r="G35" s="3101">
        <v>153.9004433308489</v>
      </c>
      <c r="H35" s="3101">
        <v>104.09164526982966</v>
      </c>
      <c r="I35" s="3101">
        <v>109.06314338260484</v>
      </c>
      <c r="J35" s="3105">
        <v>129.0672472398351</v>
      </c>
      <c r="K35" s="3102">
        <v>108.4527063235733</v>
      </c>
      <c r="L35" s="3103">
        <v>129.8322148240386</v>
      </c>
      <c r="M35" s="3103">
        <v>100.83107726548147</v>
      </c>
      <c r="N35" s="3103">
        <v>120.2773327019226</v>
      </c>
      <c r="O35" s="3103">
        <v>106.3817925851356</v>
      </c>
      <c r="P35" s="3103">
        <v>101.1317839621498</v>
      </c>
      <c r="Q35" s="3103">
        <v>104.90860394096251</v>
      </c>
      <c r="R35" s="3103">
        <v>100.27337216041516</v>
      </c>
      <c r="S35" s="3103">
        <v>116.79423279649141</v>
      </c>
      <c r="T35" s="3104">
        <v>109.65686774838785</v>
      </c>
    </row>
    <row r="36" spans="1:20">
      <c r="A36" s="329">
        <v>2006.03</v>
      </c>
      <c r="B36" s="2591">
        <v>147.57860895236544</v>
      </c>
      <c r="C36" s="3122">
        <f t="shared" si="0"/>
        <v>0.56086948812829474</v>
      </c>
      <c r="D36" s="2663">
        <v>8.1000000000000003E-2</v>
      </c>
      <c r="E36" s="3100">
        <v>247.73660234731798</v>
      </c>
      <c r="F36" s="3101">
        <v>163.6085818427936</v>
      </c>
      <c r="G36" s="3101">
        <v>142.36249813991958</v>
      </c>
      <c r="H36" s="3101">
        <v>123.43716093118802</v>
      </c>
      <c r="I36" s="3101">
        <v>114.37766527061082</v>
      </c>
      <c r="J36" s="3105">
        <v>151.64862060941081</v>
      </c>
      <c r="K36" s="3102">
        <v>125.67187689230417</v>
      </c>
      <c r="L36" s="3103">
        <v>128.44548038769457</v>
      </c>
      <c r="M36" s="3103">
        <v>145.69568929133609</v>
      </c>
      <c r="N36" s="3103">
        <v>127.67849851771371</v>
      </c>
      <c r="O36" s="3103">
        <v>111.17243527965564</v>
      </c>
      <c r="P36" s="3103">
        <v>101.43276388047394</v>
      </c>
      <c r="Q36" s="3103">
        <v>104.95318349010603</v>
      </c>
      <c r="R36" s="3103">
        <v>100.25383954348882</v>
      </c>
      <c r="S36" s="3103">
        <v>118.88933770065086</v>
      </c>
      <c r="T36" s="3104">
        <v>105.82866853418831</v>
      </c>
    </row>
    <row r="37" spans="1:20">
      <c r="A37" s="329">
        <v>2006.04</v>
      </c>
      <c r="B37" s="2591">
        <v>169.25224588683162</v>
      </c>
      <c r="C37" s="3122">
        <f t="shared" si="0"/>
        <v>0.14686164267520541</v>
      </c>
      <c r="D37" s="2663">
        <v>0.05</v>
      </c>
      <c r="E37" s="3100">
        <v>352.7449881156889</v>
      </c>
      <c r="F37" s="3101">
        <v>55.527035502252012</v>
      </c>
      <c r="G37" s="3101">
        <v>152.53185355329225</v>
      </c>
      <c r="H37" s="3101">
        <v>125.32221550339536</v>
      </c>
      <c r="I37" s="3101">
        <v>109.89225711971712</v>
      </c>
      <c r="J37" s="3105">
        <v>139.15583464544213</v>
      </c>
      <c r="K37" s="3102">
        <v>127.78581945448184</v>
      </c>
      <c r="L37" s="3103">
        <v>124.9427213453435</v>
      </c>
      <c r="M37" s="3103">
        <v>161.80764528641572</v>
      </c>
      <c r="N37" s="3103">
        <v>126.97791706290936</v>
      </c>
      <c r="O37" s="3103">
        <v>104.55750301974044</v>
      </c>
      <c r="P37" s="3103">
        <v>101.41450885709338</v>
      </c>
      <c r="Q37" s="3103">
        <v>105.0766812267984</v>
      </c>
      <c r="R37" s="3103">
        <v>99.905370582073502</v>
      </c>
      <c r="S37" s="3103">
        <v>118.42797840419269</v>
      </c>
      <c r="T37" s="3104">
        <v>107.70163845256776</v>
      </c>
    </row>
    <row r="38" spans="1:20">
      <c r="A38" s="329">
        <v>2006.05</v>
      </c>
      <c r="B38" s="2591">
        <v>147.33412046472566</v>
      </c>
      <c r="C38" s="3122">
        <f t="shared" si="0"/>
        <v>-0.12949976118344231</v>
      </c>
      <c r="D38" s="2663">
        <v>0.13</v>
      </c>
      <c r="E38" s="3100">
        <v>214.79344917196542</v>
      </c>
      <c r="F38" s="3101">
        <v>142.23663000001599</v>
      </c>
      <c r="G38" s="3101">
        <v>160.72533489028797</v>
      </c>
      <c r="H38" s="3101">
        <v>135.90865918576631</v>
      </c>
      <c r="I38" s="3101">
        <v>116.3614157745652</v>
      </c>
      <c r="J38" s="3105">
        <v>166.27192372434905</v>
      </c>
      <c r="K38" s="3102">
        <v>141.53294715860423</v>
      </c>
      <c r="L38" s="3103">
        <v>126.86741308035356</v>
      </c>
      <c r="M38" s="3103">
        <v>146.16042427159317</v>
      </c>
      <c r="N38" s="3103">
        <v>134.43045076254225</v>
      </c>
      <c r="O38" s="3103">
        <v>104.22843787915559</v>
      </c>
      <c r="P38" s="3103">
        <v>101.46064856362851</v>
      </c>
      <c r="Q38" s="3103">
        <v>105.34750008579434</v>
      </c>
      <c r="R38" s="3103">
        <v>100.05018371718879</v>
      </c>
      <c r="S38" s="3103">
        <v>119.23144057498229</v>
      </c>
      <c r="T38" s="3104">
        <v>113.10991381528513</v>
      </c>
    </row>
    <row r="39" spans="1:20">
      <c r="A39" s="329">
        <v>2006.06</v>
      </c>
      <c r="B39" s="2591">
        <v>109.20175314950222</v>
      </c>
      <c r="C39" s="3122">
        <f t="shared" si="0"/>
        <v>-0.25881559000009768</v>
      </c>
      <c r="D39" s="2663">
        <v>0.08</v>
      </c>
      <c r="E39" s="3100">
        <v>57.230402145338758</v>
      </c>
      <c r="F39" s="3101">
        <v>112.40735971747998</v>
      </c>
      <c r="G39" s="3101">
        <v>158.28986822111034</v>
      </c>
      <c r="H39" s="3101">
        <v>121.59308258557913</v>
      </c>
      <c r="I39" s="3101">
        <v>114.19339145223697</v>
      </c>
      <c r="J39" s="3105">
        <v>161.93810800311832</v>
      </c>
      <c r="K39" s="3102">
        <v>134.21219900589477</v>
      </c>
      <c r="L39" s="3103">
        <v>127.96994279944336</v>
      </c>
      <c r="M39" s="3103">
        <v>116.28248594999178</v>
      </c>
      <c r="N39" s="3103">
        <v>139.25823727931987</v>
      </c>
      <c r="O39" s="3103">
        <v>107.78420707354496</v>
      </c>
      <c r="P39" s="3103">
        <v>101.31892071794779</v>
      </c>
      <c r="Q39" s="3103">
        <v>105.63225010078182</v>
      </c>
      <c r="R39" s="3103">
        <v>100.14577702469133</v>
      </c>
      <c r="S39" s="3103">
        <v>120.9352217324093</v>
      </c>
      <c r="T39" s="3104">
        <v>119.1487712543899</v>
      </c>
    </row>
    <row r="40" spans="1:20">
      <c r="A40" s="329">
        <v>2006.07</v>
      </c>
      <c r="B40" s="2591">
        <v>105.94823734422312</v>
      </c>
      <c r="C40" s="3122">
        <f t="shared" si="0"/>
        <v>-2.9793622459750257E-2</v>
      </c>
      <c r="D40" s="2663">
        <v>0.125</v>
      </c>
      <c r="E40" s="3100">
        <v>37.919111832034893</v>
      </c>
      <c r="F40" s="3101">
        <v>45.759607974877319</v>
      </c>
      <c r="G40" s="3101">
        <v>190.3882571940803</v>
      </c>
      <c r="H40" s="3101">
        <v>127.12725807455958</v>
      </c>
      <c r="I40" s="3101">
        <v>118.11526872615613</v>
      </c>
      <c r="J40" s="3105">
        <v>150.36525363684592</v>
      </c>
      <c r="K40" s="3102">
        <v>130.14605121619712</v>
      </c>
      <c r="L40" s="3103">
        <v>132.47566823421539</v>
      </c>
      <c r="M40" s="3103">
        <v>118.37519148670063</v>
      </c>
      <c r="N40" s="3103">
        <v>136.86385205965098</v>
      </c>
      <c r="O40" s="3103">
        <v>107.63754488667753</v>
      </c>
      <c r="P40" s="3103">
        <v>101.54666492249513</v>
      </c>
      <c r="Q40" s="3103">
        <v>105.54729632408394</v>
      </c>
      <c r="R40" s="3103">
        <v>100.56613234089814</v>
      </c>
      <c r="S40" s="3103">
        <v>120.36163727810373</v>
      </c>
      <c r="T40" s="3104">
        <v>120.39728180641978</v>
      </c>
    </row>
    <row r="41" spans="1:20">
      <c r="A41" s="329">
        <v>2006.08</v>
      </c>
      <c r="B41" s="2591">
        <v>113.12078880826382</v>
      </c>
      <c r="C41" s="3122">
        <f t="shared" si="0"/>
        <v>6.7698638918713305E-2</v>
      </c>
      <c r="D41" s="2663">
        <v>0.113</v>
      </c>
      <c r="E41" s="3100">
        <v>41.444092389199341</v>
      </c>
      <c r="F41" s="3101">
        <v>69.344515617336469</v>
      </c>
      <c r="G41" s="3101">
        <v>156.42616641520638</v>
      </c>
      <c r="H41" s="3101">
        <v>142.41501987434091</v>
      </c>
      <c r="I41" s="3101">
        <v>118.53152526302996</v>
      </c>
      <c r="J41" s="3105">
        <v>187.89858198265767</v>
      </c>
      <c r="K41" s="3102">
        <v>130.77193369516601</v>
      </c>
      <c r="L41" s="3103">
        <v>132.96522853882144</v>
      </c>
      <c r="M41" s="3103">
        <v>124.7837156498598</v>
      </c>
      <c r="N41" s="3103">
        <v>140.38148820663181</v>
      </c>
      <c r="O41" s="3103">
        <v>112.20863849493378</v>
      </c>
      <c r="P41" s="3103">
        <v>101.76992030504077</v>
      </c>
      <c r="Q41" s="3103">
        <v>106.02339821487219</v>
      </c>
      <c r="R41" s="3103">
        <v>100.79145849885079</v>
      </c>
      <c r="S41" s="3103">
        <v>120.5160749642599</v>
      </c>
      <c r="T41" s="3104">
        <v>119.29022999598162</v>
      </c>
    </row>
    <row r="42" spans="1:20">
      <c r="A42" s="329">
        <v>2006.09</v>
      </c>
      <c r="B42" s="2591">
        <v>110.70266728553301</v>
      </c>
      <c r="C42" s="3122">
        <f t="shared" si="0"/>
        <v>-2.1376455629472768E-2</v>
      </c>
      <c r="D42" s="2663">
        <v>0.13600000000000001</v>
      </c>
      <c r="E42" s="3100">
        <v>39.792218006794783</v>
      </c>
      <c r="F42" s="3101">
        <v>60.256185834254275</v>
      </c>
      <c r="G42" s="3101">
        <v>173.6343286259717</v>
      </c>
      <c r="H42" s="3101">
        <v>137.83467783280804</v>
      </c>
      <c r="I42" s="3101">
        <v>110.7428295564236</v>
      </c>
      <c r="J42" s="3105">
        <v>171.58921855586578</v>
      </c>
      <c r="K42" s="3102">
        <v>131.59603172312828</v>
      </c>
      <c r="L42" s="3103">
        <v>132.75560008840807</v>
      </c>
      <c r="M42" s="3103">
        <v>121.33188105984618</v>
      </c>
      <c r="N42" s="3103">
        <v>139.59515230396704</v>
      </c>
      <c r="O42" s="3103">
        <v>110.52083100542005</v>
      </c>
      <c r="P42" s="3103">
        <v>101.78231834029432</v>
      </c>
      <c r="Q42" s="3103">
        <v>106.13102792948524</v>
      </c>
      <c r="R42" s="3103">
        <v>101.57359828539832</v>
      </c>
      <c r="S42" s="3103">
        <v>121.16249217880927</v>
      </c>
      <c r="T42" s="3104">
        <v>117.95134473256124</v>
      </c>
    </row>
    <row r="43" spans="1:20">
      <c r="A43" s="329">
        <v>2006.1</v>
      </c>
      <c r="B43" s="2591">
        <v>112.54182616137756</v>
      </c>
      <c r="C43" s="3122">
        <f t="shared" si="0"/>
        <v>1.6613501019815846E-2</v>
      </c>
      <c r="D43" s="2663">
        <v>0.106</v>
      </c>
      <c r="E43" s="3100">
        <v>39.993632430670296</v>
      </c>
      <c r="F43" s="3101">
        <v>88.798408874536506</v>
      </c>
      <c r="G43" s="3101">
        <v>159.75362914046667</v>
      </c>
      <c r="H43" s="3101">
        <v>139.16450294881281</v>
      </c>
      <c r="I43" s="3101">
        <v>107.80344112159256</v>
      </c>
      <c r="J43" s="3105">
        <v>164.31008634116242</v>
      </c>
      <c r="K43" s="3102">
        <v>139.6801719772632</v>
      </c>
      <c r="L43" s="3103">
        <v>135.87517726001295</v>
      </c>
      <c r="M43" s="3103">
        <v>126.19146619753973</v>
      </c>
      <c r="N43" s="3103">
        <v>147.97774415970082</v>
      </c>
      <c r="O43" s="3103">
        <v>108.14362692966374</v>
      </c>
      <c r="P43" s="3103">
        <v>101.70431944567596</v>
      </c>
      <c r="Q43" s="3103">
        <v>106.45237155421324</v>
      </c>
      <c r="R43" s="3103">
        <v>102.21253803658857</v>
      </c>
      <c r="S43" s="3103">
        <v>122.38331604637682</v>
      </c>
      <c r="T43" s="3104">
        <v>114.91137311384597</v>
      </c>
    </row>
    <row r="44" spans="1:20">
      <c r="A44" s="329">
        <v>2006.11</v>
      </c>
      <c r="B44" s="2591">
        <v>115.91239028584857</v>
      </c>
      <c r="C44" s="3122">
        <f t="shared" si="0"/>
        <v>2.9949435151672921E-2</v>
      </c>
      <c r="D44" s="2663">
        <v>0.14199999999999999</v>
      </c>
      <c r="E44" s="3100">
        <v>75.814114382859714</v>
      </c>
      <c r="F44" s="3101">
        <v>96.962792810434578</v>
      </c>
      <c r="G44" s="3101">
        <v>146.2028670572719</v>
      </c>
      <c r="H44" s="3101">
        <v>122.71185807510446</v>
      </c>
      <c r="I44" s="3101">
        <v>112.44469067467293</v>
      </c>
      <c r="J44" s="3105">
        <v>184.44076529028527</v>
      </c>
      <c r="K44" s="3102">
        <v>137.9984248146107</v>
      </c>
      <c r="L44" s="3103">
        <v>137.91059672993592</v>
      </c>
      <c r="M44" s="3103">
        <v>131.27885043802621</v>
      </c>
      <c r="N44" s="3103">
        <v>151.09332706930471</v>
      </c>
      <c r="O44" s="3103">
        <v>108.40851177662145</v>
      </c>
      <c r="P44" s="3103">
        <v>101.76072472050453</v>
      </c>
      <c r="Q44" s="3103">
        <v>106.5466025316848</v>
      </c>
      <c r="R44" s="3103">
        <v>103.10989182703076</v>
      </c>
      <c r="S44" s="3103">
        <v>122.22397156827459</v>
      </c>
      <c r="T44" s="3104">
        <v>113.72876837825233</v>
      </c>
    </row>
    <row r="45" spans="1:20">
      <c r="A45" s="329">
        <v>2006.12</v>
      </c>
      <c r="B45" s="2591">
        <v>118.92081069746057</v>
      </c>
      <c r="C45" s="3122">
        <f t="shared" si="0"/>
        <v>2.5954260836076326E-2</v>
      </c>
      <c r="D45" s="2663">
        <v>0.14300000000000002</v>
      </c>
      <c r="E45" s="3100">
        <v>58.047733676161229</v>
      </c>
      <c r="F45" s="3101">
        <v>91.526085435607342</v>
      </c>
      <c r="G45" s="3101">
        <v>118.13012571832569</v>
      </c>
      <c r="H45" s="3101">
        <v>127.45175605833148</v>
      </c>
      <c r="I45" s="3101">
        <v>125.37986968601091</v>
      </c>
      <c r="J45" s="3105">
        <v>247.8408374709999</v>
      </c>
      <c r="K45" s="3102">
        <v>149.47226195194835</v>
      </c>
      <c r="L45" s="3103">
        <v>138.95308205980103</v>
      </c>
      <c r="M45" s="3103">
        <v>131.43768131862115</v>
      </c>
      <c r="N45" s="3103">
        <v>156.64977365694071</v>
      </c>
      <c r="O45" s="3103">
        <v>117.53926131668344</v>
      </c>
      <c r="P45" s="3103">
        <v>101.88111270786038</v>
      </c>
      <c r="Q45" s="3103">
        <v>106.79768775190594</v>
      </c>
      <c r="R45" s="3103">
        <v>103.06621271182533</v>
      </c>
      <c r="S45" s="3103">
        <v>122.67888772040047</v>
      </c>
      <c r="T45" s="3104">
        <v>114.60445197389038</v>
      </c>
    </row>
    <row r="46" spans="1:20">
      <c r="A46" s="329">
        <v>2007.01</v>
      </c>
      <c r="B46" s="2591">
        <v>103.22673394451205</v>
      </c>
      <c r="C46" s="3122">
        <f t="shared" si="0"/>
        <v>-0.13197081873983263</v>
      </c>
      <c r="D46" s="2663">
        <v>6.4000000000000001E-2</v>
      </c>
      <c r="E46" s="3100">
        <v>38.577684892169643</v>
      </c>
      <c r="F46" s="3101">
        <v>54.754926299670046</v>
      </c>
      <c r="G46" s="3101">
        <v>156.61522111254459</v>
      </c>
      <c r="H46" s="3101">
        <v>112.3058859708797</v>
      </c>
      <c r="I46" s="3101">
        <v>136.12137501906136</v>
      </c>
      <c r="J46" s="3105">
        <v>137.88282724127771</v>
      </c>
      <c r="K46" s="3102">
        <v>134.31935711445229</v>
      </c>
      <c r="L46" s="3103">
        <v>133.386505256904</v>
      </c>
      <c r="M46" s="3103">
        <v>110.62047550030024</v>
      </c>
      <c r="N46" s="3103">
        <v>159.7158273377926</v>
      </c>
      <c r="O46" s="3103">
        <v>109.04898603816801</v>
      </c>
      <c r="P46" s="3103">
        <v>104.61773183818242</v>
      </c>
      <c r="Q46" s="3103">
        <v>107.79231127786205</v>
      </c>
      <c r="R46" s="3103">
        <v>107.15854670264322</v>
      </c>
      <c r="S46" s="3103">
        <v>129.26689092147143</v>
      </c>
      <c r="T46" s="3104">
        <v>119.48431332062285</v>
      </c>
    </row>
    <row r="47" spans="1:20">
      <c r="A47" s="329">
        <v>2007.02</v>
      </c>
      <c r="B47" s="2591">
        <v>101.41119978807583</v>
      </c>
      <c r="C47" s="3122">
        <f t="shared" si="0"/>
        <v>-1.7587829112293063E-2</v>
      </c>
      <c r="D47" s="2663">
        <v>7.2999999999999995E-2</v>
      </c>
      <c r="E47" s="3100">
        <v>41.586183462530329</v>
      </c>
      <c r="F47" s="3101">
        <v>26.187749115494483</v>
      </c>
      <c r="G47" s="3101">
        <v>154.32083481308294</v>
      </c>
      <c r="H47" s="3101">
        <v>110.7067161547218</v>
      </c>
      <c r="I47" s="3101">
        <v>108.58629435038392</v>
      </c>
      <c r="J47" s="3105">
        <v>162.95342920331632</v>
      </c>
      <c r="K47" s="3102">
        <v>120.3107784129987</v>
      </c>
      <c r="L47" s="3103">
        <v>133.82818515423898</v>
      </c>
      <c r="M47" s="3103">
        <v>107.96539550196842</v>
      </c>
      <c r="N47" s="3103">
        <v>148.74918108057273</v>
      </c>
      <c r="O47" s="3103">
        <v>113.38484059244372</v>
      </c>
      <c r="P47" s="3103">
        <v>105.02382514982163</v>
      </c>
      <c r="Q47" s="3103">
        <v>107.5696042785833</v>
      </c>
      <c r="R47" s="3103">
        <v>107.15026486959717</v>
      </c>
      <c r="S47" s="3103">
        <v>130.17052852947486</v>
      </c>
      <c r="T47" s="3104">
        <v>121.93552163086521</v>
      </c>
    </row>
    <row r="48" spans="1:20">
      <c r="A48" s="329">
        <v>2007.03</v>
      </c>
      <c r="B48" s="2591">
        <v>159.51249784211237</v>
      </c>
      <c r="C48" s="3122">
        <f t="shared" si="0"/>
        <v>0.57292782429804379</v>
      </c>
      <c r="D48" s="2663">
        <v>8.1000000000000003E-2</v>
      </c>
      <c r="E48" s="3100">
        <v>263.06026743335343</v>
      </c>
      <c r="F48" s="3101">
        <v>42.938228960044434</v>
      </c>
      <c r="G48" s="3101">
        <v>100.41869023141372</v>
      </c>
      <c r="H48" s="3101">
        <v>136.53049814608377</v>
      </c>
      <c r="I48" s="3101">
        <v>120.77807707861197</v>
      </c>
      <c r="J48" s="3105">
        <v>167.08765802077653</v>
      </c>
      <c r="K48" s="3102">
        <v>135.22573154271896</v>
      </c>
      <c r="L48" s="3103">
        <v>137.61055185036602</v>
      </c>
      <c r="M48" s="3103">
        <v>160.47631641785858</v>
      </c>
      <c r="N48" s="3103">
        <v>157.78465432281092</v>
      </c>
      <c r="O48" s="3103">
        <v>119.29346600522383</v>
      </c>
      <c r="P48" s="3103">
        <v>104.90982790797398</v>
      </c>
      <c r="Q48" s="3103">
        <v>107.69715496905656</v>
      </c>
      <c r="R48" s="3103">
        <v>106.85297280828358</v>
      </c>
      <c r="S48" s="3103">
        <v>130.05071199485656</v>
      </c>
      <c r="T48" s="3104">
        <v>117.07363340069557</v>
      </c>
    </row>
    <row r="49" spans="1:20">
      <c r="A49" s="329">
        <v>2007.04</v>
      </c>
      <c r="B49" s="2591">
        <v>177.98952655323086</v>
      </c>
      <c r="C49" s="3122">
        <f t="shared" si="0"/>
        <v>0.11583436383403201</v>
      </c>
      <c r="D49" s="2663">
        <v>5.2000000000000005E-2</v>
      </c>
      <c r="E49" s="3100">
        <v>381.24491692854383</v>
      </c>
      <c r="F49" s="3101">
        <v>49.13382687744047</v>
      </c>
      <c r="G49" s="3101">
        <v>131.55447635417866</v>
      </c>
      <c r="H49" s="3101">
        <v>122.70566481222195</v>
      </c>
      <c r="I49" s="3101">
        <v>113.56196726820265</v>
      </c>
      <c r="J49" s="3105">
        <v>153.52043046547288</v>
      </c>
      <c r="K49" s="3102">
        <v>134.12496973633966</v>
      </c>
      <c r="L49" s="3103">
        <v>136.75163295894043</v>
      </c>
      <c r="M49" s="3103">
        <v>172.32320525497573</v>
      </c>
      <c r="N49" s="3103">
        <v>156.43569669914342</v>
      </c>
      <c r="O49" s="3103">
        <v>105.73000598123762</v>
      </c>
      <c r="P49" s="3103">
        <v>105.62556931253897</v>
      </c>
      <c r="Q49" s="3103">
        <v>107.9021367179806</v>
      </c>
      <c r="R49" s="3103">
        <v>109.17993031549432</v>
      </c>
      <c r="S49" s="3103">
        <v>129.18445172388522</v>
      </c>
      <c r="T49" s="3104">
        <v>115.4597265360689</v>
      </c>
    </row>
    <row r="50" spans="1:20">
      <c r="A50" s="329">
        <v>2007.05</v>
      </c>
      <c r="B50" s="2591">
        <v>155.00982260409862</v>
      </c>
      <c r="C50" s="3122">
        <f t="shared" si="0"/>
        <v>-0.12910705699450109</v>
      </c>
      <c r="D50" s="2663">
        <v>5.2000000000000005E-2</v>
      </c>
      <c r="E50" s="3100">
        <v>231.43234414682436</v>
      </c>
      <c r="F50" s="3101">
        <v>35.176057227766663</v>
      </c>
      <c r="G50" s="3101">
        <v>153.54858358184023</v>
      </c>
      <c r="H50" s="3101">
        <v>133.49214812958166</v>
      </c>
      <c r="I50" s="3101">
        <v>120.98035975257532</v>
      </c>
      <c r="J50" s="3105">
        <v>173.23867026000656</v>
      </c>
      <c r="K50" s="3102">
        <v>155.57901105337106</v>
      </c>
      <c r="L50" s="3103">
        <v>135.54844066513868</v>
      </c>
      <c r="M50" s="3103">
        <v>155.99128030139809</v>
      </c>
      <c r="N50" s="3103">
        <v>164.39856884368416</v>
      </c>
      <c r="O50" s="3103">
        <v>107.83976423701674</v>
      </c>
      <c r="P50" s="3103">
        <v>105.26248682223061</v>
      </c>
      <c r="Q50" s="3103">
        <v>108.04135246352826</v>
      </c>
      <c r="R50" s="3103">
        <v>108.99100721627207</v>
      </c>
      <c r="S50" s="3103">
        <v>129.10521369430637</v>
      </c>
      <c r="T50" s="3104">
        <v>117.49286128219161</v>
      </c>
    </row>
    <row r="51" spans="1:20">
      <c r="A51" s="329">
        <v>2007.06</v>
      </c>
      <c r="B51" s="2591">
        <v>119.78046163129727</v>
      </c>
      <c r="C51" s="3122">
        <f t="shared" si="0"/>
        <v>-0.22727179723815671</v>
      </c>
      <c r="D51" s="2663">
        <v>9.6999999999999989E-2</v>
      </c>
      <c r="E51" s="3100">
        <v>55.939178219187156</v>
      </c>
      <c r="F51" s="3101">
        <v>36.310022773861469</v>
      </c>
      <c r="G51" s="3101">
        <v>162.99171268147865</v>
      </c>
      <c r="H51" s="3101">
        <v>134.12619376414969</v>
      </c>
      <c r="I51" s="3101">
        <v>109.3987512499227</v>
      </c>
      <c r="J51" s="3105">
        <v>189.78078448488594</v>
      </c>
      <c r="K51" s="3102">
        <v>156.23671756051738</v>
      </c>
      <c r="L51" s="3103">
        <v>133.03066451446847</v>
      </c>
      <c r="M51" s="3103">
        <v>129.12763921363279</v>
      </c>
      <c r="N51" s="3103">
        <v>168.25334379999455</v>
      </c>
      <c r="O51" s="3103">
        <v>114.18117155573664</v>
      </c>
      <c r="P51" s="3103">
        <v>105.37186240543267</v>
      </c>
      <c r="Q51" s="3103">
        <v>108.49777954225486</v>
      </c>
      <c r="R51" s="3103">
        <v>109.11590598307657</v>
      </c>
      <c r="S51" s="3103">
        <v>129.07172900343093</v>
      </c>
      <c r="T51" s="3104">
        <v>120.07417388895912</v>
      </c>
    </row>
    <row r="52" spans="1:20">
      <c r="A52" s="329">
        <v>2007.07</v>
      </c>
      <c r="B52" s="2591">
        <v>121.52431551866076</v>
      </c>
      <c r="C52" s="3122">
        <f t="shared" si="0"/>
        <v>1.4558750764639194E-2</v>
      </c>
      <c r="D52" s="2663">
        <v>0.14699999999999999</v>
      </c>
      <c r="E52" s="3100">
        <v>34.087143435161323</v>
      </c>
      <c r="F52" s="3101">
        <v>116.03118686879712</v>
      </c>
      <c r="G52" s="3101">
        <v>195.12766388199034</v>
      </c>
      <c r="H52" s="3101">
        <v>157.02723890206195</v>
      </c>
      <c r="I52" s="3101">
        <v>114.69504949448987</v>
      </c>
      <c r="J52" s="3105">
        <v>170.27987412807229</v>
      </c>
      <c r="K52" s="3102">
        <v>155.97862921475843</v>
      </c>
      <c r="L52" s="3103">
        <v>140.72752249591056</v>
      </c>
      <c r="M52" s="3103">
        <v>135.58240651756165</v>
      </c>
      <c r="N52" s="3103">
        <v>164.76318686689638</v>
      </c>
      <c r="O52" s="3103">
        <v>113.48094261241891</v>
      </c>
      <c r="P52" s="3103">
        <v>105.85866626759994</v>
      </c>
      <c r="Q52" s="3103">
        <v>109.32050724633405</v>
      </c>
      <c r="R52" s="3103">
        <v>109.92959743109465</v>
      </c>
      <c r="S52" s="3103">
        <v>127.40575318755857</v>
      </c>
      <c r="T52" s="3104">
        <v>117.98121214604342</v>
      </c>
    </row>
    <row r="53" spans="1:20">
      <c r="A53" s="329">
        <v>2007.08</v>
      </c>
      <c r="B53" s="2591">
        <v>122.93236997099099</v>
      </c>
      <c r="C53" s="3122">
        <f t="shared" si="0"/>
        <v>1.1586606732329363E-2</v>
      </c>
      <c r="D53" s="2663">
        <v>8.6999999999999994E-2</v>
      </c>
      <c r="E53" s="3100">
        <v>36.324895347790502</v>
      </c>
      <c r="F53" s="3101">
        <v>103.81772547356778</v>
      </c>
      <c r="G53" s="3101">
        <v>165.03358531645571</v>
      </c>
      <c r="H53" s="3101">
        <v>151.73114185628117</v>
      </c>
      <c r="I53" s="3101">
        <v>111.61109233601508</v>
      </c>
      <c r="J53" s="3105">
        <v>195.71085393688023</v>
      </c>
      <c r="K53" s="3102">
        <v>161.01200735455055</v>
      </c>
      <c r="L53" s="3103">
        <v>143.56211382207741</v>
      </c>
      <c r="M53" s="3103">
        <v>138.29713262969179</v>
      </c>
      <c r="N53" s="3103">
        <v>167.9538759693144</v>
      </c>
      <c r="O53" s="3103">
        <v>119.39814636616491</v>
      </c>
      <c r="P53" s="3103">
        <v>105.61505230418544</v>
      </c>
      <c r="Q53" s="3103">
        <v>109.39856111182308</v>
      </c>
      <c r="R53" s="3103">
        <v>110.50451292302905</v>
      </c>
      <c r="S53" s="3103">
        <v>127.69198737121249</v>
      </c>
      <c r="T53" s="3104">
        <v>115.19921509929641</v>
      </c>
    </row>
    <row r="54" spans="1:20">
      <c r="A54" s="329">
        <v>2007.09</v>
      </c>
      <c r="B54" s="2591">
        <v>120.73806712257991</v>
      </c>
      <c r="C54" s="3122">
        <f t="shared" si="0"/>
        <v>-1.784967497924983E-2</v>
      </c>
      <c r="D54" s="2663">
        <v>9.0999999999999998E-2</v>
      </c>
      <c r="E54" s="3100">
        <v>29.632960593378353</v>
      </c>
      <c r="F54" s="3101">
        <v>47.425073769943843</v>
      </c>
      <c r="G54" s="3101">
        <v>145.14143348914385</v>
      </c>
      <c r="H54" s="3101">
        <v>151.52898411018953</v>
      </c>
      <c r="I54" s="3101">
        <v>108.84794094304874</v>
      </c>
      <c r="J54" s="3105">
        <v>194.86773134097638</v>
      </c>
      <c r="K54" s="3102">
        <v>157.03079589573699</v>
      </c>
      <c r="L54" s="3103">
        <v>142.66354869698304</v>
      </c>
      <c r="M54" s="3103">
        <v>138.36090826476811</v>
      </c>
      <c r="N54" s="3103">
        <v>159.38082431059178</v>
      </c>
      <c r="O54" s="3103">
        <v>119.6671874343164</v>
      </c>
      <c r="P54" s="3103">
        <v>108.16630485120639</v>
      </c>
      <c r="Q54" s="3103">
        <v>109.57545154612475</v>
      </c>
      <c r="R54" s="3103">
        <v>113.05886472717616</v>
      </c>
      <c r="S54" s="3103">
        <v>128.72018719291648</v>
      </c>
      <c r="T54" s="3104">
        <v>112.07474569301914</v>
      </c>
    </row>
    <row r="55" spans="1:20">
      <c r="A55" s="329">
        <v>2007.1</v>
      </c>
      <c r="B55" s="2591">
        <v>127.70418428907588</v>
      </c>
      <c r="C55" s="3122">
        <f t="shared" si="0"/>
        <v>5.7696113019795048E-2</v>
      </c>
      <c r="D55" s="2663">
        <v>0.13500000000000001</v>
      </c>
      <c r="E55" s="3100">
        <v>34.584312669579987</v>
      </c>
      <c r="F55" s="3101">
        <v>33.461481500386611</v>
      </c>
      <c r="G55" s="3101">
        <v>177.95800030332165</v>
      </c>
      <c r="H55" s="3101">
        <v>162.39091328384637</v>
      </c>
      <c r="I55" s="3101">
        <v>126.11716971991977</v>
      </c>
      <c r="J55" s="3105">
        <v>179.7112051076187</v>
      </c>
      <c r="K55" s="3102">
        <v>175.53270781885175</v>
      </c>
      <c r="L55" s="3103">
        <v>144.76873086595509</v>
      </c>
      <c r="M55" s="3103">
        <v>145.36990486034708</v>
      </c>
      <c r="N55" s="3103">
        <v>164.843707883658</v>
      </c>
      <c r="O55" s="3103">
        <v>112.22126240771763</v>
      </c>
      <c r="P55" s="3103">
        <v>111.42606608466309</v>
      </c>
      <c r="Q55" s="3103">
        <v>109.73503838574541</v>
      </c>
      <c r="R55" s="3103">
        <v>113.12722421062634</v>
      </c>
      <c r="S55" s="3103">
        <v>129.3482838683158</v>
      </c>
      <c r="T55" s="3104">
        <v>107.25373258728149</v>
      </c>
    </row>
    <row r="56" spans="1:20">
      <c r="A56" s="329">
        <v>2007.11</v>
      </c>
      <c r="B56" s="2591">
        <v>132.7215930744328</v>
      </c>
      <c r="C56" s="3122">
        <f t="shared" si="0"/>
        <v>3.928930608882264E-2</v>
      </c>
      <c r="D56" s="2663">
        <v>0.14499999999999999</v>
      </c>
      <c r="E56" s="3100">
        <v>83.125072452509201</v>
      </c>
      <c r="F56" s="3101">
        <v>48.433460684368065</v>
      </c>
      <c r="G56" s="3101">
        <v>201.39024351233994</v>
      </c>
      <c r="H56" s="3101">
        <v>145.64430677123059</v>
      </c>
      <c r="I56" s="3101">
        <v>126.93037760046916</v>
      </c>
      <c r="J56" s="3105">
        <v>217.88204175144895</v>
      </c>
      <c r="K56" s="3102">
        <v>168.7759055637938</v>
      </c>
      <c r="L56" s="3103">
        <v>146.04024612456436</v>
      </c>
      <c r="M56" s="3103">
        <v>151.49831576829811</v>
      </c>
      <c r="N56" s="3103">
        <v>165.51601691963072</v>
      </c>
      <c r="O56" s="3103">
        <v>108.20930383914035</v>
      </c>
      <c r="P56" s="3103">
        <v>109.71524775687925</v>
      </c>
      <c r="Q56" s="3103">
        <v>109.91739546500369</v>
      </c>
      <c r="R56" s="3103">
        <v>113.6607182807974</v>
      </c>
      <c r="S56" s="3103">
        <v>129.05593143731616</v>
      </c>
      <c r="T56" s="3104">
        <v>106.56656701425736</v>
      </c>
    </row>
    <row r="57" spans="1:20">
      <c r="A57" s="329">
        <v>2007.12</v>
      </c>
      <c r="B57" s="2591">
        <v>131.90925594822787</v>
      </c>
      <c r="C57" s="3122">
        <f t="shared" si="0"/>
        <v>-6.120610123699799E-3</v>
      </c>
      <c r="D57" s="2663">
        <v>0.109</v>
      </c>
      <c r="E57" s="3100">
        <v>62.96268828309708</v>
      </c>
      <c r="F57" s="3101">
        <v>68.080879749225488</v>
      </c>
      <c r="G57" s="3101">
        <v>152.49780068507908</v>
      </c>
      <c r="H57" s="3101">
        <v>142.21557644018924</v>
      </c>
      <c r="I57" s="3101">
        <v>133.5531729107561</v>
      </c>
      <c r="J57" s="3105">
        <v>214.92499196425103</v>
      </c>
      <c r="K57" s="3102">
        <v>181.03503337332529</v>
      </c>
      <c r="L57" s="3103">
        <v>142.58263467728665</v>
      </c>
      <c r="M57" s="3103">
        <v>148.93033714412803</v>
      </c>
      <c r="N57" s="3103">
        <v>172.42143840132417</v>
      </c>
      <c r="O57" s="3103">
        <v>129.16667635951725</v>
      </c>
      <c r="P57" s="3103">
        <v>110.03462694670263</v>
      </c>
      <c r="Q57" s="3103">
        <v>110.20607765991933</v>
      </c>
      <c r="R57" s="3103">
        <v>113.25038516589143</v>
      </c>
      <c r="S57" s="3103">
        <v>130.45073685414863</v>
      </c>
      <c r="T57" s="3104">
        <v>110.42499354317432</v>
      </c>
    </row>
    <row r="58" spans="1:20">
      <c r="A58" s="329">
        <f t="shared" ref="A58:A121" si="1">A46+1</f>
        <v>2008.01</v>
      </c>
      <c r="B58" s="2591">
        <v>118.62606780476337</v>
      </c>
      <c r="C58" s="3122">
        <f t="shared" si="0"/>
        <v>-0.10069943953499305</v>
      </c>
      <c r="D58" s="2663">
        <v>0.14899999999999999</v>
      </c>
      <c r="E58" s="3100">
        <v>50.073136715950447</v>
      </c>
      <c r="F58" s="3101">
        <v>25.220768746927991</v>
      </c>
      <c r="G58" s="3101">
        <v>205.03918992499695</v>
      </c>
      <c r="H58" s="3101">
        <v>126.6112311779936</v>
      </c>
      <c r="I58" s="3101">
        <v>128.23672591266904</v>
      </c>
      <c r="J58" s="3105">
        <v>161.4653767762149</v>
      </c>
      <c r="K58" s="3102">
        <v>167.07086699645942</v>
      </c>
      <c r="L58" s="3103">
        <v>143.81789243061618</v>
      </c>
      <c r="M58" s="3103">
        <v>134.12933747900593</v>
      </c>
      <c r="N58" s="3103">
        <v>178.45591006869486</v>
      </c>
      <c r="O58" s="3103">
        <v>109.71000026974185</v>
      </c>
      <c r="P58" s="3103">
        <v>110.57676000538825</v>
      </c>
      <c r="Q58" s="3103">
        <v>110.44084280478184</v>
      </c>
      <c r="R58" s="3103">
        <v>116.25606721640312</v>
      </c>
      <c r="S58" s="3103">
        <v>142.74139651900794</v>
      </c>
      <c r="T58" s="3104">
        <v>119.53352323097737</v>
      </c>
    </row>
    <row r="59" spans="1:20">
      <c r="A59" s="329">
        <f t="shared" si="1"/>
        <v>2008.02</v>
      </c>
      <c r="B59" s="2591">
        <v>115.93712699539051</v>
      </c>
      <c r="C59" s="3122">
        <f t="shared" si="0"/>
        <v>-2.2667368641084429E-2</v>
      </c>
      <c r="D59" s="2663">
        <v>0.14300000000000002</v>
      </c>
      <c r="E59" s="3100">
        <v>51.963104831227326</v>
      </c>
      <c r="F59" s="3101">
        <v>38.157539539469887</v>
      </c>
      <c r="G59" s="3101">
        <v>192.83064245670627</v>
      </c>
      <c r="H59" s="3101">
        <v>119.56574868570509</v>
      </c>
      <c r="I59" s="3101">
        <v>128.18653449825152</v>
      </c>
      <c r="J59" s="3105">
        <v>176.80200504015528</v>
      </c>
      <c r="K59" s="3102">
        <v>155.3130814235104</v>
      </c>
      <c r="L59" s="3103">
        <v>143.30436603655625</v>
      </c>
      <c r="M59" s="3103">
        <v>132.75641603532341</v>
      </c>
      <c r="N59" s="3103">
        <v>168.97083683520685</v>
      </c>
      <c r="O59" s="3103">
        <v>117.27774997478186</v>
      </c>
      <c r="P59" s="3103">
        <v>110.73400910820409</v>
      </c>
      <c r="Q59" s="3103">
        <v>110.3720988825808</v>
      </c>
      <c r="R59" s="3103">
        <v>116.48954233107015</v>
      </c>
      <c r="S59" s="3103">
        <v>142.87501254423324</v>
      </c>
      <c r="T59" s="3104">
        <v>128.20597990386113</v>
      </c>
    </row>
    <row r="60" spans="1:20">
      <c r="A60" s="329">
        <f t="shared" si="1"/>
        <v>2008.03</v>
      </c>
      <c r="B60" s="2591">
        <v>160.19357541408979</v>
      </c>
      <c r="C60" s="3122">
        <f t="shared" si="0"/>
        <v>0.38172800694344322</v>
      </c>
      <c r="D60" s="2663">
        <v>4.0000000000000001E-3</v>
      </c>
      <c r="E60" s="3100">
        <v>267.09385056447138</v>
      </c>
      <c r="F60" s="3101">
        <v>41.204403261662414</v>
      </c>
      <c r="G60" s="3101">
        <v>157.43893649575841</v>
      </c>
      <c r="H60" s="3101">
        <v>116.19603002972114</v>
      </c>
      <c r="I60" s="3101">
        <v>122.30706468562209</v>
      </c>
      <c r="J60" s="3105">
        <v>175.69842099909167</v>
      </c>
      <c r="K60" s="3102">
        <v>153.67583800773463</v>
      </c>
      <c r="L60" s="3103">
        <v>148.29977986828553</v>
      </c>
      <c r="M60" s="3103">
        <v>173.6523801085477</v>
      </c>
      <c r="N60" s="3103">
        <v>164.26250770229095</v>
      </c>
      <c r="O60" s="3103">
        <v>119.89372641467854</v>
      </c>
      <c r="P60" s="3103">
        <v>111.00947397624077</v>
      </c>
      <c r="Q60" s="3103">
        <v>110.59312799307445</v>
      </c>
      <c r="R60" s="3103">
        <v>117.3339091368677</v>
      </c>
      <c r="S60" s="3103">
        <v>145.62577669594049</v>
      </c>
      <c r="T60" s="3104">
        <v>132.58550391999376</v>
      </c>
    </row>
    <row r="61" spans="1:20">
      <c r="A61" s="329">
        <f t="shared" si="1"/>
        <v>2008.04</v>
      </c>
      <c r="B61" s="2591">
        <v>199.6169830307912</v>
      </c>
      <c r="C61" s="3122">
        <f t="shared" si="0"/>
        <v>0.2460985561674025</v>
      </c>
      <c r="D61" s="2663">
        <v>0.122</v>
      </c>
      <c r="E61" s="3100">
        <v>400.30733439754351</v>
      </c>
      <c r="F61" s="3101">
        <v>37.807681641136725</v>
      </c>
      <c r="G61" s="3101">
        <v>196.51559992902423</v>
      </c>
      <c r="H61" s="3101">
        <v>145.0244774394977</v>
      </c>
      <c r="I61" s="3101">
        <v>122.01332668163974</v>
      </c>
      <c r="J61" s="3105">
        <v>177.68174255552611</v>
      </c>
      <c r="K61" s="3102">
        <v>172.46766227309499</v>
      </c>
      <c r="L61" s="3103">
        <v>146.27900488988888</v>
      </c>
      <c r="M61" s="3103">
        <v>202.43687980841776</v>
      </c>
      <c r="N61" s="3103">
        <v>167.1692626886159</v>
      </c>
      <c r="O61" s="3103">
        <v>115.86116135576222</v>
      </c>
      <c r="P61" s="3103">
        <v>110.95750850018956</v>
      </c>
      <c r="Q61" s="3103">
        <v>110.83022649132374</v>
      </c>
      <c r="R61" s="3103">
        <v>117.40556797576392</v>
      </c>
      <c r="S61" s="3103">
        <v>144.96191300821701</v>
      </c>
      <c r="T61" s="3104">
        <v>138.16572429234802</v>
      </c>
    </row>
    <row r="62" spans="1:20">
      <c r="A62" s="329">
        <f t="shared" si="1"/>
        <v>2008.05</v>
      </c>
      <c r="B62" s="2591">
        <v>165.49627270090198</v>
      </c>
      <c r="C62" s="3122">
        <f t="shared" si="0"/>
        <v>-0.17093089882350365</v>
      </c>
      <c r="D62" s="2663">
        <v>6.8000000000000005E-2</v>
      </c>
      <c r="E62" s="3100">
        <v>237.45831925143196</v>
      </c>
      <c r="F62" s="3101">
        <v>62.492592088086084</v>
      </c>
      <c r="G62" s="3101">
        <v>184.99907770263619</v>
      </c>
      <c r="H62" s="3101">
        <v>145.21650885685688</v>
      </c>
      <c r="I62" s="3101">
        <v>124.93535630718779</v>
      </c>
      <c r="J62" s="3105">
        <v>186.31673339369974</v>
      </c>
      <c r="K62" s="3102">
        <v>168.27642777099499</v>
      </c>
      <c r="L62" s="3103">
        <v>145.90272337973266</v>
      </c>
      <c r="M62" s="3103">
        <v>178.44495026741629</v>
      </c>
      <c r="N62" s="3103">
        <v>167.37671884211773</v>
      </c>
      <c r="O62" s="3103">
        <v>117.20162409466894</v>
      </c>
      <c r="P62" s="3103">
        <v>110.97024109429668</v>
      </c>
      <c r="Q62" s="3103">
        <v>111.33487068894158</v>
      </c>
      <c r="R62" s="3103">
        <v>117.57720959326312</v>
      </c>
      <c r="S62" s="3103">
        <v>144.90488520635824</v>
      </c>
      <c r="T62" s="3104">
        <v>144.27453424226536</v>
      </c>
    </row>
    <row r="63" spans="1:20">
      <c r="A63" s="329">
        <f t="shared" si="1"/>
        <v>2008.06</v>
      </c>
      <c r="B63" s="2591">
        <v>117.66446199953518</v>
      </c>
      <c r="C63" s="3122">
        <f t="shared" si="0"/>
        <v>-0.28902047110035078</v>
      </c>
      <c r="D63" s="2663">
        <v>-1.8000000000000002E-2</v>
      </c>
      <c r="E63" s="3100">
        <v>55.628066244281129</v>
      </c>
      <c r="F63" s="3101">
        <v>73.563158850785044</v>
      </c>
      <c r="G63" s="3101">
        <v>135.34968884273391</v>
      </c>
      <c r="H63" s="3101">
        <v>124.68713970385859</v>
      </c>
      <c r="I63" s="3101">
        <v>117.54095390892529</v>
      </c>
      <c r="J63" s="3105">
        <v>172.41917065747455</v>
      </c>
      <c r="K63" s="3102">
        <v>150.590459518003</v>
      </c>
      <c r="L63" s="3103">
        <v>147.27295397351494</v>
      </c>
      <c r="M63" s="3103">
        <v>142.61208257262666</v>
      </c>
      <c r="N63" s="3103">
        <v>165.45227759707913</v>
      </c>
      <c r="O63" s="3103">
        <v>117.07303978889666</v>
      </c>
      <c r="P63" s="3103">
        <v>110.92570758344195</v>
      </c>
      <c r="Q63" s="3103">
        <v>111.88645797860318</v>
      </c>
      <c r="R63" s="3103">
        <v>117.66998043110596</v>
      </c>
      <c r="S63" s="3103">
        <v>145.74268987819579</v>
      </c>
      <c r="T63" s="3104">
        <v>144.56369732859142</v>
      </c>
    </row>
    <row r="64" spans="1:20">
      <c r="A64" s="329">
        <f t="shared" si="1"/>
        <v>2008.07</v>
      </c>
      <c r="B64" s="2591">
        <v>128.66918343300881</v>
      </c>
      <c r="C64" s="3122">
        <f t="shared" si="0"/>
        <v>9.3526297120341217E-2</v>
      </c>
      <c r="D64" s="2663">
        <v>5.9000000000000004E-2</v>
      </c>
      <c r="E64" s="3100">
        <v>40.861985170806456</v>
      </c>
      <c r="F64" s="3101">
        <v>53.616830064803722</v>
      </c>
      <c r="G64" s="3101">
        <v>244.18573995002797</v>
      </c>
      <c r="H64" s="3101">
        <v>148.82774157843735</v>
      </c>
      <c r="I64" s="3101">
        <v>145.21924973165594</v>
      </c>
      <c r="J64" s="3105">
        <v>187.75174154410749</v>
      </c>
      <c r="K64" s="3102">
        <v>180.63372567340019</v>
      </c>
      <c r="L64" s="3103">
        <v>151.84323788391845</v>
      </c>
      <c r="M64" s="3103">
        <v>152.48229358935956</v>
      </c>
      <c r="N64" s="3103">
        <v>161.66498093120293</v>
      </c>
      <c r="O64" s="3103">
        <v>122.04991359957087</v>
      </c>
      <c r="P64" s="3103">
        <v>111.09149835300293</v>
      </c>
      <c r="Q64" s="3103">
        <v>112.13417926093432</v>
      </c>
      <c r="R64" s="3103">
        <v>118.47906400987722</v>
      </c>
      <c r="S64" s="3103">
        <v>147.99126637945793</v>
      </c>
      <c r="T64" s="3104">
        <v>131.33612433815202</v>
      </c>
    </row>
    <row r="65" spans="1:20">
      <c r="A65" s="329">
        <f t="shared" si="1"/>
        <v>2008.08</v>
      </c>
      <c r="B65" s="2591">
        <v>125.1526675373653</v>
      </c>
      <c r="C65" s="3122">
        <f t="shared" si="0"/>
        <v>-2.7329899839415472E-2</v>
      </c>
      <c r="D65" s="2663">
        <v>1.8000000000000002E-2</v>
      </c>
      <c r="E65" s="3100">
        <v>41.20695643640758</v>
      </c>
      <c r="F65" s="3101">
        <v>37.884738950389846</v>
      </c>
      <c r="G65" s="3101">
        <v>164.38901364533223</v>
      </c>
      <c r="H65" s="3101">
        <v>145.81393796390321</v>
      </c>
      <c r="I65" s="3101">
        <v>123.38210674480655</v>
      </c>
      <c r="J65" s="3105">
        <v>192.21084643317218</v>
      </c>
      <c r="K65" s="3102">
        <v>166.31516895938941</v>
      </c>
      <c r="L65" s="3103">
        <v>153.7498757122965</v>
      </c>
      <c r="M65" s="3103">
        <v>152.9546845604612</v>
      </c>
      <c r="N65" s="3103">
        <v>174.14455089788325</v>
      </c>
      <c r="O65" s="3103">
        <v>118.35954284832927</v>
      </c>
      <c r="P65" s="3103">
        <v>111.6736113421112</v>
      </c>
      <c r="Q65" s="3103">
        <v>113.72950136229836</v>
      </c>
      <c r="R65" s="3103">
        <v>119.10056054114318</v>
      </c>
      <c r="S65" s="3103">
        <v>147.17391323490372</v>
      </c>
      <c r="T65" s="3104">
        <v>124.82451468141379</v>
      </c>
    </row>
    <row r="66" spans="1:20">
      <c r="A66" s="329">
        <f t="shared" si="1"/>
        <v>2008.09</v>
      </c>
      <c r="B66" s="2591">
        <v>124.78254240510235</v>
      </c>
      <c r="C66" s="3122">
        <f t="shared" si="0"/>
        <v>-2.9573890796410485E-3</v>
      </c>
      <c r="D66" s="2663">
        <v>3.3000000000000002E-2</v>
      </c>
      <c r="E66" s="3100">
        <v>39.56430469211687</v>
      </c>
      <c r="F66" s="3101">
        <v>46.107856564365179</v>
      </c>
      <c r="G66" s="3101">
        <v>199.50172732054844</v>
      </c>
      <c r="H66" s="3101">
        <v>148.7712553537765</v>
      </c>
      <c r="I66" s="3101">
        <v>129.97845418393044</v>
      </c>
      <c r="J66" s="3105">
        <v>193.27694427116683</v>
      </c>
      <c r="K66" s="3102">
        <v>162.05901247006045</v>
      </c>
      <c r="L66" s="3103">
        <v>154.0022168754561</v>
      </c>
      <c r="M66" s="3103">
        <v>153.29852176786994</v>
      </c>
      <c r="N66" s="3103">
        <v>166.79380326066888</v>
      </c>
      <c r="O66" s="3103">
        <v>116.59425509118337</v>
      </c>
      <c r="P66" s="3103">
        <v>111.60905915341358</v>
      </c>
      <c r="Q66" s="3103">
        <v>114.11255303964512</v>
      </c>
      <c r="R66" s="3103">
        <v>119.54719402949246</v>
      </c>
      <c r="S66" s="3103">
        <v>148.84240099240071</v>
      </c>
      <c r="T66" s="3104">
        <v>123.1543666652278</v>
      </c>
    </row>
    <row r="67" spans="1:20">
      <c r="A67" s="329">
        <f t="shared" si="1"/>
        <v>2008.1</v>
      </c>
      <c r="B67" s="2591">
        <v>123.88988220687143</v>
      </c>
      <c r="C67" s="3122">
        <f t="shared" si="0"/>
        <v>-7.1537266433706614E-3</v>
      </c>
      <c r="D67" s="2663">
        <v>-0.03</v>
      </c>
      <c r="E67" s="3100">
        <v>38.275301268362696</v>
      </c>
      <c r="F67" s="3101">
        <v>40.174315323025809</v>
      </c>
      <c r="G67" s="3101">
        <v>166.58620740887403</v>
      </c>
      <c r="H67" s="3101">
        <v>143.53510904622925</v>
      </c>
      <c r="I67" s="3101">
        <v>120.42368067755484</v>
      </c>
      <c r="J67" s="3105">
        <v>186.25254694780392</v>
      </c>
      <c r="K67" s="3102">
        <v>168.04180092436542</v>
      </c>
      <c r="L67" s="3103">
        <v>160.99028154838794</v>
      </c>
      <c r="M67" s="3103">
        <v>152.66989656515841</v>
      </c>
      <c r="N67" s="3103">
        <v>174.17018001092711</v>
      </c>
      <c r="O67" s="3103">
        <v>115.85066515560304</v>
      </c>
      <c r="P67" s="3103">
        <v>111.09460866329778</v>
      </c>
      <c r="Q67" s="3103">
        <v>114.48511260378136</v>
      </c>
      <c r="R67" s="3103">
        <v>120.07168140346272</v>
      </c>
      <c r="S67" s="3103">
        <v>149.49588098673718</v>
      </c>
      <c r="T67" s="3104">
        <v>126.71495297681885</v>
      </c>
    </row>
    <row r="68" spans="1:20">
      <c r="A68" s="329">
        <f t="shared" si="1"/>
        <v>2008.11</v>
      </c>
      <c r="B68" s="2591">
        <v>119.05675042614867</v>
      </c>
      <c r="C68" s="3122">
        <f t="shared" si="0"/>
        <v>-3.9011513245709617E-2</v>
      </c>
      <c r="D68" s="2663">
        <v>-0.10300000000000001</v>
      </c>
      <c r="E68" s="3100">
        <v>74.480094479599401</v>
      </c>
      <c r="F68" s="3101">
        <v>38.508283154001347</v>
      </c>
      <c r="G68" s="3101">
        <v>143.25201944986892</v>
      </c>
      <c r="H68" s="3101">
        <v>112.34050314595314</v>
      </c>
      <c r="I68" s="3101">
        <v>140.2015178218488</v>
      </c>
      <c r="J68" s="3105">
        <v>192.10109403005831</v>
      </c>
      <c r="K68" s="3102">
        <v>148.63706809428004</v>
      </c>
      <c r="L68" s="3103">
        <v>159.17895951999003</v>
      </c>
      <c r="M68" s="3103">
        <v>150.27788073325036</v>
      </c>
      <c r="N68" s="3103">
        <v>163.20276932284915</v>
      </c>
      <c r="O68" s="3103">
        <v>115.03433356520353</v>
      </c>
      <c r="P68" s="3103">
        <v>112.95314868338491</v>
      </c>
      <c r="Q68" s="3103">
        <v>114.8636418544897</v>
      </c>
      <c r="R68" s="3103">
        <v>121.0002962622915</v>
      </c>
      <c r="S68" s="3103">
        <v>148.87001138668111</v>
      </c>
      <c r="T68" s="3104">
        <v>131.20704707685911</v>
      </c>
    </row>
    <row r="69" spans="1:20">
      <c r="A69" s="329">
        <f t="shared" si="1"/>
        <v>2008.12</v>
      </c>
      <c r="B69" s="2591">
        <v>123.75754194214031</v>
      </c>
      <c r="C69" s="3122">
        <f t="shared" si="0"/>
        <v>3.9483620199322944E-2</v>
      </c>
      <c r="D69" s="2663">
        <v>-6.2E-2</v>
      </c>
      <c r="E69" s="3100">
        <v>60.766417607868263</v>
      </c>
      <c r="F69" s="3101">
        <v>57.478552689443106</v>
      </c>
      <c r="G69" s="3101">
        <v>119.51893638967599</v>
      </c>
      <c r="H69" s="3101">
        <v>117.17497094763365</v>
      </c>
      <c r="I69" s="3101">
        <v>154.98713344784002</v>
      </c>
      <c r="J69" s="3105">
        <v>249.47775809879082</v>
      </c>
      <c r="K69" s="3102">
        <v>167.16119382114334</v>
      </c>
      <c r="L69" s="3103">
        <v>155.17821700459422</v>
      </c>
      <c r="M69" s="3103">
        <v>152.98262458596921</v>
      </c>
      <c r="N69" s="3103">
        <v>168.41373008361202</v>
      </c>
      <c r="O69" s="3103">
        <v>120.58954734319711</v>
      </c>
      <c r="P69" s="3103">
        <v>112.49222455839612</v>
      </c>
      <c r="Q69" s="3103">
        <v>115.18141241679213</v>
      </c>
      <c r="R69" s="3103">
        <v>120.81955991674226</v>
      </c>
      <c r="S69" s="3103">
        <v>150.10859900781458</v>
      </c>
      <c r="T69" s="3104">
        <v>135.2010510344999</v>
      </c>
    </row>
    <row r="70" spans="1:20">
      <c r="A70" s="329">
        <f t="shared" si="1"/>
        <v>2009.01</v>
      </c>
      <c r="B70" s="2591">
        <v>104.85771324026268</v>
      </c>
      <c r="C70" s="3122">
        <f t="shared" si="0"/>
        <v>-0.152716581189967</v>
      </c>
      <c r="D70" s="2663">
        <v>-0.11599999999999999</v>
      </c>
      <c r="E70" s="3100">
        <v>38.876765315531273</v>
      </c>
      <c r="F70" s="3101">
        <v>43.782416009957252</v>
      </c>
      <c r="G70" s="3101">
        <v>167.81981857263773</v>
      </c>
      <c r="H70" s="3101">
        <v>99.090413327120416</v>
      </c>
      <c r="I70" s="3101">
        <v>149.05711891093748</v>
      </c>
      <c r="J70" s="3105">
        <v>154.86714192900337</v>
      </c>
      <c r="K70" s="3102">
        <v>141.68019506362583</v>
      </c>
      <c r="L70" s="3103">
        <v>149.88187106486109</v>
      </c>
      <c r="M70" s="3103">
        <v>136.28453703424876</v>
      </c>
      <c r="N70" s="3103">
        <v>178.61900921969527</v>
      </c>
      <c r="O70" s="3103">
        <v>107.15021452661526</v>
      </c>
      <c r="P70" s="3103">
        <v>113.59702246712958</v>
      </c>
      <c r="Q70" s="3103">
        <v>112.71266287530229</v>
      </c>
      <c r="R70" s="3103">
        <v>118.0362416324642</v>
      </c>
      <c r="S70" s="3103">
        <v>159.98118634067905</v>
      </c>
      <c r="T70" s="3104">
        <v>142.21242305766955</v>
      </c>
    </row>
    <row r="71" spans="1:20">
      <c r="A71" s="329">
        <f t="shared" si="1"/>
        <v>2009.02</v>
      </c>
      <c r="B71" s="2591">
        <v>103.2584836363102</v>
      </c>
      <c r="C71" s="3122">
        <f t="shared" si="0"/>
        <v>-1.5251425522585405E-2</v>
      </c>
      <c r="D71" s="2663">
        <v>-0.109</v>
      </c>
      <c r="E71" s="3100">
        <v>42.042124837570753</v>
      </c>
      <c r="F71" s="3101">
        <v>38.136658848507103</v>
      </c>
      <c r="G71" s="3101">
        <v>143.90396115653837</v>
      </c>
      <c r="H71" s="3101">
        <v>98.190199317313429</v>
      </c>
      <c r="I71" s="3101">
        <v>135.44006152634057</v>
      </c>
      <c r="J71" s="3105">
        <v>167.97383401351641</v>
      </c>
      <c r="K71" s="3102">
        <v>128.32598729062445</v>
      </c>
      <c r="L71" s="3103">
        <v>151.37543749221851</v>
      </c>
      <c r="M71" s="3103">
        <v>131.69048743486866</v>
      </c>
      <c r="N71" s="3103">
        <v>172.06539377140831</v>
      </c>
      <c r="O71" s="3103">
        <v>113.15147813856798</v>
      </c>
      <c r="P71" s="3103">
        <v>113.15361212746068</v>
      </c>
      <c r="Q71" s="3103">
        <v>112.44098574458123</v>
      </c>
      <c r="R71" s="3103">
        <v>117.99620092443038</v>
      </c>
      <c r="S71" s="3103">
        <v>159.58035284016341</v>
      </c>
      <c r="T71" s="3104">
        <v>142.10687104784824</v>
      </c>
    </row>
    <row r="72" spans="1:20">
      <c r="A72" s="329">
        <f t="shared" si="1"/>
        <v>2009.03</v>
      </c>
      <c r="B72" s="2591">
        <v>145.6275766831555</v>
      </c>
      <c r="C72" s="3122">
        <f t="shared" si="0"/>
        <v>0.41032069767821455</v>
      </c>
      <c r="D72" s="2663">
        <v>-9.0999999999999998E-2</v>
      </c>
      <c r="E72" s="3100">
        <v>202.40102845305259</v>
      </c>
      <c r="F72" s="3101">
        <v>60.986990200660472</v>
      </c>
      <c r="G72" s="3101">
        <v>140.1384672200783</v>
      </c>
      <c r="H72" s="3101">
        <v>115.32357763432934</v>
      </c>
      <c r="I72" s="3101">
        <v>166.75046514017325</v>
      </c>
      <c r="J72" s="3105">
        <v>176.55396459983726</v>
      </c>
      <c r="K72" s="3102">
        <v>140.94327609879514</v>
      </c>
      <c r="L72" s="3103">
        <v>153.89197377843783</v>
      </c>
      <c r="M72" s="3103">
        <v>170.31649768551296</v>
      </c>
      <c r="N72" s="3103">
        <v>178.66722076420899</v>
      </c>
      <c r="O72" s="3103">
        <v>116.69035925303534</v>
      </c>
      <c r="P72" s="3103">
        <v>112.73548163221452</v>
      </c>
      <c r="Q72" s="3103">
        <v>112.82951629061972</v>
      </c>
      <c r="R72" s="3103">
        <v>118.18633440718173</v>
      </c>
      <c r="S72" s="3103">
        <v>158.7471402206335</v>
      </c>
      <c r="T72" s="3104">
        <v>132.05494366371596</v>
      </c>
    </row>
    <row r="73" spans="1:20">
      <c r="A73" s="329">
        <f t="shared" si="1"/>
        <v>2009.04</v>
      </c>
      <c r="B73" s="2591">
        <v>165.98762332678075</v>
      </c>
      <c r="C73" s="3122">
        <f t="shared" si="0"/>
        <v>0.13980900532268681</v>
      </c>
      <c r="D73" s="2663">
        <v>-0.16800000000000001</v>
      </c>
      <c r="E73" s="3100">
        <v>290.42544448341255</v>
      </c>
      <c r="F73" s="3101">
        <v>51.318069578719502</v>
      </c>
      <c r="G73" s="3101">
        <v>132.92031746951983</v>
      </c>
      <c r="H73" s="3101">
        <v>121.34050863511499</v>
      </c>
      <c r="I73" s="3101">
        <v>148.06358382807045</v>
      </c>
      <c r="J73" s="3105">
        <v>172.98523406383927</v>
      </c>
      <c r="K73" s="3102">
        <v>149.44457714879138</v>
      </c>
      <c r="L73" s="3103">
        <v>153.95616829415832</v>
      </c>
      <c r="M73" s="3103">
        <v>186.83067432496591</v>
      </c>
      <c r="N73" s="3103">
        <v>174.78851328389834</v>
      </c>
      <c r="O73" s="3103">
        <v>108.52197088189182</v>
      </c>
      <c r="P73" s="3103">
        <v>112.29884313860202</v>
      </c>
      <c r="Q73" s="3103">
        <v>113.37554637597081</v>
      </c>
      <c r="R73" s="3103">
        <v>118.22192838512237</v>
      </c>
      <c r="S73" s="3103">
        <v>156.04282107380436</v>
      </c>
      <c r="T73" s="3104">
        <v>119.05679893263826</v>
      </c>
    </row>
    <row r="74" spans="1:20">
      <c r="A74" s="329">
        <f t="shared" si="1"/>
        <v>2009.05</v>
      </c>
      <c r="B74" s="2591">
        <v>140.2402184580408</v>
      </c>
      <c r="C74" s="3122">
        <f t="shared" si="0"/>
        <v>-0.15511641381870311</v>
      </c>
      <c r="D74" s="2663">
        <v>-0.153</v>
      </c>
      <c r="E74" s="3100">
        <v>177.96105264711048</v>
      </c>
      <c r="F74" s="3101">
        <v>40.30011711645291</v>
      </c>
      <c r="G74" s="3101">
        <v>115.98439215105437</v>
      </c>
      <c r="H74" s="3101">
        <v>113.04137557165286</v>
      </c>
      <c r="I74" s="3101">
        <v>134.15358492463412</v>
      </c>
      <c r="J74" s="3105">
        <v>175.28669358010276</v>
      </c>
      <c r="K74" s="3102">
        <v>152.37333356054137</v>
      </c>
      <c r="L74" s="3103">
        <v>151.70251463640597</v>
      </c>
      <c r="M74" s="3103">
        <v>167.82847792218951</v>
      </c>
      <c r="N74" s="3103">
        <v>173.4803369444648</v>
      </c>
      <c r="O74" s="3103">
        <v>107.04725216155735</v>
      </c>
      <c r="P74" s="3103">
        <v>111.78465398373505</v>
      </c>
      <c r="Q74" s="3103">
        <v>113.50851419509235</v>
      </c>
      <c r="R74" s="3103">
        <v>117.96328866925808</v>
      </c>
      <c r="S74" s="3103">
        <v>154.3541896283146</v>
      </c>
      <c r="T74" s="3104">
        <v>116.24293745945761</v>
      </c>
    </row>
    <row r="75" spans="1:20">
      <c r="A75" s="329">
        <f t="shared" si="1"/>
        <v>2009.06</v>
      </c>
      <c r="B75" s="2591">
        <v>121.20269403651852</v>
      </c>
      <c r="C75" s="3122">
        <f t="shared" si="0"/>
        <v>-0.13574939222743876</v>
      </c>
      <c r="D75" s="2663">
        <v>0.03</v>
      </c>
      <c r="E75" s="3100">
        <v>54.217338629614765</v>
      </c>
      <c r="F75" s="3101">
        <v>51.511366990338217</v>
      </c>
      <c r="G75" s="3101">
        <v>133.08671529037755</v>
      </c>
      <c r="H75" s="3101">
        <v>133.39997809107001</v>
      </c>
      <c r="I75" s="3101">
        <v>137.00740643382051</v>
      </c>
      <c r="J75" s="3105">
        <v>163.94005250474189</v>
      </c>
      <c r="K75" s="3102">
        <v>155.83576388971878</v>
      </c>
      <c r="L75" s="3103">
        <v>148.11318013003427</v>
      </c>
      <c r="M75" s="3103">
        <v>155.47530218513555</v>
      </c>
      <c r="N75" s="3103">
        <v>181.13071938415825</v>
      </c>
      <c r="O75" s="3103">
        <v>109.75044311710379</v>
      </c>
      <c r="P75" s="3103">
        <v>111.46604197754132</v>
      </c>
      <c r="Q75" s="3103">
        <v>114.55787293982006</v>
      </c>
      <c r="R75" s="3103">
        <v>117.99763577030453</v>
      </c>
      <c r="S75" s="3103">
        <v>153.6314997822671</v>
      </c>
      <c r="T75" s="3104">
        <v>118.0095433957169</v>
      </c>
    </row>
    <row r="76" spans="1:20">
      <c r="A76" s="329">
        <f t="shared" si="1"/>
        <v>2009.07</v>
      </c>
      <c r="B76" s="2591">
        <v>115.25527526955651</v>
      </c>
      <c r="C76" s="3122">
        <f t="shared" si="0"/>
        <v>-4.9070021209017489E-2</v>
      </c>
      <c r="D76" s="2663">
        <v>-0.10400000000000001</v>
      </c>
      <c r="E76" s="3100">
        <v>37.708070442491341</v>
      </c>
      <c r="F76" s="3101">
        <v>38.822956706140012</v>
      </c>
      <c r="G76" s="3101">
        <v>150.04967059687624</v>
      </c>
      <c r="H76" s="3101">
        <v>121.67471492944503</v>
      </c>
      <c r="I76" s="3101">
        <v>152.86710636818128</v>
      </c>
      <c r="J76" s="3105">
        <v>170.98404021249064</v>
      </c>
      <c r="K76" s="3102">
        <v>155.27669951156918</v>
      </c>
      <c r="L76" s="3103">
        <v>143.75460521228501</v>
      </c>
      <c r="M76" s="3103">
        <v>154.25795237866819</v>
      </c>
      <c r="N76" s="3103">
        <v>175.01780040847578</v>
      </c>
      <c r="O76" s="3103">
        <v>114.5914904240464</v>
      </c>
      <c r="P76" s="3103">
        <v>111.59428446035966</v>
      </c>
      <c r="Q76" s="3103">
        <v>115.31846075440323</v>
      </c>
      <c r="R76" s="3103">
        <v>118.36073454195602</v>
      </c>
      <c r="S76" s="3103">
        <v>153.17219542490074</v>
      </c>
      <c r="T76" s="3104">
        <v>123.67964251800333</v>
      </c>
    </row>
    <row r="77" spans="1:20">
      <c r="A77" s="329">
        <f t="shared" si="1"/>
        <v>2009.08</v>
      </c>
      <c r="B77" s="2591">
        <v>116.20971800349641</v>
      </c>
      <c r="C77" s="3122">
        <f t="shared" ref="C77:C140" si="2">B77/B76-1</f>
        <v>8.2811197292937955E-3</v>
      </c>
      <c r="D77" s="2663">
        <v>-7.0999999999999994E-2</v>
      </c>
      <c r="E77" s="3100">
        <v>38.366464659122741</v>
      </c>
      <c r="F77" s="3101">
        <v>49.548827574812094</v>
      </c>
      <c r="G77" s="3101">
        <v>115.36562560085501</v>
      </c>
      <c r="H77" s="3101">
        <v>127.9231488556611</v>
      </c>
      <c r="I77" s="3101">
        <v>120.98646065397283</v>
      </c>
      <c r="J77" s="3105">
        <v>165.22169428530685</v>
      </c>
      <c r="K77" s="3102">
        <v>150.92862657895904</v>
      </c>
      <c r="L77" s="3103">
        <v>150.70783814392263</v>
      </c>
      <c r="M77" s="3103">
        <v>159.95623964903092</v>
      </c>
      <c r="N77" s="3103">
        <v>177.92662028366613</v>
      </c>
      <c r="O77" s="3103">
        <v>114.15132588639072</v>
      </c>
      <c r="P77" s="3103">
        <v>112.33810830755064</v>
      </c>
      <c r="Q77" s="3103">
        <v>114.33658646397483</v>
      </c>
      <c r="R77" s="3103">
        <v>118.65556980646411</v>
      </c>
      <c r="S77" s="3103">
        <v>156.18893802921454</v>
      </c>
      <c r="T77" s="3104">
        <v>128.26793558478917</v>
      </c>
    </row>
    <row r="78" spans="1:20">
      <c r="A78" s="329">
        <f t="shared" si="1"/>
        <v>2009.09</v>
      </c>
      <c r="B78" s="2591">
        <v>115.00984035469838</v>
      </c>
      <c r="C78" s="3122">
        <f t="shared" si="2"/>
        <v>-1.0325105932723511E-2</v>
      </c>
      <c r="D78" s="2663">
        <v>-7.8E-2</v>
      </c>
      <c r="E78" s="3100">
        <v>35.432364343497674</v>
      </c>
      <c r="F78" s="3101">
        <v>60.898625669634775</v>
      </c>
      <c r="G78" s="3101">
        <v>125.89049531529137</v>
      </c>
      <c r="H78" s="3101">
        <v>123.75103115699086</v>
      </c>
      <c r="I78" s="3101">
        <v>118.67464375877049</v>
      </c>
      <c r="J78" s="3105">
        <v>169.2646990925486</v>
      </c>
      <c r="K78" s="3102">
        <v>151.83260701409674</v>
      </c>
      <c r="L78" s="3103">
        <v>156.61946381386508</v>
      </c>
      <c r="M78" s="3103">
        <v>157.17241793437341</v>
      </c>
      <c r="N78" s="3103">
        <v>180.15238130706379</v>
      </c>
      <c r="O78" s="3103">
        <v>115.17952070636035</v>
      </c>
      <c r="P78" s="3103">
        <v>111.42689945145739</v>
      </c>
      <c r="Q78" s="3103">
        <v>115.68609478642627</v>
      </c>
      <c r="R78" s="3103">
        <v>118.88438805515244</v>
      </c>
      <c r="S78" s="3103">
        <v>165.98871490277455</v>
      </c>
      <c r="T78" s="3104">
        <v>132.73525794615296</v>
      </c>
    </row>
    <row r="79" spans="1:20">
      <c r="A79" s="329">
        <f t="shared" si="1"/>
        <v>2009.1</v>
      </c>
      <c r="B79" s="2591">
        <v>121.14390481103844</v>
      </c>
      <c r="C79" s="3122">
        <f t="shared" si="2"/>
        <v>5.3335127128445459E-2</v>
      </c>
      <c r="D79" s="2663">
        <v>-2.2000000000000002E-2</v>
      </c>
      <c r="E79" s="3100">
        <v>39.619651844805148</v>
      </c>
      <c r="F79" s="3101">
        <v>42.796415117928852</v>
      </c>
      <c r="G79" s="3101">
        <v>135.04120440350468</v>
      </c>
      <c r="H79" s="3101">
        <v>135.09814715394174</v>
      </c>
      <c r="I79" s="3101">
        <v>119.48530919602747</v>
      </c>
      <c r="J79" s="3105">
        <v>175.3223291653479</v>
      </c>
      <c r="K79" s="3102">
        <v>161.85077696340659</v>
      </c>
      <c r="L79" s="3103">
        <v>166.65185943808996</v>
      </c>
      <c r="M79" s="3103">
        <v>163.91006591157401</v>
      </c>
      <c r="N79" s="3103">
        <v>170.58082681737631</v>
      </c>
      <c r="O79" s="3103">
        <v>113.26084172246021</v>
      </c>
      <c r="P79" s="3103">
        <v>110.9872130104236</v>
      </c>
      <c r="Q79" s="3103">
        <v>115.75213285909305</v>
      </c>
      <c r="R79" s="3103">
        <v>119.99509733313809</v>
      </c>
      <c r="S79" s="3103">
        <v>169.01830668813642</v>
      </c>
      <c r="T79" s="3104">
        <v>136.0749307349225</v>
      </c>
    </row>
    <row r="80" spans="1:20">
      <c r="A80" s="329">
        <f t="shared" si="1"/>
        <v>2009.11</v>
      </c>
      <c r="B80" s="2591">
        <v>114.70284720147588</v>
      </c>
      <c r="C80" s="3122">
        <f t="shared" si="2"/>
        <v>-5.3168647812775971E-2</v>
      </c>
      <c r="D80" s="2663">
        <v>-3.7000000000000005E-2</v>
      </c>
      <c r="E80" s="3100">
        <v>52.826966438477641</v>
      </c>
      <c r="F80" s="3101">
        <v>34.242654877532182</v>
      </c>
      <c r="G80" s="3101">
        <v>112.18149211552762</v>
      </c>
      <c r="H80" s="3101">
        <v>110.208924367356</v>
      </c>
      <c r="I80" s="3101">
        <v>126.83401311246328</v>
      </c>
      <c r="J80" s="3105">
        <v>160.34779781125263</v>
      </c>
      <c r="K80" s="3102">
        <v>155.12333168322633</v>
      </c>
      <c r="L80" s="3103">
        <v>161.31092701952679</v>
      </c>
      <c r="M80" s="3103">
        <v>158.59970020962288</v>
      </c>
      <c r="N80" s="3103">
        <v>169.31950394058651</v>
      </c>
      <c r="O80" s="3103">
        <v>110.65723728792501</v>
      </c>
      <c r="P80" s="3103">
        <v>111.1646912638586</v>
      </c>
      <c r="Q80" s="3103">
        <v>115.70501219741637</v>
      </c>
      <c r="R80" s="3103">
        <v>120.31153546463973</v>
      </c>
      <c r="S80" s="3103">
        <v>171.38589893618291</v>
      </c>
      <c r="T80" s="3104">
        <v>137.7170503451573</v>
      </c>
    </row>
    <row r="81" spans="1:20">
      <c r="A81" s="329">
        <f t="shared" si="1"/>
        <v>2009.12</v>
      </c>
      <c r="B81" s="2591">
        <v>121.27057887127641</v>
      </c>
      <c r="C81" s="3122">
        <f t="shared" si="2"/>
        <v>5.7258662971672258E-2</v>
      </c>
      <c r="D81" s="2663">
        <v>-0.02</v>
      </c>
      <c r="E81" s="3100">
        <v>45.720127009322361</v>
      </c>
      <c r="F81" s="3101">
        <v>34.211800928782388</v>
      </c>
      <c r="G81" s="3101">
        <v>93.32915852775686</v>
      </c>
      <c r="H81" s="3101">
        <v>119.38177080323086</v>
      </c>
      <c r="I81" s="3101">
        <v>126.80021593365257</v>
      </c>
      <c r="J81" s="3105">
        <v>194.56385036828382</v>
      </c>
      <c r="K81" s="3102">
        <v>171.7558049845747</v>
      </c>
      <c r="L81" s="3103">
        <v>161.02614513633378</v>
      </c>
      <c r="M81" s="3103">
        <v>165.33978300518407</v>
      </c>
      <c r="N81" s="3103">
        <v>173.59972699433249</v>
      </c>
      <c r="O81" s="3103">
        <v>120.0691096440945</v>
      </c>
      <c r="P81" s="3103">
        <v>111.23380190782203</v>
      </c>
      <c r="Q81" s="3103">
        <v>115.55150053580255</v>
      </c>
      <c r="R81" s="3103">
        <v>120.36282586199127</v>
      </c>
      <c r="S81" s="3103">
        <v>174.27479667091529</v>
      </c>
      <c r="T81" s="3104">
        <v>134.9472197157759</v>
      </c>
    </row>
    <row r="82" spans="1:20">
      <c r="A82" s="329">
        <f t="shared" si="1"/>
        <v>2010.01</v>
      </c>
      <c r="B82" s="2591">
        <v>107.242682752935</v>
      </c>
      <c r="C82" s="3122">
        <f t="shared" si="2"/>
        <v>-0.11567435604666676</v>
      </c>
      <c r="D82" s="2663">
        <v>2.3E-2</v>
      </c>
      <c r="E82" s="3100">
        <v>34.739844760096702</v>
      </c>
      <c r="F82" s="3101">
        <v>21.828923745596626</v>
      </c>
      <c r="G82" s="3101">
        <v>136.36893549164211</v>
      </c>
      <c r="H82" s="3101">
        <v>102.88031686539767</v>
      </c>
      <c r="I82" s="3101">
        <v>151.85258520047182</v>
      </c>
      <c r="J82" s="3105">
        <v>153.47671391419385</v>
      </c>
      <c r="K82" s="3102">
        <v>147.54361962053946</v>
      </c>
      <c r="L82" s="3103">
        <v>158.47419256630283</v>
      </c>
      <c r="M82" s="3103">
        <v>151.07583270131232</v>
      </c>
      <c r="N82" s="3103">
        <v>173.07773979925599</v>
      </c>
      <c r="O82" s="3103">
        <v>103.69790874136383</v>
      </c>
      <c r="P82" s="3103">
        <v>116.42120229674779</v>
      </c>
      <c r="Q82" s="3103">
        <v>115.61139207516803</v>
      </c>
      <c r="R82" s="3103">
        <v>121.535600851314</v>
      </c>
      <c r="S82" s="3103">
        <v>185.04245813124348</v>
      </c>
      <c r="T82" s="3104">
        <v>131.33074337578188</v>
      </c>
    </row>
    <row r="83" spans="1:20">
      <c r="A83" s="329">
        <f t="shared" si="1"/>
        <v>2010.02</v>
      </c>
      <c r="B83" s="2591">
        <v>106.15311119706175</v>
      </c>
      <c r="C83" s="3122">
        <f t="shared" si="2"/>
        <v>-1.0159868514138082E-2</v>
      </c>
      <c r="D83" s="2663">
        <v>2.7999999999999997E-2</v>
      </c>
      <c r="E83" s="3100">
        <v>47.0742254731488</v>
      </c>
      <c r="F83" s="3101">
        <v>23.278651119201754</v>
      </c>
      <c r="G83" s="3101">
        <v>117.00871262998014</v>
      </c>
      <c r="H83" s="3101">
        <v>97.344924802596793</v>
      </c>
      <c r="I83" s="3101">
        <v>158.22546330063298</v>
      </c>
      <c r="J83" s="3105">
        <v>150.38381994089985</v>
      </c>
      <c r="K83" s="3102">
        <v>135.2241360852835</v>
      </c>
      <c r="L83" s="3103">
        <v>157.67111773713196</v>
      </c>
      <c r="M83" s="3103">
        <v>148.20884233892036</v>
      </c>
      <c r="N83" s="3103">
        <v>166.76789365511706</v>
      </c>
      <c r="O83" s="3103">
        <v>108.93872764913749</v>
      </c>
      <c r="P83" s="3103">
        <v>116.10710449820562</v>
      </c>
      <c r="Q83" s="3103">
        <v>114.95995012779403</v>
      </c>
      <c r="R83" s="3103">
        <v>121.49997412521824</v>
      </c>
      <c r="S83" s="3103">
        <v>186.07236850102416</v>
      </c>
      <c r="T83" s="3104">
        <v>132.25919200373187</v>
      </c>
    </row>
    <row r="84" spans="1:20">
      <c r="A84" s="329">
        <f t="shared" si="1"/>
        <v>2010.03</v>
      </c>
      <c r="B84" s="2591">
        <v>160.06784475133699</v>
      </c>
      <c r="C84" s="3122">
        <f t="shared" si="2"/>
        <v>0.5078959339607898</v>
      </c>
      <c r="D84" s="2663">
        <v>9.9000000000000005E-2</v>
      </c>
      <c r="E84" s="3100">
        <v>257.34075544892733</v>
      </c>
      <c r="F84" s="3101">
        <v>46.146475499733235</v>
      </c>
      <c r="G84" s="3101">
        <v>134.56452123187844</v>
      </c>
      <c r="H84" s="3101">
        <v>115.5527247942042</v>
      </c>
      <c r="I84" s="3101">
        <v>162.9968302726474</v>
      </c>
      <c r="J84" s="3105">
        <v>164.5431969346142</v>
      </c>
      <c r="K84" s="3102">
        <v>153.97245423354093</v>
      </c>
      <c r="L84" s="3103">
        <v>160.34152851635665</v>
      </c>
      <c r="M84" s="3103">
        <v>196.94767882664465</v>
      </c>
      <c r="N84" s="3103">
        <v>175.04671596382272</v>
      </c>
      <c r="O84" s="3103">
        <v>108.77084514933961</v>
      </c>
      <c r="P84" s="3103">
        <v>116.62074552566774</v>
      </c>
      <c r="Q84" s="3103">
        <v>115.01425762811307</v>
      </c>
      <c r="R84" s="3103">
        <v>121.67950695497342</v>
      </c>
      <c r="S84" s="3103">
        <v>185.27389901981365</v>
      </c>
      <c r="T84" s="3104">
        <v>133.26940843670377</v>
      </c>
    </row>
    <row r="85" spans="1:20">
      <c r="A85" s="329">
        <f t="shared" si="1"/>
        <v>2010.04</v>
      </c>
      <c r="B85" s="2591">
        <v>190.17045942385835</v>
      </c>
      <c r="C85" s="3122">
        <f t="shared" si="2"/>
        <v>0.18806159800105582</v>
      </c>
      <c r="D85" s="2663">
        <v>0.14599999999999999</v>
      </c>
      <c r="E85" s="3100">
        <v>361.1425631625915</v>
      </c>
      <c r="F85" s="3101">
        <v>16.139874195910831</v>
      </c>
      <c r="G85" s="3101">
        <v>137.73387163216867</v>
      </c>
      <c r="H85" s="3101">
        <v>140.9272051328189</v>
      </c>
      <c r="I85" s="3101">
        <v>149.99249539932339</v>
      </c>
      <c r="J85" s="3105">
        <v>172.94207977760163</v>
      </c>
      <c r="K85" s="3102">
        <v>158.3859195400191</v>
      </c>
      <c r="L85" s="3103">
        <v>160.65519615406987</v>
      </c>
      <c r="M85" s="3103">
        <v>220.7442933992487</v>
      </c>
      <c r="N85" s="3103">
        <v>166.41039987566762</v>
      </c>
      <c r="O85" s="3103">
        <v>110.65983047488663</v>
      </c>
      <c r="P85" s="3103">
        <v>116.24747582547062</v>
      </c>
      <c r="Q85" s="3103">
        <v>115.29280950223527</v>
      </c>
      <c r="R85" s="3103">
        <v>122.32916564539964</v>
      </c>
      <c r="S85" s="3103">
        <v>183.83556275363253</v>
      </c>
      <c r="T85" s="3104">
        <v>142.72367154035118</v>
      </c>
    </row>
    <row r="86" spans="1:20">
      <c r="A86" s="329">
        <f t="shared" si="1"/>
        <v>2010.05</v>
      </c>
      <c r="B86" s="2591">
        <v>154.47278711176693</v>
      </c>
      <c r="C86" s="3122">
        <f t="shared" si="2"/>
        <v>-0.18771407725595923</v>
      </c>
      <c r="D86" s="2663">
        <v>0.10099999999999999</v>
      </c>
      <c r="E86" s="3100">
        <v>220.78374126461782</v>
      </c>
      <c r="F86" s="3101">
        <v>20.856315874740687</v>
      </c>
      <c r="G86" s="3101">
        <v>126.18058707968309</v>
      </c>
      <c r="H86" s="3101">
        <v>118.7141537796218</v>
      </c>
      <c r="I86" s="3101">
        <v>175.68020761432334</v>
      </c>
      <c r="J86" s="3105">
        <v>155.34732860249241</v>
      </c>
      <c r="K86" s="3102">
        <v>161.50994957121648</v>
      </c>
      <c r="L86" s="3103">
        <v>160.33052904542126</v>
      </c>
      <c r="M86" s="3103">
        <v>191.77460403136564</v>
      </c>
      <c r="N86" s="3103">
        <v>167.20538164409987</v>
      </c>
      <c r="O86" s="3103">
        <v>108.72611272420257</v>
      </c>
      <c r="P86" s="3103">
        <v>116.3928880746019</v>
      </c>
      <c r="Q86" s="3103">
        <v>115.21499717406557</v>
      </c>
      <c r="R86" s="3103">
        <v>122.64646439848336</v>
      </c>
      <c r="S86" s="3103">
        <v>184.32972272299301</v>
      </c>
      <c r="T86" s="3104">
        <v>150.58168049605447</v>
      </c>
    </row>
    <row r="87" spans="1:20">
      <c r="A87" s="329">
        <f t="shared" si="1"/>
        <v>2010.06</v>
      </c>
      <c r="B87" s="2591">
        <v>127.66224437729478</v>
      </c>
      <c r="C87" s="3122">
        <f t="shared" si="2"/>
        <v>-0.17356159124049275</v>
      </c>
      <c r="D87" s="2663">
        <v>5.2999999999999999E-2</v>
      </c>
      <c r="E87" s="3100">
        <v>59.084349278979111</v>
      </c>
      <c r="F87" s="3101">
        <v>28.677802293821269</v>
      </c>
      <c r="G87" s="3101">
        <v>142.52158523558671</v>
      </c>
      <c r="H87" s="3101">
        <v>129.11446822541185</v>
      </c>
      <c r="I87" s="3101">
        <v>165.62767500204566</v>
      </c>
      <c r="J87" s="3105">
        <v>171.9131717455378</v>
      </c>
      <c r="K87" s="3102">
        <v>177.2711620912138</v>
      </c>
      <c r="L87" s="3103">
        <v>158.74287508878109</v>
      </c>
      <c r="M87" s="3103">
        <v>169.0081570886918</v>
      </c>
      <c r="N87" s="3103">
        <v>178.58922338700791</v>
      </c>
      <c r="O87" s="3103">
        <v>113.33854435847147</v>
      </c>
      <c r="P87" s="3103">
        <v>116.31599770528277</v>
      </c>
      <c r="Q87" s="3103">
        <v>116.10826034960246</v>
      </c>
      <c r="R87" s="3103">
        <v>122.79629105900275</v>
      </c>
      <c r="S87" s="3103">
        <v>184.8547161872923</v>
      </c>
      <c r="T87" s="3104">
        <v>148.91923085507028</v>
      </c>
    </row>
    <row r="88" spans="1:20">
      <c r="A88" s="329">
        <f t="shared" si="1"/>
        <v>2010.07</v>
      </c>
      <c r="B88" s="2591">
        <v>123.80574246249442</v>
      </c>
      <c r="C88" s="3122">
        <f t="shared" si="2"/>
        <v>-3.0208633207190028E-2</v>
      </c>
      <c r="D88" s="2663">
        <v>7.400000000000001E-2</v>
      </c>
      <c r="E88" s="3100">
        <v>36.485681817256861</v>
      </c>
      <c r="F88" s="3101">
        <v>41.6360948104915</v>
      </c>
      <c r="G88" s="3101">
        <v>171.77969687533405</v>
      </c>
      <c r="H88" s="3101">
        <v>129.66779080334155</v>
      </c>
      <c r="I88" s="3101">
        <v>179.26894194002185</v>
      </c>
      <c r="J88" s="3105">
        <v>182.08595594637345</v>
      </c>
      <c r="K88" s="3102">
        <v>172.65335279083769</v>
      </c>
      <c r="L88" s="3103">
        <v>164.11463681804733</v>
      </c>
      <c r="M88" s="3103">
        <v>171.71364060933189</v>
      </c>
      <c r="N88" s="3103">
        <v>167.79780234534147</v>
      </c>
      <c r="O88" s="3103">
        <v>122.88789396303807</v>
      </c>
      <c r="P88" s="3103">
        <v>116.10129079575772</v>
      </c>
      <c r="Q88" s="3103">
        <v>116.7666858764625</v>
      </c>
      <c r="R88" s="3103">
        <v>122.62906718467127</v>
      </c>
      <c r="S88" s="3103">
        <v>185.17498029386735</v>
      </c>
      <c r="T88" s="3104">
        <v>136.24379902790238</v>
      </c>
    </row>
    <row r="89" spans="1:20">
      <c r="A89" s="329">
        <f t="shared" si="1"/>
        <v>2010.08</v>
      </c>
      <c r="B89" s="2591">
        <v>125.32881018185661</v>
      </c>
      <c r="C89" s="3122">
        <f t="shared" si="2"/>
        <v>1.2302076535937623E-2</v>
      </c>
      <c r="D89" s="2663">
        <v>7.8E-2</v>
      </c>
      <c r="E89" s="3100">
        <v>38.76924818494885</v>
      </c>
      <c r="F89" s="3101">
        <v>63.94896750877794</v>
      </c>
      <c r="G89" s="3101">
        <v>129.64511935632916</v>
      </c>
      <c r="H89" s="3101">
        <v>137.27224220009998</v>
      </c>
      <c r="I89" s="3101">
        <v>160.73143606529504</v>
      </c>
      <c r="J89" s="3105">
        <v>170.41932935267286</v>
      </c>
      <c r="K89" s="3102">
        <v>168.92103546408313</v>
      </c>
      <c r="L89" s="3103">
        <v>163.70065413292167</v>
      </c>
      <c r="M89" s="3103">
        <v>177.879569130286</v>
      </c>
      <c r="N89" s="3103">
        <v>177.7729130532492</v>
      </c>
      <c r="O89" s="3103">
        <v>121.46509750135093</v>
      </c>
      <c r="P89" s="3103">
        <v>111.69321753731222</v>
      </c>
      <c r="Q89" s="3103">
        <v>115.81523331991696</v>
      </c>
      <c r="R89" s="3103">
        <v>122.86030468070737</v>
      </c>
      <c r="S89" s="3103">
        <v>186.54956162733586</v>
      </c>
      <c r="T89" s="3104">
        <v>129.77168194816824</v>
      </c>
    </row>
    <row r="90" spans="1:20">
      <c r="A90" s="329">
        <f t="shared" si="1"/>
        <v>2010.09</v>
      </c>
      <c r="B90" s="2591">
        <v>125.38367856714238</v>
      </c>
      <c r="C90" s="3122">
        <f t="shared" si="2"/>
        <v>4.3779546942279701E-4</v>
      </c>
      <c r="D90" s="2663">
        <v>0.09</v>
      </c>
      <c r="E90" s="3100">
        <v>33.350534078525115</v>
      </c>
      <c r="F90" s="3101">
        <v>36.683212864751383</v>
      </c>
      <c r="G90" s="3101">
        <v>145.6773174053059</v>
      </c>
      <c r="H90" s="3101">
        <v>136.55135149834112</v>
      </c>
      <c r="I90" s="3101">
        <v>146.8281424366067</v>
      </c>
      <c r="J90" s="3105">
        <v>175.52329641814387</v>
      </c>
      <c r="K90" s="3102">
        <v>176.72918987606033</v>
      </c>
      <c r="L90" s="3103">
        <v>170.23165828345262</v>
      </c>
      <c r="M90" s="3103">
        <v>176.15237287614087</v>
      </c>
      <c r="N90" s="3103">
        <v>177.1376790386619</v>
      </c>
      <c r="O90" s="3103">
        <v>120.61881391306626</v>
      </c>
      <c r="P90" s="3103">
        <v>112.5580205739017</v>
      </c>
      <c r="Q90" s="3103">
        <v>117.07164276862787</v>
      </c>
      <c r="R90" s="3103">
        <v>123.66112916552126</v>
      </c>
      <c r="S90" s="3103">
        <v>187.75791002234774</v>
      </c>
      <c r="T90" s="3104">
        <v>130.22938414951508</v>
      </c>
    </row>
    <row r="91" spans="1:20">
      <c r="A91" s="329">
        <f t="shared" si="1"/>
        <v>2010.1</v>
      </c>
      <c r="B91" s="2591">
        <v>125.00477265118307</v>
      </c>
      <c r="C91" s="3122">
        <f t="shared" si="2"/>
        <v>-3.0219716018015097E-3</v>
      </c>
      <c r="D91" s="2663">
        <v>3.2000000000000001E-2</v>
      </c>
      <c r="E91" s="3100">
        <v>32.228779192207909</v>
      </c>
      <c r="F91" s="3101">
        <v>45.537123716236927</v>
      </c>
      <c r="G91" s="3101">
        <v>154.20803928473546</v>
      </c>
      <c r="H91" s="3101">
        <v>140.13142356504659</v>
      </c>
      <c r="I91" s="3101">
        <v>154.57677086514968</v>
      </c>
      <c r="J91" s="3105">
        <v>177.64863262487151</v>
      </c>
      <c r="K91" s="3102">
        <v>173.05452060836893</v>
      </c>
      <c r="L91" s="3103">
        <v>171.49957100314882</v>
      </c>
      <c r="M91" s="3103">
        <v>181.48530208625385</v>
      </c>
      <c r="N91" s="3103">
        <v>171.95414795069709</v>
      </c>
      <c r="O91" s="3103">
        <v>110.46578098362774</v>
      </c>
      <c r="P91" s="3103">
        <v>112.53999331700729</v>
      </c>
      <c r="Q91" s="3103">
        <v>117.08593872704949</v>
      </c>
      <c r="R91" s="3103">
        <v>124.81889277351524</v>
      </c>
      <c r="S91" s="3103">
        <v>189.31017361906089</v>
      </c>
      <c r="T91" s="3104">
        <v>137.50717525656185</v>
      </c>
    </row>
    <row r="92" spans="1:20">
      <c r="A92" s="329">
        <f t="shared" si="1"/>
        <v>2010.11</v>
      </c>
      <c r="B92" s="2591">
        <v>128.12447342551178</v>
      </c>
      <c r="C92" s="3122">
        <f t="shared" si="2"/>
        <v>2.4956653319421651E-2</v>
      </c>
      <c r="D92" s="2663">
        <v>0.11699999999999999</v>
      </c>
      <c r="E92" s="3100">
        <v>64.173050394715162</v>
      </c>
      <c r="F92" s="3101">
        <v>43.155647422282769</v>
      </c>
      <c r="G92" s="3101">
        <v>157.46369970846874</v>
      </c>
      <c r="H92" s="3101">
        <v>126.84244820313759</v>
      </c>
      <c r="I92" s="3101">
        <v>140.06112284741184</v>
      </c>
      <c r="J92" s="3105">
        <v>183.85765044382535</v>
      </c>
      <c r="K92" s="3102">
        <v>175.11805538872551</v>
      </c>
      <c r="L92" s="3103">
        <v>169.88897226429256</v>
      </c>
      <c r="M92" s="3103">
        <v>182.93648985125785</v>
      </c>
      <c r="N92" s="3103">
        <v>179.41236275638769</v>
      </c>
      <c r="O92" s="3103">
        <v>108.42091691145151</v>
      </c>
      <c r="P92" s="3103">
        <v>113.7766652434772</v>
      </c>
      <c r="Q92" s="3103">
        <v>117.04556602400216</v>
      </c>
      <c r="R92" s="3103">
        <v>125.25641588627461</v>
      </c>
      <c r="S92" s="3103">
        <v>188.61140494524983</v>
      </c>
      <c r="T92" s="3104">
        <v>136.55754512420833</v>
      </c>
    </row>
    <row r="93" spans="1:20">
      <c r="A93" s="329">
        <f t="shared" si="1"/>
        <v>2010.12</v>
      </c>
      <c r="B93" s="2591">
        <v>133.43101585805024</v>
      </c>
      <c r="C93" s="3122">
        <f t="shared" si="2"/>
        <v>4.1417086764641731E-2</v>
      </c>
      <c r="D93" s="2663">
        <v>0.1</v>
      </c>
      <c r="E93" s="3100">
        <v>52.095335666905171</v>
      </c>
      <c r="F93" s="3101">
        <v>22.923401973151833</v>
      </c>
      <c r="G93" s="3101">
        <v>138.08479453176531</v>
      </c>
      <c r="H93" s="3101">
        <v>128.6176883853615</v>
      </c>
      <c r="I93" s="3101">
        <v>163.61847203715868</v>
      </c>
      <c r="J93" s="3105">
        <v>220.92562390673885</v>
      </c>
      <c r="K93" s="3102">
        <v>199.77614581916214</v>
      </c>
      <c r="L93" s="3103">
        <v>170.17898068866143</v>
      </c>
      <c r="M93" s="3103">
        <v>187.44700503316091</v>
      </c>
      <c r="N93" s="3103">
        <v>187.13013370781002</v>
      </c>
      <c r="O93" s="3103">
        <v>117.53446664527584</v>
      </c>
      <c r="P93" s="3103">
        <v>115.85294075173113</v>
      </c>
      <c r="Q93" s="3103">
        <v>116.99466969817512</v>
      </c>
      <c r="R93" s="3103">
        <v>125.31056081419123</v>
      </c>
      <c r="S93" s="3103">
        <v>192.8808609407404</v>
      </c>
      <c r="T93" s="3104">
        <v>127.51972725104342</v>
      </c>
    </row>
    <row r="94" spans="1:20">
      <c r="A94" s="329">
        <f t="shared" si="1"/>
        <v>2011.01</v>
      </c>
      <c r="B94" s="2591">
        <v>119.69443485527867</v>
      </c>
      <c r="C94" s="3122">
        <f t="shared" si="2"/>
        <v>-0.10294893518149595</v>
      </c>
      <c r="D94" s="2663">
        <v>0.11599999999999999</v>
      </c>
      <c r="E94" s="3100">
        <v>38.42907328341331</v>
      </c>
      <c r="F94" s="3101">
        <v>33.794137863061465</v>
      </c>
      <c r="G94" s="3101">
        <v>179.09359610303989</v>
      </c>
      <c r="H94" s="3101">
        <v>124.52605254508411</v>
      </c>
      <c r="I94" s="3101">
        <v>185.00333148979874</v>
      </c>
      <c r="J94" s="3105">
        <v>162.14403469654161</v>
      </c>
      <c r="K94" s="3102">
        <v>159.24504794027499</v>
      </c>
      <c r="L94" s="3103">
        <v>167.29384695296301</v>
      </c>
      <c r="M94" s="3103">
        <v>174.56333616356889</v>
      </c>
      <c r="N94" s="3103">
        <v>198.71309558934357</v>
      </c>
      <c r="O94" s="3103">
        <v>109.1965873676244</v>
      </c>
      <c r="P94" s="3103">
        <v>115.88138965269596</v>
      </c>
      <c r="Q94" s="3103">
        <v>116.40570514547962</v>
      </c>
      <c r="R94" s="3103">
        <v>133.67793221821981</v>
      </c>
      <c r="S94" s="3103">
        <v>194.70692778300923</v>
      </c>
      <c r="T94" s="3104">
        <v>112.64608890390039</v>
      </c>
    </row>
    <row r="95" spans="1:20">
      <c r="A95" s="329">
        <f t="shared" si="1"/>
        <v>2011.02</v>
      </c>
      <c r="B95" s="2591">
        <v>116.5072567631228</v>
      </c>
      <c r="C95" s="3122">
        <f t="shared" si="2"/>
        <v>-2.6627621376127175E-2</v>
      </c>
      <c r="D95" s="2663">
        <v>9.8000000000000004E-2</v>
      </c>
      <c r="E95" s="3100">
        <v>49.4294937319697</v>
      </c>
      <c r="F95" s="3101">
        <v>45.394878290982028</v>
      </c>
      <c r="G95" s="3101">
        <v>153.71961923686038</v>
      </c>
      <c r="H95" s="3101">
        <v>111.02159688476665</v>
      </c>
      <c r="I95" s="3101">
        <v>162.78844512577851</v>
      </c>
      <c r="J95" s="3105">
        <v>160.07189785026233</v>
      </c>
      <c r="K95" s="3102">
        <v>151.84857261772456</v>
      </c>
      <c r="L95" s="3103">
        <v>170.39220639105037</v>
      </c>
      <c r="M95" s="3103">
        <v>167.79167916884825</v>
      </c>
      <c r="N95" s="3103">
        <v>196.37212384108807</v>
      </c>
      <c r="O95" s="3103">
        <v>114.3195976803122</v>
      </c>
      <c r="P95" s="3103">
        <v>115.60395566832858</v>
      </c>
      <c r="Q95" s="3103">
        <v>116.31044905240694</v>
      </c>
      <c r="R95" s="3103">
        <v>134.56896458721081</v>
      </c>
      <c r="S95" s="3103">
        <v>195.09084415486046</v>
      </c>
      <c r="T95" s="3104">
        <v>106.00775451101632</v>
      </c>
    </row>
    <row r="96" spans="1:20">
      <c r="A96" s="329">
        <f t="shared" si="1"/>
        <v>2011.03</v>
      </c>
      <c r="B96" s="2591">
        <v>170.44470095032619</v>
      </c>
      <c r="C96" s="3122">
        <f t="shared" si="2"/>
        <v>0.46295351625063597</v>
      </c>
      <c r="D96" s="2663">
        <v>6.5000000000000002E-2</v>
      </c>
      <c r="E96" s="3100">
        <v>252.90240767846095</v>
      </c>
      <c r="F96" s="3101">
        <v>62.169870568136353</v>
      </c>
      <c r="G96" s="3101">
        <v>162.90970950804495</v>
      </c>
      <c r="H96" s="3101">
        <v>134.379855151832</v>
      </c>
      <c r="I96" s="3101">
        <v>187.81091252621991</v>
      </c>
      <c r="J96" s="3105">
        <v>179.89468816048844</v>
      </c>
      <c r="K96" s="3102">
        <v>164.98511899773362</v>
      </c>
      <c r="L96" s="3103">
        <v>175.6975283423038</v>
      </c>
      <c r="M96" s="3103">
        <v>219.52066573416991</v>
      </c>
      <c r="N96" s="3103">
        <v>202.11321571696118</v>
      </c>
      <c r="O96" s="3103">
        <v>118.52460549494005</v>
      </c>
      <c r="P96" s="3103">
        <v>116.13816633036726</v>
      </c>
      <c r="Q96" s="3103">
        <v>116.0239402231235</v>
      </c>
      <c r="R96" s="3103">
        <v>134.80527244374474</v>
      </c>
      <c r="S96" s="3103">
        <v>193.58751492071897</v>
      </c>
      <c r="T96" s="3104">
        <v>102.66313966382192</v>
      </c>
    </row>
    <row r="97" spans="1:20">
      <c r="A97" s="329">
        <f t="shared" si="1"/>
        <v>2011.04</v>
      </c>
      <c r="B97" s="2591">
        <v>192.21569388917649</v>
      </c>
      <c r="C97" s="3122">
        <f t="shared" si="2"/>
        <v>0.12773053557819414</v>
      </c>
      <c r="D97" s="2663">
        <v>1.1000000000000001E-2</v>
      </c>
      <c r="E97" s="3100">
        <v>353.56872413413652</v>
      </c>
      <c r="F97" s="3101">
        <v>47.007465937885982</v>
      </c>
      <c r="G97" s="3101">
        <v>164.8323741063592</v>
      </c>
      <c r="H97" s="3101">
        <v>135.57945403497936</v>
      </c>
      <c r="I97" s="3101">
        <v>167.61802446892776</v>
      </c>
      <c r="J97" s="3105">
        <v>179.34799229454646</v>
      </c>
      <c r="K97" s="3102">
        <v>170.33992688210895</v>
      </c>
      <c r="L97" s="3103">
        <v>175.6355279440385</v>
      </c>
      <c r="M97" s="3103">
        <v>234.28367503725795</v>
      </c>
      <c r="N97" s="3103">
        <v>196.11239459531768</v>
      </c>
      <c r="O97" s="3103">
        <v>117.23546499201809</v>
      </c>
      <c r="P97" s="3103">
        <v>115.77961854293801</v>
      </c>
      <c r="Q97" s="3103">
        <v>116.4229670734739</v>
      </c>
      <c r="R97" s="3103">
        <v>135.23756359825285</v>
      </c>
      <c r="S97" s="3103">
        <v>193.04589123289938</v>
      </c>
      <c r="T97" s="3104">
        <v>112.08590263131035</v>
      </c>
    </row>
    <row r="98" spans="1:20">
      <c r="A98" s="329">
        <f t="shared" si="1"/>
        <v>2011.05</v>
      </c>
      <c r="B98" s="2591">
        <v>168.15100436859032</v>
      </c>
      <c r="C98" s="3122">
        <f t="shared" si="2"/>
        <v>-0.12519627837704483</v>
      </c>
      <c r="D98" s="2663">
        <v>8.900000000000001E-2</v>
      </c>
      <c r="E98" s="3100">
        <v>217.14008417098717</v>
      </c>
      <c r="F98" s="3101">
        <v>35.202342216094479</v>
      </c>
      <c r="G98" s="3101">
        <v>168.27780397367883</v>
      </c>
      <c r="H98" s="3101">
        <v>144.35201472162925</v>
      </c>
      <c r="I98" s="3101">
        <v>175.45740678960399</v>
      </c>
      <c r="J98" s="3105">
        <v>175.74684758856748</v>
      </c>
      <c r="K98" s="3102">
        <v>179.09783038847172</v>
      </c>
      <c r="L98" s="3103">
        <v>170.30989167121584</v>
      </c>
      <c r="M98" s="3103">
        <v>218.1002272815125</v>
      </c>
      <c r="N98" s="3103">
        <v>200.22965303704336</v>
      </c>
      <c r="O98" s="3103">
        <v>117.69393125148875</v>
      </c>
      <c r="P98" s="3103">
        <v>115.92368281840032</v>
      </c>
      <c r="Q98" s="3103">
        <v>117.06802611799466</v>
      </c>
      <c r="R98" s="3103">
        <v>135.74417675073627</v>
      </c>
      <c r="S98" s="3103">
        <v>191.43050486285742</v>
      </c>
      <c r="T98" s="3104">
        <v>120.55507655285805</v>
      </c>
    </row>
    <row r="99" spans="1:20">
      <c r="A99" s="329">
        <f t="shared" si="1"/>
        <v>2011.06</v>
      </c>
      <c r="B99" s="2591">
        <v>135.42090143015935</v>
      </c>
      <c r="C99" s="3122">
        <f t="shared" si="2"/>
        <v>-0.19464708558437116</v>
      </c>
      <c r="D99" s="2663">
        <v>6.0999999999999999E-2</v>
      </c>
      <c r="E99" s="3100">
        <v>59.171675351354878</v>
      </c>
      <c r="F99" s="3101">
        <v>50.099843964610244</v>
      </c>
      <c r="G99" s="3101">
        <v>164.33912265963292</v>
      </c>
      <c r="H99" s="3101">
        <v>139.14919843670273</v>
      </c>
      <c r="I99" s="3101">
        <v>169.29735592883583</v>
      </c>
      <c r="J99" s="3105">
        <v>175.19930686100065</v>
      </c>
      <c r="K99" s="3102">
        <v>186.92793135245131</v>
      </c>
      <c r="L99" s="3103">
        <v>171.48447329198228</v>
      </c>
      <c r="M99" s="3103">
        <v>190.29325229049905</v>
      </c>
      <c r="N99" s="3103">
        <v>204.64316639236233</v>
      </c>
      <c r="O99" s="3103">
        <v>122.23081717515662</v>
      </c>
      <c r="P99" s="3103">
        <v>115.83372490559034</v>
      </c>
      <c r="Q99" s="3103">
        <v>116.93838015164073</v>
      </c>
      <c r="R99" s="3103">
        <v>136.1967958635629</v>
      </c>
      <c r="S99" s="3103">
        <v>193.15231685689986</v>
      </c>
      <c r="T99" s="3104">
        <v>124.12701730951575</v>
      </c>
    </row>
    <row r="100" spans="1:20">
      <c r="A100" s="329">
        <f t="shared" si="1"/>
        <v>2011.07</v>
      </c>
      <c r="B100" s="2591">
        <v>136.66300979427953</v>
      </c>
      <c r="C100" s="3122">
        <f t="shared" si="2"/>
        <v>9.1722057009107072E-3</v>
      </c>
      <c r="D100" s="2663">
        <v>0.10400000000000001</v>
      </c>
      <c r="E100" s="3100">
        <v>36.622281758294932</v>
      </c>
      <c r="F100" s="3101">
        <v>71.275474844992758</v>
      </c>
      <c r="G100" s="3101">
        <v>200.26767217471863</v>
      </c>
      <c r="H100" s="3101">
        <v>156.15691231867436</v>
      </c>
      <c r="I100" s="3101">
        <v>194.26071381427835</v>
      </c>
      <c r="J100" s="3105">
        <v>178.29646862568023</v>
      </c>
      <c r="K100" s="3102">
        <v>183.93553278762667</v>
      </c>
      <c r="L100" s="3103">
        <v>177.82001065320085</v>
      </c>
      <c r="M100" s="3103">
        <v>201.11477220723259</v>
      </c>
      <c r="N100" s="3103">
        <v>191.7014572226592</v>
      </c>
      <c r="O100" s="3103">
        <v>130.04833859064277</v>
      </c>
      <c r="P100" s="3103">
        <v>115.5930694481595</v>
      </c>
      <c r="Q100" s="3103">
        <v>116.82202824141889</v>
      </c>
      <c r="R100" s="3103">
        <v>136.34764681335304</v>
      </c>
      <c r="S100" s="3103">
        <v>193.97373756679511</v>
      </c>
      <c r="T100" s="3104">
        <v>118.27789365695359</v>
      </c>
    </row>
    <row r="101" spans="1:20">
      <c r="A101" s="329">
        <f t="shared" si="1"/>
        <v>2011.08</v>
      </c>
      <c r="B101" s="2591">
        <v>135.32708070555387</v>
      </c>
      <c r="C101" s="3122">
        <f t="shared" si="2"/>
        <v>-9.7753524581132289E-3</v>
      </c>
      <c r="D101" s="2663">
        <v>0.08</v>
      </c>
      <c r="E101" s="3100">
        <v>39.484445349760193</v>
      </c>
      <c r="F101" s="3101">
        <v>20.554526995793299</v>
      </c>
      <c r="G101" s="3101">
        <v>158.25286102785509</v>
      </c>
      <c r="H101" s="3101">
        <v>147.29704615570992</v>
      </c>
      <c r="I101" s="3101">
        <v>173.25213178328664</v>
      </c>
      <c r="J101" s="3105">
        <v>183.6726572440802</v>
      </c>
      <c r="K101" s="3102">
        <v>183.58040787663307</v>
      </c>
      <c r="L101" s="3103">
        <v>177.45802430712899</v>
      </c>
      <c r="M101" s="3103">
        <v>204.26814203011673</v>
      </c>
      <c r="N101" s="3103">
        <v>203.17317512626087</v>
      </c>
      <c r="O101" s="3103">
        <v>133.35028505839824</v>
      </c>
      <c r="P101" s="3103">
        <v>115.52059693295624</v>
      </c>
      <c r="Q101" s="3103">
        <v>116.50872944867569</v>
      </c>
      <c r="R101" s="3103">
        <v>136.91827808479451</v>
      </c>
      <c r="S101" s="3103">
        <v>195.73318660814039</v>
      </c>
      <c r="T101" s="3104">
        <v>117.70109048099202</v>
      </c>
    </row>
    <row r="102" spans="1:20">
      <c r="A102" s="329">
        <f t="shared" si="1"/>
        <v>2011.09</v>
      </c>
      <c r="B102" s="2591">
        <v>132.57656299831169</v>
      </c>
      <c r="C102" s="3122">
        <f t="shared" si="2"/>
        <v>-2.0324961514737727E-2</v>
      </c>
      <c r="D102" s="2663">
        <v>5.7000000000000002E-2</v>
      </c>
      <c r="E102" s="3100">
        <v>36.61389172621918</v>
      </c>
      <c r="F102" s="3101">
        <v>32.248294675915687</v>
      </c>
      <c r="G102" s="3101">
        <v>194.55237405921787</v>
      </c>
      <c r="H102" s="3101">
        <v>145.21862109792997</v>
      </c>
      <c r="I102" s="3101">
        <v>161.25441363354233</v>
      </c>
      <c r="J102" s="3105">
        <v>182.36239514512579</v>
      </c>
      <c r="K102" s="3102">
        <v>180.2575250952105</v>
      </c>
      <c r="L102" s="3103">
        <v>179.00365965731876</v>
      </c>
      <c r="M102" s="3103">
        <v>202.18482062759915</v>
      </c>
      <c r="N102" s="3103">
        <v>201.93146373908277</v>
      </c>
      <c r="O102" s="3103">
        <v>125.08643326318817</v>
      </c>
      <c r="P102" s="3103">
        <v>115.53924824550035</v>
      </c>
      <c r="Q102" s="3103">
        <v>116.27010863935887</v>
      </c>
      <c r="R102" s="3103">
        <v>138.13759777346186</v>
      </c>
      <c r="S102" s="3103">
        <v>197.53922010131626</v>
      </c>
      <c r="T102" s="3104">
        <v>122.27317043603591</v>
      </c>
    </row>
    <row r="103" spans="1:20">
      <c r="A103" s="329">
        <f t="shared" si="1"/>
        <v>2011.1</v>
      </c>
      <c r="B103" s="2591">
        <v>129.56739380532707</v>
      </c>
      <c r="C103" s="3122">
        <f t="shared" si="2"/>
        <v>-2.2697595449226893E-2</v>
      </c>
      <c r="D103" s="2663">
        <v>3.6000000000000004E-2</v>
      </c>
      <c r="E103" s="3100">
        <v>35.859273561132973</v>
      </c>
      <c r="F103" s="3101">
        <v>45.113029924645595</v>
      </c>
      <c r="G103" s="3101">
        <v>153.89401253282134</v>
      </c>
      <c r="H103" s="3101">
        <v>139.9305358060698</v>
      </c>
      <c r="I103" s="3101">
        <v>129.9251423609366</v>
      </c>
      <c r="J103" s="3105">
        <v>180.85539373994141</v>
      </c>
      <c r="K103" s="3102">
        <v>180.42893086901825</v>
      </c>
      <c r="L103" s="3103">
        <v>179.81302532254983</v>
      </c>
      <c r="M103" s="3103">
        <v>203.27017268146935</v>
      </c>
      <c r="N103" s="3103">
        <v>197.66859064646007</v>
      </c>
      <c r="O103" s="3103">
        <v>114.9803214411248</v>
      </c>
      <c r="P103" s="3103">
        <v>115.38366969466665</v>
      </c>
      <c r="Q103" s="3103">
        <v>115.82807064634108</v>
      </c>
      <c r="R103" s="3103">
        <v>138.88913102437675</v>
      </c>
      <c r="S103" s="3103">
        <v>198.49736184717187</v>
      </c>
      <c r="T103" s="3104">
        <v>131.87149498167105</v>
      </c>
    </row>
    <row r="104" spans="1:20">
      <c r="A104" s="329">
        <f t="shared" si="1"/>
        <v>2011.11</v>
      </c>
      <c r="B104" s="2591">
        <v>133.57209327489227</v>
      </c>
      <c r="C104" s="3122">
        <f t="shared" si="2"/>
        <v>3.0908235104135873E-2</v>
      </c>
      <c r="D104" s="2663">
        <v>4.2999999999999997E-2</v>
      </c>
      <c r="E104" s="3100">
        <v>62.074598347698938</v>
      </c>
      <c r="F104" s="3101">
        <v>39.128161424255275</v>
      </c>
      <c r="G104" s="3101">
        <v>155.72978973091546</v>
      </c>
      <c r="H104" s="3101">
        <v>132.99347681499322</v>
      </c>
      <c r="I104" s="3101">
        <v>155.70947438661619</v>
      </c>
      <c r="J104" s="3105">
        <v>185.92841257714801</v>
      </c>
      <c r="K104" s="3102">
        <v>180.54099622219974</v>
      </c>
      <c r="L104" s="3103">
        <v>182.93645289570773</v>
      </c>
      <c r="M104" s="3103">
        <v>207.52144067562594</v>
      </c>
      <c r="N104" s="3103">
        <v>197.80307745163913</v>
      </c>
      <c r="O104" s="3103">
        <v>114.01586236620045</v>
      </c>
      <c r="P104" s="3103">
        <v>115.12039638262003</v>
      </c>
      <c r="Q104" s="3103">
        <v>115.33481829996161</v>
      </c>
      <c r="R104" s="3103">
        <v>139.74322431466481</v>
      </c>
      <c r="S104" s="3103">
        <v>197.96284415011914</v>
      </c>
      <c r="T104" s="3104">
        <v>136.33402890099083</v>
      </c>
    </row>
    <row r="105" spans="1:20">
      <c r="A105" s="329">
        <f t="shared" si="1"/>
        <v>2011.12</v>
      </c>
      <c r="B105" s="2591">
        <v>135.43461843113934</v>
      </c>
      <c r="C105" s="3122">
        <f t="shared" si="2"/>
        <v>1.3943969212296237E-2</v>
      </c>
      <c r="D105" s="2663">
        <v>1.4999999999999999E-2</v>
      </c>
      <c r="E105" s="3100">
        <v>55.0827399695469</v>
      </c>
      <c r="F105" s="3101">
        <v>43.776065772183522</v>
      </c>
      <c r="G105" s="3101">
        <v>138.90806356729962</v>
      </c>
      <c r="H105" s="3101">
        <v>130.21180382364088</v>
      </c>
      <c r="I105" s="3101">
        <v>158.90926444550524</v>
      </c>
      <c r="J105" s="3105">
        <v>206.8964305906006</v>
      </c>
      <c r="K105" s="3102">
        <v>194.14045796025377</v>
      </c>
      <c r="L105" s="3103">
        <v>182.45060485114334</v>
      </c>
      <c r="M105" s="3103">
        <v>211.01788587504799</v>
      </c>
      <c r="N105" s="3103">
        <v>207.73457736635041</v>
      </c>
      <c r="O105" s="3103">
        <v>119.66670934845219</v>
      </c>
      <c r="P105" s="3103">
        <v>115.09648175481345</v>
      </c>
      <c r="Q105" s="3103">
        <v>114.74114735090484</v>
      </c>
      <c r="R105" s="3103">
        <v>138.67134980726055</v>
      </c>
      <c r="S105" s="3103">
        <v>199.69598782929194</v>
      </c>
      <c r="T105" s="3104">
        <v>136.63235630169618</v>
      </c>
    </row>
    <row r="106" spans="1:20">
      <c r="A106" s="329">
        <f t="shared" si="1"/>
        <v>2012.01</v>
      </c>
      <c r="B106" s="2591">
        <v>119.23120141362061</v>
      </c>
      <c r="C106" s="3122">
        <f t="shared" si="2"/>
        <v>-0.11964014227098985</v>
      </c>
      <c r="D106" s="2663">
        <v>-4.0000000000000001E-3</v>
      </c>
      <c r="E106" s="3106">
        <v>40.516811224172436</v>
      </c>
      <c r="F106" s="3107">
        <v>17.197062439013624</v>
      </c>
      <c r="G106" s="3107">
        <v>163.37481996341131</v>
      </c>
      <c r="H106" s="3107">
        <v>108.64420257416074</v>
      </c>
      <c r="I106" s="3107">
        <v>172.52387412731713</v>
      </c>
      <c r="J106" s="3108">
        <v>154.50020143708318</v>
      </c>
      <c r="K106" s="3102">
        <v>170.46385020407669</v>
      </c>
      <c r="L106" s="3103">
        <v>180.50987923968648</v>
      </c>
      <c r="M106" s="3103">
        <v>183.36601217179717</v>
      </c>
      <c r="N106" s="3103">
        <v>210.2390287937946</v>
      </c>
      <c r="O106" s="3103">
        <v>114.91704264126064</v>
      </c>
      <c r="P106" s="3103">
        <v>118.99080841259848</v>
      </c>
      <c r="Q106" s="3103">
        <v>113.41913180388462</v>
      </c>
      <c r="R106" s="3103">
        <v>150.27829513057023</v>
      </c>
      <c r="S106" s="3103">
        <v>198.57550943716041</v>
      </c>
      <c r="T106" s="3104">
        <v>134.45574385583302</v>
      </c>
    </row>
    <row r="107" spans="1:20">
      <c r="A107" s="329">
        <f t="shared" si="1"/>
        <v>2012.02</v>
      </c>
      <c r="B107" s="2591">
        <v>121.99412836224214</v>
      </c>
      <c r="C107" s="3122">
        <f t="shared" si="2"/>
        <v>2.3172851702103925E-2</v>
      </c>
      <c r="D107" s="2663">
        <v>4.7E-2</v>
      </c>
      <c r="E107" s="3106">
        <v>51.205472667465088</v>
      </c>
      <c r="F107" s="3107">
        <v>51.079078604164643</v>
      </c>
      <c r="G107" s="3107">
        <v>145.11385318723916</v>
      </c>
      <c r="H107" s="3107">
        <v>121.53528798011513</v>
      </c>
      <c r="I107" s="3107">
        <v>173.01523207916503</v>
      </c>
      <c r="J107" s="3108">
        <v>159.92286030444669</v>
      </c>
      <c r="K107" s="3102">
        <v>151.2495227364326</v>
      </c>
      <c r="L107" s="3103">
        <v>179.92370749145124</v>
      </c>
      <c r="M107" s="3103">
        <v>184.18452402320563</v>
      </c>
      <c r="N107" s="3103">
        <v>205.71041288578087</v>
      </c>
      <c r="O107" s="3103">
        <v>119.8988824362585</v>
      </c>
      <c r="P107" s="3103">
        <v>118.57463989391985</v>
      </c>
      <c r="Q107" s="3103">
        <v>112.63323746631455</v>
      </c>
      <c r="R107" s="3103">
        <v>147.76246606020408</v>
      </c>
      <c r="S107" s="3103">
        <v>196.52974992359151</v>
      </c>
      <c r="T107" s="3104">
        <v>128.94720527583607</v>
      </c>
    </row>
    <row r="108" spans="1:20">
      <c r="A108" s="329">
        <f t="shared" si="1"/>
        <v>2012.03</v>
      </c>
      <c r="B108" s="2591">
        <v>171.38787280835609</v>
      </c>
      <c r="C108" s="3122">
        <f t="shared" si="2"/>
        <v>0.40488624419240171</v>
      </c>
      <c r="D108" s="2663">
        <v>6.0000000000000001E-3</v>
      </c>
      <c r="E108" s="3106">
        <v>223.01070777061858</v>
      </c>
      <c r="F108" s="3107">
        <v>55.626302734086444</v>
      </c>
      <c r="G108" s="3107">
        <v>146.37605870827664</v>
      </c>
      <c r="H108" s="3107">
        <v>145.55736084832228</v>
      </c>
      <c r="I108" s="3107">
        <v>194.86345393759018</v>
      </c>
      <c r="J108" s="3108">
        <v>172.52353834411969</v>
      </c>
      <c r="K108" s="3102">
        <v>174.62993721499777</v>
      </c>
      <c r="L108" s="3103">
        <v>177.51487565097315</v>
      </c>
      <c r="M108" s="3103">
        <v>229.51258428442617</v>
      </c>
      <c r="N108" s="3103">
        <v>219.79596383814749</v>
      </c>
      <c r="O108" s="3103">
        <v>126.87359008074961</v>
      </c>
      <c r="P108" s="3103">
        <v>120.18619148546298</v>
      </c>
      <c r="Q108" s="3103">
        <v>112.48300637386585</v>
      </c>
      <c r="R108" s="3103">
        <v>149.03356017523225</v>
      </c>
      <c r="S108" s="3103">
        <v>195.89933952159669</v>
      </c>
      <c r="T108" s="3104">
        <v>117.17142997780216</v>
      </c>
    </row>
    <row r="109" spans="1:20">
      <c r="A109" s="329">
        <f t="shared" si="1"/>
        <v>2012.04</v>
      </c>
      <c r="B109" s="2591">
        <v>181.12199575294545</v>
      </c>
      <c r="C109" s="3122">
        <f t="shared" si="2"/>
        <v>5.6795867671885603E-2</v>
      </c>
      <c r="D109" s="2663">
        <v>-5.7999999999999996E-2</v>
      </c>
      <c r="E109" s="3106">
        <v>304.45486974226856</v>
      </c>
      <c r="F109" s="3107">
        <v>23.20982120901953</v>
      </c>
      <c r="G109" s="3107">
        <v>149.02206431094734</v>
      </c>
      <c r="H109" s="3107">
        <v>134.96055632689047</v>
      </c>
      <c r="I109" s="3107">
        <v>180.62283547888512</v>
      </c>
      <c r="J109" s="3108">
        <v>158.28839610004505</v>
      </c>
      <c r="K109" s="3102">
        <v>161.96919499079939</v>
      </c>
      <c r="L109" s="3103">
        <v>181.11943316657087</v>
      </c>
      <c r="M109" s="3103">
        <v>234.83042106207125</v>
      </c>
      <c r="N109" s="3103">
        <v>207.47626911199356</v>
      </c>
      <c r="O109" s="3103">
        <v>118.49373950045401</v>
      </c>
      <c r="P109" s="3103">
        <v>121.34504428244375</v>
      </c>
      <c r="Q109" s="3103">
        <v>114.40467397708379</v>
      </c>
      <c r="R109" s="3103">
        <v>149.16586914166999</v>
      </c>
      <c r="S109" s="3103">
        <v>194.66060898117843</v>
      </c>
      <c r="T109" s="3104">
        <v>108.28377431146559</v>
      </c>
    </row>
    <row r="110" spans="1:20">
      <c r="A110" s="329">
        <f t="shared" si="1"/>
        <v>2012.05</v>
      </c>
      <c r="B110" s="2591">
        <v>162.67433690042475</v>
      </c>
      <c r="C110" s="3122">
        <f t="shared" si="2"/>
        <v>-0.1018521178271673</v>
      </c>
      <c r="D110" s="2663">
        <v>-3.3000000000000002E-2</v>
      </c>
      <c r="E110" s="3106">
        <v>190.43622376325021</v>
      </c>
      <c r="F110" s="3107">
        <v>28.104601472753671</v>
      </c>
      <c r="G110" s="3107">
        <v>149.17866577164193</v>
      </c>
      <c r="H110" s="3107">
        <v>139.16877807733206</v>
      </c>
      <c r="I110" s="3107">
        <v>188.5181380338378</v>
      </c>
      <c r="J110" s="3108">
        <v>178.09454133986696</v>
      </c>
      <c r="K110" s="3102">
        <v>178.03353602883226</v>
      </c>
      <c r="L110" s="3103">
        <v>176.88821269152459</v>
      </c>
      <c r="M110" s="3103">
        <v>220.84323203912308</v>
      </c>
      <c r="N110" s="3103">
        <v>211.38872506112074</v>
      </c>
      <c r="O110" s="3103">
        <v>122.38521855233012</v>
      </c>
      <c r="P110" s="3103">
        <v>121.3817136535697</v>
      </c>
      <c r="Q110" s="3103">
        <v>113.80798405635049</v>
      </c>
      <c r="R110" s="3103">
        <v>149.24350451988502</v>
      </c>
      <c r="S110" s="3103">
        <v>194.36596578000555</v>
      </c>
      <c r="T110" s="3104">
        <v>107.00620831825239</v>
      </c>
    </row>
    <row r="111" spans="1:20">
      <c r="A111" s="329">
        <f t="shared" si="1"/>
        <v>2012.06</v>
      </c>
      <c r="B111" s="2591">
        <v>136.01651760024956</v>
      </c>
      <c r="C111" s="3122">
        <f t="shared" si="2"/>
        <v>-0.16387230959787358</v>
      </c>
      <c r="D111" s="2663">
        <v>4.0000000000000001E-3</v>
      </c>
      <c r="E111" s="3106">
        <v>55.092856579305639</v>
      </c>
      <c r="F111" s="3107">
        <v>34.701013555228826</v>
      </c>
      <c r="G111" s="3107">
        <v>166.21129760401746</v>
      </c>
      <c r="H111" s="3107">
        <v>146.59096064377118</v>
      </c>
      <c r="I111" s="3107">
        <v>190.79484095520212</v>
      </c>
      <c r="J111" s="3108">
        <v>176.0863876697457</v>
      </c>
      <c r="K111" s="3102">
        <v>174.26695718602221</v>
      </c>
      <c r="L111" s="3103">
        <v>177.78126932367104</v>
      </c>
      <c r="M111" s="3103">
        <v>199.43466952168416</v>
      </c>
      <c r="N111" s="3103">
        <v>209.39829755159053</v>
      </c>
      <c r="O111" s="3103">
        <v>124.65937878454484</v>
      </c>
      <c r="P111" s="3103">
        <v>121.17651222550278</v>
      </c>
      <c r="Q111" s="3103">
        <v>114.44848290070593</v>
      </c>
      <c r="R111" s="3103">
        <v>148.79856952635774</v>
      </c>
      <c r="S111" s="3103">
        <v>195.42491237800198</v>
      </c>
      <c r="T111" s="3104">
        <v>111.2197959197602</v>
      </c>
    </row>
    <row r="112" spans="1:20">
      <c r="A112" s="329">
        <f t="shared" si="1"/>
        <v>2012.07</v>
      </c>
      <c r="B112" s="2591">
        <v>132.17343333790743</v>
      </c>
      <c r="C112" s="3122">
        <f t="shared" si="2"/>
        <v>-2.8254540920073401E-2</v>
      </c>
      <c r="D112" s="2663">
        <v>-3.3000000000000002E-2</v>
      </c>
      <c r="E112" s="3106">
        <v>38.255441038733032</v>
      </c>
      <c r="F112" s="3107">
        <v>36.60504128071323</v>
      </c>
      <c r="G112" s="3107">
        <v>193.06260830796302</v>
      </c>
      <c r="H112" s="3107">
        <v>138.38566204990215</v>
      </c>
      <c r="I112" s="3107">
        <v>199.9508231740912</v>
      </c>
      <c r="J112" s="3108">
        <v>168.32051852479486</v>
      </c>
      <c r="K112" s="3102">
        <v>182.31507896516104</v>
      </c>
      <c r="L112" s="3103">
        <v>183.70509226952959</v>
      </c>
      <c r="M112" s="3103">
        <v>200.09193308969228</v>
      </c>
      <c r="N112" s="3103">
        <v>202.59446970942676</v>
      </c>
      <c r="O112" s="3103">
        <v>130.61609288769506</v>
      </c>
      <c r="P112" s="3103">
        <v>121.0875025023209</v>
      </c>
      <c r="Q112" s="3103">
        <v>114.59057318430609</v>
      </c>
      <c r="R112" s="3103">
        <v>148.46656211214591</v>
      </c>
      <c r="S112" s="3103">
        <v>194.64437158943667</v>
      </c>
      <c r="T112" s="3104">
        <v>117.63283213940852</v>
      </c>
    </row>
    <row r="113" spans="1:20">
      <c r="A113" s="329">
        <f t="shared" si="1"/>
        <v>2012.08</v>
      </c>
      <c r="B113" s="2591">
        <v>140.52325454517376</v>
      </c>
      <c r="C113" s="3122">
        <f t="shared" si="2"/>
        <v>6.3173218674887899E-2</v>
      </c>
      <c r="D113" s="2663">
        <v>3.7999999999999999E-2</v>
      </c>
      <c r="E113" s="3106">
        <v>37.738677231383768</v>
      </c>
      <c r="F113" s="3107">
        <v>45.43571589837314</v>
      </c>
      <c r="G113" s="3107">
        <v>126.67597596155329</v>
      </c>
      <c r="H113" s="3107">
        <v>162.34226902962467</v>
      </c>
      <c r="I113" s="3107">
        <v>187.92002567504898</v>
      </c>
      <c r="J113" s="3108">
        <v>180.75118561987622</v>
      </c>
      <c r="K113" s="3102">
        <v>183.57500462568424</v>
      </c>
      <c r="L113" s="3103">
        <v>184.51497485236939</v>
      </c>
      <c r="M113" s="3103">
        <v>212.86706073118779</v>
      </c>
      <c r="N113" s="3103">
        <v>209.4463654589149</v>
      </c>
      <c r="O113" s="3103">
        <v>134.52928711469883</v>
      </c>
      <c r="P113" s="3103">
        <v>121.16670345027137</v>
      </c>
      <c r="Q113" s="3103">
        <v>114.633321480219</v>
      </c>
      <c r="R113" s="3103">
        <v>152.56376458610919</v>
      </c>
      <c r="S113" s="3103">
        <v>193.68650785352369</v>
      </c>
      <c r="T113" s="3104">
        <v>120.28404897755466</v>
      </c>
    </row>
    <row r="114" spans="1:20">
      <c r="A114" s="329">
        <f t="shared" si="1"/>
        <v>2012.09</v>
      </c>
      <c r="B114" s="2591">
        <v>128.03975076494169</v>
      </c>
      <c r="C114" s="3122">
        <f t="shared" si="2"/>
        <v>-8.883585724396259E-2</v>
      </c>
      <c r="D114" s="2663">
        <v>-3.4000000000000002E-2</v>
      </c>
      <c r="E114" s="3106">
        <v>34.577329838137381</v>
      </c>
      <c r="F114" s="3107">
        <v>46.375962557234899</v>
      </c>
      <c r="G114" s="3107">
        <v>139.85414342058544</v>
      </c>
      <c r="H114" s="3107">
        <v>134.01718143822484</v>
      </c>
      <c r="I114" s="3107">
        <v>181.44893486031893</v>
      </c>
      <c r="J114" s="3108">
        <v>160.83841175619895</v>
      </c>
      <c r="K114" s="3102">
        <v>174.56289173786752</v>
      </c>
      <c r="L114" s="3103">
        <v>186.68122249273333</v>
      </c>
      <c r="M114" s="3103">
        <v>202.88814108738282</v>
      </c>
      <c r="N114" s="3103">
        <v>196.53548791046808</v>
      </c>
      <c r="O114" s="3103">
        <v>125.87352656852713</v>
      </c>
      <c r="P114" s="3103">
        <v>121.24786379486332</v>
      </c>
      <c r="Q114" s="3103">
        <v>114.63764942388319</v>
      </c>
      <c r="R114" s="3103">
        <v>152.63621253877406</v>
      </c>
      <c r="S114" s="3103">
        <v>194.01826323665864</v>
      </c>
      <c r="T114" s="3104">
        <v>122.6775501970602</v>
      </c>
    </row>
    <row r="115" spans="1:20">
      <c r="A115" s="329">
        <f t="shared" si="1"/>
        <v>2012.1</v>
      </c>
      <c r="B115" s="2591">
        <v>134.1423939424796</v>
      </c>
      <c r="C115" s="3122">
        <f t="shared" si="2"/>
        <v>4.7662098224021676E-2</v>
      </c>
      <c r="D115" s="2663">
        <v>3.5000000000000003E-2</v>
      </c>
      <c r="E115" s="3106">
        <v>36.635131717098432</v>
      </c>
      <c r="F115" s="3107">
        <v>49.799559923022343</v>
      </c>
      <c r="G115" s="3107">
        <v>141.32706230752677</v>
      </c>
      <c r="H115" s="3107">
        <v>145.93062126477508</v>
      </c>
      <c r="I115" s="3107">
        <v>188.55022998629534</v>
      </c>
      <c r="J115" s="3108">
        <v>164.07375016764419</v>
      </c>
      <c r="K115" s="3102">
        <v>188.04104312914919</v>
      </c>
      <c r="L115" s="3103">
        <v>189.58150855879938</v>
      </c>
      <c r="M115" s="3103">
        <v>213.4943809412708</v>
      </c>
      <c r="N115" s="3103">
        <v>200.98411629117211</v>
      </c>
      <c r="O115" s="3103">
        <v>115.49020760364775</v>
      </c>
      <c r="P115" s="3103">
        <v>122.74668007990797</v>
      </c>
      <c r="Q115" s="3103">
        <v>114.8197028279575</v>
      </c>
      <c r="R115" s="3103">
        <v>152.92669172271633</v>
      </c>
      <c r="S115" s="3103">
        <v>195.22377592878686</v>
      </c>
      <c r="T115" s="3104">
        <v>120.63094987789366</v>
      </c>
    </row>
    <row r="116" spans="1:20">
      <c r="A116" s="329">
        <f t="shared" si="1"/>
        <v>2012.11</v>
      </c>
      <c r="B116" s="2591">
        <v>132.46962692521188</v>
      </c>
      <c r="C116" s="3122">
        <f t="shared" si="2"/>
        <v>-1.2470084721948549E-2</v>
      </c>
      <c r="D116" s="2663">
        <v>-8.0000000000000002E-3</v>
      </c>
      <c r="E116" s="3106">
        <v>59.193503136415728</v>
      </c>
      <c r="F116" s="3107">
        <v>43.578945263672544</v>
      </c>
      <c r="G116" s="3107">
        <v>144.7170916597</v>
      </c>
      <c r="H116" s="3107">
        <v>126.46573537136263</v>
      </c>
      <c r="I116" s="3107">
        <v>180.61396955230765</v>
      </c>
      <c r="J116" s="3108">
        <v>178.24700078962044</v>
      </c>
      <c r="K116" s="3102">
        <v>183.37278787688248</v>
      </c>
      <c r="L116" s="3103">
        <v>189.5144212414871</v>
      </c>
      <c r="M116" s="3103">
        <v>211.21495780674707</v>
      </c>
      <c r="N116" s="3103">
        <v>200.35849061929736</v>
      </c>
      <c r="O116" s="3103">
        <v>113.6430554202099</v>
      </c>
      <c r="P116" s="3103">
        <v>122.75501450695052</v>
      </c>
      <c r="Q116" s="3103">
        <v>115.16111645935801</v>
      </c>
      <c r="R116" s="3103">
        <v>153.31476877164394</v>
      </c>
      <c r="S116" s="3103">
        <v>196.41038619856263</v>
      </c>
      <c r="T116" s="3104">
        <v>120.78885435031818</v>
      </c>
    </row>
    <row r="117" spans="1:20">
      <c r="A117" s="329">
        <f t="shared" si="1"/>
        <v>2012.12</v>
      </c>
      <c r="B117" s="2591">
        <v>142.23713453249911</v>
      </c>
      <c r="C117" s="3122">
        <f t="shared" si="2"/>
        <v>7.3733940632305428E-2</v>
      </c>
      <c r="D117" s="2663">
        <v>0.05</v>
      </c>
      <c r="E117" s="3106">
        <v>60.792203132898038</v>
      </c>
      <c r="F117" s="3107">
        <v>32.906750307541095</v>
      </c>
      <c r="G117" s="3107">
        <v>102.52841263427661</v>
      </c>
      <c r="H117" s="3107">
        <v>144.13247556099375</v>
      </c>
      <c r="I117" s="3107">
        <v>192.14693791995001</v>
      </c>
      <c r="J117" s="3108">
        <v>167.90642011205503</v>
      </c>
      <c r="K117" s="3102">
        <v>201.14428952658068</v>
      </c>
      <c r="L117" s="3103">
        <v>189.04056082228698</v>
      </c>
      <c r="M117" s="3103">
        <v>223.89835116343497</v>
      </c>
      <c r="N117" s="3103">
        <v>214.52289176549257</v>
      </c>
      <c r="O117" s="3103">
        <v>118.80825712509332</v>
      </c>
      <c r="P117" s="3103">
        <v>122.79577929889459</v>
      </c>
      <c r="Q117" s="3103">
        <v>115.51468228652635</v>
      </c>
      <c r="R117" s="3103">
        <v>153.92767756304852</v>
      </c>
      <c r="S117" s="3103">
        <v>198.57238841989903</v>
      </c>
      <c r="T117" s="3104">
        <v>121.112572344263</v>
      </c>
    </row>
    <row r="118" spans="1:20">
      <c r="A118" s="329">
        <f t="shared" si="1"/>
        <v>2013.01</v>
      </c>
      <c r="B118" s="2591">
        <v>117.28014972428288</v>
      </c>
      <c r="C118" s="3122">
        <f t="shared" si="2"/>
        <v>-0.17546040202682744</v>
      </c>
      <c r="D118" s="2663">
        <v>-1.6E-2</v>
      </c>
      <c r="E118" s="3106">
        <v>39.436367235109735</v>
      </c>
      <c r="F118" s="3107">
        <v>10.220358353199382</v>
      </c>
      <c r="G118" s="3107">
        <v>185.28418230363712</v>
      </c>
      <c r="H118" s="3107">
        <v>101.52930293049131</v>
      </c>
      <c r="I118" s="3107">
        <v>207.07971963566365</v>
      </c>
      <c r="J118" s="3108">
        <v>155.22969740783418</v>
      </c>
      <c r="K118" s="3102">
        <v>164.77469389572309</v>
      </c>
      <c r="L118" s="3103">
        <v>187.2712910931503</v>
      </c>
      <c r="M118" s="3103">
        <v>194.78015333352744</v>
      </c>
      <c r="N118" s="3103">
        <v>214.0524517712895</v>
      </c>
      <c r="O118" s="3103">
        <v>113.1719439665118</v>
      </c>
      <c r="P118" s="3103">
        <v>122.99725854180674</v>
      </c>
      <c r="Q118" s="3103">
        <v>115.62978343082789</v>
      </c>
      <c r="R118" s="3103">
        <v>154.90807684158762</v>
      </c>
      <c r="S118" s="3103">
        <v>194.39012601825169</v>
      </c>
      <c r="T118" s="3104">
        <v>126.49997782437813</v>
      </c>
    </row>
    <row r="119" spans="1:20">
      <c r="A119" s="329">
        <f t="shared" si="1"/>
        <v>2013.02</v>
      </c>
      <c r="B119" s="2591">
        <v>118.86166557835912</v>
      </c>
      <c r="C119" s="3122">
        <f t="shared" si="2"/>
        <v>1.3484940612663587E-2</v>
      </c>
      <c r="D119" s="2663">
        <v>-2.6000000000000002E-2</v>
      </c>
      <c r="E119" s="3106">
        <v>56.726957326000885</v>
      </c>
      <c r="F119" s="3107">
        <v>13.344701109007751</v>
      </c>
      <c r="G119" s="3107">
        <v>157.00666958631848</v>
      </c>
      <c r="H119" s="3107">
        <v>105.54058256203854</v>
      </c>
      <c r="I119" s="3107">
        <v>199.58201174165393</v>
      </c>
      <c r="J119" s="3108">
        <v>165.35048637286752</v>
      </c>
      <c r="K119" s="3102">
        <v>145.57812133565716</v>
      </c>
      <c r="L119" s="3103">
        <v>187.56726060109426</v>
      </c>
      <c r="M119" s="3103">
        <v>192.52427567417337</v>
      </c>
      <c r="N119" s="3103">
        <v>207.19704948676673</v>
      </c>
      <c r="O119" s="3103">
        <v>117.8048064355459</v>
      </c>
      <c r="P119" s="3103">
        <v>123.19708034656776</v>
      </c>
      <c r="Q119" s="3103">
        <v>115.88922373050741</v>
      </c>
      <c r="R119" s="3103">
        <v>155.04864617841235</v>
      </c>
      <c r="S119" s="3103">
        <v>194.0063285312192</v>
      </c>
      <c r="T119" s="3104">
        <v>126.6452681974129</v>
      </c>
    </row>
    <row r="120" spans="1:20">
      <c r="A120" s="329">
        <f t="shared" si="1"/>
        <v>2013.03</v>
      </c>
      <c r="B120" s="2591">
        <v>179.01729935023255</v>
      </c>
      <c r="C120" s="3122">
        <f t="shared" si="2"/>
        <v>0.50609785315700506</v>
      </c>
      <c r="D120" s="2663">
        <v>4.4999999999999998E-2</v>
      </c>
      <c r="E120" s="3106">
        <v>276.24321170636273</v>
      </c>
      <c r="F120" s="3107">
        <v>19.571660563221872</v>
      </c>
      <c r="G120" s="3107">
        <v>155.72741600141254</v>
      </c>
      <c r="H120" s="3107">
        <v>135.04691479572236</v>
      </c>
      <c r="I120" s="3107">
        <v>180.72732391573379</v>
      </c>
      <c r="J120" s="3108">
        <v>165.95227340730256</v>
      </c>
      <c r="K120" s="3102">
        <v>167.23701540404264</v>
      </c>
      <c r="L120" s="3103">
        <v>189.9590538395781</v>
      </c>
      <c r="M120" s="3103">
        <v>252.36605810948578</v>
      </c>
      <c r="N120" s="3103">
        <v>215.86167878360013</v>
      </c>
      <c r="O120" s="3103">
        <v>127.18634688333539</v>
      </c>
      <c r="P120" s="3103">
        <v>123.18661348373027</v>
      </c>
      <c r="Q120" s="3103">
        <v>116.35581653268216</v>
      </c>
      <c r="R120" s="3103">
        <v>155.19927007457426</v>
      </c>
      <c r="S120" s="3103">
        <v>193.22133136606652</v>
      </c>
      <c r="T120" s="3104">
        <v>118.14946597349979</v>
      </c>
    </row>
    <row r="121" spans="1:20">
      <c r="A121" s="329">
        <f t="shared" si="1"/>
        <v>2013.04</v>
      </c>
      <c r="B121" s="2591">
        <v>200.41918137350936</v>
      </c>
      <c r="C121" s="3122">
        <f t="shared" si="2"/>
        <v>0.11955203268599091</v>
      </c>
      <c r="D121" s="2663">
        <v>0.107</v>
      </c>
      <c r="E121" s="3106">
        <v>386.24504920677828</v>
      </c>
      <c r="F121" s="3107">
        <v>12.13363611191957</v>
      </c>
      <c r="G121" s="3107">
        <v>177.41089034567986</v>
      </c>
      <c r="H121" s="3107">
        <v>132.26781525812174</v>
      </c>
      <c r="I121" s="3107">
        <v>195.41908425732984</v>
      </c>
      <c r="J121" s="3108">
        <v>170.2546286849965</v>
      </c>
      <c r="K121" s="3102">
        <v>166.54349592881022</v>
      </c>
      <c r="L121" s="3103">
        <v>183.19271245595419</v>
      </c>
      <c r="M121" s="3103">
        <v>264.37091489968884</v>
      </c>
      <c r="N121" s="3103">
        <v>211.71566010746835</v>
      </c>
      <c r="O121" s="3103">
        <v>120.67500996751583</v>
      </c>
      <c r="P121" s="3103">
        <v>123.73845611483367</v>
      </c>
      <c r="Q121" s="3103">
        <v>116.68510356702964</v>
      </c>
      <c r="R121" s="3103">
        <v>155.44314396959913</v>
      </c>
      <c r="S121" s="3103">
        <v>194.85208422571637</v>
      </c>
      <c r="T121" s="3104">
        <v>111.33892322861166</v>
      </c>
    </row>
    <row r="122" spans="1:20">
      <c r="A122" s="329">
        <f t="shared" ref="A122:A185" si="3">A110+1</f>
        <v>2013.05</v>
      </c>
      <c r="B122" s="2591">
        <v>177.45560113572466</v>
      </c>
      <c r="C122" s="3122">
        <f t="shared" si="2"/>
        <v>-0.11457775688140759</v>
      </c>
      <c r="D122" s="2663">
        <v>9.0999999999999998E-2</v>
      </c>
      <c r="E122" s="3106">
        <v>236.52316784914805</v>
      </c>
      <c r="F122" s="3107">
        <v>15.948781641278526</v>
      </c>
      <c r="G122" s="3107">
        <v>170.01723691000689</v>
      </c>
      <c r="H122" s="3107">
        <v>141.73610249709168</v>
      </c>
      <c r="I122" s="3107">
        <v>212.36589464977061</v>
      </c>
      <c r="J122" s="3108">
        <v>198.71317411992217</v>
      </c>
      <c r="K122" s="3102">
        <v>185.8810426954588</v>
      </c>
      <c r="L122" s="3103">
        <v>185.45324283195913</v>
      </c>
      <c r="M122" s="3103">
        <v>246.51005049752314</v>
      </c>
      <c r="N122" s="3103">
        <v>210.57410743929336</v>
      </c>
      <c r="O122" s="3103">
        <v>125.40548679434939</v>
      </c>
      <c r="P122" s="3103">
        <v>126.80857456095841</v>
      </c>
      <c r="Q122" s="3103">
        <v>120.64388648554724</v>
      </c>
      <c r="R122" s="3103">
        <v>155.72381967063902</v>
      </c>
      <c r="S122" s="3103">
        <v>200.68518046136796</v>
      </c>
      <c r="T122" s="3104">
        <v>111.76553347446873</v>
      </c>
    </row>
    <row r="123" spans="1:20">
      <c r="A123" s="329">
        <f t="shared" si="3"/>
        <v>2013.06</v>
      </c>
      <c r="B123" s="2591">
        <v>145.26616657703954</v>
      </c>
      <c r="C123" s="3122">
        <f t="shared" si="2"/>
        <v>-0.18139430005404811</v>
      </c>
      <c r="D123" s="2663">
        <v>6.8000000000000005E-2</v>
      </c>
      <c r="E123" s="3106">
        <v>64.430268765038051</v>
      </c>
      <c r="F123" s="3107">
        <v>15.062568974760762</v>
      </c>
      <c r="G123" s="3107">
        <v>175.77725702874852</v>
      </c>
      <c r="H123" s="3107">
        <v>163.26216288697606</v>
      </c>
      <c r="I123" s="3107">
        <v>189.2060384744</v>
      </c>
      <c r="J123" s="3108">
        <v>168.59036075703969</v>
      </c>
      <c r="K123" s="3102">
        <v>177.6971612361144</v>
      </c>
      <c r="L123" s="3103">
        <v>185.49619447692919</v>
      </c>
      <c r="M123" s="3103">
        <v>224.23351260539022</v>
      </c>
      <c r="N123" s="3103">
        <v>225.3976244956217</v>
      </c>
      <c r="O123" s="3103">
        <v>124.83985607755245</v>
      </c>
      <c r="P123" s="3103">
        <v>124.72710767287268</v>
      </c>
      <c r="Q123" s="3103">
        <v>122.44887962734515</v>
      </c>
      <c r="R123" s="3103">
        <v>156.31611457206486</v>
      </c>
      <c r="S123" s="3103">
        <v>194.79929083342537</v>
      </c>
      <c r="T123" s="3104">
        <v>115.7012992675988</v>
      </c>
    </row>
    <row r="124" spans="1:20">
      <c r="A124" s="329">
        <f t="shared" si="3"/>
        <v>2013.07</v>
      </c>
      <c r="B124" s="2591">
        <v>140.52293864109714</v>
      </c>
      <c r="C124" s="3122">
        <f t="shared" si="2"/>
        <v>-3.265197979480583E-2</v>
      </c>
      <c r="D124" s="2663">
        <v>6.3E-2</v>
      </c>
      <c r="E124" s="3106">
        <v>41.242677851235065</v>
      </c>
      <c r="F124" s="3107">
        <v>16.597101595127928</v>
      </c>
      <c r="G124" s="3107">
        <v>213.6623870504288</v>
      </c>
      <c r="H124" s="3107">
        <v>150.56026872468621</v>
      </c>
      <c r="I124" s="3107">
        <v>204.53026385039516</v>
      </c>
      <c r="J124" s="3108">
        <v>180.29584405846791</v>
      </c>
      <c r="K124" s="3102">
        <v>190.59027899913104</v>
      </c>
      <c r="L124" s="3103">
        <v>190.82367439325031</v>
      </c>
      <c r="M124" s="3103">
        <v>222.72228631481553</v>
      </c>
      <c r="N124" s="3103">
        <v>222.94398619989332</v>
      </c>
      <c r="O124" s="3103">
        <v>132.67135141189848</v>
      </c>
      <c r="P124" s="3103">
        <v>126.57702116498376</v>
      </c>
      <c r="Q124" s="3103">
        <v>121.02851253827289</v>
      </c>
      <c r="R124" s="3103">
        <v>156.74234612614424</v>
      </c>
      <c r="S124" s="3103">
        <v>189.15677398439874</v>
      </c>
      <c r="T124" s="3104">
        <v>119.25510012419444</v>
      </c>
    </row>
    <row r="125" spans="1:20">
      <c r="A125" s="329">
        <f t="shared" si="3"/>
        <v>2013.08</v>
      </c>
      <c r="B125" s="2591">
        <v>139.87102737594466</v>
      </c>
      <c r="C125" s="3122">
        <f t="shared" si="2"/>
        <v>-4.6391804174938933E-3</v>
      </c>
      <c r="D125" s="2663">
        <v>-5.0000000000000001E-3</v>
      </c>
      <c r="E125" s="3106">
        <v>39.974598660436804</v>
      </c>
      <c r="F125" s="3107">
        <v>20.024529082885362</v>
      </c>
      <c r="G125" s="3107">
        <v>178.44551450143652</v>
      </c>
      <c r="H125" s="3107">
        <v>149.25320131468757</v>
      </c>
      <c r="I125" s="3107">
        <v>195.06554268057829</v>
      </c>
      <c r="J125" s="3108">
        <v>206.15119505860778</v>
      </c>
      <c r="K125" s="3102">
        <v>182.23445907095027</v>
      </c>
      <c r="L125" s="3103">
        <v>190.80549781925836</v>
      </c>
      <c r="M125" s="3103">
        <v>225.17771051674242</v>
      </c>
      <c r="N125" s="3103">
        <v>231.59133069657435</v>
      </c>
      <c r="O125" s="3103">
        <v>137.21356767933526</v>
      </c>
      <c r="P125" s="3103">
        <v>126.58132299606939</v>
      </c>
      <c r="Q125" s="3103">
        <v>121.11937916571551</v>
      </c>
      <c r="R125" s="3103">
        <v>157.43109515888594</v>
      </c>
      <c r="S125" s="3103">
        <v>187.89082999977893</v>
      </c>
      <c r="T125" s="3104">
        <v>121.74714405751384</v>
      </c>
    </row>
    <row r="126" spans="1:20">
      <c r="A126" s="329">
        <f t="shared" si="3"/>
        <v>2013.09</v>
      </c>
      <c r="B126" s="2591">
        <v>134.65601697655197</v>
      </c>
      <c r="C126" s="3122">
        <f t="shared" si="2"/>
        <v>-3.7284421922317179E-2</v>
      </c>
      <c r="D126" s="2663">
        <v>5.2000000000000005E-2</v>
      </c>
      <c r="E126" s="3106">
        <v>35.14833297576299</v>
      </c>
      <c r="F126" s="3107">
        <v>21.680915944898707</v>
      </c>
      <c r="G126" s="3107">
        <v>203.28528508069758</v>
      </c>
      <c r="H126" s="3107">
        <v>141.43161781274662</v>
      </c>
      <c r="I126" s="3107">
        <v>182.01543503937322</v>
      </c>
      <c r="J126" s="3108">
        <v>184.51215015549295</v>
      </c>
      <c r="K126" s="3102">
        <v>180.87412735154632</v>
      </c>
      <c r="L126" s="3103">
        <v>189.34723676250229</v>
      </c>
      <c r="M126" s="3103">
        <v>220.18524908686925</v>
      </c>
      <c r="N126" s="3103">
        <v>225.67659697018766</v>
      </c>
      <c r="O126" s="3103">
        <v>130.16636247003433</v>
      </c>
      <c r="P126" s="3103">
        <v>126.46122990476816</v>
      </c>
      <c r="Q126" s="3103">
        <v>120.98613004793825</v>
      </c>
      <c r="R126" s="3103">
        <v>158.46261713935817</v>
      </c>
      <c r="S126" s="3103">
        <v>191.79052217752511</v>
      </c>
      <c r="T126" s="3104">
        <v>124.09560056510641</v>
      </c>
    </row>
    <row r="127" spans="1:20">
      <c r="A127" s="329">
        <f t="shared" si="3"/>
        <v>2013.1</v>
      </c>
      <c r="B127" s="2591">
        <v>142.71572136213521</v>
      </c>
      <c r="C127" s="3122">
        <f t="shared" si="2"/>
        <v>5.9854023359288133E-2</v>
      </c>
      <c r="D127" s="2663">
        <v>6.4000000000000001E-2</v>
      </c>
      <c r="E127" s="3106">
        <v>37.150069781792276</v>
      </c>
      <c r="F127" s="3107">
        <v>24.866573539571775</v>
      </c>
      <c r="G127" s="3107">
        <v>205.29015395599762</v>
      </c>
      <c r="H127" s="3107">
        <v>158.73973030446939</v>
      </c>
      <c r="I127" s="3107">
        <v>200.6943271470154</v>
      </c>
      <c r="J127" s="3108">
        <v>186.95165827222345</v>
      </c>
      <c r="K127" s="3102">
        <v>196.41602042590489</v>
      </c>
      <c r="L127" s="3103">
        <v>195.83855551704258</v>
      </c>
      <c r="M127" s="3103">
        <v>233.44346285670801</v>
      </c>
      <c r="N127" s="3103">
        <v>217.9534239351411</v>
      </c>
      <c r="O127" s="3103">
        <v>120.5423420829899</v>
      </c>
      <c r="P127" s="3103">
        <v>127.79402854670346</v>
      </c>
      <c r="Q127" s="3103">
        <v>120.83047668964397</v>
      </c>
      <c r="R127" s="3103">
        <v>159.50007660170587</v>
      </c>
      <c r="S127" s="3103">
        <v>191.87396065753234</v>
      </c>
      <c r="T127" s="3104">
        <v>124.40788511127437</v>
      </c>
    </row>
    <row r="128" spans="1:20">
      <c r="A128" s="329">
        <f t="shared" si="3"/>
        <v>2013.11</v>
      </c>
      <c r="B128" s="2591">
        <v>134.39592277090603</v>
      </c>
      <c r="C128" s="3122">
        <f t="shared" si="2"/>
        <v>-5.8296300588482786E-2</v>
      </c>
      <c r="D128" s="2663">
        <v>1.4999999999999999E-2</v>
      </c>
      <c r="E128" s="3106">
        <v>57.701301245462254</v>
      </c>
      <c r="F128" s="3107">
        <v>13.58591711917555</v>
      </c>
      <c r="G128" s="3107">
        <v>165.79626580236013</v>
      </c>
      <c r="H128" s="3107">
        <v>128.01626875271666</v>
      </c>
      <c r="I128" s="3107">
        <v>188.70849352345471</v>
      </c>
      <c r="J128" s="3108">
        <v>188.25927317827765</v>
      </c>
      <c r="K128" s="3102">
        <v>181.66406761965703</v>
      </c>
      <c r="L128" s="3103">
        <v>196.25594281532202</v>
      </c>
      <c r="M128" s="3103">
        <v>223.89425829324603</v>
      </c>
      <c r="N128" s="3103">
        <v>209.72489429747122</v>
      </c>
      <c r="O128" s="3103">
        <v>116.09210359999773</v>
      </c>
      <c r="P128" s="3103">
        <v>127.84463044057198</v>
      </c>
      <c r="Q128" s="3103">
        <v>120.42358403667808</v>
      </c>
      <c r="R128" s="3103">
        <v>160.24794008673564</v>
      </c>
      <c r="S128" s="3103">
        <v>192.11845943348214</v>
      </c>
      <c r="T128" s="3104">
        <v>129.43768482382291</v>
      </c>
    </row>
    <row r="129" spans="1:20">
      <c r="A129" s="329">
        <f t="shared" si="3"/>
        <v>2013.12</v>
      </c>
      <c r="B129" s="2591">
        <v>150.440262482809</v>
      </c>
      <c r="C129" s="3122">
        <f t="shared" si="2"/>
        <v>0.11938114922766285</v>
      </c>
      <c r="D129" s="2663">
        <v>5.7999999999999996E-2</v>
      </c>
      <c r="E129" s="3106">
        <v>53.683516718882018</v>
      </c>
      <c r="F129" s="3107">
        <v>10.847796921093963</v>
      </c>
      <c r="G129" s="3107">
        <v>144.93179029620674</v>
      </c>
      <c r="H129" s="3107">
        <v>159.2177737693828</v>
      </c>
      <c r="I129" s="3107">
        <v>216.49870801988232</v>
      </c>
      <c r="J129" s="3108">
        <v>193.41205973205575</v>
      </c>
      <c r="K129" s="3102">
        <v>211.62956469654165</v>
      </c>
      <c r="L129" s="3103">
        <v>193.00153209565974</v>
      </c>
      <c r="M129" s="3103">
        <v>241.22799181264236</v>
      </c>
      <c r="N129" s="3103">
        <v>232.85802111030719</v>
      </c>
      <c r="O129" s="3103">
        <v>124.03905231664906</v>
      </c>
      <c r="P129" s="3103">
        <v>128.06539553331436</v>
      </c>
      <c r="Q129" s="3103">
        <v>120.11234216402583</v>
      </c>
      <c r="R129" s="3103">
        <v>161.07601423412234</v>
      </c>
      <c r="S129" s="3103">
        <v>195.06116048171415</v>
      </c>
      <c r="T129" s="3104">
        <v>134.86222157771616</v>
      </c>
    </row>
    <row r="130" spans="1:20">
      <c r="A130" s="329">
        <f t="shared" si="3"/>
        <v>2014.01</v>
      </c>
      <c r="B130" s="2591">
        <v>129.44305965526698</v>
      </c>
      <c r="C130" s="3122">
        <f t="shared" si="2"/>
        <v>-0.13957169763607269</v>
      </c>
      <c r="D130" s="2663">
        <v>0.10400000000000001</v>
      </c>
      <c r="E130" s="3106">
        <v>41.250752414153588</v>
      </c>
      <c r="F130" s="3107">
        <v>12.816370017522475</v>
      </c>
      <c r="G130" s="3107">
        <v>162.15379733523798</v>
      </c>
      <c r="H130" s="3107">
        <v>113.04098697285254</v>
      </c>
      <c r="I130" s="3107">
        <v>223.96020269197416</v>
      </c>
      <c r="J130" s="3108">
        <v>162.11398057309341</v>
      </c>
      <c r="K130" s="3102">
        <v>195.28186563767224</v>
      </c>
      <c r="L130" s="3103">
        <v>193.78690337409654</v>
      </c>
      <c r="M130" s="3103">
        <v>206.21575627863348</v>
      </c>
      <c r="N130" s="3103">
        <v>265.43638519746872</v>
      </c>
      <c r="O130" s="3103">
        <v>117.83362584694282</v>
      </c>
      <c r="P130" s="3103">
        <v>128.65510303758549</v>
      </c>
      <c r="Q130" s="3103">
        <v>119.29584653091712</v>
      </c>
      <c r="R130" s="3103">
        <v>158.55320818722691</v>
      </c>
      <c r="S130" s="3103">
        <v>194.23600708925397</v>
      </c>
      <c r="T130" s="3104">
        <v>147.19646703391368</v>
      </c>
    </row>
    <row r="131" spans="1:20">
      <c r="A131" s="329">
        <f t="shared" si="3"/>
        <v>2014.02</v>
      </c>
      <c r="B131" s="2591">
        <v>124.84251045263065</v>
      </c>
      <c r="C131" s="3122">
        <f t="shared" si="2"/>
        <v>-3.5541103670513663E-2</v>
      </c>
      <c r="D131" s="2663">
        <v>0.05</v>
      </c>
      <c r="E131" s="3106">
        <v>50.979363000352762</v>
      </c>
      <c r="F131" s="3107">
        <v>16.967699548101429</v>
      </c>
      <c r="G131" s="3107">
        <v>123.94105059443361</v>
      </c>
      <c r="H131" s="3107">
        <v>115.55756113486959</v>
      </c>
      <c r="I131" s="3107">
        <v>207.92148854730354</v>
      </c>
      <c r="J131" s="3108">
        <v>157.53493196936685</v>
      </c>
      <c r="K131" s="3102">
        <v>156.10506554991764</v>
      </c>
      <c r="L131" s="3103">
        <v>191.33872435366121</v>
      </c>
      <c r="M131" s="3103">
        <v>201.61730585920964</v>
      </c>
      <c r="N131" s="3103">
        <v>252.19322494367168</v>
      </c>
      <c r="O131" s="3103">
        <v>122.95423426841958</v>
      </c>
      <c r="P131" s="3103">
        <v>129.24798488057763</v>
      </c>
      <c r="Q131" s="3103">
        <v>120.78635319252147</v>
      </c>
      <c r="R131" s="3103">
        <v>159.80262811565316</v>
      </c>
      <c r="S131" s="3103">
        <v>193.88550852245129</v>
      </c>
      <c r="T131" s="3104">
        <v>152.15428649942214</v>
      </c>
    </row>
    <row r="132" spans="1:20">
      <c r="A132" s="329">
        <f t="shared" si="3"/>
        <v>2014.03</v>
      </c>
      <c r="B132" s="2591">
        <v>174.7188537480298</v>
      </c>
      <c r="C132" s="3122">
        <f t="shared" si="2"/>
        <v>0.39951410072231663</v>
      </c>
      <c r="D132" s="2663">
        <v>-2.4E-2</v>
      </c>
      <c r="E132" s="3106">
        <v>247.98688163371506</v>
      </c>
      <c r="F132" s="3107">
        <v>25.941283733802479</v>
      </c>
      <c r="G132" s="3107">
        <v>139.98878507993126</v>
      </c>
      <c r="H132" s="3107">
        <v>138.5195234722045</v>
      </c>
      <c r="I132" s="3107">
        <v>203.63760535233536</v>
      </c>
      <c r="J132" s="3108">
        <v>161.32686750663947</v>
      </c>
      <c r="K132" s="3102">
        <v>162.12717330520729</v>
      </c>
      <c r="L132" s="3103">
        <v>195.82874917813587</v>
      </c>
      <c r="M132" s="3103">
        <v>252.08700570548081</v>
      </c>
      <c r="N132" s="3103">
        <v>246.71313567180869</v>
      </c>
      <c r="O132" s="3103">
        <v>126.06801981707474</v>
      </c>
      <c r="P132" s="3103">
        <v>128.8958036203023</v>
      </c>
      <c r="Q132" s="3103">
        <v>120.20223294688043</v>
      </c>
      <c r="R132" s="3103">
        <v>158.85363382656482</v>
      </c>
      <c r="S132" s="3103">
        <v>192.70093431065683</v>
      </c>
      <c r="T132" s="3104">
        <v>145.69544187499585</v>
      </c>
    </row>
    <row r="133" spans="1:20">
      <c r="A133" s="329">
        <f t="shared" si="3"/>
        <v>2014.04</v>
      </c>
      <c r="B133" s="2591">
        <v>197.35128518009651</v>
      </c>
      <c r="C133" s="3122">
        <f t="shared" si="2"/>
        <v>0.12953628613375634</v>
      </c>
      <c r="D133" s="2663">
        <v>-1.4999999999999999E-2</v>
      </c>
      <c r="E133" s="3106">
        <v>347.42326842433755</v>
      </c>
      <c r="F133" s="3107">
        <v>23.524253146698875</v>
      </c>
      <c r="G133" s="3107">
        <v>150.95895160839186</v>
      </c>
      <c r="H133" s="3107">
        <v>144.76514400020966</v>
      </c>
      <c r="I133" s="3107">
        <v>168.16830315360463</v>
      </c>
      <c r="J133" s="3108">
        <v>170.28089586614325</v>
      </c>
      <c r="K133" s="3102">
        <v>168.33738861516065</v>
      </c>
      <c r="L133" s="3103">
        <v>195.88506366140234</v>
      </c>
      <c r="M133" s="3103">
        <v>267.00826872978126</v>
      </c>
      <c r="N133" s="3103">
        <v>232.58706763094997</v>
      </c>
      <c r="O133" s="3103">
        <v>122.14400289014829</v>
      </c>
      <c r="P133" s="3103">
        <v>128.56292239295612</v>
      </c>
      <c r="Q133" s="3103">
        <v>120.24737933550408</v>
      </c>
      <c r="R133" s="3103">
        <v>157.51117163151719</v>
      </c>
      <c r="S133" s="3103">
        <v>193.11855268569181</v>
      </c>
      <c r="T133" s="3104">
        <v>136.49033576305436</v>
      </c>
    </row>
    <row r="134" spans="1:20">
      <c r="A134" s="329">
        <f t="shared" si="3"/>
        <v>2014.05</v>
      </c>
      <c r="B134" s="2591">
        <v>175.73701787710894</v>
      </c>
      <c r="C134" s="3122">
        <f t="shared" si="2"/>
        <v>-0.1095217965429669</v>
      </c>
      <c r="D134" s="2663">
        <v>-0.01</v>
      </c>
      <c r="E134" s="3106">
        <v>213.34946925480881</v>
      </c>
      <c r="F134" s="3107">
        <v>20.672427816754304</v>
      </c>
      <c r="G134" s="3107">
        <v>149.55902737229727</v>
      </c>
      <c r="H134" s="3107">
        <v>148.01089163541013</v>
      </c>
      <c r="I134" s="3107">
        <v>156.92232935558303</v>
      </c>
      <c r="J134" s="3108">
        <v>178.84091175963192</v>
      </c>
      <c r="K134" s="3102">
        <v>199.51191815710047</v>
      </c>
      <c r="L134" s="3103">
        <v>194.0684429204511</v>
      </c>
      <c r="M134" s="3103">
        <v>249.93594674035813</v>
      </c>
      <c r="N134" s="3103">
        <v>226.92107348893438</v>
      </c>
      <c r="O134" s="3103">
        <v>121.22222655035844</v>
      </c>
      <c r="P134" s="3103">
        <v>129.09797888659921</v>
      </c>
      <c r="Q134" s="3103">
        <v>120.1568668724293</v>
      </c>
      <c r="R134" s="3103">
        <v>155.40796263604639</v>
      </c>
      <c r="S134" s="3103">
        <v>188.7675355996071</v>
      </c>
      <c r="T134" s="3104">
        <v>133.82344127597977</v>
      </c>
    </row>
    <row r="135" spans="1:20">
      <c r="A135" s="329">
        <f t="shared" si="3"/>
        <v>2014.06</v>
      </c>
      <c r="B135" s="2591">
        <v>144.0236014736721</v>
      </c>
      <c r="C135" s="3122">
        <f t="shared" si="2"/>
        <v>-0.18045951152769479</v>
      </c>
      <c r="D135" s="2663">
        <v>-9.0000000000000011E-3</v>
      </c>
      <c r="E135" s="3106">
        <v>60.86474132714109</v>
      </c>
      <c r="F135" s="3107">
        <v>20.849053342267531</v>
      </c>
      <c r="G135" s="3107">
        <v>159.91428241043945</v>
      </c>
      <c r="H135" s="3107">
        <v>153.35704585932612</v>
      </c>
      <c r="I135" s="3107">
        <v>190.5430896212153</v>
      </c>
      <c r="J135" s="3108">
        <v>170.21777596980385</v>
      </c>
      <c r="K135" s="3102">
        <v>187.85878760414801</v>
      </c>
      <c r="L135" s="3103">
        <v>189.48746672371055</v>
      </c>
      <c r="M135" s="3103">
        <v>226.92677148995261</v>
      </c>
      <c r="N135" s="3103">
        <v>233.62638865645434</v>
      </c>
      <c r="O135" s="3103">
        <v>124.83593001290836</v>
      </c>
      <c r="P135" s="3103">
        <v>128.86397767100422</v>
      </c>
      <c r="Q135" s="3103">
        <v>120.7679763114664</v>
      </c>
      <c r="R135" s="3103">
        <v>156.12674757538304</v>
      </c>
      <c r="S135" s="3103">
        <v>187.89047183385236</v>
      </c>
      <c r="T135" s="3104">
        <v>134.07167218036093</v>
      </c>
    </row>
    <row r="136" spans="1:20">
      <c r="A136" s="329">
        <f t="shared" si="3"/>
        <v>2014.07</v>
      </c>
      <c r="B136" s="2591">
        <v>138.59658778197723</v>
      </c>
      <c r="C136" s="3122">
        <f t="shared" si="2"/>
        <v>-3.7681419129676041E-2</v>
      </c>
      <c r="D136" s="2663">
        <v>-1.3999999999999999E-2</v>
      </c>
      <c r="E136" s="3106">
        <v>40.454426613256246</v>
      </c>
      <c r="F136" s="3107">
        <v>22.531561022022871</v>
      </c>
      <c r="G136" s="3107">
        <v>182.84975329340844</v>
      </c>
      <c r="H136" s="3107">
        <v>145.77565815818318</v>
      </c>
      <c r="I136" s="3107">
        <v>207.29036660634981</v>
      </c>
      <c r="J136" s="3108">
        <v>184.48709063859653</v>
      </c>
      <c r="K136" s="3102">
        <v>180.81307474365298</v>
      </c>
      <c r="L136" s="3103">
        <v>192.46536848538156</v>
      </c>
      <c r="M136" s="3103">
        <v>227.73284052504215</v>
      </c>
      <c r="N136" s="3103">
        <v>237.73304674466135</v>
      </c>
      <c r="O136" s="3103">
        <v>136.9691341901063</v>
      </c>
      <c r="P136" s="3103">
        <v>129.24656494761561</v>
      </c>
      <c r="Q136" s="3103">
        <v>120.3407292529386</v>
      </c>
      <c r="R136" s="3103">
        <v>156.2227416587732</v>
      </c>
      <c r="S136" s="3103">
        <v>189.02348165740619</v>
      </c>
      <c r="T136" s="3104">
        <v>133.37464882472386</v>
      </c>
    </row>
    <row r="137" spans="1:20">
      <c r="A137" s="329">
        <f t="shared" si="3"/>
        <v>2014.08</v>
      </c>
      <c r="B137" s="2591">
        <v>139.0580755076538</v>
      </c>
      <c r="C137" s="3122">
        <f t="shared" si="2"/>
        <v>3.329719245343199E-3</v>
      </c>
      <c r="D137" s="2663">
        <v>-6.0000000000000001E-3</v>
      </c>
      <c r="E137" s="3106">
        <v>39.197702396496396</v>
      </c>
      <c r="F137" s="3107">
        <v>24.01131141402325</v>
      </c>
      <c r="G137" s="3107">
        <v>149.70183965629133</v>
      </c>
      <c r="H137" s="3107">
        <v>148.39094213468459</v>
      </c>
      <c r="I137" s="3107">
        <v>195.99339684362792</v>
      </c>
      <c r="J137" s="3108">
        <v>176.21688928457215</v>
      </c>
      <c r="K137" s="3102">
        <v>180.64492139155379</v>
      </c>
      <c r="L137" s="3103">
        <v>195.71953860794954</v>
      </c>
      <c r="M137" s="3103">
        <v>231.1670359317576</v>
      </c>
      <c r="N137" s="3103">
        <v>240.0711948413358</v>
      </c>
      <c r="O137" s="3103">
        <v>137.66445618897797</v>
      </c>
      <c r="P137" s="3103">
        <v>130.50241173889407</v>
      </c>
      <c r="Q137" s="3103">
        <v>120.33825395065281</v>
      </c>
      <c r="R137" s="3103">
        <v>157.85186031746684</v>
      </c>
      <c r="S137" s="3103">
        <v>190.99848617334035</v>
      </c>
      <c r="T137" s="3104">
        <v>132.74307482541997</v>
      </c>
    </row>
    <row r="138" spans="1:20">
      <c r="A138" s="329">
        <f t="shared" si="3"/>
        <v>2014.09</v>
      </c>
      <c r="B138" s="2591">
        <v>140.84824581141689</v>
      </c>
      <c r="C138" s="3122">
        <f t="shared" si="2"/>
        <v>1.2873544360712419E-2</v>
      </c>
      <c r="D138" s="2663">
        <v>4.5999999999999999E-2</v>
      </c>
      <c r="E138" s="3106">
        <v>37.718006245327082</v>
      </c>
      <c r="F138" s="3107">
        <v>18.248155897945161</v>
      </c>
      <c r="G138" s="3107">
        <v>172.27800574831983</v>
      </c>
      <c r="H138" s="3107">
        <v>153.56744207784246</v>
      </c>
      <c r="I138" s="3107">
        <v>177.19245819561118</v>
      </c>
      <c r="J138" s="3108">
        <v>177.17624554694027</v>
      </c>
      <c r="K138" s="3102">
        <v>188.90967892819083</v>
      </c>
      <c r="L138" s="3103">
        <v>191.843475967573</v>
      </c>
      <c r="M138" s="3103">
        <v>231.61973439218104</v>
      </c>
      <c r="N138" s="3103">
        <v>238.40223007554297</v>
      </c>
      <c r="O138" s="3103">
        <v>131.98185329818492</v>
      </c>
      <c r="P138" s="3103">
        <v>130.65153911009119</v>
      </c>
      <c r="Q138" s="3103">
        <v>120.41625715772658</v>
      </c>
      <c r="R138" s="3103">
        <v>157.46201290044226</v>
      </c>
      <c r="S138" s="3103">
        <v>189.2020959012703</v>
      </c>
      <c r="T138" s="3104">
        <v>132.66074522334802</v>
      </c>
    </row>
    <row r="139" spans="1:20">
      <c r="A139" s="329">
        <f t="shared" si="3"/>
        <v>2014.1</v>
      </c>
      <c r="B139" s="2591">
        <v>144.82496407021111</v>
      </c>
      <c r="C139" s="3122">
        <f t="shared" si="2"/>
        <v>2.8234063093115713E-2</v>
      </c>
      <c r="D139" s="2663">
        <v>1.4999999999999999E-2</v>
      </c>
      <c r="E139" s="3106">
        <v>37.60923386173576</v>
      </c>
      <c r="F139" s="3107">
        <v>20.75869411620284</v>
      </c>
      <c r="G139" s="3107">
        <v>170.02575597017147</v>
      </c>
      <c r="H139" s="3107">
        <v>159.8804330172398</v>
      </c>
      <c r="I139" s="3107">
        <v>171.50622676723614</v>
      </c>
      <c r="J139" s="3108">
        <v>193.80340262370328</v>
      </c>
      <c r="K139" s="3102">
        <v>199.84366207478291</v>
      </c>
      <c r="L139" s="3103">
        <v>203.36691704018352</v>
      </c>
      <c r="M139" s="3103">
        <v>241.22148612687869</v>
      </c>
      <c r="N139" s="3103">
        <v>227.73048970828853</v>
      </c>
      <c r="O139" s="3103">
        <v>125.7692823737449</v>
      </c>
      <c r="P139" s="3103">
        <v>130.7838149825285</v>
      </c>
      <c r="Q139" s="3103">
        <v>121.00757976901812</v>
      </c>
      <c r="R139" s="3103">
        <v>158.08294138203189</v>
      </c>
      <c r="S139" s="3103">
        <v>190.63607766902297</v>
      </c>
      <c r="T139" s="3104">
        <v>133.03660939504184</v>
      </c>
    </row>
    <row r="140" spans="1:20">
      <c r="A140" s="329">
        <f t="shared" si="3"/>
        <v>2014.11</v>
      </c>
      <c r="B140" s="2591">
        <v>141.69156650886327</v>
      </c>
      <c r="C140" s="3122">
        <f t="shared" si="2"/>
        <v>-2.1635755834393033E-2</v>
      </c>
      <c r="D140" s="2663">
        <v>5.4000000000000006E-2</v>
      </c>
      <c r="E140" s="3106">
        <v>77.74514154301184</v>
      </c>
      <c r="F140" s="3107">
        <v>18.378814709153708</v>
      </c>
      <c r="G140" s="3107">
        <v>143.55454401787202</v>
      </c>
      <c r="H140" s="3107">
        <v>140.69096591757071</v>
      </c>
      <c r="I140" s="3107">
        <v>187.8051644194515</v>
      </c>
      <c r="J140" s="3108">
        <v>174.78665187102422</v>
      </c>
      <c r="K140" s="3102">
        <v>178.57188326998232</v>
      </c>
      <c r="L140" s="3103">
        <v>202.67697568695411</v>
      </c>
      <c r="M140" s="3103">
        <v>234.95458132365394</v>
      </c>
      <c r="N140" s="3103">
        <v>212.64012851500814</v>
      </c>
      <c r="O140" s="3103">
        <v>114.93834281816888</v>
      </c>
      <c r="P140" s="3103">
        <v>131.03828888690995</v>
      </c>
      <c r="Q140" s="3103">
        <v>121.22778872823412</v>
      </c>
      <c r="R140" s="3103">
        <v>158.76091190474321</v>
      </c>
      <c r="S140" s="3103">
        <v>193.41616235784247</v>
      </c>
      <c r="T140" s="3104">
        <v>132.56983504914413</v>
      </c>
    </row>
    <row r="141" spans="1:20">
      <c r="A141" s="329">
        <f t="shared" si="3"/>
        <v>2014.12</v>
      </c>
      <c r="B141" s="2591">
        <v>145.93552771481708</v>
      </c>
      <c r="C141" s="3122">
        <f t="shared" ref="C141:C204" si="4">B141/B140-1</f>
        <v>2.9952108728280136E-2</v>
      </c>
      <c r="D141" s="2663">
        <v>-0.03</v>
      </c>
      <c r="E141" s="3106">
        <v>68.417710133206739</v>
      </c>
      <c r="F141" s="3107">
        <v>19.402990884723341</v>
      </c>
      <c r="G141" s="3107">
        <v>125.43466696588739</v>
      </c>
      <c r="H141" s="3107">
        <v>139.06799610236985</v>
      </c>
      <c r="I141" s="3107">
        <v>207.19877704349264</v>
      </c>
      <c r="J141" s="3108">
        <v>189.16812619564755</v>
      </c>
      <c r="K141" s="3102">
        <v>205.44382809860514</v>
      </c>
      <c r="L141" s="3103">
        <v>196.70769334248541</v>
      </c>
      <c r="M141" s="3103">
        <v>238.89367899884047</v>
      </c>
      <c r="N141" s="3103">
        <v>228.99012453867843</v>
      </c>
      <c r="O141" s="3103">
        <v>121.30412377030129</v>
      </c>
      <c r="P141" s="3103">
        <v>130.91660113764343</v>
      </c>
      <c r="Q141" s="3103">
        <v>121.1835714713515</v>
      </c>
      <c r="R141" s="3103">
        <v>158.1699766102054</v>
      </c>
      <c r="S141" s="3103">
        <v>193.803477265742</v>
      </c>
      <c r="T141" s="3104">
        <v>129.72335862378333</v>
      </c>
    </row>
    <row r="142" spans="1:20">
      <c r="A142" s="329">
        <f t="shared" si="3"/>
        <v>2015.01</v>
      </c>
      <c r="B142" s="2591">
        <v>122.59528190022229</v>
      </c>
      <c r="C142" s="3122">
        <f t="shared" si="4"/>
        <v>-0.15993532335872052</v>
      </c>
      <c r="D142" s="2663">
        <v>-5.2999999999999999E-2</v>
      </c>
      <c r="E142" s="3106">
        <v>34.808931727304419</v>
      </c>
      <c r="F142" s="3107">
        <v>27.046213322473484</v>
      </c>
      <c r="G142" s="3107">
        <v>131.21960174886499</v>
      </c>
      <c r="H142" s="3107">
        <v>108.22235164504903</v>
      </c>
      <c r="I142" s="3107">
        <v>214.68526467860121</v>
      </c>
      <c r="J142" s="3108">
        <v>177.53833187631727</v>
      </c>
      <c r="K142" s="3102">
        <v>175.5506133916474</v>
      </c>
      <c r="L142" s="3103">
        <v>195.75549776377133</v>
      </c>
      <c r="M142" s="3103">
        <v>199.26446903450639</v>
      </c>
      <c r="N142" s="3103">
        <v>243.74087798544303</v>
      </c>
      <c r="O142" s="3103">
        <v>116.7369351376385</v>
      </c>
      <c r="P142" s="3103">
        <v>130.30679841608483</v>
      </c>
      <c r="Q142" s="3103">
        <v>122.015776199321</v>
      </c>
      <c r="R142" s="3103">
        <v>154.83677984170961</v>
      </c>
      <c r="S142" s="3103">
        <v>191.26754845051201</v>
      </c>
      <c r="T142" s="3104">
        <v>128.20650219955613</v>
      </c>
    </row>
    <row r="143" spans="1:20">
      <c r="A143" s="329">
        <f t="shared" si="3"/>
        <v>2015.02</v>
      </c>
      <c r="B143" s="2591">
        <v>126.55374702059176</v>
      </c>
      <c r="C143" s="3122">
        <f t="shared" si="4"/>
        <v>3.2288886317755505E-2</v>
      </c>
      <c r="D143" s="2663">
        <v>1.3999999999999999E-2</v>
      </c>
      <c r="E143" s="3106">
        <v>47.84845738661005</v>
      </c>
      <c r="F143" s="3107">
        <v>40.074855643057703</v>
      </c>
      <c r="G143" s="3107">
        <v>146.52685216775356</v>
      </c>
      <c r="H143" s="3107">
        <v>120.43773946511844</v>
      </c>
      <c r="I143" s="3107">
        <v>214.74901944960794</v>
      </c>
      <c r="J143" s="3108">
        <v>163.7986668306836</v>
      </c>
      <c r="K143" s="3102">
        <v>160.65218840789407</v>
      </c>
      <c r="L143" s="3103">
        <v>195.40309969166486</v>
      </c>
      <c r="M143" s="3103">
        <v>207.71726714777373</v>
      </c>
      <c r="N143" s="3103">
        <v>244.47921371178057</v>
      </c>
      <c r="O143" s="3103">
        <v>120.92786025836114</v>
      </c>
      <c r="P143" s="3103">
        <v>132.14461564945185</v>
      </c>
      <c r="Q143" s="3103">
        <v>122.09776276212219</v>
      </c>
      <c r="R143" s="3103">
        <v>155.33480788596955</v>
      </c>
      <c r="S143" s="3103">
        <v>193.79752001155444</v>
      </c>
      <c r="T143" s="3104">
        <v>125.22111706452611</v>
      </c>
    </row>
    <row r="144" spans="1:20">
      <c r="A144" s="329">
        <f t="shared" si="3"/>
        <v>2015.03</v>
      </c>
      <c r="B144" s="2591">
        <v>190.28444626734355</v>
      </c>
      <c r="C144" s="3122">
        <f t="shared" si="4"/>
        <v>0.50358603160428017</v>
      </c>
      <c r="D144" s="2663">
        <v>8.900000000000001E-2</v>
      </c>
      <c r="E144" s="3106">
        <v>291.2527867869411</v>
      </c>
      <c r="F144" s="3107">
        <v>54.215455759145435</v>
      </c>
      <c r="G144" s="3107">
        <v>137.39151388153962</v>
      </c>
      <c r="H144" s="3107">
        <v>145.49690766115268</v>
      </c>
      <c r="I144" s="3107">
        <v>233.44076705689946</v>
      </c>
      <c r="J144" s="3108">
        <v>184.72418543224433</v>
      </c>
      <c r="K144" s="3102">
        <v>178.9723535075986</v>
      </c>
      <c r="L144" s="3103">
        <v>194.7592486473321</v>
      </c>
      <c r="M144" s="3103">
        <v>265.68525132030823</v>
      </c>
      <c r="N144" s="3103">
        <v>248.32007319846156</v>
      </c>
      <c r="O144" s="3103">
        <v>127.4411912710998</v>
      </c>
      <c r="P144" s="3103">
        <v>131.92178850735843</v>
      </c>
      <c r="Q144" s="3103">
        <v>122.11568100426842</v>
      </c>
      <c r="R144" s="3103">
        <v>155.25895480667464</v>
      </c>
      <c r="S144" s="3103">
        <v>193.81334529562182</v>
      </c>
      <c r="T144" s="3104">
        <v>117.32173263389303</v>
      </c>
    </row>
    <row r="145" spans="1:20">
      <c r="A145" s="329">
        <f t="shared" si="3"/>
        <v>2015.04</v>
      </c>
      <c r="B145" s="2591">
        <v>221.25560888905324</v>
      </c>
      <c r="C145" s="3122">
        <f t="shared" si="4"/>
        <v>0.16276244973904053</v>
      </c>
      <c r="D145" s="2663">
        <v>0.121</v>
      </c>
      <c r="E145" s="3106">
        <v>415.68507224635096</v>
      </c>
      <c r="F145" s="3107">
        <v>23.548805526480947</v>
      </c>
      <c r="G145" s="3107">
        <v>167.02104453226869</v>
      </c>
      <c r="H145" s="3107">
        <v>159.55380768080926</v>
      </c>
      <c r="I145" s="3107">
        <v>228.84767734411827</v>
      </c>
      <c r="J145" s="3108">
        <v>196.22779119066476</v>
      </c>
      <c r="K145" s="3102">
        <v>184.903744849465</v>
      </c>
      <c r="L145" s="3103">
        <v>191.40670744415502</v>
      </c>
      <c r="M145" s="3103">
        <v>288.46064940666116</v>
      </c>
      <c r="N145" s="3103">
        <v>234.20061653645661</v>
      </c>
      <c r="O145" s="3103">
        <v>125.91692673521752</v>
      </c>
      <c r="P145" s="3103">
        <v>131.66086010158972</v>
      </c>
      <c r="Q145" s="3103">
        <v>123.80269032217274</v>
      </c>
      <c r="R145" s="3103">
        <v>154.84276041084121</v>
      </c>
      <c r="S145" s="3103">
        <v>191.62016902505508</v>
      </c>
      <c r="T145" s="3104">
        <v>114.32595864247625</v>
      </c>
    </row>
    <row r="146" spans="1:20">
      <c r="A146" s="329">
        <f t="shared" si="3"/>
        <v>2015.05</v>
      </c>
      <c r="B146" s="2591">
        <v>180.06197407860853</v>
      </c>
      <c r="C146" s="3122">
        <f t="shared" si="4"/>
        <v>-0.18618120018417661</v>
      </c>
      <c r="D146" s="2663">
        <v>2.5000000000000001E-2</v>
      </c>
      <c r="E146" s="3106">
        <v>250.42560118233274</v>
      </c>
      <c r="F146" s="3107">
        <v>40.160318615516154</v>
      </c>
      <c r="G146" s="3107">
        <v>149.43256152839183</v>
      </c>
      <c r="H146" s="3107">
        <v>136.20737029037139</v>
      </c>
      <c r="I146" s="3107">
        <v>222.94497045533441</v>
      </c>
      <c r="J146" s="3108">
        <v>193.58132325049334</v>
      </c>
      <c r="K146" s="3102">
        <v>188.36638582664062</v>
      </c>
      <c r="L146" s="3103">
        <v>196.10402698258099</v>
      </c>
      <c r="M146" s="3103">
        <v>257.68384939182425</v>
      </c>
      <c r="N146" s="3103">
        <v>222.80093297725006</v>
      </c>
      <c r="O146" s="3103">
        <v>123.1465472527825</v>
      </c>
      <c r="P146" s="3103">
        <v>133.89958877321527</v>
      </c>
      <c r="Q146" s="3103">
        <v>123.73403925605942</v>
      </c>
      <c r="R146" s="3103">
        <v>155.42520179874793</v>
      </c>
      <c r="S146" s="3103">
        <v>194.41180862628391</v>
      </c>
      <c r="T146" s="3104">
        <v>118.65588212374294</v>
      </c>
    </row>
    <row r="147" spans="1:20">
      <c r="A147" s="329">
        <f t="shared" si="3"/>
        <v>2015.06</v>
      </c>
      <c r="B147" s="2591">
        <v>159.11451062520661</v>
      </c>
      <c r="C147" s="3122">
        <f t="shared" si="4"/>
        <v>-0.1163347428605721</v>
      </c>
      <c r="D147" s="2663">
        <v>0.105</v>
      </c>
      <c r="E147" s="3106">
        <v>62.670849276505649</v>
      </c>
      <c r="F147" s="3107">
        <v>29.584745350552922</v>
      </c>
      <c r="G147" s="3107">
        <v>172.9800668550626</v>
      </c>
      <c r="H147" s="3107">
        <v>179.67513787244357</v>
      </c>
      <c r="I147" s="3107">
        <v>223.12462070413409</v>
      </c>
      <c r="J147" s="3108">
        <v>192.46943735139774</v>
      </c>
      <c r="K147" s="3102">
        <v>208.75414722307181</v>
      </c>
      <c r="L147" s="3103">
        <v>193.31846968138811</v>
      </c>
      <c r="M147" s="3103">
        <v>255.02035882183986</v>
      </c>
      <c r="N147" s="3103">
        <v>240.24145136989006</v>
      </c>
      <c r="O147" s="3103">
        <v>129.64597919814744</v>
      </c>
      <c r="P147" s="3103">
        <v>136.53341761760197</v>
      </c>
      <c r="Q147" s="3103">
        <v>124.05257729911766</v>
      </c>
      <c r="R147" s="3103">
        <v>156.12119069678997</v>
      </c>
      <c r="S147" s="3103">
        <v>191.64533051653058</v>
      </c>
      <c r="T147" s="3104">
        <v>120.50680150790718</v>
      </c>
    </row>
    <row r="148" spans="1:20">
      <c r="A148" s="329">
        <f t="shared" si="3"/>
        <v>2015.07</v>
      </c>
      <c r="B148" s="2591">
        <v>148.75352204353845</v>
      </c>
      <c r="C148" s="3122">
        <f t="shared" si="4"/>
        <v>-6.5116553738291061E-2</v>
      </c>
      <c r="D148" s="2663">
        <v>7.2999999999999995E-2</v>
      </c>
      <c r="E148" s="3106">
        <v>34.856121877401876</v>
      </c>
      <c r="F148" s="3107">
        <v>36.943482940644117</v>
      </c>
      <c r="G148" s="3107">
        <v>175.8744220925073</v>
      </c>
      <c r="H148" s="3107">
        <v>165.64148656614324</v>
      </c>
      <c r="I148" s="3107">
        <v>219.49719820961059</v>
      </c>
      <c r="J148" s="3108">
        <v>197.28980748224163</v>
      </c>
      <c r="K148" s="3102">
        <v>198.04539898309218</v>
      </c>
      <c r="L148" s="3103">
        <v>197.31708762741502</v>
      </c>
      <c r="M148" s="3103">
        <v>251.02764656515913</v>
      </c>
      <c r="N148" s="3103">
        <v>242.19150112566226</v>
      </c>
      <c r="O148" s="3103">
        <v>138.84154227060318</v>
      </c>
      <c r="P148" s="3103">
        <v>137.61163215396246</v>
      </c>
      <c r="Q148" s="3103">
        <v>124.8757821510341</v>
      </c>
      <c r="R148" s="3103">
        <v>158.41563204789705</v>
      </c>
      <c r="S148" s="3103">
        <v>194.79270654259466</v>
      </c>
      <c r="T148" s="3104">
        <v>120.90365406626839</v>
      </c>
    </row>
    <row r="149" spans="1:20">
      <c r="A149" s="329">
        <f t="shared" si="3"/>
        <v>2015.08</v>
      </c>
      <c r="B149" s="2591">
        <v>144.47748937398177</v>
      </c>
      <c r="C149" s="3122">
        <f t="shared" si="4"/>
        <v>-2.8745757484015311E-2</v>
      </c>
      <c r="D149" s="2663">
        <v>3.9E-2</v>
      </c>
      <c r="E149" s="3106">
        <v>35.007854945893456</v>
      </c>
      <c r="F149" s="3107">
        <v>27.758913467796752</v>
      </c>
      <c r="G149" s="3107">
        <v>135.06202627297841</v>
      </c>
      <c r="H149" s="3107">
        <v>162.12811180329231</v>
      </c>
      <c r="I149" s="3107">
        <v>200.02806082695784</v>
      </c>
      <c r="J149" s="3108">
        <v>178.00466550004572</v>
      </c>
      <c r="K149" s="3102">
        <v>188.12281102812767</v>
      </c>
      <c r="L149" s="3103">
        <v>198.25819838712181</v>
      </c>
      <c r="M149" s="3103">
        <v>249.29074275358829</v>
      </c>
      <c r="N149" s="3103">
        <v>242.88359511311143</v>
      </c>
      <c r="O149" s="3103">
        <v>132.69125626779572</v>
      </c>
      <c r="P149" s="3103">
        <v>137.52053856034235</v>
      </c>
      <c r="Q149" s="3103">
        <v>125.04578885102168</v>
      </c>
      <c r="R149" s="3103">
        <v>158.01567524059686</v>
      </c>
      <c r="S149" s="3103">
        <v>194.93338631943342</v>
      </c>
      <c r="T149" s="3104">
        <v>120.848843741571</v>
      </c>
    </row>
    <row r="150" spans="1:20">
      <c r="A150" s="329">
        <f t="shared" si="3"/>
        <v>2015.09</v>
      </c>
      <c r="B150" s="2591">
        <v>146.05947917104223</v>
      </c>
      <c r="C150" s="3122">
        <f t="shared" si="4"/>
        <v>1.0949732058019412E-2</v>
      </c>
      <c r="D150" s="2663">
        <v>3.7000000000000005E-2</v>
      </c>
      <c r="E150" s="3106">
        <v>32.750793816513188</v>
      </c>
      <c r="F150" s="3107">
        <v>31.571994248598095</v>
      </c>
      <c r="G150" s="3107">
        <v>176.79315989425911</v>
      </c>
      <c r="H150" s="3107">
        <v>164.41509709793996</v>
      </c>
      <c r="I150" s="3107">
        <v>204.09068395860567</v>
      </c>
      <c r="J150" s="3108">
        <v>191.17325610609373</v>
      </c>
      <c r="K150" s="3102">
        <v>194.39117271359757</v>
      </c>
      <c r="L150" s="3103">
        <v>197.94733243682572</v>
      </c>
      <c r="M150" s="3103">
        <v>247.96410403183606</v>
      </c>
      <c r="N150" s="3103">
        <v>239.04983252538946</v>
      </c>
      <c r="O150" s="3103">
        <v>131.70309921519114</v>
      </c>
      <c r="P150" s="3103">
        <v>137.38830019951592</v>
      </c>
      <c r="Q150" s="3103">
        <v>125.28609507439113</v>
      </c>
      <c r="R150" s="3103">
        <v>158.53237927244024</v>
      </c>
      <c r="S150" s="3103">
        <v>195.94044424309737</v>
      </c>
      <c r="T150" s="3104">
        <v>120.36649708369177</v>
      </c>
    </row>
    <row r="151" spans="1:20">
      <c r="A151" s="329">
        <f t="shared" si="3"/>
        <v>2015.1</v>
      </c>
      <c r="B151" s="2591">
        <v>151.15511926021557</v>
      </c>
      <c r="C151" s="3122">
        <f t="shared" si="4"/>
        <v>3.4887431600424401E-2</v>
      </c>
      <c r="D151" s="2663">
        <v>4.4000000000000004E-2</v>
      </c>
      <c r="E151" s="3106">
        <v>32.117785042065037</v>
      </c>
      <c r="F151" s="3107">
        <v>32.327425880150614</v>
      </c>
      <c r="G151" s="3107">
        <v>165.91874840555306</v>
      </c>
      <c r="H151" s="3107">
        <v>177.44250792609211</v>
      </c>
      <c r="I151" s="3107">
        <v>203.78437648147471</v>
      </c>
      <c r="J151" s="3108">
        <v>187.7878330041377</v>
      </c>
      <c r="K151" s="3102">
        <v>205.54269664710426</v>
      </c>
      <c r="L151" s="3103">
        <v>199.6008369317272</v>
      </c>
      <c r="M151" s="3103">
        <v>258.74651682695747</v>
      </c>
      <c r="N151" s="3103">
        <v>237.22432589383536</v>
      </c>
      <c r="O151" s="3103">
        <v>122.18025907560205</v>
      </c>
      <c r="P151" s="3103">
        <v>137.1305409935664</v>
      </c>
      <c r="Q151" s="3103">
        <v>125.46846808004706</v>
      </c>
      <c r="R151" s="3103">
        <v>159.28471109077049</v>
      </c>
      <c r="S151" s="3103">
        <v>199.04159814703013</v>
      </c>
      <c r="T151" s="3104">
        <v>119.70528828999669</v>
      </c>
    </row>
    <row r="152" spans="1:20">
      <c r="A152" s="329">
        <f t="shared" si="3"/>
        <v>2015.11</v>
      </c>
      <c r="B152" s="2591">
        <v>145.02758833555541</v>
      </c>
      <c r="C152" s="3122">
        <f t="shared" si="4"/>
        <v>-4.0538031094478066E-2</v>
      </c>
      <c r="D152" s="2663">
        <v>2.4E-2</v>
      </c>
      <c r="E152" s="3106">
        <v>63.803841969820951</v>
      </c>
      <c r="F152" s="3107">
        <v>34.588320641932967</v>
      </c>
      <c r="G152" s="3107">
        <v>151.48765782644017</v>
      </c>
      <c r="H152" s="3107">
        <v>146.13115879356516</v>
      </c>
      <c r="I152" s="3107">
        <v>185.20249284010586</v>
      </c>
      <c r="J152" s="3108">
        <v>177.0904879465221</v>
      </c>
      <c r="K152" s="3102">
        <v>195.26154089928832</v>
      </c>
      <c r="L152" s="3103">
        <v>202.31634087962803</v>
      </c>
      <c r="M152" s="3103">
        <v>246.75965858536489</v>
      </c>
      <c r="N152" s="3103">
        <v>232.62879031841618</v>
      </c>
      <c r="O152" s="3103">
        <v>117.97091029439629</v>
      </c>
      <c r="P152" s="3103">
        <v>136.85518327938101</v>
      </c>
      <c r="Q152" s="3103">
        <v>125.35464021000405</v>
      </c>
      <c r="R152" s="3103">
        <v>157.48091981486689</v>
      </c>
      <c r="S152" s="3103">
        <v>193.95784958746626</v>
      </c>
      <c r="T152" s="3104">
        <v>120.95027444334521</v>
      </c>
    </row>
    <row r="153" spans="1:20">
      <c r="A153" s="329">
        <f t="shared" si="3"/>
        <v>2015.12</v>
      </c>
      <c r="B153" s="2591">
        <v>152.53993427650767</v>
      </c>
      <c r="C153" s="3122">
        <f t="shared" si="4"/>
        <v>5.1799426765414269E-2</v>
      </c>
      <c r="D153" s="2663">
        <v>4.4999999999999998E-2</v>
      </c>
      <c r="E153" s="3106">
        <v>55.015030359215487</v>
      </c>
      <c r="F153" s="3107">
        <v>31.781425488798533</v>
      </c>
      <c r="G153" s="3107">
        <v>113.74655233079018</v>
      </c>
      <c r="H153" s="3107">
        <v>154.75402332711337</v>
      </c>
      <c r="I153" s="3107">
        <v>211.40012900289403</v>
      </c>
      <c r="J153" s="3108">
        <v>203.15637754433627</v>
      </c>
      <c r="K153" s="3102">
        <v>216.27279190034682</v>
      </c>
      <c r="L153" s="3103">
        <v>201.53796062375974</v>
      </c>
      <c r="M153" s="3103">
        <v>267.92047920706477</v>
      </c>
      <c r="N153" s="3103">
        <v>239.62634695506728</v>
      </c>
      <c r="O153" s="3103">
        <v>123.0470619224418</v>
      </c>
      <c r="P153" s="3103">
        <v>139.75766388288415</v>
      </c>
      <c r="Q153" s="3103">
        <v>125.38829689320612</v>
      </c>
      <c r="R153" s="3103">
        <v>158.56123970831902</v>
      </c>
      <c r="S153" s="3103">
        <v>197.86576881293024</v>
      </c>
      <c r="T153" s="3104">
        <v>121.46343215818922</v>
      </c>
    </row>
    <row r="154" spans="1:20">
      <c r="A154" s="329">
        <f t="shared" si="3"/>
        <v>2016.01</v>
      </c>
      <c r="B154" s="2591">
        <v>130.26600713903727</v>
      </c>
      <c r="C154" s="3122">
        <f t="shared" si="4"/>
        <v>-0.14602030113042175</v>
      </c>
      <c r="D154" s="2663">
        <v>6.3E-2</v>
      </c>
      <c r="E154" s="3106">
        <v>35.617731559725819</v>
      </c>
      <c r="F154" s="3107">
        <v>14.961621881371995</v>
      </c>
      <c r="G154" s="3107">
        <v>148.53706993306906</v>
      </c>
      <c r="H154" s="3107">
        <v>129.3264394513487</v>
      </c>
      <c r="I154" s="3107">
        <v>246.73915898422533</v>
      </c>
      <c r="J154" s="3108">
        <v>156.30662554764484</v>
      </c>
      <c r="K154" s="3102">
        <v>172.88533191239139</v>
      </c>
      <c r="L154" s="3103">
        <v>200.31793508452859</v>
      </c>
      <c r="M154" s="3103">
        <v>228.06423522549292</v>
      </c>
      <c r="N154" s="3103">
        <v>249.0165543140435</v>
      </c>
      <c r="O154" s="3103">
        <v>115.1677891303371</v>
      </c>
      <c r="P154" s="3103">
        <v>138.18517643049998</v>
      </c>
      <c r="Q154" s="3103">
        <v>125.11274804054186</v>
      </c>
      <c r="R154" s="3103">
        <v>165.16015591418582</v>
      </c>
      <c r="S154" s="3103">
        <v>198.25067387471117</v>
      </c>
      <c r="T154" s="3104">
        <v>125.85219949141127</v>
      </c>
    </row>
    <row r="155" spans="1:20">
      <c r="A155" s="329">
        <f t="shared" si="3"/>
        <v>2016.02</v>
      </c>
      <c r="B155" s="2591">
        <v>133.52395973902298</v>
      </c>
      <c r="C155" s="3122">
        <f t="shared" si="4"/>
        <v>2.500999816865801E-2</v>
      </c>
      <c r="D155" s="2663">
        <v>5.5E-2</v>
      </c>
      <c r="E155" s="3106">
        <v>48.015027468840167</v>
      </c>
      <c r="F155" s="3107">
        <v>37.498925635321612</v>
      </c>
      <c r="G155" s="3107">
        <v>134.53730985195679</v>
      </c>
      <c r="H155" s="3107">
        <v>136.70530531096497</v>
      </c>
      <c r="I155" s="3107">
        <v>225.73985775721167</v>
      </c>
      <c r="J155" s="3108">
        <v>157.26301047198498</v>
      </c>
      <c r="K155" s="3102">
        <v>163.33293205365649</v>
      </c>
      <c r="L155" s="3103">
        <v>195.52796357936307</v>
      </c>
      <c r="M155" s="3103">
        <v>232.50332903791309</v>
      </c>
      <c r="N155" s="3103">
        <v>241.03559995946014</v>
      </c>
      <c r="O155" s="3103">
        <v>123.13123640305957</v>
      </c>
      <c r="P155" s="3103">
        <v>138.05610441565429</v>
      </c>
      <c r="Q155" s="3103">
        <v>125.02101053591267</v>
      </c>
      <c r="R155" s="3103">
        <v>164.42119511174397</v>
      </c>
      <c r="S155" s="3103">
        <v>192.71297306133462</v>
      </c>
      <c r="T155" s="3104">
        <v>124.6750810551347</v>
      </c>
    </row>
    <row r="156" spans="1:20">
      <c r="A156" s="329">
        <f t="shared" si="3"/>
        <v>2016.03</v>
      </c>
      <c r="B156" s="2591">
        <v>182.63298482318785</v>
      </c>
      <c r="C156" s="3122">
        <f t="shared" si="4"/>
        <v>0.36779185683341087</v>
      </c>
      <c r="D156" s="2663">
        <v>-0.04</v>
      </c>
      <c r="E156" s="3106">
        <v>213.54681741307081</v>
      </c>
      <c r="F156" s="3107">
        <v>37.49311197653342</v>
      </c>
      <c r="G156" s="3107">
        <v>148.07662286229794</v>
      </c>
      <c r="H156" s="3107">
        <v>169.13034830940254</v>
      </c>
      <c r="I156" s="3107">
        <v>198.84823443856831</v>
      </c>
      <c r="J156" s="3108">
        <v>175.32829049408005</v>
      </c>
      <c r="K156" s="3102">
        <v>181.17079539041242</v>
      </c>
      <c r="L156" s="3103">
        <v>196.03968337307114</v>
      </c>
      <c r="M156" s="3103">
        <v>284.45555383972919</v>
      </c>
      <c r="N156" s="3103">
        <v>249.33928523614961</v>
      </c>
      <c r="O156" s="3103">
        <v>128.09872075624025</v>
      </c>
      <c r="P156" s="3103">
        <v>138.69106282456346</v>
      </c>
      <c r="Q156" s="3103">
        <v>125.06195491437073</v>
      </c>
      <c r="R156" s="3103">
        <v>163.56699356979661</v>
      </c>
      <c r="S156" s="3103">
        <v>194.76532426364324</v>
      </c>
      <c r="T156" s="3104">
        <v>115.77622017107288</v>
      </c>
    </row>
    <row r="157" spans="1:20">
      <c r="A157" s="329">
        <f t="shared" si="3"/>
        <v>2016.04</v>
      </c>
      <c r="B157" s="2591">
        <v>188.60729520663841</v>
      </c>
      <c r="C157" s="3122">
        <f t="shared" si="4"/>
        <v>3.2712110516259996E-2</v>
      </c>
      <c r="D157" s="2663">
        <v>-0.14800000000000002</v>
      </c>
      <c r="E157" s="3106">
        <v>290.75400153807624</v>
      </c>
      <c r="F157" s="3107">
        <v>22.090382296898404</v>
      </c>
      <c r="G157" s="3107">
        <v>110.07347105115686</v>
      </c>
      <c r="H157" s="3107">
        <v>145.43588065274514</v>
      </c>
      <c r="I157" s="3107">
        <v>218.66540878203591</v>
      </c>
      <c r="J157" s="3108">
        <v>161.30669045351905</v>
      </c>
      <c r="K157" s="3102">
        <v>171.19360151869239</v>
      </c>
      <c r="L157" s="3103">
        <v>194.94255384249243</v>
      </c>
      <c r="M157" s="3103">
        <v>281.48908532565048</v>
      </c>
      <c r="N157" s="3103">
        <v>240.44774378365378</v>
      </c>
      <c r="O157" s="3103">
        <v>122.79617689463498</v>
      </c>
      <c r="P157" s="3103">
        <v>138.59962662294842</v>
      </c>
      <c r="Q157" s="3103">
        <v>125.0828269103954</v>
      </c>
      <c r="R157" s="3103">
        <v>165.24399570140531</v>
      </c>
      <c r="S157" s="3103">
        <v>194.60586481126012</v>
      </c>
      <c r="T157" s="3104">
        <v>108.59683132857738</v>
      </c>
    </row>
    <row r="158" spans="1:20">
      <c r="A158" s="329">
        <f t="shared" si="3"/>
        <v>2016.05</v>
      </c>
      <c r="B158" s="2591">
        <v>167.88477438537799</v>
      </c>
      <c r="C158" s="3122">
        <f t="shared" si="4"/>
        <v>-0.10987125815338583</v>
      </c>
      <c r="D158" s="2663">
        <v>-6.8000000000000005E-2</v>
      </c>
      <c r="E158" s="3106">
        <v>180.13028403248609</v>
      </c>
      <c r="F158" s="3107">
        <v>55.797833459188581</v>
      </c>
      <c r="G158" s="3107">
        <v>147.74730953973358</v>
      </c>
      <c r="H158" s="3107">
        <v>145.24651687929781</v>
      </c>
      <c r="I158" s="3107">
        <v>221.60298157000352</v>
      </c>
      <c r="J158" s="3108">
        <v>184.55434019242159</v>
      </c>
      <c r="K158" s="3102">
        <v>181.26473930797459</v>
      </c>
      <c r="L158" s="3103">
        <v>188.60907715729189</v>
      </c>
      <c r="M158" s="3103">
        <v>265.72228904919155</v>
      </c>
      <c r="N158" s="3103">
        <v>233.40220989139516</v>
      </c>
      <c r="O158" s="3103">
        <v>122.99755113259428</v>
      </c>
      <c r="P158" s="3103">
        <v>138.75074136235236</v>
      </c>
      <c r="Q158" s="3103">
        <v>125.9323084810551</v>
      </c>
      <c r="R158" s="3103">
        <v>164.19009614098991</v>
      </c>
      <c r="S158" s="3103">
        <v>191.02523668053325</v>
      </c>
      <c r="T158" s="3104">
        <v>109.1487749850734</v>
      </c>
    </row>
    <row r="159" spans="1:20">
      <c r="A159" s="329">
        <f t="shared" si="3"/>
        <v>2016.06</v>
      </c>
      <c r="B159" s="2591">
        <v>146.9427589912728</v>
      </c>
      <c r="C159" s="3122">
        <f t="shared" si="4"/>
        <v>-0.124740408835604</v>
      </c>
      <c r="D159" s="2663">
        <v>-7.5999999999999998E-2</v>
      </c>
      <c r="E159" s="3106">
        <v>52.184760399882698</v>
      </c>
      <c r="F159" s="3107">
        <v>66.882012100656979</v>
      </c>
      <c r="G159" s="3107">
        <v>152.44939108257634</v>
      </c>
      <c r="H159" s="3107">
        <v>160.52219977605492</v>
      </c>
      <c r="I159" s="3107">
        <v>234.92559576130839</v>
      </c>
      <c r="J159" s="3108">
        <v>188.40958034939334</v>
      </c>
      <c r="K159" s="3102">
        <v>186.09159255566348</v>
      </c>
      <c r="L159" s="3103">
        <v>192.47509074585838</v>
      </c>
      <c r="M159" s="3103">
        <v>250.37103901643812</v>
      </c>
      <c r="N159" s="3103">
        <v>232.95685051845152</v>
      </c>
      <c r="O159" s="3103">
        <v>123.52481385940496</v>
      </c>
      <c r="P159" s="3103">
        <v>138.64363052892577</v>
      </c>
      <c r="Q159" s="3103">
        <v>126.0771430540581</v>
      </c>
      <c r="R159" s="3103">
        <v>164.02322359409291</v>
      </c>
      <c r="S159" s="3103">
        <v>190.89065929828863</v>
      </c>
      <c r="T159" s="3104">
        <v>114.62282888208293</v>
      </c>
    </row>
    <row r="160" spans="1:20">
      <c r="A160" s="329">
        <f t="shared" si="3"/>
        <v>2016.07</v>
      </c>
      <c r="B160" s="2591">
        <v>142.54571529811579</v>
      </c>
      <c r="C160" s="3122">
        <f t="shared" si="4"/>
        <v>-2.9923513913456268E-2</v>
      </c>
      <c r="D160" s="2663">
        <v>-4.2000000000000003E-2</v>
      </c>
      <c r="E160" s="3106">
        <v>33.335934002943269</v>
      </c>
      <c r="F160" s="3107">
        <v>61.499860736689186</v>
      </c>
      <c r="G160" s="3107">
        <v>162.84346607201826</v>
      </c>
      <c r="H160" s="3107">
        <v>159.86036961529081</v>
      </c>
      <c r="I160" s="3107">
        <v>230.32798713232677</v>
      </c>
      <c r="J160" s="3108">
        <v>177.73819670924641</v>
      </c>
      <c r="K160" s="3102">
        <v>182.88476902210971</v>
      </c>
      <c r="L160" s="3103">
        <v>199.77358149291877</v>
      </c>
      <c r="M160" s="3103">
        <v>247.94493053948617</v>
      </c>
      <c r="N160" s="3103">
        <v>227.36389160975392</v>
      </c>
      <c r="O160" s="3103">
        <v>130.09039273004615</v>
      </c>
      <c r="P160" s="3103">
        <v>138.43862804767841</v>
      </c>
      <c r="Q160" s="3103">
        <v>126.03337727652064</v>
      </c>
      <c r="R160" s="3103">
        <v>164.80747602046284</v>
      </c>
      <c r="S160" s="3103">
        <v>192.78038210080314</v>
      </c>
      <c r="T160" s="3104">
        <v>123.24025577829664</v>
      </c>
    </row>
    <row r="161" spans="1:20">
      <c r="A161" s="329">
        <f t="shared" si="3"/>
        <v>2016.08</v>
      </c>
      <c r="B161" s="2591">
        <v>151.22183118922229</v>
      </c>
      <c r="C161" s="3122">
        <f t="shared" si="4"/>
        <v>6.0865497591152007E-2</v>
      </c>
      <c r="D161" s="2663">
        <v>4.7E-2</v>
      </c>
      <c r="E161" s="3106">
        <v>37.004137715456707</v>
      </c>
      <c r="F161" s="3107">
        <v>41.500689266186626</v>
      </c>
      <c r="G161" s="3107">
        <v>185.98709367846581</v>
      </c>
      <c r="H161" s="3107">
        <v>174.47641564895994</v>
      </c>
      <c r="I161" s="3107">
        <v>202.09017765426819</v>
      </c>
      <c r="J161" s="3108">
        <v>195.4723870241225</v>
      </c>
      <c r="K161" s="3102">
        <v>196.13206880295979</v>
      </c>
      <c r="L161" s="3103">
        <v>196.8185494683346</v>
      </c>
      <c r="M161" s="3103">
        <v>259.89858715482188</v>
      </c>
      <c r="N161" s="3103">
        <v>241.86290256317062</v>
      </c>
      <c r="O161" s="3103">
        <v>134.73553440995244</v>
      </c>
      <c r="P161" s="3103">
        <v>138.14817819158839</v>
      </c>
      <c r="Q161" s="3103">
        <v>124.73574104757462</v>
      </c>
      <c r="R161" s="3103">
        <v>164.75949179688743</v>
      </c>
      <c r="S161" s="3103">
        <v>189.41958251460198</v>
      </c>
      <c r="T161" s="3104">
        <v>127.67602094598857</v>
      </c>
    </row>
    <row r="162" spans="1:20">
      <c r="A162" s="329">
        <f t="shared" si="3"/>
        <v>2016.09</v>
      </c>
      <c r="B162" s="2591">
        <v>147.13819387576171</v>
      </c>
      <c r="C162" s="3122">
        <f t="shared" si="4"/>
        <v>-2.7004284244850574E-2</v>
      </c>
      <c r="D162" s="2663">
        <v>6.9999999999999993E-3</v>
      </c>
      <c r="E162" s="3106">
        <v>33.119718501920943</v>
      </c>
      <c r="F162" s="3107">
        <v>52.543791131008803</v>
      </c>
      <c r="G162" s="3107">
        <v>186.93263702079886</v>
      </c>
      <c r="H162" s="3107">
        <v>167.62229508879872</v>
      </c>
      <c r="I162" s="3107">
        <v>197.74096163451856</v>
      </c>
      <c r="J162" s="3108">
        <v>198.71821126389651</v>
      </c>
      <c r="K162" s="3102">
        <v>194.20322695355938</v>
      </c>
      <c r="L162" s="3103">
        <v>202.86919264818098</v>
      </c>
      <c r="M162" s="3103">
        <v>247.90270737753843</v>
      </c>
      <c r="N162" s="3103">
        <v>239.23803511683036</v>
      </c>
      <c r="O162" s="3103">
        <v>129.26776057500234</v>
      </c>
      <c r="P162" s="3103">
        <v>138.51877934421913</v>
      </c>
      <c r="Q162" s="3103">
        <v>124.81053475450912</v>
      </c>
      <c r="R162" s="3103">
        <v>165.59355263567312</v>
      </c>
      <c r="S162" s="3103">
        <v>191.722472381702</v>
      </c>
      <c r="T162" s="3104">
        <v>130.67092151855411</v>
      </c>
    </row>
    <row r="163" spans="1:20">
      <c r="A163" s="329">
        <f t="shared" si="3"/>
        <v>2016.1</v>
      </c>
      <c r="B163" s="2591">
        <v>146.88882816874104</v>
      </c>
      <c r="C163" s="3122">
        <f t="shared" si="4"/>
        <v>-1.6947721081259637E-3</v>
      </c>
      <c r="D163" s="2663">
        <v>-2.7999999999999997E-2</v>
      </c>
      <c r="E163" s="3106">
        <v>33.367676103300845</v>
      </c>
      <c r="F163" s="3107">
        <v>48.847914297217528</v>
      </c>
      <c r="G163" s="3107">
        <v>171.25771725394742</v>
      </c>
      <c r="H163" s="3107">
        <v>170.05753482355394</v>
      </c>
      <c r="I163" s="3107">
        <v>185.52520977952813</v>
      </c>
      <c r="J163" s="3108">
        <v>183.60605468517366</v>
      </c>
      <c r="K163" s="3102">
        <v>194.47941203962756</v>
      </c>
      <c r="L163" s="3103">
        <v>201.71661577065549</v>
      </c>
      <c r="M163" s="3103">
        <v>251.07600000944203</v>
      </c>
      <c r="N163" s="3103">
        <v>257.17632367570582</v>
      </c>
      <c r="O163" s="3103">
        <v>118.18271733556233</v>
      </c>
      <c r="P163" s="3103">
        <v>138.81644682139552</v>
      </c>
      <c r="Q163" s="3103">
        <v>125.78098462695085</v>
      </c>
      <c r="R163" s="3103">
        <v>167.08090097509469</v>
      </c>
      <c r="S163" s="3103">
        <v>194.07006125606796</v>
      </c>
      <c r="T163" s="3104">
        <v>130.46436015474615</v>
      </c>
    </row>
    <row r="164" spans="1:20">
      <c r="A164" s="329">
        <f t="shared" si="3"/>
        <v>2016.11</v>
      </c>
      <c r="B164" s="2591">
        <v>155.31074441982796</v>
      </c>
      <c r="C164" s="3122">
        <f t="shared" si="4"/>
        <v>5.7335308315020983E-2</v>
      </c>
      <c r="D164" s="2663">
        <v>7.0999999999999994E-2</v>
      </c>
      <c r="E164" s="3106">
        <v>83.710721090465185</v>
      </c>
      <c r="F164" s="3107">
        <v>50.495473849630514</v>
      </c>
      <c r="G164" s="3107">
        <v>178.33696772104977</v>
      </c>
      <c r="H164" s="3107">
        <v>159.43218981002514</v>
      </c>
      <c r="I164" s="3107">
        <v>199.05999069599216</v>
      </c>
      <c r="J164" s="3108">
        <v>200.52958172340922</v>
      </c>
      <c r="K164" s="3102">
        <v>196.3195721279518</v>
      </c>
      <c r="L164" s="3103">
        <v>208.28040906365251</v>
      </c>
      <c r="M164" s="3103">
        <v>256.54890385884767</v>
      </c>
      <c r="N164" s="3103">
        <v>263.21628927318176</v>
      </c>
      <c r="O164" s="3103">
        <v>115.10579597209781</v>
      </c>
      <c r="P164" s="3103">
        <v>139.0004716401356</v>
      </c>
      <c r="Q164" s="3103">
        <v>125.85902244846356</v>
      </c>
      <c r="R164" s="3103">
        <v>166.82485911849795</v>
      </c>
      <c r="S164" s="3103">
        <v>198.49692664284262</v>
      </c>
      <c r="T164" s="3104">
        <v>128.54535799057655</v>
      </c>
    </row>
    <row r="165" spans="1:20">
      <c r="A165" s="329">
        <f t="shared" si="3"/>
        <v>2016.12</v>
      </c>
      <c r="B165" s="2591">
        <v>162.6845834232154</v>
      </c>
      <c r="C165" s="3122">
        <f t="shared" si="4"/>
        <v>4.7477970895914767E-2</v>
      </c>
      <c r="D165" s="2663">
        <v>6.7000000000000004E-2</v>
      </c>
      <c r="E165" s="3106">
        <v>69.867264593882155</v>
      </c>
      <c r="F165" s="3107">
        <v>50.416953833080711</v>
      </c>
      <c r="G165" s="3107">
        <v>156.34002093538774</v>
      </c>
      <c r="H165" s="3107">
        <v>164.16560589899126</v>
      </c>
      <c r="I165" s="3107">
        <v>223.14991104975491</v>
      </c>
      <c r="J165" s="3108">
        <v>247.53986967638207</v>
      </c>
      <c r="K165" s="3102">
        <v>227.6821907790395</v>
      </c>
      <c r="L165" s="3103">
        <v>203.32510984852362</v>
      </c>
      <c r="M165" s="3103">
        <v>265.13220590361192</v>
      </c>
      <c r="N165" s="3103">
        <v>278.61730479045701</v>
      </c>
      <c r="O165" s="3103">
        <v>122.34281715736746</v>
      </c>
      <c r="P165" s="3103">
        <v>139.15262010130715</v>
      </c>
      <c r="Q165" s="3103">
        <v>125.80152997955057</v>
      </c>
      <c r="R165" s="3103">
        <v>168.38699701629895</v>
      </c>
      <c r="S165" s="3103">
        <v>197.60775884759971</v>
      </c>
      <c r="T165" s="3104">
        <v>125.94513740184267</v>
      </c>
    </row>
    <row r="166" spans="1:20">
      <c r="A166" s="329">
        <f t="shared" si="3"/>
        <v>2017.01</v>
      </c>
      <c r="B166" s="2591">
        <v>133.55051996303121</v>
      </c>
      <c r="C166" s="3122">
        <f t="shared" si="4"/>
        <v>-0.1790831242097074</v>
      </c>
      <c r="D166" s="2663">
        <v>2.5000000000000001E-2</v>
      </c>
      <c r="E166" s="3106">
        <v>33.686111063382441</v>
      </c>
      <c r="F166" s="3107">
        <v>44.858148462184964</v>
      </c>
      <c r="G166" s="3107">
        <v>137.21871605724726</v>
      </c>
      <c r="H166" s="3107">
        <v>134.7428792306074</v>
      </c>
      <c r="I166" s="3107">
        <v>233.99439755021203</v>
      </c>
      <c r="J166" s="3108">
        <v>165.63091213084141</v>
      </c>
      <c r="K166" s="3102">
        <v>183.375648370406</v>
      </c>
      <c r="L166" s="3103">
        <v>205.40897331344323</v>
      </c>
      <c r="M166" s="3103">
        <v>224.42652645421384</v>
      </c>
      <c r="N166" s="3103">
        <v>256.80763090851951</v>
      </c>
      <c r="O166" s="3103">
        <v>117.01916856435322</v>
      </c>
      <c r="P166" s="3103">
        <v>139.83714442443784</v>
      </c>
      <c r="Q166" s="3103">
        <v>126.51809565633228</v>
      </c>
      <c r="R166" s="3103">
        <v>167.13996588985472</v>
      </c>
      <c r="S166" s="3103">
        <v>190.39897877565286</v>
      </c>
      <c r="T166" s="3104">
        <v>126.42585133704515</v>
      </c>
    </row>
    <row r="167" spans="1:20">
      <c r="A167" s="329">
        <f t="shared" si="3"/>
        <v>2017.02</v>
      </c>
      <c r="B167" s="2591">
        <v>132.62718172901387</v>
      </c>
      <c r="C167" s="3122">
        <f t="shared" si="4"/>
        <v>-6.9137749090975031E-3</v>
      </c>
      <c r="D167" s="2663">
        <v>-6.9999999999999993E-3</v>
      </c>
      <c r="E167" s="3106">
        <v>48.705793681347551</v>
      </c>
      <c r="F167" s="3107">
        <v>55.723135780800384</v>
      </c>
      <c r="G167" s="3107">
        <v>134.85549775129343</v>
      </c>
      <c r="H167" s="3107">
        <v>136.86973114604353</v>
      </c>
      <c r="I167" s="3107">
        <v>201.68649145599466</v>
      </c>
      <c r="J167" s="3108">
        <v>184.51904213596879</v>
      </c>
      <c r="K167" s="3102">
        <v>157.80139509704469</v>
      </c>
      <c r="L167" s="3103">
        <v>206.4591404863686</v>
      </c>
      <c r="M167" s="3103">
        <v>216.83514737867941</v>
      </c>
      <c r="N167" s="3103">
        <v>233.57063527617595</v>
      </c>
      <c r="O167" s="3103">
        <v>123.17100583566351</v>
      </c>
      <c r="P167" s="3103">
        <v>139.79568181285379</v>
      </c>
      <c r="Q167" s="3103">
        <v>126.57520700580953</v>
      </c>
      <c r="R167" s="3103">
        <v>168.51976980996304</v>
      </c>
      <c r="S167" s="3103">
        <v>196.03418153682907</v>
      </c>
      <c r="T167" s="3104">
        <v>124.5480754204639</v>
      </c>
    </row>
    <row r="168" spans="1:20">
      <c r="A168" s="329">
        <f t="shared" si="3"/>
        <v>2017.03</v>
      </c>
      <c r="B168" s="2591">
        <v>196.49275612923518</v>
      </c>
      <c r="C168" s="3122">
        <f t="shared" si="4"/>
        <v>0.48154212106167305</v>
      </c>
      <c r="D168" s="2663">
        <v>7.5999999999999998E-2</v>
      </c>
      <c r="E168" s="3106">
        <v>249.99952176756995</v>
      </c>
      <c r="F168" s="3107">
        <v>67.594470285484249</v>
      </c>
      <c r="G168" s="3107">
        <v>157.68718843322375</v>
      </c>
      <c r="H168" s="3107">
        <v>179.46770368102634</v>
      </c>
      <c r="I168" s="3107">
        <v>209.1223461620875</v>
      </c>
      <c r="J168" s="3108">
        <v>213.35702449829145</v>
      </c>
      <c r="K168" s="3102">
        <v>192.70379600400935</v>
      </c>
      <c r="L168" s="3103">
        <v>209.55486558807382</v>
      </c>
      <c r="M168" s="3103">
        <v>288.5163237814167</v>
      </c>
      <c r="N168" s="3103">
        <v>248.86796553689544</v>
      </c>
      <c r="O168" s="3103">
        <v>126.60189210040285</v>
      </c>
      <c r="P168" s="3103">
        <v>139.71063182650931</v>
      </c>
      <c r="Q168" s="3103">
        <v>126.82886675713237</v>
      </c>
      <c r="R168" s="3103">
        <v>167.13068822521302</v>
      </c>
      <c r="S168" s="3103">
        <v>190.98679854972647</v>
      </c>
      <c r="T168" s="3104">
        <v>116.43090685213984</v>
      </c>
    </row>
    <row r="169" spans="1:20">
      <c r="A169" s="329">
        <f t="shared" si="3"/>
        <v>2017.04</v>
      </c>
      <c r="B169" s="2591">
        <v>206.72230336420088</v>
      </c>
      <c r="C169" s="3122">
        <f t="shared" si="4"/>
        <v>5.206068374468531E-2</v>
      </c>
      <c r="D169" s="2663">
        <v>9.6000000000000002E-2</v>
      </c>
      <c r="E169" s="3106">
        <v>344.92136863647238</v>
      </c>
      <c r="F169" s="3107">
        <v>46.761245391749966</v>
      </c>
      <c r="G169" s="3107">
        <v>142.92124325214547</v>
      </c>
      <c r="H169" s="3107">
        <v>166.87557765477885</v>
      </c>
      <c r="I169" s="3107">
        <v>173.99668107179821</v>
      </c>
      <c r="J169" s="3108">
        <v>185.78748202296828</v>
      </c>
      <c r="K169" s="3102">
        <v>176.84690710782263</v>
      </c>
      <c r="L169" s="3103">
        <v>207.3841192158585</v>
      </c>
      <c r="M169" s="3103">
        <v>284.82311042863375</v>
      </c>
      <c r="N169" s="3103">
        <v>228.64717805214042</v>
      </c>
      <c r="O169" s="3103">
        <v>121.32631605715108</v>
      </c>
      <c r="P169" s="3103">
        <v>139.7089547664865</v>
      </c>
      <c r="Q169" s="3103">
        <v>126.33146960009594</v>
      </c>
      <c r="R169" s="3103">
        <v>167.96032466682868</v>
      </c>
      <c r="S169" s="3103">
        <v>194.32332408722013</v>
      </c>
      <c r="T169" s="3104">
        <v>114.6389805472724</v>
      </c>
    </row>
    <row r="170" spans="1:20">
      <c r="A170" s="329">
        <f t="shared" si="3"/>
        <v>2017.05</v>
      </c>
      <c r="B170" s="2591">
        <v>188.05705317223854</v>
      </c>
      <c r="C170" s="3122">
        <f t="shared" si="4"/>
        <v>-9.0291419397925954E-2</v>
      </c>
      <c r="D170" s="2663">
        <v>0.12</v>
      </c>
      <c r="E170" s="3106">
        <v>210.91093041357283</v>
      </c>
      <c r="F170" s="3107">
        <v>34.380649338842517</v>
      </c>
      <c r="G170" s="3107">
        <v>160.08277959268386</v>
      </c>
      <c r="H170" s="3107">
        <v>180.11237739041442</v>
      </c>
      <c r="I170" s="3107">
        <v>195.55462326735912</v>
      </c>
      <c r="J170" s="3108">
        <v>213.03292667376107</v>
      </c>
      <c r="K170" s="3102">
        <v>198.59705141885598</v>
      </c>
      <c r="L170" s="3103">
        <v>204.20905870026002</v>
      </c>
      <c r="M170" s="3103">
        <v>271.73420525637266</v>
      </c>
      <c r="N170" s="3103">
        <v>231.81541406008202</v>
      </c>
      <c r="O170" s="3103">
        <v>123.25331280050175</v>
      </c>
      <c r="P170" s="3103">
        <v>139.73314837801374</v>
      </c>
      <c r="Q170" s="3103">
        <v>126.63679928114902</v>
      </c>
      <c r="R170" s="3103">
        <v>167.54312278792614</v>
      </c>
      <c r="S170" s="3103">
        <v>190.50487379674962</v>
      </c>
      <c r="T170" s="3104">
        <v>118.99166119810636</v>
      </c>
    </row>
    <row r="171" spans="1:20">
      <c r="A171" s="329">
        <f t="shared" si="3"/>
        <v>2017.06</v>
      </c>
      <c r="B171" s="2591">
        <v>155.79069614405151</v>
      </c>
      <c r="C171" s="3122">
        <f t="shared" si="4"/>
        <v>-0.17157748929860539</v>
      </c>
      <c r="D171" s="2663">
        <v>0.06</v>
      </c>
      <c r="E171" s="3106">
        <v>55.585833724241049</v>
      </c>
      <c r="F171" s="3107">
        <v>42.39126199722066</v>
      </c>
      <c r="G171" s="3107">
        <v>164.19805597021661</v>
      </c>
      <c r="H171" s="3107">
        <v>172.10695919871773</v>
      </c>
      <c r="I171" s="3107">
        <v>225.08271148753374</v>
      </c>
      <c r="J171" s="3108">
        <v>229.74993842019148</v>
      </c>
      <c r="K171" s="3102">
        <v>203.36555184315998</v>
      </c>
      <c r="L171" s="3103">
        <v>207.72523021467492</v>
      </c>
      <c r="M171" s="3103">
        <v>246.82030343400959</v>
      </c>
      <c r="N171" s="3103">
        <v>238.81697898354705</v>
      </c>
      <c r="O171" s="3103">
        <v>127.90497261475548</v>
      </c>
      <c r="P171" s="3103">
        <v>139.81358469466105</v>
      </c>
      <c r="Q171" s="3103">
        <v>126.80807650867763</v>
      </c>
      <c r="R171" s="3103">
        <v>167.46787921899667</v>
      </c>
      <c r="S171" s="3103">
        <v>190.39081532842366</v>
      </c>
      <c r="T171" s="3104">
        <v>127.8663209186207</v>
      </c>
    </row>
    <row r="172" spans="1:20">
      <c r="A172" s="329">
        <f t="shared" si="3"/>
        <v>2017.07</v>
      </c>
      <c r="B172" s="2591">
        <v>152.04076242113197</v>
      </c>
      <c r="C172" s="3122">
        <f t="shared" si="4"/>
        <v>-2.4070331641962595E-2</v>
      </c>
      <c r="D172" s="2663">
        <v>6.7000000000000004E-2</v>
      </c>
      <c r="E172" s="3106">
        <v>30.726219726891856</v>
      </c>
      <c r="F172" s="3107">
        <v>54.250776820618249</v>
      </c>
      <c r="G172" s="3107">
        <v>145.61505706208709</v>
      </c>
      <c r="H172" s="3107">
        <v>176.81431542148221</v>
      </c>
      <c r="I172" s="3107">
        <v>235.98709143831138</v>
      </c>
      <c r="J172" s="3108">
        <v>210.0133521988956</v>
      </c>
      <c r="K172" s="3102">
        <v>202.20551912444338</v>
      </c>
      <c r="L172" s="3103">
        <v>213.61766699847388</v>
      </c>
      <c r="M172" s="3103">
        <v>246.55902552876211</v>
      </c>
      <c r="N172" s="3103">
        <v>238.39731362353609</v>
      </c>
      <c r="O172" s="3103">
        <v>132.84170717013558</v>
      </c>
      <c r="P172" s="3103">
        <v>139.62034174513397</v>
      </c>
      <c r="Q172" s="3103">
        <v>127.03410399531332</v>
      </c>
      <c r="R172" s="3103">
        <v>168.3172307161179</v>
      </c>
      <c r="S172" s="3103">
        <v>192.86726297432989</v>
      </c>
      <c r="T172" s="3104">
        <v>136.79424163290528</v>
      </c>
    </row>
    <row r="173" spans="1:20">
      <c r="A173" s="329">
        <f t="shared" si="3"/>
        <v>2017.08</v>
      </c>
      <c r="B173" s="2591">
        <v>156.12408783941882</v>
      </c>
      <c r="C173" s="3122">
        <f t="shared" si="4"/>
        <v>2.6856780729477059E-2</v>
      </c>
      <c r="D173" s="2663">
        <v>3.2000000000000001E-2</v>
      </c>
      <c r="E173" s="3106">
        <v>32.426098077964269</v>
      </c>
      <c r="F173" s="3107">
        <v>66.882012100656979</v>
      </c>
      <c r="G173" s="3107">
        <v>172.47962049444351</v>
      </c>
      <c r="H173" s="3107">
        <v>181.64793118014586</v>
      </c>
      <c r="I173" s="3107">
        <v>214.40160828707292</v>
      </c>
      <c r="J173" s="3108">
        <v>220.77343029702496</v>
      </c>
      <c r="K173" s="3102">
        <v>211.01577419593752</v>
      </c>
      <c r="L173" s="3103">
        <v>210.11049206475994</v>
      </c>
      <c r="M173" s="3103">
        <v>247.63200107228454</v>
      </c>
      <c r="N173" s="3103">
        <v>248.77177309578133</v>
      </c>
      <c r="O173" s="3103">
        <v>137.55999770007517</v>
      </c>
      <c r="P173" s="3103">
        <v>139.68763387772168</v>
      </c>
      <c r="Q173" s="3103">
        <v>127.28457017831427</v>
      </c>
      <c r="R173" s="3103">
        <v>168.12152587650726</v>
      </c>
      <c r="S173" s="3103">
        <v>193.41107656950459</v>
      </c>
      <c r="T173" s="3104">
        <v>139.9401295517165</v>
      </c>
    </row>
    <row r="174" spans="1:20">
      <c r="A174" s="329">
        <f t="shared" si="3"/>
        <v>2017.09</v>
      </c>
      <c r="B174" s="2591">
        <v>151.25432935904814</v>
      </c>
      <c r="C174" s="3122">
        <f t="shared" si="4"/>
        <v>-3.1191589637208694E-2</v>
      </c>
      <c r="D174" s="2663">
        <v>2.7999999999999997E-2</v>
      </c>
      <c r="E174" s="3106">
        <v>26.602831711028262</v>
      </c>
      <c r="F174" s="3107">
        <v>63.943122088244607</v>
      </c>
      <c r="G174" s="3107">
        <v>168.30744637438465</v>
      </c>
      <c r="H174" s="3107">
        <v>172.58278412394594</v>
      </c>
      <c r="I174" s="3107">
        <v>206.40808152215195</v>
      </c>
      <c r="J174" s="3108">
        <v>232.4423311825727</v>
      </c>
      <c r="K174" s="3102">
        <v>209.6937910703117</v>
      </c>
      <c r="L174" s="3103">
        <v>218.37788342506474</v>
      </c>
      <c r="M174" s="3103">
        <v>231.07944992345097</v>
      </c>
      <c r="N174" s="3103">
        <v>244.4822882787908</v>
      </c>
      <c r="O174" s="3103">
        <v>133.28962202512326</v>
      </c>
      <c r="P174" s="3103">
        <v>139.63828422801635</v>
      </c>
      <c r="Q174" s="3103">
        <v>127.50307978676096</v>
      </c>
      <c r="R174" s="3103">
        <v>170.21748294252535</v>
      </c>
      <c r="S174" s="3103">
        <v>198.23754172272677</v>
      </c>
      <c r="T174" s="3104">
        <v>139.08492521416923</v>
      </c>
    </row>
    <row r="175" spans="1:20">
      <c r="A175" s="329">
        <f t="shared" si="3"/>
        <v>2017.1</v>
      </c>
      <c r="B175" s="2591">
        <v>157.01188064040295</v>
      </c>
      <c r="C175" s="3122">
        <f t="shared" si="4"/>
        <v>3.806536517501935E-2</v>
      </c>
      <c r="D175" s="2663">
        <v>6.9000000000000006E-2</v>
      </c>
      <c r="E175" s="3106">
        <v>28.916929589171055</v>
      </c>
      <c r="F175" s="3107">
        <v>46.933182925494322</v>
      </c>
      <c r="G175" s="3107">
        <v>168.66354776295302</v>
      </c>
      <c r="H175" s="3107">
        <v>191.7681254627592</v>
      </c>
      <c r="I175" s="3107">
        <v>207.72054901086946</v>
      </c>
      <c r="J175" s="3108">
        <v>203.70426009245315</v>
      </c>
      <c r="K175" s="3102">
        <v>217.33393939324409</v>
      </c>
      <c r="L175" s="3103">
        <v>218.33383665458007</v>
      </c>
      <c r="M175" s="3103">
        <v>240.24041070787447</v>
      </c>
      <c r="N175" s="3103">
        <v>254.38029960513302</v>
      </c>
      <c r="O175" s="3103">
        <v>121.51206890735075</v>
      </c>
      <c r="P175" s="3103">
        <v>139.53895938001509</v>
      </c>
      <c r="Q175" s="3103">
        <v>127.99255945156081</v>
      </c>
      <c r="R175" s="3103">
        <v>169.28393021002427</v>
      </c>
      <c r="S175" s="3103">
        <v>195.3154399171658</v>
      </c>
      <c r="T175" s="3104">
        <v>132.15123041125062</v>
      </c>
    </row>
    <row r="176" spans="1:20">
      <c r="A176" s="329">
        <f t="shared" si="3"/>
        <v>2017.11</v>
      </c>
      <c r="B176" s="2591">
        <v>159.03284673466908</v>
      </c>
      <c r="C176" s="3122">
        <f t="shared" si="4"/>
        <v>1.2871421487490098E-2</v>
      </c>
      <c r="D176" s="2663">
        <v>2.4E-2</v>
      </c>
      <c r="E176" s="3106">
        <v>85.972281896041835</v>
      </c>
      <c r="F176" s="3107">
        <v>38.739913799981082</v>
      </c>
      <c r="G176" s="3107">
        <v>182.07964305237812</v>
      </c>
      <c r="H176" s="3107">
        <v>157.13508955830844</v>
      </c>
      <c r="I176" s="3107">
        <v>214.00261461413663</v>
      </c>
      <c r="J176" s="3108">
        <v>211.77359340615905</v>
      </c>
      <c r="K176" s="3102">
        <v>214.38495035346227</v>
      </c>
      <c r="L176" s="3103">
        <v>222.46137134100218</v>
      </c>
      <c r="M176" s="3103">
        <v>253.12083926260934</v>
      </c>
      <c r="N176" s="3103">
        <v>258.7884284739485</v>
      </c>
      <c r="O176" s="3103">
        <v>117.85140006911243</v>
      </c>
      <c r="P176" s="3103">
        <v>139.85513736535174</v>
      </c>
      <c r="Q176" s="3103">
        <v>128.12464064491758</v>
      </c>
      <c r="R176" s="3103">
        <v>169.55353687811359</v>
      </c>
      <c r="S176" s="3103">
        <v>195.04950208077756</v>
      </c>
      <c r="T176" s="3104">
        <v>126.36487002287585</v>
      </c>
    </row>
    <row r="177" spans="1:20">
      <c r="A177" s="329">
        <f t="shared" si="3"/>
        <v>2017.12</v>
      </c>
      <c r="B177" s="2591">
        <v>161.2725383317844</v>
      </c>
      <c r="C177" s="3122">
        <f t="shared" si="4"/>
        <v>1.4083201320366445E-2</v>
      </c>
      <c r="D177" s="2663">
        <v>-9.0000000000000011E-3</v>
      </c>
      <c r="E177" s="3106">
        <v>64.957853172757666</v>
      </c>
      <c r="F177" s="3107">
        <v>57.542645334975973</v>
      </c>
      <c r="G177" s="3107">
        <v>156.9857766072557</v>
      </c>
      <c r="H177" s="3107">
        <v>155.08750585828957</v>
      </c>
      <c r="I177" s="3107">
        <v>208.49763285492239</v>
      </c>
      <c r="J177" s="3108">
        <v>285.29675467499709</v>
      </c>
      <c r="K177" s="3102">
        <v>235.27304187154508</v>
      </c>
      <c r="L177" s="3103">
        <v>220.84910420537133</v>
      </c>
      <c r="M177" s="3103">
        <v>250.10948613290577</v>
      </c>
      <c r="N177" s="3103">
        <v>275.26516821304051</v>
      </c>
      <c r="O177" s="3103">
        <v>124.7237920055905</v>
      </c>
      <c r="P177" s="3103">
        <v>140.04440742642089</v>
      </c>
      <c r="Q177" s="3103">
        <v>128.0946362890034</v>
      </c>
      <c r="R177" s="3103">
        <v>171.96313494065339</v>
      </c>
      <c r="S177" s="3103">
        <v>203.99730870453465</v>
      </c>
      <c r="T177" s="3104">
        <v>121.30626065535337</v>
      </c>
    </row>
    <row r="178" spans="1:20">
      <c r="A178" s="329">
        <f t="shared" si="3"/>
        <v>2018.01</v>
      </c>
      <c r="B178" s="2591">
        <v>139.9913895805222</v>
      </c>
      <c r="C178" s="3122">
        <f t="shared" si="4"/>
        <v>-0.13195767221993315</v>
      </c>
      <c r="D178" s="2663">
        <v>4.8000000000000001E-2</v>
      </c>
      <c r="E178" s="3106">
        <v>41.215148926684037</v>
      </c>
      <c r="F178" s="3107">
        <v>41.144460173772998</v>
      </c>
      <c r="G178" s="3107">
        <v>168.09511550077542</v>
      </c>
      <c r="H178" s="3107">
        <v>133.73155911962834</v>
      </c>
      <c r="I178" s="3107">
        <v>221.4092451792194</v>
      </c>
      <c r="J178" s="3108">
        <v>182.78798116450594</v>
      </c>
      <c r="K178" s="3102">
        <v>201.01528850314401</v>
      </c>
      <c r="L178" s="3103">
        <v>216.62219540810159</v>
      </c>
      <c r="M178" s="3103">
        <v>225.14565243087503</v>
      </c>
      <c r="N178" s="3103">
        <v>289.6896124598627</v>
      </c>
      <c r="O178" s="3103">
        <v>124.07193233086031</v>
      </c>
      <c r="P178" s="3103">
        <v>140.86179832138527</v>
      </c>
      <c r="Q178" s="3103">
        <v>127.60228182581133</v>
      </c>
      <c r="R178" s="3103">
        <v>167.68363385396023</v>
      </c>
      <c r="S178" s="3103">
        <v>196.97835593111984</v>
      </c>
      <c r="T178" s="3104">
        <v>119.49407893340722</v>
      </c>
    </row>
    <row r="179" spans="1:20">
      <c r="A179" s="329">
        <f t="shared" si="3"/>
        <v>2018.02</v>
      </c>
      <c r="B179" s="2591">
        <v>135.56749903431114</v>
      </c>
      <c r="C179" s="3122">
        <f t="shared" si="4"/>
        <v>-3.1601161753355256E-2</v>
      </c>
      <c r="D179" s="2663">
        <v>2.2000000000000002E-2</v>
      </c>
      <c r="E179" s="3106">
        <v>52.4490051869507</v>
      </c>
      <c r="F179" s="3107">
        <v>54.891340850014579</v>
      </c>
      <c r="G179" s="3107">
        <v>145.39807960461999</v>
      </c>
      <c r="H179" s="3107">
        <v>123.50944759097149</v>
      </c>
      <c r="I179" s="3107">
        <v>218.04030914633518</v>
      </c>
      <c r="J179" s="3108">
        <v>204.67383883112609</v>
      </c>
      <c r="K179" s="3102">
        <v>177.78131945041639</v>
      </c>
      <c r="L179" s="3103">
        <v>225.33685994204961</v>
      </c>
      <c r="M179" s="3103">
        <v>214.89779837928705</v>
      </c>
      <c r="N179" s="3103">
        <v>282.44179340261496</v>
      </c>
      <c r="O179" s="3103">
        <v>125.34892685746637</v>
      </c>
      <c r="P179" s="3103">
        <v>141.11475227528564</v>
      </c>
      <c r="Q179" s="3103">
        <v>127.99359927051997</v>
      </c>
      <c r="R179" s="3103">
        <v>169.8099107954456</v>
      </c>
      <c r="S179" s="3103">
        <v>202.61715431602494</v>
      </c>
      <c r="T179" s="3104">
        <v>119.30069785507858</v>
      </c>
    </row>
    <row r="180" spans="1:20">
      <c r="A180" s="329">
        <f t="shared" si="3"/>
        <v>2018.03</v>
      </c>
      <c r="B180" s="2591">
        <v>182.27321040185154</v>
      </c>
      <c r="C180" s="3122">
        <f t="shared" si="4"/>
        <v>0.34451997492200936</v>
      </c>
      <c r="D180" s="2663">
        <v>-7.2000000000000008E-2</v>
      </c>
      <c r="E180" s="3106">
        <v>196.5742209938708</v>
      </c>
      <c r="F180" s="3107">
        <v>54.770222958593948</v>
      </c>
      <c r="G180" s="3107">
        <v>160.10579830414002</v>
      </c>
      <c r="H180" s="3107">
        <v>154.17547279971026</v>
      </c>
      <c r="I180" s="3107">
        <v>235.36512580177828</v>
      </c>
      <c r="J180" s="3108">
        <v>232.4916756318022</v>
      </c>
      <c r="K180" s="3102">
        <v>206.53667166137978</v>
      </c>
      <c r="L180" s="3103">
        <v>229.32651194860489</v>
      </c>
      <c r="M180" s="3103">
        <v>261.12883307265145</v>
      </c>
      <c r="N180" s="3103">
        <v>284.98049265997884</v>
      </c>
      <c r="O180" s="3103">
        <v>129.87994721847215</v>
      </c>
      <c r="P180" s="3103">
        <v>139.79689560911075</v>
      </c>
      <c r="Q180" s="3103">
        <v>128.00143645146855</v>
      </c>
      <c r="R180" s="3103">
        <v>170.97302202791218</v>
      </c>
      <c r="S180" s="3103">
        <v>204.00235027639712</v>
      </c>
      <c r="T180" s="3104">
        <v>117.08990795898974</v>
      </c>
    </row>
    <row r="181" spans="1:20">
      <c r="A181" s="329">
        <f t="shared" si="3"/>
        <v>2018.04</v>
      </c>
      <c r="B181" s="2591">
        <v>191.58934256198663</v>
      </c>
      <c r="C181" s="3122">
        <f t="shared" si="4"/>
        <v>5.111081403348372E-2</v>
      </c>
      <c r="D181" s="2663">
        <v>-7.2999999999999995E-2</v>
      </c>
      <c r="E181" s="3106">
        <v>261.48067698893971</v>
      </c>
      <c r="F181" s="3107">
        <v>26.004723746194198</v>
      </c>
      <c r="G181" s="3107">
        <v>151.28629412989545</v>
      </c>
      <c r="H181" s="3107">
        <v>153.55001747371193</v>
      </c>
      <c r="I181" s="3107">
        <v>217.5680275897667</v>
      </c>
      <c r="J181" s="3108">
        <v>206.82788409035152</v>
      </c>
      <c r="K181" s="3102">
        <v>196.96785740986195</v>
      </c>
      <c r="L181" s="3103">
        <v>225.71379612472032</v>
      </c>
      <c r="M181" s="3103">
        <v>262.71002099060559</v>
      </c>
      <c r="N181" s="3103">
        <v>273.72178281035508</v>
      </c>
      <c r="O181" s="3103">
        <v>126.13690484238678</v>
      </c>
      <c r="P181" s="3103">
        <v>139.66305181930841</v>
      </c>
      <c r="Q181" s="3103">
        <v>127.53465009757002</v>
      </c>
      <c r="R181" s="3103">
        <v>168.71320548795117</v>
      </c>
      <c r="S181" s="3103">
        <v>196.12945767295844</v>
      </c>
      <c r="T181" s="3104">
        <v>122.2535163173624</v>
      </c>
    </row>
    <row r="182" spans="1:20">
      <c r="A182" s="329">
        <f t="shared" si="3"/>
        <v>2018.05</v>
      </c>
      <c r="B182" s="2591">
        <v>177.71465668280047</v>
      </c>
      <c r="C182" s="3122">
        <f t="shared" si="4"/>
        <v>-7.2418881414017866E-2</v>
      </c>
      <c r="D182" s="2663">
        <v>-5.5E-2</v>
      </c>
      <c r="E182" s="3106">
        <v>163.15418480545364</v>
      </c>
      <c r="F182" s="3107">
        <v>49.961130211010087</v>
      </c>
      <c r="G182" s="3107">
        <v>125.26752435302116</v>
      </c>
      <c r="H182" s="3107">
        <v>163.75593550401325</v>
      </c>
      <c r="I182" s="3107">
        <v>244.09179443215828</v>
      </c>
      <c r="J182" s="3108">
        <v>211.8163448136884</v>
      </c>
      <c r="K182" s="3102">
        <v>212.96450697815732</v>
      </c>
      <c r="L182" s="3103">
        <v>220.02041389557152</v>
      </c>
      <c r="M182" s="3103">
        <v>255.07458513457507</v>
      </c>
      <c r="N182" s="3103">
        <v>271.95412070539425</v>
      </c>
      <c r="O182" s="3103">
        <v>126.98640645187396</v>
      </c>
      <c r="P182" s="3103">
        <v>140.25126533783049</v>
      </c>
      <c r="Q182" s="3103">
        <v>127.758033245946</v>
      </c>
      <c r="R182" s="3103">
        <v>169.65127552104332</v>
      </c>
      <c r="S182" s="3103">
        <v>195.78020207902773</v>
      </c>
      <c r="T182" s="3104">
        <v>124.69329117982797</v>
      </c>
    </row>
    <row r="183" spans="1:20">
      <c r="A183" s="329">
        <f t="shared" si="3"/>
        <v>2018.06</v>
      </c>
      <c r="B183" s="2591">
        <v>151.78110462878166</v>
      </c>
      <c r="C183" s="3122">
        <f t="shared" si="4"/>
        <v>-0.14592804295431361</v>
      </c>
      <c r="D183" s="2663">
        <v>-2.6000000000000002E-2</v>
      </c>
      <c r="E183" s="3106">
        <v>51.38884300346318</v>
      </c>
      <c r="F183" s="3107">
        <v>52.454733857905389</v>
      </c>
      <c r="G183" s="3107">
        <v>146.06952536679557</v>
      </c>
      <c r="H183" s="3107">
        <v>154.02806611177527</v>
      </c>
      <c r="I183" s="3107">
        <v>247.46895891474961</v>
      </c>
      <c r="J183" s="3108">
        <v>224.55205552810824</v>
      </c>
      <c r="K183" s="3102">
        <v>215.35221816940913</v>
      </c>
      <c r="L183" s="3103">
        <v>221.99145475997918</v>
      </c>
      <c r="M183" s="3103">
        <v>220.92446207886394</v>
      </c>
      <c r="N183" s="3103">
        <v>261.86735457204702</v>
      </c>
      <c r="O183" s="3103">
        <v>129.94422428458583</v>
      </c>
      <c r="P183" s="3103">
        <v>140.33335831807119</v>
      </c>
      <c r="Q183" s="3103">
        <v>127.83606658723394</v>
      </c>
      <c r="R183" s="3103">
        <v>171.20686979920927</v>
      </c>
      <c r="S183" s="3103">
        <v>197.74018100503307</v>
      </c>
      <c r="T183" s="3104">
        <v>123.22807180477325</v>
      </c>
    </row>
    <row r="184" spans="1:20">
      <c r="A184" s="329">
        <f t="shared" si="3"/>
        <v>2018.07</v>
      </c>
      <c r="B184" s="2591">
        <v>150.1405230143863</v>
      </c>
      <c r="C184" s="3122">
        <f t="shared" si="4"/>
        <v>-1.0808865954743285E-2</v>
      </c>
      <c r="D184" s="2663">
        <v>-1.2E-2</v>
      </c>
      <c r="E184" s="3106">
        <v>34.618931329765168</v>
      </c>
      <c r="F184" s="3107">
        <v>67.861642104794441</v>
      </c>
      <c r="G184" s="3107">
        <v>170.85681826120685</v>
      </c>
      <c r="H184" s="3107">
        <v>162.77302686287695</v>
      </c>
      <c r="I184" s="3107">
        <v>244.64622659307759</v>
      </c>
      <c r="J184" s="3108">
        <v>230.94778644773939</v>
      </c>
      <c r="K184" s="3102">
        <v>208.33811161297592</v>
      </c>
      <c r="L184" s="3103">
        <v>228.98596786466686</v>
      </c>
      <c r="M184" s="3103">
        <v>222.61478895004197</v>
      </c>
      <c r="N184" s="3103">
        <v>269.54290739919355</v>
      </c>
      <c r="O184" s="3103">
        <v>131.44651878499667</v>
      </c>
      <c r="P184" s="3103">
        <v>140.1779830927664</v>
      </c>
      <c r="Q184" s="3103">
        <v>127.75398981368204</v>
      </c>
      <c r="R184" s="3103">
        <v>170.50775526812453</v>
      </c>
      <c r="S184" s="3103">
        <v>195.44049634702463</v>
      </c>
      <c r="T184" s="3104">
        <v>114.0010380517212</v>
      </c>
    </row>
    <row r="185" spans="1:20">
      <c r="A185" s="329">
        <f t="shared" si="3"/>
        <v>2018.08</v>
      </c>
      <c r="B185" s="2591">
        <v>152.62797609767901</v>
      </c>
      <c r="C185" s="3122">
        <f t="shared" si="4"/>
        <v>1.6567499788543882E-2</v>
      </c>
      <c r="D185" s="2663">
        <v>-2.2000000000000002E-2</v>
      </c>
      <c r="E185" s="3106">
        <v>36.654362828004224</v>
      </c>
      <c r="F185" s="3107">
        <v>66.169553915829752</v>
      </c>
      <c r="G185" s="3107">
        <v>160.76935630405802</v>
      </c>
      <c r="H185" s="3107">
        <v>168.37747292998338</v>
      </c>
      <c r="I185" s="3107">
        <v>222.97379911629048</v>
      </c>
      <c r="J185" s="3108">
        <v>217.19477186787458</v>
      </c>
      <c r="K185" s="3102">
        <v>210.39920786195819</v>
      </c>
      <c r="L185" s="3103">
        <v>236.03403340918089</v>
      </c>
      <c r="M185" s="3103">
        <v>229.34439385172635</v>
      </c>
      <c r="N185" s="3103">
        <v>277.09843960729654</v>
      </c>
      <c r="O185" s="3103">
        <v>133.94890085275614</v>
      </c>
      <c r="P185" s="3103">
        <v>140.80269061384828</v>
      </c>
      <c r="Q185" s="3103">
        <v>128.14659769118776</v>
      </c>
      <c r="R185" s="3103">
        <v>169.89417204093863</v>
      </c>
      <c r="S185" s="3103">
        <v>198.51592172444916</v>
      </c>
      <c r="T185" s="3104">
        <v>109.72802724505021</v>
      </c>
    </row>
    <row r="186" spans="1:20">
      <c r="A186" s="329">
        <f t="shared" ref="A186:A249" si="5">A174+1</f>
        <v>2018.09</v>
      </c>
      <c r="B186" s="2591">
        <v>142.11215934416106</v>
      </c>
      <c r="C186" s="3122">
        <f t="shared" si="4"/>
        <v>-6.889835679133971E-2</v>
      </c>
      <c r="D186" s="2663">
        <v>-0.06</v>
      </c>
      <c r="E186" s="3106">
        <v>28.968973240305363</v>
      </c>
      <c r="F186" s="3107">
        <v>54.503051139283698</v>
      </c>
      <c r="G186" s="3107">
        <v>145.53907335497402</v>
      </c>
      <c r="H186" s="3107">
        <v>152.88527592820685</v>
      </c>
      <c r="I186" s="3107">
        <v>199.79176376633123</v>
      </c>
      <c r="J186" s="3108">
        <v>236.24549171697473</v>
      </c>
      <c r="K186" s="3102">
        <v>191.71975641537858</v>
      </c>
      <c r="L186" s="3103">
        <v>231.29850555209561</v>
      </c>
      <c r="M186" s="3103">
        <v>217.2373267501053</v>
      </c>
      <c r="N186" s="3103">
        <v>253.50474002422084</v>
      </c>
      <c r="O186" s="3103">
        <v>129.08279872458937</v>
      </c>
      <c r="P186" s="3103">
        <v>140.53408613717255</v>
      </c>
      <c r="Q186" s="3103">
        <v>128.26835398589816</v>
      </c>
      <c r="R186" s="3103">
        <v>170.08973049060981</v>
      </c>
      <c r="S186" s="3103">
        <v>200.04369099440697</v>
      </c>
      <c r="T186" s="3104">
        <v>112.22695319223291</v>
      </c>
    </row>
    <row r="187" spans="1:20">
      <c r="A187" s="329">
        <f t="shared" si="5"/>
        <v>2018.1</v>
      </c>
      <c r="B187" s="2591">
        <v>144.82085929144159</v>
      </c>
      <c r="C187" s="3122">
        <f t="shared" si="4"/>
        <v>1.9060296879457983E-2</v>
      </c>
      <c r="D187" s="2663">
        <v>-7.8E-2</v>
      </c>
      <c r="E187" s="3106">
        <v>33.321743389777829</v>
      </c>
      <c r="F187" s="3107">
        <v>65.546153004105918</v>
      </c>
      <c r="G187" s="3107">
        <v>132.8220286552081</v>
      </c>
      <c r="H187" s="3107">
        <v>161.61754580884946</v>
      </c>
      <c r="I187" s="3107">
        <v>192.35297868155263</v>
      </c>
      <c r="J187" s="3108">
        <v>208.83610693348155</v>
      </c>
      <c r="K187" s="3102">
        <v>198.31510643640439</v>
      </c>
      <c r="L187" s="3103">
        <v>227.68746122088118</v>
      </c>
      <c r="M187" s="3103">
        <v>227.77477727781451</v>
      </c>
      <c r="N187" s="3103">
        <v>239.31454289711752</v>
      </c>
      <c r="O187" s="3103">
        <v>118.26174459781154</v>
      </c>
      <c r="P187" s="3103">
        <v>140.32702374647258</v>
      </c>
      <c r="Q187" s="3103">
        <v>128.54814399177755</v>
      </c>
      <c r="R187" s="3103">
        <v>170.92284734821544</v>
      </c>
      <c r="S187" s="3103">
        <v>197.31835787227098</v>
      </c>
      <c r="T187" s="3104">
        <v>118.71473475377722</v>
      </c>
    </row>
    <row r="188" spans="1:20">
      <c r="A188" s="329">
        <f t="shared" si="5"/>
        <v>2018.11</v>
      </c>
      <c r="B188" s="2591">
        <v>144.14297021367477</v>
      </c>
      <c r="C188" s="3122">
        <f t="shared" si="4"/>
        <v>-4.6808800961649633E-3</v>
      </c>
      <c r="D188" s="2663">
        <v>-9.4E-2</v>
      </c>
      <c r="E188" s="3106">
        <v>89.533827583927788</v>
      </c>
      <c r="F188" s="3107">
        <v>45.419209282736446</v>
      </c>
      <c r="G188" s="3107">
        <v>120.38992936699677</v>
      </c>
      <c r="H188" s="3107">
        <v>132.07185547256742</v>
      </c>
      <c r="I188" s="3107">
        <v>184.67425026399357</v>
      </c>
      <c r="J188" s="3108">
        <v>193.70917161463501</v>
      </c>
      <c r="K188" s="3102">
        <v>184.10567664833724</v>
      </c>
      <c r="L188" s="3103">
        <v>229.87347469799894</v>
      </c>
      <c r="M188" s="3103">
        <v>230.2933666464987</v>
      </c>
      <c r="N188" s="3103">
        <v>224.43029962641319</v>
      </c>
      <c r="O188" s="3103">
        <v>114.24826057976179</v>
      </c>
      <c r="P188" s="3103">
        <v>140.39199709631524</v>
      </c>
      <c r="Q188" s="3103">
        <v>128.7287706175822</v>
      </c>
      <c r="R188" s="3103">
        <v>169.9152472044025</v>
      </c>
      <c r="S188" s="3103">
        <v>197.41269833226033</v>
      </c>
      <c r="T188" s="3104">
        <v>121.13611954093189</v>
      </c>
    </row>
    <row r="189" spans="1:20">
      <c r="A189" s="329">
        <f t="shared" si="5"/>
        <v>2018.12</v>
      </c>
      <c r="B189" s="2591">
        <v>152.31957038342927</v>
      </c>
      <c r="C189" s="3122">
        <f t="shared" si="4"/>
        <v>5.6725625659258094E-2</v>
      </c>
      <c r="D189" s="2663">
        <v>-5.5999999999999994E-2</v>
      </c>
      <c r="E189" s="3106">
        <v>68.142071868972238</v>
      </c>
      <c r="F189" s="3107">
        <v>43.816178366875164</v>
      </c>
      <c r="G189" s="3107">
        <v>101.20590558630627</v>
      </c>
      <c r="H189" s="3107">
        <v>147.46180137961173</v>
      </c>
      <c r="I189" s="3107">
        <v>172.22388605686183</v>
      </c>
      <c r="J189" s="3108">
        <v>264.05272303174007</v>
      </c>
      <c r="K189" s="3102">
        <v>211.47527968765166</v>
      </c>
      <c r="L189" s="3103">
        <v>228.97762377109552</v>
      </c>
      <c r="M189" s="3103">
        <v>236.34994409034294</v>
      </c>
      <c r="N189" s="3103">
        <v>246.90551325234483</v>
      </c>
      <c r="O189" s="3103">
        <v>118.11891836453826</v>
      </c>
      <c r="P189" s="3103">
        <v>140.47994088630614</v>
      </c>
      <c r="Q189" s="3103">
        <v>128.92648790183415</v>
      </c>
      <c r="R189" s="3103">
        <v>171.27468504851535</v>
      </c>
      <c r="S189" s="3103">
        <v>198.8466076964252</v>
      </c>
      <c r="T189" s="3104">
        <v>118.19221082873906</v>
      </c>
    </row>
    <row r="190" spans="1:20">
      <c r="A190" s="329">
        <f t="shared" si="5"/>
        <v>2019.01</v>
      </c>
      <c r="B190" s="2591">
        <v>133.95669867997097</v>
      </c>
      <c r="C190" s="3122">
        <f t="shared" si="4"/>
        <v>-0.1205549074044393</v>
      </c>
      <c r="D190" s="2663">
        <v>-4.2999999999999997E-2</v>
      </c>
      <c r="E190" s="3106">
        <v>36.193466150268847</v>
      </c>
      <c r="F190" s="3107">
        <v>54.057764773766678</v>
      </c>
      <c r="G190" s="3107">
        <v>130.63879225489234</v>
      </c>
      <c r="H190" s="3107">
        <v>136.73163001505523</v>
      </c>
      <c r="I190" s="3107">
        <v>186.64962314683368</v>
      </c>
      <c r="J190" s="3108">
        <v>200.14620443915604</v>
      </c>
      <c r="K190" s="3102">
        <v>176.88231176975756</v>
      </c>
      <c r="L190" s="3103">
        <v>224.2401185553928</v>
      </c>
      <c r="M190" s="3103">
        <v>208.91662214763409</v>
      </c>
      <c r="N190" s="3103">
        <v>270.83419410088271</v>
      </c>
      <c r="O190" s="3103">
        <v>117.49595083896097</v>
      </c>
      <c r="P190" s="3103">
        <v>141.87617439086767</v>
      </c>
      <c r="Q190" s="3103">
        <v>129.42058880502256</v>
      </c>
      <c r="R190" s="3103">
        <v>171.16596825728863</v>
      </c>
      <c r="S190" s="3103">
        <v>199.62911231051132</v>
      </c>
      <c r="T190" s="3104">
        <v>113.63831905319113</v>
      </c>
    </row>
    <row r="191" spans="1:20">
      <c r="A191" s="329">
        <f t="shared" si="5"/>
        <v>2019.02</v>
      </c>
      <c r="B191" s="2591">
        <v>129.5886931048687</v>
      </c>
      <c r="C191" s="3122">
        <f t="shared" si="4"/>
        <v>-3.2607593484650255E-2</v>
      </c>
      <c r="D191" s="2663">
        <v>-4.4000000000000004E-2</v>
      </c>
      <c r="E191" s="3106">
        <v>49.139585494043523</v>
      </c>
      <c r="F191" s="3107">
        <v>54.592108412387141</v>
      </c>
      <c r="G191" s="3107">
        <v>170.64345917024204</v>
      </c>
      <c r="H191" s="3107">
        <v>119.42368241913763</v>
      </c>
      <c r="I191" s="3107">
        <v>191.50831800887153</v>
      </c>
      <c r="J191" s="3108">
        <v>199.69946979482884</v>
      </c>
      <c r="K191" s="3102">
        <v>167.48568132594477</v>
      </c>
      <c r="L191" s="3103">
        <v>222.4251958564474</v>
      </c>
      <c r="M191" s="3103">
        <v>199.52152861205744</v>
      </c>
      <c r="N191" s="3103">
        <v>257.03569649804029</v>
      </c>
      <c r="O191" s="3103">
        <v>121.18147789758265</v>
      </c>
      <c r="P191" s="3103">
        <v>141.70504247869692</v>
      </c>
      <c r="Q191" s="3103">
        <v>128.43330658963683</v>
      </c>
      <c r="R191" s="3103">
        <v>171.44307136236915</v>
      </c>
      <c r="S191" s="3103">
        <v>199.6112633214955</v>
      </c>
      <c r="T191" s="3104">
        <v>109.05125052841289</v>
      </c>
    </row>
    <row r="192" spans="1:20">
      <c r="A192" s="329">
        <f t="shared" si="5"/>
        <v>2019.03</v>
      </c>
      <c r="B192" s="2591">
        <v>181.90091227288295</v>
      </c>
      <c r="C192" s="3122">
        <f t="shared" si="4"/>
        <v>0.40367888520706807</v>
      </c>
      <c r="D192" s="2663">
        <v>-2E-3</v>
      </c>
      <c r="E192" s="3106">
        <v>254.33099964985627</v>
      </c>
      <c r="F192" s="3107">
        <v>84.729980203310362</v>
      </c>
      <c r="G192" s="3107">
        <v>141.69050792143136</v>
      </c>
      <c r="H192" s="3107">
        <v>137.11198613755161</v>
      </c>
      <c r="I192" s="3107">
        <v>199.6419756980232</v>
      </c>
      <c r="J192" s="3108">
        <v>215.34290891116518</v>
      </c>
      <c r="K192" s="3102">
        <v>181.95817066474467</v>
      </c>
      <c r="L192" s="3103">
        <v>229.33885438173965</v>
      </c>
      <c r="M192" s="3103">
        <v>255.98380246270381</v>
      </c>
      <c r="N192" s="3103">
        <v>252.13780901126688</v>
      </c>
      <c r="O192" s="3103">
        <v>122.25499182674385</v>
      </c>
      <c r="P192" s="3103">
        <v>140.38784815162461</v>
      </c>
      <c r="Q192" s="3103">
        <v>128.90599744940704</v>
      </c>
      <c r="R192" s="3103">
        <v>173.5547184687066</v>
      </c>
      <c r="S192" s="3103">
        <v>200.32373331500415</v>
      </c>
      <c r="T192" s="3104">
        <v>99.902236340689242</v>
      </c>
    </row>
    <row r="193" spans="1:20">
      <c r="A193" s="329">
        <f t="shared" si="5"/>
        <v>2019.04</v>
      </c>
      <c r="B193" s="2592">
        <v>202.44662812505652</v>
      </c>
      <c r="C193" s="3122">
        <f t="shared" si="4"/>
        <v>0.11295004294069422</v>
      </c>
      <c r="D193" s="2664">
        <v>5.7000000000000002E-2</v>
      </c>
      <c r="E193" s="3106">
        <v>357.98921255426188</v>
      </c>
      <c r="F193" s="3107">
        <v>68.48504301651829</v>
      </c>
      <c r="G193" s="3107">
        <v>182.0599830084841</v>
      </c>
      <c r="H193" s="3107">
        <v>142.16416597698398</v>
      </c>
      <c r="I193" s="3107">
        <v>206.13143421057836</v>
      </c>
      <c r="J193" s="3108">
        <v>203.42730495858166</v>
      </c>
      <c r="K193" s="3102">
        <v>175.85540268711216</v>
      </c>
      <c r="L193" s="3103">
        <v>218.00967003233001</v>
      </c>
      <c r="M193" s="3103">
        <v>266.04145931103699</v>
      </c>
      <c r="N193" s="3103">
        <v>236.24322559731067</v>
      </c>
      <c r="O193" s="3103">
        <v>120.36693384490073</v>
      </c>
      <c r="P193" s="3103">
        <v>140.11275890740953</v>
      </c>
      <c r="Q193" s="3103">
        <v>129.15278439192818</v>
      </c>
      <c r="R193" s="3103">
        <v>171.70488734994572</v>
      </c>
      <c r="S193" s="3103">
        <v>192.937222147348</v>
      </c>
      <c r="T193" s="3104">
        <v>95.575429077434649</v>
      </c>
    </row>
    <row r="194" spans="1:20">
      <c r="A194" s="329">
        <f t="shared" si="5"/>
        <v>2019.05</v>
      </c>
      <c r="B194" s="2592">
        <v>185.8504817065263</v>
      </c>
      <c r="C194" s="3122">
        <f t="shared" si="4"/>
        <v>-8.197788509610715E-2</v>
      </c>
      <c r="D194" s="2664">
        <v>4.5999999999999999E-2</v>
      </c>
      <c r="E194" s="3106">
        <v>218.00003095492451</v>
      </c>
      <c r="F194" s="3107">
        <v>60.915174802728863</v>
      </c>
      <c r="G194" s="3107">
        <v>181.99096524627001</v>
      </c>
      <c r="H194" s="3107">
        <v>173.18487198739035</v>
      </c>
      <c r="I194" s="3107">
        <v>194.11849626153338</v>
      </c>
      <c r="J194" s="3108">
        <v>215.08092478291516</v>
      </c>
      <c r="K194" s="3102">
        <v>195.99728574262977</v>
      </c>
      <c r="L194" s="3103">
        <v>218.42205895317804</v>
      </c>
      <c r="M194" s="3103">
        <v>255.15251893232465</v>
      </c>
      <c r="N194" s="3103">
        <v>215.96453759655475</v>
      </c>
      <c r="O194" s="3103">
        <v>120.43922201234027</v>
      </c>
      <c r="P194" s="3103">
        <v>140.99555329961251</v>
      </c>
      <c r="Q194" s="3103">
        <v>129.29993990499696</v>
      </c>
      <c r="R194" s="3103">
        <v>171.84200617241237</v>
      </c>
      <c r="S194" s="3103">
        <v>191.34374474154984</v>
      </c>
      <c r="T194" s="3104">
        <v>98.002330887182637</v>
      </c>
    </row>
    <row r="195" spans="1:20">
      <c r="A195" s="329">
        <f t="shared" si="5"/>
        <v>2019.06</v>
      </c>
      <c r="B195" s="2592">
        <v>144.44170416861556</v>
      </c>
      <c r="C195" s="3122">
        <f t="shared" si="4"/>
        <v>-0.22280694221335795</v>
      </c>
      <c r="D195" s="2664">
        <v>-4.8000000000000001E-2</v>
      </c>
      <c r="E195" s="3106">
        <v>55.45859775274041</v>
      </c>
      <c r="F195" s="3107">
        <v>74.629994860653184</v>
      </c>
      <c r="G195" s="3107">
        <v>229.07488262872201</v>
      </c>
      <c r="H195" s="3107">
        <v>151.08227962208764</v>
      </c>
      <c r="I195" s="3107">
        <v>202.81874986801782</v>
      </c>
      <c r="J195" s="3108">
        <v>211.40553207551355</v>
      </c>
      <c r="K195" s="3102">
        <v>187.52377537810892</v>
      </c>
      <c r="L195" s="3103">
        <v>224.65958685420313</v>
      </c>
      <c r="M195" s="3103">
        <v>230.02073721116938</v>
      </c>
      <c r="N195" s="3103">
        <v>208.47701080624526</v>
      </c>
      <c r="O195" s="3103">
        <v>122.13620948714831</v>
      </c>
      <c r="P195" s="3103">
        <v>140.96566825875445</v>
      </c>
      <c r="Q195" s="3103">
        <v>129.22667111942445</v>
      </c>
      <c r="R195" s="3103">
        <v>172.66699426095155</v>
      </c>
      <c r="S195" s="3103">
        <v>194.68492722582772</v>
      </c>
      <c r="T195" s="3104">
        <v>105.87478417172802</v>
      </c>
    </row>
    <row r="196" spans="1:20">
      <c r="A196" s="329">
        <f t="shared" si="5"/>
        <v>2019.07</v>
      </c>
      <c r="B196" s="2592">
        <v>146.52771776471729</v>
      </c>
      <c r="C196" s="3122">
        <f t="shared" si="4"/>
        <v>1.4441906567833174E-2</v>
      </c>
      <c r="D196" s="2664">
        <v>-2.4E-2</v>
      </c>
      <c r="E196" s="3106">
        <v>32.431701066722361</v>
      </c>
      <c r="F196" s="3107">
        <v>76.143968503411088</v>
      </c>
      <c r="G196" s="3107">
        <v>175.65710661107983</v>
      </c>
      <c r="H196" s="3107">
        <v>163.58320341732534</v>
      </c>
      <c r="I196" s="3107">
        <v>220.75143922866201</v>
      </c>
      <c r="J196" s="3108">
        <v>203.83306023914832</v>
      </c>
      <c r="K196" s="3102">
        <v>198.96006923863149</v>
      </c>
      <c r="L196" s="3103">
        <v>225.04380867172881</v>
      </c>
      <c r="M196" s="3103">
        <v>238.04307177876399</v>
      </c>
      <c r="N196" s="3103">
        <v>225.2046821609074</v>
      </c>
      <c r="O196" s="3103">
        <v>127.64229881486666</v>
      </c>
      <c r="P196" s="3103">
        <v>140.71717845517486</v>
      </c>
      <c r="Q196" s="3103">
        <v>128.66583387480455</v>
      </c>
      <c r="R196" s="3103">
        <v>170.51695490897492</v>
      </c>
      <c r="S196" s="3103">
        <v>191.47700133904112</v>
      </c>
      <c r="T196" s="3104">
        <v>111.94558065093713</v>
      </c>
    </row>
    <row r="197" spans="1:20">
      <c r="A197" s="329">
        <f t="shared" si="5"/>
        <v>2019.08</v>
      </c>
      <c r="B197" s="2592">
        <v>145.15194333852401</v>
      </c>
      <c r="C197" s="3122">
        <f t="shared" si="4"/>
        <v>-9.3891752849273313E-3</v>
      </c>
      <c r="D197" s="2664">
        <v>-4.9000000000000002E-2</v>
      </c>
      <c r="E197" s="3106">
        <v>32.826608500786456</v>
      </c>
      <c r="F197" s="3107">
        <v>68.574100289621668</v>
      </c>
      <c r="G197" s="3107">
        <v>246.38059351988923</v>
      </c>
      <c r="H197" s="3107">
        <v>158.33783213744357</v>
      </c>
      <c r="I197" s="3107">
        <v>195.09482879371566</v>
      </c>
      <c r="J197" s="3108">
        <v>204.61140423596257</v>
      </c>
      <c r="K197" s="3102">
        <v>197.81826382087337</v>
      </c>
      <c r="L197" s="3103">
        <v>227.30066981004154</v>
      </c>
      <c r="M197" s="3103">
        <v>234.74093514062878</v>
      </c>
      <c r="N197" s="3103">
        <v>230.26672199553562</v>
      </c>
      <c r="O197" s="3103">
        <v>130.75568311465531</v>
      </c>
      <c r="P197" s="3103">
        <v>142.42231905325275</v>
      </c>
      <c r="Q197" s="3103">
        <v>131.02457070071043</v>
      </c>
      <c r="R197" s="3103">
        <v>169.99854589009078</v>
      </c>
      <c r="S197" s="3103">
        <v>194.92868746697684</v>
      </c>
      <c r="T197" s="3104">
        <v>118.61471293366758</v>
      </c>
    </row>
    <row r="198" spans="1:20">
      <c r="A198" s="329">
        <f t="shared" si="5"/>
        <v>2019.09</v>
      </c>
      <c r="B198" s="2592">
        <v>142.26360176870733</v>
      </c>
      <c r="C198" s="3122">
        <f t="shared" si="4"/>
        <v>-1.9898745434502874E-2</v>
      </c>
      <c r="D198" s="2664">
        <v>1E-3</v>
      </c>
      <c r="E198" s="3106">
        <v>28.822145115770674</v>
      </c>
      <c r="F198" s="3107">
        <v>56.827445967282564</v>
      </c>
      <c r="G198" s="3107">
        <v>176.88069293833249</v>
      </c>
      <c r="H198" s="3107">
        <v>162.33804731462865</v>
      </c>
      <c r="I198" s="3107">
        <v>173.94399265212837</v>
      </c>
      <c r="J198" s="3108">
        <v>199.96371433652811</v>
      </c>
      <c r="K198" s="3102">
        <v>191.21064841414977</v>
      </c>
      <c r="L198" s="3103">
        <v>225.97500107352269</v>
      </c>
      <c r="M198" s="3103">
        <v>225.18986263134343</v>
      </c>
      <c r="N198" s="3103">
        <v>213.42549366544478</v>
      </c>
      <c r="O198" s="3103">
        <v>124.25866721999824</v>
      </c>
      <c r="P198" s="3103">
        <v>142.30490422079717</v>
      </c>
      <c r="Q198" s="3103">
        <v>130.41731125897587</v>
      </c>
      <c r="R198" s="3103">
        <v>171.10136144969738</v>
      </c>
      <c r="S198" s="3103">
        <v>190.94111259989899</v>
      </c>
      <c r="T198" s="3104">
        <v>125.67570743690041</v>
      </c>
    </row>
    <row r="199" spans="1:20">
      <c r="A199" s="329">
        <f t="shared" si="5"/>
        <v>2019.1</v>
      </c>
      <c r="B199" s="2592">
        <v>142.39591289266576</v>
      </c>
      <c r="C199" s="3122">
        <f t="shared" si="4"/>
        <v>9.3004199467361381E-4</v>
      </c>
      <c r="D199" s="2664">
        <v>-1.7000000000000001E-2</v>
      </c>
      <c r="E199" s="3106">
        <v>31.644522294988104</v>
      </c>
      <c r="F199" s="3107">
        <v>50.050187484113486</v>
      </c>
      <c r="G199" s="3107">
        <v>227.1966135284672</v>
      </c>
      <c r="H199" s="3107">
        <v>157.32204562849589</v>
      </c>
      <c r="I199" s="3107">
        <v>181.1559822466873</v>
      </c>
      <c r="J199" s="3108">
        <v>172.00133127785253</v>
      </c>
      <c r="K199" s="3102">
        <v>207.65067292126596</v>
      </c>
      <c r="L199" s="3103">
        <v>221.13835627175823</v>
      </c>
      <c r="M199" s="3103">
        <v>220.8392234786221</v>
      </c>
      <c r="N199" s="3103">
        <v>222.85394598941738</v>
      </c>
      <c r="O199" s="3103">
        <v>112.76359945186459</v>
      </c>
      <c r="P199" s="3103">
        <v>142.53501381205965</v>
      </c>
      <c r="Q199" s="3103">
        <v>130.39645710317993</v>
      </c>
      <c r="R199" s="3103">
        <v>171.14750121966466</v>
      </c>
      <c r="S199" s="3103">
        <v>188.25437610675965</v>
      </c>
      <c r="T199" s="3104">
        <v>132.64749032419797</v>
      </c>
    </row>
    <row r="200" spans="1:20">
      <c r="A200" s="329">
        <f t="shared" si="5"/>
        <v>2019.11</v>
      </c>
      <c r="B200" s="2592">
        <v>149.6397973496679</v>
      </c>
      <c r="C200" s="3122">
        <f t="shared" si="4"/>
        <v>5.0871435210801286E-2</v>
      </c>
      <c r="D200" s="2664">
        <v>3.7999999999999999E-2</v>
      </c>
      <c r="E200" s="3106">
        <v>100.56098980116637</v>
      </c>
      <c r="F200" s="3107">
        <v>65.978080778657443</v>
      </c>
      <c r="G200" s="3107">
        <v>157.26978878921469</v>
      </c>
      <c r="H200" s="3107">
        <v>141.5541493027753</v>
      </c>
      <c r="I200" s="3107">
        <v>185.87061119754006</v>
      </c>
      <c r="J200" s="3108">
        <v>215.95353044908063</v>
      </c>
      <c r="K200" s="3102">
        <v>189.78338869075478</v>
      </c>
      <c r="L200" s="3103">
        <v>229.33349703362848</v>
      </c>
      <c r="M200" s="3103">
        <v>225.04565208743594</v>
      </c>
      <c r="N200" s="3103">
        <v>213.90272421555233</v>
      </c>
      <c r="O200" s="3103">
        <v>106.84682869141736</v>
      </c>
      <c r="P200" s="3103">
        <v>142.73591328831859</v>
      </c>
      <c r="Q200" s="3103">
        <v>130.19126074687188</v>
      </c>
      <c r="R200" s="3103">
        <v>173.07579826402514</v>
      </c>
      <c r="S200" s="3103">
        <v>189.15994491216321</v>
      </c>
      <c r="T200" s="3104">
        <v>133.6822809890709</v>
      </c>
    </row>
    <row r="201" spans="1:20">
      <c r="A201" s="329">
        <f t="shared" si="5"/>
        <v>2019.12</v>
      </c>
      <c r="B201" s="2592">
        <v>143.30425752287036</v>
      </c>
      <c r="C201" s="3122">
        <f t="shared" si="4"/>
        <v>-4.2338602023050731E-2</v>
      </c>
      <c r="D201" s="2664">
        <v>-5.9000000000000004E-2</v>
      </c>
      <c r="E201" s="3106">
        <v>75.91873560507598</v>
      </c>
      <c r="F201" s="3107">
        <v>73.579119038033042</v>
      </c>
      <c r="G201" s="3107">
        <v>213.57250726740585</v>
      </c>
      <c r="H201" s="3107">
        <v>117.63516042217039</v>
      </c>
      <c r="I201" s="3107">
        <v>181.66587209827685</v>
      </c>
      <c r="J201" s="3108">
        <v>220.90516883785173</v>
      </c>
      <c r="K201" s="3102">
        <v>214.76620856175245</v>
      </c>
      <c r="L201" s="3103">
        <v>223.66576106905796</v>
      </c>
      <c r="M201" s="3103">
        <v>214.81026977340048</v>
      </c>
      <c r="N201" s="3103">
        <v>235.14862152167927</v>
      </c>
      <c r="O201" s="3103">
        <v>114.83954776268406</v>
      </c>
      <c r="P201" s="3103">
        <v>141.53956022757041</v>
      </c>
      <c r="Q201" s="3103">
        <v>128.31679195620023</v>
      </c>
      <c r="R201" s="3103">
        <v>176.48817950901244</v>
      </c>
      <c r="S201" s="3103">
        <v>195.30671398688361</v>
      </c>
      <c r="T201" s="3104">
        <v>130.97549013336248</v>
      </c>
    </row>
    <row r="202" spans="1:20">
      <c r="A202" s="329">
        <f t="shared" si="5"/>
        <v>2020.01</v>
      </c>
      <c r="B202" s="2592">
        <v>128.00803891556859</v>
      </c>
      <c r="C202" s="3122">
        <f t="shared" si="4"/>
        <v>-0.10673945681523522</v>
      </c>
      <c r="D202" s="2664">
        <v>-4.4000000000000004E-2</v>
      </c>
      <c r="E202" s="3106">
        <v>40.589965464866765</v>
      </c>
      <c r="F202" s="3107">
        <v>62.591685642450798</v>
      </c>
      <c r="G202" s="3107">
        <v>152.28670635735736</v>
      </c>
      <c r="H202" s="3107">
        <v>123.53720939940804</v>
      </c>
      <c r="I202" s="3107">
        <v>204.74014644535993</v>
      </c>
      <c r="J202" s="3108">
        <v>130.67377821404401</v>
      </c>
      <c r="K202" s="3102">
        <v>173.03190512765559</v>
      </c>
      <c r="L202" s="3103">
        <v>218.89467741456849</v>
      </c>
      <c r="M202" s="3103">
        <v>195.95708295136421</v>
      </c>
      <c r="N202" s="3103">
        <v>313.90578023812714</v>
      </c>
      <c r="O202" s="3103">
        <v>118.06046722057722</v>
      </c>
      <c r="P202" s="3103">
        <v>134.07360679680556</v>
      </c>
      <c r="Q202" s="3103">
        <v>127.02059412662757</v>
      </c>
      <c r="R202" s="3103">
        <v>143.26888375679806</v>
      </c>
      <c r="S202" s="3103">
        <v>210.81876244053174</v>
      </c>
      <c r="T202" s="3104">
        <v>124.03704200071552</v>
      </c>
    </row>
    <row r="203" spans="1:20">
      <c r="A203" s="329">
        <f t="shared" si="5"/>
        <v>2020.02</v>
      </c>
      <c r="B203" s="2592">
        <v>128.01646991045024</v>
      </c>
      <c r="C203" s="3122">
        <f t="shared" si="4"/>
        <v>6.5863011050604214E-5</v>
      </c>
      <c r="D203" s="2664">
        <v>-1.2E-2</v>
      </c>
      <c r="E203" s="3106">
        <v>59.007877606024358</v>
      </c>
      <c r="F203" s="3107">
        <v>43.804879550660246</v>
      </c>
      <c r="G203" s="3107">
        <v>128.3661359419855</v>
      </c>
      <c r="H203" s="3107">
        <v>116.99066691581925</v>
      </c>
      <c r="I203" s="3107">
        <v>206.59730464066035</v>
      </c>
      <c r="J203" s="3108">
        <v>141.19184244939137</v>
      </c>
      <c r="K203" s="3102">
        <v>162.41960871872789</v>
      </c>
      <c r="L203" s="3103">
        <v>219.62411514324975</v>
      </c>
      <c r="M203" s="3103">
        <v>192.71045046258263</v>
      </c>
      <c r="N203" s="3103">
        <v>306.55350293047417</v>
      </c>
      <c r="O203" s="3103">
        <v>121.978307163062</v>
      </c>
      <c r="P203" s="3103">
        <v>134.88680802662171</v>
      </c>
      <c r="Q203" s="3103">
        <v>126.16400733650097</v>
      </c>
      <c r="R203" s="3103">
        <v>140.3946264641956</v>
      </c>
      <c r="S203" s="3103">
        <v>201.41142027897754</v>
      </c>
      <c r="T203" s="3104">
        <v>109.98806027652218</v>
      </c>
    </row>
    <row r="204" spans="1:20">
      <c r="A204" s="329">
        <f t="shared" si="5"/>
        <v>2020.03</v>
      </c>
      <c r="B204" s="2592">
        <v>167.55515599752331</v>
      </c>
      <c r="C204" s="3122">
        <f t="shared" si="4"/>
        <v>0.30885624415929502</v>
      </c>
      <c r="D204" s="2664">
        <v>-7.9000000000000001E-2</v>
      </c>
      <c r="E204" s="3106">
        <v>255.65787701465715</v>
      </c>
      <c r="F204" s="3107">
        <v>46.68288803833579</v>
      </c>
      <c r="G204" s="3107">
        <v>102.38292040444399</v>
      </c>
      <c r="H204" s="3107">
        <v>124.98413940062134</v>
      </c>
      <c r="I204" s="3107">
        <v>198.78672052698454</v>
      </c>
      <c r="J204" s="3108">
        <v>141.09123352855835</v>
      </c>
      <c r="K204" s="3102">
        <v>147.91805650257533</v>
      </c>
      <c r="L204" s="3103">
        <v>199.72311766291668</v>
      </c>
      <c r="M204" s="3103">
        <v>219.03437636106958</v>
      </c>
      <c r="N204" s="3103">
        <v>339.24255230075084</v>
      </c>
      <c r="O204" s="3103">
        <v>120.16679734805849</v>
      </c>
      <c r="P204" s="3103">
        <v>133.93906693638334</v>
      </c>
      <c r="Q204" s="3103">
        <v>125.61886575302921</v>
      </c>
      <c r="R204" s="3103">
        <v>132.18317289022175</v>
      </c>
      <c r="S204" s="3103">
        <v>160.58931523218212</v>
      </c>
      <c r="T204" s="3104">
        <v>86.258349790951129</v>
      </c>
    </row>
    <row r="205" spans="1:20">
      <c r="A205" s="329">
        <f t="shared" si="5"/>
        <v>2020.04</v>
      </c>
      <c r="B205" s="2592">
        <v>176.35314108771095</v>
      </c>
      <c r="C205" s="3122">
        <f t="shared" ref="C205:C268" si="6">B205/B204-1</f>
        <v>5.2507993787536344E-2</v>
      </c>
      <c r="D205" s="2664">
        <v>-0.129</v>
      </c>
      <c r="E205" s="3106">
        <v>350.18607705112515</v>
      </c>
      <c r="F205" s="3107">
        <v>63.893741510198687</v>
      </c>
      <c r="G205" s="3107">
        <v>75.770657262722608</v>
      </c>
      <c r="H205" s="3107">
        <v>124.26498339821055</v>
      </c>
      <c r="I205" s="3107">
        <v>189.34426120665569</v>
      </c>
      <c r="J205" s="3108">
        <v>107.65232203558246</v>
      </c>
      <c r="K205" s="3102">
        <v>138.20286827205905</v>
      </c>
      <c r="L205" s="3103">
        <v>142.82744050151558</v>
      </c>
      <c r="M205" s="3103">
        <v>216.32117068610484</v>
      </c>
      <c r="N205" s="3103">
        <v>309.2172120945595</v>
      </c>
      <c r="O205" s="3103">
        <v>103.27626808894502</v>
      </c>
      <c r="P205" s="3103">
        <v>69.034190606394674</v>
      </c>
      <c r="Q205" s="3103">
        <v>124.91192894526444</v>
      </c>
      <c r="R205" s="3103">
        <v>113.52433593680612</v>
      </c>
      <c r="S205" s="3103">
        <v>90.239384548037634</v>
      </c>
      <c r="T205" s="3104">
        <v>60.303804483039499</v>
      </c>
    </row>
    <row r="206" spans="1:20">
      <c r="A206" s="329">
        <f t="shared" si="5"/>
        <v>2020.05</v>
      </c>
      <c r="B206" s="2592">
        <v>162.93815622206611</v>
      </c>
      <c r="C206" s="3122">
        <f t="shared" si="6"/>
        <v>-7.6068873981511742E-2</v>
      </c>
      <c r="D206" s="2664">
        <v>-0.12300000000000001</v>
      </c>
      <c r="E206" s="3106">
        <v>216.41779031142741</v>
      </c>
      <c r="F206" s="3107">
        <v>57.759198293295178</v>
      </c>
      <c r="G206" s="3107">
        <v>129.75043505839383</v>
      </c>
      <c r="H206" s="3107">
        <v>143.22266463493409</v>
      </c>
      <c r="I206" s="3107">
        <v>208.09178054616768</v>
      </c>
      <c r="J206" s="3108">
        <v>136.6978180464935</v>
      </c>
      <c r="K206" s="3102">
        <v>177.80045746166724</v>
      </c>
      <c r="L206" s="3103">
        <v>128.98801510563237</v>
      </c>
      <c r="M206" s="3103">
        <v>210.49211783223191</v>
      </c>
      <c r="N206" s="3103">
        <v>280.07468955108885</v>
      </c>
      <c r="O206" s="3103">
        <v>104.98623770846831</v>
      </c>
      <c r="P206" s="3103">
        <v>113.63239027375647</v>
      </c>
      <c r="Q206" s="3103">
        <v>124.54353230853164</v>
      </c>
      <c r="R206" s="3103">
        <v>106.01977869192825</v>
      </c>
      <c r="S206" s="3103">
        <v>69.010553679098464</v>
      </c>
      <c r="T206" s="3104">
        <v>54.495529620672642</v>
      </c>
    </row>
    <row r="207" spans="1:20">
      <c r="A207" s="329">
        <f t="shared" si="5"/>
        <v>2020.06</v>
      </c>
      <c r="B207" s="2592">
        <v>142.35362100387107</v>
      </c>
      <c r="C207" s="3122">
        <f t="shared" si="6"/>
        <v>-0.12633342426031058</v>
      </c>
      <c r="D207" s="2664">
        <v>-1.3999999999999999E-2</v>
      </c>
      <c r="E207" s="3106">
        <v>65.082351174685414</v>
      </c>
      <c r="F207" s="3107">
        <v>56.73243423758543</v>
      </c>
      <c r="G207" s="3107">
        <v>179.97663255765016</v>
      </c>
      <c r="H207" s="3107">
        <v>152.3487292659598</v>
      </c>
      <c r="I207" s="3107">
        <v>212.20082955418331</v>
      </c>
      <c r="J207" s="3108">
        <v>154.2144618764799</v>
      </c>
      <c r="K207" s="3102">
        <v>209.64510771994753</v>
      </c>
      <c r="L207" s="3103">
        <v>128.88891078369272</v>
      </c>
      <c r="M207" s="3103">
        <v>195.84542267486336</v>
      </c>
      <c r="N207" s="3103">
        <v>305.26608606408644</v>
      </c>
      <c r="O207" s="3103">
        <v>114.55391149642143</v>
      </c>
      <c r="P207" s="3103">
        <v>114.26121631106659</v>
      </c>
      <c r="Q207" s="3103">
        <v>124.84314491937548</v>
      </c>
      <c r="R207" s="3103">
        <v>108.39877448201733</v>
      </c>
      <c r="S207" s="3103">
        <v>71.881455908596166</v>
      </c>
      <c r="T207" s="3104">
        <v>67.237560732510502</v>
      </c>
    </row>
    <row r="208" spans="1:20">
      <c r="A208" s="329">
        <f t="shared" si="5"/>
        <v>2020.07</v>
      </c>
      <c r="B208" s="2592">
        <v>137.08812033303096</v>
      </c>
      <c r="C208" s="3122">
        <f t="shared" si="6"/>
        <v>-3.6988877653466368E-2</v>
      </c>
      <c r="D208" s="2664">
        <v>-6.4000000000000001E-2</v>
      </c>
      <c r="E208" s="3106">
        <v>41.096887654288068</v>
      </c>
      <c r="F208" s="3107">
        <v>54.40733447374997</v>
      </c>
      <c r="G208" s="3107">
        <v>204.42863974207057</v>
      </c>
      <c r="H208" s="3107">
        <v>144.46241972830992</v>
      </c>
      <c r="I208" s="3107">
        <v>215.98097303195058</v>
      </c>
      <c r="J208" s="3108">
        <v>150.5585059428887</v>
      </c>
      <c r="K208" s="3102">
        <v>206.0596168330249</v>
      </c>
      <c r="L208" s="3103">
        <v>140.37906619647421</v>
      </c>
      <c r="M208" s="3103">
        <v>189.50260644944308</v>
      </c>
      <c r="N208" s="3103">
        <v>313.10204506225318</v>
      </c>
      <c r="O208" s="3103">
        <v>126.33630786659333</v>
      </c>
      <c r="P208" s="3103">
        <v>117.34442740344966</v>
      </c>
      <c r="Q208" s="3103">
        <v>124.85301838111167</v>
      </c>
      <c r="R208" s="3103">
        <v>121.12183957417406</v>
      </c>
      <c r="S208" s="3103">
        <v>110.43082977343707</v>
      </c>
      <c r="T208" s="3104">
        <v>96.143976470183929</v>
      </c>
    </row>
    <row r="209" spans="1:20">
      <c r="A209" s="329">
        <f t="shared" si="5"/>
        <v>2020.08</v>
      </c>
      <c r="B209" s="2592">
        <v>133.60644968331769</v>
      </c>
      <c r="C209" s="3122">
        <f t="shared" si="6"/>
        <v>-2.5397318463884155E-2</v>
      </c>
      <c r="D209" s="2664">
        <v>-0.08</v>
      </c>
      <c r="E209" s="3106">
        <v>39.848785925757547</v>
      </c>
      <c r="F209" s="3107">
        <v>44.146948227915701</v>
      </c>
      <c r="G209" s="3107">
        <v>226.7263067773797</v>
      </c>
      <c r="H209" s="3107">
        <v>135.27318596577294</v>
      </c>
      <c r="I209" s="3107">
        <v>183.97351838795865</v>
      </c>
      <c r="J209" s="3108">
        <v>157.63042784254074</v>
      </c>
      <c r="K209" s="3102">
        <v>196.59375425926191</v>
      </c>
      <c r="L209" s="3103">
        <v>149.33312847631066</v>
      </c>
      <c r="M209" s="3103">
        <v>183.99992002551255</v>
      </c>
      <c r="N209" s="3103">
        <v>320.30093457361244</v>
      </c>
      <c r="O209" s="3103">
        <v>131.08344766624816</v>
      </c>
      <c r="P209" s="3103">
        <v>116.48516968785194</v>
      </c>
      <c r="Q209" s="3103">
        <v>124.97267866793436</v>
      </c>
      <c r="R209" s="3103">
        <v>129.37981753531079</v>
      </c>
      <c r="S209" s="3103">
        <v>135.42621043953886</v>
      </c>
      <c r="T209" s="3104">
        <v>115.06910641373194</v>
      </c>
    </row>
    <row r="210" spans="1:20">
      <c r="A210" s="329">
        <f t="shared" si="5"/>
        <v>2020.09</v>
      </c>
      <c r="B210" s="2592">
        <v>136.09233292893288</v>
      </c>
      <c r="C210" s="3122">
        <f t="shared" si="6"/>
        <v>1.860601229586889E-2</v>
      </c>
      <c r="D210" s="2664">
        <v>-4.2999999999999997E-2</v>
      </c>
      <c r="E210" s="3106">
        <v>32.110218700162697</v>
      </c>
      <c r="F210" s="3107">
        <v>50.408162879952947</v>
      </c>
      <c r="G210" s="3107">
        <v>215.69233853540996</v>
      </c>
      <c r="H210" s="3107">
        <v>147.31167250791293</v>
      </c>
      <c r="I210" s="3107">
        <v>182.83862269302278</v>
      </c>
      <c r="J210" s="3108">
        <v>166.63601124362472</v>
      </c>
      <c r="K210" s="3102">
        <v>197.34719679625482</v>
      </c>
      <c r="L210" s="3103">
        <v>153.5614208139051</v>
      </c>
      <c r="M210" s="3103">
        <v>186.35846965224923</v>
      </c>
      <c r="N210" s="3103">
        <v>297.10837215188991</v>
      </c>
      <c r="O210" s="3103">
        <v>128.47879168009274</v>
      </c>
      <c r="P210" s="3103">
        <v>124.31973915371421</v>
      </c>
      <c r="Q210" s="3103">
        <v>126.05088764432936</v>
      </c>
      <c r="R210" s="3103">
        <v>134.98135165850317</v>
      </c>
      <c r="S210" s="3103">
        <v>154.08508970168984</v>
      </c>
      <c r="T210" s="3104">
        <v>123.5691001703233</v>
      </c>
    </row>
    <row r="211" spans="1:20">
      <c r="A211" s="329">
        <f t="shared" si="5"/>
        <v>2020.1</v>
      </c>
      <c r="B211" s="2592">
        <v>136.44643329196748</v>
      </c>
      <c r="C211" s="3122">
        <f t="shared" si="6"/>
        <v>2.6019126530774095E-3</v>
      </c>
      <c r="D211" s="2664">
        <v>-4.2000000000000003E-2</v>
      </c>
      <c r="E211" s="3106">
        <v>34.393293855241595</v>
      </c>
      <c r="F211" s="3107">
        <v>42.595827673465784</v>
      </c>
      <c r="G211" s="3107">
        <v>168.27516395826706</v>
      </c>
      <c r="H211" s="3107">
        <v>143.16164556960942</v>
      </c>
      <c r="I211" s="3107">
        <v>175.76084337280435</v>
      </c>
      <c r="J211" s="3108">
        <v>159.29468046580638</v>
      </c>
      <c r="K211" s="3102">
        <v>210.88630148426824</v>
      </c>
      <c r="L211" s="3103">
        <v>157.23347930243989</v>
      </c>
      <c r="M211" s="3103">
        <v>190.91424772311581</v>
      </c>
      <c r="N211" s="3103">
        <v>280.97510301155341</v>
      </c>
      <c r="O211" s="3103">
        <v>114.71260792620131</v>
      </c>
      <c r="P211" s="3103">
        <v>124.60672360364158</v>
      </c>
      <c r="Q211" s="3103">
        <v>125.82562544276233</v>
      </c>
      <c r="R211" s="3103">
        <v>137.81749101611311</v>
      </c>
      <c r="S211" s="3103">
        <v>171.32547967437861</v>
      </c>
      <c r="T211" s="3104">
        <v>122.50329655267069</v>
      </c>
    </row>
    <row r="212" spans="1:20">
      <c r="A212" s="329">
        <f t="shared" si="5"/>
        <v>2020.11</v>
      </c>
      <c r="B212" s="2592">
        <v>142.61092196989253</v>
      </c>
      <c r="C212" s="3122">
        <f t="shared" si="6"/>
        <v>4.5178818743721205E-2</v>
      </c>
      <c r="D212" s="2664">
        <v>-4.7E-2</v>
      </c>
      <c r="E212" s="3106">
        <v>79.780839091415729</v>
      </c>
      <c r="F212" s="3107">
        <v>28.924241062113236</v>
      </c>
      <c r="G212" s="3107">
        <v>150.62337828799781</v>
      </c>
      <c r="H212" s="3107">
        <v>139.05646460150817</v>
      </c>
      <c r="I212" s="3107">
        <v>198.49326031875651</v>
      </c>
      <c r="J212" s="3108">
        <v>160.61632211544423</v>
      </c>
      <c r="K212" s="3102">
        <v>196.84614120625861</v>
      </c>
      <c r="L212" s="3103">
        <v>162.11448448255547</v>
      </c>
      <c r="M212" s="3103">
        <v>200.28207068895006</v>
      </c>
      <c r="N212" s="3103">
        <v>259.543580635279</v>
      </c>
      <c r="O212" s="3103">
        <v>115.46125982290535</v>
      </c>
      <c r="P212" s="3103">
        <v>124.51270396616734</v>
      </c>
      <c r="Q212" s="3103">
        <v>126.41558966988694</v>
      </c>
      <c r="R212" s="3103">
        <v>139.03275558324981</v>
      </c>
      <c r="S212" s="3103">
        <v>180.73378817769969</v>
      </c>
      <c r="T212" s="3104">
        <v>120.66489909806772</v>
      </c>
    </row>
    <row r="213" spans="1:20">
      <c r="A213" s="329">
        <f t="shared" si="5"/>
        <v>2020.12</v>
      </c>
      <c r="B213" s="2592">
        <v>138.33509822152496</v>
      </c>
      <c r="C213" s="3122">
        <f t="shared" si="6"/>
        <v>-2.9982442363497674E-2</v>
      </c>
      <c r="D213" s="2664">
        <v>-3.5000000000000003E-2</v>
      </c>
      <c r="E213" s="3106">
        <v>62.221578800086128</v>
      </c>
      <c r="F213" s="3107">
        <v>39.445317493468735</v>
      </c>
      <c r="G213" s="3107">
        <v>168.19431457967343</v>
      </c>
      <c r="H213" s="3107">
        <v>112.93189915967477</v>
      </c>
      <c r="I213" s="3107">
        <v>192.59164768100993</v>
      </c>
      <c r="J213" s="3108">
        <v>213.99926338704017</v>
      </c>
      <c r="K213" s="3102">
        <v>222.36622557471566</v>
      </c>
      <c r="L213" s="3103">
        <v>169.1267640397424</v>
      </c>
      <c r="M213" s="3103">
        <v>191.32530486261092</v>
      </c>
      <c r="N213" s="3103">
        <v>272.86970418119677</v>
      </c>
      <c r="O213" s="3103">
        <v>119.55945848526085</v>
      </c>
      <c r="P213" s="3103">
        <v>123.627040653455</v>
      </c>
      <c r="Q213" s="3103">
        <v>127.34791787729377</v>
      </c>
      <c r="R213" s="3103">
        <v>139.80333450007424</v>
      </c>
      <c r="S213" s="3103">
        <v>187.41056500933053</v>
      </c>
      <c r="T213" s="3104">
        <v>119.77804539702009</v>
      </c>
    </row>
    <row r="214" spans="1:20">
      <c r="A214" s="329">
        <f t="shared" si="5"/>
        <v>2021.01</v>
      </c>
      <c r="B214" s="2592">
        <v>132.03683066254794</v>
      </c>
      <c r="C214" s="3122">
        <f t="shared" si="6"/>
        <v>-4.5529064134477215E-2</v>
      </c>
      <c r="D214" s="2664">
        <v>3.1E-2</v>
      </c>
      <c r="E214" s="3106">
        <v>38.106246799719848</v>
      </c>
      <c r="F214" s="3107">
        <v>12.289903688269854</v>
      </c>
      <c r="G214" s="3107">
        <v>191.96501785423757</v>
      </c>
      <c r="H214" s="3107">
        <v>127.40485282548843</v>
      </c>
      <c r="I214" s="3107">
        <v>211.31108974871881</v>
      </c>
      <c r="J214" s="3108">
        <v>137.22943557765862</v>
      </c>
      <c r="K214" s="3102">
        <v>181.12101513994537</v>
      </c>
      <c r="L214" s="3103">
        <v>169.13786382464812</v>
      </c>
      <c r="M214" s="3103">
        <v>189.87411659264268</v>
      </c>
      <c r="N214" s="3103">
        <v>362.68473202323349</v>
      </c>
      <c r="O214" s="3103">
        <v>122.0137357093349</v>
      </c>
      <c r="P214" s="3103">
        <v>144.49275666977695</v>
      </c>
      <c r="Q214" s="3103">
        <v>129.14393450457055</v>
      </c>
      <c r="R214" s="3103">
        <v>192.98062583637272</v>
      </c>
      <c r="S214" s="3103">
        <v>175.75139406148946</v>
      </c>
      <c r="T214" s="3104">
        <v>118.94963614533751</v>
      </c>
    </row>
    <row r="215" spans="1:20">
      <c r="A215" s="329">
        <f t="shared" si="5"/>
        <v>2021.02</v>
      </c>
      <c r="B215" s="2592">
        <v>135.75280953949675</v>
      </c>
      <c r="C215" s="3122">
        <f t="shared" si="6"/>
        <v>2.8143502523518604E-2</v>
      </c>
      <c r="D215" s="2664">
        <v>0.06</v>
      </c>
      <c r="E215" s="3106">
        <v>58.251300960905773</v>
      </c>
      <c r="F215" s="3107">
        <v>22.976776460678437</v>
      </c>
      <c r="G215" s="3107">
        <v>168.02177017413825</v>
      </c>
      <c r="H215" s="3107">
        <v>132.9116533993045</v>
      </c>
      <c r="I215" s="3107">
        <v>188.1846840855427</v>
      </c>
      <c r="J215" s="3108">
        <v>143.77136167593503</v>
      </c>
      <c r="K215" s="3102">
        <v>171.52217573643961</v>
      </c>
      <c r="L215" s="3103">
        <v>171.44542454434611</v>
      </c>
      <c r="M215" s="3103">
        <v>189.37893556776902</v>
      </c>
      <c r="N215" s="3103">
        <v>348.25536573976638</v>
      </c>
      <c r="O215" s="3103">
        <v>124.60480807022135</v>
      </c>
      <c r="P215" s="3103">
        <v>144.87622889576346</v>
      </c>
      <c r="Q215" s="3103">
        <v>130.33294195697272</v>
      </c>
      <c r="R215" s="3103">
        <v>192.92063451674812</v>
      </c>
      <c r="S215" s="3103">
        <v>175.39518273083871</v>
      </c>
      <c r="T215" s="3104">
        <v>116.0376445280517</v>
      </c>
    </row>
    <row r="216" spans="1:20">
      <c r="A216" s="329">
        <f t="shared" si="5"/>
        <v>2021.03</v>
      </c>
      <c r="B216" s="2592">
        <v>191.70408876452854</v>
      </c>
      <c r="C216" s="3122">
        <f t="shared" si="6"/>
        <v>0.41215558937476704</v>
      </c>
      <c r="D216" s="2664">
        <v>0.14400000000000002</v>
      </c>
      <c r="E216" s="3106">
        <v>254.96458461638062</v>
      </c>
      <c r="F216" s="3107">
        <v>75.553696897281739</v>
      </c>
      <c r="G216" s="3107">
        <v>194.57783313805669</v>
      </c>
      <c r="H216" s="3107">
        <v>152.65696739608174</v>
      </c>
      <c r="I216" s="3107">
        <v>206.03006507507527</v>
      </c>
      <c r="J216" s="3108">
        <v>166.48278017943881</v>
      </c>
      <c r="K216" s="3102">
        <v>203.93255920295471</v>
      </c>
      <c r="L216" s="3103">
        <v>173.7237254904916</v>
      </c>
      <c r="M216" s="3103">
        <v>233.49354921005653</v>
      </c>
      <c r="N216" s="3103">
        <v>401.14332581341614</v>
      </c>
      <c r="O216" s="3103">
        <v>133.73851342358782</v>
      </c>
      <c r="P216" s="3103">
        <v>144.22686972740314</v>
      </c>
      <c r="Q216" s="3103">
        <v>130.94085895735762</v>
      </c>
      <c r="R216" s="3103">
        <v>194.40622570781917</v>
      </c>
      <c r="S216" s="3103">
        <v>168.92011993952528</v>
      </c>
      <c r="T216" s="3104">
        <v>106.56255104315726</v>
      </c>
    </row>
    <row r="217" spans="1:20">
      <c r="A217" s="329">
        <f t="shared" si="5"/>
        <v>2021.04</v>
      </c>
      <c r="B217" s="2592">
        <v>204.94694877426738</v>
      </c>
      <c r="C217" s="3122">
        <f t="shared" si="6"/>
        <v>6.9079695144140363E-2</v>
      </c>
      <c r="D217" s="2664">
        <v>0.16200000000000001</v>
      </c>
      <c r="E217" s="3106">
        <v>343.07581842953635</v>
      </c>
      <c r="F217" s="3107">
        <v>23.644706008953971</v>
      </c>
      <c r="G217" s="3107">
        <v>174.64550341062758</v>
      </c>
      <c r="H217" s="3107">
        <v>156.24965018454981</v>
      </c>
      <c r="I217" s="3107">
        <v>207.74899763370456</v>
      </c>
      <c r="J217" s="3108">
        <v>157.37702992960951</v>
      </c>
      <c r="K217" s="3102">
        <v>187.85227360995344</v>
      </c>
      <c r="L217" s="3103">
        <v>165.62716566498085</v>
      </c>
      <c r="M217" s="3103">
        <v>236.75229314629496</v>
      </c>
      <c r="N217" s="3103">
        <v>350.13935075575654</v>
      </c>
      <c r="O217" s="3103">
        <v>120.9862638365223</v>
      </c>
      <c r="P217" s="3103">
        <v>143.81180230921277</v>
      </c>
      <c r="Q217" s="3103">
        <v>131.45315830349631</v>
      </c>
      <c r="R217" s="3103">
        <v>193.98799998652478</v>
      </c>
      <c r="S217" s="3103">
        <v>167.99750134839962</v>
      </c>
      <c r="T217" s="3104">
        <v>100.5979342064113</v>
      </c>
    </row>
    <row r="218" spans="1:20">
      <c r="A218" s="329">
        <f t="shared" si="5"/>
        <v>2021.05</v>
      </c>
      <c r="B218" s="2592">
        <v>172.32279157456378</v>
      </c>
      <c r="C218" s="3122">
        <f t="shared" si="6"/>
        <v>-0.15918342475855296</v>
      </c>
      <c r="D218" s="2664">
        <v>5.7999999999999996E-2</v>
      </c>
      <c r="E218" s="3106">
        <v>209.36756965945679</v>
      </c>
      <c r="F218" s="3107">
        <v>26.004723746194198</v>
      </c>
      <c r="G218" s="3107">
        <v>168.41517141875855</v>
      </c>
      <c r="H218" s="3107">
        <v>141.87147491872352</v>
      </c>
      <c r="I218" s="3107">
        <v>214.46852191025357</v>
      </c>
      <c r="J218" s="3108">
        <v>159.17266089681559</v>
      </c>
      <c r="K218" s="3102">
        <v>192.80918316630226</v>
      </c>
      <c r="L218" s="3103">
        <v>155.23181427155041</v>
      </c>
      <c r="M218" s="3103">
        <v>207.98312712409481</v>
      </c>
      <c r="N218" s="3103">
        <v>293.95483259657397</v>
      </c>
      <c r="O218" s="3103">
        <v>119.68600714684305</v>
      </c>
      <c r="P218" s="3103">
        <v>144.70178405938472</v>
      </c>
      <c r="Q218" s="3103">
        <v>131.84778130798918</v>
      </c>
      <c r="R218" s="3103">
        <v>193.84639849361648</v>
      </c>
      <c r="S218" s="3103">
        <v>172.84901994266437</v>
      </c>
      <c r="T218" s="3104">
        <v>104.7519405973355</v>
      </c>
    </row>
    <row r="219" spans="1:20">
      <c r="A219" s="329">
        <f t="shared" si="5"/>
        <v>2021.06</v>
      </c>
      <c r="B219" s="2592">
        <v>150.24864624543952</v>
      </c>
      <c r="C219" s="3122">
        <f t="shared" si="6"/>
        <v>-0.12809765398660466</v>
      </c>
      <c r="D219" s="2664">
        <v>5.5E-2</v>
      </c>
      <c r="E219" s="3106">
        <v>61.675320441415451</v>
      </c>
      <c r="F219" s="3107">
        <v>45.463737919288135</v>
      </c>
      <c r="G219" s="3107">
        <v>196.66414149298546</v>
      </c>
      <c r="H219" s="3107">
        <v>154.10185356864653</v>
      </c>
      <c r="I219" s="3107">
        <v>220.72648628845238</v>
      </c>
      <c r="J219" s="3108">
        <v>178.87678415858417</v>
      </c>
      <c r="K219" s="3102">
        <v>213.29154562627488</v>
      </c>
      <c r="L219" s="3103">
        <v>151.15914518885589</v>
      </c>
      <c r="M219" s="3103">
        <v>187.66945956348599</v>
      </c>
      <c r="N219" s="3103">
        <v>314.76890093649246</v>
      </c>
      <c r="O219" s="3103">
        <v>124.43062503004074</v>
      </c>
      <c r="P219" s="3103">
        <v>143.42326825668147</v>
      </c>
      <c r="Q219" s="3103">
        <v>132.60534299460991</v>
      </c>
      <c r="R219" s="3103">
        <v>193.42280069559982</v>
      </c>
      <c r="S219" s="3103">
        <v>169.65555708649032</v>
      </c>
      <c r="T219" s="3104">
        <v>113.03887721172752</v>
      </c>
    </row>
    <row r="220" spans="1:20">
      <c r="A220" s="329">
        <f t="shared" si="5"/>
        <v>2021.07</v>
      </c>
      <c r="B220" s="2592">
        <v>146.46830415876755</v>
      </c>
      <c r="C220" s="3122">
        <f t="shared" si="6"/>
        <v>-2.5160573363812944E-2</v>
      </c>
      <c r="D220" s="2664">
        <v>6.8000000000000005E-2</v>
      </c>
      <c r="E220" s="3106">
        <v>38.141192594549182</v>
      </c>
      <c r="F220" s="3107">
        <v>29.923243762744008</v>
      </c>
      <c r="G220" s="3107">
        <v>209.93428523069167</v>
      </c>
      <c r="H220" s="3107">
        <v>155.92214931626279</v>
      </c>
      <c r="I220" s="3107">
        <v>223.73085799605425</v>
      </c>
      <c r="J220" s="3108">
        <v>169.31644144730674</v>
      </c>
      <c r="K220" s="3102">
        <v>213.26745389721279</v>
      </c>
      <c r="L220" s="3103">
        <v>164.57645390286612</v>
      </c>
      <c r="M220" s="3103">
        <v>178.29849334164265</v>
      </c>
      <c r="N220" s="3103">
        <v>321.6707481190731</v>
      </c>
      <c r="O220" s="3103">
        <v>133.97342831291635</v>
      </c>
      <c r="P220" s="3103">
        <v>143.52512543864327</v>
      </c>
      <c r="Q220" s="3103">
        <v>133.0102592993606</v>
      </c>
      <c r="R220" s="3103">
        <v>192.85380533258154</v>
      </c>
      <c r="S220" s="3103">
        <v>168.30629421125298</v>
      </c>
      <c r="T220" s="3104">
        <v>124.63719047753122</v>
      </c>
    </row>
    <row r="221" spans="1:20">
      <c r="A221" s="329">
        <f t="shared" si="5"/>
        <v>2021.08</v>
      </c>
      <c r="B221" s="2592">
        <v>148.17759351830495</v>
      </c>
      <c r="C221" s="3122">
        <f t="shared" si="6"/>
        <v>1.16700290165479E-2</v>
      </c>
      <c r="D221" s="2664">
        <v>0.109</v>
      </c>
      <c r="E221" s="3106">
        <v>38.677543586218214</v>
      </c>
      <c r="F221" s="3107">
        <v>30.902873766881456</v>
      </c>
      <c r="G221" s="3107">
        <v>162.87698898509367</v>
      </c>
      <c r="H221" s="3107">
        <v>155.17273504209174</v>
      </c>
      <c r="I221" s="3107">
        <v>217.08681442612243</v>
      </c>
      <c r="J221" s="3108">
        <v>178.37693835777097</v>
      </c>
      <c r="K221" s="3102">
        <v>213.60523876609454</v>
      </c>
      <c r="L221" s="3103">
        <v>167.68841873239856</v>
      </c>
      <c r="M221" s="3103">
        <v>195.49552527577566</v>
      </c>
      <c r="N221" s="3103">
        <v>343.16120966315526</v>
      </c>
      <c r="O221" s="3103">
        <v>135.21695134832783</v>
      </c>
      <c r="P221" s="3103">
        <v>143.87707881965488</v>
      </c>
      <c r="Q221" s="3103">
        <v>133.30239308091305</v>
      </c>
      <c r="R221" s="3103">
        <v>192.60904543482479</v>
      </c>
      <c r="S221" s="3103">
        <v>168.07623477400708</v>
      </c>
      <c r="T221" s="3104">
        <v>128.42065660161904</v>
      </c>
    </row>
    <row r="222" spans="1:20">
      <c r="A222" s="329">
        <f t="shared" si="5"/>
        <v>2021.09</v>
      </c>
      <c r="B222" s="2592">
        <v>150.82947326883135</v>
      </c>
      <c r="C222" s="3122">
        <f t="shared" si="6"/>
        <v>1.7896631248764505E-2</v>
      </c>
      <c r="D222" s="2664">
        <v>0.10800000000000001</v>
      </c>
      <c r="E222" s="3106">
        <v>31.930871573482456</v>
      </c>
      <c r="F222" s="3107">
        <v>33.36619794092163</v>
      </c>
      <c r="G222" s="3107">
        <v>206.57706408299202</v>
      </c>
      <c r="H222" s="3107">
        <v>169.78782244906773</v>
      </c>
      <c r="I222" s="3107">
        <v>194.72016057662324</v>
      </c>
      <c r="J222" s="3108">
        <v>195.45250966451385</v>
      </c>
      <c r="K222" s="3102">
        <v>216.14087840972439</v>
      </c>
      <c r="L222" s="3103">
        <v>176.69256247628118</v>
      </c>
      <c r="M222" s="3103">
        <v>198.36243867922326</v>
      </c>
      <c r="N222" s="3103">
        <v>325.40527186599337</v>
      </c>
      <c r="O222" s="3103">
        <v>128.92191709040875</v>
      </c>
      <c r="P222" s="3103">
        <v>143.81456274870828</v>
      </c>
      <c r="Q222" s="3103">
        <v>133.49972846123836</v>
      </c>
      <c r="R222" s="3103">
        <v>192.41119317997774</v>
      </c>
      <c r="S222" s="3103">
        <v>167.04803097226801</v>
      </c>
      <c r="T222" s="3104">
        <v>124.87176708017199</v>
      </c>
    </row>
    <row r="223" spans="1:20">
      <c r="A223" s="329">
        <f t="shared" si="5"/>
        <v>2021.1</v>
      </c>
      <c r="B223" s="2592">
        <v>146.54814638277162</v>
      </c>
      <c r="C223" s="3122">
        <f t="shared" si="6"/>
        <v>-2.8385214065084541E-2</v>
      </c>
      <c r="D223" s="2664">
        <v>7.400000000000001E-2</v>
      </c>
      <c r="E223" s="3106">
        <v>32.130182182890273</v>
      </c>
      <c r="F223" s="3107">
        <v>51.831332946181575</v>
      </c>
      <c r="G223" s="3107">
        <v>181.03457625558906</v>
      </c>
      <c r="H223" s="3107">
        <v>158.5295493991313</v>
      </c>
      <c r="I223" s="3107">
        <v>193.82647359241662</v>
      </c>
      <c r="J223" s="3108">
        <v>171.65051816851241</v>
      </c>
      <c r="K223" s="3102">
        <v>222.56181518352258</v>
      </c>
      <c r="L223" s="3103">
        <v>185.16145621394514</v>
      </c>
      <c r="M223" s="3103">
        <v>193.29952677849678</v>
      </c>
      <c r="N223" s="3103">
        <v>319.14495088299236</v>
      </c>
      <c r="O223" s="3103">
        <v>117.1427081643331</v>
      </c>
      <c r="P223" s="3103">
        <v>143.76943860229781</v>
      </c>
      <c r="Q223" s="3103">
        <v>133.71368158795426</v>
      </c>
      <c r="R223" s="3103">
        <v>192.11839618930966</v>
      </c>
      <c r="S223" s="3103">
        <v>168.45547839208416</v>
      </c>
      <c r="T223" s="3104">
        <v>114.8261423566952</v>
      </c>
    </row>
    <row r="224" spans="1:20">
      <c r="A224" s="329">
        <f t="shared" si="5"/>
        <v>2021.11</v>
      </c>
      <c r="B224" s="2592">
        <v>163.43102317117152</v>
      </c>
      <c r="C224" s="3122">
        <f t="shared" si="6"/>
        <v>0.11520361877729401</v>
      </c>
      <c r="D224" s="2664">
        <v>0.14599999999999999</v>
      </c>
      <c r="E224" s="3106">
        <v>120.41912179001095</v>
      </c>
      <c r="F224" s="3107">
        <v>43.816178366875157</v>
      </c>
      <c r="G224" s="3107">
        <v>190.44859902159087</v>
      </c>
      <c r="H224" s="3107">
        <v>149.47638457690709</v>
      </c>
      <c r="I224" s="3107">
        <v>190.6078330984804</v>
      </c>
      <c r="J224" s="3108">
        <v>186.31414877589629</v>
      </c>
      <c r="K224" s="3102">
        <v>228.12827032545064</v>
      </c>
      <c r="L224" s="3103">
        <v>186.89087201783326</v>
      </c>
      <c r="M224" s="3103">
        <v>206.00797992362553</v>
      </c>
      <c r="N224" s="3103">
        <v>325.27098024009268</v>
      </c>
      <c r="O224" s="3103">
        <v>114.04845379405114</v>
      </c>
      <c r="P224" s="3103">
        <v>143.70197322117855</v>
      </c>
      <c r="Q224" s="3103">
        <v>128.19390099901753</v>
      </c>
      <c r="R224" s="3103">
        <v>192.5183853079364</v>
      </c>
      <c r="S224" s="3103">
        <v>168.72873697481288</v>
      </c>
      <c r="T224" s="3104">
        <v>105.48961084735296</v>
      </c>
    </row>
    <row r="225" spans="1:20">
      <c r="A225" s="329">
        <f t="shared" si="5"/>
        <v>2021.12</v>
      </c>
      <c r="B225" s="2592">
        <v>161.2669288214511</v>
      </c>
      <c r="C225" s="3122">
        <f t="shared" si="6"/>
        <v>-1.3241637405976614E-2</v>
      </c>
      <c r="D225" s="2664">
        <v>0.16600000000000001</v>
      </c>
      <c r="E225" s="3106">
        <v>93.234506766411215</v>
      </c>
      <c r="F225" s="3107">
        <v>30.99193103998487</v>
      </c>
      <c r="G225" s="3107">
        <v>188.73301464655492</v>
      </c>
      <c r="H225" s="3107">
        <v>144.4697446567769</v>
      </c>
      <c r="I225" s="3107">
        <v>206.2844674522967</v>
      </c>
      <c r="J225" s="3108">
        <v>194.70822600606138</v>
      </c>
      <c r="K225" s="3102">
        <v>249.807498086637</v>
      </c>
      <c r="L225" s="3103">
        <v>188.62380159606255</v>
      </c>
      <c r="M225" s="3103">
        <v>196.17782111421337</v>
      </c>
      <c r="N225" s="3103">
        <v>340.80982244168513</v>
      </c>
      <c r="O225" s="3103">
        <v>116.18281398684522</v>
      </c>
      <c r="P225" s="3103">
        <v>143.878637828949</v>
      </c>
      <c r="Q225" s="3103">
        <v>133.66605464636612</v>
      </c>
      <c r="R225" s="3103">
        <v>193.43719678960389</v>
      </c>
      <c r="S225" s="3103">
        <v>176.8834056846315</v>
      </c>
      <c r="T225" s="3104">
        <v>101.12851640788632</v>
      </c>
    </row>
    <row r="226" spans="1:20">
      <c r="A226" s="329">
        <f t="shared" si="5"/>
        <v>2022.01</v>
      </c>
      <c r="B226" s="2592">
        <v>129.83810865704777</v>
      </c>
      <c r="C226" s="3122">
        <f t="shared" si="6"/>
        <v>-0.19488695167748982</v>
      </c>
      <c r="D226" s="2664">
        <v>-1.7000000000000001E-2</v>
      </c>
      <c r="E226" s="3106">
        <v>38.827938594421035</v>
      </c>
      <c r="F226" s="3107">
        <v>17.188053708957117</v>
      </c>
      <c r="G226" s="3107">
        <v>108.07491385104314</v>
      </c>
      <c r="H226" s="3107">
        <v>115.93601003622911</v>
      </c>
      <c r="I226" s="3107">
        <v>220.39503915803573</v>
      </c>
      <c r="J226" s="3108">
        <v>136.57546640935001</v>
      </c>
      <c r="K226" s="3102">
        <v>196.51781016315422</v>
      </c>
      <c r="L226" s="3103">
        <v>186.50663884401945</v>
      </c>
      <c r="M226" s="3103">
        <v>174.05444951334047</v>
      </c>
      <c r="N226" s="3103">
        <v>309.02238341546627</v>
      </c>
      <c r="O226" s="3103">
        <v>121.74842673268648</v>
      </c>
      <c r="P226" s="3103">
        <v>144.35875860697644</v>
      </c>
      <c r="Q226" s="3103">
        <v>131.55702822098561</v>
      </c>
      <c r="R226" s="3103">
        <v>195.57215322698403</v>
      </c>
      <c r="S226" s="3103">
        <v>176.17157917576338</v>
      </c>
      <c r="T226" s="3104">
        <v>102.82461681436186</v>
      </c>
    </row>
    <row r="227" spans="1:20">
      <c r="A227" s="329">
        <f t="shared" si="5"/>
        <v>2022.02</v>
      </c>
      <c r="B227" s="2592">
        <v>138.01972219877953</v>
      </c>
      <c r="C227" s="3122">
        <f t="shared" si="6"/>
        <v>6.3013961204121838E-2</v>
      </c>
      <c r="D227" s="2665">
        <v>1.7000000000000001E-2</v>
      </c>
      <c r="E227" s="3106">
        <v>55.179558183160403</v>
      </c>
      <c r="F227" s="3107">
        <v>22.19307245736848</v>
      </c>
      <c r="G227" s="3107">
        <v>150.95762145072035</v>
      </c>
      <c r="H227" s="3107">
        <v>131.60389987999807</v>
      </c>
      <c r="I227" s="3107">
        <v>199.89244535318107</v>
      </c>
      <c r="J227" s="3108">
        <v>166.50759037446309</v>
      </c>
      <c r="K227" s="3102">
        <v>191.45622924349937</v>
      </c>
      <c r="L227" s="3103">
        <v>190.87538481425929</v>
      </c>
      <c r="M227" s="3103">
        <v>180.57593410627555</v>
      </c>
      <c r="N227" s="3103">
        <v>297.37472345108779</v>
      </c>
      <c r="O227" s="3103">
        <v>126.68240792681492</v>
      </c>
      <c r="P227" s="3103">
        <v>144.4487517509798</v>
      </c>
      <c r="Q227" s="3103">
        <v>131.12508761264908</v>
      </c>
      <c r="R227" s="3103">
        <v>195.49838544353167</v>
      </c>
      <c r="S227" s="3103">
        <v>180.4620983979587</v>
      </c>
      <c r="T227" s="3104">
        <v>106.0480722274377</v>
      </c>
    </row>
    <row r="228" spans="1:20">
      <c r="A228" s="329">
        <f t="shared" si="5"/>
        <v>2022.03</v>
      </c>
      <c r="B228" s="2592">
        <v>187.48831507973563</v>
      </c>
      <c r="C228" s="3122">
        <f t="shared" si="6"/>
        <v>0.3584168413968416</v>
      </c>
      <c r="D228" s="2665">
        <v>-2.2000000000000002E-2</v>
      </c>
      <c r="E228" s="3106">
        <v>225.5272677274169</v>
      </c>
      <c r="F228" s="3107">
        <v>35.552553995610232</v>
      </c>
      <c r="G228" s="3107">
        <v>145.63240811188754</v>
      </c>
      <c r="H228" s="3107">
        <v>150.37021789565236</v>
      </c>
      <c r="I228" s="3107">
        <v>209.3314053020402</v>
      </c>
      <c r="J228" s="3108">
        <v>180.11091673075882</v>
      </c>
      <c r="K228" s="3102">
        <v>224.25580968242645</v>
      </c>
      <c r="L228" s="3103">
        <v>203.00476790229328</v>
      </c>
      <c r="M228" s="3103">
        <v>218.41943789681918</v>
      </c>
      <c r="N228" s="3103">
        <v>349.92841901578248</v>
      </c>
      <c r="O228" s="3103">
        <v>132.95406177204805</v>
      </c>
      <c r="P228" s="3103">
        <v>143.30795575961452</v>
      </c>
      <c r="Q228" s="3103">
        <v>131.17623939618562</v>
      </c>
      <c r="R228" s="3103">
        <v>197.05056654987055</v>
      </c>
      <c r="S228" s="3103">
        <v>171.16645080995175</v>
      </c>
      <c r="T228" s="3104">
        <v>110.62027507558636</v>
      </c>
    </row>
    <row r="229" spans="1:20">
      <c r="A229" s="329">
        <f t="shared" si="5"/>
        <v>2022.04</v>
      </c>
      <c r="B229" s="2592">
        <v>201.51644614442813</v>
      </c>
      <c r="C229" s="3122">
        <f t="shared" si="6"/>
        <v>7.4821361847145385E-2</v>
      </c>
      <c r="D229" s="2665">
        <v>-1.7000000000000001E-2</v>
      </c>
      <c r="E229" s="3106">
        <v>304.70420053411561</v>
      </c>
      <c r="F229" s="3107">
        <v>49.783015664803273</v>
      </c>
      <c r="G229" s="3107">
        <v>148.73524950742666</v>
      </c>
      <c r="H229" s="3107">
        <v>155.82803714225025</v>
      </c>
      <c r="I229" s="3107">
        <v>227.96884875285031</v>
      </c>
      <c r="J229" s="3108">
        <v>168.12395039961507</v>
      </c>
      <c r="K229" s="3102">
        <v>211.84694407414719</v>
      </c>
      <c r="L229" s="3103">
        <v>205.48869363587363</v>
      </c>
      <c r="M229" s="3103">
        <v>230.44826648267696</v>
      </c>
      <c r="N229" s="3103">
        <v>297.06867780007883</v>
      </c>
      <c r="O229" s="3103">
        <v>126.72513752809067</v>
      </c>
      <c r="P229" s="3103">
        <v>143.18014506490948</v>
      </c>
      <c r="Q229" s="3103">
        <v>131.3803039117455</v>
      </c>
      <c r="R229" s="3103">
        <v>195.844358683167</v>
      </c>
      <c r="S229" s="3103">
        <v>171.15788125276731</v>
      </c>
      <c r="T229" s="3104">
        <v>124.68092286664756</v>
      </c>
    </row>
    <row r="230" spans="1:20">
      <c r="A230" s="329">
        <f t="shared" si="5"/>
        <v>2022.05</v>
      </c>
      <c r="B230" s="2592">
        <v>181.96893587349859</v>
      </c>
      <c r="C230" s="3122">
        <f t="shared" si="6"/>
        <v>-9.7002059360056903E-2</v>
      </c>
      <c r="D230" s="2665">
        <v>5.5999999999999994E-2</v>
      </c>
      <c r="E230" s="3106">
        <v>191.18680879653996</v>
      </c>
      <c r="F230" s="3107">
        <v>19.414485536542241</v>
      </c>
      <c r="G230" s="3107">
        <v>140.11295907082359</v>
      </c>
      <c r="H230" s="3107">
        <v>160.32589025250391</v>
      </c>
      <c r="I230" s="3107">
        <v>222.82568215641263</v>
      </c>
      <c r="J230" s="3108">
        <v>184.97048573896208</v>
      </c>
      <c r="K230" s="3102">
        <v>224.64703342608644</v>
      </c>
      <c r="L230" s="3103">
        <v>206.81745220555848</v>
      </c>
      <c r="M230" s="3103">
        <v>227.85064400832627</v>
      </c>
      <c r="N230" s="3103">
        <v>260.54955612375187</v>
      </c>
      <c r="O230" s="3103">
        <v>126.35873107202109</v>
      </c>
      <c r="P230" s="3103">
        <v>143.77440892115624</v>
      </c>
      <c r="Q230" s="3103">
        <v>131.40814987189839</v>
      </c>
      <c r="R230" s="3103">
        <v>195.34450487129845</v>
      </c>
      <c r="S230" s="3103">
        <v>176.6901024899131</v>
      </c>
      <c r="T230" s="3104">
        <v>134.1859144883004</v>
      </c>
    </row>
    <row r="231" spans="1:20">
      <c r="A231" s="329">
        <f t="shared" si="5"/>
        <v>2022.06</v>
      </c>
      <c r="B231" s="2592">
        <v>161.42806056163514</v>
      </c>
      <c r="C231" s="3122">
        <f t="shared" si="6"/>
        <v>-0.11288121905676851</v>
      </c>
      <c r="D231" s="2665">
        <v>7.400000000000001E-2</v>
      </c>
      <c r="E231" s="3106">
        <v>57.96953163857966</v>
      </c>
      <c r="F231" s="3107">
        <v>14.071049150337952</v>
      </c>
      <c r="G231" s="3107">
        <v>200.57646264249277</v>
      </c>
      <c r="H231" s="3107">
        <v>174.08433963826704</v>
      </c>
      <c r="I231" s="3107">
        <v>227.4429381522817</v>
      </c>
      <c r="J231" s="3108">
        <v>194.7033895403201</v>
      </c>
      <c r="K231" s="3102">
        <v>235.59318915488052</v>
      </c>
      <c r="L231" s="3103">
        <v>203.7347232713735</v>
      </c>
      <c r="M231" s="3103">
        <v>210.60558678445858</v>
      </c>
      <c r="N231" s="3103">
        <v>288.00902493791136</v>
      </c>
      <c r="O231" s="3103">
        <v>129.67904011551985</v>
      </c>
      <c r="P231" s="3103">
        <v>143.78771018370702</v>
      </c>
      <c r="Q231" s="3103">
        <v>131.35634841755831</v>
      </c>
      <c r="R231" s="3103">
        <v>195.33400370804236</v>
      </c>
      <c r="S231" s="3103">
        <v>175.58933504299719</v>
      </c>
      <c r="T231" s="3104">
        <v>135.67337312626694</v>
      </c>
    </row>
    <row r="232" spans="1:20">
      <c r="A232" s="329">
        <f t="shared" si="5"/>
        <v>2022.07</v>
      </c>
      <c r="B232" s="2592">
        <v>151.34244936241961</v>
      </c>
      <c r="C232" s="3122">
        <f t="shared" si="6"/>
        <v>-6.2477435237256795E-2</v>
      </c>
      <c r="D232" s="2665">
        <v>3.3000000000000002E-2</v>
      </c>
      <c r="E232" s="3106">
        <v>37.058815023563994</v>
      </c>
      <c r="F232" s="3107">
        <v>22.70960464136822</v>
      </c>
      <c r="G232" s="3107">
        <v>218.94307513569368</v>
      </c>
      <c r="H232" s="3107">
        <v>158.09225118745445</v>
      </c>
      <c r="I232" s="3107">
        <v>232.90875786173169</v>
      </c>
      <c r="J232" s="3108">
        <v>189.1439047379732</v>
      </c>
      <c r="K232" s="3102">
        <v>225.98429042082503</v>
      </c>
      <c r="L232" s="3103">
        <v>210.19336029439449</v>
      </c>
      <c r="M232" s="3103">
        <v>197.62598620136612</v>
      </c>
      <c r="N232" s="3103">
        <v>309.20442103530974</v>
      </c>
      <c r="O232" s="3103">
        <v>135.59375383759988</v>
      </c>
      <c r="P232" s="3103">
        <v>143.81831089723298</v>
      </c>
      <c r="Q232" s="3103">
        <v>131.29119170077274</v>
      </c>
      <c r="R232" s="3103">
        <v>196.18949461503416</v>
      </c>
      <c r="S232" s="3103">
        <v>176.878722280337</v>
      </c>
      <c r="T232" s="3104">
        <v>127.92997515781725</v>
      </c>
    </row>
    <row r="233" spans="1:20">
      <c r="A233" s="329">
        <f t="shared" si="5"/>
        <v>2022.08</v>
      </c>
      <c r="B233" s="2592">
        <v>154.02099423982099</v>
      </c>
      <c r="C233" s="3122">
        <f t="shared" si="6"/>
        <v>1.7698569625941962E-2</v>
      </c>
      <c r="D233" s="2665">
        <v>3.9E-2</v>
      </c>
      <c r="E233" s="3106">
        <v>38.880292163087525</v>
      </c>
      <c r="F233" s="3107">
        <v>23.33300555309205</v>
      </c>
      <c r="G233" s="3107">
        <v>221.01853784227453</v>
      </c>
      <c r="H233" s="3107">
        <v>169.25615646575696</v>
      </c>
      <c r="I233" s="3107">
        <v>214.27801436115863</v>
      </c>
      <c r="J233" s="3108">
        <v>184.36469367137954</v>
      </c>
      <c r="K233" s="3102">
        <v>219.93501037742385</v>
      </c>
      <c r="L233" s="3103">
        <v>208.04382383373729</v>
      </c>
      <c r="M233" s="3103">
        <v>203.47226326996156</v>
      </c>
      <c r="N233" s="3103">
        <v>322.74503406218901</v>
      </c>
      <c r="O233" s="3103">
        <v>137.00162426481313</v>
      </c>
      <c r="P233" s="3103">
        <v>143.49288116488214</v>
      </c>
      <c r="Q233" s="3103">
        <v>131.34607919087696</v>
      </c>
      <c r="R233" s="3103">
        <v>196.59757165393194</v>
      </c>
      <c r="S233" s="3103">
        <v>173.71896378263273</v>
      </c>
      <c r="T233" s="3104">
        <v>124.61585974578647</v>
      </c>
    </row>
    <row r="234" spans="1:20">
      <c r="A234" s="329">
        <f t="shared" si="5"/>
        <v>2022.09</v>
      </c>
      <c r="B234" s="2592">
        <v>148.4187278752452</v>
      </c>
      <c r="C234" s="3122">
        <f t="shared" si="6"/>
        <v>-3.6373394368904632E-2</v>
      </c>
      <c r="D234" s="2665">
        <v>-1.6E-2</v>
      </c>
      <c r="E234" s="3106">
        <v>32.841294667738886</v>
      </c>
      <c r="F234" s="3107">
        <v>9.7072427682711204</v>
      </c>
      <c r="G234" s="3107">
        <v>224.80564105176475</v>
      </c>
      <c r="H234" s="3107">
        <v>157.59381666775201</v>
      </c>
      <c r="I234" s="3107">
        <v>193.24816840884364</v>
      </c>
      <c r="J234" s="3108">
        <v>214.02962304004714</v>
      </c>
      <c r="K234" s="3102">
        <v>221.29123662046931</v>
      </c>
      <c r="L234" s="3103">
        <v>211.33447718680171</v>
      </c>
      <c r="M234" s="3103">
        <v>182.83054265662844</v>
      </c>
      <c r="N234" s="3103">
        <v>301.90004675945829</v>
      </c>
      <c r="O234" s="3103">
        <v>131.17970769888444</v>
      </c>
      <c r="P234" s="3103">
        <v>143.42586661153859</v>
      </c>
      <c r="Q234" s="3103">
        <v>131.57986445422961</v>
      </c>
      <c r="R234" s="3103">
        <v>197.09103129366838</v>
      </c>
      <c r="S234" s="3103">
        <v>175.72271094095368</v>
      </c>
      <c r="T234" s="3104">
        <v>127.96646563183505</v>
      </c>
    </row>
    <row r="235" spans="1:20">
      <c r="A235" s="329">
        <f t="shared" si="5"/>
        <v>2022.1</v>
      </c>
      <c r="B235" s="2592">
        <v>142.16379885472364</v>
      </c>
      <c r="C235" s="3122">
        <f t="shared" si="6"/>
        <v>-4.2143798899686002E-2</v>
      </c>
      <c r="D235" s="2665">
        <v>-0.03</v>
      </c>
      <c r="E235" s="3106">
        <v>29.658520828185566</v>
      </c>
      <c r="F235" s="3107">
        <v>6.5902382096519521</v>
      </c>
      <c r="G235" s="3107">
        <v>193.2388885511034</v>
      </c>
      <c r="H235" s="3107">
        <v>156.62620634826871</v>
      </c>
      <c r="I235" s="3107">
        <v>167.92726592056511</v>
      </c>
      <c r="J235" s="3108">
        <v>176.60722344677768</v>
      </c>
      <c r="K235" s="3102">
        <v>208.17091937744249</v>
      </c>
      <c r="L235" s="3103">
        <v>216.09218107399994</v>
      </c>
      <c r="M235" s="3103">
        <v>178.70092005897897</v>
      </c>
      <c r="N235" s="3103">
        <v>281.7246353968859</v>
      </c>
      <c r="O235" s="3103">
        <v>120.34562556120937</v>
      </c>
      <c r="P235" s="3103">
        <v>143.5297611731402</v>
      </c>
      <c r="Q235" s="3103">
        <v>131.73715016706348</v>
      </c>
      <c r="R235" s="3103">
        <v>198.20453351954291</v>
      </c>
      <c r="S235" s="3103">
        <v>180.84278207917487</v>
      </c>
      <c r="T235" s="3104">
        <v>137.18417706508754</v>
      </c>
    </row>
    <row r="236" spans="1:20">
      <c r="A236" s="329">
        <f t="shared" si="5"/>
        <v>2022.11</v>
      </c>
      <c r="B236" s="2592">
        <v>151.04623733936546</v>
      </c>
      <c r="C236" s="3122">
        <f t="shared" si="6"/>
        <v>6.2480311838872149E-2</v>
      </c>
      <c r="D236" s="2665">
        <v>-7.5999999999999998E-2</v>
      </c>
      <c r="E236" s="3106">
        <v>64.954566015258536</v>
      </c>
      <c r="F236" s="3107">
        <v>15.228793700682216</v>
      </c>
      <c r="G236" s="3107">
        <v>198.83228519453954</v>
      </c>
      <c r="H236" s="3107">
        <v>155.57141507293812</v>
      </c>
      <c r="I236" s="3107">
        <v>173.2576835318101</v>
      </c>
      <c r="J236" s="3108">
        <v>200.27182608172035</v>
      </c>
      <c r="K236" s="3102">
        <v>216.10551377199141</v>
      </c>
      <c r="L236" s="3103">
        <v>223.2293326925647</v>
      </c>
      <c r="M236" s="3103">
        <v>187.20685571157537</v>
      </c>
      <c r="N236" s="3103">
        <v>269.09426042175437</v>
      </c>
      <c r="O236" s="3103">
        <v>116.33404259985859</v>
      </c>
      <c r="P236" s="3103">
        <v>143.88163253400984</v>
      </c>
      <c r="Q236" s="3103">
        <v>131.86334887246076</v>
      </c>
      <c r="R236" s="3103">
        <v>199.01939829479329</v>
      </c>
      <c r="S236" s="3103">
        <v>179.47603411841732</v>
      </c>
      <c r="T236" s="3104">
        <v>139.99937280626202</v>
      </c>
    </row>
    <row r="237" spans="1:20">
      <c r="A237" s="329">
        <f t="shared" si="5"/>
        <v>2022.12</v>
      </c>
      <c r="B237" s="2592">
        <v>150.20334231237558</v>
      </c>
      <c r="C237" s="3122">
        <f t="shared" si="6"/>
        <v>-5.580377517753643E-3</v>
      </c>
      <c r="D237" s="2665">
        <v>-6.9000000000000006E-2</v>
      </c>
      <c r="E237" s="3106">
        <v>54.558609177208929</v>
      </c>
      <c r="F237" s="3107">
        <v>11.221216411029005</v>
      </c>
      <c r="G237" s="3107">
        <v>190.3578899626809</v>
      </c>
      <c r="H237" s="3107">
        <v>144.57667705874542</v>
      </c>
      <c r="I237" s="3107">
        <v>194.45507638989375</v>
      </c>
      <c r="J237" s="3108">
        <v>196.22260970220771</v>
      </c>
      <c r="K237" s="3102">
        <v>237.4895492155832</v>
      </c>
      <c r="L237" s="3103">
        <v>215.89386463482086</v>
      </c>
      <c r="M237" s="3103">
        <v>176.60867894717842</v>
      </c>
      <c r="N237" s="3103">
        <v>295.17905484986011</v>
      </c>
      <c r="O237" s="3103">
        <v>119.82412751447829</v>
      </c>
      <c r="P237" s="3103">
        <v>144.18997355862882</v>
      </c>
      <c r="Q237" s="3103">
        <v>132.45640243560678</v>
      </c>
      <c r="R237" s="3103">
        <v>199.6874557888477</v>
      </c>
      <c r="S237" s="3103">
        <v>182.98183672269298</v>
      </c>
      <c r="T237" s="3104">
        <v>139.06100494914671</v>
      </c>
    </row>
    <row r="238" spans="1:20">
      <c r="A238" s="329">
        <f t="shared" si="5"/>
        <v>2023.01</v>
      </c>
      <c r="B238" s="2592">
        <v>133.8835847656384</v>
      </c>
      <c r="C238" s="3122">
        <f t="shared" si="6"/>
        <v>-0.10865109454620014</v>
      </c>
      <c r="D238" s="2665">
        <v>3.1E-2</v>
      </c>
      <c r="E238" s="3106">
        <v>45.904163854699213</v>
      </c>
      <c r="F238" s="3107">
        <v>21.106573725506923</v>
      </c>
      <c r="G238" s="3107">
        <v>169.20098793996755</v>
      </c>
      <c r="H238" s="3107">
        <v>120.6994764661483</v>
      </c>
      <c r="I238" s="3107">
        <v>224.66158155666076</v>
      </c>
      <c r="J238" s="3108">
        <v>186.61921548431778</v>
      </c>
      <c r="K238" s="3102">
        <v>194.76167300974646</v>
      </c>
      <c r="L238" s="3103">
        <v>219.71987703690701</v>
      </c>
      <c r="M238" s="3103">
        <v>160.7622002399431</v>
      </c>
      <c r="N238" s="3103">
        <v>292.29738592489724</v>
      </c>
      <c r="O238" s="3103">
        <v>126.1108115652046</v>
      </c>
      <c r="P238" s="3103">
        <v>143.06495878641616</v>
      </c>
      <c r="Q238" s="3103">
        <v>132.10448411450142</v>
      </c>
      <c r="R238" s="3103">
        <v>198.08628260658094</v>
      </c>
      <c r="S238" s="3103">
        <v>182.45170323775915</v>
      </c>
      <c r="T238" s="3104">
        <v>134.8460567454083</v>
      </c>
    </row>
    <row r="239" spans="1:20">
      <c r="A239" s="329">
        <f t="shared" si="5"/>
        <v>2023.02</v>
      </c>
      <c r="B239" s="2592">
        <v>128.84951632997689</v>
      </c>
      <c r="C239" s="3122">
        <f t="shared" si="6"/>
        <v>-3.7600340956462919E-2</v>
      </c>
      <c r="D239" s="2665">
        <v>-6.6000000000000003E-2</v>
      </c>
      <c r="E239" s="3109">
        <v>45.263465845211783</v>
      </c>
      <c r="F239" s="3107">
        <v>21.106573725506937</v>
      </c>
      <c r="G239" s="3107">
        <v>145.9351002975979</v>
      </c>
      <c r="H239" s="3107">
        <v>117.89884038083278</v>
      </c>
      <c r="I239" s="3107">
        <v>204.06901262249303</v>
      </c>
      <c r="J239" s="3108">
        <v>170.47707817283296</v>
      </c>
      <c r="K239" s="3102">
        <v>176.37974693317972</v>
      </c>
      <c r="L239" s="3103">
        <v>216.72675155856209</v>
      </c>
      <c r="M239" s="3103">
        <v>160.19009997174976</v>
      </c>
      <c r="N239" s="3103">
        <v>274.73165710455396</v>
      </c>
      <c r="O239" s="3103">
        <v>128.94487059823817</v>
      </c>
      <c r="P239" s="3103">
        <v>144.28349985062263</v>
      </c>
      <c r="Q239" s="3103">
        <v>131.64759218478386</v>
      </c>
      <c r="R239" s="3103">
        <v>198.63504374350754</v>
      </c>
      <c r="S239" s="3103">
        <v>186.07227254073766</v>
      </c>
      <c r="T239" s="3104">
        <v>131.7321078667014</v>
      </c>
    </row>
    <row r="240" spans="1:20">
      <c r="A240" s="329">
        <f t="shared" si="5"/>
        <v>2023.03</v>
      </c>
      <c r="B240" s="2592">
        <v>162.80114392081771</v>
      </c>
      <c r="C240" s="3122">
        <f t="shared" si="6"/>
        <v>0.26349829287595039</v>
      </c>
      <c r="D240" s="2665">
        <v>-0.13200000000000001</v>
      </c>
      <c r="E240" s="3109">
        <v>125.4287260487944</v>
      </c>
      <c r="F240" s="3107">
        <v>26.271895565504416</v>
      </c>
      <c r="G240" s="3107">
        <v>176.75547499831546</v>
      </c>
      <c r="H240" s="3107">
        <v>141.2657380622627</v>
      </c>
      <c r="I240" s="3107">
        <v>237.76903801120881</v>
      </c>
      <c r="J240" s="3108">
        <v>226.65706424837944</v>
      </c>
      <c r="K240" s="3102">
        <v>210.20330722782433</v>
      </c>
      <c r="L240" s="3103">
        <v>226.15708015946103</v>
      </c>
      <c r="M240" s="3103">
        <v>183.90502046793665</v>
      </c>
      <c r="N240" s="3103">
        <v>339.95972307791482</v>
      </c>
      <c r="O240" s="3103">
        <v>134.52886798125081</v>
      </c>
      <c r="P240" s="3103">
        <v>143.20334093139726</v>
      </c>
      <c r="Q240" s="3103">
        <v>132.12761579109593</v>
      </c>
      <c r="R240" s="3103">
        <v>200.00658813666274</v>
      </c>
      <c r="S240" s="3103">
        <v>176.67868073731753</v>
      </c>
      <c r="T240" s="3104">
        <v>126.65491530613207</v>
      </c>
    </row>
    <row r="241" spans="1:20">
      <c r="A241" s="329">
        <f t="shared" si="5"/>
        <v>2023.04</v>
      </c>
      <c r="B241" s="2592">
        <v>164.76011543366366</v>
      </c>
      <c r="C241" s="3122">
        <f t="shared" si="6"/>
        <v>1.203291000091955E-2</v>
      </c>
      <c r="D241" s="2665">
        <v>-0.182</v>
      </c>
      <c r="E241" s="3109">
        <v>159.63444991566493</v>
      </c>
      <c r="F241" s="3107">
        <v>4.0966345627566199</v>
      </c>
      <c r="G241" s="3107">
        <v>162.92234351454863</v>
      </c>
      <c r="H241" s="3107">
        <v>140.85060440630946</v>
      </c>
      <c r="I241" s="3107">
        <v>202.63667121756555</v>
      </c>
      <c r="J241" s="3108">
        <v>184.98461353764958</v>
      </c>
      <c r="K241" s="3102">
        <v>202.33687490525031</v>
      </c>
      <c r="L241" s="3103">
        <v>219.03352732509359</v>
      </c>
      <c r="M241" s="3103">
        <v>184.18684707514228</v>
      </c>
      <c r="N241" s="3103">
        <v>299.15843492521219</v>
      </c>
      <c r="O241" s="3103">
        <v>128.36462001508846</v>
      </c>
      <c r="P241" s="3103">
        <v>143.00795499238842</v>
      </c>
      <c r="Q241" s="3103">
        <v>132.67460135328665</v>
      </c>
      <c r="R241" s="3103">
        <v>198.68385020435073</v>
      </c>
      <c r="S241" s="3103">
        <v>174.55667724090603</v>
      </c>
      <c r="T241" s="3104">
        <v>127.16867431938121</v>
      </c>
    </row>
    <row r="242" spans="1:20">
      <c r="A242" s="329">
        <f t="shared" si="5"/>
        <v>2023.05</v>
      </c>
      <c r="B242" s="2592">
        <v>158.78683704224946</v>
      </c>
      <c r="C242" s="3122">
        <f t="shared" si="6"/>
        <v>-3.6254395523406813E-2</v>
      </c>
      <c r="D242" s="2665">
        <v>-0.127</v>
      </c>
      <c r="E242" s="3109">
        <v>105.83590862511576</v>
      </c>
      <c r="F242" s="3107">
        <v>7.8370400330996199</v>
      </c>
      <c r="G242" s="3107">
        <v>171.72013626078183</v>
      </c>
      <c r="H242" s="3107">
        <v>153.290721165744</v>
      </c>
      <c r="I242" s="3107">
        <v>218.21422678476674</v>
      </c>
      <c r="J242" s="3108">
        <v>179.05227459044821</v>
      </c>
      <c r="K242" s="3102">
        <v>214.7747028998869</v>
      </c>
      <c r="L242" s="3103">
        <v>219.63164139686899</v>
      </c>
      <c r="M242" s="3103">
        <v>187.82214349804929</v>
      </c>
      <c r="N242" s="3103">
        <v>243.51230123743122</v>
      </c>
      <c r="O242" s="3103">
        <v>127.54988163242024</v>
      </c>
      <c r="P242" s="3103">
        <v>143.92704444078447</v>
      </c>
      <c r="Q242" s="3103">
        <v>134.32544985965887</v>
      </c>
      <c r="R242" s="3103">
        <v>198.30617349983225</v>
      </c>
      <c r="S242" s="3103">
        <v>180.14144806331493</v>
      </c>
      <c r="T242" s="3104">
        <v>128.28362640083597</v>
      </c>
    </row>
    <row r="243" spans="1:20">
      <c r="A243" s="329">
        <f t="shared" si="5"/>
        <v>2023.06</v>
      </c>
      <c r="B243" s="2592">
        <v>144.12392050153224</v>
      </c>
      <c r="C243" s="3122">
        <f t="shared" si="6"/>
        <v>-9.234340083753767E-2</v>
      </c>
      <c r="D243" s="2665">
        <v>-0.107</v>
      </c>
      <c r="E243" s="3109">
        <v>43.959833577361316</v>
      </c>
      <c r="F243" s="3107">
        <v>9.7963000413745238</v>
      </c>
      <c r="G243" s="3107">
        <v>175.37709169009696</v>
      </c>
      <c r="H243" s="3107">
        <v>145.22103009582327</v>
      </c>
      <c r="I243" s="3107">
        <v>220.55307493558814</v>
      </c>
      <c r="J243" s="3108">
        <v>185.12261073935642</v>
      </c>
      <c r="K243" s="3102">
        <v>212.82386299969028</v>
      </c>
      <c r="L243" s="3103">
        <v>217.63041433085974</v>
      </c>
      <c r="M243" s="3103">
        <v>173.33373715898335</v>
      </c>
      <c r="N243" s="3103">
        <v>268.11096151583189</v>
      </c>
      <c r="O243" s="3103">
        <v>130.98990752090171</v>
      </c>
      <c r="P243" s="3103">
        <v>144.29750785280493</v>
      </c>
      <c r="Q243" s="3103">
        <v>135.02052473917558</v>
      </c>
      <c r="R243" s="3103">
        <v>198.50965715804972</v>
      </c>
      <c r="S243" s="3103">
        <v>179.65671733699051</v>
      </c>
      <c r="T243" s="3104">
        <v>130.19940701004654</v>
      </c>
    </row>
    <row r="244" spans="1:20">
      <c r="A244" s="329">
        <f t="shared" si="5"/>
        <v>2023.07</v>
      </c>
      <c r="B244" s="2592">
        <v>142.69186570355865</v>
      </c>
      <c r="C244" s="3122">
        <f t="shared" si="6"/>
        <v>-9.9362742353262812E-3</v>
      </c>
      <c r="D244" s="2665">
        <v>-5.7000000000000002E-2</v>
      </c>
      <c r="E244" s="3106">
        <v>34.835484424464525</v>
      </c>
      <c r="F244" s="3107">
        <v>21.908089183437575</v>
      </c>
      <c r="G244" s="3107">
        <v>178.23639898182356</v>
      </c>
      <c r="H244" s="3107">
        <v>140.66205764623504</v>
      </c>
      <c r="I244" s="3107">
        <v>214.07667145432254</v>
      </c>
      <c r="J244" s="3108">
        <v>178.45497806920213</v>
      </c>
      <c r="K244" s="3102">
        <v>217.73508483331022</v>
      </c>
      <c r="L244" s="3103">
        <v>221.80372286296736</v>
      </c>
      <c r="M244" s="3103">
        <v>168.94725602614349</v>
      </c>
      <c r="N244" s="3103">
        <v>298.58673943199932</v>
      </c>
      <c r="O244" s="3103">
        <v>135.07873952128662</v>
      </c>
      <c r="P244" s="3103">
        <v>152.92886105295256</v>
      </c>
      <c r="Q244" s="3103">
        <v>135.00343112999906</v>
      </c>
      <c r="R244" s="3103">
        <v>199.62463907236776</v>
      </c>
      <c r="S244" s="3103">
        <v>179.764262793726</v>
      </c>
      <c r="T244" s="3104">
        <v>120.09358734784685</v>
      </c>
    </row>
    <row r="245" spans="1:20">
      <c r="A245" s="329">
        <f t="shared" si="5"/>
        <v>2023.08</v>
      </c>
      <c r="B245" s="2592">
        <v>145.38424469270657</v>
      </c>
      <c r="C245" s="3122">
        <f t="shared" si="6"/>
        <v>1.8868482627743655E-2</v>
      </c>
      <c r="D245" s="2665">
        <v>-5.5999999999999994E-2</v>
      </c>
      <c r="E245" s="3106">
        <v>32.840672852248353</v>
      </c>
      <c r="F245" s="3107">
        <v>9.7072427682711204</v>
      </c>
      <c r="G245" s="3107">
        <v>152.16740422553022</v>
      </c>
      <c r="H245" s="3107">
        <v>144.79707553881389</v>
      </c>
      <c r="I245" s="3107">
        <v>189.00775836059648</v>
      </c>
      <c r="J245" s="3108">
        <v>193.6820325370785</v>
      </c>
      <c r="K245" s="3102">
        <v>219.08314999108774</v>
      </c>
      <c r="L245" s="3103">
        <v>219.08526809960964</v>
      </c>
      <c r="M245" s="3103">
        <v>184.78507370239507</v>
      </c>
      <c r="N245" s="3103">
        <v>312.34826213511894</v>
      </c>
      <c r="O245" s="3103">
        <v>139.31863397807862</v>
      </c>
      <c r="P245" s="3103">
        <v>154.951773495824</v>
      </c>
      <c r="Q245" s="3103">
        <v>134.9585582685684</v>
      </c>
      <c r="R245" s="3103">
        <v>199.75600563158264</v>
      </c>
      <c r="S245" s="3103">
        <v>177.56701580090834</v>
      </c>
      <c r="T245" s="3104">
        <v>117.12578473671149</v>
      </c>
    </row>
    <row r="246" spans="1:20">
      <c r="A246" s="329">
        <f t="shared" si="5"/>
        <v>2023.09</v>
      </c>
      <c r="B246" s="2592">
        <v>140.25904380936177</v>
      </c>
      <c r="C246" s="3122">
        <f t="shared" si="6"/>
        <v>-3.5252794373817897E-2</v>
      </c>
      <c r="D246" s="2665">
        <v>-5.5E-2</v>
      </c>
      <c r="E246" s="3106">
        <v>29.647269259905833</v>
      </c>
      <c r="F246" s="3107">
        <v>20.304167694845251</v>
      </c>
      <c r="G246" s="3107">
        <v>161.1150641125711</v>
      </c>
      <c r="H246" s="3107">
        <v>141.25647611615381</v>
      </c>
      <c r="I246" s="3107">
        <v>158.5181854055073</v>
      </c>
      <c r="J246" s="3108">
        <v>182.69609293107243</v>
      </c>
      <c r="K246" s="3102">
        <v>211.42577109523552</v>
      </c>
      <c r="L246" s="3103">
        <v>221.07452762112712</v>
      </c>
      <c r="M246" s="3103">
        <v>172.70047999633127</v>
      </c>
      <c r="N246" s="3103">
        <v>290.51720132810379</v>
      </c>
      <c r="O246" s="3103">
        <v>132.9363112376341</v>
      </c>
      <c r="P246" s="3103">
        <v>161.22058797870807</v>
      </c>
      <c r="Q246" s="3103">
        <v>134.91646610612952</v>
      </c>
      <c r="R246" s="3103">
        <v>201.96301710233234</v>
      </c>
      <c r="S246" s="3103">
        <v>180.64115127460133</v>
      </c>
      <c r="T246" s="3104">
        <v>120.41619349821758</v>
      </c>
    </row>
    <row r="247" spans="1:20">
      <c r="A247" s="329">
        <f t="shared" si="5"/>
        <v>2023.1</v>
      </c>
      <c r="B247" s="2592">
        <v>138.09560889255033</v>
      </c>
      <c r="C247" s="3122">
        <f t="shared" si="6"/>
        <v>-1.5424566274328422E-2</v>
      </c>
      <c r="D247" s="2665">
        <v>-2.8999999999999998E-2</v>
      </c>
      <c r="E247" s="3106">
        <v>28.758585055508579</v>
      </c>
      <c r="F247" s="3107">
        <v>13.447648238614118</v>
      </c>
      <c r="G247" s="3107">
        <v>171.92324567529761</v>
      </c>
      <c r="H247" s="3107">
        <v>132.84056467978067</v>
      </c>
      <c r="I247" s="3107">
        <v>152.29604957074855</v>
      </c>
      <c r="J247" s="3108">
        <v>173.8611078653621</v>
      </c>
      <c r="K247" s="3102">
        <v>223.07956383354812</v>
      </c>
      <c r="L247" s="3103">
        <v>221.79317389466107</v>
      </c>
      <c r="M247" s="3103">
        <v>163.28600966549635</v>
      </c>
      <c r="N247" s="3103">
        <v>288.97835604959823</v>
      </c>
      <c r="O247" s="3103">
        <v>122.34198368250739</v>
      </c>
      <c r="P247" s="3103">
        <v>161.13347882987634</v>
      </c>
      <c r="Q247" s="3103">
        <v>136.02171720846405</v>
      </c>
      <c r="R247" s="3103">
        <v>203.23980769810089</v>
      </c>
      <c r="S247" s="3103">
        <v>184.71342182327334</v>
      </c>
      <c r="T247" s="3104">
        <v>132.89692133529491</v>
      </c>
    </row>
    <row r="248" spans="1:20">
      <c r="A248" s="329">
        <f t="shared" si="5"/>
        <v>2023.11</v>
      </c>
      <c r="B248" s="2592">
        <v>139.60147949786719</v>
      </c>
      <c r="C248" s="3122">
        <f t="shared" si="6"/>
        <v>1.0904550965762816E-2</v>
      </c>
      <c r="D248" s="2665">
        <v>-7.5999999999999998E-2</v>
      </c>
      <c r="E248" s="3106">
        <v>79.155239950525967</v>
      </c>
      <c r="F248" s="3107">
        <v>34.821393783431269</v>
      </c>
      <c r="G248" s="3107">
        <v>129.14307875090984</v>
      </c>
      <c r="H248" s="3107">
        <v>116.01271121250967</v>
      </c>
      <c r="I248" s="3107">
        <v>155.50307869570162</v>
      </c>
      <c r="J248" s="3108">
        <v>159.42014230018839</v>
      </c>
      <c r="K248" s="3102">
        <v>210.11190143379065</v>
      </c>
      <c r="L248" s="3103">
        <v>224.21281932008787</v>
      </c>
      <c r="M248" s="3103">
        <v>169.00761450872295</v>
      </c>
      <c r="N248" s="3103">
        <v>259.77374950442845</v>
      </c>
      <c r="O248" s="3103">
        <v>114.41368878843832</v>
      </c>
      <c r="P248" s="3103">
        <v>161.64908304210897</v>
      </c>
      <c r="Q248" s="3103">
        <v>136.02424366139761</v>
      </c>
      <c r="R248" s="3103">
        <v>203.45876321272948</v>
      </c>
      <c r="S248" s="3103">
        <v>181.62045316521488</v>
      </c>
      <c r="T248" s="3104">
        <v>128.79334105225374</v>
      </c>
    </row>
    <row r="249" spans="1:20">
      <c r="A249" s="329">
        <f t="shared" si="5"/>
        <v>2023.12</v>
      </c>
      <c r="B249" s="2592">
        <v>134.82259707656956</v>
      </c>
      <c r="C249" s="3122">
        <f t="shared" si="6"/>
        <v>-3.4232319302680669E-2</v>
      </c>
      <c r="D249" s="2665">
        <v>-0.10199999999999999</v>
      </c>
      <c r="E249" s="3106">
        <v>61.450726953104542</v>
      </c>
      <c r="F249" s="3107">
        <v>27.607754662055484</v>
      </c>
      <c r="G249" s="3107">
        <v>133.42513791227827</v>
      </c>
      <c r="H249" s="3107">
        <v>115.07654035669759</v>
      </c>
      <c r="I249" s="3107">
        <v>168.324241243123</v>
      </c>
      <c r="J249" s="3108">
        <v>181.37449978124616</v>
      </c>
      <c r="K249" s="3102">
        <v>195.9808909790116</v>
      </c>
      <c r="L249" s="3103">
        <v>220.80578471760973</v>
      </c>
      <c r="M249" s="3103">
        <v>168.28065047113515</v>
      </c>
      <c r="N249" s="3103">
        <v>260.03762869824578</v>
      </c>
      <c r="O249" s="3103">
        <v>120.05428438696768</v>
      </c>
      <c r="P249" s="3103">
        <v>161.90056036765361</v>
      </c>
      <c r="Q249" s="3103">
        <v>135.64389740118094</v>
      </c>
      <c r="R249" s="3103">
        <v>204.64041174492257</v>
      </c>
      <c r="S249" s="3103">
        <v>189.9824815340022</v>
      </c>
      <c r="T249" s="3104">
        <v>124.10124803625395</v>
      </c>
    </row>
    <row r="250" spans="1:20">
      <c r="A250" s="329">
        <f t="shared" ref="A250:A313" si="7">A238+1</f>
        <v>2024.01</v>
      </c>
      <c r="B250" s="2592">
        <v>121.06982761561045</v>
      </c>
      <c r="C250" s="3122">
        <f t="shared" si="6"/>
        <v>-0.10200641256857357</v>
      </c>
      <c r="D250" s="2665">
        <v>-9.6000000000000002E-2</v>
      </c>
      <c r="E250" s="3106">
        <v>39.438695654007397</v>
      </c>
      <c r="F250" s="3107">
        <v>20.394115540679685</v>
      </c>
      <c r="G250" s="3107">
        <v>133.42513791227827</v>
      </c>
      <c r="H250" s="3107">
        <v>112.48024549523905</v>
      </c>
      <c r="I250" s="3107">
        <v>192.57489371886081</v>
      </c>
      <c r="J250" s="3108">
        <v>132.3997908391456</v>
      </c>
      <c r="K250" s="3102">
        <v>161.43720645804217</v>
      </c>
      <c r="L250" s="3103">
        <v>215.34690614665371</v>
      </c>
      <c r="M250" s="3103">
        <v>143.69418277892353</v>
      </c>
      <c r="N250" s="3103">
        <v>255.56378124007807</v>
      </c>
      <c r="O250" s="3103">
        <v>123.64382696067482</v>
      </c>
      <c r="P250" s="3103">
        <v>160.79847658210159</v>
      </c>
      <c r="Q250" s="3103">
        <v>135.62171452171953</v>
      </c>
      <c r="R250" s="3103">
        <v>203.05418962621468</v>
      </c>
      <c r="S250" s="3103">
        <v>188.22803623740924</v>
      </c>
      <c r="T250" s="3104">
        <v>121.2183532409793</v>
      </c>
    </row>
    <row r="251" spans="1:20">
      <c r="A251" s="329">
        <f t="shared" si="7"/>
        <v>2024.02</v>
      </c>
      <c r="B251" s="2592">
        <v>124.2431600294174</v>
      </c>
      <c r="C251" s="3122">
        <f t="shared" si="6"/>
        <v>2.6210761808318495E-2</v>
      </c>
      <c r="D251" s="2665">
        <v>-3.6000000000000004E-2</v>
      </c>
      <c r="E251" s="3106">
        <v>63.032238736618332</v>
      </c>
      <c r="F251" s="3107">
        <v>43.014662908944516</v>
      </c>
      <c r="G251" s="3107">
        <v>111.24737961918505</v>
      </c>
      <c r="H251" s="3107">
        <v>114.01893541187999</v>
      </c>
      <c r="I251" s="3107">
        <v>212.56257186546571</v>
      </c>
      <c r="J251" s="3108">
        <v>136.60032734132722</v>
      </c>
      <c r="K251" s="3102">
        <v>143.26418175764812</v>
      </c>
      <c r="L251" s="3103">
        <v>211.96341074161901</v>
      </c>
      <c r="M251" s="3103">
        <v>161.71577878069218</v>
      </c>
      <c r="N251" s="3103">
        <v>241.37983449758278</v>
      </c>
      <c r="O251" s="3103">
        <v>124.19311205818418</v>
      </c>
      <c r="P251" s="3103">
        <v>161.00905781552538</v>
      </c>
      <c r="Q251" s="3103">
        <v>135.27805667007777</v>
      </c>
      <c r="R251" s="3103">
        <v>203.44567562468188</v>
      </c>
      <c r="S251" s="3103">
        <v>193.25039845691305</v>
      </c>
      <c r="T251" s="3104">
        <v>127.07251790866275</v>
      </c>
    </row>
    <row r="252" spans="1:20">
      <c r="A252" s="329">
        <f t="shared" si="7"/>
        <v>2024.03</v>
      </c>
      <c r="B252" s="2592" t="e">
        <v>#N/A</v>
      </c>
      <c r="C252" s="3122" t="e">
        <f t="shared" si="6"/>
        <v>#N/A</v>
      </c>
      <c r="D252" s="2534" t="e">
        <v>#N/A</v>
      </c>
      <c r="E252" s="3106" t="e">
        <v>#N/A</v>
      </c>
      <c r="F252" s="3107" t="e">
        <v>#N/A</v>
      </c>
      <c r="G252" s="3107" t="e">
        <v>#N/A</v>
      </c>
      <c r="H252" s="3107" t="e">
        <v>#N/A</v>
      </c>
      <c r="I252" s="3107" t="e">
        <v>#N/A</v>
      </c>
      <c r="J252" s="3108" t="e">
        <v>#N/A</v>
      </c>
      <c r="K252" s="3102" t="e">
        <v>#N/A</v>
      </c>
      <c r="L252" s="3103" t="e">
        <v>#N/A</v>
      </c>
      <c r="M252" s="3103" t="e">
        <v>#N/A</v>
      </c>
      <c r="N252" s="3103" t="e">
        <v>#N/A</v>
      </c>
      <c r="O252" s="3103" t="e">
        <v>#N/A</v>
      </c>
      <c r="P252" s="3103" t="e">
        <v>#N/A</v>
      </c>
      <c r="Q252" s="3103" t="e">
        <v>#N/A</v>
      </c>
      <c r="R252" s="3103" t="e">
        <v>#N/A</v>
      </c>
      <c r="S252" s="3103" t="e">
        <v>#N/A</v>
      </c>
      <c r="T252" s="3104" t="e">
        <v>#N/A</v>
      </c>
    </row>
    <row r="253" spans="1:20">
      <c r="A253" s="329">
        <f t="shared" si="7"/>
        <v>2024.04</v>
      </c>
      <c r="B253" s="2592" t="e">
        <v>#N/A</v>
      </c>
      <c r="C253" s="3122" t="e">
        <f t="shared" si="6"/>
        <v>#N/A</v>
      </c>
      <c r="D253" s="2534" t="e">
        <v>#N/A</v>
      </c>
      <c r="E253" s="3106" t="e">
        <v>#N/A</v>
      </c>
      <c r="F253" s="3107" t="e">
        <v>#N/A</v>
      </c>
      <c r="G253" s="3107" t="e">
        <v>#N/A</v>
      </c>
      <c r="H253" s="3107" t="e">
        <v>#N/A</v>
      </c>
      <c r="I253" s="3107" t="e">
        <v>#N/A</v>
      </c>
      <c r="J253" s="3108" t="e">
        <v>#N/A</v>
      </c>
      <c r="K253" s="3102" t="e">
        <v>#N/A</v>
      </c>
      <c r="L253" s="3103" t="e">
        <v>#N/A</v>
      </c>
      <c r="M253" s="3103" t="e">
        <v>#N/A</v>
      </c>
      <c r="N253" s="3103" t="e">
        <v>#N/A</v>
      </c>
      <c r="O253" s="3103" t="e">
        <v>#N/A</v>
      </c>
      <c r="P253" s="3103" t="e">
        <v>#N/A</v>
      </c>
      <c r="Q253" s="3103" t="e">
        <v>#N/A</v>
      </c>
      <c r="R253" s="3103" t="e">
        <v>#N/A</v>
      </c>
      <c r="S253" s="3103" t="e">
        <v>#N/A</v>
      </c>
      <c r="T253" s="3104" t="e">
        <v>#N/A</v>
      </c>
    </row>
    <row r="254" spans="1:20">
      <c r="A254" s="329">
        <f t="shared" si="7"/>
        <v>2024.05</v>
      </c>
      <c r="B254" s="2592" t="e">
        <v>#N/A</v>
      </c>
      <c r="C254" s="3122" t="e">
        <f t="shared" si="6"/>
        <v>#N/A</v>
      </c>
      <c r="D254" s="2534" t="e">
        <v>#N/A</v>
      </c>
      <c r="E254" s="3106" t="e">
        <v>#N/A</v>
      </c>
      <c r="F254" s="3107" t="e">
        <v>#N/A</v>
      </c>
      <c r="G254" s="3107" t="e">
        <v>#N/A</v>
      </c>
      <c r="H254" s="3107" t="e">
        <v>#N/A</v>
      </c>
      <c r="I254" s="3107" t="e">
        <v>#N/A</v>
      </c>
      <c r="J254" s="3108" t="e">
        <v>#N/A</v>
      </c>
      <c r="K254" s="3102" t="e">
        <v>#N/A</v>
      </c>
      <c r="L254" s="3103" t="e">
        <v>#N/A</v>
      </c>
      <c r="M254" s="3103" t="e">
        <v>#N/A</v>
      </c>
      <c r="N254" s="3103" t="e">
        <v>#N/A</v>
      </c>
      <c r="O254" s="3103" t="e">
        <v>#N/A</v>
      </c>
      <c r="P254" s="3103" t="e">
        <v>#N/A</v>
      </c>
      <c r="Q254" s="3103" t="e">
        <v>#N/A</v>
      </c>
      <c r="R254" s="3103" t="e">
        <v>#N/A</v>
      </c>
      <c r="S254" s="3103" t="e">
        <v>#N/A</v>
      </c>
      <c r="T254" s="3104" t="e">
        <v>#N/A</v>
      </c>
    </row>
    <row r="255" spans="1:20">
      <c r="A255" s="329">
        <f t="shared" si="7"/>
        <v>2024.06</v>
      </c>
      <c r="B255" s="2592" t="e">
        <v>#N/A</v>
      </c>
      <c r="C255" s="3122" t="e">
        <f t="shared" si="6"/>
        <v>#N/A</v>
      </c>
      <c r="D255" s="2534" t="e">
        <v>#N/A</v>
      </c>
      <c r="E255" s="3106" t="e">
        <v>#N/A</v>
      </c>
      <c r="F255" s="3107" t="e">
        <v>#N/A</v>
      </c>
      <c r="G255" s="3107" t="e">
        <v>#N/A</v>
      </c>
      <c r="H255" s="3107" t="e">
        <v>#N/A</v>
      </c>
      <c r="I255" s="3107" t="e">
        <v>#N/A</v>
      </c>
      <c r="J255" s="3108" t="e">
        <v>#N/A</v>
      </c>
      <c r="K255" s="3102" t="e">
        <v>#N/A</v>
      </c>
      <c r="L255" s="3103" t="e">
        <v>#N/A</v>
      </c>
      <c r="M255" s="3103" t="e">
        <v>#N/A</v>
      </c>
      <c r="N255" s="3103" t="e">
        <v>#N/A</v>
      </c>
      <c r="O255" s="3103" t="e">
        <v>#N/A</v>
      </c>
      <c r="P255" s="3103" t="e">
        <v>#N/A</v>
      </c>
      <c r="Q255" s="3103" t="e">
        <v>#N/A</v>
      </c>
      <c r="R255" s="3103" t="e">
        <v>#N/A</v>
      </c>
      <c r="S255" s="3103" t="e">
        <v>#N/A</v>
      </c>
      <c r="T255" s="3104" t="e">
        <v>#N/A</v>
      </c>
    </row>
    <row r="256" spans="1:20">
      <c r="A256" s="329">
        <f t="shared" si="7"/>
        <v>2024.07</v>
      </c>
      <c r="B256" s="2592" t="e">
        <v>#N/A</v>
      </c>
      <c r="C256" s="3122" t="e">
        <f t="shared" si="6"/>
        <v>#N/A</v>
      </c>
      <c r="D256" s="2534" t="e">
        <v>#N/A</v>
      </c>
      <c r="E256" s="3106" t="e">
        <v>#N/A</v>
      </c>
      <c r="F256" s="3107" t="e">
        <v>#N/A</v>
      </c>
      <c r="G256" s="3107" t="e">
        <v>#N/A</v>
      </c>
      <c r="H256" s="3107" t="e">
        <v>#N/A</v>
      </c>
      <c r="I256" s="3107" t="e">
        <v>#N/A</v>
      </c>
      <c r="J256" s="3108" t="e">
        <v>#N/A</v>
      </c>
      <c r="K256" s="3102" t="e">
        <v>#N/A</v>
      </c>
      <c r="L256" s="3103" t="e">
        <v>#N/A</v>
      </c>
      <c r="M256" s="3103" t="e">
        <v>#N/A</v>
      </c>
      <c r="N256" s="3103" t="e">
        <v>#N/A</v>
      </c>
      <c r="O256" s="3103" t="e">
        <v>#N/A</v>
      </c>
      <c r="P256" s="3103" t="e">
        <v>#N/A</v>
      </c>
      <c r="Q256" s="3103" t="e">
        <v>#N/A</v>
      </c>
      <c r="R256" s="3103" t="e">
        <v>#N/A</v>
      </c>
      <c r="S256" s="3103" t="e">
        <v>#N/A</v>
      </c>
      <c r="T256" s="3104" t="e">
        <v>#N/A</v>
      </c>
    </row>
    <row r="257" spans="1:20">
      <c r="A257" s="329">
        <f t="shared" si="7"/>
        <v>2024.08</v>
      </c>
      <c r="B257" s="2592" t="e">
        <v>#N/A</v>
      </c>
      <c r="C257" s="3122" t="e">
        <f t="shared" si="6"/>
        <v>#N/A</v>
      </c>
      <c r="D257" s="2534" t="e">
        <v>#N/A</v>
      </c>
      <c r="E257" s="3106" t="e">
        <v>#N/A</v>
      </c>
      <c r="F257" s="3107" t="e">
        <v>#N/A</v>
      </c>
      <c r="G257" s="3107" t="e">
        <v>#N/A</v>
      </c>
      <c r="H257" s="3107" t="e">
        <v>#N/A</v>
      </c>
      <c r="I257" s="3107" t="e">
        <v>#N/A</v>
      </c>
      <c r="J257" s="3108" t="e">
        <v>#N/A</v>
      </c>
      <c r="K257" s="3102" t="e">
        <v>#N/A</v>
      </c>
      <c r="L257" s="3103" t="e">
        <v>#N/A</v>
      </c>
      <c r="M257" s="3103" t="e">
        <v>#N/A</v>
      </c>
      <c r="N257" s="3103" t="e">
        <v>#N/A</v>
      </c>
      <c r="O257" s="3103" t="e">
        <v>#N/A</v>
      </c>
      <c r="P257" s="3103" t="e">
        <v>#N/A</v>
      </c>
      <c r="Q257" s="3103" t="e">
        <v>#N/A</v>
      </c>
      <c r="R257" s="3103" t="e">
        <v>#N/A</v>
      </c>
      <c r="S257" s="3103" t="e">
        <v>#N/A</v>
      </c>
      <c r="T257" s="3104" t="e">
        <v>#N/A</v>
      </c>
    </row>
    <row r="258" spans="1:20">
      <c r="A258" s="329">
        <f t="shared" si="7"/>
        <v>2024.09</v>
      </c>
      <c r="B258" s="2592" t="e">
        <v>#N/A</v>
      </c>
      <c r="C258" s="3122" t="e">
        <f t="shared" si="6"/>
        <v>#N/A</v>
      </c>
      <c r="D258" s="2534" t="e">
        <v>#N/A</v>
      </c>
      <c r="E258" s="3106" t="e">
        <v>#N/A</v>
      </c>
      <c r="F258" s="3107" t="e">
        <v>#N/A</v>
      </c>
      <c r="G258" s="3107" t="e">
        <v>#N/A</v>
      </c>
      <c r="H258" s="3107" t="e">
        <v>#N/A</v>
      </c>
      <c r="I258" s="3107" t="e">
        <v>#N/A</v>
      </c>
      <c r="J258" s="3108" t="e">
        <v>#N/A</v>
      </c>
      <c r="K258" s="3102" t="e">
        <v>#N/A</v>
      </c>
      <c r="L258" s="3103" t="e">
        <v>#N/A</v>
      </c>
      <c r="M258" s="3103" t="e">
        <v>#N/A</v>
      </c>
      <c r="N258" s="3103" t="e">
        <v>#N/A</v>
      </c>
      <c r="O258" s="3103" t="e">
        <v>#N/A</v>
      </c>
      <c r="P258" s="3103" t="e">
        <v>#N/A</v>
      </c>
      <c r="Q258" s="3103" t="e">
        <v>#N/A</v>
      </c>
      <c r="R258" s="3103" t="e">
        <v>#N/A</v>
      </c>
      <c r="S258" s="3103" t="e">
        <v>#N/A</v>
      </c>
      <c r="T258" s="3104" t="e">
        <v>#N/A</v>
      </c>
    </row>
    <row r="259" spans="1:20">
      <c r="A259" s="329">
        <f>A247+1</f>
        <v>2024.1</v>
      </c>
      <c r="B259" s="2592" t="e">
        <v>#N/A</v>
      </c>
      <c r="C259" s="3122" t="e">
        <f t="shared" si="6"/>
        <v>#N/A</v>
      </c>
      <c r="D259" s="2534" t="e">
        <v>#N/A</v>
      </c>
      <c r="E259" s="3106" t="e">
        <v>#N/A</v>
      </c>
      <c r="F259" s="3107" t="e">
        <v>#N/A</v>
      </c>
      <c r="G259" s="3107" t="e">
        <v>#N/A</v>
      </c>
      <c r="H259" s="3107" t="e">
        <v>#N/A</v>
      </c>
      <c r="I259" s="3107" t="e">
        <v>#N/A</v>
      </c>
      <c r="J259" s="3108" t="e">
        <v>#N/A</v>
      </c>
      <c r="K259" s="3102" t="e">
        <v>#N/A</v>
      </c>
      <c r="L259" s="3103" t="e">
        <v>#N/A</v>
      </c>
      <c r="M259" s="3103" t="e">
        <v>#N/A</v>
      </c>
      <c r="N259" s="3103" t="e">
        <v>#N/A</v>
      </c>
      <c r="O259" s="3103" t="e">
        <v>#N/A</v>
      </c>
      <c r="P259" s="3103" t="e">
        <v>#N/A</v>
      </c>
      <c r="Q259" s="3103" t="e">
        <v>#N/A</v>
      </c>
      <c r="R259" s="3103" t="e">
        <v>#N/A</v>
      </c>
      <c r="S259" s="3103" t="e">
        <v>#N/A</v>
      </c>
      <c r="T259" s="3104" t="e">
        <v>#N/A</v>
      </c>
    </row>
    <row r="260" spans="1:20">
      <c r="A260" s="329">
        <f t="shared" si="7"/>
        <v>2024.11</v>
      </c>
      <c r="B260" s="2592" t="e">
        <v>#N/A</v>
      </c>
      <c r="C260" s="3122" t="e">
        <f t="shared" si="6"/>
        <v>#N/A</v>
      </c>
      <c r="D260" s="2534" t="e">
        <v>#N/A</v>
      </c>
      <c r="E260" s="3106" t="e">
        <v>#N/A</v>
      </c>
      <c r="F260" s="3107" t="e">
        <v>#N/A</v>
      </c>
      <c r="G260" s="3107" t="e">
        <v>#N/A</v>
      </c>
      <c r="H260" s="3107" t="e">
        <v>#N/A</v>
      </c>
      <c r="I260" s="3107" t="e">
        <v>#N/A</v>
      </c>
      <c r="J260" s="3108" t="e">
        <v>#N/A</v>
      </c>
      <c r="K260" s="3102" t="e">
        <v>#N/A</v>
      </c>
      <c r="L260" s="3103" t="e">
        <v>#N/A</v>
      </c>
      <c r="M260" s="3103" t="e">
        <v>#N/A</v>
      </c>
      <c r="N260" s="3103" t="e">
        <v>#N/A</v>
      </c>
      <c r="O260" s="3103" t="e">
        <v>#N/A</v>
      </c>
      <c r="P260" s="3103" t="e">
        <v>#N/A</v>
      </c>
      <c r="Q260" s="3103" t="e">
        <v>#N/A</v>
      </c>
      <c r="R260" s="3103" t="e">
        <v>#N/A</v>
      </c>
      <c r="S260" s="3103" t="e">
        <v>#N/A</v>
      </c>
      <c r="T260" s="3104" t="e">
        <v>#N/A</v>
      </c>
    </row>
    <row r="261" spans="1:20">
      <c r="A261" s="329">
        <f t="shared" si="7"/>
        <v>2024.12</v>
      </c>
      <c r="B261" s="2592" t="e">
        <v>#N/A</v>
      </c>
      <c r="C261" s="3122" t="e">
        <f t="shared" si="6"/>
        <v>#N/A</v>
      </c>
      <c r="D261" s="2534" t="e">
        <v>#N/A</v>
      </c>
      <c r="E261" s="3106" t="e">
        <v>#N/A</v>
      </c>
      <c r="F261" s="3107" t="e">
        <v>#N/A</v>
      </c>
      <c r="G261" s="3107" t="e">
        <v>#N/A</v>
      </c>
      <c r="H261" s="3107" t="e">
        <v>#N/A</v>
      </c>
      <c r="I261" s="3107" t="e">
        <v>#N/A</v>
      </c>
      <c r="J261" s="3108" t="e">
        <v>#N/A</v>
      </c>
      <c r="K261" s="3102" t="e">
        <v>#N/A</v>
      </c>
      <c r="L261" s="3103" t="e">
        <v>#N/A</v>
      </c>
      <c r="M261" s="3103" t="e">
        <v>#N/A</v>
      </c>
      <c r="N261" s="3103" t="e">
        <v>#N/A</v>
      </c>
      <c r="O261" s="3103" t="e">
        <v>#N/A</v>
      </c>
      <c r="P261" s="3103" t="e">
        <v>#N/A</v>
      </c>
      <c r="Q261" s="3103" t="e">
        <v>#N/A</v>
      </c>
      <c r="R261" s="3103" t="e">
        <v>#N/A</v>
      </c>
      <c r="S261" s="3103" t="e">
        <v>#N/A</v>
      </c>
      <c r="T261" s="3104" t="e">
        <v>#N/A</v>
      </c>
    </row>
    <row r="262" spans="1:20">
      <c r="A262" s="329">
        <f t="shared" si="7"/>
        <v>2025.01</v>
      </c>
      <c r="B262" s="2592" t="e">
        <v>#N/A</v>
      </c>
      <c r="C262" s="3122" t="e">
        <f t="shared" si="6"/>
        <v>#N/A</v>
      </c>
      <c r="D262" s="2534" t="e">
        <v>#N/A</v>
      </c>
      <c r="E262" s="3106" t="e">
        <v>#N/A</v>
      </c>
      <c r="F262" s="3107" t="e">
        <v>#N/A</v>
      </c>
      <c r="G262" s="3107" t="e">
        <v>#N/A</v>
      </c>
      <c r="H262" s="3107" t="e">
        <v>#N/A</v>
      </c>
      <c r="I262" s="3107" t="e">
        <v>#N/A</v>
      </c>
      <c r="J262" s="3108" t="e">
        <v>#N/A</v>
      </c>
      <c r="K262" s="3102" t="e">
        <v>#N/A</v>
      </c>
      <c r="L262" s="3103" t="e">
        <v>#N/A</v>
      </c>
      <c r="M262" s="3103" t="e">
        <v>#N/A</v>
      </c>
      <c r="N262" s="3103" t="e">
        <v>#N/A</v>
      </c>
      <c r="O262" s="3103" t="e">
        <v>#N/A</v>
      </c>
      <c r="P262" s="3103" t="e">
        <v>#N/A</v>
      </c>
      <c r="Q262" s="3103" t="e">
        <v>#N/A</v>
      </c>
      <c r="R262" s="3103" t="e">
        <v>#N/A</v>
      </c>
      <c r="S262" s="3103" t="e">
        <v>#N/A</v>
      </c>
      <c r="T262" s="3104" t="e">
        <v>#N/A</v>
      </c>
    </row>
    <row r="263" spans="1:20">
      <c r="A263" s="329">
        <f t="shared" si="7"/>
        <v>2025.02</v>
      </c>
      <c r="B263" s="2592" t="e">
        <v>#N/A</v>
      </c>
      <c r="C263" s="3122" t="e">
        <f t="shared" si="6"/>
        <v>#N/A</v>
      </c>
      <c r="D263" s="2534" t="e">
        <v>#N/A</v>
      </c>
      <c r="E263" s="3106" t="e">
        <v>#N/A</v>
      </c>
      <c r="F263" s="3107" t="e">
        <v>#N/A</v>
      </c>
      <c r="G263" s="3107" t="e">
        <v>#N/A</v>
      </c>
      <c r="H263" s="3107" t="e">
        <v>#N/A</v>
      </c>
      <c r="I263" s="3107" t="e">
        <v>#N/A</v>
      </c>
      <c r="J263" s="3108" t="e">
        <v>#N/A</v>
      </c>
      <c r="K263" s="3102" t="e">
        <v>#N/A</v>
      </c>
      <c r="L263" s="3103" t="e">
        <v>#N/A</v>
      </c>
      <c r="M263" s="3103" t="e">
        <v>#N/A</v>
      </c>
      <c r="N263" s="3103" t="e">
        <v>#N/A</v>
      </c>
      <c r="O263" s="3103" t="e">
        <v>#N/A</v>
      </c>
      <c r="P263" s="3103" t="e">
        <v>#N/A</v>
      </c>
      <c r="Q263" s="3103" t="e">
        <v>#N/A</v>
      </c>
      <c r="R263" s="3103" t="e">
        <v>#N/A</v>
      </c>
      <c r="S263" s="3103" t="e">
        <v>#N/A</v>
      </c>
      <c r="T263" s="3104" t="e">
        <v>#N/A</v>
      </c>
    </row>
    <row r="264" spans="1:20">
      <c r="A264" s="329">
        <f t="shared" si="7"/>
        <v>2025.03</v>
      </c>
      <c r="B264" s="2592" t="e">
        <v>#N/A</v>
      </c>
      <c r="C264" s="3122" t="e">
        <f t="shared" si="6"/>
        <v>#N/A</v>
      </c>
      <c r="D264" s="2534" t="e">
        <v>#N/A</v>
      </c>
      <c r="E264" s="3106" t="e">
        <v>#N/A</v>
      </c>
      <c r="F264" s="3107" t="e">
        <v>#N/A</v>
      </c>
      <c r="G264" s="3107" t="e">
        <v>#N/A</v>
      </c>
      <c r="H264" s="3107" t="e">
        <v>#N/A</v>
      </c>
      <c r="I264" s="3107" t="e">
        <v>#N/A</v>
      </c>
      <c r="J264" s="3108" t="e">
        <v>#N/A</v>
      </c>
      <c r="K264" s="3102" t="e">
        <v>#N/A</v>
      </c>
      <c r="L264" s="3103" t="e">
        <v>#N/A</v>
      </c>
      <c r="M264" s="3103" t="e">
        <v>#N/A</v>
      </c>
      <c r="N264" s="3103" t="e">
        <v>#N/A</v>
      </c>
      <c r="O264" s="3103" t="e">
        <v>#N/A</v>
      </c>
      <c r="P264" s="3103" t="e">
        <v>#N/A</v>
      </c>
      <c r="Q264" s="3103" t="e">
        <v>#N/A</v>
      </c>
      <c r="R264" s="3103" t="e">
        <v>#N/A</v>
      </c>
      <c r="S264" s="3103" t="e">
        <v>#N/A</v>
      </c>
      <c r="T264" s="3104" t="e">
        <v>#N/A</v>
      </c>
    </row>
    <row r="265" spans="1:20">
      <c r="A265" s="329">
        <f t="shared" si="7"/>
        <v>2025.04</v>
      </c>
      <c r="B265" s="2592" t="e">
        <v>#N/A</v>
      </c>
      <c r="C265" s="3122" t="e">
        <f t="shared" si="6"/>
        <v>#N/A</v>
      </c>
      <c r="D265" s="2534" t="e">
        <v>#N/A</v>
      </c>
      <c r="E265" s="3106" t="e">
        <v>#N/A</v>
      </c>
      <c r="F265" s="3107" t="e">
        <v>#N/A</v>
      </c>
      <c r="G265" s="3107" t="e">
        <v>#N/A</v>
      </c>
      <c r="H265" s="3107" t="e">
        <v>#N/A</v>
      </c>
      <c r="I265" s="3107" t="e">
        <v>#N/A</v>
      </c>
      <c r="J265" s="3108" t="e">
        <v>#N/A</v>
      </c>
      <c r="K265" s="3102" t="e">
        <v>#N/A</v>
      </c>
      <c r="L265" s="3103" t="e">
        <v>#N/A</v>
      </c>
      <c r="M265" s="3103" t="e">
        <v>#N/A</v>
      </c>
      <c r="N265" s="3103" t="e">
        <v>#N/A</v>
      </c>
      <c r="O265" s="3103" t="e">
        <v>#N/A</v>
      </c>
      <c r="P265" s="3103" t="e">
        <v>#N/A</v>
      </c>
      <c r="Q265" s="3103" t="e">
        <v>#N/A</v>
      </c>
      <c r="R265" s="3103" t="e">
        <v>#N/A</v>
      </c>
      <c r="S265" s="3103" t="e">
        <v>#N/A</v>
      </c>
      <c r="T265" s="3104" t="e">
        <v>#N/A</v>
      </c>
    </row>
    <row r="266" spans="1:20">
      <c r="A266" s="329">
        <f t="shared" si="7"/>
        <v>2025.05</v>
      </c>
      <c r="B266" s="2592" t="e">
        <v>#N/A</v>
      </c>
      <c r="C266" s="3122" t="e">
        <f t="shared" si="6"/>
        <v>#N/A</v>
      </c>
      <c r="D266" s="2534" t="e">
        <v>#N/A</v>
      </c>
      <c r="E266" s="3106" t="e">
        <v>#N/A</v>
      </c>
      <c r="F266" s="3107" t="e">
        <v>#N/A</v>
      </c>
      <c r="G266" s="3107" t="e">
        <v>#N/A</v>
      </c>
      <c r="H266" s="3107" t="e">
        <v>#N/A</v>
      </c>
      <c r="I266" s="3107" t="e">
        <v>#N/A</v>
      </c>
      <c r="J266" s="3108" t="e">
        <v>#N/A</v>
      </c>
      <c r="K266" s="3102" t="e">
        <v>#N/A</v>
      </c>
      <c r="L266" s="3103" t="e">
        <v>#N/A</v>
      </c>
      <c r="M266" s="3103" t="e">
        <v>#N/A</v>
      </c>
      <c r="N266" s="3103" t="e">
        <v>#N/A</v>
      </c>
      <c r="O266" s="3103" t="e">
        <v>#N/A</v>
      </c>
      <c r="P266" s="3103" t="e">
        <v>#N/A</v>
      </c>
      <c r="Q266" s="3103" t="e">
        <v>#N/A</v>
      </c>
      <c r="R266" s="3103" t="e">
        <v>#N/A</v>
      </c>
      <c r="S266" s="3103" t="e">
        <v>#N/A</v>
      </c>
      <c r="T266" s="3104" t="e">
        <v>#N/A</v>
      </c>
    </row>
    <row r="267" spans="1:20">
      <c r="A267" s="329">
        <f t="shared" si="7"/>
        <v>2025.06</v>
      </c>
      <c r="B267" s="2592" t="e">
        <v>#N/A</v>
      </c>
      <c r="C267" s="3122" t="e">
        <f t="shared" si="6"/>
        <v>#N/A</v>
      </c>
      <c r="D267" s="2534" t="e">
        <v>#N/A</v>
      </c>
      <c r="E267" s="3106" t="e">
        <v>#N/A</v>
      </c>
      <c r="F267" s="3107" t="e">
        <v>#N/A</v>
      </c>
      <c r="G267" s="3107" t="e">
        <v>#N/A</v>
      </c>
      <c r="H267" s="3107" t="e">
        <v>#N/A</v>
      </c>
      <c r="I267" s="3107" t="e">
        <v>#N/A</v>
      </c>
      <c r="J267" s="3108" t="e">
        <v>#N/A</v>
      </c>
      <c r="K267" s="3102" t="e">
        <v>#N/A</v>
      </c>
      <c r="L267" s="3103" t="e">
        <v>#N/A</v>
      </c>
      <c r="M267" s="3103" t="e">
        <v>#N/A</v>
      </c>
      <c r="N267" s="3103" t="e">
        <v>#N/A</v>
      </c>
      <c r="O267" s="3103" t="e">
        <v>#N/A</v>
      </c>
      <c r="P267" s="3103" t="e">
        <v>#N/A</v>
      </c>
      <c r="Q267" s="3103" t="e">
        <v>#N/A</v>
      </c>
      <c r="R267" s="3103" t="e">
        <v>#N/A</v>
      </c>
      <c r="S267" s="3103" t="e">
        <v>#N/A</v>
      </c>
      <c r="T267" s="3104" t="e">
        <v>#N/A</v>
      </c>
    </row>
    <row r="268" spans="1:20">
      <c r="A268" s="329">
        <f t="shared" si="7"/>
        <v>2025.07</v>
      </c>
      <c r="B268" s="2592" t="e">
        <v>#N/A</v>
      </c>
      <c r="C268" s="3122" t="e">
        <f t="shared" si="6"/>
        <v>#N/A</v>
      </c>
      <c r="D268" s="2534" t="e">
        <v>#N/A</v>
      </c>
      <c r="E268" s="3106" t="e">
        <v>#N/A</v>
      </c>
      <c r="F268" s="3107" t="e">
        <v>#N/A</v>
      </c>
      <c r="G268" s="3107" t="e">
        <v>#N/A</v>
      </c>
      <c r="H268" s="3107" t="e">
        <v>#N/A</v>
      </c>
      <c r="I268" s="3107" t="e">
        <v>#N/A</v>
      </c>
      <c r="J268" s="3108" t="e">
        <v>#N/A</v>
      </c>
      <c r="K268" s="3102" t="e">
        <v>#N/A</v>
      </c>
      <c r="L268" s="3103" t="e">
        <v>#N/A</v>
      </c>
      <c r="M268" s="3103" t="e">
        <v>#N/A</v>
      </c>
      <c r="N268" s="3103" t="e">
        <v>#N/A</v>
      </c>
      <c r="O268" s="3103" t="e">
        <v>#N/A</v>
      </c>
      <c r="P268" s="3103" t="e">
        <v>#N/A</v>
      </c>
      <c r="Q268" s="3103" t="e">
        <v>#N/A</v>
      </c>
      <c r="R268" s="3103" t="e">
        <v>#N/A</v>
      </c>
      <c r="S268" s="3103" t="e">
        <v>#N/A</v>
      </c>
      <c r="T268" s="3104" t="e">
        <v>#N/A</v>
      </c>
    </row>
    <row r="269" spans="1:20">
      <c r="A269" s="329">
        <f t="shared" si="7"/>
        <v>2025.08</v>
      </c>
      <c r="B269" s="2592" t="e">
        <v>#N/A</v>
      </c>
      <c r="C269" s="3122" t="e">
        <f t="shared" ref="C269:C332" si="8">B269/B268-1</f>
        <v>#N/A</v>
      </c>
      <c r="D269" s="2534" t="e">
        <v>#N/A</v>
      </c>
      <c r="E269" s="3106" t="e">
        <v>#N/A</v>
      </c>
      <c r="F269" s="3107" t="e">
        <v>#N/A</v>
      </c>
      <c r="G269" s="3107" t="e">
        <v>#N/A</v>
      </c>
      <c r="H269" s="3107" t="e">
        <v>#N/A</v>
      </c>
      <c r="I269" s="3107" t="e">
        <v>#N/A</v>
      </c>
      <c r="J269" s="3108" t="e">
        <v>#N/A</v>
      </c>
      <c r="K269" s="3102" t="e">
        <v>#N/A</v>
      </c>
      <c r="L269" s="3103" t="e">
        <v>#N/A</v>
      </c>
      <c r="M269" s="3103" t="e">
        <v>#N/A</v>
      </c>
      <c r="N269" s="3103" t="e">
        <v>#N/A</v>
      </c>
      <c r="O269" s="3103" t="e">
        <v>#N/A</v>
      </c>
      <c r="P269" s="3103" t="e">
        <v>#N/A</v>
      </c>
      <c r="Q269" s="3103" t="e">
        <v>#N/A</v>
      </c>
      <c r="R269" s="3103" t="e">
        <v>#N/A</v>
      </c>
      <c r="S269" s="3103" t="e">
        <v>#N/A</v>
      </c>
      <c r="T269" s="3104" t="e">
        <v>#N/A</v>
      </c>
    </row>
    <row r="270" spans="1:20">
      <c r="A270" s="329">
        <f t="shared" si="7"/>
        <v>2025.09</v>
      </c>
      <c r="B270" s="2592" t="e">
        <v>#N/A</v>
      </c>
      <c r="C270" s="3122" t="e">
        <f t="shared" si="8"/>
        <v>#N/A</v>
      </c>
      <c r="D270" s="2534" t="e">
        <v>#N/A</v>
      </c>
      <c r="E270" s="3106" t="e">
        <v>#N/A</v>
      </c>
      <c r="F270" s="3107" t="e">
        <v>#N/A</v>
      </c>
      <c r="G270" s="3107" t="e">
        <v>#N/A</v>
      </c>
      <c r="H270" s="3107" t="e">
        <v>#N/A</v>
      </c>
      <c r="I270" s="3107" t="e">
        <v>#N/A</v>
      </c>
      <c r="J270" s="3108" t="e">
        <v>#N/A</v>
      </c>
      <c r="K270" s="3102" t="e">
        <v>#N/A</v>
      </c>
      <c r="L270" s="3103" t="e">
        <v>#N/A</v>
      </c>
      <c r="M270" s="3103" t="e">
        <v>#N/A</v>
      </c>
      <c r="N270" s="3103" t="e">
        <v>#N/A</v>
      </c>
      <c r="O270" s="3103" t="e">
        <v>#N/A</v>
      </c>
      <c r="P270" s="3103" t="e">
        <v>#N/A</v>
      </c>
      <c r="Q270" s="3103" t="e">
        <v>#N/A</v>
      </c>
      <c r="R270" s="3103" t="e">
        <v>#N/A</v>
      </c>
      <c r="S270" s="3103" t="e">
        <v>#N/A</v>
      </c>
      <c r="T270" s="3104" t="e">
        <v>#N/A</v>
      </c>
    </row>
    <row r="271" spans="1:20">
      <c r="A271" s="329">
        <f t="shared" si="7"/>
        <v>2025.1</v>
      </c>
      <c r="B271" s="2592" t="e">
        <v>#N/A</v>
      </c>
      <c r="C271" s="3122" t="e">
        <f t="shared" si="8"/>
        <v>#N/A</v>
      </c>
      <c r="D271" s="2534" t="e">
        <v>#N/A</v>
      </c>
      <c r="E271" s="3106" t="e">
        <v>#N/A</v>
      </c>
      <c r="F271" s="3107" t="e">
        <v>#N/A</v>
      </c>
      <c r="G271" s="3107" t="e">
        <v>#N/A</v>
      </c>
      <c r="H271" s="3107" t="e">
        <v>#N/A</v>
      </c>
      <c r="I271" s="3107" t="e">
        <v>#N/A</v>
      </c>
      <c r="J271" s="3108" t="e">
        <v>#N/A</v>
      </c>
      <c r="K271" s="3102" t="e">
        <v>#N/A</v>
      </c>
      <c r="L271" s="3103" t="e">
        <v>#N/A</v>
      </c>
      <c r="M271" s="3103" t="e">
        <v>#N/A</v>
      </c>
      <c r="N271" s="3103" t="e">
        <v>#N/A</v>
      </c>
      <c r="O271" s="3103" t="e">
        <v>#N/A</v>
      </c>
      <c r="P271" s="3103" t="e">
        <v>#N/A</v>
      </c>
      <c r="Q271" s="3103" t="e">
        <v>#N/A</v>
      </c>
      <c r="R271" s="3103" t="e">
        <v>#N/A</v>
      </c>
      <c r="S271" s="3103" t="e">
        <v>#N/A</v>
      </c>
      <c r="T271" s="3104" t="e">
        <v>#N/A</v>
      </c>
    </row>
    <row r="272" spans="1:20">
      <c r="A272" s="329">
        <f t="shared" si="7"/>
        <v>2025.11</v>
      </c>
      <c r="B272" s="2592" t="e">
        <v>#N/A</v>
      </c>
      <c r="C272" s="3122" t="e">
        <f t="shared" si="8"/>
        <v>#N/A</v>
      </c>
      <c r="D272" s="2534" t="e">
        <v>#N/A</v>
      </c>
      <c r="E272" s="3106" t="e">
        <v>#N/A</v>
      </c>
      <c r="F272" s="3107" t="e">
        <v>#N/A</v>
      </c>
      <c r="G272" s="3107" t="e">
        <v>#N/A</v>
      </c>
      <c r="H272" s="3107" t="e">
        <v>#N/A</v>
      </c>
      <c r="I272" s="3107" t="e">
        <v>#N/A</v>
      </c>
      <c r="J272" s="3108" t="e">
        <v>#N/A</v>
      </c>
      <c r="K272" s="3102" t="e">
        <v>#N/A</v>
      </c>
      <c r="L272" s="3103" t="e">
        <v>#N/A</v>
      </c>
      <c r="M272" s="3103" t="e">
        <v>#N/A</v>
      </c>
      <c r="N272" s="3103" t="e">
        <v>#N/A</v>
      </c>
      <c r="O272" s="3103" t="e">
        <v>#N/A</v>
      </c>
      <c r="P272" s="3103" t="e">
        <v>#N/A</v>
      </c>
      <c r="Q272" s="3103" t="e">
        <v>#N/A</v>
      </c>
      <c r="R272" s="3103" t="e">
        <v>#N/A</v>
      </c>
      <c r="S272" s="3103" t="e">
        <v>#N/A</v>
      </c>
      <c r="T272" s="3104" t="e">
        <v>#N/A</v>
      </c>
    </row>
    <row r="273" spans="1:20">
      <c r="A273" s="329">
        <f t="shared" si="7"/>
        <v>2025.12</v>
      </c>
      <c r="B273" s="2592" t="e">
        <v>#N/A</v>
      </c>
      <c r="C273" s="3122" t="e">
        <f t="shared" si="8"/>
        <v>#N/A</v>
      </c>
      <c r="D273" s="2534" t="e">
        <v>#N/A</v>
      </c>
      <c r="E273" s="3106" t="e">
        <v>#N/A</v>
      </c>
      <c r="F273" s="3107" t="e">
        <v>#N/A</v>
      </c>
      <c r="G273" s="3107" t="e">
        <v>#N/A</v>
      </c>
      <c r="H273" s="3107" t="e">
        <v>#N/A</v>
      </c>
      <c r="I273" s="3107" t="e">
        <v>#N/A</v>
      </c>
      <c r="J273" s="3108" t="e">
        <v>#N/A</v>
      </c>
      <c r="K273" s="3102" t="e">
        <v>#N/A</v>
      </c>
      <c r="L273" s="3103" t="e">
        <v>#N/A</v>
      </c>
      <c r="M273" s="3103" t="e">
        <v>#N/A</v>
      </c>
      <c r="N273" s="3103" t="e">
        <v>#N/A</v>
      </c>
      <c r="O273" s="3103" t="e">
        <v>#N/A</v>
      </c>
      <c r="P273" s="3103" t="e">
        <v>#N/A</v>
      </c>
      <c r="Q273" s="3103" t="e">
        <v>#N/A</v>
      </c>
      <c r="R273" s="3103" t="e">
        <v>#N/A</v>
      </c>
      <c r="S273" s="3103" t="e">
        <v>#N/A</v>
      </c>
      <c r="T273" s="3104" t="e">
        <v>#N/A</v>
      </c>
    </row>
    <row r="274" spans="1:20">
      <c r="A274" s="329">
        <f t="shared" si="7"/>
        <v>2026.01</v>
      </c>
      <c r="B274" s="2592" t="e">
        <v>#N/A</v>
      </c>
      <c r="C274" s="3122" t="e">
        <f t="shared" si="8"/>
        <v>#N/A</v>
      </c>
      <c r="D274" s="2534" t="e">
        <v>#N/A</v>
      </c>
      <c r="E274" s="3106" t="e">
        <v>#N/A</v>
      </c>
      <c r="F274" s="3107" t="e">
        <v>#N/A</v>
      </c>
      <c r="G274" s="3107" t="e">
        <v>#N/A</v>
      </c>
      <c r="H274" s="3107" t="e">
        <v>#N/A</v>
      </c>
      <c r="I274" s="3107" t="e">
        <v>#N/A</v>
      </c>
      <c r="J274" s="3108" t="e">
        <v>#N/A</v>
      </c>
      <c r="K274" s="3102" t="e">
        <v>#N/A</v>
      </c>
      <c r="L274" s="3103" t="e">
        <v>#N/A</v>
      </c>
      <c r="M274" s="3103" t="e">
        <v>#N/A</v>
      </c>
      <c r="N274" s="3103" t="e">
        <v>#N/A</v>
      </c>
      <c r="O274" s="3103" t="e">
        <v>#N/A</v>
      </c>
      <c r="P274" s="3103" t="e">
        <v>#N/A</v>
      </c>
      <c r="Q274" s="3103" t="e">
        <v>#N/A</v>
      </c>
      <c r="R274" s="3103" t="e">
        <v>#N/A</v>
      </c>
      <c r="S274" s="3103" t="e">
        <v>#N/A</v>
      </c>
      <c r="T274" s="3104" t="e">
        <v>#N/A</v>
      </c>
    </row>
    <row r="275" spans="1:20">
      <c r="A275" s="329">
        <f t="shared" si="7"/>
        <v>2026.02</v>
      </c>
      <c r="B275" s="2592" t="e">
        <v>#N/A</v>
      </c>
      <c r="C275" s="3122" t="e">
        <f t="shared" si="8"/>
        <v>#N/A</v>
      </c>
      <c r="D275" s="2534" t="e">
        <v>#N/A</v>
      </c>
      <c r="E275" s="3106" t="e">
        <v>#N/A</v>
      </c>
      <c r="F275" s="3107" t="e">
        <v>#N/A</v>
      </c>
      <c r="G275" s="3107" t="e">
        <v>#N/A</v>
      </c>
      <c r="H275" s="3107" t="e">
        <v>#N/A</v>
      </c>
      <c r="I275" s="3107" t="e">
        <v>#N/A</v>
      </c>
      <c r="J275" s="3108" t="e">
        <v>#N/A</v>
      </c>
      <c r="K275" s="3102" t="e">
        <v>#N/A</v>
      </c>
      <c r="L275" s="3103" t="e">
        <v>#N/A</v>
      </c>
      <c r="M275" s="3103" t="e">
        <v>#N/A</v>
      </c>
      <c r="N275" s="3103" t="e">
        <v>#N/A</v>
      </c>
      <c r="O275" s="3103" t="e">
        <v>#N/A</v>
      </c>
      <c r="P275" s="3103" t="e">
        <v>#N/A</v>
      </c>
      <c r="Q275" s="3103" t="e">
        <v>#N/A</v>
      </c>
      <c r="R275" s="3103" t="e">
        <v>#N/A</v>
      </c>
      <c r="S275" s="3103" t="e">
        <v>#N/A</v>
      </c>
      <c r="T275" s="3104" t="e">
        <v>#N/A</v>
      </c>
    </row>
    <row r="276" spans="1:20">
      <c r="A276" s="329">
        <f t="shared" si="7"/>
        <v>2026.03</v>
      </c>
      <c r="B276" s="2592" t="e">
        <v>#N/A</v>
      </c>
      <c r="C276" s="3122" t="e">
        <f t="shared" si="8"/>
        <v>#N/A</v>
      </c>
      <c r="D276" s="2534" t="e">
        <v>#N/A</v>
      </c>
      <c r="E276" s="3106" t="e">
        <v>#N/A</v>
      </c>
      <c r="F276" s="3107" t="e">
        <v>#N/A</v>
      </c>
      <c r="G276" s="3107" t="e">
        <v>#N/A</v>
      </c>
      <c r="H276" s="3107" t="e">
        <v>#N/A</v>
      </c>
      <c r="I276" s="3107" t="e">
        <v>#N/A</v>
      </c>
      <c r="J276" s="3108" t="e">
        <v>#N/A</v>
      </c>
      <c r="K276" s="3102" t="e">
        <v>#N/A</v>
      </c>
      <c r="L276" s="3103" t="e">
        <v>#N/A</v>
      </c>
      <c r="M276" s="3103" t="e">
        <v>#N/A</v>
      </c>
      <c r="N276" s="3103" t="e">
        <v>#N/A</v>
      </c>
      <c r="O276" s="3103" t="e">
        <v>#N/A</v>
      </c>
      <c r="P276" s="3103" t="e">
        <v>#N/A</v>
      </c>
      <c r="Q276" s="3103" t="e">
        <v>#N/A</v>
      </c>
      <c r="R276" s="3103" t="e">
        <v>#N/A</v>
      </c>
      <c r="S276" s="3103" t="e">
        <v>#N/A</v>
      </c>
      <c r="T276" s="3104" t="e">
        <v>#N/A</v>
      </c>
    </row>
    <row r="277" spans="1:20">
      <c r="A277" s="329">
        <f t="shared" si="7"/>
        <v>2026.04</v>
      </c>
      <c r="B277" s="2592" t="e">
        <v>#N/A</v>
      </c>
      <c r="C277" s="3122" t="e">
        <f t="shared" si="8"/>
        <v>#N/A</v>
      </c>
      <c r="D277" s="2534" t="e">
        <v>#N/A</v>
      </c>
      <c r="E277" s="3106" t="e">
        <v>#N/A</v>
      </c>
      <c r="F277" s="3107" t="e">
        <v>#N/A</v>
      </c>
      <c r="G277" s="3107" t="e">
        <v>#N/A</v>
      </c>
      <c r="H277" s="3107" t="e">
        <v>#N/A</v>
      </c>
      <c r="I277" s="3107" t="e">
        <v>#N/A</v>
      </c>
      <c r="J277" s="3108" t="e">
        <v>#N/A</v>
      </c>
      <c r="K277" s="3102" t="e">
        <v>#N/A</v>
      </c>
      <c r="L277" s="3103" t="e">
        <v>#N/A</v>
      </c>
      <c r="M277" s="3103" t="e">
        <v>#N/A</v>
      </c>
      <c r="N277" s="3103" t="e">
        <v>#N/A</v>
      </c>
      <c r="O277" s="3103" t="e">
        <v>#N/A</v>
      </c>
      <c r="P277" s="3103" t="e">
        <v>#N/A</v>
      </c>
      <c r="Q277" s="3103" t="e">
        <v>#N/A</v>
      </c>
      <c r="R277" s="3103" t="e">
        <v>#N/A</v>
      </c>
      <c r="S277" s="3103" t="e">
        <v>#N/A</v>
      </c>
      <c r="T277" s="3104" t="e">
        <v>#N/A</v>
      </c>
    </row>
    <row r="278" spans="1:20">
      <c r="A278" s="329">
        <f t="shared" si="7"/>
        <v>2026.05</v>
      </c>
      <c r="B278" s="2592" t="e">
        <v>#N/A</v>
      </c>
      <c r="C278" s="3122" t="e">
        <f t="shared" si="8"/>
        <v>#N/A</v>
      </c>
      <c r="D278" s="2534" t="e">
        <v>#N/A</v>
      </c>
      <c r="E278" s="3106" t="e">
        <v>#N/A</v>
      </c>
      <c r="F278" s="3107" t="e">
        <v>#N/A</v>
      </c>
      <c r="G278" s="3107" t="e">
        <v>#N/A</v>
      </c>
      <c r="H278" s="3107" t="e">
        <v>#N/A</v>
      </c>
      <c r="I278" s="3107" t="e">
        <v>#N/A</v>
      </c>
      <c r="J278" s="3108" t="e">
        <v>#N/A</v>
      </c>
      <c r="K278" s="3102" t="e">
        <v>#N/A</v>
      </c>
      <c r="L278" s="3103" t="e">
        <v>#N/A</v>
      </c>
      <c r="M278" s="3103" t="e">
        <v>#N/A</v>
      </c>
      <c r="N278" s="3103" t="e">
        <v>#N/A</v>
      </c>
      <c r="O278" s="3103" t="e">
        <v>#N/A</v>
      </c>
      <c r="P278" s="3103" t="e">
        <v>#N/A</v>
      </c>
      <c r="Q278" s="3103" t="e">
        <v>#N/A</v>
      </c>
      <c r="R278" s="3103" t="e">
        <v>#N/A</v>
      </c>
      <c r="S278" s="3103" t="e">
        <v>#N/A</v>
      </c>
      <c r="T278" s="3104" t="e">
        <v>#N/A</v>
      </c>
    </row>
    <row r="279" spans="1:20">
      <c r="A279" s="329">
        <f t="shared" si="7"/>
        <v>2026.06</v>
      </c>
      <c r="B279" s="2592" t="e">
        <v>#N/A</v>
      </c>
      <c r="C279" s="3122" t="e">
        <f t="shared" si="8"/>
        <v>#N/A</v>
      </c>
      <c r="D279" s="2534" t="e">
        <v>#N/A</v>
      </c>
      <c r="E279" s="3106" t="e">
        <v>#N/A</v>
      </c>
      <c r="F279" s="3107" t="e">
        <v>#N/A</v>
      </c>
      <c r="G279" s="3107" t="e">
        <v>#N/A</v>
      </c>
      <c r="H279" s="3107" t="e">
        <v>#N/A</v>
      </c>
      <c r="I279" s="3107" t="e">
        <v>#N/A</v>
      </c>
      <c r="J279" s="3108" t="e">
        <v>#N/A</v>
      </c>
      <c r="K279" s="3102" t="e">
        <v>#N/A</v>
      </c>
      <c r="L279" s="3103" t="e">
        <v>#N/A</v>
      </c>
      <c r="M279" s="3103" t="e">
        <v>#N/A</v>
      </c>
      <c r="N279" s="3103" t="e">
        <v>#N/A</v>
      </c>
      <c r="O279" s="3103" t="e">
        <v>#N/A</v>
      </c>
      <c r="P279" s="3103" t="e">
        <v>#N/A</v>
      </c>
      <c r="Q279" s="3103" t="e">
        <v>#N/A</v>
      </c>
      <c r="R279" s="3103" t="e">
        <v>#N/A</v>
      </c>
      <c r="S279" s="3103" t="e">
        <v>#N/A</v>
      </c>
      <c r="T279" s="3104" t="e">
        <v>#N/A</v>
      </c>
    </row>
    <row r="280" spans="1:20">
      <c r="A280" s="329">
        <f t="shared" si="7"/>
        <v>2026.07</v>
      </c>
      <c r="B280" s="2592" t="e">
        <v>#N/A</v>
      </c>
      <c r="C280" s="3122" t="e">
        <f t="shared" si="8"/>
        <v>#N/A</v>
      </c>
      <c r="D280" s="2534" t="e">
        <v>#N/A</v>
      </c>
      <c r="E280" s="3106" t="e">
        <v>#N/A</v>
      </c>
      <c r="F280" s="3107" t="e">
        <v>#N/A</v>
      </c>
      <c r="G280" s="3107" t="e">
        <v>#N/A</v>
      </c>
      <c r="H280" s="3107" t="e">
        <v>#N/A</v>
      </c>
      <c r="I280" s="3107" t="e">
        <v>#N/A</v>
      </c>
      <c r="J280" s="3108" t="e">
        <v>#N/A</v>
      </c>
      <c r="K280" s="3102" t="e">
        <v>#N/A</v>
      </c>
      <c r="L280" s="3103" t="e">
        <v>#N/A</v>
      </c>
      <c r="M280" s="3103" t="e">
        <v>#N/A</v>
      </c>
      <c r="N280" s="3103" t="e">
        <v>#N/A</v>
      </c>
      <c r="O280" s="3103" t="e">
        <v>#N/A</v>
      </c>
      <c r="P280" s="3103" t="e">
        <v>#N/A</v>
      </c>
      <c r="Q280" s="3103" t="e">
        <v>#N/A</v>
      </c>
      <c r="R280" s="3103" t="e">
        <v>#N/A</v>
      </c>
      <c r="S280" s="3103" t="e">
        <v>#N/A</v>
      </c>
      <c r="T280" s="3104" t="e">
        <v>#N/A</v>
      </c>
    </row>
    <row r="281" spans="1:20">
      <c r="A281" s="329">
        <f t="shared" si="7"/>
        <v>2026.08</v>
      </c>
      <c r="B281" s="2592" t="e">
        <v>#N/A</v>
      </c>
      <c r="C281" s="3122" t="e">
        <f t="shared" si="8"/>
        <v>#N/A</v>
      </c>
      <c r="D281" s="2534" t="e">
        <v>#N/A</v>
      </c>
      <c r="E281" s="3106" t="e">
        <v>#N/A</v>
      </c>
      <c r="F281" s="3107" t="e">
        <v>#N/A</v>
      </c>
      <c r="G281" s="3107" t="e">
        <v>#N/A</v>
      </c>
      <c r="H281" s="3107" t="e">
        <v>#N/A</v>
      </c>
      <c r="I281" s="3107" t="e">
        <v>#N/A</v>
      </c>
      <c r="J281" s="3108" t="e">
        <v>#N/A</v>
      </c>
      <c r="K281" s="3102" t="e">
        <v>#N/A</v>
      </c>
      <c r="L281" s="3103" t="e">
        <v>#N/A</v>
      </c>
      <c r="M281" s="3103" t="e">
        <v>#N/A</v>
      </c>
      <c r="N281" s="3103" t="e">
        <v>#N/A</v>
      </c>
      <c r="O281" s="3103" t="e">
        <v>#N/A</v>
      </c>
      <c r="P281" s="3103" t="e">
        <v>#N/A</v>
      </c>
      <c r="Q281" s="3103" t="e">
        <v>#N/A</v>
      </c>
      <c r="R281" s="3103" t="e">
        <v>#N/A</v>
      </c>
      <c r="S281" s="3103" t="e">
        <v>#N/A</v>
      </c>
      <c r="T281" s="3104" t="e">
        <v>#N/A</v>
      </c>
    </row>
    <row r="282" spans="1:20">
      <c r="A282" s="329">
        <f t="shared" si="7"/>
        <v>2026.09</v>
      </c>
      <c r="B282" s="2592" t="e">
        <v>#N/A</v>
      </c>
      <c r="C282" s="3122" t="e">
        <f t="shared" si="8"/>
        <v>#N/A</v>
      </c>
      <c r="D282" s="2534" t="e">
        <v>#N/A</v>
      </c>
      <c r="E282" s="3106" t="e">
        <v>#N/A</v>
      </c>
      <c r="F282" s="3107" t="e">
        <v>#N/A</v>
      </c>
      <c r="G282" s="3107" t="e">
        <v>#N/A</v>
      </c>
      <c r="H282" s="3107" t="e">
        <v>#N/A</v>
      </c>
      <c r="I282" s="3107" t="e">
        <v>#N/A</v>
      </c>
      <c r="J282" s="3108" t="e">
        <v>#N/A</v>
      </c>
      <c r="K282" s="3102" t="e">
        <v>#N/A</v>
      </c>
      <c r="L282" s="3103" t="e">
        <v>#N/A</v>
      </c>
      <c r="M282" s="3103" t="e">
        <v>#N/A</v>
      </c>
      <c r="N282" s="3103" t="e">
        <v>#N/A</v>
      </c>
      <c r="O282" s="3103" t="e">
        <v>#N/A</v>
      </c>
      <c r="P282" s="3103" t="e">
        <v>#N/A</v>
      </c>
      <c r="Q282" s="3103" t="e">
        <v>#N/A</v>
      </c>
      <c r="R282" s="3103" t="e">
        <v>#N/A</v>
      </c>
      <c r="S282" s="3103" t="e">
        <v>#N/A</v>
      </c>
      <c r="T282" s="3104" t="e">
        <v>#N/A</v>
      </c>
    </row>
    <row r="283" spans="1:20">
      <c r="A283" s="329">
        <f t="shared" si="7"/>
        <v>2026.1</v>
      </c>
      <c r="B283" s="2592" t="e">
        <v>#N/A</v>
      </c>
      <c r="C283" s="3122" t="e">
        <f t="shared" si="8"/>
        <v>#N/A</v>
      </c>
      <c r="D283" s="2534" t="e">
        <v>#N/A</v>
      </c>
      <c r="E283" s="3106" t="e">
        <v>#N/A</v>
      </c>
      <c r="F283" s="3107" t="e">
        <v>#N/A</v>
      </c>
      <c r="G283" s="3107" t="e">
        <v>#N/A</v>
      </c>
      <c r="H283" s="3107" t="e">
        <v>#N/A</v>
      </c>
      <c r="I283" s="3107" t="e">
        <v>#N/A</v>
      </c>
      <c r="J283" s="3108" t="e">
        <v>#N/A</v>
      </c>
      <c r="K283" s="3102" t="e">
        <v>#N/A</v>
      </c>
      <c r="L283" s="3103" t="e">
        <v>#N/A</v>
      </c>
      <c r="M283" s="3103" t="e">
        <v>#N/A</v>
      </c>
      <c r="N283" s="3103" t="e">
        <v>#N/A</v>
      </c>
      <c r="O283" s="3103" t="e">
        <v>#N/A</v>
      </c>
      <c r="P283" s="3103" t="e">
        <v>#N/A</v>
      </c>
      <c r="Q283" s="3103" t="e">
        <v>#N/A</v>
      </c>
      <c r="R283" s="3103" t="e">
        <v>#N/A</v>
      </c>
      <c r="S283" s="3103" t="e">
        <v>#N/A</v>
      </c>
      <c r="T283" s="3104" t="e">
        <v>#N/A</v>
      </c>
    </row>
    <row r="284" spans="1:20">
      <c r="A284" s="329">
        <f t="shared" si="7"/>
        <v>2026.11</v>
      </c>
      <c r="B284" s="2592" t="e">
        <v>#N/A</v>
      </c>
      <c r="C284" s="3122" t="e">
        <f t="shared" si="8"/>
        <v>#N/A</v>
      </c>
      <c r="D284" s="2534" t="e">
        <v>#N/A</v>
      </c>
      <c r="E284" s="3106" t="e">
        <v>#N/A</v>
      </c>
      <c r="F284" s="3107" t="e">
        <v>#N/A</v>
      </c>
      <c r="G284" s="3107" t="e">
        <v>#N/A</v>
      </c>
      <c r="H284" s="3107" t="e">
        <v>#N/A</v>
      </c>
      <c r="I284" s="3107" t="e">
        <v>#N/A</v>
      </c>
      <c r="J284" s="3108" t="e">
        <v>#N/A</v>
      </c>
      <c r="K284" s="3102" t="e">
        <v>#N/A</v>
      </c>
      <c r="L284" s="3103" t="e">
        <v>#N/A</v>
      </c>
      <c r="M284" s="3103" t="e">
        <v>#N/A</v>
      </c>
      <c r="N284" s="3103" t="e">
        <v>#N/A</v>
      </c>
      <c r="O284" s="3103" t="e">
        <v>#N/A</v>
      </c>
      <c r="P284" s="3103" t="e">
        <v>#N/A</v>
      </c>
      <c r="Q284" s="3103" t="e">
        <v>#N/A</v>
      </c>
      <c r="R284" s="3103" t="e">
        <v>#N/A</v>
      </c>
      <c r="S284" s="3103" t="e">
        <v>#N/A</v>
      </c>
      <c r="T284" s="3104" t="e">
        <v>#N/A</v>
      </c>
    </row>
    <row r="285" spans="1:20">
      <c r="A285" s="329">
        <f t="shared" si="7"/>
        <v>2026.12</v>
      </c>
      <c r="B285" s="2592" t="e">
        <v>#N/A</v>
      </c>
      <c r="C285" s="3122" t="e">
        <f t="shared" si="8"/>
        <v>#N/A</v>
      </c>
      <c r="D285" s="2534" t="e">
        <v>#N/A</v>
      </c>
      <c r="E285" s="3106" t="e">
        <v>#N/A</v>
      </c>
      <c r="F285" s="3107" t="e">
        <v>#N/A</v>
      </c>
      <c r="G285" s="3107" t="e">
        <v>#N/A</v>
      </c>
      <c r="H285" s="3107" t="e">
        <v>#N/A</v>
      </c>
      <c r="I285" s="3107" t="e">
        <v>#N/A</v>
      </c>
      <c r="J285" s="3108" t="e">
        <v>#N/A</v>
      </c>
      <c r="K285" s="3102" t="e">
        <v>#N/A</v>
      </c>
      <c r="L285" s="3103" t="e">
        <v>#N/A</v>
      </c>
      <c r="M285" s="3103" t="e">
        <v>#N/A</v>
      </c>
      <c r="N285" s="3103" t="e">
        <v>#N/A</v>
      </c>
      <c r="O285" s="3103" t="e">
        <v>#N/A</v>
      </c>
      <c r="P285" s="3103" t="e">
        <v>#N/A</v>
      </c>
      <c r="Q285" s="3103" t="e">
        <v>#N/A</v>
      </c>
      <c r="R285" s="3103" t="e">
        <v>#N/A</v>
      </c>
      <c r="S285" s="3103" t="e">
        <v>#N/A</v>
      </c>
      <c r="T285" s="3104" t="e">
        <v>#N/A</v>
      </c>
    </row>
    <row r="286" spans="1:20">
      <c r="A286" s="329">
        <f t="shared" si="7"/>
        <v>2027.01</v>
      </c>
      <c r="B286" s="2592" t="e">
        <v>#N/A</v>
      </c>
      <c r="C286" s="3122" t="e">
        <f t="shared" si="8"/>
        <v>#N/A</v>
      </c>
      <c r="D286" s="2534" t="e">
        <v>#N/A</v>
      </c>
      <c r="E286" s="3106" t="e">
        <v>#N/A</v>
      </c>
      <c r="F286" s="3107" t="e">
        <v>#N/A</v>
      </c>
      <c r="G286" s="3107" t="e">
        <v>#N/A</v>
      </c>
      <c r="H286" s="3107" t="e">
        <v>#N/A</v>
      </c>
      <c r="I286" s="3107" t="e">
        <v>#N/A</v>
      </c>
      <c r="J286" s="3108" t="e">
        <v>#N/A</v>
      </c>
      <c r="K286" s="3102" t="e">
        <v>#N/A</v>
      </c>
      <c r="L286" s="3103" t="e">
        <v>#N/A</v>
      </c>
      <c r="M286" s="3103" t="e">
        <v>#N/A</v>
      </c>
      <c r="N286" s="3103" t="e">
        <v>#N/A</v>
      </c>
      <c r="O286" s="3103" t="e">
        <v>#N/A</v>
      </c>
      <c r="P286" s="3103" t="e">
        <v>#N/A</v>
      </c>
      <c r="Q286" s="3103" t="e">
        <v>#N/A</v>
      </c>
      <c r="R286" s="3103" t="e">
        <v>#N/A</v>
      </c>
      <c r="S286" s="3103" t="e">
        <v>#N/A</v>
      </c>
      <c r="T286" s="3104" t="e">
        <v>#N/A</v>
      </c>
    </row>
    <row r="287" spans="1:20">
      <c r="A287" s="329">
        <f t="shared" si="7"/>
        <v>2027.02</v>
      </c>
      <c r="B287" s="2592" t="e">
        <v>#N/A</v>
      </c>
      <c r="C287" s="3122" t="e">
        <f t="shared" si="8"/>
        <v>#N/A</v>
      </c>
      <c r="D287" s="2534" t="e">
        <v>#N/A</v>
      </c>
      <c r="E287" s="3106" t="e">
        <v>#N/A</v>
      </c>
      <c r="F287" s="3107" t="e">
        <v>#N/A</v>
      </c>
      <c r="G287" s="3107" t="e">
        <v>#N/A</v>
      </c>
      <c r="H287" s="3107" t="e">
        <v>#N/A</v>
      </c>
      <c r="I287" s="3107" t="e">
        <v>#N/A</v>
      </c>
      <c r="J287" s="3108" t="e">
        <v>#N/A</v>
      </c>
      <c r="K287" s="3102" t="e">
        <v>#N/A</v>
      </c>
      <c r="L287" s="3103" t="e">
        <v>#N/A</v>
      </c>
      <c r="M287" s="3103" t="e">
        <v>#N/A</v>
      </c>
      <c r="N287" s="3103" t="e">
        <v>#N/A</v>
      </c>
      <c r="O287" s="3103" t="e">
        <v>#N/A</v>
      </c>
      <c r="P287" s="3103" t="e">
        <v>#N/A</v>
      </c>
      <c r="Q287" s="3103" t="e">
        <v>#N/A</v>
      </c>
      <c r="R287" s="3103" t="e">
        <v>#N/A</v>
      </c>
      <c r="S287" s="3103" t="e">
        <v>#N/A</v>
      </c>
      <c r="T287" s="3104" t="e">
        <v>#N/A</v>
      </c>
    </row>
    <row r="288" spans="1:20">
      <c r="A288" s="329">
        <f t="shared" si="7"/>
        <v>2027.03</v>
      </c>
      <c r="B288" s="2592" t="e">
        <v>#N/A</v>
      </c>
      <c r="C288" s="3122" t="e">
        <f t="shared" si="8"/>
        <v>#N/A</v>
      </c>
      <c r="D288" s="2534" t="e">
        <v>#N/A</v>
      </c>
      <c r="E288" s="3106" t="e">
        <v>#N/A</v>
      </c>
      <c r="F288" s="3107" t="e">
        <v>#N/A</v>
      </c>
      <c r="G288" s="3107" t="e">
        <v>#N/A</v>
      </c>
      <c r="H288" s="3107" t="e">
        <v>#N/A</v>
      </c>
      <c r="I288" s="3107" t="e">
        <v>#N/A</v>
      </c>
      <c r="J288" s="3108" t="e">
        <v>#N/A</v>
      </c>
      <c r="K288" s="3102" t="e">
        <v>#N/A</v>
      </c>
      <c r="L288" s="3103" t="e">
        <v>#N/A</v>
      </c>
      <c r="M288" s="3103" t="e">
        <v>#N/A</v>
      </c>
      <c r="N288" s="3103" t="e">
        <v>#N/A</v>
      </c>
      <c r="O288" s="3103" t="e">
        <v>#N/A</v>
      </c>
      <c r="P288" s="3103" t="e">
        <v>#N/A</v>
      </c>
      <c r="Q288" s="3103" t="e">
        <v>#N/A</v>
      </c>
      <c r="R288" s="3103" t="e">
        <v>#N/A</v>
      </c>
      <c r="S288" s="3103" t="e">
        <v>#N/A</v>
      </c>
      <c r="T288" s="3104" t="e">
        <v>#N/A</v>
      </c>
    </row>
    <row r="289" spans="1:20">
      <c r="A289" s="329">
        <f t="shared" si="7"/>
        <v>2027.04</v>
      </c>
      <c r="B289" s="2592" t="e">
        <v>#N/A</v>
      </c>
      <c r="C289" s="3122" t="e">
        <f t="shared" si="8"/>
        <v>#N/A</v>
      </c>
      <c r="D289" s="2534" t="e">
        <v>#N/A</v>
      </c>
      <c r="E289" s="3106" t="e">
        <v>#N/A</v>
      </c>
      <c r="F289" s="3107" t="e">
        <v>#N/A</v>
      </c>
      <c r="G289" s="3107" t="e">
        <v>#N/A</v>
      </c>
      <c r="H289" s="3107" t="e">
        <v>#N/A</v>
      </c>
      <c r="I289" s="3107" t="e">
        <v>#N/A</v>
      </c>
      <c r="J289" s="3108" t="e">
        <v>#N/A</v>
      </c>
      <c r="K289" s="3102" t="e">
        <v>#N/A</v>
      </c>
      <c r="L289" s="3103" t="e">
        <v>#N/A</v>
      </c>
      <c r="M289" s="3103" t="e">
        <v>#N/A</v>
      </c>
      <c r="N289" s="3103" t="e">
        <v>#N/A</v>
      </c>
      <c r="O289" s="3103" t="e">
        <v>#N/A</v>
      </c>
      <c r="P289" s="3103" t="e">
        <v>#N/A</v>
      </c>
      <c r="Q289" s="3103" t="e">
        <v>#N/A</v>
      </c>
      <c r="R289" s="3103" t="e">
        <v>#N/A</v>
      </c>
      <c r="S289" s="3103" t="e">
        <v>#N/A</v>
      </c>
      <c r="T289" s="3104" t="e">
        <v>#N/A</v>
      </c>
    </row>
    <row r="290" spans="1:20">
      <c r="A290" s="329">
        <f t="shared" si="7"/>
        <v>2027.05</v>
      </c>
      <c r="B290" s="2592" t="e">
        <v>#N/A</v>
      </c>
      <c r="C290" s="3122" t="e">
        <f t="shared" si="8"/>
        <v>#N/A</v>
      </c>
      <c r="D290" s="2534" t="e">
        <v>#N/A</v>
      </c>
      <c r="E290" s="3106" t="e">
        <v>#N/A</v>
      </c>
      <c r="F290" s="3107" t="e">
        <v>#N/A</v>
      </c>
      <c r="G290" s="3107" t="e">
        <v>#N/A</v>
      </c>
      <c r="H290" s="3107" t="e">
        <v>#N/A</v>
      </c>
      <c r="I290" s="3107" t="e">
        <v>#N/A</v>
      </c>
      <c r="J290" s="3108" t="e">
        <v>#N/A</v>
      </c>
      <c r="K290" s="3102" t="e">
        <v>#N/A</v>
      </c>
      <c r="L290" s="3103" t="e">
        <v>#N/A</v>
      </c>
      <c r="M290" s="3103" t="e">
        <v>#N/A</v>
      </c>
      <c r="N290" s="3103" t="e">
        <v>#N/A</v>
      </c>
      <c r="O290" s="3103" t="e">
        <v>#N/A</v>
      </c>
      <c r="P290" s="3103" t="e">
        <v>#N/A</v>
      </c>
      <c r="Q290" s="3103" t="e">
        <v>#N/A</v>
      </c>
      <c r="R290" s="3103" t="e">
        <v>#N/A</v>
      </c>
      <c r="S290" s="3103" t="e">
        <v>#N/A</v>
      </c>
      <c r="T290" s="3104" t="e">
        <v>#N/A</v>
      </c>
    </row>
    <row r="291" spans="1:20">
      <c r="A291" s="329">
        <f t="shared" si="7"/>
        <v>2027.06</v>
      </c>
      <c r="B291" s="2592" t="e">
        <v>#N/A</v>
      </c>
      <c r="C291" s="3122" t="e">
        <f t="shared" si="8"/>
        <v>#N/A</v>
      </c>
      <c r="D291" s="2534" t="e">
        <v>#N/A</v>
      </c>
      <c r="E291" s="3106" t="e">
        <v>#N/A</v>
      </c>
      <c r="F291" s="3107" t="e">
        <v>#N/A</v>
      </c>
      <c r="G291" s="3107" t="e">
        <v>#N/A</v>
      </c>
      <c r="H291" s="3107" t="e">
        <v>#N/A</v>
      </c>
      <c r="I291" s="3107" t="e">
        <v>#N/A</v>
      </c>
      <c r="J291" s="3108" t="e">
        <v>#N/A</v>
      </c>
      <c r="K291" s="3102" t="e">
        <v>#N/A</v>
      </c>
      <c r="L291" s="3103" t="e">
        <v>#N/A</v>
      </c>
      <c r="M291" s="3103" t="e">
        <v>#N/A</v>
      </c>
      <c r="N291" s="3103" t="e">
        <v>#N/A</v>
      </c>
      <c r="O291" s="3103" t="e">
        <v>#N/A</v>
      </c>
      <c r="P291" s="3103" t="e">
        <v>#N/A</v>
      </c>
      <c r="Q291" s="3103" t="e">
        <v>#N/A</v>
      </c>
      <c r="R291" s="3103" t="e">
        <v>#N/A</v>
      </c>
      <c r="S291" s="3103" t="e">
        <v>#N/A</v>
      </c>
      <c r="T291" s="3104" t="e">
        <v>#N/A</v>
      </c>
    </row>
    <row r="292" spans="1:20">
      <c r="A292" s="329">
        <f t="shared" si="7"/>
        <v>2027.07</v>
      </c>
      <c r="B292" s="2592" t="e">
        <v>#N/A</v>
      </c>
      <c r="C292" s="3122" t="e">
        <f t="shared" si="8"/>
        <v>#N/A</v>
      </c>
      <c r="D292" s="2534" t="e">
        <v>#N/A</v>
      </c>
      <c r="E292" s="3106" t="e">
        <v>#N/A</v>
      </c>
      <c r="F292" s="3107" t="e">
        <v>#N/A</v>
      </c>
      <c r="G292" s="3107" t="e">
        <v>#N/A</v>
      </c>
      <c r="H292" s="3107" t="e">
        <v>#N/A</v>
      </c>
      <c r="I292" s="3107" t="e">
        <v>#N/A</v>
      </c>
      <c r="J292" s="3108" t="e">
        <v>#N/A</v>
      </c>
      <c r="K292" s="3102" t="e">
        <v>#N/A</v>
      </c>
      <c r="L292" s="3103" t="e">
        <v>#N/A</v>
      </c>
      <c r="M292" s="3103" t="e">
        <v>#N/A</v>
      </c>
      <c r="N292" s="3103" t="e">
        <v>#N/A</v>
      </c>
      <c r="O292" s="3103" t="e">
        <v>#N/A</v>
      </c>
      <c r="P292" s="3103" t="e">
        <v>#N/A</v>
      </c>
      <c r="Q292" s="3103" t="e">
        <v>#N/A</v>
      </c>
      <c r="R292" s="3103" t="e">
        <v>#N/A</v>
      </c>
      <c r="S292" s="3103" t="e">
        <v>#N/A</v>
      </c>
      <c r="T292" s="3104" t="e">
        <v>#N/A</v>
      </c>
    </row>
    <row r="293" spans="1:20">
      <c r="A293" s="329">
        <f t="shared" si="7"/>
        <v>2027.08</v>
      </c>
      <c r="B293" s="2592" t="e">
        <v>#N/A</v>
      </c>
      <c r="C293" s="3122" t="e">
        <f t="shared" si="8"/>
        <v>#N/A</v>
      </c>
      <c r="D293" s="2534" t="e">
        <v>#N/A</v>
      </c>
      <c r="E293" s="3106" t="e">
        <v>#N/A</v>
      </c>
      <c r="F293" s="3107" t="e">
        <v>#N/A</v>
      </c>
      <c r="G293" s="3107" t="e">
        <v>#N/A</v>
      </c>
      <c r="H293" s="3107" t="e">
        <v>#N/A</v>
      </c>
      <c r="I293" s="3107" t="e">
        <v>#N/A</v>
      </c>
      <c r="J293" s="3108" t="e">
        <v>#N/A</v>
      </c>
      <c r="K293" s="3102" t="e">
        <v>#N/A</v>
      </c>
      <c r="L293" s="3103" t="e">
        <v>#N/A</v>
      </c>
      <c r="M293" s="3103" t="e">
        <v>#N/A</v>
      </c>
      <c r="N293" s="3103" t="e">
        <v>#N/A</v>
      </c>
      <c r="O293" s="3103" t="e">
        <v>#N/A</v>
      </c>
      <c r="P293" s="3103" t="e">
        <v>#N/A</v>
      </c>
      <c r="Q293" s="3103" t="e">
        <v>#N/A</v>
      </c>
      <c r="R293" s="3103" t="e">
        <v>#N/A</v>
      </c>
      <c r="S293" s="3103" t="e">
        <v>#N/A</v>
      </c>
      <c r="T293" s="3104" t="e">
        <v>#N/A</v>
      </c>
    </row>
    <row r="294" spans="1:20">
      <c r="A294" s="329">
        <f t="shared" si="7"/>
        <v>2027.09</v>
      </c>
      <c r="B294" s="2592" t="e">
        <v>#N/A</v>
      </c>
      <c r="C294" s="3122" t="e">
        <f t="shared" si="8"/>
        <v>#N/A</v>
      </c>
      <c r="D294" s="2534" t="e">
        <v>#N/A</v>
      </c>
      <c r="E294" s="3106" t="e">
        <v>#N/A</v>
      </c>
      <c r="F294" s="3107" t="e">
        <v>#N/A</v>
      </c>
      <c r="G294" s="3107" t="e">
        <v>#N/A</v>
      </c>
      <c r="H294" s="3107" t="e">
        <v>#N/A</v>
      </c>
      <c r="I294" s="3107" t="e">
        <v>#N/A</v>
      </c>
      <c r="J294" s="3108" t="e">
        <v>#N/A</v>
      </c>
      <c r="K294" s="3102" t="e">
        <v>#N/A</v>
      </c>
      <c r="L294" s="3103" t="e">
        <v>#N/A</v>
      </c>
      <c r="M294" s="3103" t="e">
        <v>#N/A</v>
      </c>
      <c r="N294" s="3103" t="e">
        <v>#N/A</v>
      </c>
      <c r="O294" s="3103" t="e">
        <v>#N/A</v>
      </c>
      <c r="P294" s="3103" t="e">
        <v>#N/A</v>
      </c>
      <c r="Q294" s="3103" t="e">
        <v>#N/A</v>
      </c>
      <c r="R294" s="3103" t="e">
        <v>#N/A</v>
      </c>
      <c r="S294" s="3103" t="e">
        <v>#N/A</v>
      </c>
      <c r="T294" s="3104" t="e">
        <v>#N/A</v>
      </c>
    </row>
    <row r="295" spans="1:20">
      <c r="A295" s="329">
        <f t="shared" si="7"/>
        <v>2027.1</v>
      </c>
      <c r="B295" s="2592" t="e">
        <v>#N/A</v>
      </c>
      <c r="C295" s="3122" t="e">
        <f t="shared" si="8"/>
        <v>#N/A</v>
      </c>
      <c r="D295" s="2534" t="e">
        <v>#N/A</v>
      </c>
      <c r="E295" s="3106" t="e">
        <v>#N/A</v>
      </c>
      <c r="F295" s="3107" t="e">
        <v>#N/A</v>
      </c>
      <c r="G295" s="3107" t="e">
        <v>#N/A</v>
      </c>
      <c r="H295" s="3107" t="e">
        <v>#N/A</v>
      </c>
      <c r="I295" s="3107" t="e">
        <v>#N/A</v>
      </c>
      <c r="J295" s="3108" t="e">
        <v>#N/A</v>
      </c>
      <c r="K295" s="3102" t="e">
        <v>#N/A</v>
      </c>
      <c r="L295" s="3103" t="e">
        <v>#N/A</v>
      </c>
      <c r="M295" s="3103" t="e">
        <v>#N/A</v>
      </c>
      <c r="N295" s="3103" t="e">
        <v>#N/A</v>
      </c>
      <c r="O295" s="3103" t="e">
        <v>#N/A</v>
      </c>
      <c r="P295" s="3103" t="e">
        <v>#N/A</v>
      </c>
      <c r="Q295" s="3103" t="e">
        <v>#N/A</v>
      </c>
      <c r="R295" s="3103" t="e">
        <v>#N/A</v>
      </c>
      <c r="S295" s="3103" t="e">
        <v>#N/A</v>
      </c>
      <c r="T295" s="3104" t="e">
        <v>#N/A</v>
      </c>
    </row>
    <row r="296" spans="1:20">
      <c r="A296" s="329">
        <f t="shared" si="7"/>
        <v>2027.11</v>
      </c>
      <c r="B296" s="2592" t="e">
        <v>#N/A</v>
      </c>
      <c r="C296" s="3122" t="e">
        <f t="shared" si="8"/>
        <v>#N/A</v>
      </c>
      <c r="D296" s="2534" t="e">
        <v>#N/A</v>
      </c>
      <c r="E296" s="3106" t="e">
        <v>#N/A</v>
      </c>
      <c r="F296" s="3107" t="e">
        <v>#N/A</v>
      </c>
      <c r="G296" s="3107" t="e">
        <v>#N/A</v>
      </c>
      <c r="H296" s="3107" t="e">
        <v>#N/A</v>
      </c>
      <c r="I296" s="3107" t="e">
        <v>#N/A</v>
      </c>
      <c r="J296" s="3108" t="e">
        <v>#N/A</v>
      </c>
      <c r="K296" s="3102" t="e">
        <v>#N/A</v>
      </c>
      <c r="L296" s="3103" t="e">
        <v>#N/A</v>
      </c>
      <c r="M296" s="3103" t="e">
        <v>#N/A</v>
      </c>
      <c r="N296" s="3103" t="e">
        <v>#N/A</v>
      </c>
      <c r="O296" s="3103" t="e">
        <v>#N/A</v>
      </c>
      <c r="P296" s="3103" t="e">
        <v>#N/A</v>
      </c>
      <c r="Q296" s="3103" t="e">
        <v>#N/A</v>
      </c>
      <c r="R296" s="3103" t="e">
        <v>#N/A</v>
      </c>
      <c r="S296" s="3103" t="e">
        <v>#N/A</v>
      </c>
      <c r="T296" s="3104" t="e">
        <v>#N/A</v>
      </c>
    </row>
    <row r="297" spans="1:20">
      <c r="A297" s="329">
        <f t="shared" si="7"/>
        <v>2027.12</v>
      </c>
      <c r="B297" s="2592" t="e">
        <v>#N/A</v>
      </c>
      <c r="C297" s="3122" t="e">
        <f t="shared" si="8"/>
        <v>#N/A</v>
      </c>
      <c r="D297" s="2534" t="e">
        <v>#N/A</v>
      </c>
      <c r="E297" s="3106" t="e">
        <v>#N/A</v>
      </c>
      <c r="F297" s="3107" t="e">
        <v>#N/A</v>
      </c>
      <c r="G297" s="3107" t="e">
        <v>#N/A</v>
      </c>
      <c r="H297" s="3107" t="e">
        <v>#N/A</v>
      </c>
      <c r="I297" s="3107" t="e">
        <v>#N/A</v>
      </c>
      <c r="J297" s="3108" t="e">
        <v>#N/A</v>
      </c>
      <c r="K297" s="3102" t="e">
        <v>#N/A</v>
      </c>
      <c r="L297" s="3103" t="e">
        <v>#N/A</v>
      </c>
      <c r="M297" s="3103" t="e">
        <v>#N/A</v>
      </c>
      <c r="N297" s="3103" t="e">
        <v>#N/A</v>
      </c>
      <c r="O297" s="3103" t="e">
        <v>#N/A</v>
      </c>
      <c r="P297" s="3103" t="e">
        <v>#N/A</v>
      </c>
      <c r="Q297" s="3103" t="e">
        <v>#N/A</v>
      </c>
      <c r="R297" s="3103" t="e">
        <v>#N/A</v>
      </c>
      <c r="S297" s="3103" t="e">
        <v>#N/A</v>
      </c>
      <c r="T297" s="3104" t="e">
        <v>#N/A</v>
      </c>
    </row>
    <row r="298" spans="1:20">
      <c r="A298" s="329">
        <f t="shared" si="7"/>
        <v>2028.01</v>
      </c>
      <c r="B298" s="2592" t="e">
        <v>#N/A</v>
      </c>
      <c r="C298" s="3122" t="e">
        <f t="shared" si="8"/>
        <v>#N/A</v>
      </c>
      <c r="D298" s="2534" t="e">
        <v>#N/A</v>
      </c>
      <c r="E298" s="3106" t="e">
        <v>#N/A</v>
      </c>
      <c r="F298" s="3107" t="e">
        <v>#N/A</v>
      </c>
      <c r="G298" s="3107" t="e">
        <v>#N/A</v>
      </c>
      <c r="H298" s="3107" t="e">
        <v>#N/A</v>
      </c>
      <c r="I298" s="3107" t="e">
        <v>#N/A</v>
      </c>
      <c r="J298" s="3108" t="e">
        <v>#N/A</v>
      </c>
      <c r="K298" s="3102" t="e">
        <v>#N/A</v>
      </c>
      <c r="L298" s="3103" t="e">
        <v>#N/A</v>
      </c>
      <c r="M298" s="3103" t="e">
        <v>#N/A</v>
      </c>
      <c r="N298" s="3103" t="e">
        <v>#N/A</v>
      </c>
      <c r="O298" s="3103" t="e">
        <v>#N/A</v>
      </c>
      <c r="P298" s="3103" t="e">
        <v>#N/A</v>
      </c>
      <c r="Q298" s="3103" t="e">
        <v>#N/A</v>
      </c>
      <c r="R298" s="3103" t="e">
        <v>#N/A</v>
      </c>
      <c r="S298" s="3103" t="e">
        <v>#N/A</v>
      </c>
      <c r="T298" s="3104" t="e">
        <v>#N/A</v>
      </c>
    </row>
    <row r="299" spans="1:20">
      <c r="A299" s="329">
        <f t="shared" si="7"/>
        <v>2028.02</v>
      </c>
      <c r="B299" s="2592" t="e">
        <v>#N/A</v>
      </c>
      <c r="C299" s="3122" t="e">
        <f t="shared" si="8"/>
        <v>#N/A</v>
      </c>
      <c r="D299" s="2534" t="e">
        <v>#N/A</v>
      </c>
      <c r="E299" s="3106" t="e">
        <v>#N/A</v>
      </c>
      <c r="F299" s="3107" t="e">
        <v>#N/A</v>
      </c>
      <c r="G299" s="3107" t="e">
        <v>#N/A</v>
      </c>
      <c r="H299" s="3107" t="e">
        <v>#N/A</v>
      </c>
      <c r="I299" s="3107" t="e">
        <v>#N/A</v>
      </c>
      <c r="J299" s="3108" t="e">
        <v>#N/A</v>
      </c>
      <c r="K299" s="3102" t="e">
        <v>#N/A</v>
      </c>
      <c r="L299" s="3103" t="e">
        <v>#N/A</v>
      </c>
      <c r="M299" s="3103" t="e">
        <v>#N/A</v>
      </c>
      <c r="N299" s="3103" t="e">
        <v>#N/A</v>
      </c>
      <c r="O299" s="3103" t="e">
        <v>#N/A</v>
      </c>
      <c r="P299" s="3103" t="e">
        <v>#N/A</v>
      </c>
      <c r="Q299" s="3103" t="e">
        <v>#N/A</v>
      </c>
      <c r="R299" s="3103" t="e">
        <v>#N/A</v>
      </c>
      <c r="S299" s="3103" t="e">
        <v>#N/A</v>
      </c>
      <c r="T299" s="3104" t="e">
        <v>#N/A</v>
      </c>
    </row>
    <row r="300" spans="1:20">
      <c r="A300" s="329">
        <f t="shared" si="7"/>
        <v>2028.03</v>
      </c>
      <c r="B300" s="2592" t="e">
        <v>#N/A</v>
      </c>
      <c r="C300" s="3122" t="e">
        <f t="shared" si="8"/>
        <v>#N/A</v>
      </c>
      <c r="D300" s="2534" t="e">
        <v>#N/A</v>
      </c>
      <c r="E300" s="3106" t="e">
        <v>#N/A</v>
      </c>
      <c r="F300" s="3107" t="e">
        <v>#N/A</v>
      </c>
      <c r="G300" s="3107" t="e">
        <v>#N/A</v>
      </c>
      <c r="H300" s="3107" t="e">
        <v>#N/A</v>
      </c>
      <c r="I300" s="3107" t="e">
        <v>#N/A</v>
      </c>
      <c r="J300" s="3108" t="e">
        <v>#N/A</v>
      </c>
      <c r="K300" s="3102" t="e">
        <v>#N/A</v>
      </c>
      <c r="L300" s="3103" t="e">
        <v>#N/A</v>
      </c>
      <c r="M300" s="3103" t="e">
        <v>#N/A</v>
      </c>
      <c r="N300" s="3103" t="e">
        <v>#N/A</v>
      </c>
      <c r="O300" s="3103" t="e">
        <v>#N/A</v>
      </c>
      <c r="P300" s="3103" t="e">
        <v>#N/A</v>
      </c>
      <c r="Q300" s="3103" t="e">
        <v>#N/A</v>
      </c>
      <c r="R300" s="3103" t="e">
        <v>#N/A</v>
      </c>
      <c r="S300" s="3103" t="e">
        <v>#N/A</v>
      </c>
      <c r="T300" s="3104" t="e">
        <v>#N/A</v>
      </c>
    </row>
    <row r="301" spans="1:20">
      <c r="A301" s="329">
        <f t="shared" si="7"/>
        <v>2028.04</v>
      </c>
      <c r="B301" s="2592" t="e">
        <v>#N/A</v>
      </c>
      <c r="C301" s="3122" t="e">
        <f t="shared" si="8"/>
        <v>#N/A</v>
      </c>
      <c r="D301" s="2534" t="e">
        <v>#N/A</v>
      </c>
      <c r="E301" s="3106" t="e">
        <v>#N/A</v>
      </c>
      <c r="F301" s="3107" t="e">
        <v>#N/A</v>
      </c>
      <c r="G301" s="3107" t="e">
        <v>#N/A</v>
      </c>
      <c r="H301" s="3107" t="e">
        <v>#N/A</v>
      </c>
      <c r="I301" s="3107" t="e">
        <v>#N/A</v>
      </c>
      <c r="J301" s="3108" t="e">
        <v>#N/A</v>
      </c>
      <c r="K301" s="3102" t="e">
        <v>#N/A</v>
      </c>
      <c r="L301" s="3103" t="e">
        <v>#N/A</v>
      </c>
      <c r="M301" s="3103" t="e">
        <v>#N/A</v>
      </c>
      <c r="N301" s="3103" t="e">
        <v>#N/A</v>
      </c>
      <c r="O301" s="3103" t="e">
        <v>#N/A</v>
      </c>
      <c r="P301" s="3103" t="e">
        <v>#N/A</v>
      </c>
      <c r="Q301" s="3103" t="e">
        <v>#N/A</v>
      </c>
      <c r="R301" s="3103" t="e">
        <v>#N/A</v>
      </c>
      <c r="S301" s="3103" t="e">
        <v>#N/A</v>
      </c>
      <c r="T301" s="3104" t="e">
        <v>#N/A</v>
      </c>
    </row>
    <row r="302" spans="1:20">
      <c r="A302" s="329">
        <f t="shared" si="7"/>
        <v>2028.05</v>
      </c>
      <c r="B302" s="2592" t="e">
        <v>#N/A</v>
      </c>
      <c r="C302" s="3122" t="e">
        <f t="shared" si="8"/>
        <v>#N/A</v>
      </c>
      <c r="D302" s="2534" t="e">
        <v>#N/A</v>
      </c>
      <c r="E302" s="3106" t="e">
        <v>#N/A</v>
      </c>
      <c r="F302" s="3107" t="e">
        <v>#N/A</v>
      </c>
      <c r="G302" s="3107" t="e">
        <v>#N/A</v>
      </c>
      <c r="H302" s="3107" t="e">
        <v>#N/A</v>
      </c>
      <c r="I302" s="3107" t="e">
        <v>#N/A</v>
      </c>
      <c r="J302" s="3108" t="e">
        <v>#N/A</v>
      </c>
      <c r="K302" s="3102" t="e">
        <v>#N/A</v>
      </c>
      <c r="L302" s="3103" t="e">
        <v>#N/A</v>
      </c>
      <c r="M302" s="3103" t="e">
        <v>#N/A</v>
      </c>
      <c r="N302" s="3103" t="e">
        <v>#N/A</v>
      </c>
      <c r="O302" s="3103" t="e">
        <v>#N/A</v>
      </c>
      <c r="P302" s="3103" t="e">
        <v>#N/A</v>
      </c>
      <c r="Q302" s="3103" t="e">
        <v>#N/A</v>
      </c>
      <c r="R302" s="3103" t="e">
        <v>#N/A</v>
      </c>
      <c r="S302" s="3103" t="e">
        <v>#N/A</v>
      </c>
      <c r="T302" s="3104" t="e">
        <v>#N/A</v>
      </c>
    </row>
    <row r="303" spans="1:20">
      <c r="A303" s="329">
        <f t="shared" si="7"/>
        <v>2028.06</v>
      </c>
      <c r="B303" s="2592" t="e">
        <v>#N/A</v>
      </c>
      <c r="C303" s="3122" t="e">
        <f t="shared" si="8"/>
        <v>#N/A</v>
      </c>
      <c r="D303" s="2534" t="e">
        <v>#N/A</v>
      </c>
      <c r="E303" s="3106" t="e">
        <v>#N/A</v>
      </c>
      <c r="F303" s="3107" t="e">
        <v>#N/A</v>
      </c>
      <c r="G303" s="3107" t="e">
        <v>#N/A</v>
      </c>
      <c r="H303" s="3107" t="e">
        <v>#N/A</v>
      </c>
      <c r="I303" s="3107" t="e">
        <v>#N/A</v>
      </c>
      <c r="J303" s="3108" t="e">
        <v>#N/A</v>
      </c>
      <c r="K303" s="3102" t="e">
        <v>#N/A</v>
      </c>
      <c r="L303" s="3103" t="e">
        <v>#N/A</v>
      </c>
      <c r="M303" s="3103" t="e">
        <v>#N/A</v>
      </c>
      <c r="N303" s="3103" t="e">
        <v>#N/A</v>
      </c>
      <c r="O303" s="3103" t="e">
        <v>#N/A</v>
      </c>
      <c r="P303" s="3103" t="e">
        <v>#N/A</v>
      </c>
      <c r="Q303" s="3103" t="e">
        <v>#N/A</v>
      </c>
      <c r="R303" s="3103" t="e">
        <v>#N/A</v>
      </c>
      <c r="S303" s="3103" t="e">
        <v>#N/A</v>
      </c>
      <c r="T303" s="3104" t="e">
        <v>#N/A</v>
      </c>
    </row>
    <row r="304" spans="1:20">
      <c r="A304" s="329">
        <f t="shared" si="7"/>
        <v>2028.07</v>
      </c>
      <c r="B304" s="2592" t="e">
        <v>#N/A</v>
      </c>
      <c r="C304" s="3122" t="e">
        <f t="shared" si="8"/>
        <v>#N/A</v>
      </c>
      <c r="D304" s="2534" t="e">
        <v>#N/A</v>
      </c>
      <c r="E304" s="3106" t="e">
        <v>#N/A</v>
      </c>
      <c r="F304" s="3107" t="e">
        <v>#N/A</v>
      </c>
      <c r="G304" s="3107" t="e">
        <v>#N/A</v>
      </c>
      <c r="H304" s="3107" t="e">
        <v>#N/A</v>
      </c>
      <c r="I304" s="3107" t="e">
        <v>#N/A</v>
      </c>
      <c r="J304" s="3108" t="e">
        <v>#N/A</v>
      </c>
      <c r="K304" s="3102" t="e">
        <v>#N/A</v>
      </c>
      <c r="L304" s="3103" t="e">
        <v>#N/A</v>
      </c>
      <c r="M304" s="3103" t="e">
        <v>#N/A</v>
      </c>
      <c r="N304" s="3103" t="e">
        <v>#N/A</v>
      </c>
      <c r="O304" s="3103" t="e">
        <v>#N/A</v>
      </c>
      <c r="P304" s="3103" t="e">
        <v>#N/A</v>
      </c>
      <c r="Q304" s="3103" t="e">
        <v>#N/A</v>
      </c>
      <c r="R304" s="3103" t="e">
        <v>#N/A</v>
      </c>
      <c r="S304" s="3103" t="e">
        <v>#N/A</v>
      </c>
      <c r="T304" s="3104" t="e">
        <v>#N/A</v>
      </c>
    </row>
    <row r="305" spans="1:20">
      <c r="A305" s="329">
        <f t="shared" si="7"/>
        <v>2028.08</v>
      </c>
      <c r="B305" s="2592" t="e">
        <v>#N/A</v>
      </c>
      <c r="C305" s="3122" t="e">
        <f t="shared" si="8"/>
        <v>#N/A</v>
      </c>
      <c r="D305" s="2534" t="e">
        <v>#N/A</v>
      </c>
      <c r="E305" s="3106" t="e">
        <v>#N/A</v>
      </c>
      <c r="F305" s="3107" t="e">
        <v>#N/A</v>
      </c>
      <c r="G305" s="3107" t="e">
        <v>#N/A</v>
      </c>
      <c r="H305" s="3107" t="e">
        <v>#N/A</v>
      </c>
      <c r="I305" s="3107" t="e">
        <v>#N/A</v>
      </c>
      <c r="J305" s="3108" t="e">
        <v>#N/A</v>
      </c>
      <c r="K305" s="3102" t="e">
        <v>#N/A</v>
      </c>
      <c r="L305" s="3103" t="e">
        <v>#N/A</v>
      </c>
      <c r="M305" s="3103" t="e">
        <v>#N/A</v>
      </c>
      <c r="N305" s="3103" t="e">
        <v>#N/A</v>
      </c>
      <c r="O305" s="3103" t="e">
        <v>#N/A</v>
      </c>
      <c r="P305" s="3103" t="e">
        <v>#N/A</v>
      </c>
      <c r="Q305" s="3103" t="e">
        <v>#N/A</v>
      </c>
      <c r="R305" s="3103" t="e">
        <v>#N/A</v>
      </c>
      <c r="S305" s="3103" t="e">
        <v>#N/A</v>
      </c>
      <c r="T305" s="3104" t="e">
        <v>#N/A</v>
      </c>
    </row>
    <row r="306" spans="1:20">
      <c r="A306" s="329">
        <f t="shared" si="7"/>
        <v>2028.09</v>
      </c>
      <c r="B306" s="2592" t="e">
        <v>#N/A</v>
      </c>
      <c r="C306" s="3122" t="e">
        <f t="shared" si="8"/>
        <v>#N/A</v>
      </c>
      <c r="D306" s="2534" t="e">
        <v>#N/A</v>
      </c>
      <c r="E306" s="3106" t="e">
        <v>#N/A</v>
      </c>
      <c r="F306" s="3107" t="e">
        <v>#N/A</v>
      </c>
      <c r="G306" s="3107" t="e">
        <v>#N/A</v>
      </c>
      <c r="H306" s="3107" t="e">
        <v>#N/A</v>
      </c>
      <c r="I306" s="3107" t="e">
        <v>#N/A</v>
      </c>
      <c r="J306" s="3108" t="e">
        <v>#N/A</v>
      </c>
      <c r="K306" s="3102" t="e">
        <v>#N/A</v>
      </c>
      <c r="L306" s="3103" t="e">
        <v>#N/A</v>
      </c>
      <c r="M306" s="3103" t="e">
        <v>#N/A</v>
      </c>
      <c r="N306" s="3103" t="e">
        <v>#N/A</v>
      </c>
      <c r="O306" s="3103" t="e">
        <v>#N/A</v>
      </c>
      <c r="P306" s="3103" t="e">
        <v>#N/A</v>
      </c>
      <c r="Q306" s="3103" t="e">
        <v>#N/A</v>
      </c>
      <c r="R306" s="3103" t="e">
        <v>#N/A</v>
      </c>
      <c r="S306" s="3103" t="e">
        <v>#N/A</v>
      </c>
      <c r="T306" s="3104" t="e">
        <v>#N/A</v>
      </c>
    </row>
    <row r="307" spans="1:20">
      <c r="A307" s="329">
        <f t="shared" si="7"/>
        <v>2028.1</v>
      </c>
      <c r="B307" s="2592" t="e">
        <v>#N/A</v>
      </c>
      <c r="C307" s="3122" t="e">
        <f t="shared" si="8"/>
        <v>#N/A</v>
      </c>
      <c r="D307" s="2534" t="e">
        <v>#N/A</v>
      </c>
      <c r="E307" s="3106" t="e">
        <v>#N/A</v>
      </c>
      <c r="F307" s="3107" t="e">
        <v>#N/A</v>
      </c>
      <c r="G307" s="3107" t="e">
        <v>#N/A</v>
      </c>
      <c r="H307" s="3107" t="e">
        <v>#N/A</v>
      </c>
      <c r="I307" s="3107" t="e">
        <v>#N/A</v>
      </c>
      <c r="J307" s="3108" t="e">
        <v>#N/A</v>
      </c>
      <c r="K307" s="3102" t="e">
        <v>#N/A</v>
      </c>
      <c r="L307" s="3103" t="e">
        <v>#N/A</v>
      </c>
      <c r="M307" s="3103" t="e">
        <v>#N/A</v>
      </c>
      <c r="N307" s="3103" t="e">
        <v>#N/A</v>
      </c>
      <c r="O307" s="3103" t="e">
        <v>#N/A</v>
      </c>
      <c r="P307" s="3103" t="e">
        <v>#N/A</v>
      </c>
      <c r="Q307" s="3103" t="e">
        <v>#N/A</v>
      </c>
      <c r="R307" s="3103" t="e">
        <v>#N/A</v>
      </c>
      <c r="S307" s="3103" t="e">
        <v>#N/A</v>
      </c>
      <c r="T307" s="3104" t="e">
        <v>#N/A</v>
      </c>
    </row>
    <row r="308" spans="1:20">
      <c r="A308" s="329">
        <f t="shared" si="7"/>
        <v>2028.11</v>
      </c>
      <c r="B308" s="2592" t="e">
        <v>#N/A</v>
      </c>
      <c r="C308" s="3122" t="e">
        <f t="shared" si="8"/>
        <v>#N/A</v>
      </c>
      <c r="D308" s="2534" t="e">
        <v>#N/A</v>
      </c>
      <c r="E308" s="3106" t="e">
        <v>#N/A</v>
      </c>
      <c r="F308" s="3107" t="e">
        <v>#N/A</v>
      </c>
      <c r="G308" s="3107" t="e">
        <v>#N/A</v>
      </c>
      <c r="H308" s="3107" t="e">
        <v>#N/A</v>
      </c>
      <c r="I308" s="3107" t="e">
        <v>#N/A</v>
      </c>
      <c r="J308" s="3108" t="e">
        <v>#N/A</v>
      </c>
      <c r="K308" s="3102" t="e">
        <v>#N/A</v>
      </c>
      <c r="L308" s="3103" t="e">
        <v>#N/A</v>
      </c>
      <c r="M308" s="3103" t="e">
        <v>#N/A</v>
      </c>
      <c r="N308" s="3103" t="e">
        <v>#N/A</v>
      </c>
      <c r="O308" s="3103" t="e">
        <v>#N/A</v>
      </c>
      <c r="P308" s="3103" t="e">
        <v>#N/A</v>
      </c>
      <c r="Q308" s="3103" t="e">
        <v>#N/A</v>
      </c>
      <c r="R308" s="3103" t="e">
        <v>#N/A</v>
      </c>
      <c r="S308" s="3103" t="e">
        <v>#N/A</v>
      </c>
      <c r="T308" s="3104" t="e">
        <v>#N/A</v>
      </c>
    </row>
    <row r="309" spans="1:20">
      <c r="A309" s="329">
        <f t="shared" si="7"/>
        <v>2028.12</v>
      </c>
      <c r="B309" s="2592" t="e">
        <v>#N/A</v>
      </c>
      <c r="C309" s="3122" t="e">
        <f t="shared" si="8"/>
        <v>#N/A</v>
      </c>
      <c r="D309" s="2534" t="e">
        <v>#N/A</v>
      </c>
      <c r="E309" s="3106" t="e">
        <v>#N/A</v>
      </c>
      <c r="F309" s="3107" t="e">
        <v>#N/A</v>
      </c>
      <c r="G309" s="3107" t="e">
        <v>#N/A</v>
      </c>
      <c r="H309" s="3107" t="e">
        <v>#N/A</v>
      </c>
      <c r="I309" s="3107" t="e">
        <v>#N/A</v>
      </c>
      <c r="J309" s="3108" t="e">
        <v>#N/A</v>
      </c>
      <c r="K309" s="3102" t="e">
        <v>#N/A</v>
      </c>
      <c r="L309" s="3103" t="e">
        <v>#N/A</v>
      </c>
      <c r="M309" s="3103" t="e">
        <v>#N/A</v>
      </c>
      <c r="N309" s="3103" t="e">
        <v>#N/A</v>
      </c>
      <c r="O309" s="3103" t="e">
        <v>#N/A</v>
      </c>
      <c r="P309" s="3103" t="e">
        <v>#N/A</v>
      </c>
      <c r="Q309" s="3103" t="e">
        <v>#N/A</v>
      </c>
      <c r="R309" s="3103" t="e">
        <v>#N/A</v>
      </c>
      <c r="S309" s="3103" t="e">
        <v>#N/A</v>
      </c>
      <c r="T309" s="3104" t="e">
        <v>#N/A</v>
      </c>
    </row>
    <row r="310" spans="1:20">
      <c r="A310" s="329">
        <f t="shared" si="7"/>
        <v>2029.01</v>
      </c>
      <c r="B310" s="2592" t="e">
        <v>#N/A</v>
      </c>
      <c r="C310" s="3122" t="e">
        <f t="shared" si="8"/>
        <v>#N/A</v>
      </c>
      <c r="D310" s="2534" t="e">
        <v>#N/A</v>
      </c>
      <c r="E310" s="3106" t="e">
        <v>#N/A</v>
      </c>
      <c r="F310" s="3107" t="e">
        <v>#N/A</v>
      </c>
      <c r="G310" s="3107" t="e">
        <v>#N/A</v>
      </c>
      <c r="H310" s="3107" t="e">
        <v>#N/A</v>
      </c>
      <c r="I310" s="3107" t="e">
        <v>#N/A</v>
      </c>
      <c r="J310" s="3108" t="e">
        <v>#N/A</v>
      </c>
      <c r="K310" s="3102" t="e">
        <v>#N/A</v>
      </c>
      <c r="L310" s="3103" t="e">
        <v>#N/A</v>
      </c>
      <c r="M310" s="3103" t="e">
        <v>#N/A</v>
      </c>
      <c r="N310" s="3103" t="e">
        <v>#N/A</v>
      </c>
      <c r="O310" s="3103" t="e">
        <v>#N/A</v>
      </c>
      <c r="P310" s="3103" t="e">
        <v>#N/A</v>
      </c>
      <c r="Q310" s="3103" t="e">
        <v>#N/A</v>
      </c>
      <c r="R310" s="3103" t="e">
        <v>#N/A</v>
      </c>
      <c r="S310" s="3103" t="e">
        <v>#N/A</v>
      </c>
      <c r="T310" s="3104" t="e">
        <v>#N/A</v>
      </c>
    </row>
    <row r="311" spans="1:20">
      <c r="A311" s="329">
        <f t="shared" si="7"/>
        <v>2029.02</v>
      </c>
      <c r="B311" s="2592" t="e">
        <v>#N/A</v>
      </c>
      <c r="C311" s="3122" t="e">
        <f t="shared" si="8"/>
        <v>#N/A</v>
      </c>
      <c r="D311" s="2534" t="e">
        <v>#N/A</v>
      </c>
      <c r="E311" s="3106" t="e">
        <v>#N/A</v>
      </c>
      <c r="F311" s="3107" t="e">
        <v>#N/A</v>
      </c>
      <c r="G311" s="3107" t="e">
        <v>#N/A</v>
      </c>
      <c r="H311" s="3107" t="e">
        <v>#N/A</v>
      </c>
      <c r="I311" s="3107" t="e">
        <v>#N/A</v>
      </c>
      <c r="J311" s="3108" t="e">
        <v>#N/A</v>
      </c>
      <c r="K311" s="3102" t="e">
        <v>#N/A</v>
      </c>
      <c r="L311" s="3103" t="e">
        <v>#N/A</v>
      </c>
      <c r="M311" s="3103" t="e">
        <v>#N/A</v>
      </c>
      <c r="N311" s="3103" t="e">
        <v>#N/A</v>
      </c>
      <c r="O311" s="3103" t="e">
        <v>#N/A</v>
      </c>
      <c r="P311" s="3103" t="e">
        <v>#N/A</v>
      </c>
      <c r="Q311" s="3103" t="e">
        <v>#N/A</v>
      </c>
      <c r="R311" s="3103" t="e">
        <v>#N/A</v>
      </c>
      <c r="S311" s="3103" t="e">
        <v>#N/A</v>
      </c>
      <c r="T311" s="3104" t="e">
        <v>#N/A</v>
      </c>
    </row>
    <row r="312" spans="1:20">
      <c r="A312" s="329">
        <f t="shared" si="7"/>
        <v>2029.03</v>
      </c>
      <c r="B312" s="2592" t="e">
        <v>#N/A</v>
      </c>
      <c r="C312" s="3122" t="e">
        <f t="shared" si="8"/>
        <v>#N/A</v>
      </c>
      <c r="D312" s="2534" t="e">
        <v>#N/A</v>
      </c>
      <c r="E312" s="3106" t="e">
        <v>#N/A</v>
      </c>
      <c r="F312" s="3107" t="e">
        <v>#N/A</v>
      </c>
      <c r="G312" s="3107" t="e">
        <v>#N/A</v>
      </c>
      <c r="H312" s="3107" t="e">
        <v>#N/A</v>
      </c>
      <c r="I312" s="3107" t="e">
        <v>#N/A</v>
      </c>
      <c r="J312" s="3108" t="e">
        <v>#N/A</v>
      </c>
      <c r="K312" s="3102" t="e">
        <v>#N/A</v>
      </c>
      <c r="L312" s="3103" t="e">
        <v>#N/A</v>
      </c>
      <c r="M312" s="3103" t="e">
        <v>#N/A</v>
      </c>
      <c r="N312" s="3103" t="e">
        <v>#N/A</v>
      </c>
      <c r="O312" s="3103" t="e">
        <v>#N/A</v>
      </c>
      <c r="P312" s="3103" t="e">
        <v>#N/A</v>
      </c>
      <c r="Q312" s="3103" t="e">
        <v>#N/A</v>
      </c>
      <c r="R312" s="3103" t="e">
        <v>#N/A</v>
      </c>
      <c r="S312" s="3103" t="e">
        <v>#N/A</v>
      </c>
      <c r="T312" s="3104" t="e">
        <v>#N/A</v>
      </c>
    </row>
    <row r="313" spans="1:20">
      <c r="A313" s="329">
        <f t="shared" si="7"/>
        <v>2029.04</v>
      </c>
      <c r="B313" s="2592" t="e">
        <v>#N/A</v>
      </c>
      <c r="C313" s="3122" t="e">
        <f t="shared" si="8"/>
        <v>#N/A</v>
      </c>
      <c r="D313" s="2534" t="e">
        <v>#N/A</v>
      </c>
      <c r="E313" s="3106" t="e">
        <v>#N/A</v>
      </c>
      <c r="F313" s="3107" t="e">
        <v>#N/A</v>
      </c>
      <c r="G313" s="3107" t="e">
        <v>#N/A</v>
      </c>
      <c r="H313" s="3107" t="e">
        <v>#N/A</v>
      </c>
      <c r="I313" s="3107" t="e">
        <v>#N/A</v>
      </c>
      <c r="J313" s="3108" t="e">
        <v>#N/A</v>
      </c>
      <c r="K313" s="3102" t="e">
        <v>#N/A</v>
      </c>
      <c r="L313" s="3103" t="e">
        <v>#N/A</v>
      </c>
      <c r="M313" s="3103" t="e">
        <v>#N/A</v>
      </c>
      <c r="N313" s="3103" t="e">
        <v>#N/A</v>
      </c>
      <c r="O313" s="3103" t="e">
        <v>#N/A</v>
      </c>
      <c r="P313" s="3103" t="e">
        <v>#N/A</v>
      </c>
      <c r="Q313" s="3103" t="e">
        <v>#N/A</v>
      </c>
      <c r="R313" s="3103" t="e">
        <v>#N/A</v>
      </c>
      <c r="S313" s="3103" t="e">
        <v>#N/A</v>
      </c>
      <c r="T313" s="3104" t="e">
        <v>#N/A</v>
      </c>
    </row>
    <row r="314" spans="1:20">
      <c r="A314" s="329">
        <f t="shared" ref="A314:A333" si="9">A302+1</f>
        <v>2029.05</v>
      </c>
      <c r="B314" s="2592" t="e">
        <v>#N/A</v>
      </c>
      <c r="C314" s="3122" t="e">
        <f t="shared" si="8"/>
        <v>#N/A</v>
      </c>
      <c r="D314" s="2534" t="e">
        <v>#N/A</v>
      </c>
      <c r="E314" s="3106" t="e">
        <v>#N/A</v>
      </c>
      <c r="F314" s="3107" t="e">
        <v>#N/A</v>
      </c>
      <c r="G314" s="3107" t="e">
        <v>#N/A</v>
      </c>
      <c r="H314" s="3107" t="e">
        <v>#N/A</v>
      </c>
      <c r="I314" s="3107" t="e">
        <v>#N/A</v>
      </c>
      <c r="J314" s="3108" t="e">
        <v>#N/A</v>
      </c>
      <c r="K314" s="3102" t="e">
        <v>#N/A</v>
      </c>
      <c r="L314" s="3103" t="e">
        <v>#N/A</v>
      </c>
      <c r="M314" s="3103" t="e">
        <v>#N/A</v>
      </c>
      <c r="N314" s="3103" t="e">
        <v>#N/A</v>
      </c>
      <c r="O314" s="3103" t="e">
        <v>#N/A</v>
      </c>
      <c r="P314" s="3103" t="e">
        <v>#N/A</v>
      </c>
      <c r="Q314" s="3103" t="e">
        <v>#N/A</v>
      </c>
      <c r="R314" s="3103" t="e">
        <v>#N/A</v>
      </c>
      <c r="S314" s="3103" t="e">
        <v>#N/A</v>
      </c>
      <c r="T314" s="3104" t="e">
        <v>#N/A</v>
      </c>
    </row>
    <row r="315" spans="1:20">
      <c r="A315" s="329">
        <f t="shared" si="9"/>
        <v>2029.06</v>
      </c>
      <c r="B315" s="2592" t="e">
        <v>#N/A</v>
      </c>
      <c r="C315" s="3122" t="e">
        <f t="shared" si="8"/>
        <v>#N/A</v>
      </c>
      <c r="D315" s="2534" t="e">
        <v>#N/A</v>
      </c>
      <c r="E315" s="3106" t="e">
        <v>#N/A</v>
      </c>
      <c r="F315" s="3107" t="e">
        <v>#N/A</v>
      </c>
      <c r="G315" s="3107" t="e">
        <v>#N/A</v>
      </c>
      <c r="H315" s="3107" t="e">
        <v>#N/A</v>
      </c>
      <c r="I315" s="3107" t="e">
        <v>#N/A</v>
      </c>
      <c r="J315" s="3108" t="e">
        <v>#N/A</v>
      </c>
      <c r="K315" s="3102" t="e">
        <v>#N/A</v>
      </c>
      <c r="L315" s="3103" t="e">
        <v>#N/A</v>
      </c>
      <c r="M315" s="3103" t="e">
        <v>#N/A</v>
      </c>
      <c r="N315" s="3103" t="e">
        <v>#N/A</v>
      </c>
      <c r="O315" s="3103" t="e">
        <v>#N/A</v>
      </c>
      <c r="P315" s="3103" t="e">
        <v>#N/A</v>
      </c>
      <c r="Q315" s="3103" t="e">
        <v>#N/A</v>
      </c>
      <c r="R315" s="3103" t="e">
        <v>#N/A</v>
      </c>
      <c r="S315" s="3103" t="e">
        <v>#N/A</v>
      </c>
      <c r="T315" s="3104" t="e">
        <v>#N/A</v>
      </c>
    </row>
    <row r="316" spans="1:20">
      <c r="A316" s="329">
        <f t="shared" si="9"/>
        <v>2029.07</v>
      </c>
      <c r="B316" s="2592" t="e">
        <v>#N/A</v>
      </c>
      <c r="C316" s="3122" t="e">
        <f t="shared" si="8"/>
        <v>#N/A</v>
      </c>
      <c r="D316" s="2534" t="e">
        <v>#N/A</v>
      </c>
      <c r="E316" s="3106" t="e">
        <v>#N/A</v>
      </c>
      <c r="F316" s="3107" t="e">
        <v>#N/A</v>
      </c>
      <c r="G316" s="3107" t="e">
        <v>#N/A</v>
      </c>
      <c r="H316" s="3107" t="e">
        <v>#N/A</v>
      </c>
      <c r="I316" s="3107" t="e">
        <v>#N/A</v>
      </c>
      <c r="J316" s="3108" t="e">
        <v>#N/A</v>
      </c>
      <c r="K316" s="3102" t="e">
        <v>#N/A</v>
      </c>
      <c r="L316" s="3103" t="e">
        <v>#N/A</v>
      </c>
      <c r="M316" s="3103" t="e">
        <v>#N/A</v>
      </c>
      <c r="N316" s="3103" t="e">
        <v>#N/A</v>
      </c>
      <c r="O316" s="3103" t="e">
        <v>#N/A</v>
      </c>
      <c r="P316" s="3103" t="e">
        <v>#N/A</v>
      </c>
      <c r="Q316" s="3103" t="e">
        <v>#N/A</v>
      </c>
      <c r="R316" s="3103" t="e">
        <v>#N/A</v>
      </c>
      <c r="S316" s="3103" t="e">
        <v>#N/A</v>
      </c>
      <c r="T316" s="3104" t="e">
        <v>#N/A</v>
      </c>
    </row>
    <row r="317" spans="1:20">
      <c r="A317" s="329">
        <f t="shared" si="9"/>
        <v>2029.08</v>
      </c>
      <c r="B317" s="2592" t="e">
        <v>#N/A</v>
      </c>
      <c r="C317" s="3122" t="e">
        <f t="shared" si="8"/>
        <v>#N/A</v>
      </c>
      <c r="D317" s="2534" t="e">
        <v>#N/A</v>
      </c>
      <c r="E317" s="3106" t="e">
        <v>#N/A</v>
      </c>
      <c r="F317" s="3107" t="e">
        <v>#N/A</v>
      </c>
      <c r="G317" s="3107" t="e">
        <v>#N/A</v>
      </c>
      <c r="H317" s="3107" t="e">
        <v>#N/A</v>
      </c>
      <c r="I317" s="3107" t="e">
        <v>#N/A</v>
      </c>
      <c r="J317" s="3108" t="e">
        <v>#N/A</v>
      </c>
      <c r="K317" s="3102" t="e">
        <v>#N/A</v>
      </c>
      <c r="L317" s="3103" t="e">
        <v>#N/A</v>
      </c>
      <c r="M317" s="3103" t="e">
        <v>#N/A</v>
      </c>
      <c r="N317" s="3103" t="e">
        <v>#N/A</v>
      </c>
      <c r="O317" s="3103" t="e">
        <v>#N/A</v>
      </c>
      <c r="P317" s="3103" t="e">
        <v>#N/A</v>
      </c>
      <c r="Q317" s="3103" t="e">
        <v>#N/A</v>
      </c>
      <c r="R317" s="3103" t="e">
        <v>#N/A</v>
      </c>
      <c r="S317" s="3103" t="e">
        <v>#N/A</v>
      </c>
      <c r="T317" s="3104" t="e">
        <v>#N/A</v>
      </c>
    </row>
    <row r="318" spans="1:20">
      <c r="A318" s="329">
        <f t="shared" si="9"/>
        <v>2029.09</v>
      </c>
      <c r="B318" s="2592" t="e">
        <v>#N/A</v>
      </c>
      <c r="C318" s="3122" t="e">
        <f t="shared" si="8"/>
        <v>#N/A</v>
      </c>
      <c r="D318" s="2534" t="e">
        <v>#N/A</v>
      </c>
      <c r="E318" s="3106" t="e">
        <v>#N/A</v>
      </c>
      <c r="F318" s="3107" t="e">
        <v>#N/A</v>
      </c>
      <c r="G318" s="3107" t="e">
        <v>#N/A</v>
      </c>
      <c r="H318" s="3107" t="e">
        <v>#N/A</v>
      </c>
      <c r="I318" s="3107" t="e">
        <v>#N/A</v>
      </c>
      <c r="J318" s="3108" t="e">
        <v>#N/A</v>
      </c>
      <c r="K318" s="3102" t="e">
        <v>#N/A</v>
      </c>
      <c r="L318" s="3103" t="e">
        <v>#N/A</v>
      </c>
      <c r="M318" s="3103" t="e">
        <v>#N/A</v>
      </c>
      <c r="N318" s="3103" t="e">
        <v>#N/A</v>
      </c>
      <c r="O318" s="3103" t="e">
        <v>#N/A</v>
      </c>
      <c r="P318" s="3103" t="e">
        <v>#N/A</v>
      </c>
      <c r="Q318" s="3103" t="e">
        <v>#N/A</v>
      </c>
      <c r="R318" s="3103" t="e">
        <v>#N/A</v>
      </c>
      <c r="S318" s="3103" t="e">
        <v>#N/A</v>
      </c>
      <c r="T318" s="3104" t="e">
        <v>#N/A</v>
      </c>
    </row>
    <row r="319" spans="1:20">
      <c r="A319" s="329">
        <f t="shared" si="9"/>
        <v>2029.1</v>
      </c>
      <c r="B319" s="2592" t="e">
        <v>#N/A</v>
      </c>
      <c r="C319" s="3122" t="e">
        <f t="shared" si="8"/>
        <v>#N/A</v>
      </c>
      <c r="D319" s="2534" t="e">
        <v>#N/A</v>
      </c>
      <c r="E319" s="3106" t="e">
        <v>#N/A</v>
      </c>
      <c r="F319" s="3107" t="e">
        <v>#N/A</v>
      </c>
      <c r="G319" s="3107" t="e">
        <v>#N/A</v>
      </c>
      <c r="H319" s="3107" t="e">
        <v>#N/A</v>
      </c>
      <c r="I319" s="3107" t="e">
        <v>#N/A</v>
      </c>
      <c r="J319" s="3108" t="e">
        <v>#N/A</v>
      </c>
      <c r="K319" s="3102" t="e">
        <v>#N/A</v>
      </c>
      <c r="L319" s="3103" t="e">
        <v>#N/A</v>
      </c>
      <c r="M319" s="3103" t="e">
        <v>#N/A</v>
      </c>
      <c r="N319" s="3103" t="e">
        <v>#N/A</v>
      </c>
      <c r="O319" s="3103" t="e">
        <v>#N/A</v>
      </c>
      <c r="P319" s="3103" t="e">
        <v>#N/A</v>
      </c>
      <c r="Q319" s="3103" t="e">
        <v>#N/A</v>
      </c>
      <c r="R319" s="3103" t="e">
        <v>#N/A</v>
      </c>
      <c r="S319" s="3103" t="e">
        <v>#N/A</v>
      </c>
      <c r="T319" s="3104" t="e">
        <v>#N/A</v>
      </c>
    </row>
    <row r="320" spans="1:20">
      <c r="A320" s="329">
        <f t="shared" si="9"/>
        <v>2029.11</v>
      </c>
      <c r="B320" s="2592" t="e">
        <v>#N/A</v>
      </c>
      <c r="C320" s="3122" t="e">
        <f t="shared" si="8"/>
        <v>#N/A</v>
      </c>
      <c r="D320" s="2534" t="e">
        <v>#N/A</v>
      </c>
      <c r="E320" s="3106" t="e">
        <v>#N/A</v>
      </c>
      <c r="F320" s="3107" t="e">
        <v>#N/A</v>
      </c>
      <c r="G320" s="3107" t="e">
        <v>#N/A</v>
      </c>
      <c r="H320" s="3107" t="e">
        <v>#N/A</v>
      </c>
      <c r="I320" s="3107" t="e">
        <v>#N/A</v>
      </c>
      <c r="J320" s="3108" t="e">
        <v>#N/A</v>
      </c>
      <c r="K320" s="3102" t="e">
        <v>#N/A</v>
      </c>
      <c r="L320" s="3103" t="e">
        <v>#N/A</v>
      </c>
      <c r="M320" s="3103" t="e">
        <v>#N/A</v>
      </c>
      <c r="N320" s="3103" t="e">
        <v>#N/A</v>
      </c>
      <c r="O320" s="3103" t="e">
        <v>#N/A</v>
      </c>
      <c r="P320" s="3103" t="e">
        <v>#N/A</v>
      </c>
      <c r="Q320" s="3103" t="e">
        <v>#N/A</v>
      </c>
      <c r="R320" s="3103" t="e">
        <v>#N/A</v>
      </c>
      <c r="S320" s="3103" t="e">
        <v>#N/A</v>
      </c>
      <c r="T320" s="3104" t="e">
        <v>#N/A</v>
      </c>
    </row>
    <row r="321" spans="1:20">
      <c r="A321" s="329">
        <f t="shared" si="9"/>
        <v>2029.12</v>
      </c>
      <c r="B321" s="2592" t="e">
        <v>#N/A</v>
      </c>
      <c r="C321" s="3122" t="e">
        <f t="shared" si="8"/>
        <v>#N/A</v>
      </c>
      <c r="D321" s="2534" t="e">
        <v>#N/A</v>
      </c>
      <c r="E321" s="3106" t="e">
        <v>#N/A</v>
      </c>
      <c r="F321" s="3107" t="e">
        <v>#N/A</v>
      </c>
      <c r="G321" s="3107" t="e">
        <v>#N/A</v>
      </c>
      <c r="H321" s="3107" t="e">
        <v>#N/A</v>
      </c>
      <c r="I321" s="3107" t="e">
        <v>#N/A</v>
      </c>
      <c r="J321" s="3108" t="e">
        <v>#N/A</v>
      </c>
      <c r="K321" s="3102" t="e">
        <v>#N/A</v>
      </c>
      <c r="L321" s="3103" t="e">
        <v>#N/A</v>
      </c>
      <c r="M321" s="3103" t="e">
        <v>#N/A</v>
      </c>
      <c r="N321" s="3103" t="e">
        <v>#N/A</v>
      </c>
      <c r="O321" s="3103" t="e">
        <v>#N/A</v>
      </c>
      <c r="P321" s="3103" t="e">
        <v>#N/A</v>
      </c>
      <c r="Q321" s="3103" t="e">
        <v>#N/A</v>
      </c>
      <c r="R321" s="3103" t="e">
        <v>#N/A</v>
      </c>
      <c r="S321" s="3103" t="e">
        <v>#N/A</v>
      </c>
      <c r="T321" s="3104" t="e">
        <v>#N/A</v>
      </c>
    </row>
    <row r="322" spans="1:20">
      <c r="A322" s="329">
        <f t="shared" si="9"/>
        <v>2030.01</v>
      </c>
      <c r="B322" s="2592" t="e">
        <v>#N/A</v>
      </c>
      <c r="C322" s="3122" t="e">
        <f t="shared" si="8"/>
        <v>#N/A</v>
      </c>
      <c r="D322" s="2534" t="e">
        <v>#N/A</v>
      </c>
      <c r="E322" s="3106" t="e">
        <v>#N/A</v>
      </c>
      <c r="F322" s="3107" t="e">
        <v>#N/A</v>
      </c>
      <c r="G322" s="3107" t="e">
        <v>#N/A</v>
      </c>
      <c r="H322" s="3107" t="e">
        <v>#N/A</v>
      </c>
      <c r="I322" s="3107" t="e">
        <v>#N/A</v>
      </c>
      <c r="J322" s="3108" t="e">
        <v>#N/A</v>
      </c>
      <c r="K322" s="3102" t="e">
        <v>#N/A</v>
      </c>
      <c r="L322" s="3103" t="e">
        <v>#N/A</v>
      </c>
      <c r="M322" s="3103" t="e">
        <v>#N/A</v>
      </c>
      <c r="N322" s="3103" t="e">
        <v>#N/A</v>
      </c>
      <c r="O322" s="3103" t="e">
        <v>#N/A</v>
      </c>
      <c r="P322" s="3103" t="e">
        <v>#N/A</v>
      </c>
      <c r="Q322" s="3103" t="e">
        <v>#N/A</v>
      </c>
      <c r="R322" s="3103" t="e">
        <v>#N/A</v>
      </c>
      <c r="S322" s="3103" t="e">
        <v>#N/A</v>
      </c>
      <c r="T322" s="3104" t="e">
        <v>#N/A</v>
      </c>
    </row>
    <row r="323" spans="1:20">
      <c r="A323" s="329">
        <f t="shared" si="9"/>
        <v>2030.02</v>
      </c>
      <c r="B323" s="2592" t="e">
        <v>#N/A</v>
      </c>
      <c r="C323" s="3122" t="e">
        <f t="shared" si="8"/>
        <v>#N/A</v>
      </c>
      <c r="D323" s="2534" t="e">
        <v>#N/A</v>
      </c>
      <c r="E323" s="3106" t="e">
        <v>#N/A</v>
      </c>
      <c r="F323" s="3107" t="e">
        <v>#N/A</v>
      </c>
      <c r="G323" s="3107" t="e">
        <v>#N/A</v>
      </c>
      <c r="H323" s="3107" t="e">
        <v>#N/A</v>
      </c>
      <c r="I323" s="3107" t="e">
        <v>#N/A</v>
      </c>
      <c r="J323" s="3108" t="e">
        <v>#N/A</v>
      </c>
      <c r="K323" s="3102" t="e">
        <v>#N/A</v>
      </c>
      <c r="L323" s="3103" t="e">
        <v>#N/A</v>
      </c>
      <c r="M323" s="3103" t="e">
        <v>#N/A</v>
      </c>
      <c r="N323" s="3103" t="e">
        <v>#N/A</v>
      </c>
      <c r="O323" s="3103" t="e">
        <v>#N/A</v>
      </c>
      <c r="P323" s="3103" t="e">
        <v>#N/A</v>
      </c>
      <c r="Q323" s="3103" t="e">
        <v>#N/A</v>
      </c>
      <c r="R323" s="3103" t="e">
        <v>#N/A</v>
      </c>
      <c r="S323" s="3103" t="e">
        <v>#N/A</v>
      </c>
      <c r="T323" s="3104" t="e">
        <v>#N/A</v>
      </c>
    </row>
    <row r="324" spans="1:20">
      <c r="A324" s="329">
        <f t="shared" si="9"/>
        <v>2030.03</v>
      </c>
      <c r="B324" s="2592" t="e">
        <v>#N/A</v>
      </c>
      <c r="C324" s="3122" t="e">
        <f t="shared" si="8"/>
        <v>#N/A</v>
      </c>
      <c r="D324" s="2534" t="e">
        <v>#N/A</v>
      </c>
      <c r="E324" s="3106" t="e">
        <v>#N/A</v>
      </c>
      <c r="F324" s="3107" t="e">
        <v>#N/A</v>
      </c>
      <c r="G324" s="3107" t="e">
        <v>#N/A</v>
      </c>
      <c r="H324" s="3107" t="e">
        <v>#N/A</v>
      </c>
      <c r="I324" s="3107" t="e">
        <v>#N/A</v>
      </c>
      <c r="J324" s="3108" t="e">
        <v>#N/A</v>
      </c>
      <c r="K324" s="3102" t="e">
        <v>#N/A</v>
      </c>
      <c r="L324" s="3103" t="e">
        <v>#N/A</v>
      </c>
      <c r="M324" s="3103" t="e">
        <v>#N/A</v>
      </c>
      <c r="N324" s="3103" t="e">
        <v>#N/A</v>
      </c>
      <c r="O324" s="3103" t="e">
        <v>#N/A</v>
      </c>
      <c r="P324" s="3103" t="e">
        <v>#N/A</v>
      </c>
      <c r="Q324" s="3103" t="e">
        <v>#N/A</v>
      </c>
      <c r="R324" s="3103" t="e">
        <v>#N/A</v>
      </c>
      <c r="S324" s="3103" t="e">
        <v>#N/A</v>
      </c>
      <c r="T324" s="3104" t="e">
        <v>#N/A</v>
      </c>
    </row>
    <row r="325" spans="1:20">
      <c r="A325" s="329">
        <f t="shared" si="9"/>
        <v>2030.04</v>
      </c>
      <c r="B325" s="2592" t="e">
        <v>#N/A</v>
      </c>
      <c r="C325" s="3122" t="e">
        <f t="shared" si="8"/>
        <v>#N/A</v>
      </c>
      <c r="D325" s="2534" t="e">
        <v>#N/A</v>
      </c>
      <c r="E325" s="3106" t="e">
        <v>#N/A</v>
      </c>
      <c r="F325" s="3107" t="e">
        <v>#N/A</v>
      </c>
      <c r="G325" s="3107" t="e">
        <v>#N/A</v>
      </c>
      <c r="H325" s="3107" t="e">
        <v>#N/A</v>
      </c>
      <c r="I325" s="3107" t="e">
        <v>#N/A</v>
      </c>
      <c r="J325" s="3108" t="e">
        <v>#N/A</v>
      </c>
      <c r="K325" s="3102" t="e">
        <v>#N/A</v>
      </c>
      <c r="L325" s="3103" t="e">
        <v>#N/A</v>
      </c>
      <c r="M325" s="3103" t="e">
        <v>#N/A</v>
      </c>
      <c r="N325" s="3103" t="e">
        <v>#N/A</v>
      </c>
      <c r="O325" s="3103" t="e">
        <v>#N/A</v>
      </c>
      <c r="P325" s="3103" t="e">
        <v>#N/A</v>
      </c>
      <c r="Q325" s="3103" t="e">
        <v>#N/A</v>
      </c>
      <c r="R325" s="3103" t="e">
        <v>#N/A</v>
      </c>
      <c r="S325" s="3103" t="e">
        <v>#N/A</v>
      </c>
      <c r="T325" s="3104" t="e">
        <v>#N/A</v>
      </c>
    </row>
    <row r="326" spans="1:20">
      <c r="A326" s="329">
        <f t="shared" si="9"/>
        <v>2030.05</v>
      </c>
      <c r="B326" s="2592" t="e">
        <v>#N/A</v>
      </c>
      <c r="C326" s="3122" t="e">
        <f t="shared" si="8"/>
        <v>#N/A</v>
      </c>
      <c r="D326" s="2534" t="e">
        <v>#N/A</v>
      </c>
      <c r="E326" s="3106" t="e">
        <v>#N/A</v>
      </c>
      <c r="F326" s="3107" t="e">
        <v>#N/A</v>
      </c>
      <c r="G326" s="3107" t="e">
        <v>#N/A</v>
      </c>
      <c r="H326" s="3107" t="e">
        <v>#N/A</v>
      </c>
      <c r="I326" s="3107" t="e">
        <v>#N/A</v>
      </c>
      <c r="J326" s="3108" t="e">
        <v>#N/A</v>
      </c>
      <c r="K326" s="3102" t="e">
        <v>#N/A</v>
      </c>
      <c r="L326" s="3103" t="e">
        <v>#N/A</v>
      </c>
      <c r="M326" s="3103" t="e">
        <v>#N/A</v>
      </c>
      <c r="N326" s="3103" t="e">
        <v>#N/A</v>
      </c>
      <c r="O326" s="3103" t="e">
        <v>#N/A</v>
      </c>
      <c r="P326" s="3103" t="e">
        <v>#N/A</v>
      </c>
      <c r="Q326" s="3103" t="e">
        <v>#N/A</v>
      </c>
      <c r="R326" s="3103" t="e">
        <v>#N/A</v>
      </c>
      <c r="S326" s="3103" t="e">
        <v>#N/A</v>
      </c>
      <c r="T326" s="3104" t="e">
        <v>#N/A</v>
      </c>
    </row>
    <row r="327" spans="1:20">
      <c r="A327" s="329">
        <f t="shared" si="9"/>
        <v>2030.06</v>
      </c>
      <c r="B327" s="2592" t="e">
        <v>#N/A</v>
      </c>
      <c r="C327" s="3122" t="e">
        <f t="shared" si="8"/>
        <v>#N/A</v>
      </c>
      <c r="D327" s="2534" t="e">
        <v>#N/A</v>
      </c>
      <c r="E327" s="3106" t="e">
        <v>#N/A</v>
      </c>
      <c r="F327" s="3107" t="e">
        <v>#N/A</v>
      </c>
      <c r="G327" s="3107" t="e">
        <v>#N/A</v>
      </c>
      <c r="H327" s="3107" t="e">
        <v>#N/A</v>
      </c>
      <c r="I327" s="3107" t="e">
        <v>#N/A</v>
      </c>
      <c r="J327" s="3108" t="e">
        <v>#N/A</v>
      </c>
      <c r="K327" s="3102" t="e">
        <v>#N/A</v>
      </c>
      <c r="L327" s="3103" t="e">
        <v>#N/A</v>
      </c>
      <c r="M327" s="3103" t="e">
        <v>#N/A</v>
      </c>
      <c r="N327" s="3103" t="e">
        <v>#N/A</v>
      </c>
      <c r="O327" s="3103" t="e">
        <v>#N/A</v>
      </c>
      <c r="P327" s="3103" t="e">
        <v>#N/A</v>
      </c>
      <c r="Q327" s="3103" t="e">
        <v>#N/A</v>
      </c>
      <c r="R327" s="3103" t="e">
        <v>#N/A</v>
      </c>
      <c r="S327" s="3103" t="e">
        <v>#N/A</v>
      </c>
      <c r="T327" s="3104" t="e">
        <v>#N/A</v>
      </c>
    </row>
    <row r="328" spans="1:20">
      <c r="A328" s="329">
        <f t="shared" si="9"/>
        <v>2030.07</v>
      </c>
      <c r="B328" s="2592" t="e">
        <v>#N/A</v>
      </c>
      <c r="C328" s="3122" t="e">
        <f t="shared" si="8"/>
        <v>#N/A</v>
      </c>
      <c r="D328" s="2534" t="e">
        <v>#N/A</v>
      </c>
      <c r="E328" s="3106" t="e">
        <v>#N/A</v>
      </c>
      <c r="F328" s="3107" t="e">
        <v>#N/A</v>
      </c>
      <c r="G328" s="3107" t="e">
        <v>#N/A</v>
      </c>
      <c r="H328" s="3107" t="e">
        <v>#N/A</v>
      </c>
      <c r="I328" s="3107" t="e">
        <v>#N/A</v>
      </c>
      <c r="J328" s="3108" t="e">
        <v>#N/A</v>
      </c>
      <c r="K328" s="3102" t="e">
        <v>#N/A</v>
      </c>
      <c r="L328" s="3103" t="e">
        <v>#N/A</v>
      </c>
      <c r="M328" s="3103" t="e">
        <v>#N/A</v>
      </c>
      <c r="N328" s="3103" t="e">
        <v>#N/A</v>
      </c>
      <c r="O328" s="3103" t="e">
        <v>#N/A</v>
      </c>
      <c r="P328" s="3103" t="e">
        <v>#N/A</v>
      </c>
      <c r="Q328" s="3103" t="e">
        <v>#N/A</v>
      </c>
      <c r="R328" s="3103" t="e">
        <v>#N/A</v>
      </c>
      <c r="S328" s="3103" t="e">
        <v>#N/A</v>
      </c>
      <c r="T328" s="3104" t="e">
        <v>#N/A</v>
      </c>
    </row>
    <row r="329" spans="1:20">
      <c r="A329" s="329">
        <f t="shared" si="9"/>
        <v>2030.08</v>
      </c>
      <c r="B329" s="2592" t="e">
        <v>#N/A</v>
      </c>
      <c r="C329" s="3122" t="e">
        <f t="shared" si="8"/>
        <v>#N/A</v>
      </c>
      <c r="D329" s="2534" t="e">
        <v>#N/A</v>
      </c>
      <c r="E329" s="3106" t="e">
        <v>#N/A</v>
      </c>
      <c r="F329" s="3107" t="e">
        <v>#N/A</v>
      </c>
      <c r="G329" s="3107" t="e">
        <v>#N/A</v>
      </c>
      <c r="H329" s="3107" t="e">
        <v>#N/A</v>
      </c>
      <c r="I329" s="3107" t="e">
        <v>#N/A</v>
      </c>
      <c r="J329" s="3108" t="e">
        <v>#N/A</v>
      </c>
      <c r="K329" s="3102" t="e">
        <v>#N/A</v>
      </c>
      <c r="L329" s="3103" t="e">
        <v>#N/A</v>
      </c>
      <c r="M329" s="3103" t="e">
        <v>#N/A</v>
      </c>
      <c r="N329" s="3103" t="e">
        <v>#N/A</v>
      </c>
      <c r="O329" s="3103" t="e">
        <v>#N/A</v>
      </c>
      <c r="P329" s="3103" t="e">
        <v>#N/A</v>
      </c>
      <c r="Q329" s="3103" t="e">
        <v>#N/A</v>
      </c>
      <c r="R329" s="3103" t="e">
        <v>#N/A</v>
      </c>
      <c r="S329" s="3103" t="e">
        <v>#N/A</v>
      </c>
      <c r="T329" s="3104" t="e">
        <v>#N/A</v>
      </c>
    </row>
    <row r="330" spans="1:20">
      <c r="A330" s="329">
        <f t="shared" si="9"/>
        <v>2030.09</v>
      </c>
      <c r="B330" s="2592" t="e">
        <v>#N/A</v>
      </c>
      <c r="C330" s="3122" t="e">
        <f t="shared" si="8"/>
        <v>#N/A</v>
      </c>
      <c r="D330" s="2534" t="e">
        <v>#N/A</v>
      </c>
      <c r="E330" s="3106" t="e">
        <v>#N/A</v>
      </c>
      <c r="F330" s="3107" t="e">
        <v>#N/A</v>
      </c>
      <c r="G330" s="3107" t="e">
        <v>#N/A</v>
      </c>
      <c r="H330" s="3107" t="e">
        <v>#N/A</v>
      </c>
      <c r="I330" s="3107" t="e">
        <v>#N/A</v>
      </c>
      <c r="J330" s="3108" t="e">
        <v>#N/A</v>
      </c>
      <c r="K330" s="3102" t="e">
        <v>#N/A</v>
      </c>
      <c r="L330" s="3103" t="e">
        <v>#N/A</v>
      </c>
      <c r="M330" s="3103" t="e">
        <v>#N/A</v>
      </c>
      <c r="N330" s="3103" t="e">
        <v>#N/A</v>
      </c>
      <c r="O330" s="3103" t="e">
        <v>#N/A</v>
      </c>
      <c r="P330" s="3103" t="e">
        <v>#N/A</v>
      </c>
      <c r="Q330" s="3103" t="e">
        <v>#N/A</v>
      </c>
      <c r="R330" s="3103" t="e">
        <v>#N/A</v>
      </c>
      <c r="S330" s="3103" t="e">
        <v>#N/A</v>
      </c>
      <c r="T330" s="3104" t="e">
        <v>#N/A</v>
      </c>
    </row>
    <row r="331" spans="1:20">
      <c r="A331" s="329">
        <f t="shared" si="9"/>
        <v>2030.1</v>
      </c>
      <c r="B331" s="2592" t="e">
        <v>#N/A</v>
      </c>
      <c r="C331" s="3122" t="e">
        <f t="shared" si="8"/>
        <v>#N/A</v>
      </c>
      <c r="D331" s="2534" t="e">
        <v>#N/A</v>
      </c>
      <c r="E331" s="3106" t="e">
        <v>#N/A</v>
      </c>
      <c r="F331" s="3107" t="e">
        <v>#N/A</v>
      </c>
      <c r="G331" s="3107" t="e">
        <v>#N/A</v>
      </c>
      <c r="H331" s="3107" t="e">
        <v>#N/A</v>
      </c>
      <c r="I331" s="3107" t="e">
        <v>#N/A</v>
      </c>
      <c r="J331" s="3108" t="e">
        <v>#N/A</v>
      </c>
      <c r="K331" s="3102" t="e">
        <v>#N/A</v>
      </c>
      <c r="L331" s="3103" t="e">
        <v>#N/A</v>
      </c>
      <c r="M331" s="3103" t="e">
        <v>#N/A</v>
      </c>
      <c r="N331" s="3103" t="e">
        <v>#N/A</v>
      </c>
      <c r="O331" s="3103" t="e">
        <v>#N/A</v>
      </c>
      <c r="P331" s="3103" t="e">
        <v>#N/A</v>
      </c>
      <c r="Q331" s="3103" t="e">
        <v>#N/A</v>
      </c>
      <c r="R331" s="3103" t="e">
        <v>#N/A</v>
      </c>
      <c r="S331" s="3103" t="e">
        <v>#N/A</v>
      </c>
      <c r="T331" s="3104" t="e">
        <v>#N/A</v>
      </c>
    </row>
    <row r="332" spans="1:20">
      <c r="A332" s="329">
        <f t="shared" si="9"/>
        <v>2030.11</v>
      </c>
      <c r="B332" s="2592" t="e">
        <v>#N/A</v>
      </c>
      <c r="C332" s="3122" t="e">
        <f t="shared" si="8"/>
        <v>#N/A</v>
      </c>
      <c r="D332" s="2534" t="e">
        <v>#N/A</v>
      </c>
      <c r="E332" s="3106" t="e">
        <v>#N/A</v>
      </c>
      <c r="F332" s="3107" t="e">
        <v>#N/A</v>
      </c>
      <c r="G332" s="3107" t="e">
        <v>#N/A</v>
      </c>
      <c r="H332" s="3107" t="e">
        <v>#N/A</v>
      </c>
      <c r="I332" s="3107" t="e">
        <v>#N/A</v>
      </c>
      <c r="J332" s="3108" t="e">
        <v>#N/A</v>
      </c>
      <c r="K332" s="3102" t="e">
        <v>#N/A</v>
      </c>
      <c r="L332" s="3103" t="e">
        <v>#N/A</v>
      </c>
      <c r="M332" s="3103" t="e">
        <v>#N/A</v>
      </c>
      <c r="N332" s="3103" t="e">
        <v>#N/A</v>
      </c>
      <c r="O332" s="3103" t="e">
        <v>#N/A</v>
      </c>
      <c r="P332" s="3103" t="e">
        <v>#N/A</v>
      </c>
      <c r="Q332" s="3103" t="e">
        <v>#N/A</v>
      </c>
      <c r="R332" s="3103" t="e">
        <v>#N/A</v>
      </c>
      <c r="S332" s="3103" t="e">
        <v>#N/A</v>
      </c>
      <c r="T332" s="3104" t="e">
        <v>#N/A</v>
      </c>
    </row>
    <row r="333" spans="1:20">
      <c r="A333" s="329">
        <f t="shared" si="9"/>
        <v>2030.12</v>
      </c>
      <c r="B333" s="2592" t="e">
        <v>#N/A</v>
      </c>
      <c r="C333" s="3122" t="e">
        <f t="shared" ref="C333" si="10">B333/B332-1</f>
        <v>#N/A</v>
      </c>
      <c r="D333" s="2534" t="e">
        <v>#N/A</v>
      </c>
      <c r="E333" s="3106" t="e">
        <v>#N/A</v>
      </c>
      <c r="F333" s="3107" t="e">
        <v>#N/A</v>
      </c>
      <c r="G333" s="3107" t="e">
        <v>#N/A</v>
      </c>
      <c r="H333" s="3107" t="e">
        <v>#N/A</v>
      </c>
      <c r="I333" s="3107" t="e">
        <v>#N/A</v>
      </c>
      <c r="J333" s="3108" t="e">
        <v>#N/A</v>
      </c>
      <c r="K333" s="3102" t="e">
        <v>#N/A</v>
      </c>
      <c r="L333" s="3103" t="e">
        <v>#N/A</v>
      </c>
      <c r="M333" s="3103" t="e">
        <v>#N/A</v>
      </c>
      <c r="N333" s="3103" t="e">
        <v>#N/A</v>
      </c>
      <c r="O333" s="3103" t="e">
        <v>#N/A</v>
      </c>
      <c r="P333" s="3103" t="e">
        <v>#N/A</v>
      </c>
      <c r="Q333" s="3103" t="e">
        <v>#N/A</v>
      </c>
      <c r="R333" s="3103" t="e">
        <v>#N/A</v>
      </c>
      <c r="S333" s="3103" t="e">
        <v>#N/A</v>
      </c>
      <c r="T333" s="3104" t="e">
        <v>#N/A</v>
      </c>
    </row>
    <row r="334" spans="1:20">
      <c r="A334" s="329"/>
      <c r="B334" s="1"/>
      <c r="C334" s="1"/>
      <c r="D334" s="1"/>
    </row>
    <row r="335" spans="1:20">
      <c r="A335" s="1"/>
      <c r="B335" s="1"/>
      <c r="C335" s="1"/>
      <c r="D335" s="1"/>
    </row>
    <row r="336" spans="1:20">
      <c r="A336" s="1"/>
      <c r="B336" s="1"/>
      <c r="C336" s="1"/>
      <c r="D336" s="1"/>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sheetData>
  <phoneticPr fontId="58" type="noConversion"/>
  <hyperlinks>
    <hyperlink ref="A5" location="INDICE!A13" display="VOLVER AL INDICE" xr:uid="{F7F3F2B5-6693-4640-AC42-DBDFE0558E86}"/>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sheetPr>
  <dimension ref="A1:B453"/>
  <sheetViews>
    <sheetView zoomScale="110" zoomScaleNormal="110" workbookViewId="0">
      <pane xSplit="1" ySplit="9" topLeftCell="B10" activePane="bottomRight" state="frozen"/>
      <selection activeCell="Y299" sqref="Y299"/>
      <selection pane="topRight" activeCell="Y299" sqref="Y299"/>
      <selection pane="bottomLeft" activeCell="Y299" sqref="Y299"/>
      <selection pane="bottomRight" activeCell="BG26" sqref="BG26"/>
    </sheetView>
  </sheetViews>
  <sheetFormatPr baseColWidth="10" defaultColWidth="11.42578125" defaultRowHeight="12.75"/>
  <cols>
    <col min="1" max="1" width="11.42578125" style="2752"/>
    <col min="2" max="16384" width="11.42578125" style="2754"/>
  </cols>
  <sheetData>
    <row r="1" spans="1:1">
      <c r="A1" s="2753"/>
    </row>
    <row r="2" spans="1:1">
      <c r="A2" s="2755" t="s">
        <v>212</v>
      </c>
    </row>
    <row r="3" spans="1:1">
      <c r="A3" s="2756" t="s">
        <v>211</v>
      </c>
    </row>
    <row r="4" spans="1:1" ht="19.5" customHeight="1">
      <c r="A4" s="2757"/>
    </row>
    <row r="5" spans="1:1" ht="22.5">
      <c r="A5" s="2758" t="s">
        <v>213</v>
      </c>
    </row>
    <row r="6" spans="1:1" ht="3.75" customHeight="1">
      <c r="A6" s="2760"/>
    </row>
    <row r="7" spans="1:1" ht="22.5">
      <c r="A7" s="2761" t="s">
        <v>210</v>
      </c>
    </row>
    <row r="8" spans="1:1" ht="13.5" customHeight="1">
      <c r="A8" s="2762" t="s">
        <v>412</v>
      </c>
    </row>
    <row r="9" spans="1:1" ht="13.5" thickBot="1">
      <c r="A9" s="2763"/>
    </row>
    <row r="10" spans="1:1">
      <c r="A10" s="2764">
        <v>1994.01</v>
      </c>
    </row>
    <row r="11" spans="1:1">
      <c r="A11" s="2765">
        <v>1994.02</v>
      </c>
    </row>
    <row r="12" spans="1:1">
      <c r="A12" s="2765">
        <v>1994.03</v>
      </c>
    </row>
    <row r="13" spans="1:1">
      <c r="A13" s="2765">
        <v>1994.04</v>
      </c>
    </row>
    <row r="14" spans="1:1">
      <c r="A14" s="2765">
        <v>1994.05</v>
      </c>
    </row>
    <row r="15" spans="1:1">
      <c r="A15" s="2765">
        <v>1994.06</v>
      </c>
    </row>
    <row r="16" spans="1:1">
      <c r="A16" s="2765">
        <v>1994.07</v>
      </c>
    </row>
    <row r="17" spans="1:1">
      <c r="A17" s="2765">
        <v>1994.08</v>
      </c>
    </row>
    <row r="18" spans="1:1">
      <c r="A18" s="2765">
        <v>1994.09</v>
      </c>
    </row>
    <row r="19" spans="1:1">
      <c r="A19" s="2765">
        <v>1994.1</v>
      </c>
    </row>
    <row r="20" spans="1:1">
      <c r="A20" s="2765">
        <v>1994.11</v>
      </c>
    </row>
    <row r="21" spans="1:1">
      <c r="A21" s="2765">
        <v>1994.12</v>
      </c>
    </row>
    <row r="22" spans="1:1">
      <c r="A22" s="2765">
        <v>1995.01</v>
      </c>
    </row>
    <row r="23" spans="1:1">
      <c r="A23" s="2765">
        <v>1995.02</v>
      </c>
    </row>
    <row r="24" spans="1:1">
      <c r="A24" s="2765">
        <v>1995.03</v>
      </c>
    </row>
    <row r="25" spans="1:1">
      <c r="A25" s="2765">
        <v>1995.04</v>
      </c>
    </row>
    <row r="26" spans="1:1">
      <c r="A26" s="2765">
        <v>1995.05</v>
      </c>
    </row>
    <row r="27" spans="1:1">
      <c r="A27" s="2765">
        <v>1995.06</v>
      </c>
    </row>
    <row r="28" spans="1:1">
      <c r="A28" s="2765">
        <v>1995.07</v>
      </c>
    </row>
    <row r="29" spans="1:1">
      <c r="A29" s="2765">
        <v>1995.08</v>
      </c>
    </row>
    <row r="30" spans="1:1">
      <c r="A30" s="2765">
        <v>1995.09</v>
      </c>
    </row>
    <row r="31" spans="1:1">
      <c r="A31" s="2765">
        <v>1995.1</v>
      </c>
    </row>
    <row r="32" spans="1:1">
      <c r="A32" s="2765">
        <v>1995.11</v>
      </c>
    </row>
    <row r="33" spans="1:1">
      <c r="A33" s="2765">
        <v>1995.12</v>
      </c>
    </row>
    <row r="34" spans="1:1">
      <c r="A34" s="2765">
        <v>1996.01</v>
      </c>
    </row>
    <row r="35" spans="1:1">
      <c r="A35" s="2765">
        <v>1996.02</v>
      </c>
    </row>
    <row r="36" spans="1:1">
      <c r="A36" s="2765">
        <v>1996.03</v>
      </c>
    </row>
    <row r="37" spans="1:1">
      <c r="A37" s="2765">
        <v>1996.04</v>
      </c>
    </row>
    <row r="38" spans="1:1">
      <c r="A38" s="2765">
        <v>1996.05</v>
      </c>
    </row>
    <row r="39" spans="1:1">
      <c r="A39" s="2765">
        <v>1996.06</v>
      </c>
    </row>
    <row r="40" spans="1:1">
      <c r="A40" s="2765">
        <v>1996.07</v>
      </c>
    </row>
    <row r="41" spans="1:1">
      <c r="A41" s="2765">
        <v>1996.08</v>
      </c>
    </row>
    <row r="42" spans="1:1">
      <c r="A42" s="2765">
        <v>1996.09</v>
      </c>
    </row>
    <row r="43" spans="1:1">
      <c r="A43" s="2765">
        <v>1996.1</v>
      </c>
    </row>
    <row r="44" spans="1:1">
      <c r="A44" s="2765">
        <v>1996.11</v>
      </c>
    </row>
    <row r="45" spans="1:1">
      <c r="A45" s="2765">
        <v>1996.12</v>
      </c>
    </row>
    <row r="46" spans="1:1">
      <c r="A46" s="2765">
        <v>1997.01</v>
      </c>
    </row>
    <row r="47" spans="1:1">
      <c r="A47" s="2765">
        <v>1997.02</v>
      </c>
    </row>
    <row r="48" spans="1:1">
      <c r="A48" s="2765">
        <v>1997.03</v>
      </c>
    </row>
    <row r="49" spans="1:1">
      <c r="A49" s="2765">
        <v>1997.04</v>
      </c>
    </row>
    <row r="50" spans="1:1">
      <c r="A50" s="2765">
        <v>1997.05</v>
      </c>
    </row>
    <row r="51" spans="1:1">
      <c r="A51" s="2765">
        <v>1997.06</v>
      </c>
    </row>
    <row r="52" spans="1:1">
      <c r="A52" s="2765">
        <v>1997.07</v>
      </c>
    </row>
    <row r="53" spans="1:1">
      <c r="A53" s="2765">
        <v>1997.08</v>
      </c>
    </row>
    <row r="54" spans="1:1">
      <c r="A54" s="2765">
        <v>1997.09</v>
      </c>
    </row>
    <row r="55" spans="1:1">
      <c r="A55" s="2765">
        <v>1997.1</v>
      </c>
    </row>
    <row r="56" spans="1:1">
      <c r="A56" s="2765">
        <v>1997.11</v>
      </c>
    </row>
    <row r="57" spans="1:1">
      <c r="A57" s="2765">
        <v>1997.12</v>
      </c>
    </row>
    <row r="58" spans="1:1">
      <c r="A58" s="2765">
        <v>1998.01</v>
      </c>
    </row>
    <row r="59" spans="1:1">
      <c r="A59" s="2765">
        <v>1998.02</v>
      </c>
    </row>
    <row r="60" spans="1:1">
      <c r="A60" s="2765">
        <v>1998.03</v>
      </c>
    </row>
    <row r="61" spans="1:1">
      <c r="A61" s="2765">
        <v>1998.04</v>
      </c>
    </row>
    <row r="62" spans="1:1">
      <c r="A62" s="2765">
        <v>1998.05</v>
      </c>
    </row>
    <row r="63" spans="1:1">
      <c r="A63" s="2765">
        <v>1998.06</v>
      </c>
    </row>
    <row r="64" spans="1:1">
      <c r="A64" s="2765">
        <v>1998.07</v>
      </c>
    </row>
    <row r="65" spans="1:1">
      <c r="A65" s="2765">
        <v>1998.08</v>
      </c>
    </row>
    <row r="66" spans="1:1">
      <c r="A66" s="2765">
        <v>1998.09</v>
      </c>
    </row>
    <row r="67" spans="1:1">
      <c r="A67" s="2765">
        <v>1998.1</v>
      </c>
    </row>
    <row r="68" spans="1:1">
      <c r="A68" s="2765">
        <v>1998.11</v>
      </c>
    </row>
    <row r="69" spans="1:1">
      <c r="A69" s="2765">
        <v>1998.12</v>
      </c>
    </row>
    <row r="70" spans="1:1">
      <c r="A70" s="2765">
        <v>1999.01</v>
      </c>
    </row>
    <row r="71" spans="1:1">
      <c r="A71" s="2765">
        <v>1999.02</v>
      </c>
    </row>
    <row r="72" spans="1:1">
      <c r="A72" s="2765">
        <v>1999.03</v>
      </c>
    </row>
    <row r="73" spans="1:1">
      <c r="A73" s="2765">
        <v>1999.04</v>
      </c>
    </row>
    <row r="74" spans="1:1">
      <c r="A74" s="2765">
        <v>1999.05</v>
      </c>
    </row>
    <row r="75" spans="1:1">
      <c r="A75" s="2765">
        <v>1999.06</v>
      </c>
    </row>
    <row r="76" spans="1:1">
      <c r="A76" s="2765">
        <v>1999.07</v>
      </c>
    </row>
    <row r="77" spans="1:1">
      <c r="A77" s="2765">
        <v>1999.08</v>
      </c>
    </row>
    <row r="78" spans="1:1">
      <c r="A78" s="2765">
        <v>1999.09</v>
      </c>
    </row>
    <row r="79" spans="1:1">
      <c r="A79" s="2765">
        <v>1999.1</v>
      </c>
    </row>
    <row r="80" spans="1:1">
      <c r="A80" s="2765">
        <v>1999.11</v>
      </c>
    </row>
    <row r="81" spans="1:1">
      <c r="A81" s="2765">
        <v>1999.12</v>
      </c>
    </row>
    <row r="82" spans="1:1">
      <c r="A82" s="2765">
        <v>2000.01</v>
      </c>
    </row>
    <row r="83" spans="1:1">
      <c r="A83" s="2765">
        <v>2000.02</v>
      </c>
    </row>
    <row r="84" spans="1:1">
      <c r="A84" s="2765">
        <v>2000.03</v>
      </c>
    </row>
    <row r="85" spans="1:1">
      <c r="A85" s="2765">
        <v>2000.04</v>
      </c>
    </row>
    <row r="86" spans="1:1">
      <c r="A86" s="2765">
        <v>2000.05</v>
      </c>
    </row>
    <row r="87" spans="1:1">
      <c r="A87" s="2765">
        <v>2000.06</v>
      </c>
    </row>
    <row r="88" spans="1:1">
      <c r="A88" s="2765">
        <v>2000.07</v>
      </c>
    </row>
    <row r="89" spans="1:1">
      <c r="A89" s="2765">
        <v>2000.08</v>
      </c>
    </row>
    <row r="90" spans="1:1">
      <c r="A90" s="2765">
        <v>2000.09</v>
      </c>
    </row>
    <row r="91" spans="1:1">
      <c r="A91" s="2765">
        <v>2000.1</v>
      </c>
    </row>
    <row r="92" spans="1:1">
      <c r="A92" s="2765">
        <v>2000.11</v>
      </c>
    </row>
    <row r="93" spans="1:1">
      <c r="A93" s="2765">
        <v>2000.12</v>
      </c>
    </row>
    <row r="94" spans="1:1">
      <c r="A94" s="2765">
        <v>2001.01</v>
      </c>
    </row>
    <row r="95" spans="1:1">
      <c r="A95" s="2765">
        <v>2001.02</v>
      </c>
    </row>
    <row r="96" spans="1:1">
      <c r="A96" s="2765">
        <v>2001.03</v>
      </c>
    </row>
    <row r="97" spans="1:1">
      <c r="A97" s="2765">
        <v>2001.04</v>
      </c>
    </row>
    <row r="98" spans="1:1">
      <c r="A98" s="2765">
        <v>2001.05</v>
      </c>
    </row>
    <row r="99" spans="1:1">
      <c r="A99" s="2765">
        <v>2001.06</v>
      </c>
    </row>
    <row r="100" spans="1:1">
      <c r="A100" s="2765">
        <v>2001.07</v>
      </c>
    </row>
    <row r="101" spans="1:1">
      <c r="A101" s="2765">
        <v>2001.08</v>
      </c>
    </row>
    <row r="102" spans="1:1">
      <c r="A102" s="2765">
        <v>2001.09</v>
      </c>
    </row>
    <row r="103" spans="1:1">
      <c r="A103" s="2765">
        <v>2001.1</v>
      </c>
    </row>
    <row r="104" spans="1:1">
      <c r="A104" s="2765">
        <v>2001.11</v>
      </c>
    </row>
    <row r="105" spans="1:1">
      <c r="A105" s="2765">
        <v>2001.12</v>
      </c>
    </row>
    <row r="106" spans="1:1">
      <c r="A106" s="2765">
        <v>2002.01</v>
      </c>
    </row>
    <row r="107" spans="1:1">
      <c r="A107" s="2765">
        <v>2002.02</v>
      </c>
    </row>
    <row r="108" spans="1:1">
      <c r="A108" s="2765">
        <v>2002.03</v>
      </c>
    </row>
    <row r="109" spans="1:1">
      <c r="A109" s="2765">
        <v>2002.04</v>
      </c>
    </row>
    <row r="110" spans="1:1">
      <c r="A110" s="2765">
        <v>2002.05</v>
      </c>
    </row>
    <row r="111" spans="1:1">
      <c r="A111" s="2765">
        <v>2002.06</v>
      </c>
    </row>
    <row r="112" spans="1:1">
      <c r="A112" s="2765">
        <v>2002.07</v>
      </c>
    </row>
    <row r="113" spans="1:1">
      <c r="A113" s="2765">
        <v>2002.08</v>
      </c>
    </row>
    <row r="114" spans="1:1">
      <c r="A114" s="2765">
        <v>2002.09</v>
      </c>
    </row>
    <row r="115" spans="1:1">
      <c r="A115" s="2765">
        <v>2002.1</v>
      </c>
    </row>
    <row r="116" spans="1:1">
      <c r="A116" s="2765">
        <v>2002.11</v>
      </c>
    </row>
    <row r="117" spans="1:1">
      <c r="A117" s="2765">
        <v>2002.12</v>
      </c>
    </row>
    <row r="118" spans="1:1">
      <c r="A118" s="2765">
        <v>2003.01</v>
      </c>
    </row>
    <row r="119" spans="1:1">
      <c r="A119" s="2765">
        <v>2003.02</v>
      </c>
    </row>
    <row r="120" spans="1:1">
      <c r="A120" s="2765">
        <v>2003.03</v>
      </c>
    </row>
    <row r="121" spans="1:1">
      <c r="A121" s="2765">
        <v>2003.04</v>
      </c>
    </row>
    <row r="122" spans="1:1">
      <c r="A122" s="2765">
        <v>2003.05</v>
      </c>
    </row>
    <row r="123" spans="1:1">
      <c r="A123" s="2765">
        <v>2003.06</v>
      </c>
    </row>
    <row r="124" spans="1:1">
      <c r="A124" s="2765">
        <v>2003.07</v>
      </c>
    </row>
    <row r="125" spans="1:1">
      <c r="A125" s="2765">
        <v>2003.08</v>
      </c>
    </row>
    <row r="126" spans="1:1">
      <c r="A126" s="2765">
        <v>2003.09</v>
      </c>
    </row>
    <row r="127" spans="1:1">
      <c r="A127" s="2765">
        <v>2003.1</v>
      </c>
    </row>
    <row r="128" spans="1:1">
      <c r="A128" s="2765">
        <v>2003.11</v>
      </c>
    </row>
    <row r="129" spans="1:1">
      <c r="A129" s="2765">
        <v>2003.12</v>
      </c>
    </row>
    <row r="130" spans="1:1">
      <c r="A130" s="2765">
        <v>2004.01</v>
      </c>
    </row>
    <row r="131" spans="1:1">
      <c r="A131" s="2765">
        <v>2004.02</v>
      </c>
    </row>
    <row r="132" spans="1:1">
      <c r="A132" s="2765">
        <v>2004.03</v>
      </c>
    </row>
    <row r="133" spans="1:1">
      <c r="A133" s="2765">
        <v>2004.04</v>
      </c>
    </row>
    <row r="134" spans="1:1">
      <c r="A134" s="2765">
        <v>2004.05</v>
      </c>
    </row>
    <row r="135" spans="1:1">
      <c r="A135" s="2765">
        <v>2004.06</v>
      </c>
    </row>
    <row r="136" spans="1:1">
      <c r="A136" s="2765">
        <v>2004.07</v>
      </c>
    </row>
    <row r="137" spans="1:1">
      <c r="A137" s="2765">
        <v>2004.08</v>
      </c>
    </row>
    <row r="138" spans="1:1">
      <c r="A138" s="2765">
        <v>2004.09</v>
      </c>
    </row>
    <row r="139" spans="1:1">
      <c r="A139" s="2765">
        <v>2004.1</v>
      </c>
    </row>
    <row r="140" spans="1:1">
      <c r="A140" s="2765">
        <v>2004.11</v>
      </c>
    </row>
    <row r="141" spans="1:1">
      <c r="A141" s="2765">
        <v>2004.12</v>
      </c>
    </row>
    <row r="142" spans="1:1">
      <c r="A142" s="2765">
        <v>2005.01</v>
      </c>
    </row>
    <row r="143" spans="1:1">
      <c r="A143" s="2765">
        <v>2005.02</v>
      </c>
    </row>
    <row r="144" spans="1:1">
      <c r="A144" s="2765">
        <v>2005.03</v>
      </c>
    </row>
    <row r="145" spans="1:1">
      <c r="A145" s="2765">
        <v>2005.04</v>
      </c>
    </row>
    <row r="146" spans="1:1">
      <c r="A146" s="2765">
        <v>2005.05</v>
      </c>
    </row>
    <row r="147" spans="1:1">
      <c r="A147" s="2765">
        <v>2005.06</v>
      </c>
    </row>
    <row r="148" spans="1:1">
      <c r="A148" s="2765">
        <v>2005.07</v>
      </c>
    </row>
    <row r="149" spans="1:1">
      <c r="A149" s="2765">
        <v>2005.08</v>
      </c>
    </row>
    <row r="150" spans="1:1">
      <c r="A150" s="2765">
        <v>2005.09</v>
      </c>
    </row>
    <row r="151" spans="1:1">
      <c r="A151" s="2765">
        <v>2005.1</v>
      </c>
    </row>
    <row r="152" spans="1:1">
      <c r="A152" s="2765">
        <v>2005.11</v>
      </c>
    </row>
    <row r="153" spans="1:1">
      <c r="A153" s="2765">
        <v>2005.12</v>
      </c>
    </row>
    <row r="154" spans="1:1">
      <c r="A154" s="2765">
        <v>2006.01</v>
      </c>
    </row>
    <row r="155" spans="1:1">
      <c r="A155" s="2765">
        <v>2006.02</v>
      </c>
    </row>
    <row r="156" spans="1:1">
      <c r="A156" s="2765">
        <v>2006.03</v>
      </c>
    </row>
    <row r="157" spans="1:1">
      <c r="A157" s="2765">
        <v>2006.04</v>
      </c>
    </row>
    <row r="158" spans="1:1">
      <c r="A158" s="2765">
        <v>2006.05</v>
      </c>
    </row>
    <row r="159" spans="1:1">
      <c r="A159" s="2765">
        <v>2006.06</v>
      </c>
    </row>
    <row r="160" spans="1:1">
      <c r="A160" s="2765">
        <v>2006.07</v>
      </c>
    </row>
    <row r="161" spans="1:1">
      <c r="A161" s="2765">
        <v>2006.08</v>
      </c>
    </row>
    <row r="162" spans="1:1">
      <c r="A162" s="2765">
        <v>2006.09</v>
      </c>
    </row>
    <row r="163" spans="1:1">
      <c r="A163" s="2765">
        <v>2006.1</v>
      </c>
    </row>
    <row r="164" spans="1:1">
      <c r="A164" s="2765">
        <v>2006.11</v>
      </c>
    </row>
    <row r="165" spans="1:1">
      <c r="A165" s="2765">
        <v>2006.12</v>
      </c>
    </row>
    <row r="166" spans="1:1">
      <c r="A166" s="2765">
        <v>2007.01</v>
      </c>
    </row>
    <row r="167" spans="1:1">
      <c r="A167" s="2765">
        <v>2007.02</v>
      </c>
    </row>
    <row r="168" spans="1:1">
      <c r="A168" s="2765">
        <v>2007.03</v>
      </c>
    </row>
    <row r="169" spans="1:1">
      <c r="A169" s="2765">
        <v>2007.04</v>
      </c>
    </row>
    <row r="170" spans="1:1">
      <c r="A170" s="2765">
        <v>2007.05</v>
      </c>
    </row>
    <row r="171" spans="1:1">
      <c r="A171" s="2765">
        <v>2007.06</v>
      </c>
    </row>
    <row r="172" spans="1:1">
      <c r="A172" s="2765">
        <v>2007.07</v>
      </c>
    </row>
    <row r="173" spans="1:1">
      <c r="A173" s="2765">
        <v>2007.08</v>
      </c>
    </row>
    <row r="174" spans="1:1">
      <c r="A174" s="2765">
        <v>2007.09</v>
      </c>
    </row>
    <row r="175" spans="1:1">
      <c r="A175" s="2765">
        <v>2007.1</v>
      </c>
    </row>
    <row r="176" spans="1:1">
      <c r="A176" s="2765">
        <v>2007.11</v>
      </c>
    </row>
    <row r="177" spans="1:1">
      <c r="A177" s="2765">
        <v>2007.12</v>
      </c>
    </row>
    <row r="178" spans="1:1">
      <c r="A178" s="2765">
        <f t="shared" ref="A178:A241" si="0">A166+1</f>
        <v>2008.01</v>
      </c>
    </row>
    <row r="179" spans="1:1">
      <c r="A179" s="2765">
        <f t="shared" si="0"/>
        <v>2008.02</v>
      </c>
    </row>
    <row r="180" spans="1:1">
      <c r="A180" s="2765">
        <f t="shared" si="0"/>
        <v>2008.03</v>
      </c>
    </row>
    <row r="181" spans="1:1">
      <c r="A181" s="2765">
        <f t="shared" si="0"/>
        <v>2008.04</v>
      </c>
    </row>
    <row r="182" spans="1:1">
      <c r="A182" s="2765">
        <f t="shared" si="0"/>
        <v>2008.05</v>
      </c>
    </row>
    <row r="183" spans="1:1">
      <c r="A183" s="2765">
        <f t="shared" si="0"/>
        <v>2008.06</v>
      </c>
    </row>
    <row r="184" spans="1:1">
      <c r="A184" s="2765">
        <f t="shared" si="0"/>
        <v>2008.07</v>
      </c>
    </row>
    <row r="185" spans="1:1">
      <c r="A185" s="2765">
        <f t="shared" si="0"/>
        <v>2008.08</v>
      </c>
    </row>
    <row r="186" spans="1:1">
      <c r="A186" s="2765">
        <f t="shared" si="0"/>
        <v>2008.09</v>
      </c>
    </row>
    <row r="187" spans="1:1">
      <c r="A187" s="2765">
        <f t="shared" si="0"/>
        <v>2008.1</v>
      </c>
    </row>
    <row r="188" spans="1:1">
      <c r="A188" s="2765">
        <f t="shared" si="0"/>
        <v>2008.11</v>
      </c>
    </row>
    <row r="189" spans="1:1">
      <c r="A189" s="2765">
        <f t="shared" si="0"/>
        <v>2008.12</v>
      </c>
    </row>
    <row r="190" spans="1:1">
      <c r="A190" s="2765">
        <f t="shared" si="0"/>
        <v>2009.01</v>
      </c>
    </row>
    <row r="191" spans="1:1">
      <c r="A191" s="2765">
        <f t="shared" si="0"/>
        <v>2009.02</v>
      </c>
    </row>
    <row r="192" spans="1:1">
      <c r="A192" s="2765">
        <f t="shared" si="0"/>
        <v>2009.03</v>
      </c>
    </row>
    <row r="193" spans="1:1">
      <c r="A193" s="2765">
        <f t="shared" si="0"/>
        <v>2009.04</v>
      </c>
    </row>
    <row r="194" spans="1:1">
      <c r="A194" s="2765">
        <f t="shared" si="0"/>
        <v>2009.05</v>
      </c>
    </row>
    <row r="195" spans="1:1">
      <c r="A195" s="2765">
        <f t="shared" si="0"/>
        <v>2009.06</v>
      </c>
    </row>
    <row r="196" spans="1:1">
      <c r="A196" s="2765">
        <f t="shared" si="0"/>
        <v>2009.07</v>
      </c>
    </row>
    <row r="197" spans="1:1">
      <c r="A197" s="2765">
        <f t="shared" si="0"/>
        <v>2009.08</v>
      </c>
    </row>
    <row r="198" spans="1:1">
      <c r="A198" s="2765">
        <f t="shared" si="0"/>
        <v>2009.09</v>
      </c>
    </row>
    <row r="199" spans="1:1">
      <c r="A199" s="2765">
        <f t="shared" si="0"/>
        <v>2009.1</v>
      </c>
    </row>
    <row r="200" spans="1:1">
      <c r="A200" s="2765">
        <f t="shared" si="0"/>
        <v>2009.11</v>
      </c>
    </row>
    <row r="201" spans="1:1">
      <c r="A201" s="2765">
        <f t="shared" si="0"/>
        <v>2009.12</v>
      </c>
    </row>
    <row r="202" spans="1:1">
      <c r="A202" s="2765">
        <f t="shared" si="0"/>
        <v>2010.01</v>
      </c>
    </row>
    <row r="203" spans="1:1">
      <c r="A203" s="2765">
        <f t="shared" si="0"/>
        <v>2010.02</v>
      </c>
    </row>
    <row r="204" spans="1:1">
      <c r="A204" s="2765">
        <f t="shared" si="0"/>
        <v>2010.03</v>
      </c>
    </row>
    <row r="205" spans="1:1">
      <c r="A205" s="2765">
        <f t="shared" si="0"/>
        <v>2010.04</v>
      </c>
    </row>
    <row r="206" spans="1:1">
      <c r="A206" s="2765">
        <f t="shared" si="0"/>
        <v>2010.05</v>
      </c>
    </row>
    <row r="207" spans="1:1">
      <c r="A207" s="2765">
        <f t="shared" si="0"/>
        <v>2010.06</v>
      </c>
    </row>
    <row r="208" spans="1:1">
      <c r="A208" s="2765">
        <f t="shared" si="0"/>
        <v>2010.07</v>
      </c>
    </row>
    <row r="209" spans="1:1">
      <c r="A209" s="2765">
        <f t="shared" si="0"/>
        <v>2010.08</v>
      </c>
    </row>
    <row r="210" spans="1:1">
      <c r="A210" s="2765">
        <f t="shared" si="0"/>
        <v>2010.09</v>
      </c>
    </row>
    <row r="211" spans="1:1">
      <c r="A211" s="2765">
        <f t="shared" si="0"/>
        <v>2010.1</v>
      </c>
    </row>
    <row r="212" spans="1:1">
      <c r="A212" s="2765">
        <f t="shared" si="0"/>
        <v>2010.11</v>
      </c>
    </row>
    <row r="213" spans="1:1">
      <c r="A213" s="2765">
        <f t="shared" si="0"/>
        <v>2010.12</v>
      </c>
    </row>
    <row r="214" spans="1:1">
      <c r="A214" s="2765">
        <f t="shared" si="0"/>
        <v>2011.01</v>
      </c>
    </row>
    <row r="215" spans="1:1">
      <c r="A215" s="2765">
        <f t="shared" si="0"/>
        <v>2011.02</v>
      </c>
    </row>
    <row r="216" spans="1:1">
      <c r="A216" s="2765">
        <f t="shared" si="0"/>
        <v>2011.03</v>
      </c>
    </row>
    <row r="217" spans="1:1">
      <c r="A217" s="2765">
        <f t="shared" si="0"/>
        <v>2011.04</v>
      </c>
    </row>
    <row r="218" spans="1:1">
      <c r="A218" s="2765">
        <f t="shared" si="0"/>
        <v>2011.05</v>
      </c>
    </row>
    <row r="219" spans="1:1">
      <c r="A219" s="2765">
        <f t="shared" si="0"/>
        <v>2011.06</v>
      </c>
    </row>
    <row r="220" spans="1:1">
      <c r="A220" s="2765">
        <f t="shared" si="0"/>
        <v>2011.07</v>
      </c>
    </row>
    <row r="221" spans="1:1">
      <c r="A221" s="2765">
        <f t="shared" si="0"/>
        <v>2011.08</v>
      </c>
    </row>
    <row r="222" spans="1:1">
      <c r="A222" s="2765">
        <f t="shared" si="0"/>
        <v>2011.09</v>
      </c>
    </row>
    <row r="223" spans="1:1">
      <c r="A223" s="2765">
        <f t="shared" si="0"/>
        <v>2011.1</v>
      </c>
    </row>
    <row r="224" spans="1:1">
      <c r="A224" s="2765">
        <f t="shared" si="0"/>
        <v>2011.11</v>
      </c>
    </row>
    <row r="225" spans="1:1">
      <c r="A225" s="2765">
        <f t="shared" si="0"/>
        <v>2011.12</v>
      </c>
    </row>
    <row r="226" spans="1:1">
      <c r="A226" s="2765">
        <f t="shared" si="0"/>
        <v>2012.01</v>
      </c>
    </row>
    <row r="227" spans="1:1">
      <c r="A227" s="2765">
        <f t="shared" si="0"/>
        <v>2012.02</v>
      </c>
    </row>
    <row r="228" spans="1:1">
      <c r="A228" s="2765">
        <f t="shared" si="0"/>
        <v>2012.03</v>
      </c>
    </row>
    <row r="229" spans="1:1">
      <c r="A229" s="2765">
        <f t="shared" si="0"/>
        <v>2012.04</v>
      </c>
    </row>
    <row r="230" spans="1:1">
      <c r="A230" s="2765">
        <f t="shared" si="0"/>
        <v>2012.05</v>
      </c>
    </row>
    <row r="231" spans="1:1">
      <c r="A231" s="2765">
        <f t="shared" si="0"/>
        <v>2012.06</v>
      </c>
    </row>
    <row r="232" spans="1:1">
      <c r="A232" s="2765">
        <f t="shared" si="0"/>
        <v>2012.07</v>
      </c>
    </row>
    <row r="233" spans="1:1">
      <c r="A233" s="2765">
        <f t="shared" si="0"/>
        <v>2012.08</v>
      </c>
    </row>
    <row r="234" spans="1:1">
      <c r="A234" s="2765">
        <f t="shared" si="0"/>
        <v>2012.09</v>
      </c>
    </row>
    <row r="235" spans="1:1">
      <c r="A235" s="2765">
        <f t="shared" si="0"/>
        <v>2012.1</v>
      </c>
    </row>
    <row r="236" spans="1:1">
      <c r="A236" s="2765">
        <f t="shared" si="0"/>
        <v>2012.11</v>
      </c>
    </row>
    <row r="237" spans="1:1">
      <c r="A237" s="2765">
        <f t="shared" si="0"/>
        <v>2012.12</v>
      </c>
    </row>
    <row r="238" spans="1:1">
      <c r="A238" s="2765">
        <f t="shared" si="0"/>
        <v>2013.01</v>
      </c>
    </row>
    <row r="239" spans="1:1">
      <c r="A239" s="2765">
        <f t="shared" si="0"/>
        <v>2013.02</v>
      </c>
    </row>
    <row r="240" spans="1:1">
      <c r="A240" s="2765">
        <f t="shared" si="0"/>
        <v>2013.03</v>
      </c>
    </row>
    <row r="241" spans="1:1">
      <c r="A241" s="2765">
        <f t="shared" si="0"/>
        <v>2013.04</v>
      </c>
    </row>
    <row r="242" spans="1:1">
      <c r="A242" s="2765">
        <f t="shared" ref="A242:A305" si="1">A230+1</f>
        <v>2013.05</v>
      </c>
    </row>
    <row r="243" spans="1:1">
      <c r="A243" s="2765">
        <f t="shared" si="1"/>
        <v>2013.06</v>
      </c>
    </row>
    <row r="244" spans="1:1">
      <c r="A244" s="2765">
        <f t="shared" si="1"/>
        <v>2013.07</v>
      </c>
    </row>
    <row r="245" spans="1:1">
      <c r="A245" s="2765">
        <f t="shared" si="1"/>
        <v>2013.08</v>
      </c>
    </row>
    <row r="246" spans="1:1">
      <c r="A246" s="2765">
        <f t="shared" si="1"/>
        <v>2013.09</v>
      </c>
    </row>
    <row r="247" spans="1:1">
      <c r="A247" s="2765">
        <f t="shared" si="1"/>
        <v>2013.1</v>
      </c>
    </row>
    <row r="248" spans="1:1">
      <c r="A248" s="2765">
        <f t="shared" si="1"/>
        <v>2013.11</v>
      </c>
    </row>
    <row r="249" spans="1:1">
      <c r="A249" s="2765">
        <f t="shared" si="1"/>
        <v>2013.12</v>
      </c>
    </row>
    <row r="250" spans="1:1">
      <c r="A250" s="2765">
        <f t="shared" si="1"/>
        <v>2014.01</v>
      </c>
    </row>
    <row r="251" spans="1:1">
      <c r="A251" s="2765">
        <f t="shared" si="1"/>
        <v>2014.02</v>
      </c>
    </row>
    <row r="252" spans="1:1">
      <c r="A252" s="2765">
        <f t="shared" si="1"/>
        <v>2014.03</v>
      </c>
    </row>
    <row r="253" spans="1:1">
      <c r="A253" s="2765">
        <f t="shared" si="1"/>
        <v>2014.04</v>
      </c>
    </row>
    <row r="254" spans="1:1">
      <c r="A254" s="2765">
        <f t="shared" si="1"/>
        <v>2014.05</v>
      </c>
    </row>
    <row r="255" spans="1:1">
      <c r="A255" s="2765">
        <f t="shared" si="1"/>
        <v>2014.06</v>
      </c>
    </row>
    <row r="256" spans="1:1">
      <c r="A256" s="2765">
        <f t="shared" si="1"/>
        <v>2014.07</v>
      </c>
    </row>
    <row r="257" spans="1:2">
      <c r="A257" s="2765">
        <f t="shared" si="1"/>
        <v>2014.08</v>
      </c>
    </row>
    <row r="258" spans="1:2">
      <c r="A258" s="2765">
        <f t="shared" si="1"/>
        <v>2014.09</v>
      </c>
    </row>
    <row r="259" spans="1:2">
      <c r="A259" s="2765">
        <f t="shared" si="1"/>
        <v>2014.1</v>
      </c>
    </row>
    <row r="260" spans="1:2">
      <c r="A260" s="2765">
        <f t="shared" si="1"/>
        <v>2014.11</v>
      </c>
    </row>
    <row r="261" spans="1:2">
      <c r="A261" s="2765">
        <f t="shared" si="1"/>
        <v>2014.12</v>
      </c>
    </row>
    <row r="262" spans="1:2">
      <c r="A262" s="2765">
        <f t="shared" si="1"/>
        <v>2015.01</v>
      </c>
    </row>
    <row r="263" spans="1:2">
      <c r="A263" s="2765">
        <f t="shared" si="1"/>
        <v>2015.02</v>
      </c>
    </row>
    <row r="264" spans="1:2">
      <c r="A264" s="2765">
        <f t="shared" si="1"/>
        <v>2015.03</v>
      </c>
      <c r="B264" s="2766"/>
    </row>
    <row r="265" spans="1:2">
      <c r="A265" s="2765">
        <f t="shared" si="1"/>
        <v>2015.04</v>
      </c>
    </row>
    <row r="266" spans="1:2">
      <c r="A266" s="2765">
        <f t="shared" si="1"/>
        <v>2015.05</v>
      </c>
    </row>
    <row r="267" spans="1:2">
      <c r="A267" s="2765">
        <f t="shared" si="1"/>
        <v>2015.06</v>
      </c>
    </row>
    <row r="268" spans="1:2">
      <c r="A268" s="2765">
        <f t="shared" si="1"/>
        <v>2015.07</v>
      </c>
    </row>
    <row r="269" spans="1:2">
      <c r="A269" s="2765">
        <f t="shared" si="1"/>
        <v>2015.08</v>
      </c>
    </row>
    <row r="270" spans="1:2">
      <c r="A270" s="2765">
        <f t="shared" si="1"/>
        <v>2015.09</v>
      </c>
    </row>
    <row r="271" spans="1:2">
      <c r="A271" s="2765">
        <f t="shared" si="1"/>
        <v>2015.1</v>
      </c>
    </row>
    <row r="272" spans="1:2">
      <c r="A272" s="2765">
        <f t="shared" si="1"/>
        <v>2015.11</v>
      </c>
    </row>
    <row r="273" spans="1:1">
      <c r="A273" s="2765">
        <f t="shared" si="1"/>
        <v>2015.12</v>
      </c>
    </row>
    <row r="274" spans="1:1">
      <c r="A274" s="2765">
        <f t="shared" si="1"/>
        <v>2016.01</v>
      </c>
    </row>
    <row r="275" spans="1:1">
      <c r="A275" s="2765">
        <f t="shared" si="1"/>
        <v>2016.02</v>
      </c>
    </row>
    <row r="276" spans="1:1">
      <c r="A276" s="2765">
        <f t="shared" si="1"/>
        <v>2016.03</v>
      </c>
    </row>
    <row r="277" spans="1:1">
      <c r="A277" s="2765">
        <f t="shared" si="1"/>
        <v>2016.04</v>
      </c>
    </row>
    <row r="278" spans="1:1">
      <c r="A278" s="2765">
        <f t="shared" si="1"/>
        <v>2016.05</v>
      </c>
    </row>
    <row r="279" spans="1:1">
      <c r="A279" s="2765">
        <f t="shared" si="1"/>
        <v>2016.06</v>
      </c>
    </row>
    <row r="280" spans="1:1">
      <c r="A280" s="2765">
        <f t="shared" si="1"/>
        <v>2016.07</v>
      </c>
    </row>
    <row r="281" spans="1:1">
      <c r="A281" s="2765">
        <f t="shared" si="1"/>
        <v>2016.08</v>
      </c>
    </row>
    <row r="282" spans="1:1">
      <c r="A282" s="2765">
        <f t="shared" si="1"/>
        <v>2016.09</v>
      </c>
    </row>
    <row r="283" spans="1:1">
      <c r="A283" s="2765">
        <f t="shared" si="1"/>
        <v>2016.1</v>
      </c>
    </row>
    <row r="284" spans="1:1">
      <c r="A284" s="2765">
        <f t="shared" si="1"/>
        <v>2016.11</v>
      </c>
    </row>
    <row r="285" spans="1:1">
      <c r="A285" s="2765">
        <f t="shared" si="1"/>
        <v>2016.12</v>
      </c>
    </row>
    <row r="286" spans="1:1">
      <c r="A286" s="2765">
        <f t="shared" si="1"/>
        <v>2017.01</v>
      </c>
    </row>
    <row r="287" spans="1:1">
      <c r="A287" s="2765">
        <f t="shared" si="1"/>
        <v>2017.02</v>
      </c>
    </row>
    <row r="288" spans="1:1">
      <c r="A288" s="2765">
        <f t="shared" si="1"/>
        <v>2017.03</v>
      </c>
    </row>
    <row r="289" spans="1:1">
      <c r="A289" s="2765">
        <f t="shared" si="1"/>
        <v>2017.04</v>
      </c>
    </row>
    <row r="290" spans="1:1">
      <c r="A290" s="2765">
        <f t="shared" si="1"/>
        <v>2017.05</v>
      </c>
    </row>
    <row r="291" spans="1:1">
      <c r="A291" s="2765">
        <f t="shared" si="1"/>
        <v>2017.06</v>
      </c>
    </row>
    <row r="292" spans="1:1">
      <c r="A292" s="2765">
        <f t="shared" si="1"/>
        <v>2017.07</v>
      </c>
    </row>
    <row r="293" spans="1:1">
      <c r="A293" s="2765">
        <f t="shared" si="1"/>
        <v>2017.08</v>
      </c>
    </row>
    <row r="294" spans="1:1">
      <c r="A294" s="2765">
        <f t="shared" si="1"/>
        <v>2017.09</v>
      </c>
    </row>
    <row r="295" spans="1:1">
      <c r="A295" s="2765">
        <f t="shared" si="1"/>
        <v>2017.1</v>
      </c>
    </row>
    <row r="296" spans="1:1">
      <c r="A296" s="2765">
        <f t="shared" si="1"/>
        <v>2017.11</v>
      </c>
    </row>
    <row r="297" spans="1:1">
      <c r="A297" s="2765">
        <f t="shared" si="1"/>
        <v>2017.12</v>
      </c>
    </row>
    <row r="298" spans="1:1">
      <c r="A298" s="2765">
        <f t="shared" si="1"/>
        <v>2018.01</v>
      </c>
    </row>
    <row r="299" spans="1:1">
      <c r="A299" s="2765">
        <f t="shared" si="1"/>
        <v>2018.02</v>
      </c>
    </row>
    <row r="300" spans="1:1">
      <c r="A300" s="2765">
        <f t="shared" si="1"/>
        <v>2018.03</v>
      </c>
    </row>
    <row r="301" spans="1:1">
      <c r="A301" s="2765">
        <f t="shared" si="1"/>
        <v>2018.04</v>
      </c>
    </row>
    <row r="302" spans="1:1">
      <c r="A302" s="2765">
        <f t="shared" si="1"/>
        <v>2018.05</v>
      </c>
    </row>
    <row r="303" spans="1:1">
      <c r="A303" s="2765">
        <f t="shared" si="1"/>
        <v>2018.06</v>
      </c>
    </row>
    <row r="304" spans="1:1">
      <c r="A304" s="2765">
        <f t="shared" si="1"/>
        <v>2018.07</v>
      </c>
    </row>
    <row r="305" spans="1:1">
      <c r="A305" s="2765">
        <f t="shared" si="1"/>
        <v>2018.08</v>
      </c>
    </row>
    <row r="306" spans="1:1">
      <c r="A306" s="2765">
        <f t="shared" ref="A306:A369" si="2">A294+1</f>
        <v>2018.09</v>
      </c>
    </row>
    <row r="307" spans="1:1">
      <c r="A307" s="2765">
        <f t="shared" si="2"/>
        <v>2018.1</v>
      </c>
    </row>
    <row r="308" spans="1:1">
      <c r="A308" s="2765">
        <f t="shared" si="2"/>
        <v>2018.11</v>
      </c>
    </row>
    <row r="309" spans="1:1">
      <c r="A309" s="2765">
        <f t="shared" si="2"/>
        <v>2018.12</v>
      </c>
    </row>
    <row r="310" spans="1:1">
      <c r="A310" s="2765">
        <f t="shared" si="2"/>
        <v>2019.01</v>
      </c>
    </row>
    <row r="311" spans="1:1">
      <c r="A311" s="2765">
        <f t="shared" si="2"/>
        <v>2019.02</v>
      </c>
    </row>
    <row r="312" spans="1:1">
      <c r="A312" s="2765">
        <f t="shared" si="2"/>
        <v>2019.03</v>
      </c>
    </row>
    <row r="313" spans="1:1">
      <c r="A313" s="2765">
        <f t="shared" si="2"/>
        <v>2019.04</v>
      </c>
    </row>
    <row r="314" spans="1:1">
      <c r="A314" s="2765">
        <f t="shared" si="2"/>
        <v>2019.05</v>
      </c>
    </row>
    <row r="315" spans="1:1">
      <c r="A315" s="2765">
        <f t="shared" si="2"/>
        <v>2019.06</v>
      </c>
    </row>
    <row r="316" spans="1:1">
      <c r="A316" s="2765">
        <f t="shared" si="2"/>
        <v>2019.07</v>
      </c>
    </row>
    <row r="317" spans="1:1">
      <c r="A317" s="2765">
        <f t="shared" si="2"/>
        <v>2019.08</v>
      </c>
    </row>
    <row r="318" spans="1:1">
      <c r="A318" s="2765">
        <f t="shared" si="2"/>
        <v>2019.09</v>
      </c>
    </row>
    <row r="319" spans="1:1">
      <c r="A319" s="2765">
        <f t="shared" si="2"/>
        <v>2019.1</v>
      </c>
    </row>
    <row r="320" spans="1:1">
      <c r="A320" s="2765">
        <f t="shared" si="2"/>
        <v>2019.11</v>
      </c>
    </row>
    <row r="321" spans="1:1">
      <c r="A321" s="2765">
        <f t="shared" si="2"/>
        <v>2019.12</v>
      </c>
    </row>
    <row r="322" spans="1:1">
      <c r="A322" s="2765">
        <f t="shared" si="2"/>
        <v>2020.01</v>
      </c>
    </row>
    <row r="323" spans="1:1">
      <c r="A323" s="2765">
        <f t="shared" si="2"/>
        <v>2020.02</v>
      </c>
    </row>
    <row r="324" spans="1:1">
      <c r="A324" s="2765">
        <f t="shared" si="2"/>
        <v>2020.03</v>
      </c>
    </row>
    <row r="325" spans="1:1">
      <c r="A325" s="2765">
        <f t="shared" si="2"/>
        <v>2020.04</v>
      </c>
    </row>
    <row r="326" spans="1:1">
      <c r="A326" s="2765">
        <f t="shared" si="2"/>
        <v>2020.05</v>
      </c>
    </row>
    <row r="327" spans="1:1">
      <c r="A327" s="2765">
        <f t="shared" si="2"/>
        <v>2020.06</v>
      </c>
    </row>
    <row r="328" spans="1:1">
      <c r="A328" s="2765">
        <f t="shared" si="2"/>
        <v>2020.07</v>
      </c>
    </row>
    <row r="329" spans="1:1">
      <c r="A329" s="2765">
        <f t="shared" si="2"/>
        <v>2020.08</v>
      </c>
    </row>
    <row r="330" spans="1:1">
      <c r="A330" s="2765">
        <f t="shared" si="2"/>
        <v>2020.09</v>
      </c>
    </row>
    <row r="331" spans="1:1">
      <c r="A331" s="2765">
        <f t="shared" si="2"/>
        <v>2020.1</v>
      </c>
    </row>
    <row r="332" spans="1:1">
      <c r="A332" s="2765">
        <f t="shared" si="2"/>
        <v>2020.11</v>
      </c>
    </row>
    <row r="333" spans="1:1">
      <c r="A333" s="2765">
        <f t="shared" si="2"/>
        <v>2020.12</v>
      </c>
    </row>
    <row r="334" spans="1:1">
      <c r="A334" s="2765">
        <f t="shared" si="2"/>
        <v>2021.01</v>
      </c>
    </row>
    <row r="335" spans="1:1">
      <c r="A335" s="2765">
        <f t="shared" si="2"/>
        <v>2021.02</v>
      </c>
    </row>
    <row r="336" spans="1:1">
      <c r="A336" s="2765">
        <f t="shared" si="2"/>
        <v>2021.03</v>
      </c>
    </row>
    <row r="337" spans="1:1">
      <c r="A337" s="2765">
        <f t="shared" si="2"/>
        <v>2021.04</v>
      </c>
    </row>
    <row r="338" spans="1:1">
      <c r="A338" s="2765">
        <f t="shared" si="2"/>
        <v>2021.05</v>
      </c>
    </row>
    <row r="339" spans="1:1">
      <c r="A339" s="2765">
        <f t="shared" si="2"/>
        <v>2021.06</v>
      </c>
    </row>
    <row r="340" spans="1:1">
      <c r="A340" s="2765">
        <f t="shared" si="2"/>
        <v>2021.07</v>
      </c>
    </row>
    <row r="341" spans="1:1">
      <c r="A341" s="2765">
        <f t="shared" si="2"/>
        <v>2021.08</v>
      </c>
    </row>
    <row r="342" spans="1:1">
      <c r="A342" s="2765">
        <f t="shared" si="2"/>
        <v>2021.09</v>
      </c>
    </row>
    <row r="343" spans="1:1">
      <c r="A343" s="2765">
        <f t="shared" si="2"/>
        <v>2021.1</v>
      </c>
    </row>
    <row r="344" spans="1:1">
      <c r="A344" s="2765">
        <f t="shared" si="2"/>
        <v>2021.11</v>
      </c>
    </row>
    <row r="345" spans="1:1">
      <c r="A345" s="2765">
        <f t="shared" si="2"/>
        <v>2021.12</v>
      </c>
    </row>
    <row r="346" spans="1:1">
      <c r="A346" s="2765">
        <f t="shared" si="2"/>
        <v>2022.01</v>
      </c>
    </row>
    <row r="347" spans="1:1">
      <c r="A347" s="2765">
        <f t="shared" si="2"/>
        <v>2022.02</v>
      </c>
    </row>
    <row r="348" spans="1:1">
      <c r="A348" s="2765">
        <f t="shared" si="2"/>
        <v>2022.03</v>
      </c>
    </row>
    <row r="349" spans="1:1">
      <c r="A349" s="2765">
        <f t="shared" si="2"/>
        <v>2022.04</v>
      </c>
    </row>
    <row r="350" spans="1:1">
      <c r="A350" s="2765">
        <f t="shared" si="2"/>
        <v>2022.05</v>
      </c>
    </row>
    <row r="351" spans="1:1">
      <c r="A351" s="2765">
        <f t="shared" si="2"/>
        <v>2022.06</v>
      </c>
    </row>
    <row r="352" spans="1:1">
      <c r="A352" s="2765">
        <f t="shared" si="2"/>
        <v>2022.07</v>
      </c>
    </row>
    <row r="353" spans="1:1">
      <c r="A353" s="2765">
        <f t="shared" si="2"/>
        <v>2022.08</v>
      </c>
    </row>
    <row r="354" spans="1:1">
      <c r="A354" s="2765">
        <f t="shared" si="2"/>
        <v>2022.09</v>
      </c>
    </row>
    <row r="355" spans="1:1">
      <c r="A355" s="2765">
        <f t="shared" si="2"/>
        <v>2022.1</v>
      </c>
    </row>
    <row r="356" spans="1:1">
      <c r="A356" s="2765">
        <f t="shared" si="2"/>
        <v>2022.11</v>
      </c>
    </row>
    <row r="357" spans="1:1">
      <c r="A357" s="2765">
        <f t="shared" si="2"/>
        <v>2022.12</v>
      </c>
    </row>
    <row r="358" spans="1:1">
      <c r="A358" s="2765">
        <f t="shared" si="2"/>
        <v>2023.01</v>
      </c>
    </row>
    <row r="359" spans="1:1">
      <c r="A359" s="2765">
        <f t="shared" si="2"/>
        <v>2023.02</v>
      </c>
    </row>
    <row r="360" spans="1:1">
      <c r="A360" s="2765">
        <f t="shared" si="2"/>
        <v>2023.03</v>
      </c>
    </row>
    <row r="361" spans="1:1">
      <c r="A361" s="2765">
        <f t="shared" si="2"/>
        <v>2023.04</v>
      </c>
    </row>
    <row r="362" spans="1:1">
      <c r="A362" s="2765">
        <f t="shared" si="2"/>
        <v>2023.05</v>
      </c>
    </row>
    <row r="363" spans="1:1">
      <c r="A363" s="2765">
        <f t="shared" si="2"/>
        <v>2023.06</v>
      </c>
    </row>
    <row r="364" spans="1:1">
      <c r="A364" s="2765">
        <f t="shared" si="2"/>
        <v>2023.07</v>
      </c>
    </row>
    <row r="365" spans="1:1">
      <c r="A365" s="2765">
        <f t="shared" si="2"/>
        <v>2023.08</v>
      </c>
    </row>
    <row r="366" spans="1:1">
      <c r="A366" s="2765">
        <f t="shared" si="2"/>
        <v>2023.09</v>
      </c>
    </row>
    <row r="367" spans="1:1">
      <c r="A367" s="2765">
        <f t="shared" si="2"/>
        <v>2023.1</v>
      </c>
    </row>
    <row r="368" spans="1:1">
      <c r="A368" s="2765">
        <f t="shared" si="2"/>
        <v>2023.11</v>
      </c>
    </row>
    <row r="369" spans="1:1">
      <c r="A369" s="2765">
        <f t="shared" si="2"/>
        <v>2023.12</v>
      </c>
    </row>
    <row r="370" spans="1:1">
      <c r="A370" s="2765">
        <f t="shared" ref="A370:A435" si="3">A358+1</f>
        <v>2024.01</v>
      </c>
    </row>
    <row r="371" spans="1:1">
      <c r="A371" s="2765">
        <f t="shared" si="3"/>
        <v>2024.02</v>
      </c>
    </row>
    <row r="372" spans="1:1">
      <c r="A372" s="2765">
        <f t="shared" si="3"/>
        <v>2024.03</v>
      </c>
    </row>
    <row r="373" spans="1:1">
      <c r="A373" s="2765">
        <f t="shared" si="3"/>
        <v>2024.04</v>
      </c>
    </row>
    <row r="374" spans="1:1">
      <c r="A374" s="2765">
        <f t="shared" si="3"/>
        <v>2024.05</v>
      </c>
    </row>
    <row r="375" spans="1:1">
      <c r="A375" s="2765">
        <f t="shared" si="3"/>
        <v>2024.06</v>
      </c>
    </row>
    <row r="376" spans="1:1">
      <c r="A376" s="2765">
        <f t="shared" si="3"/>
        <v>2024.07</v>
      </c>
    </row>
    <row r="377" spans="1:1">
      <c r="A377" s="2765">
        <f t="shared" si="3"/>
        <v>2024.08</v>
      </c>
    </row>
    <row r="378" spans="1:1">
      <c r="A378" s="2765">
        <f t="shared" si="3"/>
        <v>2024.09</v>
      </c>
    </row>
    <row r="379" spans="1:1">
      <c r="A379" s="2765">
        <f t="shared" si="3"/>
        <v>2024.1</v>
      </c>
    </row>
    <row r="380" spans="1:1">
      <c r="A380" s="2765">
        <f t="shared" si="3"/>
        <v>2024.11</v>
      </c>
    </row>
    <row r="381" spans="1:1">
      <c r="A381" s="2765">
        <f t="shared" si="3"/>
        <v>2024.12</v>
      </c>
    </row>
    <row r="382" spans="1:1">
      <c r="A382" s="2765">
        <f t="shared" si="3"/>
        <v>2025.01</v>
      </c>
    </row>
    <row r="383" spans="1:1">
      <c r="A383" s="2765">
        <f t="shared" si="3"/>
        <v>2025.02</v>
      </c>
    </row>
    <row r="384" spans="1:1">
      <c r="A384" s="2765">
        <f t="shared" si="3"/>
        <v>2025.03</v>
      </c>
    </row>
    <row r="385" spans="1:1">
      <c r="A385" s="2765">
        <f t="shared" si="3"/>
        <v>2025.04</v>
      </c>
    </row>
    <row r="386" spans="1:1">
      <c r="A386" s="2765">
        <f t="shared" si="3"/>
        <v>2025.05</v>
      </c>
    </row>
    <row r="387" spans="1:1">
      <c r="A387" s="2765">
        <f t="shared" si="3"/>
        <v>2025.06</v>
      </c>
    </row>
    <row r="388" spans="1:1">
      <c r="A388" s="2765">
        <f t="shared" si="3"/>
        <v>2025.07</v>
      </c>
    </row>
    <row r="389" spans="1:1">
      <c r="A389" s="2765">
        <f t="shared" si="3"/>
        <v>2025.08</v>
      </c>
    </row>
    <row r="390" spans="1:1">
      <c r="A390" s="2765">
        <f t="shared" si="3"/>
        <v>2025.09</v>
      </c>
    </row>
    <row r="391" spans="1:1">
      <c r="A391" s="2765">
        <f t="shared" si="3"/>
        <v>2025.1</v>
      </c>
    </row>
    <row r="392" spans="1:1">
      <c r="A392" s="2765">
        <f t="shared" si="3"/>
        <v>2025.11</v>
      </c>
    </row>
    <row r="393" spans="1:1">
      <c r="A393" s="2765">
        <f t="shared" si="3"/>
        <v>2025.12</v>
      </c>
    </row>
    <row r="394" spans="1:1">
      <c r="A394" s="2765">
        <f t="shared" si="3"/>
        <v>2026.01</v>
      </c>
    </row>
    <row r="395" spans="1:1">
      <c r="A395" s="2765">
        <f t="shared" si="3"/>
        <v>2026.02</v>
      </c>
    </row>
    <row r="396" spans="1:1">
      <c r="A396" s="2765">
        <f t="shared" si="3"/>
        <v>2026.03</v>
      </c>
    </row>
    <row r="397" spans="1:1">
      <c r="A397" s="2765">
        <f t="shared" si="3"/>
        <v>2026.04</v>
      </c>
    </row>
    <row r="398" spans="1:1">
      <c r="A398" s="2765">
        <f t="shared" si="3"/>
        <v>2026.05</v>
      </c>
    </row>
    <row r="399" spans="1:1">
      <c r="A399" s="2765">
        <f t="shared" si="3"/>
        <v>2026.06</v>
      </c>
    </row>
    <row r="400" spans="1:1">
      <c r="A400" s="2765">
        <f t="shared" si="3"/>
        <v>2026.07</v>
      </c>
    </row>
    <row r="401" spans="1:1">
      <c r="A401" s="2765">
        <f t="shared" si="3"/>
        <v>2026.08</v>
      </c>
    </row>
    <row r="402" spans="1:1">
      <c r="A402" s="2765">
        <f t="shared" si="3"/>
        <v>2026.09</v>
      </c>
    </row>
    <row r="403" spans="1:1">
      <c r="A403" s="2765">
        <f t="shared" si="3"/>
        <v>2026.1</v>
      </c>
    </row>
    <row r="404" spans="1:1">
      <c r="A404" s="2765">
        <f t="shared" si="3"/>
        <v>2026.11</v>
      </c>
    </row>
    <row r="405" spans="1:1">
      <c r="A405" s="2765">
        <f t="shared" si="3"/>
        <v>2026.12</v>
      </c>
    </row>
    <row r="406" spans="1:1">
      <c r="A406" s="2765">
        <f t="shared" si="3"/>
        <v>2027.01</v>
      </c>
    </row>
    <row r="407" spans="1:1">
      <c r="A407" s="2765">
        <f t="shared" si="3"/>
        <v>2027.02</v>
      </c>
    </row>
    <row r="408" spans="1:1">
      <c r="A408" s="2765">
        <f t="shared" si="3"/>
        <v>2027.03</v>
      </c>
    </row>
    <row r="409" spans="1:1">
      <c r="A409" s="2765">
        <f t="shared" si="3"/>
        <v>2027.04</v>
      </c>
    </row>
    <row r="410" spans="1:1">
      <c r="A410" s="2765">
        <f t="shared" si="3"/>
        <v>2027.05</v>
      </c>
    </row>
    <row r="411" spans="1:1">
      <c r="A411" s="2765">
        <f t="shared" si="3"/>
        <v>2027.06</v>
      </c>
    </row>
    <row r="412" spans="1:1">
      <c r="A412" s="2765">
        <f t="shared" si="3"/>
        <v>2027.07</v>
      </c>
    </row>
    <row r="413" spans="1:1">
      <c r="A413" s="2765">
        <f t="shared" si="3"/>
        <v>2027.08</v>
      </c>
    </row>
    <row r="414" spans="1:1">
      <c r="A414" s="2765">
        <f t="shared" si="3"/>
        <v>2027.09</v>
      </c>
    </row>
    <row r="415" spans="1:1">
      <c r="A415" s="2765">
        <f t="shared" si="3"/>
        <v>2027.1</v>
      </c>
    </row>
    <row r="416" spans="1:1">
      <c r="A416" s="2765">
        <f t="shared" si="3"/>
        <v>2027.11</v>
      </c>
    </row>
    <row r="417" spans="1:1">
      <c r="A417" s="2765">
        <f t="shared" si="3"/>
        <v>2027.12</v>
      </c>
    </row>
    <row r="418" spans="1:1">
      <c r="A418" s="2765">
        <f t="shared" si="3"/>
        <v>2028.01</v>
      </c>
    </row>
    <row r="419" spans="1:1">
      <c r="A419" s="2765">
        <f t="shared" si="3"/>
        <v>2028.02</v>
      </c>
    </row>
    <row r="420" spans="1:1">
      <c r="A420" s="2765">
        <f t="shared" si="3"/>
        <v>2028.03</v>
      </c>
    </row>
    <row r="421" spans="1:1">
      <c r="A421" s="2765">
        <f t="shared" si="3"/>
        <v>2028.04</v>
      </c>
    </row>
    <row r="422" spans="1:1">
      <c r="A422" s="2765">
        <f t="shared" si="3"/>
        <v>2028.05</v>
      </c>
    </row>
    <row r="423" spans="1:1">
      <c r="A423" s="2765">
        <f t="shared" si="3"/>
        <v>2028.06</v>
      </c>
    </row>
    <row r="424" spans="1:1">
      <c r="A424" s="2765">
        <f t="shared" si="3"/>
        <v>2028.07</v>
      </c>
    </row>
    <row r="425" spans="1:1">
      <c r="A425" s="2765">
        <f t="shared" si="3"/>
        <v>2028.08</v>
      </c>
    </row>
    <row r="426" spans="1:1">
      <c r="A426" s="2765">
        <f t="shared" si="3"/>
        <v>2028.09</v>
      </c>
    </row>
    <row r="427" spans="1:1">
      <c r="A427" s="2765">
        <f t="shared" si="3"/>
        <v>2028.1</v>
      </c>
    </row>
    <row r="428" spans="1:1">
      <c r="A428" s="2765">
        <f t="shared" si="3"/>
        <v>2028.11</v>
      </c>
    </row>
    <row r="429" spans="1:1">
      <c r="A429" s="2765">
        <f t="shared" si="3"/>
        <v>2028.12</v>
      </c>
    </row>
    <row r="430" spans="1:1">
      <c r="A430" s="2765">
        <f t="shared" si="3"/>
        <v>2029.01</v>
      </c>
    </row>
    <row r="431" spans="1:1">
      <c r="A431" s="2765">
        <f t="shared" si="3"/>
        <v>2029.02</v>
      </c>
    </row>
    <row r="432" spans="1:1">
      <c r="A432" s="2765">
        <f t="shared" si="3"/>
        <v>2029.03</v>
      </c>
    </row>
    <row r="433" spans="1:1">
      <c r="A433" s="2765">
        <f t="shared" si="3"/>
        <v>2029.04</v>
      </c>
    </row>
    <row r="434" spans="1:1">
      <c r="A434" s="2765">
        <f t="shared" ref="A434" si="4">A422+1</f>
        <v>2029.05</v>
      </c>
    </row>
    <row r="435" spans="1:1">
      <c r="A435" s="2765">
        <f t="shared" si="3"/>
        <v>2029.06</v>
      </c>
    </row>
    <row r="436" spans="1:1">
      <c r="A436" s="2765">
        <f t="shared" ref="A436:A453" si="5">A424+1</f>
        <v>2029.07</v>
      </c>
    </row>
    <row r="437" spans="1:1">
      <c r="A437" s="2765">
        <f t="shared" si="5"/>
        <v>2029.08</v>
      </c>
    </row>
    <row r="438" spans="1:1">
      <c r="A438" s="2765">
        <f t="shared" si="5"/>
        <v>2029.09</v>
      </c>
    </row>
    <row r="439" spans="1:1">
      <c r="A439" s="2765">
        <f t="shared" si="5"/>
        <v>2029.1</v>
      </c>
    </row>
    <row r="440" spans="1:1">
      <c r="A440" s="2765">
        <f t="shared" si="5"/>
        <v>2029.11</v>
      </c>
    </row>
    <row r="441" spans="1:1">
      <c r="A441" s="2765">
        <f t="shared" si="5"/>
        <v>2029.12</v>
      </c>
    </row>
    <row r="442" spans="1:1">
      <c r="A442" s="2765">
        <f t="shared" si="5"/>
        <v>2030.01</v>
      </c>
    </row>
    <row r="443" spans="1:1">
      <c r="A443" s="2765">
        <f t="shared" si="5"/>
        <v>2030.02</v>
      </c>
    </row>
    <row r="444" spans="1:1">
      <c r="A444" s="2765">
        <f t="shared" si="5"/>
        <v>2030.03</v>
      </c>
    </row>
    <row r="445" spans="1:1">
      <c r="A445" s="2765">
        <f t="shared" si="5"/>
        <v>2030.04</v>
      </c>
    </row>
    <row r="446" spans="1:1">
      <c r="A446" s="2765">
        <f t="shared" si="5"/>
        <v>2030.05</v>
      </c>
    </row>
    <row r="447" spans="1:1">
      <c r="A447" s="2765">
        <f t="shared" si="5"/>
        <v>2030.06</v>
      </c>
    </row>
    <row r="448" spans="1:1">
      <c r="A448" s="2765">
        <f t="shared" si="5"/>
        <v>2030.07</v>
      </c>
    </row>
    <row r="449" spans="1:1">
      <c r="A449" s="2765">
        <f t="shared" si="5"/>
        <v>2030.08</v>
      </c>
    </row>
    <row r="450" spans="1:1">
      <c r="A450" s="2765">
        <f t="shared" si="5"/>
        <v>2030.09</v>
      </c>
    </row>
    <row r="451" spans="1:1">
      <c r="A451" s="2765">
        <f t="shared" si="5"/>
        <v>2030.1</v>
      </c>
    </row>
    <row r="452" spans="1:1">
      <c r="A452" s="2765">
        <f t="shared" si="5"/>
        <v>2030.11</v>
      </c>
    </row>
    <row r="453" spans="1:1">
      <c r="A453" s="2765">
        <f t="shared" si="5"/>
        <v>2030.12</v>
      </c>
    </row>
  </sheetData>
  <phoneticPr fontId="58" type="noConversion"/>
  <hyperlinks>
    <hyperlink ref="A5" location="INDICE!A13" display="VOLVER AL INDICE" xr:uid="{00000000-0004-0000-2700-000000000000}"/>
  </hyperlinks>
  <pageMargins left="0.75" right="0.75" top="1" bottom="1" header="0" footer="0"/>
  <pageSetup paperSize="9"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7">
    <pageSetUpPr autoPageBreaks="0"/>
  </sheetPr>
  <dimension ref="A1:V453"/>
  <sheetViews>
    <sheetView zoomScale="120" zoomScaleNormal="120" workbookViewId="0">
      <pane xSplit="1" ySplit="9" topLeftCell="B367"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1.5703125" style="19" bestFit="1" customWidth="1"/>
    <col min="2" max="22" width="11" style="19" customWidth="1"/>
    <col min="23" max="16384" width="11.42578125" style="1"/>
  </cols>
  <sheetData>
    <row r="1" spans="1:22" ht="3" customHeight="1">
      <c r="A1" s="37"/>
      <c r="B1" s="71"/>
      <c r="C1" s="71"/>
      <c r="D1" s="71"/>
      <c r="E1" s="71"/>
      <c r="F1" s="71"/>
      <c r="G1" s="71"/>
      <c r="H1" s="71"/>
      <c r="I1" s="71"/>
      <c r="J1" s="71"/>
      <c r="K1" s="71"/>
      <c r="L1" s="10"/>
      <c r="M1" s="10"/>
      <c r="N1" s="10"/>
      <c r="O1" s="10"/>
      <c r="P1" s="71"/>
      <c r="Q1" s="10"/>
      <c r="R1" s="10"/>
      <c r="S1" s="10"/>
      <c r="T1" s="10"/>
      <c r="U1" s="10"/>
      <c r="V1" s="7"/>
    </row>
    <row r="2" spans="1:22">
      <c r="A2" s="39" t="s">
        <v>212</v>
      </c>
      <c r="B2" s="726" t="s">
        <v>800</v>
      </c>
      <c r="C2" s="75"/>
      <c r="D2" s="75"/>
      <c r="E2" s="75"/>
      <c r="F2" s="75"/>
      <c r="G2" s="75"/>
      <c r="H2" s="75"/>
      <c r="I2" s="75"/>
      <c r="J2" s="75"/>
      <c r="K2" s="75"/>
      <c r="L2" s="76"/>
      <c r="M2" s="76"/>
      <c r="N2" s="76"/>
      <c r="O2" s="77"/>
      <c r="P2" s="77"/>
      <c r="Q2" s="76"/>
      <c r="R2" s="76"/>
      <c r="S2" s="76"/>
      <c r="T2" s="76"/>
      <c r="U2" s="76"/>
      <c r="V2" s="78"/>
    </row>
    <row r="3" spans="1:22">
      <c r="A3" s="39" t="s">
        <v>211</v>
      </c>
      <c r="B3" s="726" t="s">
        <v>1068</v>
      </c>
      <c r="C3" s="75"/>
      <c r="D3" s="75"/>
      <c r="E3" s="75"/>
      <c r="F3" s="75"/>
      <c r="G3" s="75"/>
      <c r="H3" s="75"/>
      <c r="I3" s="75"/>
      <c r="J3" s="75"/>
      <c r="K3" s="75"/>
      <c r="L3" s="76"/>
      <c r="M3" s="76"/>
      <c r="N3" s="76"/>
      <c r="O3" s="77"/>
      <c r="P3" s="77"/>
      <c r="Q3" s="76"/>
      <c r="R3" s="76"/>
      <c r="S3" s="76"/>
      <c r="T3" s="76"/>
      <c r="U3" s="76"/>
      <c r="V3" s="78"/>
    </row>
    <row r="4" spans="1:22" ht="3" customHeight="1">
      <c r="A4" s="37"/>
      <c r="B4" s="71"/>
      <c r="C4" s="71"/>
      <c r="D4" s="71"/>
      <c r="E4" s="71"/>
      <c r="F4" s="71"/>
      <c r="G4" s="71"/>
      <c r="H4" s="71"/>
      <c r="I4" s="71"/>
      <c r="J4" s="71"/>
      <c r="K4" s="71"/>
      <c r="L4" s="10"/>
      <c r="M4" s="10"/>
      <c r="N4" s="10"/>
      <c r="O4" s="10"/>
      <c r="P4" s="71"/>
      <c r="Q4" s="10"/>
      <c r="R4" s="10"/>
      <c r="S4" s="10"/>
      <c r="T4" s="10"/>
      <c r="U4" s="10"/>
      <c r="V4" s="7"/>
    </row>
    <row r="5" spans="1:22" ht="45.75" customHeight="1">
      <c r="A5" s="45" t="s">
        <v>213</v>
      </c>
      <c r="B5" s="851" t="s">
        <v>258</v>
      </c>
      <c r="C5" s="851" t="s">
        <v>742</v>
      </c>
      <c r="D5" s="851" t="s">
        <v>970</v>
      </c>
      <c r="E5" s="851" t="s">
        <v>743</v>
      </c>
      <c r="F5" s="851" t="s">
        <v>750</v>
      </c>
      <c r="G5" s="851"/>
      <c r="H5" s="1162"/>
      <c r="I5" s="851" t="s">
        <v>751</v>
      </c>
      <c r="J5" s="851"/>
      <c r="K5" s="511"/>
      <c r="L5" s="1161" t="s">
        <v>259</v>
      </c>
      <c r="M5" s="1163"/>
      <c r="N5" s="852" t="s">
        <v>1023</v>
      </c>
      <c r="O5" s="522" t="s">
        <v>1314</v>
      </c>
      <c r="P5" s="852" t="s">
        <v>257</v>
      </c>
      <c r="Q5" s="852" t="s">
        <v>260</v>
      </c>
      <c r="R5" s="300" t="s">
        <v>261</v>
      </c>
      <c r="S5" s="300" t="s">
        <v>256</v>
      </c>
      <c r="T5" s="1161" t="s">
        <v>1472</v>
      </c>
      <c r="U5" s="1161"/>
      <c r="V5" s="523" t="s">
        <v>306</v>
      </c>
    </row>
    <row r="6" spans="1:22" ht="33.75">
      <c r="A6" s="390"/>
      <c r="B6" s="86" t="s">
        <v>12</v>
      </c>
      <c r="C6" s="86" t="s">
        <v>12</v>
      </c>
      <c r="D6" s="86" t="s">
        <v>12</v>
      </c>
      <c r="E6" s="86" t="s">
        <v>12</v>
      </c>
      <c r="F6" s="1959" t="s">
        <v>255</v>
      </c>
      <c r="G6" s="1962" t="s">
        <v>396</v>
      </c>
      <c r="H6" s="1960" t="s">
        <v>12</v>
      </c>
      <c r="I6" s="1959" t="s">
        <v>255</v>
      </c>
      <c r="J6" s="1964" t="s">
        <v>396</v>
      </c>
      <c r="K6" s="521" t="s">
        <v>307</v>
      </c>
      <c r="L6" s="1972" t="s">
        <v>255</v>
      </c>
      <c r="M6" s="1971" t="s">
        <v>396</v>
      </c>
      <c r="N6" s="87" t="s">
        <v>12</v>
      </c>
      <c r="O6" s="522" t="s">
        <v>1314</v>
      </c>
      <c r="P6" s="89" t="s">
        <v>255</v>
      </c>
      <c r="Q6" s="89" t="s">
        <v>255</v>
      </c>
      <c r="R6" s="89" t="s">
        <v>255</v>
      </c>
      <c r="S6" s="87" t="s">
        <v>396</v>
      </c>
      <c r="T6" s="1972" t="s">
        <v>255</v>
      </c>
      <c r="U6" s="1974" t="s">
        <v>396</v>
      </c>
      <c r="V6" s="524" t="str">
        <f>V5</f>
        <v>Total Naftas</v>
      </c>
    </row>
    <row r="7" spans="1:22" ht="22.5">
      <c r="A7" s="47" t="s">
        <v>210</v>
      </c>
      <c r="B7" s="84" t="s">
        <v>218</v>
      </c>
      <c r="C7" s="84" t="s">
        <v>218</v>
      </c>
      <c r="D7" s="84" t="s">
        <v>72</v>
      </c>
      <c r="E7" s="84" t="s">
        <v>218</v>
      </c>
      <c r="F7" s="127" t="s">
        <v>218</v>
      </c>
      <c r="G7" s="1801" t="s">
        <v>218</v>
      </c>
      <c r="H7" s="125" t="s">
        <v>218</v>
      </c>
      <c r="I7" s="127" t="s">
        <v>218</v>
      </c>
      <c r="J7" s="1965" t="s">
        <v>218</v>
      </c>
      <c r="K7" s="84" t="s">
        <v>218</v>
      </c>
      <c r="L7" s="1903" t="s">
        <v>218</v>
      </c>
      <c r="M7" s="125" t="s">
        <v>218</v>
      </c>
      <c r="N7" s="84" t="s">
        <v>1024</v>
      </c>
      <c r="O7" s="84" t="s">
        <v>218</v>
      </c>
      <c r="P7" s="84" t="s">
        <v>218</v>
      </c>
      <c r="Q7" s="84" t="s">
        <v>218</v>
      </c>
      <c r="R7" s="84" t="s">
        <v>218</v>
      </c>
      <c r="S7" s="84" t="s">
        <v>218</v>
      </c>
      <c r="T7" s="1903" t="s">
        <v>218</v>
      </c>
      <c r="U7" s="125" t="s">
        <v>218</v>
      </c>
      <c r="V7" s="90" t="s">
        <v>218</v>
      </c>
    </row>
    <row r="8" spans="1:22">
      <c r="A8" s="390" t="s">
        <v>412</v>
      </c>
      <c r="B8" s="394" t="s">
        <v>640</v>
      </c>
      <c r="C8" s="394" t="s">
        <v>641</v>
      </c>
      <c r="D8" s="394" t="s">
        <v>642</v>
      </c>
      <c r="E8" s="394" t="s">
        <v>643</v>
      </c>
      <c r="F8" s="398" t="s">
        <v>644</v>
      </c>
      <c r="G8" s="1290" t="s">
        <v>645</v>
      </c>
      <c r="H8" s="396" t="s">
        <v>646</v>
      </c>
      <c r="I8" s="398" t="s">
        <v>647</v>
      </c>
      <c r="J8" s="1495" t="s">
        <v>648</v>
      </c>
      <c r="K8" s="394" t="s">
        <v>649</v>
      </c>
      <c r="L8" s="1588" t="s">
        <v>650</v>
      </c>
      <c r="M8" s="396" t="s">
        <v>651</v>
      </c>
      <c r="N8" s="394" t="s">
        <v>652</v>
      </c>
      <c r="O8" s="394" t="s">
        <v>653</v>
      </c>
      <c r="P8" s="394" t="s">
        <v>262</v>
      </c>
      <c r="Q8" s="394" t="s">
        <v>263</v>
      </c>
      <c r="R8" s="394" t="s">
        <v>264</v>
      </c>
      <c r="S8" s="394" t="s">
        <v>971</v>
      </c>
      <c r="T8" s="1588" t="s">
        <v>1025</v>
      </c>
      <c r="U8" s="396" t="s">
        <v>1026</v>
      </c>
      <c r="V8" s="395" t="s">
        <v>1027</v>
      </c>
    </row>
    <row r="9" spans="1:22" ht="9.6" customHeight="1" thickBot="1">
      <c r="A9" s="52"/>
      <c r="B9" s="332"/>
      <c r="C9" s="2898"/>
      <c r="D9" s="2898"/>
      <c r="E9" s="2898"/>
      <c r="F9" s="528"/>
      <c r="G9" s="1963"/>
      <c r="H9" s="530"/>
      <c r="I9" s="2899"/>
      <c r="J9" s="1966"/>
      <c r="K9" s="1970"/>
      <c r="L9" s="2899"/>
      <c r="M9" s="529"/>
      <c r="N9" s="2900"/>
      <c r="O9" s="2901"/>
      <c r="P9" s="528"/>
      <c r="Q9" s="528"/>
      <c r="R9" s="528"/>
      <c r="S9" s="529"/>
      <c r="T9" s="1976"/>
      <c r="U9" s="529"/>
      <c r="V9" s="2902"/>
    </row>
    <row r="10" spans="1:22">
      <c r="A10" s="85">
        <v>1994.01</v>
      </c>
      <c r="B10" s="107">
        <v>5</v>
      </c>
      <c r="C10" s="501">
        <v>181</v>
      </c>
      <c r="D10" s="418"/>
      <c r="E10" s="501">
        <v>1248</v>
      </c>
      <c r="F10" s="1574">
        <v>0</v>
      </c>
      <c r="G10" s="1958"/>
      <c r="H10" s="1961">
        <f>F10+G10</f>
        <v>0</v>
      </c>
      <c r="I10" s="1597">
        <v>14153</v>
      </c>
      <c r="J10" s="1967"/>
      <c r="K10" s="903">
        <f>I10+J10</f>
        <v>14153</v>
      </c>
      <c r="L10" s="1973">
        <v>85738</v>
      </c>
      <c r="M10" s="1955">
        <v>0</v>
      </c>
      <c r="N10" s="419"/>
      <c r="O10" s="904">
        <f>L10+M10+N10</f>
        <v>85738</v>
      </c>
      <c r="P10" s="501">
        <v>16675</v>
      </c>
      <c r="Q10" s="501">
        <v>34426</v>
      </c>
      <c r="R10" s="520">
        <v>0</v>
      </c>
      <c r="S10" s="418"/>
      <c r="T10" s="1977"/>
      <c r="U10" s="1975"/>
      <c r="V10" s="905">
        <f>SUM(P10:U10)</f>
        <v>51101</v>
      </c>
    </row>
    <row r="11" spans="1:22">
      <c r="A11" s="85">
        <v>1994.02</v>
      </c>
      <c r="B11" s="74">
        <v>56</v>
      </c>
      <c r="C11" s="61">
        <v>155</v>
      </c>
      <c r="D11" s="727"/>
      <c r="E11" s="61">
        <v>1201</v>
      </c>
      <c r="F11" s="573">
        <v>0</v>
      </c>
      <c r="G11" s="1460"/>
      <c r="H11" s="508">
        <f>F11+G11</f>
        <v>0</v>
      </c>
      <c r="I11" s="573">
        <v>28611.7109375</v>
      </c>
      <c r="J11" s="1968"/>
      <c r="K11" s="637">
        <f t="shared" ref="K11:K73" si="0">I11+J11</f>
        <v>28611.7109375</v>
      </c>
      <c r="L11" s="1675">
        <v>78037</v>
      </c>
      <c r="M11" s="430">
        <v>0</v>
      </c>
      <c r="N11" s="419"/>
      <c r="O11" s="525">
        <f>L11+M11+N11</f>
        <v>78037</v>
      </c>
      <c r="P11" s="61">
        <v>17005</v>
      </c>
      <c r="Q11" s="61">
        <v>27930</v>
      </c>
      <c r="R11" s="61">
        <v>0</v>
      </c>
      <c r="S11" s="419"/>
      <c r="T11" s="1978"/>
      <c r="U11" s="350"/>
      <c r="V11" s="526">
        <f>SUM(P11:U11)</f>
        <v>44935</v>
      </c>
    </row>
    <row r="12" spans="1:22">
      <c r="A12" s="85">
        <v>1994.03</v>
      </c>
      <c r="B12" s="74">
        <v>1</v>
      </c>
      <c r="C12" s="61">
        <v>183</v>
      </c>
      <c r="D12" s="727"/>
      <c r="E12" s="61">
        <v>2597</v>
      </c>
      <c r="F12" s="573">
        <v>0</v>
      </c>
      <c r="G12" s="1460"/>
      <c r="H12" s="508">
        <f t="shared" ref="H12:H73" si="1">F12+G12</f>
        <v>0</v>
      </c>
      <c r="I12" s="573">
        <v>38518.421875</v>
      </c>
      <c r="J12" s="1968"/>
      <c r="K12" s="637">
        <f t="shared" si="0"/>
        <v>38518.421875</v>
      </c>
      <c r="L12" s="1675">
        <v>109029</v>
      </c>
      <c r="M12" s="430">
        <v>0</v>
      </c>
      <c r="N12" s="419"/>
      <c r="O12" s="525">
        <f t="shared" ref="O12:O75" si="2">L12+M12+N12</f>
        <v>109029</v>
      </c>
      <c r="P12" s="61">
        <v>20332</v>
      </c>
      <c r="Q12" s="61">
        <v>32900</v>
      </c>
      <c r="R12" s="61">
        <v>0</v>
      </c>
      <c r="S12" s="419"/>
      <c r="T12" s="1978"/>
      <c r="U12" s="350"/>
      <c r="V12" s="526">
        <f t="shared" ref="V12:V75" si="3">SUM(P12:U12)</f>
        <v>53232</v>
      </c>
    </row>
    <row r="13" spans="1:22">
      <c r="A13" s="85">
        <v>1994.04</v>
      </c>
      <c r="B13" s="74">
        <v>28136</v>
      </c>
      <c r="C13" s="61">
        <v>65</v>
      </c>
      <c r="D13" s="727"/>
      <c r="E13" s="61">
        <v>3698</v>
      </c>
      <c r="F13" s="573">
        <v>0</v>
      </c>
      <c r="G13" s="1460"/>
      <c r="H13" s="508">
        <f t="shared" si="1"/>
        <v>0</v>
      </c>
      <c r="I13" s="573">
        <v>32558.369140625</v>
      </c>
      <c r="J13" s="1968"/>
      <c r="K13" s="637">
        <f t="shared" si="0"/>
        <v>32558.369140625</v>
      </c>
      <c r="L13" s="1675">
        <v>59359</v>
      </c>
      <c r="M13" s="430">
        <v>0</v>
      </c>
      <c r="N13" s="419"/>
      <c r="O13" s="525">
        <f t="shared" si="2"/>
        <v>59359</v>
      </c>
      <c r="P13" s="61">
        <v>18059</v>
      </c>
      <c r="Q13" s="61">
        <v>28912</v>
      </c>
      <c r="R13" s="61">
        <v>0</v>
      </c>
      <c r="S13" s="419"/>
      <c r="T13" s="1978"/>
      <c r="U13" s="350"/>
      <c r="V13" s="526">
        <f t="shared" si="3"/>
        <v>46971</v>
      </c>
    </row>
    <row r="14" spans="1:22">
      <c r="A14" s="85">
        <v>1994.05</v>
      </c>
      <c r="B14" s="74">
        <v>5</v>
      </c>
      <c r="C14" s="61">
        <v>33</v>
      </c>
      <c r="D14" s="727"/>
      <c r="E14" s="61">
        <v>4434</v>
      </c>
      <c r="F14" s="573">
        <v>0</v>
      </c>
      <c r="G14" s="1460"/>
      <c r="H14" s="508">
        <f t="shared" si="1"/>
        <v>0</v>
      </c>
      <c r="I14" s="573">
        <v>18747.4296875</v>
      </c>
      <c r="J14" s="1968"/>
      <c r="K14" s="637">
        <f t="shared" si="0"/>
        <v>18747.4296875</v>
      </c>
      <c r="L14" s="1675">
        <v>96850</v>
      </c>
      <c r="M14" s="430">
        <v>0</v>
      </c>
      <c r="N14" s="419"/>
      <c r="O14" s="525">
        <f t="shared" si="2"/>
        <v>96850</v>
      </c>
      <c r="P14" s="61">
        <v>18285</v>
      </c>
      <c r="Q14" s="61">
        <v>26048</v>
      </c>
      <c r="R14" s="61">
        <v>0</v>
      </c>
      <c r="S14" s="419"/>
      <c r="T14" s="1978"/>
      <c r="U14" s="350"/>
      <c r="V14" s="526">
        <f t="shared" si="3"/>
        <v>44333</v>
      </c>
    </row>
    <row r="15" spans="1:22">
      <c r="A15" s="85">
        <v>1994.06</v>
      </c>
      <c r="B15" s="74">
        <v>25</v>
      </c>
      <c r="C15" s="61">
        <v>41</v>
      </c>
      <c r="D15" s="727"/>
      <c r="E15" s="61">
        <v>9641</v>
      </c>
      <c r="F15" s="573">
        <v>0</v>
      </c>
      <c r="G15" s="1460"/>
      <c r="H15" s="508">
        <f t="shared" si="1"/>
        <v>0</v>
      </c>
      <c r="I15" s="573">
        <v>17029.2001953125</v>
      </c>
      <c r="J15" s="1968"/>
      <c r="K15" s="637">
        <f t="shared" si="0"/>
        <v>17029.2001953125</v>
      </c>
      <c r="L15" s="1675">
        <v>114416</v>
      </c>
      <c r="M15" s="430">
        <v>0</v>
      </c>
      <c r="N15" s="419"/>
      <c r="O15" s="525">
        <f t="shared" si="2"/>
        <v>114416</v>
      </c>
      <c r="P15" s="61">
        <v>18831</v>
      </c>
      <c r="Q15" s="61">
        <v>29043</v>
      </c>
      <c r="R15" s="61">
        <v>0</v>
      </c>
      <c r="S15" s="419"/>
      <c r="T15" s="1978"/>
      <c r="U15" s="350"/>
      <c r="V15" s="526">
        <f t="shared" si="3"/>
        <v>47874</v>
      </c>
    </row>
    <row r="16" spans="1:22">
      <c r="A16" s="85">
        <v>1994.07</v>
      </c>
      <c r="B16" s="74">
        <v>43</v>
      </c>
      <c r="C16" s="61">
        <v>53</v>
      </c>
      <c r="D16" s="727"/>
      <c r="E16" s="61">
        <v>12840</v>
      </c>
      <c r="F16" s="573">
        <v>0</v>
      </c>
      <c r="G16" s="1460"/>
      <c r="H16" s="508">
        <f t="shared" si="1"/>
        <v>0</v>
      </c>
      <c r="I16" s="573">
        <v>26332.119140625</v>
      </c>
      <c r="J16" s="1968"/>
      <c r="K16" s="637">
        <f t="shared" si="0"/>
        <v>26332.119140625</v>
      </c>
      <c r="L16" s="1675">
        <v>102843</v>
      </c>
      <c r="M16" s="430">
        <v>0</v>
      </c>
      <c r="N16" s="419"/>
      <c r="O16" s="525">
        <f t="shared" si="2"/>
        <v>102843</v>
      </c>
      <c r="P16" s="61">
        <v>20098</v>
      </c>
      <c r="Q16" s="61">
        <v>31912</v>
      </c>
      <c r="R16" s="61">
        <v>0</v>
      </c>
      <c r="S16" s="419"/>
      <c r="T16" s="1978"/>
      <c r="U16" s="350"/>
      <c r="V16" s="526">
        <f t="shared" si="3"/>
        <v>52010</v>
      </c>
    </row>
    <row r="17" spans="1:22">
      <c r="A17" s="85">
        <v>1994.08</v>
      </c>
      <c r="B17" s="74">
        <v>59</v>
      </c>
      <c r="C17" s="61">
        <v>61</v>
      </c>
      <c r="D17" s="727"/>
      <c r="E17" s="61">
        <v>7390</v>
      </c>
      <c r="F17" s="573">
        <v>0</v>
      </c>
      <c r="G17" s="1460"/>
      <c r="H17" s="508">
        <f t="shared" si="1"/>
        <v>0</v>
      </c>
      <c r="I17" s="573">
        <v>13315.48046875</v>
      </c>
      <c r="J17" s="1968"/>
      <c r="K17" s="637">
        <f t="shared" si="0"/>
        <v>13315.48046875</v>
      </c>
      <c r="L17" s="1675">
        <v>95698</v>
      </c>
      <c r="M17" s="430">
        <v>0</v>
      </c>
      <c r="N17" s="419"/>
      <c r="O17" s="525">
        <f t="shared" si="2"/>
        <v>95698</v>
      </c>
      <c r="P17" s="61">
        <v>18953</v>
      </c>
      <c r="Q17" s="61">
        <v>29213</v>
      </c>
      <c r="R17" s="61">
        <v>0</v>
      </c>
      <c r="S17" s="419"/>
      <c r="T17" s="1978"/>
      <c r="U17" s="350"/>
      <c r="V17" s="526">
        <f t="shared" si="3"/>
        <v>48166</v>
      </c>
    </row>
    <row r="18" spans="1:22">
      <c r="A18" s="85">
        <v>1994.09</v>
      </c>
      <c r="B18" s="74">
        <v>8</v>
      </c>
      <c r="C18" s="61">
        <v>55</v>
      </c>
      <c r="D18" s="727"/>
      <c r="E18" s="61">
        <v>3254</v>
      </c>
      <c r="F18" s="573">
        <v>0</v>
      </c>
      <c r="G18" s="1460"/>
      <c r="H18" s="508">
        <f t="shared" si="1"/>
        <v>0</v>
      </c>
      <c r="I18" s="573">
        <v>30711</v>
      </c>
      <c r="J18" s="1968"/>
      <c r="K18" s="637">
        <f t="shared" si="0"/>
        <v>30711</v>
      </c>
      <c r="L18" s="1675">
        <v>92467</v>
      </c>
      <c r="M18" s="430">
        <v>0</v>
      </c>
      <c r="N18" s="419"/>
      <c r="O18" s="525">
        <f t="shared" si="2"/>
        <v>92467</v>
      </c>
      <c r="P18" s="61">
        <v>18945</v>
      </c>
      <c r="Q18" s="61">
        <v>28227</v>
      </c>
      <c r="R18" s="61">
        <v>0</v>
      </c>
      <c r="S18" s="419"/>
      <c r="T18" s="1978"/>
      <c r="U18" s="350"/>
      <c r="V18" s="526">
        <f t="shared" si="3"/>
        <v>47172</v>
      </c>
    </row>
    <row r="19" spans="1:22">
      <c r="A19" s="85">
        <v>1994.1</v>
      </c>
      <c r="B19" s="74">
        <v>67</v>
      </c>
      <c r="C19" s="61">
        <v>60</v>
      </c>
      <c r="D19" s="727"/>
      <c r="E19" s="61">
        <v>1039</v>
      </c>
      <c r="F19" s="573">
        <v>0</v>
      </c>
      <c r="G19" s="1460"/>
      <c r="H19" s="508">
        <f t="shared" si="1"/>
        <v>0</v>
      </c>
      <c r="I19" s="573">
        <v>9414.18994140625</v>
      </c>
      <c r="J19" s="1968"/>
      <c r="K19" s="637">
        <f t="shared" si="0"/>
        <v>9414.18994140625</v>
      </c>
      <c r="L19" s="1675">
        <v>93737</v>
      </c>
      <c r="M19" s="430">
        <v>0</v>
      </c>
      <c r="N19" s="419"/>
      <c r="O19" s="525">
        <f t="shared" si="2"/>
        <v>93737</v>
      </c>
      <c r="P19" s="61">
        <v>16884</v>
      </c>
      <c r="Q19" s="61">
        <v>24896</v>
      </c>
      <c r="R19" s="61">
        <v>0</v>
      </c>
      <c r="S19" s="419"/>
      <c r="T19" s="1978"/>
      <c r="U19" s="350"/>
      <c r="V19" s="526">
        <f t="shared" si="3"/>
        <v>41780</v>
      </c>
    </row>
    <row r="20" spans="1:22">
      <c r="A20" s="85">
        <v>1994.11</v>
      </c>
      <c r="B20" s="74">
        <v>106</v>
      </c>
      <c r="C20" s="61">
        <v>110</v>
      </c>
      <c r="D20" s="727"/>
      <c r="E20" s="61">
        <v>1044</v>
      </c>
      <c r="F20" s="573">
        <v>0</v>
      </c>
      <c r="G20" s="1460"/>
      <c r="H20" s="508">
        <f t="shared" si="1"/>
        <v>0</v>
      </c>
      <c r="I20" s="573">
        <v>11131.1201171875</v>
      </c>
      <c r="J20" s="1968"/>
      <c r="K20" s="637">
        <f t="shared" si="0"/>
        <v>11131.1201171875</v>
      </c>
      <c r="L20" s="1675">
        <v>112609</v>
      </c>
      <c r="M20" s="430">
        <v>0</v>
      </c>
      <c r="N20" s="419"/>
      <c r="O20" s="525">
        <f t="shared" si="2"/>
        <v>112609</v>
      </c>
      <c r="P20" s="61">
        <v>17474</v>
      </c>
      <c r="Q20" s="61">
        <v>27323</v>
      </c>
      <c r="R20" s="61">
        <v>0</v>
      </c>
      <c r="S20" s="419"/>
      <c r="T20" s="1978"/>
      <c r="U20" s="350"/>
      <c r="V20" s="526">
        <f t="shared" si="3"/>
        <v>44797</v>
      </c>
    </row>
    <row r="21" spans="1:22">
      <c r="A21" s="85">
        <v>1994.12</v>
      </c>
      <c r="B21" s="74">
        <v>95</v>
      </c>
      <c r="C21" s="61">
        <v>260</v>
      </c>
      <c r="D21" s="727"/>
      <c r="E21" s="61">
        <v>925</v>
      </c>
      <c r="F21" s="573">
        <v>0</v>
      </c>
      <c r="G21" s="1460"/>
      <c r="H21" s="508">
        <f t="shared" si="1"/>
        <v>0</v>
      </c>
      <c r="I21" s="573">
        <v>35228</v>
      </c>
      <c r="J21" s="1968"/>
      <c r="K21" s="637">
        <f t="shared" si="0"/>
        <v>35228</v>
      </c>
      <c r="L21" s="1675">
        <v>101035</v>
      </c>
      <c r="M21" s="430">
        <v>0</v>
      </c>
      <c r="N21" s="419"/>
      <c r="O21" s="525">
        <f t="shared" si="2"/>
        <v>101035</v>
      </c>
      <c r="P21" s="61">
        <v>19444</v>
      </c>
      <c r="Q21" s="61">
        <v>29846</v>
      </c>
      <c r="R21" s="61">
        <v>0</v>
      </c>
      <c r="S21" s="419"/>
      <c r="T21" s="1978"/>
      <c r="U21" s="350"/>
      <c r="V21" s="526">
        <f t="shared" si="3"/>
        <v>49290</v>
      </c>
    </row>
    <row r="22" spans="1:22">
      <c r="A22" s="85">
        <v>1995.01</v>
      </c>
      <c r="B22" s="74">
        <v>59</v>
      </c>
      <c r="C22" s="61">
        <v>249</v>
      </c>
      <c r="D22" s="727"/>
      <c r="E22" s="61">
        <v>1163</v>
      </c>
      <c r="F22" s="573">
        <v>0</v>
      </c>
      <c r="G22" s="1460"/>
      <c r="H22" s="508">
        <f t="shared" si="1"/>
        <v>0</v>
      </c>
      <c r="I22" s="573">
        <v>2453</v>
      </c>
      <c r="J22" s="1968"/>
      <c r="K22" s="637">
        <f t="shared" si="0"/>
        <v>2453</v>
      </c>
      <c r="L22" s="1675">
        <v>87281</v>
      </c>
      <c r="M22" s="430">
        <v>0</v>
      </c>
      <c r="N22" s="419"/>
      <c r="O22" s="525">
        <f t="shared" si="2"/>
        <v>87281</v>
      </c>
      <c r="P22" s="61">
        <v>16411</v>
      </c>
      <c r="Q22" s="61">
        <v>25441</v>
      </c>
      <c r="R22" s="61">
        <v>0</v>
      </c>
      <c r="S22" s="419"/>
      <c r="T22" s="1978"/>
      <c r="U22" s="350"/>
      <c r="V22" s="526">
        <f t="shared" si="3"/>
        <v>41852</v>
      </c>
    </row>
    <row r="23" spans="1:22">
      <c r="A23" s="85">
        <v>1995.02</v>
      </c>
      <c r="B23" s="74">
        <v>20</v>
      </c>
      <c r="C23" s="61">
        <v>83</v>
      </c>
      <c r="D23" s="727"/>
      <c r="E23" s="61">
        <v>1165</v>
      </c>
      <c r="F23" s="573">
        <v>0</v>
      </c>
      <c r="G23" s="1460"/>
      <c r="H23" s="508">
        <f t="shared" si="1"/>
        <v>0</v>
      </c>
      <c r="I23" s="573">
        <v>1969</v>
      </c>
      <c r="J23" s="1968"/>
      <c r="K23" s="637">
        <f t="shared" si="0"/>
        <v>1969</v>
      </c>
      <c r="L23" s="1675">
        <v>81824</v>
      </c>
      <c r="M23" s="430">
        <v>0</v>
      </c>
      <c r="N23" s="419"/>
      <c r="O23" s="525">
        <f t="shared" si="2"/>
        <v>81824</v>
      </c>
      <c r="P23" s="61">
        <v>15430</v>
      </c>
      <c r="Q23" s="61">
        <v>24516</v>
      </c>
      <c r="R23" s="61">
        <v>0</v>
      </c>
      <c r="S23" s="419"/>
      <c r="T23" s="1978"/>
      <c r="U23" s="350"/>
      <c r="V23" s="526">
        <f t="shared" si="3"/>
        <v>39946</v>
      </c>
    </row>
    <row r="24" spans="1:22">
      <c r="A24" s="85">
        <v>1995.03</v>
      </c>
      <c r="B24" s="74">
        <v>127</v>
      </c>
      <c r="C24" s="61">
        <v>190</v>
      </c>
      <c r="D24" s="727"/>
      <c r="E24" s="61">
        <v>1709</v>
      </c>
      <c r="F24" s="573">
        <v>0</v>
      </c>
      <c r="G24" s="1460"/>
      <c r="H24" s="508">
        <f t="shared" si="1"/>
        <v>0</v>
      </c>
      <c r="I24" s="573">
        <v>6264</v>
      </c>
      <c r="J24" s="1968"/>
      <c r="K24" s="637">
        <f t="shared" si="0"/>
        <v>6264</v>
      </c>
      <c r="L24" s="1675">
        <v>111740</v>
      </c>
      <c r="M24" s="430">
        <v>0</v>
      </c>
      <c r="N24" s="419"/>
      <c r="O24" s="525">
        <f t="shared" si="2"/>
        <v>111740</v>
      </c>
      <c r="P24" s="61">
        <v>17560</v>
      </c>
      <c r="Q24" s="61">
        <v>27132</v>
      </c>
      <c r="R24" s="61">
        <v>0</v>
      </c>
      <c r="S24" s="419"/>
      <c r="T24" s="1978"/>
      <c r="U24" s="350"/>
      <c r="V24" s="526">
        <f t="shared" si="3"/>
        <v>44692</v>
      </c>
    </row>
    <row r="25" spans="1:22">
      <c r="A25" s="85">
        <v>1995.04</v>
      </c>
      <c r="B25" s="74">
        <v>40</v>
      </c>
      <c r="C25" s="61">
        <v>41</v>
      </c>
      <c r="D25" s="727"/>
      <c r="E25" s="61">
        <v>2731</v>
      </c>
      <c r="F25" s="573">
        <v>0</v>
      </c>
      <c r="G25" s="1460"/>
      <c r="H25" s="508">
        <f t="shared" si="1"/>
        <v>0</v>
      </c>
      <c r="I25" s="573">
        <v>8402</v>
      </c>
      <c r="J25" s="1968"/>
      <c r="K25" s="637">
        <f t="shared" si="0"/>
        <v>8402</v>
      </c>
      <c r="L25" s="1675">
        <v>106911</v>
      </c>
      <c r="M25" s="430">
        <v>0</v>
      </c>
      <c r="N25" s="419"/>
      <c r="O25" s="525">
        <f t="shared" si="2"/>
        <v>106911</v>
      </c>
      <c r="P25" s="61">
        <v>16058</v>
      </c>
      <c r="Q25" s="61">
        <v>24877</v>
      </c>
      <c r="R25" s="61">
        <v>0</v>
      </c>
      <c r="S25" s="419"/>
      <c r="T25" s="1978"/>
      <c r="U25" s="350"/>
      <c r="V25" s="526">
        <f t="shared" si="3"/>
        <v>40935</v>
      </c>
    </row>
    <row r="26" spans="1:22">
      <c r="A26" s="85">
        <v>1995.05</v>
      </c>
      <c r="B26" s="74">
        <v>37</v>
      </c>
      <c r="C26" s="61">
        <v>64</v>
      </c>
      <c r="D26" s="727"/>
      <c r="E26" s="61">
        <v>4267</v>
      </c>
      <c r="F26" s="573">
        <v>0</v>
      </c>
      <c r="G26" s="1460"/>
      <c r="H26" s="508">
        <f t="shared" si="1"/>
        <v>0</v>
      </c>
      <c r="I26" s="573">
        <v>4989</v>
      </c>
      <c r="J26" s="1968"/>
      <c r="K26" s="637">
        <f t="shared" si="0"/>
        <v>4989</v>
      </c>
      <c r="L26" s="1675">
        <v>120530</v>
      </c>
      <c r="M26" s="430">
        <v>0</v>
      </c>
      <c r="N26" s="419"/>
      <c r="O26" s="525">
        <f t="shared" si="2"/>
        <v>120530</v>
      </c>
      <c r="P26" s="61">
        <v>17801</v>
      </c>
      <c r="Q26" s="61">
        <v>25046</v>
      </c>
      <c r="R26" s="61">
        <v>0</v>
      </c>
      <c r="S26" s="419"/>
      <c r="T26" s="1978"/>
      <c r="U26" s="350"/>
      <c r="V26" s="526">
        <f t="shared" si="3"/>
        <v>42847</v>
      </c>
    </row>
    <row r="27" spans="1:22">
      <c r="A27" s="85">
        <v>1995.06</v>
      </c>
      <c r="B27" s="74">
        <v>23</v>
      </c>
      <c r="C27" s="61">
        <v>62</v>
      </c>
      <c r="D27" s="727"/>
      <c r="E27" s="61">
        <v>9744</v>
      </c>
      <c r="F27" s="573">
        <v>35</v>
      </c>
      <c r="G27" s="1460"/>
      <c r="H27" s="508">
        <f t="shared" si="1"/>
        <v>35</v>
      </c>
      <c r="I27" s="573">
        <v>3857</v>
      </c>
      <c r="J27" s="1968"/>
      <c r="K27" s="637">
        <f t="shared" si="0"/>
        <v>3857</v>
      </c>
      <c r="L27" s="1675">
        <v>112664</v>
      </c>
      <c r="M27" s="430">
        <v>0</v>
      </c>
      <c r="N27" s="419"/>
      <c r="O27" s="525">
        <f t="shared" si="2"/>
        <v>112664</v>
      </c>
      <c r="P27" s="61">
        <v>18218</v>
      </c>
      <c r="Q27" s="61">
        <v>25522</v>
      </c>
      <c r="R27" s="61">
        <v>0</v>
      </c>
      <c r="S27" s="419"/>
      <c r="T27" s="1978"/>
      <c r="U27" s="350"/>
      <c r="V27" s="526">
        <f t="shared" si="3"/>
        <v>43740</v>
      </c>
    </row>
    <row r="28" spans="1:22">
      <c r="A28" s="85">
        <v>1995.07</v>
      </c>
      <c r="B28" s="74">
        <v>54</v>
      </c>
      <c r="C28" s="61">
        <v>67</v>
      </c>
      <c r="D28" s="727"/>
      <c r="E28" s="61">
        <v>10323</v>
      </c>
      <c r="F28" s="573">
        <v>0</v>
      </c>
      <c r="G28" s="1460"/>
      <c r="H28" s="508">
        <f t="shared" si="1"/>
        <v>0</v>
      </c>
      <c r="I28" s="573">
        <v>9335</v>
      </c>
      <c r="J28" s="1968"/>
      <c r="K28" s="637">
        <f t="shared" si="0"/>
        <v>9335</v>
      </c>
      <c r="L28" s="1675">
        <v>105526</v>
      </c>
      <c r="M28" s="430">
        <v>0</v>
      </c>
      <c r="N28" s="419"/>
      <c r="O28" s="525">
        <f t="shared" si="2"/>
        <v>105526</v>
      </c>
      <c r="P28" s="61">
        <v>18431</v>
      </c>
      <c r="Q28" s="61">
        <v>25896</v>
      </c>
      <c r="R28" s="61">
        <v>0</v>
      </c>
      <c r="S28" s="419"/>
      <c r="T28" s="1978"/>
      <c r="U28" s="350"/>
      <c r="V28" s="526">
        <f t="shared" si="3"/>
        <v>44327</v>
      </c>
    </row>
    <row r="29" spans="1:22">
      <c r="A29" s="85">
        <v>1995.08</v>
      </c>
      <c r="B29" s="74">
        <v>103</v>
      </c>
      <c r="C29" s="61">
        <v>84</v>
      </c>
      <c r="D29" s="727"/>
      <c r="E29" s="61">
        <v>8515</v>
      </c>
      <c r="F29" s="573">
        <v>0</v>
      </c>
      <c r="G29" s="1460"/>
      <c r="H29" s="508">
        <f t="shared" si="1"/>
        <v>0</v>
      </c>
      <c r="I29" s="573">
        <v>8900</v>
      </c>
      <c r="J29" s="1968"/>
      <c r="K29" s="637">
        <f t="shared" si="0"/>
        <v>8900</v>
      </c>
      <c r="L29" s="1675">
        <v>98590</v>
      </c>
      <c r="M29" s="430">
        <v>0</v>
      </c>
      <c r="N29" s="419"/>
      <c r="O29" s="525">
        <f t="shared" si="2"/>
        <v>98590</v>
      </c>
      <c r="P29" s="61">
        <v>18496</v>
      </c>
      <c r="Q29" s="61">
        <v>26025</v>
      </c>
      <c r="R29" s="61">
        <v>0</v>
      </c>
      <c r="S29" s="419"/>
      <c r="T29" s="1978"/>
      <c r="U29" s="350"/>
      <c r="V29" s="526">
        <f t="shared" si="3"/>
        <v>44521</v>
      </c>
    </row>
    <row r="30" spans="1:22">
      <c r="A30" s="85">
        <v>1995.09</v>
      </c>
      <c r="B30" s="74">
        <v>37</v>
      </c>
      <c r="C30" s="61">
        <v>103</v>
      </c>
      <c r="D30" s="727"/>
      <c r="E30" s="61">
        <v>1065</v>
      </c>
      <c r="F30" s="573">
        <v>0</v>
      </c>
      <c r="G30" s="1460"/>
      <c r="H30" s="508">
        <f t="shared" si="1"/>
        <v>0</v>
      </c>
      <c r="I30" s="573">
        <v>6482</v>
      </c>
      <c r="J30" s="1968"/>
      <c r="K30" s="637">
        <f t="shared" si="0"/>
        <v>6482</v>
      </c>
      <c r="L30" s="1675">
        <v>101168</v>
      </c>
      <c r="M30" s="430">
        <v>0</v>
      </c>
      <c r="N30" s="419"/>
      <c r="O30" s="525">
        <f t="shared" si="2"/>
        <v>101168</v>
      </c>
      <c r="P30" s="61">
        <v>17779</v>
      </c>
      <c r="Q30" s="61">
        <v>25011</v>
      </c>
      <c r="R30" s="61">
        <v>0</v>
      </c>
      <c r="S30" s="419"/>
      <c r="T30" s="1978"/>
      <c r="U30" s="350"/>
      <c r="V30" s="526">
        <f t="shared" si="3"/>
        <v>42790</v>
      </c>
    </row>
    <row r="31" spans="1:22">
      <c r="A31" s="85">
        <v>1995.1</v>
      </c>
      <c r="B31" s="74">
        <v>68</v>
      </c>
      <c r="C31" s="61">
        <v>110</v>
      </c>
      <c r="D31" s="727"/>
      <c r="E31" s="61">
        <v>1054</v>
      </c>
      <c r="F31" s="573">
        <v>0</v>
      </c>
      <c r="G31" s="1460"/>
      <c r="H31" s="508">
        <f t="shared" si="1"/>
        <v>0</v>
      </c>
      <c r="I31" s="573">
        <v>10840</v>
      </c>
      <c r="J31" s="1968"/>
      <c r="K31" s="637">
        <f t="shared" si="0"/>
        <v>10840</v>
      </c>
      <c r="L31" s="1675">
        <v>108304</v>
      </c>
      <c r="M31" s="430">
        <v>0</v>
      </c>
      <c r="N31" s="419"/>
      <c r="O31" s="525">
        <f t="shared" si="2"/>
        <v>108304</v>
      </c>
      <c r="P31" s="61">
        <v>16821</v>
      </c>
      <c r="Q31" s="61">
        <v>23643</v>
      </c>
      <c r="R31" s="61">
        <v>0</v>
      </c>
      <c r="S31" s="419"/>
      <c r="T31" s="1978"/>
      <c r="U31" s="350"/>
      <c r="V31" s="526">
        <f t="shared" si="3"/>
        <v>40464</v>
      </c>
    </row>
    <row r="32" spans="1:22">
      <c r="A32" s="85">
        <v>1995.11</v>
      </c>
      <c r="B32" s="74">
        <v>78</v>
      </c>
      <c r="C32" s="61">
        <v>182</v>
      </c>
      <c r="D32" s="727"/>
      <c r="E32" s="61">
        <v>505</v>
      </c>
      <c r="F32" s="573">
        <v>0</v>
      </c>
      <c r="G32" s="1460"/>
      <c r="H32" s="508">
        <f t="shared" si="1"/>
        <v>0</v>
      </c>
      <c r="I32" s="573">
        <v>2042</v>
      </c>
      <c r="J32" s="1968"/>
      <c r="K32" s="637">
        <f t="shared" si="0"/>
        <v>2042</v>
      </c>
      <c r="L32" s="1675">
        <v>114074</v>
      </c>
      <c r="M32" s="430">
        <v>0</v>
      </c>
      <c r="N32" s="419"/>
      <c r="O32" s="525">
        <f t="shared" si="2"/>
        <v>114074</v>
      </c>
      <c r="P32" s="61">
        <v>17043</v>
      </c>
      <c r="Q32" s="61">
        <v>23521</v>
      </c>
      <c r="R32" s="61">
        <v>0</v>
      </c>
      <c r="S32" s="419"/>
      <c r="T32" s="1978"/>
      <c r="U32" s="350"/>
      <c r="V32" s="526">
        <f t="shared" si="3"/>
        <v>40564</v>
      </c>
    </row>
    <row r="33" spans="1:22">
      <c r="A33" s="85">
        <v>1995.12</v>
      </c>
      <c r="B33" s="74">
        <v>88</v>
      </c>
      <c r="C33" s="61">
        <v>155</v>
      </c>
      <c r="D33" s="727"/>
      <c r="E33" s="61">
        <v>468</v>
      </c>
      <c r="F33" s="573">
        <v>640</v>
      </c>
      <c r="G33" s="1460"/>
      <c r="H33" s="508">
        <f t="shared" si="1"/>
        <v>640</v>
      </c>
      <c r="I33" s="573">
        <v>12420</v>
      </c>
      <c r="J33" s="1968"/>
      <c r="K33" s="637">
        <f t="shared" si="0"/>
        <v>12420</v>
      </c>
      <c r="L33" s="1675">
        <v>103044</v>
      </c>
      <c r="M33" s="430">
        <v>0</v>
      </c>
      <c r="N33" s="419"/>
      <c r="O33" s="525">
        <f t="shared" si="2"/>
        <v>103044</v>
      </c>
      <c r="P33" s="61">
        <v>17892</v>
      </c>
      <c r="Q33" s="61">
        <v>25818</v>
      </c>
      <c r="R33" s="61">
        <v>0</v>
      </c>
      <c r="S33" s="419"/>
      <c r="T33" s="1978"/>
      <c r="U33" s="350"/>
      <c r="V33" s="526">
        <f t="shared" si="3"/>
        <v>43710</v>
      </c>
    </row>
    <row r="34" spans="1:22">
      <c r="A34" s="85">
        <v>1996.01</v>
      </c>
      <c r="B34" s="74">
        <v>125</v>
      </c>
      <c r="C34" s="61">
        <v>320</v>
      </c>
      <c r="D34" s="727"/>
      <c r="E34" s="61">
        <v>1228</v>
      </c>
      <c r="F34" s="573">
        <v>628</v>
      </c>
      <c r="G34" s="1460"/>
      <c r="H34" s="508">
        <f t="shared" si="1"/>
        <v>628</v>
      </c>
      <c r="I34" s="573">
        <v>29152</v>
      </c>
      <c r="J34" s="1968"/>
      <c r="K34" s="637">
        <f t="shared" si="0"/>
        <v>29152</v>
      </c>
      <c r="L34" s="1675">
        <v>94911</v>
      </c>
      <c r="M34" s="430">
        <v>0</v>
      </c>
      <c r="N34" s="419"/>
      <c r="O34" s="525">
        <f t="shared" si="2"/>
        <v>94911</v>
      </c>
      <c r="P34" s="61">
        <v>16914</v>
      </c>
      <c r="Q34" s="61">
        <v>24220</v>
      </c>
      <c r="R34" s="61">
        <v>0</v>
      </c>
      <c r="S34" s="419"/>
      <c r="T34" s="1978"/>
      <c r="U34" s="350"/>
      <c r="V34" s="526">
        <f t="shared" si="3"/>
        <v>41134</v>
      </c>
    </row>
    <row r="35" spans="1:22">
      <c r="A35" s="85">
        <v>1996.02</v>
      </c>
      <c r="B35" s="74">
        <v>99</v>
      </c>
      <c r="C35" s="61">
        <v>404</v>
      </c>
      <c r="D35" s="727"/>
      <c r="E35" s="61">
        <v>1404</v>
      </c>
      <c r="F35" s="573">
        <v>0</v>
      </c>
      <c r="G35" s="1460"/>
      <c r="H35" s="508">
        <f t="shared" si="1"/>
        <v>0</v>
      </c>
      <c r="I35" s="573">
        <v>39755</v>
      </c>
      <c r="J35" s="1968"/>
      <c r="K35" s="637">
        <f t="shared" si="0"/>
        <v>39755</v>
      </c>
      <c r="L35" s="1675">
        <v>96443</v>
      </c>
      <c r="M35" s="430">
        <v>0</v>
      </c>
      <c r="N35" s="419"/>
      <c r="O35" s="525">
        <f t="shared" si="2"/>
        <v>96443</v>
      </c>
      <c r="P35" s="61">
        <v>15697</v>
      </c>
      <c r="Q35" s="61">
        <v>23220</v>
      </c>
      <c r="R35" s="61">
        <v>0</v>
      </c>
      <c r="S35" s="419"/>
      <c r="T35" s="1978"/>
      <c r="U35" s="350"/>
      <c r="V35" s="526">
        <f t="shared" si="3"/>
        <v>38917</v>
      </c>
    </row>
    <row r="36" spans="1:22">
      <c r="A36" s="85">
        <v>1996.03</v>
      </c>
      <c r="B36" s="74">
        <v>234</v>
      </c>
      <c r="C36" s="61">
        <v>429</v>
      </c>
      <c r="D36" s="727"/>
      <c r="E36" s="61">
        <v>1386</v>
      </c>
      <c r="F36" s="573">
        <v>393</v>
      </c>
      <c r="G36" s="1460"/>
      <c r="H36" s="508">
        <f t="shared" si="1"/>
        <v>393</v>
      </c>
      <c r="I36" s="573">
        <v>34981</v>
      </c>
      <c r="J36" s="1968"/>
      <c r="K36" s="637">
        <f t="shared" si="0"/>
        <v>34981</v>
      </c>
      <c r="L36" s="1675">
        <v>110981</v>
      </c>
      <c r="M36" s="430">
        <v>0</v>
      </c>
      <c r="N36" s="419"/>
      <c r="O36" s="525">
        <f t="shared" si="2"/>
        <v>110981</v>
      </c>
      <c r="P36" s="61">
        <v>15783</v>
      </c>
      <c r="Q36" s="61">
        <v>23662</v>
      </c>
      <c r="R36" s="61">
        <v>0</v>
      </c>
      <c r="S36" s="419"/>
      <c r="T36" s="1978"/>
      <c r="U36" s="350"/>
      <c r="V36" s="526">
        <f t="shared" si="3"/>
        <v>39445</v>
      </c>
    </row>
    <row r="37" spans="1:22">
      <c r="A37" s="85">
        <v>1996.04</v>
      </c>
      <c r="B37" s="74">
        <v>90</v>
      </c>
      <c r="C37" s="61">
        <v>121</v>
      </c>
      <c r="D37" s="727"/>
      <c r="E37" s="61">
        <v>2918</v>
      </c>
      <c r="F37" s="573">
        <v>85</v>
      </c>
      <c r="G37" s="1460"/>
      <c r="H37" s="508">
        <f t="shared" si="1"/>
        <v>85</v>
      </c>
      <c r="I37" s="573">
        <v>22753</v>
      </c>
      <c r="J37" s="1968"/>
      <c r="K37" s="637">
        <f t="shared" si="0"/>
        <v>22753</v>
      </c>
      <c r="L37" s="1675">
        <v>121408</v>
      </c>
      <c r="M37" s="430">
        <v>0</v>
      </c>
      <c r="N37" s="419"/>
      <c r="O37" s="525">
        <f t="shared" si="2"/>
        <v>121408</v>
      </c>
      <c r="P37" s="61">
        <v>16473</v>
      </c>
      <c r="Q37" s="61">
        <v>24288</v>
      </c>
      <c r="R37" s="61">
        <v>0</v>
      </c>
      <c r="S37" s="419"/>
      <c r="T37" s="1978"/>
      <c r="U37" s="350"/>
      <c r="V37" s="526">
        <f t="shared" si="3"/>
        <v>40761</v>
      </c>
    </row>
    <row r="38" spans="1:22">
      <c r="A38" s="85">
        <v>1996.05</v>
      </c>
      <c r="B38" s="74">
        <v>45</v>
      </c>
      <c r="C38" s="61">
        <v>88</v>
      </c>
      <c r="D38" s="727"/>
      <c r="E38" s="61">
        <v>5778</v>
      </c>
      <c r="F38" s="573">
        <v>717</v>
      </c>
      <c r="G38" s="1460"/>
      <c r="H38" s="508">
        <f t="shared" si="1"/>
        <v>717</v>
      </c>
      <c r="I38" s="573">
        <v>27711</v>
      </c>
      <c r="J38" s="1968"/>
      <c r="K38" s="637">
        <f t="shared" si="0"/>
        <v>27711</v>
      </c>
      <c r="L38" s="1675">
        <v>144208</v>
      </c>
      <c r="M38" s="430">
        <v>0</v>
      </c>
      <c r="N38" s="419"/>
      <c r="O38" s="525">
        <f t="shared" si="2"/>
        <v>144208</v>
      </c>
      <c r="P38" s="61">
        <v>17221</v>
      </c>
      <c r="Q38" s="61">
        <v>23817</v>
      </c>
      <c r="R38" s="61">
        <v>0</v>
      </c>
      <c r="S38" s="419"/>
      <c r="T38" s="1978"/>
      <c r="U38" s="350"/>
      <c r="V38" s="526">
        <f t="shared" si="3"/>
        <v>41038</v>
      </c>
    </row>
    <row r="39" spans="1:22">
      <c r="A39" s="85">
        <v>1996.06</v>
      </c>
      <c r="B39" s="74">
        <v>31</v>
      </c>
      <c r="C39" s="61">
        <v>64</v>
      </c>
      <c r="D39" s="727"/>
      <c r="E39" s="61">
        <v>12076</v>
      </c>
      <c r="F39" s="573">
        <v>356</v>
      </c>
      <c r="G39" s="1460"/>
      <c r="H39" s="508">
        <f t="shared" si="1"/>
        <v>356</v>
      </c>
      <c r="I39" s="573">
        <v>35145</v>
      </c>
      <c r="J39" s="1968"/>
      <c r="K39" s="637">
        <f t="shared" si="0"/>
        <v>35145</v>
      </c>
      <c r="L39" s="1675">
        <v>116151</v>
      </c>
      <c r="M39" s="430">
        <v>0</v>
      </c>
      <c r="N39" s="419"/>
      <c r="O39" s="525">
        <f t="shared" si="2"/>
        <v>116151</v>
      </c>
      <c r="P39" s="61">
        <v>16270</v>
      </c>
      <c r="Q39" s="61">
        <v>22130</v>
      </c>
      <c r="R39" s="61">
        <v>0</v>
      </c>
      <c r="S39" s="419"/>
      <c r="T39" s="1978"/>
      <c r="U39" s="350"/>
      <c r="V39" s="526">
        <f t="shared" si="3"/>
        <v>38400</v>
      </c>
    </row>
    <row r="40" spans="1:22">
      <c r="A40" s="85">
        <v>1996.07</v>
      </c>
      <c r="B40" s="74">
        <v>41</v>
      </c>
      <c r="C40" s="61">
        <v>75</v>
      </c>
      <c r="D40" s="727"/>
      <c r="E40" s="61">
        <v>14115</v>
      </c>
      <c r="F40" s="573">
        <v>1049</v>
      </c>
      <c r="G40" s="1460"/>
      <c r="H40" s="508">
        <f t="shared" si="1"/>
        <v>1049</v>
      </c>
      <c r="I40" s="573">
        <v>36176</v>
      </c>
      <c r="J40" s="1968"/>
      <c r="K40" s="637">
        <f t="shared" si="0"/>
        <v>36176</v>
      </c>
      <c r="L40" s="1675">
        <v>126486</v>
      </c>
      <c r="M40" s="430">
        <v>0</v>
      </c>
      <c r="N40" s="419"/>
      <c r="O40" s="525">
        <f t="shared" si="2"/>
        <v>126486</v>
      </c>
      <c r="P40" s="61">
        <v>18241</v>
      </c>
      <c r="Q40" s="61">
        <v>25048</v>
      </c>
      <c r="R40" s="61">
        <v>0</v>
      </c>
      <c r="S40" s="419"/>
      <c r="T40" s="1978"/>
      <c r="U40" s="350"/>
      <c r="V40" s="526">
        <f t="shared" si="3"/>
        <v>43289</v>
      </c>
    </row>
    <row r="41" spans="1:22">
      <c r="A41" s="85">
        <v>1996.08</v>
      </c>
      <c r="B41" s="74">
        <v>30</v>
      </c>
      <c r="C41" s="61">
        <v>109</v>
      </c>
      <c r="D41" s="727"/>
      <c r="E41" s="61">
        <v>3629</v>
      </c>
      <c r="F41" s="573">
        <v>864</v>
      </c>
      <c r="G41" s="1460"/>
      <c r="H41" s="508">
        <f t="shared" si="1"/>
        <v>864</v>
      </c>
      <c r="I41" s="573">
        <v>12480</v>
      </c>
      <c r="J41" s="1968"/>
      <c r="K41" s="637">
        <f t="shared" si="0"/>
        <v>12480</v>
      </c>
      <c r="L41" s="1675">
        <v>151172</v>
      </c>
      <c r="M41" s="430">
        <v>0</v>
      </c>
      <c r="N41" s="419"/>
      <c r="O41" s="525">
        <f t="shared" si="2"/>
        <v>151172</v>
      </c>
      <c r="P41" s="61">
        <v>19032</v>
      </c>
      <c r="Q41" s="61">
        <v>25991</v>
      </c>
      <c r="R41" s="61">
        <v>0</v>
      </c>
      <c r="S41" s="419"/>
      <c r="T41" s="1978"/>
      <c r="U41" s="350"/>
      <c r="V41" s="526">
        <f t="shared" si="3"/>
        <v>45023</v>
      </c>
    </row>
    <row r="42" spans="1:22">
      <c r="A42" s="85">
        <v>1996.09</v>
      </c>
      <c r="B42" s="74">
        <v>76</v>
      </c>
      <c r="C42" s="61">
        <v>74</v>
      </c>
      <c r="D42" s="727"/>
      <c r="E42" s="61">
        <v>2101</v>
      </c>
      <c r="F42" s="573">
        <v>1386</v>
      </c>
      <c r="G42" s="1460"/>
      <c r="H42" s="508">
        <f t="shared" si="1"/>
        <v>1386</v>
      </c>
      <c r="I42" s="573">
        <v>18094</v>
      </c>
      <c r="J42" s="1968"/>
      <c r="K42" s="637">
        <f t="shared" si="0"/>
        <v>18094</v>
      </c>
      <c r="L42" s="1675">
        <v>114343</v>
      </c>
      <c r="M42" s="430">
        <v>0</v>
      </c>
      <c r="N42" s="419"/>
      <c r="O42" s="525">
        <f t="shared" si="2"/>
        <v>114343</v>
      </c>
      <c r="P42" s="61">
        <v>17916</v>
      </c>
      <c r="Q42" s="61">
        <v>24161</v>
      </c>
      <c r="R42" s="61">
        <v>0</v>
      </c>
      <c r="S42" s="419"/>
      <c r="T42" s="1978"/>
      <c r="U42" s="350"/>
      <c r="V42" s="526">
        <f t="shared" si="3"/>
        <v>42077</v>
      </c>
    </row>
    <row r="43" spans="1:22">
      <c r="A43" s="85">
        <v>1996.1</v>
      </c>
      <c r="B43" s="74">
        <v>102</v>
      </c>
      <c r="C43" s="61">
        <v>88</v>
      </c>
      <c r="D43" s="727"/>
      <c r="E43" s="61">
        <v>687</v>
      </c>
      <c r="F43" s="573">
        <v>170</v>
      </c>
      <c r="G43" s="1460"/>
      <c r="H43" s="508">
        <f t="shared" si="1"/>
        <v>170</v>
      </c>
      <c r="I43" s="573">
        <v>13552</v>
      </c>
      <c r="J43" s="1968"/>
      <c r="K43" s="637">
        <f t="shared" si="0"/>
        <v>13552</v>
      </c>
      <c r="L43" s="1675">
        <v>90887</v>
      </c>
      <c r="M43" s="430">
        <v>0</v>
      </c>
      <c r="N43" s="419"/>
      <c r="O43" s="525">
        <f t="shared" si="2"/>
        <v>90887</v>
      </c>
      <c r="P43" s="61">
        <v>15788</v>
      </c>
      <c r="Q43" s="61">
        <v>21186</v>
      </c>
      <c r="R43" s="61">
        <v>0</v>
      </c>
      <c r="S43" s="419"/>
      <c r="T43" s="1978"/>
      <c r="U43" s="350"/>
      <c r="V43" s="526">
        <f t="shared" si="3"/>
        <v>36974</v>
      </c>
    </row>
    <row r="44" spans="1:22">
      <c r="A44" s="85">
        <v>1996.11</v>
      </c>
      <c r="B44" s="74">
        <v>86</v>
      </c>
      <c r="C44" s="61">
        <v>150</v>
      </c>
      <c r="D44" s="727"/>
      <c r="E44" s="61">
        <v>651</v>
      </c>
      <c r="F44" s="573">
        <v>414</v>
      </c>
      <c r="G44" s="1460"/>
      <c r="H44" s="508">
        <f t="shared" si="1"/>
        <v>414</v>
      </c>
      <c r="I44" s="573">
        <v>10648</v>
      </c>
      <c r="J44" s="1968"/>
      <c r="K44" s="637">
        <f t="shared" si="0"/>
        <v>10648</v>
      </c>
      <c r="L44" s="1675">
        <v>120178</v>
      </c>
      <c r="M44" s="430">
        <v>0</v>
      </c>
      <c r="N44" s="419"/>
      <c r="O44" s="525">
        <f t="shared" si="2"/>
        <v>120178</v>
      </c>
      <c r="P44" s="61">
        <v>16965</v>
      </c>
      <c r="Q44" s="61">
        <v>23136</v>
      </c>
      <c r="R44" s="61">
        <v>0</v>
      </c>
      <c r="S44" s="419"/>
      <c r="T44" s="1978"/>
      <c r="U44" s="350"/>
      <c r="V44" s="526">
        <f t="shared" si="3"/>
        <v>40101</v>
      </c>
    </row>
    <row r="45" spans="1:22">
      <c r="A45" s="85">
        <v>1996.12</v>
      </c>
      <c r="B45" s="74">
        <v>149</v>
      </c>
      <c r="C45" s="61">
        <v>143</v>
      </c>
      <c r="D45" s="727"/>
      <c r="E45" s="61">
        <v>724</v>
      </c>
      <c r="F45" s="573">
        <v>188</v>
      </c>
      <c r="G45" s="1460"/>
      <c r="H45" s="508">
        <f t="shared" si="1"/>
        <v>188</v>
      </c>
      <c r="I45" s="573">
        <v>11374</v>
      </c>
      <c r="J45" s="1968"/>
      <c r="K45" s="637">
        <f t="shared" si="0"/>
        <v>11374</v>
      </c>
      <c r="L45" s="1675">
        <v>122448</v>
      </c>
      <c r="M45" s="430">
        <v>0</v>
      </c>
      <c r="N45" s="419"/>
      <c r="O45" s="525">
        <f t="shared" si="2"/>
        <v>122448</v>
      </c>
      <c r="P45" s="61">
        <v>19526</v>
      </c>
      <c r="Q45" s="61">
        <v>26572</v>
      </c>
      <c r="R45" s="61">
        <v>0</v>
      </c>
      <c r="S45" s="419"/>
      <c r="T45" s="1978"/>
      <c r="U45" s="350"/>
      <c r="V45" s="526">
        <f t="shared" si="3"/>
        <v>46098</v>
      </c>
    </row>
    <row r="46" spans="1:22">
      <c r="A46" s="85">
        <v>1997.01</v>
      </c>
      <c r="B46" s="74">
        <v>186</v>
      </c>
      <c r="C46" s="61">
        <v>403</v>
      </c>
      <c r="D46" s="727"/>
      <c r="E46" s="61">
        <v>885</v>
      </c>
      <c r="F46" s="573">
        <v>0</v>
      </c>
      <c r="G46" s="1460"/>
      <c r="H46" s="508">
        <f t="shared" si="1"/>
        <v>0</v>
      </c>
      <c r="I46" s="573">
        <v>9333</v>
      </c>
      <c r="J46" s="1968"/>
      <c r="K46" s="637">
        <f t="shared" si="0"/>
        <v>9333</v>
      </c>
      <c r="L46" s="1675">
        <v>94390</v>
      </c>
      <c r="M46" s="430">
        <v>0</v>
      </c>
      <c r="N46" s="419"/>
      <c r="O46" s="525">
        <f t="shared" si="2"/>
        <v>94390</v>
      </c>
      <c r="P46" s="61">
        <v>16842</v>
      </c>
      <c r="Q46" s="61">
        <v>24257</v>
      </c>
      <c r="R46" s="61">
        <v>0</v>
      </c>
      <c r="S46" s="419"/>
      <c r="T46" s="1978"/>
      <c r="U46" s="350"/>
      <c r="V46" s="526">
        <f t="shared" si="3"/>
        <v>41099</v>
      </c>
    </row>
    <row r="47" spans="1:22">
      <c r="A47" s="85">
        <v>1997.02</v>
      </c>
      <c r="B47" s="74">
        <v>111</v>
      </c>
      <c r="C47" s="61">
        <v>241</v>
      </c>
      <c r="D47" s="727"/>
      <c r="E47" s="61">
        <v>770</v>
      </c>
      <c r="F47" s="573">
        <v>0</v>
      </c>
      <c r="G47" s="1460"/>
      <c r="H47" s="508">
        <f t="shared" si="1"/>
        <v>0</v>
      </c>
      <c r="I47" s="573">
        <v>8302</v>
      </c>
      <c r="J47" s="1968"/>
      <c r="K47" s="637">
        <f t="shared" si="0"/>
        <v>8302</v>
      </c>
      <c r="L47" s="1675">
        <v>86335</v>
      </c>
      <c r="M47" s="430">
        <v>0</v>
      </c>
      <c r="N47" s="419"/>
      <c r="O47" s="525">
        <f t="shared" si="2"/>
        <v>86335</v>
      </c>
      <c r="P47" s="61">
        <v>14408</v>
      </c>
      <c r="Q47" s="61">
        <v>21609</v>
      </c>
      <c r="R47" s="61">
        <v>0</v>
      </c>
      <c r="S47" s="419"/>
      <c r="T47" s="1978"/>
      <c r="U47" s="350"/>
      <c r="V47" s="526">
        <f t="shared" si="3"/>
        <v>36017</v>
      </c>
    </row>
    <row r="48" spans="1:22">
      <c r="A48" s="85">
        <v>1997.03</v>
      </c>
      <c r="B48" s="74">
        <v>129</v>
      </c>
      <c r="C48" s="61">
        <v>166</v>
      </c>
      <c r="D48" s="727"/>
      <c r="E48" s="61">
        <v>904</v>
      </c>
      <c r="F48" s="573">
        <v>0</v>
      </c>
      <c r="G48" s="1460"/>
      <c r="H48" s="508">
        <f t="shared" si="1"/>
        <v>0</v>
      </c>
      <c r="I48" s="573">
        <v>6803</v>
      </c>
      <c r="J48" s="1968"/>
      <c r="K48" s="637">
        <f t="shared" si="0"/>
        <v>6803</v>
      </c>
      <c r="L48" s="1675">
        <v>106370</v>
      </c>
      <c r="M48" s="430">
        <v>0</v>
      </c>
      <c r="N48" s="419"/>
      <c r="O48" s="525">
        <f t="shared" si="2"/>
        <v>106370</v>
      </c>
      <c r="P48" s="61">
        <v>15044</v>
      </c>
      <c r="Q48" s="61">
        <v>23500</v>
      </c>
      <c r="R48" s="61">
        <v>0</v>
      </c>
      <c r="S48" s="419"/>
      <c r="T48" s="1978"/>
      <c r="U48" s="350"/>
      <c r="V48" s="526">
        <f t="shared" si="3"/>
        <v>38544</v>
      </c>
    </row>
    <row r="49" spans="1:22">
      <c r="A49" s="85">
        <v>1997.04</v>
      </c>
      <c r="B49" s="74">
        <v>59</v>
      </c>
      <c r="C49" s="61">
        <v>92</v>
      </c>
      <c r="D49" s="727"/>
      <c r="E49" s="61">
        <v>1620</v>
      </c>
      <c r="F49" s="573">
        <v>0</v>
      </c>
      <c r="G49" s="1460"/>
      <c r="H49" s="508">
        <f t="shared" si="1"/>
        <v>0</v>
      </c>
      <c r="I49" s="573">
        <v>11721</v>
      </c>
      <c r="J49" s="1968"/>
      <c r="K49" s="637">
        <f t="shared" si="0"/>
        <v>11721</v>
      </c>
      <c r="L49" s="1675">
        <v>110516</v>
      </c>
      <c r="M49" s="430">
        <v>0</v>
      </c>
      <c r="N49" s="419"/>
      <c r="O49" s="525">
        <f t="shared" si="2"/>
        <v>110516</v>
      </c>
      <c r="P49" s="61">
        <v>15441</v>
      </c>
      <c r="Q49" s="61">
        <v>23499</v>
      </c>
      <c r="R49" s="61">
        <v>0</v>
      </c>
      <c r="S49" s="419"/>
      <c r="T49" s="1978"/>
      <c r="U49" s="350"/>
      <c r="V49" s="526">
        <f t="shared" si="3"/>
        <v>38940</v>
      </c>
    </row>
    <row r="50" spans="1:22">
      <c r="A50" s="85">
        <v>1997.05</v>
      </c>
      <c r="B50" s="74">
        <v>63</v>
      </c>
      <c r="C50" s="61">
        <v>65</v>
      </c>
      <c r="D50" s="727"/>
      <c r="E50" s="61">
        <v>4476</v>
      </c>
      <c r="F50" s="573">
        <v>0</v>
      </c>
      <c r="G50" s="1460"/>
      <c r="H50" s="508">
        <f t="shared" si="1"/>
        <v>0</v>
      </c>
      <c r="I50" s="573">
        <v>10327</v>
      </c>
      <c r="J50" s="1968"/>
      <c r="K50" s="637">
        <f t="shared" si="0"/>
        <v>10327</v>
      </c>
      <c r="L50" s="1675">
        <v>104072</v>
      </c>
      <c r="M50" s="430">
        <v>0</v>
      </c>
      <c r="N50" s="419"/>
      <c r="O50" s="525">
        <f t="shared" si="2"/>
        <v>104072</v>
      </c>
      <c r="P50" s="61">
        <v>14961</v>
      </c>
      <c r="Q50" s="61">
        <v>22569</v>
      </c>
      <c r="R50" s="61">
        <v>0</v>
      </c>
      <c r="S50" s="419"/>
      <c r="T50" s="1978"/>
      <c r="U50" s="350"/>
      <c r="V50" s="526">
        <f t="shared" si="3"/>
        <v>37530</v>
      </c>
    </row>
    <row r="51" spans="1:22">
      <c r="A51" s="85">
        <v>1997.06</v>
      </c>
      <c r="B51" s="74">
        <v>40</v>
      </c>
      <c r="C51" s="61">
        <v>40</v>
      </c>
      <c r="D51" s="727"/>
      <c r="E51" s="61">
        <v>6743</v>
      </c>
      <c r="F51" s="573">
        <v>0</v>
      </c>
      <c r="G51" s="1460"/>
      <c r="H51" s="508">
        <f t="shared" si="1"/>
        <v>0</v>
      </c>
      <c r="I51" s="573">
        <v>22937</v>
      </c>
      <c r="J51" s="1968"/>
      <c r="K51" s="637">
        <f t="shared" si="0"/>
        <v>22937</v>
      </c>
      <c r="L51" s="1675">
        <v>92241</v>
      </c>
      <c r="M51" s="430">
        <v>0</v>
      </c>
      <c r="N51" s="419"/>
      <c r="O51" s="525">
        <f t="shared" si="2"/>
        <v>92241</v>
      </c>
      <c r="P51" s="61">
        <v>14224</v>
      </c>
      <c r="Q51" s="61">
        <v>21848</v>
      </c>
      <c r="R51" s="61">
        <v>0</v>
      </c>
      <c r="S51" s="419"/>
      <c r="T51" s="1978"/>
      <c r="U51" s="350"/>
      <c r="V51" s="526">
        <f t="shared" si="3"/>
        <v>36072</v>
      </c>
    </row>
    <row r="52" spans="1:22">
      <c r="A52" s="85">
        <v>1997.07</v>
      </c>
      <c r="B52" s="74">
        <v>48</v>
      </c>
      <c r="C52" s="61">
        <v>53</v>
      </c>
      <c r="D52" s="727"/>
      <c r="E52" s="61">
        <v>8202</v>
      </c>
      <c r="F52" s="573">
        <v>0</v>
      </c>
      <c r="G52" s="1460"/>
      <c r="H52" s="508">
        <f t="shared" si="1"/>
        <v>0</v>
      </c>
      <c r="I52" s="573">
        <v>14705</v>
      </c>
      <c r="J52" s="1968"/>
      <c r="K52" s="637">
        <f t="shared" si="0"/>
        <v>14705</v>
      </c>
      <c r="L52" s="1675">
        <v>102199</v>
      </c>
      <c r="M52" s="430">
        <v>0</v>
      </c>
      <c r="N52" s="419"/>
      <c r="O52" s="525">
        <f t="shared" si="2"/>
        <v>102199</v>
      </c>
      <c r="P52" s="61">
        <v>16170</v>
      </c>
      <c r="Q52" s="61">
        <v>24477</v>
      </c>
      <c r="R52" s="61">
        <v>0</v>
      </c>
      <c r="S52" s="419"/>
      <c r="T52" s="1978"/>
      <c r="U52" s="350"/>
      <c r="V52" s="526">
        <f t="shared" si="3"/>
        <v>40647</v>
      </c>
    </row>
    <row r="53" spans="1:22">
      <c r="A53" s="85">
        <v>1997.08</v>
      </c>
      <c r="B53" s="74">
        <v>1601</v>
      </c>
      <c r="C53" s="61">
        <v>56</v>
      </c>
      <c r="D53" s="727"/>
      <c r="E53" s="61">
        <v>2935</v>
      </c>
      <c r="F53" s="573">
        <v>0</v>
      </c>
      <c r="G53" s="1460"/>
      <c r="H53" s="508">
        <f t="shared" si="1"/>
        <v>0</v>
      </c>
      <c r="I53" s="573">
        <v>12456</v>
      </c>
      <c r="J53" s="1968"/>
      <c r="K53" s="637">
        <f t="shared" si="0"/>
        <v>12456</v>
      </c>
      <c r="L53" s="1675">
        <v>97542</v>
      </c>
      <c r="M53" s="430">
        <v>0</v>
      </c>
      <c r="N53" s="419"/>
      <c r="O53" s="525">
        <f t="shared" si="2"/>
        <v>97542</v>
      </c>
      <c r="P53" s="61">
        <v>15112</v>
      </c>
      <c r="Q53" s="61">
        <v>23795</v>
      </c>
      <c r="R53" s="61">
        <v>0</v>
      </c>
      <c r="S53" s="419"/>
      <c r="T53" s="1978"/>
      <c r="U53" s="350"/>
      <c r="V53" s="526">
        <f t="shared" si="3"/>
        <v>38907</v>
      </c>
    </row>
    <row r="54" spans="1:22">
      <c r="A54" s="85">
        <v>1997.09</v>
      </c>
      <c r="B54" s="74">
        <v>1244</v>
      </c>
      <c r="C54" s="61">
        <v>52</v>
      </c>
      <c r="D54" s="727"/>
      <c r="E54" s="61">
        <v>995</v>
      </c>
      <c r="F54" s="573">
        <v>0</v>
      </c>
      <c r="G54" s="1460"/>
      <c r="H54" s="508">
        <f t="shared" si="1"/>
        <v>0</v>
      </c>
      <c r="I54" s="573">
        <v>9515</v>
      </c>
      <c r="J54" s="1968"/>
      <c r="K54" s="637">
        <f t="shared" si="0"/>
        <v>9515</v>
      </c>
      <c r="L54" s="1675">
        <v>101912</v>
      </c>
      <c r="M54" s="430">
        <v>0</v>
      </c>
      <c r="N54" s="419"/>
      <c r="O54" s="525">
        <f t="shared" si="2"/>
        <v>101912</v>
      </c>
      <c r="P54" s="61">
        <v>14246</v>
      </c>
      <c r="Q54" s="61">
        <v>22408</v>
      </c>
      <c r="R54" s="61">
        <v>0</v>
      </c>
      <c r="S54" s="419"/>
      <c r="T54" s="1978"/>
      <c r="U54" s="350"/>
      <c r="V54" s="526">
        <f t="shared" si="3"/>
        <v>36654</v>
      </c>
    </row>
    <row r="55" spans="1:22">
      <c r="A55" s="85">
        <v>1997.1</v>
      </c>
      <c r="B55" s="74">
        <v>1331</v>
      </c>
      <c r="C55" s="61">
        <v>103</v>
      </c>
      <c r="D55" s="727"/>
      <c r="E55" s="61">
        <v>556</v>
      </c>
      <c r="F55" s="573">
        <v>302</v>
      </c>
      <c r="G55" s="1460"/>
      <c r="H55" s="508">
        <f t="shared" si="1"/>
        <v>302</v>
      </c>
      <c r="I55" s="573">
        <v>12471</v>
      </c>
      <c r="J55" s="1968"/>
      <c r="K55" s="637">
        <f t="shared" si="0"/>
        <v>12471</v>
      </c>
      <c r="L55" s="1675">
        <v>110889</v>
      </c>
      <c r="M55" s="430">
        <v>0</v>
      </c>
      <c r="N55" s="419"/>
      <c r="O55" s="525">
        <f t="shared" si="2"/>
        <v>110889</v>
      </c>
      <c r="P55" s="61">
        <v>15398</v>
      </c>
      <c r="Q55" s="61">
        <v>24248</v>
      </c>
      <c r="R55" s="61">
        <v>0</v>
      </c>
      <c r="S55" s="419"/>
      <c r="T55" s="1978"/>
      <c r="U55" s="350"/>
      <c r="V55" s="526">
        <f t="shared" si="3"/>
        <v>39646</v>
      </c>
    </row>
    <row r="56" spans="1:22">
      <c r="A56" s="85">
        <v>1997.11</v>
      </c>
      <c r="B56" s="74">
        <v>1025</v>
      </c>
      <c r="C56" s="61">
        <v>85</v>
      </c>
      <c r="D56" s="727"/>
      <c r="E56" s="61">
        <v>604</v>
      </c>
      <c r="F56" s="573">
        <v>0</v>
      </c>
      <c r="G56" s="1460"/>
      <c r="H56" s="508">
        <f t="shared" si="1"/>
        <v>0</v>
      </c>
      <c r="I56" s="573">
        <v>5590</v>
      </c>
      <c r="J56" s="1968"/>
      <c r="K56" s="637">
        <f t="shared" si="0"/>
        <v>5590</v>
      </c>
      <c r="L56" s="1675">
        <v>106844</v>
      </c>
      <c r="M56" s="430">
        <v>0</v>
      </c>
      <c r="N56" s="419"/>
      <c r="O56" s="525">
        <f t="shared" si="2"/>
        <v>106844</v>
      </c>
      <c r="P56" s="61">
        <v>13595</v>
      </c>
      <c r="Q56" s="61">
        <v>22162</v>
      </c>
      <c r="R56" s="61">
        <v>0</v>
      </c>
      <c r="S56" s="419"/>
      <c r="T56" s="1978"/>
      <c r="U56" s="350"/>
      <c r="V56" s="526">
        <f t="shared" si="3"/>
        <v>35757</v>
      </c>
    </row>
    <row r="57" spans="1:22">
      <c r="A57" s="85">
        <v>1997.12</v>
      </c>
      <c r="B57" s="74">
        <v>841</v>
      </c>
      <c r="C57" s="61">
        <v>143</v>
      </c>
      <c r="D57" s="727"/>
      <c r="E57" s="61">
        <v>611</v>
      </c>
      <c r="F57" s="573">
        <v>0</v>
      </c>
      <c r="G57" s="1460"/>
      <c r="H57" s="508">
        <f t="shared" si="1"/>
        <v>0</v>
      </c>
      <c r="I57" s="573">
        <v>6648</v>
      </c>
      <c r="J57" s="1968"/>
      <c r="K57" s="637">
        <f t="shared" si="0"/>
        <v>6648</v>
      </c>
      <c r="L57" s="1675">
        <v>103164</v>
      </c>
      <c r="M57" s="430">
        <v>0</v>
      </c>
      <c r="N57" s="419"/>
      <c r="O57" s="525">
        <f t="shared" si="2"/>
        <v>103164</v>
      </c>
      <c r="P57" s="61">
        <v>15348</v>
      </c>
      <c r="Q57" s="61">
        <v>25943</v>
      </c>
      <c r="R57" s="61">
        <v>0</v>
      </c>
      <c r="S57" s="419"/>
      <c r="T57" s="1978"/>
      <c r="U57" s="350"/>
      <c r="V57" s="526">
        <f t="shared" si="3"/>
        <v>41291</v>
      </c>
    </row>
    <row r="58" spans="1:22">
      <c r="A58" s="85">
        <v>1998.01</v>
      </c>
      <c r="B58" s="74">
        <v>635</v>
      </c>
      <c r="C58" s="61">
        <v>265</v>
      </c>
      <c r="D58" s="727"/>
      <c r="E58" s="61">
        <v>732</v>
      </c>
      <c r="F58" s="573">
        <v>372</v>
      </c>
      <c r="G58" s="1460"/>
      <c r="H58" s="508">
        <f t="shared" si="1"/>
        <v>372</v>
      </c>
      <c r="I58" s="573">
        <v>7110</v>
      </c>
      <c r="J58" s="1968"/>
      <c r="K58" s="637">
        <f t="shared" si="0"/>
        <v>7110</v>
      </c>
      <c r="L58" s="1675">
        <v>91073</v>
      </c>
      <c r="M58" s="430">
        <v>0</v>
      </c>
      <c r="N58" s="419"/>
      <c r="O58" s="525">
        <f t="shared" si="2"/>
        <v>91073</v>
      </c>
      <c r="P58" s="61">
        <v>13937</v>
      </c>
      <c r="Q58" s="61">
        <v>25994</v>
      </c>
      <c r="R58" s="61">
        <v>0</v>
      </c>
      <c r="S58" s="419"/>
      <c r="T58" s="1978"/>
      <c r="U58" s="350"/>
      <c r="V58" s="526">
        <f t="shared" si="3"/>
        <v>39931</v>
      </c>
    </row>
    <row r="59" spans="1:22">
      <c r="A59" s="85">
        <v>1998.02</v>
      </c>
      <c r="B59" s="74">
        <v>169</v>
      </c>
      <c r="C59" s="61">
        <v>171</v>
      </c>
      <c r="D59" s="727"/>
      <c r="E59" s="61">
        <v>625</v>
      </c>
      <c r="F59" s="573">
        <v>158</v>
      </c>
      <c r="G59" s="1460"/>
      <c r="H59" s="508">
        <f t="shared" si="1"/>
        <v>158</v>
      </c>
      <c r="I59" s="573">
        <v>7015</v>
      </c>
      <c r="J59" s="1968"/>
      <c r="K59" s="637">
        <f t="shared" si="0"/>
        <v>7015</v>
      </c>
      <c r="L59" s="1675">
        <v>83841</v>
      </c>
      <c r="M59" s="430">
        <v>0</v>
      </c>
      <c r="N59" s="419"/>
      <c r="O59" s="525">
        <f t="shared" si="2"/>
        <v>83841</v>
      </c>
      <c r="P59" s="61">
        <v>12140</v>
      </c>
      <c r="Q59" s="61">
        <v>23958</v>
      </c>
      <c r="R59" s="61">
        <v>0</v>
      </c>
      <c r="S59" s="419"/>
      <c r="T59" s="1978"/>
      <c r="U59" s="350"/>
      <c r="V59" s="526">
        <f t="shared" si="3"/>
        <v>36098</v>
      </c>
    </row>
    <row r="60" spans="1:22">
      <c r="A60" s="85">
        <v>1998.03</v>
      </c>
      <c r="B60" s="74">
        <v>151</v>
      </c>
      <c r="C60" s="61">
        <v>161</v>
      </c>
      <c r="D60" s="727"/>
      <c r="E60" s="61">
        <v>896</v>
      </c>
      <c r="F60" s="573">
        <v>0</v>
      </c>
      <c r="G60" s="1460"/>
      <c r="H60" s="508">
        <f t="shared" si="1"/>
        <v>0</v>
      </c>
      <c r="I60" s="573">
        <v>4848</v>
      </c>
      <c r="J60" s="1968"/>
      <c r="K60" s="637">
        <f t="shared" si="0"/>
        <v>4848</v>
      </c>
      <c r="L60" s="1675">
        <v>117151</v>
      </c>
      <c r="M60" s="430">
        <v>0</v>
      </c>
      <c r="N60" s="419"/>
      <c r="O60" s="525">
        <f t="shared" si="2"/>
        <v>117151</v>
      </c>
      <c r="P60" s="61">
        <v>13403</v>
      </c>
      <c r="Q60" s="61">
        <v>25416</v>
      </c>
      <c r="R60" s="61">
        <v>0</v>
      </c>
      <c r="S60" s="419"/>
      <c r="T60" s="1978"/>
      <c r="U60" s="350"/>
      <c r="V60" s="526">
        <f t="shared" si="3"/>
        <v>38819</v>
      </c>
    </row>
    <row r="61" spans="1:22">
      <c r="A61" s="85">
        <v>1998.04</v>
      </c>
      <c r="B61" s="74">
        <v>62</v>
      </c>
      <c r="C61" s="61">
        <v>69</v>
      </c>
      <c r="D61" s="727"/>
      <c r="E61" s="61">
        <v>2330</v>
      </c>
      <c r="F61" s="573">
        <v>0</v>
      </c>
      <c r="G61" s="1460"/>
      <c r="H61" s="508">
        <f t="shared" si="1"/>
        <v>0</v>
      </c>
      <c r="I61" s="573">
        <v>15470</v>
      </c>
      <c r="J61" s="1968"/>
      <c r="K61" s="637">
        <f t="shared" si="0"/>
        <v>15470</v>
      </c>
      <c r="L61" s="1675">
        <v>114930</v>
      </c>
      <c r="M61" s="430">
        <v>0</v>
      </c>
      <c r="N61" s="419"/>
      <c r="O61" s="525">
        <f t="shared" si="2"/>
        <v>114930</v>
      </c>
      <c r="P61" s="61">
        <v>13268</v>
      </c>
      <c r="Q61" s="61">
        <v>24266</v>
      </c>
      <c r="R61" s="61">
        <v>0</v>
      </c>
      <c r="S61" s="419"/>
      <c r="T61" s="1978"/>
      <c r="U61" s="350"/>
      <c r="V61" s="526">
        <f t="shared" si="3"/>
        <v>37534</v>
      </c>
    </row>
    <row r="62" spans="1:22">
      <c r="A62" s="85">
        <v>1998.05</v>
      </c>
      <c r="B62" s="74">
        <v>492</v>
      </c>
      <c r="C62" s="61">
        <v>52</v>
      </c>
      <c r="D62" s="727"/>
      <c r="E62" s="61">
        <v>2985</v>
      </c>
      <c r="F62" s="573">
        <v>0</v>
      </c>
      <c r="G62" s="1460"/>
      <c r="H62" s="508">
        <f t="shared" si="1"/>
        <v>0</v>
      </c>
      <c r="I62" s="573">
        <v>6224</v>
      </c>
      <c r="J62" s="1968"/>
      <c r="K62" s="637">
        <f t="shared" si="0"/>
        <v>6224</v>
      </c>
      <c r="L62" s="1675">
        <v>131397</v>
      </c>
      <c r="M62" s="430">
        <v>0</v>
      </c>
      <c r="N62" s="419"/>
      <c r="O62" s="525">
        <f t="shared" si="2"/>
        <v>131397</v>
      </c>
      <c r="P62" s="61">
        <v>13269</v>
      </c>
      <c r="Q62" s="61">
        <v>23004</v>
      </c>
      <c r="R62" s="61">
        <v>0</v>
      </c>
      <c r="S62" s="419"/>
      <c r="T62" s="1978"/>
      <c r="U62" s="350"/>
      <c r="V62" s="526">
        <f t="shared" si="3"/>
        <v>36273</v>
      </c>
    </row>
    <row r="63" spans="1:22">
      <c r="A63" s="85">
        <v>1998.06</v>
      </c>
      <c r="B63" s="74">
        <v>763</v>
      </c>
      <c r="C63" s="61">
        <v>45</v>
      </c>
      <c r="D63" s="727"/>
      <c r="E63" s="61">
        <v>7592</v>
      </c>
      <c r="F63" s="573">
        <v>0</v>
      </c>
      <c r="G63" s="1460"/>
      <c r="H63" s="508">
        <f t="shared" si="1"/>
        <v>0</v>
      </c>
      <c r="I63" s="573">
        <v>7465</v>
      </c>
      <c r="J63" s="1968"/>
      <c r="K63" s="637">
        <f t="shared" si="0"/>
        <v>7465</v>
      </c>
      <c r="L63" s="1675">
        <v>120631</v>
      </c>
      <c r="M63" s="430">
        <v>0</v>
      </c>
      <c r="N63" s="419"/>
      <c r="O63" s="525">
        <f t="shared" si="2"/>
        <v>120631</v>
      </c>
      <c r="P63" s="61">
        <v>13287</v>
      </c>
      <c r="Q63" s="61">
        <v>22953</v>
      </c>
      <c r="R63" s="61">
        <v>0</v>
      </c>
      <c r="S63" s="419"/>
      <c r="T63" s="1978"/>
      <c r="U63" s="350"/>
      <c r="V63" s="526">
        <f t="shared" si="3"/>
        <v>36240</v>
      </c>
    </row>
    <row r="64" spans="1:22">
      <c r="A64" s="85">
        <v>1998.07</v>
      </c>
      <c r="B64" s="74">
        <v>470</v>
      </c>
      <c r="C64" s="61">
        <v>46</v>
      </c>
      <c r="D64" s="727"/>
      <c r="E64" s="61">
        <v>6286</v>
      </c>
      <c r="F64" s="573">
        <v>0</v>
      </c>
      <c r="G64" s="1460"/>
      <c r="H64" s="508">
        <f t="shared" si="1"/>
        <v>0</v>
      </c>
      <c r="I64" s="573">
        <v>15325</v>
      </c>
      <c r="J64" s="1968"/>
      <c r="K64" s="637">
        <f t="shared" si="0"/>
        <v>15325</v>
      </c>
      <c r="L64" s="1675">
        <v>115847</v>
      </c>
      <c r="M64" s="430">
        <v>0</v>
      </c>
      <c r="N64" s="419"/>
      <c r="O64" s="525">
        <f t="shared" si="2"/>
        <v>115847</v>
      </c>
      <c r="P64" s="61">
        <v>14049</v>
      </c>
      <c r="Q64" s="61">
        <v>24859</v>
      </c>
      <c r="R64" s="61">
        <v>0</v>
      </c>
      <c r="S64" s="419"/>
      <c r="T64" s="1978"/>
      <c r="U64" s="350"/>
      <c r="V64" s="526">
        <f t="shared" si="3"/>
        <v>38908</v>
      </c>
    </row>
    <row r="65" spans="1:22">
      <c r="A65" s="85">
        <v>1998.08</v>
      </c>
      <c r="B65" s="74">
        <v>290</v>
      </c>
      <c r="C65" s="61">
        <v>51</v>
      </c>
      <c r="D65" s="727"/>
      <c r="E65" s="61">
        <v>4619</v>
      </c>
      <c r="F65" s="573">
        <v>0</v>
      </c>
      <c r="G65" s="1460"/>
      <c r="H65" s="508">
        <f t="shared" si="1"/>
        <v>0</v>
      </c>
      <c r="I65" s="573">
        <v>5857</v>
      </c>
      <c r="J65" s="1968"/>
      <c r="K65" s="637">
        <f t="shared" si="0"/>
        <v>5857</v>
      </c>
      <c r="L65" s="1675">
        <v>113153</v>
      </c>
      <c r="M65" s="430">
        <v>0</v>
      </c>
      <c r="N65" s="419"/>
      <c r="O65" s="525">
        <f t="shared" si="2"/>
        <v>113153</v>
      </c>
      <c r="P65" s="61">
        <v>13234</v>
      </c>
      <c r="Q65" s="61">
        <v>23450</v>
      </c>
      <c r="R65" s="61">
        <v>0</v>
      </c>
      <c r="S65" s="419"/>
      <c r="T65" s="1978"/>
      <c r="U65" s="350"/>
      <c r="V65" s="526">
        <f t="shared" si="3"/>
        <v>36684</v>
      </c>
    </row>
    <row r="66" spans="1:22">
      <c r="A66" s="85">
        <v>1998.09</v>
      </c>
      <c r="B66" s="74">
        <v>332</v>
      </c>
      <c r="C66" s="61">
        <v>55</v>
      </c>
      <c r="D66" s="727"/>
      <c r="E66" s="61">
        <v>2161</v>
      </c>
      <c r="F66" s="573">
        <v>0</v>
      </c>
      <c r="G66" s="1460"/>
      <c r="H66" s="508">
        <f t="shared" si="1"/>
        <v>0</v>
      </c>
      <c r="I66" s="573">
        <v>8886</v>
      </c>
      <c r="J66" s="1968"/>
      <c r="K66" s="637">
        <f t="shared" si="0"/>
        <v>8886</v>
      </c>
      <c r="L66" s="1675">
        <v>110858</v>
      </c>
      <c r="M66" s="430">
        <v>0</v>
      </c>
      <c r="N66" s="419"/>
      <c r="O66" s="525">
        <f t="shared" si="2"/>
        <v>110858</v>
      </c>
      <c r="P66" s="61">
        <v>12796</v>
      </c>
      <c r="Q66" s="61">
        <v>22962</v>
      </c>
      <c r="R66" s="61">
        <v>0</v>
      </c>
      <c r="S66" s="419"/>
      <c r="T66" s="1978"/>
      <c r="U66" s="350"/>
      <c r="V66" s="526">
        <f t="shared" si="3"/>
        <v>35758</v>
      </c>
    </row>
    <row r="67" spans="1:22">
      <c r="A67" s="85">
        <v>1998.1</v>
      </c>
      <c r="B67" s="74">
        <v>158</v>
      </c>
      <c r="C67" s="61">
        <v>67</v>
      </c>
      <c r="D67" s="727"/>
      <c r="E67" s="61">
        <v>444</v>
      </c>
      <c r="F67" s="573">
        <v>0</v>
      </c>
      <c r="G67" s="1460"/>
      <c r="H67" s="508">
        <f t="shared" si="1"/>
        <v>0</v>
      </c>
      <c r="I67" s="573">
        <v>5978</v>
      </c>
      <c r="J67" s="1968"/>
      <c r="K67" s="637">
        <f t="shared" si="0"/>
        <v>5978</v>
      </c>
      <c r="L67" s="1675">
        <v>110927</v>
      </c>
      <c r="M67" s="430">
        <v>0</v>
      </c>
      <c r="N67" s="419"/>
      <c r="O67" s="525">
        <f t="shared" si="2"/>
        <v>110927</v>
      </c>
      <c r="P67" s="61">
        <v>12588</v>
      </c>
      <c r="Q67" s="61">
        <v>23712</v>
      </c>
      <c r="R67" s="61">
        <v>0</v>
      </c>
      <c r="S67" s="419"/>
      <c r="T67" s="1978"/>
      <c r="U67" s="350"/>
      <c r="V67" s="526">
        <f t="shared" si="3"/>
        <v>36300</v>
      </c>
    </row>
    <row r="68" spans="1:22">
      <c r="A68" s="85">
        <v>1998.11</v>
      </c>
      <c r="B68" s="74">
        <v>96</v>
      </c>
      <c r="C68" s="61">
        <v>67</v>
      </c>
      <c r="D68" s="727"/>
      <c r="E68" s="61">
        <v>458</v>
      </c>
      <c r="F68" s="573">
        <v>0</v>
      </c>
      <c r="G68" s="1460"/>
      <c r="H68" s="508">
        <f t="shared" si="1"/>
        <v>0</v>
      </c>
      <c r="I68" s="573">
        <v>5000</v>
      </c>
      <c r="J68" s="1968"/>
      <c r="K68" s="637">
        <f t="shared" si="0"/>
        <v>5000</v>
      </c>
      <c r="L68" s="1675">
        <v>113378</v>
      </c>
      <c r="M68" s="430">
        <v>0</v>
      </c>
      <c r="N68" s="419"/>
      <c r="O68" s="525">
        <f t="shared" si="2"/>
        <v>113378</v>
      </c>
      <c r="P68" s="61">
        <v>12747</v>
      </c>
      <c r="Q68" s="61">
        <v>22192</v>
      </c>
      <c r="R68" s="61">
        <v>0</v>
      </c>
      <c r="S68" s="419"/>
      <c r="T68" s="1978"/>
      <c r="U68" s="350"/>
      <c r="V68" s="526">
        <f t="shared" si="3"/>
        <v>34939</v>
      </c>
    </row>
    <row r="69" spans="1:22">
      <c r="A69" s="85">
        <v>1998.12</v>
      </c>
      <c r="B69" s="74">
        <v>157</v>
      </c>
      <c r="C69" s="61">
        <v>70</v>
      </c>
      <c r="D69" s="727"/>
      <c r="E69" s="61">
        <v>526</v>
      </c>
      <c r="F69" s="573">
        <v>0</v>
      </c>
      <c r="G69" s="1460"/>
      <c r="H69" s="508">
        <f t="shared" si="1"/>
        <v>0</v>
      </c>
      <c r="I69" s="573">
        <v>5826</v>
      </c>
      <c r="J69" s="1968"/>
      <c r="K69" s="637">
        <f t="shared" si="0"/>
        <v>5826</v>
      </c>
      <c r="L69" s="1675">
        <v>107791</v>
      </c>
      <c r="M69" s="430">
        <v>0</v>
      </c>
      <c r="N69" s="419"/>
      <c r="O69" s="525">
        <f t="shared" si="2"/>
        <v>107791</v>
      </c>
      <c r="P69" s="61">
        <v>13582</v>
      </c>
      <c r="Q69" s="61">
        <v>26590</v>
      </c>
      <c r="R69" s="61">
        <v>0</v>
      </c>
      <c r="S69" s="419"/>
      <c r="T69" s="1978"/>
      <c r="U69" s="350"/>
      <c r="V69" s="526">
        <f t="shared" si="3"/>
        <v>40172</v>
      </c>
    </row>
    <row r="70" spans="1:22">
      <c r="A70" s="85">
        <v>1999.01</v>
      </c>
      <c r="B70" s="74">
        <v>197</v>
      </c>
      <c r="C70" s="61">
        <v>76</v>
      </c>
      <c r="D70" s="727"/>
      <c r="E70" s="61">
        <v>630</v>
      </c>
      <c r="F70" s="573">
        <v>0</v>
      </c>
      <c r="G70" s="1460"/>
      <c r="H70" s="508">
        <f t="shared" si="1"/>
        <v>0</v>
      </c>
      <c r="I70" s="573">
        <v>4669</v>
      </c>
      <c r="J70" s="1968"/>
      <c r="K70" s="637">
        <f t="shared" si="0"/>
        <v>4669</v>
      </c>
      <c r="L70" s="1675">
        <v>92575</v>
      </c>
      <c r="M70" s="430">
        <v>0</v>
      </c>
      <c r="N70" s="419"/>
      <c r="O70" s="525">
        <f t="shared" si="2"/>
        <v>92575</v>
      </c>
      <c r="P70" s="61">
        <v>11374</v>
      </c>
      <c r="Q70" s="61">
        <v>22444</v>
      </c>
      <c r="R70" s="61">
        <v>0</v>
      </c>
      <c r="S70" s="419"/>
      <c r="T70" s="1978"/>
      <c r="U70" s="350"/>
      <c r="V70" s="526">
        <f t="shared" si="3"/>
        <v>33818</v>
      </c>
    </row>
    <row r="71" spans="1:22">
      <c r="A71" s="85">
        <v>1999.02</v>
      </c>
      <c r="B71" s="74">
        <v>387</v>
      </c>
      <c r="C71" s="61">
        <v>0</v>
      </c>
      <c r="D71" s="727"/>
      <c r="E71" s="61">
        <v>555</v>
      </c>
      <c r="F71" s="573">
        <v>0</v>
      </c>
      <c r="G71" s="1460"/>
      <c r="H71" s="508">
        <f t="shared" si="1"/>
        <v>0</v>
      </c>
      <c r="I71" s="573">
        <v>4844</v>
      </c>
      <c r="J71" s="1968"/>
      <c r="K71" s="637">
        <f t="shared" si="0"/>
        <v>4844</v>
      </c>
      <c r="L71" s="1675">
        <v>86210</v>
      </c>
      <c r="M71" s="430">
        <v>0</v>
      </c>
      <c r="N71" s="419"/>
      <c r="O71" s="525">
        <f t="shared" si="2"/>
        <v>86210</v>
      </c>
      <c r="P71" s="61">
        <v>10619</v>
      </c>
      <c r="Q71" s="61">
        <v>21589</v>
      </c>
      <c r="R71" s="61">
        <v>0</v>
      </c>
      <c r="S71" s="419"/>
      <c r="T71" s="1978"/>
      <c r="U71" s="350"/>
      <c r="V71" s="526">
        <f t="shared" si="3"/>
        <v>32208</v>
      </c>
    </row>
    <row r="72" spans="1:22">
      <c r="A72" s="85">
        <v>1999.03</v>
      </c>
      <c r="B72" s="74">
        <v>257</v>
      </c>
      <c r="C72" s="61">
        <v>107</v>
      </c>
      <c r="D72" s="727"/>
      <c r="E72" s="61">
        <v>615</v>
      </c>
      <c r="F72" s="573">
        <v>0</v>
      </c>
      <c r="G72" s="1460"/>
      <c r="H72" s="508">
        <f t="shared" si="1"/>
        <v>0</v>
      </c>
      <c r="I72" s="573">
        <v>5780</v>
      </c>
      <c r="J72" s="1968"/>
      <c r="K72" s="637">
        <f t="shared" si="0"/>
        <v>5780</v>
      </c>
      <c r="L72" s="1675">
        <v>109167</v>
      </c>
      <c r="M72" s="430">
        <v>0</v>
      </c>
      <c r="N72" s="419"/>
      <c r="O72" s="525">
        <f t="shared" si="2"/>
        <v>109167</v>
      </c>
      <c r="P72" s="61">
        <v>12072</v>
      </c>
      <c r="Q72" s="61">
        <v>24045</v>
      </c>
      <c r="R72" s="61">
        <v>0</v>
      </c>
      <c r="S72" s="419"/>
      <c r="T72" s="1978"/>
      <c r="U72" s="350"/>
      <c r="V72" s="526">
        <f t="shared" si="3"/>
        <v>36117</v>
      </c>
    </row>
    <row r="73" spans="1:22">
      <c r="A73" s="85">
        <v>1999.04</v>
      </c>
      <c r="B73" s="74">
        <v>72</v>
      </c>
      <c r="C73" s="61">
        <v>38</v>
      </c>
      <c r="D73" s="727"/>
      <c r="E73" s="61">
        <v>2962</v>
      </c>
      <c r="F73" s="573">
        <v>0</v>
      </c>
      <c r="G73" s="1460"/>
      <c r="H73" s="508">
        <f t="shared" si="1"/>
        <v>0</v>
      </c>
      <c r="I73" s="573">
        <v>5505</v>
      </c>
      <c r="J73" s="1968"/>
      <c r="K73" s="637">
        <f t="shared" si="0"/>
        <v>5505</v>
      </c>
      <c r="L73" s="1675">
        <v>128060</v>
      </c>
      <c r="M73" s="430">
        <v>0</v>
      </c>
      <c r="N73" s="419"/>
      <c r="O73" s="525">
        <f t="shared" si="2"/>
        <v>128060</v>
      </c>
      <c r="P73" s="61">
        <v>11322</v>
      </c>
      <c r="Q73" s="61">
        <v>22265</v>
      </c>
      <c r="R73" s="61">
        <v>0</v>
      </c>
      <c r="S73" s="419"/>
      <c r="T73" s="1978"/>
      <c r="U73" s="350"/>
      <c r="V73" s="526">
        <f t="shared" si="3"/>
        <v>33587</v>
      </c>
    </row>
    <row r="74" spans="1:22">
      <c r="A74" s="85">
        <v>1999.05</v>
      </c>
      <c r="B74" s="74">
        <v>58</v>
      </c>
      <c r="C74" s="61">
        <v>39</v>
      </c>
      <c r="D74" s="727"/>
      <c r="E74" s="61">
        <v>3972</v>
      </c>
      <c r="F74" s="573">
        <v>0</v>
      </c>
      <c r="G74" s="1460"/>
      <c r="H74" s="508">
        <f t="shared" ref="H74:H137" si="4">F74+G74</f>
        <v>0</v>
      </c>
      <c r="I74" s="573">
        <v>6492</v>
      </c>
      <c r="J74" s="1968"/>
      <c r="K74" s="637">
        <f t="shared" ref="K74:K137" si="5">I74+J74</f>
        <v>6492</v>
      </c>
      <c r="L74" s="1675">
        <v>138531</v>
      </c>
      <c r="M74" s="430">
        <v>0</v>
      </c>
      <c r="N74" s="419"/>
      <c r="O74" s="525">
        <f t="shared" si="2"/>
        <v>138531</v>
      </c>
      <c r="P74" s="61">
        <v>11617</v>
      </c>
      <c r="Q74" s="61">
        <v>22232</v>
      </c>
      <c r="R74" s="61">
        <v>0</v>
      </c>
      <c r="S74" s="419"/>
      <c r="T74" s="1978"/>
      <c r="U74" s="350"/>
      <c r="V74" s="526">
        <f t="shared" si="3"/>
        <v>33849</v>
      </c>
    </row>
    <row r="75" spans="1:22">
      <c r="A75" s="85">
        <v>1999.06</v>
      </c>
      <c r="B75" s="74">
        <v>79</v>
      </c>
      <c r="C75" s="61">
        <v>38</v>
      </c>
      <c r="D75" s="727"/>
      <c r="E75" s="61">
        <v>7908</v>
      </c>
      <c r="F75" s="573">
        <v>0</v>
      </c>
      <c r="G75" s="1460"/>
      <c r="H75" s="508">
        <f t="shared" si="4"/>
        <v>0</v>
      </c>
      <c r="I75" s="573">
        <v>20599</v>
      </c>
      <c r="J75" s="1968"/>
      <c r="K75" s="637">
        <f t="shared" si="5"/>
        <v>20599</v>
      </c>
      <c r="L75" s="1675">
        <v>119270</v>
      </c>
      <c r="M75" s="430">
        <v>0</v>
      </c>
      <c r="N75" s="419"/>
      <c r="O75" s="525">
        <f t="shared" si="2"/>
        <v>119270</v>
      </c>
      <c r="P75" s="61">
        <v>11381</v>
      </c>
      <c r="Q75" s="61">
        <v>21923</v>
      </c>
      <c r="R75" s="61">
        <v>0</v>
      </c>
      <c r="S75" s="419"/>
      <c r="T75" s="1978"/>
      <c r="U75" s="350"/>
      <c r="V75" s="526">
        <f t="shared" si="3"/>
        <v>33304</v>
      </c>
    </row>
    <row r="76" spans="1:22">
      <c r="A76" s="85">
        <v>1999.07</v>
      </c>
      <c r="B76" s="74">
        <v>88</v>
      </c>
      <c r="C76" s="61">
        <v>30</v>
      </c>
      <c r="D76" s="727"/>
      <c r="E76" s="61">
        <v>10029</v>
      </c>
      <c r="F76" s="573">
        <v>0</v>
      </c>
      <c r="G76" s="1460"/>
      <c r="H76" s="508">
        <f t="shared" si="4"/>
        <v>0</v>
      </c>
      <c r="I76" s="573">
        <v>27049</v>
      </c>
      <c r="J76" s="1968"/>
      <c r="K76" s="637">
        <f t="shared" si="5"/>
        <v>27049</v>
      </c>
      <c r="L76" s="1675">
        <v>111826</v>
      </c>
      <c r="M76" s="430">
        <v>0</v>
      </c>
      <c r="N76" s="419"/>
      <c r="O76" s="525">
        <f t="shared" ref="O76:O139" si="6">L76+M76+N76</f>
        <v>111826</v>
      </c>
      <c r="P76" s="61">
        <v>12464</v>
      </c>
      <c r="Q76" s="61">
        <v>23778</v>
      </c>
      <c r="R76" s="61">
        <v>0</v>
      </c>
      <c r="S76" s="419"/>
      <c r="T76" s="1978"/>
      <c r="U76" s="350"/>
      <c r="V76" s="526">
        <f t="shared" ref="V76:V139" si="7">SUM(P76:U76)</f>
        <v>36242</v>
      </c>
    </row>
    <row r="77" spans="1:22">
      <c r="A77" s="85">
        <v>1999.08</v>
      </c>
      <c r="B77" s="74">
        <v>36</v>
      </c>
      <c r="C77" s="61">
        <v>38</v>
      </c>
      <c r="D77" s="727"/>
      <c r="E77" s="61">
        <v>4483</v>
      </c>
      <c r="F77" s="573">
        <v>0</v>
      </c>
      <c r="G77" s="1460"/>
      <c r="H77" s="508">
        <f t="shared" si="4"/>
        <v>0</v>
      </c>
      <c r="I77" s="573">
        <v>16768</v>
      </c>
      <c r="J77" s="1968"/>
      <c r="K77" s="637">
        <f t="shared" si="5"/>
        <v>16768</v>
      </c>
      <c r="L77" s="1675">
        <v>115430</v>
      </c>
      <c r="M77" s="430">
        <v>0</v>
      </c>
      <c r="N77" s="419"/>
      <c r="O77" s="525">
        <f t="shared" si="6"/>
        <v>115430</v>
      </c>
      <c r="P77" s="61">
        <v>12383</v>
      </c>
      <c r="Q77" s="61">
        <v>23326</v>
      </c>
      <c r="R77" s="61">
        <v>0</v>
      </c>
      <c r="S77" s="419"/>
      <c r="T77" s="1978"/>
      <c r="U77" s="350"/>
      <c r="V77" s="526">
        <f t="shared" si="7"/>
        <v>35709</v>
      </c>
    </row>
    <row r="78" spans="1:22">
      <c r="A78" s="85">
        <v>1999.09</v>
      </c>
      <c r="B78" s="74">
        <v>203</v>
      </c>
      <c r="C78" s="61">
        <v>42</v>
      </c>
      <c r="D78" s="727"/>
      <c r="E78" s="61">
        <v>666</v>
      </c>
      <c r="F78" s="573">
        <v>0</v>
      </c>
      <c r="G78" s="1460"/>
      <c r="H78" s="508">
        <f t="shared" si="4"/>
        <v>0</v>
      </c>
      <c r="I78" s="573">
        <v>6599</v>
      </c>
      <c r="J78" s="1968"/>
      <c r="K78" s="637">
        <f t="shared" si="5"/>
        <v>6599</v>
      </c>
      <c r="L78" s="1675">
        <v>112814</v>
      </c>
      <c r="M78" s="430">
        <v>0</v>
      </c>
      <c r="N78" s="419"/>
      <c r="O78" s="525">
        <f t="shared" si="6"/>
        <v>112814</v>
      </c>
      <c r="P78" s="61">
        <v>11523</v>
      </c>
      <c r="Q78" s="61">
        <v>21996</v>
      </c>
      <c r="R78" s="61">
        <v>0</v>
      </c>
      <c r="S78" s="419"/>
      <c r="T78" s="1978"/>
      <c r="U78" s="350"/>
      <c r="V78" s="526">
        <f t="shared" si="7"/>
        <v>33519</v>
      </c>
    </row>
    <row r="79" spans="1:22">
      <c r="A79" s="85">
        <v>1999.1</v>
      </c>
      <c r="B79" s="74">
        <v>119</v>
      </c>
      <c r="C79" s="61">
        <v>34</v>
      </c>
      <c r="D79" s="727"/>
      <c r="E79" s="61">
        <v>465</v>
      </c>
      <c r="F79" s="573">
        <v>0</v>
      </c>
      <c r="G79" s="1460"/>
      <c r="H79" s="508">
        <f t="shared" si="4"/>
        <v>0</v>
      </c>
      <c r="I79" s="573">
        <v>5505</v>
      </c>
      <c r="J79" s="1968"/>
      <c r="K79" s="637">
        <f t="shared" si="5"/>
        <v>5505</v>
      </c>
      <c r="L79" s="1675">
        <v>111292</v>
      </c>
      <c r="M79" s="430">
        <v>0</v>
      </c>
      <c r="N79" s="419"/>
      <c r="O79" s="525">
        <f t="shared" si="6"/>
        <v>111292</v>
      </c>
      <c r="P79" s="61">
        <v>12162</v>
      </c>
      <c r="Q79" s="61">
        <v>23388</v>
      </c>
      <c r="R79" s="61">
        <v>0</v>
      </c>
      <c r="S79" s="419"/>
      <c r="T79" s="1978"/>
      <c r="U79" s="350"/>
      <c r="V79" s="526">
        <f t="shared" si="7"/>
        <v>35550</v>
      </c>
    </row>
    <row r="80" spans="1:22">
      <c r="A80" s="85">
        <v>1999.11</v>
      </c>
      <c r="B80" s="74">
        <v>89</v>
      </c>
      <c r="C80" s="61">
        <v>41</v>
      </c>
      <c r="D80" s="727"/>
      <c r="E80" s="61">
        <v>421</v>
      </c>
      <c r="F80" s="573">
        <v>129</v>
      </c>
      <c r="G80" s="1460"/>
      <c r="H80" s="508">
        <f t="shared" si="4"/>
        <v>129</v>
      </c>
      <c r="I80" s="573">
        <v>5058</v>
      </c>
      <c r="J80" s="1968"/>
      <c r="K80" s="637">
        <f t="shared" si="5"/>
        <v>5058</v>
      </c>
      <c r="L80" s="1675">
        <v>131910</v>
      </c>
      <c r="M80" s="430">
        <v>0</v>
      </c>
      <c r="N80" s="419"/>
      <c r="O80" s="525">
        <f t="shared" si="6"/>
        <v>131910</v>
      </c>
      <c r="P80" s="61">
        <v>12079</v>
      </c>
      <c r="Q80" s="61">
        <v>23234</v>
      </c>
      <c r="R80" s="61">
        <v>0</v>
      </c>
      <c r="S80" s="419"/>
      <c r="T80" s="1978"/>
      <c r="U80" s="350"/>
      <c r="V80" s="526">
        <f t="shared" si="7"/>
        <v>35313</v>
      </c>
    </row>
    <row r="81" spans="1:22">
      <c r="A81" s="85">
        <v>1999.12</v>
      </c>
      <c r="B81" s="74">
        <v>114</v>
      </c>
      <c r="C81" s="61">
        <v>51</v>
      </c>
      <c r="D81" s="727"/>
      <c r="E81" s="61">
        <v>458</v>
      </c>
      <c r="F81" s="573">
        <v>0</v>
      </c>
      <c r="G81" s="1460"/>
      <c r="H81" s="508">
        <f t="shared" si="4"/>
        <v>0</v>
      </c>
      <c r="I81" s="573">
        <v>4113</v>
      </c>
      <c r="J81" s="1968"/>
      <c r="K81" s="637">
        <f t="shared" si="5"/>
        <v>4113</v>
      </c>
      <c r="L81" s="1675">
        <v>117425</v>
      </c>
      <c r="M81" s="430">
        <v>0</v>
      </c>
      <c r="N81" s="419"/>
      <c r="O81" s="525">
        <f t="shared" si="6"/>
        <v>117425</v>
      </c>
      <c r="P81" s="61">
        <v>13235</v>
      </c>
      <c r="Q81" s="61">
        <v>25611</v>
      </c>
      <c r="R81" s="61">
        <v>0</v>
      </c>
      <c r="S81" s="419"/>
      <c r="T81" s="1978"/>
      <c r="U81" s="350"/>
      <c r="V81" s="526">
        <f t="shared" si="7"/>
        <v>38846</v>
      </c>
    </row>
    <row r="82" spans="1:22">
      <c r="A82" s="85">
        <v>2000.01</v>
      </c>
      <c r="B82" s="74">
        <v>651</v>
      </c>
      <c r="C82" s="61">
        <v>112</v>
      </c>
      <c r="D82" s="727"/>
      <c r="E82" s="61">
        <v>513</v>
      </c>
      <c r="F82" s="573">
        <v>0</v>
      </c>
      <c r="G82" s="1460"/>
      <c r="H82" s="508">
        <f t="shared" si="4"/>
        <v>0</v>
      </c>
      <c r="I82" s="573">
        <v>4140</v>
      </c>
      <c r="J82" s="1968"/>
      <c r="K82" s="637">
        <f t="shared" si="5"/>
        <v>4140</v>
      </c>
      <c r="L82" s="1675">
        <v>100111</v>
      </c>
      <c r="M82" s="430">
        <v>0</v>
      </c>
      <c r="N82" s="419"/>
      <c r="O82" s="525">
        <f t="shared" si="6"/>
        <v>100111</v>
      </c>
      <c r="P82" s="61">
        <v>9228</v>
      </c>
      <c r="Q82" s="61">
        <v>24560</v>
      </c>
      <c r="R82" s="61">
        <v>0</v>
      </c>
      <c r="S82" s="419"/>
      <c r="T82" s="1978"/>
      <c r="U82" s="350"/>
      <c r="V82" s="526">
        <f t="shared" si="7"/>
        <v>33788</v>
      </c>
    </row>
    <row r="83" spans="1:22">
      <c r="A83" s="85">
        <v>2000.02</v>
      </c>
      <c r="B83" s="74">
        <v>394</v>
      </c>
      <c r="C83" s="61">
        <v>123</v>
      </c>
      <c r="D83" s="727"/>
      <c r="E83" s="61">
        <v>547</v>
      </c>
      <c r="F83" s="573">
        <v>0</v>
      </c>
      <c r="G83" s="1460"/>
      <c r="H83" s="508">
        <f t="shared" si="4"/>
        <v>0</v>
      </c>
      <c r="I83" s="573">
        <v>4015</v>
      </c>
      <c r="J83" s="1968"/>
      <c r="K83" s="637">
        <f t="shared" si="5"/>
        <v>4015</v>
      </c>
      <c r="L83" s="1675">
        <v>95707</v>
      </c>
      <c r="M83" s="430">
        <v>0</v>
      </c>
      <c r="N83" s="419"/>
      <c r="O83" s="525">
        <f t="shared" si="6"/>
        <v>95707</v>
      </c>
      <c r="P83" s="61">
        <v>8777</v>
      </c>
      <c r="Q83" s="61">
        <v>23092</v>
      </c>
      <c r="R83" s="61">
        <v>0</v>
      </c>
      <c r="S83" s="419"/>
      <c r="T83" s="1978"/>
      <c r="U83" s="350"/>
      <c r="V83" s="526">
        <f t="shared" si="7"/>
        <v>31869</v>
      </c>
    </row>
    <row r="84" spans="1:22">
      <c r="A84" s="85">
        <v>2000.03</v>
      </c>
      <c r="B84" s="74">
        <v>415</v>
      </c>
      <c r="C84" s="61">
        <v>129</v>
      </c>
      <c r="D84" s="727"/>
      <c r="E84" s="61">
        <v>811</v>
      </c>
      <c r="F84" s="573">
        <v>0</v>
      </c>
      <c r="G84" s="1460"/>
      <c r="H84" s="508">
        <f t="shared" si="4"/>
        <v>0</v>
      </c>
      <c r="I84" s="573">
        <v>4244</v>
      </c>
      <c r="J84" s="1968"/>
      <c r="K84" s="637">
        <f t="shared" si="5"/>
        <v>4244</v>
      </c>
      <c r="L84" s="1675">
        <v>123496</v>
      </c>
      <c r="M84" s="430">
        <v>0</v>
      </c>
      <c r="N84" s="419"/>
      <c r="O84" s="525">
        <f t="shared" si="6"/>
        <v>123496</v>
      </c>
      <c r="P84" s="61">
        <v>9938</v>
      </c>
      <c r="Q84" s="61">
        <v>25506</v>
      </c>
      <c r="R84" s="61">
        <v>0</v>
      </c>
      <c r="S84" s="419"/>
      <c r="T84" s="1978"/>
      <c r="U84" s="350"/>
      <c r="V84" s="526">
        <f t="shared" si="7"/>
        <v>35444</v>
      </c>
    </row>
    <row r="85" spans="1:22">
      <c r="A85" s="85">
        <v>2000.04</v>
      </c>
      <c r="B85" s="74">
        <v>190</v>
      </c>
      <c r="C85" s="61">
        <v>40</v>
      </c>
      <c r="D85" s="727"/>
      <c r="E85" s="61">
        <v>1202</v>
      </c>
      <c r="F85" s="573">
        <v>0</v>
      </c>
      <c r="G85" s="1460"/>
      <c r="H85" s="508">
        <f t="shared" si="4"/>
        <v>0</v>
      </c>
      <c r="I85" s="573">
        <v>5781</v>
      </c>
      <c r="J85" s="1968"/>
      <c r="K85" s="637">
        <f t="shared" si="5"/>
        <v>5781</v>
      </c>
      <c r="L85" s="1675">
        <v>112325</v>
      </c>
      <c r="M85" s="430">
        <v>0</v>
      </c>
      <c r="N85" s="419"/>
      <c r="O85" s="525">
        <f t="shared" si="6"/>
        <v>112325</v>
      </c>
      <c r="P85" s="61">
        <v>9346</v>
      </c>
      <c r="Q85" s="61">
        <v>24080</v>
      </c>
      <c r="R85" s="61">
        <v>0</v>
      </c>
      <c r="S85" s="419"/>
      <c r="T85" s="1978"/>
      <c r="U85" s="350"/>
      <c r="V85" s="526">
        <f t="shared" si="7"/>
        <v>33426</v>
      </c>
    </row>
    <row r="86" spans="1:22">
      <c r="A86" s="85">
        <v>2000.05</v>
      </c>
      <c r="B86" s="74">
        <v>326</v>
      </c>
      <c r="C86" s="61">
        <v>40</v>
      </c>
      <c r="D86" s="727"/>
      <c r="E86" s="61">
        <v>5751</v>
      </c>
      <c r="F86" s="573">
        <v>0</v>
      </c>
      <c r="G86" s="1460"/>
      <c r="H86" s="508">
        <f t="shared" si="4"/>
        <v>0</v>
      </c>
      <c r="I86" s="573">
        <v>15135</v>
      </c>
      <c r="J86" s="1968"/>
      <c r="K86" s="637">
        <f t="shared" si="5"/>
        <v>15135</v>
      </c>
      <c r="L86" s="1675">
        <v>124787</v>
      </c>
      <c r="M86" s="430">
        <v>0</v>
      </c>
      <c r="N86" s="419"/>
      <c r="O86" s="525">
        <f t="shared" si="6"/>
        <v>124787</v>
      </c>
      <c r="P86" s="61">
        <v>9104</v>
      </c>
      <c r="Q86" s="61">
        <v>23677</v>
      </c>
      <c r="R86" s="61">
        <v>0</v>
      </c>
      <c r="S86" s="419"/>
      <c r="T86" s="1978"/>
      <c r="U86" s="350"/>
      <c r="V86" s="526">
        <f t="shared" si="7"/>
        <v>32781</v>
      </c>
    </row>
    <row r="87" spans="1:22">
      <c r="A87" s="85">
        <v>2000.06</v>
      </c>
      <c r="B87" s="74">
        <v>470</v>
      </c>
      <c r="C87" s="61">
        <v>49</v>
      </c>
      <c r="D87" s="727"/>
      <c r="E87" s="61">
        <v>7177</v>
      </c>
      <c r="F87" s="573">
        <v>0</v>
      </c>
      <c r="G87" s="1460"/>
      <c r="H87" s="508">
        <f t="shared" si="4"/>
        <v>0</v>
      </c>
      <c r="I87" s="573">
        <v>9971</v>
      </c>
      <c r="J87" s="1968"/>
      <c r="K87" s="637">
        <f t="shared" si="5"/>
        <v>9971</v>
      </c>
      <c r="L87" s="1675">
        <v>122726</v>
      </c>
      <c r="M87" s="430">
        <v>0</v>
      </c>
      <c r="N87" s="419"/>
      <c r="O87" s="525">
        <f t="shared" si="6"/>
        <v>122726</v>
      </c>
      <c r="P87" s="61">
        <v>9171</v>
      </c>
      <c r="Q87" s="61">
        <v>23190</v>
      </c>
      <c r="R87" s="61">
        <v>0</v>
      </c>
      <c r="S87" s="419"/>
      <c r="T87" s="1978"/>
      <c r="U87" s="350"/>
      <c r="V87" s="526">
        <f t="shared" si="7"/>
        <v>32361</v>
      </c>
    </row>
    <row r="88" spans="1:22">
      <c r="A88" s="85">
        <v>2000.07</v>
      </c>
      <c r="B88" s="74">
        <v>655</v>
      </c>
      <c r="C88" s="61">
        <v>36</v>
      </c>
      <c r="D88" s="727"/>
      <c r="E88" s="61">
        <v>9357</v>
      </c>
      <c r="F88" s="573">
        <v>1</v>
      </c>
      <c r="G88" s="1460"/>
      <c r="H88" s="508">
        <f t="shared" si="4"/>
        <v>1</v>
      </c>
      <c r="I88" s="573">
        <v>26134</v>
      </c>
      <c r="J88" s="1968"/>
      <c r="K88" s="637">
        <f t="shared" si="5"/>
        <v>26134</v>
      </c>
      <c r="L88" s="1675">
        <v>110944</v>
      </c>
      <c r="M88" s="430">
        <v>0</v>
      </c>
      <c r="N88" s="419"/>
      <c r="O88" s="525">
        <f t="shared" si="6"/>
        <v>110944</v>
      </c>
      <c r="P88" s="61">
        <v>9149</v>
      </c>
      <c r="Q88" s="61">
        <v>23901</v>
      </c>
      <c r="R88" s="61">
        <v>0</v>
      </c>
      <c r="S88" s="419"/>
      <c r="T88" s="1978"/>
      <c r="U88" s="350"/>
      <c r="V88" s="526">
        <f t="shared" si="7"/>
        <v>33050</v>
      </c>
    </row>
    <row r="89" spans="1:22">
      <c r="A89" s="85">
        <v>2000.08</v>
      </c>
      <c r="B89" s="74">
        <v>293</v>
      </c>
      <c r="C89" s="61">
        <v>35</v>
      </c>
      <c r="D89" s="727"/>
      <c r="E89" s="61">
        <v>4081</v>
      </c>
      <c r="F89" s="573">
        <v>5</v>
      </c>
      <c r="G89" s="1460"/>
      <c r="H89" s="508">
        <f t="shared" si="4"/>
        <v>5</v>
      </c>
      <c r="I89" s="573">
        <v>6475</v>
      </c>
      <c r="J89" s="1968"/>
      <c r="K89" s="637">
        <f t="shared" si="5"/>
        <v>6475</v>
      </c>
      <c r="L89" s="1675">
        <v>109614</v>
      </c>
      <c r="M89" s="430">
        <v>0</v>
      </c>
      <c r="N89" s="419"/>
      <c r="O89" s="525">
        <f t="shared" si="6"/>
        <v>109614</v>
      </c>
      <c r="P89" s="61">
        <v>8830</v>
      </c>
      <c r="Q89" s="61">
        <v>23721</v>
      </c>
      <c r="R89" s="61">
        <v>0</v>
      </c>
      <c r="S89" s="419"/>
      <c r="T89" s="1978"/>
      <c r="U89" s="350"/>
      <c r="V89" s="526">
        <f t="shared" si="7"/>
        <v>32551</v>
      </c>
    </row>
    <row r="90" spans="1:22">
      <c r="A90" s="85">
        <v>2000.09</v>
      </c>
      <c r="B90" s="74">
        <v>302</v>
      </c>
      <c r="C90" s="61">
        <v>50</v>
      </c>
      <c r="D90" s="727"/>
      <c r="E90" s="61">
        <v>1726</v>
      </c>
      <c r="F90" s="573">
        <v>18</v>
      </c>
      <c r="G90" s="1460"/>
      <c r="H90" s="508">
        <f t="shared" si="4"/>
        <v>18</v>
      </c>
      <c r="I90" s="573">
        <v>6168</v>
      </c>
      <c r="J90" s="1968"/>
      <c r="K90" s="637">
        <f t="shared" si="5"/>
        <v>6168</v>
      </c>
      <c r="L90" s="1675">
        <v>103789</v>
      </c>
      <c r="M90" s="430">
        <v>0</v>
      </c>
      <c r="N90" s="419"/>
      <c r="O90" s="525">
        <f t="shared" si="6"/>
        <v>103789</v>
      </c>
      <c r="P90" s="61">
        <v>8464</v>
      </c>
      <c r="Q90" s="61">
        <v>22942</v>
      </c>
      <c r="R90" s="61">
        <v>0</v>
      </c>
      <c r="S90" s="419"/>
      <c r="T90" s="1978"/>
      <c r="U90" s="350"/>
      <c r="V90" s="526">
        <f t="shared" si="7"/>
        <v>31406</v>
      </c>
    </row>
    <row r="91" spans="1:22">
      <c r="A91" s="85">
        <v>2000.1</v>
      </c>
      <c r="B91" s="74">
        <v>411</v>
      </c>
      <c r="C91" s="61">
        <v>119</v>
      </c>
      <c r="D91" s="727"/>
      <c r="E91" s="61">
        <v>343</v>
      </c>
      <c r="F91" s="573">
        <v>26</v>
      </c>
      <c r="G91" s="1460"/>
      <c r="H91" s="508">
        <f t="shared" si="4"/>
        <v>26</v>
      </c>
      <c r="I91" s="573">
        <v>4604</v>
      </c>
      <c r="J91" s="1968"/>
      <c r="K91" s="637">
        <f t="shared" si="5"/>
        <v>4604</v>
      </c>
      <c r="L91" s="1675">
        <v>94366</v>
      </c>
      <c r="M91" s="430">
        <v>0</v>
      </c>
      <c r="N91" s="419"/>
      <c r="O91" s="525">
        <f t="shared" si="6"/>
        <v>94366</v>
      </c>
      <c r="P91" s="61">
        <v>7836</v>
      </c>
      <c r="Q91" s="61">
        <v>21336</v>
      </c>
      <c r="R91" s="61">
        <v>0</v>
      </c>
      <c r="S91" s="419"/>
      <c r="T91" s="1978"/>
      <c r="U91" s="350"/>
      <c r="V91" s="526">
        <f t="shared" si="7"/>
        <v>29172</v>
      </c>
    </row>
    <row r="92" spans="1:22">
      <c r="A92" s="85">
        <v>2000.11</v>
      </c>
      <c r="B92" s="74">
        <v>321</v>
      </c>
      <c r="C92" s="61">
        <v>149</v>
      </c>
      <c r="D92" s="727"/>
      <c r="E92" s="61">
        <v>421</v>
      </c>
      <c r="F92" s="573">
        <v>56</v>
      </c>
      <c r="G92" s="1460"/>
      <c r="H92" s="508">
        <f t="shared" si="4"/>
        <v>56</v>
      </c>
      <c r="I92" s="573">
        <v>5615</v>
      </c>
      <c r="J92" s="1968"/>
      <c r="K92" s="637">
        <f t="shared" si="5"/>
        <v>5615</v>
      </c>
      <c r="L92" s="1675">
        <v>108225</v>
      </c>
      <c r="M92" s="430">
        <v>0</v>
      </c>
      <c r="N92" s="419"/>
      <c r="O92" s="525">
        <f t="shared" si="6"/>
        <v>108225</v>
      </c>
      <c r="P92" s="61">
        <v>8022</v>
      </c>
      <c r="Q92" s="61">
        <v>21138</v>
      </c>
      <c r="R92" s="61">
        <v>0</v>
      </c>
      <c r="S92" s="419"/>
      <c r="T92" s="1978"/>
      <c r="U92" s="350"/>
      <c r="V92" s="526">
        <f t="shared" si="7"/>
        <v>29160</v>
      </c>
    </row>
    <row r="93" spans="1:22">
      <c r="A93" s="85">
        <v>2000.12</v>
      </c>
      <c r="B93" s="74">
        <v>312</v>
      </c>
      <c r="C93" s="61">
        <v>71</v>
      </c>
      <c r="D93" s="727"/>
      <c r="E93" s="61">
        <v>337</v>
      </c>
      <c r="F93" s="573">
        <v>0</v>
      </c>
      <c r="G93" s="1460"/>
      <c r="H93" s="508">
        <f t="shared" si="4"/>
        <v>0</v>
      </c>
      <c r="I93" s="573">
        <v>4043</v>
      </c>
      <c r="J93" s="1968"/>
      <c r="K93" s="637">
        <f t="shared" si="5"/>
        <v>4043</v>
      </c>
      <c r="L93" s="1675">
        <v>117444</v>
      </c>
      <c r="M93" s="430">
        <v>0</v>
      </c>
      <c r="N93" s="419"/>
      <c r="O93" s="525">
        <f t="shared" si="6"/>
        <v>117444</v>
      </c>
      <c r="P93" s="61">
        <v>8748</v>
      </c>
      <c r="Q93" s="61">
        <v>25705</v>
      </c>
      <c r="R93" s="61">
        <v>0</v>
      </c>
      <c r="S93" s="419"/>
      <c r="T93" s="1978"/>
      <c r="U93" s="350"/>
      <c r="V93" s="526">
        <f t="shared" si="7"/>
        <v>34453</v>
      </c>
    </row>
    <row r="94" spans="1:22">
      <c r="A94" s="85">
        <v>2001.01</v>
      </c>
      <c r="B94" s="74">
        <v>231</v>
      </c>
      <c r="C94" s="61">
        <v>117</v>
      </c>
      <c r="D94" s="727"/>
      <c r="E94" s="61">
        <v>359</v>
      </c>
      <c r="F94" s="573">
        <v>5.9</v>
      </c>
      <c r="G94" s="1460"/>
      <c r="H94" s="508">
        <f t="shared" si="4"/>
        <v>5.9</v>
      </c>
      <c r="I94" s="573">
        <v>4270</v>
      </c>
      <c r="J94" s="1968"/>
      <c r="K94" s="637">
        <f t="shared" si="5"/>
        <v>4270</v>
      </c>
      <c r="L94" s="1675">
        <v>93293.1</v>
      </c>
      <c r="M94" s="430">
        <v>15212</v>
      </c>
      <c r="N94" s="419"/>
      <c r="O94" s="525">
        <f t="shared" si="6"/>
        <v>108505.1</v>
      </c>
      <c r="P94" s="61">
        <v>8839.1</v>
      </c>
      <c r="Q94" s="61">
        <v>21638.9</v>
      </c>
      <c r="R94" s="61">
        <v>5207.1000000000004</v>
      </c>
      <c r="S94" s="419"/>
      <c r="T94" s="1978"/>
      <c r="U94" s="350"/>
      <c r="V94" s="526">
        <f t="shared" si="7"/>
        <v>35685.1</v>
      </c>
    </row>
    <row r="95" spans="1:22">
      <c r="A95" s="85">
        <v>2001.02</v>
      </c>
      <c r="B95" s="74">
        <v>736</v>
      </c>
      <c r="C95" s="61">
        <v>279</v>
      </c>
      <c r="D95" s="727"/>
      <c r="E95" s="61">
        <v>447</v>
      </c>
      <c r="F95" s="573">
        <v>3</v>
      </c>
      <c r="G95" s="1460"/>
      <c r="H95" s="508">
        <f t="shared" si="4"/>
        <v>3</v>
      </c>
      <c r="I95" s="573">
        <v>5217</v>
      </c>
      <c r="J95" s="1968"/>
      <c r="K95" s="637">
        <f t="shared" si="5"/>
        <v>5217</v>
      </c>
      <c r="L95" s="1675">
        <v>87182.63</v>
      </c>
      <c r="M95" s="430">
        <v>16402</v>
      </c>
      <c r="N95" s="419"/>
      <c r="O95" s="525">
        <f t="shared" si="6"/>
        <v>103584.63</v>
      </c>
      <c r="P95" s="61">
        <v>8593</v>
      </c>
      <c r="Q95" s="61">
        <v>20734</v>
      </c>
      <c r="R95" s="61">
        <v>4863</v>
      </c>
      <c r="S95" s="419"/>
      <c r="T95" s="1978"/>
      <c r="U95" s="350"/>
      <c r="V95" s="526">
        <f t="shared" si="7"/>
        <v>34190</v>
      </c>
    </row>
    <row r="96" spans="1:22">
      <c r="A96" s="85">
        <v>2001.03</v>
      </c>
      <c r="B96" s="74">
        <v>591</v>
      </c>
      <c r="C96" s="61">
        <v>292</v>
      </c>
      <c r="D96" s="727"/>
      <c r="E96" s="61">
        <v>782</v>
      </c>
      <c r="F96" s="573">
        <v>6</v>
      </c>
      <c r="G96" s="1460"/>
      <c r="H96" s="508">
        <f t="shared" si="4"/>
        <v>6</v>
      </c>
      <c r="I96" s="573">
        <v>3745</v>
      </c>
      <c r="J96" s="1968"/>
      <c r="K96" s="637">
        <f t="shared" si="5"/>
        <v>3745</v>
      </c>
      <c r="L96" s="1675">
        <v>109611</v>
      </c>
      <c r="M96" s="430">
        <v>18968</v>
      </c>
      <c r="N96" s="419"/>
      <c r="O96" s="525">
        <f t="shared" si="6"/>
        <v>128579</v>
      </c>
      <c r="P96" s="61">
        <v>8969</v>
      </c>
      <c r="Q96" s="61">
        <v>21493</v>
      </c>
      <c r="R96" s="61">
        <v>5091</v>
      </c>
      <c r="S96" s="419"/>
      <c r="T96" s="1978"/>
      <c r="U96" s="350"/>
      <c r="V96" s="526">
        <f t="shared" si="7"/>
        <v>35553</v>
      </c>
    </row>
    <row r="97" spans="1:22">
      <c r="A97" s="85">
        <v>2001.04</v>
      </c>
      <c r="B97" s="74">
        <v>186</v>
      </c>
      <c r="C97" s="61">
        <v>62</v>
      </c>
      <c r="D97" s="727"/>
      <c r="E97" s="61">
        <v>1724</v>
      </c>
      <c r="F97" s="573">
        <v>3208</v>
      </c>
      <c r="G97" s="1460"/>
      <c r="H97" s="508">
        <f t="shared" si="4"/>
        <v>3208</v>
      </c>
      <c r="I97" s="573">
        <v>5376</v>
      </c>
      <c r="J97" s="1968"/>
      <c r="K97" s="637">
        <f t="shared" si="5"/>
        <v>5376</v>
      </c>
      <c r="L97" s="1675">
        <v>123399.12</v>
      </c>
      <c r="M97" s="430">
        <v>28022</v>
      </c>
      <c r="N97" s="419"/>
      <c r="O97" s="525">
        <f t="shared" si="6"/>
        <v>151421.12</v>
      </c>
      <c r="P97" s="61">
        <v>8863</v>
      </c>
      <c r="Q97" s="61">
        <v>21750</v>
      </c>
      <c r="R97" s="61">
        <v>5493</v>
      </c>
      <c r="S97" s="419"/>
      <c r="T97" s="1978"/>
      <c r="U97" s="350"/>
      <c r="V97" s="526">
        <f t="shared" si="7"/>
        <v>36106</v>
      </c>
    </row>
    <row r="98" spans="1:22">
      <c r="A98" s="85">
        <v>2001.05</v>
      </c>
      <c r="B98" s="74">
        <v>576</v>
      </c>
      <c r="C98" s="61">
        <v>41</v>
      </c>
      <c r="D98" s="727"/>
      <c r="E98" s="61">
        <v>5110</v>
      </c>
      <c r="F98" s="573">
        <v>3125</v>
      </c>
      <c r="G98" s="1460"/>
      <c r="H98" s="508">
        <f t="shared" si="4"/>
        <v>3125</v>
      </c>
      <c r="I98" s="573">
        <v>10986</v>
      </c>
      <c r="J98" s="1968"/>
      <c r="K98" s="637">
        <f t="shared" si="5"/>
        <v>10986</v>
      </c>
      <c r="L98" s="1675">
        <v>122424.7</v>
      </c>
      <c r="M98" s="430">
        <v>17197</v>
      </c>
      <c r="N98" s="419"/>
      <c r="O98" s="525">
        <f t="shared" si="6"/>
        <v>139621.70000000001</v>
      </c>
      <c r="P98" s="61">
        <v>8291</v>
      </c>
      <c r="Q98" s="61">
        <v>20208</v>
      </c>
      <c r="R98" s="61">
        <v>4750</v>
      </c>
      <c r="S98" s="419"/>
      <c r="T98" s="1978"/>
      <c r="U98" s="350"/>
      <c r="V98" s="526">
        <f t="shared" si="7"/>
        <v>33249</v>
      </c>
    </row>
    <row r="99" spans="1:22">
      <c r="A99" s="85">
        <v>2001.06</v>
      </c>
      <c r="B99" s="74">
        <v>555</v>
      </c>
      <c r="C99" s="61">
        <v>31</v>
      </c>
      <c r="D99" s="727"/>
      <c r="E99" s="61">
        <v>4990</v>
      </c>
      <c r="F99" s="573">
        <v>2983</v>
      </c>
      <c r="G99" s="1460"/>
      <c r="H99" s="508">
        <f t="shared" si="4"/>
        <v>2983</v>
      </c>
      <c r="I99" s="573">
        <v>9857</v>
      </c>
      <c r="J99" s="1968"/>
      <c r="K99" s="637">
        <f t="shared" si="5"/>
        <v>9857</v>
      </c>
      <c r="L99" s="1675">
        <v>100372.8</v>
      </c>
      <c r="M99" s="430">
        <v>21102</v>
      </c>
      <c r="N99" s="419"/>
      <c r="O99" s="525">
        <f t="shared" si="6"/>
        <v>121474.8</v>
      </c>
      <c r="P99" s="61">
        <v>9942</v>
      </c>
      <c r="Q99" s="61">
        <v>21826</v>
      </c>
      <c r="R99" s="61">
        <v>4987</v>
      </c>
      <c r="S99" s="419"/>
      <c r="T99" s="1978"/>
      <c r="U99" s="350"/>
      <c r="V99" s="526">
        <f t="shared" si="7"/>
        <v>36755</v>
      </c>
    </row>
    <row r="100" spans="1:22">
      <c r="A100" s="85">
        <v>2001.07</v>
      </c>
      <c r="B100" s="74">
        <v>461</v>
      </c>
      <c r="C100" s="61">
        <v>32</v>
      </c>
      <c r="D100" s="727"/>
      <c r="E100" s="61">
        <v>5893</v>
      </c>
      <c r="F100" s="573">
        <v>3591</v>
      </c>
      <c r="G100" s="1460"/>
      <c r="H100" s="508">
        <f t="shared" si="4"/>
        <v>3591</v>
      </c>
      <c r="I100" s="573">
        <v>7313</v>
      </c>
      <c r="J100" s="1968"/>
      <c r="K100" s="637">
        <f t="shared" si="5"/>
        <v>7313</v>
      </c>
      <c r="L100" s="1675">
        <v>101210.57</v>
      </c>
      <c r="M100" s="430">
        <v>19287</v>
      </c>
      <c r="N100" s="419"/>
      <c r="O100" s="525">
        <f t="shared" si="6"/>
        <v>120497.57</v>
      </c>
      <c r="P100" s="61">
        <v>10215</v>
      </c>
      <c r="Q100" s="61">
        <v>24802</v>
      </c>
      <c r="R100" s="61">
        <v>5257</v>
      </c>
      <c r="S100" s="419"/>
      <c r="T100" s="1978"/>
      <c r="U100" s="350"/>
      <c r="V100" s="526">
        <f t="shared" si="7"/>
        <v>40274</v>
      </c>
    </row>
    <row r="101" spans="1:22">
      <c r="A101" s="85">
        <v>2001.08</v>
      </c>
      <c r="B101" s="74">
        <v>372</v>
      </c>
      <c r="C101" s="61">
        <v>48</v>
      </c>
      <c r="D101" s="727"/>
      <c r="E101" s="61">
        <v>1851</v>
      </c>
      <c r="F101" s="573">
        <v>3501</v>
      </c>
      <c r="G101" s="1460"/>
      <c r="H101" s="508">
        <f t="shared" si="4"/>
        <v>3501</v>
      </c>
      <c r="I101" s="573">
        <v>6424</v>
      </c>
      <c r="J101" s="1968"/>
      <c r="K101" s="637">
        <f t="shared" si="5"/>
        <v>6424</v>
      </c>
      <c r="L101" s="1675">
        <v>101112.5</v>
      </c>
      <c r="M101" s="430">
        <v>14355</v>
      </c>
      <c r="N101" s="419"/>
      <c r="O101" s="525">
        <f t="shared" si="6"/>
        <v>115467.5</v>
      </c>
      <c r="P101" s="61">
        <v>8244</v>
      </c>
      <c r="Q101" s="61">
        <v>21581</v>
      </c>
      <c r="R101" s="61">
        <v>5021</v>
      </c>
      <c r="S101" s="419"/>
      <c r="T101" s="1978"/>
      <c r="U101" s="350"/>
      <c r="V101" s="526">
        <f t="shared" si="7"/>
        <v>34846</v>
      </c>
    </row>
    <row r="102" spans="1:22">
      <c r="A102" s="85">
        <v>2001.09</v>
      </c>
      <c r="B102" s="74">
        <v>377</v>
      </c>
      <c r="C102" s="61">
        <v>48</v>
      </c>
      <c r="D102" s="727"/>
      <c r="E102" s="61">
        <v>1545</v>
      </c>
      <c r="F102" s="573">
        <v>320</v>
      </c>
      <c r="G102" s="1460"/>
      <c r="H102" s="508">
        <f t="shared" si="4"/>
        <v>320</v>
      </c>
      <c r="I102" s="573">
        <v>1330</v>
      </c>
      <c r="J102" s="1968"/>
      <c r="K102" s="637">
        <f t="shared" si="5"/>
        <v>1330</v>
      </c>
      <c r="L102" s="1675">
        <v>91262</v>
      </c>
      <c r="M102" s="430">
        <v>14742</v>
      </c>
      <c r="N102" s="419"/>
      <c r="O102" s="525">
        <f t="shared" si="6"/>
        <v>106004</v>
      </c>
      <c r="P102" s="61">
        <v>8467</v>
      </c>
      <c r="Q102" s="61">
        <v>21668</v>
      </c>
      <c r="R102" s="61">
        <v>4597</v>
      </c>
      <c r="S102" s="419"/>
      <c r="T102" s="1978"/>
      <c r="U102" s="350"/>
      <c r="V102" s="526">
        <f t="shared" si="7"/>
        <v>34732</v>
      </c>
    </row>
    <row r="103" spans="1:22">
      <c r="A103" s="85">
        <v>2001.1</v>
      </c>
      <c r="B103" s="74">
        <v>459</v>
      </c>
      <c r="C103" s="61">
        <v>214</v>
      </c>
      <c r="D103" s="727"/>
      <c r="E103" s="61">
        <v>403</v>
      </c>
      <c r="F103" s="573">
        <v>7</v>
      </c>
      <c r="G103" s="1460"/>
      <c r="H103" s="508">
        <f t="shared" si="4"/>
        <v>7</v>
      </c>
      <c r="I103" s="573">
        <v>6587</v>
      </c>
      <c r="J103" s="1968"/>
      <c r="K103" s="637">
        <f t="shared" si="5"/>
        <v>6587</v>
      </c>
      <c r="L103" s="1675">
        <v>93241.600000000006</v>
      </c>
      <c r="M103" s="430">
        <v>16169</v>
      </c>
      <c r="N103" s="419"/>
      <c r="O103" s="525">
        <f t="shared" si="6"/>
        <v>109410.6</v>
      </c>
      <c r="P103" s="61">
        <v>8767</v>
      </c>
      <c r="Q103" s="61">
        <v>22620</v>
      </c>
      <c r="R103" s="61">
        <v>5272</v>
      </c>
      <c r="S103" s="419"/>
      <c r="T103" s="1978"/>
      <c r="U103" s="350"/>
      <c r="V103" s="526">
        <f t="shared" si="7"/>
        <v>36659</v>
      </c>
    </row>
    <row r="104" spans="1:22">
      <c r="A104" s="85">
        <v>2001.11</v>
      </c>
      <c r="B104" s="74">
        <v>254</v>
      </c>
      <c r="C104" s="61">
        <v>157</v>
      </c>
      <c r="D104" s="727"/>
      <c r="E104" s="61">
        <v>243</v>
      </c>
      <c r="F104" s="573">
        <v>56</v>
      </c>
      <c r="G104" s="1460"/>
      <c r="H104" s="508">
        <f t="shared" si="4"/>
        <v>56</v>
      </c>
      <c r="I104" s="573">
        <v>5406</v>
      </c>
      <c r="J104" s="1968"/>
      <c r="K104" s="637">
        <f t="shared" si="5"/>
        <v>5406</v>
      </c>
      <c r="L104" s="1675">
        <v>113243</v>
      </c>
      <c r="M104" s="430">
        <v>18124</v>
      </c>
      <c r="N104" s="419"/>
      <c r="O104" s="525">
        <f t="shared" si="6"/>
        <v>131367</v>
      </c>
      <c r="P104" s="61">
        <v>7590</v>
      </c>
      <c r="Q104" s="61">
        <v>20699</v>
      </c>
      <c r="R104" s="61">
        <v>4653</v>
      </c>
      <c r="S104" s="419"/>
      <c r="T104" s="1978"/>
      <c r="U104" s="350"/>
      <c r="V104" s="526">
        <f t="shared" si="7"/>
        <v>32942</v>
      </c>
    </row>
    <row r="105" spans="1:22">
      <c r="A105" s="85">
        <v>2001.12</v>
      </c>
      <c r="B105" s="74">
        <v>109</v>
      </c>
      <c r="C105" s="61">
        <v>96</v>
      </c>
      <c r="D105" s="727"/>
      <c r="E105" s="61">
        <v>252</v>
      </c>
      <c r="F105" s="573">
        <v>165</v>
      </c>
      <c r="G105" s="1460"/>
      <c r="H105" s="508">
        <f t="shared" si="4"/>
        <v>165</v>
      </c>
      <c r="I105" s="573">
        <v>394</v>
      </c>
      <c r="J105" s="1968"/>
      <c r="K105" s="637">
        <f t="shared" si="5"/>
        <v>394</v>
      </c>
      <c r="L105" s="1675">
        <v>94381.92</v>
      </c>
      <c r="M105" s="430">
        <v>17161</v>
      </c>
      <c r="N105" s="419"/>
      <c r="O105" s="525">
        <f t="shared" si="6"/>
        <v>111542.92</v>
      </c>
      <c r="P105" s="61">
        <v>8161</v>
      </c>
      <c r="Q105" s="61">
        <v>22871</v>
      </c>
      <c r="R105" s="61">
        <v>5004</v>
      </c>
      <c r="S105" s="419"/>
      <c r="T105" s="1978"/>
      <c r="U105" s="350"/>
      <c r="V105" s="526">
        <f t="shared" si="7"/>
        <v>36036</v>
      </c>
    </row>
    <row r="106" spans="1:22">
      <c r="A106" s="85">
        <v>2002.01</v>
      </c>
      <c r="B106" s="74">
        <v>326</v>
      </c>
      <c r="C106" s="61">
        <v>297</v>
      </c>
      <c r="D106" s="727"/>
      <c r="E106" s="61">
        <v>234</v>
      </c>
      <c r="F106" s="573">
        <v>2596</v>
      </c>
      <c r="G106" s="1460"/>
      <c r="H106" s="508">
        <f t="shared" si="4"/>
        <v>2596</v>
      </c>
      <c r="I106" s="573">
        <v>6358</v>
      </c>
      <c r="J106" s="1968"/>
      <c r="K106" s="637">
        <f t="shared" si="5"/>
        <v>6358</v>
      </c>
      <c r="L106" s="1675">
        <v>77045</v>
      </c>
      <c r="M106" s="430">
        <v>13208</v>
      </c>
      <c r="N106" s="419"/>
      <c r="O106" s="525">
        <f t="shared" si="6"/>
        <v>90253</v>
      </c>
      <c r="P106" s="61">
        <v>7256</v>
      </c>
      <c r="Q106" s="61">
        <v>21232</v>
      </c>
      <c r="R106" s="61">
        <v>4343</v>
      </c>
      <c r="S106" s="419"/>
      <c r="T106" s="1978"/>
      <c r="U106" s="350"/>
      <c r="V106" s="526">
        <f t="shared" si="7"/>
        <v>32831</v>
      </c>
    </row>
    <row r="107" spans="1:22">
      <c r="A107" s="85">
        <v>2002.02</v>
      </c>
      <c r="B107" s="74">
        <v>315</v>
      </c>
      <c r="C107" s="61">
        <v>333</v>
      </c>
      <c r="D107" s="727"/>
      <c r="E107" s="61">
        <v>536</v>
      </c>
      <c r="F107" s="573">
        <v>2550</v>
      </c>
      <c r="G107" s="1460"/>
      <c r="H107" s="508">
        <f t="shared" si="4"/>
        <v>2550</v>
      </c>
      <c r="I107" s="573">
        <v>5650</v>
      </c>
      <c r="J107" s="1968"/>
      <c r="K107" s="637">
        <f t="shared" si="5"/>
        <v>5650</v>
      </c>
      <c r="L107" s="1675">
        <v>81312</v>
      </c>
      <c r="M107" s="430">
        <v>11803.15</v>
      </c>
      <c r="N107" s="419"/>
      <c r="O107" s="525">
        <f t="shared" si="6"/>
        <v>93115.15</v>
      </c>
      <c r="P107" s="61">
        <v>7555</v>
      </c>
      <c r="Q107" s="61">
        <v>21078</v>
      </c>
      <c r="R107" s="61">
        <v>4324</v>
      </c>
      <c r="S107" s="419"/>
      <c r="T107" s="1978"/>
      <c r="U107" s="350"/>
      <c r="V107" s="526">
        <f t="shared" si="7"/>
        <v>32957</v>
      </c>
    </row>
    <row r="108" spans="1:22">
      <c r="A108" s="85">
        <v>2002.03</v>
      </c>
      <c r="B108" s="74">
        <v>550</v>
      </c>
      <c r="C108" s="61">
        <v>526</v>
      </c>
      <c r="D108" s="727"/>
      <c r="E108" s="61">
        <v>588</v>
      </c>
      <c r="F108" s="573">
        <v>3076</v>
      </c>
      <c r="G108" s="1460"/>
      <c r="H108" s="508">
        <f t="shared" si="4"/>
        <v>3076</v>
      </c>
      <c r="I108" s="573">
        <v>3440</v>
      </c>
      <c r="J108" s="1968"/>
      <c r="K108" s="637">
        <f t="shared" si="5"/>
        <v>3440</v>
      </c>
      <c r="L108" s="1675">
        <v>91077</v>
      </c>
      <c r="M108" s="430">
        <v>12516.77</v>
      </c>
      <c r="N108" s="419"/>
      <c r="O108" s="525">
        <f t="shared" si="6"/>
        <v>103593.77</v>
      </c>
      <c r="P108" s="61">
        <v>8086</v>
      </c>
      <c r="Q108" s="61">
        <v>22041</v>
      </c>
      <c r="R108" s="61">
        <v>4075</v>
      </c>
      <c r="S108" s="419"/>
      <c r="T108" s="1978"/>
      <c r="U108" s="350"/>
      <c r="V108" s="526">
        <f t="shared" si="7"/>
        <v>34202</v>
      </c>
    </row>
    <row r="109" spans="1:22">
      <c r="A109" s="85">
        <v>2002.04</v>
      </c>
      <c r="B109" s="74">
        <v>407</v>
      </c>
      <c r="C109" s="61">
        <v>154</v>
      </c>
      <c r="D109" s="727"/>
      <c r="E109" s="61">
        <v>1538</v>
      </c>
      <c r="F109" s="573">
        <v>291</v>
      </c>
      <c r="G109" s="1460"/>
      <c r="H109" s="508">
        <f t="shared" si="4"/>
        <v>291</v>
      </c>
      <c r="I109" s="573">
        <v>4616</v>
      </c>
      <c r="J109" s="1968"/>
      <c r="K109" s="637">
        <f t="shared" si="5"/>
        <v>4616</v>
      </c>
      <c r="L109" s="1675">
        <v>97954</v>
      </c>
      <c r="M109" s="430">
        <v>13868.98</v>
      </c>
      <c r="N109" s="419"/>
      <c r="O109" s="525">
        <f t="shared" si="6"/>
        <v>111822.98</v>
      </c>
      <c r="P109" s="61">
        <v>8151</v>
      </c>
      <c r="Q109" s="61">
        <v>19900</v>
      </c>
      <c r="R109" s="61">
        <v>3465</v>
      </c>
      <c r="S109" s="419"/>
      <c r="T109" s="1978"/>
      <c r="U109" s="350"/>
      <c r="V109" s="526">
        <f t="shared" si="7"/>
        <v>31516</v>
      </c>
    </row>
    <row r="110" spans="1:22">
      <c r="A110" s="85">
        <v>2002.05</v>
      </c>
      <c r="B110" s="74">
        <v>209</v>
      </c>
      <c r="C110" s="61">
        <v>101</v>
      </c>
      <c r="D110" s="727"/>
      <c r="E110" s="61">
        <v>1607</v>
      </c>
      <c r="F110" s="573">
        <v>202</v>
      </c>
      <c r="G110" s="1460"/>
      <c r="H110" s="508">
        <f t="shared" si="4"/>
        <v>202</v>
      </c>
      <c r="I110" s="573">
        <v>5162</v>
      </c>
      <c r="J110" s="1968"/>
      <c r="K110" s="637">
        <f t="shared" si="5"/>
        <v>5162</v>
      </c>
      <c r="L110" s="1675">
        <v>113108</v>
      </c>
      <c r="M110" s="430">
        <v>14882</v>
      </c>
      <c r="N110" s="419"/>
      <c r="O110" s="525">
        <f t="shared" si="6"/>
        <v>127990</v>
      </c>
      <c r="P110" s="61">
        <v>9699</v>
      </c>
      <c r="Q110" s="61">
        <v>19800</v>
      </c>
      <c r="R110" s="61">
        <v>3825</v>
      </c>
      <c r="S110" s="419"/>
      <c r="T110" s="1978"/>
      <c r="U110" s="350"/>
      <c r="V110" s="526">
        <f t="shared" si="7"/>
        <v>33324</v>
      </c>
    </row>
    <row r="111" spans="1:22">
      <c r="A111" s="85">
        <v>2002.06</v>
      </c>
      <c r="B111" s="74">
        <v>158</v>
      </c>
      <c r="C111" s="61">
        <v>51</v>
      </c>
      <c r="D111" s="727"/>
      <c r="E111" s="61">
        <v>3595</v>
      </c>
      <c r="F111" s="573">
        <v>173</v>
      </c>
      <c r="G111" s="1460"/>
      <c r="H111" s="508">
        <f t="shared" si="4"/>
        <v>173</v>
      </c>
      <c r="I111" s="573">
        <v>6759</v>
      </c>
      <c r="J111" s="1968"/>
      <c r="K111" s="637">
        <f t="shared" si="5"/>
        <v>6759</v>
      </c>
      <c r="L111" s="1675">
        <v>96540</v>
      </c>
      <c r="M111" s="430">
        <v>13162.4</v>
      </c>
      <c r="N111" s="419"/>
      <c r="O111" s="525">
        <f t="shared" si="6"/>
        <v>109702.39999999999</v>
      </c>
      <c r="P111" s="61">
        <v>9807</v>
      </c>
      <c r="Q111" s="61">
        <v>18227</v>
      </c>
      <c r="R111" s="61">
        <v>2985</v>
      </c>
      <c r="S111" s="419"/>
      <c r="T111" s="1978"/>
      <c r="U111" s="350"/>
      <c r="V111" s="526">
        <f t="shared" si="7"/>
        <v>31019</v>
      </c>
    </row>
    <row r="112" spans="1:22">
      <c r="A112" s="85">
        <v>2002.07</v>
      </c>
      <c r="B112" s="74">
        <v>62</v>
      </c>
      <c r="C112" s="61">
        <v>45</v>
      </c>
      <c r="D112" s="727"/>
      <c r="E112" s="61">
        <v>3311</v>
      </c>
      <c r="F112" s="573">
        <v>405</v>
      </c>
      <c r="G112" s="1460"/>
      <c r="H112" s="508">
        <f t="shared" si="4"/>
        <v>405</v>
      </c>
      <c r="I112" s="573">
        <v>11415</v>
      </c>
      <c r="J112" s="1968"/>
      <c r="K112" s="637">
        <f t="shared" si="5"/>
        <v>11415</v>
      </c>
      <c r="L112" s="1675">
        <v>142100</v>
      </c>
      <c r="M112" s="430">
        <v>13333.2</v>
      </c>
      <c r="N112" s="419"/>
      <c r="O112" s="525">
        <f t="shared" si="6"/>
        <v>155433.20000000001</v>
      </c>
      <c r="P112" s="61">
        <v>10628</v>
      </c>
      <c r="Q112" s="61">
        <v>19750</v>
      </c>
      <c r="R112" s="61">
        <v>3213</v>
      </c>
      <c r="S112" s="419"/>
      <c r="T112" s="1978"/>
      <c r="U112" s="350"/>
      <c r="V112" s="526">
        <f t="shared" si="7"/>
        <v>33591</v>
      </c>
    </row>
    <row r="113" spans="1:22">
      <c r="A113" s="85">
        <v>2002.08</v>
      </c>
      <c r="B113" s="74">
        <v>43</v>
      </c>
      <c r="C113" s="61">
        <v>79</v>
      </c>
      <c r="D113" s="727"/>
      <c r="E113" s="61">
        <v>1457</v>
      </c>
      <c r="F113" s="573">
        <v>663</v>
      </c>
      <c r="G113" s="1460"/>
      <c r="H113" s="508">
        <f t="shared" si="4"/>
        <v>663</v>
      </c>
      <c r="I113" s="573">
        <v>4684</v>
      </c>
      <c r="J113" s="1968"/>
      <c r="K113" s="637">
        <f t="shared" si="5"/>
        <v>4684</v>
      </c>
      <c r="L113" s="1675">
        <v>96181</v>
      </c>
      <c r="M113" s="430">
        <v>9126</v>
      </c>
      <c r="N113" s="419"/>
      <c r="O113" s="525">
        <f t="shared" si="6"/>
        <v>105307</v>
      </c>
      <c r="P113" s="61">
        <v>10960</v>
      </c>
      <c r="Q113" s="61">
        <v>20352</v>
      </c>
      <c r="R113" s="61">
        <v>3134</v>
      </c>
      <c r="S113" s="419"/>
      <c r="T113" s="1978"/>
      <c r="U113" s="350"/>
      <c r="V113" s="526">
        <f t="shared" si="7"/>
        <v>34446</v>
      </c>
    </row>
    <row r="114" spans="1:22">
      <c r="A114" s="85">
        <v>2002.09</v>
      </c>
      <c r="B114" s="74">
        <v>94</v>
      </c>
      <c r="C114" s="61">
        <v>110</v>
      </c>
      <c r="D114" s="727"/>
      <c r="E114" s="61">
        <v>536</v>
      </c>
      <c r="F114" s="573">
        <v>583</v>
      </c>
      <c r="G114" s="1460"/>
      <c r="H114" s="508">
        <f t="shared" si="4"/>
        <v>583</v>
      </c>
      <c r="I114" s="573">
        <v>4552</v>
      </c>
      <c r="J114" s="1968"/>
      <c r="K114" s="637">
        <f t="shared" si="5"/>
        <v>4552</v>
      </c>
      <c r="L114" s="1675">
        <v>91653</v>
      </c>
      <c r="M114" s="430">
        <v>8886.68</v>
      </c>
      <c r="N114" s="419"/>
      <c r="O114" s="525">
        <f t="shared" si="6"/>
        <v>100539.68</v>
      </c>
      <c r="P114" s="61">
        <v>9338</v>
      </c>
      <c r="Q114" s="61">
        <v>17551</v>
      </c>
      <c r="R114" s="61">
        <v>2942</v>
      </c>
      <c r="S114" s="419"/>
      <c r="T114" s="1978"/>
      <c r="U114" s="350"/>
      <c r="V114" s="526">
        <f t="shared" si="7"/>
        <v>29831</v>
      </c>
    </row>
    <row r="115" spans="1:22">
      <c r="A115" s="85">
        <v>2002.1</v>
      </c>
      <c r="B115" s="74">
        <v>184</v>
      </c>
      <c r="C115" s="61">
        <v>153</v>
      </c>
      <c r="D115" s="727"/>
      <c r="E115" s="61">
        <v>185</v>
      </c>
      <c r="F115" s="573">
        <v>333</v>
      </c>
      <c r="G115" s="1460"/>
      <c r="H115" s="508">
        <f t="shared" si="4"/>
        <v>333</v>
      </c>
      <c r="I115" s="573">
        <v>3642</v>
      </c>
      <c r="J115" s="1968"/>
      <c r="K115" s="637">
        <f t="shared" si="5"/>
        <v>3642</v>
      </c>
      <c r="L115" s="1675">
        <v>76679</v>
      </c>
      <c r="M115" s="430">
        <v>8959</v>
      </c>
      <c r="N115" s="419"/>
      <c r="O115" s="525">
        <f t="shared" si="6"/>
        <v>85638</v>
      </c>
      <c r="P115" s="61">
        <v>9172</v>
      </c>
      <c r="Q115" s="61">
        <v>18119</v>
      </c>
      <c r="R115" s="61">
        <v>3352</v>
      </c>
      <c r="S115" s="419"/>
      <c r="T115" s="1978"/>
      <c r="U115" s="350"/>
      <c r="V115" s="526">
        <f t="shared" si="7"/>
        <v>30643</v>
      </c>
    </row>
    <row r="116" spans="1:22">
      <c r="A116" s="85">
        <v>2002.11</v>
      </c>
      <c r="B116" s="74">
        <v>109</v>
      </c>
      <c r="C116" s="61">
        <v>113</v>
      </c>
      <c r="D116" s="727"/>
      <c r="E116" s="61">
        <v>205</v>
      </c>
      <c r="F116" s="573">
        <v>267</v>
      </c>
      <c r="G116" s="1460"/>
      <c r="H116" s="508">
        <f t="shared" si="4"/>
        <v>267</v>
      </c>
      <c r="I116" s="573">
        <v>3426</v>
      </c>
      <c r="J116" s="1968"/>
      <c r="K116" s="637">
        <f t="shared" si="5"/>
        <v>3426</v>
      </c>
      <c r="L116" s="1675">
        <v>98507</v>
      </c>
      <c r="M116" s="430">
        <v>14841</v>
      </c>
      <c r="N116" s="419"/>
      <c r="O116" s="525">
        <f t="shared" si="6"/>
        <v>113348</v>
      </c>
      <c r="P116" s="61">
        <v>8500</v>
      </c>
      <c r="Q116" s="61">
        <v>17975</v>
      </c>
      <c r="R116" s="61">
        <v>3273</v>
      </c>
      <c r="S116" s="419"/>
      <c r="T116" s="1978"/>
      <c r="U116" s="350"/>
      <c r="V116" s="526">
        <f t="shared" si="7"/>
        <v>29748</v>
      </c>
    </row>
    <row r="117" spans="1:22">
      <c r="A117" s="85">
        <v>2002.12</v>
      </c>
      <c r="B117" s="74">
        <v>115</v>
      </c>
      <c r="C117" s="61">
        <v>188</v>
      </c>
      <c r="D117" s="727"/>
      <c r="E117" s="61">
        <v>268</v>
      </c>
      <c r="F117" s="573">
        <v>179</v>
      </c>
      <c r="G117" s="1460"/>
      <c r="H117" s="508">
        <f t="shared" si="4"/>
        <v>179</v>
      </c>
      <c r="I117" s="573">
        <v>3499</v>
      </c>
      <c r="J117" s="1968"/>
      <c r="K117" s="637">
        <f t="shared" si="5"/>
        <v>3499</v>
      </c>
      <c r="L117" s="1675">
        <v>96325.5</v>
      </c>
      <c r="M117" s="430">
        <v>13087.5</v>
      </c>
      <c r="N117" s="419"/>
      <c r="O117" s="525">
        <f t="shared" si="6"/>
        <v>109413</v>
      </c>
      <c r="P117" s="61">
        <v>9380</v>
      </c>
      <c r="Q117" s="61">
        <v>21009</v>
      </c>
      <c r="R117" s="61">
        <v>3923</v>
      </c>
      <c r="S117" s="419"/>
      <c r="T117" s="1978"/>
      <c r="U117" s="350"/>
      <c r="V117" s="526">
        <f t="shared" si="7"/>
        <v>34312</v>
      </c>
    </row>
    <row r="118" spans="1:22">
      <c r="A118" s="85">
        <v>2003.01</v>
      </c>
      <c r="B118" s="74">
        <v>308</v>
      </c>
      <c r="C118" s="61">
        <v>231</v>
      </c>
      <c r="D118" s="727"/>
      <c r="E118" s="61">
        <v>321</v>
      </c>
      <c r="F118" s="573">
        <v>447</v>
      </c>
      <c r="G118" s="1460"/>
      <c r="H118" s="508">
        <f t="shared" si="4"/>
        <v>447</v>
      </c>
      <c r="I118" s="573">
        <v>3165</v>
      </c>
      <c r="J118" s="1968"/>
      <c r="K118" s="637">
        <f t="shared" si="5"/>
        <v>3165</v>
      </c>
      <c r="L118" s="1675">
        <v>89235</v>
      </c>
      <c r="M118" s="430">
        <v>12960.14</v>
      </c>
      <c r="N118" s="419"/>
      <c r="O118" s="525">
        <f t="shared" si="6"/>
        <v>102195.14</v>
      </c>
      <c r="P118" s="61">
        <v>8370</v>
      </c>
      <c r="Q118" s="61">
        <v>19673</v>
      </c>
      <c r="R118" s="61">
        <v>3713</v>
      </c>
      <c r="S118" s="419"/>
      <c r="T118" s="1978"/>
      <c r="U118" s="350"/>
      <c r="V118" s="526">
        <f t="shared" si="7"/>
        <v>31756</v>
      </c>
    </row>
    <row r="119" spans="1:22">
      <c r="A119" s="85">
        <v>2003.02</v>
      </c>
      <c r="B119" s="74">
        <v>538</v>
      </c>
      <c r="C119" s="61">
        <v>508</v>
      </c>
      <c r="D119" s="727"/>
      <c r="E119" s="61">
        <v>402</v>
      </c>
      <c r="F119" s="573">
        <v>453</v>
      </c>
      <c r="G119" s="1460"/>
      <c r="H119" s="508">
        <f t="shared" si="4"/>
        <v>453</v>
      </c>
      <c r="I119" s="573">
        <v>2318</v>
      </c>
      <c r="J119" s="1968"/>
      <c r="K119" s="637">
        <f t="shared" si="5"/>
        <v>2318</v>
      </c>
      <c r="L119" s="1675">
        <v>94485</v>
      </c>
      <c r="M119" s="430">
        <v>10502</v>
      </c>
      <c r="N119" s="419"/>
      <c r="O119" s="525">
        <f t="shared" si="6"/>
        <v>104987</v>
      </c>
      <c r="P119" s="61">
        <v>7588</v>
      </c>
      <c r="Q119" s="61">
        <v>17538</v>
      </c>
      <c r="R119" s="61">
        <v>3448</v>
      </c>
      <c r="S119" s="419"/>
      <c r="T119" s="1978"/>
      <c r="U119" s="350"/>
      <c r="V119" s="526">
        <f t="shared" si="7"/>
        <v>28574</v>
      </c>
    </row>
    <row r="120" spans="1:22">
      <c r="A120" s="85">
        <v>2003.03</v>
      </c>
      <c r="B120" s="74">
        <v>310</v>
      </c>
      <c r="C120" s="61">
        <v>376</v>
      </c>
      <c r="D120" s="727"/>
      <c r="E120" s="61">
        <v>612</v>
      </c>
      <c r="F120" s="573">
        <v>497</v>
      </c>
      <c r="G120" s="1460"/>
      <c r="H120" s="508">
        <f t="shared" si="4"/>
        <v>497</v>
      </c>
      <c r="I120" s="573">
        <v>2786</v>
      </c>
      <c r="J120" s="1968"/>
      <c r="K120" s="637">
        <f t="shared" si="5"/>
        <v>2786</v>
      </c>
      <c r="L120" s="1675">
        <v>107227</v>
      </c>
      <c r="M120" s="430">
        <v>3408</v>
      </c>
      <c r="N120" s="419"/>
      <c r="O120" s="525">
        <f t="shared" si="6"/>
        <v>110635</v>
      </c>
      <c r="P120" s="61">
        <v>6354</v>
      </c>
      <c r="Q120" s="61">
        <v>15515</v>
      </c>
      <c r="R120" s="61">
        <v>2990</v>
      </c>
      <c r="S120" s="419"/>
      <c r="T120" s="1978"/>
      <c r="U120" s="350"/>
      <c r="V120" s="526">
        <f t="shared" si="7"/>
        <v>24859</v>
      </c>
    </row>
    <row r="121" spans="1:22">
      <c r="A121" s="85">
        <v>2003.04</v>
      </c>
      <c r="B121" s="74">
        <v>49</v>
      </c>
      <c r="C121" s="61">
        <v>67</v>
      </c>
      <c r="D121" s="727"/>
      <c r="E121" s="61">
        <v>810</v>
      </c>
      <c r="F121" s="573">
        <v>1067</v>
      </c>
      <c r="G121" s="1460"/>
      <c r="H121" s="508">
        <f t="shared" si="4"/>
        <v>1067</v>
      </c>
      <c r="I121" s="573">
        <v>3421</v>
      </c>
      <c r="J121" s="1968"/>
      <c r="K121" s="637">
        <f t="shared" si="5"/>
        <v>3421</v>
      </c>
      <c r="L121" s="1675">
        <v>97212</v>
      </c>
      <c r="M121" s="430">
        <v>0</v>
      </c>
      <c r="N121" s="419"/>
      <c r="O121" s="525">
        <f t="shared" si="6"/>
        <v>97212</v>
      </c>
      <c r="P121" s="61">
        <v>6287</v>
      </c>
      <c r="Q121" s="61">
        <v>15836</v>
      </c>
      <c r="R121" s="61">
        <v>3139</v>
      </c>
      <c r="S121" s="419"/>
      <c r="T121" s="1978"/>
      <c r="U121" s="350"/>
      <c r="V121" s="526">
        <f t="shared" si="7"/>
        <v>25262</v>
      </c>
    </row>
    <row r="122" spans="1:22">
      <c r="A122" s="85">
        <v>2003.05</v>
      </c>
      <c r="B122" s="74">
        <v>74</v>
      </c>
      <c r="C122" s="61">
        <v>54</v>
      </c>
      <c r="D122" s="727"/>
      <c r="E122" s="61">
        <v>1930</v>
      </c>
      <c r="F122" s="573">
        <v>654</v>
      </c>
      <c r="G122" s="1460"/>
      <c r="H122" s="508">
        <f t="shared" si="4"/>
        <v>654</v>
      </c>
      <c r="I122" s="573">
        <v>6840</v>
      </c>
      <c r="J122" s="1968"/>
      <c r="K122" s="637">
        <f t="shared" si="5"/>
        <v>6840</v>
      </c>
      <c r="L122" s="1675">
        <v>103272</v>
      </c>
      <c r="M122" s="430">
        <v>4254</v>
      </c>
      <c r="N122" s="419"/>
      <c r="O122" s="525">
        <f t="shared" si="6"/>
        <v>107526</v>
      </c>
      <c r="P122" s="61">
        <v>6874</v>
      </c>
      <c r="Q122" s="61">
        <v>16330</v>
      </c>
      <c r="R122" s="61">
        <v>3155</v>
      </c>
      <c r="S122" s="419"/>
      <c r="T122" s="1978"/>
      <c r="U122" s="350"/>
      <c r="V122" s="526">
        <f t="shared" si="7"/>
        <v>26359</v>
      </c>
    </row>
    <row r="123" spans="1:22">
      <c r="A123" s="85">
        <v>2003.06</v>
      </c>
      <c r="B123" s="74">
        <v>59</v>
      </c>
      <c r="C123" s="61">
        <v>54</v>
      </c>
      <c r="D123" s="727"/>
      <c r="E123" s="61">
        <v>2064</v>
      </c>
      <c r="F123" s="573">
        <v>926</v>
      </c>
      <c r="G123" s="1460"/>
      <c r="H123" s="508">
        <f t="shared" si="4"/>
        <v>926</v>
      </c>
      <c r="I123" s="573">
        <v>17268</v>
      </c>
      <c r="J123" s="1968"/>
      <c r="K123" s="637">
        <f t="shared" si="5"/>
        <v>17268</v>
      </c>
      <c r="L123" s="1675">
        <v>99145</v>
      </c>
      <c r="M123" s="430">
        <v>13048</v>
      </c>
      <c r="N123" s="419"/>
      <c r="O123" s="525">
        <f t="shared" si="6"/>
        <v>112193</v>
      </c>
      <c r="P123" s="61">
        <v>8246</v>
      </c>
      <c r="Q123" s="61">
        <v>19783</v>
      </c>
      <c r="R123" s="61">
        <v>3848</v>
      </c>
      <c r="S123" s="419"/>
      <c r="T123" s="1978"/>
      <c r="U123" s="350"/>
      <c r="V123" s="526">
        <f t="shared" si="7"/>
        <v>31877</v>
      </c>
    </row>
    <row r="124" spans="1:22">
      <c r="A124" s="85">
        <v>2003.07</v>
      </c>
      <c r="B124" s="74">
        <v>78</v>
      </c>
      <c r="C124" s="61">
        <v>58</v>
      </c>
      <c r="D124" s="727"/>
      <c r="E124" s="61">
        <v>3056</v>
      </c>
      <c r="F124" s="573">
        <v>1027</v>
      </c>
      <c r="G124" s="1460"/>
      <c r="H124" s="508">
        <f t="shared" si="4"/>
        <v>1027</v>
      </c>
      <c r="I124" s="573">
        <v>10073</v>
      </c>
      <c r="J124" s="1968"/>
      <c r="K124" s="637">
        <f t="shared" si="5"/>
        <v>10073</v>
      </c>
      <c r="L124" s="1675">
        <v>101383</v>
      </c>
      <c r="M124" s="430">
        <v>17508</v>
      </c>
      <c r="N124" s="419"/>
      <c r="O124" s="525">
        <f t="shared" si="6"/>
        <v>118891</v>
      </c>
      <c r="P124" s="61">
        <v>9924</v>
      </c>
      <c r="Q124" s="61">
        <v>23154</v>
      </c>
      <c r="R124" s="61">
        <v>4291</v>
      </c>
      <c r="S124" s="419"/>
      <c r="T124" s="1978"/>
      <c r="U124" s="350"/>
      <c r="V124" s="526">
        <f t="shared" si="7"/>
        <v>37369</v>
      </c>
    </row>
    <row r="125" spans="1:22">
      <c r="A125" s="85">
        <v>2003.08</v>
      </c>
      <c r="B125" s="74">
        <v>29</v>
      </c>
      <c r="C125" s="61">
        <v>49</v>
      </c>
      <c r="D125" s="727"/>
      <c r="E125" s="61">
        <v>1592</v>
      </c>
      <c r="F125" s="573">
        <v>1759</v>
      </c>
      <c r="G125" s="1460"/>
      <c r="H125" s="508">
        <f t="shared" si="4"/>
        <v>1759</v>
      </c>
      <c r="I125" s="573">
        <v>9017</v>
      </c>
      <c r="J125" s="1968"/>
      <c r="K125" s="637">
        <f t="shared" si="5"/>
        <v>9017</v>
      </c>
      <c r="L125" s="1675">
        <v>100991</v>
      </c>
      <c r="M125" s="430">
        <v>9813</v>
      </c>
      <c r="N125" s="419"/>
      <c r="O125" s="525">
        <f t="shared" si="6"/>
        <v>110804</v>
      </c>
      <c r="P125" s="61">
        <v>8342</v>
      </c>
      <c r="Q125" s="61">
        <v>20979</v>
      </c>
      <c r="R125" s="61">
        <v>4206</v>
      </c>
      <c r="S125" s="419"/>
      <c r="T125" s="1978"/>
      <c r="U125" s="350"/>
      <c r="V125" s="526">
        <f t="shared" si="7"/>
        <v>33527</v>
      </c>
    </row>
    <row r="126" spans="1:22">
      <c r="A126" s="85">
        <v>2003.09</v>
      </c>
      <c r="B126" s="74">
        <v>57</v>
      </c>
      <c r="C126" s="61">
        <v>68</v>
      </c>
      <c r="D126" s="727"/>
      <c r="E126" s="61">
        <v>560</v>
      </c>
      <c r="F126" s="573">
        <v>883</v>
      </c>
      <c r="G126" s="1460"/>
      <c r="H126" s="508">
        <f t="shared" si="4"/>
        <v>883</v>
      </c>
      <c r="I126" s="573">
        <v>8292.2999999999993</v>
      </c>
      <c r="J126" s="1968"/>
      <c r="K126" s="637">
        <f t="shared" si="5"/>
        <v>8292.2999999999993</v>
      </c>
      <c r="L126" s="1675">
        <v>105286.5</v>
      </c>
      <c r="M126" s="430">
        <v>11077</v>
      </c>
      <c r="N126" s="419"/>
      <c r="O126" s="525">
        <f t="shared" si="6"/>
        <v>116363.5</v>
      </c>
      <c r="P126" s="61">
        <v>8502</v>
      </c>
      <c r="Q126" s="61">
        <v>20176.099999999999</v>
      </c>
      <c r="R126" s="61">
        <v>4501</v>
      </c>
      <c r="S126" s="419"/>
      <c r="T126" s="1978"/>
      <c r="U126" s="350"/>
      <c r="V126" s="526">
        <f t="shared" si="7"/>
        <v>33179.1</v>
      </c>
    </row>
    <row r="127" spans="1:22">
      <c r="A127" s="85">
        <v>2003.1</v>
      </c>
      <c r="B127" s="74">
        <v>158</v>
      </c>
      <c r="C127" s="61">
        <v>103</v>
      </c>
      <c r="D127" s="727"/>
      <c r="E127" s="61">
        <v>237</v>
      </c>
      <c r="F127" s="573">
        <v>582</v>
      </c>
      <c r="G127" s="1460"/>
      <c r="H127" s="508">
        <f t="shared" si="4"/>
        <v>582</v>
      </c>
      <c r="I127" s="573">
        <v>4453.22</v>
      </c>
      <c r="J127" s="1968"/>
      <c r="K127" s="637">
        <f t="shared" si="5"/>
        <v>4453.22</v>
      </c>
      <c r="L127" s="1675">
        <v>109139.93799999999</v>
      </c>
      <c r="M127" s="430">
        <v>10606</v>
      </c>
      <c r="N127" s="419"/>
      <c r="O127" s="525">
        <f t="shared" si="6"/>
        <v>119745.93799999999</v>
      </c>
      <c r="P127" s="61">
        <v>8219</v>
      </c>
      <c r="Q127" s="61">
        <v>21029</v>
      </c>
      <c r="R127" s="61">
        <v>4877</v>
      </c>
      <c r="S127" s="419"/>
      <c r="T127" s="1978"/>
      <c r="U127" s="350"/>
      <c r="V127" s="526">
        <f t="shared" si="7"/>
        <v>34125</v>
      </c>
    </row>
    <row r="128" spans="1:22">
      <c r="A128" s="85">
        <v>2003.11</v>
      </c>
      <c r="B128" s="74">
        <v>61</v>
      </c>
      <c r="C128" s="61">
        <v>110</v>
      </c>
      <c r="D128" s="727"/>
      <c r="E128" s="61">
        <v>207</v>
      </c>
      <c r="F128" s="573">
        <v>115</v>
      </c>
      <c r="G128" s="1460"/>
      <c r="H128" s="508">
        <f t="shared" si="4"/>
        <v>115</v>
      </c>
      <c r="I128" s="573">
        <v>3788</v>
      </c>
      <c r="J128" s="1968"/>
      <c r="K128" s="637">
        <f t="shared" si="5"/>
        <v>3788</v>
      </c>
      <c r="L128" s="1675">
        <v>120387</v>
      </c>
      <c r="M128" s="430">
        <v>87</v>
      </c>
      <c r="N128" s="419"/>
      <c r="O128" s="525">
        <f t="shared" si="6"/>
        <v>120474</v>
      </c>
      <c r="P128" s="61">
        <v>6407</v>
      </c>
      <c r="Q128" s="61">
        <v>16498</v>
      </c>
      <c r="R128" s="61">
        <v>3742</v>
      </c>
      <c r="S128" s="419"/>
      <c r="T128" s="1978"/>
      <c r="U128" s="350"/>
      <c r="V128" s="526">
        <f t="shared" si="7"/>
        <v>26647</v>
      </c>
    </row>
    <row r="129" spans="1:22">
      <c r="A129" s="85">
        <v>2003.12</v>
      </c>
      <c r="B129" s="74">
        <v>198</v>
      </c>
      <c r="C129" s="61">
        <v>182</v>
      </c>
      <c r="D129" s="727"/>
      <c r="E129" s="61">
        <v>292</v>
      </c>
      <c r="F129" s="573">
        <v>35</v>
      </c>
      <c r="G129" s="1460"/>
      <c r="H129" s="508">
        <f t="shared" si="4"/>
        <v>35</v>
      </c>
      <c r="I129" s="573">
        <v>3433</v>
      </c>
      <c r="J129" s="1968"/>
      <c r="K129" s="637">
        <f t="shared" si="5"/>
        <v>3433</v>
      </c>
      <c r="L129" s="1675">
        <v>115013</v>
      </c>
      <c r="M129" s="430">
        <v>11793</v>
      </c>
      <c r="N129" s="419"/>
      <c r="O129" s="525">
        <f t="shared" si="6"/>
        <v>126806</v>
      </c>
      <c r="P129" s="61">
        <v>8726</v>
      </c>
      <c r="Q129" s="61">
        <v>22480</v>
      </c>
      <c r="R129" s="61">
        <v>5800</v>
      </c>
      <c r="S129" s="419"/>
      <c r="T129" s="1978"/>
      <c r="U129" s="350"/>
      <c r="V129" s="526">
        <f t="shared" si="7"/>
        <v>37006</v>
      </c>
    </row>
    <row r="130" spans="1:22">
      <c r="A130" s="85">
        <v>2004.01</v>
      </c>
      <c r="B130" s="74">
        <v>204</v>
      </c>
      <c r="C130" s="61">
        <v>224</v>
      </c>
      <c r="D130" s="727"/>
      <c r="E130" s="61">
        <v>295</v>
      </c>
      <c r="F130" s="573">
        <v>143</v>
      </c>
      <c r="G130" s="1460"/>
      <c r="H130" s="508">
        <f t="shared" si="4"/>
        <v>143</v>
      </c>
      <c r="I130" s="573">
        <v>6943</v>
      </c>
      <c r="J130" s="1968"/>
      <c r="K130" s="637">
        <f t="shared" si="5"/>
        <v>6943</v>
      </c>
      <c r="L130" s="1675">
        <v>78490</v>
      </c>
      <c r="M130" s="430">
        <v>10601</v>
      </c>
      <c r="N130" s="419"/>
      <c r="O130" s="525">
        <f t="shared" si="6"/>
        <v>89091</v>
      </c>
      <c r="P130" s="61">
        <v>7470</v>
      </c>
      <c r="Q130" s="61">
        <v>21794</v>
      </c>
      <c r="R130" s="61">
        <v>5104</v>
      </c>
      <c r="S130" s="419"/>
      <c r="T130" s="1978"/>
      <c r="U130" s="350"/>
      <c r="V130" s="526">
        <f t="shared" si="7"/>
        <v>34368</v>
      </c>
    </row>
    <row r="131" spans="1:22">
      <c r="A131" s="85">
        <v>2004.02</v>
      </c>
      <c r="B131" s="74">
        <v>414</v>
      </c>
      <c r="C131" s="61">
        <v>441</v>
      </c>
      <c r="D131" s="727"/>
      <c r="E131" s="61">
        <v>421.31399999999996</v>
      </c>
      <c r="F131" s="573">
        <v>0</v>
      </c>
      <c r="G131" s="1460"/>
      <c r="H131" s="508">
        <f t="shared" si="4"/>
        <v>0</v>
      </c>
      <c r="I131" s="573">
        <v>7688</v>
      </c>
      <c r="J131" s="1968"/>
      <c r="K131" s="637">
        <f t="shared" si="5"/>
        <v>7688</v>
      </c>
      <c r="L131" s="1675">
        <v>97308</v>
      </c>
      <c r="M131" s="430">
        <v>0</v>
      </c>
      <c r="N131" s="419"/>
      <c r="O131" s="525">
        <f t="shared" si="6"/>
        <v>97308</v>
      </c>
      <c r="P131" s="61">
        <v>5436</v>
      </c>
      <c r="Q131" s="61">
        <v>17012</v>
      </c>
      <c r="R131" s="61">
        <v>3935</v>
      </c>
      <c r="S131" s="419"/>
      <c r="T131" s="1978"/>
      <c r="U131" s="350"/>
      <c r="V131" s="526">
        <f t="shared" si="7"/>
        <v>26383</v>
      </c>
    </row>
    <row r="132" spans="1:22">
      <c r="A132" s="85">
        <v>2004.03</v>
      </c>
      <c r="B132" s="74">
        <v>281</v>
      </c>
      <c r="C132" s="61">
        <v>345</v>
      </c>
      <c r="D132" s="727"/>
      <c r="E132" s="61">
        <v>478</v>
      </c>
      <c r="F132" s="573">
        <v>609</v>
      </c>
      <c r="G132" s="1460"/>
      <c r="H132" s="508">
        <f t="shared" si="4"/>
        <v>609</v>
      </c>
      <c r="I132" s="573">
        <v>12468.082</v>
      </c>
      <c r="J132" s="1968"/>
      <c r="K132" s="637">
        <f t="shared" si="5"/>
        <v>12468.082</v>
      </c>
      <c r="L132" s="1675">
        <v>119306.1</v>
      </c>
      <c r="M132" s="430">
        <v>12591</v>
      </c>
      <c r="N132" s="419"/>
      <c r="O132" s="525">
        <f t="shared" si="6"/>
        <v>131897.1</v>
      </c>
      <c r="P132" s="61">
        <v>6747</v>
      </c>
      <c r="Q132" s="61">
        <v>21394</v>
      </c>
      <c r="R132" s="61">
        <v>4835</v>
      </c>
      <c r="S132" s="419"/>
      <c r="T132" s="1978"/>
      <c r="U132" s="350"/>
      <c r="V132" s="526">
        <f t="shared" si="7"/>
        <v>32976</v>
      </c>
    </row>
    <row r="133" spans="1:22">
      <c r="A133" s="85">
        <v>2004.04</v>
      </c>
      <c r="B133" s="74">
        <v>66</v>
      </c>
      <c r="C133" s="61">
        <v>99</v>
      </c>
      <c r="D133" s="727"/>
      <c r="E133" s="61">
        <v>870</v>
      </c>
      <c r="F133" s="573">
        <v>598</v>
      </c>
      <c r="G133" s="1460"/>
      <c r="H133" s="508">
        <f t="shared" si="4"/>
        <v>598</v>
      </c>
      <c r="I133" s="573">
        <v>16630</v>
      </c>
      <c r="J133" s="1968"/>
      <c r="K133" s="637">
        <f t="shared" si="5"/>
        <v>16630</v>
      </c>
      <c r="L133" s="1675">
        <v>109061</v>
      </c>
      <c r="M133" s="430">
        <v>12467</v>
      </c>
      <c r="N133" s="419"/>
      <c r="O133" s="525">
        <f t="shared" si="6"/>
        <v>121528</v>
      </c>
      <c r="P133" s="61">
        <v>6304</v>
      </c>
      <c r="Q133" s="61">
        <v>20932</v>
      </c>
      <c r="R133" s="61">
        <v>4642</v>
      </c>
      <c r="S133" s="419"/>
      <c r="T133" s="1978"/>
      <c r="U133" s="350"/>
      <c r="V133" s="526">
        <f t="shared" si="7"/>
        <v>31878</v>
      </c>
    </row>
    <row r="134" spans="1:22">
      <c r="A134" s="85">
        <v>2004.05</v>
      </c>
      <c r="B134" s="74">
        <v>109</v>
      </c>
      <c r="C134" s="61">
        <v>65</v>
      </c>
      <c r="D134" s="727"/>
      <c r="E134" s="61">
        <v>2496.1</v>
      </c>
      <c r="F134" s="573">
        <v>522</v>
      </c>
      <c r="G134" s="1460"/>
      <c r="H134" s="508">
        <f t="shared" si="4"/>
        <v>522</v>
      </c>
      <c r="I134" s="573">
        <v>15847</v>
      </c>
      <c r="J134" s="1968"/>
      <c r="K134" s="637">
        <f t="shared" si="5"/>
        <v>15847</v>
      </c>
      <c r="L134" s="1675">
        <v>110768</v>
      </c>
      <c r="M134" s="430">
        <v>14091</v>
      </c>
      <c r="N134" s="419"/>
      <c r="O134" s="525">
        <f t="shared" si="6"/>
        <v>124859</v>
      </c>
      <c r="P134" s="61">
        <v>5957</v>
      </c>
      <c r="Q134" s="61">
        <v>19263</v>
      </c>
      <c r="R134" s="61">
        <v>4341</v>
      </c>
      <c r="S134" s="419"/>
      <c r="T134" s="1978"/>
      <c r="U134" s="350"/>
      <c r="V134" s="526">
        <f t="shared" si="7"/>
        <v>29561</v>
      </c>
    </row>
    <row r="135" spans="1:22">
      <c r="A135" s="85">
        <v>2004.06</v>
      </c>
      <c r="B135" s="74">
        <v>30</v>
      </c>
      <c r="C135" s="61">
        <v>61</v>
      </c>
      <c r="D135" s="727"/>
      <c r="E135" s="61">
        <v>2047.6</v>
      </c>
      <c r="F135" s="573">
        <v>259.80900000000003</v>
      </c>
      <c r="G135" s="1460"/>
      <c r="H135" s="508">
        <f t="shared" si="4"/>
        <v>259.80900000000003</v>
      </c>
      <c r="I135" s="573">
        <v>17908.28</v>
      </c>
      <c r="J135" s="1968"/>
      <c r="K135" s="637">
        <f t="shared" si="5"/>
        <v>17908.28</v>
      </c>
      <c r="L135" s="1675">
        <v>96182.080000000002</v>
      </c>
      <c r="M135" s="430">
        <v>13523</v>
      </c>
      <c r="N135" s="419"/>
      <c r="O135" s="525">
        <f t="shared" si="6"/>
        <v>109705.08</v>
      </c>
      <c r="P135" s="61">
        <v>5339</v>
      </c>
      <c r="Q135" s="61">
        <v>17869</v>
      </c>
      <c r="R135" s="61">
        <v>5378</v>
      </c>
      <c r="S135" s="419"/>
      <c r="T135" s="1978"/>
      <c r="U135" s="350"/>
      <c r="V135" s="526">
        <f t="shared" si="7"/>
        <v>28586</v>
      </c>
    </row>
    <row r="136" spans="1:22">
      <c r="A136" s="85">
        <v>2004.07</v>
      </c>
      <c r="B136" s="74">
        <v>52</v>
      </c>
      <c r="C136" s="61">
        <v>84</v>
      </c>
      <c r="D136" s="727"/>
      <c r="E136" s="61">
        <v>2029.2</v>
      </c>
      <c r="F136" s="573">
        <v>272</v>
      </c>
      <c r="G136" s="1460"/>
      <c r="H136" s="508">
        <f t="shared" si="4"/>
        <v>272</v>
      </c>
      <c r="I136" s="573">
        <v>6446</v>
      </c>
      <c r="J136" s="1968"/>
      <c r="K136" s="637">
        <f t="shared" si="5"/>
        <v>6446</v>
      </c>
      <c r="L136" s="1675">
        <v>89797</v>
      </c>
      <c r="M136" s="430">
        <v>11245</v>
      </c>
      <c r="N136" s="419"/>
      <c r="O136" s="525">
        <f t="shared" si="6"/>
        <v>101042</v>
      </c>
      <c r="P136" s="61">
        <v>5507</v>
      </c>
      <c r="Q136" s="61">
        <v>17946</v>
      </c>
      <c r="R136" s="61">
        <v>6543</v>
      </c>
      <c r="S136" s="419"/>
      <c r="T136" s="1978"/>
      <c r="U136" s="350"/>
      <c r="V136" s="526">
        <f t="shared" si="7"/>
        <v>29996</v>
      </c>
    </row>
    <row r="137" spans="1:22">
      <c r="A137" s="85">
        <v>2004.08</v>
      </c>
      <c r="B137" s="74">
        <v>45</v>
      </c>
      <c r="C137" s="61">
        <v>59</v>
      </c>
      <c r="D137" s="727"/>
      <c r="E137" s="61">
        <v>1279</v>
      </c>
      <c r="F137" s="573">
        <v>0</v>
      </c>
      <c r="G137" s="1460"/>
      <c r="H137" s="508">
        <f t="shared" si="4"/>
        <v>0</v>
      </c>
      <c r="I137" s="573">
        <v>1041</v>
      </c>
      <c r="J137" s="1968"/>
      <c r="K137" s="637">
        <f t="shared" si="5"/>
        <v>1041</v>
      </c>
      <c r="L137" s="1675">
        <v>56798</v>
      </c>
      <c r="M137" s="430">
        <v>11500</v>
      </c>
      <c r="N137" s="419"/>
      <c r="O137" s="525">
        <f t="shared" si="6"/>
        <v>68298</v>
      </c>
      <c r="P137" s="61">
        <v>5205</v>
      </c>
      <c r="Q137" s="61">
        <v>17096</v>
      </c>
      <c r="R137" s="61">
        <v>5683</v>
      </c>
      <c r="S137" s="419"/>
      <c r="T137" s="1978"/>
      <c r="U137" s="350"/>
      <c r="V137" s="526">
        <f t="shared" si="7"/>
        <v>27984</v>
      </c>
    </row>
    <row r="138" spans="1:22">
      <c r="A138" s="85">
        <v>2004.09</v>
      </c>
      <c r="B138" s="74">
        <v>44</v>
      </c>
      <c r="C138" s="61">
        <v>52</v>
      </c>
      <c r="D138" s="727"/>
      <c r="E138" s="61">
        <v>239.2</v>
      </c>
      <c r="F138" s="573">
        <v>0</v>
      </c>
      <c r="G138" s="1460"/>
      <c r="H138" s="508">
        <f t="shared" ref="H138:H201" si="8">F138+G138</f>
        <v>0</v>
      </c>
      <c r="I138" s="573">
        <v>495</v>
      </c>
      <c r="J138" s="1968"/>
      <c r="K138" s="637">
        <f t="shared" ref="K138:K201" si="9">I138+J138</f>
        <v>495</v>
      </c>
      <c r="L138" s="1675">
        <v>83862</v>
      </c>
      <c r="M138" s="430">
        <v>12131</v>
      </c>
      <c r="N138" s="419"/>
      <c r="O138" s="525">
        <f t="shared" si="6"/>
        <v>95993</v>
      </c>
      <c r="P138" s="61">
        <v>5035</v>
      </c>
      <c r="Q138" s="61">
        <v>17355</v>
      </c>
      <c r="R138" s="61">
        <v>5823</v>
      </c>
      <c r="S138" s="419"/>
      <c r="T138" s="1978"/>
      <c r="U138" s="350"/>
      <c r="V138" s="526">
        <f t="shared" si="7"/>
        <v>28213</v>
      </c>
    </row>
    <row r="139" spans="1:22">
      <c r="A139" s="85">
        <v>2004.1</v>
      </c>
      <c r="B139" s="74">
        <v>135</v>
      </c>
      <c r="C139" s="61">
        <v>55</v>
      </c>
      <c r="D139" s="727"/>
      <c r="E139" s="61">
        <v>195</v>
      </c>
      <c r="F139" s="573">
        <v>914</v>
      </c>
      <c r="G139" s="1460"/>
      <c r="H139" s="508">
        <f t="shared" si="8"/>
        <v>914</v>
      </c>
      <c r="I139" s="573">
        <v>877</v>
      </c>
      <c r="J139" s="1968"/>
      <c r="K139" s="637">
        <f t="shared" si="9"/>
        <v>877</v>
      </c>
      <c r="L139" s="1675">
        <v>77879.399999999994</v>
      </c>
      <c r="M139" s="430">
        <v>8771.4</v>
      </c>
      <c r="N139" s="419"/>
      <c r="O139" s="525">
        <f t="shared" si="6"/>
        <v>86650.799999999988</v>
      </c>
      <c r="P139" s="61">
        <v>3703</v>
      </c>
      <c r="Q139" s="61">
        <v>15267</v>
      </c>
      <c r="R139" s="61">
        <v>6038</v>
      </c>
      <c r="S139" s="419"/>
      <c r="T139" s="1978"/>
      <c r="U139" s="350"/>
      <c r="V139" s="526">
        <f t="shared" si="7"/>
        <v>25008</v>
      </c>
    </row>
    <row r="140" spans="1:22">
      <c r="A140" s="85">
        <v>2004.11</v>
      </c>
      <c r="B140" s="74">
        <v>127</v>
      </c>
      <c r="C140" s="61">
        <v>82</v>
      </c>
      <c r="D140" s="727"/>
      <c r="E140" s="61">
        <v>180</v>
      </c>
      <c r="F140" s="573">
        <v>0</v>
      </c>
      <c r="G140" s="1460"/>
      <c r="H140" s="508">
        <f t="shared" si="8"/>
        <v>0</v>
      </c>
      <c r="I140" s="573">
        <v>2453</v>
      </c>
      <c r="J140" s="1968"/>
      <c r="K140" s="637">
        <f t="shared" si="9"/>
        <v>2453</v>
      </c>
      <c r="L140" s="1675">
        <v>82154</v>
      </c>
      <c r="M140" s="430">
        <v>2753</v>
      </c>
      <c r="N140" s="419"/>
      <c r="O140" s="525">
        <f t="shared" ref="O140:O200" si="10">L140+M140+N140</f>
        <v>84907</v>
      </c>
      <c r="P140" s="61">
        <v>3336</v>
      </c>
      <c r="Q140" s="61">
        <v>13840</v>
      </c>
      <c r="R140" s="61">
        <v>5798</v>
      </c>
      <c r="S140" s="419"/>
      <c r="T140" s="1978"/>
      <c r="U140" s="350"/>
      <c r="V140" s="526">
        <f t="shared" ref="V140:V203" si="11">SUM(P140:U140)</f>
        <v>22974</v>
      </c>
    </row>
    <row r="141" spans="1:22">
      <c r="A141" s="85">
        <v>2004.12</v>
      </c>
      <c r="B141" s="74">
        <v>91</v>
      </c>
      <c r="C141" s="61">
        <v>82</v>
      </c>
      <c r="D141" s="727"/>
      <c r="E141" s="61">
        <v>269</v>
      </c>
      <c r="F141" s="573">
        <v>1182</v>
      </c>
      <c r="G141" s="1460"/>
      <c r="H141" s="508">
        <f t="shared" si="8"/>
        <v>1182</v>
      </c>
      <c r="I141" s="573">
        <v>6394.1180000000004</v>
      </c>
      <c r="J141" s="1968"/>
      <c r="K141" s="637">
        <f t="shared" si="9"/>
        <v>6394.1180000000004</v>
      </c>
      <c r="L141" s="1675">
        <v>102176.5</v>
      </c>
      <c r="M141" s="430">
        <v>2694.14</v>
      </c>
      <c r="N141" s="419"/>
      <c r="O141" s="525">
        <f t="shared" si="10"/>
        <v>104870.64</v>
      </c>
      <c r="P141" s="61">
        <v>4490</v>
      </c>
      <c r="Q141" s="61">
        <v>18699</v>
      </c>
      <c r="R141" s="61">
        <v>7032</v>
      </c>
      <c r="S141" s="419"/>
      <c r="T141" s="1978"/>
      <c r="U141" s="350"/>
      <c r="V141" s="526">
        <f t="shared" si="11"/>
        <v>30221</v>
      </c>
    </row>
    <row r="142" spans="1:22">
      <c r="A142" s="85">
        <v>2005.01</v>
      </c>
      <c r="B142" s="74">
        <v>57</v>
      </c>
      <c r="C142" s="61">
        <v>127</v>
      </c>
      <c r="D142" s="727"/>
      <c r="E142" s="61">
        <v>365.9</v>
      </c>
      <c r="F142" s="573">
        <v>634.61</v>
      </c>
      <c r="G142" s="1460"/>
      <c r="H142" s="508">
        <f t="shared" si="8"/>
        <v>634.61</v>
      </c>
      <c r="I142" s="573">
        <v>4810.71</v>
      </c>
      <c r="J142" s="1968"/>
      <c r="K142" s="637">
        <f t="shared" si="9"/>
        <v>4810.71</v>
      </c>
      <c r="L142" s="1675">
        <v>102083.44</v>
      </c>
      <c r="M142" s="430">
        <v>3646.65</v>
      </c>
      <c r="N142" s="419"/>
      <c r="O142" s="525">
        <f t="shared" si="10"/>
        <v>105730.09</v>
      </c>
      <c r="P142" s="61">
        <v>3256.23</v>
      </c>
      <c r="Q142" s="61">
        <v>16827.740000000002</v>
      </c>
      <c r="R142" s="61">
        <v>6331.28</v>
      </c>
      <c r="S142" s="419"/>
      <c r="T142" s="1978"/>
      <c r="U142" s="350"/>
      <c r="V142" s="526">
        <f t="shared" si="11"/>
        <v>26415.25</v>
      </c>
    </row>
    <row r="143" spans="1:22">
      <c r="A143" s="85">
        <v>2005.02</v>
      </c>
      <c r="B143" s="74">
        <v>144</v>
      </c>
      <c r="C143" s="61">
        <v>250</v>
      </c>
      <c r="D143" s="727"/>
      <c r="E143" s="61">
        <v>320.39999999999998</v>
      </c>
      <c r="F143" s="573">
        <v>1027.69</v>
      </c>
      <c r="G143" s="1460"/>
      <c r="H143" s="508">
        <f t="shared" si="8"/>
        <v>1027.69</v>
      </c>
      <c r="I143" s="573">
        <v>10659.95</v>
      </c>
      <c r="J143" s="1968"/>
      <c r="K143" s="637">
        <f t="shared" si="9"/>
        <v>10659.95</v>
      </c>
      <c r="L143" s="1675">
        <v>57897.24</v>
      </c>
      <c r="M143" s="430">
        <v>2881.78</v>
      </c>
      <c r="N143" s="419"/>
      <c r="O143" s="525">
        <f t="shared" si="10"/>
        <v>60779.02</v>
      </c>
      <c r="P143" s="61">
        <v>3276.66</v>
      </c>
      <c r="Q143" s="61">
        <v>15224.26</v>
      </c>
      <c r="R143" s="61">
        <v>5862.54</v>
      </c>
      <c r="S143" s="419"/>
      <c r="T143" s="1978"/>
      <c r="U143" s="350"/>
      <c r="V143" s="526">
        <f t="shared" si="11"/>
        <v>24363.46</v>
      </c>
    </row>
    <row r="144" spans="1:22">
      <c r="A144" s="85">
        <v>2005.03</v>
      </c>
      <c r="B144" s="74">
        <v>157</v>
      </c>
      <c r="C144" s="61">
        <v>136</v>
      </c>
      <c r="D144" s="727"/>
      <c r="E144" s="61">
        <v>399.89</v>
      </c>
      <c r="F144" s="573">
        <v>886.59</v>
      </c>
      <c r="G144" s="1460"/>
      <c r="H144" s="508">
        <f t="shared" si="8"/>
        <v>886.59</v>
      </c>
      <c r="I144" s="573">
        <v>11059.03</v>
      </c>
      <c r="J144" s="1968"/>
      <c r="K144" s="637">
        <f t="shared" si="9"/>
        <v>11059.03</v>
      </c>
      <c r="L144" s="1675">
        <v>112400.63</v>
      </c>
      <c r="M144" s="430">
        <v>3129.5</v>
      </c>
      <c r="N144" s="419"/>
      <c r="O144" s="525">
        <f t="shared" si="10"/>
        <v>115530.13</v>
      </c>
      <c r="P144" s="61">
        <v>3775.46</v>
      </c>
      <c r="Q144" s="61">
        <v>17409.849999999999</v>
      </c>
      <c r="R144" s="61">
        <v>6920.33</v>
      </c>
      <c r="S144" s="419"/>
      <c r="T144" s="1978"/>
      <c r="U144" s="350"/>
      <c r="V144" s="526">
        <f t="shared" si="11"/>
        <v>28105.64</v>
      </c>
    </row>
    <row r="145" spans="1:22">
      <c r="A145" s="85">
        <v>2005.04</v>
      </c>
      <c r="B145" s="74">
        <v>67</v>
      </c>
      <c r="C145" s="61">
        <v>93</v>
      </c>
      <c r="D145" s="727"/>
      <c r="E145" s="61">
        <v>1039.9000000000001</v>
      </c>
      <c r="F145" s="573">
        <v>110.66</v>
      </c>
      <c r="G145" s="1460"/>
      <c r="H145" s="508">
        <f t="shared" si="8"/>
        <v>110.66</v>
      </c>
      <c r="I145" s="573">
        <v>16680.455999999998</v>
      </c>
      <c r="J145" s="1968"/>
      <c r="K145" s="637">
        <f t="shared" si="9"/>
        <v>16680.455999999998</v>
      </c>
      <c r="L145" s="1675">
        <v>113796.35</v>
      </c>
      <c r="M145" s="430">
        <v>3136.7</v>
      </c>
      <c r="N145" s="419"/>
      <c r="O145" s="525">
        <f t="shared" si="10"/>
        <v>116933.05</v>
      </c>
      <c r="P145" s="61">
        <v>3410.32</v>
      </c>
      <c r="Q145" s="61">
        <v>16155.3</v>
      </c>
      <c r="R145" s="61">
        <v>6228.04</v>
      </c>
      <c r="S145" s="419"/>
      <c r="T145" s="1978"/>
      <c r="U145" s="350"/>
      <c r="V145" s="526">
        <f t="shared" si="11"/>
        <v>25793.66</v>
      </c>
    </row>
    <row r="146" spans="1:22">
      <c r="A146" s="85">
        <v>2005.05</v>
      </c>
      <c r="B146" s="74">
        <v>32</v>
      </c>
      <c r="C146" s="61">
        <v>32</v>
      </c>
      <c r="D146" s="727"/>
      <c r="E146" s="61">
        <v>1137.7</v>
      </c>
      <c r="F146" s="573">
        <v>1019.15</v>
      </c>
      <c r="G146" s="1460"/>
      <c r="H146" s="508">
        <f t="shared" si="8"/>
        <v>1019.15</v>
      </c>
      <c r="I146" s="573">
        <v>10697.23</v>
      </c>
      <c r="J146" s="1968"/>
      <c r="K146" s="637">
        <f t="shared" si="9"/>
        <v>10697.23</v>
      </c>
      <c r="L146" s="1675">
        <v>103454.33</v>
      </c>
      <c r="M146" s="430">
        <v>3147.98</v>
      </c>
      <c r="N146" s="419"/>
      <c r="O146" s="525">
        <f t="shared" si="10"/>
        <v>106602.31</v>
      </c>
      <c r="P146" s="61">
        <v>3455.85</v>
      </c>
      <c r="Q146" s="61">
        <v>16591.900000000001</v>
      </c>
      <c r="R146" s="61">
        <v>8341.6</v>
      </c>
      <c r="S146" s="419"/>
      <c r="T146" s="1978"/>
      <c r="U146" s="350"/>
      <c r="V146" s="526">
        <f t="shared" si="11"/>
        <v>28389.35</v>
      </c>
    </row>
    <row r="147" spans="1:22">
      <c r="A147" s="85">
        <v>2005.06</v>
      </c>
      <c r="B147" s="74">
        <v>92</v>
      </c>
      <c r="C147" s="61">
        <v>34</v>
      </c>
      <c r="D147" s="727"/>
      <c r="E147" s="61">
        <v>1761.73</v>
      </c>
      <c r="F147" s="573">
        <v>1405.94</v>
      </c>
      <c r="G147" s="1460"/>
      <c r="H147" s="508">
        <f t="shared" si="8"/>
        <v>1405.94</v>
      </c>
      <c r="I147" s="573">
        <v>34897.72</v>
      </c>
      <c r="J147" s="1968"/>
      <c r="K147" s="637">
        <f t="shared" si="9"/>
        <v>34897.72</v>
      </c>
      <c r="L147" s="1675">
        <v>100761.76</v>
      </c>
      <c r="M147" s="430">
        <v>3283.46</v>
      </c>
      <c r="N147" s="419"/>
      <c r="O147" s="525">
        <f t="shared" si="10"/>
        <v>104045.22</v>
      </c>
      <c r="P147" s="61">
        <v>3335.11</v>
      </c>
      <c r="Q147" s="61">
        <v>16705.439999999999</v>
      </c>
      <c r="R147" s="61">
        <v>6735.22</v>
      </c>
      <c r="S147" s="419"/>
      <c r="T147" s="1978"/>
      <c r="U147" s="350"/>
      <c r="V147" s="526">
        <f t="shared" si="11"/>
        <v>26775.77</v>
      </c>
    </row>
    <row r="148" spans="1:22">
      <c r="A148" s="85">
        <v>2005.07</v>
      </c>
      <c r="B148" s="74">
        <v>17</v>
      </c>
      <c r="C148" s="61">
        <v>39</v>
      </c>
      <c r="D148" s="727"/>
      <c r="E148" s="61">
        <v>2370.7199999999998</v>
      </c>
      <c r="F148" s="573">
        <v>812.3</v>
      </c>
      <c r="G148" s="1460"/>
      <c r="H148" s="508">
        <f t="shared" si="8"/>
        <v>812.3</v>
      </c>
      <c r="I148" s="573">
        <v>24808.04</v>
      </c>
      <c r="J148" s="1968"/>
      <c r="K148" s="637">
        <f t="shared" si="9"/>
        <v>24808.04</v>
      </c>
      <c r="L148" s="1675">
        <v>110743.17</v>
      </c>
      <c r="M148" s="430">
        <v>3299.04</v>
      </c>
      <c r="N148" s="419"/>
      <c r="O148" s="525">
        <f t="shared" si="10"/>
        <v>114042.20999999999</v>
      </c>
      <c r="P148" s="61">
        <v>3666.03</v>
      </c>
      <c r="Q148" s="61">
        <v>17542.03</v>
      </c>
      <c r="R148" s="61">
        <v>7696.52</v>
      </c>
      <c r="S148" s="419"/>
      <c r="T148" s="1978"/>
      <c r="U148" s="350"/>
      <c r="V148" s="526">
        <f t="shared" si="11"/>
        <v>28904.579999999998</v>
      </c>
    </row>
    <row r="149" spans="1:22">
      <c r="A149" s="85">
        <v>2005.08</v>
      </c>
      <c r="B149" s="74">
        <v>57</v>
      </c>
      <c r="C149" s="61">
        <v>59</v>
      </c>
      <c r="D149" s="727"/>
      <c r="E149" s="61">
        <v>1399.94</v>
      </c>
      <c r="F149" s="573">
        <v>1208.3800000000001</v>
      </c>
      <c r="G149" s="1460"/>
      <c r="H149" s="508">
        <f t="shared" si="8"/>
        <v>1208.3800000000001</v>
      </c>
      <c r="I149" s="573">
        <v>16975.599999999999</v>
      </c>
      <c r="J149" s="1968"/>
      <c r="K149" s="637">
        <f t="shared" si="9"/>
        <v>16975.599999999999</v>
      </c>
      <c r="L149" s="1675">
        <v>108354.82</v>
      </c>
      <c r="M149" s="430">
        <v>3321.1</v>
      </c>
      <c r="N149" s="419"/>
      <c r="O149" s="525">
        <f t="shared" si="10"/>
        <v>111675.92000000001</v>
      </c>
      <c r="P149" s="61">
        <v>3469.5</v>
      </c>
      <c r="Q149" s="61">
        <v>18172.349999999999</v>
      </c>
      <c r="R149" s="61">
        <v>8056.05</v>
      </c>
      <c r="S149" s="419"/>
      <c r="T149" s="1978"/>
      <c r="U149" s="350"/>
      <c r="V149" s="526">
        <f t="shared" si="11"/>
        <v>29697.899999999998</v>
      </c>
    </row>
    <row r="150" spans="1:22">
      <c r="A150" s="85">
        <v>2005.09</v>
      </c>
      <c r="B150" s="74">
        <v>32</v>
      </c>
      <c r="C150" s="61">
        <v>64</v>
      </c>
      <c r="D150" s="727"/>
      <c r="E150" s="61">
        <v>976.58</v>
      </c>
      <c r="F150" s="573">
        <v>1665.15</v>
      </c>
      <c r="G150" s="1460"/>
      <c r="H150" s="508">
        <f t="shared" si="8"/>
        <v>1665.15</v>
      </c>
      <c r="I150" s="573">
        <v>15028.3</v>
      </c>
      <c r="J150" s="1968"/>
      <c r="K150" s="637">
        <f t="shared" si="9"/>
        <v>15028.3</v>
      </c>
      <c r="L150" s="1675">
        <v>119570.47</v>
      </c>
      <c r="M150" s="430">
        <v>19698.810000000001</v>
      </c>
      <c r="N150" s="419"/>
      <c r="O150" s="525">
        <f t="shared" si="10"/>
        <v>139269.28</v>
      </c>
      <c r="P150" s="61">
        <v>3486.48</v>
      </c>
      <c r="Q150" s="61">
        <v>17732.169999999998</v>
      </c>
      <c r="R150" s="61">
        <v>7736.89</v>
      </c>
      <c r="S150" s="419"/>
      <c r="T150" s="1978"/>
      <c r="U150" s="350"/>
      <c r="V150" s="526">
        <f t="shared" si="11"/>
        <v>28955.539999999997</v>
      </c>
    </row>
    <row r="151" spans="1:22">
      <c r="A151" s="85">
        <v>2005.1</v>
      </c>
      <c r="B151" s="74">
        <v>86</v>
      </c>
      <c r="C151" s="61">
        <v>99</v>
      </c>
      <c r="D151" s="727"/>
      <c r="E151" s="61">
        <v>272.97899999999998</v>
      </c>
      <c r="F151" s="573">
        <v>1226.57</v>
      </c>
      <c r="G151" s="1460"/>
      <c r="H151" s="508">
        <f t="shared" si="8"/>
        <v>1226.57</v>
      </c>
      <c r="I151" s="573">
        <v>3158.05</v>
      </c>
      <c r="J151" s="1968"/>
      <c r="K151" s="637">
        <f t="shared" si="9"/>
        <v>3158.05</v>
      </c>
      <c r="L151" s="1675">
        <v>115486.8</v>
      </c>
      <c r="M151" s="430">
        <v>3178.15</v>
      </c>
      <c r="N151" s="419"/>
      <c r="O151" s="525">
        <f t="shared" si="10"/>
        <v>118664.95</v>
      </c>
      <c r="P151" s="61">
        <v>3738.22</v>
      </c>
      <c r="Q151" s="61">
        <v>19185.02</v>
      </c>
      <c r="R151" s="61">
        <v>8401.31</v>
      </c>
      <c r="S151" s="419"/>
      <c r="T151" s="1978"/>
      <c r="U151" s="350"/>
      <c r="V151" s="526">
        <f t="shared" si="11"/>
        <v>31324.550000000003</v>
      </c>
    </row>
    <row r="152" spans="1:22">
      <c r="A152" s="85">
        <v>2005.11</v>
      </c>
      <c r="B152" s="74">
        <v>125</v>
      </c>
      <c r="C152" s="61">
        <v>56</v>
      </c>
      <c r="D152" s="727"/>
      <c r="E152" s="61">
        <v>331.66399999999999</v>
      </c>
      <c r="F152" s="573">
        <v>1379.2</v>
      </c>
      <c r="G152" s="1460"/>
      <c r="H152" s="508">
        <f t="shared" si="8"/>
        <v>1379.2</v>
      </c>
      <c r="I152" s="573">
        <v>11898.06</v>
      </c>
      <c r="J152" s="1968"/>
      <c r="K152" s="637">
        <f t="shared" si="9"/>
        <v>11898.06</v>
      </c>
      <c r="L152" s="1675">
        <v>126333.03</v>
      </c>
      <c r="M152" s="430">
        <v>18237.64</v>
      </c>
      <c r="N152" s="419"/>
      <c r="O152" s="525">
        <f t="shared" si="10"/>
        <v>144570.66999999998</v>
      </c>
      <c r="P152" s="61">
        <v>3477.63</v>
      </c>
      <c r="Q152" s="61">
        <v>18173.11</v>
      </c>
      <c r="R152" s="61">
        <v>8969.0499999999993</v>
      </c>
      <c r="S152" s="419"/>
      <c r="T152" s="1978"/>
      <c r="U152" s="350"/>
      <c r="V152" s="526">
        <f t="shared" si="11"/>
        <v>30619.79</v>
      </c>
    </row>
    <row r="153" spans="1:22">
      <c r="A153" s="85">
        <v>2005.12</v>
      </c>
      <c r="B153" s="74">
        <v>118</v>
      </c>
      <c r="C153" s="61">
        <v>155</v>
      </c>
      <c r="D153" s="727"/>
      <c r="E153" s="61">
        <v>301.55599999999998</v>
      </c>
      <c r="F153" s="573">
        <v>1426.16</v>
      </c>
      <c r="G153" s="1460"/>
      <c r="H153" s="508">
        <f t="shared" si="8"/>
        <v>1426.16</v>
      </c>
      <c r="I153" s="573">
        <v>4103.6499999999996</v>
      </c>
      <c r="J153" s="1968"/>
      <c r="K153" s="637">
        <f t="shared" si="9"/>
        <v>4103.6499999999996</v>
      </c>
      <c r="L153" s="1675">
        <v>116390.21</v>
      </c>
      <c r="M153" s="430">
        <v>18409.32</v>
      </c>
      <c r="N153" s="419"/>
      <c r="O153" s="525">
        <f t="shared" si="10"/>
        <v>134799.53</v>
      </c>
      <c r="P153" s="61">
        <v>3575.8</v>
      </c>
      <c r="Q153" s="61">
        <v>17587.18</v>
      </c>
      <c r="R153" s="61">
        <v>9738.18</v>
      </c>
      <c r="S153" s="419"/>
      <c r="T153" s="1978"/>
      <c r="U153" s="350"/>
      <c r="V153" s="526">
        <f t="shared" si="11"/>
        <v>30901.16</v>
      </c>
    </row>
    <row r="154" spans="1:22">
      <c r="A154" s="85">
        <v>2006.01</v>
      </c>
      <c r="B154" s="74">
        <v>80</v>
      </c>
      <c r="C154" s="61">
        <v>178</v>
      </c>
      <c r="D154" s="727"/>
      <c r="E154" s="61">
        <v>379.62099999999998</v>
      </c>
      <c r="F154" s="573">
        <v>962.11</v>
      </c>
      <c r="G154" s="1460"/>
      <c r="H154" s="508">
        <f t="shared" si="8"/>
        <v>962.11</v>
      </c>
      <c r="I154" s="573">
        <v>13486.4</v>
      </c>
      <c r="J154" s="1968"/>
      <c r="K154" s="637">
        <f t="shared" si="9"/>
        <v>13486.4</v>
      </c>
      <c r="L154" s="1675">
        <v>100632.33</v>
      </c>
      <c r="M154" s="430">
        <v>3094.55</v>
      </c>
      <c r="N154" s="419"/>
      <c r="O154" s="525">
        <f t="shared" si="10"/>
        <v>103726.88</v>
      </c>
      <c r="P154" s="61">
        <v>3409.31</v>
      </c>
      <c r="Q154" s="61">
        <v>19991.89</v>
      </c>
      <c r="R154" s="61">
        <v>9183.09</v>
      </c>
      <c r="S154" s="419"/>
      <c r="T154" s="1978"/>
      <c r="U154" s="350"/>
      <c r="V154" s="526">
        <f t="shared" si="11"/>
        <v>32584.29</v>
      </c>
    </row>
    <row r="155" spans="1:22">
      <c r="A155" s="85">
        <v>2006.02</v>
      </c>
      <c r="B155" s="74">
        <v>108</v>
      </c>
      <c r="C155" s="61">
        <v>265</v>
      </c>
      <c r="D155" s="727"/>
      <c r="E155" s="61">
        <v>331.1</v>
      </c>
      <c r="F155" s="573">
        <v>870.32</v>
      </c>
      <c r="G155" s="1460"/>
      <c r="H155" s="508">
        <f t="shared" si="8"/>
        <v>870.32</v>
      </c>
      <c r="I155" s="573">
        <v>4845.22</v>
      </c>
      <c r="J155" s="1968"/>
      <c r="K155" s="637">
        <f t="shared" si="9"/>
        <v>4845.22</v>
      </c>
      <c r="L155" s="1675">
        <v>91885.69</v>
      </c>
      <c r="M155" s="430">
        <v>2949.14</v>
      </c>
      <c r="N155" s="419"/>
      <c r="O155" s="525">
        <f t="shared" si="10"/>
        <v>94834.83</v>
      </c>
      <c r="P155" s="61">
        <v>3184.22</v>
      </c>
      <c r="Q155" s="61">
        <v>18176.77</v>
      </c>
      <c r="R155" s="61">
        <v>8730.75</v>
      </c>
      <c r="S155" s="419"/>
      <c r="T155" s="1978"/>
      <c r="U155" s="350"/>
      <c r="V155" s="526">
        <f t="shared" si="11"/>
        <v>30091.74</v>
      </c>
    </row>
    <row r="156" spans="1:22">
      <c r="A156" s="85">
        <v>2006.03</v>
      </c>
      <c r="B156" s="74">
        <v>140</v>
      </c>
      <c r="C156" s="61">
        <v>110</v>
      </c>
      <c r="D156" s="727"/>
      <c r="E156" s="61">
        <v>408.20200000000006</v>
      </c>
      <c r="F156" s="573">
        <v>1044.1199999999999</v>
      </c>
      <c r="G156" s="1460"/>
      <c r="H156" s="508">
        <f t="shared" si="8"/>
        <v>1044.1199999999999</v>
      </c>
      <c r="I156" s="573">
        <v>3613.8</v>
      </c>
      <c r="J156" s="1968"/>
      <c r="K156" s="637">
        <f t="shared" si="9"/>
        <v>3613.8</v>
      </c>
      <c r="L156" s="1675">
        <v>115577.68</v>
      </c>
      <c r="M156" s="430">
        <v>3446.7</v>
      </c>
      <c r="N156" s="419"/>
      <c r="O156" s="525">
        <f t="shared" si="10"/>
        <v>119024.37999999999</v>
      </c>
      <c r="P156" s="61">
        <v>3490.4</v>
      </c>
      <c r="Q156" s="61">
        <v>20353.75</v>
      </c>
      <c r="R156" s="61">
        <v>9793.33</v>
      </c>
      <c r="S156" s="419"/>
      <c r="T156" s="1978"/>
      <c r="U156" s="350"/>
      <c r="V156" s="526">
        <f t="shared" si="11"/>
        <v>33637.480000000003</v>
      </c>
    </row>
    <row r="157" spans="1:22">
      <c r="A157" s="85">
        <v>2006.04</v>
      </c>
      <c r="B157" s="74">
        <v>129</v>
      </c>
      <c r="C157" s="61">
        <v>57</v>
      </c>
      <c r="D157" s="727"/>
      <c r="E157" s="61">
        <v>767.03499999999997</v>
      </c>
      <c r="F157" s="573">
        <v>436.07</v>
      </c>
      <c r="G157" s="1460"/>
      <c r="H157" s="508">
        <f t="shared" si="8"/>
        <v>436.07</v>
      </c>
      <c r="I157" s="573">
        <v>19571.43</v>
      </c>
      <c r="J157" s="1968"/>
      <c r="K157" s="637">
        <f t="shared" si="9"/>
        <v>19571.43</v>
      </c>
      <c r="L157" s="1675">
        <v>113753.24</v>
      </c>
      <c r="M157" s="430">
        <v>3164.04</v>
      </c>
      <c r="N157" s="419"/>
      <c r="O157" s="525">
        <f t="shared" si="10"/>
        <v>116917.28</v>
      </c>
      <c r="P157" s="61">
        <v>2875.28</v>
      </c>
      <c r="Q157" s="61">
        <v>19579.96</v>
      </c>
      <c r="R157" s="61">
        <v>9799.82</v>
      </c>
      <c r="S157" s="419"/>
      <c r="T157" s="1978"/>
      <c r="U157" s="350"/>
      <c r="V157" s="526">
        <f t="shared" si="11"/>
        <v>32255.059999999998</v>
      </c>
    </row>
    <row r="158" spans="1:22">
      <c r="A158" s="85">
        <v>2006.05</v>
      </c>
      <c r="B158" s="74">
        <v>83</v>
      </c>
      <c r="C158" s="61">
        <v>41</v>
      </c>
      <c r="D158" s="727"/>
      <c r="E158" s="61">
        <v>1930.903</v>
      </c>
      <c r="F158" s="573">
        <v>156.76</v>
      </c>
      <c r="G158" s="1460"/>
      <c r="H158" s="508">
        <f t="shared" si="8"/>
        <v>156.76</v>
      </c>
      <c r="I158" s="573">
        <v>5308</v>
      </c>
      <c r="J158" s="1968"/>
      <c r="K158" s="637">
        <f t="shared" si="9"/>
        <v>5308</v>
      </c>
      <c r="L158" s="1675">
        <v>120688.3</v>
      </c>
      <c r="M158" s="430">
        <v>3279.08</v>
      </c>
      <c r="N158" s="419"/>
      <c r="O158" s="525">
        <f t="shared" si="10"/>
        <v>123967.38</v>
      </c>
      <c r="P158" s="61">
        <v>3076.92</v>
      </c>
      <c r="Q158" s="61">
        <v>19562.669999999998</v>
      </c>
      <c r="R158" s="61">
        <v>10287.209999999999</v>
      </c>
      <c r="S158" s="419"/>
      <c r="T158" s="1978"/>
      <c r="U158" s="350"/>
      <c r="V158" s="526">
        <f t="shared" si="11"/>
        <v>32926.799999999996</v>
      </c>
    </row>
    <row r="159" spans="1:22">
      <c r="A159" s="85">
        <v>2006.06</v>
      </c>
      <c r="B159" s="74">
        <v>31</v>
      </c>
      <c r="C159" s="61">
        <v>41</v>
      </c>
      <c r="D159" s="727"/>
      <c r="E159" s="61">
        <v>2334.1480000000001</v>
      </c>
      <c r="F159" s="573">
        <v>234.32</v>
      </c>
      <c r="G159" s="1460"/>
      <c r="H159" s="508">
        <f t="shared" si="8"/>
        <v>234.32</v>
      </c>
      <c r="I159" s="573">
        <v>11016.93</v>
      </c>
      <c r="J159" s="1968"/>
      <c r="K159" s="637">
        <f t="shared" si="9"/>
        <v>11016.93</v>
      </c>
      <c r="L159" s="1675">
        <v>119629.1</v>
      </c>
      <c r="M159" s="430">
        <v>3320.63</v>
      </c>
      <c r="N159" s="419"/>
      <c r="O159" s="525">
        <f t="shared" si="10"/>
        <v>122949.73000000001</v>
      </c>
      <c r="P159" s="61">
        <v>2666.78</v>
      </c>
      <c r="Q159" s="61">
        <v>17986.419999999998</v>
      </c>
      <c r="R159" s="61">
        <v>9585.68</v>
      </c>
      <c r="S159" s="419"/>
      <c r="T159" s="1978"/>
      <c r="U159" s="350"/>
      <c r="V159" s="526">
        <f t="shared" si="11"/>
        <v>30238.879999999997</v>
      </c>
    </row>
    <row r="160" spans="1:22">
      <c r="A160" s="85">
        <v>2006.07</v>
      </c>
      <c r="B160" s="74">
        <v>38</v>
      </c>
      <c r="C160" s="61">
        <v>73</v>
      </c>
      <c r="D160" s="727"/>
      <c r="E160" s="61">
        <v>1480.396</v>
      </c>
      <c r="F160" s="573">
        <v>175.1</v>
      </c>
      <c r="G160" s="1460"/>
      <c r="H160" s="508">
        <f t="shared" si="8"/>
        <v>175.1</v>
      </c>
      <c r="I160" s="573">
        <v>21076.04</v>
      </c>
      <c r="J160" s="1968"/>
      <c r="K160" s="637">
        <f t="shared" si="9"/>
        <v>21076.04</v>
      </c>
      <c r="L160" s="1675">
        <v>111414.66</v>
      </c>
      <c r="M160" s="430">
        <v>3166.79</v>
      </c>
      <c r="N160" s="419"/>
      <c r="O160" s="525">
        <f t="shared" si="10"/>
        <v>114581.45</v>
      </c>
      <c r="P160" s="61">
        <v>2777.34</v>
      </c>
      <c r="Q160" s="61">
        <v>19250.62</v>
      </c>
      <c r="R160" s="61">
        <v>10625.55</v>
      </c>
      <c r="S160" s="419"/>
      <c r="T160" s="1978"/>
      <c r="U160" s="350"/>
      <c r="V160" s="526">
        <f t="shared" si="11"/>
        <v>32653.51</v>
      </c>
    </row>
    <row r="161" spans="1:22">
      <c r="A161" s="85">
        <v>2006.08</v>
      </c>
      <c r="B161" s="74">
        <v>202</v>
      </c>
      <c r="C161" s="61">
        <v>75</v>
      </c>
      <c r="D161" s="727"/>
      <c r="E161" s="61">
        <v>2131.8000000000002</v>
      </c>
      <c r="F161" s="573">
        <v>254.67</v>
      </c>
      <c r="G161" s="1460"/>
      <c r="H161" s="508">
        <f t="shared" si="8"/>
        <v>254.67</v>
      </c>
      <c r="I161" s="573">
        <v>13414.88</v>
      </c>
      <c r="J161" s="1968"/>
      <c r="K161" s="637">
        <f t="shared" si="9"/>
        <v>13414.88</v>
      </c>
      <c r="L161" s="1675">
        <v>112401.84</v>
      </c>
      <c r="M161" s="430">
        <v>3752.16</v>
      </c>
      <c r="N161" s="419"/>
      <c r="O161" s="525">
        <f t="shared" si="10"/>
        <v>116154</v>
      </c>
      <c r="P161" s="61">
        <v>2743.57</v>
      </c>
      <c r="Q161" s="61">
        <v>20407.82</v>
      </c>
      <c r="R161" s="61">
        <v>11990.09</v>
      </c>
      <c r="S161" s="419"/>
      <c r="T161" s="1978"/>
      <c r="U161" s="350"/>
      <c r="V161" s="526">
        <f t="shared" si="11"/>
        <v>35141.479999999996</v>
      </c>
    </row>
    <row r="162" spans="1:22">
      <c r="A162" s="85">
        <v>2006.09</v>
      </c>
      <c r="B162" s="74">
        <v>279</v>
      </c>
      <c r="C162" s="61">
        <v>35</v>
      </c>
      <c r="D162" s="727"/>
      <c r="E162" s="61">
        <v>1043.577</v>
      </c>
      <c r="F162" s="573">
        <v>707.18</v>
      </c>
      <c r="G162" s="1460"/>
      <c r="H162" s="508">
        <f t="shared" si="8"/>
        <v>707.18</v>
      </c>
      <c r="I162" s="573">
        <v>10660.72</v>
      </c>
      <c r="J162" s="1968"/>
      <c r="K162" s="637">
        <f t="shared" si="9"/>
        <v>10660.72</v>
      </c>
      <c r="L162" s="1675">
        <v>113458.25</v>
      </c>
      <c r="M162" s="430">
        <v>4310.26</v>
      </c>
      <c r="N162" s="419"/>
      <c r="O162" s="525">
        <f t="shared" si="10"/>
        <v>117768.51</v>
      </c>
      <c r="P162" s="61">
        <v>2738.26</v>
      </c>
      <c r="Q162" s="61">
        <v>19683.560000000001</v>
      </c>
      <c r="R162" s="61">
        <v>11192.7</v>
      </c>
      <c r="S162" s="419"/>
      <c r="T162" s="1978"/>
      <c r="U162" s="350"/>
      <c r="V162" s="526">
        <f t="shared" si="11"/>
        <v>33614.520000000004</v>
      </c>
    </row>
    <row r="163" spans="1:22">
      <c r="A163" s="85">
        <v>2006.1</v>
      </c>
      <c r="B163" s="74">
        <v>340</v>
      </c>
      <c r="C163" s="61">
        <v>129</v>
      </c>
      <c r="D163" s="727"/>
      <c r="E163" s="61">
        <v>607</v>
      </c>
      <c r="F163" s="573">
        <v>204.48</v>
      </c>
      <c r="G163" s="1460"/>
      <c r="H163" s="508">
        <f t="shared" si="8"/>
        <v>204.48</v>
      </c>
      <c r="I163" s="573">
        <v>2887.6</v>
      </c>
      <c r="J163" s="1968"/>
      <c r="K163" s="637">
        <f t="shared" si="9"/>
        <v>2887.6</v>
      </c>
      <c r="L163" s="1675">
        <v>119232.36</v>
      </c>
      <c r="M163" s="430">
        <v>4251.5</v>
      </c>
      <c r="N163" s="419"/>
      <c r="O163" s="525">
        <f t="shared" si="10"/>
        <v>123483.86</v>
      </c>
      <c r="P163" s="61">
        <v>2310.83</v>
      </c>
      <c r="Q163" s="61">
        <v>19630.61</v>
      </c>
      <c r="R163" s="61">
        <v>12058.21</v>
      </c>
      <c r="S163" s="419"/>
      <c r="T163" s="1978"/>
      <c r="U163" s="350"/>
      <c r="V163" s="526">
        <f t="shared" si="11"/>
        <v>33999.65</v>
      </c>
    </row>
    <row r="164" spans="1:22">
      <c r="A164" s="85">
        <v>2006.11</v>
      </c>
      <c r="B164" s="74">
        <v>385</v>
      </c>
      <c r="C164" s="61">
        <v>147</v>
      </c>
      <c r="D164" s="727"/>
      <c r="E164" s="61">
        <v>643.4</v>
      </c>
      <c r="F164" s="573">
        <v>448.09</v>
      </c>
      <c r="G164" s="1460"/>
      <c r="H164" s="508">
        <f t="shared" si="8"/>
        <v>448.09</v>
      </c>
      <c r="I164" s="573">
        <v>14293.1</v>
      </c>
      <c r="J164" s="1968"/>
      <c r="K164" s="637">
        <f t="shared" si="9"/>
        <v>14293.1</v>
      </c>
      <c r="L164" s="1675">
        <v>125717.53</v>
      </c>
      <c r="M164" s="430">
        <v>4353.66</v>
      </c>
      <c r="N164" s="419"/>
      <c r="O164" s="525">
        <f t="shared" si="10"/>
        <v>130071.19</v>
      </c>
      <c r="P164" s="61">
        <v>2255.56</v>
      </c>
      <c r="Q164" s="61">
        <v>19368.78</v>
      </c>
      <c r="R164" s="61">
        <v>11760.54</v>
      </c>
      <c r="S164" s="419"/>
      <c r="T164" s="1978"/>
      <c r="U164" s="350"/>
      <c r="V164" s="526">
        <f t="shared" si="11"/>
        <v>33384.880000000005</v>
      </c>
    </row>
    <row r="165" spans="1:22">
      <c r="A165" s="85">
        <v>2006.12</v>
      </c>
      <c r="B165" s="74">
        <v>346</v>
      </c>
      <c r="C165" s="61">
        <v>158</v>
      </c>
      <c r="D165" s="727"/>
      <c r="E165" s="61">
        <v>359</v>
      </c>
      <c r="F165" s="573">
        <v>157.16999999999999</v>
      </c>
      <c r="G165" s="1460"/>
      <c r="H165" s="508">
        <f t="shared" si="8"/>
        <v>157.16999999999999</v>
      </c>
      <c r="I165" s="573">
        <v>6813</v>
      </c>
      <c r="J165" s="1968"/>
      <c r="K165" s="637">
        <f t="shared" si="9"/>
        <v>6813</v>
      </c>
      <c r="L165" s="1675">
        <v>115996.36</v>
      </c>
      <c r="M165" s="430">
        <v>4350.8900000000003</v>
      </c>
      <c r="N165" s="419"/>
      <c r="O165" s="525">
        <f t="shared" si="10"/>
        <v>120347.25</v>
      </c>
      <c r="P165" s="61">
        <v>2156.5</v>
      </c>
      <c r="Q165" s="61">
        <v>21820.62</v>
      </c>
      <c r="R165" s="61">
        <v>13649.42</v>
      </c>
      <c r="S165" s="419"/>
      <c r="T165" s="1978"/>
      <c r="U165" s="350"/>
      <c r="V165" s="526">
        <f t="shared" si="11"/>
        <v>37626.54</v>
      </c>
    </row>
    <row r="166" spans="1:22">
      <c r="A166" s="85">
        <v>2007.01</v>
      </c>
      <c r="B166" s="74">
        <v>480</v>
      </c>
      <c r="C166" s="61">
        <v>256</v>
      </c>
      <c r="D166" s="727"/>
      <c r="E166" s="61">
        <v>351.4</v>
      </c>
      <c r="F166" s="573">
        <v>195.49</v>
      </c>
      <c r="G166" s="1460"/>
      <c r="H166" s="508">
        <f t="shared" si="8"/>
        <v>195.49</v>
      </c>
      <c r="I166" s="573">
        <v>2691.16</v>
      </c>
      <c r="J166" s="1968"/>
      <c r="K166" s="637">
        <f t="shared" si="9"/>
        <v>2691.16</v>
      </c>
      <c r="L166" s="1675">
        <v>106978.06</v>
      </c>
      <c r="M166" s="430">
        <v>3706.46</v>
      </c>
      <c r="N166" s="419"/>
      <c r="O166" s="525">
        <f t="shared" si="10"/>
        <v>110684.52</v>
      </c>
      <c r="P166" s="61">
        <v>2187.13</v>
      </c>
      <c r="Q166" s="61">
        <v>21276.61</v>
      </c>
      <c r="R166" s="61">
        <v>13100.7</v>
      </c>
      <c r="S166" s="419"/>
      <c r="T166" s="1978"/>
      <c r="U166" s="350"/>
      <c r="V166" s="526">
        <f t="shared" si="11"/>
        <v>36564.44</v>
      </c>
    </row>
    <row r="167" spans="1:22">
      <c r="A167" s="85">
        <v>2007.02</v>
      </c>
      <c r="B167" s="74">
        <v>344</v>
      </c>
      <c r="C167" s="61">
        <v>208</v>
      </c>
      <c r="D167" s="727"/>
      <c r="E167" s="61">
        <v>392.84</v>
      </c>
      <c r="F167" s="573">
        <v>162.25</v>
      </c>
      <c r="G167" s="1460"/>
      <c r="H167" s="508">
        <f t="shared" si="8"/>
        <v>162.25</v>
      </c>
      <c r="I167" s="573">
        <v>2783.52</v>
      </c>
      <c r="J167" s="1968"/>
      <c r="K167" s="637">
        <f t="shared" si="9"/>
        <v>2783.52</v>
      </c>
      <c r="L167" s="1675">
        <v>104437.61</v>
      </c>
      <c r="M167" s="430">
        <v>3626.43</v>
      </c>
      <c r="N167" s="419"/>
      <c r="O167" s="525">
        <f t="shared" si="10"/>
        <v>108064.04</v>
      </c>
      <c r="P167" s="61">
        <v>1897.07</v>
      </c>
      <c r="Q167" s="61">
        <v>19110.11</v>
      </c>
      <c r="R167" s="61">
        <v>12287.61</v>
      </c>
      <c r="S167" s="419"/>
      <c r="T167" s="1978"/>
      <c r="U167" s="350"/>
      <c r="V167" s="526">
        <f t="shared" si="11"/>
        <v>33294.79</v>
      </c>
    </row>
    <row r="168" spans="1:22">
      <c r="A168" s="85">
        <v>2007.03</v>
      </c>
      <c r="B168" s="74">
        <v>399</v>
      </c>
      <c r="C168" s="61">
        <v>118</v>
      </c>
      <c r="D168" s="727"/>
      <c r="E168" s="61">
        <v>584</v>
      </c>
      <c r="F168" s="573">
        <v>266</v>
      </c>
      <c r="G168" s="1460"/>
      <c r="H168" s="508">
        <f t="shared" si="8"/>
        <v>266</v>
      </c>
      <c r="I168" s="573">
        <v>2331</v>
      </c>
      <c r="J168" s="1968"/>
      <c r="K168" s="637">
        <f t="shared" si="9"/>
        <v>2331</v>
      </c>
      <c r="L168" s="1675">
        <v>120930</v>
      </c>
      <c r="M168" s="430">
        <v>4264</v>
      </c>
      <c r="N168" s="419"/>
      <c r="O168" s="525">
        <f t="shared" si="10"/>
        <v>125194</v>
      </c>
      <c r="P168" s="61">
        <v>1890</v>
      </c>
      <c r="Q168" s="61">
        <v>20292</v>
      </c>
      <c r="R168" s="61">
        <v>13762</v>
      </c>
      <c r="S168" s="419"/>
      <c r="T168" s="1978"/>
      <c r="U168" s="350"/>
      <c r="V168" s="526">
        <f t="shared" si="11"/>
        <v>35944</v>
      </c>
    </row>
    <row r="169" spans="1:22">
      <c r="A169" s="85">
        <v>2007.04</v>
      </c>
      <c r="B169" s="74">
        <v>255</v>
      </c>
      <c r="C169" s="61">
        <v>24</v>
      </c>
      <c r="D169" s="727"/>
      <c r="E169" s="61">
        <v>813</v>
      </c>
      <c r="F169" s="573">
        <v>305</v>
      </c>
      <c r="G169" s="1460"/>
      <c r="H169" s="508">
        <f t="shared" si="8"/>
        <v>305</v>
      </c>
      <c r="I169" s="573">
        <v>2213</v>
      </c>
      <c r="J169" s="1968"/>
      <c r="K169" s="637">
        <f t="shared" si="9"/>
        <v>2213</v>
      </c>
      <c r="L169" s="1675">
        <v>130512</v>
      </c>
      <c r="M169" s="430">
        <v>4072</v>
      </c>
      <c r="N169" s="419"/>
      <c r="O169" s="525">
        <f t="shared" si="10"/>
        <v>134584</v>
      </c>
      <c r="P169" s="61">
        <v>1671</v>
      </c>
      <c r="Q169" s="61">
        <v>19876</v>
      </c>
      <c r="R169" s="61">
        <v>12596</v>
      </c>
      <c r="S169" s="419"/>
      <c r="T169" s="1978"/>
      <c r="U169" s="350"/>
      <c r="V169" s="526">
        <f t="shared" si="11"/>
        <v>34143</v>
      </c>
    </row>
    <row r="170" spans="1:22">
      <c r="A170" s="85">
        <v>2007.05</v>
      </c>
      <c r="B170" s="74">
        <v>283</v>
      </c>
      <c r="C170" s="61">
        <v>31</v>
      </c>
      <c r="D170" s="727"/>
      <c r="E170" s="61">
        <v>2597</v>
      </c>
      <c r="F170" s="573">
        <v>872</v>
      </c>
      <c r="G170" s="1460"/>
      <c r="H170" s="508">
        <f t="shared" si="8"/>
        <v>872</v>
      </c>
      <c r="I170" s="573">
        <v>3253</v>
      </c>
      <c r="J170" s="1968"/>
      <c r="K170" s="637">
        <f t="shared" si="9"/>
        <v>3253</v>
      </c>
      <c r="L170" s="1675">
        <v>125762</v>
      </c>
      <c r="M170" s="430">
        <v>4748</v>
      </c>
      <c r="N170" s="419"/>
      <c r="O170" s="525">
        <f t="shared" si="10"/>
        <v>130510</v>
      </c>
      <c r="P170" s="61">
        <v>1763</v>
      </c>
      <c r="Q170" s="61">
        <v>22100</v>
      </c>
      <c r="R170" s="61">
        <v>13233</v>
      </c>
      <c r="S170" s="419"/>
      <c r="T170" s="1978"/>
      <c r="U170" s="350"/>
      <c r="V170" s="526">
        <f t="shared" si="11"/>
        <v>37096</v>
      </c>
    </row>
    <row r="171" spans="1:22">
      <c r="A171" s="85">
        <v>2007.06</v>
      </c>
      <c r="B171" s="74">
        <v>285</v>
      </c>
      <c r="C171" s="61">
        <v>24</v>
      </c>
      <c r="D171" s="727"/>
      <c r="E171" s="61">
        <v>3082</v>
      </c>
      <c r="F171" s="573">
        <v>346</v>
      </c>
      <c r="G171" s="1460"/>
      <c r="H171" s="508">
        <f t="shared" si="8"/>
        <v>346</v>
      </c>
      <c r="I171" s="573">
        <v>10277</v>
      </c>
      <c r="J171" s="1968"/>
      <c r="K171" s="637">
        <f t="shared" si="9"/>
        <v>10277</v>
      </c>
      <c r="L171" s="1675">
        <v>133504</v>
      </c>
      <c r="M171" s="430">
        <v>4274</v>
      </c>
      <c r="N171" s="419"/>
      <c r="O171" s="525">
        <f t="shared" si="10"/>
        <v>137778</v>
      </c>
      <c r="P171" s="61">
        <v>1717</v>
      </c>
      <c r="Q171" s="61">
        <v>21983</v>
      </c>
      <c r="R171" s="61">
        <v>12802</v>
      </c>
      <c r="S171" s="419"/>
      <c r="T171" s="1978"/>
      <c r="U171" s="350"/>
      <c r="V171" s="526">
        <f t="shared" si="11"/>
        <v>36502</v>
      </c>
    </row>
    <row r="172" spans="1:22">
      <c r="A172" s="85">
        <v>2007.07</v>
      </c>
      <c r="B172" s="74">
        <v>272</v>
      </c>
      <c r="C172" s="61">
        <v>23</v>
      </c>
      <c r="D172" s="727"/>
      <c r="E172" s="61">
        <v>3740</v>
      </c>
      <c r="F172" s="573">
        <v>363</v>
      </c>
      <c r="G172" s="1460"/>
      <c r="H172" s="508">
        <f t="shared" si="8"/>
        <v>363</v>
      </c>
      <c r="I172" s="573">
        <v>9778</v>
      </c>
      <c r="J172" s="1968"/>
      <c r="K172" s="637">
        <f t="shared" si="9"/>
        <v>9778</v>
      </c>
      <c r="L172" s="1675">
        <v>123357</v>
      </c>
      <c r="M172" s="430">
        <v>4118</v>
      </c>
      <c r="N172" s="419"/>
      <c r="O172" s="525">
        <f t="shared" si="10"/>
        <v>127475</v>
      </c>
      <c r="P172" s="61">
        <v>1883</v>
      </c>
      <c r="Q172" s="61">
        <v>24832</v>
      </c>
      <c r="R172" s="61">
        <v>14290</v>
      </c>
      <c r="S172" s="419"/>
      <c r="T172" s="1978"/>
      <c r="U172" s="350"/>
      <c r="V172" s="526">
        <f t="shared" si="11"/>
        <v>41005</v>
      </c>
    </row>
    <row r="173" spans="1:22">
      <c r="A173" s="85">
        <v>2007.08</v>
      </c>
      <c r="B173" s="74">
        <v>292</v>
      </c>
      <c r="C173" s="61">
        <v>26</v>
      </c>
      <c r="D173" s="727"/>
      <c r="E173" s="61">
        <v>2711</v>
      </c>
      <c r="F173" s="573">
        <v>988</v>
      </c>
      <c r="G173" s="1460"/>
      <c r="H173" s="508">
        <f t="shared" si="8"/>
        <v>988</v>
      </c>
      <c r="I173" s="573">
        <v>12992</v>
      </c>
      <c r="J173" s="1968"/>
      <c r="K173" s="637">
        <f t="shared" si="9"/>
        <v>12992</v>
      </c>
      <c r="L173" s="1675">
        <v>122608</v>
      </c>
      <c r="M173" s="430">
        <v>4652</v>
      </c>
      <c r="N173" s="419"/>
      <c r="O173" s="525">
        <f t="shared" si="10"/>
        <v>127260</v>
      </c>
      <c r="P173" s="61">
        <v>1804</v>
      </c>
      <c r="Q173" s="61">
        <v>25401</v>
      </c>
      <c r="R173" s="61">
        <v>13595</v>
      </c>
      <c r="S173" s="419"/>
      <c r="T173" s="1978"/>
      <c r="U173" s="350"/>
      <c r="V173" s="526">
        <f t="shared" si="11"/>
        <v>40800</v>
      </c>
    </row>
    <row r="174" spans="1:22">
      <c r="A174" s="85">
        <v>2007.09</v>
      </c>
      <c r="B174" s="74">
        <v>228</v>
      </c>
      <c r="C174" s="61">
        <v>20</v>
      </c>
      <c r="D174" s="727"/>
      <c r="E174" s="61">
        <v>1073.5150000000001</v>
      </c>
      <c r="F174" s="573">
        <v>1134</v>
      </c>
      <c r="G174" s="1460"/>
      <c r="H174" s="508">
        <f t="shared" si="8"/>
        <v>1134</v>
      </c>
      <c r="I174" s="573">
        <v>6004</v>
      </c>
      <c r="J174" s="1968"/>
      <c r="K174" s="637">
        <f t="shared" si="9"/>
        <v>6004</v>
      </c>
      <c r="L174" s="1675">
        <v>118640.37</v>
      </c>
      <c r="M174" s="430">
        <v>4651.72</v>
      </c>
      <c r="N174" s="419"/>
      <c r="O174" s="525">
        <f t="shared" si="10"/>
        <v>123292.09</v>
      </c>
      <c r="P174" s="61">
        <v>1651.37</v>
      </c>
      <c r="Q174" s="61">
        <v>23868.28</v>
      </c>
      <c r="R174" s="61">
        <v>11484.67</v>
      </c>
      <c r="S174" s="419"/>
      <c r="T174" s="1978"/>
      <c r="U174" s="350"/>
      <c r="V174" s="526">
        <f t="shared" si="11"/>
        <v>37004.32</v>
      </c>
    </row>
    <row r="175" spans="1:22">
      <c r="A175" s="85">
        <v>2007.1</v>
      </c>
      <c r="B175" s="74">
        <v>286</v>
      </c>
      <c r="C175" s="61">
        <v>111</v>
      </c>
      <c r="D175" s="727"/>
      <c r="E175" s="61">
        <v>772.56</v>
      </c>
      <c r="F175" s="573">
        <v>797</v>
      </c>
      <c r="G175" s="1460"/>
      <c r="H175" s="508">
        <f t="shared" si="8"/>
        <v>797</v>
      </c>
      <c r="I175" s="573">
        <v>69209.69</v>
      </c>
      <c r="J175" s="1968"/>
      <c r="K175" s="637">
        <f t="shared" si="9"/>
        <v>69209.69</v>
      </c>
      <c r="L175" s="1675">
        <v>127526.61</v>
      </c>
      <c r="M175" s="430">
        <v>4673.7</v>
      </c>
      <c r="N175" s="419"/>
      <c r="O175" s="525">
        <f t="shared" si="10"/>
        <v>132200.31</v>
      </c>
      <c r="P175" s="61">
        <v>1646.87</v>
      </c>
      <c r="Q175" s="61">
        <v>26103.57</v>
      </c>
      <c r="R175" s="61">
        <v>12916.12</v>
      </c>
      <c r="S175" s="419"/>
      <c r="T175" s="1978"/>
      <c r="U175" s="350"/>
      <c r="V175" s="526">
        <f t="shared" si="11"/>
        <v>40666.559999999998</v>
      </c>
    </row>
    <row r="176" spans="1:22">
      <c r="A176" s="85">
        <v>2007.11</v>
      </c>
      <c r="B176" s="74">
        <v>315</v>
      </c>
      <c r="C176" s="61">
        <v>41</v>
      </c>
      <c r="D176" s="727"/>
      <c r="E176" s="61">
        <v>798.1</v>
      </c>
      <c r="F176" s="573">
        <v>627</v>
      </c>
      <c r="G176" s="1460"/>
      <c r="H176" s="508">
        <f t="shared" si="8"/>
        <v>627</v>
      </c>
      <c r="I176" s="573">
        <v>1716</v>
      </c>
      <c r="J176" s="1968"/>
      <c r="K176" s="637">
        <f t="shared" si="9"/>
        <v>1716</v>
      </c>
      <c r="L176" s="1675">
        <v>127731.6</v>
      </c>
      <c r="M176" s="430">
        <v>4931.5600000000004</v>
      </c>
      <c r="N176" s="419"/>
      <c r="O176" s="525">
        <f t="shared" si="10"/>
        <v>132663.16</v>
      </c>
      <c r="P176" s="61">
        <v>1687.09</v>
      </c>
      <c r="Q176" s="61">
        <v>26520.38</v>
      </c>
      <c r="R176" s="61">
        <v>12404.15</v>
      </c>
      <c r="S176" s="419"/>
      <c r="T176" s="1978"/>
      <c r="U176" s="350"/>
      <c r="V176" s="526">
        <f t="shared" si="11"/>
        <v>40611.620000000003</v>
      </c>
    </row>
    <row r="177" spans="1:22">
      <c r="A177" s="85">
        <v>2007.12</v>
      </c>
      <c r="B177" s="74">
        <v>292</v>
      </c>
      <c r="C177" s="61">
        <v>47</v>
      </c>
      <c r="D177" s="727"/>
      <c r="E177" s="61">
        <v>766.5</v>
      </c>
      <c r="F177" s="573">
        <v>916</v>
      </c>
      <c r="G177" s="1460"/>
      <c r="H177" s="508">
        <f t="shared" si="8"/>
        <v>916</v>
      </c>
      <c r="I177" s="573">
        <v>689</v>
      </c>
      <c r="J177" s="1968"/>
      <c r="K177" s="637">
        <f t="shared" si="9"/>
        <v>689</v>
      </c>
      <c r="L177" s="1675">
        <v>118465.84</v>
      </c>
      <c r="M177" s="430">
        <v>4360</v>
      </c>
      <c r="N177" s="419"/>
      <c r="O177" s="525">
        <f t="shared" si="10"/>
        <v>122825.84</v>
      </c>
      <c r="P177" s="61">
        <v>1747.45</v>
      </c>
      <c r="Q177" s="61">
        <v>28584.97</v>
      </c>
      <c r="R177" s="61">
        <v>12511.89</v>
      </c>
      <c r="S177" s="419"/>
      <c r="T177" s="1978"/>
      <c r="U177" s="350"/>
      <c r="V177" s="526">
        <f t="shared" si="11"/>
        <v>42844.31</v>
      </c>
    </row>
    <row r="178" spans="1:22">
      <c r="A178" s="85">
        <f t="shared" ref="A178:A241" si="12">A166+1</f>
        <v>2008.01</v>
      </c>
      <c r="B178" s="74">
        <v>344</v>
      </c>
      <c r="C178" s="61">
        <v>57</v>
      </c>
      <c r="D178" s="727"/>
      <c r="E178" s="61">
        <v>696.1</v>
      </c>
      <c r="F178" s="573">
        <v>724.14</v>
      </c>
      <c r="G178" s="1460"/>
      <c r="H178" s="508">
        <f t="shared" si="8"/>
        <v>724.14</v>
      </c>
      <c r="I178" s="573">
        <v>2175.4899999999998</v>
      </c>
      <c r="J178" s="1968"/>
      <c r="K178" s="637">
        <f t="shared" si="9"/>
        <v>2175.4899999999998</v>
      </c>
      <c r="L178" s="1675">
        <v>88644.7</v>
      </c>
      <c r="M178" s="430">
        <v>4050.29</v>
      </c>
      <c r="N178" s="419"/>
      <c r="O178" s="525">
        <f t="shared" si="10"/>
        <v>92694.989999999991</v>
      </c>
      <c r="P178" s="61">
        <v>1388.16</v>
      </c>
      <c r="Q178" s="61">
        <v>24052.720000000001</v>
      </c>
      <c r="R178" s="61">
        <v>10912.8</v>
      </c>
      <c r="S178" s="419"/>
      <c r="T178" s="1978"/>
      <c r="U178" s="350"/>
      <c r="V178" s="526">
        <f t="shared" si="11"/>
        <v>36353.68</v>
      </c>
    </row>
    <row r="179" spans="1:22">
      <c r="A179" s="85">
        <f t="shared" si="12"/>
        <v>2008.02</v>
      </c>
      <c r="B179" s="74">
        <v>318</v>
      </c>
      <c r="C179" s="61">
        <v>115</v>
      </c>
      <c r="D179" s="727"/>
      <c r="E179" s="61">
        <v>478.15100000000001</v>
      </c>
      <c r="F179" s="573">
        <v>583.14</v>
      </c>
      <c r="G179" s="1460"/>
      <c r="H179" s="508">
        <f t="shared" si="8"/>
        <v>583.14</v>
      </c>
      <c r="I179" s="573">
        <v>8574.18</v>
      </c>
      <c r="J179" s="1968"/>
      <c r="K179" s="637">
        <f t="shared" si="9"/>
        <v>8574.18</v>
      </c>
      <c r="L179" s="1675">
        <v>87804.44</v>
      </c>
      <c r="M179" s="430">
        <v>4195.1499999999996</v>
      </c>
      <c r="N179" s="419"/>
      <c r="O179" s="525">
        <f t="shared" si="10"/>
        <v>91999.59</v>
      </c>
      <c r="P179" s="61">
        <v>1172.8399999999999</v>
      </c>
      <c r="Q179" s="61">
        <v>21819.37</v>
      </c>
      <c r="R179" s="61">
        <v>10195.58</v>
      </c>
      <c r="S179" s="419"/>
      <c r="T179" s="1978"/>
      <c r="U179" s="350"/>
      <c r="V179" s="526">
        <f t="shared" si="11"/>
        <v>33187.79</v>
      </c>
    </row>
    <row r="180" spans="1:22">
      <c r="A180" s="85">
        <f t="shared" si="12"/>
        <v>2008.03</v>
      </c>
      <c r="B180" s="74">
        <v>786</v>
      </c>
      <c r="C180" s="61">
        <v>330</v>
      </c>
      <c r="D180" s="727"/>
      <c r="E180" s="61">
        <v>422</v>
      </c>
      <c r="F180" s="573">
        <v>417</v>
      </c>
      <c r="G180" s="1460"/>
      <c r="H180" s="508">
        <f t="shared" si="8"/>
        <v>417</v>
      </c>
      <c r="I180" s="573">
        <v>11563.6</v>
      </c>
      <c r="J180" s="1968"/>
      <c r="K180" s="637">
        <f t="shared" si="9"/>
        <v>11563.6</v>
      </c>
      <c r="L180" s="1675">
        <v>118423.28</v>
      </c>
      <c r="M180" s="430">
        <v>3901.64</v>
      </c>
      <c r="N180" s="419"/>
      <c r="O180" s="525">
        <f t="shared" si="10"/>
        <v>122324.92</v>
      </c>
      <c r="P180" s="61">
        <v>1673.15</v>
      </c>
      <c r="Q180" s="61">
        <v>28645.759999999998</v>
      </c>
      <c r="R180" s="61">
        <v>12546.29</v>
      </c>
      <c r="S180" s="419"/>
      <c r="T180" s="1978"/>
      <c r="U180" s="350"/>
      <c r="V180" s="526">
        <f t="shared" si="11"/>
        <v>42865.2</v>
      </c>
    </row>
    <row r="181" spans="1:22">
      <c r="A181" s="85">
        <f t="shared" si="12"/>
        <v>2008.04</v>
      </c>
      <c r="B181" s="74">
        <v>441</v>
      </c>
      <c r="C181" s="61">
        <v>74</v>
      </c>
      <c r="D181" s="727"/>
      <c r="E181" s="61">
        <v>929.07400000000007</v>
      </c>
      <c r="F181" s="573">
        <v>548.05499999999995</v>
      </c>
      <c r="G181" s="1460"/>
      <c r="H181" s="508">
        <f t="shared" si="8"/>
        <v>548.05499999999995</v>
      </c>
      <c r="I181" s="573">
        <v>1136.4000000000001</v>
      </c>
      <c r="J181" s="1968"/>
      <c r="K181" s="637">
        <f t="shared" si="9"/>
        <v>1136.4000000000001</v>
      </c>
      <c r="L181" s="1675">
        <v>135662.53</v>
      </c>
      <c r="M181" s="430">
        <v>4401.34</v>
      </c>
      <c r="N181" s="419"/>
      <c r="O181" s="525">
        <f t="shared" si="10"/>
        <v>140063.87</v>
      </c>
      <c r="P181" s="61">
        <v>1534.96</v>
      </c>
      <c r="Q181" s="61">
        <v>27897.69</v>
      </c>
      <c r="R181" s="61">
        <v>11116.87</v>
      </c>
      <c r="S181" s="419"/>
      <c r="T181" s="1978"/>
      <c r="U181" s="350"/>
      <c r="V181" s="526">
        <f t="shared" si="11"/>
        <v>40549.519999999997</v>
      </c>
    </row>
    <row r="182" spans="1:22">
      <c r="A182" s="85">
        <f t="shared" si="12"/>
        <v>2008.05</v>
      </c>
      <c r="B182" s="74">
        <v>413</v>
      </c>
      <c r="C182" s="61">
        <v>93</v>
      </c>
      <c r="D182" s="727"/>
      <c r="E182" s="61">
        <v>1513.1010000000001</v>
      </c>
      <c r="F182" s="573">
        <v>893.81299999999999</v>
      </c>
      <c r="G182" s="1460"/>
      <c r="H182" s="508">
        <f t="shared" si="8"/>
        <v>893.81299999999999</v>
      </c>
      <c r="I182" s="573">
        <v>5115.12</v>
      </c>
      <c r="J182" s="1968"/>
      <c r="K182" s="637">
        <f t="shared" si="9"/>
        <v>5115.12</v>
      </c>
      <c r="L182" s="1675">
        <v>131855.76999999999</v>
      </c>
      <c r="M182" s="430">
        <v>4329.3900000000003</v>
      </c>
      <c r="N182" s="419"/>
      <c r="O182" s="525">
        <f t="shared" si="10"/>
        <v>136185.16</v>
      </c>
      <c r="P182" s="61">
        <v>1530</v>
      </c>
      <c r="Q182" s="61">
        <v>30079.05</v>
      </c>
      <c r="R182" s="61">
        <v>11200.08</v>
      </c>
      <c r="S182" s="419"/>
      <c r="T182" s="1978"/>
      <c r="U182" s="350"/>
      <c r="V182" s="526">
        <f t="shared" si="11"/>
        <v>42809.13</v>
      </c>
    </row>
    <row r="183" spans="1:22">
      <c r="A183" s="85">
        <f t="shared" si="12"/>
        <v>2008.06</v>
      </c>
      <c r="B183" s="74">
        <v>343</v>
      </c>
      <c r="C183" s="61">
        <v>42</v>
      </c>
      <c r="D183" s="727"/>
      <c r="E183" s="61">
        <v>1379.1010000000001</v>
      </c>
      <c r="F183" s="573">
        <v>655.57</v>
      </c>
      <c r="G183" s="1460"/>
      <c r="H183" s="508">
        <f t="shared" si="8"/>
        <v>655.57</v>
      </c>
      <c r="I183" s="573">
        <v>6468.73</v>
      </c>
      <c r="J183" s="1968"/>
      <c r="K183" s="637">
        <f t="shared" si="9"/>
        <v>6468.73</v>
      </c>
      <c r="L183" s="1675">
        <v>92748.07</v>
      </c>
      <c r="M183" s="430">
        <v>3512.98</v>
      </c>
      <c r="N183" s="419"/>
      <c r="O183" s="525">
        <f t="shared" si="10"/>
        <v>96261.05</v>
      </c>
      <c r="P183" s="61">
        <v>1802.78</v>
      </c>
      <c r="Q183" s="61">
        <v>25307.62</v>
      </c>
      <c r="R183" s="61">
        <v>10819.68</v>
      </c>
      <c r="S183" s="419"/>
      <c r="T183" s="1978"/>
      <c r="U183" s="350"/>
      <c r="V183" s="526">
        <f t="shared" si="11"/>
        <v>37930.080000000002</v>
      </c>
    </row>
    <row r="184" spans="1:22">
      <c r="A184" s="85">
        <f t="shared" si="12"/>
        <v>2008.07</v>
      </c>
      <c r="B184" s="74">
        <v>393</v>
      </c>
      <c r="C184" s="61">
        <v>33</v>
      </c>
      <c r="D184" s="727"/>
      <c r="E184" s="61">
        <v>1292.4100000000001</v>
      </c>
      <c r="F184" s="573">
        <v>777.81500000000005</v>
      </c>
      <c r="G184" s="1460"/>
      <c r="H184" s="508">
        <f t="shared" si="8"/>
        <v>777.81500000000005</v>
      </c>
      <c r="I184" s="573">
        <v>9201.32</v>
      </c>
      <c r="J184" s="1968"/>
      <c r="K184" s="637">
        <f t="shared" si="9"/>
        <v>9201.32</v>
      </c>
      <c r="L184" s="1675">
        <v>132374.98000000001</v>
      </c>
      <c r="M184" s="430">
        <v>4004.21</v>
      </c>
      <c r="N184" s="419"/>
      <c r="O184" s="525">
        <f t="shared" si="10"/>
        <v>136379.19</v>
      </c>
      <c r="P184" s="61">
        <v>1843.92</v>
      </c>
      <c r="Q184" s="61">
        <v>30757.29</v>
      </c>
      <c r="R184" s="61">
        <v>10147.86</v>
      </c>
      <c r="S184" s="419"/>
      <c r="T184" s="1978"/>
      <c r="U184" s="350"/>
      <c r="V184" s="526">
        <f t="shared" si="11"/>
        <v>42749.07</v>
      </c>
    </row>
    <row r="185" spans="1:22">
      <c r="A185" s="85">
        <f t="shared" si="12"/>
        <v>2008.08</v>
      </c>
      <c r="B185" s="74">
        <v>503</v>
      </c>
      <c r="C185" s="61">
        <v>145</v>
      </c>
      <c r="D185" s="727"/>
      <c r="E185" s="61">
        <v>946.73199999999997</v>
      </c>
      <c r="F185" s="573">
        <v>913.01</v>
      </c>
      <c r="G185" s="1460"/>
      <c r="H185" s="508">
        <f t="shared" si="8"/>
        <v>913.01</v>
      </c>
      <c r="I185" s="573">
        <v>14565.74</v>
      </c>
      <c r="J185" s="1968"/>
      <c r="K185" s="637">
        <f t="shared" si="9"/>
        <v>14565.74</v>
      </c>
      <c r="L185" s="1675">
        <v>126401.49</v>
      </c>
      <c r="M185" s="430">
        <v>0</v>
      </c>
      <c r="N185" s="419"/>
      <c r="O185" s="525">
        <f t="shared" si="10"/>
        <v>126401.49</v>
      </c>
      <c r="P185" s="61">
        <v>2198.37</v>
      </c>
      <c r="Q185" s="61">
        <v>30333.89</v>
      </c>
      <c r="R185" s="61">
        <v>9004.8799999999992</v>
      </c>
      <c r="S185" s="419"/>
      <c r="T185" s="1978"/>
      <c r="U185" s="350"/>
      <c r="V185" s="526">
        <f t="shared" si="11"/>
        <v>41537.14</v>
      </c>
    </row>
    <row r="186" spans="1:22">
      <c r="A186" s="85">
        <f t="shared" si="12"/>
        <v>2008.09</v>
      </c>
      <c r="B186" s="74">
        <v>480</v>
      </c>
      <c r="C186" s="61">
        <v>72</v>
      </c>
      <c r="D186" s="727"/>
      <c r="E186" s="61">
        <v>369.29899999999998</v>
      </c>
      <c r="F186" s="573">
        <v>581.55400000000009</v>
      </c>
      <c r="G186" s="1460"/>
      <c r="H186" s="508">
        <f t="shared" si="8"/>
        <v>581.55400000000009</v>
      </c>
      <c r="I186" s="573">
        <v>9951.65</v>
      </c>
      <c r="J186" s="1968"/>
      <c r="K186" s="637">
        <f t="shared" si="9"/>
        <v>9951.65</v>
      </c>
      <c r="L186" s="1675">
        <v>120829.8</v>
      </c>
      <c r="M186" s="430">
        <v>0</v>
      </c>
      <c r="N186" s="419"/>
      <c r="O186" s="525">
        <f t="shared" si="10"/>
        <v>120829.8</v>
      </c>
      <c r="P186" s="61">
        <v>1926.31</v>
      </c>
      <c r="Q186" s="61">
        <v>30097.24</v>
      </c>
      <c r="R186" s="61">
        <v>8494.11</v>
      </c>
      <c r="S186" s="419"/>
      <c r="T186" s="1978"/>
      <c r="U186" s="350"/>
      <c r="V186" s="526">
        <f t="shared" si="11"/>
        <v>40517.660000000003</v>
      </c>
    </row>
    <row r="187" spans="1:22">
      <c r="A187" s="85">
        <f t="shared" si="12"/>
        <v>2008.1</v>
      </c>
      <c r="B187" s="74">
        <v>589</v>
      </c>
      <c r="C187" s="61">
        <v>104</v>
      </c>
      <c r="D187" s="727"/>
      <c r="E187" s="61">
        <v>331.56200000000001</v>
      </c>
      <c r="F187" s="573">
        <v>822.41</v>
      </c>
      <c r="G187" s="1460"/>
      <c r="H187" s="508">
        <f t="shared" si="8"/>
        <v>822.41</v>
      </c>
      <c r="I187" s="573">
        <v>1508.53</v>
      </c>
      <c r="J187" s="1968"/>
      <c r="K187" s="637">
        <f t="shared" si="9"/>
        <v>1508.53</v>
      </c>
      <c r="L187" s="1675">
        <v>74717.73</v>
      </c>
      <c r="M187" s="430">
        <v>4054.33</v>
      </c>
      <c r="N187" s="419"/>
      <c r="O187" s="525">
        <f t="shared" si="10"/>
        <v>78772.06</v>
      </c>
      <c r="P187" s="61">
        <v>1900.54</v>
      </c>
      <c r="Q187" s="61">
        <v>32517.82</v>
      </c>
      <c r="R187" s="61">
        <v>8756.36</v>
      </c>
      <c r="S187" s="419"/>
      <c r="T187" s="1978"/>
      <c r="U187" s="350"/>
      <c r="V187" s="526">
        <f t="shared" si="11"/>
        <v>43174.720000000001</v>
      </c>
    </row>
    <row r="188" spans="1:22">
      <c r="A188" s="85">
        <f t="shared" si="12"/>
        <v>2008.11</v>
      </c>
      <c r="B188" s="74">
        <v>487</v>
      </c>
      <c r="C188" s="61">
        <v>145</v>
      </c>
      <c r="D188" s="727"/>
      <c r="E188" s="61">
        <v>300.31</v>
      </c>
      <c r="F188" s="573">
        <v>634.73</v>
      </c>
      <c r="G188" s="1460"/>
      <c r="H188" s="508">
        <f t="shared" si="8"/>
        <v>634.73</v>
      </c>
      <c r="I188" s="573">
        <v>1353</v>
      </c>
      <c r="J188" s="1968"/>
      <c r="K188" s="637">
        <f t="shared" si="9"/>
        <v>1353</v>
      </c>
      <c r="L188" s="1675">
        <v>110632.68</v>
      </c>
      <c r="M188" s="430">
        <v>3397.72</v>
      </c>
      <c r="N188" s="419"/>
      <c r="O188" s="525">
        <f t="shared" si="10"/>
        <v>114030.39999999999</v>
      </c>
      <c r="P188" s="61">
        <v>1718.23</v>
      </c>
      <c r="Q188" s="61">
        <v>31261.47</v>
      </c>
      <c r="R188" s="61">
        <v>7829.86</v>
      </c>
      <c r="S188" s="419"/>
      <c r="T188" s="1978"/>
      <c r="U188" s="350"/>
      <c r="V188" s="526">
        <f t="shared" si="11"/>
        <v>40809.560000000005</v>
      </c>
    </row>
    <row r="189" spans="1:22">
      <c r="A189" s="85">
        <f t="shared" si="12"/>
        <v>2008.12</v>
      </c>
      <c r="B189" s="74">
        <v>724</v>
      </c>
      <c r="C189" s="61">
        <v>139</v>
      </c>
      <c r="D189" s="727"/>
      <c r="E189" s="61">
        <v>176.36099999999999</v>
      </c>
      <c r="F189" s="573">
        <v>0</v>
      </c>
      <c r="G189" s="1460"/>
      <c r="H189" s="508">
        <f t="shared" si="8"/>
        <v>0</v>
      </c>
      <c r="I189" s="573">
        <v>1543.39</v>
      </c>
      <c r="J189" s="1968"/>
      <c r="K189" s="637">
        <f t="shared" si="9"/>
        <v>1543.39</v>
      </c>
      <c r="L189" s="1675">
        <v>115608.31</v>
      </c>
      <c r="M189" s="430">
        <v>2981.68</v>
      </c>
      <c r="N189" s="419"/>
      <c r="O189" s="525">
        <f t="shared" si="10"/>
        <v>118589.98999999999</v>
      </c>
      <c r="P189" s="61">
        <v>2492.21</v>
      </c>
      <c r="Q189" s="61">
        <v>35974.519999999997</v>
      </c>
      <c r="R189" s="61">
        <v>9183.0300000000007</v>
      </c>
      <c r="S189" s="419"/>
      <c r="T189" s="1978"/>
      <c r="U189" s="350"/>
      <c r="V189" s="526">
        <f t="shared" si="11"/>
        <v>47649.759999999995</v>
      </c>
    </row>
    <row r="190" spans="1:22">
      <c r="A190" s="85">
        <f t="shared" si="12"/>
        <v>2009.01</v>
      </c>
      <c r="B190" s="74">
        <v>931</v>
      </c>
      <c r="C190" s="61">
        <v>363</v>
      </c>
      <c r="D190" s="727"/>
      <c r="E190" s="61">
        <v>248.66800000000001</v>
      </c>
      <c r="F190" s="573">
        <v>0</v>
      </c>
      <c r="G190" s="1460"/>
      <c r="H190" s="508">
        <f t="shared" si="8"/>
        <v>0</v>
      </c>
      <c r="I190" s="573">
        <v>1729.89</v>
      </c>
      <c r="J190" s="1968"/>
      <c r="K190" s="637">
        <f t="shared" si="9"/>
        <v>1729.89</v>
      </c>
      <c r="L190" s="1675">
        <v>100468.91</v>
      </c>
      <c r="M190" s="430">
        <v>3015.13</v>
      </c>
      <c r="N190" s="419"/>
      <c r="O190" s="525">
        <f t="shared" si="10"/>
        <v>103484.04000000001</v>
      </c>
      <c r="P190" s="61">
        <v>3066</v>
      </c>
      <c r="Q190" s="61">
        <v>34641.519999999997</v>
      </c>
      <c r="R190" s="61">
        <v>7934.7</v>
      </c>
      <c r="S190" s="419"/>
      <c r="T190" s="1978"/>
      <c r="U190" s="350"/>
      <c r="V190" s="526">
        <f t="shared" si="11"/>
        <v>45642.219999999994</v>
      </c>
    </row>
    <row r="191" spans="1:22">
      <c r="A191" s="85">
        <f t="shared" si="12"/>
        <v>2009.02</v>
      </c>
      <c r="B191" s="74">
        <v>1026</v>
      </c>
      <c r="C191" s="61">
        <v>632</v>
      </c>
      <c r="D191" s="727"/>
      <c r="E191" s="61">
        <v>238.22199999999998</v>
      </c>
      <c r="F191" s="573">
        <v>472.74</v>
      </c>
      <c r="G191" s="1460"/>
      <c r="H191" s="508">
        <f t="shared" si="8"/>
        <v>472.74</v>
      </c>
      <c r="I191" s="573">
        <v>1854.2</v>
      </c>
      <c r="J191" s="1968"/>
      <c r="K191" s="637">
        <f t="shared" si="9"/>
        <v>1854.2</v>
      </c>
      <c r="L191" s="1675">
        <v>95001.35</v>
      </c>
      <c r="M191" s="430">
        <v>2843.46</v>
      </c>
      <c r="N191" s="419"/>
      <c r="O191" s="525">
        <f t="shared" si="10"/>
        <v>97844.810000000012</v>
      </c>
      <c r="P191" s="61">
        <v>2499.0300000000002</v>
      </c>
      <c r="Q191" s="61">
        <v>30375.11</v>
      </c>
      <c r="R191" s="61">
        <v>7069.3</v>
      </c>
      <c r="S191" s="419"/>
      <c r="T191" s="1978"/>
      <c r="U191" s="350"/>
      <c r="V191" s="526">
        <f t="shared" si="11"/>
        <v>39943.440000000002</v>
      </c>
    </row>
    <row r="192" spans="1:22">
      <c r="A192" s="85">
        <f t="shared" si="12"/>
        <v>2009.03</v>
      </c>
      <c r="B192" s="74">
        <v>1010</v>
      </c>
      <c r="C192" s="61">
        <v>297</v>
      </c>
      <c r="D192" s="727"/>
      <c r="E192" s="61">
        <v>283.07900000000001</v>
      </c>
      <c r="F192" s="573">
        <v>450.79</v>
      </c>
      <c r="G192" s="1460"/>
      <c r="H192" s="508">
        <f t="shared" si="8"/>
        <v>450.79</v>
      </c>
      <c r="I192" s="573">
        <v>9212.15</v>
      </c>
      <c r="J192" s="1968"/>
      <c r="K192" s="637">
        <f t="shared" si="9"/>
        <v>9212.15</v>
      </c>
      <c r="L192" s="1675">
        <v>116348.47</v>
      </c>
      <c r="M192" s="430">
        <v>2946.39</v>
      </c>
      <c r="N192" s="419"/>
      <c r="O192" s="525">
        <f t="shared" si="10"/>
        <v>119294.86</v>
      </c>
      <c r="P192" s="61">
        <v>2763.54</v>
      </c>
      <c r="Q192" s="61">
        <v>34021.839999999997</v>
      </c>
      <c r="R192" s="61">
        <v>7746.54</v>
      </c>
      <c r="S192" s="419"/>
      <c r="T192" s="1978"/>
      <c r="U192" s="350"/>
      <c r="V192" s="526">
        <f t="shared" si="11"/>
        <v>44531.92</v>
      </c>
    </row>
    <row r="193" spans="1:22">
      <c r="A193" s="85">
        <f t="shared" si="12"/>
        <v>2009.04</v>
      </c>
      <c r="B193" s="74">
        <v>664</v>
      </c>
      <c r="C193" s="61">
        <v>109</v>
      </c>
      <c r="D193" s="727"/>
      <c r="E193" s="61">
        <v>431.584</v>
      </c>
      <c r="F193" s="573">
        <v>619.87</v>
      </c>
      <c r="G193" s="1460"/>
      <c r="H193" s="508">
        <f t="shared" si="8"/>
        <v>619.87</v>
      </c>
      <c r="I193" s="573">
        <v>2052.7399999999998</v>
      </c>
      <c r="J193" s="1968"/>
      <c r="K193" s="637">
        <f t="shared" si="9"/>
        <v>2052.7399999999998</v>
      </c>
      <c r="L193" s="1675">
        <v>122841.06</v>
      </c>
      <c r="M193" s="430">
        <v>3068.76</v>
      </c>
      <c r="N193" s="419"/>
      <c r="O193" s="525">
        <f t="shared" si="10"/>
        <v>125909.81999999999</v>
      </c>
      <c r="P193" s="61">
        <v>2593.1</v>
      </c>
      <c r="Q193" s="61">
        <v>32218.09</v>
      </c>
      <c r="R193" s="61">
        <v>7916.14</v>
      </c>
      <c r="S193" s="419"/>
      <c r="T193" s="1978"/>
      <c r="U193" s="350"/>
      <c r="V193" s="526">
        <f t="shared" si="11"/>
        <v>42727.33</v>
      </c>
    </row>
    <row r="194" spans="1:22">
      <c r="A194" s="85">
        <f t="shared" si="12"/>
        <v>2009.05</v>
      </c>
      <c r="B194" s="74">
        <v>561</v>
      </c>
      <c r="C194" s="61">
        <v>79</v>
      </c>
      <c r="D194" s="727"/>
      <c r="E194" s="61">
        <v>785.80899999999997</v>
      </c>
      <c r="F194" s="573">
        <v>0</v>
      </c>
      <c r="G194" s="1460"/>
      <c r="H194" s="508">
        <f t="shared" si="8"/>
        <v>0</v>
      </c>
      <c r="I194" s="573">
        <v>13219.75</v>
      </c>
      <c r="J194" s="1968"/>
      <c r="K194" s="637">
        <f t="shared" si="9"/>
        <v>13219.75</v>
      </c>
      <c r="L194" s="1675">
        <v>105830.06</v>
      </c>
      <c r="M194" s="430">
        <v>2695.23</v>
      </c>
      <c r="N194" s="419"/>
      <c r="O194" s="525">
        <f t="shared" si="10"/>
        <v>108525.29</v>
      </c>
      <c r="P194" s="61">
        <v>1421.2090000000001</v>
      </c>
      <c r="Q194" s="61">
        <v>31942.77</v>
      </c>
      <c r="R194" s="61">
        <v>7598.39</v>
      </c>
      <c r="S194" s="419"/>
      <c r="T194" s="1978"/>
      <c r="U194" s="350"/>
      <c r="V194" s="526">
        <f t="shared" si="11"/>
        <v>40962.368999999999</v>
      </c>
    </row>
    <row r="195" spans="1:22">
      <c r="A195" s="85">
        <f t="shared" si="12"/>
        <v>2009.06</v>
      </c>
      <c r="B195" s="74">
        <v>367</v>
      </c>
      <c r="C195" s="61">
        <v>57</v>
      </c>
      <c r="D195" s="727"/>
      <c r="E195" s="61">
        <v>1078.25</v>
      </c>
      <c r="F195" s="573">
        <v>308.52</v>
      </c>
      <c r="G195" s="1460"/>
      <c r="H195" s="508">
        <f t="shared" si="8"/>
        <v>308.52</v>
      </c>
      <c r="I195" s="573">
        <v>12076.17</v>
      </c>
      <c r="J195" s="1968"/>
      <c r="K195" s="637">
        <f t="shared" si="9"/>
        <v>12076.17</v>
      </c>
      <c r="L195" s="1675">
        <v>105773.8</v>
      </c>
      <c r="M195" s="430">
        <v>2782.85</v>
      </c>
      <c r="N195" s="419"/>
      <c r="O195" s="525">
        <f t="shared" si="10"/>
        <v>108556.65000000001</v>
      </c>
      <c r="P195" s="61">
        <v>2327.81</v>
      </c>
      <c r="Q195" s="61">
        <v>33325.050000000003</v>
      </c>
      <c r="R195" s="61">
        <v>7924.4</v>
      </c>
      <c r="S195" s="419"/>
      <c r="T195" s="1978"/>
      <c r="U195" s="350"/>
      <c r="V195" s="526">
        <f t="shared" si="11"/>
        <v>43577.26</v>
      </c>
    </row>
    <row r="196" spans="1:22">
      <c r="A196" s="85">
        <f t="shared" si="12"/>
        <v>2009.07</v>
      </c>
      <c r="B196" s="74">
        <v>349</v>
      </c>
      <c r="C196" s="61">
        <v>116</v>
      </c>
      <c r="D196" s="727"/>
      <c r="E196" s="61">
        <v>1304.8119999999999</v>
      </c>
      <c r="F196" s="573">
        <v>377.62</v>
      </c>
      <c r="G196" s="1460"/>
      <c r="H196" s="508">
        <f t="shared" si="8"/>
        <v>377.62</v>
      </c>
      <c r="I196" s="573">
        <v>2241.56</v>
      </c>
      <c r="J196" s="1968"/>
      <c r="K196" s="637">
        <f t="shared" si="9"/>
        <v>2241.56</v>
      </c>
      <c r="L196" s="1675">
        <v>101360.98</v>
      </c>
      <c r="M196" s="430">
        <v>3173.29</v>
      </c>
      <c r="N196" s="419"/>
      <c r="O196" s="525">
        <f t="shared" si="10"/>
        <v>104534.26999999999</v>
      </c>
      <c r="P196" s="61">
        <v>2337.75</v>
      </c>
      <c r="Q196" s="61">
        <v>33131.800000000003</v>
      </c>
      <c r="R196" s="61">
        <v>7578.49</v>
      </c>
      <c r="S196" s="419"/>
      <c r="T196" s="1978"/>
      <c r="U196" s="350"/>
      <c r="V196" s="526">
        <f t="shared" si="11"/>
        <v>43048.04</v>
      </c>
    </row>
    <row r="197" spans="1:22">
      <c r="A197" s="85">
        <f t="shared" si="12"/>
        <v>2009.08</v>
      </c>
      <c r="B197" s="74">
        <v>384</v>
      </c>
      <c r="C197" s="61">
        <v>45</v>
      </c>
      <c r="D197" s="727"/>
      <c r="E197" s="61">
        <v>503.56</v>
      </c>
      <c r="F197" s="573">
        <v>173.21</v>
      </c>
      <c r="G197" s="1460"/>
      <c r="H197" s="508">
        <f t="shared" si="8"/>
        <v>173.21</v>
      </c>
      <c r="I197" s="573">
        <v>1846.97</v>
      </c>
      <c r="J197" s="1968"/>
      <c r="K197" s="637">
        <f t="shared" si="9"/>
        <v>1846.97</v>
      </c>
      <c r="L197" s="1675">
        <v>100952.83</v>
      </c>
      <c r="M197" s="430">
        <v>2733.34</v>
      </c>
      <c r="N197" s="419"/>
      <c r="O197" s="525">
        <f t="shared" si="10"/>
        <v>103686.17</v>
      </c>
      <c r="P197" s="61">
        <v>2385.42</v>
      </c>
      <c r="Q197" s="61">
        <v>33305.11</v>
      </c>
      <c r="R197" s="61">
        <v>8429.81</v>
      </c>
      <c r="S197" s="419"/>
      <c r="T197" s="1978"/>
      <c r="U197" s="350"/>
      <c r="V197" s="526">
        <f t="shared" si="11"/>
        <v>44120.34</v>
      </c>
    </row>
    <row r="198" spans="1:22">
      <c r="A198" s="85">
        <f t="shared" si="12"/>
        <v>2009.09</v>
      </c>
      <c r="B198" s="74">
        <v>398</v>
      </c>
      <c r="C198" s="61">
        <v>122</v>
      </c>
      <c r="D198" s="727"/>
      <c r="E198" s="61">
        <v>340.2</v>
      </c>
      <c r="F198" s="573">
        <v>226.46</v>
      </c>
      <c r="G198" s="1460"/>
      <c r="H198" s="508">
        <f t="shared" si="8"/>
        <v>226.46</v>
      </c>
      <c r="I198" s="573">
        <v>1383.96</v>
      </c>
      <c r="J198" s="1968"/>
      <c r="K198" s="637">
        <f t="shared" si="9"/>
        <v>1383.96</v>
      </c>
      <c r="L198" s="1675">
        <v>98491.3</v>
      </c>
      <c r="M198" s="430">
        <v>2790.09</v>
      </c>
      <c r="N198" s="419"/>
      <c r="O198" s="525">
        <f t="shared" si="10"/>
        <v>101281.39</v>
      </c>
      <c r="P198" s="61">
        <v>2932.7249999999999</v>
      </c>
      <c r="Q198" s="61">
        <v>33131</v>
      </c>
      <c r="R198" s="61">
        <v>8201.4650000000001</v>
      </c>
      <c r="S198" s="419"/>
      <c r="T198" s="1978"/>
      <c r="U198" s="350"/>
      <c r="V198" s="526">
        <f t="shared" si="11"/>
        <v>44265.19</v>
      </c>
    </row>
    <row r="199" spans="1:22">
      <c r="A199" s="85">
        <f t="shared" si="12"/>
        <v>2009.1</v>
      </c>
      <c r="B199" s="74">
        <v>439</v>
      </c>
      <c r="C199" s="61">
        <v>124</v>
      </c>
      <c r="D199" s="727"/>
      <c r="E199" s="61">
        <v>80</v>
      </c>
      <c r="F199" s="573">
        <v>465.86</v>
      </c>
      <c r="G199" s="1460"/>
      <c r="H199" s="508">
        <f t="shared" si="8"/>
        <v>465.86</v>
      </c>
      <c r="I199" s="573">
        <v>2123.2600000000002</v>
      </c>
      <c r="J199" s="1968"/>
      <c r="K199" s="637">
        <f t="shared" si="9"/>
        <v>2123.2600000000002</v>
      </c>
      <c r="L199" s="1675">
        <v>110521.27</v>
      </c>
      <c r="M199" s="430">
        <v>2768.07</v>
      </c>
      <c r="N199" s="419"/>
      <c r="O199" s="525">
        <f t="shared" si="10"/>
        <v>113289.34000000001</v>
      </c>
      <c r="P199" s="61">
        <v>2608.98</v>
      </c>
      <c r="Q199" s="61">
        <v>34025.32</v>
      </c>
      <c r="R199" s="61">
        <v>9548.14</v>
      </c>
      <c r="S199" s="419"/>
      <c r="T199" s="1978"/>
      <c r="U199" s="350"/>
      <c r="V199" s="526">
        <f t="shared" si="11"/>
        <v>46182.44</v>
      </c>
    </row>
    <row r="200" spans="1:22">
      <c r="A200" s="85">
        <f t="shared" si="12"/>
        <v>2009.11</v>
      </c>
      <c r="B200" s="74">
        <v>495</v>
      </c>
      <c r="C200" s="61">
        <v>193</v>
      </c>
      <c r="D200" s="727"/>
      <c r="E200" s="61">
        <v>258.63900000000001</v>
      </c>
      <c r="F200" s="573">
        <v>420.26</v>
      </c>
      <c r="G200" s="1460"/>
      <c r="H200" s="508">
        <f t="shared" si="8"/>
        <v>420.26</v>
      </c>
      <c r="I200" s="573">
        <v>11356.69</v>
      </c>
      <c r="J200" s="1968"/>
      <c r="K200" s="637">
        <f t="shared" si="9"/>
        <v>11356.69</v>
      </c>
      <c r="L200" s="1675">
        <v>103350.8</v>
      </c>
      <c r="M200" s="430">
        <v>2514.34</v>
      </c>
      <c r="N200" s="419"/>
      <c r="O200" s="525">
        <f t="shared" si="10"/>
        <v>105865.14</v>
      </c>
      <c r="P200" s="61">
        <v>2993.11</v>
      </c>
      <c r="Q200" s="61">
        <v>31802.2</v>
      </c>
      <c r="R200" s="61">
        <v>6461.48</v>
      </c>
      <c r="S200" s="419"/>
      <c r="T200" s="1978"/>
      <c r="U200" s="350"/>
      <c r="V200" s="526">
        <f t="shared" si="11"/>
        <v>41256.789999999994</v>
      </c>
    </row>
    <row r="201" spans="1:22" ht="13.5" thickBot="1">
      <c r="A201" s="85">
        <f t="shared" si="12"/>
        <v>2009.12</v>
      </c>
      <c r="B201" s="74">
        <v>505</v>
      </c>
      <c r="C201" s="61">
        <v>360</v>
      </c>
      <c r="D201" s="727"/>
      <c r="E201" s="61">
        <v>95.412999999999997</v>
      </c>
      <c r="F201" s="573">
        <v>1154.1600000000001</v>
      </c>
      <c r="G201" s="1460"/>
      <c r="H201" s="508">
        <f t="shared" si="8"/>
        <v>1154.1600000000001</v>
      </c>
      <c r="I201" s="573">
        <v>4036.57</v>
      </c>
      <c r="J201" s="1968"/>
      <c r="K201" s="637">
        <f t="shared" si="9"/>
        <v>4036.57</v>
      </c>
      <c r="L201" s="1675">
        <v>114845.91</v>
      </c>
      <c r="M201" s="430">
        <v>2225.98</v>
      </c>
      <c r="N201" s="419"/>
      <c r="O201" s="525">
        <f>L201+M201+N201</f>
        <v>117071.89</v>
      </c>
      <c r="P201" s="61">
        <v>3663.38</v>
      </c>
      <c r="Q201" s="61">
        <v>35648.51</v>
      </c>
      <c r="R201" s="61">
        <v>10006.799999999999</v>
      </c>
      <c r="S201" s="419"/>
      <c r="T201" s="1978"/>
      <c r="U201" s="350"/>
      <c r="V201" s="526">
        <f t="shared" si="11"/>
        <v>49318.69</v>
      </c>
    </row>
    <row r="202" spans="1:22">
      <c r="A202" s="85">
        <f t="shared" si="12"/>
        <v>2010.01</v>
      </c>
      <c r="B202" s="74">
        <v>661</v>
      </c>
      <c r="C202" s="61">
        <v>391</v>
      </c>
      <c r="D202" s="520">
        <v>1849.54</v>
      </c>
      <c r="E202" s="61">
        <v>260.65300000000002</v>
      </c>
      <c r="F202" s="573">
        <v>1136.52</v>
      </c>
      <c r="G202" s="1460"/>
      <c r="H202" s="508">
        <f t="shared" ref="H202:H265" si="13">F202+G202</f>
        <v>1136.52</v>
      </c>
      <c r="I202" s="573">
        <v>3200</v>
      </c>
      <c r="J202" s="1968"/>
      <c r="K202" s="637">
        <f t="shared" ref="K202:K207" si="14">I202+J202</f>
        <v>3200</v>
      </c>
      <c r="L202" s="1675">
        <v>105275.485</v>
      </c>
      <c r="M202" s="430">
        <v>14987.28</v>
      </c>
      <c r="N202" s="501">
        <v>1328</v>
      </c>
      <c r="O202" s="525">
        <f t="shared" ref="O202:O265" si="15">L202+M202+N202</f>
        <v>121590.765</v>
      </c>
      <c r="P202" s="61">
        <v>3284.7760000000003</v>
      </c>
      <c r="Q202" s="61">
        <v>32534.441999999999</v>
      </c>
      <c r="R202" s="61">
        <v>11057.307000000001</v>
      </c>
      <c r="S202" s="419"/>
      <c r="T202" s="1973">
        <v>0</v>
      </c>
      <c r="U202" s="520">
        <v>0</v>
      </c>
      <c r="V202" s="526">
        <f t="shared" si="11"/>
        <v>46876.525000000001</v>
      </c>
    </row>
    <row r="203" spans="1:22">
      <c r="A203" s="85">
        <f t="shared" si="12"/>
        <v>2010.02</v>
      </c>
      <c r="B203" s="74">
        <v>546</v>
      </c>
      <c r="C203" s="61">
        <v>689</v>
      </c>
      <c r="D203" s="61">
        <v>1574.28</v>
      </c>
      <c r="E203" s="61">
        <v>301.60599999999999</v>
      </c>
      <c r="F203" s="573">
        <v>905.08</v>
      </c>
      <c r="G203" s="1460"/>
      <c r="H203" s="508">
        <f t="shared" si="13"/>
        <v>905.08</v>
      </c>
      <c r="I203" s="573">
        <v>1504.0530000000001</v>
      </c>
      <c r="J203" s="1968"/>
      <c r="K203" s="637">
        <f t="shared" si="14"/>
        <v>1504.0530000000001</v>
      </c>
      <c r="L203" s="1675">
        <v>102952.966</v>
      </c>
      <c r="M203" s="430">
        <v>26562.121999999999</v>
      </c>
      <c r="N203" s="61">
        <v>987</v>
      </c>
      <c r="O203" s="525">
        <f t="shared" si="15"/>
        <v>130502.088</v>
      </c>
      <c r="P203" s="61">
        <v>2398.634</v>
      </c>
      <c r="Q203" s="61">
        <v>33254.120000000003</v>
      </c>
      <c r="R203" s="61">
        <v>8798.6659999999993</v>
      </c>
      <c r="S203" s="419"/>
      <c r="T203" s="1675">
        <v>0</v>
      </c>
      <c r="U203" s="430">
        <v>0</v>
      </c>
      <c r="V203" s="526">
        <f t="shared" si="11"/>
        <v>44451.42</v>
      </c>
    </row>
    <row r="204" spans="1:22">
      <c r="A204" s="85">
        <f t="shared" si="12"/>
        <v>2010.03</v>
      </c>
      <c r="B204" s="74">
        <v>804</v>
      </c>
      <c r="C204" s="61">
        <v>291</v>
      </c>
      <c r="D204" s="61">
        <v>2995.94</v>
      </c>
      <c r="E204" s="61">
        <v>381.39699999999999</v>
      </c>
      <c r="F204" s="573">
        <v>1390.87</v>
      </c>
      <c r="G204" s="1460"/>
      <c r="H204" s="508">
        <f t="shared" si="13"/>
        <v>1390.87</v>
      </c>
      <c r="I204" s="573">
        <v>1371.672</v>
      </c>
      <c r="J204" s="1968"/>
      <c r="K204" s="637">
        <f t="shared" si="14"/>
        <v>1371.672</v>
      </c>
      <c r="L204" s="1675">
        <v>147527.72099999999</v>
      </c>
      <c r="M204" s="430">
        <v>36832.15</v>
      </c>
      <c r="N204" s="61">
        <v>1566</v>
      </c>
      <c r="O204" s="525">
        <f t="shared" si="15"/>
        <v>185925.87099999998</v>
      </c>
      <c r="P204" s="61">
        <v>4941.6109999999999</v>
      </c>
      <c r="Q204" s="61">
        <v>37633.347000000002</v>
      </c>
      <c r="R204" s="61">
        <v>9590.2199999999993</v>
      </c>
      <c r="S204" s="419"/>
      <c r="T204" s="1675">
        <v>0</v>
      </c>
      <c r="U204" s="430">
        <v>0</v>
      </c>
      <c r="V204" s="526">
        <f t="shared" ref="V204:V267" si="16">SUM(P204:U204)</f>
        <v>52165.178</v>
      </c>
    </row>
    <row r="205" spans="1:22">
      <c r="A205" s="85">
        <f t="shared" si="12"/>
        <v>2010.04</v>
      </c>
      <c r="B205" s="74">
        <v>636</v>
      </c>
      <c r="C205" s="61">
        <v>46</v>
      </c>
      <c r="D205" s="61">
        <v>3641</v>
      </c>
      <c r="E205" s="61">
        <v>806.97799999999995</v>
      </c>
      <c r="F205" s="573">
        <v>477.54</v>
      </c>
      <c r="G205" s="1460"/>
      <c r="H205" s="508">
        <f t="shared" si="13"/>
        <v>477.54</v>
      </c>
      <c r="I205" s="573">
        <v>3607.0439999999999</v>
      </c>
      <c r="J205" s="1968"/>
      <c r="K205" s="637">
        <f t="shared" si="14"/>
        <v>3607.0439999999999</v>
      </c>
      <c r="L205" s="1675">
        <v>138970.24300000002</v>
      </c>
      <c r="M205" s="430">
        <v>16022.9</v>
      </c>
      <c r="N205" s="61">
        <v>921</v>
      </c>
      <c r="O205" s="525">
        <f t="shared" si="15"/>
        <v>155914.14300000001</v>
      </c>
      <c r="P205" s="61">
        <v>3082.1210000000001</v>
      </c>
      <c r="Q205" s="61">
        <v>38036.366000000002</v>
      </c>
      <c r="R205" s="61">
        <v>9889.8420000000006</v>
      </c>
      <c r="S205" s="419"/>
      <c r="T205" s="1675">
        <v>0</v>
      </c>
      <c r="U205" s="430">
        <v>8459</v>
      </c>
      <c r="V205" s="526">
        <f t="shared" si="16"/>
        <v>59467.328999999998</v>
      </c>
    </row>
    <row r="206" spans="1:22">
      <c r="A206" s="85">
        <f t="shared" si="12"/>
        <v>2010.05</v>
      </c>
      <c r="B206" s="74">
        <v>611</v>
      </c>
      <c r="C206" s="61">
        <v>35</v>
      </c>
      <c r="D206" s="61">
        <v>2860.26</v>
      </c>
      <c r="E206" s="61">
        <v>880.68899999999996</v>
      </c>
      <c r="F206" s="573">
        <v>1.4</v>
      </c>
      <c r="G206" s="1460"/>
      <c r="H206" s="508">
        <f t="shared" si="13"/>
        <v>1.4</v>
      </c>
      <c r="I206" s="573">
        <v>8472.8629999999994</v>
      </c>
      <c r="J206" s="1968"/>
      <c r="K206" s="637">
        <f t="shared" si="14"/>
        <v>8472.8629999999994</v>
      </c>
      <c r="L206" s="1675">
        <v>123571.792</v>
      </c>
      <c r="M206" s="430">
        <v>4993.8</v>
      </c>
      <c r="N206" s="61">
        <v>2336</v>
      </c>
      <c r="O206" s="525">
        <f t="shared" si="15"/>
        <v>130901.592</v>
      </c>
      <c r="P206" s="61">
        <v>2253.8389999999999</v>
      </c>
      <c r="Q206" s="61">
        <v>32888.131000000001</v>
      </c>
      <c r="R206" s="61">
        <v>9254.5429999999997</v>
      </c>
      <c r="S206" s="419"/>
      <c r="T206" s="1675">
        <v>0</v>
      </c>
      <c r="U206" s="430">
        <v>0</v>
      </c>
      <c r="V206" s="526">
        <f t="shared" si="16"/>
        <v>44396.512999999999</v>
      </c>
    </row>
    <row r="207" spans="1:22" ht="13.5" thickBot="1">
      <c r="A207" s="85">
        <f t="shared" si="12"/>
        <v>2010.06</v>
      </c>
      <c r="B207" s="74">
        <v>632</v>
      </c>
      <c r="C207" s="61">
        <v>50</v>
      </c>
      <c r="D207" s="61">
        <v>1965.98</v>
      </c>
      <c r="E207" s="61">
        <v>1054.7339999999999</v>
      </c>
      <c r="F207" s="573">
        <v>0</v>
      </c>
      <c r="G207" s="1460"/>
      <c r="H207" s="508">
        <f t="shared" si="13"/>
        <v>0</v>
      </c>
      <c r="I207" s="573">
        <v>6278.268</v>
      </c>
      <c r="J207" s="1968"/>
      <c r="K207" s="637">
        <f t="shared" si="14"/>
        <v>6278.268</v>
      </c>
      <c r="L207" s="1675">
        <v>120932.997</v>
      </c>
      <c r="M207" s="430">
        <v>13868.46</v>
      </c>
      <c r="N207" s="61">
        <v>2046</v>
      </c>
      <c r="O207" s="525">
        <f t="shared" si="15"/>
        <v>136847.45699999999</v>
      </c>
      <c r="P207" s="61">
        <v>2837.663</v>
      </c>
      <c r="Q207" s="61">
        <v>32023.828999999998</v>
      </c>
      <c r="R207" s="61">
        <v>8872.3169999999991</v>
      </c>
      <c r="S207" s="419"/>
      <c r="T207" s="1675">
        <v>0</v>
      </c>
      <c r="U207" s="430">
        <v>0</v>
      </c>
      <c r="V207" s="526">
        <f t="shared" si="16"/>
        <v>43733.808999999994</v>
      </c>
    </row>
    <row r="208" spans="1:22">
      <c r="A208" s="85">
        <f t="shared" si="12"/>
        <v>2010.07</v>
      </c>
      <c r="B208" s="74">
        <v>623</v>
      </c>
      <c r="C208" s="61">
        <v>52</v>
      </c>
      <c r="D208" s="61">
        <v>3306.34</v>
      </c>
      <c r="E208" s="61">
        <v>1325.95</v>
      </c>
      <c r="F208" s="573">
        <v>0</v>
      </c>
      <c r="G208" s="1572">
        <v>0</v>
      </c>
      <c r="H208" s="508">
        <f t="shared" si="13"/>
        <v>0</v>
      </c>
      <c r="I208" s="573">
        <v>14035.602999999999</v>
      </c>
      <c r="J208" s="1969">
        <v>83.79</v>
      </c>
      <c r="K208" s="637">
        <f>I208+J208</f>
        <v>14119.393</v>
      </c>
      <c r="L208" s="1675">
        <v>123888.99799999999</v>
      </c>
      <c r="M208" s="430">
        <v>2798.79</v>
      </c>
      <c r="N208" s="61">
        <v>850.14</v>
      </c>
      <c r="O208" s="525">
        <f t="shared" si="15"/>
        <v>127537.92799999999</v>
      </c>
      <c r="P208" s="61">
        <v>2738.2809999999999</v>
      </c>
      <c r="Q208" s="61">
        <v>34475.521999999997</v>
      </c>
      <c r="R208" s="61">
        <v>10517.558999999999</v>
      </c>
      <c r="S208" s="88">
        <v>0</v>
      </c>
      <c r="T208" s="1675">
        <v>0</v>
      </c>
      <c r="U208" s="430">
        <v>0</v>
      </c>
      <c r="V208" s="526">
        <f t="shared" si="16"/>
        <v>47731.362000000001</v>
      </c>
    </row>
    <row r="209" spans="1:22">
      <c r="A209" s="85">
        <f t="shared" si="12"/>
        <v>2010.08</v>
      </c>
      <c r="B209" s="74">
        <v>1063</v>
      </c>
      <c r="C209" s="61">
        <v>52</v>
      </c>
      <c r="D209" s="61">
        <v>4217.18</v>
      </c>
      <c r="E209" s="61">
        <v>839.00099999999998</v>
      </c>
      <c r="F209" s="573">
        <v>0</v>
      </c>
      <c r="G209" s="1365">
        <v>0</v>
      </c>
      <c r="H209" s="508">
        <f t="shared" si="13"/>
        <v>0</v>
      </c>
      <c r="I209" s="573">
        <v>13129.957</v>
      </c>
      <c r="J209" s="1531">
        <v>683.25</v>
      </c>
      <c r="K209" s="637">
        <f>I209+J209</f>
        <v>13813.207</v>
      </c>
      <c r="L209" s="1675">
        <v>122321.16500000001</v>
      </c>
      <c r="M209" s="430">
        <v>12242.51</v>
      </c>
      <c r="N209" s="61">
        <v>1807.44</v>
      </c>
      <c r="O209" s="525">
        <f t="shared" si="15"/>
        <v>136371.11500000002</v>
      </c>
      <c r="P209" s="61">
        <v>2986.7219999999998</v>
      </c>
      <c r="Q209" s="61">
        <v>35113.972999999998</v>
      </c>
      <c r="R209" s="61">
        <v>9718.0770000000011</v>
      </c>
      <c r="S209" s="61">
        <v>0</v>
      </c>
      <c r="T209" s="1675">
        <v>0</v>
      </c>
      <c r="U209" s="430">
        <v>0</v>
      </c>
      <c r="V209" s="526">
        <f t="shared" si="16"/>
        <v>47818.771999999997</v>
      </c>
    </row>
    <row r="210" spans="1:22">
      <c r="A210" s="85">
        <f t="shared" si="12"/>
        <v>2010.09</v>
      </c>
      <c r="B210" s="74">
        <v>848</v>
      </c>
      <c r="C210" s="61">
        <v>49</v>
      </c>
      <c r="D210" s="61">
        <v>3201.3599999999997</v>
      </c>
      <c r="E210" s="61">
        <v>344.21800000000002</v>
      </c>
      <c r="F210" s="573">
        <v>0</v>
      </c>
      <c r="G210" s="1365">
        <v>0</v>
      </c>
      <c r="H210" s="508">
        <f t="shared" si="13"/>
        <v>0</v>
      </c>
      <c r="I210" s="573">
        <v>35024.019</v>
      </c>
      <c r="J210" s="1531">
        <v>0</v>
      </c>
      <c r="K210" s="637">
        <f>I210+J210</f>
        <v>35024.019</v>
      </c>
      <c r="L210" s="1675">
        <v>122818.95300000001</v>
      </c>
      <c r="M210" s="430">
        <v>5972.88</v>
      </c>
      <c r="N210" s="61">
        <v>1463.22</v>
      </c>
      <c r="O210" s="525">
        <f t="shared" si="15"/>
        <v>130255.05300000001</v>
      </c>
      <c r="P210" s="61">
        <v>2758.279</v>
      </c>
      <c r="Q210" s="61">
        <v>34242.498999999996</v>
      </c>
      <c r="R210" s="61">
        <v>9530.9670000000006</v>
      </c>
      <c r="S210" s="61">
        <v>0</v>
      </c>
      <c r="T210" s="1675">
        <v>0</v>
      </c>
      <c r="U210" s="430">
        <v>0</v>
      </c>
      <c r="V210" s="526">
        <f t="shared" si="16"/>
        <v>46531.744999999995</v>
      </c>
    </row>
    <row r="211" spans="1:22">
      <c r="A211" s="85">
        <f t="shared" si="12"/>
        <v>2010.1</v>
      </c>
      <c r="B211" s="74">
        <v>1334</v>
      </c>
      <c r="C211" s="61">
        <v>73</v>
      </c>
      <c r="D211" s="61">
        <v>3067.18</v>
      </c>
      <c r="E211" s="61">
        <v>166.209</v>
      </c>
      <c r="F211" s="573">
        <v>0</v>
      </c>
      <c r="G211" s="1365">
        <v>0</v>
      </c>
      <c r="H211" s="508">
        <f t="shared" si="13"/>
        <v>0</v>
      </c>
      <c r="I211" s="573">
        <v>1702.2049999999999</v>
      </c>
      <c r="J211" s="1531">
        <v>0</v>
      </c>
      <c r="K211" s="637">
        <f>I211+J211</f>
        <v>1702.2049999999999</v>
      </c>
      <c r="L211" s="1675">
        <v>118851.00200000001</v>
      </c>
      <c r="M211" s="430">
        <v>6498.2640000000001</v>
      </c>
      <c r="N211" s="61">
        <v>950.32</v>
      </c>
      <c r="O211" s="525">
        <f t="shared" si="15"/>
        <v>126299.58600000001</v>
      </c>
      <c r="P211" s="61">
        <v>2860.3560000000002</v>
      </c>
      <c r="Q211" s="61">
        <v>34843.058000000005</v>
      </c>
      <c r="R211" s="61">
        <v>9889.7170000000006</v>
      </c>
      <c r="S211" s="61">
        <v>0</v>
      </c>
      <c r="T211" s="1675">
        <v>0</v>
      </c>
      <c r="U211" s="430">
        <v>0</v>
      </c>
      <c r="V211" s="526">
        <f t="shared" si="16"/>
        <v>47593.131000000008</v>
      </c>
    </row>
    <row r="212" spans="1:22">
      <c r="A212" s="85">
        <f t="shared" si="12"/>
        <v>2010.11</v>
      </c>
      <c r="B212" s="74">
        <v>1246</v>
      </c>
      <c r="C212" s="61">
        <v>61</v>
      </c>
      <c r="D212" s="61">
        <v>2740.7799999999997</v>
      </c>
      <c r="E212" s="61">
        <v>180.27100000000002</v>
      </c>
      <c r="F212" s="573">
        <v>114</v>
      </c>
      <c r="G212" s="1365">
        <v>0</v>
      </c>
      <c r="H212" s="508">
        <f t="shared" si="13"/>
        <v>114</v>
      </c>
      <c r="I212" s="573">
        <v>5521.567</v>
      </c>
      <c r="J212" s="1531">
        <v>70.983999999999995</v>
      </c>
      <c r="K212" s="637">
        <f t="shared" ref="K212:K273" si="17">I212+J212</f>
        <v>5592.5510000000004</v>
      </c>
      <c r="L212" s="1675">
        <v>120930.96799999999</v>
      </c>
      <c r="M212" s="430">
        <v>27.795000000000002</v>
      </c>
      <c r="N212" s="61">
        <v>800.45</v>
      </c>
      <c r="O212" s="525">
        <f t="shared" si="15"/>
        <v>121759.21299999999</v>
      </c>
      <c r="P212" s="61">
        <v>2759.5950000000003</v>
      </c>
      <c r="Q212" s="61">
        <v>34724.175999999999</v>
      </c>
      <c r="R212" s="61">
        <v>10317.003000000001</v>
      </c>
      <c r="S212" s="61">
        <v>0</v>
      </c>
      <c r="T212" s="1675">
        <v>0</v>
      </c>
      <c r="U212" s="430">
        <v>0</v>
      </c>
      <c r="V212" s="526">
        <f t="shared" si="16"/>
        <v>47800.774000000005</v>
      </c>
    </row>
    <row r="213" spans="1:22">
      <c r="A213" s="85">
        <f t="shared" si="12"/>
        <v>2010.12</v>
      </c>
      <c r="B213" s="74">
        <v>1522</v>
      </c>
      <c r="C213" s="61">
        <v>99</v>
      </c>
      <c r="D213" s="61">
        <v>3060.84</v>
      </c>
      <c r="E213" s="61">
        <v>263.49700000000001</v>
      </c>
      <c r="F213" s="573">
        <v>187</v>
      </c>
      <c r="G213" s="1365">
        <v>0</v>
      </c>
      <c r="H213" s="508">
        <f t="shared" si="13"/>
        <v>187</v>
      </c>
      <c r="I213" s="573">
        <v>1972.59</v>
      </c>
      <c r="J213" s="1531">
        <v>0</v>
      </c>
      <c r="K213" s="637">
        <f t="shared" si="17"/>
        <v>1972.59</v>
      </c>
      <c r="L213" s="1675">
        <v>127075.696</v>
      </c>
      <c r="M213" s="430">
        <v>0</v>
      </c>
      <c r="N213" s="61">
        <v>1638.14</v>
      </c>
      <c r="O213" s="525">
        <f t="shared" si="15"/>
        <v>128713.836</v>
      </c>
      <c r="P213" s="61">
        <v>2860.817</v>
      </c>
      <c r="Q213" s="61">
        <v>35772.760999999999</v>
      </c>
      <c r="R213" s="61">
        <v>11875.654</v>
      </c>
      <c r="S213" s="61">
        <v>0</v>
      </c>
      <c r="T213" s="1675">
        <v>0</v>
      </c>
      <c r="U213" s="430">
        <v>0</v>
      </c>
      <c r="V213" s="526">
        <f t="shared" si="16"/>
        <v>50509.232000000004</v>
      </c>
    </row>
    <row r="214" spans="1:22">
      <c r="A214" s="85">
        <f t="shared" si="12"/>
        <v>2011.01</v>
      </c>
      <c r="B214" s="74">
        <v>1205</v>
      </c>
      <c r="C214" s="61">
        <v>55</v>
      </c>
      <c r="D214" s="61">
        <v>2589.7399999999998</v>
      </c>
      <c r="E214" s="61">
        <v>242.10799999999998</v>
      </c>
      <c r="F214" s="573">
        <v>152</v>
      </c>
      <c r="G214" s="1365">
        <v>0</v>
      </c>
      <c r="H214" s="508">
        <f t="shared" si="13"/>
        <v>152</v>
      </c>
      <c r="I214" s="573">
        <v>10099.35</v>
      </c>
      <c r="J214" s="1531">
        <v>0</v>
      </c>
      <c r="K214" s="637">
        <f t="shared" si="17"/>
        <v>10099.35</v>
      </c>
      <c r="L214" s="1675">
        <v>113573.124</v>
      </c>
      <c r="M214" s="430">
        <v>2990.23</v>
      </c>
      <c r="N214" s="61">
        <v>1811.11</v>
      </c>
      <c r="O214" s="525">
        <f t="shared" si="15"/>
        <v>118374.46399999999</v>
      </c>
      <c r="P214" s="61">
        <v>2643.25</v>
      </c>
      <c r="Q214" s="61">
        <v>35315.756999999998</v>
      </c>
      <c r="R214" s="61">
        <v>11697.655999999999</v>
      </c>
      <c r="S214" s="61">
        <v>0</v>
      </c>
      <c r="T214" s="1675">
        <v>0</v>
      </c>
      <c r="U214" s="430">
        <v>1673.7</v>
      </c>
      <c r="V214" s="526">
        <f t="shared" si="16"/>
        <v>51330.362999999998</v>
      </c>
    </row>
    <row r="215" spans="1:22">
      <c r="A215" s="85">
        <f t="shared" si="12"/>
        <v>2011.02</v>
      </c>
      <c r="B215" s="74">
        <v>1079</v>
      </c>
      <c r="C215" s="61">
        <v>102</v>
      </c>
      <c r="D215" s="61">
        <v>2678.35</v>
      </c>
      <c r="E215" s="61">
        <v>475.62</v>
      </c>
      <c r="F215" s="573">
        <v>76</v>
      </c>
      <c r="G215" s="1365">
        <v>0</v>
      </c>
      <c r="H215" s="508">
        <f t="shared" si="13"/>
        <v>76</v>
      </c>
      <c r="I215" s="573">
        <v>7622.3519999999999</v>
      </c>
      <c r="J215" s="1531">
        <v>0</v>
      </c>
      <c r="K215" s="637">
        <f t="shared" si="17"/>
        <v>7622.3519999999999</v>
      </c>
      <c r="L215" s="1675">
        <v>102621.389</v>
      </c>
      <c r="M215" s="430">
        <v>2992.19</v>
      </c>
      <c r="N215" s="61">
        <v>1168.31</v>
      </c>
      <c r="O215" s="525">
        <f t="shared" si="15"/>
        <v>106781.889</v>
      </c>
      <c r="P215" s="61">
        <v>2640.9359999999997</v>
      </c>
      <c r="Q215" s="61">
        <v>30089.186000000002</v>
      </c>
      <c r="R215" s="61">
        <v>12461.847</v>
      </c>
      <c r="S215" s="61">
        <v>0</v>
      </c>
      <c r="T215" s="1675">
        <v>0</v>
      </c>
      <c r="U215" s="430">
        <v>0</v>
      </c>
      <c r="V215" s="526">
        <f t="shared" si="16"/>
        <v>45191.969000000005</v>
      </c>
    </row>
    <row r="216" spans="1:22">
      <c r="A216" s="85">
        <f t="shared" si="12"/>
        <v>2011.03</v>
      </c>
      <c r="B216" s="74">
        <v>1743</v>
      </c>
      <c r="C216" s="61">
        <v>92</v>
      </c>
      <c r="D216" s="61">
        <v>3352.5039999999999</v>
      </c>
      <c r="E216" s="61">
        <v>342.56600000000003</v>
      </c>
      <c r="F216" s="573">
        <f>38</f>
        <v>38</v>
      </c>
      <c r="G216" s="1365">
        <v>31.861999999999998</v>
      </c>
      <c r="H216" s="508">
        <f t="shared" si="13"/>
        <v>69.861999999999995</v>
      </c>
      <c r="I216" s="573">
        <v>10344.027</v>
      </c>
      <c r="J216" s="1531">
        <v>0</v>
      </c>
      <c r="K216" s="637">
        <f t="shared" si="17"/>
        <v>10344.027</v>
      </c>
      <c r="L216" s="1675">
        <v>124633.629</v>
      </c>
      <c r="M216" s="430">
        <v>3376.672</v>
      </c>
      <c r="N216" s="61">
        <v>1754.59</v>
      </c>
      <c r="O216" s="525">
        <f t="shared" si="15"/>
        <v>129764.891</v>
      </c>
      <c r="P216" s="61">
        <v>3199.433</v>
      </c>
      <c r="Q216" s="61">
        <v>34303.947</v>
      </c>
      <c r="R216" s="61">
        <v>14555.726999999999</v>
      </c>
      <c r="S216" s="61">
        <v>1057.1300000000001</v>
      </c>
      <c r="T216" s="1675">
        <v>0</v>
      </c>
      <c r="U216" s="430">
        <v>236.6</v>
      </c>
      <c r="V216" s="526">
        <f t="shared" si="16"/>
        <v>53352.836999999992</v>
      </c>
    </row>
    <row r="217" spans="1:22">
      <c r="A217" s="85">
        <f t="shared" si="12"/>
        <v>2011.04</v>
      </c>
      <c r="B217" s="74">
        <v>791</v>
      </c>
      <c r="C217" s="61">
        <v>53</v>
      </c>
      <c r="D217" s="61">
        <v>2083.3000000000002</v>
      </c>
      <c r="E217" s="61">
        <v>401.34500000000003</v>
      </c>
      <c r="F217" s="573">
        <f>0</f>
        <v>0</v>
      </c>
      <c r="G217" s="1365">
        <v>114</v>
      </c>
      <c r="H217" s="508">
        <f t="shared" si="13"/>
        <v>114</v>
      </c>
      <c r="I217" s="573">
        <v>5692.5060000000003</v>
      </c>
      <c r="J217" s="1531">
        <v>0</v>
      </c>
      <c r="K217" s="637">
        <f t="shared" si="17"/>
        <v>5692.5060000000003</v>
      </c>
      <c r="L217" s="1675">
        <v>133409.88399999999</v>
      </c>
      <c r="M217" s="430">
        <v>5938.8</v>
      </c>
      <c r="N217" s="61">
        <v>1731.8</v>
      </c>
      <c r="O217" s="525">
        <f t="shared" si="15"/>
        <v>141080.48399999997</v>
      </c>
      <c r="P217" s="61">
        <v>3277.5949999999998</v>
      </c>
      <c r="Q217" s="61">
        <v>34904.350999999995</v>
      </c>
      <c r="R217" s="61">
        <f>12862.086+60</f>
        <v>12922.085999999999</v>
      </c>
      <c r="S217" s="61">
        <v>60</v>
      </c>
      <c r="T217" s="1675">
        <v>0</v>
      </c>
      <c r="U217" s="430">
        <v>0</v>
      </c>
      <c r="V217" s="526">
        <f t="shared" si="16"/>
        <v>51164.031999999992</v>
      </c>
    </row>
    <row r="218" spans="1:22">
      <c r="A218" s="85">
        <f t="shared" si="12"/>
        <v>2011.05</v>
      </c>
      <c r="B218" s="74">
        <v>553</v>
      </c>
      <c r="C218" s="61">
        <v>64</v>
      </c>
      <c r="D218" s="61">
        <v>3950</v>
      </c>
      <c r="E218" s="61">
        <v>775.11300000000006</v>
      </c>
      <c r="F218" s="573">
        <v>0</v>
      </c>
      <c r="G218" s="1365">
        <v>35</v>
      </c>
      <c r="H218" s="508">
        <f t="shared" si="13"/>
        <v>35</v>
      </c>
      <c r="I218" s="573">
        <v>6443.134</v>
      </c>
      <c r="J218" s="1531">
        <v>5066.8710000000001</v>
      </c>
      <c r="K218" s="637">
        <f t="shared" si="17"/>
        <v>11510.005000000001</v>
      </c>
      <c r="L218" s="1675">
        <v>122689.88470000001</v>
      </c>
      <c r="M218" s="430">
        <v>24758.022385000004</v>
      </c>
      <c r="N218" s="61">
        <v>597.70000000000005</v>
      </c>
      <c r="O218" s="525">
        <f t="shared" si="15"/>
        <v>148045.60708500003</v>
      </c>
      <c r="P218" s="61">
        <v>3268.79</v>
      </c>
      <c r="Q218" s="61">
        <v>33991.084900000002</v>
      </c>
      <c r="R218" s="61">
        <v>11991.7952</v>
      </c>
      <c r="S218" s="61">
        <v>11764.241119999999</v>
      </c>
      <c r="T218" s="1675">
        <v>0</v>
      </c>
      <c r="U218" s="430">
        <v>21531.4</v>
      </c>
      <c r="V218" s="526">
        <f t="shared" si="16"/>
        <v>82547.311220000003</v>
      </c>
    </row>
    <row r="219" spans="1:22">
      <c r="A219" s="85">
        <f t="shared" si="12"/>
        <v>2011.06</v>
      </c>
      <c r="B219" s="74">
        <v>244</v>
      </c>
      <c r="C219" s="61">
        <v>39</v>
      </c>
      <c r="D219" s="61">
        <v>4182.16</v>
      </c>
      <c r="E219" s="61">
        <v>920.66</v>
      </c>
      <c r="F219" s="573">
        <v>38</v>
      </c>
      <c r="G219" s="1365">
        <v>0</v>
      </c>
      <c r="H219" s="508">
        <f t="shared" si="13"/>
        <v>38</v>
      </c>
      <c r="I219" s="573">
        <v>4048.0009999999997</v>
      </c>
      <c r="J219" s="1531">
        <v>1535.424</v>
      </c>
      <c r="K219" s="637">
        <f t="shared" si="17"/>
        <v>5583.4249999999993</v>
      </c>
      <c r="L219" s="1675">
        <v>123484.14059999998</v>
      </c>
      <c r="M219" s="430">
        <v>11514.594153</v>
      </c>
      <c r="N219" s="61">
        <v>812.31</v>
      </c>
      <c r="O219" s="525">
        <f t="shared" si="15"/>
        <v>135811.04475299999</v>
      </c>
      <c r="P219" s="61">
        <v>2250.4699999999998</v>
      </c>
      <c r="Q219" s="61">
        <v>33001.855900000002</v>
      </c>
      <c r="R219" s="61">
        <v>12380.878499999999</v>
      </c>
      <c r="S219" s="61">
        <v>4286.9910970000001</v>
      </c>
      <c r="T219" s="1675">
        <v>0</v>
      </c>
      <c r="U219" s="430">
        <v>21752.1</v>
      </c>
      <c r="V219" s="526">
        <f t="shared" si="16"/>
        <v>73672.295496999999</v>
      </c>
    </row>
    <row r="220" spans="1:22">
      <c r="A220" s="85">
        <f t="shared" si="12"/>
        <v>2011.07</v>
      </c>
      <c r="B220" s="74">
        <v>541</v>
      </c>
      <c r="C220" s="61">
        <v>60</v>
      </c>
      <c r="D220" s="61">
        <v>3349.08</v>
      </c>
      <c r="E220" s="61">
        <v>941.90699999999993</v>
      </c>
      <c r="F220" s="573">
        <v>0</v>
      </c>
      <c r="G220" s="1365">
        <v>0</v>
      </c>
      <c r="H220" s="508">
        <f t="shared" si="13"/>
        <v>0</v>
      </c>
      <c r="I220" s="573">
        <v>19565.082000000002</v>
      </c>
      <c r="J220" s="1531">
        <v>866.50130000000001</v>
      </c>
      <c r="K220" s="637">
        <f t="shared" si="17"/>
        <v>20431.583300000002</v>
      </c>
      <c r="L220" s="1675">
        <v>127432.49710000001</v>
      </c>
      <c r="M220" s="430">
        <v>7713.41</v>
      </c>
      <c r="N220" s="61">
        <v>1831.05</v>
      </c>
      <c r="O220" s="525">
        <f t="shared" si="15"/>
        <v>136976.9571</v>
      </c>
      <c r="P220" s="61">
        <v>2515.56</v>
      </c>
      <c r="Q220" s="61">
        <v>35674.614099999999</v>
      </c>
      <c r="R220" s="61">
        <v>13769.4247</v>
      </c>
      <c r="S220" s="61">
        <v>3687.5565000000001</v>
      </c>
      <c r="T220" s="1675">
        <v>0</v>
      </c>
      <c r="U220" s="430">
        <v>20739.400000000001</v>
      </c>
      <c r="V220" s="526">
        <f t="shared" si="16"/>
        <v>76386.555299999993</v>
      </c>
    </row>
    <row r="221" spans="1:22">
      <c r="A221" s="85">
        <f t="shared" si="12"/>
        <v>2011.08</v>
      </c>
      <c r="B221" s="74">
        <v>502</v>
      </c>
      <c r="C221" s="61">
        <v>67</v>
      </c>
      <c r="D221" s="61">
        <v>5359.92</v>
      </c>
      <c r="E221" s="61">
        <v>775.87300000000005</v>
      </c>
      <c r="F221" s="573">
        <v>0</v>
      </c>
      <c r="G221" s="1365">
        <v>0</v>
      </c>
      <c r="H221" s="508">
        <f t="shared" si="13"/>
        <v>0</v>
      </c>
      <c r="I221" s="573">
        <v>6075.732</v>
      </c>
      <c r="J221" s="1531">
        <v>679.08699999999999</v>
      </c>
      <c r="K221" s="637">
        <f t="shared" si="17"/>
        <v>6754.8189999999995</v>
      </c>
      <c r="L221" s="1675">
        <v>130455.74619999999</v>
      </c>
      <c r="M221" s="430">
        <v>8099.8492999999999</v>
      </c>
      <c r="N221" s="61">
        <v>1890.4</v>
      </c>
      <c r="O221" s="525">
        <f t="shared" si="15"/>
        <v>140445.99549999999</v>
      </c>
      <c r="P221" s="61">
        <v>2190</v>
      </c>
      <c r="Q221" s="61">
        <v>36310.565900000001</v>
      </c>
      <c r="R221" s="61">
        <v>13602.727500000001</v>
      </c>
      <c r="S221" s="61">
        <v>4003.0072</v>
      </c>
      <c r="T221" s="1675">
        <v>0</v>
      </c>
      <c r="U221" s="430">
        <v>21238.5</v>
      </c>
      <c r="V221" s="526">
        <f t="shared" si="16"/>
        <v>77344.800600000002</v>
      </c>
    </row>
    <row r="222" spans="1:22">
      <c r="A222" s="85">
        <f t="shared" si="12"/>
        <v>2011.09</v>
      </c>
      <c r="B222" s="74">
        <v>717</v>
      </c>
      <c r="C222" s="61">
        <v>79</v>
      </c>
      <c r="D222" s="61">
        <v>9535.06</v>
      </c>
      <c r="E222" s="61">
        <v>293.78700000000003</v>
      </c>
      <c r="F222" s="573">
        <v>0</v>
      </c>
      <c r="G222" s="1365">
        <v>0</v>
      </c>
      <c r="H222" s="508">
        <f t="shared" si="13"/>
        <v>0</v>
      </c>
      <c r="I222" s="573">
        <v>6956.6509999999998</v>
      </c>
      <c r="J222" s="1531">
        <v>0</v>
      </c>
      <c r="K222" s="637">
        <f t="shared" si="17"/>
        <v>6956.6509999999998</v>
      </c>
      <c r="L222" s="1675">
        <v>129622.68340000001</v>
      </c>
      <c r="M222" s="430">
        <v>9164.8631000000005</v>
      </c>
      <c r="N222" s="61">
        <v>2015.84</v>
      </c>
      <c r="O222" s="525">
        <f t="shared" si="15"/>
        <v>140803.38649999999</v>
      </c>
      <c r="P222" s="61">
        <v>2603</v>
      </c>
      <c r="Q222" s="61">
        <v>36118.3439</v>
      </c>
      <c r="R222" s="61">
        <v>13149.9766</v>
      </c>
      <c r="S222" s="61">
        <v>3688.8462</v>
      </c>
      <c r="T222" s="1675">
        <v>0</v>
      </c>
      <c r="U222" s="430">
        <v>21012.400000000001</v>
      </c>
      <c r="V222" s="526">
        <f t="shared" si="16"/>
        <v>76572.566699999996</v>
      </c>
    </row>
    <row r="223" spans="1:22">
      <c r="A223" s="85">
        <f t="shared" si="12"/>
        <v>2011.1</v>
      </c>
      <c r="B223" s="74">
        <v>921</v>
      </c>
      <c r="C223" s="61">
        <v>98</v>
      </c>
      <c r="D223" s="61">
        <v>8745.58</v>
      </c>
      <c r="E223" s="61">
        <v>340.18599999999998</v>
      </c>
      <c r="F223" s="573">
        <v>0</v>
      </c>
      <c r="G223" s="1365">
        <v>0</v>
      </c>
      <c r="H223" s="508">
        <f t="shared" si="13"/>
        <v>0</v>
      </c>
      <c r="I223" s="573">
        <v>25159.219000000001</v>
      </c>
      <c r="J223" s="1531">
        <v>0</v>
      </c>
      <c r="K223" s="637">
        <f t="shared" si="17"/>
        <v>25159.219000000001</v>
      </c>
      <c r="L223" s="1675">
        <v>122345.698</v>
      </c>
      <c r="M223" s="430">
        <v>7545.3191999999999</v>
      </c>
      <c r="N223" s="61">
        <v>2622.98</v>
      </c>
      <c r="O223" s="525">
        <f t="shared" si="15"/>
        <v>132513.99720000001</v>
      </c>
      <c r="P223" s="61">
        <v>2925.52</v>
      </c>
      <c r="Q223" s="61">
        <v>35249.753600000004</v>
      </c>
      <c r="R223" s="61">
        <v>13867.3343</v>
      </c>
      <c r="S223" s="61">
        <v>3855.3998000000001</v>
      </c>
      <c r="T223" s="1675">
        <v>0</v>
      </c>
      <c r="U223" s="430">
        <v>21043</v>
      </c>
      <c r="V223" s="526">
        <f t="shared" si="16"/>
        <v>76941.007700000002</v>
      </c>
    </row>
    <row r="224" spans="1:22">
      <c r="A224" s="85">
        <f t="shared" si="12"/>
        <v>2011.11</v>
      </c>
      <c r="B224" s="74">
        <v>747</v>
      </c>
      <c r="C224" s="61">
        <v>96</v>
      </c>
      <c r="D224" s="61">
        <v>8954.48</v>
      </c>
      <c r="E224" s="61">
        <v>296.92200000000003</v>
      </c>
      <c r="F224" s="573">
        <v>0</v>
      </c>
      <c r="G224" s="1365">
        <v>0</v>
      </c>
      <c r="H224" s="508">
        <f t="shared" si="13"/>
        <v>0</v>
      </c>
      <c r="I224" s="573">
        <v>14750.941999999999</v>
      </c>
      <c r="J224" s="1531">
        <v>0</v>
      </c>
      <c r="K224" s="637">
        <f t="shared" si="17"/>
        <v>14750.941999999999</v>
      </c>
      <c r="L224" s="1675">
        <v>127985.05320000001</v>
      </c>
      <c r="M224" s="430">
        <v>6820.9295000000002</v>
      </c>
      <c r="N224" s="61">
        <v>3192.33</v>
      </c>
      <c r="O224" s="525">
        <f t="shared" si="15"/>
        <v>137998.31270000001</v>
      </c>
      <c r="P224" s="61">
        <v>2969</v>
      </c>
      <c r="Q224" s="61">
        <v>35857.789900000003</v>
      </c>
      <c r="R224" s="61">
        <v>13550.921899999999</v>
      </c>
      <c r="S224" s="61">
        <v>3617.0763999999999</v>
      </c>
      <c r="T224" s="1675">
        <v>0</v>
      </c>
      <c r="U224" s="430">
        <v>20685.5</v>
      </c>
      <c r="V224" s="526">
        <f t="shared" si="16"/>
        <v>76680.28820000001</v>
      </c>
    </row>
    <row r="225" spans="1:22">
      <c r="A225" s="85">
        <f t="shared" si="12"/>
        <v>2011.12</v>
      </c>
      <c r="B225" s="74">
        <v>809</v>
      </c>
      <c r="C225" s="61">
        <v>88</v>
      </c>
      <c r="D225" s="61">
        <v>7452.63</v>
      </c>
      <c r="E225" s="61">
        <v>267.65100000000001</v>
      </c>
      <c r="F225" s="573">
        <v>0</v>
      </c>
      <c r="G225" s="1365">
        <v>0</v>
      </c>
      <c r="H225" s="508">
        <f t="shared" si="13"/>
        <v>0</v>
      </c>
      <c r="I225" s="573">
        <v>14402.795</v>
      </c>
      <c r="J225" s="1531">
        <v>0</v>
      </c>
      <c r="K225" s="637">
        <f t="shared" si="17"/>
        <v>14402.795</v>
      </c>
      <c r="L225" s="1675">
        <v>125601.6161</v>
      </c>
      <c r="M225" s="430">
        <v>10820.499399999999</v>
      </c>
      <c r="N225" s="61">
        <v>2968.07</v>
      </c>
      <c r="O225" s="525">
        <f t="shared" si="15"/>
        <v>139390.18549999999</v>
      </c>
      <c r="P225" s="61">
        <v>2255.0100000000002</v>
      </c>
      <c r="Q225" s="61">
        <v>41824.187400000003</v>
      </c>
      <c r="R225" s="61">
        <v>15030.2618</v>
      </c>
      <c r="S225" s="61">
        <v>4167.3954999999996</v>
      </c>
      <c r="T225" s="1675">
        <v>0</v>
      </c>
      <c r="U225" s="430">
        <v>21351.1</v>
      </c>
      <c r="V225" s="526">
        <f t="shared" si="16"/>
        <v>84627.954700000002</v>
      </c>
    </row>
    <row r="226" spans="1:22">
      <c r="A226" s="85">
        <f t="shared" si="12"/>
        <v>2012.01</v>
      </c>
      <c r="B226" s="74">
        <v>1144</v>
      </c>
      <c r="C226" s="61">
        <v>85</v>
      </c>
      <c r="D226" s="61">
        <v>6647.32</v>
      </c>
      <c r="E226" s="61">
        <v>130.62200000000001</v>
      </c>
      <c r="F226" s="573">
        <v>0</v>
      </c>
      <c r="G226" s="1365">
        <v>0</v>
      </c>
      <c r="H226" s="508">
        <f t="shared" si="13"/>
        <v>0</v>
      </c>
      <c r="I226" s="573">
        <v>15042.078</v>
      </c>
      <c r="J226" s="1531">
        <v>0</v>
      </c>
      <c r="K226" s="637">
        <f t="shared" si="17"/>
        <v>15042.078</v>
      </c>
      <c r="L226" s="1675">
        <v>113913.6719</v>
      </c>
      <c r="M226" s="430">
        <v>6941.8059999999996</v>
      </c>
      <c r="N226" s="61">
        <v>1598.9</v>
      </c>
      <c r="O226" s="525">
        <f t="shared" si="15"/>
        <v>122454.37789999999</v>
      </c>
      <c r="P226" s="61">
        <v>2259.1799999999998</v>
      </c>
      <c r="Q226" s="61">
        <v>40303.052299999996</v>
      </c>
      <c r="R226" s="61">
        <v>13659.3727</v>
      </c>
      <c r="S226" s="61">
        <v>4236.0039999999999</v>
      </c>
      <c r="T226" s="1675">
        <v>0</v>
      </c>
      <c r="U226" s="430">
        <v>20840.099999999999</v>
      </c>
      <c r="V226" s="526">
        <f t="shared" si="16"/>
        <v>81297.709000000003</v>
      </c>
    </row>
    <row r="227" spans="1:22">
      <c r="A227" s="85">
        <f t="shared" si="12"/>
        <v>2012.02</v>
      </c>
      <c r="B227" s="74">
        <v>749</v>
      </c>
      <c r="C227" s="61">
        <v>75</v>
      </c>
      <c r="D227" s="61">
        <v>5911.6509999999998</v>
      </c>
      <c r="E227" s="61">
        <v>189.358</v>
      </c>
      <c r="F227" s="573">
        <v>0</v>
      </c>
      <c r="G227" s="1365">
        <v>0</v>
      </c>
      <c r="H227" s="508">
        <f t="shared" si="13"/>
        <v>0</v>
      </c>
      <c r="I227" s="573">
        <v>13058.502200000003</v>
      </c>
      <c r="J227" s="1531">
        <v>0</v>
      </c>
      <c r="K227" s="637">
        <f t="shared" si="17"/>
        <v>13058.502200000003</v>
      </c>
      <c r="L227" s="1675">
        <v>100970.74160000001</v>
      </c>
      <c r="M227" s="430">
        <v>5235.5612000000001</v>
      </c>
      <c r="N227" s="61">
        <v>1721.3</v>
      </c>
      <c r="O227" s="525">
        <f t="shared" si="15"/>
        <v>107927.60280000001</v>
      </c>
      <c r="P227" s="61">
        <v>1678</v>
      </c>
      <c r="Q227" s="61">
        <v>37406.2549</v>
      </c>
      <c r="R227" s="61">
        <v>13628.275399999999</v>
      </c>
      <c r="S227" s="61">
        <v>3923.6545000000001</v>
      </c>
      <c r="T227" s="1675">
        <v>0</v>
      </c>
      <c r="U227" s="430">
        <v>21124.3</v>
      </c>
      <c r="V227" s="526">
        <f t="shared" si="16"/>
        <v>77760.484799999991</v>
      </c>
    </row>
    <row r="228" spans="1:22">
      <c r="A228" s="85">
        <f t="shared" si="12"/>
        <v>2012.03</v>
      </c>
      <c r="B228" s="74">
        <v>1282</v>
      </c>
      <c r="C228" s="61">
        <v>99</v>
      </c>
      <c r="D228" s="61">
        <v>8333.17</v>
      </c>
      <c r="E228" s="61">
        <v>226.73099999999999</v>
      </c>
      <c r="F228" s="573">
        <v>0</v>
      </c>
      <c r="G228" s="1365">
        <v>0</v>
      </c>
      <c r="H228" s="508">
        <f t="shared" si="13"/>
        <v>0</v>
      </c>
      <c r="I228" s="573">
        <v>2511.3449999999998</v>
      </c>
      <c r="J228" s="1531">
        <v>0</v>
      </c>
      <c r="K228" s="637">
        <f t="shared" si="17"/>
        <v>2511.3449999999998</v>
      </c>
      <c r="L228" s="1675">
        <v>123176.28030000001</v>
      </c>
      <c r="M228" s="430">
        <v>12605.564200000001</v>
      </c>
      <c r="N228" s="61">
        <v>1538.6</v>
      </c>
      <c r="O228" s="525">
        <f t="shared" si="15"/>
        <v>137320.44450000001</v>
      </c>
      <c r="P228" s="61">
        <v>2001.2</v>
      </c>
      <c r="Q228" s="61">
        <v>41134.136299999998</v>
      </c>
      <c r="R228" s="61">
        <v>13479.423500000001</v>
      </c>
      <c r="S228" s="61">
        <v>4206.4355000000005</v>
      </c>
      <c r="T228" s="1675">
        <v>0</v>
      </c>
      <c r="U228" s="430">
        <v>20972.1</v>
      </c>
      <c r="V228" s="526">
        <f t="shared" si="16"/>
        <v>81793.295299999998</v>
      </c>
    </row>
    <row r="229" spans="1:22">
      <c r="A229" s="85">
        <f t="shared" si="12"/>
        <v>2012.04</v>
      </c>
      <c r="B229" s="74">
        <v>665</v>
      </c>
      <c r="C229" s="61">
        <v>62</v>
      </c>
      <c r="D229" s="61">
        <v>5563.1100000000006</v>
      </c>
      <c r="E229" s="61">
        <v>291</v>
      </c>
      <c r="F229" s="573">
        <v>0</v>
      </c>
      <c r="G229" s="1365">
        <v>0</v>
      </c>
      <c r="H229" s="508">
        <f t="shared" si="13"/>
        <v>0</v>
      </c>
      <c r="I229" s="573">
        <v>5221.0169999999998</v>
      </c>
      <c r="J229" s="1531">
        <v>5143.5150000000003</v>
      </c>
      <c r="K229" s="637">
        <f t="shared" si="17"/>
        <v>10364.531999999999</v>
      </c>
      <c r="L229" s="1675">
        <v>131103.48980000001</v>
      </c>
      <c r="M229" s="430">
        <v>8983.531500000001</v>
      </c>
      <c r="N229" s="61">
        <v>2016.9</v>
      </c>
      <c r="O229" s="525">
        <f t="shared" si="15"/>
        <v>142103.92130000002</v>
      </c>
      <c r="P229" s="61">
        <v>2101</v>
      </c>
      <c r="Q229" s="61">
        <v>36370.155700000003</v>
      </c>
      <c r="R229" s="61">
        <v>12959.845499999999</v>
      </c>
      <c r="S229" s="61">
        <v>3912.4785999999999</v>
      </c>
      <c r="T229" s="1675">
        <v>0</v>
      </c>
      <c r="U229" s="430">
        <v>20998.799999999999</v>
      </c>
      <c r="V229" s="526">
        <f t="shared" si="16"/>
        <v>76342.279800000004</v>
      </c>
    </row>
    <row r="230" spans="1:22">
      <c r="A230" s="85">
        <f t="shared" si="12"/>
        <v>2012.05</v>
      </c>
      <c r="B230" s="74">
        <v>702</v>
      </c>
      <c r="C230" s="61">
        <v>65</v>
      </c>
      <c r="D230" s="61">
        <v>4791.66</v>
      </c>
      <c r="E230" s="61">
        <v>493.85699999999997</v>
      </c>
      <c r="F230" s="573">
        <v>0</v>
      </c>
      <c r="G230" s="1365">
        <v>0</v>
      </c>
      <c r="H230" s="508">
        <f t="shared" si="13"/>
        <v>0</v>
      </c>
      <c r="I230" s="573">
        <v>19680.263999999999</v>
      </c>
      <c r="J230" s="1531">
        <v>54.58</v>
      </c>
      <c r="K230" s="637">
        <f t="shared" si="17"/>
        <v>19734.844000000001</v>
      </c>
      <c r="L230" s="1675">
        <v>124712.014</v>
      </c>
      <c r="M230" s="430">
        <v>5486.9056</v>
      </c>
      <c r="N230" s="61">
        <v>1189.0999999999999</v>
      </c>
      <c r="O230" s="525">
        <f t="shared" si="15"/>
        <v>131388.0196</v>
      </c>
      <c r="P230" s="61">
        <v>1971</v>
      </c>
      <c r="Q230" s="61">
        <v>38481.029399999999</v>
      </c>
      <c r="R230" s="61">
        <v>12745.9764</v>
      </c>
      <c r="S230" s="61">
        <v>4093.1352999999999</v>
      </c>
      <c r="T230" s="1675">
        <v>0</v>
      </c>
      <c r="U230" s="430">
        <v>21102.3</v>
      </c>
      <c r="V230" s="526">
        <f t="shared" si="16"/>
        <v>78393.441099999996</v>
      </c>
    </row>
    <row r="231" spans="1:22">
      <c r="A231" s="85">
        <f t="shared" si="12"/>
        <v>2012.06</v>
      </c>
      <c r="B231" s="74">
        <v>771</v>
      </c>
      <c r="C231" s="61">
        <v>61</v>
      </c>
      <c r="D231" s="61">
        <v>3425.12</v>
      </c>
      <c r="E231" s="61">
        <v>585.21900000000005</v>
      </c>
      <c r="F231" s="573">
        <v>0</v>
      </c>
      <c r="G231" s="1365">
        <v>0</v>
      </c>
      <c r="H231" s="508">
        <f t="shared" si="13"/>
        <v>0</v>
      </c>
      <c r="I231" s="573">
        <v>33116.129000000001</v>
      </c>
      <c r="J231" s="1531">
        <v>0</v>
      </c>
      <c r="K231" s="637">
        <f t="shared" si="17"/>
        <v>33116.129000000001</v>
      </c>
      <c r="L231" s="1675">
        <v>120631.43919999999</v>
      </c>
      <c r="M231" s="430">
        <v>5627.6724999999997</v>
      </c>
      <c r="N231" s="61">
        <v>1257.3</v>
      </c>
      <c r="O231" s="525">
        <f t="shared" si="15"/>
        <v>127516.4117</v>
      </c>
      <c r="P231" s="61">
        <v>2453.21</v>
      </c>
      <c r="Q231" s="61">
        <v>38169.984799999998</v>
      </c>
      <c r="R231" s="61">
        <v>13110.3333</v>
      </c>
      <c r="S231" s="61">
        <v>3972.9506999999999</v>
      </c>
      <c r="T231" s="1675">
        <v>0</v>
      </c>
      <c r="U231" s="430">
        <v>20957.900000000001</v>
      </c>
      <c r="V231" s="526">
        <f t="shared" si="16"/>
        <v>78664.378800000006</v>
      </c>
    </row>
    <row r="232" spans="1:22">
      <c r="A232" s="85">
        <f t="shared" si="12"/>
        <v>2012.07</v>
      </c>
      <c r="B232" s="74">
        <v>1064</v>
      </c>
      <c r="C232" s="61">
        <v>68</v>
      </c>
      <c r="D232" s="61">
        <v>4732.38</v>
      </c>
      <c r="E232" s="61">
        <v>741.32500000000005</v>
      </c>
      <c r="F232" s="573">
        <v>0</v>
      </c>
      <c r="G232" s="1365">
        <v>0</v>
      </c>
      <c r="H232" s="508">
        <f t="shared" si="13"/>
        <v>0</v>
      </c>
      <c r="I232" s="573">
        <v>40067.269</v>
      </c>
      <c r="J232" s="1531">
        <v>0</v>
      </c>
      <c r="K232" s="637">
        <f t="shared" si="17"/>
        <v>40067.269</v>
      </c>
      <c r="L232" s="1675">
        <v>126003.99649999999</v>
      </c>
      <c r="M232" s="430">
        <v>6469.4333000000006</v>
      </c>
      <c r="N232" s="61">
        <v>890.3</v>
      </c>
      <c r="O232" s="525">
        <f t="shared" si="15"/>
        <v>133363.72979999997</v>
      </c>
      <c r="P232" s="61">
        <v>2574</v>
      </c>
      <c r="Q232" s="61">
        <v>41253.826699999998</v>
      </c>
      <c r="R232" s="61">
        <v>14433.9308</v>
      </c>
      <c r="S232" s="61">
        <v>4050.2882</v>
      </c>
      <c r="T232" s="1675">
        <v>0</v>
      </c>
      <c r="U232" s="430">
        <v>19600.099999999999</v>
      </c>
      <c r="V232" s="526">
        <f t="shared" si="16"/>
        <v>81912.145699999994</v>
      </c>
    </row>
    <row r="233" spans="1:22">
      <c r="A233" s="85">
        <f t="shared" si="12"/>
        <v>2012.08</v>
      </c>
      <c r="B233" s="74">
        <v>820</v>
      </c>
      <c r="C233" s="61">
        <v>50</v>
      </c>
      <c r="D233" s="61">
        <v>3748.7</v>
      </c>
      <c r="E233" s="61">
        <v>359</v>
      </c>
      <c r="F233" s="573">
        <v>0</v>
      </c>
      <c r="G233" s="1365">
        <v>0</v>
      </c>
      <c r="H233" s="508">
        <f t="shared" si="13"/>
        <v>0</v>
      </c>
      <c r="I233" s="573">
        <v>34365.108</v>
      </c>
      <c r="J233" s="1531">
        <v>0</v>
      </c>
      <c r="K233" s="637">
        <f t="shared" si="17"/>
        <v>34365.108</v>
      </c>
      <c r="L233" s="1675">
        <v>119829.7037</v>
      </c>
      <c r="M233" s="430">
        <v>5744.5185000000001</v>
      </c>
      <c r="N233" s="61">
        <v>2254.1999999999998</v>
      </c>
      <c r="O233" s="525">
        <f t="shared" si="15"/>
        <v>127828.4222</v>
      </c>
      <c r="P233" s="61">
        <v>2193</v>
      </c>
      <c r="Q233" s="61">
        <v>40512.922099999996</v>
      </c>
      <c r="R233" s="61">
        <v>13813.5093</v>
      </c>
      <c r="S233" s="61">
        <v>3598.4758000000002</v>
      </c>
      <c r="T233" s="1675">
        <v>66</v>
      </c>
      <c r="U233" s="430">
        <v>22621.200000000001</v>
      </c>
      <c r="V233" s="526">
        <f t="shared" si="16"/>
        <v>82805.107199999999</v>
      </c>
    </row>
    <row r="234" spans="1:22">
      <c r="A234" s="85">
        <f t="shared" si="12"/>
        <v>2012.09</v>
      </c>
      <c r="B234" s="74">
        <v>891</v>
      </c>
      <c r="C234" s="61">
        <v>67</v>
      </c>
      <c r="D234" s="61">
        <v>3104.34</v>
      </c>
      <c r="E234" s="61">
        <v>234.88200000000001</v>
      </c>
      <c r="F234" s="573">
        <v>18</v>
      </c>
      <c r="G234" s="1365">
        <v>0</v>
      </c>
      <c r="H234" s="508">
        <f t="shared" si="13"/>
        <v>18</v>
      </c>
      <c r="I234" s="573">
        <v>6990.45</v>
      </c>
      <c r="J234" s="1531">
        <v>0</v>
      </c>
      <c r="K234" s="637">
        <f t="shared" si="17"/>
        <v>6990.45</v>
      </c>
      <c r="L234" s="1675">
        <v>110577.1335</v>
      </c>
      <c r="M234" s="430">
        <v>5505.5272000000004</v>
      </c>
      <c r="N234" s="61">
        <v>156.4</v>
      </c>
      <c r="O234" s="525">
        <f t="shared" si="15"/>
        <v>116239.06069999999</v>
      </c>
      <c r="P234" s="61">
        <v>1740</v>
      </c>
      <c r="Q234" s="61">
        <v>39378.091500000002</v>
      </c>
      <c r="R234" s="61">
        <v>12936.747100000001</v>
      </c>
      <c r="S234" s="61">
        <v>2205.0151000000001</v>
      </c>
      <c r="T234" s="1675">
        <v>46</v>
      </c>
      <c r="U234" s="430">
        <v>20767.599999999999</v>
      </c>
      <c r="V234" s="526">
        <f t="shared" si="16"/>
        <v>77073.453699999998</v>
      </c>
    </row>
    <row r="235" spans="1:22">
      <c r="A235" s="85">
        <f t="shared" si="12"/>
        <v>2012.1</v>
      </c>
      <c r="B235" s="74">
        <v>1030</v>
      </c>
      <c r="C235" s="61">
        <v>121</v>
      </c>
      <c r="D235" s="61">
        <v>2441.3000000000002</v>
      </c>
      <c r="E235" s="61">
        <v>260.86</v>
      </c>
      <c r="F235" s="573">
        <v>0</v>
      </c>
      <c r="G235" s="1365">
        <v>0</v>
      </c>
      <c r="H235" s="508">
        <f t="shared" si="13"/>
        <v>0</v>
      </c>
      <c r="I235" s="573">
        <v>9903.92</v>
      </c>
      <c r="J235" s="1531">
        <v>0</v>
      </c>
      <c r="K235" s="637">
        <f t="shared" si="17"/>
        <v>9903.92</v>
      </c>
      <c r="L235" s="1675">
        <v>113940.8168</v>
      </c>
      <c r="M235" s="430">
        <v>17523.2045</v>
      </c>
      <c r="N235" s="61">
        <v>29.9</v>
      </c>
      <c r="O235" s="525">
        <f t="shared" si="15"/>
        <v>131493.92129999999</v>
      </c>
      <c r="P235" s="61">
        <v>1783</v>
      </c>
      <c r="Q235" s="61">
        <v>40608.739499999996</v>
      </c>
      <c r="R235" s="61">
        <v>14390.519</v>
      </c>
      <c r="S235" s="61">
        <v>4364.2334000000001</v>
      </c>
      <c r="T235" s="1675">
        <v>64</v>
      </c>
      <c r="U235" s="430">
        <v>17160.400000000001</v>
      </c>
      <c r="V235" s="526">
        <f t="shared" si="16"/>
        <v>78370.891899999988</v>
      </c>
    </row>
    <row r="236" spans="1:22">
      <c r="A236" s="85">
        <f t="shared" si="12"/>
        <v>2012.11</v>
      </c>
      <c r="B236" s="74">
        <v>895</v>
      </c>
      <c r="C236" s="61">
        <v>75</v>
      </c>
      <c r="D236" s="61">
        <v>3274.06</v>
      </c>
      <c r="E236" s="61">
        <v>202.32900000000001</v>
      </c>
      <c r="F236" s="573">
        <v>0</v>
      </c>
      <c r="G236" s="1365">
        <v>0</v>
      </c>
      <c r="H236" s="508">
        <f t="shared" si="13"/>
        <v>0</v>
      </c>
      <c r="I236" s="573">
        <v>1520.252</v>
      </c>
      <c r="J236" s="1531">
        <v>0</v>
      </c>
      <c r="K236" s="637">
        <f t="shared" si="17"/>
        <v>1520.252</v>
      </c>
      <c r="L236" s="1675">
        <v>123072.79310000001</v>
      </c>
      <c r="M236" s="430">
        <v>6183.7187999999996</v>
      </c>
      <c r="N236" s="61">
        <v>1893.9</v>
      </c>
      <c r="O236" s="525">
        <f t="shared" si="15"/>
        <v>131150.41190000001</v>
      </c>
      <c r="P236" s="61">
        <v>1490</v>
      </c>
      <c r="Q236" s="61">
        <v>40044.734199999999</v>
      </c>
      <c r="R236" s="61">
        <v>13756.975699999999</v>
      </c>
      <c r="S236" s="61">
        <v>3872.2435999999998</v>
      </c>
      <c r="T236" s="1675">
        <v>96</v>
      </c>
      <c r="U236" s="430">
        <v>24507.7</v>
      </c>
      <c r="V236" s="526">
        <f t="shared" si="16"/>
        <v>83767.6535</v>
      </c>
    </row>
    <row r="237" spans="1:22">
      <c r="A237" s="85">
        <f t="shared" si="12"/>
        <v>2012.12</v>
      </c>
      <c r="B237" s="74">
        <v>1185</v>
      </c>
      <c r="C237" s="61">
        <v>54</v>
      </c>
      <c r="D237" s="61">
        <v>1720.28</v>
      </c>
      <c r="E237" s="61">
        <v>182.35499999999999</v>
      </c>
      <c r="F237" s="573">
        <v>0</v>
      </c>
      <c r="G237" s="1365">
        <v>0</v>
      </c>
      <c r="H237" s="508">
        <f t="shared" si="13"/>
        <v>0</v>
      </c>
      <c r="I237" s="573">
        <v>12449.456</v>
      </c>
      <c r="J237" s="1531">
        <v>0</v>
      </c>
      <c r="K237" s="637">
        <f t="shared" si="17"/>
        <v>12449.456</v>
      </c>
      <c r="L237" s="1675">
        <v>111847.2838</v>
      </c>
      <c r="M237" s="430">
        <v>4526.3134</v>
      </c>
      <c r="N237" s="61">
        <v>2239.3000000000002</v>
      </c>
      <c r="O237" s="525">
        <f t="shared" si="15"/>
        <v>118612.89720000001</v>
      </c>
      <c r="P237" s="61">
        <v>1877</v>
      </c>
      <c r="Q237" s="61">
        <v>43847.686799999996</v>
      </c>
      <c r="R237" s="61">
        <v>15198.693299999999</v>
      </c>
      <c r="S237" s="61">
        <v>3606.8105</v>
      </c>
      <c r="T237" s="1675">
        <v>54</v>
      </c>
      <c r="U237" s="430">
        <v>21337.200000000001</v>
      </c>
      <c r="V237" s="526">
        <f t="shared" si="16"/>
        <v>85921.390599999999</v>
      </c>
    </row>
    <row r="238" spans="1:22">
      <c r="A238" s="85">
        <f t="shared" si="12"/>
        <v>2013.01</v>
      </c>
      <c r="B238" s="74">
        <v>433</v>
      </c>
      <c r="C238" s="61">
        <v>95</v>
      </c>
      <c r="D238" s="61">
        <v>3179.8999999999996</v>
      </c>
      <c r="E238" s="61">
        <v>169.7</v>
      </c>
      <c r="F238" s="573">
        <v>72</v>
      </c>
      <c r="G238" s="1365">
        <v>0</v>
      </c>
      <c r="H238" s="508">
        <f t="shared" si="13"/>
        <v>72</v>
      </c>
      <c r="I238" s="573">
        <v>1775</v>
      </c>
      <c r="J238" s="1531">
        <v>0</v>
      </c>
      <c r="K238" s="637">
        <f t="shared" si="17"/>
        <v>1775</v>
      </c>
      <c r="L238" s="1675">
        <v>116329.7</v>
      </c>
      <c r="M238" s="430">
        <v>2314</v>
      </c>
      <c r="N238" s="61">
        <v>49.1</v>
      </c>
      <c r="O238" s="525">
        <f t="shared" si="15"/>
        <v>118692.8</v>
      </c>
      <c r="P238" s="61">
        <v>1863</v>
      </c>
      <c r="Q238" s="61">
        <v>44046.2477</v>
      </c>
      <c r="R238" s="61">
        <v>15156.8295</v>
      </c>
      <c r="S238" s="61">
        <v>2247</v>
      </c>
      <c r="T238" s="1675">
        <v>37</v>
      </c>
      <c r="U238" s="430">
        <v>20806.2</v>
      </c>
      <c r="V238" s="526">
        <f t="shared" si="16"/>
        <v>84156.277199999997</v>
      </c>
    </row>
    <row r="239" spans="1:22">
      <c r="A239" s="85">
        <f t="shared" si="12"/>
        <v>2013.02</v>
      </c>
      <c r="B239" s="74">
        <v>408</v>
      </c>
      <c r="C239" s="61">
        <v>92</v>
      </c>
      <c r="D239" s="61">
        <v>2560.3200000000002</v>
      </c>
      <c r="E239" s="61">
        <v>153.99599999999998</v>
      </c>
      <c r="F239" s="573">
        <v>152</v>
      </c>
      <c r="G239" s="1365">
        <v>0</v>
      </c>
      <c r="H239" s="508">
        <f t="shared" si="13"/>
        <v>152</v>
      </c>
      <c r="I239" s="573">
        <v>5581.9989999999998</v>
      </c>
      <c r="J239" s="1531">
        <v>0</v>
      </c>
      <c r="K239" s="637">
        <f t="shared" si="17"/>
        <v>5581.9989999999998</v>
      </c>
      <c r="L239" s="1675">
        <v>91301.712400000004</v>
      </c>
      <c r="M239" s="430">
        <v>1659.3903</v>
      </c>
      <c r="N239" s="61">
        <v>62.3</v>
      </c>
      <c r="O239" s="525">
        <f t="shared" si="15"/>
        <v>93023.402700000006</v>
      </c>
      <c r="P239" s="61">
        <v>561</v>
      </c>
      <c r="Q239" s="61">
        <v>37850.146200000003</v>
      </c>
      <c r="R239" s="61">
        <v>13222.6116</v>
      </c>
      <c r="S239" s="61">
        <v>542.04340000000002</v>
      </c>
      <c r="T239" s="1675">
        <v>9</v>
      </c>
      <c r="U239" s="430">
        <v>21016.9</v>
      </c>
      <c r="V239" s="526">
        <f t="shared" si="16"/>
        <v>73201.70120000001</v>
      </c>
    </row>
    <row r="240" spans="1:22">
      <c r="A240" s="85">
        <f t="shared" si="12"/>
        <v>2013.03</v>
      </c>
      <c r="B240" s="74">
        <v>482</v>
      </c>
      <c r="C240" s="61">
        <v>80</v>
      </c>
      <c r="D240" s="61">
        <v>3066.94</v>
      </c>
      <c r="E240" s="61">
        <v>182.744</v>
      </c>
      <c r="F240" s="573">
        <v>0</v>
      </c>
      <c r="G240" s="1365">
        <v>0</v>
      </c>
      <c r="H240" s="508">
        <f t="shared" si="13"/>
        <v>0</v>
      </c>
      <c r="I240" s="573">
        <v>12644.162</v>
      </c>
      <c r="J240" s="1531">
        <v>0</v>
      </c>
      <c r="K240" s="637">
        <f t="shared" si="17"/>
        <v>12644.162</v>
      </c>
      <c r="L240" s="1675">
        <v>113437.228</v>
      </c>
      <c r="M240" s="430">
        <v>2625.6961999999999</v>
      </c>
      <c r="N240" s="61">
        <v>203.5</v>
      </c>
      <c r="O240" s="525">
        <f t="shared" si="15"/>
        <v>116266.42420000001</v>
      </c>
      <c r="P240" s="61">
        <v>268</v>
      </c>
      <c r="Q240" s="61">
        <v>40912.304300000003</v>
      </c>
      <c r="R240" s="61">
        <v>13836.5723</v>
      </c>
      <c r="S240" s="61">
        <v>496.65109999999999</v>
      </c>
      <c r="T240" s="1675">
        <v>67</v>
      </c>
      <c r="U240" s="430">
        <v>21159.9</v>
      </c>
      <c r="V240" s="526">
        <f t="shared" si="16"/>
        <v>76740.4277</v>
      </c>
    </row>
    <row r="241" spans="1:22">
      <c r="A241" s="85">
        <f t="shared" si="12"/>
        <v>2013.04</v>
      </c>
      <c r="B241" s="74">
        <v>472</v>
      </c>
      <c r="C241" s="61">
        <v>71</v>
      </c>
      <c r="D241" s="61">
        <v>3202.74</v>
      </c>
      <c r="E241" s="61">
        <v>611.66</v>
      </c>
      <c r="F241" s="573">
        <v>180</v>
      </c>
      <c r="G241" s="1365">
        <v>0</v>
      </c>
      <c r="H241" s="508">
        <f t="shared" si="13"/>
        <v>180</v>
      </c>
      <c r="I241" s="573">
        <v>14876.671</v>
      </c>
      <c r="J241" s="1531">
        <v>0</v>
      </c>
      <c r="K241" s="637">
        <f t="shared" si="17"/>
        <v>14876.671</v>
      </c>
      <c r="L241" s="1675">
        <v>130214.17509999999</v>
      </c>
      <c r="M241" s="430">
        <v>1872.9347</v>
      </c>
      <c r="N241" s="61">
        <v>44.7</v>
      </c>
      <c r="O241" s="525">
        <f t="shared" si="15"/>
        <v>132131.80980000002</v>
      </c>
      <c r="P241" s="61">
        <v>308</v>
      </c>
      <c r="Q241" s="61">
        <v>37793.8416</v>
      </c>
      <c r="R241" s="61">
        <v>14088.7546</v>
      </c>
      <c r="S241" s="61">
        <v>493.37240000000003</v>
      </c>
      <c r="T241" s="1675">
        <v>62</v>
      </c>
      <c r="U241" s="430">
        <v>20996</v>
      </c>
      <c r="V241" s="526">
        <f t="shared" si="16"/>
        <v>73741.968599999993</v>
      </c>
    </row>
    <row r="242" spans="1:22">
      <c r="A242" s="85">
        <f t="shared" ref="A242:A306" si="18">A230+1</f>
        <v>2013.05</v>
      </c>
      <c r="B242" s="74">
        <v>466</v>
      </c>
      <c r="C242" s="61">
        <v>53</v>
      </c>
      <c r="D242" s="61">
        <v>4279.42</v>
      </c>
      <c r="E242" s="61">
        <v>388.02100000000002</v>
      </c>
      <c r="F242" s="573">
        <v>34</v>
      </c>
      <c r="G242" s="1365">
        <v>0</v>
      </c>
      <c r="H242" s="508">
        <f t="shared" si="13"/>
        <v>34</v>
      </c>
      <c r="I242" s="573">
        <v>15274.428</v>
      </c>
      <c r="J242" s="1531">
        <v>0</v>
      </c>
      <c r="K242" s="637">
        <f t="shared" si="17"/>
        <v>15274.428</v>
      </c>
      <c r="L242" s="1675">
        <v>128209.57500000001</v>
      </c>
      <c r="M242" s="430">
        <v>2625.1934999999999</v>
      </c>
      <c r="N242" s="61">
        <v>92.4</v>
      </c>
      <c r="O242" s="525">
        <f t="shared" si="15"/>
        <v>130927.1685</v>
      </c>
      <c r="P242" s="61">
        <v>411</v>
      </c>
      <c r="Q242" s="61">
        <v>41140.019800000002</v>
      </c>
      <c r="R242" s="61">
        <v>13933.4627</v>
      </c>
      <c r="S242" s="61">
        <v>735.4067</v>
      </c>
      <c r="T242" s="1675">
        <v>92</v>
      </c>
      <c r="U242" s="430">
        <v>20915.3</v>
      </c>
      <c r="V242" s="526">
        <f t="shared" si="16"/>
        <v>77227.189199999993</v>
      </c>
    </row>
    <row r="243" spans="1:22">
      <c r="A243" s="85">
        <f t="shared" si="18"/>
        <v>2013.06</v>
      </c>
      <c r="B243" s="74">
        <v>367</v>
      </c>
      <c r="C243" s="61">
        <v>57</v>
      </c>
      <c r="D243" s="61">
        <v>3260.09</v>
      </c>
      <c r="E243" s="61">
        <v>409.05200000000002</v>
      </c>
      <c r="F243" s="573">
        <v>0</v>
      </c>
      <c r="G243" s="1365">
        <v>0</v>
      </c>
      <c r="H243" s="508">
        <f t="shared" si="13"/>
        <v>0</v>
      </c>
      <c r="I243" s="573">
        <v>20537.303</v>
      </c>
      <c r="J243" s="1531">
        <v>0</v>
      </c>
      <c r="K243" s="637">
        <f t="shared" si="17"/>
        <v>20537.303</v>
      </c>
      <c r="L243" s="1675">
        <v>113571.2032</v>
      </c>
      <c r="M243" s="430">
        <v>2193.6803</v>
      </c>
      <c r="N243" s="61">
        <v>24.9</v>
      </c>
      <c r="O243" s="525">
        <f t="shared" si="15"/>
        <v>115789.78349999999</v>
      </c>
      <c r="P243" s="61">
        <v>654</v>
      </c>
      <c r="Q243" s="61">
        <v>38538.348899999997</v>
      </c>
      <c r="R243" s="61">
        <v>13722.6502</v>
      </c>
      <c r="S243" s="61">
        <v>630.68629999999996</v>
      </c>
      <c r="T243" s="1675">
        <v>105</v>
      </c>
      <c r="U243" s="430">
        <v>20315.400000000001</v>
      </c>
      <c r="V243" s="526">
        <f t="shared" si="16"/>
        <v>73966.085400000011</v>
      </c>
    </row>
    <row r="244" spans="1:22">
      <c r="A244" s="85">
        <f t="shared" si="18"/>
        <v>2013.07</v>
      </c>
      <c r="B244" s="74">
        <v>375</v>
      </c>
      <c r="C244" s="61">
        <v>59</v>
      </c>
      <c r="D244" s="61">
        <v>3974.74</v>
      </c>
      <c r="E244" s="61">
        <v>455.072</v>
      </c>
      <c r="F244" s="573">
        <v>0</v>
      </c>
      <c r="G244" s="1365">
        <v>0</v>
      </c>
      <c r="H244" s="508">
        <f t="shared" si="13"/>
        <v>0</v>
      </c>
      <c r="I244" s="573">
        <v>20434.709000000003</v>
      </c>
      <c r="J244" s="1531">
        <v>0</v>
      </c>
      <c r="K244" s="637">
        <f t="shared" si="17"/>
        <v>20434.709000000003</v>
      </c>
      <c r="L244" s="1675">
        <v>119756.2015</v>
      </c>
      <c r="M244" s="430">
        <v>2228.2903999999999</v>
      </c>
      <c r="N244" s="61">
        <v>128.69999999999999</v>
      </c>
      <c r="O244" s="525">
        <f t="shared" si="15"/>
        <v>122113.19189999999</v>
      </c>
      <c r="P244" s="61">
        <v>802</v>
      </c>
      <c r="Q244" s="61">
        <v>42897.880499999999</v>
      </c>
      <c r="R244" s="61">
        <v>14512.5537</v>
      </c>
      <c r="S244" s="61">
        <v>1437.4303</v>
      </c>
      <c r="T244" s="1675">
        <v>79</v>
      </c>
      <c r="U244" s="430">
        <v>19752.599999999999</v>
      </c>
      <c r="V244" s="526">
        <f t="shared" si="16"/>
        <v>79481.464500000002</v>
      </c>
    </row>
    <row r="245" spans="1:22">
      <c r="A245" s="85">
        <f t="shared" si="18"/>
        <v>2013.08</v>
      </c>
      <c r="B245" s="74">
        <v>505</v>
      </c>
      <c r="C245" s="61">
        <v>82</v>
      </c>
      <c r="D245" s="61">
        <v>3640.04</v>
      </c>
      <c r="E245" s="61">
        <v>290</v>
      </c>
      <c r="F245" s="573">
        <v>0</v>
      </c>
      <c r="G245" s="1365">
        <v>0</v>
      </c>
      <c r="H245" s="508">
        <f t="shared" si="13"/>
        <v>0</v>
      </c>
      <c r="I245" s="573">
        <v>11077.447</v>
      </c>
      <c r="J245" s="1531">
        <v>0</v>
      </c>
      <c r="K245" s="637">
        <f t="shared" si="17"/>
        <v>11077.447</v>
      </c>
      <c r="L245" s="1675">
        <v>117959.7111</v>
      </c>
      <c r="M245" s="430">
        <v>2137.1770999999999</v>
      </c>
      <c r="N245" s="61">
        <v>64.7</v>
      </c>
      <c r="O245" s="525">
        <f t="shared" si="15"/>
        <v>120161.5882</v>
      </c>
      <c r="P245" s="61">
        <v>774</v>
      </c>
      <c r="Q245" s="61">
        <v>41472.428</v>
      </c>
      <c r="R245" s="61">
        <v>14450.9192</v>
      </c>
      <c r="S245" s="61">
        <v>714.27670000000001</v>
      </c>
      <c r="T245" s="1675">
        <v>97</v>
      </c>
      <c r="U245" s="430">
        <v>20203</v>
      </c>
      <c r="V245" s="526">
        <f t="shared" si="16"/>
        <v>77711.623900000006</v>
      </c>
    </row>
    <row r="246" spans="1:22">
      <c r="A246" s="85">
        <f t="shared" si="18"/>
        <v>2013.09</v>
      </c>
      <c r="B246" s="74">
        <v>376</v>
      </c>
      <c r="C246" s="61">
        <v>45</v>
      </c>
      <c r="D246" s="61">
        <v>3643.48</v>
      </c>
      <c r="E246" s="61">
        <v>120.229</v>
      </c>
      <c r="F246" s="573">
        <v>0</v>
      </c>
      <c r="G246" s="1365">
        <v>0</v>
      </c>
      <c r="H246" s="508">
        <f t="shared" si="13"/>
        <v>0</v>
      </c>
      <c r="I246" s="573">
        <v>9129.8860000000004</v>
      </c>
      <c r="J246" s="1531">
        <v>0</v>
      </c>
      <c r="K246" s="637">
        <f t="shared" si="17"/>
        <v>9129.8860000000004</v>
      </c>
      <c r="L246" s="1675">
        <v>106468.16649999999</v>
      </c>
      <c r="M246" s="430">
        <v>2126.3177999999998</v>
      </c>
      <c r="N246" s="61">
        <v>0</v>
      </c>
      <c r="O246" s="525">
        <f t="shared" si="15"/>
        <v>108594.4843</v>
      </c>
      <c r="P246" s="61">
        <v>604</v>
      </c>
      <c r="Q246" s="61">
        <v>40296.768400000001</v>
      </c>
      <c r="R246" s="61">
        <v>13406.847399999999</v>
      </c>
      <c r="S246" s="61">
        <v>675.4769</v>
      </c>
      <c r="T246" s="1675">
        <v>99</v>
      </c>
      <c r="U246" s="430">
        <v>18984.400000000001</v>
      </c>
      <c r="V246" s="526">
        <f t="shared" si="16"/>
        <v>74066.492700000003</v>
      </c>
    </row>
    <row r="247" spans="1:22">
      <c r="A247" s="85">
        <f t="shared" si="18"/>
        <v>2013.1</v>
      </c>
      <c r="B247" s="74">
        <v>372</v>
      </c>
      <c r="C247" s="61">
        <v>44</v>
      </c>
      <c r="D247" s="61">
        <v>3851.6</v>
      </c>
      <c r="E247" s="61">
        <v>484.83199999999999</v>
      </c>
      <c r="F247" s="573">
        <v>0</v>
      </c>
      <c r="G247" s="1365">
        <v>0</v>
      </c>
      <c r="H247" s="508">
        <f t="shared" si="13"/>
        <v>0</v>
      </c>
      <c r="I247" s="573">
        <v>14279.144</v>
      </c>
      <c r="J247" s="1531">
        <v>0</v>
      </c>
      <c r="K247" s="637">
        <f t="shared" si="17"/>
        <v>14279.144</v>
      </c>
      <c r="L247" s="1675">
        <v>112340.304</v>
      </c>
      <c r="M247" s="430">
        <v>2379.2674999999999</v>
      </c>
      <c r="N247" s="61">
        <v>0</v>
      </c>
      <c r="O247" s="525">
        <f t="shared" si="15"/>
        <v>114719.57150000001</v>
      </c>
      <c r="P247" s="61">
        <v>332</v>
      </c>
      <c r="Q247" s="61">
        <v>43140.333599999998</v>
      </c>
      <c r="R247" s="61">
        <v>14729.706099999999</v>
      </c>
      <c r="S247" s="61">
        <v>792.62940000000003</v>
      </c>
      <c r="T247" s="1675">
        <v>110</v>
      </c>
      <c r="U247" s="430">
        <v>20623.900000000001</v>
      </c>
      <c r="V247" s="526">
        <f t="shared" si="16"/>
        <v>79728.569099999993</v>
      </c>
    </row>
    <row r="248" spans="1:22">
      <c r="A248" s="85">
        <f t="shared" si="18"/>
        <v>2013.11</v>
      </c>
      <c r="B248" s="74">
        <v>338</v>
      </c>
      <c r="C248" s="61">
        <v>56</v>
      </c>
      <c r="D248" s="61">
        <v>3120.36</v>
      </c>
      <c r="E248" s="61">
        <v>130.84199999999998</v>
      </c>
      <c r="F248" s="573">
        <v>84</v>
      </c>
      <c r="G248" s="1365">
        <v>0</v>
      </c>
      <c r="H248" s="508">
        <f t="shared" si="13"/>
        <v>84</v>
      </c>
      <c r="I248" s="573">
        <v>8699.9079999999994</v>
      </c>
      <c r="J248" s="1531">
        <v>0</v>
      </c>
      <c r="K248" s="637">
        <f t="shared" si="17"/>
        <v>8699.9079999999994</v>
      </c>
      <c r="L248" s="1675">
        <v>112425.17790000001</v>
      </c>
      <c r="M248" s="430">
        <v>1906.2121999999999</v>
      </c>
      <c r="N248" s="61">
        <v>0</v>
      </c>
      <c r="O248" s="525">
        <f t="shared" si="15"/>
        <v>114331.3901</v>
      </c>
      <c r="P248" s="61">
        <v>410</v>
      </c>
      <c r="Q248" s="61">
        <v>41424.816200000001</v>
      </c>
      <c r="R248" s="61">
        <v>14264.093699999999</v>
      </c>
      <c r="S248" s="61">
        <v>612.06380000000001</v>
      </c>
      <c r="T248" s="1675">
        <v>42</v>
      </c>
      <c r="U248" s="430">
        <v>22908.9</v>
      </c>
      <c r="V248" s="526">
        <f t="shared" si="16"/>
        <v>79661.873699999996</v>
      </c>
    </row>
    <row r="249" spans="1:22">
      <c r="A249" s="85">
        <f t="shared" si="18"/>
        <v>2013.12</v>
      </c>
      <c r="B249" s="74">
        <v>452</v>
      </c>
      <c r="C249" s="61">
        <v>81</v>
      </c>
      <c r="D249" s="61">
        <v>2581.3000000000002</v>
      </c>
      <c r="E249" s="61">
        <v>131.65699999999998</v>
      </c>
      <c r="F249" s="573">
        <v>0</v>
      </c>
      <c r="G249" s="1365">
        <v>0</v>
      </c>
      <c r="H249" s="508">
        <f t="shared" si="13"/>
        <v>0</v>
      </c>
      <c r="I249" s="573">
        <v>3263.5340000000001</v>
      </c>
      <c r="J249" s="1531">
        <v>0</v>
      </c>
      <c r="K249" s="637">
        <f t="shared" si="17"/>
        <v>3263.5340000000001</v>
      </c>
      <c r="L249" s="1675">
        <v>116738.1943</v>
      </c>
      <c r="M249" s="430">
        <v>2022.41</v>
      </c>
      <c r="N249" s="61">
        <v>20</v>
      </c>
      <c r="O249" s="525">
        <f t="shared" si="15"/>
        <v>118780.60430000001</v>
      </c>
      <c r="P249" s="61">
        <v>520</v>
      </c>
      <c r="Q249" s="61">
        <v>47256.803500000002</v>
      </c>
      <c r="R249" s="61">
        <v>16553.544399999999</v>
      </c>
      <c r="S249" s="61">
        <v>1236.3900000000001</v>
      </c>
      <c r="T249" s="1675">
        <v>119</v>
      </c>
      <c r="U249" s="430">
        <v>24322.400000000001</v>
      </c>
      <c r="V249" s="526">
        <f t="shared" si="16"/>
        <v>90008.137900000002</v>
      </c>
    </row>
    <row r="250" spans="1:22">
      <c r="A250" s="85">
        <f t="shared" si="18"/>
        <v>2014.01</v>
      </c>
      <c r="B250" s="74">
        <v>523</v>
      </c>
      <c r="C250" s="61">
        <v>75</v>
      </c>
      <c r="D250" s="61">
        <v>3057.92</v>
      </c>
      <c r="E250" s="61">
        <v>142.93</v>
      </c>
      <c r="F250" s="573">
        <v>71.760000000000005</v>
      </c>
      <c r="G250" s="1365">
        <v>0</v>
      </c>
      <c r="H250" s="508">
        <f t="shared" si="13"/>
        <v>71.760000000000005</v>
      </c>
      <c r="I250" s="573">
        <v>8741.8220000000001</v>
      </c>
      <c r="J250" s="1531">
        <v>0</v>
      </c>
      <c r="K250" s="637">
        <f t="shared" si="17"/>
        <v>8741.8220000000001</v>
      </c>
      <c r="L250" s="1675">
        <v>104272.71279999999</v>
      </c>
      <c r="M250" s="430">
        <v>1778.4746</v>
      </c>
      <c r="N250" s="61">
        <v>39.700000000000003</v>
      </c>
      <c r="O250" s="525">
        <f t="shared" si="15"/>
        <v>106090.88739999999</v>
      </c>
      <c r="P250" s="61">
        <v>765</v>
      </c>
      <c r="Q250" s="61">
        <v>45140.7719</v>
      </c>
      <c r="R250" s="61">
        <v>16181.534599999999</v>
      </c>
      <c r="S250" s="61">
        <v>1012.6022</v>
      </c>
      <c r="T250" s="1675">
        <v>87</v>
      </c>
      <c r="U250" s="430">
        <v>20918.900000000001</v>
      </c>
      <c r="V250" s="526">
        <f t="shared" si="16"/>
        <v>84105.808699999994</v>
      </c>
    </row>
    <row r="251" spans="1:22">
      <c r="A251" s="85">
        <f t="shared" si="18"/>
        <v>2014.02</v>
      </c>
      <c r="B251" s="74">
        <v>503</v>
      </c>
      <c r="C251" s="61">
        <v>149</v>
      </c>
      <c r="D251" s="61">
        <v>1303.0999999999999</v>
      </c>
      <c r="E251" s="61">
        <v>218.49099999999999</v>
      </c>
      <c r="F251" s="573">
        <v>37</v>
      </c>
      <c r="G251" s="1365">
        <v>0</v>
      </c>
      <c r="H251" s="508">
        <f t="shared" si="13"/>
        <v>37</v>
      </c>
      <c r="I251" s="573">
        <v>8332.2180000000008</v>
      </c>
      <c r="J251" s="1531">
        <v>0</v>
      </c>
      <c r="K251" s="637">
        <f t="shared" si="17"/>
        <v>8332.2180000000008</v>
      </c>
      <c r="L251" s="1675">
        <v>90980.9283</v>
      </c>
      <c r="M251" s="430">
        <v>1868.2766999999999</v>
      </c>
      <c r="N251" s="61">
        <v>0</v>
      </c>
      <c r="O251" s="525">
        <f t="shared" si="15"/>
        <v>92849.205000000002</v>
      </c>
      <c r="P251" s="61">
        <v>708</v>
      </c>
      <c r="Q251" s="61">
        <v>38600.8874</v>
      </c>
      <c r="R251" s="61">
        <v>13337.2323</v>
      </c>
      <c r="S251" s="61">
        <v>759.1096</v>
      </c>
      <c r="T251" s="1675">
        <v>39</v>
      </c>
      <c r="U251" s="430">
        <v>19995</v>
      </c>
      <c r="V251" s="526">
        <f t="shared" si="16"/>
        <v>73439.229300000006</v>
      </c>
    </row>
    <row r="252" spans="1:22">
      <c r="A252" s="85">
        <f t="shared" si="18"/>
        <v>2014.03</v>
      </c>
      <c r="B252" s="74">
        <v>359</v>
      </c>
      <c r="C252" s="61">
        <v>97</v>
      </c>
      <c r="D252" s="61">
        <v>2337.52</v>
      </c>
      <c r="E252" s="61">
        <v>263.34699999999998</v>
      </c>
      <c r="F252" s="573">
        <v>263.34699999999998</v>
      </c>
      <c r="G252" s="1365">
        <v>0</v>
      </c>
      <c r="H252" s="508">
        <f t="shared" si="13"/>
        <v>263.34699999999998</v>
      </c>
      <c r="I252" s="573">
        <v>18402.534</v>
      </c>
      <c r="J252" s="1531">
        <v>0</v>
      </c>
      <c r="K252" s="637">
        <f t="shared" si="17"/>
        <v>18402.534</v>
      </c>
      <c r="L252" s="1675">
        <v>108777.03080000001</v>
      </c>
      <c r="M252" s="430">
        <v>2513.3788709999999</v>
      </c>
      <c r="N252" s="61">
        <v>185.6</v>
      </c>
      <c r="O252" s="525">
        <f t="shared" si="15"/>
        <v>111476.00967100001</v>
      </c>
      <c r="P252" s="61">
        <v>528</v>
      </c>
      <c r="Q252" s="61">
        <v>41836.030500000001</v>
      </c>
      <c r="R252" s="61">
        <v>13755.7225</v>
      </c>
      <c r="S252" s="61">
        <v>691.39083670000002</v>
      </c>
      <c r="T252" s="1675">
        <v>77</v>
      </c>
      <c r="U252" s="430">
        <v>19924.099999999999</v>
      </c>
      <c r="V252" s="526">
        <f t="shared" si="16"/>
        <v>76812.243836699985</v>
      </c>
    </row>
    <row r="253" spans="1:22">
      <c r="A253" s="85">
        <f t="shared" si="18"/>
        <v>2014.04</v>
      </c>
      <c r="B253" s="74">
        <v>367</v>
      </c>
      <c r="C253" s="61">
        <v>60</v>
      </c>
      <c r="D253" s="61">
        <v>1531.38</v>
      </c>
      <c r="E253" s="61">
        <v>315.15999999999997</v>
      </c>
      <c r="F253" s="573">
        <v>0</v>
      </c>
      <c r="G253" s="1365">
        <v>0</v>
      </c>
      <c r="H253" s="508">
        <f t="shared" si="13"/>
        <v>0</v>
      </c>
      <c r="I253" s="573">
        <v>23356.04</v>
      </c>
      <c r="J253" s="1531">
        <v>0</v>
      </c>
      <c r="K253" s="637">
        <f t="shared" si="17"/>
        <v>23356.04</v>
      </c>
      <c r="L253" s="1675">
        <v>128693.73819999999</v>
      </c>
      <c r="M253" s="430">
        <v>2462.0949719999999</v>
      </c>
      <c r="N253" s="61">
        <v>209.4</v>
      </c>
      <c r="O253" s="525">
        <f t="shared" si="15"/>
        <v>131365.23317199998</v>
      </c>
      <c r="P253" s="61">
        <v>415</v>
      </c>
      <c r="Q253" s="61">
        <v>42200.117599999998</v>
      </c>
      <c r="R253" s="61">
        <v>12801.65</v>
      </c>
      <c r="S253" s="61">
        <v>622.84826659999999</v>
      </c>
      <c r="T253" s="1675">
        <v>82</v>
      </c>
      <c r="U253" s="430">
        <v>19906.400000000001</v>
      </c>
      <c r="V253" s="526">
        <f t="shared" si="16"/>
        <v>76028.015866600006</v>
      </c>
    </row>
    <row r="254" spans="1:22">
      <c r="A254" s="85">
        <f t="shared" si="18"/>
        <v>2014.05</v>
      </c>
      <c r="B254" s="74">
        <v>380</v>
      </c>
      <c r="C254" s="61">
        <v>48</v>
      </c>
      <c r="D254" s="61">
        <v>2000.12</v>
      </c>
      <c r="E254" s="61">
        <v>290.41300000000001</v>
      </c>
      <c r="F254" s="573">
        <v>0</v>
      </c>
      <c r="G254" s="1365">
        <v>0</v>
      </c>
      <c r="H254" s="508">
        <f t="shared" si="13"/>
        <v>0</v>
      </c>
      <c r="I254" s="573">
        <v>21794.946</v>
      </c>
      <c r="J254" s="1531">
        <v>0</v>
      </c>
      <c r="K254" s="637">
        <f t="shared" si="17"/>
        <v>21794.946</v>
      </c>
      <c r="L254" s="1675">
        <v>117364.56509999999</v>
      </c>
      <c r="M254" s="430">
        <v>1743.7653800000001</v>
      </c>
      <c r="N254" s="61">
        <v>384.9</v>
      </c>
      <c r="O254" s="525">
        <f t="shared" si="15"/>
        <v>119493.23047999998</v>
      </c>
      <c r="P254" s="61">
        <v>276</v>
      </c>
      <c r="Q254" s="61">
        <v>40398.116999999998</v>
      </c>
      <c r="R254" s="61">
        <v>11985.1702</v>
      </c>
      <c r="S254" s="61">
        <v>538.05791580000005</v>
      </c>
      <c r="T254" s="1675">
        <v>90</v>
      </c>
      <c r="U254" s="430">
        <v>18772</v>
      </c>
      <c r="V254" s="526">
        <f t="shared" si="16"/>
        <v>72059.345115799995</v>
      </c>
    </row>
    <row r="255" spans="1:22">
      <c r="A255" s="85">
        <f t="shared" si="18"/>
        <v>2014.06</v>
      </c>
      <c r="B255" s="74">
        <v>296</v>
      </c>
      <c r="C255" s="61">
        <v>62</v>
      </c>
      <c r="D255" s="61">
        <v>2042.96</v>
      </c>
      <c r="E255" s="61">
        <v>416.52300000000002</v>
      </c>
      <c r="F255" s="573">
        <v>0</v>
      </c>
      <c r="G255" s="1365">
        <v>0</v>
      </c>
      <c r="H255" s="508">
        <f t="shared" si="13"/>
        <v>0</v>
      </c>
      <c r="I255" s="573">
        <v>19521.4041</v>
      </c>
      <c r="J255" s="1531">
        <v>268.89299999999997</v>
      </c>
      <c r="K255" s="637">
        <f t="shared" si="17"/>
        <v>19790.2971</v>
      </c>
      <c r="L255" s="1675">
        <v>121147.8544</v>
      </c>
      <c r="M255" s="430">
        <v>1407.1890410000001</v>
      </c>
      <c r="N255" s="61">
        <v>73.099999999999994</v>
      </c>
      <c r="O255" s="525">
        <f t="shared" si="15"/>
        <v>122628.14344100001</v>
      </c>
      <c r="P255" s="61">
        <v>332</v>
      </c>
      <c r="Q255" s="61">
        <v>39528.9827</v>
      </c>
      <c r="R255" s="61">
        <v>11788.063200000001</v>
      </c>
      <c r="S255" s="61">
        <v>252.02277040000001</v>
      </c>
      <c r="T255" s="1675">
        <v>45</v>
      </c>
      <c r="U255" s="430">
        <v>18018.599999999999</v>
      </c>
      <c r="V255" s="526">
        <f t="shared" si="16"/>
        <v>69964.668670399988</v>
      </c>
    </row>
    <row r="256" spans="1:22">
      <c r="A256" s="85">
        <f t="shared" si="18"/>
        <v>2014.07</v>
      </c>
      <c r="B256" s="74">
        <v>279</v>
      </c>
      <c r="C256" s="61">
        <v>52</v>
      </c>
      <c r="D256" s="61">
        <v>2779.16</v>
      </c>
      <c r="E256" s="61">
        <v>295.471</v>
      </c>
      <c r="F256" s="573">
        <v>0</v>
      </c>
      <c r="G256" s="1365">
        <v>0</v>
      </c>
      <c r="H256" s="508">
        <f t="shared" si="13"/>
        <v>0</v>
      </c>
      <c r="I256" s="573">
        <v>35858.100999999995</v>
      </c>
      <c r="J256" s="1531">
        <v>453.38</v>
      </c>
      <c r="K256" s="637">
        <f t="shared" si="17"/>
        <v>36311.480999999992</v>
      </c>
      <c r="L256" s="1675">
        <v>122122.81789999999</v>
      </c>
      <c r="M256" s="430">
        <v>2556.8152129999999</v>
      </c>
      <c r="N256" s="61">
        <v>79.900000000000006</v>
      </c>
      <c r="O256" s="525">
        <f t="shared" si="15"/>
        <v>124759.53311299998</v>
      </c>
      <c r="P256" s="61">
        <v>337</v>
      </c>
      <c r="Q256" s="61">
        <v>41684.337700000004</v>
      </c>
      <c r="R256" s="61">
        <v>12850.3109</v>
      </c>
      <c r="S256" s="61">
        <v>618.82849620000002</v>
      </c>
      <c r="T256" s="1675">
        <v>75</v>
      </c>
      <c r="U256" s="430">
        <v>19762.7</v>
      </c>
      <c r="V256" s="526">
        <f t="shared" si="16"/>
        <v>75328.177096200001</v>
      </c>
    </row>
    <row r="257" spans="1:22">
      <c r="A257" s="85">
        <f t="shared" si="18"/>
        <v>2014.08</v>
      </c>
      <c r="B257" s="74">
        <v>319</v>
      </c>
      <c r="C257" s="61">
        <v>67</v>
      </c>
      <c r="D257" s="61">
        <v>2206.88</v>
      </c>
      <c r="E257" s="61">
        <v>318.60599999999999</v>
      </c>
      <c r="F257" s="573">
        <v>0</v>
      </c>
      <c r="G257" s="1365">
        <v>0</v>
      </c>
      <c r="H257" s="508">
        <f t="shared" si="13"/>
        <v>0</v>
      </c>
      <c r="I257" s="573">
        <v>22192.636000000002</v>
      </c>
      <c r="J257" s="1531">
        <v>0</v>
      </c>
      <c r="K257" s="637">
        <f t="shared" si="17"/>
        <v>22192.636000000002</v>
      </c>
      <c r="L257" s="1675">
        <v>116480.97070000001</v>
      </c>
      <c r="M257" s="430">
        <v>1637.3950299999999</v>
      </c>
      <c r="N257" s="61">
        <v>276.8</v>
      </c>
      <c r="O257" s="525">
        <f t="shared" si="15"/>
        <v>118395.16573000001</v>
      </c>
      <c r="P257" s="61">
        <v>301</v>
      </c>
      <c r="Q257" s="61">
        <v>41152.281000000003</v>
      </c>
      <c r="R257" s="61">
        <v>13151.4138</v>
      </c>
      <c r="S257" s="61">
        <v>1499.697316</v>
      </c>
      <c r="T257" s="1675">
        <v>79</v>
      </c>
      <c r="U257" s="430">
        <v>24876.1</v>
      </c>
      <c r="V257" s="526">
        <f t="shared" si="16"/>
        <v>81059.492116000009</v>
      </c>
    </row>
    <row r="258" spans="1:22">
      <c r="A258" s="85">
        <f t="shared" si="18"/>
        <v>2014.09</v>
      </c>
      <c r="B258" s="74">
        <v>421</v>
      </c>
      <c r="C258" s="61">
        <v>41</v>
      </c>
      <c r="D258" s="61">
        <v>2125.3200000000002</v>
      </c>
      <c r="E258" s="61">
        <v>266.92599999999999</v>
      </c>
      <c r="F258" s="573">
        <v>0</v>
      </c>
      <c r="G258" s="1365">
        <v>0</v>
      </c>
      <c r="H258" s="508">
        <f t="shared" si="13"/>
        <v>0</v>
      </c>
      <c r="I258" s="573">
        <v>2820.8379999999997</v>
      </c>
      <c r="J258" s="1531">
        <v>0</v>
      </c>
      <c r="K258" s="637">
        <f t="shared" si="17"/>
        <v>2820.8379999999997</v>
      </c>
      <c r="L258" s="1675">
        <v>116790.9708</v>
      </c>
      <c r="M258" s="430">
        <v>1951.8059270000001</v>
      </c>
      <c r="N258" s="61">
        <v>0</v>
      </c>
      <c r="O258" s="525">
        <f t="shared" si="15"/>
        <v>118742.77672699999</v>
      </c>
      <c r="P258" s="61">
        <v>368</v>
      </c>
      <c r="Q258" s="61">
        <v>40741.161099999998</v>
      </c>
      <c r="R258" s="61">
        <v>12438.166300000001</v>
      </c>
      <c r="S258" s="61">
        <v>539.39968020000003</v>
      </c>
      <c r="T258" s="1675">
        <v>59</v>
      </c>
      <c r="U258" s="430">
        <v>23332.1</v>
      </c>
      <c r="V258" s="526">
        <f t="shared" si="16"/>
        <v>77477.82708019999</v>
      </c>
    </row>
    <row r="259" spans="1:22">
      <c r="A259" s="85">
        <f t="shared" si="18"/>
        <v>2014.1</v>
      </c>
      <c r="B259" s="74">
        <v>300</v>
      </c>
      <c r="C259" s="61">
        <v>106</v>
      </c>
      <c r="D259" s="61">
        <v>2722.2200000000003</v>
      </c>
      <c r="E259" s="61">
        <v>348.44399999999996</v>
      </c>
      <c r="F259" s="573">
        <v>0</v>
      </c>
      <c r="G259" s="1365">
        <v>0</v>
      </c>
      <c r="H259" s="508">
        <f t="shared" si="13"/>
        <v>0</v>
      </c>
      <c r="I259" s="573">
        <v>22351.282999999999</v>
      </c>
      <c r="J259" s="1531">
        <v>0</v>
      </c>
      <c r="K259" s="637">
        <f t="shared" si="17"/>
        <v>22351.282999999999</v>
      </c>
      <c r="L259" s="1675">
        <v>117107.22320000001</v>
      </c>
      <c r="M259" s="430">
        <v>1928.6909129999999</v>
      </c>
      <c r="N259" s="61">
        <v>85.4</v>
      </c>
      <c r="O259" s="525">
        <f t="shared" si="15"/>
        <v>119121.314113</v>
      </c>
      <c r="P259" s="61">
        <v>440</v>
      </c>
      <c r="Q259" s="61">
        <v>43866.229500000001</v>
      </c>
      <c r="R259" s="61">
        <v>13475.9645</v>
      </c>
      <c r="S259" s="61">
        <v>551.59865019999995</v>
      </c>
      <c r="T259" s="1675">
        <v>103</v>
      </c>
      <c r="U259" s="430">
        <v>21129.1</v>
      </c>
      <c r="V259" s="526">
        <f t="shared" si="16"/>
        <v>79565.892650199996</v>
      </c>
    </row>
    <row r="260" spans="1:22">
      <c r="A260" s="85">
        <f t="shared" si="18"/>
        <v>2014.11</v>
      </c>
      <c r="B260" s="74">
        <v>313</v>
      </c>
      <c r="C260" s="61">
        <v>60</v>
      </c>
      <c r="D260" s="61">
        <v>1590.44</v>
      </c>
      <c r="E260" s="61">
        <v>228.99299999999999</v>
      </c>
      <c r="F260" s="573">
        <v>0</v>
      </c>
      <c r="G260" s="1365">
        <v>0</v>
      </c>
      <c r="H260" s="508">
        <f t="shared" si="13"/>
        <v>0</v>
      </c>
      <c r="I260" s="573">
        <v>30205.643000000004</v>
      </c>
      <c r="J260" s="1531">
        <v>0</v>
      </c>
      <c r="K260" s="637">
        <f t="shared" si="17"/>
        <v>30205.643000000004</v>
      </c>
      <c r="L260" s="1675">
        <v>105613.94930000001</v>
      </c>
      <c r="M260" s="430">
        <v>2901.8785189999999</v>
      </c>
      <c r="N260" s="61">
        <v>83.7</v>
      </c>
      <c r="O260" s="525">
        <f t="shared" si="15"/>
        <v>108599.52781900001</v>
      </c>
      <c r="P260" s="61">
        <v>390</v>
      </c>
      <c r="Q260" s="61">
        <v>40309.896099999998</v>
      </c>
      <c r="R260" s="61">
        <v>13444.8789</v>
      </c>
      <c r="S260" s="61">
        <v>546.49415839999995</v>
      </c>
      <c r="T260" s="1675">
        <v>85</v>
      </c>
      <c r="U260" s="430">
        <v>20614.900000000001</v>
      </c>
      <c r="V260" s="526">
        <f t="shared" si="16"/>
        <v>75391.169158399993</v>
      </c>
    </row>
    <row r="261" spans="1:22">
      <c r="A261" s="85">
        <f t="shared" si="18"/>
        <v>2014.12</v>
      </c>
      <c r="B261" s="74">
        <v>404</v>
      </c>
      <c r="C261" s="61">
        <v>96</v>
      </c>
      <c r="D261" s="61">
        <v>2111.6799999999998</v>
      </c>
      <c r="E261" s="61">
        <v>243.28299999999999</v>
      </c>
      <c r="F261" s="573">
        <v>0</v>
      </c>
      <c r="G261" s="1365">
        <v>0</v>
      </c>
      <c r="H261" s="508">
        <f t="shared" si="13"/>
        <v>0</v>
      </c>
      <c r="I261" s="573">
        <v>21915.817999999999</v>
      </c>
      <c r="J261" s="1531">
        <v>0</v>
      </c>
      <c r="K261" s="637">
        <f t="shared" si="17"/>
        <v>21915.817999999999</v>
      </c>
      <c r="L261" s="1675">
        <v>106063.10920000001</v>
      </c>
      <c r="M261" s="430">
        <v>1756.134591</v>
      </c>
      <c r="N261" s="61">
        <v>0</v>
      </c>
      <c r="O261" s="525">
        <f t="shared" si="15"/>
        <v>107819.243791</v>
      </c>
      <c r="P261" s="61">
        <v>509</v>
      </c>
      <c r="Q261" s="61">
        <v>43865.667099999999</v>
      </c>
      <c r="R261" s="61">
        <v>15973.490299999999</v>
      </c>
      <c r="S261" s="61">
        <v>446.86689919999998</v>
      </c>
      <c r="T261" s="1675">
        <v>70</v>
      </c>
      <c r="U261" s="430">
        <v>24736.7</v>
      </c>
      <c r="V261" s="526">
        <f t="shared" si="16"/>
        <v>85601.724299199996</v>
      </c>
    </row>
    <row r="262" spans="1:22">
      <c r="A262" s="85">
        <f t="shared" si="18"/>
        <v>2015.01</v>
      </c>
      <c r="B262" s="74">
        <v>390</v>
      </c>
      <c r="C262" s="61">
        <v>125</v>
      </c>
      <c r="D262" s="61">
        <v>2119.1800000000003</v>
      </c>
      <c r="E262" s="61">
        <v>223.04599999999999</v>
      </c>
      <c r="F262" s="573">
        <v>0</v>
      </c>
      <c r="G262" s="1365">
        <v>0</v>
      </c>
      <c r="H262" s="508">
        <f t="shared" si="13"/>
        <v>0</v>
      </c>
      <c r="I262" s="573">
        <v>40817.493000000002</v>
      </c>
      <c r="J262" s="1531">
        <v>0</v>
      </c>
      <c r="K262" s="637">
        <f t="shared" si="17"/>
        <v>40817.493000000002</v>
      </c>
      <c r="L262" s="1675">
        <v>101845.571</v>
      </c>
      <c r="M262" s="430">
        <v>1400.0932250000001</v>
      </c>
      <c r="N262" s="61">
        <v>33.509</v>
      </c>
      <c r="O262" s="525">
        <f t="shared" si="15"/>
        <v>103279.17322500001</v>
      </c>
      <c r="P262" s="61">
        <v>527</v>
      </c>
      <c r="Q262" s="61">
        <v>43979.087899999999</v>
      </c>
      <c r="R262" s="61">
        <v>16510.6849</v>
      </c>
      <c r="S262" s="61">
        <v>394.03303160000002</v>
      </c>
      <c r="T262" s="1675">
        <v>19</v>
      </c>
      <c r="U262" s="430">
        <v>21792.7</v>
      </c>
      <c r="V262" s="526">
        <f t="shared" si="16"/>
        <v>83222.505831600007</v>
      </c>
    </row>
    <row r="263" spans="1:22">
      <c r="A263" s="85">
        <f t="shared" si="18"/>
        <v>2015.02</v>
      </c>
      <c r="B263" s="74">
        <v>312</v>
      </c>
      <c r="C263" s="61">
        <v>121</v>
      </c>
      <c r="D263" s="61">
        <v>2073.4</v>
      </c>
      <c r="E263" s="61">
        <v>195.76300000000001</v>
      </c>
      <c r="F263" s="573">
        <v>0</v>
      </c>
      <c r="G263" s="1365">
        <v>0</v>
      </c>
      <c r="H263" s="508">
        <f t="shared" si="13"/>
        <v>0</v>
      </c>
      <c r="I263" s="573">
        <v>29351.228999999999</v>
      </c>
      <c r="J263" s="1531">
        <v>0</v>
      </c>
      <c r="K263" s="637">
        <f t="shared" si="17"/>
        <v>29351.228999999999</v>
      </c>
      <c r="L263" s="1675">
        <v>95475.878599999996</v>
      </c>
      <c r="M263" s="430">
        <v>2147.362083</v>
      </c>
      <c r="N263" s="61">
        <v>0</v>
      </c>
      <c r="O263" s="525">
        <f t="shared" si="15"/>
        <v>97623.240682999996</v>
      </c>
      <c r="P263" s="61">
        <v>467</v>
      </c>
      <c r="Q263" s="61">
        <v>40294.542399999998</v>
      </c>
      <c r="R263" s="61">
        <v>15433.2603</v>
      </c>
      <c r="S263" s="61">
        <v>2147.362083</v>
      </c>
      <c r="T263" s="1675">
        <v>57</v>
      </c>
      <c r="U263" s="430">
        <v>22529.4</v>
      </c>
      <c r="V263" s="526">
        <f t="shared" si="16"/>
        <v>80928.564783000009</v>
      </c>
    </row>
    <row r="264" spans="1:22">
      <c r="A264" s="85">
        <f t="shared" si="18"/>
        <v>2015.03</v>
      </c>
      <c r="B264" s="74">
        <v>381</v>
      </c>
      <c r="C264" s="61">
        <v>112</v>
      </c>
      <c r="D264" s="61">
        <v>2216.8200000000002</v>
      </c>
      <c r="E264" s="61">
        <v>156.75799999999998</v>
      </c>
      <c r="F264" s="573">
        <v>0</v>
      </c>
      <c r="G264" s="1365">
        <v>0</v>
      </c>
      <c r="H264" s="508">
        <f t="shared" si="13"/>
        <v>0</v>
      </c>
      <c r="I264" s="573">
        <v>37785.018000000004</v>
      </c>
      <c r="J264" s="1531">
        <v>0</v>
      </c>
      <c r="K264" s="637">
        <f t="shared" si="17"/>
        <v>37785.018000000004</v>
      </c>
      <c r="L264" s="1675">
        <v>103664.9767</v>
      </c>
      <c r="M264" s="430">
        <v>2323.0876191999996</v>
      </c>
      <c r="N264" s="61">
        <v>79.834999999999994</v>
      </c>
      <c r="O264" s="525">
        <f t="shared" si="15"/>
        <v>106067.89931920001</v>
      </c>
      <c r="P264" s="61">
        <v>547</v>
      </c>
      <c r="Q264" s="61">
        <v>40498.724399999999</v>
      </c>
      <c r="R264" s="61">
        <v>15168.9257</v>
      </c>
      <c r="S264" s="61">
        <v>449.30668509999998</v>
      </c>
      <c r="T264" s="1675">
        <v>84</v>
      </c>
      <c r="U264" s="430">
        <v>18982.5</v>
      </c>
      <c r="V264" s="526">
        <f t="shared" si="16"/>
        <v>75730.456785099988</v>
      </c>
    </row>
    <row r="265" spans="1:22">
      <c r="A265" s="85">
        <f t="shared" si="18"/>
        <v>2015.04</v>
      </c>
      <c r="B265" s="74">
        <v>323</v>
      </c>
      <c r="C265" s="61">
        <v>59</v>
      </c>
      <c r="D265" s="61">
        <v>3431.32</v>
      </c>
      <c r="E265" s="61">
        <v>321.85599999999999</v>
      </c>
      <c r="F265" s="573">
        <v>0</v>
      </c>
      <c r="G265" s="1365">
        <v>0</v>
      </c>
      <c r="H265" s="508">
        <f t="shared" si="13"/>
        <v>0</v>
      </c>
      <c r="I265" s="573">
        <v>32616.706000000002</v>
      </c>
      <c r="J265" s="1531">
        <v>0</v>
      </c>
      <c r="K265" s="637">
        <f t="shared" si="17"/>
        <v>32616.706000000002</v>
      </c>
      <c r="L265" s="1675">
        <v>138005.554</v>
      </c>
      <c r="M265" s="430">
        <v>1674.4332569999999</v>
      </c>
      <c r="N265" s="61">
        <v>19.831</v>
      </c>
      <c r="O265" s="525">
        <f t="shared" si="15"/>
        <v>139699.81825700001</v>
      </c>
      <c r="P265" s="61">
        <v>380</v>
      </c>
      <c r="Q265" s="61">
        <v>41832.136299999998</v>
      </c>
      <c r="R265" s="61">
        <v>15820.0131</v>
      </c>
      <c r="S265" s="61">
        <v>232.6702841</v>
      </c>
      <c r="T265" s="1675">
        <v>53</v>
      </c>
      <c r="U265" s="430">
        <v>21004.9</v>
      </c>
      <c r="V265" s="526">
        <f t="shared" si="16"/>
        <v>79322.719684099997</v>
      </c>
    </row>
    <row r="266" spans="1:22">
      <c r="A266" s="85">
        <f t="shared" si="18"/>
        <v>2015.05</v>
      </c>
      <c r="B266" s="74">
        <v>353</v>
      </c>
      <c r="C266" s="61">
        <v>47</v>
      </c>
      <c r="D266" s="61">
        <v>3324.76</v>
      </c>
      <c r="E266" s="61">
        <v>305.14300000000003</v>
      </c>
      <c r="F266" s="573">
        <v>0</v>
      </c>
      <c r="G266" s="1365">
        <v>0</v>
      </c>
      <c r="H266" s="508">
        <f t="shared" ref="H266:H273" si="19">F266+G266</f>
        <v>0</v>
      </c>
      <c r="I266" s="573">
        <v>33736.569000000003</v>
      </c>
      <c r="J266" s="1531">
        <v>0</v>
      </c>
      <c r="K266" s="637">
        <f t="shared" si="17"/>
        <v>33736.569000000003</v>
      </c>
      <c r="L266" s="1675">
        <v>114945.67970000001</v>
      </c>
      <c r="M266" s="430">
        <v>1452.4699579999999</v>
      </c>
      <c r="N266" s="61">
        <v>57.95</v>
      </c>
      <c r="O266" s="525">
        <f t="shared" ref="O266:O329" si="20">L266+M266+N266</f>
        <v>116456.09965800001</v>
      </c>
      <c r="P266" s="61">
        <v>348</v>
      </c>
      <c r="Q266" s="61">
        <v>40270.085800000001</v>
      </c>
      <c r="R266" s="61">
        <v>15623.458999999999</v>
      </c>
      <c r="S266" s="61">
        <v>279.38958109999999</v>
      </c>
      <c r="T266" s="1675">
        <v>0</v>
      </c>
      <c r="U266" s="430">
        <v>0</v>
      </c>
      <c r="V266" s="526">
        <f t="shared" si="16"/>
        <v>56520.9343811</v>
      </c>
    </row>
    <row r="267" spans="1:22">
      <c r="A267" s="85">
        <f t="shared" si="18"/>
        <v>2015.06</v>
      </c>
      <c r="B267" s="74">
        <v>295</v>
      </c>
      <c r="C267" s="61">
        <v>62</v>
      </c>
      <c r="D267" s="61">
        <v>4390.88</v>
      </c>
      <c r="E267" s="61">
        <v>381.185</v>
      </c>
      <c r="F267" s="573">
        <v>0</v>
      </c>
      <c r="G267" s="1365">
        <v>0</v>
      </c>
      <c r="H267" s="508">
        <f t="shared" si="19"/>
        <v>0</v>
      </c>
      <c r="I267" s="573">
        <v>21422.547000000002</v>
      </c>
      <c r="J267" s="1531">
        <v>180.37299999999999</v>
      </c>
      <c r="K267" s="637">
        <f t="shared" si="17"/>
        <v>21602.920000000002</v>
      </c>
      <c r="L267" s="1675">
        <v>112108.042</v>
      </c>
      <c r="M267" s="430">
        <v>2257.1837890000002</v>
      </c>
      <c r="N267" s="61">
        <v>58.335999999999999</v>
      </c>
      <c r="O267" s="525">
        <f t="shared" si="20"/>
        <v>114423.561789</v>
      </c>
      <c r="P267" s="61">
        <v>359</v>
      </c>
      <c r="Q267" s="61">
        <v>40041.6299</v>
      </c>
      <c r="R267" s="61">
        <v>15401.840200000001</v>
      </c>
      <c r="S267" s="61">
        <v>2257.1837890000002</v>
      </c>
      <c r="T267" s="1675">
        <v>0</v>
      </c>
      <c r="U267" s="430">
        <v>20227</v>
      </c>
      <c r="V267" s="526">
        <f t="shared" si="16"/>
        <v>78286.653889000008</v>
      </c>
    </row>
    <row r="268" spans="1:22">
      <c r="A268" s="85">
        <f t="shared" si="18"/>
        <v>2015.07</v>
      </c>
      <c r="B268" s="74">
        <v>342</v>
      </c>
      <c r="C268" s="61">
        <v>47</v>
      </c>
      <c r="D268" s="61">
        <v>3878.74</v>
      </c>
      <c r="E268" s="61">
        <v>319.52</v>
      </c>
      <c r="F268" s="573">
        <v>0</v>
      </c>
      <c r="G268" s="1365">
        <v>0</v>
      </c>
      <c r="H268" s="508">
        <f t="shared" si="19"/>
        <v>0</v>
      </c>
      <c r="I268" s="573">
        <v>34026.074000000001</v>
      </c>
      <c r="J268" s="1531">
        <v>0</v>
      </c>
      <c r="K268" s="637">
        <f t="shared" si="17"/>
        <v>34026.074000000001</v>
      </c>
      <c r="L268" s="1675">
        <v>113491.26879999999</v>
      </c>
      <c r="M268" s="430">
        <v>2804.5832190000001</v>
      </c>
      <c r="N268" s="61">
        <v>0</v>
      </c>
      <c r="O268" s="525">
        <f t="shared" si="20"/>
        <v>116295.85201899998</v>
      </c>
      <c r="P268" s="61">
        <v>369</v>
      </c>
      <c r="Q268" s="61">
        <v>42090.216100000005</v>
      </c>
      <c r="R268" s="61">
        <v>16909.960500000001</v>
      </c>
      <c r="S268" s="61">
        <v>387.42435330000001</v>
      </c>
      <c r="T268" s="1675">
        <v>0</v>
      </c>
      <c r="U268" s="430">
        <v>21693.3</v>
      </c>
      <c r="V268" s="526">
        <f t="shared" ref="V268:V331" si="21">SUM(P268:U268)</f>
        <v>81449.900953300006</v>
      </c>
    </row>
    <row r="269" spans="1:22">
      <c r="A269" s="85">
        <f t="shared" si="18"/>
        <v>2015.08</v>
      </c>
      <c r="B269" s="74">
        <v>365</v>
      </c>
      <c r="C269" s="61">
        <v>50</v>
      </c>
      <c r="D269" s="61">
        <v>2186.06</v>
      </c>
      <c r="E269" s="61">
        <v>290.60599999999999</v>
      </c>
      <c r="F269" s="573">
        <v>0</v>
      </c>
      <c r="G269" s="1365">
        <v>0</v>
      </c>
      <c r="H269" s="508">
        <f t="shared" si="19"/>
        <v>0</v>
      </c>
      <c r="I269" s="573">
        <v>26703.530000000002</v>
      </c>
      <c r="J269" s="1531">
        <v>0</v>
      </c>
      <c r="K269" s="637">
        <f t="shared" si="17"/>
        <v>26703.530000000002</v>
      </c>
      <c r="L269" s="1675">
        <v>98684.816500000001</v>
      </c>
      <c r="M269" s="430">
        <v>1625.4553109999999</v>
      </c>
      <c r="N269" s="61">
        <v>61.100999999999999</v>
      </c>
      <c r="O269" s="525">
        <f t="shared" si="20"/>
        <v>100371.37281099999</v>
      </c>
      <c r="P269" s="61">
        <v>367</v>
      </c>
      <c r="Q269" s="61">
        <v>39812.643299999996</v>
      </c>
      <c r="R269" s="61">
        <v>15941.331399999999</v>
      </c>
      <c r="S269" s="61">
        <v>787.6609661</v>
      </c>
      <c r="T269" s="1675">
        <v>0</v>
      </c>
      <c r="U269" s="430">
        <v>19107.099999999999</v>
      </c>
      <c r="V269" s="526">
        <f t="shared" si="21"/>
        <v>76015.735666099994</v>
      </c>
    </row>
    <row r="270" spans="1:22">
      <c r="A270" s="85">
        <f t="shared" si="18"/>
        <v>2015.09</v>
      </c>
      <c r="B270" s="74">
        <v>170</v>
      </c>
      <c r="C270" s="61">
        <v>79</v>
      </c>
      <c r="D270" s="61">
        <v>3504.96</v>
      </c>
      <c r="E270" s="61">
        <v>259.62299999999999</v>
      </c>
      <c r="F270" s="573">
        <v>0</v>
      </c>
      <c r="G270" s="1365">
        <v>0</v>
      </c>
      <c r="H270" s="508">
        <f t="shared" si="19"/>
        <v>0</v>
      </c>
      <c r="I270" s="573">
        <v>17162.488000000001</v>
      </c>
      <c r="J270" s="1531">
        <v>0</v>
      </c>
      <c r="K270" s="637">
        <f t="shared" si="17"/>
        <v>17162.488000000001</v>
      </c>
      <c r="L270" s="1675">
        <v>108194.50390000001</v>
      </c>
      <c r="M270" s="430">
        <v>1780.5425419999999</v>
      </c>
      <c r="N270" s="61">
        <v>68.019000000000005</v>
      </c>
      <c r="O270" s="525">
        <f t="shared" si="20"/>
        <v>110043.06544200001</v>
      </c>
      <c r="P270" s="61">
        <v>381</v>
      </c>
      <c r="Q270" s="61">
        <v>39393.3583</v>
      </c>
      <c r="R270" s="61">
        <v>16140.303</v>
      </c>
      <c r="S270" s="61">
        <v>390.92468270000001</v>
      </c>
      <c r="T270" s="1675">
        <v>0</v>
      </c>
      <c r="U270" s="430">
        <v>18023.7</v>
      </c>
      <c r="V270" s="526">
        <f t="shared" si="21"/>
        <v>74329.285982700007</v>
      </c>
    </row>
    <row r="271" spans="1:22">
      <c r="A271" s="85">
        <f t="shared" si="18"/>
        <v>2015.1</v>
      </c>
      <c r="B271" s="74">
        <v>148</v>
      </c>
      <c r="C271" s="61">
        <v>80</v>
      </c>
      <c r="D271" s="61">
        <v>2802.14</v>
      </c>
      <c r="E271" s="61">
        <v>256.88200000000001</v>
      </c>
      <c r="F271" s="573">
        <v>0</v>
      </c>
      <c r="G271" s="1365">
        <v>0</v>
      </c>
      <c r="H271" s="508">
        <f t="shared" si="19"/>
        <v>0</v>
      </c>
      <c r="I271" s="573">
        <v>24609.039000000001</v>
      </c>
      <c r="J271" s="1531">
        <v>0</v>
      </c>
      <c r="K271" s="637">
        <f t="shared" si="17"/>
        <v>24609.039000000001</v>
      </c>
      <c r="L271" s="1675">
        <v>109311.4029</v>
      </c>
      <c r="M271" s="430">
        <v>1044.8076699999999</v>
      </c>
      <c r="N271" s="61">
        <v>98.04</v>
      </c>
      <c r="O271" s="525">
        <f t="shared" si="20"/>
        <v>110454.25056999999</v>
      </c>
      <c r="P271" s="61">
        <v>492</v>
      </c>
      <c r="Q271" s="61">
        <v>40797.1253</v>
      </c>
      <c r="R271" s="61">
        <v>17597.4663</v>
      </c>
      <c r="S271" s="61">
        <v>0</v>
      </c>
      <c r="T271" s="1675">
        <v>0</v>
      </c>
      <c r="U271" s="430">
        <v>22214.799999999999</v>
      </c>
      <c r="V271" s="526">
        <f t="shared" si="21"/>
        <v>81101.391600000003</v>
      </c>
    </row>
    <row r="272" spans="1:22">
      <c r="A272" s="85">
        <f t="shared" si="18"/>
        <v>2015.11</v>
      </c>
      <c r="B272" s="74">
        <v>166</v>
      </c>
      <c r="C272" s="61">
        <v>109</v>
      </c>
      <c r="D272" s="61">
        <v>2543.1999999999998</v>
      </c>
      <c r="E272" s="61">
        <v>237.9</v>
      </c>
      <c r="F272" s="573">
        <v>0</v>
      </c>
      <c r="G272" s="1365">
        <v>0</v>
      </c>
      <c r="H272" s="508">
        <f t="shared" si="19"/>
        <v>0</v>
      </c>
      <c r="I272" s="573">
        <v>33629.688999999998</v>
      </c>
      <c r="J272" s="1531">
        <v>0</v>
      </c>
      <c r="K272" s="637">
        <f t="shared" si="17"/>
        <v>33629.688999999998</v>
      </c>
      <c r="L272" s="1675">
        <v>118038.98240000001</v>
      </c>
      <c r="M272" s="430">
        <v>1018.022255</v>
      </c>
      <c r="N272" s="61">
        <v>39.743000000000002</v>
      </c>
      <c r="O272" s="525">
        <f t="shared" si="20"/>
        <v>119096.74765500001</v>
      </c>
      <c r="P272" s="61">
        <v>441</v>
      </c>
      <c r="Q272" s="61">
        <v>39128.0314</v>
      </c>
      <c r="R272" s="61">
        <v>16272.696899999999</v>
      </c>
      <c r="S272" s="61">
        <v>0</v>
      </c>
      <c r="T272" s="1675">
        <v>0</v>
      </c>
      <c r="U272" s="430">
        <v>22964.7</v>
      </c>
      <c r="V272" s="526">
        <f t="shared" si="21"/>
        <v>78806.4283</v>
      </c>
    </row>
    <row r="273" spans="1:22">
      <c r="A273" s="85">
        <f t="shared" si="18"/>
        <v>2015.12</v>
      </c>
      <c r="B273" s="74">
        <v>209</v>
      </c>
      <c r="C273" s="61">
        <v>138</v>
      </c>
      <c r="D273" s="61">
        <v>1691.6599999999999</v>
      </c>
      <c r="E273" s="61">
        <v>222.226</v>
      </c>
      <c r="F273" s="573">
        <v>0</v>
      </c>
      <c r="G273" s="1365">
        <v>0</v>
      </c>
      <c r="H273" s="508">
        <f t="shared" si="19"/>
        <v>0</v>
      </c>
      <c r="I273" s="573">
        <v>23319.038</v>
      </c>
      <c r="J273" s="1531">
        <v>0</v>
      </c>
      <c r="K273" s="637">
        <f t="shared" si="17"/>
        <v>23319.038</v>
      </c>
      <c r="L273" s="1675">
        <v>112978.23019999999</v>
      </c>
      <c r="M273" s="430">
        <v>966.94084029999999</v>
      </c>
      <c r="N273" s="61">
        <v>101.48699999999999</v>
      </c>
      <c r="O273" s="525">
        <f t="shared" si="20"/>
        <v>114046.65804029998</v>
      </c>
      <c r="P273" s="61">
        <v>297</v>
      </c>
      <c r="Q273" s="61">
        <v>44227.3851</v>
      </c>
      <c r="R273" s="61">
        <v>19243.3842</v>
      </c>
      <c r="S273" s="61">
        <v>225.62243620000001</v>
      </c>
      <c r="T273" s="1675">
        <v>0</v>
      </c>
      <c r="U273" s="430">
        <v>18510.599999999999</v>
      </c>
      <c r="V273" s="526">
        <f t="shared" si="21"/>
        <v>82503.991736199998</v>
      </c>
    </row>
    <row r="274" spans="1:22">
      <c r="A274" s="85">
        <f t="shared" si="18"/>
        <v>2016.01</v>
      </c>
      <c r="B274" s="74">
        <v>198</v>
      </c>
      <c r="C274" s="61">
        <v>79</v>
      </c>
      <c r="D274" s="61">
        <v>1062.2</v>
      </c>
      <c r="E274" s="61">
        <v>256.66800000000001</v>
      </c>
      <c r="F274" s="573">
        <v>0</v>
      </c>
      <c r="G274" s="1365">
        <v>0</v>
      </c>
      <c r="H274" s="508">
        <f t="shared" ref="H274:H285" si="22">F274+G274</f>
        <v>0</v>
      </c>
      <c r="I274" s="573">
        <v>31250.44</v>
      </c>
      <c r="J274" s="1531">
        <v>0</v>
      </c>
      <c r="K274" s="637">
        <f t="shared" ref="K274:K285" si="23">I274+J274</f>
        <v>31250.44</v>
      </c>
      <c r="L274" s="1675">
        <v>101686.66320000001</v>
      </c>
      <c r="M274" s="430">
        <v>682.01958349999995</v>
      </c>
      <c r="N274" s="61">
        <v>69.150000000000006</v>
      </c>
      <c r="O274" s="525">
        <f t="shared" si="20"/>
        <v>102437.83278350001</v>
      </c>
      <c r="P274" s="61">
        <v>261</v>
      </c>
      <c r="Q274" s="61">
        <v>40018.507100000003</v>
      </c>
      <c r="R274" s="61">
        <v>16772.1613</v>
      </c>
      <c r="S274" s="61">
        <v>264.83834519999999</v>
      </c>
      <c r="T274" s="1675">
        <v>0</v>
      </c>
      <c r="U274" s="430">
        <v>18020.400000000001</v>
      </c>
      <c r="V274" s="526">
        <f t="shared" si="21"/>
        <v>75336.906745200002</v>
      </c>
    </row>
    <row r="275" spans="1:22">
      <c r="A275" s="85">
        <f t="shared" si="18"/>
        <v>2016.02</v>
      </c>
      <c r="B275" s="74">
        <v>261</v>
      </c>
      <c r="C275" s="61">
        <v>220</v>
      </c>
      <c r="D275" s="61">
        <v>1365.98</v>
      </c>
      <c r="E275" s="61">
        <v>204.08699999999999</v>
      </c>
      <c r="F275" s="573">
        <v>36</v>
      </c>
      <c r="G275" s="1365">
        <v>0</v>
      </c>
      <c r="H275" s="508">
        <f t="shared" si="22"/>
        <v>36</v>
      </c>
      <c r="I275" s="573">
        <v>30926.679</v>
      </c>
      <c r="J275" s="1531">
        <v>0</v>
      </c>
      <c r="K275" s="637">
        <f t="shared" si="23"/>
        <v>30926.679</v>
      </c>
      <c r="L275" s="1675">
        <v>109661.0181</v>
      </c>
      <c r="M275" s="430">
        <v>413.27325760000002</v>
      </c>
      <c r="N275" s="61">
        <v>224.09700000000001</v>
      </c>
      <c r="O275" s="525">
        <f t="shared" si="20"/>
        <v>110298.38835759999</v>
      </c>
      <c r="P275" s="61">
        <v>244</v>
      </c>
      <c r="Q275" s="61">
        <v>44766.767099999997</v>
      </c>
      <c r="R275" s="61">
        <v>17115.3115</v>
      </c>
      <c r="S275" s="61">
        <v>0</v>
      </c>
      <c r="T275" s="1675">
        <v>0</v>
      </c>
      <c r="U275" s="430">
        <v>22848.6</v>
      </c>
      <c r="V275" s="526">
        <f t="shared" si="21"/>
        <v>84974.678599999985</v>
      </c>
    </row>
    <row r="276" spans="1:22">
      <c r="A276" s="85">
        <f t="shared" si="18"/>
        <v>2016.03</v>
      </c>
      <c r="B276" s="74">
        <v>140</v>
      </c>
      <c r="C276" s="61">
        <v>104</v>
      </c>
      <c r="D276" s="61">
        <v>2280.6800000000003</v>
      </c>
      <c r="E276" s="61">
        <v>277.50400000000002</v>
      </c>
      <c r="F276" s="573">
        <v>0</v>
      </c>
      <c r="G276" s="1365">
        <v>0</v>
      </c>
      <c r="H276" s="508">
        <f t="shared" si="22"/>
        <v>0</v>
      </c>
      <c r="I276" s="573">
        <v>25826.578000000001</v>
      </c>
      <c r="J276" s="1531">
        <v>0</v>
      </c>
      <c r="K276" s="637">
        <f t="shared" si="23"/>
        <v>25826.578000000001</v>
      </c>
      <c r="L276" s="1675">
        <v>132702.7598</v>
      </c>
      <c r="M276" s="430">
        <v>1739.4496630000001</v>
      </c>
      <c r="N276" s="61">
        <v>50.5901</v>
      </c>
      <c r="O276" s="525">
        <f t="shared" si="20"/>
        <v>134492.79956300001</v>
      </c>
      <c r="P276" s="61">
        <v>251</v>
      </c>
      <c r="Q276" s="61">
        <v>46638.119299999998</v>
      </c>
      <c r="R276" s="61">
        <v>17232.312299999998</v>
      </c>
      <c r="S276" s="61">
        <v>0</v>
      </c>
      <c r="T276" s="1675">
        <v>0</v>
      </c>
      <c r="U276" s="430">
        <v>19916.900000000001</v>
      </c>
      <c r="V276" s="526">
        <f t="shared" si="21"/>
        <v>84038.331600000005</v>
      </c>
    </row>
    <row r="277" spans="1:22">
      <c r="A277" s="85">
        <f t="shared" si="18"/>
        <v>2016.04</v>
      </c>
      <c r="B277" s="74">
        <v>115</v>
      </c>
      <c r="C277" s="61">
        <v>39</v>
      </c>
      <c r="D277" s="61">
        <v>1342.2</v>
      </c>
      <c r="E277" s="61">
        <v>268.91899999999998</v>
      </c>
      <c r="F277" s="573">
        <v>36</v>
      </c>
      <c r="G277" s="1365">
        <v>0</v>
      </c>
      <c r="H277" s="508">
        <f t="shared" si="22"/>
        <v>36</v>
      </c>
      <c r="I277" s="573">
        <v>26348.303</v>
      </c>
      <c r="J277" s="1531">
        <v>0</v>
      </c>
      <c r="K277" s="637">
        <f t="shared" si="23"/>
        <v>26348.303</v>
      </c>
      <c r="L277" s="1675">
        <v>114021.82</v>
      </c>
      <c r="M277" s="430">
        <v>154.48837080000001</v>
      </c>
      <c r="N277" s="61">
        <v>0</v>
      </c>
      <c r="O277" s="525">
        <f t="shared" si="20"/>
        <v>114176.3083708</v>
      </c>
      <c r="P277" s="61">
        <v>189</v>
      </c>
      <c r="Q277" s="61">
        <v>43238.353199999998</v>
      </c>
      <c r="R277" s="61">
        <v>14643.845300000001</v>
      </c>
      <c r="S277" s="61">
        <v>0</v>
      </c>
      <c r="T277" s="1675">
        <v>0</v>
      </c>
      <c r="U277" s="430">
        <v>16928.7</v>
      </c>
      <c r="V277" s="526">
        <f t="shared" si="21"/>
        <v>74999.898499999996</v>
      </c>
    </row>
    <row r="278" spans="1:22">
      <c r="A278" s="85">
        <f t="shared" si="18"/>
        <v>2016.05</v>
      </c>
      <c r="B278" s="74">
        <v>126</v>
      </c>
      <c r="C278" s="61">
        <v>75</v>
      </c>
      <c r="D278" s="61">
        <v>3095.1800000000003</v>
      </c>
      <c r="E278" s="61">
        <v>301.73400000000004</v>
      </c>
      <c r="F278" s="573">
        <v>36</v>
      </c>
      <c r="G278" s="1365">
        <v>0</v>
      </c>
      <c r="H278" s="508">
        <f t="shared" si="22"/>
        <v>36</v>
      </c>
      <c r="I278" s="573">
        <v>37041.546000000002</v>
      </c>
      <c r="J278" s="1531">
        <v>0</v>
      </c>
      <c r="K278" s="637">
        <f t="shared" si="23"/>
        <v>37041.546000000002</v>
      </c>
      <c r="L278" s="1675">
        <v>154510.49309999999</v>
      </c>
      <c r="M278" s="430">
        <v>0</v>
      </c>
      <c r="N278" s="61">
        <v>140.89400000000001</v>
      </c>
      <c r="O278" s="525">
        <f t="shared" si="20"/>
        <v>154651.38709999999</v>
      </c>
      <c r="P278" s="61">
        <v>69</v>
      </c>
      <c r="Q278" s="61">
        <v>46208.132100000003</v>
      </c>
      <c r="R278" s="61">
        <v>14573.8187</v>
      </c>
      <c r="S278" s="61">
        <v>0</v>
      </c>
      <c r="T278" s="1675">
        <v>0</v>
      </c>
      <c r="U278" s="430">
        <v>9042</v>
      </c>
      <c r="V278" s="526">
        <f t="shared" si="21"/>
        <v>69892.950800000006</v>
      </c>
    </row>
    <row r="279" spans="1:22">
      <c r="A279" s="85">
        <f t="shared" si="18"/>
        <v>2016.06</v>
      </c>
      <c r="B279" s="74">
        <v>142</v>
      </c>
      <c r="C279" s="61">
        <v>60</v>
      </c>
      <c r="D279" s="61">
        <v>2860.54</v>
      </c>
      <c r="E279" s="61">
        <v>429.57299999999998</v>
      </c>
      <c r="F279" s="573">
        <v>36</v>
      </c>
      <c r="G279" s="1365">
        <v>0</v>
      </c>
      <c r="H279" s="508">
        <f t="shared" si="22"/>
        <v>36</v>
      </c>
      <c r="I279" s="573">
        <v>37289.396999999997</v>
      </c>
      <c r="J279" s="1531">
        <v>0</v>
      </c>
      <c r="K279" s="637">
        <f t="shared" si="23"/>
        <v>37289.396999999997</v>
      </c>
      <c r="L279" s="1675">
        <v>132549.5374</v>
      </c>
      <c r="M279" s="430">
        <v>0</v>
      </c>
      <c r="N279" s="61">
        <v>68.218999999999994</v>
      </c>
      <c r="O279" s="525">
        <f t="shared" si="20"/>
        <v>132617.75640000001</v>
      </c>
      <c r="P279" s="61">
        <v>142</v>
      </c>
      <c r="Q279" s="61">
        <v>45283.1106</v>
      </c>
      <c r="R279" s="61">
        <v>15673.5185</v>
      </c>
      <c r="S279" s="61">
        <v>0</v>
      </c>
      <c r="T279" s="1675">
        <v>0</v>
      </c>
      <c r="U279" s="430">
        <v>18487.099999999999</v>
      </c>
      <c r="V279" s="526">
        <f t="shared" si="21"/>
        <v>79585.729099999997</v>
      </c>
    </row>
    <row r="280" spans="1:22">
      <c r="A280" s="85">
        <f t="shared" si="18"/>
        <v>2016.07</v>
      </c>
      <c r="B280" s="74">
        <v>145</v>
      </c>
      <c r="C280" s="61">
        <v>54</v>
      </c>
      <c r="D280" s="61">
        <v>3577.8599999999997</v>
      </c>
      <c r="E280" s="61">
        <v>352.08499999999998</v>
      </c>
      <c r="F280" s="573">
        <v>72</v>
      </c>
      <c r="G280" s="1365">
        <v>0</v>
      </c>
      <c r="H280" s="508">
        <f t="shared" si="22"/>
        <v>72</v>
      </c>
      <c r="I280" s="573">
        <v>44614.234000000004</v>
      </c>
      <c r="J280" s="1531">
        <v>0</v>
      </c>
      <c r="K280" s="637">
        <f t="shared" si="23"/>
        <v>44614.234000000004</v>
      </c>
      <c r="L280" s="1675">
        <v>124083.0263</v>
      </c>
      <c r="M280" s="430">
        <v>0</v>
      </c>
      <c r="N280" s="61">
        <v>0</v>
      </c>
      <c r="O280" s="525">
        <f t="shared" si="20"/>
        <v>124083.0263</v>
      </c>
      <c r="P280" s="61">
        <v>141</v>
      </c>
      <c r="Q280" s="61">
        <v>45266.290200000003</v>
      </c>
      <c r="R280" s="61">
        <v>17409.569499999998</v>
      </c>
      <c r="S280" s="61">
        <v>0</v>
      </c>
      <c r="T280" s="1675">
        <v>0</v>
      </c>
      <c r="U280" s="430">
        <v>18746.599999999999</v>
      </c>
      <c r="V280" s="526">
        <f t="shared" si="21"/>
        <v>81563.459700000007</v>
      </c>
    </row>
    <row r="281" spans="1:22">
      <c r="A281" s="85">
        <f t="shared" si="18"/>
        <v>2016.08</v>
      </c>
      <c r="B281" s="74">
        <v>169</v>
      </c>
      <c r="C281" s="61">
        <v>66</v>
      </c>
      <c r="D281" s="61">
        <v>4317.22</v>
      </c>
      <c r="E281" s="61">
        <v>407.57600000000002</v>
      </c>
      <c r="F281" s="573">
        <v>72</v>
      </c>
      <c r="G281" s="1365">
        <v>0</v>
      </c>
      <c r="H281" s="508">
        <f t="shared" si="22"/>
        <v>72</v>
      </c>
      <c r="I281" s="573">
        <v>33926.58</v>
      </c>
      <c r="J281" s="1531">
        <v>0</v>
      </c>
      <c r="K281" s="637">
        <f t="shared" si="23"/>
        <v>33926.58</v>
      </c>
      <c r="L281" s="1675">
        <v>150940.2836</v>
      </c>
      <c r="M281" s="430">
        <v>0</v>
      </c>
      <c r="N281" s="61">
        <v>68.792000000000002</v>
      </c>
      <c r="O281" s="525">
        <f t="shared" si="20"/>
        <v>151009.07559999998</v>
      </c>
      <c r="P281" s="61">
        <v>177</v>
      </c>
      <c r="Q281" s="61">
        <v>48678.181899999996</v>
      </c>
      <c r="R281" s="61">
        <v>17308.718399999998</v>
      </c>
      <c r="S281" s="61">
        <v>0</v>
      </c>
      <c r="T281" s="1675">
        <v>0</v>
      </c>
      <c r="U281" s="430">
        <v>18008</v>
      </c>
      <c r="V281" s="526">
        <f t="shared" si="21"/>
        <v>84171.900299999994</v>
      </c>
    </row>
    <row r="282" spans="1:22">
      <c r="A282" s="85">
        <f t="shared" si="18"/>
        <v>2016.09</v>
      </c>
      <c r="B282" s="74">
        <v>166</v>
      </c>
      <c r="C282" s="61">
        <v>79</v>
      </c>
      <c r="D282" s="61">
        <v>4367.5</v>
      </c>
      <c r="E282" s="61">
        <v>340.99199999999996</v>
      </c>
      <c r="F282" s="573">
        <v>72</v>
      </c>
      <c r="G282" s="1365">
        <v>0</v>
      </c>
      <c r="H282" s="508">
        <f t="shared" si="22"/>
        <v>72</v>
      </c>
      <c r="I282" s="573">
        <v>26060.548000000003</v>
      </c>
      <c r="J282" s="1531">
        <v>0</v>
      </c>
      <c r="K282" s="637">
        <f t="shared" si="23"/>
        <v>26060.548000000003</v>
      </c>
      <c r="L282" s="1675">
        <v>119877.5297</v>
      </c>
      <c r="M282" s="430">
        <v>0</v>
      </c>
      <c r="N282" s="61">
        <v>181.86699999999999</v>
      </c>
      <c r="O282" s="525">
        <f t="shared" si="20"/>
        <v>120059.3967</v>
      </c>
      <c r="P282" s="61">
        <v>437</v>
      </c>
      <c r="Q282" s="61">
        <v>41693.867899999997</v>
      </c>
      <c r="R282" s="61">
        <v>16775.102699999999</v>
      </c>
      <c r="S282" s="61">
        <v>0</v>
      </c>
      <c r="T282" s="1675">
        <v>0</v>
      </c>
      <c r="U282" s="430">
        <v>18652.599999999999</v>
      </c>
      <c r="V282" s="526">
        <f t="shared" si="21"/>
        <v>77558.570600000006</v>
      </c>
    </row>
    <row r="283" spans="1:22">
      <c r="A283" s="85">
        <f t="shared" si="18"/>
        <v>2016.1</v>
      </c>
      <c r="B283" s="74">
        <v>176</v>
      </c>
      <c r="C283" s="61">
        <v>112</v>
      </c>
      <c r="D283" s="61">
        <v>4429.96</v>
      </c>
      <c r="E283" s="61">
        <v>388.911</v>
      </c>
      <c r="F283" s="573">
        <v>144</v>
      </c>
      <c r="G283" s="1365">
        <v>0</v>
      </c>
      <c r="H283" s="508">
        <f t="shared" si="22"/>
        <v>144</v>
      </c>
      <c r="I283" s="573">
        <v>8014.7070000000003</v>
      </c>
      <c r="J283" s="1531">
        <v>0</v>
      </c>
      <c r="K283" s="637">
        <f t="shared" si="23"/>
        <v>8014.7070000000003</v>
      </c>
      <c r="L283" s="1675">
        <v>114737.511</v>
      </c>
      <c r="M283" s="430">
        <v>0</v>
      </c>
      <c r="N283" s="61">
        <v>0</v>
      </c>
      <c r="O283" s="525">
        <f t="shared" si="20"/>
        <v>114737.511</v>
      </c>
      <c r="P283" s="61">
        <v>384</v>
      </c>
      <c r="Q283" s="61">
        <v>44955.171900000001</v>
      </c>
      <c r="R283" s="61">
        <v>17846.896499999999</v>
      </c>
      <c r="S283" s="61">
        <v>0</v>
      </c>
      <c r="T283" s="1675">
        <v>0</v>
      </c>
      <c r="U283" s="430">
        <v>18319.5</v>
      </c>
      <c r="V283" s="526">
        <f t="shared" si="21"/>
        <v>81505.568400000004</v>
      </c>
    </row>
    <row r="284" spans="1:22">
      <c r="A284" s="85">
        <f t="shared" si="18"/>
        <v>2016.11</v>
      </c>
      <c r="B284" s="74">
        <v>200</v>
      </c>
      <c r="C284" s="61">
        <v>102</v>
      </c>
      <c r="D284" s="61">
        <v>5480.9400000000005</v>
      </c>
      <c r="E284" s="61">
        <v>333.41499999999996</v>
      </c>
      <c r="F284" s="573">
        <v>72</v>
      </c>
      <c r="G284" s="1365">
        <v>0</v>
      </c>
      <c r="H284" s="508">
        <f t="shared" si="22"/>
        <v>72</v>
      </c>
      <c r="I284" s="573">
        <v>9504.6790000000001</v>
      </c>
      <c r="J284" s="1531">
        <v>0</v>
      </c>
      <c r="K284" s="637">
        <f t="shared" si="23"/>
        <v>9504.6790000000001</v>
      </c>
      <c r="L284" s="1675">
        <v>128352.8167</v>
      </c>
      <c r="M284" s="430">
        <v>0</v>
      </c>
      <c r="N284" s="61">
        <v>0</v>
      </c>
      <c r="O284" s="525">
        <f t="shared" si="20"/>
        <v>128352.8167</v>
      </c>
      <c r="P284" s="61">
        <v>562</v>
      </c>
      <c r="Q284" s="61">
        <v>43971.887799999997</v>
      </c>
      <c r="R284" s="61">
        <v>17923.114399999999</v>
      </c>
      <c r="S284" s="61">
        <v>0</v>
      </c>
      <c r="T284" s="1675">
        <v>0</v>
      </c>
      <c r="U284" s="430">
        <v>18018.29</v>
      </c>
      <c r="V284" s="526">
        <f t="shared" si="21"/>
        <v>80475.292199999996</v>
      </c>
    </row>
    <row r="285" spans="1:22">
      <c r="A285" s="85">
        <f t="shared" si="18"/>
        <v>2016.12</v>
      </c>
      <c r="B285" s="74">
        <v>259</v>
      </c>
      <c r="C285" s="61">
        <v>93</v>
      </c>
      <c r="D285" s="61">
        <v>3720.44</v>
      </c>
      <c r="E285" s="61">
        <v>351.87099999999998</v>
      </c>
      <c r="F285" s="573">
        <v>36</v>
      </c>
      <c r="G285" s="1365">
        <v>0</v>
      </c>
      <c r="H285" s="508">
        <f t="shared" si="22"/>
        <v>36</v>
      </c>
      <c r="I285" s="573">
        <v>17345.403000000002</v>
      </c>
      <c r="J285" s="1531">
        <v>0</v>
      </c>
      <c r="K285" s="637">
        <f t="shared" si="23"/>
        <v>17345.403000000002</v>
      </c>
      <c r="L285" s="1675">
        <v>127957.9838</v>
      </c>
      <c r="M285" s="430">
        <v>0</v>
      </c>
      <c r="N285" s="61">
        <v>0</v>
      </c>
      <c r="O285" s="525">
        <f t="shared" si="20"/>
        <v>127957.9838</v>
      </c>
      <c r="P285" s="61">
        <v>520</v>
      </c>
      <c r="Q285" s="61">
        <v>49134.998099999997</v>
      </c>
      <c r="R285" s="61">
        <v>21219.408500000001</v>
      </c>
      <c r="S285" s="61">
        <v>0</v>
      </c>
      <c r="T285" s="1675">
        <v>0</v>
      </c>
      <c r="U285" s="430">
        <v>19234.12</v>
      </c>
      <c r="V285" s="526">
        <f t="shared" si="21"/>
        <v>90108.526599999997</v>
      </c>
    </row>
    <row r="286" spans="1:22">
      <c r="A286" s="85">
        <f t="shared" si="18"/>
        <v>2017.01</v>
      </c>
      <c r="B286" s="74">
        <v>233</v>
      </c>
      <c r="C286" s="61">
        <v>209</v>
      </c>
      <c r="D286" s="61">
        <v>3755.2799999999997</v>
      </c>
      <c r="E286" s="61">
        <v>362.70400000000001</v>
      </c>
      <c r="F286" s="573">
        <v>143</v>
      </c>
      <c r="G286" s="1365">
        <v>0</v>
      </c>
      <c r="H286" s="508">
        <f t="shared" ref="H286:H333" si="24">F286+G286</f>
        <v>143</v>
      </c>
      <c r="I286" s="573">
        <v>11170.666999999999</v>
      </c>
      <c r="J286" s="1531">
        <v>0</v>
      </c>
      <c r="K286" s="637">
        <f t="shared" ref="K286:K333" si="25">I286+J286</f>
        <v>11170.666999999999</v>
      </c>
      <c r="L286" s="1675">
        <v>106860.76329999999</v>
      </c>
      <c r="M286" s="430">
        <v>0</v>
      </c>
      <c r="N286" s="61">
        <v>0</v>
      </c>
      <c r="O286" s="525">
        <f t="shared" si="20"/>
        <v>106860.76329999999</v>
      </c>
      <c r="P286" s="61">
        <v>403</v>
      </c>
      <c r="Q286" s="61">
        <v>45725.525200000004</v>
      </c>
      <c r="R286" s="61">
        <v>18709.943800000001</v>
      </c>
      <c r="S286" s="61">
        <v>0</v>
      </c>
      <c r="T286" s="1675">
        <v>0</v>
      </c>
      <c r="U286" s="430">
        <v>20263.66</v>
      </c>
      <c r="V286" s="526">
        <f t="shared" si="21"/>
        <v>85102.129000000001</v>
      </c>
    </row>
    <row r="287" spans="1:22">
      <c r="A287" s="85">
        <f t="shared" si="18"/>
        <v>2017.02</v>
      </c>
      <c r="B287" s="74">
        <v>203</v>
      </c>
      <c r="C287" s="61">
        <v>119</v>
      </c>
      <c r="D287" s="61">
        <v>4200.6400000000003</v>
      </c>
      <c r="E287" s="61">
        <v>238.57599999999999</v>
      </c>
      <c r="F287" s="573">
        <v>105</v>
      </c>
      <c r="G287" s="1365">
        <v>0</v>
      </c>
      <c r="H287" s="508">
        <f t="shared" si="24"/>
        <v>105</v>
      </c>
      <c r="I287" s="573">
        <v>7709.6760000000004</v>
      </c>
      <c r="J287" s="1531">
        <v>0</v>
      </c>
      <c r="K287" s="637">
        <f t="shared" si="25"/>
        <v>7709.6760000000004</v>
      </c>
      <c r="L287" s="1675">
        <v>95684.027399999992</v>
      </c>
      <c r="M287" s="430">
        <v>0</v>
      </c>
      <c r="N287" s="61">
        <v>33.545000000000002</v>
      </c>
      <c r="O287" s="525">
        <f t="shared" si="20"/>
        <v>95717.57239999999</v>
      </c>
      <c r="P287" s="61">
        <v>269</v>
      </c>
      <c r="Q287" s="61">
        <v>41517.1109</v>
      </c>
      <c r="R287" s="61">
        <v>17213.8645</v>
      </c>
      <c r="S287" s="61">
        <v>0</v>
      </c>
      <c r="T287" s="1675">
        <v>0</v>
      </c>
      <c r="U287" s="430">
        <v>16988.57</v>
      </c>
      <c r="V287" s="526">
        <f t="shared" si="21"/>
        <v>75988.545400000003</v>
      </c>
    </row>
    <row r="288" spans="1:22">
      <c r="A288" s="85">
        <f t="shared" si="18"/>
        <v>2017.03</v>
      </c>
      <c r="B288" s="74">
        <v>220</v>
      </c>
      <c r="C288" s="61">
        <v>113</v>
      </c>
      <c r="D288" s="61">
        <v>4843.2199999999993</v>
      </c>
      <c r="E288" s="61">
        <v>457.73500000000001</v>
      </c>
      <c r="F288" s="573">
        <v>105</v>
      </c>
      <c r="G288" s="1365">
        <v>0</v>
      </c>
      <c r="H288" s="508">
        <f t="shared" si="24"/>
        <v>105</v>
      </c>
      <c r="I288" s="573">
        <v>27021.616000000002</v>
      </c>
      <c r="J288" s="1531">
        <v>0</v>
      </c>
      <c r="K288" s="637">
        <f t="shared" si="25"/>
        <v>27021.616000000002</v>
      </c>
      <c r="L288" s="1675">
        <v>123665.9621</v>
      </c>
      <c r="M288" s="430">
        <v>0</v>
      </c>
      <c r="N288" s="61">
        <v>0</v>
      </c>
      <c r="O288" s="525">
        <f t="shared" si="20"/>
        <v>123665.9621</v>
      </c>
      <c r="P288" s="61">
        <v>98</v>
      </c>
      <c r="Q288" s="61">
        <v>44425.710299999999</v>
      </c>
      <c r="R288" s="61">
        <v>19137.841700000001</v>
      </c>
      <c r="S288" s="61">
        <v>0</v>
      </c>
      <c r="T288" s="1675">
        <v>0</v>
      </c>
      <c r="U288" s="430">
        <v>18115.46</v>
      </c>
      <c r="V288" s="526">
        <f t="shared" si="21"/>
        <v>81777.011999999988</v>
      </c>
    </row>
    <row r="289" spans="1:22">
      <c r="A289" s="85">
        <f t="shared" si="18"/>
        <v>2017.04</v>
      </c>
      <c r="B289" s="74">
        <v>131</v>
      </c>
      <c r="C289" s="61">
        <v>81</v>
      </c>
      <c r="D289" s="61">
        <v>3976.7200000000003</v>
      </c>
      <c r="E289" s="61">
        <v>421.358</v>
      </c>
      <c r="F289" s="573">
        <v>216</v>
      </c>
      <c r="G289" s="1365">
        <v>0</v>
      </c>
      <c r="H289" s="508">
        <f t="shared" si="24"/>
        <v>216</v>
      </c>
      <c r="I289" s="573">
        <v>12939.789000000001</v>
      </c>
      <c r="J289" s="1531">
        <v>0</v>
      </c>
      <c r="K289" s="637">
        <f t="shared" si="25"/>
        <v>12939.789000000001</v>
      </c>
      <c r="L289" s="1675">
        <v>116614.5422</v>
      </c>
      <c r="M289" s="430">
        <v>0</v>
      </c>
      <c r="N289" s="61">
        <v>33.911000000000001</v>
      </c>
      <c r="O289" s="525">
        <f t="shared" si="20"/>
        <v>116648.45319999999</v>
      </c>
      <c r="P289" s="61">
        <v>0</v>
      </c>
      <c r="Q289" s="61">
        <v>42585.003899999996</v>
      </c>
      <c r="R289" s="61">
        <v>18594.341700000001</v>
      </c>
      <c r="S289" s="61">
        <v>0</v>
      </c>
      <c r="T289" s="1675">
        <v>0</v>
      </c>
      <c r="U289" s="430">
        <v>17260.75</v>
      </c>
      <c r="V289" s="526">
        <f t="shared" si="21"/>
        <v>78440.095600000001</v>
      </c>
    </row>
    <row r="290" spans="1:22">
      <c r="A290" s="85">
        <f t="shared" si="18"/>
        <v>2017.05</v>
      </c>
      <c r="B290" s="74">
        <v>150</v>
      </c>
      <c r="C290" s="61">
        <v>50</v>
      </c>
      <c r="D290" s="61">
        <v>3534.36</v>
      </c>
      <c r="E290" s="61">
        <v>504.33699999999999</v>
      </c>
      <c r="F290" s="573">
        <v>72</v>
      </c>
      <c r="G290" s="1365">
        <v>0</v>
      </c>
      <c r="H290" s="508">
        <f t="shared" si="24"/>
        <v>72</v>
      </c>
      <c r="I290" s="573">
        <v>12864.626</v>
      </c>
      <c r="J290" s="1531">
        <v>0</v>
      </c>
      <c r="K290" s="637">
        <f t="shared" si="25"/>
        <v>12864.626</v>
      </c>
      <c r="L290" s="1675">
        <v>132638.36629999999</v>
      </c>
      <c r="M290" s="430">
        <v>0</v>
      </c>
      <c r="N290" s="61">
        <v>32.896999999999998</v>
      </c>
      <c r="O290" s="525">
        <f t="shared" si="20"/>
        <v>132671.26329999999</v>
      </c>
      <c r="P290" s="61">
        <v>67</v>
      </c>
      <c r="Q290" s="61">
        <v>43960.573400000001</v>
      </c>
      <c r="R290" s="61">
        <v>19010.530299999999</v>
      </c>
      <c r="S290" s="61">
        <v>0</v>
      </c>
      <c r="T290" s="1675">
        <v>0</v>
      </c>
      <c r="U290" s="430">
        <v>21897.56</v>
      </c>
      <c r="V290" s="526">
        <f t="shared" si="21"/>
        <v>84935.663700000005</v>
      </c>
    </row>
    <row r="291" spans="1:22">
      <c r="A291" s="85">
        <f t="shared" si="18"/>
        <v>2017.06</v>
      </c>
      <c r="B291" s="74">
        <v>129</v>
      </c>
      <c r="C291" s="61">
        <v>51</v>
      </c>
      <c r="D291" s="61">
        <v>3752.9</v>
      </c>
      <c r="E291" s="61">
        <v>346.00599999999997</v>
      </c>
      <c r="F291" s="573">
        <v>35</v>
      </c>
      <c r="G291" s="1365">
        <v>0</v>
      </c>
      <c r="H291" s="508">
        <f t="shared" si="24"/>
        <v>35</v>
      </c>
      <c r="I291" s="573">
        <v>11314.119000000001</v>
      </c>
      <c r="J291" s="1531">
        <v>0</v>
      </c>
      <c r="K291" s="637">
        <f t="shared" si="25"/>
        <v>11314.119000000001</v>
      </c>
      <c r="L291" s="1675">
        <v>169020.549</v>
      </c>
      <c r="M291" s="430">
        <v>0</v>
      </c>
      <c r="N291" s="61">
        <v>0</v>
      </c>
      <c r="O291" s="525">
        <f t="shared" si="20"/>
        <v>169020.549</v>
      </c>
      <c r="P291" s="61">
        <v>0</v>
      </c>
      <c r="Q291" s="61">
        <v>61723.681000000004</v>
      </c>
      <c r="R291" s="61">
        <v>23113.506099999999</v>
      </c>
      <c r="S291" s="61">
        <v>0</v>
      </c>
      <c r="T291" s="1675">
        <v>0</v>
      </c>
      <c r="U291" s="430">
        <v>16627.25</v>
      </c>
      <c r="V291" s="526">
        <f t="shared" si="21"/>
        <v>101464.43710000001</v>
      </c>
    </row>
    <row r="292" spans="1:22">
      <c r="A292" s="85">
        <f t="shared" si="18"/>
        <v>2017.07</v>
      </c>
      <c r="B292" s="74">
        <v>134</v>
      </c>
      <c r="C292" s="61">
        <v>56</v>
      </c>
      <c r="D292" s="61">
        <v>4337.58</v>
      </c>
      <c r="E292" s="61">
        <v>504.59800000000001</v>
      </c>
      <c r="F292" s="573">
        <v>36</v>
      </c>
      <c r="G292" s="1365">
        <v>0</v>
      </c>
      <c r="H292" s="508">
        <f t="shared" si="24"/>
        <v>36</v>
      </c>
      <c r="I292" s="573">
        <v>20357.14</v>
      </c>
      <c r="J292" s="1531">
        <v>0</v>
      </c>
      <c r="K292" s="637">
        <f t="shared" si="25"/>
        <v>20357.14</v>
      </c>
      <c r="L292" s="1675">
        <v>127025.8058</v>
      </c>
      <c r="M292" s="430">
        <v>0</v>
      </c>
      <c r="N292" s="61">
        <v>537.01599999999996</v>
      </c>
      <c r="O292" s="525">
        <f t="shared" si="20"/>
        <v>127562.82180000001</v>
      </c>
      <c r="P292" s="61">
        <v>166</v>
      </c>
      <c r="Q292" s="61">
        <v>46019.179199999999</v>
      </c>
      <c r="R292" s="61">
        <v>20567.797599999998</v>
      </c>
      <c r="S292" s="61">
        <v>0</v>
      </c>
      <c r="T292" s="1675">
        <v>0</v>
      </c>
      <c r="U292" s="430">
        <v>22903.25</v>
      </c>
      <c r="V292" s="526">
        <f t="shared" si="21"/>
        <v>89656.226800000004</v>
      </c>
    </row>
    <row r="293" spans="1:22">
      <c r="A293" s="85">
        <f t="shared" si="18"/>
        <v>2017.08</v>
      </c>
      <c r="B293" s="74">
        <v>169</v>
      </c>
      <c r="C293" s="61">
        <v>70</v>
      </c>
      <c r="D293" s="61">
        <v>5588.34</v>
      </c>
      <c r="E293" s="61">
        <v>412.44</v>
      </c>
      <c r="F293" s="573">
        <v>70</v>
      </c>
      <c r="G293" s="1365">
        <v>0</v>
      </c>
      <c r="H293" s="508">
        <f t="shared" si="24"/>
        <v>70</v>
      </c>
      <c r="I293" s="573">
        <v>7898.2060000000001</v>
      </c>
      <c r="J293" s="1531">
        <v>0</v>
      </c>
      <c r="K293" s="637">
        <f t="shared" si="25"/>
        <v>7898.2060000000001</v>
      </c>
      <c r="L293" s="1675">
        <v>134126.00839999999</v>
      </c>
      <c r="M293" s="430">
        <v>0</v>
      </c>
      <c r="N293" s="61">
        <v>579.178</v>
      </c>
      <c r="O293" s="525">
        <f t="shared" si="20"/>
        <v>134705.18640000001</v>
      </c>
      <c r="P293" s="61">
        <v>132</v>
      </c>
      <c r="Q293" s="61">
        <v>47437.535399999993</v>
      </c>
      <c r="R293" s="61">
        <v>21083.7588</v>
      </c>
      <c r="S293" s="61">
        <v>0</v>
      </c>
      <c r="T293" s="1675">
        <v>0</v>
      </c>
      <c r="U293" s="430">
        <v>19478.830000000002</v>
      </c>
      <c r="V293" s="526">
        <f t="shared" si="21"/>
        <v>88132.124199999991</v>
      </c>
    </row>
    <row r="294" spans="1:22">
      <c r="A294" s="85">
        <f t="shared" si="18"/>
        <v>2017.09</v>
      </c>
      <c r="B294" s="74">
        <v>172</v>
      </c>
      <c r="C294" s="61">
        <v>81</v>
      </c>
      <c r="D294" s="61">
        <v>5217.08</v>
      </c>
      <c r="E294" s="61">
        <v>271.95400000000001</v>
      </c>
      <c r="F294" s="573">
        <v>108</v>
      </c>
      <c r="G294" s="1365">
        <v>0</v>
      </c>
      <c r="H294" s="508">
        <f t="shared" si="24"/>
        <v>108</v>
      </c>
      <c r="I294" s="573">
        <v>1160.3130000000001</v>
      </c>
      <c r="J294" s="1531">
        <v>0</v>
      </c>
      <c r="K294" s="637">
        <f t="shared" si="25"/>
        <v>1160.3130000000001</v>
      </c>
      <c r="L294" s="1675">
        <v>123083.00930000001</v>
      </c>
      <c r="M294" s="430">
        <v>0</v>
      </c>
      <c r="N294" s="61">
        <v>96.426000000000002</v>
      </c>
      <c r="O294" s="525">
        <f t="shared" si="20"/>
        <v>123179.43530000001</v>
      </c>
      <c r="P294" s="61">
        <v>69</v>
      </c>
      <c r="Q294" s="61">
        <v>45771.133699999998</v>
      </c>
      <c r="R294" s="61">
        <v>20918.5527</v>
      </c>
      <c r="S294" s="61">
        <v>0</v>
      </c>
      <c r="T294" s="1675">
        <v>0</v>
      </c>
      <c r="U294" s="430">
        <v>25074.63</v>
      </c>
      <c r="V294" s="526">
        <f t="shared" si="21"/>
        <v>91833.316400000011</v>
      </c>
    </row>
    <row r="295" spans="1:22">
      <c r="A295" s="85">
        <f t="shared" si="18"/>
        <v>2017.1</v>
      </c>
      <c r="B295" s="74">
        <v>254</v>
      </c>
      <c r="C295" s="61">
        <v>120</v>
      </c>
      <c r="D295" s="61">
        <v>5199.2199999999993</v>
      </c>
      <c r="E295" s="61">
        <v>273.10699999999997</v>
      </c>
      <c r="F295" s="573">
        <v>105</v>
      </c>
      <c r="G295" s="1365">
        <v>0</v>
      </c>
      <c r="H295" s="508">
        <f t="shared" si="24"/>
        <v>105</v>
      </c>
      <c r="I295" s="573">
        <v>0</v>
      </c>
      <c r="J295" s="1531">
        <v>0</v>
      </c>
      <c r="K295" s="637">
        <v>0</v>
      </c>
      <c r="L295" s="1675">
        <v>124318.4587</v>
      </c>
      <c r="M295" s="430">
        <v>0</v>
      </c>
      <c r="N295" s="61">
        <v>89.471000000000004</v>
      </c>
      <c r="O295" s="525">
        <f t="shared" si="20"/>
        <v>124407.92970000001</v>
      </c>
      <c r="P295" s="61">
        <v>83</v>
      </c>
      <c r="Q295" s="61">
        <v>46618.670400000003</v>
      </c>
      <c r="R295" s="61">
        <v>22066.5121</v>
      </c>
      <c r="S295" s="61">
        <v>0</v>
      </c>
      <c r="T295" s="1675">
        <v>0</v>
      </c>
      <c r="U295" s="430">
        <v>11960.08</v>
      </c>
      <c r="V295" s="526">
        <f t="shared" si="21"/>
        <v>80728.262499999997</v>
      </c>
    </row>
    <row r="296" spans="1:22">
      <c r="A296" s="85">
        <f t="shared" si="18"/>
        <v>2017.11</v>
      </c>
      <c r="B296" s="74">
        <f>0+2031</f>
        <v>2031</v>
      </c>
      <c r="C296" s="61">
        <v>90</v>
      </c>
      <c r="D296" s="61">
        <v>6008.78</v>
      </c>
      <c r="E296" s="61">
        <v>81</v>
      </c>
      <c r="F296" s="573">
        <v>0</v>
      </c>
      <c r="G296" s="1365">
        <v>0</v>
      </c>
      <c r="H296" s="508">
        <f t="shared" si="24"/>
        <v>0</v>
      </c>
      <c r="I296" s="573">
        <v>0</v>
      </c>
      <c r="J296" s="1531">
        <v>0</v>
      </c>
      <c r="K296" s="637">
        <f t="shared" si="25"/>
        <v>0</v>
      </c>
      <c r="L296" s="1675">
        <f>109555.9682+26374.5934</f>
        <v>135930.56160000002</v>
      </c>
      <c r="M296" s="430">
        <v>0</v>
      </c>
      <c r="N296" s="61">
        <v>59.665999999999997</v>
      </c>
      <c r="O296" s="525">
        <f t="shared" si="20"/>
        <v>135990.22760000001</v>
      </c>
      <c r="P296" s="61">
        <v>414</v>
      </c>
      <c r="Q296" s="61">
        <v>47100.704400000002</v>
      </c>
      <c r="R296" s="61">
        <v>21032.6826</v>
      </c>
      <c r="S296" s="61">
        <v>0</v>
      </c>
      <c r="T296" s="1675">
        <v>0</v>
      </c>
      <c r="U296" s="430">
        <v>16428.61</v>
      </c>
      <c r="V296" s="526">
        <f t="shared" si="21"/>
        <v>84975.997000000003</v>
      </c>
    </row>
    <row r="297" spans="1:22">
      <c r="A297" s="85">
        <f t="shared" si="18"/>
        <v>2017.12</v>
      </c>
      <c r="B297" s="74">
        <v>2272</v>
      </c>
      <c r="C297" s="61">
        <v>139</v>
      </c>
      <c r="D297" s="61">
        <v>4271.2300000000005</v>
      </c>
      <c r="E297" s="61">
        <v>375.55700000000002</v>
      </c>
      <c r="F297" s="573">
        <v>0</v>
      </c>
      <c r="G297" s="1365">
        <v>0</v>
      </c>
      <c r="H297" s="508">
        <f t="shared" si="24"/>
        <v>0</v>
      </c>
      <c r="I297" s="573">
        <v>577.48</v>
      </c>
      <c r="J297" s="1531">
        <v>0</v>
      </c>
      <c r="K297" s="637">
        <f t="shared" si="25"/>
        <v>577.48</v>
      </c>
      <c r="L297" s="1675">
        <v>125889.1759</v>
      </c>
      <c r="M297" s="430">
        <v>0</v>
      </c>
      <c r="N297" s="61">
        <v>49.423999999999999</v>
      </c>
      <c r="O297" s="525">
        <f t="shared" si="20"/>
        <v>125938.5999</v>
      </c>
      <c r="P297" s="61">
        <v>285</v>
      </c>
      <c r="Q297" s="61">
        <v>50836.3315</v>
      </c>
      <c r="R297" s="61">
        <v>22771.734699999997</v>
      </c>
      <c r="S297" s="61">
        <v>0</v>
      </c>
      <c r="T297" s="1675">
        <v>0</v>
      </c>
      <c r="U297" s="430">
        <v>12320.831</v>
      </c>
      <c r="V297" s="526">
        <f t="shared" si="21"/>
        <v>86213.897200000007</v>
      </c>
    </row>
    <row r="298" spans="1:22">
      <c r="A298" s="85">
        <f t="shared" si="18"/>
        <v>2018.01</v>
      </c>
      <c r="B298" s="74">
        <v>2916</v>
      </c>
      <c r="C298" s="61">
        <v>161</v>
      </c>
      <c r="D298" s="61">
        <v>3712.92</v>
      </c>
      <c r="E298" s="61">
        <v>246.78899999999999</v>
      </c>
      <c r="F298" s="573">
        <v>0</v>
      </c>
      <c r="G298" s="1365">
        <v>0</v>
      </c>
      <c r="H298" s="508">
        <f t="shared" si="24"/>
        <v>0</v>
      </c>
      <c r="I298" s="573">
        <v>778.14400000000001</v>
      </c>
      <c r="J298" s="1531">
        <v>0</v>
      </c>
      <c r="K298" s="637">
        <f t="shared" si="25"/>
        <v>778.14400000000001</v>
      </c>
      <c r="L298" s="1675">
        <v>115144.3989</v>
      </c>
      <c r="M298" s="430">
        <v>0</v>
      </c>
      <c r="N298" s="61">
        <v>0</v>
      </c>
      <c r="O298" s="525">
        <f t="shared" si="20"/>
        <v>115144.3989</v>
      </c>
      <c r="P298" s="61">
        <v>237</v>
      </c>
      <c r="Q298" s="61">
        <v>46390.646999999997</v>
      </c>
      <c r="R298" s="61">
        <v>21065.332699999999</v>
      </c>
      <c r="S298" s="61">
        <v>0</v>
      </c>
      <c r="T298" s="1675">
        <v>0</v>
      </c>
      <c r="U298" s="430">
        <v>15382.562</v>
      </c>
      <c r="V298" s="526">
        <f t="shared" si="21"/>
        <v>83075.541700000002</v>
      </c>
    </row>
    <row r="299" spans="1:22">
      <c r="A299" s="85">
        <f t="shared" si="18"/>
        <v>2018.02</v>
      </c>
      <c r="B299" s="74">
        <v>2628</v>
      </c>
      <c r="C299" s="61">
        <v>139</v>
      </c>
      <c r="D299" s="61">
        <v>4672.38</v>
      </c>
      <c r="E299" s="61">
        <v>296.31399999999996</v>
      </c>
      <c r="F299" s="573">
        <v>0</v>
      </c>
      <c r="G299" s="1365">
        <v>0</v>
      </c>
      <c r="H299" s="508">
        <f t="shared" si="24"/>
        <v>0</v>
      </c>
      <c r="I299" s="573">
        <v>630.48800000000006</v>
      </c>
      <c r="J299" s="1531">
        <v>0</v>
      </c>
      <c r="K299" s="637">
        <f t="shared" si="25"/>
        <v>630.48800000000006</v>
      </c>
      <c r="L299" s="1675">
        <v>95699.698099999994</v>
      </c>
      <c r="M299" s="430">
        <v>0</v>
      </c>
      <c r="N299" s="61">
        <v>0</v>
      </c>
      <c r="O299" s="525">
        <f t="shared" si="20"/>
        <v>95699.698099999994</v>
      </c>
      <c r="P299" s="61">
        <v>363</v>
      </c>
      <c r="Q299" s="61">
        <v>42631.658200000005</v>
      </c>
      <c r="R299" s="61">
        <v>18997.856800000001</v>
      </c>
      <c r="S299" s="61">
        <v>0</v>
      </c>
      <c r="T299" s="1675">
        <v>0</v>
      </c>
      <c r="U299" s="430">
        <v>11809.072</v>
      </c>
      <c r="V299" s="526">
        <f t="shared" si="21"/>
        <v>73801.587</v>
      </c>
    </row>
    <row r="300" spans="1:22">
      <c r="A300" s="85">
        <f t="shared" si="18"/>
        <v>2018.03</v>
      </c>
      <c r="B300" s="74">
        <v>2498</v>
      </c>
      <c r="C300" s="61">
        <v>88</v>
      </c>
      <c r="D300" s="61">
        <v>4485.32</v>
      </c>
      <c r="E300" s="61">
        <v>201.38800000000001</v>
      </c>
      <c r="F300" s="573">
        <v>0</v>
      </c>
      <c r="G300" s="1365">
        <v>0</v>
      </c>
      <c r="H300" s="508">
        <f t="shared" si="24"/>
        <v>0</v>
      </c>
      <c r="I300" s="573">
        <v>608.22</v>
      </c>
      <c r="J300" s="1531">
        <v>0</v>
      </c>
      <c r="K300" s="637">
        <f t="shared" si="25"/>
        <v>608.22</v>
      </c>
      <c r="L300" s="1675">
        <v>136061.32740000001</v>
      </c>
      <c r="M300" s="430">
        <v>0</v>
      </c>
      <c r="N300" s="61">
        <v>0</v>
      </c>
      <c r="O300" s="525">
        <f t="shared" si="20"/>
        <v>136061.32740000001</v>
      </c>
      <c r="P300" s="61">
        <v>444</v>
      </c>
      <c r="Q300" s="61">
        <v>47878.616000000002</v>
      </c>
      <c r="R300" s="61">
        <v>21111.2215</v>
      </c>
      <c r="S300" s="61">
        <v>0</v>
      </c>
      <c r="T300" s="1675">
        <v>0</v>
      </c>
      <c r="U300" s="430">
        <v>0</v>
      </c>
      <c r="V300" s="526">
        <f t="shared" si="21"/>
        <v>69433.837499999994</v>
      </c>
    </row>
    <row r="301" spans="1:22">
      <c r="A301" s="85">
        <f t="shared" si="18"/>
        <v>2018.04</v>
      </c>
      <c r="B301" s="74">
        <v>2293</v>
      </c>
      <c r="C301" s="61">
        <v>59</v>
      </c>
      <c r="D301" s="61">
        <v>5555.42</v>
      </c>
      <c r="E301" s="61">
        <v>304.82600000000002</v>
      </c>
      <c r="F301" s="573">
        <v>0</v>
      </c>
      <c r="G301" s="1365">
        <v>0</v>
      </c>
      <c r="H301" s="508">
        <f t="shared" si="24"/>
        <v>0</v>
      </c>
      <c r="I301" s="573">
        <v>391.83</v>
      </c>
      <c r="J301" s="1531">
        <v>0</v>
      </c>
      <c r="K301" s="637">
        <f t="shared" si="25"/>
        <v>391.83</v>
      </c>
      <c r="L301" s="1675">
        <v>131738.59299999999</v>
      </c>
      <c r="M301" s="430">
        <v>0</v>
      </c>
      <c r="N301" s="61">
        <v>0</v>
      </c>
      <c r="O301" s="525">
        <f t="shared" si="20"/>
        <v>131738.59299999999</v>
      </c>
      <c r="P301" s="61">
        <v>483</v>
      </c>
      <c r="Q301" s="61">
        <v>45850.663</v>
      </c>
      <c r="R301" s="61">
        <v>19357.578000000001</v>
      </c>
      <c r="S301" s="61">
        <v>0</v>
      </c>
      <c r="T301" s="1675">
        <v>0</v>
      </c>
      <c r="U301" s="430">
        <v>140</v>
      </c>
      <c r="V301" s="526">
        <f t="shared" si="21"/>
        <v>65831.241000000009</v>
      </c>
    </row>
    <row r="302" spans="1:22">
      <c r="A302" s="85">
        <f t="shared" si="18"/>
        <v>2018.05</v>
      </c>
      <c r="B302" s="74">
        <v>2381</v>
      </c>
      <c r="C302" s="61">
        <v>51</v>
      </c>
      <c r="D302" s="61">
        <v>3922.66</v>
      </c>
      <c r="E302" s="61">
        <v>349.70600000000002</v>
      </c>
      <c r="F302" s="573">
        <v>0</v>
      </c>
      <c r="G302" s="1365">
        <v>0</v>
      </c>
      <c r="H302" s="508">
        <f t="shared" si="24"/>
        <v>0</v>
      </c>
      <c r="I302" s="573">
        <v>314</v>
      </c>
      <c r="J302" s="1531">
        <v>0</v>
      </c>
      <c r="K302" s="637">
        <f t="shared" si="25"/>
        <v>314</v>
      </c>
      <c r="L302" s="1675">
        <v>120264.90000000001</v>
      </c>
      <c r="M302" s="430">
        <v>0</v>
      </c>
      <c r="N302" s="61">
        <v>0</v>
      </c>
      <c r="O302" s="525">
        <f t="shared" si="20"/>
        <v>120264.90000000001</v>
      </c>
      <c r="P302" s="61">
        <v>423</v>
      </c>
      <c r="Q302" s="61">
        <v>46240.112999999998</v>
      </c>
      <c r="R302" s="61">
        <v>19789.815999999999</v>
      </c>
      <c r="S302" s="61">
        <v>0</v>
      </c>
      <c r="T302" s="1675">
        <v>0</v>
      </c>
      <c r="U302" s="430">
        <v>140</v>
      </c>
      <c r="V302" s="526">
        <f t="shared" si="21"/>
        <v>66592.929000000004</v>
      </c>
    </row>
    <row r="303" spans="1:22">
      <c r="A303" s="85">
        <f t="shared" si="18"/>
        <v>2018.06</v>
      </c>
      <c r="B303" s="74">
        <v>2171</v>
      </c>
      <c r="C303" s="61">
        <v>92</v>
      </c>
      <c r="D303" s="61">
        <v>4700.5600000000004</v>
      </c>
      <c r="E303" s="61">
        <v>511.29</v>
      </c>
      <c r="F303" s="573">
        <v>0</v>
      </c>
      <c r="G303" s="1365">
        <v>0</v>
      </c>
      <c r="H303" s="508">
        <f t="shared" si="24"/>
        <v>0</v>
      </c>
      <c r="I303" s="573">
        <v>388.19</v>
      </c>
      <c r="J303" s="1531">
        <v>0</v>
      </c>
      <c r="K303" s="637">
        <f t="shared" si="25"/>
        <v>388.19</v>
      </c>
      <c r="L303" s="1675">
        <v>126389.277</v>
      </c>
      <c r="M303" s="430">
        <v>1972</v>
      </c>
      <c r="N303" s="61">
        <v>173.67699999999999</v>
      </c>
      <c r="O303" s="525">
        <f t="shared" si="20"/>
        <v>128534.954</v>
      </c>
      <c r="P303" s="61">
        <v>357</v>
      </c>
      <c r="Q303" s="61">
        <v>43807.545899999997</v>
      </c>
      <c r="R303" s="61">
        <v>18805.291000000001</v>
      </c>
      <c r="S303" s="61">
        <v>412</v>
      </c>
      <c r="T303" s="1675">
        <v>0</v>
      </c>
      <c r="U303" s="430">
        <v>9909.5</v>
      </c>
      <c r="V303" s="526">
        <f t="shared" si="21"/>
        <v>73291.336899999995</v>
      </c>
    </row>
    <row r="304" spans="1:22">
      <c r="A304" s="85">
        <f t="shared" si="18"/>
        <v>2018.07</v>
      </c>
      <c r="B304" s="74">
        <v>2628</v>
      </c>
      <c r="C304" s="61">
        <v>39</v>
      </c>
      <c r="D304" s="61">
        <v>3536</v>
      </c>
      <c r="E304" s="61">
        <v>342.08500000000004</v>
      </c>
      <c r="F304" s="573">
        <v>0</v>
      </c>
      <c r="G304" s="1365">
        <v>0</v>
      </c>
      <c r="H304" s="508">
        <f>F304+G304</f>
        <v>0</v>
      </c>
      <c r="I304" s="573">
        <v>801.85</v>
      </c>
      <c r="J304" s="1531">
        <v>4679.95</v>
      </c>
      <c r="K304" s="637">
        <f>I304+J304</f>
        <v>5481.8</v>
      </c>
      <c r="L304" s="1675">
        <v>118562.802</v>
      </c>
      <c r="M304" s="430">
        <v>0</v>
      </c>
      <c r="N304" s="61">
        <v>0</v>
      </c>
      <c r="O304" s="525">
        <f>L304+M304+N304</f>
        <v>118562.802</v>
      </c>
      <c r="P304" s="61">
        <v>361</v>
      </c>
      <c r="Q304" s="61">
        <v>48003.635000000002</v>
      </c>
      <c r="R304" s="61">
        <v>19421.243999999999</v>
      </c>
      <c r="S304" s="61">
        <v>0</v>
      </c>
      <c r="T304" s="1675">
        <v>12524.91</v>
      </c>
      <c r="U304" s="430">
        <v>0</v>
      </c>
      <c r="V304" s="526">
        <f>SUM(P304:U304)</f>
        <v>80310.789000000004</v>
      </c>
    </row>
    <row r="305" spans="1:22">
      <c r="A305" s="85">
        <f t="shared" si="18"/>
        <v>2018.08</v>
      </c>
      <c r="B305" s="74">
        <v>2658</v>
      </c>
      <c r="C305" s="61">
        <v>79</v>
      </c>
      <c r="D305" s="61">
        <v>5607.4279999999999</v>
      </c>
      <c r="E305" s="61">
        <v>350.09899999999999</v>
      </c>
      <c r="F305" s="573">
        <v>0</v>
      </c>
      <c r="G305" s="1365">
        <v>0</v>
      </c>
      <c r="H305" s="508">
        <f t="shared" si="24"/>
        <v>0</v>
      </c>
      <c r="I305" s="573">
        <v>365.61</v>
      </c>
      <c r="J305" s="1531">
        <v>22784.478999999999</v>
      </c>
      <c r="K305" s="637">
        <f t="shared" si="25"/>
        <v>23150.089</v>
      </c>
      <c r="L305" s="1675">
        <v>126950.576</v>
      </c>
      <c r="M305" s="430">
        <v>14670.675999999999</v>
      </c>
      <c r="N305" s="61">
        <v>6.0010000000000003</v>
      </c>
      <c r="O305" s="525">
        <f t="shared" si="20"/>
        <v>141627.253</v>
      </c>
      <c r="P305" s="61">
        <v>393</v>
      </c>
      <c r="Q305" s="61">
        <v>51105.648999999998</v>
      </c>
      <c r="R305" s="61">
        <v>18640.183000000001</v>
      </c>
      <c r="S305" s="61">
        <v>0</v>
      </c>
      <c r="T305" s="1675">
        <v>0</v>
      </c>
      <c r="U305" s="430">
        <v>8801.9599999999991</v>
      </c>
      <c r="V305" s="526">
        <f t="shared" si="21"/>
        <v>78940.791999999987</v>
      </c>
    </row>
    <row r="306" spans="1:22">
      <c r="A306" s="85">
        <f t="shared" si="18"/>
        <v>2018.09</v>
      </c>
      <c r="B306" s="74">
        <v>185</v>
      </c>
      <c r="C306" s="61">
        <v>80</v>
      </c>
      <c r="D306" s="61">
        <v>3371.02</v>
      </c>
      <c r="E306" s="61">
        <v>141.21</v>
      </c>
      <c r="F306" s="573">
        <v>0</v>
      </c>
      <c r="G306" s="1365">
        <v>0</v>
      </c>
      <c r="H306" s="508">
        <f t="shared" si="24"/>
        <v>0</v>
      </c>
      <c r="I306" s="573">
        <v>494</v>
      </c>
      <c r="J306" s="1531">
        <v>0</v>
      </c>
      <c r="K306" s="637">
        <f t="shared" si="25"/>
        <v>494</v>
      </c>
      <c r="L306" s="1675">
        <v>106344.768</v>
      </c>
      <c r="M306" s="430">
        <v>0</v>
      </c>
      <c r="N306" s="61">
        <v>0</v>
      </c>
      <c r="O306" s="525">
        <f t="shared" si="20"/>
        <v>106344.768</v>
      </c>
      <c r="P306" s="61">
        <v>234</v>
      </c>
      <c r="Q306" s="61">
        <v>45573.165000000001</v>
      </c>
      <c r="R306" s="61">
        <v>14826.778</v>
      </c>
      <c r="S306" s="61">
        <v>0</v>
      </c>
      <c r="T306" s="1675">
        <v>0</v>
      </c>
      <c r="U306" s="430">
        <v>9191.5499999999993</v>
      </c>
      <c r="V306" s="526">
        <f t="shared" si="21"/>
        <v>69825.493000000002</v>
      </c>
    </row>
    <row r="307" spans="1:22">
      <c r="A307" s="85">
        <f t="shared" ref="A307:A370" si="26">A295+1</f>
        <v>2018.1</v>
      </c>
      <c r="B307" s="74">
        <v>2728</v>
      </c>
      <c r="C307" s="61">
        <v>87</v>
      </c>
      <c r="D307" s="61">
        <v>5329.94</v>
      </c>
      <c r="E307" s="61">
        <v>200.09899999999999</v>
      </c>
      <c r="F307" s="573">
        <v>0</v>
      </c>
      <c r="G307" s="1365">
        <v>0</v>
      </c>
      <c r="H307" s="508">
        <f t="shared" si="24"/>
        <v>0</v>
      </c>
      <c r="I307" s="573">
        <v>382</v>
      </c>
      <c r="J307" s="1531">
        <v>0</v>
      </c>
      <c r="K307" s="637">
        <f t="shared" si="25"/>
        <v>382</v>
      </c>
      <c r="L307" s="1675">
        <v>111630.17300000001</v>
      </c>
      <c r="M307" s="430">
        <v>0</v>
      </c>
      <c r="N307" s="61">
        <v>0</v>
      </c>
      <c r="O307" s="525">
        <f t="shared" si="20"/>
        <v>111630.17300000001</v>
      </c>
      <c r="P307" s="61">
        <v>82</v>
      </c>
      <c r="Q307" s="61">
        <v>50251.673000000003</v>
      </c>
      <c r="R307" s="61">
        <v>15615.162</v>
      </c>
      <c r="S307" s="61">
        <v>0</v>
      </c>
      <c r="T307" s="1675">
        <v>0</v>
      </c>
      <c r="U307" s="430">
        <v>10912.81</v>
      </c>
      <c r="V307" s="526">
        <f t="shared" si="21"/>
        <v>76861.645000000004</v>
      </c>
    </row>
    <row r="308" spans="1:22">
      <c r="A308" s="85">
        <f t="shared" si="26"/>
        <v>2018.11</v>
      </c>
      <c r="B308" s="74">
        <v>2412</v>
      </c>
      <c r="C308" s="61">
        <v>144</v>
      </c>
      <c r="D308" s="61">
        <v>4420.34</v>
      </c>
      <c r="E308" s="61">
        <v>161.06</v>
      </c>
      <c r="F308" s="573">
        <v>0</v>
      </c>
      <c r="G308" s="1365">
        <v>0</v>
      </c>
      <c r="H308" s="508">
        <f t="shared" si="24"/>
        <v>0</v>
      </c>
      <c r="I308" s="573">
        <v>424.02</v>
      </c>
      <c r="J308" s="1531">
        <v>0</v>
      </c>
      <c r="K308" s="637">
        <f t="shared" si="25"/>
        <v>424.02</v>
      </c>
      <c r="L308" s="1675">
        <v>118943.56</v>
      </c>
      <c r="M308" s="430">
        <v>0</v>
      </c>
      <c r="N308" s="61">
        <v>75.259</v>
      </c>
      <c r="O308" s="525">
        <f t="shared" si="20"/>
        <v>119018.819</v>
      </c>
      <c r="P308" s="61">
        <v>0</v>
      </c>
      <c r="Q308" s="61">
        <v>48138.847999999998</v>
      </c>
      <c r="R308" s="61">
        <v>14488.013000000001</v>
      </c>
      <c r="S308" s="61">
        <v>0</v>
      </c>
      <c r="T308" s="1675">
        <v>7484.87</v>
      </c>
      <c r="U308" s="430">
        <v>0</v>
      </c>
      <c r="V308" s="526">
        <f t="shared" si="21"/>
        <v>70111.731</v>
      </c>
    </row>
    <row r="309" spans="1:22">
      <c r="A309" s="85">
        <f t="shared" si="26"/>
        <v>2018.12</v>
      </c>
      <c r="B309" s="74">
        <v>2803</v>
      </c>
      <c r="C309" s="61">
        <v>97</v>
      </c>
      <c r="D309" s="61">
        <v>3023.66</v>
      </c>
      <c r="E309" s="61">
        <v>125.62</v>
      </c>
      <c r="F309" s="573">
        <v>0</v>
      </c>
      <c r="G309" s="1365">
        <v>0</v>
      </c>
      <c r="H309" s="508">
        <f t="shared" si="24"/>
        <v>0</v>
      </c>
      <c r="I309" s="573">
        <v>289.06</v>
      </c>
      <c r="J309" s="1531">
        <v>0</v>
      </c>
      <c r="K309" s="637">
        <f t="shared" si="25"/>
        <v>289.06</v>
      </c>
      <c r="L309" s="1675">
        <v>121037.55</v>
      </c>
      <c r="M309" s="430">
        <v>0</v>
      </c>
      <c r="N309" s="61">
        <v>58.55</v>
      </c>
      <c r="O309" s="525">
        <f t="shared" si="20"/>
        <v>121096.1</v>
      </c>
      <c r="P309" s="61">
        <v>0</v>
      </c>
      <c r="Q309" s="61">
        <v>54068.661</v>
      </c>
      <c r="R309" s="61">
        <v>17250.996999999999</v>
      </c>
      <c r="S309" s="61">
        <v>0</v>
      </c>
      <c r="T309" s="1675">
        <v>0</v>
      </c>
      <c r="U309" s="430">
        <v>12694.41</v>
      </c>
      <c r="V309" s="526">
        <f t="shared" si="21"/>
        <v>84014.067999999999</v>
      </c>
    </row>
    <row r="310" spans="1:22">
      <c r="A310" s="85">
        <f t="shared" si="26"/>
        <v>2019.01</v>
      </c>
      <c r="B310" s="74">
        <v>2939</v>
      </c>
      <c r="C310" s="61">
        <v>88</v>
      </c>
      <c r="D310" s="61">
        <v>2964</v>
      </c>
      <c r="E310" s="61">
        <v>117.86</v>
      </c>
      <c r="F310" s="573">
        <v>0</v>
      </c>
      <c r="G310" s="1365">
        <v>0</v>
      </c>
      <c r="H310" s="508">
        <f t="shared" si="24"/>
        <v>0</v>
      </c>
      <c r="I310" s="573">
        <v>180</v>
      </c>
      <c r="J310" s="1531">
        <v>0</v>
      </c>
      <c r="K310" s="637">
        <f t="shared" si="25"/>
        <v>180</v>
      </c>
      <c r="L310" s="1675">
        <f>75934.46+21297</f>
        <v>97231.46</v>
      </c>
      <c r="M310" s="430">
        <v>0</v>
      </c>
      <c r="N310" s="61">
        <v>0</v>
      </c>
      <c r="O310" s="525">
        <f t="shared" si="20"/>
        <v>97231.46</v>
      </c>
      <c r="P310" s="61">
        <v>0</v>
      </c>
      <c r="Q310" s="61">
        <v>46116</v>
      </c>
      <c r="R310" s="61">
        <v>14847</v>
      </c>
      <c r="S310" s="61">
        <v>0</v>
      </c>
      <c r="T310" s="1675">
        <v>0</v>
      </c>
      <c r="U310" s="430">
        <v>4311.6000000000004</v>
      </c>
      <c r="V310" s="526">
        <f t="shared" si="21"/>
        <v>65274.6</v>
      </c>
    </row>
    <row r="311" spans="1:22">
      <c r="A311" s="85">
        <f t="shared" si="26"/>
        <v>2019.02</v>
      </c>
      <c r="B311" s="74">
        <v>3157</v>
      </c>
      <c r="C311" s="61">
        <v>85</v>
      </c>
      <c r="D311" s="61">
        <v>3314</v>
      </c>
      <c r="E311" s="61">
        <v>77.67</v>
      </c>
      <c r="F311" s="573">
        <v>0</v>
      </c>
      <c r="G311" s="1365">
        <v>0</v>
      </c>
      <c r="H311" s="508">
        <f t="shared" si="24"/>
        <v>0</v>
      </c>
      <c r="I311" s="573">
        <v>519.22</v>
      </c>
      <c r="J311" s="1531">
        <v>0</v>
      </c>
      <c r="K311" s="637">
        <f t="shared" si="25"/>
        <v>519.22</v>
      </c>
      <c r="L311" s="1675">
        <v>101146.33</v>
      </c>
      <c r="M311" s="430">
        <v>0</v>
      </c>
      <c r="N311" s="61">
        <v>0</v>
      </c>
      <c r="O311" s="525">
        <f t="shared" si="20"/>
        <v>101146.33</v>
      </c>
      <c r="P311" s="61">
        <v>0</v>
      </c>
      <c r="Q311" s="61">
        <v>43471</v>
      </c>
      <c r="R311" s="61">
        <v>14512</v>
      </c>
      <c r="S311" s="61">
        <v>0</v>
      </c>
      <c r="T311" s="1675">
        <v>0</v>
      </c>
      <c r="U311" s="430">
        <v>0</v>
      </c>
      <c r="V311" s="526">
        <f t="shared" si="21"/>
        <v>57983</v>
      </c>
    </row>
    <row r="312" spans="1:22">
      <c r="A312" s="85">
        <f t="shared" si="26"/>
        <v>2019.03</v>
      </c>
      <c r="B312" s="74">
        <v>2988</v>
      </c>
      <c r="C312" s="61">
        <v>76</v>
      </c>
      <c r="D312" s="61">
        <v>5250</v>
      </c>
      <c r="E312" s="61">
        <v>120.89</v>
      </c>
      <c r="F312" s="573">
        <v>0</v>
      </c>
      <c r="G312" s="1365">
        <v>0</v>
      </c>
      <c r="H312" s="508">
        <f t="shared" si="24"/>
        <v>0</v>
      </c>
      <c r="I312" s="573">
        <v>390.34</v>
      </c>
      <c r="J312" s="1531">
        <v>0</v>
      </c>
      <c r="K312" s="637">
        <f t="shared" si="25"/>
        <v>390.34</v>
      </c>
      <c r="L312" s="1675">
        <v>123106.69</v>
      </c>
      <c r="M312" s="430">
        <v>0</v>
      </c>
      <c r="N312" s="61">
        <v>0</v>
      </c>
      <c r="O312" s="525">
        <f t="shared" si="20"/>
        <v>123106.69</v>
      </c>
      <c r="P312" s="61">
        <v>0</v>
      </c>
      <c r="Q312" s="61">
        <v>47020</v>
      </c>
      <c r="R312" s="61">
        <v>15218</v>
      </c>
      <c r="S312" s="61">
        <v>0</v>
      </c>
      <c r="T312" s="1675">
        <v>0</v>
      </c>
      <c r="U312" s="430">
        <v>2381.77</v>
      </c>
      <c r="V312" s="526">
        <f t="shared" si="21"/>
        <v>64619.77</v>
      </c>
    </row>
    <row r="313" spans="1:22">
      <c r="A313" s="85">
        <f t="shared" si="26"/>
        <v>2019.04</v>
      </c>
      <c r="B313" s="74">
        <v>2235</v>
      </c>
      <c r="C313" s="61">
        <v>51</v>
      </c>
      <c r="D313" s="61">
        <v>4865</v>
      </c>
      <c r="E313" s="61">
        <v>127.968</v>
      </c>
      <c r="F313" s="573">
        <v>0</v>
      </c>
      <c r="G313" s="1365">
        <v>0</v>
      </c>
      <c r="H313" s="508">
        <f t="shared" si="24"/>
        <v>0</v>
      </c>
      <c r="I313" s="573">
        <v>451.78</v>
      </c>
      <c r="J313" s="1531">
        <v>0</v>
      </c>
      <c r="K313" s="637">
        <f t="shared" si="25"/>
        <v>451.78</v>
      </c>
      <c r="L313" s="1675">
        <v>121833.594</v>
      </c>
      <c r="M313" s="430">
        <v>0</v>
      </c>
      <c r="N313" s="61">
        <v>0</v>
      </c>
      <c r="O313" s="525">
        <f t="shared" si="20"/>
        <v>121833.594</v>
      </c>
      <c r="P313" s="61">
        <v>0</v>
      </c>
      <c r="Q313" s="61">
        <v>44809</v>
      </c>
      <c r="R313" s="61">
        <v>14156</v>
      </c>
      <c r="S313" s="61">
        <v>0</v>
      </c>
      <c r="T313" s="1675">
        <v>0</v>
      </c>
      <c r="U313" s="430">
        <v>16381.14</v>
      </c>
      <c r="V313" s="526">
        <f t="shared" si="21"/>
        <v>75346.14</v>
      </c>
    </row>
    <row r="314" spans="1:22">
      <c r="A314" s="85">
        <f t="shared" si="26"/>
        <v>2019.05</v>
      </c>
      <c r="B314" s="74">
        <v>2390</v>
      </c>
      <c r="C314" s="61">
        <v>38</v>
      </c>
      <c r="D314" s="61">
        <v>3422</v>
      </c>
      <c r="E314" s="61">
        <v>276.19</v>
      </c>
      <c r="F314" s="573">
        <v>0</v>
      </c>
      <c r="G314" s="1365">
        <v>0</v>
      </c>
      <c r="H314" s="508">
        <f t="shared" si="24"/>
        <v>0</v>
      </c>
      <c r="I314" s="573">
        <v>424.56</v>
      </c>
      <c r="J314" s="1531">
        <v>0</v>
      </c>
      <c r="K314" s="637">
        <f t="shared" si="25"/>
        <v>424.56</v>
      </c>
      <c r="L314" s="1675">
        <v>120719.53</v>
      </c>
      <c r="M314" s="430">
        <v>0</v>
      </c>
      <c r="N314" s="61">
        <v>0</v>
      </c>
      <c r="O314" s="525">
        <f t="shared" si="20"/>
        <v>120719.53</v>
      </c>
      <c r="P314" s="61">
        <v>0</v>
      </c>
      <c r="Q314" s="61">
        <v>49309.158000000003</v>
      </c>
      <c r="R314" s="61">
        <v>14815.339</v>
      </c>
      <c r="S314" s="61">
        <v>0</v>
      </c>
      <c r="T314" s="1675">
        <v>0</v>
      </c>
      <c r="U314" s="430">
        <v>10734.71</v>
      </c>
      <c r="V314" s="526">
        <f t="shared" si="21"/>
        <v>74859.206999999995</v>
      </c>
    </row>
    <row r="315" spans="1:22">
      <c r="A315" s="85">
        <f t="shared" si="26"/>
        <v>2019.06</v>
      </c>
      <c r="B315" s="74">
        <v>2343</v>
      </c>
      <c r="C315" s="61">
        <v>25</v>
      </c>
      <c r="D315" s="61">
        <v>2929</v>
      </c>
      <c r="E315" s="61">
        <v>272.988</v>
      </c>
      <c r="F315" s="573">
        <v>0</v>
      </c>
      <c r="G315" s="1365">
        <v>0</v>
      </c>
      <c r="H315" s="508">
        <f t="shared" si="24"/>
        <v>0</v>
      </c>
      <c r="I315" s="573">
        <v>466</v>
      </c>
      <c r="J315" s="1531">
        <v>0</v>
      </c>
      <c r="K315" s="637">
        <f t="shared" si="25"/>
        <v>466</v>
      </c>
      <c r="L315" s="1675">
        <v>118588.54</v>
      </c>
      <c r="M315" s="430">
        <v>0</v>
      </c>
      <c r="N315" s="61">
        <v>0</v>
      </c>
      <c r="O315" s="525">
        <f t="shared" si="20"/>
        <v>118588.54</v>
      </c>
      <c r="P315" s="61">
        <v>0</v>
      </c>
      <c r="Q315" s="61">
        <v>46589.138999999996</v>
      </c>
      <c r="R315" s="61">
        <v>14594.189</v>
      </c>
      <c r="S315" s="61">
        <v>0</v>
      </c>
      <c r="T315" s="1675">
        <v>5479.1459999999997</v>
      </c>
      <c r="U315" s="430">
        <v>0</v>
      </c>
      <c r="V315" s="526">
        <f t="shared" si="21"/>
        <v>66662.473999999987</v>
      </c>
    </row>
    <row r="316" spans="1:22">
      <c r="A316" s="85">
        <f t="shared" si="26"/>
        <v>2019.07</v>
      </c>
      <c r="B316" s="74">
        <v>2549</v>
      </c>
      <c r="C316" s="74">
        <v>37</v>
      </c>
      <c r="D316" s="74">
        <v>4684.3</v>
      </c>
      <c r="E316" s="74">
        <v>257</v>
      </c>
      <c r="F316" s="573">
        <v>0</v>
      </c>
      <c r="G316" s="1365">
        <v>0</v>
      </c>
      <c r="H316" s="508">
        <f t="shared" si="24"/>
        <v>0</v>
      </c>
      <c r="I316" s="573">
        <v>374</v>
      </c>
      <c r="J316" s="1531">
        <v>0</v>
      </c>
      <c r="K316" s="637">
        <f t="shared" si="25"/>
        <v>374</v>
      </c>
      <c r="L316" s="1675">
        <v>131652.946</v>
      </c>
      <c r="M316" s="73">
        <v>0</v>
      </c>
      <c r="N316" s="74">
        <v>271.62</v>
      </c>
      <c r="O316" s="525">
        <f t="shared" si="20"/>
        <v>131924.56599999999</v>
      </c>
      <c r="P316" s="74">
        <v>0</v>
      </c>
      <c r="Q316" s="74">
        <v>50607.28</v>
      </c>
      <c r="R316" s="74">
        <v>16594.739999999998</v>
      </c>
      <c r="S316" s="74">
        <v>0</v>
      </c>
      <c r="T316" s="1675">
        <v>10492.78</v>
      </c>
      <c r="U316" s="430">
        <v>0</v>
      </c>
      <c r="V316" s="526">
        <f t="shared" si="21"/>
        <v>77694.799999999988</v>
      </c>
    </row>
    <row r="317" spans="1:22">
      <c r="A317" s="85">
        <f t="shared" si="26"/>
        <v>2019.08</v>
      </c>
      <c r="B317" s="74">
        <v>2230</v>
      </c>
      <c r="C317" s="61">
        <v>59</v>
      </c>
      <c r="D317" s="61">
        <v>2932</v>
      </c>
      <c r="E317" s="61">
        <v>270.09300000000002</v>
      </c>
      <c r="F317" s="573">
        <v>0</v>
      </c>
      <c r="G317" s="1365">
        <v>0</v>
      </c>
      <c r="H317" s="508">
        <f t="shared" si="24"/>
        <v>0</v>
      </c>
      <c r="I317" s="573">
        <v>236</v>
      </c>
      <c r="J317" s="1531">
        <v>0</v>
      </c>
      <c r="K317" s="637">
        <f t="shared" si="25"/>
        <v>236</v>
      </c>
      <c r="L317" s="1675">
        <v>130293.883</v>
      </c>
      <c r="M317" s="430">
        <v>0</v>
      </c>
      <c r="N317" s="74">
        <v>435.51</v>
      </c>
      <c r="O317" s="525">
        <f t="shared" si="20"/>
        <v>130729.393</v>
      </c>
      <c r="P317" s="61">
        <v>0</v>
      </c>
      <c r="Q317" s="74">
        <v>52401.479999999996</v>
      </c>
      <c r="R317" s="74">
        <v>16573.650000000001</v>
      </c>
      <c r="S317" s="61">
        <v>0</v>
      </c>
      <c r="T317" s="1675">
        <v>0</v>
      </c>
      <c r="U317" s="430">
        <v>9429.4140000000007</v>
      </c>
      <c r="V317" s="526">
        <f t="shared" si="21"/>
        <v>78404.544000000009</v>
      </c>
    </row>
    <row r="318" spans="1:22">
      <c r="A318" s="85">
        <f t="shared" si="26"/>
        <v>2019.09</v>
      </c>
      <c r="B318" s="74">
        <v>2189</v>
      </c>
      <c r="C318" s="61">
        <v>73</v>
      </c>
      <c r="D318" s="61">
        <v>2642.76</v>
      </c>
      <c r="E318" s="61">
        <v>164.63299999999998</v>
      </c>
      <c r="F318" s="573">
        <v>0</v>
      </c>
      <c r="G318" s="1365">
        <v>0</v>
      </c>
      <c r="H318" s="508">
        <f t="shared" si="24"/>
        <v>0</v>
      </c>
      <c r="I318" s="573">
        <v>293</v>
      </c>
      <c r="J318" s="1531">
        <v>0</v>
      </c>
      <c r="K318" s="637">
        <f t="shared" si="25"/>
        <v>293</v>
      </c>
      <c r="L318" s="1675">
        <v>122027.10500000001</v>
      </c>
      <c r="M318" s="430">
        <v>0</v>
      </c>
      <c r="N318" s="61">
        <v>99.1</v>
      </c>
      <c r="O318" s="525">
        <f t="shared" si="20"/>
        <v>122126.20500000002</v>
      </c>
      <c r="P318" s="61">
        <v>0</v>
      </c>
      <c r="Q318" s="61">
        <v>49173.68</v>
      </c>
      <c r="R318" s="61">
        <v>15962.75</v>
      </c>
      <c r="S318" s="61">
        <v>0</v>
      </c>
      <c r="T318" s="1675">
        <v>11548.13</v>
      </c>
      <c r="U318" s="430">
        <v>0</v>
      </c>
      <c r="V318" s="526">
        <f t="shared" si="21"/>
        <v>76684.56</v>
      </c>
    </row>
    <row r="319" spans="1:22">
      <c r="A319" s="85">
        <f t="shared" si="26"/>
        <v>2019.1</v>
      </c>
      <c r="B319" s="74">
        <v>2294</v>
      </c>
      <c r="C319" s="61">
        <v>43</v>
      </c>
      <c r="D319" s="61">
        <v>2516.2199999999998</v>
      </c>
      <c r="E319" s="61">
        <v>157.83000000000001</v>
      </c>
      <c r="F319" s="573">
        <v>0</v>
      </c>
      <c r="G319" s="1365">
        <v>0</v>
      </c>
      <c r="H319" s="508">
        <f t="shared" si="24"/>
        <v>0</v>
      </c>
      <c r="I319" s="573">
        <v>365.42</v>
      </c>
      <c r="J319" s="1531">
        <v>0</v>
      </c>
      <c r="K319" s="637">
        <f t="shared" si="25"/>
        <v>365.42</v>
      </c>
      <c r="L319" s="1675">
        <v>127452.27499999999</v>
      </c>
      <c r="M319" s="430">
        <v>0</v>
      </c>
      <c r="N319" s="61">
        <v>0</v>
      </c>
      <c r="O319" s="525">
        <f t="shared" si="20"/>
        <v>127452.27499999999</v>
      </c>
      <c r="P319" s="61">
        <v>0</v>
      </c>
      <c r="Q319" s="61">
        <v>52805.72</v>
      </c>
      <c r="R319" s="61">
        <v>17213.650000000001</v>
      </c>
      <c r="S319" s="61">
        <v>0</v>
      </c>
      <c r="T319" s="1675">
        <v>0</v>
      </c>
      <c r="U319" s="430">
        <v>0</v>
      </c>
      <c r="V319" s="526">
        <f t="shared" si="21"/>
        <v>70019.37</v>
      </c>
    </row>
    <row r="320" spans="1:22">
      <c r="A320" s="85">
        <f t="shared" si="26"/>
        <v>2019.11</v>
      </c>
      <c r="B320" s="74">
        <v>2179</v>
      </c>
      <c r="C320" s="61">
        <v>52</v>
      </c>
      <c r="D320" s="61">
        <v>2176.86</v>
      </c>
      <c r="E320" s="61">
        <v>75</v>
      </c>
      <c r="F320" s="573">
        <v>0</v>
      </c>
      <c r="G320" s="1365">
        <v>0</v>
      </c>
      <c r="H320" s="508">
        <f t="shared" si="24"/>
        <v>0</v>
      </c>
      <c r="I320" s="573">
        <v>283.48</v>
      </c>
      <c r="J320" s="1531">
        <v>0</v>
      </c>
      <c r="K320" s="637">
        <f t="shared" si="25"/>
        <v>283.48</v>
      </c>
      <c r="L320" s="1675">
        <v>137587.81400000001</v>
      </c>
      <c r="M320" s="430">
        <v>0</v>
      </c>
      <c r="N320" s="61">
        <v>0</v>
      </c>
      <c r="O320" s="525">
        <f t="shared" si="20"/>
        <v>137587.81400000001</v>
      </c>
      <c r="P320" s="61">
        <v>0</v>
      </c>
      <c r="Q320" s="61">
        <v>51938.75</v>
      </c>
      <c r="R320" s="61">
        <v>16329.630000000001</v>
      </c>
      <c r="S320" s="61">
        <v>0</v>
      </c>
      <c r="T320" s="1675">
        <v>0</v>
      </c>
      <c r="U320" s="430">
        <v>9427.0400000000009</v>
      </c>
      <c r="V320" s="526">
        <f t="shared" si="21"/>
        <v>77695.420000000013</v>
      </c>
    </row>
    <row r="321" spans="1:22">
      <c r="A321" s="85">
        <f t="shared" si="26"/>
        <v>2019.12</v>
      </c>
      <c r="B321" s="74">
        <v>2220</v>
      </c>
      <c r="C321" s="61">
        <v>48</v>
      </c>
      <c r="D321" s="61">
        <v>1575.46</v>
      </c>
      <c r="E321" s="61">
        <v>112.542</v>
      </c>
      <c r="F321" s="573">
        <v>0</v>
      </c>
      <c r="G321" s="1365">
        <v>0</v>
      </c>
      <c r="H321" s="508">
        <f t="shared" si="24"/>
        <v>0</v>
      </c>
      <c r="I321" s="573">
        <v>261</v>
      </c>
      <c r="J321" s="1531">
        <v>0</v>
      </c>
      <c r="K321" s="637">
        <f t="shared" si="25"/>
        <v>261</v>
      </c>
      <c r="L321" s="1675">
        <v>130554.52100000001</v>
      </c>
      <c r="M321" s="430">
        <v>0</v>
      </c>
      <c r="N321" s="61">
        <v>0</v>
      </c>
      <c r="O321" s="525">
        <f t="shared" si="20"/>
        <v>130554.52100000001</v>
      </c>
      <c r="P321" s="61">
        <v>0</v>
      </c>
      <c r="Q321" s="61">
        <v>55380.05</v>
      </c>
      <c r="R321" s="61">
        <v>17450.22</v>
      </c>
      <c r="S321" s="61">
        <v>0</v>
      </c>
      <c r="T321" s="1675">
        <v>0</v>
      </c>
      <c r="U321" s="430">
        <v>12921.43</v>
      </c>
      <c r="V321" s="526">
        <f t="shared" si="21"/>
        <v>85751.700000000012</v>
      </c>
    </row>
    <row r="322" spans="1:22">
      <c r="A322" s="85">
        <f t="shared" si="26"/>
        <v>2020.01</v>
      </c>
      <c r="B322" s="74">
        <v>2890</v>
      </c>
      <c r="C322" s="61">
        <v>51</v>
      </c>
      <c r="D322" s="61">
        <v>1718.0549999999998</v>
      </c>
      <c r="E322" s="61">
        <v>100</v>
      </c>
      <c r="F322" s="573">
        <v>0</v>
      </c>
      <c r="G322" s="1365">
        <v>0</v>
      </c>
      <c r="H322" s="508">
        <f t="shared" si="24"/>
        <v>0</v>
      </c>
      <c r="I322" s="573">
        <v>790.16</v>
      </c>
      <c r="J322" s="1531">
        <v>0</v>
      </c>
      <c r="K322" s="637">
        <f t="shared" si="25"/>
        <v>790.16</v>
      </c>
      <c r="L322" s="1675">
        <v>110659.00199999999</v>
      </c>
      <c r="M322" s="430">
        <v>0</v>
      </c>
      <c r="N322" s="61">
        <v>0</v>
      </c>
      <c r="O322" s="525">
        <f t="shared" si="20"/>
        <v>110659.00199999999</v>
      </c>
      <c r="P322" s="61">
        <v>0</v>
      </c>
      <c r="Q322" s="61">
        <v>50737.773999999998</v>
      </c>
      <c r="R322" s="61">
        <v>15883.77</v>
      </c>
      <c r="S322" s="61">
        <v>0</v>
      </c>
      <c r="T322" s="1675">
        <v>0</v>
      </c>
      <c r="U322" s="430"/>
      <c r="V322" s="526">
        <f t="shared" si="21"/>
        <v>66621.543999999994</v>
      </c>
    </row>
    <row r="323" spans="1:22">
      <c r="A323" s="85">
        <f t="shared" si="26"/>
        <v>2020.02</v>
      </c>
      <c r="B323" s="74">
        <v>2423</v>
      </c>
      <c r="C323" s="61">
        <v>51</v>
      </c>
      <c r="D323" s="61">
        <v>1489.6399999999999</v>
      </c>
      <c r="E323" s="61">
        <v>70</v>
      </c>
      <c r="F323" s="573">
        <v>0</v>
      </c>
      <c r="G323" s="1365">
        <v>0</v>
      </c>
      <c r="H323" s="508">
        <f t="shared" si="24"/>
        <v>0</v>
      </c>
      <c r="I323" s="573">
        <v>134</v>
      </c>
      <c r="J323" s="1531">
        <v>0</v>
      </c>
      <c r="K323" s="637">
        <f t="shared" si="25"/>
        <v>134</v>
      </c>
      <c r="L323" s="1675">
        <v>109799.85</v>
      </c>
      <c r="M323" s="430">
        <v>0</v>
      </c>
      <c r="N323" s="61">
        <v>0</v>
      </c>
      <c r="O323" s="525">
        <f t="shared" si="20"/>
        <v>109799.85</v>
      </c>
      <c r="P323" s="61">
        <v>0</v>
      </c>
      <c r="Q323" s="61">
        <v>49240.65</v>
      </c>
      <c r="R323" s="61">
        <v>16225.13</v>
      </c>
      <c r="S323" s="61">
        <v>0</v>
      </c>
      <c r="T323" s="1675">
        <v>0</v>
      </c>
      <c r="U323" s="430">
        <v>12899.670999999998</v>
      </c>
      <c r="V323" s="526">
        <f t="shared" si="21"/>
        <v>78365.451000000001</v>
      </c>
    </row>
    <row r="324" spans="1:22">
      <c r="A324" s="85">
        <f t="shared" si="26"/>
        <v>2020.03</v>
      </c>
      <c r="B324" s="74">
        <v>1567</v>
      </c>
      <c r="C324" s="61">
        <v>20</v>
      </c>
      <c r="D324" s="61">
        <v>1226.3800000000001</v>
      </c>
      <c r="E324" s="61">
        <v>116</v>
      </c>
      <c r="F324" s="573">
        <v>0</v>
      </c>
      <c r="G324" s="1365">
        <v>0</v>
      </c>
      <c r="H324" s="508">
        <f t="shared" si="24"/>
        <v>0</v>
      </c>
      <c r="I324" s="573">
        <v>578</v>
      </c>
      <c r="J324" s="1531">
        <v>0</v>
      </c>
      <c r="K324" s="637">
        <f t="shared" si="25"/>
        <v>578</v>
      </c>
      <c r="L324" s="1675">
        <v>118479.18500000001</v>
      </c>
      <c r="M324" s="430">
        <v>0</v>
      </c>
      <c r="N324" s="61">
        <v>4.9269999999999996</v>
      </c>
      <c r="O324" s="525">
        <f t="shared" si="20"/>
        <v>118484.11200000001</v>
      </c>
      <c r="P324" s="61">
        <v>0</v>
      </c>
      <c r="Q324" s="61">
        <v>37324.167000000001</v>
      </c>
      <c r="R324" s="61">
        <v>11503.969000000001</v>
      </c>
      <c r="S324" s="61">
        <v>0</v>
      </c>
      <c r="T324" s="1675">
        <v>0</v>
      </c>
      <c r="U324" s="430">
        <v>7968.3</v>
      </c>
      <c r="V324" s="526">
        <f t="shared" si="21"/>
        <v>56796.436000000002</v>
      </c>
    </row>
    <row r="325" spans="1:22">
      <c r="A325" s="85">
        <f t="shared" si="26"/>
        <v>2020.04</v>
      </c>
      <c r="B325" s="74">
        <v>98</v>
      </c>
      <c r="C325" s="61">
        <v>7</v>
      </c>
      <c r="D325" s="61">
        <v>470</v>
      </c>
      <c r="E325" s="61">
        <v>114.83</v>
      </c>
      <c r="F325" s="573">
        <v>0</v>
      </c>
      <c r="G325" s="1365">
        <v>0</v>
      </c>
      <c r="H325" s="508">
        <f t="shared" si="24"/>
        <v>0</v>
      </c>
      <c r="I325" s="573">
        <v>157</v>
      </c>
      <c r="J325" s="1531">
        <v>0</v>
      </c>
      <c r="K325" s="637">
        <f t="shared" si="25"/>
        <v>157</v>
      </c>
      <c r="L325" s="1675">
        <v>117365.32</v>
      </c>
      <c r="M325" s="430">
        <v>0</v>
      </c>
      <c r="N325" s="61">
        <v>0</v>
      </c>
      <c r="O325" s="525">
        <f t="shared" si="20"/>
        <v>117365.32</v>
      </c>
      <c r="P325" s="61">
        <v>0</v>
      </c>
      <c r="Q325" s="61">
        <v>18998.5</v>
      </c>
      <c r="R325" s="61">
        <v>3555.29</v>
      </c>
      <c r="S325" s="61">
        <v>0</v>
      </c>
      <c r="T325" s="1675">
        <v>0</v>
      </c>
      <c r="U325" s="430">
        <v>2767.8</v>
      </c>
      <c r="V325" s="526">
        <f t="shared" si="21"/>
        <v>25321.59</v>
      </c>
    </row>
    <row r="326" spans="1:22">
      <c r="A326" s="85">
        <f t="shared" si="26"/>
        <v>2020.05</v>
      </c>
      <c r="B326" s="74">
        <v>172</v>
      </c>
      <c r="C326" s="61">
        <v>8</v>
      </c>
      <c r="D326" s="61">
        <v>1649.1399999999999</v>
      </c>
      <c r="E326" s="61">
        <v>339.04399999999998</v>
      </c>
      <c r="F326" s="573">
        <v>0</v>
      </c>
      <c r="G326" s="1365">
        <v>0</v>
      </c>
      <c r="H326" s="508">
        <f>F326+G326</f>
        <v>0</v>
      </c>
      <c r="I326" s="573">
        <v>374</v>
      </c>
      <c r="J326" s="1531">
        <v>0</v>
      </c>
      <c r="K326" s="637">
        <f t="shared" si="25"/>
        <v>374</v>
      </c>
      <c r="L326" s="1675">
        <v>133679.06299999999</v>
      </c>
      <c r="M326" s="430">
        <v>0</v>
      </c>
      <c r="N326" s="61">
        <v>0</v>
      </c>
      <c r="O326" s="525">
        <f t="shared" si="20"/>
        <v>133679.06299999999</v>
      </c>
      <c r="P326" s="61">
        <v>0</v>
      </c>
      <c r="Q326" s="61">
        <v>28140.442999999999</v>
      </c>
      <c r="R326" s="61">
        <v>7177.5730000000003</v>
      </c>
      <c r="S326" s="61">
        <v>0</v>
      </c>
      <c r="T326" s="1675">
        <v>2636</v>
      </c>
      <c r="U326" s="430">
        <v>4036.5770000000002</v>
      </c>
      <c r="V326" s="526">
        <f t="shared" si="21"/>
        <v>41990.593000000001</v>
      </c>
    </row>
    <row r="327" spans="1:22">
      <c r="A327" s="85">
        <f t="shared" si="26"/>
        <v>2020.06</v>
      </c>
      <c r="B327" s="74">
        <v>164</v>
      </c>
      <c r="C327" s="61">
        <v>12</v>
      </c>
      <c r="D327" s="61">
        <v>2187.14</v>
      </c>
      <c r="E327" s="61">
        <v>295.54700000000003</v>
      </c>
      <c r="F327" s="573">
        <v>0</v>
      </c>
      <c r="G327" s="1365">
        <v>0</v>
      </c>
      <c r="H327" s="508">
        <f t="shared" si="24"/>
        <v>0</v>
      </c>
      <c r="I327" s="573">
        <v>541.55999999999995</v>
      </c>
      <c r="J327" s="1531">
        <v>0</v>
      </c>
      <c r="K327" s="637">
        <f t="shared" si="25"/>
        <v>541.55999999999995</v>
      </c>
      <c r="L327" s="1675">
        <v>122035.74399999999</v>
      </c>
      <c r="M327" s="430">
        <v>0</v>
      </c>
      <c r="N327" s="61">
        <v>0</v>
      </c>
      <c r="O327" s="525">
        <f t="shared" si="20"/>
        <v>122035.74399999999</v>
      </c>
      <c r="P327" s="61">
        <v>0</v>
      </c>
      <c r="Q327" s="61">
        <v>34983.082000000002</v>
      </c>
      <c r="R327" s="61">
        <v>10098.636</v>
      </c>
      <c r="S327" s="61">
        <v>0</v>
      </c>
      <c r="T327" s="1675">
        <v>0</v>
      </c>
      <c r="U327" s="430">
        <v>0</v>
      </c>
      <c r="V327" s="526">
        <f t="shared" si="21"/>
        <v>45081.718000000001</v>
      </c>
    </row>
    <row r="328" spans="1:22">
      <c r="A328" s="85">
        <f t="shared" si="26"/>
        <v>2020.07</v>
      </c>
      <c r="B328" s="74">
        <v>105</v>
      </c>
      <c r="C328" s="61">
        <v>14</v>
      </c>
      <c r="D328" s="61">
        <v>2842.26</v>
      </c>
      <c r="E328" s="61">
        <v>389.822</v>
      </c>
      <c r="F328" s="573">
        <v>0</v>
      </c>
      <c r="G328" s="1365">
        <v>0</v>
      </c>
      <c r="H328" s="508">
        <f t="shared" si="24"/>
        <v>0</v>
      </c>
      <c r="I328" s="573">
        <v>1304.2</v>
      </c>
      <c r="J328" s="1531">
        <v>0</v>
      </c>
      <c r="K328" s="637">
        <f t="shared" si="25"/>
        <v>1304.2</v>
      </c>
      <c r="L328" s="1675">
        <v>139728.48800000001</v>
      </c>
      <c r="M328" s="430">
        <v>0</v>
      </c>
      <c r="N328" s="61">
        <v>0</v>
      </c>
      <c r="O328" s="525">
        <f t="shared" si="20"/>
        <v>139728.48800000001</v>
      </c>
      <c r="P328" s="61">
        <v>0</v>
      </c>
      <c r="Q328" s="61">
        <v>40220.232000000004</v>
      </c>
      <c r="R328" s="61">
        <v>12032.895</v>
      </c>
      <c r="S328" s="61">
        <v>0</v>
      </c>
      <c r="T328" s="1675">
        <v>0</v>
      </c>
      <c r="U328" s="430">
        <v>0</v>
      </c>
      <c r="V328" s="526">
        <f t="shared" si="21"/>
        <v>52253.127000000008</v>
      </c>
    </row>
    <row r="329" spans="1:22">
      <c r="A329" s="85">
        <f t="shared" si="26"/>
        <v>2020.08</v>
      </c>
      <c r="B329" s="74">
        <v>160</v>
      </c>
      <c r="C329" s="61">
        <v>34</v>
      </c>
      <c r="D329" s="61">
        <v>3081.2959999999998</v>
      </c>
      <c r="E329" s="61">
        <v>192.64600000000002</v>
      </c>
      <c r="F329" s="573">
        <v>0</v>
      </c>
      <c r="G329" s="1365">
        <v>0</v>
      </c>
      <c r="H329" s="508">
        <f t="shared" si="24"/>
        <v>0</v>
      </c>
      <c r="I329" s="573">
        <v>926.99</v>
      </c>
      <c r="J329" s="1531">
        <v>0</v>
      </c>
      <c r="K329" s="637">
        <f t="shared" si="25"/>
        <v>926.99</v>
      </c>
      <c r="L329" s="1675">
        <v>130801.86000000002</v>
      </c>
      <c r="M329" s="430">
        <v>0</v>
      </c>
      <c r="N329" s="61">
        <v>0</v>
      </c>
      <c r="O329" s="525">
        <f t="shared" si="20"/>
        <v>130801.86000000002</v>
      </c>
      <c r="P329" s="61">
        <v>0</v>
      </c>
      <c r="Q329" s="61">
        <v>37465.648000000001</v>
      </c>
      <c r="R329" s="61">
        <v>11445.264000000001</v>
      </c>
      <c r="S329" s="61">
        <v>0</v>
      </c>
      <c r="T329" s="1675">
        <v>0</v>
      </c>
      <c r="U329" s="430">
        <v>1997.9770000000001</v>
      </c>
      <c r="V329" s="526">
        <f t="shared" si="21"/>
        <v>50908.889000000003</v>
      </c>
    </row>
    <row r="330" spans="1:22">
      <c r="A330" s="85">
        <f t="shared" si="26"/>
        <v>2020.09</v>
      </c>
      <c r="B330" s="74">
        <v>171</v>
      </c>
      <c r="C330" s="61">
        <v>17</v>
      </c>
      <c r="D330" s="61">
        <v>2695.75</v>
      </c>
      <c r="E330" s="61">
        <v>190.184</v>
      </c>
      <c r="F330" s="573">
        <v>0</v>
      </c>
      <c r="G330" s="1365">
        <v>0</v>
      </c>
      <c r="H330" s="508">
        <f t="shared" si="24"/>
        <v>0</v>
      </c>
      <c r="I330" s="573">
        <v>534.5</v>
      </c>
      <c r="J330" s="1531">
        <v>0</v>
      </c>
      <c r="K330" s="637">
        <f t="shared" si="25"/>
        <v>534.5</v>
      </c>
      <c r="L330" s="1675">
        <v>119273.481</v>
      </c>
      <c r="M330" s="430">
        <v>5933.4250000000002</v>
      </c>
      <c r="N330" s="61">
        <v>0</v>
      </c>
      <c r="O330" s="525">
        <f>L330+M330+N330</f>
        <v>125206.906</v>
      </c>
      <c r="P330" s="61">
        <v>0</v>
      </c>
      <c r="Q330" s="61">
        <v>36269.300999999999</v>
      </c>
      <c r="R330" s="61">
        <v>10257.724</v>
      </c>
      <c r="S330" s="61">
        <v>0</v>
      </c>
      <c r="T330" s="1675">
        <v>0</v>
      </c>
      <c r="U330" s="430">
        <v>2943.9389999999999</v>
      </c>
      <c r="V330" s="526">
        <f t="shared" si="21"/>
        <v>49470.964</v>
      </c>
    </row>
    <row r="331" spans="1:22">
      <c r="A331" s="85">
        <f t="shared" si="26"/>
        <v>2020.1</v>
      </c>
      <c r="B331" s="74">
        <v>107</v>
      </c>
      <c r="C331" s="61">
        <v>19</v>
      </c>
      <c r="D331" s="61">
        <v>3197.3599999999997</v>
      </c>
      <c r="E331" s="61">
        <v>160.041</v>
      </c>
      <c r="F331" s="573">
        <v>0</v>
      </c>
      <c r="G331" s="1365">
        <v>0</v>
      </c>
      <c r="H331" s="508">
        <f t="shared" si="24"/>
        <v>0</v>
      </c>
      <c r="I331" s="573">
        <v>434.9</v>
      </c>
      <c r="J331" s="1531">
        <v>0</v>
      </c>
      <c r="K331" s="637">
        <f t="shared" si="25"/>
        <v>434.9</v>
      </c>
      <c r="L331" s="1675">
        <v>114489.12699999999</v>
      </c>
      <c r="M331" s="430">
        <v>0</v>
      </c>
      <c r="N331" s="61">
        <v>0</v>
      </c>
      <c r="O331" s="525">
        <f>L331+M331+N331</f>
        <v>114489.12699999999</v>
      </c>
      <c r="P331" s="61">
        <v>0</v>
      </c>
      <c r="Q331" s="61">
        <v>40827.739000000001</v>
      </c>
      <c r="R331" s="61">
        <v>11737.647000000001</v>
      </c>
      <c r="S331" s="61">
        <v>0</v>
      </c>
      <c r="T331" s="1675">
        <v>0</v>
      </c>
      <c r="U331" s="430">
        <v>0</v>
      </c>
      <c r="V331" s="526">
        <f t="shared" si="21"/>
        <v>52565.385999999999</v>
      </c>
    </row>
    <row r="332" spans="1:22">
      <c r="A332" s="85">
        <f t="shared" si="26"/>
        <v>2020.11</v>
      </c>
      <c r="B332" s="74">
        <v>201</v>
      </c>
      <c r="C332" s="61">
        <v>37</v>
      </c>
      <c r="D332" s="61">
        <v>3494</v>
      </c>
      <c r="E332" s="61">
        <v>124.455</v>
      </c>
      <c r="F332" s="573">
        <v>0</v>
      </c>
      <c r="G332" s="1365">
        <v>0</v>
      </c>
      <c r="H332" s="508">
        <f t="shared" si="24"/>
        <v>0</v>
      </c>
      <c r="I332" s="573">
        <v>506.8</v>
      </c>
      <c r="J332" s="1531">
        <v>0</v>
      </c>
      <c r="K332" s="637">
        <f t="shared" si="25"/>
        <v>506.8</v>
      </c>
      <c r="L332" s="1675">
        <v>125372.072</v>
      </c>
      <c r="M332" s="430">
        <v>0</v>
      </c>
      <c r="N332" s="61">
        <v>0</v>
      </c>
      <c r="O332" s="525">
        <f>L332+M332+N332</f>
        <v>125372.072</v>
      </c>
      <c r="P332" s="61">
        <v>0</v>
      </c>
      <c r="Q332" s="61">
        <v>43697.752999999997</v>
      </c>
      <c r="R332" s="61">
        <v>13354.152</v>
      </c>
      <c r="S332" s="61">
        <v>0</v>
      </c>
      <c r="T332" s="1675">
        <v>0</v>
      </c>
      <c r="U332" s="430">
        <v>1074.9780000000001</v>
      </c>
      <c r="V332" s="526">
        <f>SUM(P332:U332)</f>
        <v>58126.883000000002</v>
      </c>
    </row>
    <row r="333" spans="1:22">
      <c r="A333" s="85">
        <f t="shared" si="26"/>
        <v>2020.12</v>
      </c>
      <c r="B333" s="74">
        <v>287</v>
      </c>
      <c r="C333" s="61">
        <v>75</v>
      </c>
      <c r="D333" s="61">
        <v>1970.96</v>
      </c>
      <c r="E333" s="61">
        <v>76.721000000000004</v>
      </c>
      <c r="F333" s="573">
        <v>0</v>
      </c>
      <c r="G333" s="1365">
        <v>0</v>
      </c>
      <c r="H333" s="508">
        <f t="shared" si="24"/>
        <v>0</v>
      </c>
      <c r="I333" s="573">
        <v>504.24</v>
      </c>
      <c r="J333" s="1531">
        <v>0</v>
      </c>
      <c r="K333" s="637">
        <f t="shared" si="25"/>
        <v>504.24</v>
      </c>
      <c r="L333" s="1675">
        <v>117046.15299999999</v>
      </c>
      <c r="M333" s="430">
        <v>0</v>
      </c>
      <c r="N333" s="61">
        <v>0</v>
      </c>
      <c r="O333" s="525">
        <f>L333+M333+N333</f>
        <v>117046.15299999999</v>
      </c>
      <c r="P333" s="61">
        <v>0</v>
      </c>
      <c r="Q333" s="61">
        <v>49478.438000000002</v>
      </c>
      <c r="R333" s="61">
        <v>17161.087</v>
      </c>
      <c r="S333" s="61">
        <v>0</v>
      </c>
      <c r="T333" s="1675">
        <v>0</v>
      </c>
      <c r="U333" s="430">
        <v>4719.6080000000002</v>
      </c>
      <c r="V333" s="526">
        <f>SUM(P333:U333)</f>
        <v>71359.133000000002</v>
      </c>
    </row>
    <row r="334" spans="1:22">
      <c r="A334" s="85">
        <f t="shared" si="26"/>
        <v>2021.01</v>
      </c>
      <c r="B334" s="74">
        <v>359</v>
      </c>
      <c r="C334" s="61">
        <v>27</v>
      </c>
      <c r="D334" s="61">
        <v>2502.7399999999998</v>
      </c>
      <c r="E334" s="61">
        <v>130.95499999999998</v>
      </c>
      <c r="F334" s="573">
        <v>0</v>
      </c>
      <c r="G334" s="1365">
        <v>0</v>
      </c>
      <c r="H334" s="508">
        <f t="shared" ref="H334:H393" si="27">F334+G334</f>
        <v>0</v>
      </c>
      <c r="I334" s="573">
        <v>470.4</v>
      </c>
      <c r="J334" s="1531">
        <v>0</v>
      </c>
      <c r="K334" s="637">
        <f t="shared" ref="K334:K393" si="28">I334+J334</f>
        <v>470.4</v>
      </c>
      <c r="L334" s="1675">
        <v>101156.622</v>
      </c>
      <c r="M334" s="430">
        <v>107</v>
      </c>
      <c r="N334" s="61">
        <v>0</v>
      </c>
      <c r="O334" s="525">
        <f t="shared" ref="O334:O393" si="29">L334+M334+N334</f>
        <v>101263.622</v>
      </c>
      <c r="P334" s="61">
        <v>0</v>
      </c>
      <c r="Q334" s="61">
        <v>45706.17</v>
      </c>
      <c r="R334" s="61">
        <v>15794.644</v>
      </c>
      <c r="S334" s="61">
        <v>0</v>
      </c>
      <c r="T334" s="1675">
        <v>0</v>
      </c>
      <c r="U334" s="430">
        <v>21633.499</v>
      </c>
      <c r="V334" s="526">
        <f t="shared" ref="V334:V393" si="30">SUM(P334:U334)</f>
        <v>83134.312999999995</v>
      </c>
    </row>
    <row r="335" spans="1:22">
      <c r="A335" s="85">
        <f t="shared" si="26"/>
        <v>2021.02</v>
      </c>
      <c r="B335" s="74">
        <v>475</v>
      </c>
      <c r="C335" s="61">
        <v>70</v>
      </c>
      <c r="D335" s="61">
        <v>3242.6</v>
      </c>
      <c r="E335" s="61">
        <v>90.5</v>
      </c>
      <c r="F335" s="573">
        <v>0</v>
      </c>
      <c r="G335" s="1365">
        <v>0</v>
      </c>
      <c r="H335" s="508">
        <f t="shared" si="27"/>
        <v>0</v>
      </c>
      <c r="I335" s="573">
        <v>16786.78</v>
      </c>
      <c r="J335" s="1531">
        <v>0</v>
      </c>
      <c r="K335" s="637">
        <f t="shared" si="28"/>
        <v>16786.78</v>
      </c>
      <c r="L335" s="1675">
        <v>102825.54999999999</v>
      </c>
      <c r="M335" s="430">
        <v>0</v>
      </c>
      <c r="N335" s="61">
        <v>0</v>
      </c>
      <c r="O335" s="525">
        <f t="shared" si="29"/>
        <v>102825.54999999999</v>
      </c>
      <c r="P335" s="61">
        <v>0</v>
      </c>
      <c r="Q335" s="61">
        <v>43449.24</v>
      </c>
      <c r="R335" s="61">
        <v>14648.32</v>
      </c>
      <c r="S335" s="61">
        <v>0</v>
      </c>
      <c r="T335" s="1675">
        <v>0</v>
      </c>
      <c r="U335" s="430">
        <v>10715.07</v>
      </c>
      <c r="V335" s="526">
        <f t="shared" si="30"/>
        <v>68812.63</v>
      </c>
    </row>
    <row r="336" spans="1:22">
      <c r="A336" s="85">
        <f t="shared" si="26"/>
        <v>2021.03</v>
      </c>
      <c r="B336" s="74">
        <v>395</v>
      </c>
      <c r="C336" s="61">
        <v>30</v>
      </c>
      <c r="D336" s="61">
        <v>7067.32</v>
      </c>
      <c r="E336" s="61">
        <v>139.74600000000001</v>
      </c>
      <c r="F336" s="573">
        <v>0</v>
      </c>
      <c r="G336" s="1365">
        <v>0</v>
      </c>
      <c r="H336" s="508">
        <f t="shared" si="27"/>
        <v>0</v>
      </c>
      <c r="I336" s="573">
        <v>16880.439999999999</v>
      </c>
      <c r="J336" s="1531">
        <v>0</v>
      </c>
      <c r="K336" s="637">
        <f t="shared" si="28"/>
        <v>16880.439999999999</v>
      </c>
      <c r="L336" s="1675">
        <v>158946.65899999999</v>
      </c>
      <c r="M336" s="430">
        <v>0</v>
      </c>
      <c r="N336" s="61">
        <v>0</v>
      </c>
      <c r="O336" s="525">
        <f t="shared" si="29"/>
        <v>158946.65899999999</v>
      </c>
      <c r="P336" s="61">
        <v>0</v>
      </c>
      <c r="Q336" s="61">
        <v>57846.16</v>
      </c>
      <c r="R336" s="61">
        <v>17966.349999999999</v>
      </c>
      <c r="S336" s="61">
        <v>0</v>
      </c>
      <c r="T336" s="1675">
        <v>0</v>
      </c>
      <c r="U336" s="430">
        <v>4798.45</v>
      </c>
      <c r="V336" s="526">
        <f t="shared" si="30"/>
        <v>80610.960000000006</v>
      </c>
    </row>
    <row r="337" spans="1:22">
      <c r="A337" s="85">
        <f t="shared" si="26"/>
        <v>2021.04</v>
      </c>
      <c r="B337" s="74">
        <v>722</v>
      </c>
      <c r="C337" s="61">
        <v>36</v>
      </c>
      <c r="D337" s="61">
        <v>6815.39</v>
      </c>
      <c r="E337" s="61">
        <v>124.947</v>
      </c>
      <c r="F337" s="573">
        <v>0</v>
      </c>
      <c r="G337" s="1365">
        <v>0</v>
      </c>
      <c r="H337" s="508">
        <f t="shared" si="27"/>
        <v>0</v>
      </c>
      <c r="I337" s="573">
        <v>22858.45</v>
      </c>
      <c r="J337" s="1531">
        <v>0</v>
      </c>
      <c r="K337" s="637">
        <f t="shared" si="28"/>
        <v>22858.45</v>
      </c>
      <c r="L337" s="1675">
        <v>154044.17600000001</v>
      </c>
      <c r="M337" s="430">
        <v>0</v>
      </c>
      <c r="N337" s="61">
        <v>0</v>
      </c>
      <c r="O337" s="525">
        <f t="shared" si="29"/>
        <v>154044.17600000001</v>
      </c>
      <c r="P337" s="61">
        <v>0</v>
      </c>
      <c r="Q337" s="61">
        <v>46901.599999999999</v>
      </c>
      <c r="R337" s="61">
        <v>14518.35</v>
      </c>
      <c r="S337" s="61">
        <v>0</v>
      </c>
      <c r="T337" s="1675">
        <v>0</v>
      </c>
      <c r="U337" s="430">
        <v>3976.99</v>
      </c>
      <c r="V337" s="526">
        <f t="shared" si="30"/>
        <v>65396.939999999995</v>
      </c>
    </row>
    <row r="338" spans="1:22">
      <c r="A338" s="85">
        <f t="shared" si="26"/>
        <v>2021.05</v>
      </c>
      <c r="B338" s="74">
        <v>1201</v>
      </c>
      <c r="C338" s="61">
        <v>33</v>
      </c>
      <c r="D338" s="61">
        <v>3773.6800000000003</v>
      </c>
      <c r="E338" s="61">
        <v>271.15899999999999</v>
      </c>
      <c r="F338" s="573">
        <v>0</v>
      </c>
      <c r="G338" s="1365">
        <v>0</v>
      </c>
      <c r="H338" s="508">
        <f t="shared" si="27"/>
        <v>0</v>
      </c>
      <c r="I338" s="573">
        <v>12597.079999999998</v>
      </c>
      <c r="J338" s="1531">
        <v>0</v>
      </c>
      <c r="K338" s="637">
        <f t="shared" si="28"/>
        <v>12597.079999999998</v>
      </c>
      <c r="L338" s="1675">
        <v>143638.74600000001</v>
      </c>
      <c r="M338" s="430">
        <v>0</v>
      </c>
      <c r="N338" s="61">
        <v>0</v>
      </c>
      <c r="O338" s="525">
        <f t="shared" si="29"/>
        <v>143638.74600000001</v>
      </c>
      <c r="P338" s="61">
        <v>0</v>
      </c>
      <c r="Q338" s="61">
        <v>35425.760000000002</v>
      </c>
      <c r="R338" s="61">
        <v>11227.65</v>
      </c>
      <c r="S338" s="61">
        <v>0</v>
      </c>
      <c r="T338" s="1675">
        <v>0</v>
      </c>
      <c r="U338" s="430">
        <v>3322.61</v>
      </c>
      <c r="V338" s="526">
        <f t="shared" si="30"/>
        <v>49976.020000000004</v>
      </c>
    </row>
    <row r="339" spans="1:22">
      <c r="A339" s="85">
        <f t="shared" si="26"/>
        <v>2021.06</v>
      </c>
      <c r="B339" s="74">
        <v>1379</v>
      </c>
      <c r="C339" s="61">
        <v>29</v>
      </c>
      <c r="D339" s="61">
        <v>3994.2200000000003</v>
      </c>
      <c r="E339" s="61">
        <v>255.04900000000001</v>
      </c>
      <c r="F339" s="573">
        <v>0</v>
      </c>
      <c r="G339" s="1365">
        <v>0</v>
      </c>
      <c r="H339" s="508">
        <f t="shared" si="27"/>
        <v>0</v>
      </c>
      <c r="I339" s="573">
        <v>28801.559999999998</v>
      </c>
      <c r="J339" s="1531">
        <v>0</v>
      </c>
      <c r="K339" s="637">
        <f t="shared" si="28"/>
        <v>28801.559999999998</v>
      </c>
      <c r="L339" s="1675">
        <v>133735.272</v>
      </c>
      <c r="M339" s="430">
        <v>0</v>
      </c>
      <c r="N339" s="61">
        <v>0</v>
      </c>
      <c r="O339" s="525">
        <f t="shared" si="29"/>
        <v>133735.272</v>
      </c>
      <c r="P339" s="61">
        <v>0</v>
      </c>
      <c r="Q339" s="61">
        <v>37276.28</v>
      </c>
      <c r="R339" s="61">
        <v>11627.02</v>
      </c>
      <c r="S339" s="61">
        <v>0</v>
      </c>
      <c r="T339" s="1675">
        <v>0</v>
      </c>
      <c r="U339" s="430">
        <v>16167.92</v>
      </c>
      <c r="V339" s="526">
        <f t="shared" si="30"/>
        <v>65071.22</v>
      </c>
    </row>
    <row r="340" spans="1:22">
      <c r="A340" s="85">
        <f t="shared" si="26"/>
        <v>2021.07</v>
      </c>
      <c r="B340" s="74">
        <v>486</v>
      </c>
      <c r="C340" s="61">
        <v>33</v>
      </c>
      <c r="D340" s="61">
        <v>4465.9400000000005</v>
      </c>
      <c r="E340" s="61">
        <v>248.84399999999999</v>
      </c>
      <c r="F340" s="573">
        <v>0</v>
      </c>
      <c r="G340" s="1365">
        <v>0</v>
      </c>
      <c r="H340" s="508">
        <f t="shared" si="27"/>
        <v>0</v>
      </c>
      <c r="I340" s="573">
        <v>28323.859999999997</v>
      </c>
      <c r="J340" s="1531">
        <v>0</v>
      </c>
      <c r="K340" s="637">
        <f t="shared" si="28"/>
        <v>28323.859999999997</v>
      </c>
      <c r="L340" s="1675">
        <v>144636.342</v>
      </c>
      <c r="M340" s="430">
        <v>0</v>
      </c>
      <c r="N340" s="61">
        <v>0</v>
      </c>
      <c r="O340" s="525">
        <f t="shared" si="29"/>
        <v>144636.342</v>
      </c>
      <c r="P340" s="61">
        <v>0</v>
      </c>
      <c r="Q340" s="61">
        <v>45999.87</v>
      </c>
      <c r="R340" s="61">
        <v>15856.41</v>
      </c>
      <c r="S340" s="61">
        <v>0</v>
      </c>
      <c r="T340" s="1675">
        <v>0</v>
      </c>
      <c r="U340" s="430">
        <v>8886.92</v>
      </c>
      <c r="V340" s="526">
        <f t="shared" si="30"/>
        <v>70743.199999999997</v>
      </c>
    </row>
    <row r="341" spans="1:22">
      <c r="A341" s="85">
        <f t="shared" si="26"/>
        <v>2021.08</v>
      </c>
      <c r="B341" s="74">
        <v>883</v>
      </c>
      <c r="C341" s="61">
        <v>48</v>
      </c>
      <c r="D341" s="61">
        <v>5359.9400000000005</v>
      </c>
      <c r="E341" s="61">
        <v>194.42599999999999</v>
      </c>
      <c r="F341" s="573">
        <v>0</v>
      </c>
      <c r="G341" s="1365">
        <v>0</v>
      </c>
      <c r="H341" s="508">
        <f t="shared" si="27"/>
        <v>0</v>
      </c>
      <c r="I341" s="573">
        <v>462.82</v>
      </c>
      <c r="J341" s="1531">
        <v>0</v>
      </c>
      <c r="K341" s="637">
        <f t="shared" si="28"/>
        <v>462.82</v>
      </c>
      <c r="L341" s="1675">
        <v>138539.88999999998</v>
      </c>
      <c r="M341" s="430">
        <v>0</v>
      </c>
      <c r="N341" s="61">
        <v>0</v>
      </c>
      <c r="O341" s="525">
        <f t="shared" si="29"/>
        <v>138539.88999999998</v>
      </c>
      <c r="P341" s="61">
        <v>0</v>
      </c>
      <c r="Q341" s="61">
        <v>48479.13</v>
      </c>
      <c r="R341" s="61">
        <v>17081.740000000002</v>
      </c>
      <c r="S341" s="61">
        <v>0</v>
      </c>
      <c r="T341" s="1675">
        <v>0</v>
      </c>
      <c r="U341" s="430">
        <v>19013.618999999999</v>
      </c>
      <c r="V341" s="526">
        <f t="shared" si="30"/>
        <v>84574.489000000001</v>
      </c>
    </row>
    <row r="342" spans="1:22">
      <c r="A342" s="85">
        <f t="shared" si="26"/>
        <v>2021.09</v>
      </c>
      <c r="B342" s="74">
        <v>833</v>
      </c>
      <c r="C342" s="61">
        <v>39</v>
      </c>
      <c r="D342" s="61">
        <v>4263.8</v>
      </c>
      <c r="E342" s="61">
        <v>91.462000000000003</v>
      </c>
      <c r="F342" s="573">
        <v>0</v>
      </c>
      <c r="G342" s="1365">
        <v>0</v>
      </c>
      <c r="H342" s="508">
        <f t="shared" si="27"/>
        <v>0</v>
      </c>
      <c r="I342" s="573">
        <v>757.68000000000006</v>
      </c>
      <c r="J342" s="1531">
        <v>2478</v>
      </c>
      <c r="K342" s="637">
        <f t="shared" si="28"/>
        <v>3235.6800000000003</v>
      </c>
      <c r="L342" s="1675">
        <v>136360.495</v>
      </c>
      <c r="M342" s="430">
        <v>0</v>
      </c>
      <c r="N342" s="61">
        <v>0</v>
      </c>
      <c r="O342" s="525">
        <f t="shared" si="29"/>
        <v>136360.495</v>
      </c>
      <c r="P342" s="61">
        <v>0</v>
      </c>
      <c r="Q342" s="61">
        <v>47162.63</v>
      </c>
      <c r="R342" s="61">
        <v>17016.79</v>
      </c>
      <c r="S342" s="61">
        <v>0</v>
      </c>
      <c r="T342" s="1675">
        <v>0</v>
      </c>
      <c r="U342" s="430">
        <v>17639.04</v>
      </c>
      <c r="V342" s="526">
        <f t="shared" si="30"/>
        <v>81818.459999999992</v>
      </c>
    </row>
    <row r="343" spans="1:22">
      <c r="A343" s="85">
        <f t="shared" si="26"/>
        <v>2021.1</v>
      </c>
      <c r="B343" s="74">
        <v>1531</v>
      </c>
      <c r="C343" s="61">
        <v>56</v>
      </c>
      <c r="D343" s="61">
        <v>5562.1</v>
      </c>
      <c r="E343" s="61">
        <v>89.87</v>
      </c>
      <c r="F343" s="573">
        <v>0</v>
      </c>
      <c r="G343" s="1365">
        <v>0</v>
      </c>
      <c r="H343" s="508">
        <f t="shared" si="27"/>
        <v>0</v>
      </c>
      <c r="I343" s="573">
        <v>724.6</v>
      </c>
      <c r="J343" s="1531">
        <v>0</v>
      </c>
      <c r="K343" s="637">
        <f t="shared" si="28"/>
        <v>724.6</v>
      </c>
      <c r="L343" s="1675">
        <v>131371.76999999999</v>
      </c>
      <c r="M343" s="430">
        <v>0</v>
      </c>
      <c r="N343" s="61">
        <v>0</v>
      </c>
      <c r="O343" s="525">
        <f t="shared" si="29"/>
        <v>131371.76999999999</v>
      </c>
      <c r="P343" s="61">
        <v>0</v>
      </c>
      <c r="Q343" s="61">
        <v>47954.9</v>
      </c>
      <c r="R343" s="61">
        <v>19374.12</v>
      </c>
      <c r="S343" s="61">
        <v>0</v>
      </c>
      <c r="T343" s="1675">
        <v>0</v>
      </c>
      <c r="U343" s="430">
        <v>16338.606</v>
      </c>
      <c r="V343" s="526">
        <f t="shared" si="30"/>
        <v>83667.626000000004</v>
      </c>
    </row>
    <row r="344" spans="1:22">
      <c r="A344" s="85">
        <f t="shared" si="26"/>
        <v>2021.11</v>
      </c>
      <c r="B344" s="74">
        <v>1018</v>
      </c>
      <c r="C344" s="61">
        <v>42</v>
      </c>
      <c r="D344" s="61">
        <v>4946.08</v>
      </c>
      <c r="E344" s="61">
        <v>172.12799999999999</v>
      </c>
      <c r="F344" s="573">
        <v>0</v>
      </c>
      <c r="G344" s="1365">
        <v>0</v>
      </c>
      <c r="H344" s="508">
        <f t="shared" si="27"/>
        <v>0</v>
      </c>
      <c r="I344" s="573">
        <v>704.26</v>
      </c>
      <c r="J344" s="1531">
        <v>0</v>
      </c>
      <c r="K344" s="637">
        <f t="shared" si="28"/>
        <v>704.26</v>
      </c>
      <c r="L344" s="1675">
        <v>138398.03200000001</v>
      </c>
      <c r="M344" s="430">
        <v>0</v>
      </c>
      <c r="N344" s="61">
        <v>0</v>
      </c>
      <c r="O344" s="525">
        <f t="shared" si="29"/>
        <v>138398.03200000001</v>
      </c>
      <c r="P344" s="61">
        <v>0</v>
      </c>
      <c r="Q344" s="61">
        <v>47763.55</v>
      </c>
      <c r="R344" s="61">
        <v>19246.21</v>
      </c>
      <c r="S344" s="61">
        <v>0</v>
      </c>
      <c r="T344" s="1675">
        <v>0</v>
      </c>
      <c r="U344" s="430">
        <v>14134.67</v>
      </c>
      <c r="V344" s="526">
        <f t="shared" si="30"/>
        <v>81144.430000000008</v>
      </c>
    </row>
    <row r="345" spans="1:22">
      <c r="A345" s="85">
        <f t="shared" si="26"/>
        <v>2021.12</v>
      </c>
      <c r="B345" s="74">
        <v>1209</v>
      </c>
      <c r="C345" s="61">
        <v>51</v>
      </c>
      <c r="D345" s="61">
        <v>4326.58</v>
      </c>
      <c r="E345" s="61">
        <v>130.00399999999999</v>
      </c>
      <c r="F345" s="573">
        <v>0</v>
      </c>
      <c r="G345" s="1365">
        <v>0</v>
      </c>
      <c r="H345" s="508">
        <f t="shared" si="27"/>
        <v>0</v>
      </c>
      <c r="I345" s="573">
        <v>492.18</v>
      </c>
      <c r="J345" s="1531">
        <v>5585.87</v>
      </c>
      <c r="K345" s="637">
        <f t="shared" si="28"/>
        <v>6078.05</v>
      </c>
      <c r="L345" s="1675">
        <v>141489.78399999999</v>
      </c>
      <c r="M345" s="430">
        <v>0</v>
      </c>
      <c r="N345" s="61">
        <v>0</v>
      </c>
      <c r="O345" s="525">
        <f t="shared" si="29"/>
        <v>141489.78399999999</v>
      </c>
      <c r="P345" s="61">
        <v>0</v>
      </c>
      <c r="Q345" s="61">
        <v>53696.12</v>
      </c>
      <c r="R345" s="61">
        <v>22835.94</v>
      </c>
      <c r="S345" s="61">
        <v>0</v>
      </c>
      <c r="T345" s="1675">
        <v>0</v>
      </c>
      <c r="U345" s="430">
        <v>10139.768</v>
      </c>
      <c r="V345" s="526">
        <f t="shared" si="30"/>
        <v>86671.827999999994</v>
      </c>
    </row>
    <row r="346" spans="1:22">
      <c r="A346" s="85">
        <f t="shared" si="26"/>
        <v>2022.01</v>
      </c>
      <c r="B346" s="74">
        <v>1507</v>
      </c>
      <c r="C346" s="61">
        <v>40</v>
      </c>
      <c r="D346" s="61">
        <v>4120.28</v>
      </c>
      <c r="E346" s="61">
        <v>87.343000000000004</v>
      </c>
      <c r="F346" s="573">
        <v>0</v>
      </c>
      <c r="G346" s="1365">
        <v>0</v>
      </c>
      <c r="H346" s="508">
        <f t="shared" si="27"/>
        <v>0</v>
      </c>
      <c r="I346" s="573">
        <v>619.94000000000005</v>
      </c>
      <c r="J346" s="1531">
        <v>0</v>
      </c>
      <c r="K346" s="637">
        <f t="shared" si="28"/>
        <v>619.94000000000005</v>
      </c>
      <c r="L346" s="1675">
        <v>119465.76999999999</v>
      </c>
      <c r="M346" s="430">
        <v>0</v>
      </c>
      <c r="N346" s="61">
        <v>0</v>
      </c>
      <c r="O346" s="525">
        <f t="shared" si="29"/>
        <v>119465.76999999999</v>
      </c>
      <c r="P346" s="61">
        <v>0</v>
      </c>
      <c r="Q346" s="61">
        <v>43368.02</v>
      </c>
      <c r="R346" s="61">
        <v>18629.009999999998</v>
      </c>
      <c r="S346" s="61">
        <v>0</v>
      </c>
      <c r="T346" s="1675">
        <v>0</v>
      </c>
      <c r="U346" s="430">
        <v>16362.5</v>
      </c>
      <c r="V346" s="526">
        <f t="shared" si="30"/>
        <v>78359.53</v>
      </c>
    </row>
    <row r="347" spans="1:22">
      <c r="A347" s="85">
        <f t="shared" si="26"/>
        <v>2022.02</v>
      </c>
      <c r="B347" s="74">
        <v>1497</v>
      </c>
      <c r="C347" s="61">
        <v>41</v>
      </c>
      <c r="D347" s="61">
        <v>5145.9400000000005</v>
      </c>
      <c r="E347" s="61">
        <v>186.32400000000001</v>
      </c>
      <c r="F347" s="573">
        <v>0</v>
      </c>
      <c r="G347" s="1365">
        <v>0</v>
      </c>
      <c r="H347" s="508">
        <f t="shared" si="27"/>
        <v>0</v>
      </c>
      <c r="I347" s="573">
        <v>751.92</v>
      </c>
      <c r="J347" s="1531">
        <v>0</v>
      </c>
      <c r="K347" s="637">
        <f t="shared" si="28"/>
        <v>751.92</v>
      </c>
      <c r="L347" s="1675">
        <v>114047.678</v>
      </c>
      <c r="M347" s="430">
        <v>0</v>
      </c>
      <c r="N347" s="61">
        <v>0</v>
      </c>
      <c r="O347" s="525">
        <f t="shared" si="29"/>
        <v>114047.678</v>
      </c>
      <c r="P347" s="61">
        <v>0</v>
      </c>
      <c r="Q347" s="61">
        <v>43721.11</v>
      </c>
      <c r="R347" s="61">
        <v>19057.18</v>
      </c>
      <c r="S347" s="61">
        <v>0</v>
      </c>
      <c r="T347" s="1675">
        <v>0</v>
      </c>
      <c r="U347" s="430">
        <v>1247</v>
      </c>
      <c r="V347" s="526">
        <f t="shared" si="30"/>
        <v>64025.29</v>
      </c>
    </row>
    <row r="348" spans="1:22">
      <c r="A348" s="85">
        <f t="shared" si="26"/>
        <v>2022.03</v>
      </c>
      <c r="B348" s="74">
        <v>2619</v>
      </c>
      <c r="C348" s="61">
        <v>53</v>
      </c>
      <c r="D348" s="61">
        <v>4953.2</v>
      </c>
      <c r="E348" s="61">
        <v>175.1</v>
      </c>
      <c r="F348" s="573">
        <v>0</v>
      </c>
      <c r="G348" s="1365">
        <v>0</v>
      </c>
      <c r="H348" s="508">
        <f t="shared" si="27"/>
        <v>0</v>
      </c>
      <c r="I348" s="573">
        <v>1406.47</v>
      </c>
      <c r="J348" s="1531">
        <v>7397.36</v>
      </c>
      <c r="K348" s="637">
        <f t="shared" si="28"/>
        <v>8803.83</v>
      </c>
      <c r="L348" s="1675">
        <v>128625.34000000003</v>
      </c>
      <c r="M348" s="430">
        <v>0</v>
      </c>
      <c r="N348" s="61">
        <v>0</v>
      </c>
      <c r="O348" s="525">
        <f t="shared" si="29"/>
        <v>128625.34000000003</v>
      </c>
      <c r="P348" s="61">
        <v>0</v>
      </c>
      <c r="Q348" s="61">
        <v>47329.17</v>
      </c>
      <c r="R348" s="61">
        <v>19560.330000000002</v>
      </c>
      <c r="S348" s="61">
        <v>0</v>
      </c>
      <c r="T348" s="1675">
        <v>0</v>
      </c>
      <c r="U348" s="430">
        <v>12925.1</v>
      </c>
      <c r="V348" s="526">
        <f t="shared" si="30"/>
        <v>79814.600000000006</v>
      </c>
    </row>
    <row r="349" spans="1:22">
      <c r="A349" s="85">
        <f t="shared" si="26"/>
        <v>2022.04</v>
      </c>
      <c r="B349" s="74">
        <v>1345</v>
      </c>
      <c r="C349" s="61">
        <v>37</v>
      </c>
      <c r="D349" s="61">
        <v>4616.22</v>
      </c>
      <c r="E349" s="61">
        <v>180.24099999999999</v>
      </c>
      <c r="F349" s="573">
        <v>0</v>
      </c>
      <c r="G349" s="1365">
        <v>0</v>
      </c>
      <c r="H349" s="508">
        <f t="shared" si="27"/>
        <v>0</v>
      </c>
      <c r="I349" s="573">
        <v>1312.4699999999998</v>
      </c>
      <c r="J349" s="1531">
        <v>9616.15</v>
      </c>
      <c r="K349" s="637">
        <f t="shared" si="28"/>
        <v>10928.619999999999</v>
      </c>
      <c r="L349" s="1675">
        <v>149451.804</v>
      </c>
      <c r="M349" s="430">
        <v>0</v>
      </c>
      <c r="N349" s="61">
        <v>0</v>
      </c>
      <c r="O349" s="525">
        <f t="shared" si="29"/>
        <v>149451.804</v>
      </c>
      <c r="P349" s="61">
        <v>0</v>
      </c>
      <c r="Q349" s="61">
        <v>45558.16</v>
      </c>
      <c r="R349" s="61">
        <v>19354.13</v>
      </c>
      <c r="S349" s="61">
        <v>0</v>
      </c>
      <c r="T349" s="1675">
        <v>1708</v>
      </c>
      <c r="U349" s="430">
        <v>8324.39</v>
      </c>
      <c r="V349" s="526">
        <f t="shared" si="30"/>
        <v>74944.680000000008</v>
      </c>
    </row>
    <row r="350" spans="1:22">
      <c r="A350" s="85">
        <f t="shared" si="26"/>
        <v>2022.05</v>
      </c>
      <c r="B350" s="74">
        <v>1071</v>
      </c>
      <c r="C350" s="61">
        <v>28</v>
      </c>
      <c r="D350" s="61">
        <v>4345.96</v>
      </c>
      <c r="E350" s="61">
        <v>177.15</v>
      </c>
      <c r="F350" s="573">
        <v>0</v>
      </c>
      <c r="G350" s="1365">
        <v>0</v>
      </c>
      <c r="H350" s="508">
        <f t="shared" si="27"/>
        <v>0</v>
      </c>
      <c r="I350" s="573">
        <v>2507.1</v>
      </c>
      <c r="J350" s="1531">
        <v>6903.3</v>
      </c>
      <c r="K350" s="637">
        <f t="shared" si="28"/>
        <v>9410.4</v>
      </c>
      <c r="L350" s="1675">
        <v>149460.087</v>
      </c>
      <c r="M350" s="430">
        <v>0</v>
      </c>
      <c r="N350" s="61">
        <v>0</v>
      </c>
      <c r="O350" s="525">
        <f t="shared" si="29"/>
        <v>149460.087</v>
      </c>
      <c r="P350" s="61">
        <v>0</v>
      </c>
      <c r="Q350" s="61">
        <v>44346.987999999998</v>
      </c>
      <c r="R350" s="61">
        <v>18261.393</v>
      </c>
      <c r="S350" s="61">
        <v>0</v>
      </c>
      <c r="T350" s="1675">
        <v>0</v>
      </c>
      <c r="U350" s="430">
        <v>166</v>
      </c>
      <c r="V350" s="526">
        <f t="shared" si="30"/>
        <v>62774.380999999994</v>
      </c>
    </row>
    <row r="351" spans="1:22">
      <c r="A351" s="85">
        <f t="shared" si="26"/>
        <v>2022.06</v>
      </c>
      <c r="B351" s="74">
        <v>1736</v>
      </c>
      <c r="C351" s="61">
        <v>10</v>
      </c>
      <c r="D351" s="61">
        <v>4250.87</v>
      </c>
      <c r="E351" s="61">
        <v>281</v>
      </c>
      <c r="F351" s="573">
        <v>0</v>
      </c>
      <c r="G351" s="1365">
        <v>0</v>
      </c>
      <c r="H351" s="508">
        <f t="shared" si="27"/>
        <v>0</v>
      </c>
      <c r="I351" s="573">
        <v>1464</v>
      </c>
      <c r="J351" s="1531">
        <v>0</v>
      </c>
      <c r="K351" s="637">
        <f t="shared" si="28"/>
        <v>1464</v>
      </c>
      <c r="L351" s="1675">
        <v>143151.79</v>
      </c>
      <c r="M351" s="430">
        <v>632.29999999999995</v>
      </c>
      <c r="N351" s="61">
        <v>0</v>
      </c>
      <c r="O351" s="525">
        <f t="shared" si="29"/>
        <v>143784.09</v>
      </c>
      <c r="P351" s="61">
        <v>0</v>
      </c>
      <c r="Q351" s="61">
        <v>45397.66</v>
      </c>
      <c r="R351" s="61">
        <v>19141.89</v>
      </c>
      <c r="S351" s="61">
        <v>0</v>
      </c>
      <c r="T351" s="1675">
        <v>0</v>
      </c>
      <c r="U351" s="430">
        <v>12597.734999999999</v>
      </c>
      <c r="V351" s="526">
        <f t="shared" si="30"/>
        <v>77137.285000000003</v>
      </c>
    </row>
    <row r="352" spans="1:22">
      <c r="A352" s="85">
        <f t="shared" si="26"/>
        <v>2022.07</v>
      </c>
      <c r="B352" s="74">
        <v>1594</v>
      </c>
      <c r="C352" s="61">
        <v>22</v>
      </c>
      <c r="D352" s="61">
        <v>4223.66</v>
      </c>
      <c r="E352" s="61">
        <v>177.94</v>
      </c>
      <c r="F352" s="573">
        <v>0</v>
      </c>
      <c r="G352" s="1365">
        <v>0</v>
      </c>
      <c r="H352" s="508">
        <f t="shared" si="27"/>
        <v>0</v>
      </c>
      <c r="I352" s="573">
        <v>16964.12</v>
      </c>
      <c r="J352" s="1531">
        <v>0</v>
      </c>
      <c r="K352" s="637">
        <f t="shared" si="28"/>
        <v>16964.12</v>
      </c>
      <c r="L352" s="1675">
        <v>141978.163</v>
      </c>
      <c r="M352" s="430">
        <v>0</v>
      </c>
      <c r="N352" s="61">
        <v>0</v>
      </c>
      <c r="O352" s="525">
        <f t="shared" si="29"/>
        <v>141978.163</v>
      </c>
      <c r="P352" s="61">
        <v>0</v>
      </c>
      <c r="Q352" s="61">
        <v>46447.375</v>
      </c>
      <c r="R352" s="61">
        <v>19091.923999999999</v>
      </c>
      <c r="S352" s="61">
        <v>0</v>
      </c>
      <c r="T352" s="1675">
        <v>18843.620000000003</v>
      </c>
      <c r="U352" s="430">
        <v>4893.59</v>
      </c>
      <c r="V352" s="526">
        <f t="shared" si="30"/>
        <v>89276.508999999991</v>
      </c>
    </row>
    <row r="353" spans="1:22">
      <c r="A353" s="85">
        <f t="shared" si="26"/>
        <v>2022.08</v>
      </c>
      <c r="B353" s="74">
        <v>1686</v>
      </c>
      <c r="C353" s="61">
        <v>32</v>
      </c>
      <c r="D353" s="61">
        <v>5424.18</v>
      </c>
      <c r="E353" s="61">
        <v>183</v>
      </c>
      <c r="F353" s="573">
        <v>0</v>
      </c>
      <c r="G353" s="1365">
        <v>0</v>
      </c>
      <c r="H353" s="508">
        <f t="shared" si="27"/>
        <v>0</v>
      </c>
      <c r="I353" s="573">
        <v>839</v>
      </c>
      <c r="J353" s="1531">
        <v>0</v>
      </c>
      <c r="K353" s="637">
        <f t="shared" si="28"/>
        <v>839</v>
      </c>
      <c r="L353" s="1675">
        <v>139727.15</v>
      </c>
      <c r="M353" s="430">
        <v>0</v>
      </c>
      <c r="N353" s="61">
        <v>0</v>
      </c>
      <c r="O353" s="525">
        <f t="shared" si="29"/>
        <v>139727.15</v>
      </c>
      <c r="P353" s="61">
        <v>0</v>
      </c>
      <c r="Q353" s="61">
        <v>47071.78</v>
      </c>
      <c r="R353" s="61">
        <v>19149.689999999999</v>
      </c>
      <c r="S353" s="61">
        <v>0</v>
      </c>
      <c r="T353" s="1675">
        <v>0</v>
      </c>
      <c r="U353" s="430">
        <v>1394</v>
      </c>
      <c r="V353" s="526">
        <f t="shared" si="30"/>
        <v>67615.47</v>
      </c>
    </row>
    <row r="354" spans="1:22">
      <c r="A354" s="85">
        <f t="shared" si="26"/>
        <v>2022.09</v>
      </c>
      <c r="B354" s="74">
        <v>1720</v>
      </c>
      <c r="C354" s="61">
        <v>78</v>
      </c>
      <c r="D354" s="61">
        <v>5540.02</v>
      </c>
      <c r="E354" s="61">
        <v>89</v>
      </c>
      <c r="F354" s="573">
        <v>0</v>
      </c>
      <c r="G354" s="1365">
        <v>0</v>
      </c>
      <c r="H354" s="508">
        <f t="shared" si="27"/>
        <v>0</v>
      </c>
      <c r="I354" s="573">
        <v>676</v>
      </c>
      <c r="J354" s="1531">
        <v>6207</v>
      </c>
      <c r="K354" s="637">
        <f t="shared" si="28"/>
        <v>6883</v>
      </c>
      <c r="L354" s="1675">
        <v>132299.23000000001</v>
      </c>
      <c r="M354" s="430">
        <v>0</v>
      </c>
      <c r="N354" s="61">
        <v>0</v>
      </c>
      <c r="O354" s="525">
        <f t="shared" si="29"/>
        <v>132299.23000000001</v>
      </c>
      <c r="P354" s="61">
        <v>0</v>
      </c>
      <c r="Q354" s="61">
        <v>47516.21</v>
      </c>
      <c r="R354" s="61">
        <v>18937.27</v>
      </c>
      <c r="S354" s="61">
        <v>0</v>
      </c>
      <c r="T354" s="1675">
        <v>0</v>
      </c>
      <c r="U354" s="430">
        <v>1082</v>
      </c>
      <c r="V354" s="526">
        <f t="shared" si="30"/>
        <v>67535.48</v>
      </c>
    </row>
    <row r="355" spans="1:22">
      <c r="A355" s="85">
        <f t="shared" si="26"/>
        <v>2022.1</v>
      </c>
      <c r="B355" s="74">
        <v>1674</v>
      </c>
      <c r="C355" s="61">
        <v>70</v>
      </c>
      <c r="D355" s="61">
        <v>4222.0200000000004</v>
      </c>
      <c r="E355" s="61">
        <v>51</v>
      </c>
      <c r="F355" s="573">
        <v>0</v>
      </c>
      <c r="G355" s="1365">
        <v>0</v>
      </c>
      <c r="H355" s="508">
        <f t="shared" si="27"/>
        <v>0</v>
      </c>
      <c r="I355" s="573">
        <v>689</v>
      </c>
      <c r="J355" s="1531">
        <v>6163.94</v>
      </c>
      <c r="K355" s="637">
        <f t="shared" si="28"/>
        <v>6852.94</v>
      </c>
      <c r="L355" s="1675">
        <v>125497.09</v>
      </c>
      <c r="M355" s="430">
        <v>0</v>
      </c>
      <c r="N355" s="61">
        <v>0</v>
      </c>
      <c r="O355" s="525">
        <f t="shared" si="29"/>
        <v>125497.09</v>
      </c>
      <c r="P355" s="61">
        <v>0</v>
      </c>
      <c r="Q355" s="61">
        <v>49396.9</v>
      </c>
      <c r="R355" s="61">
        <v>19595.48</v>
      </c>
      <c r="S355" s="61">
        <v>0</v>
      </c>
      <c r="T355" s="1675">
        <v>0</v>
      </c>
      <c r="U355" s="430">
        <v>25612.117999999999</v>
      </c>
      <c r="V355" s="526">
        <f t="shared" si="30"/>
        <v>94604.498000000007</v>
      </c>
    </row>
    <row r="356" spans="1:22">
      <c r="A356" s="85">
        <f t="shared" si="26"/>
        <v>2022.11</v>
      </c>
      <c r="B356" s="74">
        <v>1042</v>
      </c>
      <c r="C356" s="61">
        <v>70</v>
      </c>
      <c r="D356" s="61">
        <v>6709.28</v>
      </c>
      <c r="E356" s="61">
        <v>101</v>
      </c>
      <c r="F356" s="573">
        <v>0</v>
      </c>
      <c r="G356" s="1365">
        <v>0</v>
      </c>
      <c r="H356" s="508">
        <f t="shared" si="27"/>
        <v>0</v>
      </c>
      <c r="I356" s="573">
        <v>714</v>
      </c>
      <c r="J356" s="1531">
        <v>0</v>
      </c>
      <c r="K356" s="637">
        <f t="shared" si="28"/>
        <v>714</v>
      </c>
      <c r="L356" s="1675">
        <v>139110.48000000001</v>
      </c>
      <c r="M356" s="430">
        <v>0</v>
      </c>
      <c r="N356" s="61">
        <v>0</v>
      </c>
      <c r="O356" s="525">
        <f t="shared" si="29"/>
        <v>139110.48000000001</v>
      </c>
      <c r="P356" s="61">
        <v>0</v>
      </c>
      <c r="Q356" s="61">
        <v>49193.06</v>
      </c>
      <c r="R356" s="61">
        <v>18651.59</v>
      </c>
      <c r="S356" s="61">
        <v>0</v>
      </c>
      <c r="T356" s="1675">
        <v>18307.78</v>
      </c>
      <c r="U356" s="430">
        <v>852</v>
      </c>
      <c r="V356" s="526">
        <f t="shared" si="30"/>
        <v>87004.43</v>
      </c>
    </row>
    <row r="357" spans="1:22">
      <c r="A357" s="85">
        <f t="shared" si="26"/>
        <v>2022.12</v>
      </c>
      <c r="B357" s="74">
        <v>1142</v>
      </c>
      <c r="C357" s="61">
        <v>81</v>
      </c>
      <c r="D357" s="61">
        <v>5206.8500000000004</v>
      </c>
      <c r="E357" s="61">
        <v>57</v>
      </c>
      <c r="F357" s="573">
        <v>0</v>
      </c>
      <c r="G357" s="1365">
        <v>0</v>
      </c>
      <c r="H357" s="508">
        <f t="shared" si="27"/>
        <v>0</v>
      </c>
      <c r="I357" s="573">
        <v>492</v>
      </c>
      <c r="J357" s="1531">
        <v>8850.2800000000007</v>
      </c>
      <c r="K357" s="637">
        <f t="shared" si="28"/>
        <v>9342.2800000000007</v>
      </c>
      <c r="L357" s="1675">
        <v>131788.71</v>
      </c>
      <c r="M357" s="430">
        <v>0</v>
      </c>
      <c r="N357" s="61">
        <v>0</v>
      </c>
      <c r="O357" s="525">
        <f t="shared" si="29"/>
        <v>131788.71</v>
      </c>
      <c r="P357" s="61">
        <v>0</v>
      </c>
      <c r="Q357" s="61">
        <v>53490.63</v>
      </c>
      <c r="R357" s="61">
        <v>20271.64</v>
      </c>
      <c r="S357" s="61">
        <v>0</v>
      </c>
      <c r="T357" s="1675">
        <v>0</v>
      </c>
      <c r="U357" s="430">
        <v>798</v>
      </c>
      <c r="V357" s="526">
        <f t="shared" si="30"/>
        <v>74560.26999999999</v>
      </c>
    </row>
    <row r="358" spans="1:22">
      <c r="A358" s="85">
        <f t="shared" si="26"/>
        <v>2023.01</v>
      </c>
      <c r="B358" s="74">
        <v>3255</v>
      </c>
      <c r="C358" s="61">
        <v>66</v>
      </c>
      <c r="D358" s="61">
        <v>5354.76</v>
      </c>
      <c r="E358" s="61">
        <v>66</v>
      </c>
      <c r="F358" s="573">
        <v>0</v>
      </c>
      <c r="G358" s="1365">
        <v>0</v>
      </c>
      <c r="H358" s="508">
        <f t="shared" si="27"/>
        <v>0</v>
      </c>
      <c r="I358" s="573">
        <v>647</v>
      </c>
      <c r="J358" s="1531">
        <v>0</v>
      </c>
      <c r="K358" s="637">
        <f t="shared" si="28"/>
        <v>647</v>
      </c>
      <c r="L358" s="1675">
        <v>112481.3</v>
      </c>
      <c r="M358" s="430">
        <v>0</v>
      </c>
      <c r="N358" s="61">
        <v>0</v>
      </c>
      <c r="O358" s="525">
        <f t="shared" si="29"/>
        <v>112481.3</v>
      </c>
      <c r="P358" s="61">
        <v>0</v>
      </c>
      <c r="Q358" s="61">
        <v>49808.49</v>
      </c>
      <c r="R358" s="61">
        <v>18384.34</v>
      </c>
      <c r="S358" s="61">
        <v>0</v>
      </c>
      <c r="T358" s="1675">
        <v>0</v>
      </c>
      <c r="U358" s="430">
        <v>1515</v>
      </c>
      <c r="V358" s="526">
        <f t="shared" si="30"/>
        <v>69707.83</v>
      </c>
    </row>
    <row r="359" spans="1:22">
      <c r="A359" s="85">
        <f t="shared" si="26"/>
        <v>2023.02</v>
      </c>
      <c r="B359" s="74">
        <v>1935</v>
      </c>
      <c r="C359" s="61">
        <v>91</v>
      </c>
      <c r="D359" s="61">
        <v>5138.76</v>
      </c>
      <c r="E359" s="61">
        <v>81</v>
      </c>
      <c r="F359" s="573">
        <v>0</v>
      </c>
      <c r="G359" s="1365">
        <v>0</v>
      </c>
      <c r="H359" s="508">
        <f t="shared" si="27"/>
        <v>0</v>
      </c>
      <c r="I359" s="573">
        <v>429</v>
      </c>
      <c r="J359" s="1531">
        <v>5762.08</v>
      </c>
      <c r="K359" s="637">
        <f t="shared" si="28"/>
        <v>6191.08</v>
      </c>
      <c r="L359" s="1675">
        <v>100370.90700000001</v>
      </c>
      <c r="M359" s="430">
        <v>0</v>
      </c>
      <c r="N359" s="61">
        <v>0</v>
      </c>
      <c r="O359" s="525">
        <f t="shared" si="29"/>
        <v>100370.90700000001</v>
      </c>
      <c r="P359" s="61">
        <v>0</v>
      </c>
      <c r="Q359" s="61">
        <v>47416.777000000002</v>
      </c>
      <c r="R359" s="61">
        <v>17250.305</v>
      </c>
      <c r="S359" s="61">
        <v>0</v>
      </c>
      <c r="T359" s="1675">
        <v>0</v>
      </c>
      <c r="U359" s="430">
        <v>913</v>
      </c>
      <c r="V359" s="526">
        <f t="shared" si="30"/>
        <v>65580.081999999995</v>
      </c>
    </row>
    <row r="360" spans="1:22">
      <c r="A360" s="85">
        <f t="shared" si="26"/>
        <v>2023.03</v>
      </c>
      <c r="B360" s="74">
        <v>1757</v>
      </c>
      <c r="C360" s="61">
        <v>73</v>
      </c>
      <c r="D360" s="61">
        <v>8143.28</v>
      </c>
      <c r="E360" s="61">
        <v>36</v>
      </c>
      <c r="F360" s="573">
        <v>0</v>
      </c>
      <c r="G360" s="1365">
        <v>0</v>
      </c>
      <c r="H360" s="508">
        <f t="shared" si="27"/>
        <v>0</v>
      </c>
      <c r="I360" s="573">
        <v>651</v>
      </c>
      <c r="J360" s="1531">
        <v>0</v>
      </c>
      <c r="K360" s="637">
        <f t="shared" si="28"/>
        <v>651</v>
      </c>
      <c r="L360" s="1675">
        <v>124557.87</v>
      </c>
      <c r="M360" s="430">
        <v>0</v>
      </c>
      <c r="N360" s="61">
        <v>0</v>
      </c>
      <c r="O360" s="525">
        <f t="shared" si="29"/>
        <v>124557.87</v>
      </c>
      <c r="P360" s="61">
        <v>0</v>
      </c>
      <c r="Q360" s="61">
        <v>55681.68</v>
      </c>
      <c r="R360" s="61">
        <v>19077.419999999998</v>
      </c>
      <c r="S360" s="61">
        <v>0</v>
      </c>
      <c r="T360" s="1675">
        <v>0</v>
      </c>
      <c r="U360" s="430">
        <v>14468.1</v>
      </c>
      <c r="V360" s="526">
        <f t="shared" si="30"/>
        <v>89227.200000000012</v>
      </c>
    </row>
    <row r="361" spans="1:22">
      <c r="A361" s="85">
        <f t="shared" si="26"/>
        <v>2023.04</v>
      </c>
      <c r="B361" s="74">
        <v>1363</v>
      </c>
      <c r="C361" s="61">
        <v>63</v>
      </c>
      <c r="D361" s="61">
        <v>6245.34</v>
      </c>
      <c r="E361" s="61">
        <v>93</v>
      </c>
      <c r="F361" s="573">
        <v>0</v>
      </c>
      <c r="G361" s="1365">
        <v>0</v>
      </c>
      <c r="H361" s="508">
        <f t="shared" si="27"/>
        <v>0</v>
      </c>
      <c r="I361" s="573">
        <v>903</v>
      </c>
      <c r="J361" s="1531">
        <v>0</v>
      </c>
      <c r="K361" s="637">
        <f t="shared" si="28"/>
        <v>903</v>
      </c>
      <c r="L361" s="1675">
        <v>127369.73999999999</v>
      </c>
      <c r="M361" s="430">
        <v>9361</v>
      </c>
      <c r="N361" s="61">
        <v>0</v>
      </c>
      <c r="O361" s="525">
        <f t="shared" si="29"/>
        <v>136730.74</v>
      </c>
      <c r="P361" s="61">
        <v>0</v>
      </c>
      <c r="Q361" s="61">
        <v>48649.07</v>
      </c>
      <c r="R361" s="61">
        <v>17530.72</v>
      </c>
      <c r="S361" s="61">
        <v>5205</v>
      </c>
      <c r="T361" s="1675">
        <v>0</v>
      </c>
      <c r="U361" s="430">
        <v>10451.67</v>
      </c>
      <c r="V361" s="526">
        <f t="shared" si="30"/>
        <v>81836.460000000006</v>
      </c>
    </row>
    <row r="362" spans="1:22">
      <c r="A362" s="85">
        <f t="shared" si="26"/>
        <v>2023.05</v>
      </c>
      <c r="B362" s="74">
        <v>1484</v>
      </c>
      <c r="C362" s="61">
        <v>50</v>
      </c>
      <c r="D362" s="61">
        <v>4733.5</v>
      </c>
      <c r="E362" s="61">
        <v>101</v>
      </c>
      <c r="F362" s="573">
        <v>0</v>
      </c>
      <c r="G362" s="1365">
        <v>0</v>
      </c>
      <c r="H362" s="508">
        <f t="shared" si="27"/>
        <v>0</v>
      </c>
      <c r="I362" s="573">
        <v>682</v>
      </c>
      <c r="J362" s="1531">
        <v>6103.2</v>
      </c>
      <c r="K362" s="637">
        <f t="shared" si="28"/>
        <v>6785.2</v>
      </c>
      <c r="L362" s="1675">
        <v>152611.76999999999</v>
      </c>
      <c r="M362" s="430">
        <v>10124</v>
      </c>
      <c r="N362" s="61">
        <v>0</v>
      </c>
      <c r="O362" s="525">
        <f t="shared" si="29"/>
        <v>162735.76999999999</v>
      </c>
      <c r="P362" s="61">
        <v>0</v>
      </c>
      <c r="Q362" s="61">
        <v>47804.4</v>
      </c>
      <c r="R362" s="61">
        <v>17941.3</v>
      </c>
      <c r="S362" s="61">
        <v>5204</v>
      </c>
      <c r="T362" s="1675">
        <v>0</v>
      </c>
      <c r="U362" s="430">
        <v>12678.4</v>
      </c>
      <c r="V362" s="526">
        <f t="shared" si="30"/>
        <v>83628.099999999991</v>
      </c>
    </row>
    <row r="363" spans="1:22">
      <c r="A363" s="85">
        <f t="shared" si="26"/>
        <v>2023.06</v>
      </c>
      <c r="B363" s="74">
        <v>1653</v>
      </c>
      <c r="C363" s="61">
        <v>75</v>
      </c>
      <c r="D363" s="61">
        <v>6131.46</v>
      </c>
      <c r="E363" s="61">
        <v>102</v>
      </c>
      <c r="F363" s="573">
        <v>0</v>
      </c>
      <c r="G363" s="1365">
        <v>0</v>
      </c>
      <c r="H363" s="508">
        <f t="shared" si="27"/>
        <v>0</v>
      </c>
      <c r="I363" s="573">
        <v>677</v>
      </c>
      <c r="J363" s="1531">
        <v>0</v>
      </c>
      <c r="K363" s="637">
        <f t="shared" si="28"/>
        <v>677</v>
      </c>
      <c r="L363" s="1675">
        <v>112989.75</v>
      </c>
      <c r="M363" s="430">
        <v>9878</v>
      </c>
      <c r="N363" s="61">
        <v>0</v>
      </c>
      <c r="O363" s="525">
        <f t="shared" si="29"/>
        <v>122867.75</v>
      </c>
      <c r="P363" s="61">
        <v>0</v>
      </c>
      <c r="Q363" s="61">
        <v>50064.69</v>
      </c>
      <c r="R363" s="61">
        <v>17714.57</v>
      </c>
      <c r="S363" s="61">
        <v>5391</v>
      </c>
      <c r="T363" s="1675">
        <v>74</v>
      </c>
      <c r="U363" s="430">
        <v>17346.7</v>
      </c>
      <c r="V363" s="526">
        <f t="shared" si="30"/>
        <v>90590.96</v>
      </c>
    </row>
    <row r="364" spans="1:22">
      <c r="A364" s="85">
        <f t="shared" si="26"/>
        <v>2023.07</v>
      </c>
      <c r="B364" s="74">
        <v>1954</v>
      </c>
      <c r="C364" s="61">
        <v>69</v>
      </c>
      <c r="D364" s="61">
        <v>4645.3999999999996</v>
      </c>
      <c r="E364" s="61">
        <v>203</v>
      </c>
      <c r="F364" s="573">
        <v>0</v>
      </c>
      <c r="G364" s="1365">
        <v>0</v>
      </c>
      <c r="H364" s="508">
        <f t="shared" si="27"/>
        <v>0</v>
      </c>
      <c r="I364" s="573">
        <v>1057</v>
      </c>
      <c r="J364" s="1531">
        <v>6122.63</v>
      </c>
      <c r="K364" s="637">
        <f t="shared" si="28"/>
        <v>7179.63</v>
      </c>
      <c r="L364" s="1675">
        <v>130346.97</v>
      </c>
      <c r="M364" s="430">
        <v>10637</v>
      </c>
      <c r="N364" s="61">
        <v>0</v>
      </c>
      <c r="O364" s="525">
        <f t="shared" si="29"/>
        <v>140983.97</v>
      </c>
      <c r="P364" s="61">
        <v>0</v>
      </c>
      <c r="Q364" s="61">
        <v>51023.14</v>
      </c>
      <c r="R364" s="61">
        <v>19000.7</v>
      </c>
      <c r="S364" s="61">
        <v>5392</v>
      </c>
      <c r="T364" s="1675">
        <v>37</v>
      </c>
      <c r="U364" s="430">
        <v>10384.379999999999</v>
      </c>
      <c r="V364" s="526">
        <f t="shared" si="30"/>
        <v>85837.22</v>
      </c>
    </row>
    <row r="365" spans="1:22">
      <c r="A365" s="85">
        <f t="shared" si="26"/>
        <v>2023.08</v>
      </c>
      <c r="B365" s="74">
        <v>2467</v>
      </c>
      <c r="C365" s="61">
        <v>113</v>
      </c>
      <c r="D365" s="61">
        <v>3274.4</v>
      </c>
      <c r="E365" s="61">
        <v>92</v>
      </c>
      <c r="F365" s="573">
        <v>0</v>
      </c>
      <c r="G365" s="1365">
        <v>0</v>
      </c>
      <c r="H365" s="508">
        <f t="shared" si="27"/>
        <v>0</v>
      </c>
      <c r="I365" s="573">
        <v>606</v>
      </c>
      <c r="J365" s="1531">
        <v>6245.4</v>
      </c>
      <c r="K365" s="637">
        <f t="shared" si="28"/>
        <v>6851.4</v>
      </c>
      <c r="L365" s="1675">
        <v>137037.67000000001</v>
      </c>
      <c r="M365" s="430">
        <v>10340</v>
      </c>
      <c r="N365" s="61">
        <v>0</v>
      </c>
      <c r="O365" s="525">
        <f t="shared" si="29"/>
        <v>147377.67000000001</v>
      </c>
      <c r="P365" s="61">
        <v>0</v>
      </c>
      <c r="Q365" s="61">
        <v>50307.51</v>
      </c>
      <c r="R365" s="61">
        <v>18555.23</v>
      </c>
      <c r="S365" s="61">
        <v>5392</v>
      </c>
      <c r="T365" s="1675">
        <v>0</v>
      </c>
      <c r="U365" s="430">
        <v>11176.04</v>
      </c>
      <c r="V365" s="526">
        <f t="shared" si="30"/>
        <v>85430.78</v>
      </c>
    </row>
    <row r="366" spans="1:22">
      <c r="A366" s="85">
        <f t="shared" si="26"/>
        <v>2023.09</v>
      </c>
      <c r="B366" s="74">
        <v>1310</v>
      </c>
      <c r="C366" s="61">
        <v>113</v>
      </c>
      <c r="D366" s="61">
        <v>3473.34</v>
      </c>
      <c r="E366" s="61">
        <v>78</v>
      </c>
      <c r="F366" s="573">
        <v>0</v>
      </c>
      <c r="G366" s="1365">
        <v>0</v>
      </c>
      <c r="H366" s="508">
        <f t="shared" si="27"/>
        <v>0</v>
      </c>
      <c r="I366" s="573">
        <v>499</v>
      </c>
      <c r="J366" s="1531">
        <v>0</v>
      </c>
      <c r="K366" s="637">
        <f t="shared" si="28"/>
        <v>499</v>
      </c>
      <c r="L366" s="1675">
        <v>124297.18000000001</v>
      </c>
      <c r="M366" s="430">
        <v>8712</v>
      </c>
      <c r="N366" s="61">
        <v>0</v>
      </c>
      <c r="O366" s="525">
        <f t="shared" si="29"/>
        <v>133009.18</v>
      </c>
      <c r="P366" s="61">
        <v>0</v>
      </c>
      <c r="Q366" s="61">
        <v>45904.51</v>
      </c>
      <c r="R366" s="61">
        <v>18479.78</v>
      </c>
      <c r="S366" s="61">
        <v>5173</v>
      </c>
      <c r="T366" s="1675">
        <v>37</v>
      </c>
      <c r="U366" s="430">
        <v>13623.34</v>
      </c>
      <c r="V366" s="526">
        <f t="shared" si="30"/>
        <v>83217.63</v>
      </c>
    </row>
    <row r="367" spans="1:22">
      <c r="A367" s="85">
        <f t="shared" si="26"/>
        <v>2023.1</v>
      </c>
      <c r="B367" s="74">
        <v>1785</v>
      </c>
      <c r="C367" s="61">
        <v>109</v>
      </c>
      <c r="D367" s="61">
        <v>2502.88</v>
      </c>
      <c r="E367" s="61">
        <v>51</v>
      </c>
      <c r="F367" s="573">
        <v>0</v>
      </c>
      <c r="G367" s="1365">
        <v>0</v>
      </c>
      <c r="H367" s="508">
        <f t="shared" si="27"/>
        <v>0</v>
      </c>
      <c r="I367" s="573">
        <v>666</v>
      </c>
      <c r="J367" s="1531">
        <v>584.08000000000004</v>
      </c>
      <c r="K367" s="637">
        <f t="shared" si="28"/>
        <v>1250.08</v>
      </c>
      <c r="L367" s="1675">
        <v>130910.46799999999</v>
      </c>
      <c r="M367" s="430">
        <v>8499</v>
      </c>
      <c r="N367" s="61">
        <v>0</v>
      </c>
      <c r="O367" s="525">
        <f t="shared" si="29"/>
        <v>139409.46799999999</v>
      </c>
      <c r="P367" s="61">
        <v>0</v>
      </c>
      <c r="Q367" s="61">
        <v>50196.610999999997</v>
      </c>
      <c r="R367" s="61">
        <v>21970.628000000001</v>
      </c>
      <c r="S367" s="61">
        <v>4880</v>
      </c>
      <c r="T367" s="1675">
        <v>0</v>
      </c>
      <c r="U367" s="430">
        <v>16609.084999999999</v>
      </c>
      <c r="V367" s="526">
        <f t="shared" si="30"/>
        <v>93656.323999999993</v>
      </c>
    </row>
    <row r="368" spans="1:22">
      <c r="A368" s="85">
        <f t="shared" si="26"/>
        <v>2023.11</v>
      </c>
      <c r="B368" s="74">
        <v>2198</v>
      </c>
      <c r="C368" s="61">
        <v>64</v>
      </c>
      <c r="D368" s="61">
        <v>2160.88</v>
      </c>
      <c r="E368" s="61">
        <v>89</v>
      </c>
      <c r="F368" s="573">
        <v>0</v>
      </c>
      <c r="G368" s="1365">
        <v>0</v>
      </c>
      <c r="H368" s="508">
        <f t="shared" si="27"/>
        <v>0</v>
      </c>
      <c r="I368" s="573">
        <v>574</v>
      </c>
      <c r="J368" s="1531">
        <v>0</v>
      </c>
      <c r="K368" s="637">
        <f t="shared" si="28"/>
        <v>574</v>
      </c>
      <c r="L368" s="1675">
        <v>134881.63399999999</v>
      </c>
      <c r="M368" s="430">
        <v>9224</v>
      </c>
      <c r="N368" s="61">
        <v>0</v>
      </c>
      <c r="O368" s="525">
        <f t="shared" si="29"/>
        <v>144105.63399999999</v>
      </c>
      <c r="P368" s="61">
        <v>0</v>
      </c>
      <c r="Q368" s="61">
        <v>49851.936000000002</v>
      </c>
      <c r="R368" s="61">
        <v>18306.526000000002</v>
      </c>
      <c r="S368" s="61">
        <v>5446</v>
      </c>
      <c r="T368" s="1675">
        <v>0</v>
      </c>
      <c r="U368" s="430">
        <v>3732.62</v>
      </c>
      <c r="V368" s="526">
        <f t="shared" si="30"/>
        <v>77337.081999999995</v>
      </c>
    </row>
    <row r="369" spans="1:22">
      <c r="A369" s="85">
        <f t="shared" si="26"/>
        <v>2023.12</v>
      </c>
      <c r="B369" s="74">
        <v>2217</v>
      </c>
      <c r="C369" s="61">
        <v>78</v>
      </c>
      <c r="D369" s="61">
        <v>1143.6600000000001</v>
      </c>
      <c r="E369" s="61">
        <v>69</v>
      </c>
      <c r="F369" s="573">
        <v>0</v>
      </c>
      <c r="G369" s="1365">
        <v>0</v>
      </c>
      <c r="H369" s="508">
        <f t="shared" si="27"/>
        <v>0</v>
      </c>
      <c r="I369" s="573">
        <v>105</v>
      </c>
      <c r="J369" s="1531">
        <v>0</v>
      </c>
      <c r="K369" s="637">
        <f t="shared" si="28"/>
        <v>105</v>
      </c>
      <c r="L369" s="1675">
        <v>113281.716</v>
      </c>
      <c r="M369" s="430">
        <v>8200</v>
      </c>
      <c r="N369" s="61">
        <v>0</v>
      </c>
      <c r="O369" s="525">
        <f t="shared" si="29"/>
        <v>121481.716</v>
      </c>
      <c r="P369" s="61">
        <v>0</v>
      </c>
      <c r="Q369" s="61">
        <v>51021.362999999998</v>
      </c>
      <c r="R369" s="61">
        <v>17917.84</v>
      </c>
      <c r="S369" s="61">
        <v>4650</v>
      </c>
      <c r="T369" s="1675">
        <v>120.7</v>
      </c>
      <c r="U369" s="430">
        <v>9535.86</v>
      </c>
      <c r="V369" s="526">
        <f t="shared" si="30"/>
        <v>83245.762999999992</v>
      </c>
    </row>
    <row r="370" spans="1:22">
      <c r="A370" s="85">
        <f t="shared" si="26"/>
        <v>2024.01</v>
      </c>
      <c r="B370" s="74">
        <v>1918</v>
      </c>
      <c r="C370" s="61">
        <v>80</v>
      </c>
      <c r="D370" s="61">
        <v>1167.8600000000001</v>
      </c>
      <c r="E370" s="61">
        <v>27</v>
      </c>
      <c r="F370" s="573">
        <v>0</v>
      </c>
      <c r="G370" s="1365">
        <v>0</v>
      </c>
      <c r="H370" s="508">
        <f t="shared" si="27"/>
        <v>0</v>
      </c>
      <c r="I370" s="573">
        <v>117</v>
      </c>
      <c r="J370" s="1531">
        <v>0</v>
      </c>
      <c r="K370" s="637">
        <f t="shared" si="28"/>
        <v>117</v>
      </c>
      <c r="L370" s="1675">
        <v>110424.061</v>
      </c>
      <c r="M370" s="430">
        <v>7398</v>
      </c>
      <c r="N370" s="61">
        <v>0</v>
      </c>
      <c r="O370" s="525">
        <f t="shared" si="29"/>
        <v>117822.061</v>
      </c>
      <c r="P370" s="61">
        <v>0</v>
      </c>
      <c r="Q370" s="61">
        <v>50007.256000000001</v>
      </c>
      <c r="R370" s="61">
        <v>14410.227999999999</v>
      </c>
      <c r="S370" s="61">
        <v>4227</v>
      </c>
      <c r="T370" s="1675">
        <v>103</v>
      </c>
      <c r="U370" s="430">
        <v>16828.78</v>
      </c>
      <c r="V370" s="526">
        <f t="shared" si="30"/>
        <v>85576.263999999996</v>
      </c>
    </row>
    <row r="371" spans="1:22">
      <c r="A371" s="85">
        <f t="shared" ref="A371:A434" si="31">A359+1</f>
        <v>2024.02</v>
      </c>
      <c r="B371" s="74">
        <v>2174</v>
      </c>
      <c r="C371" s="61">
        <v>147</v>
      </c>
      <c r="D371" s="61">
        <v>1356.46</v>
      </c>
      <c r="E371" s="61">
        <v>69</v>
      </c>
      <c r="F371" s="573">
        <v>0</v>
      </c>
      <c r="G371" s="1365">
        <v>0</v>
      </c>
      <c r="H371" s="508">
        <f t="shared" si="27"/>
        <v>0</v>
      </c>
      <c r="I371" s="573">
        <v>29</v>
      </c>
      <c r="J371" s="1531">
        <v>0</v>
      </c>
      <c r="K371" s="637">
        <f t="shared" si="28"/>
        <v>29</v>
      </c>
      <c r="L371" s="1675">
        <v>105134.56700000001</v>
      </c>
      <c r="M371" s="430">
        <v>6248</v>
      </c>
      <c r="N371" s="61">
        <v>0</v>
      </c>
      <c r="O371" s="525">
        <f t="shared" si="29"/>
        <v>111382.56700000001</v>
      </c>
      <c r="P371" s="61">
        <v>0</v>
      </c>
      <c r="Q371" s="61">
        <v>48749.463000000003</v>
      </c>
      <c r="R371" s="61">
        <v>14331.53</v>
      </c>
      <c r="S371" s="61">
        <v>16084.91</v>
      </c>
      <c r="T371" s="1675">
        <v>0</v>
      </c>
      <c r="U371" s="430">
        <v>1128</v>
      </c>
      <c r="V371" s="526">
        <f t="shared" si="30"/>
        <v>80293.903000000006</v>
      </c>
    </row>
    <row r="372" spans="1:22">
      <c r="A372" s="85">
        <f t="shared" si="31"/>
        <v>2024.03</v>
      </c>
      <c r="B372" s="74">
        <v>2239</v>
      </c>
      <c r="C372" s="61">
        <v>108</v>
      </c>
      <c r="D372" s="61">
        <v>2451.96</v>
      </c>
      <c r="E372" s="61">
        <v>71</v>
      </c>
      <c r="F372" s="573">
        <v>0</v>
      </c>
      <c r="G372" s="1365">
        <v>0</v>
      </c>
      <c r="H372" s="508">
        <f t="shared" si="27"/>
        <v>0</v>
      </c>
      <c r="I372" s="573">
        <v>238</v>
      </c>
      <c r="J372" s="1531">
        <v>0</v>
      </c>
      <c r="K372" s="637">
        <f t="shared" si="28"/>
        <v>238</v>
      </c>
      <c r="L372" s="1675">
        <v>122732.57</v>
      </c>
      <c r="M372" s="430">
        <v>5647</v>
      </c>
      <c r="N372" s="61">
        <v>0</v>
      </c>
      <c r="O372" s="525">
        <f t="shared" si="29"/>
        <v>128379.57</v>
      </c>
      <c r="P372" s="61">
        <v>0</v>
      </c>
      <c r="Q372" s="61">
        <v>51440.51</v>
      </c>
      <c r="R372" s="61">
        <v>14841.49</v>
      </c>
      <c r="S372" s="61">
        <v>18898.246999999999</v>
      </c>
      <c r="T372" s="1675">
        <v>1195</v>
      </c>
      <c r="U372" s="430">
        <v>1280</v>
      </c>
      <c r="V372" s="526">
        <f t="shared" si="30"/>
        <v>87655.247000000003</v>
      </c>
    </row>
    <row r="373" spans="1:22">
      <c r="A373" s="85">
        <f t="shared" si="31"/>
        <v>2024.04</v>
      </c>
      <c r="B373" s="74" t="e">
        <v>#N/A</v>
      </c>
      <c r="C373" s="61" t="e">
        <v>#N/A</v>
      </c>
      <c r="D373" s="61" t="e">
        <v>#N/A</v>
      </c>
      <c r="E373" s="61" t="e">
        <v>#N/A</v>
      </c>
      <c r="F373" s="573" t="e">
        <v>#N/A</v>
      </c>
      <c r="G373" s="1365" t="e">
        <v>#N/A</v>
      </c>
      <c r="H373" s="508" t="e">
        <f t="shared" si="27"/>
        <v>#N/A</v>
      </c>
      <c r="I373" s="573" t="e">
        <v>#N/A</v>
      </c>
      <c r="J373" s="1531" t="e">
        <v>#N/A</v>
      </c>
      <c r="K373" s="637" t="e">
        <f t="shared" si="28"/>
        <v>#N/A</v>
      </c>
      <c r="L373" s="1675" t="e">
        <v>#N/A</v>
      </c>
      <c r="M373" s="430" t="e">
        <v>#N/A</v>
      </c>
      <c r="N373" s="61" t="e">
        <v>#N/A</v>
      </c>
      <c r="O373" s="525" t="e">
        <f t="shared" si="29"/>
        <v>#N/A</v>
      </c>
      <c r="P373" s="61" t="e">
        <v>#N/A</v>
      </c>
      <c r="Q373" s="61" t="e">
        <v>#N/A</v>
      </c>
      <c r="R373" s="61" t="e">
        <v>#N/A</v>
      </c>
      <c r="S373" s="61" t="e">
        <v>#N/A</v>
      </c>
      <c r="T373" s="1675" t="e">
        <v>#N/A</v>
      </c>
      <c r="U373" s="430" t="e">
        <v>#N/A</v>
      </c>
      <c r="V373" s="526" t="e">
        <f t="shared" si="30"/>
        <v>#N/A</v>
      </c>
    </row>
    <row r="374" spans="1:22">
      <c r="A374" s="85">
        <f t="shared" si="31"/>
        <v>2024.05</v>
      </c>
      <c r="B374" s="74" t="e">
        <v>#N/A</v>
      </c>
      <c r="C374" s="61" t="e">
        <v>#N/A</v>
      </c>
      <c r="D374" s="61" t="e">
        <v>#N/A</v>
      </c>
      <c r="E374" s="61" t="e">
        <v>#N/A</v>
      </c>
      <c r="F374" s="573" t="e">
        <v>#N/A</v>
      </c>
      <c r="G374" s="1365" t="e">
        <v>#N/A</v>
      </c>
      <c r="H374" s="508" t="e">
        <f t="shared" si="27"/>
        <v>#N/A</v>
      </c>
      <c r="I374" s="573" t="e">
        <v>#N/A</v>
      </c>
      <c r="J374" s="1531" t="e">
        <v>#N/A</v>
      </c>
      <c r="K374" s="637" t="e">
        <f t="shared" si="28"/>
        <v>#N/A</v>
      </c>
      <c r="L374" s="1675" t="e">
        <v>#N/A</v>
      </c>
      <c r="M374" s="430" t="e">
        <v>#N/A</v>
      </c>
      <c r="N374" s="61" t="e">
        <v>#N/A</v>
      </c>
      <c r="O374" s="525" t="e">
        <f t="shared" si="29"/>
        <v>#N/A</v>
      </c>
      <c r="P374" s="61" t="e">
        <v>#N/A</v>
      </c>
      <c r="Q374" s="61" t="e">
        <v>#N/A</v>
      </c>
      <c r="R374" s="61" t="e">
        <v>#N/A</v>
      </c>
      <c r="S374" s="61" t="e">
        <v>#N/A</v>
      </c>
      <c r="T374" s="1675" t="e">
        <v>#N/A</v>
      </c>
      <c r="U374" s="430" t="e">
        <v>#N/A</v>
      </c>
      <c r="V374" s="526" t="e">
        <f t="shared" si="30"/>
        <v>#N/A</v>
      </c>
    </row>
    <row r="375" spans="1:22">
      <c r="A375" s="85">
        <f t="shared" si="31"/>
        <v>2024.06</v>
      </c>
      <c r="B375" s="74" t="e">
        <v>#N/A</v>
      </c>
      <c r="C375" s="61" t="e">
        <v>#N/A</v>
      </c>
      <c r="D375" s="61" t="e">
        <v>#N/A</v>
      </c>
      <c r="E375" s="61" t="e">
        <v>#N/A</v>
      </c>
      <c r="F375" s="573" t="e">
        <v>#N/A</v>
      </c>
      <c r="G375" s="1365" t="e">
        <v>#N/A</v>
      </c>
      <c r="H375" s="508" t="e">
        <f t="shared" si="27"/>
        <v>#N/A</v>
      </c>
      <c r="I375" s="573" t="e">
        <v>#N/A</v>
      </c>
      <c r="J375" s="1531" t="e">
        <v>#N/A</v>
      </c>
      <c r="K375" s="637" t="e">
        <f t="shared" si="28"/>
        <v>#N/A</v>
      </c>
      <c r="L375" s="1675" t="e">
        <v>#N/A</v>
      </c>
      <c r="M375" s="430" t="e">
        <v>#N/A</v>
      </c>
      <c r="N375" s="61" t="e">
        <v>#N/A</v>
      </c>
      <c r="O375" s="525" t="e">
        <f t="shared" si="29"/>
        <v>#N/A</v>
      </c>
      <c r="P375" s="61" t="e">
        <v>#N/A</v>
      </c>
      <c r="Q375" s="61" t="e">
        <v>#N/A</v>
      </c>
      <c r="R375" s="61" t="e">
        <v>#N/A</v>
      </c>
      <c r="S375" s="61" t="e">
        <v>#N/A</v>
      </c>
      <c r="T375" s="1675" t="e">
        <v>#N/A</v>
      </c>
      <c r="U375" s="430" t="e">
        <v>#N/A</v>
      </c>
      <c r="V375" s="526" t="e">
        <f t="shared" si="30"/>
        <v>#N/A</v>
      </c>
    </row>
    <row r="376" spans="1:22">
      <c r="A376" s="85">
        <f t="shared" si="31"/>
        <v>2024.07</v>
      </c>
      <c r="B376" s="74" t="e">
        <v>#N/A</v>
      </c>
      <c r="C376" s="61" t="e">
        <v>#N/A</v>
      </c>
      <c r="D376" s="61" t="e">
        <v>#N/A</v>
      </c>
      <c r="E376" s="61" t="e">
        <v>#N/A</v>
      </c>
      <c r="F376" s="573" t="e">
        <v>#N/A</v>
      </c>
      <c r="G376" s="1365" t="e">
        <v>#N/A</v>
      </c>
      <c r="H376" s="508" t="e">
        <f t="shared" si="27"/>
        <v>#N/A</v>
      </c>
      <c r="I376" s="573" t="e">
        <v>#N/A</v>
      </c>
      <c r="J376" s="1531" t="e">
        <v>#N/A</v>
      </c>
      <c r="K376" s="637" t="e">
        <f t="shared" si="28"/>
        <v>#N/A</v>
      </c>
      <c r="L376" s="1675" t="e">
        <v>#N/A</v>
      </c>
      <c r="M376" s="430" t="e">
        <v>#N/A</v>
      </c>
      <c r="N376" s="61" t="e">
        <v>#N/A</v>
      </c>
      <c r="O376" s="525" t="e">
        <f t="shared" si="29"/>
        <v>#N/A</v>
      </c>
      <c r="P376" s="61" t="e">
        <v>#N/A</v>
      </c>
      <c r="Q376" s="61" t="e">
        <v>#N/A</v>
      </c>
      <c r="R376" s="61" t="e">
        <v>#N/A</v>
      </c>
      <c r="S376" s="61" t="e">
        <v>#N/A</v>
      </c>
      <c r="T376" s="1675" t="e">
        <v>#N/A</v>
      </c>
      <c r="U376" s="430" t="e">
        <v>#N/A</v>
      </c>
      <c r="V376" s="526" t="e">
        <f t="shared" si="30"/>
        <v>#N/A</v>
      </c>
    </row>
    <row r="377" spans="1:22">
      <c r="A377" s="85">
        <f t="shared" si="31"/>
        <v>2024.08</v>
      </c>
      <c r="B377" s="74" t="e">
        <v>#N/A</v>
      </c>
      <c r="C377" s="61" t="e">
        <v>#N/A</v>
      </c>
      <c r="D377" s="61" t="e">
        <v>#N/A</v>
      </c>
      <c r="E377" s="61" t="e">
        <v>#N/A</v>
      </c>
      <c r="F377" s="573" t="e">
        <v>#N/A</v>
      </c>
      <c r="G377" s="1365" t="e">
        <v>#N/A</v>
      </c>
      <c r="H377" s="508" t="e">
        <f t="shared" si="27"/>
        <v>#N/A</v>
      </c>
      <c r="I377" s="573" t="e">
        <v>#N/A</v>
      </c>
      <c r="J377" s="1531" t="e">
        <v>#N/A</v>
      </c>
      <c r="K377" s="637" t="e">
        <f t="shared" si="28"/>
        <v>#N/A</v>
      </c>
      <c r="L377" s="1675" t="e">
        <v>#N/A</v>
      </c>
      <c r="M377" s="430" t="e">
        <v>#N/A</v>
      </c>
      <c r="N377" s="61" t="e">
        <v>#N/A</v>
      </c>
      <c r="O377" s="525" t="e">
        <f t="shared" si="29"/>
        <v>#N/A</v>
      </c>
      <c r="P377" s="61" t="e">
        <v>#N/A</v>
      </c>
      <c r="Q377" s="61" t="e">
        <v>#N/A</v>
      </c>
      <c r="R377" s="61" t="e">
        <v>#N/A</v>
      </c>
      <c r="S377" s="61" t="e">
        <v>#N/A</v>
      </c>
      <c r="T377" s="1675" t="e">
        <v>#N/A</v>
      </c>
      <c r="U377" s="430" t="e">
        <v>#N/A</v>
      </c>
      <c r="V377" s="526" t="e">
        <f t="shared" si="30"/>
        <v>#N/A</v>
      </c>
    </row>
    <row r="378" spans="1:22">
      <c r="A378" s="85">
        <f t="shared" si="31"/>
        <v>2024.09</v>
      </c>
      <c r="B378" s="74" t="e">
        <v>#N/A</v>
      </c>
      <c r="C378" s="61" t="e">
        <v>#N/A</v>
      </c>
      <c r="D378" s="61" t="e">
        <v>#N/A</v>
      </c>
      <c r="E378" s="61" t="e">
        <v>#N/A</v>
      </c>
      <c r="F378" s="573" t="e">
        <v>#N/A</v>
      </c>
      <c r="G378" s="1365" t="e">
        <v>#N/A</v>
      </c>
      <c r="H378" s="508" t="e">
        <f t="shared" si="27"/>
        <v>#N/A</v>
      </c>
      <c r="I378" s="573" t="e">
        <v>#N/A</v>
      </c>
      <c r="J378" s="1531" t="e">
        <v>#N/A</v>
      </c>
      <c r="K378" s="637" t="e">
        <f t="shared" si="28"/>
        <v>#N/A</v>
      </c>
      <c r="L378" s="1675" t="e">
        <v>#N/A</v>
      </c>
      <c r="M378" s="430" t="e">
        <v>#N/A</v>
      </c>
      <c r="N378" s="61" t="e">
        <v>#N/A</v>
      </c>
      <c r="O378" s="525" t="e">
        <f t="shared" si="29"/>
        <v>#N/A</v>
      </c>
      <c r="P378" s="61" t="e">
        <v>#N/A</v>
      </c>
      <c r="Q378" s="61" t="e">
        <v>#N/A</v>
      </c>
      <c r="R378" s="61" t="e">
        <v>#N/A</v>
      </c>
      <c r="S378" s="61" t="e">
        <v>#N/A</v>
      </c>
      <c r="T378" s="1675" t="e">
        <v>#N/A</v>
      </c>
      <c r="U378" s="430" t="e">
        <v>#N/A</v>
      </c>
      <c r="V378" s="526" t="e">
        <f t="shared" si="30"/>
        <v>#N/A</v>
      </c>
    </row>
    <row r="379" spans="1:22">
      <c r="A379" s="85">
        <f t="shared" si="31"/>
        <v>2024.1</v>
      </c>
      <c r="B379" s="74" t="e">
        <v>#N/A</v>
      </c>
      <c r="C379" s="61" t="e">
        <v>#N/A</v>
      </c>
      <c r="D379" s="61" t="e">
        <v>#N/A</v>
      </c>
      <c r="E379" s="61" t="e">
        <v>#N/A</v>
      </c>
      <c r="F379" s="573" t="e">
        <v>#N/A</v>
      </c>
      <c r="G379" s="1365" t="e">
        <v>#N/A</v>
      </c>
      <c r="H379" s="508" t="e">
        <f t="shared" si="27"/>
        <v>#N/A</v>
      </c>
      <c r="I379" s="573" t="e">
        <v>#N/A</v>
      </c>
      <c r="J379" s="1531" t="e">
        <v>#N/A</v>
      </c>
      <c r="K379" s="637" t="e">
        <f t="shared" si="28"/>
        <v>#N/A</v>
      </c>
      <c r="L379" s="1675" t="e">
        <v>#N/A</v>
      </c>
      <c r="M379" s="430" t="e">
        <v>#N/A</v>
      </c>
      <c r="N379" s="61" t="e">
        <v>#N/A</v>
      </c>
      <c r="O379" s="525" t="e">
        <f t="shared" si="29"/>
        <v>#N/A</v>
      </c>
      <c r="P379" s="61" t="e">
        <v>#N/A</v>
      </c>
      <c r="Q379" s="61" t="e">
        <v>#N/A</v>
      </c>
      <c r="R379" s="61" t="e">
        <v>#N/A</v>
      </c>
      <c r="S379" s="61" t="e">
        <v>#N/A</v>
      </c>
      <c r="T379" s="1675" t="e">
        <v>#N/A</v>
      </c>
      <c r="U379" s="430" t="e">
        <v>#N/A</v>
      </c>
      <c r="V379" s="526" t="e">
        <f t="shared" si="30"/>
        <v>#N/A</v>
      </c>
    </row>
    <row r="380" spans="1:22">
      <c r="A380" s="85">
        <f t="shared" si="31"/>
        <v>2024.11</v>
      </c>
      <c r="B380" s="74" t="e">
        <v>#N/A</v>
      </c>
      <c r="C380" s="61" t="e">
        <v>#N/A</v>
      </c>
      <c r="D380" s="61" t="e">
        <v>#N/A</v>
      </c>
      <c r="E380" s="61" t="e">
        <v>#N/A</v>
      </c>
      <c r="F380" s="573" t="e">
        <v>#N/A</v>
      </c>
      <c r="G380" s="1365" t="e">
        <v>#N/A</v>
      </c>
      <c r="H380" s="508" t="e">
        <f t="shared" si="27"/>
        <v>#N/A</v>
      </c>
      <c r="I380" s="573" t="e">
        <v>#N/A</v>
      </c>
      <c r="J380" s="1531" t="e">
        <v>#N/A</v>
      </c>
      <c r="K380" s="637" t="e">
        <f t="shared" si="28"/>
        <v>#N/A</v>
      </c>
      <c r="L380" s="1675" t="e">
        <v>#N/A</v>
      </c>
      <c r="M380" s="430" t="e">
        <v>#N/A</v>
      </c>
      <c r="N380" s="61" t="e">
        <v>#N/A</v>
      </c>
      <c r="O380" s="525" t="e">
        <f t="shared" si="29"/>
        <v>#N/A</v>
      </c>
      <c r="P380" s="61" t="e">
        <v>#N/A</v>
      </c>
      <c r="Q380" s="61" t="e">
        <v>#N/A</v>
      </c>
      <c r="R380" s="61" t="e">
        <v>#N/A</v>
      </c>
      <c r="S380" s="61" t="e">
        <v>#N/A</v>
      </c>
      <c r="T380" s="1675" t="e">
        <v>#N/A</v>
      </c>
      <c r="U380" s="430" t="e">
        <v>#N/A</v>
      </c>
      <c r="V380" s="526" t="e">
        <f t="shared" si="30"/>
        <v>#N/A</v>
      </c>
    </row>
    <row r="381" spans="1:22">
      <c r="A381" s="85">
        <f t="shared" si="31"/>
        <v>2024.12</v>
      </c>
      <c r="B381" s="74" t="e">
        <v>#N/A</v>
      </c>
      <c r="C381" s="61" t="e">
        <v>#N/A</v>
      </c>
      <c r="D381" s="61" t="e">
        <v>#N/A</v>
      </c>
      <c r="E381" s="61" t="e">
        <v>#N/A</v>
      </c>
      <c r="F381" s="573" t="e">
        <v>#N/A</v>
      </c>
      <c r="G381" s="1365" t="e">
        <v>#N/A</v>
      </c>
      <c r="H381" s="508" t="e">
        <f t="shared" si="27"/>
        <v>#N/A</v>
      </c>
      <c r="I381" s="573" t="e">
        <v>#N/A</v>
      </c>
      <c r="J381" s="1531" t="e">
        <v>#N/A</v>
      </c>
      <c r="K381" s="637" t="e">
        <f t="shared" si="28"/>
        <v>#N/A</v>
      </c>
      <c r="L381" s="1675" t="e">
        <v>#N/A</v>
      </c>
      <c r="M381" s="430" t="e">
        <v>#N/A</v>
      </c>
      <c r="N381" s="61" t="e">
        <v>#N/A</v>
      </c>
      <c r="O381" s="525" t="e">
        <f t="shared" si="29"/>
        <v>#N/A</v>
      </c>
      <c r="P381" s="61" t="e">
        <v>#N/A</v>
      </c>
      <c r="Q381" s="61" t="e">
        <v>#N/A</v>
      </c>
      <c r="R381" s="61" t="e">
        <v>#N/A</v>
      </c>
      <c r="S381" s="61" t="e">
        <v>#N/A</v>
      </c>
      <c r="T381" s="1675" t="e">
        <v>#N/A</v>
      </c>
      <c r="U381" s="430" t="e">
        <v>#N/A</v>
      </c>
      <c r="V381" s="526" t="e">
        <f t="shared" si="30"/>
        <v>#N/A</v>
      </c>
    </row>
    <row r="382" spans="1:22">
      <c r="A382" s="85">
        <f t="shared" si="31"/>
        <v>2025.01</v>
      </c>
      <c r="B382" s="74" t="e">
        <v>#N/A</v>
      </c>
      <c r="C382" s="61" t="e">
        <v>#N/A</v>
      </c>
      <c r="D382" s="61" t="e">
        <v>#N/A</v>
      </c>
      <c r="E382" s="61" t="e">
        <v>#N/A</v>
      </c>
      <c r="F382" s="573" t="e">
        <v>#N/A</v>
      </c>
      <c r="G382" s="1365" t="e">
        <v>#N/A</v>
      </c>
      <c r="H382" s="508" t="e">
        <f t="shared" si="27"/>
        <v>#N/A</v>
      </c>
      <c r="I382" s="573" t="e">
        <v>#N/A</v>
      </c>
      <c r="J382" s="1531" t="e">
        <v>#N/A</v>
      </c>
      <c r="K382" s="637" t="e">
        <f t="shared" si="28"/>
        <v>#N/A</v>
      </c>
      <c r="L382" s="1675" t="e">
        <v>#N/A</v>
      </c>
      <c r="M382" s="430" t="e">
        <v>#N/A</v>
      </c>
      <c r="N382" s="61" t="e">
        <v>#N/A</v>
      </c>
      <c r="O382" s="525" t="e">
        <f t="shared" si="29"/>
        <v>#N/A</v>
      </c>
      <c r="P382" s="61" t="e">
        <v>#N/A</v>
      </c>
      <c r="Q382" s="61" t="e">
        <v>#N/A</v>
      </c>
      <c r="R382" s="61" t="e">
        <v>#N/A</v>
      </c>
      <c r="S382" s="61" t="e">
        <v>#N/A</v>
      </c>
      <c r="T382" s="1675" t="e">
        <v>#N/A</v>
      </c>
      <c r="U382" s="430" t="e">
        <v>#N/A</v>
      </c>
      <c r="V382" s="526" t="e">
        <f t="shared" si="30"/>
        <v>#N/A</v>
      </c>
    </row>
    <row r="383" spans="1:22">
      <c r="A383" s="85">
        <f t="shared" si="31"/>
        <v>2025.02</v>
      </c>
      <c r="B383" s="74" t="e">
        <v>#N/A</v>
      </c>
      <c r="C383" s="61" t="e">
        <v>#N/A</v>
      </c>
      <c r="D383" s="61" t="e">
        <v>#N/A</v>
      </c>
      <c r="E383" s="61" t="e">
        <v>#N/A</v>
      </c>
      <c r="F383" s="573" t="e">
        <v>#N/A</v>
      </c>
      <c r="G383" s="1365" t="e">
        <v>#N/A</v>
      </c>
      <c r="H383" s="508" t="e">
        <f t="shared" si="27"/>
        <v>#N/A</v>
      </c>
      <c r="I383" s="573" t="e">
        <v>#N/A</v>
      </c>
      <c r="J383" s="1531" t="e">
        <v>#N/A</v>
      </c>
      <c r="K383" s="637" t="e">
        <f t="shared" si="28"/>
        <v>#N/A</v>
      </c>
      <c r="L383" s="1675" t="e">
        <v>#N/A</v>
      </c>
      <c r="M383" s="430" t="e">
        <v>#N/A</v>
      </c>
      <c r="N383" s="61" t="e">
        <v>#N/A</v>
      </c>
      <c r="O383" s="525" t="e">
        <f t="shared" si="29"/>
        <v>#N/A</v>
      </c>
      <c r="P383" s="61" t="e">
        <v>#N/A</v>
      </c>
      <c r="Q383" s="61" t="e">
        <v>#N/A</v>
      </c>
      <c r="R383" s="61" t="e">
        <v>#N/A</v>
      </c>
      <c r="S383" s="61" t="e">
        <v>#N/A</v>
      </c>
      <c r="T383" s="1675" t="e">
        <v>#N/A</v>
      </c>
      <c r="U383" s="430" t="e">
        <v>#N/A</v>
      </c>
      <c r="V383" s="526" t="e">
        <f t="shared" si="30"/>
        <v>#N/A</v>
      </c>
    </row>
    <row r="384" spans="1:22">
      <c r="A384" s="85">
        <f t="shared" si="31"/>
        <v>2025.03</v>
      </c>
      <c r="B384" s="74" t="e">
        <v>#N/A</v>
      </c>
      <c r="C384" s="61" t="e">
        <v>#N/A</v>
      </c>
      <c r="D384" s="61" t="e">
        <v>#N/A</v>
      </c>
      <c r="E384" s="61" t="e">
        <v>#N/A</v>
      </c>
      <c r="F384" s="573" t="e">
        <v>#N/A</v>
      </c>
      <c r="G384" s="1365" t="e">
        <v>#N/A</v>
      </c>
      <c r="H384" s="508" t="e">
        <f t="shared" si="27"/>
        <v>#N/A</v>
      </c>
      <c r="I384" s="573" t="e">
        <v>#N/A</v>
      </c>
      <c r="J384" s="1531" t="e">
        <v>#N/A</v>
      </c>
      <c r="K384" s="637" t="e">
        <f t="shared" si="28"/>
        <v>#N/A</v>
      </c>
      <c r="L384" s="1675" t="e">
        <v>#N/A</v>
      </c>
      <c r="M384" s="430" t="e">
        <v>#N/A</v>
      </c>
      <c r="N384" s="61" t="e">
        <v>#N/A</v>
      </c>
      <c r="O384" s="525" t="e">
        <f t="shared" si="29"/>
        <v>#N/A</v>
      </c>
      <c r="P384" s="61" t="e">
        <v>#N/A</v>
      </c>
      <c r="Q384" s="61" t="e">
        <v>#N/A</v>
      </c>
      <c r="R384" s="61" t="e">
        <v>#N/A</v>
      </c>
      <c r="S384" s="61" t="e">
        <v>#N/A</v>
      </c>
      <c r="T384" s="1675" t="e">
        <v>#N/A</v>
      </c>
      <c r="U384" s="430" t="e">
        <v>#N/A</v>
      </c>
      <c r="V384" s="526" t="e">
        <f t="shared" si="30"/>
        <v>#N/A</v>
      </c>
    </row>
    <row r="385" spans="1:22">
      <c r="A385" s="85">
        <f t="shared" si="31"/>
        <v>2025.04</v>
      </c>
      <c r="B385" s="74" t="e">
        <v>#N/A</v>
      </c>
      <c r="C385" s="61" t="e">
        <v>#N/A</v>
      </c>
      <c r="D385" s="61" t="e">
        <v>#N/A</v>
      </c>
      <c r="E385" s="61" t="e">
        <v>#N/A</v>
      </c>
      <c r="F385" s="573" t="e">
        <v>#N/A</v>
      </c>
      <c r="G385" s="1365" t="e">
        <v>#N/A</v>
      </c>
      <c r="H385" s="508" t="e">
        <f t="shared" si="27"/>
        <v>#N/A</v>
      </c>
      <c r="I385" s="573" t="e">
        <v>#N/A</v>
      </c>
      <c r="J385" s="1531" t="e">
        <v>#N/A</v>
      </c>
      <c r="K385" s="637" t="e">
        <f t="shared" si="28"/>
        <v>#N/A</v>
      </c>
      <c r="L385" s="1675" t="e">
        <v>#N/A</v>
      </c>
      <c r="M385" s="430" t="e">
        <v>#N/A</v>
      </c>
      <c r="N385" s="61" t="e">
        <v>#N/A</v>
      </c>
      <c r="O385" s="525" t="e">
        <f t="shared" si="29"/>
        <v>#N/A</v>
      </c>
      <c r="P385" s="61" t="e">
        <v>#N/A</v>
      </c>
      <c r="Q385" s="61" t="e">
        <v>#N/A</v>
      </c>
      <c r="R385" s="61" t="e">
        <v>#N/A</v>
      </c>
      <c r="S385" s="61" t="e">
        <v>#N/A</v>
      </c>
      <c r="T385" s="1675" t="e">
        <v>#N/A</v>
      </c>
      <c r="U385" s="430" t="e">
        <v>#N/A</v>
      </c>
      <c r="V385" s="526" t="e">
        <f t="shared" si="30"/>
        <v>#N/A</v>
      </c>
    </row>
    <row r="386" spans="1:22">
      <c r="A386" s="85">
        <f t="shared" si="31"/>
        <v>2025.05</v>
      </c>
      <c r="B386" s="74" t="e">
        <v>#N/A</v>
      </c>
      <c r="C386" s="61" t="e">
        <v>#N/A</v>
      </c>
      <c r="D386" s="61" t="e">
        <v>#N/A</v>
      </c>
      <c r="E386" s="61" t="e">
        <v>#N/A</v>
      </c>
      <c r="F386" s="573" t="e">
        <v>#N/A</v>
      </c>
      <c r="G386" s="1365" t="e">
        <v>#N/A</v>
      </c>
      <c r="H386" s="508" t="e">
        <f t="shared" si="27"/>
        <v>#N/A</v>
      </c>
      <c r="I386" s="573" t="e">
        <v>#N/A</v>
      </c>
      <c r="J386" s="1531" t="e">
        <v>#N/A</v>
      </c>
      <c r="K386" s="637" t="e">
        <f t="shared" si="28"/>
        <v>#N/A</v>
      </c>
      <c r="L386" s="1675" t="e">
        <v>#N/A</v>
      </c>
      <c r="M386" s="430" t="e">
        <v>#N/A</v>
      </c>
      <c r="N386" s="61" t="e">
        <v>#N/A</v>
      </c>
      <c r="O386" s="525" t="e">
        <f t="shared" si="29"/>
        <v>#N/A</v>
      </c>
      <c r="P386" s="61" t="e">
        <v>#N/A</v>
      </c>
      <c r="Q386" s="61" t="e">
        <v>#N/A</v>
      </c>
      <c r="R386" s="61" t="e">
        <v>#N/A</v>
      </c>
      <c r="S386" s="61" t="e">
        <v>#N/A</v>
      </c>
      <c r="T386" s="1675" t="e">
        <v>#N/A</v>
      </c>
      <c r="U386" s="430" t="e">
        <v>#N/A</v>
      </c>
      <c r="V386" s="526" t="e">
        <f t="shared" si="30"/>
        <v>#N/A</v>
      </c>
    </row>
    <row r="387" spans="1:22">
      <c r="A387" s="85">
        <f t="shared" si="31"/>
        <v>2025.06</v>
      </c>
      <c r="B387" s="74" t="e">
        <v>#N/A</v>
      </c>
      <c r="C387" s="61" t="e">
        <v>#N/A</v>
      </c>
      <c r="D387" s="61" t="e">
        <v>#N/A</v>
      </c>
      <c r="E387" s="61" t="e">
        <v>#N/A</v>
      </c>
      <c r="F387" s="573" t="e">
        <v>#N/A</v>
      </c>
      <c r="G387" s="1365" t="e">
        <v>#N/A</v>
      </c>
      <c r="H387" s="508" t="e">
        <f t="shared" si="27"/>
        <v>#N/A</v>
      </c>
      <c r="I387" s="573" t="e">
        <v>#N/A</v>
      </c>
      <c r="J387" s="1531" t="e">
        <v>#N/A</v>
      </c>
      <c r="K387" s="637" t="e">
        <f t="shared" si="28"/>
        <v>#N/A</v>
      </c>
      <c r="L387" s="1675" t="e">
        <v>#N/A</v>
      </c>
      <c r="M387" s="430" t="e">
        <v>#N/A</v>
      </c>
      <c r="N387" s="61" t="e">
        <v>#N/A</v>
      </c>
      <c r="O387" s="525" t="e">
        <f t="shared" si="29"/>
        <v>#N/A</v>
      </c>
      <c r="P387" s="61" t="e">
        <v>#N/A</v>
      </c>
      <c r="Q387" s="61" t="e">
        <v>#N/A</v>
      </c>
      <c r="R387" s="61" t="e">
        <v>#N/A</v>
      </c>
      <c r="S387" s="61" t="e">
        <v>#N/A</v>
      </c>
      <c r="T387" s="1675" t="e">
        <v>#N/A</v>
      </c>
      <c r="U387" s="430" t="e">
        <v>#N/A</v>
      </c>
      <c r="V387" s="526" t="e">
        <f t="shared" si="30"/>
        <v>#N/A</v>
      </c>
    </row>
    <row r="388" spans="1:22">
      <c r="A388" s="85">
        <f t="shared" si="31"/>
        <v>2025.07</v>
      </c>
      <c r="B388" s="74" t="e">
        <v>#N/A</v>
      </c>
      <c r="C388" s="61" t="e">
        <v>#N/A</v>
      </c>
      <c r="D388" s="61" t="e">
        <v>#N/A</v>
      </c>
      <c r="E388" s="61" t="e">
        <v>#N/A</v>
      </c>
      <c r="F388" s="573" t="e">
        <v>#N/A</v>
      </c>
      <c r="G388" s="1365" t="e">
        <v>#N/A</v>
      </c>
      <c r="H388" s="508" t="e">
        <f t="shared" si="27"/>
        <v>#N/A</v>
      </c>
      <c r="I388" s="573" t="e">
        <v>#N/A</v>
      </c>
      <c r="J388" s="1531" t="e">
        <v>#N/A</v>
      </c>
      <c r="K388" s="637" t="e">
        <f t="shared" si="28"/>
        <v>#N/A</v>
      </c>
      <c r="L388" s="1675" t="e">
        <v>#N/A</v>
      </c>
      <c r="M388" s="430" t="e">
        <v>#N/A</v>
      </c>
      <c r="N388" s="61" t="e">
        <v>#N/A</v>
      </c>
      <c r="O388" s="525" t="e">
        <f t="shared" si="29"/>
        <v>#N/A</v>
      </c>
      <c r="P388" s="61" t="e">
        <v>#N/A</v>
      </c>
      <c r="Q388" s="61" t="e">
        <v>#N/A</v>
      </c>
      <c r="R388" s="61" t="e">
        <v>#N/A</v>
      </c>
      <c r="S388" s="61" t="e">
        <v>#N/A</v>
      </c>
      <c r="T388" s="1675" t="e">
        <v>#N/A</v>
      </c>
      <c r="U388" s="430" t="e">
        <v>#N/A</v>
      </c>
      <c r="V388" s="526" t="e">
        <f t="shared" si="30"/>
        <v>#N/A</v>
      </c>
    </row>
    <row r="389" spans="1:22">
      <c r="A389" s="85">
        <f t="shared" si="31"/>
        <v>2025.08</v>
      </c>
      <c r="B389" s="74" t="e">
        <v>#N/A</v>
      </c>
      <c r="C389" s="61" t="e">
        <v>#N/A</v>
      </c>
      <c r="D389" s="61" t="e">
        <v>#N/A</v>
      </c>
      <c r="E389" s="61" t="e">
        <v>#N/A</v>
      </c>
      <c r="F389" s="573" t="e">
        <v>#N/A</v>
      </c>
      <c r="G389" s="1365" t="e">
        <v>#N/A</v>
      </c>
      <c r="H389" s="508" t="e">
        <f t="shared" si="27"/>
        <v>#N/A</v>
      </c>
      <c r="I389" s="573" t="e">
        <v>#N/A</v>
      </c>
      <c r="J389" s="1531" t="e">
        <v>#N/A</v>
      </c>
      <c r="K389" s="637" t="e">
        <f t="shared" si="28"/>
        <v>#N/A</v>
      </c>
      <c r="L389" s="1675" t="e">
        <v>#N/A</v>
      </c>
      <c r="M389" s="430" t="e">
        <v>#N/A</v>
      </c>
      <c r="N389" s="61" t="e">
        <v>#N/A</v>
      </c>
      <c r="O389" s="525" t="e">
        <f t="shared" si="29"/>
        <v>#N/A</v>
      </c>
      <c r="P389" s="61" t="e">
        <v>#N/A</v>
      </c>
      <c r="Q389" s="61" t="e">
        <v>#N/A</v>
      </c>
      <c r="R389" s="61" t="e">
        <v>#N/A</v>
      </c>
      <c r="S389" s="61" t="e">
        <v>#N/A</v>
      </c>
      <c r="T389" s="1675" t="e">
        <v>#N/A</v>
      </c>
      <c r="U389" s="430" t="e">
        <v>#N/A</v>
      </c>
      <c r="V389" s="526" t="e">
        <f t="shared" si="30"/>
        <v>#N/A</v>
      </c>
    </row>
    <row r="390" spans="1:22">
      <c r="A390" s="85">
        <f t="shared" si="31"/>
        <v>2025.09</v>
      </c>
      <c r="B390" s="74" t="e">
        <v>#N/A</v>
      </c>
      <c r="C390" s="61" t="e">
        <v>#N/A</v>
      </c>
      <c r="D390" s="61" t="e">
        <v>#N/A</v>
      </c>
      <c r="E390" s="61" t="e">
        <v>#N/A</v>
      </c>
      <c r="F390" s="573" t="e">
        <v>#N/A</v>
      </c>
      <c r="G390" s="1365" t="e">
        <v>#N/A</v>
      </c>
      <c r="H390" s="508" t="e">
        <f t="shared" si="27"/>
        <v>#N/A</v>
      </c>
      <c r="I390" s="573" t="e">
        <v>#N/A</v>
      </c>
      <c r="J390" s="1531" t="e">
        <v>#N/A</v>
      </c>
      <c r="K390" s="637" t="e">
        <f t="shared" si="28"/>
        <v>#N/A</v>
      </c>
      <c r="L390" s="1675" t="e">
        <v>#N/A</v>
      </c>
      <c r="M390" s="430" t="e">
        <v>#N/A</v>
      </c>
      <c r="N390" s="61" t="e">
        <v>#N/A</v>
      </c>
      <c r="O390" s="525" t="e">
        <f t="shared" si="29"/>
        <v>#N/A</v>
      </c>
      <c r="P390" s="61" t="e">
        <v>#N/A</v>
      </c>
      <c r="Q390" s="61" t="e">
        <v>#N/A</v>
      </c>
      <c r="R390" s="61" t="e">
        <v>#N/A</v>
      </c>
      <c r="S390" s="61" t="e">
        <v>#N/A</v>
      </c>
      <c r="T390" s="1675" t="e">
        <v>#N/A</v>
      </c>
      <c r="U390" s="430" t="e">
        <v>#N/A</v>
      </c>
      <c r="V390" s="526" t="e">
        <f t="shared" si="30"/>
        <v>#N/A</v>
      </c>
    </row>
    <row r="391" spans="1:22">
      <c r="A391" s="85">
        <f t="shared" si="31"/>
        <v>2025.1</v>
      </c>
      <c r="B391" s="74" t="e">
        <v>#N/A</v>
      </c>
      <c r="C391" s="61" t="e">
        <v>#N/A</v>
      </c>
      <c r="D391" s="61" t="e">
        <v>#N/A</v>
      </c>
      <c r="E391" s="61" t="e">
        <v>#N/A</v>
      </c>
      <c r="F391" s="573" t="e">
        <v>#N/A</v>
      </c>
      <c r="G391" s="1365" t="e">
        <v>#N/A</v>
      </c>
      <c r="H391" s="508" t="e">
        <f t="shared" si="27"/>
        <v>#N/A</v>
      </c>
      <c r="I391" s="573" t="e">
        <v>#N/A</v>
      </c>
      <c r="J391" s="1531" t="e">
        <v>#N/A</v>
      </c>
      <c r="K391" s="637" t="e">
        <f t="shared" si="28"/>
        <v>#N/A</v>
      </c>
      <c r="L391" s="1675" t="e">
        <v>#N/A</v>
      </c>
      <c r="M391" s="430" t="e">
        <v>#N/A</v>
      </c>
      <c r="N391" s="61" t="e">
        <v>#N/A</v>
      </c>
      <c r="O391" s="525" t="e">
        <f t="shared" si="29"/>
        <v>#N/A</v>
      </c>
      <c r="P391" s="61" t="e">
        <v>#N/A</v>
      </c>
      <c r="Q391" s="61" t="e">
        <v>#N/A</v>
      </c>
      <c r="R391" s="61" t="e">
        <v>#N/A</v>
      </c>
      <c r="S391" s="61" t="e">
        <v>#N/A</v>
      </c>
      <c r="T391" s="1675" t="e">
        <v>#N/A</v>
      </c>
      <c r="U391" s="430" t="e">
        <v>#N/A</v>
      </c>
      <c r="V391" s="526" t="e">
        <f t="shared" si="30"/>
        <v>#N/A</v>
      </c>
    </row>
    <row r="392" spans="1:22">
      <c r="A392" s="85">
        <f t="shared" si="31"/>
        <v>2025.11</v>
      </c>
      <c r="B392" s="74" t="e">
        <v>#N/A</v>
      </c>
      <c r="C392" s="61" t="e">
        <v>#N/A</v>
      </c>
      <c r="D392" s="61" t="e">
        <v>#N/A</v>
      </c>
      <c r="E392" s="61" t="e">
        <v>#N/A</v>
      </c>
      <c r="F392" s="573" t="e">
        <v>#N/A</v>
      </c>
      <c r="G392" s="1365" t="e">
        <v>#N/A</v>
      </c>
      <c r="H392" s="508" t="e">
        <f t="shared" si="27"/>
        <v>#N/A</v>
      </c>
      <c r="I392" s="573" t="e">
        <v>#N/A</v>
      </c>
      <c r="J392" s="1531" t="e">
        <v>#N/A</v>
      </c>
      <c r="K392" s="637" t="e">
        <f t="shared" si="28"/>
        <v>#N/A</v>
      </c>
      <c r="L392" s="1675" t="e">
        <v>#N/A</v>
      </c>
      <c r="M392" s="430" t="e">
        <v>#N/A</v>
      </c>
      <c r="N392" s="61" t="e">
        <v>#N/A</v>
      </c>
      <c r="O392" s="525" t="e">
        <f t="shared" si="29"/>
        <v>#N/A</v>
      </c>
      <c r="P392" s="61" t="e">
        <v>#N/A</v>
      </c>
      <c r="Q392" s="61" t="e">
        <v>#N/A</v>
      </c>
      <c r="R392" s="61" t="e">
        <v>#N/A</v>
      </c>
      <c r="S392" s="61" t="e">
        <v>#N/A</v>
      </c>
      <c r="T392" s="1675" t="e">
        <v>#N/A</v>
      </c>
      <c r="U392" s="430" t="e">
        <v>#N/A</v>
      </c>
      <c r="V392" s="526" t="e">
        <f t="shared" si="30"/>
        <v>#N/A</v>
      </c>
    </row>
    <row r="393" spans="1:22">
      <c r="A393" s="85">
        <f t="shared" si="31"/>
        <v>2025.12</v>
      </c>
      <c r="B393" s="74" t="e">
        <v>#N/A</v>
      </c>
      <c r="C393" s="61" t="e">
        <v>#N/A</v>
      </c>
      <c r="D393" s="61" t="e">
        <v>#N/A</v>
      </c>
      <c r="E393" s="61" t="e">
        <v>#N/A</v>
      </c>
      <c r="F393" s="573" t="e">
        <v>#N/A</v>
      </c>
      <c r="G393" s="1365" t="e">
        <v>#N/A</v>
      </c>
      <c r="H393" s="508" t="e">
        <f t="shared" si="27"/>
        <v>#N/A</v>
      </c>
      <c r="I393" s="573" t="e">
        <v>#N/A</v>
      </c>
      <c r="J393" s="1531" t="e">
        <v>#N/A</v>
      </c>
      <c r="K393" s="637" t="e">
        <f t="shared" si="28"/>
        <v>#N/A</v>
      </c>
      <c r="L393" s="1675" t="e">
        <v>#N/A</v>
      </c>
      <c r="M393" s="430" t="e">
        <v>#N/A</v>
      </c>
      <c r="N393" s="61" t="e">
        <v>#N/A</v>
      </c>
      <c r="O393" s="525" t="e">
        <f t="shared" si="29"/>
        <v>#N/A</v>
      </c>
      <c r="P393" s="61" t="e">
        <v>#N/A</v>
      </c>
      <c r="Q393" s="61" t="e">
        <v>#N/A</v>
      </c>
      <c r="R393" s="61" t="e">
        <v>#N/A</v>
      </c>
      <c r="S393" s="61" t="e">
        <v>#N/A</v>
      </c>
      <c r="T393" s="1675" t="e">
        <v>#N/A</v>
      </c>
      <c r="U393" s="430" t="e">
        <v>#N/A</v>
      </c>
      <c r="V393" s="526" t="e">
        <f t="shared" si="30"/>
        <v>#N/A</v>
      </c>
    </row>
    <row r="394" spans="1:22">
      <c r="A394" s="85">
        <f t="shared" si="31"/>
        <v>2026.01</v>
      </c>
      <c r="B394" s="74" t="e">
        <v>#N/A</v>
      </c>
      <c r="C394" s="61" t="e">
        <v>#N/A</v>
      </c>
      <c r="D394" s="61" t="e">
        <v>#N/A</v>
      </c>
      <c r="E394" s="61" t="e">
        <v>#N/A</v>
      </c>
      <c r="F394" s="573" t="e">
        <v>#N/A</v>
      </c>
      <c r="G394" s="1365" t="e">
        <v>#N/A</v>
      </c>
      <c r="H394" s="508" t="e">
        <f t="shared" ref="H394:H410" si="32">F394+G394</f>
        <v>#N/A</v>
      </c>
      <c r="I394" s="573" t="e">
        <v>#N/A</v>
      </c>
      <c r="J394" s="1531" t="e">
        <v>#N/A</v>
      </c>
      <c r="K394" s="637" t="e">
        <f t="shared" ref="K394:K410" si="33">I394+J394</f>
        <v>#N/A</v>
      </c>
      <c r="L394" s="1675" t="e">
        <v>#N/A</v>
      </c>
      <c r="M394" s="430" t="e">
        <v>#N/A</v>
      </c>
      <c r="N394" s="61" t="e">
        <v>#N/A</v>
      </c>
      <c r="O394" s="525" t="e">
        <f t="shared" ref="O394:O410" si="34">L394+M394+N394</f>
        <v>#N/A</v>
      </c>
      <c r="P394" s="61" t="e">
        <v>#N/A</v>
      </c>
      <c r="Q394" s="61" t="e">
        <v>#N/A</v>
      </c>
      <c r="R394" s="61" t="e">
        <v>#N/A</v>
      </c>
      <c r="S394" s="61" t="e">
        <v>#N/A</v>
      </c>
      <c r="T394" s="1675" t="e">
        <v>#N/A</v>
      </c>
      <c r="U394" s="430" t="e">
        <v>#N/A</v>
      </c>
      <c r="V394" s="526" t="e">
        <f t="shared" ref="V394:V410" si="35">SUM(P394:U394)</f>
        <v>#N/A</v>
      </c>
    </row>
    <row r="395" spans="1:22">
      <c r="A395" s="85">
        <f t="shared" si="31"/>
        <v>2026.02</v>
      </c>
      <c r="B395" s="74" t="e">
        <v>#N/A</v>
      </c>
      <c r="C395" s="61" t="e">
        <v>#N/A</v>
      </c>
      <c r="D395" s="61" t="e">
        <v>#N/A</v>
      </c>
      <c r="E395" s="61" t="e">
        <v>#N/A</v>
      </c>
      <c r="F395" s="573" t="e">
        <v>#N/A</v>
      </c>
      <c r="G395" s="1365" t="e">
        <v>#N/A</v>
      </c>
      <c r="H395" s="508" t="e">
        <f t="shared" si="32"/>
        <v>#N/A</v>
      </c>
      <c r="I395" s="573" t="e">
        <v>#N/A</v>
      </c>
      <c r="J395" s="1531" t="e">
        <v>#N/A</v>
      </c>
      <c r="K395" s="637" t="e">
        <f t="shared" si="33"/>
        <v>#N/A</v>
      </c>
      <c r="L395" s="1675" t="e">
        <v>#N/A</v>
      </c>
      <c r="M395" s="430" t="e">
        <v>#N/A</v>
      </c>
      <c r="N395" s="61" t="e">
        <v>#N/A</v>
      </c>
      <c r="O395" s="525" t="e">
        <f t="shared" si="34"/>
        <v>#N/A</v>
      </c>
      <c r="P395" s="61" t="e">
        <v>#N/A</v>
      </c>
      <c r="Q395" s="61" t="e">
        <v>#N/A</v>
      </c>
      <c r="R395" s="61" t="e">
        <v>#N/A</v>
      </c>
      <c r="S395" s="61" t="e">
        <v>#N/A</v>
      </c>
      <c r="T395" s="1675" t="e">
        <v>#N/A</v>
      </c>
      <c r="U395" s="430" t="e">
        <v>#N/A</v>
      </c>
      <c r="V395" s="526" t="e">
        <f t="shared" si="35"/>
        <v>#N/A</v>
      </c>
    </row>
    <row r="396" spans="1:22">
      <c r="A396" s="85">
        <f t="shared" si="31"/>
        <v>2026.03</v>
      </c>
      <c r="B396" s="74" t="e">
        <v>#N/A</v>
      </c>
      <c r="C396" s="61" t="e">
        <v>#N/A</v>
      </c>
      <c r="D396" s="61" t="e">
        <v>#N/A</v>
      </c>
      <c r="E396" s="61" t="e">
        <v>#N/A</v>
      </c>
      <c r="F396" s="573" t="e">
        <v>#N/A</v>
      </c>
      <c r="G396" s="1365" t="e">
        <v>#N/A</v>
      </c>
      <c r="H396" s="508" t="e">
        <f t="shared" si="32"/>
        <v>#N/A</v>
      </c>
      <c r="I396" s="573" t="e">
        <v>#N/A</v>
      </c>
      <c r="J396" s="1531" t="e">
        <v>#N/A</v>
      </c>
      <c r="K396" s="637" t="e">
        <f t="shared" si="33"/>
        <v>#N/A</v>
      </c>
      <c r="L396" s="1675" t="e">
        <v>#N/A</v>
      </c>
      <c r="M396" s="430" t="e">
        <v>#N/A</v>
      </c>
      <c r="N396" s="61" t="e">
        <v>#N/A</v>
      </c>
      <c r="O396" s="525" t="e">
        <f t="shared" si="34"/>
        <v>#N/A</v>
      </c>
      <c r="P396" s="61" t="e">
        <v>#N/A</v>
      </c>
      <c r="Q396" s="61" t="e">
        <v>#N/A</v>
      </c>
      <c r="R396" s="61" t="e">
        <v>#N/A</v>
      </c>
      <c r="S396" s="61" t="e">
        <v>#N/A</v>
      </c>
      <c r="T396" s="1675" t="e">
        <v>#N/A</v>
      </c>
      <c r="U396" s="430" t="e">
        <v>#N/A</v>
      </c>
      <c r="V396" s="526" t="e">
        <f t="shared" si="35"/>
        <v>#N/A</v>
      </c>
    </row>
    <row r="397" spans="1:22">
      <c r="A397" s="85">
        <f t="shared" si="31"/>
        <v>2026.04</v>
      </c>
      <c r="B397" s="74" t="e">
        <v>#N/A</v>
      </c>
      <c r="C397" s="61" t="e">
        <v>#N/A</v>
      </c>
      <c r="D397" s="61" t="e">
        <v>#N/A</v>
      </c>
      <c r="E397" s="61" t="e">
        <v>#N/A</v>
      </c>
      <c r="F397" s="573" t="e">
        <v>#N/A</v>
      </c>
      <c r="G397" s="1365" t="e">
        <v>#N/A</v>
      </c>
      <c r="H397" s="508" t="e">
        <f t="shared" si="32"/>
        <v>#N/A</v>
      </c>
      <c r="I397" s="573" t="e">
        <v>#N/A</v>
      </c>
      <c r="J397" s="1531" t="e">
        <v>#N/A</v>
      </c>
      <c r="K397" s="637" t="e">
        <f t="shared" si="33"/>
        <v>#N/A</v>
      </c>
      <c r="L397" s="1675" t="e">
        <v>#N/A</v>
      </c>
      <c r="M397" s="430" t="e">
        <v>#N/A</v>
      </c>
      <c r="N397" s="61" t="e">
        <v>#N/A</v>
      </c>
      <c r="O397" s="525" t="e">
        <f t="shared" si="34"/>
        <v>#N/A</v>
      </c>
      <c r="P397" s="61" t="e">
        <v>#N/A</v>
      </c>
      <c r="Q397" s="61" t="e">
        <v>#N/A</v>
      </c>
      <c r="R397" s="61" t="e">
        <v>#N/A</v>
      </c>
      <c r="S397" s="61" t="e">
        <v>#N/A</v>
      </c>
      <c r="T397" s="1675" t="e">
        <v>#N/A</v>
      </c>
      <c r="U397" s="430" t="e">
        <v>#N/A</v>
      </c>
      <c r="V397" s="526" t="e">
        <f t="shared" si="35"/>
        <v>#N/A</v>
      </c>
    </row>
    <row r="398" spans="1:22">
      <c r="A398" s="85">
        <f t="shared" si="31"/>
        <v>2026.05</v>
      </c>
      <c r="B398" s="74" t="e">
        <v>#N/A</v>
      </c>
      <c r="C398" s="61" t="e">
        <v>#N/A</v>
      </c>
      <c r="D398" s="61" t="e">
        <v>#N/A</v>
      </c>
      <c r="E398" s="61" t="e">
        <v>#N/A</v>
      </c>
      <c r="F398" s="573" t="e">
        <v>#N/A</v>
      </c>
      <c r="G398" s="1365" t="e">
        <v>#N/A</v>
      </c>
      <c r="H398" s="508" t="e">
        <f t="shared" si="32"/>
        <v>#N/A</v>
      </c>
      <c r="I398" s="573" t="e">
        <v>#N/A</v>
      </c>
      <c r="J398" s="1531" t="e">
        <v>#N/A</v>
      </c>
      <c r="K398" s="637" t="e">
        <f t="shared" si="33"/>
        <v>#N/A</v>
      </c>
      <c r="L398" s="1675" t="e">
        <v>#N/A</v>
      </c>
      <c r="M398" s="430" t="e">
        <v>#N/A</v>
      </c>
      <c r="N398" s="61" t="e">
        <v>#N/A</v>
      </c>
      <c r="O398" s="525" t="e">
        <f t="shared" si="34"/>
        <v>#N/A</v>
      </c>
      <c r="P398" s="61" t="e">
        <v>#N/A</v>
      </c>
      <c r="Q398" s="61" t="e">
        <v>#N/A</v>
      </c>
      <c r="R398" s="61" t="e">
        <v>#N/A</v>
      </c>
      <c r="S398" s="61" t="e">
        <v>#N/A</v>
      </c>
      <c r="T398" s="1675" t="e">
        <v>#N/A</v>
      </c>
      <c r="U398" s="430" t="e">
        <v>#N/A</v>
      </c>
      <c r="V398" s="526" t="e">
        <f t="shared" si="35"/>
        <v>#N/A</v>
      </c>
    </row>
    <row r="399" spans="1:22">
      <c r="A399" s="85">
        <f t="shared" si="31"/>
        <v>2026.06</v>
      </c>
      <c r="B399" s="74" t="e">
        <v>#N/A</v>
      </c>
      <c r="C399" s="61" t="e">
        <v>#N/A</v>
      </c>
      <c r="D399" s="61" t="e">
        <v>#N/A</v>
      </c>
      <c r="E399" s="61" t="e">
        <v>#N/A</v>
      </c>
      <c r="F399" s="573" t="e">
        <v>#N/A</v>
      </c>
      <c r="G399" s="1365" t="e">
        <v>#N/A</v>
      </c>
      <c r="H399" s="508" t="e">
        <f t="shared" si="32"/>
        <v>#N/A</v>
      </c>
      <c r="I399" s="573" t="e">
        <v>#N/A</v>
      </c>
      <c r="J399" s="1531" t="e">
        <v>#N/A</v>
      </c>
      <c r="K399" s="637" t="e">
        <f t="shared" si="33"/>
        <v>#N/A</v>
      </c>
      <c r="L399" s="1675" t="e">
        <v>#N/A</v>
      </c>
      <c r="M399" s="430" t="e">
        <v>#N/A</v>
      </c>
      <c r="N399" s="61" t="e">
        <v>#N/A</v>
      </c>
      <c r="O399" s="525" t="e">
        <f t="shared" si="34"/>
        <v>#N/A</v>
      </c>
      <c r="P399" s="61" t="e">
        <v>#N/A</v>
      </c>
      <c r="Q399" s="61" t="e">
        <v>#N/A</v>
      </c>
      <c r="R399" s="61" t="e">
        <v>#N/A</v>
      </c>
      <c r="S399" s="61" t="e">
        <v>#N/A</v>
      </c>
      <c r="T399" s="1675" t="e">
        <v>#N/A</v>
      </c>
      <c r="U399" s="430" t="e">
        <v>#N/A</v>
      </c>
      <c r="V399" s="526" t="e">
        <f t="shared" si="35"/>
        <v>#N/A</v>
      </c>
    </row>
    <row r="400" spans="1:22">
      <c r="A400" s="85">
        <f t="shared" si="31"/>
        <v>2026.07</v>
      </c>
      <c r="B400" s="74" t="e">
        <v>#N/A</v>
      </c>
      <c r="C400" s="61" t="e">
        <v>#N/A</v>
      </c>
      <c r="D400" s="61" t="e">
        <v>#N/A</v>
      </c>
      <c r="E400" s="61" t="e">
        <v>#N/A</v>
      </c>
      <c r="F400" s="573" t="e">
        <v>#N/A</v>
      </c>
      <c r="G400" s="1365" t="e">
        <v>#N/A</v>
      </c>
      <c r="H400" s="508" t="e">
        <f t="shared" si="32"/>
        <v>#N/A</v>
      </c>
      <c r="I400" s="573" t="e">
        <v>#N/A</v>
      </c>
      <c r="J400" s="1531" t="e">
        <v>#N/A</v>
      </c>
      <c r="K400" s="637" t="e">
        <f t="shared" si="33"/>
        <v>#N/A</v>
      </c>
      <c r="L400" s="1675" t="e">
        <v>#N/A</v>
      </c>
      <c r="M400" s="430" t="e">
        <v>#N/A</v>
      </c>
      <c r="N400" s="61" t="e">
        <v>#N/A</v>
      </c>
      <c r="O400" s="525" t="e">
        <f t="shared" si="34"/>
        <v>#N/A</v>
      </c>
      <c r="P400" s="61" t="e">
        <v>#N/A</v>
      </c>
      <c r="Q400" s="61" t="e">
        <v>#N/A</v>
      </c>
      <c r="R400" s="61" t="e">
        <v>#N/A</v>
      </c>
      <c r="S400" s="61" t="e">
        <v>#N/A</v>
      </c>
      <c r="T400" s="1675" t="e">
        <v>#N/A</v>
      </c>
      <c r="U400" s="430" t="e">
        <v>#N/A</v>
      </c>
      <c r="V400" s="526" t="e">
        <f t="shared" si="35"/>
        <v>#N/A</v>
      </c>
    </row>
    <row r="401" spans="1:22">
      <c r="A401" s="85">
        <f t="shared" si="31"/>
        <v>2026.08</v>
      </c>
      <c r="B401" s="74" t="e">
        <v>#N/A</v>
      </c>
      <c r="C401" s="61" t="e">
        <v>#N/A</v>
      </c>
      <c r="D401" s="61" t="e">
        <v>#N/A</v>
      </c>
      <c r="E401" s="61" t="e">
        <v>#N/A</v>
      </c>
      <c r="F401" s="573" t="e">
        <v>#N/A</v>
      </c>
      <c r="G401" s="1365" t="e">
        <v>#N/A</v>
      </c>
      <c r="H401" s="508" t="e">
        <f t="shared" si="32"/>
        <v>#N/A</v>
      </c>
      <c r="I401" s="573" t="e">
        <v>#N/A</v>
      </c>
      <c r="J401" s="1531" t="e">
        <v>#N/A</v>
      </c>
      <c r="K401" s="637" t="e">
        <f t="shared" si="33"/>
        <v>#N/A</v>
      </c>
      <c r="L401" s="1675" t="e">
        <v>#N/A</v>
      </c>
      <c r="M401" s="430" t="e">
        <v>#N/A</v>
      </c>
      <c r="N401" s="61" t="e">
        <v>#N/A</v>
      </c>
      <c r="O401" s="525" t="e">
        <f t="shared" si="34"/>
        <v>#N/A</v>
      </c>
      <c r="P401" s="61" t="e">
        <v>#N/A</v>
      </c>
      <c r="Q401" s="61" t="e">
        <v>#N/A</v>
      </c>
      <c r="R401" s="61" t="e">
        <v>#N/A</v>
      </c>
      <c r="S401" s="61" t="e">
        <v>#N/A</v>
      </c>
      <c r="T401" s="1675" t="e">
        <v>#N/A</v>
      </c>
      <c r="U401" s="430" t="e">
        <v>#N/A</v>
      </c>
      <c r="V401" s="526" t="e">
        <f t="shared" si="35"/>
        <v>#N/A</v>
      </c>
    </row>
    <row r="402" spans="1:22">
      <c r="A402" s="85">
        <f t="shared" si="31"/>
        <v>2026.09</v>
      </c>
      <c r="B402" s="74" t="e">
        <v>#N/A</v>
      </c>
      <c r="C402" s="61" t="e">
        <v>#N/A</v>
      </c>
      <c r="D402" s="61" t="e">
        <v>#N/A</v>
      </c>
      <c r="E402" s="61" t="e">
        <v>#N/A</v>
      </c>
      <c r="F402" s="573" t="e">
        <v>#N/A</v>
      </c>
      <c r="G402" s="1365" t="e">
        <v>#N/A</v>
      </c>
      <c r="H402" s="508" t="e">
        <f t="shared" si="32"/>
        <v>#N/A</v>
      </c>
      <c r="I402" s="573" t="e">
        <v>#N/A</v>
      </c>
      <c r="J402" s="1531" t="e">
        <v>#N/A</v>
      </c>
      <c r="K402" s="637" t="e">
        <f t="shared" si="33"/>
        <v>#N/A</v>
      </c>
      <c r="L402" s="1675" t="e">
        <v>#N/A</v>
      </c>
      <c r="M402" s="430" t="e">
        <v>#N/A</v>
      </c>
      <c r="N402" s="61" t="e">
        <v>#N/A</v>
      </c>
      <c r="O402" s="525" t="e">
        <f t="shared" si="34"/>
        <v>#N/A</v>
      </c>
      <c r="P402" s="61" t="e">
        <v>#N/A</v>
      </c>
      <c r="Q402" s="61" t="e">
        <v>#N/A</v>
      </c>
      <c r="R402" s="61" t="e">
        <v>#N/A</v>
      </c>
      <c r="S402" s="61" t="e">
        <v>#N/A</v>
      </c>
      <c r="T402" s="1675" t="e">
        <v>#N/A</v>
      </c>
      <c r="U402" s="430" t="e">
        <v>#N/A</v>
      </c>
      <c r="V402" s="526" t="e">
        <f t="shared" si="35"/>
        <v>#N/A</v>
      </c>
    </row>
    <row r="403" spans="1:22">
      <c r="A403" s="85">
        <f t="shared" si="31"/>
        <v>2026.1</v>
      </c>
      <c r="B403" s="74" t="e">
        <v>#N/A</v>
      </c>
      <c r="C403" s="61" t="e">
        <v>#N/A</v>
      </c>
      <c r="D403" s="61" t="e">
        <v>#N/A</v>
      </c>
      <c r="E403" s="61" t="e">
        <v>#N/A</v>
      </c>
      <c r="F403" s="573" t="e">
        <v>#N/A</v>
      </c>
      <c r="G403" s="1365" t="e">
        <v>#N/A</v>
      </c>
      <c r="H403" s="508" t="e">
        <f t="shared" si="32"/>
        <v>#N/A</v>
      </c>
      <c r="I403" s="573" t="e">
        <v>#N/A</v>
      </c>
      <c r="J403" s="1531" t="e">
        <v>#N/A</v>
      </c>
      <c r="K403" s="637" t="e">
        <f t="shared" si="33"/>
        <v>#N/A</v>
      </c>
      <c r="L403" s="1675" t="e">
        <v>#N/A</v>
      </c>
      <c r="M403" s="430" t="e">
        <v>#N/A</v>
      </c>
      <c r="N403" s="61" t="e">
        <v>#N/A</v>
      </c>
      <c r="O403" s="525" t="e">
        <f t="shared" si="34"/>
        <v>#N/A</v>
      </c>
      <c r="P403" s="61" t="e">
        <v>#N/A</v>
      </c>
      <c r="Q403" s="61" t="e">
        <v>#N/A</v>
      </c>
      <c r="R403" s="61" t="e">
        <v>#N/A</v>
      </c>
      <c r="S403" s="61" t="e">
        <v>#N/A</v>
      </c>
      <c r="T403" s="1675" t="e">
        <v>#N/A</v>
      </c>
      <c r="U403" s="430" t="e">
        <v>#N/A</v>
      </c>
      <c r="V403" s="526" t="e">
        <f t="shared" si="35"/>
        <v>#N/A</v>
      </c>
    </row>
    <row r="404" spans="1:22">
      <c r="A404" s="85">
        <f t="shared" si="31"/>
        <v>2026.11</v>
      </c>
      <c r="B404" s="74" t="e">
        <v>#N/A</v>
      </c>
      <c r="C404" s="61" t="e">
        <v>#N/A</v>
      </c>
      <c r="D404" s="61" t="e">
        <v>#N/A</v>
      </c>
      <c r="E404" s="61" t="e">
        <v>#N/A</v>
      </c>
      <c r="F404" s="573" t="e">
        <v>#N/A</v>
      </c>
      <c r="G404" s="1365" t="e">
        <v>#N/A</v>
      </c>
      <c r="H404" s="508" t="e">
        <f t="shared" si="32"/>
        <v>#N/A</v>
      </c>
      <c r="I404" s="573" t="e">
        <v>#N/A</v>
      </c>
      <c r="J404" s="1531" t="e">
        <v>#N/A</v>
      </c>
      <c r="K404" s="637" t="e">
        <f t="shared" si="33"/>
        <v>#N/A</v>
      </c>
      <c r="L404" s="1675" t="e">
        <v>#N/A</v>
      </c>
      <c r="M404" s="430" t="e">
        <v>#N/A</v>
      </c>
      <c r="N404" s="61" t="e">
        <v>#N/A</v>
      </c>
      <c r="O404" s="525" t="e">
        <f t="shared" si="34"/>
        <v>#N/A</v>
      </c>
      <c r="P404" s="61" t="e">
        <v>#N/A</v>
      </c>
      <c r="Q404" s="61" t="e">
        <v>#N/A</v>
      </c>
      <c r="R404" s="61" t="e">
        <v>#N/A</v>
      </c>
      <c r="S404" s="61" t="e">
        <v>#N/A</v>
      </c>
      <c r="T404" s="1675" t="e">
        <v>#N/A</v>
      </c>
      <c r="U404" s="430" t="e">
        <v>#N/A</v>
      </c>
      <c r="V404" s="526" t="e">
        <f t="shared" si="35"/>
        <v>#N/A</v>
      </c>
    </row>
    <row r="405" spans="1:22">
      <c r="A405" s="85">
        <f t="shared" si="31"/>
        <v>2026.12</v>
      </c>
      <c r="B405" s="74" t="e">
        <v>#N/A</v>
      </c>
      <c r="C405" s="61" t="e">
        <v>#N/A</v>
      </c>
      <c r="D405" s="61" t="e">
        <v>#N/A</v>
      </c>
      <c r="E405" s="61" t="e">
        <v>#N/A</v>
      </c>
      <c r="F405" s="573" t="e">
        <v>#N/A</v>
      </c>
      <c r="G405" s="1365" t="e">
        <v>#N/A</v>
      </c>
      <c r="H405" s="508" t="e">
        <f t="shared" si="32"/>
        <v>#N/A</v>
      </c>
      <c r="I405" s="573" t="e">
        <v>#N/A</v>
      </c>
      <c r="J405" s="1531" t="e">
        <v>#N/A</v>
      </c>
      <c r="K405" s="637" t="e">
        <f t="shared" si="33"/>
        <v>#N/A</v>
      </c>
      <c r="L405" s="1675" t="e">
        <v>#N/A</v>
      </c>
      <c r="M405" s="430" t="e">
        <v>#N/A</v>
      </c>
      <c r="N405" s="61" t="e">
        <v>#N/A</v>
      </c>
      <c r="O405" s="525" t="e">
        <f t="shared" si="34"/>
        <v>#N/A</v>
      </c>
      <c r="P405" s="61" t="e">
        <v>#N/A</v>
      </c>
      <c r="Q405" s="61" t="e">
        <v>#N/A</v>
      </c>
      <c r="R405" s="61" t="e">
        <v>#N/A</v>
      </c>
      <c r="S405" s="61" t="e">
        <v>#N/A</v>
      </c>
      <c r="T405" s="1675" t="e">
        <v>#N/A</v>
      </c>
      <c r="U405" s="430" t="e">
        <v>#N/A</v>
      </c>
      <c r="V405" s="526" t="e">
        <f t="shared" si="35"/>
        <v>#N/A</v>
      </c>
    </row>
    <row r="406" spans="1:22">
      <c r="A406" s="85">
        <f t="shared" si="31"/>
        <v>2027.01</v>
      </c>
      <c r="B406" s="74" t="e">
        <v>#N/A</v>
      </c>
      <c r="C406" s="61" t="e">
        <v>#N/A</v>
      </c>
      <c r="D406" s="61" t="e">
        <v>#N/A</v>
      </c>
      <c r="E406" s="61" t="e">
        <v>#N/A</v>
      </c>
      <c r="F406" s="573" t="e">
        <v>#N/A</v>
      </c>
      <c r="G406" s="1365" t="e">
        <v>#N/A</v>
      </c>
      <c r="H406" s="508" t="e">
        <f t="shared" si="32"/>
        <v>#N/A</v>
      </c>
      <c r="I406" s="573" t="e">
        <v>#N/A</v>
      </c>
      <c r="J406" s="1531" t="e">
        <v>#N/A</v>
      </c>
      <c r="K406" s="637" t="e">
        <f t="shared" si="33"/>
        <v>#N/A</v>
      </c>
      <c r="L406" s="1675" t="e">
        <v>#N/A</v>
      </c>
      <c r="M406" s="430" t="e">
        <v>#N/A</v>
      </c>
      <c r="N406" s="61" t="e">
        <v>#N/A</v>
      </c>
      <c r="O406" s="525" t="e">
        <f t="shared" si="34"/>
        <v>#N/A</v>
      </c>
      <c r="P406" s="61" t="e">
        <v>#N/A</v>
      </c>
      <c r="Q406" s="61" t="e">
        <v>#N/A</v>
      </c>
      <c r="R406" s="61" t="e">
        <v>#N/A</v>
      </c>
      <c r="S406" s="61" t="e">
        <v>#N/A</v>
      </c>
      <c r="T406" s="1675" t="e">
        <v>#N/A</v>
      </c>
      <c r="U406" s="430" t="e">
        <v>#N/A</v>
      </c>
      <c r="V406" s="526" t="e">
        <f t="shared" si="35"/>
        <v>#N/A</v>
      </c>
    </row>
    <row r="407" spans="1:22">
      <c r="A407" s="85">
        <f t="shared" si="31"/>
        <v>2027.02</v>
      </c>
      <c r="B407" s="74" t="e">
        <v>#N/A</v>
      </c>
      <c r="C407" s="61" t="e">
        <v>#N/A</v>
      </c>
      <c r="D407" s="61" t="e">
        <v>#N/A</v>
      </c>
      <c r="E407" s="61" t="e">
        <v>#N/A</v>
      </c>
      <c r="F407" s="573" t="e">
        <v>#N/A</v>
      </c>
      <c r="G407" s="1365" t="e">
        <v>#N/A</v>
      </c>
      <c r="H407" s="508" t="e">
        <f t="shared" si="32"/>
        <v>#N/A</v>
      </c>
      <c r="I407" s="573" t="e">
        <v>#N/A</v>
      </c>
      <c r="J407" s="1531" t="e">
        <v>#N/A</v>
      </c>
      <c r="K407" s="637" t="e">
        <f t="shared" si="33"/>
        <v>#N/A</v>
      </c>
      <c r="L407" s="1675" t="e">
        <v>#N/A</v>
      </c>
      <c r="M407" s="430" t="e">
        <v>#N/A</v>
      </c>
      <c r="N407" s="61" t="e">
        <v>#N/A</v>
      </c>
      <c r="O407" s="525" t="e">
        <f t="shared" si="34"/>
        <v>#N/A</v>
      </c>
      <c r="P407" s="61" t="e">
        <v>#N/A</v>
      </c>
      <c r="Q407" s="61" t="e">
        <v>#N/A</v>
      </c>
      <c r="R407" s="61" t="e">
        <v>#N/A</v>
      </c>
      <c r="S407" s="61" t="e">
        <v>#N/A</v>
      </c>
      <c r="T407" s="1675" t="e">
        <v>#N/A</v>
      </c>
      <c r="U407" s="430" t="e">
        <v>#N/A</v>
      </c>
      <c r="V407" s="526" t="e">
        <f t="shared" si="35"/>
        <v>#N/A</v>
      </c>
    </row>
    <row r="408" spans="1:22">
      <c r="A408" s="85">
        <f t="shared" si="31"/>
        <v>2027.03</v>
      </c>
      <c r="B408" s="74" t="e">
        <v>#N/A</v>
      </c>
      <c r="C408" s="61" t="e">
        <v>#N/A</v>
      </c>
      <c r="D408" s="61" t="e">
        <v>#N/A</v>
      </c>
      <c r="E408" s="61" t="e">
        <v>#N/A</v>
      </c>
      <c r="F408" s="573" t="e">
        <v>#N/A</v>
      </c>
      <c r="G408" s="1365" t="e">
        <v>#N/A</v>
      </c>
      <c r="H408" s="508" t="e">
        <f t="shared" si="32"/>
        <v>#N/A</v>
      </c>
      <c r="I408" s="573" t="e">
        <v>#N/A</v>
      </c>
      <c r="J408" s="1531" t="e">
        <v>#N/A</v>
      </c>
      <c r="K408" s="637" t="e">
        <f t="shared" si="33"/>
        <v>#N/A</v>
      </c>
      <c r="L408" s="1675" t="e">
        <v>#N/A</v>
      </c>
      <c r="M408" s="430" t="e">
        <v>#N/A</v>
      </c>
      <c r="N408" s="61" t="e">
        <v>#N/A</v>
      </c>
      <c r="O408" s="525" t="e">
        <f t="shared" si="34"/>
        <v>#N/A</v>
      </c>
      <c r="P408" s="61" t="e">
        <v>#N/A</v>
      </c>
      <c r="Q408" s="61" t="e">
        <v>#N/A</v>
      </c>
      <c r="R408" s="61" t="e">
        <v>#N/A</v>
      </c>
      <c r="S408" s="61" t="e">
        <v>#N/A</v>
      </c>
      <c r="T408" s="1675" t="e">
        <v>#N/A</v>
      </c>
      <c r="U408" s="430" t="e">
        <v>#N/A</v>
      </c>
      <c r="V408" s="526" t="e">
        <f t="shared" si="35"/>
        <v>#N/A</v>
      </c>
    </row>
    <row r="409" spans="1:22">
      <c r="A409" s="85">
        <f t="shared" si="31"/>
        <v>2027.04</v>
      </c>
      <c r="B409" s="74" t="e">
        <v>#N/A</v>
      </c>
      <c r="C409" s="61" t="e">
        <v>#N/A</v>
      </c>
      <c r="D409" s="61" t="e">
        <v>#N/A</v>
      </c>
      <c r="E409" s="61" t="e">
        <v>#N/A</v>
      </c>
      <c r="F409" s="573" t="e">
        <v>#N/A</v>
      </c>
      <c r="G409" s="1365" t="e">
        <v>#N/A</v>
      </c>
      <c r="H409" s="508" t="e">
        <f t="shared" si="32"/>
        <v>#N/A</v>
      </c>
      <c r="I409" s="573" t="e">
        <v>#N/A</v>
      </c>
      <c r="J409" s="1531" t="e">
        <v>#N/A</v>
      </c>
      <c r="K409" s="637" t="e">
        <f t="shared" si="33"/>
        <v>#N/A</v>
      </c>
      <c r="L409" s="1675" t="e">
        <v>#N/A</v>
      </c>
      <c r="M409" s="430" t="e">
        <v>#N/A</v>
      </c>
      <c r="N409" s="61" t="e">
        <v>#N/A</v>
      </c>
      <c r="O409" s="525" t="e">
        <f t="shared" si="34"/>
        <v>#N/A</v>
      </c>
      <c r="P409" s="61" t="e">
        <v>#N/A</v>
      </c>
      <c r="Q409" s="61" t="e">
        <v>#N/A</v>
      </c>
      <c r="R409" s="61" t="e">
        <v>#N/A</v>
      </c>
      <c r="S409" s="61" t="e">
        <v>#N/A</v>
      </c>
      <c r="T409" s="1675" t="e">
        <v>#N/A</v>
      </c>
      <c r="U409" s="430" t="e">
        <v>#N/A</v>
      </c>
      <c r="V409" s="526" t="e">
        <f t="shared" si="35"/>
        <v>#N/A</v>
      </c>
    </row>
    <row r="410" spans="1:22">
      <c r="A410" s="85">
        <f t="shared" si="31"/>
        <v>2027.05</v>
      </c>
      <c r="B410" s="74" t="e">
        <v>#N/A</v>
      </c>
      <c r="C410" s="61" t="e">
        <v>#N/A</v>
      </c>
      <c r="D410" s="61" t="e">
        <v>#N/A</v>
      </c>
      <c r="E410" s="61" t="e">
        <v>#N/A</v>
      </c>
      <c r="F410" s="573" t="e">
        <v>#N/A</v>
      </c>
      <c r="G410" s="1365" t="e">
        <v>#N/A</v>
      </c>
      <c r="H410" s="508" t="e">
        <f t="shared" si="32"/>
        <v>#N/A</v>
      </c>
      <c r="I410" s="573" t="e">
        <v>#N/A</v>
      </c>
      <c r="J410" s="1531" t="e">
        <v>#N/A</v>
      </c>
      <c r="K410" s="637" t="e">
        <f t="shared" si="33"/>
        <v>#N/A</v>
      </c>
      <c r="L410" s="1675" t="e">
        <v>#N/A</v>
      </c>
      <c r="M410" s="430" t="e">
        <v>#N/A</v>
      </c>
      <c r="N410" s="61" t="e">
        <v>#N/A</v>
      </c>
      <c r="O410" s="525" t="e">
        <f t="shared" si="34"/>
        <v>#N/A</v>
      </c>
      <c r="P410" s="61" t="e">
        <v>#N/A</v>
      </c>
      <c r="Q410" s="61" t="e">
        <v>#N/A</v>
      </c>
      <c r="R410" s="61" t="e">
        <v>#N/A</v>
      </c>
      <c r="S410" s="61" t="e">
        <v>#N/A</v>
      </c>
      <c r="T410" s="1675" t="e">
        <v>#N/A</v>
      </c>
      <c r="U410" s="430" t="e">
        <v>#N/A</v>
      </c>
      <c r="V410" s="526" t="e">
        <f t="shared" si="35"/>
        <v>#N/A</v>
      </c>
    </row>
    <row r="411" spans="1:22">
      <c r="A411" s="85">
        <f t="shared" si="31"/>
        <v>2027.06</v>
      </c>
      <c r="B411" s="74" t="e">
        <v>#N/A</v>
      </c>
      <c r="C411" s="61" t="e">
        <v>#N/A</v>
      </c>
      <c r="D411" s="61" t="e">
        <v>#N/A</v>
      </c>
      <c r="E411" s="61" t="e">
        <v>#N/A</v>
      </c>
      <c r="F411" s="573" t="e">
        <v>#N/A</v>
      </c>
      <c r="G411" s="1365" t="e">
        <v>#N/A</v>
      </c>
      <c r="H411" s="508" t="e">
        <f t="shared" ref="H411:H453" si="36">F411+G411</f>
        <v>#N/A</v>
      </c>
      <c r="I411" s="573" t="e">
        <v>#N/A</v>
      </c>
      <c r="J411" s="1531" t="e">
        <v>#N/A</v>
      </c>
      <c r="K411" s="637" t="e">
        <f t="shared" ref="K411:K453" si="37">I411+J411</f>
        <v>#N/A</v>
      </c>
      <c r="L411" s="1675" t="e">
        <v>#N/A</v>
      </c>
      <c r="M411" s="430" t="e">
        <v>#N/A</v>
      </c>
      <c r="N411" s="61" t="e">
        <v>#N/A</v>
      </c>
      <c r="O411" s="525" t="e">
        <f t="shared" ref="O411:O453" si="38">L411+M411+N411</f>
        <v>#N/A</v>
      </c>
      <c r="P411" s="61" t="e">
        <v>#N/A</v>
      </c>
      <c r="Q411" s="61" t="e">
        <v>#N/A</v>
      </c>
      <c r="R411" s="61" t="e">
        <v>#N/A</v>
      </c>
      <c r="S411" s="61" t="e">
        <v>#N/A</v>
      </c>
      <c r="T411" s="1675" t="e">
        <v>#N/A</v>
      </c>
      <c r="U411" s="430" t="e">
        <v>#N/A</v>
      </c>
      <c r="V411" s="526" t="e">
        <f t="shared" ref="V411:V453" si="39">SUM(P411:U411)</f>
        <v>#N/A</v>
      </c>
    </row>
    <row r="412" spans="1:22">
      <c r="A412" s="85">
        <f t="shared" si="31"/>
        <v>2027.07</v>
      </c>
      <c r="B412" s="74" t="e">
        <v>#N/A</v>
      </c>
      <c r="C412" s="61" t="e">
        <v>#N/A</v>
      </c>
      <c r="D412" s="61" t="e">
        <v>#N/A</v>
      </c>
      <c r="E412" s="61" t="e">
        <v>#N/A</v>
      </c>
      <c r="F412" s="573" t="e">
        <v>#N/A</v>
      </c>
      <c r="G412" s="1365" t="e">
        <v>#N/A</v>
      </c>
      <c r="H412" s="508" t="e">
        <f t="shared" si="36"/>
        <v>#N/A</v>
      </c>
      <c r="I412" s="573" t="e">
        <v>#N/A</v>
      </c>
      <c r="J412" s="1531" t="e">
        <v>#N/A</v>
      </c>
      <c r="K412" s="637" t="e">
        <f t="shared" si="37"/>
        <v>#N/A</v>
      </c>
      <c r="L412" s="1675" t="e">
        <v>#N/A</v>
      </c>
      <c r="M412" s="430" t="e">
        <v>#N/A</v>
      </c>
      <c r="N412" s="61" t="e">
        <v>#N/A</v>
      </c>
      <c r="O412" s="525" t="e">
        <f t="shared" si="38"/>
        <v>#N/A</v>
      </c>
      <c r="P412" s="61" t="e">
        <v>#N/A</v>
      </c>
      <c r="Q412" s="61" t="e">
        <v>#N/A</v>
      </c>
      <c r="R412" s="61" t="e">
        <v>#N/A</v>
      </c>
      <c r="S412" s="61" t="e">
        <v>#N/A</v>
      </c>
      <c r="T412" s="1675" t="e">
        <v>#N/A</v>
      </c>
      <c r="U412" s="430" t="e">
        <v>#N/A</v>
      </c>
      <c r="V412" s="526" t="e">
        <f t="shared" si="39"/>
        <v>#N/A</v>
      </c>
    </row>
    <row r="413" spans="1:22">
      <c r="A413" s="85">
        <f t="shared" si="31"/>
        <v>2027.08</v>
      </c>
      <c r="B413" s="74" t="e">
        <v>#N/A</v>
      </c>
      <c r="C413" s="61" t="e">
        <v>#N/A</v>
      </c>
      <c r="D413" s="61" t="e">
        <v>#N/A</v>
      </c>
      <c r="E413" s="61" t="e">
        <v>#N/A</v>
      </c>
      <c r="F413" s="573" t="e">
        <v>#N/A</v>
      </c>
      <c r="G413" s="1365" t="e">
        <v>#N/A</v>
      </c>
      <c r="H413" s="508" t="e">
        <f t="shared" si="36"/>
        <v>#N/A</v>
      </c>
      <c r="I413" s="573" t="e">
        <v>#N/A</v>
      </c>
      <c r="J413" s="1531" t="e">
        <v>#N/A</v>
      </c>
      <c r="K413" s="637" t="e">
        <f t="shared" si="37"/>
        <v>#N/A</v>
      </c>
      <c r="L413" s="1675" t="e">
        <v>#N/A</v>
      </c>
      <c r="M413" s="430" t="e">
        <v>#N/A</v>
      </c>
      <c r="N413" s="61" t="e">
        <v>#N/A</v>
      </c>
      <c r="O413" s="525" t="e">
        <f t="shared" si="38"/>
        <v>#N/A</v>
      </c>
      <c r="P413" s="61" t="e">
        <v>#N/A</v>
      </c>
      <c r="Q413" s="61" t="e">
        <v>#N/A</v>
      </c>
      <c r="R413" s="61" t="e">
        <v>#N/A</v>
      </c>
      <c r="S413" s="61" t="e">
        <v>#N/A</v>
      </c>
      <c r="T413" s="1675" t="e">
        <v>#N/A</v>
      </c>
      <c r="U413" s="430" t="e">
        <v>#N/A</v>
      </c>
      <c r="V413" s="526" t="e">
        <f t="shared" si="39"/>
        <v>#N/A</v>
      </c>
    </row>
    <row r="414" spans="1:22">
      <c r="A414" s="85">
        <f t="shared" si="31"/>
        <v>2027.09</v>
      </c>
      <c r="B414" s="74" t="e">
        <v>#N/A</v>
      </c>
      <c r="C414" s="61" t="e">
        <v>#N/A</v>
      </c>
      <c r="D414" s="61" t="e">
        <v>#N/A</v>
      </c>
      <c r="E414" s="61" t="e">
        <v>#N/A</v>
      </c>
      <c r="F414" s="573" t="e">
        <v>#N/A</v>
      </c>
      <c r="G414" s="1365" t="e">
        <v>#N/A</v>
      </c>
      <c r="H414" s="508" t="e">
        <f t="shared" si="36"/>
        <v>#N/A</v>
      </c>
      <c r="I414" s="573" t="e">
        <v>#N/A</v>
      </c>
      <c r="J414" s="1531" t="e">
        <v>#N/A</v>
      </c>
      <c r="K414" s="637" t="e">
        <f t="shared" si="37"/>
        <v>#N/A</v>
      </c>
      <c r="L414" s="1675" t="e">
        <v>#N/A</v>
      </c>
      <c r="M414" s="430" t="e">
        <v>#N/A</v>
      </c>
      <c r="N414" s="61" t="e">
        <v>#N/A</v>
      </c>
      <c r="O414" s="525" t="e">
        <f t="shared" si="38"/>
        <v>#N/A</v>
      </c>
      <c r="P414" s="61" t="e">
        <v>#N/A</v>
      </c>
      <c r="Q414" s="61" t="e">
        <v>#N/A</v>
      </c>
      <c r="R414" s="61" t="e">
        <v>#N/A</v>
      </c>
      <c r="S414" s="61" t="e">
        <v>#N/A</v>
      </c>
      <c r="T414" s="1675" t="e">
        <v>#N/A</v>
      </c>
      <c r="U414" s="430" t="e">
        <v>#N/A</v>
      </c>
      <c r="V414" s="526" t="e">
        <f t="shared" si="39"/>
        <v>#N/A</v>
      </c>
    </row>
    <row r="415" spans="1:22">
      <c r="A415" s="85">
        <f t="shared" si="31"/>
        <v>2027.1</v>
      </c>
      <c r="B415" s="74" t="e">
        <v>#N/A</v>
      </c>
      <c r="C415" s="61" t="e">
        <v>#N/A</v>
      </c>
      <c r="D415" s="61" t="e">
        <v>#N/A</v>
      </c>
      <c r="E415" s="61" t="e">
        <v>#N/A</v>
      </c>
      <c r="F415" s="573" t="e">
        <v>#N/A</v>
      </c>
      <c r="G415" s="1365" t="e">
        <v>#N/A</v>
      </c>
      <c r="H415" s="508" t="e">
        <f t="shared" si="36"/>
        <v>#N/A</v>
      </c>
      <c r="I415" s="573" t="e">
        <v>#N/A</v>
      </c>
      <c r="J415" s="1531" t="e">
        <v>#N/A</v>
      </c>
      <c r="K415" s="637" t="e">
        <f t="shared" si="37"/>
        <v>#N/A</v>
      </c>
      <c r="L415" s="1675" t="e">
        <v>#N/A</v>
      </c>
      <c r="M415" s="430" t="e">
        <v>#N/A</v>
      </c>
      <c r="N415" s="61" t="e">
        <v>#N/A</v>
      </c>
      <c r="O415" s="525" t="e">
        <f t="shared" si="38"/>
        <v>#N/A</v>
      </c>
      <c r="P415" s="61" t="e">
        <v>#N/A</v>
      </c>
      <c r="Q415" s="61" t="e">
        <v>#N/A</v>
      </c>
      <c r="R415" s="61" t="e">
        <v>#N/A</v>
      </c>
      <c r="S415" s="61" t="e">
        <v>#N/A</v>
      </c>
      <c r="T415" s="1675" t="e">
        <v>#N/A</v>
      </c>
      <c r="U415" s="430" t="e">
        <v>#N/A</v>
      </c>
      <c r="V415" s="526" t="e">
        <f t="shared" si="39"/>
        <v>#N/A</v>
      </c>
    </row>
    <row r="416" spans="1:22">
      <c r="A416" s="85">
        <f t="shared" si="31"/>
        <v>2027.11</v>
      </c>
      <c r="B416" s="74" t="e">
        <v>#N/A</v>
      </c>
      <c r="C416" s="61" t="e">
        <v>#N/A</v>
      </c>
      <c r="D416" s="61" t="e">
        <v>#N/A</v>
      </c>
      <c r="E416" s="61" t="e">
        <v>#N/A</v>
      </c>
      <c r="F416" s="573" t="e">
        <v>#N/A</v>
      </c>
      <c r="G416" s="1365" t="e">
        <v>#N/A</v>
      </c>
      <c r="H416" s="508" t="e">
        <f t="shared" si="36"/>
        <v>#N/A</v>
      </c>
      <c r="I416" s="573" t="e">
        <v>#N/A</v>
      </c>
      <c r="J416" s="1531" t="e">
        <v>#N/A</v>
      </c>
      <c r="K416" s="637" t="e">
        <f t="shared" si="37"/>
        <v>#N/A</v>
      </c>
      <c r="L416" s="1675" t="e">
        <v>#N/A</v>
      </c>
      <c r="M416" s="430" t="e">
        <v>#N/A</v>
      </c>
      <c r="N416" s="61" t="e">
        <v>#N/A</v>
      </c>
      <c r="O416" s="525" t="e">
        <f t="shared" si="38"/>
        <v>#N/A</v>
      </c>
      <c r="P416" s="61" t="e">
        <v>#N/A</v>
      </c>
      <c r="Q416" s="61" t="e">
        <v>#N/A</v>
      </c>
      <c r="R416" s="61" t="e">
        <v>#N/A</v>
      </c>
      <c r="S416" s="61" t="e">
        <v>#N/A</v>
      </c>
      <c r="T416" s="1675" t="e">
        <v>#N/A</v>
      </c>
      <c r="U416" s="430" t="e">
        <v>#N/A</v>
      </c>
      <c r="V416" s="526" t="e">
        <f t="shared" si="39"/>
        <v>#N/A</v>
      </c>
    </row>
    <row r="417" spans="1:22">
      <c r="A417" s="85">
        <f t="shared" si="31"/>
        <v>2027.12</v>
      </c>
      <c r="B417" s="74" t="e">
        <v>#N/A</v>
      </c>
      <c r="C417" s="61" t="e">
        <v>#N/A</v>
      </c>
      <c r="D417" s="61" t="e">
        <v>#N/A</v>
      </c>
      <c r="E417" s="61" t="e">
        <v>#N/A</v>
      </c>
      <c r="F417" s="573" t="e">
        <v>#N/A</v>
      </c>
      <c r="G417" s="1365" t="e">
        <v>#N/A</v>
      </c>
      <c r="H417" s="508" t="e">
        <f t="shared" si="36"/>
        <v>#N/A</v>
      </c>
      <c r="I417" s="573" t="e">
        <v>#N/A</v>
      </c>
      <c r="J417" s="1531" t="e">
        <v>#N/A</v>
      </c>
      <c r="K417" s="637" t="e">
        <f t="shared" si="37"/>
        <v>#N/A</v>
      </c>
      <c r="L417" s="1675" t="e">
        <v>#N/A</v>
      </c>
      <c r="M417" s="430" t="e">
        <v>#N/A</v>
      </c>
      <c r="N417" s="61" t="e">
        <v>#N/A</v>
      </c>
      <c r="O417" s="525" t="e">
        <f t="shared" si="38"/>
        <v>#N/A</v>
      </c>
      <c r="P417" s="61" t="e">
        <v>#N/A</v>
      </c>
      <c r="Q417" s="61" t="e">
        <v>#N/A</v>
      </c>
      <c r="R417" s="61" t="e">
        <v>#N/A</v>
      </c>
      <c r="S417" s="61" t="e">
        <v>#N/A</v>
      </c>
      <c r="T417" s="1675" t="e">
        <v>#N/A</v>
      </c>
      <c r="U417" s="430" t="e">
        <v>#N/A</v>
      </c>
      <c r="V417" s="526" t="e">
        <f t="shared" si="39"/>
        <v>#N/A</v>
      </c>
    </row>
    <row r="418" spans="1:22">
      <c r="A418" s="85">
        <f t="shared" si="31"/>
        <v>2028.01</v>
      </c>
      <c r="B418" s="74" t="e">
        <v>#N/A</v>
      </c>
      <c r="C418" s="61" t="e">
        <v>#N/A</v>
      </c>
      <c r="D418" s="61" t="e">
        <v>#N/A</v>
      </c>
      <c r="E418" s="61" t="e">
        <v>#N/A</v>
      </c>
      <c r="F418" s="573" t="e">
        <v>#N/A</v>
      </c>
      <c r="G418" s="1365" t="e">
        <v>#N/A</v>
      </c>
      <c r="H418" s="508" t="e">
        <f t="shared" si="36"/>
        <v>#N/A</v>
      </c>
      <c r="I418" s="573" t="e">
        <v>#N/A</v>
      </c>
      <c r="J418" s="1531" t="e">
        <v>#N/A</v>
      </c>
      <c r="K418" s="637" t="e">
        <f t="shared" si="37"/>
        <v>#N/A</v>
      </c>
      <c r="L418" s="1675" t="e">
        <v>#N/A</v>
      </c>
      <c r="M418" s="430" t="e">
        <v>#N/A</v>
      </c>
      <c r="N418" s="61" t="e">
        <v>#N/A</v>
      </c>
      <c r="O418" s="525" t="e">
        <f t="shared" si="38"/>
        <v>#N/A</v>
      </c>
      <c r="P418" s="61" t="e">
        <v>#N/A</v>
      </c>
      <c r="Q418" s="61" t="e">
        <v>#N/A</v>
      </c>
      <c r="R418" s="61" t="e">
        <v>#N/A</v>
      </c>
      <c r="S418" s="61" t="e">
        <v>#N/A</v>
      </c>
      <c r="T418" s="1675" t="e">
        <v>#N/A</v>
      </c>
      <c r="U418" s="430" t="e">
        <v>#N/A</v>
      </c>
      <c r="V418" s="526" t="e">
        <f t="shared" si="39"/>
        <v>#N/A</v>
      </c>
    </row>
    <row r="419" spans="1:22">
      <c r="A419" s="85">
        <f t="shared" si="31"/>
        <v>2028.02</v>
      </c>
      <c r="B419" s="74" t="e">
        <v>#N/A</v>
      </c>
      <c r="C419" s="61" t="e">
        <v>#N/A</v>
      </c>
      <c r="D419" s="61" t="e">
        <v>#N/A</v>
      </c>
      <c r="E419" s="61" t="e">
        <v>#N/A</v>
      </c>
      <c r="F419" s="573" t="e">
        <v>#N/A</v>
      </c>
      <c r="G419" s="1365" t="e">
        <v>#N/A</v>
      </c>
      <c r="H419" s="508" t="e">
        <f t="shared" si="36"/>
        <v>#N/A</v>
      </c>
      <c r="I419" s="573" t="e">
        <v>#N/A</v>
      </c>
      <c r="J419" s="1531" t="e">
        <v>#N/A</v>
      </c>
      <c r="K419" s="637" t="e">
        <f t="shared" si="37"/>
        <v>#N/A</v>
      </c>
      <c r="L419" s="1675" t="e">
        <v>#N/A</v>
      </c>
      <c r="M419" s="430" t="e">
        <v>#N/A</v>
      </c>
      <c r="N419" s="61" t="e">
        <v>#N/A</v>
      </c>
      <c r="O419" s="525" t="e">
        <f t="shared" si="38"/>
        <v>#N/A</v>
      </c>
      <c r="P419" s="61" t="e">
        <v>#N/A</v>
      </c>
      <c r="Q419" s="61" t="e">
        <v>#N/A</v>
      </c>
      <c r="R419" s="61" t="e">
        <v>#N/A</v>
      </c>
      <c r="S419" s="61" t="e">
        <v>#N/A</v>
      </c>
      <c r="T419" s="1675" t="e">
        <v>#N/A</v>
      </c>
      <c r="U419" s="430" t="e">
        <v>#N/A</v>
      </c>
      <c r="V419" s="526" t="e">
        <f t="shared" si="39"/>
        <v>#N/A</v>
      </c>
    </row>
    <row r="420" spans="1:22">
      <c r="A420" s="85">
        <f t="shared" si="31"/>
        <v>2028.03</v>
      </c>
      <c r="B420" s="74" t="e">
        <v>#N/A</v>
      </c>
      <c r="C420" s="61" t="e">
        <v>#N/A</v>
      </c>
      <c r="D420" s="61" t="e">
        <v>#N/A</v>
      </c>
      <c r="E420" s="61" t="e">
        <v>#N/A</v>
      </c>
      <c r="F420" s="573" t="e">
        <v>#N/A</v>
      </c>
      <c r="G420" s="1365" t="e">
        <v>#N/A</v>
      </c>
      <c r="H420" s="508" t="e">
        <f t="shared" si="36"/>
        <v>#N/A</v>
      </c>
      <c r="I420" s="573" t="e">
        <v>#N/A</v>
      </c>
      <c r="J420" s="1531" t="e">
        <v>#N/A</v>
      </c>
      <c r="K420" s="637" t="e">
        <f t="shared" si="37"/>
        <v>#N/A</v>
      </c>
      <c r="L420" s="1675" t="e">
        <v>#N/A</v>
      </c>
      <c r="M420" s="430" t="e">
        <v>#N/A</v>
      </c>
      <c r="N420" s="61" t="e">
        <v>#N/A</v>
      </c>
      <c r="O420" s="525" t="e">
        <f t="shared" si="38"/>
        <v>#N/A</v>
      </c>
      <c r="P420" s="61" t="e">
        <v>#N/A</v>
      </c>
      <c r="Q420" s="61" t="e">
        <v>#N/A</v>
      </c>
      <c r="R420" s="61" t="e">
        <v>#N/A</v>
      </c>
      <c r="S420" s="61" t="e">
        <v>#N/A</v>
      </c>
      <c r="T420" s="1675" t="e">
        <v>#N/A</v>
      </c>
      <c r="U420" s="430" t="e">
        <v>#N/A</v>
      </c>
      <c r="V420" s="526" t="e">
        <f t="shared" si="39"/>
        <v>#N/A</v>
      </c>
    </row>
    <row r="421" spans="1:22">
      <c r="A421" s="85">
        <f t="shared" si="31"/>
        <v>2028.04</v>
      </c>
      <c r="B421" s="74" t="e">
        <v>#N/A</v>
      </c>
      <c r="C421" s="61" t="e">
        <v>#N/A</v>
      </c>
      <c r="D421" s="61" t="e">
        <v>#N/A</v>
      </c>
      <c r="E421" s="61" t="e">
        <v>#N/A</v>
      </c>
      <c r="F421" s="573" t="e">
        <v>#N/A</v>
      </c>
      <c r="G421" s="1365" t="e">
        <v>#N/A</v>
      </c>
      <c r="H421" s="508" t="e">
        <f t="shared" si="36"/>
        <v>#N/A</v>
      </c>
      <c r="I421" s="573" t="e">
        <v>#N/A</v>
      </c>
      <c r="J421" s="1531" t="e">
        <v>#N/A</v>
      </c>
      <c r="K421" s="637" t="e">
        <f t="shared" si="37"/>
        <v>#N/A</v>
      </c>
      <c r="L421" s="1675" t="e">
        <v>#N/A</v>
      </c>
      <c r="M421" s="430" t="e">
        <v>#N/A</v>
      </c>
      <c r="N421" s="61" t="e">
        <v>#N/A</v>
      </c>
      <c r="O421" s="525" t="e">
        <f t="shared" si="38"/>
        <v>#N/A</v>
      </c>
      <c r="P421" s="61" t="e">
        <v>#N/A</v>
      </c>
      <c r="Q421" s="61" t="e">
        <v>#N/A</v>
      </c>
      <c r="R421" s="61" t="e">
        <v>#N/A</v>
      </c>
      <c r="S421" s="61" t="e">
        <v>#N/A</v>
      </c>
      <c r="T421" s="1675" t="e">
        <v>#N/A</v>
      </c>
      <c r="U421" s="430" t="e">
        <v>#N/A</v>
      </c>
      <c r="V421" s="526" t="e">
        <f t="shared" si="39"/>
        <v>#N/A</v>
      </c>
    </row>
    <row r="422" spans="1:22">
      <c r="A422" s="85">
        <f t="shared" si="31"/>
        <v>2028.05</v>
      </c>
      <c r="B422" s="74" t="e">
        <v>#N/A</v>
      </c>
      <c r="C422" s="61" t="e">
        <v>#N/A</v>
      </c>
      <c r="D422" s="61" t="e">
        <v>#N/A</v>
      </c>
      <c r="E422" s="61" t="e">
        <v>#N/A</v>
      </c>
      <c r="F422" s="573" t="e">
        <v>#N/A</v>
      </c>
      <c r="G422" s="1365" t="e">
        <v>#N/A</v>
      </c>
      <c r="H422" s="508" t="e">
        <f t="shared" si="36"/>
        <v>#N/A</v>
      </c>
      <c r="I422" s="573" t="e">
        <v>#N/A</v>
      </c>
      <c r="J422" s="1531" t="e">
        <v>#N/A</v>
      </c>
      <c r="K422" s="637" t="e">
        <f t="shared" si="37"/>
        <v>#N/A</v>
      </c>
      <c r="L422" s="1675" t="e">
        <v>#N/A</v>
      </c>
      <c r="M422" s="430" t="e">
        <v>#N/A</v>
      </c>
      <c r="N422" s="61" t="e">
        <v>#N/A</v>
      </c>
      <c r="O422" s="525" t="e">
        <f t="shared" si="38"/>
        <v>#N/A</v>
      </c>
      <c r="P422" s="61" t="e">
        <v>#N/A</v>
      </c>
      <c r="Q422" s="61" t="e">
        <v>#N/A</v>
      </c>
      <c r="R422" s="61" t="e">
        <v>#N/A</v>
      </c>
      <c r="S422" s="61" t="e">
        <v>#N/A</v>
      </c>
      <c r="T422" s="1675" t="e">
        <v>#N/A</v>
      </c>
      <c r="U422" s="430" t="e">
        <v>#N/A</v>
      </c>
      <c r="V422" s="526" t="e">
        <f t="shared" si="39"/>
        <v>#N/A</v>
      </c>
    </row>
    <row r="423" spans="1:22">
      <c r="A423" s="85">
        <f t="shared" si="31"/>
        <v>2028.06</v>
      </c>
      <c r="B423" s="74" t="e">
        <v>#N/A</v>
      </c>
      <c r="C423" s="61" t="e">
        <v>#N/A</v>
      </c>
      <c r="D423" s="61" t="e">
        <v>#N/A</v>
      </c>
      <c r="E423" s="61" t="e">
        <v>#N/A</v>
      </c>
      <c r="F423" s="573" t="e">
        <v>#N/A</v>
      </c>
      <c r="G423" s="1365" t="e">
        <v>#N/A</v>
      </c>
      <c r="H423" s="508" t="e">
        <f t="shared" si="36"/>
        <v>#N/A</v>
      </c>
      <c r="I423" s="573" t="e">
        <v>#N/A</v>
      </c>
      <c r="J423" s="1531" t="e">
        <v>#N/A</v>
      </c>
      <c r="K423" s="637" t="e">
        <f t="shared" si="37"/>
        <v>#N/A</v>
      </c>
      <c r="L423" s="1675" t="e">
        <v>#N/A</v>
      </c>
      <c r="M423" s="430" t="e">
        <v>#N/A</v>
      </c>
      <c r="N423" s="61" t="e">
        <v>#N/A</v>
      </c>
      <c r="O423" s="525" t="e">
        <f t="shared" si="38"/>
        <v>#N/A</v>
      </c>
      <c r="P423" s="61" t="e">
        <v>#N/A</v>
      </c>
      <c r="Q423" s="61" t="e">
        <v>#N/A</v>
      </c>
      <c r="R423" s="61" t="e">
        <v>#N/A</v>
      </c>
      <c r="S423" s="61" t="e">
        <v>#N/A</v>
      </c>
      <c r="T423" s="1675" t="e">
        <v>#N/A</v>
      </c>
      <c r="U423" s="430" t="e">
        <v>#N/A</v>
      </c>
      <c r="V423" s="526" t="e">
        <f t="shared" si="39"/>
        <v>#N/A</v>
      </c>
    </row>
    <row r="424" spans="1:22">
      <c r="A424" s="85">
        <f t="shared" si="31"/>
        <v>2028.07</v>
      </c>
      <c r="B424" s="74" t="e">
        <v>#N/A</v>
      </c>
      <c r="C424" s="61" t="e">
        <v>#N/A</v>
      </c>
      <c r="D424" s="61" t="e">
        <v>#N/A</v>
      </c>
      <c r="E424" s="61" t="e">
        <v>#N/A</v>
      </c>
      <c r="F424" s="573" t="e">
        <v>#N/A</v>
      </c>
      <c r="G424" s="1365" t="e">
        <v>#N/A</v>
      </c>
      <c r="H424" s="508" t="e">
        <f t="shared" si="36"/>
        <v>#N/A</v>
      </c>
      <c r="I424" s="573" t="e">
        <v>#N/A</v>
      </c>
      <c r="J424" s="1531" t="e">
        <v>#N/A</v>
      </c>
      <c r="K424" s="637" t="e">
        <f t="shared" si="37"/>
        <v>#N/A</v>
      </c>
      <c r="L424" s="1675" t="e">
        <v>#N/A</v>
      </c>
      <c r="M424" s="430" t="e">
        <v>#N/A</v>
      </c>
      <c r="N424" s="61" t="e">
        <v>#N/A</v>
      </c>
      <c r="O424" s="525" t="e">
        <f t="shared" si="38"/>
        <v>#N/A</v>
      </c>
      <c r="P424" s="61" t="e">
        <v>#N/A</v>
      </c>
      <c r="Q424" s="61" t="e">
        <v>#N/A</v>
      </c>
      <c r="R424" s="61" t="e">
        <v>#N/A</v>
      </c>
      <c r="S424" s="61" t="e">
        <v>#N/A</v>
      </c>
      <c r="T424" s="1675" t="e">
        <v>#N/A</v>
      </c>
      <c r="U424" s="430" t="e">
        <v>#N/A</v>
      </c>
      <c r="V424" s="526" t="e">
        <f t="shared" si="39"/>
        <v>#N/A</v>
      </c>
    </row>
    <row r="425" spans="1:22">
      <c r="A425" s="85">
        <f t="shared" si="31"/>
        <v>2028.08</v>
      </c>
      <c r="B425" s="74" t="e">
        <v>#N/A</v>
      </c>
      <c r="C425" s="61" t="e">
        <v>#N/A</v>
      </c>
      <c r="D425" s="61" t="e">
        <v>#N/A</v>
      </c>
      <c r="E425" s="61" t="e">
        <v>#N/A</v>
      </c>
      <c r="F425" s="573" t="e">
        <v>#N/A</v>
      </c>
      <c r="G425" s="1365" t="e">
        <v>#N/A</v>
      </c>
      <c r="H425" s="508" t="e">
        <f t="shared" si="36"/>
        <v>#N/A</v>
      </c>
      <c r="I425" s="573" t="e">
        <v>#N/A</v>
      </c>
      <c r="J425" s="1531" t="e">
        <v>#N/A</v>
      </c>
      <c r="K425" s="637" t="e">
        <f t="shared" si="37"/>
        <v>#N/A</v>
      </c>
      <c r="L425" s="1675" t="e">
        <v>#N/A</v>
      </c>
      <c r="M425" s="430" t="e">
        <v>#N/A</v>
      </c>
      <c r="N425" s="61" t="e">
        <v>#N/A</v>
      </c>
      <c r="O425" s="525" t="e">
        <f t="shared" si="38"/>
        <v>#N/A</v>
      </c>
      <c r="P425" s="61" t="e">
        <v>#N/A</v>
      </c>
      <c r="Q425" s="61" t="e">
        <v>#N/A</v>
      </c>
      <c r="R425" s="61" t="e">
        <v>#N/A</v>
      </c>
      <c r="S425" s="61" t="e">
        <v>#N/A</v>
      </c>
      <c r="T425" s="1675" t="e">
        <v>#N/A</v>
      </c>
      <c r="U425" s="430" t="e">
        <v>#N/A</v>
      </c>
      <c r="V425" s="526" t="e">
        <f t="shared" si="39"/>
        <v>#N/A</v>
      </c>
    </row>
    <row r="426" spans="1:22">
      <c r="A426" s="85">
        <f t="shared" si="31"/>
        <v>2028.09</v>
      </c>
      <c r="B426" s="74" t="e">
        <v>#N/A</v>
      </c>
      <c r="C426" s="61" t="e">
        <v>#N/A</v>
      </c>
      <c r="D426" s="61" t="e">
        <v>#N/A</v>
      </c>
      <c r="E426" s="61" t="e">
        <v>#N/A</v>
      </c>
      <c r="F426" s="573" t="e">
        <v>#N/A</v>
      </c>
      <c r="G426" s="1365" t="e">
        <v>#N/A</v>
      </c>
      <c r="H426" s="508" t="e">
        <f t="shared" si="36"/>
        <v>#N/A</v>
      </c>
      <c r="I426" s="573" t="e">
        <v>#N/A</v>
      </c>
      <c r="J426" s="1531" t="e">
        <v>#N/A</v>
      </c>
      <c r="K426" s="637" t="e">
        <f t="shared" si="37"/>
        <v>#N/A</v>
      </c>
      <c r="L426" s="1675" t="e">
        <v>#N/A</v>
      </c>
      <c r="M426" s="430" t="e">
        <v>#N/A</v>
      </c>
      <c r="N426" s="61" t="e">
        <v>#N/A</v>
      </c>
      <c r="O426" s="525" t="e">
        <f t="shared" si="38"/>
        <v>#N/A</v>
      </c>
      <c r="P426" s="61" t="e">
        <v>#N/A</v>
      </c>
      <c r="Q426" s="61" t="e">
        <v>#N/A</v>
      </c>
      <c r="R426" s="61" t="e">
        <v>#N/A</v>
      </c>
      <c r="S426" s="61" t="e">
        <v>#N/A</v>
      </c>
      <c r="T426" s="1675" t="e">
        <v>#N/A</v>
      </c>
      <c r="U426" s="430" t="e">
        <v>#N/A</v>
      </c>
      <c r="V426" s="526" t="e">
        <f t="shared" si="39"/>
        <v>#N/A</v>
      </c>
    </row>
    <row r="427" spans="1:22">
      <c r="A427" s="85">
        <f t="shared" si="31"/>
        <v>2028.1</v>
      </c>
      <c r="B427" s="74" t="e">
        <v>#N/A</v>
      </c>
      <c r="C427" s="61" t="e">
        <v>#N/A</v>
      </c>
      <c r="D427" s="61" t="e">
        <v>#N/A</v>
      </c>
      <c r="E427" s="61" t="e">
        <v>#N/A</v>
      </c>
      <c r="F427" s="573" t="e">
        <v>#N/A</v>
      </c>
      <c r="G427" s="1365" t="e">
        <v>#N/A</v>
      </c>
      <c r="H427" s="508" t="e">
        <f t="shared" si="36"/>
        <v>#N/A</v>
      </c>
      <c r="I427" s="573" t="e">
        <v>#N/A</v>
      </c>
      <c r="J427" s="1531" t="e">
        <v>#N/A</v>
      </c>
      <c r="K427" s="637" t="e">
        <f t="shared" si="37"/>
        <v>#N/A</v>
      </c>
      <c r="L427" s="1675" t="e">
        <v>#N/A</v>
      </c>
      <c r="M427" s="430" t="e">
        <v>#N/A</v>
      </c>
      <c r="N427" s="61" t="e">
        <v>#N/A</v>
      </c>
      <c r="O427" s="525" t="e">
        <f t="shared" si="38"/>
        <v>#N/A</v>
      </c>
      <c r="P427" s="61" t="e">
        <v>#N/A</v>
      </c>
      <c r="Q427" s="61" t="e">
        <v>#N/A</v>
      </c>
      <c r="R427" s="61" t="e">
        <v>#N/A</v>
      </c>
      <c r="S427" s="61" t="e">
        <v>#N/A</v>
      </c>
      <c r="T427" s="1675" t="e">
        <v>#N/A</v>
      </c>
      <c r="U427" s="430" t="e">
        <v>#N/A</v>
      </c>
      <c r="V427" s="526" t="e">
        <f t="shared" si="39"/>
        <v>#N/A</v>
      </c>
    </row>
    <row r="428" spans="1:22">
      <c r="A428" s="85">
        <f t="shared" si="31"/>
        <v>2028.11</v>
      </c>
      <c r="B428" s="74" t="e">
        <v>#N/A</v>
      </c>
      <c r="C428" s="61" t="e">
        <v>#N/A</v>
      </c>
      <c r="D428" s="61" t="e">
        <v>#N/A</v>
      </c>
      <c r="E428" s="61" t="e">
        <v>#N/A</v>
      </c>
      <c r="F428" s="573" t="e">
        <v>#N/A</v>
      </c>
      <c r="G428" s="1365" t="e">
        <v>#N/A</v>
      </c>
      <c r="H428" s="508" t="e">
        <f t="shared" si="36"/>
        <v>#N/A</v>
      </c>
      <c r="I428" s="573" t="e">
        <v>#N/A</v>
      </c>
      <c r="J428" s="1531" t="e">
        <v>#N/A</v>
      </c>
      <c r="K428" s="637" t="e">
        <f t="shared" si="37"/>
        <v>#N/A</v>
      </c>
      <c r="L428" s="1675" t="e">
        <v>#N/A</v>
      </c>
      <c r="M428" s="430" t="e">
        <v>#N/A</v>
      </c>
      <c r="N428" s="61" t="e">
        <v>#N/A</v>
      </c>
      <c r="O428" s="525" t="e">
        <f t="shared" si="38"/>
        <v>#N/A</v>
      </c>
      <c r="P428" s="61" t="e">
        <v>#N/A</v>
      </c>
      <c r="Q428" s="61" t="e">
        <v>#N/A</v>
      </c>
      <c r="R428" s="61" t="e">
        <v>#N/A</v>
      </c>
      <c r="S428" s="61" t="e">
        <v>#N/A</v>
      </c>
      <c r="T428" s="1675" t="e">
        <v>#N/A</v>
      </c>
      <c r="U428" s="430" t="e">
        <v>#N/A</v>
      </c>
      <c r="V428" s="526" t="e">
        <f t="shared" si="39"/>
        <v>#N/A</v>
      </c>
    </row>
    <row r="429" spans="1:22">
      <c r="A429" s="85">
        <f t="shared" si="31"/>
        <v>2028.12</v>
      </c>
      <c r="B429" s="74" t="e">
        <v>#N/A</v>
      </c>
      <c r="C429" s="61" t="e">
        <v>#N/A</v>
      </c>
      <c r="D429" s="61" t="e">
        <v>#N/A</v>
      </c>
      <c r="E429" s="61" t="e">
        <v>#N/A</v>
      </c>
      <c r="F429" s="573" t="e">
        <v>#N/A</v>
      </c>
      <c r="G429" s="1365" t="e">
        <v>#N/A</v>
      </c>
      <c r="H429" s="508" t="e">
        <f t="shared" si="36"/>
        <v>#N/A</v>
      </c>
      <c r="I429" s="573" t="e">
        <v>#N/A</v>
      </c>
      <c r="J429" s="1531" t="e">
        <v>#N/A</v>
      </c>
      <c r="K429" s="637" t="e">
        <f t="shared" si="37"/>
        <v>#N/A</v>
      </c>
      <c r="L429" s="1675" t="e">
        <v>#N/A</v>
      </c>
      <c r="M429" s="430" t="e">
        <v>#N/A</v>
      </c>
      <c r="N429" s="61" t="e">
        <v>#N/A</v>
      </c>
      <c r="O429" s="525" t="e">
        <f t="shared" si="38"/>
        <v>#N/A</v>
      </c>
      <c r="P429" s="61" t="e">
        <v>#N/A</v>
      </c>
      <c r="Q429" s="61" t="e">
        <v>#N/A</v>
      </c>
      <c r="R429" s="61" t="e">
        <v>#N/A</v>
      </c>
      <c r="S429" s="61" t="e">
        <v>#N/A</v>
      </c>
      <c r="T429" s="1675" t="e">
        <v>#N/A</v>
      </c>
      <c r="U429" s="430" t="e">
        <v>#N/A</v>
      </c>
      <c r="V429" s="526" t="e">
        <f t="shared" si="39"/>
        <v>#N/A</v>
      </c>
    </row>
    <row r="430" spans="1:22">
      <c r="A430" s="85">
        <f t="shared" si="31"/>
        <v>2029.01</v>
      </c>
      <c r="B430" s="74" t="e">
        <v>#N/A</v>
      </c>
      <c r="C430" s="61" t="e">
        <v>#N/A</v>
      </c>
      <c r="D430" s="61" t="e">
        <v>#N/A</v>
      </c>
      <c r="E430" s="61" t="e">
        <v>#N/A</v>
      </c>
      <c r="F430" s="573" t="e">
        <v>#N/A</v>
      </c>
      <c r="G430" s="1365" t="e">
        <v>#N/A</v>
      </c>
      <c r="H430" s="508" t="e">
        <f t="shared" si="36"/>
        <v>#N/A</v>
      </c>
      <c r="I430" s="573" t="e">
        <v>#N/A</v>
      </c>
      <c r="J430" s="1531" t="e">
        <v>#N/A</v>
      </c>
      <c r="K430" s="637" t="e">
        <f t="shared" si="37"/>
        <v>#N/A</v>
      </c>
      <c r="L430" s="1675" t="e">
        <v>#N/A</v>
      </c>
      <c r="M430" s="430" t="e">
        <v>#N/A</v>
      </c>
      <c r="N430" s="61" t="e">
        <v>#N/A</v>
      </c>
      <c r="O430" s="525" t="e">
        <f t="shared" si="38"/>
        <v>#N/A</v>
      </c>
      <c r="P430" s="61" t="e">
        <v>#N/A</v>
      </c>
      <c r="Q430" s="61" t="e">
        <v>#N/A</v>
      </c>
      <c r="R430" s="61" t="e">
        <v>#N/A</v>
      </c>
      <c r="S430" s="61" t="e">
        <v>#N/A</v>
      </c>
      <c r="T430" s="1675" t="e">
        <v>#N/A</v>
      </c>
      <c r="U430" s="430" t="e">
        <v>#N/A</v>
      </c>
      <c r="V430" s="526" t="e">
        <f t="shared" si="39"/>
        <v>#N/A</v>
      </c>
    </row>
    <row r="431" spans="1:22">
      <c r="A431" s="85">
        <f t="shared" si="31"/>
        <v>2029.02</v>
      </c>
      <c r="B431" s="74" t="e">
        <v>#N/A</v>
      </c>
      <c r="C431" s="61" t="e">
        <v>#N/A</v>
      </c>
      <c r="D431" s="61" t="e">
        <v>#N/A</v>
      </c>
      <c r="E431" s="61" t="e">
        <v>#N/A</v>
      </c>
      <c r="F431" s="573" t="e">
        <v>#N/A</v>
      </c>
      <c r="G431" s="1365" t="e">
        <v>#N/A</v>
      </c>
      <c r="H431" s="508" t="e">
        <f t="shared" si="36"/>
        <v>#N/A</v>
      </c>
      <c r="I431" s="573" t="e">
        <v>#N/A</v>
      </c>
      <c r="J431" s="1531" t="e">
        <v>#N/A</v>
      </c>
      <c r="K431" s="637" t="e">
        <f t="shared" si="37"/>
        <v>#N/A</v>
      </c>
      <c r="L431" s="1675" t="e">
        <v>#N/A</v>
      </c>
      <c r="M431" s="430" t="e">
        <v>#N/A</v>
      </c>
      <c r="N431" s="61" t="e">
        <v>#N/A</v>
      </c>
      <c r="O431" s="525" t="e">
        <f t="shared" si="38"/>
        <v>#N/A</v>
      </c>
      <c r="P431" s="61" t="e">
        <v>#N/A</v>
      </c>
      <c r="Q431" s="61" t="e">
        <v>#N/A</v>
      </c>
      <c r="R431" s="61" t="e">
        <v>#N/A</v>
      </c>
      <c r="S431" s="61" t="e">
        <v>#N/A</v>
      </c>
      <c r="T431" s="1675" t="e">
        <v>#N/A</v>
      </c>
      <c r="U431" s="430" t="e">
        <v>#N/A</v>
      </c>
      <c r="V431" s="526" t="e">
        <f t="shared" si="39"/>
        <v>#N/A</v>
      </c>
    </row>
    <row r="432" spans="1:22">
      <c r="A432" s="85">
        <f t="shared" si="31"/>
        <v>2029.03</v>
      </c>
      <c r="B432" s="74" t="e">
        <v>#N/A</v>
      </c>
      <c r="C432" s="61" t="e">
        <v>#N/A</v>
      </c>
      <c r="D432" s="61" t="e">
        <v>#N/A</v>
      </c>
      <c r="E432" s="61" t="e">
        <v>#N/A</v>
      </c>
      <c r="F432" s="573" t="e">
        <v>#N/A</v>
      </c>
      <c r="G432" s="1365" t="e">
        <v>#N/A</v>
      </c>
      <c r="H432" s="508" t="e">
        <f t="shared" si="36"/>
        <v>#N/A</v>
      </c>
      <c r="I432" s="573" t="e">
        <v>#N/A</v>
      </c>
      <c r="J432" s="1531" t="e">
        <v>#N/A</v>
      </c>
      <c r="K432" s="637" t="e">
        <f t="shared" si="37"/>
        <v>#N/A</v>
      </c>
      <c r="L432" s="1675" t="e">
        <v>#N/A</v>
      </c>
      <c r="M432" s="430" t="e">
        <v>#N/A</v>
      </c>
      <c r="N432" s="61" t="e">
        <v>#N/A</v>
      </c>
      <c r="O432" s="525" t="e">
        <f t="shared" si="38"/>
        <v>#N/A</v>
      </c>
      <c r="P432" s="61" t="e">
        <v>#N/A</v>
      </c>
      <c r="Q432" s="61" t="e">
        <v>#N/A</v>
      </c>
      <c r="R432" s="61" t="e">
        <v>#N/A</v>
      </c>
      <c r="S432" s="61" t="e">
        <v>#N/A</v>
      </c>
      <c r="T432" s="1675" t="e">
        <v>#N/A</v>
      </c>
      <c r="U432" s="430" t="e">
        <v>#N/A</v>
      </c>
      <c r="V432" s="526" t="e">
        <f t="shared" si="39"/>
        <v>#N/A</v>
      </c>
    </row>
    <row r="433" spans="1:22">
      <c r="A433" s="85">
        <f t="shared" si="31"/>
        <v>2029.04</v>
      </c>
      <c r="B433" s="74" t="e">
        <v>#N/A</v>
      </c>
      <c r="C433" s="61" t="e">
        <v>#N/A</v>
      </c>
      <c r="D433" s="61" t="e">
        <v>#N/A</v>
      </c>
      <c r="E433" s="61" t="e">
        <v>#N/A</v>
      </c>
      <c r="F433" s="573" t="e">
        <v>#N/A</v>
      </c>
      <c r="G433" s="1365" t="e">
        <v>#N/A</v>
      </c>
      <c r="H433" s="508" t="e">
        <f t="shared" si="36"/>
        <v>#N/A</v>
      </c>
      <c r="I433" s="573" t="e">
        <v>#N/A</v>
      </c>
      <c r="J433" s="1531" t="e">
        <v>#N/A</v>
      </c>
      <c r="K433" s="637" t="e">
        <f t="shared" si="37"/>
        <v>#N/A</v>
      </c>
      <c r="L433" s="1675" t="e">
        <v>#N/A</v>
      </c>
      <c r="M433" s="430" t="e">
        <v>#N/A</v>
      </c>
      <c r="N433" s="61" t="e">
        <v>#N/A</v>
      </c>
      <c r="O433" s="525" t="e">
        <f t="shared" si="38"/>
        <v>#N/A</v>
      </c>
      <c r="P433" s="61" t="e">
        <v>#N/A</v>
      </c>
      <c r="Q433" s="61" t="e">
        <v>#N/A</v>
      </c>
      <c r="R433" s="61" t="e">
        <v>#N/A</v>
      </c>
      <c r="S433" s="61" t="e">
        <v>#N/A</v>
      </c>
      <c r="T433" s="1675" t="e">
        <v>#N/A</v>
      </c>
      <c r="U433" s="430" t="e">
        <v>#N/A</v>
      </c>
      <c r="V433" s="526" t="e">
        <f t="shared" si="39"/>
        <v>#N/A</v>
      </c>
    </row>
    <row r="434" spans="1:22">
      <c r="A434" s="85">
        <f t="shared" si="31"/>
        <v>2029.05</v>
      </c>
      <c r="B434" s="74" t="e">
        <v>#N/A</v>
      </c>
      <c r="C434" s="61" t="e">
        <v>#N/A</v>
      </c>
      <c r="D434" s="61" t="e">
        <v>#N/A</v>
      </c>
      <c r="E434" s="61" t="e">
        <v>#N/A</v>
      </c>
      <c r="F434" s="573" t="e">
        <v>#N/A</v>
      </c>
      <c r="G434" s="1365" t="e">
        <v>#N/A</v>
      </c>
      <c r="H434" s="508" t="e">
        <f t="shared" si="36"/>
        <v>#N/A</v>
      </c>
      <c r="I434" s="573" t="e">
        <v>#N/A</v>
      </c>
      <c r="J434" s="1531" t="e">
        <v>#N/A</v>
      </c>
      <c r="K434" s="637" t="e">
        <f t="shared" si="37"/>
        <v>#N/A</v>
      </c>
      <c r="L434" s="1675" t="e">
        <v>#N/A</v>
      </c>
      <c r="M434" s="430" t="e">
        <v>#N/A</v>
      </c>
      <c r="N434" s="61" t="e">
        <v>#N/A</v>
      </c>
      <c r="O434" s="525" t="e">
        <f t="shared" si="38"/>
        <v>#N/A</v>
      </c>
      <c r="P434" s="61" t="e">
        <v>#N/A</v>
      </c>
      <c r="Q434" s="61" t="e">
        <v>#N/A</v>
      </c>
      <c r="R434" s="61" t="e">
        <v>#N/A</v>
      </c>
      <c r="S434" s="61" t="e">
        <v>#N/A</v>
      </c>
      <c r="T434" s="1675" t="e">
        <v>#N/A</v>
      </c>
      <c r="U434" s="430" t="e">
        <v>#N/A</v>
      </c>
      <c r="V434" s="526" t="e">
        <f t="shared" si="39"/>
        <v>#N/A</v>
      </c>
    </row>
    <row r="435" spans="1:22">
      <c r="A435" s="85">
        <f t="shared" ref="A435:A453" si="40">A423+1</f>
        <v>2029.06</v>
      </c>
      <c r="B435" s="74" t="e">
        <v>#N/A</v>
      </c>
      <c r="C435" s="61" t="e">
        <v>#N/A</v>
      </c>
      <c r="D435" s="61" t="e">
        <v>#N/A</v>
      </c>
      <c r="E435" s="61" t="e">
        <v>#N/A</v>
      </c>
      <c r="F435" s="573" t="e">
        <v>#N/A</v>
      </c>
      <c r="G435" s="1365" t="e">
        <v>#N/A</v>
      </c>
      <c r="H435" s="508" t="e">
        <f t="shared" si="36"/>
        <v>#N/A</v>
      </c>
      <c r="I435" s="573" t="e">
        <v>#N/A</v>
      </c>
      <c r="J435" s="1531" t="e">
        <v>#N/A</v>
      </c>
      <c r="K435" s="637" t="e">
        <f t="shared" si="37"/>
        <v>#N/A</v>
      </c>
      <c r="L435" s="1675" t="e">
        <v>#N/A</v>
      </c>
      <c r="M435" s="430" t="e">
        <v>#N/A</v>
      </c>
      <c r="N435" s="61" t="e">
        <v>#N/A</v>
      </c>
      <c r="O435" s="525" t="e">
        <f t="shared" si="38"/>
        <v>#N/A</v>
      </c>
      <c r="P435" s="61" t="e">
        <v>#N/A</v>
      </c>
      <c r="Q435" s="61" t="e">
        <v>#N/A</v>
      </c>
      <c r="R435" s="61" t="e">
        <v>#N/A</v>
      </c>
      <c r="S435" s="61" t="e">
        <v>#N/A</v>
      </c>
      <c r="T435" s="1675" t="e">
        <v>#N/A</v>
      </c>
      <c r="U435" s="430" t="e">
        <v>#N/A</v>
      </c>
      <c r="V435" s="526" t="e">
        <f t="shared" si="39"/>
        <v>#N/A</v>
      </c>
    </row>
    <row r="436" spans="1:22">
      <c r="A436" s="85">
        <f t="shared" si="40"/>
        <v>2029.07</v>
      </c>
      <c r="B436" s="74" t="e">
        <v>#N/A</v>
      </c>
      <c r="C436" s="61" t="e">
        <v>#N/A</v>
      </c>
      <c r="D436" s="61" t="e">
        <v>#N/A</v>
      </c>
      <c r="E436" s="61" t="e">
        <v>#N/A</v>
      </c>
      <c r="F436" s="573" t="e">
        <v>#N/A</v>
      </c>
      <c r="G436" s="1365" t="e">
        <v>#N/A</v>
      </c>
      <c r="H436" s="508" t="e">
        <f t="shared" si="36"/>
        <v>#N/A</v>
      </c>
      <c r="I436" s="573" t="e">
        <v>#N/A</v>
      </c>
      <c r="J436" s="1531" t="e">
        <v>#N/A</v>
      </c>
      <c r="K436" s="637" t="e">
        <f t="shared" si="37"/>
        <v>#N/A</v>
      </c>
      <c r="L436" s="1675" t="e">
        <v>#N/A</v>
      </c>
      <c r="M436" s="430" t="e">
        <v>#N/A</v>
      </c>
      <c r="N436" s="61" t="e">
        <v>#N/A</v>
      </c>
      <c r="O436" s="525" t="e">
        <f t="shared" si="38"/>
        <v>#N/A</v>
      </c>
      <c r="P436" s="61" t="e">
        <v>#N/A</v>
      </c>
      <c r="Q436" s="61" t="e">
        <v>#N/A</v>
      </c>
      <c r="R436" s="61" t="e">
        <v>#N/A</v>
      </c>
      <c r="S436" s="61" t="e">
        <v>#N/A</v>
      </c>
      <c r="T436" s="1675" t="e">
        <v>#N/A</v>
      </c>
      <c r="U436" s="430" t="e">
        <v>#N/A</v>
      </c>
      <c r="V436" s="526" t="e">
        <f t="shared" si="39"/>
        <v>#N/A</v>
      </c>
    </row>
    <row r="437" spans="1:22">
      <c r="A437" s="85">
        <f t="shared" si="40"/>
        <v>2029.08</v>
      </c>
      <c r="B437" s="74" t="e">
        <v>#N/A</v>
      </c>
      <c r="C437" s="61" t="e">
        <v>#N/A</v>
      </c>
      <c r="D437" s="61" t="e">
        <v>#N/A</v>
      </c>
      <c r="E437" s="61" t="e">
        <v>#N/A</v>
      </c>
      <c r="F437" s="573" t="e">
        <v>#N/A</v>
      </c>
      <c r="G437" s="1365" t="e">
        <v>#N/A</v>
      </c>
      <c r="H437" s="508" t="e">
        <f t="shared" si="36"/>
        <v>#N/A</v>
      </c>
      <c r="I437" s="573" t="e">
        <v>#N/A</v>
      </c>
      <c r="J437" s="1531" t="e">
        <v>#N/A</v>
      </c>
      <c r="K437" s="637" t="e">
        <f t="shared" si="37"/>
        <v>#N/A</v>
      </c>
      <c r="L437" s="1675" t="e">
        <v>#N/A</v>
      </c>
      <c r="M437" s="430" t="e">
        <v>#N/A</v>
      </c>
      <c r="N437" s="61" t="e">
        <v>#N/A</v>
      </c>
      <c r="O437" s="525" t="e">
        <f t="shared" si="38"/>
        <v>#N/A</v>
      </c>
      <c r="P437" s="61" t="e">
        <v>#N/A</v>
      </c>
      <c r="Q437" s="61" t="e">
        <v>#N/A</v>
      </c>
      <c r="R437" s="61" t="e">
        <v>#N/A</v>
      </c>
      <c r="S437" s="61" t="e">
        <v>#N/A</v>
      </c>
      <c r="T437" s="1675" t="e">
        <v>#N/A</v>
      </c>
      <c r="U437" s="430" t="e">
        <v>#N/A</v>
      </c>
      <c r="V437" s="526" t="e">
        <f t="shared" si="39"/>
        <v>#N/A</v>
      </c>
    </row>
    <row r="438" spans="1:22">
      <c r="A438" s="85">
        <f t="shared" si="40"/>
        <v>2029.09</v>
      </c>
      <c r="B438" s="74" t="e">
        <v>#N/A</v>
      </c>
      <c r="C438" s="61" t="e">
        <v>#N/A</v>
      </c>
      <c r="D438" s="61" t="e">
        <v>#N/A</v>
      </c>
      <c r="E438" s="61" t="e">
        <v>#N/A</v>
      </c>
      <c r="F438" s="573" t="e">
        <v>#N/A</v>
      </c>
      <c r="G438" s="1365" t="e">
        <v>#N/A</v>
      </c>
      <c r="H438" s="508" t="e">
        <f t="shared" si="36"/>
        <v>#N/A</v>
      </c>
      <c r="I438" s="573" t="e">
        <v>#N/A</v>
      </c>
      <c r="J438" s="1531" t="e">
        <v>#N/A</v>
      </c>
      <c r="K438" s="637" t="e">
        <f t="shared" si="37"/>
        <v>#N/A</v>
      </c>
      <c r="L438" s="1675" t="e">
        <v>#N/A</v>
      </c>
      <c r="M438" s="430" t="e">
        <v>#N/A</v>
      </c>
      <c r="N438" s="61" t="e">
        <v>#N/A</v>
      </c>
      <c r="O438" s="525" t="e">
        <f t="shared" si="38"/>
        <v>#N/A</v>
      </c>
      <c r="P438" s="61" t="e">
        <v>#N/A</v>
      </c>
      <c r="Q438" s="61" t="e">
        <v>#N/A</v>
      </c>
      <c r="R438" s="61" t="e">
        <v>#N/A</v>
      </c>
      <c r="S438" s="61" t="e">
        <v>#N/A</v>
      </c>
      <c r="T438" s="1675" t="e">
        <v>#N/A</v>
      </c>
      <c r="U438" s="430" t="e">
        <v>#N/A</v>
      </c>
      <c r="V438" s="526" t="e">
        <f t="shared" si="39"/>
        <v>#N/A</v>
      </c>
    </row>
    <row r="439" spans="1:22">
      <c r="A439" s="85">
        <f t="shared" si="40"/>
        <v>2029.1</v>
      </c>
      <c r="B439" s="74" t="e">
        <v>#N/A</v>
      </c>
      <c r="C439" s="61" t="e">
        <v>#N/A</v>
      </c>
      <c r="D439" s="61" t="e">
        <v>#N/A</v>
      </c>
      <c r="E439" s="61" t="e">
        <v>#N/A</v>
      </c>
      <c r="F439" s="573" t="e">
        <v>#N/A</v>
      </c>
      <c r="G439" s="1365" t="e">
        <v>#N/A</v>
      </c>
      <c r="H439" s="508" t="e">
        <f t="shared" si="36"/>
        <v>#N/A</v>
      </c>
      <c r="I439" s="573" t="e">
        <v>#N/A</v>
      </c>
      <c r="J439" s="1531" t="e">
        <v>#N/A</v>
      </c>
      <c r="K439" s="637" t="e">
        <f t="shared" si="37"/>
        <v>#N/A</v>
      </c>
      <c r="L439" s="1675" t="e">
        <v>#N/A</v>
      </c>
      <c r="M439" s="430" t="e">
        <v>#N/A</v>
      </c>
      <c r="N439" s="61" t="e">
        <v>#N/A</v>
      </c>
      <c r="O439" s="525" t="e">
        <f t="shared" si="38"/>
        <v>#N/A</v>
      </c>
      <c r="P439" s="61" t="e">
        <v>#N/A</v>
      </c>
      <c r="Q439" s="61" t="e">
        <v>#N/A</v>
      </c>
      <c r="R439" s="61" t="e">
        <v>#N/A</v>
      </c>
      <c r="S439" s="61" t="e">
        <v>#N/A</v>
      </c>
      <c r="T439" s="1675" t="e">
        <v>#N/A</v>
      </c>
      <c r="U439" s="430" t="e">
        <v>#N/A</v>
      </c>
      <c r="V439" s="526" t="e">
        <f t="shared" si="39"/>
        <v>#N/A</v>
      </c>
    </row>
    <row r="440" spans="1:22">
      <c r="A440" s="85">
        <f t="shared" si="40"/>
        <v>2029.11</v>
      </c>
      <c r="B440" s="74" t="e">
        <v>#N/A</v>
      </c>
      <c r="C440" s="61" t="e">
        <v>#N/A</v>
      </c>
      <c r="D440" s="61" t="e">
        <v>#N/A</v>
      </c>
      <c r="E440" s="61" t="e">
        <v>#N/A</v>
      </c>
      <c r="F440" s="573" t="e">
        <v>#N/A</v>
      </c>
      <c r="G440" s="1365" t="e">
        <v>#N/A</v>
      </c>
      <c r="H440" s="508" t="e">
        <f t="shared" si="36"/>
        <v>#N/A</v>
      </c>
      <c r="I440" s="573" t="e">
        <v>#N/A</v>
      </c>
      <c r="J440" s="1531" t="e">
        <v>#N/A</v>
      </c>
      <c r="K440" s="637" t="e">
        <f t="shared" si="37"/>
        <v>#N/A</v>
      </c>
      <c r="L440" s="1675" t="e">
        <v>#N/A</v>
      </c>
      <c r="M440" s="430" t="e">
        <v>#N/A</v>
      </c>
      <c r="N440" s="61" t="e">
        <v>#N/A</v>
      </c>
      <c r="O440" s="525" t="e">
        <f t="shared" si="38"/>
        <v>#N/A</v>
      </c>
      <c r="P440" s="61" t="e">
        <v>#N/A</v>
      </c>
      <c r="Q440" s="61" t="e">
        <v>#N/A</v>
      </c>
      <c r="R440" s="61" t="e">
        <v>#N/A</v>
      </c>
      <c r="S440" s="61" t="e">
        <v>#N/A</v>
      </c>
      <c r="T440" s="1675" t="e">
        <v>#N/A</v>
      </c>
      <c r="U440" s="430" t="e">
        <v>#N/A</v>
      </c>
      <c r="V440" s="526" t="e">
        <f t="shared" si="39"/>
        <v>#N/A</v>
      </c>
    </row>
    <row r="441" spans="1:22">
      <c r="A441" s="85">
        <f t="shared" si="40"/>
        <v>2029.12</v>
      </c>
      <c r="B441" s="74" t="e">
        <v>#N/A</v>
      </c>
      <c r="C441" s="61" t="e">
        <v>#N/A</v>
      </c>
      <c r="D441" s="61" t="e">
        <v>#N/A</v>
      </c>
      <c r="E441" s="61" t="e">
        <v>#N/A</v>
      </c>
      <c r="F441" s="573" t="e">
        <v>#N/A</v>
      </c>
      <c r="G441" s="1365" t="e">
        <v>#N/A</v>
      </c>
      <c r="H441" s="508" t="e">
        <f t="shared" si="36"/>
        <v>#N/A</v>
      </c>
      <c r="I441" s="573" t="e">
        <v>#N/A</v>
      </c>
      <c r="J441" s="1531" t="e">
        <v>#N/A</v>
      </c>
      <c r="K441" s="637" t="e">
        <f t="shared" si="37"/>
        <v>#N/A</v>
      </c>
      <c r="L441" s="1675" t="e">
        <v>#N/A</v>
      </c>
      <c r="M441" s="430" t="e">
        <v>#N/A</v>
      </c>
      <c r="N441" s="61" t="e">
        <v>#N/A</v>
      </c>
      <c r="O441" s="525" t="e">
        <f t="shared" si="38"/>
        <v>#N/A</v>
      </c>
      <c r="P441" s="61" t="e">
        <v>#N/A</v>
      </c>
      <c r="Q441" s="61" t="e">
        <v>#N/A</v>
      </c>
      <c r="R441" s="61" t="e">
        <v>#N/A</v>
      </c>
      <c r="S441" s="61" t="e">
        <v>#N/A</v>
      </c>
      <c r="T441" s="1675" t="e">
        <v>#N/A</v>
      </c>
      <c r="U441" s="430" t="e">
        <v>#N/A</v>
      </c>
      <c r="V441" s="526" t="e">
        <f t="shared" si="39"/>
        <v>#N/A</v>
      </c>
    </row>
    <row r="442" spans="1:22">
      <c r="A442" s="85">
        <f t="shared" si="40"/>
        <v>2030.01</v>
      </c>
      <c r="B442" s="74" t="e">
        <v>#N/A</v>
      </c>
      <c r="C442" s="61" t="e">
        <v>#N/A</v>
      </c>
      <c r="D442" s="61" t="e">
        <v>#N/A</v>
      </c>
      <c r="E442" s="61" t="e">
        <v>#N/A</v>
      </c>
      <c r="F442" s="573" t="e">
        <v>#N/A</v>
      </c>
      <c r="G442" s="1365" t="e">
        <v>#N/A</v>
      </c>
      <c r="H442" s="508" t="e">
        <f t="shared" si="36"/>
        <v>#N/A</v>
      </c>
      <c r="I442" s="573" t="e">
        <v>#N/A</v>
      </c>
      <c r="J442" s="1531" t="e">
        <v>#N/A</v>
      </c>
      <c r="K442" s="637" t="e">
        <f t="shared" si="37"/>
        <v>#N/A</v>
      </c>
      <c r="L442" s="1675" t="e">
        <v>#N/A</v>
      </c>
      <c r="M442" s="430" t="e">
        <v>#N/A</v>
      </c>
      <c r="N442" s="61" t="e">
        <v>#N/A</v>
      </c>
      <c r="O442" s="525" t="e">
        <f t="shared" si="38"/>
        <v>#N/A</v>
      </c>
      <c r="P442" s="61" t="e">
        <v>#N/A</v>
      </c>
      <c r="Q442" s="61" t="e">
        <v>#N/A</v>
      </c>
      <c r="R442" s="61" t="e">
        <v>#N/A</v>
      </c>
      <c r="S442" s="61" t="e">
        <v>#N/A</v>
      </c>
      <c r="T442" s="1675" t="e">
        <v>#N/A</v>
      </c>
      <c r="U442" s="430" t="e">
        <v>#N/A</v>
      </c>
      <c r="V442" s="526" t="e">
        <f t="shared" si="39"/>
        <v>#N/A</v>
      </c>
    </row>
    <row r="443" spans="1:22">
      <c r="A443" s="85">
        <f t="shared" si="40"/>
        <v>2030.02</v>
      </c>
      <c r="B443" s="74" t="e">
        <v>#N/A</v>
      </c>
      <c r="C443" s="61" t="e">
        <v>#N/A</v>
      </c>
      <c r="D443" s="61" t="e">
        <v>#N/A</v>
      </c>
      <c r="E443" s="61" t="e">
        <v>#N/A</v>
      </c>
      <c r="F443" s="573" t="e">
        <v>#N/A</v>
      </c>
      <c r="G443" s="1365" t="e">
        <v>#N/A</v>
      </c>
      <c r="H443" s="508" t="e">
        <f t="shared" si="36"/>
        <v>#N/A</v>
      </c>
      <c r="I443" s="573" t="e">
        <v>#N/A</v>
      </c>
      <c r="J443" s="1531" t="e">
        <v>#N/A</v>
      </c>
      <c r="K443" s="637" t="e">
        <f t="shared" si="37"/>
        <v>#N/A</v>
      </c>
      <c r="L443" s="1675" t="e">
        <v>#N/A</v>
      </c>
      <c r="M443" s="430" t="e">
        <v>#N/A</v>
      </c>
      <c r="N443" s="61" t="e">
        <v>#N/A</v>
      </c>
      <c r="O443" s="525" t="e">
        <f t="shared" si="38"/>
        <v>#N/A</v>
      </c>
      <c r="P443" s="61" t="e">
        <v>#N/A</v>
      </c>
      <c r="Q443" s="61" t="e">
        <v>#N/A</v>
      </c>
      <c r="R443" s="61" t="e">
        <v>#N/A</v>
      </c>
      <c r="S443" s="61" t="e">
        <v>#N/A</v>
      </c>
      <c r="T443" s="1675" t="e">
        <v>#N/A</v>
      </c>
      <c r="U443" s="430" t="e">
        <v>#N/A</v>
      </c>
      <c r="V443" s="526" t="e">
        <f t="shared" si="39"/>
        <v>#N/A</v>
      </c>
    </row>
    <row r="444" spans="1:22">
      <c r="A444" s="85">
        <f t="shared" si="40"/>
        <v>2030.03</v>
      </c>
      <c r="B444" s="74" t="e">
        <v>#N/A</v>
      </c>
      <c r="C444" s="61" t="e">
        <v>#N/A</v>
      </c>
      <c r="D444" s="61" t="e">
        <v>#N/A</v>
      </c>
      <c r="E444" s="61" t="e">
        <v>#N/A</v>
      </c>
      <c r="F444" s="573" t="e">
        <v>#N/A</v>
      </c>
      <c r="G444" s="1365" t="e">
        <v>#N/A</v>
      </c>
      <c r="H444" s="508" t="e">
        <f t="shared" si="36"/>
        <v>#N/A</v>
      </c>
      <c r="I444" s="573" t="e">
        <v>#N/A</v>
      </c>
      <c r="J444" s="1531" t="e">
        <v>#N/A</v>
      </c>
      <c r="K444" s="637" t="e">
        <f t="shared" si="37"/>
        <v>#N/A</v>
      </c>
      <c r="L444" s="1675" t="e">
        <v>#N/A</v>
      </c>
      <c r="M444" s="430" t="e">
        <v>#N/A</v>
      </c>
      <c r="N444" s="61" t="e">
        <v>#N/A</v>
      </c>
      <c r="O444" s="525" t="e">
        <f t="shared" si="38"/>
        <v>#N/A</v>
      </c>
      <c r="P444" s="61" t="e">
        <v>#N/A</v>
      </c>
      <c r="Q444" s="61" t="e">
        <v>#N/A</v>
      </c>
      <c r="R444" s="61" t="e">
        <v>#N/A</v>
      </c>
      <c r="S444" s="61" t="e">
        <v>#N/A</v>
      </c>
      <c r="T444" s="1675" t="e">
        <v>#N/A</v>
      </c>
      <c r="U444" s="430" t="e">
        <v>#N/A</v>
      </c>
      <c r="V444" s="526" t="e">
        <f t="shared" si="39"/>
        <v>#N/A</v>
      </c>
    </row>
    <row r="445" spans="1:22">
      <c r="A445" s="85">
        <f t="shared" si="40"/>
        <v>2030.04</v>
      </c>
      <c r="B445" s="74" t="e">
        <v>#N/A</v>
      </c>
      <c r="C445" s="61" t="e">
        <v>#N/A</v>
      </c>
      <c r="D445" s="61" t="e">
        <v>#N/A</v>
      </c>
      <c r="E445" s="61" t="e">
        <v>#N/A</v>
      </c>
      <c r="F445" s="573" t="e">
        <v>#N/A</v>
      </c>
      <c r="G445" s="1365" t="e">
        <v>#N/A</v>
      </c>
      <c r="H445" s="508" t="e">
        <f t="shared" si="36"/>
        <v>#N/A</v>
      </c>
      <c r="I445" s="573" t="e">
        <v>#N/A</v>
      </c>
      <c r="J445" s="1531" t="e">
        <v>#N/A</v>
      </c>
      <c r="K445" s="637" t="e">
        <f t="shared" si="37"/>
        <v>#N/A</v>
      </c>
      <c r="L445" s="1675" t="e">
        <v>#N/A</v>
      </c>
      <c r="M445" s="430" t="e">
        <v>#N/A</v>
      </c>
      <c r="N445" s="61" t="e">
        <v>#N/A</v>
      </c>
      <c r="O445" s="525" t="e">
        <f t="shared" si="38"/>
        <v>#N/A</v>
      </c>
      <c r="P445" s="61" t="e">
        <v>#N/A</v>
      </c>
      <c r="Q445" s="61" t="e">
        <v>#N/A</v>
      </c>
      <c r="R445" s="61" t="e">
        <v>#N/A</v>
      </c>
      <c r="S445" s="61" t="e">
        <v>#N/A</v>
      </c>
      <c r="T445" s="1675" t="e">
        <v>#N/A</v>
      </c>
      <c r="U445" s="430" t="e">
        <v>#N/A</v>
      </c>
      <c r="V445" s="526" t="e">
        <f t="shared" si="39"/>
        <v>#N/A</v>
      </c>
    </row>
    <row r="446" spans="1:22">
      <c r="A446" s="85">
        <f t="shared" si="40"/>
        <v>2030.05</v>
      </c>
      <c r="B446" s="74" t="e">
        <v>#N/A</v>
      </c>
      <c r="C446" s="61" t="e">
        <v>#N/A</v>
      </c>
      <c r="D446" s="61" t="e">
        <v>#N/A</v>
      </c>
      <c r="E446" s="61" t="e">
        <v>#N/A</v>
      </c>
      <c r="F446" s="573" t="e">
        <v>#N/A</v>
      </c>
      <c r="G446" s="1365" t="e">
        <v>#N/A</v>
      </c>
      <c r="H446" s="508" t="e">
        <f t="shared" si="36"/>
        <v>#N/A</v>
      </c>
      <c r="I446" s="573" t="e">
        <v>#N/A</v>
      </c>
      <c r="J446" s="1531" t="e">
        <v>#N/A</v>
      </c>
      <c r="K446" s="637" t="e">
        <f t="shared" si="37"/>
        <v>#N/A</v>
      </c>
      <c r="L446" s="1675" t="e">
        <v>#N/A</v>
      </c>
      <c r="M446" s="430" t="e">
        <v>#N/A</v>
      </c>
      <c r="N446" s="61" t="e">
        <v>#N/A</v>
      </c>
      <c r="O446" s="525" t="e">
        <f t="shared" si="38"/>
        <v>#N/A</v>
      </c>
      <c r="P446" s="61" t="e">
        <v>#N/A</v>
      </c>
      <c r="Q446" s="61" t="e">
        <v>#N/A</v>
      </c>
      <c r="R446" s="61" t="e">
        <v>#N/A</v>
      </c>
      <c r="S446" s="61" t="e">
        <v>#N/A</v>
      </c>
      <c r="T446" s="1675" t="e">
        <v>#N/A</v>
      </c>
      <c r="U446" s="430" t="e">
        <v>#N/A</v>
      </c>
      <c r="V446" s="526" t="e">
        <f t="shared" si="39"/>
        <v>#N/A</v>
      </c>
    </row>
    <row r="447" spans="1:22">
      <c r="A447" s="85">
        <f t="shared" si="40"/>
        <v>2030.06</v>
      </c>
      <c r="B447" s="74" t="e">
        <v>#N/A</v>
      </c>
      <c r="C447" s="61" t="e">
        <v>#N/A</v>
      </c>
      <c r="D447" s="61" t="e">
        <v>#N/A</v>
      </c>
      <c r="E447" s="61" t="e">
        <v>#N/A</v>
      </c>
      <c r="F447" s="573" t="e">
        <v>#N/A</v>
      </c>
      <c r="G447" s="1365" t="e">
        <v>#N/A</v>
      </c>
      <c r="H447" s="508" t="e">
        <f t="shared" si="36"/>
        <v>#N/A</v>
      </c>
      <c r="I447" s="573" t="e">
        <v>#N/A</v>
      </c>
      <c r="J447" s="1531" t="e">
        <v>#N/A</v>
      </c>
      <c r="K447" s="637" t="e">
        <f t="shared" si="37"/>
        <v>#N/A</v>
      </c>
      <c r="L447" s="1675" t="e">
        <v>#N/A</v>
      </c>
      <c r="M447" s="430" t="e">
        <v>#N/A</v>
      </c>
      <c r="N447" s="61" t="e">
        <v>#N/A</v>
      </c>
      <c r="O447" s="525" t="e">
        <f t="shared" si="38"/>
        <v>#N/A</v>
      </c>
      <c r="P447" s="61" t="e">
        <v>#N/A</v>
      </c>
      <c r="Q447" s="61" t="e">
        <v>#N/A</v>
      </c>
      <c r="R447" s="61" t="e">
        <v>#N/A</v>
      </c>
      <c r="S447" s="61" t="e">
        <v>#N/A</v>
      </c>
      <c r="T447" s="1675" t="e">
        <v>#N/A</v>
      </c>
      <c r="U447" s="430" t="e">
        <v>#N/A</v>
      </c>
      <c r="V447" s="526" t="e">
        <f t="shared" si="39"/>
        <v>#N/A</v>
      </c>
    </row>
    <row r="448" spans="1:22">
      <c r="A448" s="85">
        <f t="shared" si="40"/>
        <v>2030.07</v>
      </c>
      <c r="B448" s="74" t="e">
        <v>#N/A</v>
      </c>
      <c r="C448" s="61" t="e">
        <v>#N/A</v>
      </c>
      <c r="D448" s="61" t="e">
        <v>#N/A</v>
      </c>
      <c r="E448" s="61" t="e">
        <v>#N/A</v>
      </c>
      <c r="F448" s="573" t="e">
        <v>#N/A</v>
      </c>
      <c r="G448" s="1365" t="e">
        <v>#N/A</v>
      </c>
      <c r="H448" s="508" t="e">
        <f t="shared" si="36"/>
        <v>#N/A</v>
      </c>
      <c r="I448" s="573" t="e">
        <v>#N/A</v>
      </c>
      <c r="J448" s="1531" t="e">
        <v>#N/A</v>
      </c>
      <c r="K448" s="637" t="e">
        <f t="shared" si="37"/>
        <v>#N/A</v>
      </c>
      <c r="L448" s="1675" t="e">
        <v>#N/A</v>
      </c>
      <c r="M448" s="430" t="e">
        <v>#N/A</v>
      </c>
      <c r="N448" s="61" t="e">
        <v>#N/A</v>
      </c>
      <c r="O448" s="525" t="e">
        <f t="shared" si="38"/>
        <v>#N/A</v>
      </c>
      <c r="P448" s="61" t="e">
        <v>#N/A</v>
      </c>
      <c r="Q448" s="61" t="e">
        <v>#N/A</v>
      </c>
      <c r="R448" s="61" t="e">
        <v>#N/A</v>
      </c>
      <c r="S448" s="61" t="e">
        <v>#N/A</v>
      </c>
      <c r="T448" s="1675" t="e">
        <v>#N/A</v>
      </c>
      <c r="U448" s="430" t="e">
        <v>#N/A</v>
      </c>
      <c r="V448" s="526" t="e">
        <f t="shared" si="39"/>
        <v>#N/A</v>
      </c>
    </row>
    <row r="449" spans="1:22">
      <c r="A449" s="85">
        <f t="shared" si="40"/>
        <v>2030.08</v>
      </c>
      <c r="B449" s="74" t="e">
        <v>#N/A</v>
      </c>
      <c r="C449" s="61" t="e">
        <v>#N/A</v>
      </c>
      <c r="D449" s="61" t="e">
        <v>#N/A</v>
      </c>
      <c r="E449" s="61" t="e">
        <v>#N/A</v>
      </c>
      <c r="F449" s="573" t="e">
        <v>#N/A</v>
      </c>
      <c r="G449" s="1365" t="e">
        <v>#N/A</v>
      </c>
      <c r="H449" s="508" t="e">
        <f t="shared" si="36"/>
        <v>#N/A</v>
      </c>
      <c r="I449" s="573" t="e">
        <v>#N/A</v>
      </c>
      <c r="J449" s="1531" t="e">
        <v>#N/A</v>
      </c>
      <c r="K449" s="637" t="e">
        <f t="shared" si="37"/>
        <v>#N/A</v>
      </c>
      <c r="L449" s="1675" t="e">
        <v>#N/A</v>
      </c>
      <c r="M449" s="430" t="e">
        <v>#N/A</v>
      </c>
      <c r="N449" s="61" t="e">
        <v>#N/A</v>
      </c>
      <c r="O449" s="525" t="e">
        <f t="shared" si="38"/>
        <v>#N/A</v>
      </c>
      <c r="P449" s="61" t="e">
        <v>#N/A</v>
      </c>
      <c r="Q449" s="61" t="e">
        <v>#N/A</v>
      </c>
      <c r="R449" s="61" t="e">
        <v>#N/A</v>
      </c>
      <c r="S449" s="61" t="e">
        <v>#N/A</v>
      </c>
      <c r="T449" s="1675" t="e">
        <v>#N/A</v>
      </c>
      <c r="U449" s="430" t="e">
        <v>#N/A</v>
      </c>
      <c r="V449" s="526" t="e">
        <f t="shared" si="39"/>
        <v>#N/A</v>
      </c>
    </row>
    <row r="450" spans="1:22">
      <c r="A450" s="85">
        <f t="shared" si="40"/>
        <v>2030.09</v>
      </c>
      <c r="B450" s="74" t="e">
        <v>#N/A</v>
      </c>
      <c r="C450" s="61" t="e">
        <v>#N/A</v>
      </c>
      <c r="D450" s="61" t="e">
        <v>#N/A</v>
      </c>
      <c r="E450" s="61" t="e">
        <v>#N/A</v>
      </c>
      <c r="F450" s="573" t="e">
        <v>#N/A</v>
      </c>
      <c r="G450" s="1365" t="e">
        <v>#N/A</v>
      </c>
      <c r="H450" s="508" t="e">
        <f t="shared" si="36"/>
        <v>#N/A</v>
      </c>
      <c r="I450" s="573" t="e">
        <v>#N/A</v>
      </c>
      <c r="J450" s="1531" t="e">
        <v>#N/A</v>
      </c>
      <c r="K450" s="637" t="e">
        <f t="shared" si="37"/>
        <v>#N/A</v>
      </c>
      <c r="L450" s="1675" t="e">
        <v>#N/A</v>
      </c>
      <c r="M450" s="430" t="e">
        <v>#N/A</v>
      </c>
      <c r="N450" s="61" t="e">
        <v>#N/A</v>
      </c>
      <c r="O450" s="525" t="e">
        <f t="shared" si="38"/>
        <v>#N/A</v>
      </c>
      <c r="P450" s="61" t="e">
        <v>#N/A</v>
      </c>
      <c r="Q450" s="61" t="e">
        <v>#N/A</v>
      </c>
      <c r="R450" s="61" t="e">
        <v>#N/A</v>
      </c>
      <c r="S450" s="61" t="e">
        <v>#N/A</v>
      </c>
      <c r="T450" s="1675" t="e">
        <v>#N/A</v>
      </c>
      <c r="U450" s="430" t="e">
        <v>#N/A</v>
      </c>
      <c r="V450" s="526" t="e">
        <f t="shared" si="39"/>
        <v>#N/A</v>
      </c>
    </row>
    <row r="451" spans="1:22">
      <c r="A451" s="85">
        <f t="shared" si="40"/>
        <v>2030.1</v>
      </c>
      <c r="B451" s="74" t="e">
        <v>#N/A</v>
      </c>
      <c r="C451" s="61" t="e">
        <v>#N/A</v>
      </c>
      <c r="D451" s="61" t="e">
        <v>#N/A</v>
      </c>
      <c r="E451" s="61" t="e">
        <v>#N/A</v>
      </c>
      <c r="F451" s="573" t="e">
        <v>#N/A</v>
      </c>
      <c r="G451" s="1365" t="e">
        <v>#N/A</v>
      </c>
      <c r="H451" s="508" t="e">
        <f t="shared" si="36"/>
        <v>#N/A</v>
      </c>
      <c r="I451" s="573" t="e">
        <v>#N/A</v>
      </c>
      <c r="J451" s="1531" t="e">
        <v>#N/A</v>
      </c>
      <c r="K451" s="637" t="e">
        <f t="shared" si="37"/>
        <v>#N/A</v>
      </c>
      <c r="L451" s="1675" t="e">
        <v>#N/A</v>
      </c>
      <c r="M451" s="430" t="e">
        <v>#N/A</v>
      </c>
      <c r="N451" s="61" t="e">
        <v>#N/A</v>
      </c>
      <c r="O451" s="525" t="e">
        <f t="shared" si="38"/>
        <v>#N/A</v>
      </c>
      <c r="P451" s="61" t="e">
        <v>#N/A</v>
      </c>
      <c r="Q451" s="61" t="e">
        <v>#N/A</v>
      </c>
      <c r="R451" s="61" t="e">
        <v>#N/A</v>
      </c>
      <c r="S451" s="61" t="e">
        <v>#N/A</v>
      </c>
      <c r="T451" s="1675" t="e">
        <v>#N/A</v>
      </c>
      <c r="U451" s="430" t="e">
        <v>#N/A</v>
      </c>
      <c r="V451" s="526" t="e">
        <f t="shared" si="39"/>
        <v>#N/A</v>
      </c>
    </row>
    <row r="452" spans="1:22">
      <c r="A452" s="85">
        <f t="shared" si="40"/>
        <v>2030.11</v>
      </c>
      <c r="B452" s="74" t="e">
        <v>#N/A</v>
      </c>
      <c r="C452" s="61" t="e">
        <v>#N/A</v>
      </c>
      <c r="D452" s="61" t="e">
        <v>#N/A</v>
      </c>
      <c r="E452" s="61" t="e">
        <v>#N/A</v>
      </c>
      <c r="F452" s="573" t="e">
        <v>#N/A</v>
      </c>
      <c r="G452" s="1365" t="e">
        <v>#N/A</v>
      </c>
      <c r="H452" s="508" t="e">
        <f t="shared" si="36"/>
        <v>#N/A</v>
      </c>
      <c r="I452" s="573" t="e">
        <v>#N/A</v>
      </c>
      <c r="J452" s="1531" t="e">
        <v>#N/A</v>
      </c>
      <c r="K452" s="637" t="e">
        <f t="shared" si="37"/>
        <v>#N/A</v>
      </c>
      <c r="L452" s="1675" t="e">
        <v>#N/A</v>
      </c>
      <c r="M452" s="430" t="e">
        <v>#N/A</v>
      </c>
      <c r="N452" s="61" t="e">
        <v>#N/A</v>
      </c>
      <c r="O452" s="525" t="e">
        <f t="shared" si="38"/>
        <v>#N/A</v>
      </c>
      <c r="P452" s="61" t="e">
        <v>#N/A</v>
      </c>
      <c r="Q452" s="61" t="e">
        <v>#N/A</v>
      </c>
      <c r="R452" s="61" t="e">
        <v>#N/A</v>
      </c>
      <c r="S452" s="61" t="e">
        <v>#N/A</v>
      </c>
      <c r="T452" s="1675" t="e">
        <v>#N/A</v>
      </c>
      <c r="U452" s="430" t="e">
        <v>#N/A</v>
      </c>
      <c r="V452" s="526" t="e">
        <f t="shared" si="39"/>
        <v>#N/A</v>
      </c>
    </row>
    <row r="453" spans="1:22">
      <c r="A453" s="85">
        <f t="shared" si="40"/>
        <v>2030.12</v>
      </c>
      <c r="B453" s="74" t="e">
        <v>#N/A</v>
      </c>
      <c r="C453" s="61" t="e">
        <v>#N/A</v>
      </c>
      <c r="D453" s="61" t="e">
        <v>#N/A</v>
      </c>
      <c r="E453" s="61" t="e">
        <v>#N/A</v>
      </c>
      <c r="F453" s="573" t="e">
        <v>#N/A</v>
      </c>
      <c r="G453" s="1365" t="e">
        <v>#N/A</v>
      </c>
      <c r="H453" s="508" t="e">
        <f t="shared" si="36"/>
        <v>#N/A</v>
      </c>
      <c r="I453" s="573" t="e">
        <v>#N/A</v>
      </c>
      <c r="J453" s="1531" t="e">
        <v>#N/A</v>
      </c>
      <c r="K453" s="637" t="e">
        <f t="shared" si="37"/>
        <v>#N/A</v>
      </c>
      <c r="L453" s="1675" t="e">
        <v>#N/A</v>
      </c>
      <c r="M453" s="430" t="e">
        <v>#N/A</v>
      </c>
      <c r="N453" s="61" t="e">
        <v>#N/A</v>
      </c>
      <c r="O453" s="525" t="e">
        <f t="shared" si="38"/>
        <v>#N/A</v>
      </c>
      <c r="P453" s="61" t="e">
        <v>#N/A</v>
      </c>
      <c r="Q453" s="61" t="e">
        <v>#N/A</v>
      </c>
      <c r="R453" s="61" t="e">
        <v>#N/A</v>
      </c>
      <c r="S453" s="61" t="e">
        <v>#N/A</v>
      </c>
      <c r="T453" s="1675" t="e">
        <v>#N/A</v>
      </c>
      <c r="U453" s="430" t="e">
        <v>#N/A</v>
      </c>
      <c r="V453" s="526" t="e">
        <f t="shared" si="39"/>
        <v>#N/A</v>
      </c>
    </row>
  </sheetData>
  <phoneticPr fontId="0" type="noConversion"/>
  <hyperlinks>
    <hyperlink ref="A5" location="INDICE!A13" display="VOLVER AL INDICE" xr:uid="{00000000-0004-0000-2800-000000000000}"/>
  </hyperlinks>
  <pageMargins left="0.75" right="0.75" top="1" bottom="1" header="0" footer="0"/>
  <pageSetup paperSize="9" orientation="portrait" horizontalDpi="300" verticalDpi="300"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8"/>
  <dimension ref="A1:U465"/>
  <sheetViews>
    <sheetView zoomScale="130" zoomScaleNormal="130" workbookViewId="0">
      <pane xSplit="1" ySplit="9" topLeftCell="B367"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 style="133" customWidth="1"/>
    <col min="2" max="17" width="11.5703125" style="133" customWidth="1"/>
    <col min="18" max="16384" width="11.42578125" style="2"/>
  </cols>
  <sheetData>
    <row r="1" spans="1:17">
      <c r="A1" s="37"/>
      <c r="B1" s="143"/>
      <c r="C1" s="141"/>
      <c r="D1" s="135" t="s">
        <v>74</v>
      </c>
      <c r="E1" s="135"/>
      <c r="F1" s="135"/>
      <c r="G1" s="135"/>
      <c r="H1" s="906"/>
      <c r="I1" s="907"/>
      <c r="J1" s="907"/>
      <c r="K1" s="907"/>
      <c r="L1" s="908"/>
      <c r="M1" s="909"/>
      <c r="N1" s="907"/>
      <c r="O1" s="908"/>
      <c r="P1" s="908"/>
      <c r="Q1" s="910"/>
    </row>
    <row r="2" spans="1:17" ht="33.75">
      <c r="A2" s="121" t="s">
        <v>212</v>
      </c>
      <c r="B2" s="144" t="s">
        <v>231</v>
      </c>
      <c r="C2" s="138"/>
      <c r="D2" s="137" t="s">
        <v>118</v>
      </c>
      <c r="E2" s="137"/>
      <c r="F2" s="138"/>
      <c r="G2" s="138"/>
      <c r="H2" s="137" t="s">
        <v>755</v>
      </c>
      <c r="I2" s="136"/>
      <c r="J2" s="136"/>
      <c r="K2" s="136"/>
      <c r="L2" s="136"/>
      <c r="M2" s="137" t="s">
        <v>768</v>
      </c>
      <c r="N2" s="136"/>
      <c r="O2" s="481"/>
      <c r="P2" s="481"/>
      <c r="Q2" s="146"/>
    </row>
    <row r="3" spans="1:17">
      <c r="A3" s="42" t="s">
        <v>211</v>
      </c>
      <c r="B3" s="468" t="s">
        <v>419</v>
      </c>
      <c r="C3" s="142"/>
      <c r="D3" s="137"/>
      <c r="E3" s="137"/>
      <c r="F3" s="138"/>
      <c r="G3" s="138"/>
      <c r="H3" s="139"/>
      <c r="I3" s="136"/>
      <c r="J3" s="136"/>
      <c r="K3" s="136"/>
      <c r="L3" s="136"/>
      <c r="M3" s="139"/>
      <c r="N3" s="136"/>
      <c r="O3" s="481"/>
      <c r="P3" s="481"/>
      <c r="Q3" s="146"/>
    </row>
    <row r="4" spans="1:17" ht="3" customHeight="1">
      <c r="A4" s="119"/>
      <c r="B4" s="143"/>
      <c r="C4" s="141"/>
      <c r="D4" s="140"/>
      <c r="E4" s="149"/>
      <c r="F4" s="149"/>
      <c r="G4" s="149"/>
      <c r="H4" s="140"/>
      <c r="I4" s="149"/>
      <c r="J4" s="149"/>
      <c r="K4" s="149"/>
      <c r="L4" s="141"/>
      <c r="M4" s="140"/>
      <c r="N4" s="149"/>
      <c r="O4" s="149"/>
      <c r="P4" s="149"/>
      <c r="Q4" s="150"/>
    </row>
    <row r="5" spans="1:17" ht="22.5">
      <c r="A5" s="45" t="s">
        <v>213</v>
      </c>
      <c r="B5" s="3162" t="s">
        <v>760</v>
      </c>
      <c r="C5" s="3163" t="s">
        <v>79</v>
      </c>
      <c r="D5" s="3164" t="s">
        <v>759</v>
      </c>
      <c r="E5" s="3165" t="s">
        <v>758</v>
      </c>
      <c r="F5" s="3166" t="s">
        <v>761</v>
      </c>
      <c r="G5" s="3167" t="s">
        <v>762</v>
      </c>
      <c r="H5" s="3168" t="s">
        <v>759</v>
      </c>
      <c r="I5" s="3169"/>
      <c r="J5" s="3170" t="s">
        <v>758</v>
      </c>
      <c r="K5" s="3171"/>
      <c r="L5" s="3172" t="s">
        <v>760</v>
      </c>
      <c r="M5" s="3168" t="s">
        <v>761</v>
      </c>
      <c r="N5" s="3169"/>
      <c r="O5" s="3170" t="s">
        <v>762</v>
      </c>
      <c r="P5" s="3171"/>
      <c r="Q5" s="3173" t="s">
        <v>763</v>
      </c>
    </row>
    <row r="6" spans="1:17" ht="3" customHeight="1">
      <c r="A6" s="36"/>
      <c r="B6" s="143"/>
      <c r="C6" s="1627"/>
      <c r="D6" s="140"/>
      <c r="E6" s="1824"/>
      <c r="F6" s="149"/>
      <c r="G6" s="1830"/>
      <c r="H6" s="140"/>
      <c r="I6" s="149"/>
      <c r="J6" s="149"/>
      <c r="K6" s="149"/>
      <c r="L6" s="141"/>
      <c r="M6" s="140"/>
      <c r="N6" s="149"/>
      <c r="O6" s="149"/>
      <c r="P6" s="149"/>
      <c r="Q6" s="150"/>
    </row>
    <row r="7" spans="1:17" ht="22.5">
      <c r="A7" s="47" t="s">
        <v>210</v>
      </c>
      <c r="B7" s="1817" t="s">
        <v>80</v>
      </c>
      <c r="C7" s="1819" t="s">
        <v>80</v>
      </c>
      <c r="D7" s="114" t="s">
        <v>80</v>
      </c>
      <c r="E7" s="1289" t="s">
        <v>80</v>
      </c>
      <c r="F7" s="113" t="s">
        <v>80</v>
      </c>
      <c r="G7" s="1831" t="s">
        <v>80</v>
      </c>
      <c r="H7" s="114" t="s">
        <v>80</v>
      </c>
      <c r="I7" s="1289" t="s">
        <v>80</v>
      </c>
      <c r="J7" s="113" t="s">
        <v>80</v>
      </c>
      <c r="K7" s="1932" t="s">
        <v>80</v>
      </c>
      <c r="L7" s="2334" t="s">
        <v>80</v>
      </c>
      <c r="M7" s="114" t="s">
        <v>80</v>
      </c>
      <c r="N7" s="1289" t="s">
        <v>80</v>
      </c>
      <c r="O7" s="113" t="s">
        <v>80</v>
      </c>
      <c r="P7" s="1932" t="s">
        <v>80</v>
      </c>
      <c r="Q7" s="2335" t="s">
        <v>80</v>
      </c>
    </row>
    <row r="8" spans="1:17" ht="12.75" customHeight="1">
      <c r="A8" s="390" t="s">
        <v>412</v>
      </c>
      <c r="B8" s="397" t="s">
        <v>654</v>
      </c>
      <c r="C8" s="1156" t="s">
        <v>655</v>
      </c>
      <c r="D8" s="398" t="s">
        <v>656</v>
      </c>
      <c r="E8" s="1290" t="s">
        <v>657</v>
      </c>
      <c r="F8" s="397" t="s">
        <v>658</v>
      </c>
      <c r="G8" s="1156" t="s">
        <v>659</v>
      </c>
      <c r="H8" s="1588" t="s">
        <v>660</v>
      </c>
      <c r="I8" s="1290" t="s">
        <v>661</v>
      </c>
      <c r="J8" s="1842" t="s">
        <v>662</v>
      </c>
      <c r="K8" s="397" t="s">
        <v>663</v>
      </c>
      <c r="L8" s="1156" t="s">
        <v>756</v>
      </c>
      <c r="M8" s="1588" t="s">
        <v>757</v>
      </c>
      <c r="N8" s="397" t="s">
        <v>764</v>
      </c>
      <c r="O8" s="1290" t="s">
        <v>765</v>
      </c>
      <c r="P8" s="397" t="s">
        <v>766</v>
      </c>
      <c r="Q8" s="1319" t="s">
        <v>767</v>
      </c>
    </row>
    <row r="9" spans="1:17" ht="25.5" thickBot="1">
      <c r="A9" s="52" t="s">
        <v>217</v>
      </c>
      <c r="B9" s="147"/>
      <c r="C9" s="1820"/>
      <c r="D9" s="148"/>
      <c r="E9" s="1825"/>
      <c r="F9" s="477"/>
      <c r="G9" s="1820"/>
      <c r="H9" s="1836" t="s">
        <v>81</v>
      </c>
      <c r="I9" s="1847" t="s">
        <v>799</v>
      </c>
      <c r="J9" s="1843" t="s">
        <v>81</v>
      </c>
      <c r="K9" s="1848" t="s">
        <v>799</v>
      </c>
      <c r="L9" s="1981" t="s">
        <v>1338</v>
      </c>
      <c r="M9" s="1836" t="s">
        <v>81</v>
      </c>
      <c r="N9" s="1848" t="s">
        <v>799</v>
      </c>
      <c r="O9" s="1849" t="s">
        <v>81</v>
      </c>
      <c r="P9" s="1848" t="s">
        <v>799</v>
      </c>
      <c r="Q9" s="1984" t="s">
        <v>1338</v>
      </c>
    </row>
    <row r="10" spans="1:17">
      <c r="A10" s="145">
        <v>1993.01</v>
      </c>
      <c r="B10" s="898">
        <f>L10</f>
        <v>53305</v>
      </c>
      <c r="C10" s="1821">
        <f>Q10</f>
        <v>269160</v>
      </c>
      <c r="D10" s="483">
        <v>64826</v>
      </c>
      <c r="E10" s="1826"/>
      <c r="F10" s="478">
        <v>886147</v>
      </c>
      <c r="G10" s="1832"/>
      <c r="H10" s="1837">
        <v>31209</v>
      </c>
      <c r="I10" s="1716">
        <v>22096</v>
      </c>
      <c r="J10" s="1839"/>
      <c r="K10" s="476"/>
      <c r="L10" s="1821">
        <f t="shared" ref="L10:L73" si="0">SUM(H10:K10)</f>
        <v>53305</v>
      </c>
      <c r="M10" s="1840">
        <v>58629</v>
      </c>
      <c r="N10" s="478">
        <v>210531</v>
      </c>
      <c r="O10" s="1826"/>
      <c r="P10" s="476"/>
      <c r="Q10" s="1985">
        <f>SUM(M10:P10)</f>
        <v>269160</v>
      </c>
    </row>
    <row r="11" spans="1:17">
      <c r="A11" s="134">
        <f t="shared" ref="A11:A21" si="1">A10+0.01</f>
        <v>1993.02</v>
      </c>
      <c r="B11" s="1818">
        <f>L11</f>
        <v>35151</v>
      </c>
      <c r="C11" s="1822">
        <f>Q11</f>
        <v>296619</v>
      </c>
      <c r="D11" s="1007">
        <v>54066</v>
      </c>
      <c r="E11" s="1827"/>
      <c r="F11" s="479">
        <v>801410</v>
      </c>
      <c r="G11" s="1833"/>
      <c r="H11" s="1838">
        <v>18900</v>
      </c>
      <c r="I11" s="1704">
        <v>16251</v>
      </c>
      <c r="J11" s="1844"/>
      <c r="K11" s="1979"/>
      <c r="L11" s="1982">
        <f t="shared" si="0"/>
        <v>35151</v>
      </c>
      <c r="M11" s="1838">
        <v>189012</v>
      </c>
      <c r="N11" s="479">
        <v>107607</v>
      </c>
      <c r="O11" s="1827"/>
      <c r="P11" s="1979"/>
      <c r="Q11" s="1986">
        <f t="shared" ref="Q11:Q73" si="2">SUM(M11:P11)</f>
        <v>296619</v>
      </c>
    </row>
    <row r="12" spans="1:17">
      <c r="A12" s="134">
        <f t="shared" si="1"/>
        <v>1993.03</v>
      </c>
      <c r="B12" s="1818">
        <f t="shared" ref="B12:B75" si="3">L12</f>
        <v>425750</v>
      </c>
      <c r="C12" s="1822">
        <f t="shared" ref="C12:C75" si="4">Q12</f>
        <v>352578</v>
      </c>
      <c r="D12" s="1007">
        <v>576323</v>
      </c>
      <c r="E12" s="1827"/>
      <c r="F12" s="479">
        <v>1151401</v>
      </c>
      <c r="G12" s="1833"/>
      <c r="H12" s="1838">
        <v>128913</v>
      </c>
      <c r="I12" s="1704">
        <v>296837</v>
      </c>
      <c r="J12" s="1844"/>
      <c r="K12" s="1979"/>
      <c r="L12" s="1982">
        <f t="shared" si="0"/>
        <v>425750</v>
      </c>
      <c r="M12" s="1838">
        <v>133124</v>
      </c>
      <c r="N12" s="479">
        <v>219454</v>
      </c>
      <c r="O12" s="1827"/>
      <c r="P12" s="1979"/>
      <c r="Q12" s="1986">
        <f t="shared" si="2"/>
        <v>352578</v>
      </c>
    </row>
    <row r="13" spans="1:17">
      <c r="A13" s="134">
        <f t="shared" si="1"/>
        <v>1993.04</v>
      </c>
      <c r="B13" s="1818">
        <f t="shared" si="3"/>
        <v>596554</v>
      </c>
      <c r="C13" s="1822">
        <f t="shared" si="4"/>
        <v>307648</v>
      </c>
      <c r="D13" s="1007">
        <v>938859</v>
      </c>
      <c r="E13" s="1827"/>
      <c r="F13" s="479">
        <v>779710</v>
      </c>
      <c r="G13" s="1833"/>
      <c r="H13" s="1838">
        <v>220920</v>
      </c>
      <c r="I13" s="1704">
        <v>375634</v>
      </c>
      <c r="J13" s="1844"/>
      <c r="K13" s="1979"/>
      <c r="L13" s="1982">
        <f t="shared" si="0"/>
        <v>596554</v>
      </c>
      <c r="M13" s="1838">
        <v>131130</v>
      </c>
      <c r="N13" s="479">
        <v>176518</v>
      </c>
      <c r="O13" s="1827"/>
      <c r="P13" s="1979"/>
      <c r="Q13" s="1986">
        <f t="shared" si="2"/>
        <v>307648</v>
      </c>
    </row>
    <row r="14" spans="1:17">
      <c r="A14" s="134">
        <f t="shared" si="1"/>
        <v>1993.05</v>
      </c>
      <c r="B14" s="1818">
        <f t="shared" si="3"/>
        <v>600749</v>
      </c>
      <c r="C14" s="1822">
        <f>Q14</f>
        <v>144759</v>
      </c>
      <c r="D14" s="1007">
        <v>1090846</v>
      </c>
      <c r="E14" s="1827"/>
      <c r="F14" s="479">
        <v>502654</v>
      </c>
      <c r="G14" s="1833"/>
      <c r="H14" s="1838">
        <v>258934</v>
      </c>
      <c r="I14" s="1704">
        <v>341815</v>
      </c>
      <c r="J14" s="1844"/>
      <c r="K14" s="1979"/>
      <c r="L14" s="1982">
        <f t="shared" si="0"/>
        <v>600749</v>
      </c>
      <c r="M14" s="1838">
        <v>61454</v>
      </c>
      <c r="N14" s="479">
        <v>83305</v>
      </c>
      <c r="O14" s="1827"/>
      <c r="P14" s="1979"/>
      <c r="Q14" s="1986">
        <f>SUM(M14:P14)</f>
        <v>144759</v>
      </c>
    </row>
    <row r="15" spans="1:17">
      <c r="A15" s="134">
        <f t="shared" si="1"/>
        <v>1993.06</v>
      </c>
      <c r="B15" s="1818">
        <f t="shared" si="3"/>
        <v>222833</v>
      </c>
      <c r="C15" s="1822">
        <f t="shared" si="4"/>
        <v>88400</v>
      </c>
      <c r="D15" s="1007">
        <v>490187</v>
      </c>
      <c r="E15" s="1827"/>
      <c r="F15" s="479">
        <v>377580</v>
      </c>
      <c r="G15" s="1833"/>
      <c r="H15" s="1838">
        <v>100583</v>
      </c>
      <c r="I15" s="1704">
        <v>122250</v>
      </c>
      <c r="J15" s="1844"/>
      <c r="K15" s="1979"/>
      <c r="L15" s="1982">
        <f t="shared" si="0"/>
        <v>222833</v>
      </c>
      <c r="M15" s="1838">
        <v>53445</v>
      </c>
      <c r="N15" s="479">
        <v>34955</v>
      </c>
      <c r="O15" s="1827"/>
      <c r="P15" s="1979"/>
      <c r="Q15" s="1986">
        <f t="shared" si="2"/>
        <v>88400</v>
      </c>
    </row>
    <row r="16" spans="1:17">
      <c r="A16" s="134">
        <f t="shared" si="1"/>
        <v>1993.07</v>
      </c>
      <c r="B16" s="1818">
        <f t="shared" si="3"/>
        <v>154269</v>
      </c>
      <c r="C16" s="1822">
        <f t="shared" si="4"/>
        <v>110322</v>
      </c>
      <c r="D16" s="1007">
        <v>413979</v>
      </c>
      <c r="E16" s="1827"/>
      <c r="F16" s="479">
        <v>374986</v>
      </c>
      <c r="G16" s="1833"/>
      <c r="H16" s="1838">
        <v>102245</v>
      </c>
      <c r="I16" s="1704">
        <v>52024</v>
      </c>
      <c r="J16" s="1844"/>
      <c r="K16" s="1979"/>
      <c r="L16" s="1982">
        <f t="shared" si="0"/>
        <v>154269</v>
      </c>
      <c r="M16" s="1838">
        <v>67853</v>
      </c>
      <c r="N16" s="479">
        <v>42469</v>
      </c>
      <c r="O16" s="1827"/>
      <c r="P16" s="1979"/>
      <c r="Q16" s="1986">
        <f t="shared" si="2"/>
        <v>110322</v>
      </c>
    </row>
    <row r="17" spans="1:17">
      <c r="A17" s="134">
        <f t="shared" si="1"/>
        <v>1993.08</v>
      </c>
      <c r="B17" s="1818">
        <f t="shared" si="3"/>
        <v>112966</v>
      </c>
      <c r="C17" s="1822">
        <f t="shared" si="4"/>
        <v>33543</v>
      </c>
      <c r="D17" s="1007">
        <v>237469</v>
      </c>
      <c r="E17" s="1827"/>
      <c r="F17" s="479">
        <v>162217</v>
      </c>
      <c r="G17" s="1833"/>
      <c r="H17" s="1838">
        <v>76863</v>
      </c>
      <c r="I17" s="1704">
        <v>36103</v>
      </c>
      <c r="J17" s="1844"/>
      <c r="K17" s="1979"/>
      <c r="L17" s="1982">
        <f t="shared" si="0"/>
        <v>112966</v>
      </c>
      <c r="M17" s="1838">
        <v>33543</v>
      </c>
      <c r="N17" s="479">
        <v>0</v>
      </c>
      <c r="O17" s="1827"/>
      <c r="P17" s="1979"/>
      <c r="Q17" s="1986">
        <f t="shared" si="2"/>
        <v>33543</v>
      </c>
    </row>
    <row r="18" spans="1:17">
      <c r="A18" s="134">
        <f t="shared" si="1"/>
        <v>1993.09</v>
      </c>
      <c r="B18" s="1818">
        <f t="shared" si="3"/>
        <v>138400</v>
      </c>
      <c r="C18" s="1822">
        <f t="shared" si="4"/>
        <v>6300</v>
      </c>
      <c r="D18" s="1007">
        <v>249789</v>
      </c>
      <c r="E18" s="1827"/>
      <c r="F18" s="479">
        <v>143790</v>
      </c>
      <c r="G18" s="1833"/>
      <c r="H18" s="1838">
        <v>69426</v>
      </c>
      <c r="I18" s="1704">
        <v>68974</v>
      </c>
      <c r="J18" s="1844"/>
      <c r="K18" s="1979"/>
      <c r="L18" s="1982">
        <f t="shared" si="0"/>
        <v>138400</v>
      </c>
      <c r="M18" s="1838">
        <v>6300</v>
      </c>
      <c r="N18" s="479">
        <v>0</v>
      </c>
      <c r="O18" s="1827"/>
      <c r="P18" s="1979"/>
      <c r="Q18" s="1986">
        <f t="shared" si="2"/>
        <v>6300</v>
      </c>
    </row>
    <row r="19" spans="1:17">
      <c r="A19" s="134">
        <f t="shared" si="1"/>
        <v>1993.1</v>
      </c>
      <c r="B19" s="1818">
        <f t="shared" si="3"/>
        <v>97409</v>
      </c>
      <c r="C19" s="1822">
        <f t="shared" si="4"/>
        <v>8466</v>
      </c>
      <c r="D19" s="1007">
        <v>158014</v>
      </c>
      <c r="E19" s="1827"/>
      <c r="F19" s="479">
        <v>55577</v>
      </c>
      <c r="G19" s="1833"/>
      <c r="H19" s="1838">
        <v>58300</v>
      </c>
      <c r="I19" s="1704">
        <v>39109</v>
      </c>
      <c r="J19" s="1844"/>
      <c r="K19" s="1979"/>
      <c r="L19" s="1982">
        <f t="shared" si="0"/>
        <v>97409</v>
      </c>
      <c r="M19" s="1838">
        <v>8466</v>
      </c>
      <c r="N19" s="479">
        <v>0</v>
      </c>
      <c r="O19" s="1827"/>
      <c r="P19" s="1979"/>
      <c r="Q19" s="1986">
        <f t="shared" si="2"/>
        <v>8466</v>
      </c>
    </row>
    <row r="20" spans="1:17">
      <c r="A20" s="134">
        <f t="shared" si="1"/>
        <v>1993.11</v>
      </c>
      <c r="B20" s="1818">
        <f t="shared" si="3"/>
        <v>86707</v>
      </c>
      <c r="C20" s="1822">
        <f t="shared" si="4"/>
        <v>21225</v>
      </c>
      <c r="D20" s="1007">
        <v>183360</v>
      </c>
      <c r="E20" s="1827"/>
      <c r="F20" s="479">
        <v>42330</v>
      </c>
      <c r="G20" s="1833"/>
      <c r="H20" s="1838">
        <v>69051</v>
      </c>
      <c r="I20" s="1704">
        <v>17656</v>
      </c>
      <c r="J20" s="1844"/>
      <c r="K20" s="1979"/>
      <c r="L20" s="1982">
        <f t="shared" si="0"/>
        <v>86707</v>
      </c>
      <c r="M20" s="1838">
        <v>18205</v>
      </c>
      <c r="N20" s="479">
        <v>3020</v>
      </c>
      <c r="O20" s="1827"/>
      <c r="P20" s="1979"/>
      <c r="Q20" s="1986">
        <f t="shared" si="2"/>
        <v>21225</v>
      </c>
    </row>
    <row r="21" spans="1:17">
      <c r="A21" s="134">
        <f t="shared" si="1"/>
        <v>1993.12</v>
      </c>
      <c r="B21" s="1818">
        <f t="shared" si="3"/>
        <v>136041</v>
      </c>
      <c r="C21" s="1822">
        <f t="shared" si="4"/>
        <v>243386</v>
      </c>
      <c r="D21" s="1007">
        <v>251612</v>
      </c>
      <c r="E21" s="1827"/>
      <c r="F21" s="479">
        <v>319923</v>
      </c>
      <c r="G21" s="1833"/>
      <c r="H21" s="1838">
        <v>82741</v>
      </c>
      <c r="I21" s="1704">
        <v>53300</v>
      </c>
      <c r="J21" s="1844"/>
      <c r="K21" s="1979"/>
      <c r="L21" s="1982">
        <f t="shared" si="0"/>
        <v>136041</v>
      </c>
      <c r="M21" s="1838">
        <v>81904</v>
      </c>
      <c r="N21" s="479">
        <v>161482</v>
      </c>
      <c r="O21" s="1827"/>
      <c r="P21" s="1979"/>
      <c r="Q21" s="1986">
        <f t="shared" si="2"/>
        <v>243386</v>
      </c>
    </row>
    <row r="22" spans="1:17">
      <c r="A22" s="134">
        <f t="shared" ref="A22:A85" si="5">A10+1</f>
        <v>1994.01</v>
      </c>
      <c r="B22" s="1818">
        <f t="shared" si="3"/>
        <v>86942</v>
      </c>
      <c r="C22" s="1822">
        <f t="shared" si="4"/>
        <v>211303</v>
      </c>
      <c r="D22" s="1007">
        <v>123915</v>
      </c>
      <c r="E22" s="1827"/>
      <c r="F22" s="479">
        <v>575218</v>
      </c>
      <c r="G22" s="1833"/>
      <c r="H22" s="1838">
        <v>56321</v>
      </c>
      <c r="I22" s="1704">
        <v>30621</v>
      </c>
      <c r="J22" s="1844"/>
      <c r="K22" s="1979"/>
      <c r="L22" s="1982">
        <f t="shared" si="0"/>
        <v>86942</v>
      </c>
      <c r="M22" s="1838">
        <v>121607</v>
      </c>
      <c r="N22" s="479">
        <v>89696</v>
      </c>
      <c r="O22" s="1827"/>
      <c r="P22" s="1979"/>
      <c r="Q22" s="1986">
        <f t="shared" si="2"/>
        <v>211303</v>
      </c>
    </row>
    <row r="23" spans="1:17">
      <c r="A23" s="134">
        <f t="shared" si="5"/>
        <v>1994.02</v>
      </c>
      <c r="B23" s="1818">
        <f t="shared" si="3"/>
        <v>50997</v>
      </c>
      <c r="C23" s="1822">
        <f t="shared" si="4"/>
        <v>195649</v>
      </c>
      <c r="D23" s="1007">
        <v>116407</v>
      </c>
      <c r="E23" s="1827"/>
      <c r="F23" s="479">
        <v>580909</v>
      </c>
      <c r="G23" s="1833"/>
      <c r="H23" s="1838">
        <v>34497</v>
      </c>
      <c r="I23" s="1704">
        <v>16500</v>
      </c>
      <c r="J23" s="1844"/>
      <c r="K23" s="1979"/>
      <c r="L23" s="1982">
        <f t="shared" si="0"/>
        <v>50997</v>
      </c>
      <c r="M23" s="1838">
        <v>44886</v>
      </c>
      <c r="N23" s="479">
        <v>150763</v>
      </c>
      <c r="O23" s="1827"/>
      <c r="P23" s="1979"/>
      <c r="Q23" s="1986">
        <f t="shared" si="2"/>
        <v>195649</v>
      </c>
    </row>
    <row r="24" spans="1:17">
      <c r="A24" s="134">
        <f t="shared" si="5"/>
        <v>1994.03</v>
      </c>
      <c r="B24" s="1818">
        <f t="shared" si="3"/>
        <v>162635</v>
      </c>
      <c r="C24" s="1822">
        <f t="shared" si="4"/>
        <v>83826</v>
      </c>
      <c r="D24" s="1007">
        <v>329036</v>
      </c>
      <c r="E24" s="1827"/>
      <c r="F24" s="479">
        <v>571228</v>
      </c>
      <c r="G24" s="1833"/>
      <c r="H24" s="1838">
        <v>108464</v>
      </c>
      <c r="I24" s="1704">
        <v>54171</v>
      </c>
      <c r="J24" s="1844"/>
      <c r="K24" s="1979"/>
      <c r="L24" s="1982">
        <f t="shared" si="0"/>
        <v>162635</v>
      </c>
      <c r="M24" s="1838">
        <v>43070</v>
      </c>
      <c r="N24" s="479">
        <v>40756</v>
      </c>
      <c r="O24" s="1827"/>
      <c r="P24" s="1979"/>
      <c r="Q24" s="1986">
        <f t="shared" si="2"/>
        <v>83826</v>
      </c>
    </row>
    <row r="25" spans="1:17">
      <c r="A25" s="134">
        <f t="shared" si="5"/>
        <v>1994.04</v>
      </c>
      <c r="B25" s="1818">
        <f t="shared" si="3"/>
        <v>482811</v>
      </c>
      <c r="C25" s="1822">
        <f t="shared" si="4"/>
        <v>95101</v>
      </c>
      <c r="D25" s="1007">
        <v>763905</v>
      </c>
      <c r="E25" s="1827"/>
      <c r="F25" s="479">
        <v>593675</v>
      </c>
      <c r="G25" s="1833"/>
      <c r="H25" s="1838">
        <v>257150</v>
      </c>
      <c r="I25" s="1704">
        <v>225661</v>
      </c>
      <c r="J25" s="1844"/>
      <c r="K25" s="1979"/>
      <c r="L25" s="1982">
        <f t="shared" si="0"/>
        <v>482811</v>
      </c>
      <c r="M25" s="1838">
        <v>40774</v>
      </c>
      <c r="N25" s="479">
        <v>54327</v>
      </c>
      <c r="O25" s="1827"/>
      <c r="P25" s="1979"/>
      <c r="Q25" s="1986">
        <f t="shared" si="2"/>
        <v>95101</v>
      </c>
    </row>
    <row r="26" spans="1:17">
      <c r="A26" s="134">
        <f t="shared" si="5"/>
        <v>1994.05</v>
      </c>
      <c r="B26" s="1818">
        <f t="shared" si="3"/>
        <v>474195</v>
      </c>
      <c r="C26" s="1822">
        <f t="shared" si="4"/>
        <v>104574</v>
      </c>
      <c r="D26" s="1007">
        <v>923454</v>
      </c>
      <c r="E26" s="1827"/>
      <c r="F26" s="479">
        <v>435998</v>
      </c>
      <c r="G26" s="1833"/>
      <c r="H26" s="1838">
        <v>231312</v>
      </c>
      <c r="I26" s="1704">
        <v>242883</v>
      </c>
      <c r="J26" s="1844"/>
      <c r="K26" s="1979"/>
      <c r="L26" s="1982">
        <f t="shared" si="0"/>
        <v>474195</v>
      </c>
      <c r="M26" s="1838">
        <v>46989</v>
      </c>
      <c r="N26" s="479">
        <v>57585</v>
      </c>
      <c r="O26" s="1827"/>
      <c r="P26" s="1979"/>
      <c r="Q26" s="1986">
        <f t="shared" si="2"/>
        <v>104574</v>
      </c>
    </row>
    <row r="27" spans="1:17">
      <c r="A27" s="134">
        <f t="shared" si="5"/>
        <v>1994.06</v>
      </c>
      <c r="B27" s="1818">
        <f t="shared" si="3"/>
        <v>232296</v>
      </c>
      <c r="C27" s="1822">
        <f t="shared" si="4"/>
        <v>84063</v>
      </c>
      <c r="D27" s="1007">
        <v>451580</v>
      </c>
      <c r="E27" s="1827"/>
      <c r="F27" s="479">
        <v>380192</v>
      </c>
      <c r="G27" s="1833"/>
      <c r="H27" s="1838">
        <v>93921</v>
      </c>
      <c r="I27" s="1704">
        <v>138375</v>
      </c>
      <c r="J27" s="1844"/>
      <c r="K27" s="1979"/>
      <c r="L27" s="1982">
        <f t="shared" si="0"/>
        <v>232296</v>
      </c>
      <c r="M27" s="1838">
        <v>44160</v>
      </c>
      <c r="N27" s="479">
        <v>39903</v>
      </c>
      <c r="O27" s="1827"/>
      <c r="P27" s="1979"/>
      <c r="Q27" s="1986">
        <f t="shared" si="2"/>
        <v>84063</v>
      </c>
    </row>
    <row r="28" spans="1:17">
      <c r="A28" s="134">
        <f t="shared" si="5"/>
        <v>1994.07</v>
      </c>
      <c r="B28" s="1818">
        <f t="shared" si="3"/>
        <v>130262</v>
      </c>
      <c r="C28" s="1822">
        <f t="shared" si="4"/>
        <v>79291</v>
      </c>
      <c r="D28" s="1007">
        <v>403982</v>
      </c>
      <c r="E28" s="1827"/>
      <c r="F28" s="479">
        <v>303567</v>
      </c>
      <c r="G28" s="1833"/>
      <c r="H28" s="1838">
        <v>49510</v>
      </c>
      <c r="I28" s="1704">
        <v>80752</v>
      </c>
      <c r="J28" s="1844"/>
      <c r="K28" s="1979"/>
      <c r="L28" s="1982">
        <f t="shared" si="0"/>
        <v>130262</v>
      </c>
      <c r="M28" s="1838">
        <v>25907</v>
      </c>
      <c r="N28" s="479">
        <v>53384</v>
      </c>
      <c r="O28" s="1827"/>
      <c r="P28" s="1979"/>
      <c r="Q28" s="1986">
        <f t="shared" si="2"/>
        <v>79291</v>
      </c>
    </row>
    <row r="29" spans="1:17">
      <c r="A29" s="134">
        <f t="shared" si="5"/>
        <v>1994.08</v>
      </c>
      <c r="B29" s="1818">
        <f t="shared" si="3"/>
        <v>53755</v>
      </c>
      <c r="C29" s="1822">
        <f t="shared" si="4"/>
        <v>20685</v>
      </c>
      <c r="D29" s="1007">
        <v>226353</v>
      </c>
      <c r="E29" s="1827"/>
      <c r="F29" s="479">
        <v>257272</v>
      </c>
      <c r="G29" s="1833"/>
      <c r="H29" s="1838">
        <v>28805</v>
      </c>
      <c r="I29" s="1704">
        <v>24950</v>
      </c>
      <c r="J29" s="1844"/>
      <c r="K29" s="1979"/>
      <c r="L29" s="1982">
        <f t="shared" si="0"/>
        <v>53755</v>
      </c>
      <c r="M29" s="1838">
        <v>12278</v>
      </c>
      <c r="N29" s="479">
        <v>8407</v>
      </c>
      <c r="O29" s="1827"/>
      <c r="P29" s="1979"/>
      <c r="Q29" s="1986">
        <f t="shared" si="2"/>
        <v>20685</v>
      </c>
    </row>
    <row r="30" spans="1:17">
      <c r="A30" s="134">
        <f t="shared" si="5"/>
        <v>1994.09</v>
      </c>
      <c r="B30" s="1818">
        <f t="shared" si="3"/>
        <v>140745</v>
      </c>
      <c r="C30" s="1822">
        <f t="shared" si="4"/>
        <v>20370</v>
      </c>
      <c r="D30" s="1007">
        <v>249202</v>
      </c>
      <c r="E30" s="1827"/>
      <c r="F30" s="479">
        <v>331736</v>
      </c>
      <c r="G30" s="1833"/>
      <c r="H30" s="1838">
        <v>86923</v>
      </c>
      <c r="I30" s="1704">
        <v>53822</v>
      </c>
      <c r="J30" s="1844"/>
      <c r="K30" s="1979"/>
      <c r="L30" s="1982">
        <f t="shared" si="0"/>
        <v>140745</v>
      </c>
      <c r="M30" s="1838">
        <v>6335</v>
      </c>
      <c r="N30" s="479">
        <v>14035</v>
      </c>
      <c r="O30" s="1827"/>
      <c r="P30" s="1979"/>
      <c r="Q30" s="1986">
        <f t="shared" si="2"/>
        <v>20370</v>
      </c>
    </row>
    <row r="31" spans="1:17">
      <c r="A31" s="134">
        <f t="shared" si="5"/>
        <v>1994.1</v>
      </c>
      <c r="B31" s="1818">
        <f t="shared" si="3"/>
        <v>78336</v>
      </c>
      <c r="C31" s="1822">
        <f t="shared" si="4"/>
        <v>16990</v>
      </c>
      <c r="D31" s="1007">
        <v>163727</v>
      </c>
      <c r="E31" s="1827"/>
      <c r="F31" s="479">
        <v>206987</v>
      </c>
      <c r="G31" s="1833"/>
      <c r="H31" s="1838">
        <v>46782</v>
      </c>
      <c r="I31" s="1704">
        <v>31554</v>
      </c>
      <c r="J31" s="1844"/>
      <c r="K31" s="1979"/>
      <c r="L31" s="1982">
        <f t="shared" si="0"/>
        <v>78336</v>
      </c>
      <c r="M31" s="1838">
        <v>12090</v>
      </c>
      <c r="N31" s="479">
        <v>4900</v>
      </c>
      <c r="O31" s="1827"/>
      <c r="P31" s="1979"/>
      <c r="Q31" s="1986">
        <f t="shared" si="2"/>
        <v>16990</v>
      </c>
    </row>
    <row r="32" spans="1:17">
      <c r="A32" s="134">
        <f t="shared" si="5"/>
        <v>1994.11</v>
      </c>
      <c r="B32" s="1818">
        <f t="shared" si="3"/>
        <v>134484</v>
      </c>
      <c r="C32" s="1822">
        <f t="shared" si="4"/>
        <v>34913</v>
      </c>
      <c r="D32" s="1007">
        <v>225402</v>
      </c>
      <c r="E32" s="1827"/>
      <c r="F32" s="479">
        <v>270985</v>
      </c>
      <c r="G32" s="1833"/>
      <c r="H32" s="1838">
        <v>66760</v>
      </c>
      <c r="I32" s="1704">
        <v>67724</v>
      </c>
      <c r="J32" s="1844"/>
      <c r="K32" s="1979"/>
      <c r="L32" s="1982">
        <f t="shared" si="0"/>
        <v>134484</v>
      </c>
      <c r="M32" s="1838">
        <v>13333</v>
      </c>
      <c r="N32" s="479">
        <v>21580</v>
      </c>
      <c r="O32" s="1827"/>
      <c r="P32" s="1979"/>
      <c r="Q32" s="1986">
        <f t="shared" si="2"/>
        <v>34913</v>
      </c>
    </row>
    <row r="33" spans="1:17">
      <c r="A33" s="134">
        <f t="shared" si="5"/>
        <v>1994.12</v>
      </c>
      <c r="B33" s="1818">
        <f t="shared" si="3"/>
        <v>93065</v>
      </c>
      <c r="C33" s="1822">
        <f t="shared" si="4"/>
        <v>460336</v>
      </c>
      <c r="D33" s="1007">
        <v>139147</v>
      </c>
      <c r="E33" s="1827"/>
      <c r="F33" s="479">
        <v>753736</v>
      </c>
      <c r="G33" s="1833"/>
      <c r="H33" s="1838">
        <v>42721</v>
      </c>
      <c r="I33" s="1704">
        <v>50344</v>
      </c>
      <c r="J33" s="1844"/>
      <c r="K33" s="1979"/>
      <c r="L33" s="1982">
        <f t="shared" si="0"/>
        <v>93065</v>
      </c>
      <c r="M33" s="1838">
        <v>170553</v>
      </c>
      <c r="N33" s="479">
        <v>289783</v>
      </c>
      <c r="O33" s="1827"/>
      <c r="P33" s="1979"/>
      <c r="Q33" s="1986">
        <f t="shared" si="2"/>
        <v>460336</v>
      </c>
    </row>
    <row r="34" spans="1:17">
      <c r="A34" s="134">
        <f t="shared" si="5"/>
        <v>1995.01</v>
      </c>
      <c r="B34" s="1818">
        <f t="shared" si="3"/>
        <v>64804</v>
      </c>
      <c r="C34" s="1822">
        <f t="shared" si="4"/>
        <v>327235</v>
      </c>
      <c r="D34" s="1007">
        <v>98162</v>
      </c>
      <c r="E34" s="1827"/>
      <c r="F34" s="479">
        <v>1119465</v>
      </c>
      <c r="G34" s="1833"/>
      <c r="H34" s="1838">
        <v>28125</v>
      </c>
      <c r="I34" s="1704">
        <v>36679</v>
      </c>
      <c r="J34" s="1844"/>
      <c r="K34" s="1979"/>
      <c r="L34" s="1982">
        <f t="shared" si="0"/>
        <v>64804</v>
      </c>
      <c r="M34" s="1838">
        <v>138051</v>
      </c>
      <c r="N34" s="479">
        <v>189184</v>
      </c>
      <c r="O34" s="1827"/>
      <c r="P34" s="1979"/>
      <c r="Q34" s="1986">
        <f t="shared" si="2"/>
        <v>327235</v>
      </c>
    </row>
    <row r="35" spans="1:17">
      <c r="A35" s="134">
        <f t="shared" si="5"/>
        <v>1995.02</v>
      </c>
      <c r="B35" s="1818">
        <f t="shared" si="3"/>
        <v>29573</v>
      </c>
      <c r="C35" s="1822">
        <f t="shared" si="4"/>
        <v>302282</v>
      </c>
      <c r="D35" s="1007">
        <v>119642</v>
      </c>
      <c r="E35" s="1827"/>
      <c r="F35" s="479">
        <v>1120280</v>
      </c>
      <c r="G35" s="1833"/>
      <c r="H35" s="1838">
        <v>18423</v>
      </c>
      <c r="I35" s="1704">
        <v>11150</v>
      </c>
      <c r="J35" s="1844"/>
      <c r="K35" s="1979"/>
      <c r="L35" s="1982">
        <f t="shared" si="0"/>
        <v>29573</v>
      </c>
      <c r="M35" s="1838">
        <v>140402</v>
      </c>
      <c r="N35" s="479">
        <v>161880</v>
      </c>
      <c r="O35" s="1827"/>
      <c r="P35" s="1979"/>
      <c r="Q35" s="1986">
        <f t="shared" si="2"/>
        <v>302282</v>
      </c>
    </row>
    <row r="36" spans="1:17">
      <c r="A36" s="134">
        <f t="shared" si="5"/>
        <v>1995.03</v>
      </c>
      <c r="B36" s="1818">
        <f t="shared" si="3"/>
        <v>454273</v>
      </c>
      <c r="C36" s="1822">
        <f t="shared" si="4"/>
        <v>278629</v>
      </c>
      <c r="D36" s="1007">
        <v>575612</v>
      </c>
      <c r="E36" s="1827"/>
      <c r="F36" s="479">
        <v>1121139</v>
      </c>
      <c r="G36" s="1833"/>
      <c r="H36" s="1838">
        <v>163309</v>
      </c>
      <c r="I36" s="1704">
        <v>290964</v>
      </c>
      <c r="J36" s="1844"/>
      <c r="K36" s="1979"/>
      <c r="L36" s="1982">
        <f t="shared" si="0"/>
        <v>454273</v>
      </c>
      <c r="M36" s="1838">
        <v>170587</v>
      </c>
      <c r="N36" s="479">
        <v>108042</v>
      </c>
      <c r="O36" s="1827"/>
      <c r="P36" s="1979"/>
      <c r="Q36" s="1986">
        <f t="shared" si="2"/>
        <v>278629</v>
      </c>
    </row>
    <row r="37" spans="1:17">
      <c r="A37" s="134">
        <f t="shared" si="5"/>
        <v>1995.04</v>
      </c>
      <c r="B37" s="1818">
        <f t="shared" si="3"/>
        <v>890866</v>
      </c>
      <c r="C37" s="1822">
        <f t="shared" si="4"/>
        <v>185658</v>
      </c>
      <c r="D37" s="1007">
        <v>1453339</v>
      </c>
      <c r="E37" s="1827"/>
      <c r="F37" s="479">
        <v>599081</v>
      </c>
      <c r="G37" s="1833"/>
      <c r="H37" s="1838">
        <v>471354</v>
      </c>
      <c r="I37" s="1704">
        <v>419512</v>
      </c>
      <c r="J37" s="1844"/>
      <c r="K37" s="1979"/>
      <c r="L37" s="1982">
        <f t="shared" si="0"/>
        <v>890866</v>
      </c>
      <c r="M37" s="1838">
        <v>72697</v>
      </c>
      <c r="N37" s="479">
        <v>112961</v>
      </c>
      <c r="O37" s="1827"/>
      <c r="P37" s="1979"/>
      <c r="Q37" s="1986">
        <f t="shared" si="2"/>
        <v>185658</v>
      </c>
    </row>
    <row r="38" spans="1:17">
      <c r="A38" s="134">
        <f t="shared" si="5"/>
        <v>1995.05</v>
      </c>
      <c r="B38" s="1818">
        <f t="shared" si="3"/>
        <v>573452</v>
      </c>
      <c r="C38" s="1822">
        <f t="shared" si="4"/>
        <v>253585</v>
      </c>
      <c r="D38" s="1007">
        <v>1130130</v>
      </c>
      <c r="E38" s="1827"/>
      <c r="F38" s="479">
        <v>753132</v>
      </c>
      <c r="G38" s="1833"/>
      <c r="H38" s="1838">
        <v>298560</v>
      </c>
      <c r="I38" s="1704">
        <v>274892</v>
      </c>
      <c r="J38" s="1844"/>
      <c r="K38" s="1979"/>
      <c r="L38" s="1982">
        <f t="shared" si="0"/>
        <v>573452</v>
      </c>
      <c r="M38" s="1838">
        <v>68622</v>
      </c>
      <c r="N38" s="479">
        <v>184963</v>
      </c>
      <c r="O38" s="1827"/>
      <c r="P38" s="1979"/>
      <c r="Q38" s="1986">
        <f t="shared" si="2"/>
        <v>253585</v>
      </c>
    </row>
    <row r="39" spans="1:17">
      <c r="A39" s="134">
        <f t="shared" si="5"/>
        <v>1995.06</v>
      </c>
      <c r="B39" s="1818">
        <f t="shared" si="3"/>
        <v>357587</v>
      </c>
      <c r="C39" s="1822">
        <f t="shared" si="4"/>
        <v>172474</v>
      </c>
      <c r="D39" s="1007">
        <v>925630</v>
      </c>
      <c r="E39" s="1827"/>
      <c r="F39" s="479">
        <v>595230</v>
      </c>
      <c r="G39" s="1833"/>
      <c r="H39" s="1838">
        <v>184654</v>
      </c>
      <c r="I39" s="1704">
        <v>172933</v>
      </c>
      <c r="J39" s="1844"/>
      <c r="K39" s="1979"/>
      <c r="L39" s="1982">
        <f t="shared" si="0"/>
        <v>357587</v>
      </c>
      <c r="M39" s="1838">
        <v>66131</v>
      </c>
      <c r="N39" s="479">
        <v>106343</v>
      </c>
      <c r="O39" s="1827"/>
      <c r="P39" s="1979"/>
      <c r="Q39" s="1986">
        <f t="shared" si="2"/>
        <v>172474</v>
      </c>
    </row>
    <row r="40" spans="1:17">
      <c r="A40" s="134">
        <f t="shared" si="5"/>
        <v>1995.07</v>
      </c>
      <c r="B40" s="1818">
        <f t="shared" si="3"/>
        <v>240759</v>
      </c>
      <c r="C40" s="1822">
        <f t="shared" si="4"/>
        <v>105666</v>
      </c>
      <c r="D40" s="1007">
        <v>507486</v>
      </c>
      <c r="E40" s="1827"/>
      <c r="F40" s="479">
        <v>399147</v>
      </c>
      <c r="G40" s="1833"/>
      <c r="H40" s="1838">
        <v>150256</v>
      </c>
      <c r="I40" s="1704">
        <v>90503</v>
      </c>
      <c r="J40" s="1844"/>
      <c r="K40" s="1979"/>
      <c r="L40" s="1982">
        <f t="shared" si="0"/>
        <v>240759</v>
      </c>
      <c r="M40" s="1838">
        <v>26779</v>
      </c>
      <c r="N40" s="479">
        <v>78887</v>
      </c>
      <c r="O40" s="1827"/>
      <c r="P40" s="1979"/>
      <c r="Q40" s="1986">
        <f t="shared" si="2"/>
        <v>105666</v>
      </c>
    </row>
    <row r="41" spans="1:17">
      <c r="A41" s="134">
        <f t="shared" si="5"/>
        <v>1995.08</v>
      </c>
      <c r="B41" s="1818">
        <f t="shared" si="3"/>
        <v>177362</v>
      </c>
      <c r="C41" s="1822">
        <f t="shared" si="4"/>
        <v>25959</v>
      </c>
      <c r="D41" s="1007">
        <v>388347</v>
      </c>
      <c r="E41" s="1827"/>
      <c r="F41" s="479">
        <v>210174</v>
      </c>
      <c r="G41" s="1833"/>
      <c r="H41" s="1838">
        <v>77192</v>
      </c>
      <c r="I41" s="1704">
        <v>100170</v>
      </c>
      <c r="J41" s="1844"/>
      <c r="K41" s="1979"/>
      <c r="L41" s="1982">
        <f t="shared" si="0"/>
        <v>177362</v>
      </c>
      <c r="M41" s="1838">
        <v>25959</v>
      </c>
      <c r="N41" s="479">
        <v>0</v>
      </c>
      <c r="O41" s="1827"/>
      <c r="P41" s="1979"/>
      <c r="Q41" s="1986">
        <f t="shared" si="2"/>
        <v>25959</v>
      </c>
    </row>
    <row r="42" spans="1:17">
      <c r="A42" s="134">
        <f t="shared" si="5"/>
        <v>1995.09</v>
      </c>
      <c r="B42" s="1818">
        <f t="shared" si="3"/>
        <v>192838</v>
      </c>
      <c r="C42" s="1822">
        <f t="shared" si="4"/>
        <v>0</v>
      </c>
      <c r="D42" s="1007">
        <v>371577</v>
      </c>
      <c r="E42" s="1827"/>
      <c r="F42" s="479">
        <v>92515</v>
      </c>
      <c r="G42" s="1833"/>
      <c r="H42" s="1838">
        <v>59212</v>
      </c>
      <c r="I42" s="1704">
        <v>133626</v>
      </c>
      <c r="J42" s="1844"/>
      <c r="K42" s="1979"/>
      <c r="L42" s="1982">
        <f t="shared" si="0"/>
        <v>192838</v>
      </c>
      <c r="M42" s="1838">
        <v>0</v>
      </c>
      <c r="N42" s="479">
        <v>0</v>
      </c>
      <c r="O42" s="1827"/>
      <c r="P42" s="1979"/>
      <c r="Q42" s="1986">
        <f>SUM(M42:P42)</f>
        <v>0</v>
      </c>
    </row>
    <row r="43" spans="1:17">
      <c r="A43" s="134">
        <f t="shared" si="5"/>
        <v>1995.1</v>
      </c>
      <c r="B43" s="1818">
        <f t="shared" si="3"/>
        <v>132839</v>
      </c>
      <c r="C43" s="1822">
        <f t="shared" si="4"/>
        <v>32355</v>
      </c>
      <c r="D43" s="1007">
        <v>199820</v>
      </c>
      <c r="E43" s="1827"/>
      <c r="F43" s="479">
        <v>84436</v>
      </c>
      <c r="G43" s="1833"/>
      <c r="H43" s="1838">
        <v>80689</v>
      </c>
      <c r="I43" s="1704">
        <v>52150</v>
      </c>
      <c r="J43" s="1844"/>
      <c r="K43" s="1979"/>
      <c r="L43" s="1982">
        <f t="shared" si="0"/>
        <v>132839</v>
      </c>
      <c r="M43" s="1838">
        <v>32355</v>
      </c>
      <c r="N43" s="479">
        <v>0</v>
      </c>
      <c r="O43" s="1827"/>
      <c r="P43" s="1979"/>
      <c r="Q43" s="1986">
        <f t="shared" si="2"/>
        <v>32355</v>
      </c>
    </row>
    <row r="44" spans="1:17">
      <c r="A44" s="134">
        <f t="shared" si="5"/>
        <v>1995.11</v>
      </c>
      <c r="B44" s="1818">
        <f t="shared" si="3"/>
        <v>84477</v>
      </c>
      <c r="C44" s="1822">
        <f t="shared" si="4"/>
        <v>26124</v>
      </c>
      <c r="D44" s="1007">
        <v>146516</v>
      </c>
      <c r="E44" s="1827"/>
      <c r="F44" s="479">
        <v>47309</v>
      </c>
      <c r="G44" s="1833"/>
      <c r="H44" s="1838">
        <v>69617</v>
      </c>
      <c r="I44" s="1704">
        <v>14860</v>
      </c>
      <c r="J44" s="1844"/>
      <c r="K44" s="1979"/>
      <c r="L44" s="1982">
        <f t="shared" si="0"/>
        <v>84477</v>
      </c>
      <c r="M44" s="1838">
        <v>26124</v>
      </c>
      <c r="N44" s="479">
        <v>0</v>
      </c>
      <c r="O44" s="1827"/>
      <c r="P44" s="1979"/>
      <c r="Q44" s="1986">
        <f t="shared" si="2"/>
        <v>26124</v>
      </c>
    </row>
    <row r="45" spans="1:17">
      <c r="A45" s="134">
        <f t="shared" si="5"/>
        <v>1995.12</v>
      </c>
      <c r="B45" s="1818">
        <f t="shared" si="3"/>
        <v>80789</v>
      </c>
      <c r="C45" s="1822">
        <f t="shared" si="4"/>
        <v>486152</v>
      </c>
      <c r="D45" s="1007">
        <v>124826</v>
      </c>
      <c r="E45" s="1827"/>
      <c r="F45" s="479">
        <v>638888</v>
      </c>
      <c r="G45" s="1833"/>
      <c r="H45" s="1838">
        <v>39802</v>
      </c>
      <c r="I45" s="1704">
        <v>40987</v>
      </c>
      <c r="J45" s="1844"/>
      <c r="K45" s="1979"/>
      <c r="L45" s="1982">
        <f t="shared" si="0"/>
        <v>80789</v>
      </c>
      <c r="M45" s="1838">
        <v>213594</v>
      </c>
      <c r="N45" s="479">
        <v>272558</v>
      </c>
      <c r="O45" s="1827"/>
      <c r="P45" s="1979"/>
      <c r="Q45" s="1986">
        <f t="shared" si="2"/>
        <v>486152</v>
      </c>
    </row>
    <row r="46" spans="1:17">
      <c r="A46" s="134">
        <f t="shared" si="5"/>
        <v>1996.01</v>
      </c>
      <c r="B46" s="1818">
        <f t="shared" si="3"/>
        <v>50483</v>
      </c>
      <c r="C46" s="1822">
        <f t="shared" si="4"/>
        <v>134883</v>
      </c>
      <c r="D46" s="1007">
        <v>72563</v>
      </c>
      <c r="E46" s="1827"/>
      <c r="F46" s="479">
        <v>777919</v>
      </c>
      <c r="G46" s="1833"/>
      <c r="H46" s="1838">
        <v>42119</v>
      </c>
      <c r="I46" s="1704">
        <v>8364</v>
      </c>
      <c r="J46" s="1844"/>
      <c r="K46" s="1979"/>
      <c r="L46" s="1982">
        <f t="shared" si="0"/>
        <v>50483</v>
      </c>
      <c r="M46" s="1838">
        <v>40008</v>
      </c>
      <c r="N46" s="479">
        <v>94875</v>
      </c>
      <c r="O46" s="1827"/>
      <c r="P46" s="1979"/>
      <c r="Q46" s="1986">
        <f t="shared" si="2"/>
        <v>134883</v>
      </c>
    </row>
    <row r="47" spans="1:17">
      <c r="A47" s="134">
        <f t="shared" si="5"/>
        <v>1996.02</v>
      </c>
      <c r="B47" s="1818">
        <f t="shared" si="3"/>
        <v>85121</v>
      </c>
      <c r="C47" s="1822">
        <f t="shared" si="4"/>
        <v>114007</v>
      </c>
      <c r="D47" s="1007">
        <v>97230</v>
      </c>
      <c r="E47" s="1827"/>
      <c r="F47" s="479">
        <v>567145</v>
      </c>
      <c r="G47" s="1833"/>
      <c r="H47" s="1838">
        <v>59406</v>
      </c>
      <c r="I47" s="1704">
        <v>25715</v>
      </c>
      <c r="J47" s="1844"/>
      <c r="K47" s="1979"/>
      <c r="L47" s="1982">
        <f t="shared" si="0"/>
        <v>85121</v>
      </c>
      <c r="M47" s="1838">
        <v>64000</v>
      </c>
      <c r="N47" s="479">
        <v>50007</v>
      </c>
      <c r="O47" s="1827"/>
      <c r="P47" s="1979"/>
      <c r="Q47" s="1986">
        <f t="shared" si="2"/>
        <v>114007</v>
      </c>
    </row>
    <row r="48" spans="1:17">
      <c r="A48" s="134">
        <f t="shared" si="5"/>
        <v>1996.03</v>
      </c>
      <c r="B48" s="1818">
        <f t="shared" si="3"/>
        <v>328772</v>
      </c>
      <c r="C48" s="1822">
        <f t="shared" si="4"/>
        <v>123813</v>
      </c>
      <c r="D48" s="1007">
        <v>545462</v>
      </c>
      <c r="E48" s="1827"/>
      <c r="F48" s="479">
        <v>493132</v>
      </c>
      <c r="G48" s="1833"/>
      <c r="H48" s="1838">
        <v>225853</v>
      </c>
      <c r="I48" s="1704">
        <v>102919</v>
      </c>
      <c r="J48" s="1844"/>
      <c r="K48" s="1979"/>
      <c r="L48" s="1982">
        <f t="shared" si="0"/>
        <v>328772</v>
      </c>
      <c r="M48" s="1838">
        <v>67998</v>
      </c>
      <c r="N48" s="479">
        <v>55815</v>
      </c>
      <c r="O48" s="1827"/>
      <c r="P48" s="1979"/>
      <c r="Q48" s="1986">
        <f t="shared" si="2"/>
        <v>123813</v>
      </c>
    </row>
    <row r="49" spans="1:17">
      <c r="A49" s="134">
        <f t="shared" si="5"/>
        <v>1996.04</v>
      </c>
      <c r="B49" s="1818">
        <f t="shared" si="3"/>
        <v>1000893</v>
      </c>
      <c r="C49" s="1822">
        <f t="shared" si="4"/>
        <v>152490</v>
      </c>
      <c r="D49" s="1007">
        <v>1278771</v>
      </c>
      <c r="E49" s="1827"/>
      <c r="F49" s="479">
        <v>348874</v>
      </c>
      <c r="G49" s="1833"/>
      <c r="H49" s="1838">
        <v>519054</v>
      </c>
      <c r="I49" s="1704">
        <v>481839</v>
      </c>
      <c r="J49" s="1844"/>
      <c r="K49" s="1979"/>
      <c r="L49" s="1982">
        <f t="shared" si="0"/>
        <v>1000893</v>
      </c>
      <c r="M49" s="1838">
        <v>98800</v>
      </c>
      <c r="N49" s="479">
        <v>53690</v>
      </c>
      <c r="O49" s="1827"/>
      <c r="P49" s="1979"/>
      <c r="Q49" s="1986">
        <f t="shared" si="2"/>
        <v>152490</v>
      </c>
    </row>
    <row r="50" spans="1:17">
      <c r="A50" s="134">
        <f t="shared" si="5"/>
        <v>1996.05</v>
      </c>
      <c r="B50" s="1818">
        <f t="shared" si="3"/>
        <v>710321</v>
      </c>
      <c r="C50" s="1822">
        <f t="shared" si="4"/>
        <v>81345</v>
      </c>
      <c r="D50" s="1007">
        <v>1127343</v>
      </c>
      <c r="E50" s="1827"/>
      <c r="F50" s="479">
        <v>351281</v>
      </c>
      <c r="G50" s="1833"/>
      <c r="H50" s="1838">
        <v>335855</v>
      </c>
      <c r="I50" s="1704">
        <v>374466</v>
      </c>
      <c r="J50" s="1844"/>
      <c r="K50" s="1979"/>
      <c r="L50" s="1982">
        <f t="shared" si="0"/>
        <v>710321</v>
      </c>
      <c r="M50" s="1838">
        <v>65970</v>
      </c>
      <c r="N50" s="479">
        <v>15375</v>
      </c>
      <c r="O50" s="1827"/>
      <c r="P50" s="1979"/>
      <c r="Q50" s="1986">
        <f t="shared" si="2"/>
        <v>81345</v>
      </c>
    </row>
    <row r="51" spans="1:17">
      <c r="A51" s="134">
        <f t="shared" si="5"/>
        <v>1996.06</v>
      </c>
      <c r="B51" s="1818">
        <f t="shared" si="3"/>
        <v>407336</v>
      </c>
      <c r="C51" s="1822">
        <f t="shared" si="4"/>
        <v>30078</v>
      </c>
      <c r="D51" s="1007">
        <v>751577</v>
      </c>
      <c r="E51" s="1827"/>
      <c r="F51" s="479">
        <v>165729</v>
      </c>
      <c r="G51" s="1833"/>
      <c r="H51" s="1838">
        <v>224431</v>
      </c>
      <c r="I51" s="1704">
        <v>182905</v>
      </c>
      <c r="J51" s="1844"/>
      <c r="K51" s="1979"/>
      <c r="L51" s="1982">
        <f t="shared" si="0"/>
        <v>407336</v>
      </c>
      <c r="M51" s="1838">
        <v>30078</v>
      </c>
      <c r="N51" s="479">
        <v>0</v>
      </c>
      <c r="O51" s="1827"/>
      <c r="P51" s="1979"/>
      <c r="Q51" s="1986">
        <f t="shared" si="2"/>
        <v>30078</v>
      </c>
    </row>
    <row r="52" spans="1:17">
      <c r="A52" s="134">
        <f t="shared" si="5"/>
        <v>1996.07</v>
      </c>
      <c r="B52" s="1818">
        <f t="shared" si="3"/>
        <v>589469</v>
      </c>
      <c r="C52" s="1822">
        <f t="shared" si="4"/>
        <v>26266</v>
      </c>
      <c r="D52" s="1007">
        <v>1044233</v>
      </c>
      <c r="E52" s="1827"/>
      <c r="F52" s="479">
        <v>212194</v>
      </c>
      <c r="G52" s="1833"/>
      <c r="H52" s="1838">
        <v>341087</v>
      </c>
      <c r="I52" s="1704">
        <v>248382</v>
      </c>
      <c r="J52" s="1844"/>
      <c r="K52" s="1979"/>
      <c r="L52" s="1982">
        <f t="shared" si="0"/>
        <v>589469</v>
      </c>
      <c r="M52" s="1838">
        <v>12304</v>
      </c>
      <c r="N52" s="479">
        <v>13962</v>
      </c>
      <c r="O52" s="1827"/>
      <c r="P52" s="1979"/>
      <c r="Q52" s="1986">
        <f t="shared" si="2"/>
        <v>26266</v>
      </c>
    </row>
    <row r="53" spans="1:17">
      <c r="A53" s="134">
        <f t="shared" si="5"/>
        <v>1996.08</v>
      </c>
      <c r="B53" s="1818">
        <f t="shared" si="3"/>
        <v>602854</v>
      </c>
      <c r="C53" s="1822">
        <f t="shared" si="4"/>
        <v>15738</v>
      </c>
      <c r="D53" s="1007">
        <v>1057665</v>
      </c>
      <c r="E53" s="1827"/>
      <c r="F53" s="479">
        <v>123337</v>
      </c>
      <c r="G53" s="1833"/>
      <c r="H53" s="1838">
        <v>300952</v>
      </c>
      <c r="I53" s="1704">
        <v>301902</v>
      </c>
      <c r="J53" s="1844"/>
      <c r="K53" s="1979"/>
      <c r="L53" s="1982">
        <f t="shared" si="0"/>
        <v>602854</v>
      </c>
      <c r="M53" s="1838">
        <v>15738</v>
      </c>
      <c r="N53" s="479">
        <v>0</v>
      </c>
      <c r="O53" s="1827"/>
      <c r="P53" s="1979"/>
      <c r="Q53" s="1986">
        <f t="shared" si="2"/>
        <v>15738</v>
      </c>
    </row>
    <row r="54" spans="1:17">
      <c r="A54" s="134">
        <f t="shared" si="5"/>
        <v>1996.09</v>
      </c>
      <c r="B54" s="1818">
        <f t="shared" si="3"/>
        <v>173163</v>
      </c>
      <c r="C54" s="1822">
        <f t="shared" si="4"/>
        <v>52578</v>
      </c>
      <c r="D54" s="1007">
        <v>315882</v>
      </c>
      <c r="E54" s="1827"/>
      <c r="F54" s="479">
        <v>249998</v>
      </c>
      <c r="G54" s="1833"/>
      <c r="H54" s="1838">
        <v>55517</v>
      </c>
      <c r="I54" s="1704">
        <v>117646</v>
      </c>
      <c r="J54" s="1844"/>
      <c r="K54" s="1979"/>
      <c r="L54" s="1982">
        <f t="shared" si="0"/>
        <v>173163</v>
      </c>
      <c r="M54" s="1838">
        <v>52578</v>
      </c>
      <c r="N54" s="479">
        <v>0</v>
      </c>
      <c r="O54" s="1827"/>
      <c r="P54" s="1979"/>
      <c r="Q54" s="1986">
        <f t="shared" si="2"/>
        <v>52578</v>
      </c>
    </row>
    <row r="55" spans="1:17">
      <c r="A55" s="134">
        <f t="shared" si="5"/>
        <v>1996.1</v>
      </c>
      <c r="B55" s="1818">
        <f t="shared" si="3"/>
        <v>159379</v>
      </c>
      <c r="C55" s="1822">
        <f t="shared" si="4"/>
        <v>35010</v>
      </c>
      <c r="D55" s="1007">
        <v>217268</v>
      </c>
      <c r="E55" s="1827"/>
      <c r="F55" s="479">
        <v>296388</v>
      </c>
      <c r="G55" s="1833"/>
      <c r="H55" s="1838">
        <v>90652</v>
      </c>
      <c r="I55" s="1704">
        <v>68727</v>
      </c>
      <c r="J55" s="1844"/>
      <c r="K55" s="1979"/>
      <c r="L55" s="1982">
        <f t="shared" si="0"/>
        <v>159379</v>
      </c>
      <c r="M55" s="1838">
        <v>35010</v>
      </c>
      <c r="N55" s="479">
        <v>0</v>
      </c>
      <c r="O55" s="1827"/>
      <c r="P55" s="1979"/>
      <c r="Q55" s="1986">
        <f t="shared" si="2"/>
        <v>35010</v>
      </c>
    </row>
    <row r="56" spans="1:17">
      <c r="A56" s="134">
        <f t="shared" si="5"/>
        <v>1996.11</v>
      </c>
      <c r="B56" s="1818">
        <f t="shared" si="3"/>
        <v>225977</v>
      </c>
      <c r="C56" s="1822">
        <f t="shared" si="4"/>
        <v>101969</v>
      </c>
      <c r="D56" s="1007">
        <v>252524</v>
      </c>
      <c r="E56" s="1827"/>
      <c r="F56" s="479">
        <v>383763</v>
      </c>
      <c r="G56" s="1833"/>
      <c r="H56" s="1838">
        <v>123192</v>
      </c>
      <c r="I56" s="1704">
        <v>102785</v>
      </c>
      <c r="J56" s="1844"/>
      <c r="K56" s="1979"/>
      <c r="L56" s="1982">
        <f t="shared" si="0"/>
        <v>225977</v>
      </c>
      <c r="M56" s="1838">
        <v>35959</v>
      </c>
      <c r="N56" s="479">
        <v>66010</v>
      </c>
      <c r="O56" s="1827"/>
      <c r="P56" s="1979"/>
      <c r="Q56" s="1986">
        <f t="shared" si="2"/>
        <v>101969</v>
      </c>
    </row>
    <row r="57" spans="1:17">
      <c r="A57" s="134">
        <f t="shared" si="5"/>
        <v>1996.12</v>
      </c>
      <c r="B57" s="1818">
        <f t="shared" si="3"/>
        <v>146447</v>
      </c>
      <c r="C57" s="1822">
        <f t="shared" si="4"/>
        <v>1077513</v>
      </c>
      <c r="D57" s="1007">
        <v>270489</v>
      </c>
      <c r="E57" s="1827"/>
      <c r="F57" s="479">
        <v>1862965</v>
      </c>
      <c r="G57" s="1833"/>
      <c r="H57" s="1838">
        <v>90894</v>
      </c>
      <c r="I57" s="1704">
        <v>55553</v>
      </c>
      <c r="J57" s="1844"/>
      <c r="K57" s="1979"/>
      <c r="L57" s="1982">
        <f t="shared" si="0"/>
        <v>146447</v>
      </c>
      <c r="M57" s="1838">
        <v>550070</v>
      </c>
      <c r="N57" s="479">
        <v>527443</v>
      </c>
      <c r="O57" s="1827"/>
      <c r="P57" s="1979"/>
      <c r="Q57" s="1986">
        <f t="shared" si="2"/>
        <v>1077513</v>
      </c>
    </row>
    <row r="58" spans="1:17">
      <c r="A58" s="134">
        <f t="shared" si="5"/>
        <v>1997.01</v>
      </c>
      <c r="B58" s="1818">
        <f t="shared" si="3"/>
        <v>68978</v>
      </c>
      <c r="C58" s="1822">
        <f t="shared" si="4"/>
        <v>784918</v>
      </c>
      <c r="D58" s="1007">
        <v>112492</v>
      </c>
      <c r="E58" s="1827"/>
      <c r="F58" s="479">
        <v>2490871</v>
      </c>
      <c r="G58" s="1833"/>
      <c r="H58" s="1838">
        <v>39348</v>
      </c>
      <c r="I58" s="1704">
        <v>29630</v>
      </c>
      <c r="J58" s="1844"/>
      <c r="K58" s="1979"/>
      <c r="L58" s="1982">
        <f t="shared" si="0"/>
        <v>68978</v>
      </c>
      <c r="M58" s="1838">
        <v>264706</v>
      </c>
      <c r="N58" s="479">
        <v>520212</v>
      </c>
      <c r="O58" s="1827"/>
      <c r="P58" s="1979"/>
      <c r="Q58" s="1986">
        <f t="shared" si="2"/>
        <v>784918</v>
      </c>
    </row>
    <row r="59" spans="1:17">
      <c r="A59" s="134">
        <f t="shared" si="5"/>
        <v>1997.02</v>
      </c>
      <c r="B59" s="1818">
        <f t="shared" si="3"/>
        <v>152365</v>
      </c>
      <c r="C59" s="1822">
        <f t="shared" si="4"/>
        <v>462825</v>
      </c>
      <c r="D59" s="1007">
        <v>333980</v>
      </c>
      <c r="E59" s="1827"/>
      <c r="F59" s="479">
        <v>1732882</v>
      </c>
      <c r="G59" s="1833"/>
      <c r="H59" s="1838">
        <v>81699</v>
      </c>
      <c r="I59" s="1704">
        <v>70666</v>
      </c>
      <c r="J59" s="1844"/>
      <c r="K59" s="1979"/>
      <c r="L59" s="1982">
        <f t="shared" si="0"/>
        <v>152365</v>
      </c>
      <c r="M59" s="1838">
        <v>252406</v>
      </c>
      <c r="N59" s="479">
        <v>210419</v>
      </c>
      <c r="O59" s="1827"/>
      <c r="P59" s="1979"/>
      <c r="Q59" s="1986">
        <f t="shared" si="2"/>
        <v>462825</v>
      </c>
    </row>
    <row r="60" spans="1:17">
      <c r="A60" s="134">
        <f t="shared" si="5"/>
        <v>1997.03</v>
      </c>
      <c r="B60" s="1818">
        <f t="shared" si="3"/>
        <v>957996</v>
      </c>
      <c r="C60" s="1822">
        <f t="shared" si="4"/>
        <v>292164</v>
      </c>
      <c r="D60" s="1007">
        <v>1257212</v>
      </c>
      <c r="E60" s="1827"/>
      <c r="F60" s="479">
        <v>822349</v>
      </c>
      <c r="G60" s="1833"/>
      <c r="H60" s="1838">
        <v>605967</v>
      </c>
      <c r="I60" s="1704">
        <v>352029</v>
      </c>
      <c r="J60" s="1844"/>
      <c r="K60" s="1979"/>
      <c r="L60" s="1982">
        <f t="shared" si="0"/>
        <v>957996</v>
      </c>
      <c r="M60" s="1838">
        <v>171888</v>
      </c>
      <c r="N60" s="479">
        <v>120276</v>
      </c>
      <c r="O60" s="1827"/>
      <c r="P60" s="1979"/>
      <c r="Q60" s="1986">
        <f t="shared" si="2"/>
        <v>292164</v>
      </c>
    </row>
    <row r="61" spans="1:17">
      <c r="A61" s="134">
        <f t="shared" si="5"/>
        <v>1997.04</v>
      </c>
      <c r="B61" s="1818">
        <f t="shared" si="3"/>
        <v>1590734</v>
      </c>
      <c r="C61" s="1822">
        <f t="shared" si="4"/>
        <v>253897</v>
      </c>
      <c r="D61" s="1007">
        <v>2429281</v>
      </c>
      <c r="E61" s="1827"/>
      <c r="F61" s="479">
        <v>675382</v>
      </c>
      <c r="G61" s="1833"/>
      <c r="H61" s="1838">
        <v>971078</v>
      </c>
      <c r="I61" s="1704">
        <v>619656</v>
      </c>
      <c r="J61" s="1844"/>
      <c r="K61" s="1979"/>
      <c r="L61" s="1982">
        <f t="shared" si="0"/>
        <v>1590734</v>
      </c>
      <c r="M61" s="1838">
        <v>54248</v>
      </c>
      <c r="N61" s="479">
        <v>199649</v>
      </c>
      <c r="O61" s="1827"/>
      <c r="P61" s="1979"/>
      <c r="Q61" s="1986">
        <f t="shared" si="2"/>
        <v>253897</v>
      </c>
    </row>
    <row r="62" spans="1:17">
      <c r="A62" s="134">
        <f t="shared" si="5"/>
        <v>1997.05</v>
      </c>
      <c r="B62" s="1818">
        <f t="shared" si="3"/>
        <v>781989</v>
      </c>
      <c r="C62" s="1822">
        <f t="shared" si="4"/>
        <v>66576</v>
      </c>
      <c r="D62" s="1007">
        <v>1895621</v>
      </c>
      <c r="E62" s="1827"/>
      <c r="F62" s="479">
        <v>328069</v>
      </c>
      <c r="G62" s="1833"/>
      <c r="H62" s="1838">
        <v>271367</v>
      </c>
      <c r="I62" s="1704">
        <v>510622</v>
      </c>
      <c r="J62" s="1844"/>
      <c r="K62" s="1979"/>
      <c r="L62" s="1982">
        <f t="shared" si="0"/>
        <v>781989</v>
      </c>
      <c r="M62" s="1838">
        <v>23417</v>
      </c>
      <c r="N62" s="479">
        <v>43159</v>
      </c>
      <c r="O62" s="1827"/>
      <c r="P62" s="1979"/>
      <c r="Q62" s="1986">
        <f t="shared" si="2"/>
        <v>66576</v>
      </c>
    </row>
    <row r="63" spans="1:17">
      <c r="A63" s="134">
        <f t="shared" si="5"/>
        <v>1997.06</v>
      </c>
      <c r="B63" s="1818">
        <f t="shared" si="3"/>
        <v>641552</v>
      </c>
      <c r="C63" s="1822">
        <f t="shared" si="4"/>
        <v>85614</v>
      </c>
      <c r="D63" s="1007">
        <v>1356849</v>
      </c>
      <c r="E63" s="1827"/>
      <c r="F63" s="479">
        <v>236898</v>
      </c>
      <c r="G63" s="1833"/>
      <c r="H63" s="1838">
        <v>465746</v>
      </c>
      <c r="I63" s="1704">
        <v>175806</v>
      </c>
      <c r="J63" s="1844"/>
      <c r="K63" s="1979"/>
      <c r="L63" s="1982">
        <f t="shared" si="0"/>
        <v>641552</v>
      </c>
      <c r="M63" s="1838">
        <v>60861</v>
      </c>
      <c r="N63" s="479">
        <v>24753</v>
      </c>
      <c r="O63" s="1827"/>
      <c r="P63" s="1979"/>
      <c r="Q63" s="1986">
        <f t="shared" si="2"/>
        <v>85614</v>
      </c>
    </row>
    <row r="64" spans="1:17">
      <c r="A64" s="134">
        <f t="shared" si="5"/>
        <v>1997.07</v>
      </c>
      <c r="B64" s="1818">
        <f t="shared" si="3"/>
        <v>433459</v>
      </c>
      <c r="C64" s="1822">
        <f t="shared" si="4"/>
        <v>117731</v>
      </c>
      <c r="D64" s="1007">
        <v>825909</v>
      </c>
      <c r="E64" s="1827"/>
      <c r="F64" s="479">
        <v>357294</v>
      </c>
      <c r="G64" s="1833"/>
      <c r="H64" s="1838">
        <v>243201</v>
      </c>
      <c r="I64" s="1704">
        <v>190258</v>
      </c>
      <c r="J64" s="1844"/>
      <c r="K64" s="1979"/>
      <c r="L64" s="1982">
        <f t="shared" si="0"/>
        <v>433459</v>
      </c>
      <c r="M64" s="1838">
        <v>74525</v>
      </c>
      <c r="N64" s="479">
        <v>43206</v>
      </c>
      <c r="O64" s="1827"/>
      <c r="P64" s="1979"/>
      <c r="Q64" s="1986">
        <f t="shared" si="2"/>
        <v>117731</v>
      </c>
    </row>
    <row r="65" spans="1:17">
      <c r="A65" s="134">
        <f t="shared" si="5"/>
        <v>1997.08</v>
      </c>
      <c r="B65" s="1818">
        <f t="shared" si="3"/>
        <v>371917</v>
      </c>
      <c r="C65" s="1822">
        <f t="shared" si="4"/>
        <v>64400</v>
      </c>
      <c r="D65" s="1007">
        <v>693876</v>
      </c>
      <c r="E65" s="1827"/>
      <c r="F65" s="479">
        <v>268634</v>
      </c>
      <c r="G65" s="1833"/>
      <c r="H65" s="1838">
        <v>141605</v>
      </c>
      <c r="I65" s="1704">
        <v>230312</v>
      </c>
      <c r="J65" s="1844"/>
      <c r="K65" s="1979"/>
      <c r="L65" s="1982">
        <f t="shared" si="0"/>
        <v>371917</v>
      </c>
      <c r="M65" s="1838">
        <v>59120</v>
      </c>
      <c r="N65" s="479">
        <v>5280</v>
      </c>
      <c r="O65" s="1827"/>
      <c r="P65" s="1979"/>
      <c r="Q65" s="1986">
        <f t="shared" si="2"/>
        <v>64400</v>
      </c>
    </row>
    <row r="66" spans="1:17">
      <c r="A66" s="134">
        <f t="shared" si="5"/>
        <v>1997.09</v>
      </c>
      <c r="B66" s="1818">
        <f t="shared" si="3"/>
        <v>403170</v>
      </c>
      <c r="C66" s="1822">
        <f t="shared" si="4"/>
        <v>53061</v>
      </c>
      <c r="D66" s="1007">
        <v>656539</v>
      </c>
      <c r="E66" s="1827"/>
      <c r="F66" s="479">
        <v>214695</v>
      </c>
      <c r="G66" s="1833"/>
      <c r="H66" s="1838">
        <v>217332</v>
      </c>
      <c r="I66" s="1704">
        <v>185838</v>
      </c>
      <c r="J66" s="1844"/>
      <c r="K66" s="1979"/>
      <c r="L66" s="1982">
        <f t="shared" si="0"/>
        <v>403170</v>
      </c>
      <c r="M66" s="1838">
        <v>23561</v>
      </c>
      <c r="N66" s="479">
        <v>29500</v>
      </c>
      <c r="O66" s="1827"/>
      <c r="P66" s="1979"/>
      <c r="Q66" s="1986">
        <f t="shared" si="2"/>
        <v>53061</v>
      </c>
    </row>
    <row r="67" spans="1:17">
      <c r="A67" s="134">
        <f t="shared" si="5"/>
        <v>1997.1</v>
      </c>
      <c r="B67" s="1818">
        <f t="shared" si="3"/>
        <v>302661</v>
      </c>
      <c r="C67" s="1822">
        <f t="shared" si="4"/>
        <v>57050</v>
      </c>
      <c r="D67" s="1007">
        <v>593580</v>
      </c>
      <c r="E67" s="1827"/>
      <c r="F67" s="479">
        <v>248543</v>
      </c>
      <c r="G67" s="1833"/>
      <c r="H67" s="1838">
        <v>107973</v>
      </c>
      <c r="I67" s="1704">
        <v>194688</v>
      </c>
      <c r="J67" s="1844"/>
      <c r="K67" s="1979"/>
      <c r="L67" s="1982">
        <f t="shared" si="0"/>
        <v>302661</v>
      </c>
      <c r="M67" s="1838">
        <v>36050</v>
      </c>
      <c r="N67" s="479">
        <v>21000</v>
      </c>
      <c r="O67" s="1827"/>
      <c r="P67" s="1979"/>
      <c r="Q67" s="1986">
        <f t="shared" si="2"/>
        <v>57050</v>
      </c>
    </row>
    <row r="68" spans="1:17">
      <c r="A68" s="134">
        <f t="shared" si="5"/>
        <v>1997.11</v>
      </c>
      <c r="B68" s="1818">
        <f t="shared" si="3"/>
        <v>182900</v>
      </c>
      <c r="C68" s="1822">
        <f t="shared" si="4"/>
        <v>103368</v>
      </c>
      <c r="D68" s="1007">
        <v>337737</v>
      </c>
      <c r="E68" s="1827"/>
      <c r="F68" s="479">
        <v>338459</v>
      </c>
      <c r="G68" s="1833"/>
      <c r="H68" s="1838">
        <v>77835</v>
      </c>
      <c r="I68" s="1704">
        <v>105065</v>
      </c>
      <c r="J68" s="1844"/>
      <c r="K68" s="1979"/>
      <c r="L68" s="1982">
        <f t="shared" si="0"/>
        <v>182900</v>
      </c>
      <c r="M68" s="1838">
        <v>74958</v>
      </c>
      <c r="N68" s="479">
        <v>28410</v>
      </c>
      <c r="O68" s="1827"/>
      <c r="P68" s="1979"/>
      <c r="Q68" s="1986">
        <f t="shared" si="2"/>
        <v>103368</v>
      </c>
    </row>
    <row r="69" spans="1:17">
      <c r="A69" s="134">
        <f t="shared" si="5"/>
        <v>1997.12</v>
      </c>
      <c r="B69" s="1818">
        <f t="shared" si="3"/>
        <v>303438</v>
      </c>
      <c r="C69" s="1822">
        <f t="shared" si="4"/>
        <v>393687</v>
      </c>
      <c r="D69" s="1007">
        <v>427034</v>
      </c>
      <c r="E69" s="1827"/>
      <c r="F69" s="479">
        <v>765437</v>
      </c>
      <c r="G69" s="1833"/>
      <c r="H69" s="1838">
        <v>186231</v>
      </c>
      <c r="I69" s="1704">
        <v>117207</v>
      </c>
      <c r="J69" s="1844"/>
      <c r="K69" s="1979"/>
      <c r="L69" s="1982">
        <f t="shared" si="0"/>
        <v>303438</v>
      </c>
      <c r="M69" s="1838">
        <v>206437</v>
      </c>
      <c r="N69" s="479">
        <v>187250</v>
      </c>
      <c r="O69" s="1827"/>
      <c r="P69" s="1979"/>
      <c r="Q69" s="1986">
        <f t="shared" si="2"/>
        <v>393687</v>
      </c>
    </row>
    <row r="70" spans="1:17">
      <c r="A70" s="134">
        <f t="shared" si="5"/>
        <v>1998.01</v>
      </c>
      <c r="B70" s="1818">
        <f t="shared" si="3"/>
        <v>139864</v>
      </c>
      <c r="C70" s="1822">
        <f t="shared" si="4"/>
        <v>412310</v>
      </c>
      <c r="D70" s="1007">
        <v>208733</v>
      </c>
      <c r="E70" s="1827"/>
      <c r="F70" s="479">
        <v>1713718</v>
      </c>
      <c r="G70" s="1833"/>
      <c r="H70" s="1838">
        <v>47940</v>
      </c>
      <c r="I70" s="1704">
        <v>91924</v>
      </c>
      <c r="J70" s="1844"/>
      <c r="K70" s="1979"/>
      <c r="L70" s="1982">
        <f t="shared" si="0"/>
        <v>139864</v>
      </c>
      <c r="M70" s="1838">
        <v>212785</v>
      </c>
      <c r="N70" s="479">
        <v>199525</v>
      </c>
      <c r="O70" s="1827"/>
      <c r="P70" s="1979"/>
      <c r="Q70" s="1986">
        <f t="shared" si="2"/>
        <v>412310</v>
      </c>
    </row>
    <row r="71" spans="1:17">
      <c r="A71" s="134">
        <f t="shared" si="5"/>
        <v>1998.02</v>
      </c>
      <c r="B71" s="1818">
        <f t="shared" si="3"/>
        <v>151932</v>
      </c>
      <c r="C71" s="1822">
        <f t="shared" si="4"/>
        <v>266453</v>
      </c>
      <c r="D71" s="1007">
        <v>247148</v>
      </c>
      <c r="E71" s="1827"/>
      <c r="F71" s="479">
        <v>1208721</v>
      </c>
      <c r="G71" s="1833"/>
      <c r="H71" s="1838">
        <v>73135</v>
      </c>
      <c r="I71" s="1704">
        <v>78797</v>
      </c>
      <c r="J71" s="1844"/>
      <c r="K71" s="1979"/>
      <c r="L71" s="1982">
        <f t="shared" si="0"/>
        <v>151932</v>
      </c>
      <c r="M71" s="1838">
        <v>95686</v>
      </c>
      <c r="N71" s="479">
        <v>170767</v>
      </c>
      <c r="O71" s="1827"/>
      <c r="P71" s="1979"/>
      <c r="Q71" s="1986">
        <f t="shared" si="2"/>
        <v>266453</v>
      </c>
    </row>
    <row r="72" spans="1:17">
      <c r="A72" s="134">
        <f t="shared" si="5"/>
        <v>1998.03</v>
      </c>
      <c r="B72" s="1818">
        <f t="shared" si="3"/>
        <v>1319934</v>
      </c>
      <c r="C72" s="1822">
        <f t="shared" si="4"/>
        <v>631086</v>
      </c>
      <c r="D72" s="1007">
        <v>1661373</v>
      </c>
      <c r="E72" s="1827"/>
      <c r="F72" s="479">
        <v>1374496</v>
      </c>
      <c r="G72" s="1833"/>
      <c r="H72" s="1838">
        <v>702218</v>
      </c>
      <c r="I72" s="1704">
        <v>617716</v>
      </c>
      <c r="J72" s="1844"/>
      <c r="K72" s="1979"/>
      <c r="L72" s="1982">
        <f t="shared" si="0"/>
        <v>1319934</v>
      </c>
      <c r="M72" s="1838">
        <v>340436</v>
      </c>
      <c r="N72" s="479">
        <v>290650</v>
      </c>
      <c r="O72" s="1827"/>
      <c r="P72" s="1979"/>
      <c r="Q72" s="1986">
        <f t="shared" si="2"/>
        <v>631086</v>
      </c>
    </row>
    <row r="73" spans="1:17">
      <c r="A73" s="134">
        <f t="shared" si="5"/>
        <v>1998.04</v>
      </c>
      <c r="B73" s="1818">
        <f t="shared" si="3"/>
        <v>1541857</v>
      </c>
      <c r="C73" s="1822">
        <f t="shared" si="4"/>
        <v>214023</v>
      </c>
      <c r="D73" s="1007">
        <v>2193405</v>
      </c>
      <c r="E73" s="1827"/>
      <c r="F73" s="479">
        <v>900044</v>
      </c>
      <c r="G73" s="1833"/>
      <c r="H73" s="1838">
        <v>735230</v>
      </c>
      <c r="I73" s="1704">
        <v>806627</v>
      </c>
      <c r="J73" s="1844"/>
      <c r="K73" s="1979"/>
      <c r="L73" s="1982">
        <f t="shared" si="0"/>
        <v>1541857</v>
      </c>
      <c r="M73" s="1838">
        <v>65207</v>
      </c>
      <c r="N73" s="479">
        <v>148816</v>
      </c>
      <c r="O73" s="1827"/>
      <c r="P73" s="1979"/>
      <c r="Q73" s="1986">
        <f t="shared" si="2"/>
        <v>214023</v>
      </c>
    </row>
    <row r="74" spans="1:17">
      <c r="A74" s="134">
        <f t="shared" si="5"/>
        <v>1998.05</v>
      </c>
      <c r="B74" s="1818">
        <f t="shared" si="3"/>
        <v>1180598</v>
      </c>
      <c r="C74" s="1822">
        <f t="shared" si="4"/>
        <v>111460</v>
      </c>
      <c r="D74" s="1007">
        <v>2081960</v>
      </c>
      <c r="E74" s="1827"/>
      <c r="F74" s="479">
        <v>788528</v>
      </c>
      <c r="G74" s="1833"/>
      <c r="H74" s="1838">
        <v>532255</v>
      </c>
      <c r="I74" s="1704">
        <v>648343</v>
      </c>
      <c r="J74" s="1844"/>
      <c r="K74" s="1979"/>
      <c r="L74" s="1982">
        <f t="shared" ref="L74:L137" si="6">SUM(H74:K74)</f>
        <v>1180598</v>
      </c>
      <c r="M74" s="1838">
        <v>43554</v>
      </c>
      <c r="N74" s="479">
        <v>67906</v>
      </c>
      <c r="O74" s="1827"/>
      <c r="P74" s="1979"/>
      <c r="Q74" s="1986">
        <f t="shared" ref="Q74:Q137" si="7">SUM(M74:P74)</f>
        <v>111460</v>
      </c>
    </row>
    <row r="75" spans="1:17">
      <c r="A75" s="134">
        <f t="shared" si="5"/>
        <v>1998.06</v>
      </c>
      <c r="B75" s="1818">
        <f t="shared" si="3"/>
        <v>798895</v>
      </c>
      <c r="C75" s="1822">
        <f t="shared" si="4"/>
        <v>184335</v>
      </c>
      <c r="D75" s="1007">
        <v>1897457</v>
      </c>
      <c r="E75" s="1827"/>
      <c r="F75" s="479">
        <v>632721</v>
      </c>
      <c r="G75" s="1833"/>
      <c r="H75" s="1838">
        <v>445685</v>
      </c>
      <c r="I75" s="1704">
        <v>353210</v>
      </c>
      <c r="J75" s="1844"/>
      <c r="K75" s="1979"/>
      <c r="L75" s="1982">
        <f t="shared" si="6"/>
        <v>798895</v>
      </c>
      <c r="M75" s="1838">
        <v>152519</v>
      </c>
      <c r="N75" s="479">
        <v>31816</v>
      </c>
      <c r="O75" s="1827"/>
      <c r="P75" s="1979"/>
      <c r="Q75" s="1986">
        <f t="shared" si="7"/>
        <v>184335</v>
      </c>
    </row>
    <row r="76" spans="1:17">
      <c r="A76" s="134">
        <f t="shared" si="5"/>
        <v>1998.07</v>
      </c>
      <c r="B76" s="1818">
        <f t="shared" ref="B76:B139" si="8">L76</f>
        <v>492283</v>
      </c>
      <c r="C76" s="1822">
        <f t="shared" ref="C76:C139" si="9">Q76</f>
        <v>77200</v>
      </c>
      <c r="D76" s="1007">
        <v>1335399</v>
      </c>
      <c r="E76" s="1827"/>
      <c r="F76" s="479">
        <v>631634</v>
      </c>
      <c r="G76" s="1833"/>
      <c r="H76" s="1838">
        <v>210690</v>
      </c>
      <c r="I76" s="1704">
        <v>281593</v>
      </c>
      <c r="J76" s="1844"/>
      <c r="K76" s="1979"/>
      <c r="L76" s="1982">
        <f t="shared" si="6"/>
        <v>492283</v>
      </c>
      <c r="M76" s="1838">
        <v>77200</v>
      </c>
      <c r="N76" s="479">
        <v>0</v>
      </c>
      <c r="O76" s="1827"/>
      <c r="P76" s="1979"/>
      <c r="Q76" s="1986">
        <f t="shared" si="7"/>
        <v>77200</v>
      </c>
    </row>
    <row r="77" spans="1:17">
      <c r="A77" s="134">
        <f t="shared" si="5"/>
        <v>1998.08</v>
      </c>
      <c r="B77" s="1818">
        <f t="shared" si="8"/>
        <v>558318</v>
      </c>
      <c r="C77" s="1822">
        <f t="shared" si="9"/>
        <v>44880</v>
      </c>
      <c r="D77" s="1007">
        <v>1100473</v>
      </c>
      <c r="E77" s="1827"/>
      <c r="F77" s="479">
        <v>553061</v>
      </c>
      <c r="G77" s="1833"/>
      <c r="H77" s="1838">
        <v>270625</v>
      </c>
      <c r="I77" s="1704">
        <v>287693</v>
      </c>
      <c r="J77" s="1844"/>
      <c r="K77" s="1979"/>
      <c r="L77" s="1982">
        <f t="shared" si="6"/>
        <v>558318</v>
      </c>
      <c r="M77" s="1838">
        <v>22030</v>
      </c>
      <c r="N77" s="479">
        <v>22850</v>
      </c>
      <c r="O77" s="1827"/>
      <c r="P77" s="1979"/>
      <c r="Q77" s="1986">
        <f t="shared" si="7"/>
        <v>44880</v>
      </c>
    </row>
    <row r="78" spans="1:17">
      <c r="A78" s="134">
        <f t="shared" si="5"/>
        <v>1998.09</v>
      </c>
      <c r="B78" s="1818">
        <f t="shared" si="8"/>
        <v>290098</v>
      </c>
      <c r="C78" s="1822">
        <f t="shared" si="9"/>
        <v>43900</v>
      </c>
      <c r="D78" s="1007">
        <v>630030</v>
      </c>
      <c r="E78" s="1827"/>
      <c r="F78" s="479">
        <v>634791</v>
      </c>
      <c r="G78" s="1833"/>
      <c r="H78" s="1838">
        <v>101596</v>
      </c>
      <c r="I78" s="1704">
        <v>188502</v>
      </c>
      <c r="J78" s="1844"/>
      <c r="K78" s="1979"/>
      <c r="L78" s="1982">
        <f t="shared" si="6"/>
        <v>290098</v>
      </c>
      <c r="M78" s="1838">
        <v>40900</v>
      </c>
      <c r="N78" s="479">
        <v>3000</v>
      </c>
      <c r="O78" s="1827"/>
      <c r="P78" s="1979"/>
      <c r="Q78" s="1986">
        <f t="shared" si="7"/>
        <v>43900</v>
      </c>
    </row>
    <row r="79" spans="1:17">
      <c r="A79" s="134">
        <f t="shared" si="5"/>
        <v>1998.1</v>
      </c>
      <c r="B79" s="1818">
        <f t="shared" si="8"/>
        <v>249967</v>
      </c>
      <c r="C79" s="1822">
        <f t="shared" si="9"/>
        <v>25957</v>
      </c>
      <c r="D79" s="1007">
        <v>472442</v>
      </c>
      <c r="E79" s="1827"/>
      <c r="F79" s="479">
        <v>523226</v>
      </c>
      <c r="G79" s="1833"/>
      <c r="H79" s="1838">
        <v>70651</v>
      </c>
      <c r="I79" s="1704">
        <v>179316</v>
      </c>
      <c r="J79" s="1844"/>
      <c r="K79" s="1979"/>
      <c r="L79" s="1982">
        <f t="shared" si="6"/>
        <v>249967</v>
      </c>
      <c r="M79" s="1838">
        <v>15457</v>
      </c>
      <c r="N79" s="479">
        <v>10500</v>
      </c>
      <c r="O79" s="1827"/>
      <c r="P79" s="1979"/>
      <c r="Q79" s="1986">
        <f t="shared" si="7"/>
        <v>25957</v>
      </c>
    </row>
    <row r="80" spans="1:17">
      <c r="A80" s="134">
        <f t="shared" si="5"/>
        <v>1998.11</v>
      </c>
      <c r="B80" s="1818">
        <f t="shared" si="8"/>
        <v>217481</v>
      </c>
      <c r="C80" s="1822">
        <f t="shared" si="9"/>
        <v>58330</v>
      </c>
      <c r="D80" s="1007">
        <v>262010</v>
      </c>
      <c r="E80" s="1827"/>
      <c r="F80" s="479">
        <v>579585</v>
      </c>
      <c r="G80" s="1833"/>
      <c r="H80" s="1838">
        <v>99142</v>
      </c>
      <c r="I80" s="1704">
        <v>118339</v>
      </c>
      <c r="J80" s="1844"/>
      <c r="K80" s="1979"/>
      <c r="L80" s="1982">
        <f t="shared" si="6"/>
        <v>217481</v>
      </c>
      <c r="M80" s="1838">
        <v>9830</v>
      </c>
      <c r="N80" s="479">
        <v>48500</v>
      </c>
      <c r="O80" s="1827"/>
      <c r="P80" s="1979"/>
      <c r="Q80" s="1986">
        <f t="shared" si="7"/>
        <v>58330</v>
      </c>
    </row>
    <row r="81" spans="1:17">
      <c r="A81" s="134">
        <f t="shared" si="5"/>
        <v>1998.12</v>
      </c>
      <c r="B81" s="1818">
        <f t="shared" si="8"/>
        <v>174010</v>
      </c>
      <c r="C81" s="1822">
        <f t="shared" si="9"/>
        <v>270459</v>
      </c>
      <c r="D81" s="1007">
        <v>243675</v>
      </c>
      <c r="E81" s="1827"/>
      <c r="F81" s="479">
        <v>602356</v>
      </c>
      <c r="G81" s="1833"/>
      <c r="H81" s="1838">
        <v>85063</v>
      </c>
      <c r="I81" s="1704">
        <v>88947</v>
      </c>
      <c r="J81" s="1844"/>
      <c r="K81" s="1979"/>
      <c r="L81" s="1982">
        <f t="shared" si="6"/>
        <v>174010</v>
      </c>
      <c r="M81" s="1838">
        <v>89946</v>
      </c>
      <c r="N81" s="479">
        <v>180513</v>
      </c>
      <c r="O81" s="1827"/>
      <c r="P81" s="1979"/>
      <c r="Q81" s="1986">
        <f t="shared" si="7"/>
        <v>270459</v>
      </c>
    </row>
    <row r="82" spans="1:17">
      <c r="A82" s="134">
        <f t="shared" si="5"/>
        <v>1999.01</v>
      </c>
      <c r="B82" s="1818">
        <f t="shared" si="8"/>
        <v>114937</v>
      </c>
      <c r="C82" s="1822">
        <f t="shared" si="9"/>
        <v>110651</v>
      </c>
      <c r="D82" s="1007">
        <v>148835</v>
      </c>
      <c r="E82" s="1827"/>
      <c r="F82" s="479">
        <v>739516</v>
      </c>
      <c r="G82" s="1833"/>
      <c r="H82" s="1838">
        <v>13650</v>
      </c>
      <c r="I82" s="1704">
        <v>101287</v>
      </c>
      <c r="J82" s="1844"/>
      <c r="K82" s="1979"/>
      <c r="L82" s="1982">
        <f t="shared" si="6"/>
        <v>114937</v>
      </c>
      <c r="M82" s="1838">
        <v>50431</v>
      </c>
      <c r="N82" s="479">
        <v>60220</v>
      </c>
      <c r="O82" s="1827"/>
      <c r="P82" s="1979"/>
      <c r="Q82" s="1986">
        <f t="shared" si="7"/>
        <v>110651</v>
      </c>
    </row>
    <row r="83" spans="1:17">
      <c r="A83" s="134">
        <f t="shared" si="5"/>
        <v>1999.02</v>
      </c>
      <c r="B83" s="1818">
        <f t="shared" si="8"/>
        <v>89250</v>
      </c>
      <c r="C83" s="1822">
        <f t="shared" si="9"/>
        <v>398248</v>
      </c>
      <c r="D83" s="1007">
        <v>153097</v>
      </c>
      <c r="E83" s="1827"/>
      <c r="F83" s="479">
        <v>1000908</v>
      </c>
      <c r="G83" s="1833"/>
      <c r="H83" s="1838">
        <v>72050</v>
      </c>
      <c r="I83" s="1704">
        <v>17200</v>
      </c>
      <c r="J83" s="1844"/>
      <c r="K83" s="1979"/>
      <c r="L83" s="1982">
        <f t="shared" si="6"/>
        <v>89250</v>
      </c>
      <c r="M83" s="1838">
        <v>195883</v>
      </c>
      <c r="N83" s="479">
        <v>202365</v>
      </c>
      <c r="O83" s="1827"/>
      <c r="P83" s="1979"/>
      <c r="Q83" s="1986">
        <f t="shared" si="7"/>
        <v>398248</v>
      </c>
    </row>
    <row r="84" spans="1:17">
      <c r="A84" s="134">
        <f t="shared" si="5"/>
        <v>1999.03</v>
      </c>
      <c r="B84" s="1818">
        <f t="shared" si="8"/>
        <v>975040</v>
      </c>
      <c r="C84" s="1822">
        <f t="shared" si="9"/>
        <v>416061</v>
      </c>
      <c r="D84" s="1007">
        <v>1257304</v>
      </c>
      <c r="E84" s="1827"/>
      <c r="F84" s="479">
        <v>896628</v>
      </c>
      <c r="G84" s="1833"/>
      <c r="H84" s="1838">
        <v>520047</v>
      </c>
      <c r="I84" s="1704">
        <v>454993</v>
      </c>
      <c r="J84" s="1844"/>
      <c r="K84" s="1979"/>
      <c r="L84" s="1982">
        <f t="shared" si="6"/>
        <v>975040</v>
      </c>
      <c r="M84" s="1838">
        <v>148325</v>
      </c>
      <c r="N84" s="479">
        <v>267736</v>
      </c>
      <c r="O84" s="1827"/>
      <c r="P84" s="1979"/>
      <c r="Q84" s="1986">
        <f t="shared" si="7"/>
        <v>416061</v>
      </c>
    </row>
    <row r="85" spans="1:17">
      <c r="A85" s="134">
        <f t="shared" si="5"/>
        <v>1999.04</v>
      </c>
      <c r="B85" s="1818">
        <f t="shared" si="8"/>
        <v>1348456</v>
      </c>
      <c r="C85" s="1822">
        <f t="shared" si="9"/>
        <v>325900</v>
      </c>
      <c r="D85" s="1007">
        <v>1849488</v>
      </c>
      <c r="E85" s="1827"/>
      <c r="F85" s="479">
        <v>794220</v>
      </c>
      <c r="G85" s="1833"/>
      <c r="H85" s="1838">
        <v>688065</v>
      </c>
      <c r="I85" s="1704">
        <v>660391</v>
      </c>
      <c r="J85" s="1844"/>
      <c r="K85" s="1979"/>
      <c r="L85" s="1982">
        <f t="shared" si="6"/>
        <v>1348456</v>
      </c>
      <c r="M85" s="1838">
        <v>113330</v>
      </c>
      <c r="N85" s="479">
        <v>212570</v>
      </c>
      <c r="O85" s="1827"/>
      <c r="P85" s="1979"/>
      <c r="Q85" s="1986">
        <f t="shared" si="7"/>
        <v>325900</v>
      </c>
    </row>
    <row r="86" spans="1:17">
      <c r="A86" s="134">
        <f t="shared" ref="A86:A149" si="10">A74+1</f>
        <v>1999.05</v>
      </c>
      <c r="B86" s="1818">
        <f t="shared" si="8"/>
        <v>933796</v>
      </c>
      <c r="C86" s="1822">
        <f t="shared" si="9"/>
        <v>232117</v>
      </c>
      <c r="D86" s="1007">
        <v>1641981</v>
      </c>
      <c r="E86" s="1827"/>
      <c r="F86" s="479">
        <v>675128</v>
      </c>
      <c r="G86" s="1833"/>
      <c r="H86" s="1838">
        <v>398416</v>
      </c>
      <c r="I86" s="1704">
        <v>535380</v>
      </c>
      <c r="J86" s="1844"/>
      <c r="K86" s="1979"/>
      <c r="L86" s="1982">
        <f t="shared" si="6"/>
        <v>933796</v>
      </c>
      <c r="M86" s="1838">
        <v>90926</v>
      </c>
      <c r="N86" s="479">
        <v>141191</v>
      </c>
      <c r="O86" s="1827"/>
      <c r="P86" s="1979"/>
      <c r="Q86" s="1986">
        <f t="shared" si="7"/>
        <v>232117</v>
      </c>
    </row>
    <row r="87" spans="1:17">
      <c r="A87" s="134">
        <f t="shared" si="10"/>
        <v>1999.06</v>
      </c>
      <c r="B87" s="1818">
        <f t="shared" si="8"/>
        <v>443465</v>
      </c>
      <c r="C87" s="1822">
        <f t="shared" si="9"/>
        <v>144781</v>
      </c>
      <c r="D87" s="1007">
        <v>862199</v>
      </c>
      <c r="E87" s="1827"/>
      <c r="F87" s="479">
        <v>715982</v>
      </c>
      <c r="G87" s="1833"/>
      <c r="H87" s="1838">
        <v>217328</v>
      </c>
      <c r="I87" s="1704">
        <v>226137</v>
      </c>
      <c r="J87" s="1844"/>
      <c r="K87" s="1979"/>
      <c r="L87" s="1982">
        <f t="shared" si="6"/>
        <v>443465</v>
      </c>
      <c r="M87" s="1838">
        <v>104781</v>
      </c>
      <c r="N87" s="479">
        <v>40000</v>
      </c>
      <c r="O87" s="1827"/>
      <c r="P87" s="1979"/>
      <c r="Q87" s="1986">
        <f t="shared" si="7"/>
        <v>144781</v>
      </c>
    </row>
    <row r="88" spans="1:17">
      <c r="A88" s="134">
        <f t="shared" si="10"/>
        <v>1999.07</v>
      </c>
      <c r="B88" s="1818">
        <f t="shared" si="8"/>
        <v>267494</v>
      </c>
      <c r="C88" s="1822">
        <f t="shared" si="9"/>
        <v>51700</v>
      </c>
      <c r="D88" s="1007">
        <v>430311</v>
      </c>
      <c r="E88" s="1827"/>
      <c r="F88" s="479">
        <v>468181</v>
      </c>
      <c r="G88" s="1833"/>
      <c r="H88" s="1838">
        <v>102619</v>
      </c>
      <c r="I88" s="1704">
        <v>164875</v>
      </c>
      <c r="J88" s="1844"/>
      <c r="K88" s="1979"/>
      <c r="L88" s="1982">
        <f t="shared" si="6"/>
        <v>267494</v>
      </c>
      <c r="M88" s="1838">
        <v>26600</v>
      </c>
      <c r="N88" s="479">
        <v>25100</v>
      </c>
      <c r="O88" s="1827"/>
      <c r="P88" s="1979"/>
      <c r="Q88" s="1986">
        <f t="shared" si="7"/>
        <v>51700</v>
      </c>
    </row>
    <row r="89" spans="1:17">
      <c r="A89" s="134">
        <f t="shared" si="10"/>
        <v>1999.08</v>
      </c>
      <c r="B89" s="1818">
        <f t="shared" si="8"/>
        <v>211119</v>
      </c>
      <c r="C89" s="1822">
        <f t="shared" si="9"/>
        <v>43260</v>
      </c>
      <c r="D89" s="1007">
        <v>389645</v>
      </c>
      <c r="E89" s="1827"/>
      <c r="F89" s="479">
        <v>541266</v>
      </c>
      <c r="G89" s="1833"/>
      <c r="H89" s="1838">
        <v>65791</v>
      </c>
      <c r="I89" s="1704">
        <v>145328</v>
      </c>
      <c r="J89" s="1844"/>
      <c r="K89" s="1979"/>
      <c r="L89" s="1982">
        <f t="shared" si="6"/>
        <v>211119</v>
      </c>
      <c r="M89" s="1838">
        <v>14700</v>
      </c>
      <c r="N89" s="479">
        <v>28560</v>
      </c>
      <c r="O89" s="1827"/>
      <c r="P89" s="1979"/>
      <c r="Q89" s="1986">
        <f t="shared" si="7"/>
        <v>43260</v>
      </c>
    </row>
    <row r="90" spans="1:17">
      <c r="A90" s="134">
        <f t="shared" si="10"/>
        <v>1999.09</v>
      </c>
      <c r="B90" s="1818">
        <f t="shared" si="8"/>
        <v>100803</v>
      </c>
      <c r="C90" s="1822">
        <f t="shared" si="9"/>
        <v>70786</v>
      </c>
      <c r="D90" s="1007">
        <v>144072</v>
      </c>
      <c r="E90" s="1827"/>
      <c r="F90" s="479">
        <v>467680</v>
      </c>
      <c r="G90" s="1833"/>
      <c r="H90" s="1838">
        <v>47047</v>
      </c>
      <c r="I90" s="1704">
        <v>53756</v>
      </c>
      <c r="J90" s="1844"/>
      <c r="K90" s="1979"/>
      <c r="L90" s="1982">
        <f t="shared" si="6"/>
        <v>100803</v>
      </c>
      <c r="M90" s="1838">
        <v>26620</v>
      </c>
      <c r="N90" s="479">
        <v>44166</v>
      </c>
      <c r="O90" s="1827"/>
      <c r="P90" s="1979"/>
      <c r="Q90" s="1986">
        <f t="shared" si="7"/>
        <v>70786</v>
      </c>
    </row>
    <row r="91" spans="1:17">
      <c r="A91" s="134">
        <f t="shared" si="10"/>
        <v>1999.1</v>
      </c>
      <c r="B91" s="1818">
        <f t="shared" si="8"/>
        <v>113277</v>
      </c>
      <c r="C91" s="1822">
        <f t="shared" si="9"/>
        <v>37952</v>
      </c>
      <c r="D91" s="1007">
        <v>200536</v>
      </c>
      <c r="E91" s="1827"/>
      <c r="F91" s="479">
        <v>435624</v>
      </c>
      <c r="G91" s="1833"/>
      <c r="H91" s="1838">
        <v>46739</v>
      </c>
      <c r="I91" s="1704">
        <v>66538</v>
      </c>
      <c r="J91" s="1844"/>
      <c r="K91" s="1979"/>
      <c r="L91" s="1982">
        <f t="shared" si="6"/>
        <v>113277</v>
      </c>
      <c r="M91" s="1838">
        <v>17400</v>
      </c>
      <c r="N91" s="479">
        <v>20552</v>
      </c>
      <c r="O91" s="1827"/>
      <c r="P91" s="1979"/>
      <c r="Q91" s="1986">
        <f t="shared" si="7"/>
        <v>37952</v>
      </c>
    </row>
    <row r="92" spans="1:17">
      <c r="A92" s="134">
        <f t="shared" si="10"/>
        <v>1999.11</v>
      </c>
      <c r="B92" s="1818">
        <f t="shared" si="8"/>
        <v>300009</v>
      </c>
      <c r="C92" s="1822">
        <f t="shared" si="9"/>
        <v>330945</v>
      </c>
      <c r="D92" s="1007">
        <v>425355</v>
      </c>
      <c r="E92" s="1827"/>
      <c r="F92" s="479">
        <v>436718</v>
      </c>
      <c r="G92" s="1833"/>
      <c r="H92" s="1838">
        <v>83649</v>
      </c>
      <c r="I92" s="1704">
        <v>216360</v>
      </c>
      <c r="J92" s="1844"/>
      <c r="K92" s="1979"/>
      <c r="L92" s="1982">
        <f t="shared" si="6"/>
        <v>300009</v>
      </c>
      <c r="M92" s="1838">
        <v>145500</v>
      </c>
      <c r="N92" s="479">
        <v>185445</v>
      </c>
      <c r="O92" s="1827"/>
      <c r="P92" s="1979"/>
      <c r="Q92" s="1986">
        <f t="shared" si="7"/>
        <v>330945</v>
      </c>
    </row>
    <row r="93" spans="1:17">
      <c r="A93" s="134">
        <f t="shared" si="10"/>
        <v>1999.12</v>
      </c>
      <c r="B93" s="1818">
        <f t="shared" si="8"/>
        <v>218644</v>
      </c>
      <c r="C93" s="1822">
        <f t="shared" si="9"/>
        <v>1020368</v>
      </c>
      <c r="D93" s="1007">
        <v>238713</v>
      </c>
      <c r="E93" s="1827"/>
      <c r="F93" s="479">
        <v>1383449</v>
      </c>
      <c r="G93" s="1833"/>
      <c r="H93" s="1838">
        <v>121180</v>
      </c>
      <c r="I93" s="1704">
        <v>97464</v>
      </c>
      <c r="J93" s="1844"/>
      <c r="K93" s="1979"/>
      <c r="L93" s="1982">
        <f t="shared" si="6"/>
        <v>218644</v>
      </c>
      <c r="M93" s="1838">
        <v>428630</v>
      </c>
      <c r="N93" s="479">
        <v>591738</v>
      </c>
      <c r="O93" s="1827"/>
      <c r="P93" s="1979"/>
      <c r="Q93" s="1986">
        <f t="shared" si="7"/>
        <v>1020368</v>
      </c>
    </row>
    <row r="94" spans="1:17">
      <c r="A94" s="134">
        <f t="shared" si="10"/>
        <v>2000.01</v>
      </c>
      <c r="B94" s="1818">
        <f t="shared" si="8"/>
        <v>191256</v>
      </c>
      <c r="C94" s="1822">
        <f t="shared" si="9"/>
        <v>625308</v>
      </c>
      <c r="D94" s="1007">
        <v>252872</v>
      </c>
      <c r="E94" s="1827"/>
      <c r="F94" s="479">
        <v>1699812</v>
      </c>
      <c r="G94" s="1833"/>
      <c r="H94" s="1838">
        <v>92361</v>
      </c>
      <c r="I94" s="1704">
        <v>98895</v>
      </c>
      <c r="J94" s="1844"/>
      <c r="K94" s="1979"/>
      <c r="L94" s="1982">
        <f t="shared" si="6"/>
        <v>191256</v>
      </c>
      <c r="M94" s="1838">
        <v>201675</v>
      </c>
      <c r="N94" s="479">
        <v>423633</v>
      </c>
      <c r="O94" s="1827"/>
      <c r="P94" s="1979"/>
      <c r="Q94" s="1986">
        <f t="shared" si="7"/>
        <v>625308</v>
      </c>
    </row>
    <row r="95" spans="1:17">
      <c r="A95" s="134">
        <f t="shared" si="10"/>
        <v>2000.02</v>
      </c>
      <c r="B95" s="1818">
        <f t="shared" si="8"/>
        <v>154597</v>
      </c>
      <c r="C95" s="1822">
        <f t="shared" si="9"/>
        <v>579460</v>
      </c>
      <c r="D95" s="1007">
        <v>204071</v>
      </c>
      <c r="E95" s="1827"/>
      <c r="F95" s="479">
        <v>1356696</v>
      </c>
      <c r="G95" s="1833"/>
      <c r="H95" s="1838">
        <v>85512</v>
      </c>
      <c r="I95" s="1704">
        <v>69085</v>
      </c>
      <c r="J95" s="1844"/>
      <c r="K95" s="1979"/>
      <c r="L95" s="1982">
        <f t="shared" si="6"/>
        <v>154597</v>
      </c>
      <c r="M95" s="1838">
        <v>224961</v>
      </c>
      <c r="N95" s="479">
        <v>354499</v>
      </c>
      <c r="O95" s="1827"/>
      <c r="P95" s="1979"/>
      <c r="Q95" s="1986">
        <f t="shared" si="7"/>
        <v>579460</v>
      </c>
    </row>
    <row r="96" spans="1:17">
      <c r="A96" s="134">
        <f t="shared" si="10"/>
        <v>2000.03</v>
      </c>
      <c r="B96" s="1818">
        <f t="shared" si="8"/>
        <v>1243926</v>
      </c>
      <c r="C96" s="1822">
        <f t="shared" si="9"/>
        <v>574782</v>
      </c>
      <c r="D96" s="1007">
        <v>1365203</v>
      </c>
      <c r="E96" s="1827"/>
      <c r="F96" s="479">
        <v>1121253</v>
      </c>
      <c r="G96" s="1833"/>
      <c r="H96" s="1838">
        <v>600429</v>
      </c>
      <c r="I96" s="1704">
        <v>643497</v>
      </c>
      <c r="J96" s="1844"/>
      <c r="K96" s="1979"/>
      <c r="L96" s="1982">
        <f t="shared" si="6"/>
        <v>1243926</v>
      </c>
      <c r="M96" s="1838">
        <v>156004</v>
      </c>
      <c r="N96" s="479">
        <v>418778</v>
      </c>
      <c r="O96" s="1827"/>
      <c r="P96" s="1979"/>
      <c r="Q96" s="1986">
        <f t="shared" si="7"/>
        <v>574782</v>
      </c>
    </row>
    <row r="97" spans="1:17">
      <c r="A97" s="134">
        <f t="shared" si="10"/>
        <v>2000.04</v>
      </c>
      <c r="B97" s="1818">
        <f t="shared" si="8"/>
        <v>1408273</v>
      </c>
      <c r="C97" s="1822">
        <f t="shared" si="9"/>
        <v>261387</v>
      </c>
      <c r="D97" s="1007">
        <v>1799333</v>
      </c>
      <c r="E97" s="1827"/>
      <c r="F97" s="479">
        <v>849785</v>
      </c>
      <c r="G97" s="1833"/>
      <c r="H97" s="1838">
        <v>806096</v>
      </c>
      <c r="I97" s="1704">
        <v>602177</v>
      </c>
      <c r="J97" s="1844"/>
      <c r="K97" s="1979"/>
      <c r="L97" s="1982">
        <f t="shared" si="6"/>
        <v>1408273</v>
      </c>
      <c r="M97" s="1838">
        <v>114020</v>
      </c>
      <c r="N97" s="479">
        <v>147367</v>
      </c>
      <c r="O97" s="1827"/>
      <c r="P97" s="1979"/>
      <c r="Q97" s="1986">
        <f t="shared" si="7"/>
        <v>261387</v>
      </c>
    </row>
    <row r="98" spans="1:17">
      <c r="A98" s="134">
        <f t="shared" si="10"/>
        <v>2000.05</v>
      </c>
      <c r="B98" s="1818">
        <f t="shared" si="8"/>
        <v>871889</v>
      </c>
      <c r="C98" s="1822">
        <f t="shared" si="9"/>
        <v>345154</v>
      </c>
      <c r="D98" s="1007">
        <v>1460185</v>
      </c>
      <c r="E98" s="1827"/>
      <c r="F98" s="479">
        <v>784773</v>
      </c>
      <c r="G98" s="1833"/>
      <c r="H98" s="1838">
        <v>432739</v>
      </c>
      <c r="I98" s="1704">
        <v>439150</v>
      </c>
      <c r="J98" s="1844"/>
      <c r="K98" s="1979"/>
      <c r="L98" s="1982">
        <f t="shared" si="6"/>
        <v>871889</v>
      </c>
      <c r="M98" s="1838">
        <v>62000</v>
      </c>
      <c r="N98" s="479">
        <v>283154</v>
      </c>
      <c r="O98" s="1827"/>
      <c r="P98" s="1979"/>
      <c r="Q98" s="1986">
        <f t="shared" si="7"/>
        <v>345154</v>
      </c>
    </row>
    <row r="99" spans="1:17">
      <c r="A99" s="134">
        <f t="shared" si="10"/>
        <v>2000.06</v>
      </c>
      <c r="B99" s="1818">
        <f t="shared" si="8"/>
        <v>498969</v>
      </c>
      <c r="C99" s="1822">
        <f t="shared" si="9"/>
        <v>125993</v>
      </c>
      <c r="D99" s="1007">
        <v>1024773</v>
      </c>
      <c r="E99" s="1827"/>
      <c r="F99" s="479">
        <v>739089</v>
      </c>
      <c r="G99" s="1833"/>
      <c r="H99" s="1838">
        <v>183149</v>
      </c>
      <c r="I99" s="1704">
        <v>315820</v>
      </c>
      <c r="J99" s="1844"/>
      <c r="K99" s="1979"/>
      <c r="L99" s="1982">
        <f t="shared" si="6"/>
        <v>498969</v>
      </c>
      <c r="M99" s="1838">
        <v>19885</v>
      </c>
      <c r="N99" s="479">
        <v>106108</v>
      </c>
      <c r="O99" s="1827"/>
      <c r="P99" s="1979"/>
      <c r="Q99" s="1986">
        <f t="shared" si="7"/>
        <v>125993</v>
      </c>
    </row>
    <row r="100" spans="1:17">
      <c r="A100" s="134">
        <f t="shared" si="10"/>
        <v>2000.07</v>
      </c>
      <c r="B100" s="1818">
        <f t="shared" si="8"/>
        <v>298190</v>
      </c>
      <c r="C100" s="1822">
        <f t="shared" si="9"/>
        <v>324602</v>
      </c>
      <c r="D100" s="1007">
        <v>499612</v>
      </c>
      <c r="E100" s="1827"/>
      <c r="F100" s="479">
        <v>625148</v>
      </c>
      <c r="G100" s="1833"/>
      <c r="H100" s="1838">
        <v>142613</v>
      </c>
      <c r="I100" s="1704">
        <v>155577</v>
      </c>
      <c r="J100" s="1844"/>
      <c r="K100" s="1979"/>
      <c r="L100" s="1982">
        <f t="shared" si="6"/>
        <v>298190</v>
      </c>
      <c r="M100" s="1838">
        <v>215082</v>
      </c>
      <c r="N100" s="479">
        <v>109520</v>
      </c>
      <c r="O100" s="1827"/>
      <c r="P100" s="1979"/>
      <c r="Q100" s="1986">
        <f t="shared" si="7"/>
        <v>324602</v>
      </c>
    </row>
    <row r="101" spans="1:17">
      <c r="A101" s="134">
        <f t="shared" si="10"/>
        <v>2000.08</v>
      </c>
      <c r="B101" s="1818">
        <f t="shared" si="8"/>
        <v>459237</v>
      </c>
      <c r="C101" s="1822">
        <f t="shared" si="9"/>
        <v>112931</v>
      </c>
      <c r="D101" s="1007">
        <v>754289</v>
      </c>
      <c r="E101" s="1827"/>
      <c r="F101" s="479">
        <v>667072</v>
      </c>
      <c r="G101" s="1833"/>
      <c r="H101" s="1838">
        <v>218406</v>
      </c>
      <c r="I101" s="1704">
        <v>240831</v>
      </c>
      <c r="J101" s="1844"/>
      <c r="K101" s="1979"/>
      <c r="L101" s="1982">
        <f t="shared" si="6"/>
        <v>459237</v>
      </c>
      <c r="M101" s="1838">
        <v>61400</v>
      </c>
      <c r="N101" s="479">
        <v>51531</v>
      </c>
      <c r="O101" s="1827"/>
      <c r="P101" s="1979"/>
      <c r="Q101" s="1986">
        <f t="shared" si="7"/>
        <v>112931</v>
      </c>
    </row>
    <row r="102" spans="1:17">
      <c r="A102" s="134">
        <f t="shared" si="10"/>
        <v>2000.09</v>
      </c>
      <c r="B102" s="1818">
        <f t="shared" si="8"/>
        <v>358505</v>
      </c>
      <c r="C102" s="1822">
        <f t="shared" si="9"/>
        <v>108956</v>
      </c>
      <c r="D102" s="1007">
        <v>631260</v>
      </c>
      <c r="E102" s="1827"/>
      <c r="F102" s="479">
        <v>635547</v>
      </c>
      <c r="G102" s="1833"/>
      <c r="H102" s="1838">
        <v>156981</v>
      </c>
      <c r="I102" s="1704">
        <v>201524</v>
      </c>
      <c r="J102" s="1844"/>
      <c r="K102" s="1979"/>
      <c r="L102" s="1982">
        <f t="shared" si="6"/>
        <v>358505</v>
      </c>
      <c r="M102" s="1838">
        <v>46534</v>
      </c>
      <c r="N102" s="479">
        <v>62422</v>
      </c>
      <c r="O102" s="1827"/>
      <c r="P102" s="1979"/>
      <c r="Q102" s="1986">
        <f t="shared" si="7"/>
        <v>108956</v>
      </c>
    </row>
    <row r="103" spans="1:17">
      <c r="A103" s="134">
        <f t="shared" si="10"/>
        <v>2000.1</v>
      </c>
      <c r="B103" s="1818">
        <f t="shared" si="8"/>
        <v>669982</v>
      </c>
      <c r="C103" s="1822">
        <f t="shared" si="9"/>
        <v>202404</v>
      </c>
      <c r="D103" s="1007">
        <v>812812</v>
      </c>
      <c r="E103" s="1827"/>
      <c r="F103" s="479">
        <v>525737</v>
      </c>
      <c r="G103" s="1833"/>
      <c r="H103" s="1838">
        <v>232951</v>
      </c>
      <c r="I103" s="1704">
        <v>437031</v>
      </c>
      <c r="J103" s="1844"/>
      <c r="K103" s="1979"/>
      <c r="L103" s="1982">
        <f t="shared" si="6"/>
        <v>669982</v>
      </c>
      <c r="M103" s="1838">
        <v>102756</v>
      </c>
      <c r="N103" s="479">
        <v>99648</v>
      </c>
      <c r="O103" s="1827"/>
      <c r="P103" s="1979"/>
      <c r="Q103" s="1986">
        <f t="shared" si="7"/>
        <v>202404</v>
      </c>
    </row>
    <row r="104" spans="1:17">
      <c r="A104" s="134">
        <f t="shared" si="10"/>
        <v>2000.11</v>
      </c>
      <c r="B104" s="1818">
        <f t="shared" si="8"/>
        <v>793646</v>
      </c>
      <c r="C104" s="1822">
        <f t="shared" si="9"/>
        <v>734464</v>
      </c>
      <c r="D104" s="1007">
        <v>1311471</v>
      </c>
      <c r="E104" s="1827"/>
      <c r="F104" s="479">
        <v>446693</v>
      </c>
      <c r="G104" s="1833"/>
      <c r="H104" s="1838">
        <v>266052</v>
      </c>
      <c r="I104" s="1704">
        <v>527594</v>
      </c>
      <c r="J104" s="1844"/>
      <c r="K104" s="1979"/>
      <c r="L104" s="1982">
        <f t="shared" si="6"/>
        <v>793646</v>
      </c>
      <c r="M104" s="1838">
        <v>545928</v>
      </c>
      <c r="N104" s="479">
        <v>188536</v>
      </c>
      <c r="O104" s="1827"/>
      <c r="P104" s="1979"/>
      <c r="Q104" s="1986">
        <f t="shared" si="7"/>
        <v>734464</v>
      </c>
    </row>
    <row r="105" spans="1:17">
      <c r="A105" s="134">
        <f t="shared" si="10"/>
        <v>2000.12</v>
      </c>
      <c r="B105" s="1818">
        <f t="shared" si="8"/>
        <v>439871</v>
      </c>
      <c r="C105" s="1822">
        <f t="shared" si="9"/>
        <v>723257</v>
      </c>
      <c r="D105" s="1007">
        <v>683119</v>
      </c>
      <c r="E105" s="1827"/>
      <c r="F105" s="479">
        <v>1343916</v>
      </c>
      <c r="G105" s="1833"/>
      <c r="H105" s="1838">
        <v>156591</v>
      </c>
      <c r="I105" s="1704">
        <v>283280</v>
      </c>
      <c r="J105" s="1844"/>
      <c r="K105" s="1979"/>
      <c r="L105" s="1982">
        <f t="shared" si="6"/>
        <v>439871</v>
      </c>
      <c r="M105" s="1838">
        <v>235980</v>
      </c>
      <c r="N105" s="479">
        <v>487277</v>
      </c>
      <c r="O105" s="1827"/>
      <c r="P105" s="1979"/>
      <c r="Q105" s="1986">
        <f t="shared" si="7"/>
        <v>723257</v>
      </c>
    </row>
    <row r="106" spans="1:17">
      <c r="A106" s="134">
        <f t="shared" si="10"/>
        <v>2001.01</v>
      </c>
      <c r="B106" s="1818">
        <f t="shared" si="8"/>
        <v>770693</v>
      </c>
      <c r="C106" s="1822">
        <f t="shared" si="9"/>
        <v>957631</v>
      </c>
      <c r="D106" s="1007">
        <v>1018300</v>
      </c>
      <c r="E106" s="1827"/>
      <c r="F106" s="479">
        <v>2179017</v>
      </c>
      <c r="G106" s="1833"/>
      <c r="H106" s="1838">
        <v>172808</v>
      </c>
      <c r="I106" s="1704">
        <v>597885</v>
      </c>
      <c r="J106" s="1844"/>
      <c r="K106" s="1979"/>
      <c r="L106" s="1982">
        <f t="shared" si="6"/>
        <v>770693</v>
      </c>
      <c r="M106" s="1838">
        <v>342802</v>
      </c>
      <c r="N106" s="479">
        <v>614829</v>
      </c>
      <c r="O106" s="1827"/>
      <c r="P106" s="1979"/>
      <c r="Q106" s="1986">
        <f t="shared" si="7"/>
        <v>957631</v>
      </c>
    </row>
    <row r="107" spans="1:17">
      <c r="A107" s="134">
        <f t="shared" si="10"/>
        <v>2001.02</v>
      </c>
      <c r="B107" s="1818">
        <f t="shared" si="8"/>
        <v>463679</v>
      </c>
      <c r="C107" s="1822">
        <f t="shared" si="9"/>
        <v>578547</v>
      </c>
      <c r="D107" s="1007">
        <v>579888</v>
      </c>
      <c r="E107" s="1827"/>
      <c r="F107" s="479">
        <v>1356172</v>
      </c>
      <c r="G107" s="1833"/>
      <c r="H107" s="1838">
        <v>138867</v>
      </c>
      <c r="I107" s="1704">
        <v>324812</v>
      </c>
      <c r="J107" s="1844"/>
      <c r="K107" s="1979"/>
      <c r="L107" s="1982">
        <f t="shared" si="6"/>
        <v>463679</v>
      </c>
      <c r="M107" s="1838">
        <v>129760</v>
      </c>
      <c r="N107" s="479">
        <v>448787</v>
      </c>
      <c r="O107" s="1827"/>
      <c r="P107" s="1979"/>
      <c r="Q107" s="1986">
        <f t="shared" si="7"/>
        <v>578547</v>
      </c>
    </row>
    <row r="108" spans="1:17">
      <c r="A108" s="134">
        <f t="shared" si="10"/>
        <v>2001.03</v>
      </c>
      <c r="B108" s="1818">
        <f t="shared" si="8"/>
        <v>1033958</v>
      </c>
      <c r="C108" s="1822">
        <f t="shared" si="9"/>
        <v>252367</v>
      </c>
      <c r="D108" s="1007">
        <v>1245249</v>
      </c>
      <c r="E108" s="1827"/>
      <c r="F108" s="479">
        <v>750976</v>
      </c>
      <c r="G108" s="1833"/>
      <c r="H108" s="1838">
        <v>453925</v>
      </c>
      <c r="I108" s="1704">
        <v>580033</v>
      </c>
      <c r="J108" s="1844"/>
      <c r="K108" s="1979"/>
      <c r="L108" s="1982">
        <f t="shared" si="6"/>
        <v>1033958</v>
      </c>
      <c r="M108" s="1838">
        <v>104494</v>
      </c>
      <c r="N108" s="479">
        <v>147873</v>
      </c>
      <c r="O108" s="1827"/>
      <c r="P108" s="1979"/>
      <c r="Q108" s="1986">
        <f t="shared" si="7"/>
        <v>252367</v>
      </c>
    </row>
    <row r="109" spans="1:17">
      <c r="A109" s="134">
        <f t="shared" si="10"/>
        <v>2001.04</v>
      </c>
      <c r="B109" s="1818">
        <f t="shared" si="8"/>
        <v>1205319</v>
      </c>
      <c r="C109" s="1822">
        <f t="shared" si="9"/>
        <v>265497</v>
      </c>
      <c r="D109" s="1007">
        <v>1686946</v>
      </c>
      <c r="E109" s="1827"/>
      <c r="F109" s="479">
        <v>633974</v>
      </c>
      <c r="G109" s="1833"/>
      <c r="H109" s="1838">
        <v>546758</v>
      </c>
      <c r="I109" s="1704">
        <v>658561</v>
      </c>
      <c r="J109" s="1844"/>
      <c r="K109" s="1979"/>
      <c r="L109" s="1982">
        <f t="shared" si="6"/>
        <v>1205319</v>
      </c>
      <c r="M109" s="1838">
        <v>24250</v>
      </c>
      <c r="N109" s="479">
        <v>241247</v>
      </c>
      <c r="O109" s="1827"/>
      <c r="P109" s="1979"/>
      <c r="Q109" s="1986">
        <f t="shared" si="7"/>
        <v>265497</v>
      </c>
    </row>
    <row r="110" spans="1:17">
      <c r="A110" s="134">
        <f t="shared" si="10"/>
        <v>2001.05</v>
      </c>
      <c r="B110" s="1818">
        <f t="shared" si="8"/>
        <v>1164501</v>
      </c>
      <c r="C110" s="1822">
        <f t="shared" si="9"/>
        <v>332815</v>
      </c>
      <c r="D110" s="1007">
        <v>1712699</v>
      </c>
      <c r="E110" s="1827"/>
      <c r="F110" s="479">
        <v>916692</v>
      </c>
      <c r="G110" s="1833"/>
      <c r="H110" s="1838">
        <v>362844</v>
      </c>
      <c r="I110" s="1704">
        <v>801657</v>
      </c>
      <c r="J110" s="1844"/>
      <c r="K110" s="1979"/>
      <c r="L110" s="1982">
        <f t="shared" si="6"/>
        <v>1164501</v>
      </c>
      <c r="M110" s="1838">
        <v>182150</v>
      </c>
      <c r="N110" s="479">
        <v>150665</v>
      </c>
      <c r="O110" s="1827"/>
      <c r="P110" s="1979"/>
      <c r="Q110" s="1986">
        <f t="shared" si="7"/>
        <v>332815</v>
      </c>
    </row>
    <row r="111" spans="1:17">
      <c r="A111" s="134">
        <f t="shared" si="10"/>
        <v>2001.06</v>
      </c>
      <c r="B111" s="1818">
        <f t="shared" si="8"/>
        <v>587297</v>
      </c>
      <c r="C111" s="1822">
        <f t="shared" si="9"/>
        <v>170186</v>
      </c>
      <c r="D111" s="1007">
        <v>897904</v>
      </c>
      <c r="E111" s="1827"/>
      <c r="F111" s="479">
        <v>617010</v>
      </c>
      <c r="G111" s="1833"/>
      <c r="H111" s="1838">
        <v>146152</v>
      </c>
      <c r="I111" s="1704">
        <v>441145</v>
      </c>
      <c r="J111" s="1844"/>
      <c r="K111" s="1979"/>
      <c r="L111" s="1982">
        <f t="shared" si="6"/>
        <v>587297</v>
      </c>
      <c r="M111" s="1838">
        <v>93590</v>
      </c>
      <c r="N111" s="479">
        <v>76596</v>
      </c>
      <c r="O111" s="1827"/>
      <c r="P111" s="1979"/>
      <c r="Q111" s="1986">
        <f t="shared" si="7"/>
        <v>170186</v>
      </c>
    </row>
    <row r="112" spans="1:17">
      <c r="A112" s="134">
        <f t="shared" si="10"/>
        <v>2001.07</v>
      </c>
      <c r="B112" s="1818">
        <f t="shared" si="8"/>
        <v>290013</v>
      </c>
      <c r="C112" s="1822">
        <f t="shared" si="9"/>
        <v>99666</v>
      </c>
      <c r="D112" s="1007">
        <v>503277</v>
      </c>
      <c r="E112" s="1827"/>
      <c r="F112" s="479">
        <v>680228</v>
      </c>
      <c r="G112" s="1833"/>
      <c r="H112" s="1838">
        <v>67459</v>
      </c>
      <c r="I112" s="1704">
        <v>222554</v>
      </c>
      <c r="J112" s="1844"/>
      <c r="K112" s="1979"/>
      <c r="L112" s="1982">
        <f t="shared" si="6"/>
        <v>290013</v>
      </c>
      <c r="M112" s="1838">
        <v>7400</v>
      </c>
      <c r="N112" s="479">
        <v>92266</v>
      </c>
      <c r="O112" s="1827"/>
      <c r="P112" s="1979"/>
      <c r="Q112" s="1986">
        <f t="shared" si="7"/>
        <v>99666</v>
      </c>
    </row>
    <row r="113" spans="1:17">
      <c r="A113" s="134">
        <f t="shared" si="10"/>
        <v>2001.08</v>
      </c>
      <c r="B113" s="1818">
        <f t="shared" si="8"/>
        <v>410235</v>
      </c>
      <c r="C113" s="1822">
        <f t="shared" si="9"/>
        <v>181673</v>
      </c>
      <c r="D113" s="1007">
        <v>842437</v>
      </c>
      <c r="E113" s="1827"/>
      <c r="F113" s="479">
        <v>697250</v>
      </c>
      <c r="G113" s="1833"/>
      <c r="H113" s="1838">
        <v>148697</v>
      </c>
      <c r="I113" s="1704">
        <v>261538</v>
      </c>
      <c r="J113" s="1844"/>
      <c r="K113" s="1979"/>
      <c r="L113" s="1982">
        <f t="shared" si="6"/>
        <v>410235</v>
      </c>
      <c r="M113" s="1838">
        <v>109650</v>
      </c>
      <c r="N113" s="479">
        <v>72023</v>
      </c>
      <c r="O113" s="1827"/>
      <c r="P113" s="1979"/>
      <c r="Q113" s="1986">
        <f t="shared" si="7"/>
        <v>181673</v>
      </c>
    </row>
    <row r="114" spans="1:17">
      <c r="A114" s="134">
        <f t="shared" si="10"/>
        <v>2001.09</v>
      </c>
      <c r="B114" s="1818">
        <f t="shared" si="8"/>
        <v>584267</v>
      </c>
      <c r="C114" s="1822">
        <f t="shared" si="9"/>
        <v>37487</v>
      </c>
      <c r="D114" s="1007">
        <v>851628</v>
      </c>
      <c r="E114" s="1827"/>
      <c r="F114" s="479">
        <v>483840</v>
      </c>
      <c r="G114" s="1833"/>
      <c r="H114" s="1838">
        <v>184417</v>
      </c>
      <c r="I114" s="1704">
        <v>399850</v>
      </c>
      <c r="J114" s="1844"/>
      <c r="K114" s="1979"/>
      <c r="L114" s="1982">
        <f t="shared" si="6"/>
        <v>584267</v>
      </c>
      <c r="M114" s="1838">
        <v>5270</v>
      </c>
      <c r="N114" s="479">
        <v>32217</v>
      </c>
      <c r="O114" s="1827"/>
      <c r="P114" s="1979"/>
      <c r="Q114" s="1986">
        <f t="shared" si="7"/>
        <v>37487</v>
      </c>
    </row>
    <row r="115" spans="1:17">
      <c r="A115" s="134">
        <f t="shared" si="10"/>
        <v>2001.1</v>
      </c>
      <c r="B115" s="1818">
        <f t="shared" si="8"/>
        <v>265601</v>
      </c>
      <c r="C115" s="1822">
        <f t="shared" si="9"/>
        <v>50499</v>
      </c>
      <c r="D115" s="1007">
        <v>436919</v>
      </c>
      <c r="E115" s="1827"/>
      <c r="F115" s="479">
        <v>450632</v>
      </c>
      <c r="G115" s="1833"/>
      <c r="H115" s="1838">
        <v>16190</v>
      </c>
      <c r="I115" s="1704">
        <v>249411</v>
      </c>
      <c r="J115" s="1844"/>
      <c r="K115" s="1979"/>
      <c r="L115" s="1982">
        <f t="shared" si="6"/>
        <v>265601</v>
      </c>
      <c r="M115" s="1838">
        <v>0</v>
      </c>
      <c r="N115" s="479">
        <v>50499</v>
      </c>
      <c r="O115" s="1827"/>
      <c r="P115" s="1979"/>
      <c r="Q115" s="1986">
        <f t="shared" si="7"/>
        <v>50499</v>
      </c>
    </row>
    <row r="116" spans="1:17">
      <c r="A116" s="134">
        <f t="shared" si="10"/>
        <v>2001.11</v>
      </c>
      <c r="B116" s="1818">
        <f t="shared" si="8"/>
        <v>387157</v>
      </c>
      <c r="C116" s="1822">
        <f t="shared" si="9"/>
        <v>394014</v>
      </c>
      <c r="D116" s="1007">
        <v>501193</v>
      </c>
      <c r="E116" s="1827"/>
      <c r="F116" s="479">
        <v>579227</v>
      </c>
      <c r="G116" s="1833"/>
      <c r="H116" s="1838">
        <v>130084</v>
      </c>
      <c r="I116" s="1704">
        <v>257073</v>
      </c>
      <c r="J116" s="1844"/>
      <c r="K116" s="1979"/>
      <c r="L116" s="1982">
        <f t="shared" si="6"/>
        <v>387157</v>
      </c>
      <c r="M116" s="1838">
        <v>40660</v>
      </c>
      <c r="N116" s="479">
        <v>353354</v>
      </c>
      <c r="O116" s="1827"/>
      <c r="P116" s="1979"/>
      <c r="Q116" s="1986">
        <f t="shared" si="7"/>
        <v>394014</v>
      </c>
    </row>
    <row r="117" spans="1:17">
      <c r="A117" s="134">
        <f t="shared" si="10"/>
        <v>2001.12</v>
      </c>
      <c r="B117" s="1818">
        <f t="shared" si="8"/>
        <v>296255</v>
      </c>
      <c r="C117" s="1822">
        <f t="shared" si="9"/>
        <v>877241</v>
      </c>
      <c r="D117" s="1007">
        <v>436303</v>
      </c>
      <c r="E117" s="1827"/>
      <c r="F117" s="479">
        <v>1238426</v>
      </c>
      <c r="G117" s="1833"/>
      <c r="H117" s="1838">
        <v>110795</v>
      </c>
      <c r="I117" s="1704">
        <v>185460</v>
      </c>
      <c r="J117" s="1844"/>
      <c r="K117" s="1979"/>
      <c r="L117" s="1982">
        <f t="shared" si="6"/>
        <v>296255</v>
      </c>
      <c r="M117" s="1838">
        <v>215175</v>
      </c>
      <c r="N117" s="479">
        <v>662066</v>
      </c>
      <c r="O117" s="1827"/>
      <c r="P117" s="1979"/>
      <c r="Q117" s="1986">
        <f t="shared" si="7"/>
        <v>877241</v>
      </c>
    </row>
    <row r="118" spans="1:17">
      <c r="A118" s="134">
        <f t="shared" si="10"/>
        <v>2002.01</v>
      </c>
      <c r="B118" s="1818">
        <f t="shared" si="8"/>
        <v>190427</v>
      </c>
      <c r="C118" s="1822">
        <f t="shared" si="9"/>
        <v>1013926</v>
      </c>
      <c r="D118" s="1007">
        <v>217175</v>
      </c>
      <c r="E118" s="1827"/>
      <c r="F118" s="479">
        <v>2233787</v>
      </c>
      <c r="G118" s="1833"/>
      <c r="H118" s="1838">
        <v>75845</v>
      </c>
      <c r="I118" s="1704">
        <v>114582</v>
      </c>
      <c r="J118" s="1844"/>
      <c r="K118" s="1979"/>
      <c r="L118" s="1982">
        <f t="shared" si="6"/>
        <v>190427</v>
      </c>
      <c r="M118" s="1838">
        <v>276335</v>
      </c>
      <c r="N118" s="479">
        <v>737591</v>
      </c>
      <c r="O118" s="1827"/>
      <c r="P118" s="1979"/>
      <c r="Q118" s="1986">
        <f t="shared" si="7"/>
        <v>1013926</v>
      </c>
    </row>
    <row r="119" spans="1:17">
      <c r="A119" s="134">
        <f t="shared" si="10"/>
        <v>2002.02</v>
      </c>
      <c r="B119" s="1818">
        <f t="shared" si="8"/>
        <v>220929</v>
      </c>
      <c r="C119" s="1822">
        <f t="shared" si="9"/>
        <v>617284</v>
      </c>
      <c r="D119" s="1007">
        <v>299313</v>
      </c>
      <c r="E119" s="1827"/>
      <c r="F119" s="479">
        <v>1257954</v>
      </c>
      <c r="G119" s="1833"/>
      <c r="H119" s="1838">
        <v>106112</v>
      </c>
      <c r="I119" s="1704">
        <v>114817</v>
      </c>
      <c r="J119" s="1844"/>
      <c r="K119" s="1979"/>
      <c r="L119" s="1982">
        <f t="shared" si="6"/>
        <v>220929</v>
      </c>
      <c r="M119" s="1838">
        <v>130060</v>
      </c>
      <c r="N119" s="479">
        <v>487224</v>
      </c>
      <c r="O119" s="1827"/>
      <c r="P119" s="1979"/>
      <c r="Q119" s="1986">
        <f t="shared" si="7"/>
        <v>617284</v>
      </c>
    </row>
    <row r="120" spans="1:17">
      <c r="A120" s="134">
        <f t="shared" si="10"/>
        <v>2002.03</v>
      </c>
      <c r="B120" s="1818">
        <f t="shared" si="8"/>
        <v>1583792</v>
      </c>
      <c r="C120" s="1822">
        <f t="shared" si="9"/>
        <v>719564</v>
      </c>
      <c r="D120" s="1007">
        <v>1778147</v>
      </c>
      <c r="E120" s="1827"/>
      <c r="F120" s="479">
        <v>1297258</v>
      </c>
      <c r="G120" s="1833"/>
      <c r="H120" s="1838">
        <v>664185</v>
      </c>
      <c r="I120" s="1704">
        <v>919607</v>
      </c>
      <c r="J120" s="1844"/>
      <c r="K120" s="1979"/>
      <c r="L120" s="1982">
        <f t="shared" si="6"/>
        <v>1583792</v>
      </c>
      <c r="M120" s="1838">
        <v>168174</v>
      </c>
      <c r="N120" s="479">
        <v>551390</v>
      </c>
      <c r="O120" s="1827"/>
      <c r="P120" s="1979"/>
      <c r="Q120" s="1986">
        <f t="shared" si="7"/>
        <v>719564</v>
      </c>
    </row>
    <row r="121" spans="1:17">
      <c r="A121" s="134">
        <f t="shared" si="10"/>
        <v>2002.04</v>
      </c>
      <c r="B121" s="1818">
        <f t="shared" si="8"/>
        <v>1145269</v>
      </c>
      <c r="C121" s="1822">
        <f t="shared" si="9"/>
        <v>225068</v>
      </c>
      <c r="D121" s="1007">
        <v>1408306</v>
      </c>
      <c r="E121" s="1827"/>
      <c r="F121" s="479">
        <v>702738</v>
      </c>
      <c r="G121" s="1833"/>
      <c r="H121" s="1838">
        <v>474488</v>
      </c>
      <c r="I121" s="1704">
        <v>670781</v>
      </c>
      <c r="J121" s="1844"/>
      <c r="K121" s="1979"/>
      <c r="L121" s="1982">
        <f t="shared" si="6"/>
        <v>1145269</v>
      </c>
      <c r="M121" s="1838">
        <v>135968</v>
      </c>
      <c r="N121" s="479">
        <v>89100</v>
      </c>
      <c r="O121" s="1827"/>
      <c r="P121" s="1979"/>
      <c r="Q121" s="1986">
        <f t="shared" si="7"/>
        <v>225068</v>
      </c>
    </row>
    <row r="122" spans="1:17">
      <c r="A122" s="134">
        <f t="shared" si="10"/>
        <v>2002.05</v>
      </c>
      <c r="B122" s="1818">
        <f t="shared" si="8"/>
        <v>892640</v>
      </c>
      <c r="C122" s="1822">
        <f t="shared" si="9"/>
        <v>206579</v>
      </c>
      <c r="D122" s="1007">
        <v>1202119</v>
      </c>
      <c r="E122" s="1827"/>
      <c r="F122" s="479">
        <v>724971</v>
      </c>
      <c r="G122" s="1833"/>
      <c r="H122" s="1838">
        <v>322225</v>
      </c>
      <c r="I122" s="1704">
        <v>570415</v>
      </c>
      <c r="J122" s="1844"/>
      <c r="K122" s="1979"/>
      <c r="L122" s="1982">
        <f t="shared" si="6"/>
        <v>892640</v>
      </c>
      <c r="M122" s="1838">
        <v>124300</v>
      </c>
      <c r="N122" s="479">
        <v>82279</v>
      </c>
      <c r="O122" s="1827"/>
      <c r="P122" s="1979"/>
      <c r="Q122" s="1986">
        <f t="shared" si="7"/>
        <v>206579</v>
      </c>
    </row>
    <row r="123" spans="1:17">
      <c r="A123" s="134">
        <f t="shared" si="10"/>
        <v>2002.06</v>
      </c>
      <c r="B123" s="1818">
        <f t="shared" si="8"/>
        <v>548001</v>
      </c>
      <c r="C123" s="1822">
        <f t="shared" si="9"/>
        <v>139708</v>
      </c>
      <c r="D123" s="1007">
        <v>724986</v>
      </c>
      <c r="E123" s="1827"/>
      <c r="F123" s="479">
        <v>593015</v>
      </c>
      <c r="G123" s="1833"/>
      <c r="H123" s="1838">
        <v>237419</v>
      </c>
      <c r="I123" s="1704">
        <v>310582</v>
      </c>
      <c r="J123" s="1844"/>
      <c r="K123" s="1979"/>
      <c r="L123" s="1982">
        <f t="shared" si="6"/>
        <v>548001</v>
      </c>
      <c r="M123" s="1838">
        <v>92886</v>
      </c>
      <c r="N123" s="479">
        <v>46822</v>
      </c>
      <c r="O123" s="1827"/>
      <c r="P123" s="1979"/>
      <c r="Q123" s="1986">
        <f t="shared" si="7"/>
        <v>139708</v>
      </c>
    </row>
    <row r="124" spans="1:17">
      <c r="A124" s="134">
        <f t="shared" si="10"/>
        <v>2002.07</v>
      </c>
      <c r="B124" s="1818">
        <f t="shared" si="8"/>
        <v>255572</v>
      </c>
      <c r="C124" s="1822">
        <f t="shared" si="9"/>
        <v>75295</v>
      </c>
      <c r="D124" s="1007">
        <v>410997</v>
      </c>
      <c r="E124" s="1827"/>
      <c r="F124" s="479">
        <v>354907</v>
      </c>
      <c r="G124" s="1833"/>
      <c r="H124" s="1838">
        <v>115045</v>
      </c>
      <c r="I124" s="1704">
        <v>140527</v>
      </c>
      <c r="J124" s="1844"/>
      <c r="K124" s="1979"/>
      <c r="L124" s="1982">
        <f t="shared" si="6"/>
        <v>255572</v>
      </c>
      <c r="M124" s="1838">
        <v>43380</v>
      </c>
      <c r="N124" s="479">
        <v>31915</v>
      </c>
      <c r="O124" s="1827"/>
      <c r="P124" s="1979"/>
      <c r="Q124" s="1986">
        <f t="shared" si="7"/>
        <v>75295</v>
      </c>
    </row>
    <row r="125" spans="1:17">
      <c r="A125" s="134">
        <f t="shared" si="10"/>
        <v>2002.08</v>
      </c>
      <c r="B125" s="1818">
        <f t="shared" si="8"/>
        <v>345961</v>
      </c>
      <c r="C125" s="1822">
        <f t="shared" si="9"/>
        <v>4100</v>
      </c>
      <c r="D125" s="1007">
        <v>465770</v>
      </c>
      <c r="E125" s="1827"/>
      <c r="F125" s="479">
        <v>334518</v>
      </c>
      <c r="G125" s="1833"/>
      <c r="H125" s="1838">
        <v>135205</v>
      </c>
      <c r="I125" s="1704">
        <v>210756</v>
      </c>
      <c r="J125" s="1844"/>
      <c r="K125" s="1979"/>
      <c r="L125" s="1982">
        <f t="shared" si="6"/>
        <v>345961</v>
      </c>
      <c r="M125" s="1838">
        <v>4100</v>
      </c>
      <c r="N125" s="479">
        <v>0</v>
      </c>
      <c r="O125" s="1827"/>
      <c r="P125" s="1979"/>
      <c r="Q125" s="1986">
        <f t="shared" si="7"/>
        <v>4100</v>
      </c>
    </row>
    <row r="126" spans="1:17">
      <c r="A126" s="134">
        <f t="shared" si="10"/>
        <v>2002.09</v>
      </c>
      <c r="B126" s="1818">
        <f t="shared" si="8"/>
        <v>392823</v>
      </c>
      <c r="C126" s="1822">
        <f t="shared" si="9"/>
        <v>3150</v>
      </c>
      <c r="D126" s="1007">
        <v>579943</v>
      </c>
      <c r="E126" s="1827"/>
      <c r="F126" s="479">
        <v>161788</v>
      </c>
      <c r="G126" s="1833"/>
      <c r="H126" s="1838">
        <v>179804</v>
      </c>
      <c r="I126" s="1704">
        <v>213019</v>
      </c>
      <c r="J126" s="1844"/>
      <c r="K126" s="1979"/>
      <c r="L126" s="1982">
        <f t="shared" si="6"/>
        <v>392823</v>
      </c>
      <c r="M126" s="1838">
        <v>3150</v>
      </c>
      <c r="N126" s="479">
        <v>0</v>
      </c>
      <c r="O126" s="1827"/>
      <c r="P126" s="1979"/>
      <c r="Q126" s="1986">
        <f t="shared" si="7"/>
        <v>3150</v>
      </c>
    </row>
    <row r="127" spans="1:17">
      <c r="A127" s="134">
        <f t="shared" si="10"/>
        <v>2002.1</v>
      </c>
      <c r="B127" s="1818">
        <f t="shared" si="8"/>
        <v>553735</v>
      </c>
      <c r="C127" s="1822">
        <f t="shared" si="9"/>
        <v>15500</v>
      </c>
      <c r="D127" s="1007">
        <v>713237</v>
      </c>
      <c r="E127" s="1827"/>
      <c r="F127" s="479">
        <v>191197</v>
      </c>
      <c r="G127" s="1833"/>
      <c r="H127" s="1838">
        <v>187936</v>
      </c>
      <c r="I127" s="1704">
        <v>365799</v>
      </c>
      <c r="J127" s="1844"/>
      <c r="K127" s="1979"/>
      <c r="L127" s="1982">
        <f t="shared" si="6"/>
        <v>553735</v>
      </c>
      <c r="M127" s="1838">
        <v>15500</v>
      </c>
      <c r="N127" s="479">
        <v>0</v>
      </c>
      <c r="O127" s="1827"/>
      <c r="P127" s="1979"/>
      <c r="Q127" s="1986">
        <f t="shared" si="7"/>
        <v>15500</v>
      </c>
    </row>
    <row r="128" spans="1:17">
      <c r="A128" s="134">
        <f t="shared" si="10"/>
        <v>2002.11</v>
      </c>
      <c r="B128" s="1818">
        <f t="shared" si="8"/>
        <v>654080</v>
      </c>
      <c r="C128" s="1822">
        <f t="shared" si="9"/>
        <v>189250</v>
      </c>
      <c r="D128" s="1007">
        <v>880920</v>
      </c>
      <c r="E128" s="1827"/>
      <c r="F128" s="479">
        <v>414593</v>
      </c>
      <c r="G128" s="1833"/>
      <c r="H128" s="1838">
        <v>267872</v>
      </c>
      <c r="I128" s="1704">
        <v>386208</v>
      </c>
      <c r="J128" s="1844"/>
      <c r="K128" s="1979"/>
      <c r="L128" s="1982">
        <f t="shared" si="6"/>
        <v>654080</v>
      </c>
      <c r="M128" s="1841">
        <v>0</v>
      </c>
      <c r="N128" s="479">
        <v>189250</v>
      </c>
      <c r="O128" s="1827"/>
      <c r="P128" s="1979"/>
      <c r="Q128" s="1986">
        <f t="shared" si="7"/>
        <v>189250</v>
      </c>
    </row>
    <row r="129" spans="1:17">
      <c r="A129" s="134">
        <f t="shared" si="10"/>
        <v>2002.12</v>
      </c>
      <c r="B129" s="1818">
        <f t="shared" si="8"/>
        <v>508174</v>
      </c>
      <c r="C129" s="1822">
        <f t="shared" si="9"/>
        <v>440897</v>
      </c>
      <c r="D129" s="1007">
        <v>619626</v>
      </c>
      <c r="E129" s="1827"/>
      <c r="F129" s="479">
        <v>605895</v>
      </c>
      <c r="G129" s="1833"/>
      <c r="H129" s="1838">
        <v>165208</v>
      </c>
      <c r="I129" s="1704">
        <v>342966</v>
      </c>
      <c r="J129" s="1844"/>
      <c r="K129" s="1979"/>
      <c r="L129" s="1982">
        <f t="shared" si="6"/>
        <v>508174</v>
      </c>
      <c r="M129" s="1838">
        <v>134760</v>
      </c>
      <c r="N129" s="479">
        <v>306137</v>
      </c>
      <c r="O129" s="1827"/>
      <c r="P129" s="1979"/>
      <c r="Q129" s="1986">
        <f t="shared" si="7"/>
        <v>440897</v>
      </c>
    </row>
    <row r="130" spans="1:17">
      <c r="A130" s="134">
        <f t="shared" si="10"/>
        <v>2003.01</v>
      </c>
      <c r="B130" s="1818">
        <f t="shared" si="8"/>
        <v>499624</v>
      </c>
      <c r="C130" s="1822">
        <f t="shared" si="9"/>
        <v>348211</v>
      </c>
      <c r="D130" s="1007">
        <v>762298</v>
      </c>
      <c r="E130" s="1827"/>
      <c r="F130" s="479">
        <v>929398</v>
      </c>
      <c r="G130" s="1833"/>
      <c r="H130" s="1838">
        <v>266830</v>
      </c>
      <c r="I130" s="1704">
        <v>232794</v>
      </c>
      <c r="J130" s="1844"/>
      <c r="K130" s="1979"/>
      <c r="L130" s="1982">
        <f t="shared" si="6"/>
        <v>499624</v>
      </c>
      <c r="M130" s="1838">
        <v>60837</v>
      </c>
      <c r="N130" s="479">
        <v>287374</v>
      </c>
      <c r="O130" s="1827"/>
      <c r="P130" s="1979"/>
      <c r="Q130" s="1986">
        <f t="shared" si="7"/>
        <v>348211</v>
      </c>
    </row>
    <row r="131" spans="1:17">
      <c r="A131" s="134">
        <f t="shared" si="10"/>
        <v>2003.02</v>
      </c>
      <c r="B131" s="1818">
        <f t="shared" si="8"/>
        <v>885026</v>
      </c>
      <c r="C131" s="1822">
        <f t="shared" si="9"/>
        <v>176076</v>
      </c>
      <c r="D131" s="1007">
        <v>1104263</v>
      </c>
      <c r="E131" s="1827"/>
      <c r="F131" s="479">
        <v>787742</v>
      </c>
      <c r="G131" s="1833"/>
      <c r="H131" s="1838">
        <v>355529</v>
      </c>
      <c r="I131" s="1704">
        <v>529497</v>
      </c>
      <c r="J131" s="1844"/>
      <c r="K131" s="1979"/>
      <c r="L131" s="1982">
        <f t="shared" si="6"/>
        <v>885026</v>
      </c>
      <c r="M131" s="1838">
        <v>54080</v>
      </c>
      <c r="N131" s="479">
        <v>121996</v>
      </c>
      <c r="O131" s="1827"/>
      <c r="P131" s="1979"/>
      <c r="Q131" s="1986">
        <f t="shared" si="7"/>
        <v>176076</v>
      </c>
    </row>
    <row r="132" spans="1:17">
      <c r="A132" s="134">
        <f t="shared" si="10"/>
        <v>2003.03</v>
      </c>
      <c r="B132" s="1818">
        <f t="shared" si="8"/>
        <v>1232586</v>
      </c>
      <c r="C132" s="1822">
        <f t="shared" si="9"/>
        <v>135863</v>
      </c>
      <c r="D132" s="1007">
        <v>1595943</v>
      </c>
      <c r="E132" s="1827"/>
      <c r="F132" s="479">
        <v>484346</v>
      </c>
      <c r="G132" s="1833"/>
      <c r="H132" s="1838">
        <v>507165</v>
      </c>
      <c r="I132" s="1704">
        <v>725421</v>
      </c>
      <c r="J132" s="1844"/>
      <c r="K132" s="1979"/>
      <c r="L132" s="1982">
        <f t="shared" si="6"/>
        <v>1232586</v>
      </c>
      <c r="M132" s="1838">
        <v>72080</v>
      </c>
      <c r="N132" s="479">
        <v>63783</v>
      </c>
      <c r="O132" s="1827"/>
      <c r="P132" s="1979"/>
      <c r="Q132" s="1986">
        <f t="shared" si="7"/>
        <v>135863</v>
      </c>
    </row>
    <row r="133" spans="1:17">
      <c r="A133" s="134">
        <f t="shared" si="10"/>
        <v>2003.04</v>
      </c>
      <c r="B133" s="1818">
        <f t="shared" si="8"/>
        <v>1254626</v>
      </c>
      <c r="C133" s="1822">
        <f t="shared" si="9"/>
        <v>130891</v>
      </c>
      <c r="D133" s="1007">
        <v>1736573</v>
      </c>
      <c r="E133" s="1827"/>
      <c r="F133" s="479">
        <v>431078</v>
      </c>
      <c r="G133" s="1833"/>
      <c r="H133" s="1838">
        <v>453872</v>
      </c>
      <c r="I133" s="1704">
        <v>800754</v>
      </c>
      <c r="J133" s="1844"/>
      <c r="K133" s="1979"/>
      <c r="L133" s="1982">
        <f t="shared" si="6"/>
        <v>1254626</v>
      </c>
      <c r="M133" s="1838">
        <v>68245</v>
      </c>
      <c r="N133" s="479">
        <v>62646</v>
      </c>
      <c r="O133" s="1827"/>
      <c r="P133" s="1979"/>
      <c r="Q133" s="1986">
        <f t="shared" si="7"/>
        <v>130891</v>
      </c>
    </row>
    <row r="134" spans="1:17">
      <c r="A134" s="134">
        <f t="shared" si="10"/>
        <v>2003.05</v>
      </c>
      <c r="B134" s="1818">
        <f t="shared" si="8"/>
        <v>1066035</v>
      </c>
      <c r="C134" s="1822">
        <f t="shared" si="9"/>
        <v>92301</v>
      </c>
      <c r="D134" s="1007">
        <v>1426263</v>
      </c>
      <c r="E134" s="1827"/>
      <c r="F134" s="479">
        <v>525031</v>
      </c>
      <c r="G134" s="1833"/>
      <c r="H134" s="1838">
        <v>501406</v>
      </c>
      <c r="I134" s="1704">
        <v>564629</v>
      </c>
      <c r="J134" s="1844"/>
      <c r="K134" s="1979"/>
      <c r="L134" s="1982">
        <f t="shared" si="6"/>
        <v>1066035</v>
      </c>
      <c r="M134" s="1838">
        <v>37660</v>
      </c>
      <c r="N134" s="479">
        <v>54641</v>
      </c>
      <c r="O134" s="1827"/>
      <c r="P134" s="1979"/>
      <c r="Q134" s="1986">
        <f t="shared" si="7"/>
        <v>92301</v>
      </c>
    </row>
    <row r="135" spans="1:17">
      <c r="A135" s="134">
        <f t="shared" si="10"/>
        <v>2003.06</v>
      </c>
      <c r="B135" s="1818">
        <f t="shared" si="8"/>
        <v>1009143</v>
      </c>
      <c r="C135" s="1822">
        <f t="shared" si="9"/>
        <v>68921</v>
      </c>
      <c r="D135" s="1007">
        <v>1254390</v>
      </c>
      <c r="E135" s="1827"/>
      <c r="F135" s="479">
        <v>405375</v>
      </c>
      <c r="G135" s="1833"/>
      <c r="H135" s="1838">
        <v>444558</v>
      </c>
      <c r="I135" s="1704">
        <v>564585</v>
      </c>
      <c r="J135" s="1844"/>
      <c r="K135" s="1979"/>
      <c r="L135" s="1982">
        <f t="shared" si="6"/>
        <v>1009143</v>
      </c>
      <c r="M135" s="1838">
        <v>63640</v>
      </c>
      <c r="N135" s="479">
        <v>5281</v>
      </c>
      <c r="O135" s="1827"/>
      <c r="P135" s="1979"/>
      <c r="Q135" s="1986">
        <f t="shared" si="7"/>
        <v>68921</v>
      </c>
    </row>
    <row r="136" spans="1:17">
      <c r="A136" s="134">
        <f t="shared" si="10"/>
        <v>2003.07</v>
      </c>
      <c r="B136" s="1818">
        <f t="shared" si="8"/>
        <v>732377</v>
      </c>
      <c r="C136" s="1822">
        <f t="shared" si="9"/>
        <v>5470</v>
      </c>
      <c r="D136" s="1007">
        <v>979390</v>
      </c>
      <c r="E136" s="1827"/>
      <c r="F136" s="479">
        <v>434772</v>
      </c>
      <c r="G136" s="1833"/>
      <c r="H136" s="1838">
        <v>342317</v>
      </c>
      <c r="I136" s="1704">
        <v>390060</v>
      </c>
      <c r="J136" s="1844"/>
      <c r="K136" s="1979"/>
      <c r="L136" s="1982">
        <f t="shared" si="6"/>
        <v>732377</v>
      </c>
      <c r="M136" s="1838">
        <v>2500</v>
      </c>
      <c r="N136" s="479">
        <v>2970</v>
      </c>
      <c r="O136" s="1827"/>
      <c r="P136" s="1979"/>
      <c r="Q136" s="1986">
        <f t="shared" si="7"/>
        <v>5470</v>
      </c>
    </row>
    <row r="137" spans="1:17">
      <c r="A137" s="134">
        <f t="shared" si="10"/>
        <v>2003.08</v>
      </c>
      <c r="B137" s="1818">
        <f t="shared" si="8"/>
        <v>408704</v>
      </c>
      <c r="C137" s="1822">
        <f t="shared" si="9"/>
        <v>27895</v>
      </c>
      <c r="D137" s="1007">
        <v>501579</v>
      </c>
      <c r="E137" s="1827"/>
      <c r="F137" s="479">
        <v>380410</v>
      </c>
      <c r="G137" s="1833"/>
      <c r="H137" s="1838">
        <v>181807</v>
      </c>
      <c r="I137" s="1704">
        <v>226897</v>
      </c>
      <c r="J137" s="1844"/>
      <c r="K137" s="1979"/>
      <c r="L137" s="1982">
        <f t="shared" si="6"/>
        <v>408704</v>
      </c>
      <c r="M137" s="1838">
        <v>27895</v>
      </c>
      <c r="N137" s="479">
        <v>0</v>
      </c>
      <c r="O137" s="1827"/>
      <c r="P137" s="1979"/>
      <c r="Q137" s="1986">
        <f t="shared" si="7"/>
        <v>27895</v>
      </c>
    </row>
    <row r="138" spans="1:17">
      <c r="A138" s="134">
        <f t="shared" si="10"/>
        <v>2003.09</v>
      </c>
      <c r="B138" s="1818">
        <f t="shared" si="8"/>
        <v>356625</v>
      </c>
      <c r="C138" s="1822">
        <f t="shared" si="9"/>
        <v>5048</v>
      </c>
      <c r="D138" s="1007">
        <v>527402</v>
      </c>
      <c r="E138" s="1827"/>
      <c r="F138" s="479">
        <v>368102</v>
      </c>
      <c r="G138" s="1833"/>
      <c r="H138" s="1838">
        <v>152544</v>
      </c>
      <c r="I138" s="1704">
        <v>204081</v>
      </c>
      <c r="J138" s="1844"/>
      <c r="K138" s="1979"/>
      <c r="L138" s="1982">
        <f t="shared" ref="L138:L201" si="11">SUM(H138:K138)</f>
        <v>356625</v>
      </c>
      <c r="M138" s="1838">
        <v>0</v>
      </c>
      <c r="N138" s="479">
        <v>5048</v>
      </c>
      <c r="O138" s="1827"/>
      <c r="P138" s="1979"/>
      <c r="Q138" s="1986">
        <f t="shared" ref="Q138:Q201" si="12">SUM(M138:P138)</f>
        <v>5048</v>
      </c>
    </row>
    <row r="139" spans="1:17">
      <c r="A139" s="134">
        <f t="shared" si="10"/>
        <v>2003.1</v>
      </c>
      <c r="B139" s="1818">
        <f t="shared" si="8"/>
        <v>528777</v>
      </c>
      <c r="C139" s="1822">
        <f t="shared" si="9"/>
        <v>91036</v>
      </c>
      <c r="D139" s="1007">
        <v>617601</v>
      </c>
      <c r="E139" s="1827"/>
      <c r="F139" s="479">
        <v>371097</v>
      </c>
      <c r="G139" s="1833"/>
      <c r="H139" s="1838">
        <v>205311</v>
      </c>
      <c r="I139" s="1704">
        <v>323466</v>
      </c>
      <c r="J139" s="1844"/>
      <c r="K139" s="1979"/>
      <c r="L139" s="1982">
        <f t="shared" si="11"/>
        <v>528777</v>
      </c>
      <c r="M139" s="1838">
        <v>91036</v>
      </c>
      <c r="N139" s="479">
        <v>0</v>
      </c>
      <c r="O139" s="1827"/>
      <c r="P139" s="1979"/>
      <c r="Q139" s="1986">
        <f t="shared" si="12"/>
        <v>91036</v>
      </c>
    </row>
    <row r="140" spans="1:17">
      <c r="A140" s="134">
        <f t="shared" si="10"/>
        <v>2003.11</v>
      </c>
      <c r="B140" s="1818">
        <f t="shared" ref="B140:B203" si="13">L140</f>
        <v>498945</v>
      </c>
      <c r="C140" s="1822">
        <f t="shared" ref="C140:C203" si="14">Q140</f>
        <v>113347</v>
      </c>
      <c r="D140" s="1007">
        <v>587279</v>
      </c>
      <c r="E140" s="1827"/>
      <c r="F140" s="479">
        <v>330998</v>
      </c>
      <c r="G140" s="1833"/>
      <c r="H140" s="1838">
        <v>206086</v>
      </c>
      <c r="I140" s="1704">
        <v>292859</v>
      </c>
      <c r="J140" s="1844"/>
      <c r="K140" s="1979"/>
      <c r="L140" s="1982">
        <f t="shared" si="11"/>
        <v>498945</v>
      </c>
      <c r="M140" s="1838">
        <v>0</v>
      </c>
      <c r="N140" s="479">
        <v>113347</v>
      </c>
      <c r="O140" s="1827"/>
      <c r="P140" s="1979"/>
      <c r="Q140" s="1986">
        <f t="shared" si="12"/>
        <v>113347</v>
      </c>
    </row>
    <row r="141" spans="1:17">
      <c r="A141" s="134">
        <f t="shared" si="10"/>
        <v>2003.12</v>
      </c>
      <c r="B141" s="1818">
        <f t="shared" si="13"/>
        <v>451457</v>
      </c>
      <c r="C141" s="1822">
        <f t="shared" si="14"/>
        <v>332707</v>
      </c>
      <c r="D141" s="1007">
        <v>555012</v>
      </c>
      <c r="E141" s="1827"/>
      <c r="F141" s="479">
        <v>588311</v>
      </c>
      <c r="G141" s="1833"/>
      <c r="H141" s="1838">
        <v>191065</v>
      </c>
      <c r="I141" s="1704">
        <v>260392</v>
      </c>
      <c r="J141" s="1844"/>
      <c r="K141" s="1979"/>
      <c r="L141" s="1982">
        <f t="shared" si="11"/>
        <v>451457</v>
      </c>
      <c r="M141" s="1841">
        <v>0</v>
      </c>
      <c r="N141" s="479">
        <v>332707</v>
      </c>
      <c r="O141" s="1827"/>
      <c r="P141" s="1979"/>
      <c r="Q141" s="1986">
        <f t="shared" si="12"/>
        <v>332707</v>
      </c>
    </row>
    <row r="142" spans="1:17">
      <c r="A142" s="134">
        <f t="shared" si="10"/>
        <v>2004.01</v>
      </c>
      <c r="B142" s="1818">
        <f t="shared" si="13"/>
        <v>375543</v>
      </c>
      <c r="C142" s="1822">
        <f t="shared" si="14"/>
        <v>464379</v>
      </c>
      <c r="D142" s="1007">
        <v>392365</v>
      </c>
      <c r="E142" s="1827"/>
      <c r="F142" s="479">
        <v>1020975</v>
      </c>
      <c r="G142" s="1833"/>
      <c r="H142" s="1838">
        <v>209429</v>
      </c>
      <c r="I142" s="1704">
        <v>166114</v>
      </c>
      <c r="J142" s="1844"/>
      <c r="K142" s="1979"/>
      <c r="L142" s="1982">
        <f t="shared" si="11"/>
        <v>375543</v>
      </c>
      <c r="M142" s="1838">
        <v>140665</v>
      </c>
      <c r="N142" s="479">
        <v>323714</v>
      </c>
      <c r="O142" s="1827"/>
      <c r="P142" s="1979"/>
      <c r="Q142" s="1986">
        <f t="shared" si="12"/>
        <v>464379</v>
      </c>
    </row>
    <row r="143" spans="1:17">
      <c r="A143" s="134">
        <f t="shared" si="10"/>
        <v>2004.02</v>
      </c>
      <c r="B143" s="1818">
        <f t="shared" si="13"/>
        <v>554354</v>
      </c>
      <c r="C143" s="1822">
        <f t="shared" si="14"/>
        <v>259890</v>
      </c>
      <c r="D143" s="1007">
        <v>716116</v>
      </c>
      <c r="E143" s="1827"/>
      <c r="F143" s="479">
        <v>589979</v>
      </c>
      <c r="G143" s="1833"/>
      <c r="H143" s="1838">
        <v>240412</v>
      </c>
      <c r="I143" s="1704">
        <v>313942</v>
      </c>
      <c r="J143" s="1844"/>
      <c r="K143" s="1979"/>
      <c r="L143" s="1982">
        <f t="shared" si="11"/>
        <v>554354</v>
      </c>
      <c r="M143" s="1838">
        <v>84540</v>
      </c>
      <c r="N143" s="479">
        <v>175350</v>
      </c>
      <c r="O143" s="1827"/>
      <c r="P143" s="1979"/>
      <c r="Q143" s="1986">
        <f t="shared" si="12"/>
        <v>259890</v>
      </c>
    </row>
    <row r="144" spans="1:17">
      <c r="A144" s="134">
        <f t="shared" si="10"/>
        <v>2004.03</v>
      </c>
      <c r="B144" s="1818">
        <f t="shared" si="13"/>
        <v>871621</v>
      </c>
      <c r="C144" s="1822">
        <f t="shared" si="14"/>
        <v>376859</v>
      </c>
      <c r="D144" s="1007">
        <v>1072720</v>
      </c>
      <c r="E144" s="1827"/>
      <c r="F144" s="479">
        <v>838853</v>
      </c>
      <c r="G144" s="1833"/>
      <c r="H144" s="1838">
        <v>331108</v>
      </c>
      <c r="I144" s="1704">
        <v>540513</v>
      </c>
      <c r="J144" s="1844"/>
      <c r="K144" s="1979"/>
      <c r="L144" s="1982">
        <f t="shared" si="11"/>
        <v>871621</v>
      </c>
      <c r="M144" s="1838">
        <v>147721</v>
      </c>
      <c r="N144" s="479">
        <v>229138</v>
      </c>
      <c r="O144" s="1827"/>
      <c r="P144" s="1979"/>
      <c r="Q144" s="1986">
        <f t="shared" si="12"/>
        <v>376859</v>
      </c>
    </row>
    <row r="145" spans="1:17">
      <c r="A145" s="134">
        <f t="shared" si="10"/>
        <v>2004.04</v>
      </c>
      <c r="B145" s="1818">
        <f t="shared" si="13"/>
        <v>1725667.905</v>
      </c>
      <c r="C145" s="1822">
        <f t="shared" si="14"/>
        <v>505010.799999999</v>
      </c>
      <c r="D145" s="1007">
        <v>2182770</v>
      </c>
      <c r="E145" s="1827"/>
      <c r="F145" s="479">
        <v>953181</v>
      </c>
      <c r="G145" s="1833"/>
      <c r="H145" s="1838">
        <v>704834.90500000003</v>
      </c>
      <c r="I145" s="1704">
        <v>1020833</v>
      </c>
      <c r="J145" s="1844"/>
      <c r="K145" s="1979"/>
      <c r="L145" s="1982">
        <f t="shared" si="11"/>
        <v>1725667.905</v>
      </c>
      <c r="M145" s="1838">
        <v>261341.799999999</v>
      </c>
      <c r="N145" s="479">
        <v>243669</v>
      </c>
      <c r="O145" s="1827"/>
      <c r="P145" s="1979"/>
      <c r="Q145" s="1986">
        <f t="shared" si="12"/>
        <v>505010.799999999</v>
      </c>
    </row>
    <row r="146" spans="1:17">
      <c r="A146" s="134">
        <f t="shared" si="10"/>
        <v>2004.05</v>
      </c>
      <c r="B146" s="1818">
        <f t="shared" si="13"/>
        <v>1163090</v>
      </c>
      <c r="C146" s="1822">
        <f t="shared" si="14"/>
        <v>198317</v>
      </c>
      <c r="D146" s="1007">
        <v>1469131</v>
      </c>
      <c r="E146" s="1827"/>
      <c r="F146" s="479">
        <v>654282</v>
      </c>
      <c r="G146" s="1833"/>
      <c r="H146" s="1838">
        <v>483868</v>
      </c>
      <c r="I146" s="1704">
        <v>679222</v>
      </c>
      <c r="J146" s="1844"/>
      <c r="K146" s="1979"/>
      <c r="L146" s="1982">
        <f t="shared" si="11"/>
        <v>1163090</v>
      </c>
      <c r="M146" s="1838">
        <v>134700</v>
      </c>
      <c r="N146" s="479">
        <v>63617</v>
      </c>
      <c r="O146" s="1827"/>
      <c r="P146" s="1979"/>
      <c r="Q146" s="1986">
        <f t="shared" si="12"/>
        <v>198317</v>
      </c>
    </row>
    <row r="147" spans="1:17">
      <c r="A147" s="134">
        <f t="shared" si="10"/>
        <v>2004.06</v>
      </c>
      <c r="B147" s="1818">
        <f t="shared" si="13"/>
        <v>754548</v>
      </c>
      <c r="C147" s="1822">
        <f t="shared" si="14"/>
        <v>313729</v>
      </c>
      <c r="D147" s="1007">
        <v>924260</v>
      </c>
      <c r="E147" s="1827"/>
      <c r="F147" s="479">
        <v>776375</v>
      </c>
      <c r="G147" s="1833"/>
      <c r="H147" s="1838">
        <v>265368</v>
      </c>
      <c r="I147" s="1704">
        <v>489180</v>
      </c>
      <c r="J147" s="1844"/>
      <c r="K147" s="1979"/>
      <c r="L147" s="1982">
        <f t="shared" si="11"/>
        <v>754548</v>
      </c>
      <c r="M147" s="1838">
        <v>222510</v>
      </c>
      <c r="N147" s="479">
        <v>91219</v>
      </c>
      <c r="O147" s="1827"/>
      <c r="P147" s="1979"/>
      <c r="Q147" s="1986">
        <f t="shared" si="12"/>
        <v>313729</v>
      </c>
    </row>
    <row r="148" spans="1:17">
      <c r="A148" s="134">
        <f t="shared" si="10"/>
        <v>2004.07</v>
      </c>
      <c r="B148" s="1818">
        <f t="shared" si="13"/>
        <v>763341</v>
      </c>
      <c r="C148" s="1822">
        <f t="shared" si="14"/>
        <v>233222</v>
      </c>
      <c r="D148" s="1007">
        <v>1006199</v>
      </c>
      <c r="E148" s="1827"/>
      <c r="F148" s="479">
        <v>590170</v>
      </c>
      <c r="G148" s="1833"/>
      <c r="H148" s="1838">
        <v>311325</v>
      </c>
      <c r="I148" s="1704">
        <v>452016</v>
      </c>
      <c r="J148" s="1844"/>
      <c r="K148" s="1979"/>
      <c r="L148" s="1982">
        <f t="shared" si="11"/>
        <v>763341</v>
      </c>
      <c r="M148" s="1838">
        <v>98970</v>
      </c>
      <c r="N148" s="479">
        <v>134252</v>
      </c>
      <c r="O148" s="1827"/>
      <c r="P148" s="1979"/>
      <c r="Q148" s="1986">
        <f t="shared" si="12"/>
        <v>233222</v>
      </c>
    </row>
    <row r="149" spans="1:17">
      <c r="A149" s="134">
        <f t="shared" si="10"/>
        <v>2004.08</v>
      </c>
      <c r="B149" s="1818">
        <f t="shared" si="13"/>
        <v>602182</v>
      </c>
      <c r="C149" s="1822">
        <f t="shared" si="14"/>
        <v>320324</v>
      </c>
      <c r="D149" s="1007">
        <v>845784</v>
      </c>
      <c r="E149" s="1827"/>
      <c r="F149" s="479">
        <v>677784</v>
      </c>
      <c r="G149" s="1833"/>
      <c r="H149" s="1838">
        <v>124193</v>
      </c>
      <c r="I149" s="1704">
        <v>477989</v>
      </c>
      <c r="J149" s="1844"/>
      <c r="K149" s="1979"/>
      <c r="L149" s="1982">
        <f t="shared" si="11"/>
        <v>602182</v>
      </c>
      <c r="M149" s="1838">
        <v>230460</v>
      </c>
      <c r="N149" s="479">
        <v>89864</v>
      </c>
      <c r="O149" s="1827"/>
      <c r="P149" s="1979"/>
      <c r="Q149" s="1986">
        <f t="shared" si="12"/>
        <v>320324</v>
      </c>
    </row>
    <row r="150" spans="1:17">
      <c r="A150" s="134">
        <f t="shared" ref="A150:A213" si="15">A138+1</f>
        <v>2004.09</v>
      </c>
      <c r="B150" s="1818">
        <f t="shared" si="13"/>
        <v>508269</v>
      </c>
      <c r="C150" s="1822">
        <f t="shared" si="14"/>
        <v>240759</v>
      </c>
      <c r="D150" s="1007">
        <v>774743</v>
      </c>
      <c r="E150" s="1827"/>
      <c r="F150" s="479">
        <v>678144</v>
      </c>
      <c r="G150" s="1833"/>
      <c r="H150" s="1838">
        <v>197355</v>
      </c>
      <c r="I150" s="1704">
        <v>310914</v>
      </c>
      <c r="J150" s="1844"/>
      <c r="K150" s="1979"/>
      <c r="L150" s="1982">
        <f t="shared" si="11"/>
        <v>508269</v>
      </c>
      <c r="M150" s="1838">
        <v>125611</v>
      </c>
      <c r="N150" s="479">
        <v>115148</v>
      </c>
      <c r="O150" s="1827"/>
      <c r="P150" s="1979"/>
      <c r="Q150" s="1986">
        <f t="shared" si="12"/>
        <v>240759</v>
      </c>
    </row>
    <row r="151" spans="1:17">
      <c r="A151" s="134">
        <f t="shared" si="15"/>
        <v>2004.1</v>
      </c>
      <c r="B151" s="1818">
        <f t="shared" si="13"/>
        <v>408340</v>
      </c>
      <c r="C151" s="1822">
        <f t="shared" si="14"/>
        <v>227156</v>
      </c>
      <c r="D151" s="1007">
        <v>558435</v>
      </c>
      <c r="E151" s="1827"/>
      <c r="F151" s="479">
        <v>844480</v>
      </c>
      <c r="G151" s="1833"/>
      <c r="H151" s="1838">
        <v>267226</v>
      </c>
      <c r="I151" s="1704">
        <v>141114</v>
      </c>
      <c r="J151" s="1844"/>
      <c r="K151" s="1979"/>
      <c r="L151" s="1982">
        <f t="shared" si="11"/>
        <v>408340</v>
      </c>
      <c r="M151" s="1838">
        <v>110463</v>
      </c>
      <c r="N151" s="479">
        <v>116693</v>
      </c>
      <c r="O151" s="1827"/>
      <c r="P151" s="1979"/>
      <c r="Q151" s="1986">
        <f t="shared" si="12"/>
        <v>227156</v>
      </c>
    </row>
    <row r="152" spans="1:17">
      <c r="A152" s="134">
        <f t="shared" si="15"/>
        <v>2004.11</v>
      </c>
      <c r="B152" s="1818">
        <f t="shared" si="13"/>
        <v>474336</v>
      </c>
      <c r="C152" s="1822">
        <f t="shared" si="14"/>
        <v>489236</v>
      </c>
      <c r="D152" s="1007">
        <v>630479</v>
      </c>
      <c r="E152" s="1827"/>
      <c r="F152" s="479">
        <v>1112500</v>
      </c>
      <c r="G152" s="1833"/>
      <c r="H152" s="1838">
        <v>193536</v>
      </c>
      <c r="I152" s="1704">
        <v>280800</v>
      </c>
      <c r="J152" s="1844"/>
      <c r="K152" s="1979"/>
      <c r="L152" s="1982">
        <f t="shared" si="11"/>
        <v>474336</v>
      </c>
      <c r="M152" s="1838">
        <v>163014</v>
      </c>
      <c r="N152" s="479">
        <v>326222</v>
      </c>
      <c r="O152" s="1827"/>
      <c r="P152" s="1979"/>
      <c r="Q152" s="1986">
        <f t="shared" si="12"/>
        <v>489236</v>
      </c>
    </row>
    <row r="153" spans="1:17">
      <c r="A153" s="134">
        <f t="shared" si="15"/>
        <v>2004.12</v>
      </c>
      <c r="B153" s="1818">
        <f t="shared" si="13"/>
        <v>630599</v>
      </c>
      <c r="C153" s="1822">
        <f t="shared" si="14"/>
        <v>1184999</v>
      </c>
      <c r="D153" s="1007">
        <v>683826</v>
      </c>
      <c r="E153" s="1827"/>
      <c r="F153" s="479">
        <v>1698486</v>
      </c>
      <c r="G153" s="1833"/>
      <c r="H153" s="1838">
        <v>263036</v>
      </c>
      <c r="I153" s="1704">
        <v>367563</v>
      </c>
      <c r="J153" s="1844"/>
      <c r="K153" s="1979"/>
      <c r="L153" s="1982">
        <f t="shared" si="11"/>
        <v>630599</v>
      </c>
      <c r="M153" s="1838">
        <v>458629</v>
      </c>
      <c r="N153" s="479">
        <v>726370</v>
      </c>
      <c r="O153" s="1827"/>
      <c r="P153" s="1979"/>
      <c r="Q153" s="1986">
        <f t="shared" si="12"/>
        <v>1184999</v>
      </c>
    </row>
    <row r="154" spans="1:17">
      <c r="A154" s="134">
        <f t="shared" si="15"/>
        <v>2005.01</v>
      </c>
      <c r="B154" s="1818">
        <f t="shared" si="13"/>
        <v>636815.75087001419</v>
      </c>
      <c r="C154" s="1822">
        <f t="shared" si="14"/>
        <v>1152662</v>
      </c>
      <c r="D154" s="1007">
        <v>701073</v>
      </c>
      <c r="E154" s="1827"/>
      <c r="F154" s="479">
        <v>2316812.9537163507</v>
      </c>
      <c r="G154" s="1833"/>
      <c r="H154" s="1838">
        <v>301295</v>
      </c>
      <c r="I154" s="1704">
        <v>335520.75087001419</v>
      </c>
      <c r="J154" s="1844"/>
      <c r="K154" s="1979"/>
      <c r="L154" s="1982">
        <f t="shared" si="11"/>
        <v>636815.75087001419</v>
      </c>
      <c r="M154" s="1838">
        <v>407794</v>
      </c>
      <c r="N154" s="479">
        <v>744868</v>
      </c>
      <c r="O154" s="1827"/>
      <c r="P154" s="1979"/>
      <c r="Q154" s="1986">
        <f t="shared" si="12"/>
        <v>1152662</v>
      </c>
    </row>
    <row r="155" spans="1:17">
      <c r="A155" s="134">
        <f t="shared" si="15"/>
        <v>2005.02</v>
      </c>
      <c r="B155" s="1818">
        <f t="shared" si="13"/>
        <v>646444.24912998581</v>
      </c>
      <c r="C155" s="1822">
        <f t="shared" si="14"/>
        <v>724725</v>
      </c>
      <c r="D155" s="1007">
        <v>698960</v>
      </c>
      <c r="E155" s="1827"/>
      <c r="F155" s="479">
        <v>1631271.8732272375</v>
      </c>
      <c r="G155" s="1833"/>
      <c r="H155" s="1838">
        <v>350959</v>
      </c>
      <c r="I155" s="1704">
        <v>295485.24912998581</v>
      </c>
      <c r="J155" s="1844"/>
      <c r="K155" s="1979"/>
      <c r="L155" s="1982">
        <f t="shared" si="11"/>
        <v>646444.24912998581</v>
      </c>
      <c r="M155" s="1838">
        <v>288503</v>
      </c>
      <c r="N155" s="479">
        <v>436222</v>
      </c>
      <c r="O155" s="1827"/>
      <c r="P155" s="1979"/>
      <c r="Q155" s="1986">
        <f t="shared" si="12"/>
        <v>724725</v>
      </c>
    </row>
    <row r="156" spans="1:17">
      <c r="A156" s="134">
        <f t="shared" si="15"/>
        <v>2005.03</v>
      </c>
      <c r="B156" s="1818">
        <f t="shared" si="13"/>
        <v>1872518</v>
      </c>
      <c r="C156" s="1822">
        <f t="shared" si="14"/>
        <v>475753</v>
      </c>
      <c r="D156" s="1007">
        <v>2364810</v>
      </c>
      <c r="E156" s="1827"/>
      <c r="F156" s="479">
        <v>1016376.4921164028</v>
      </c>
      <c r="G156" s="1833"/>
      <c r="H156" s="1838">
        <v>731174</v>
      </c>
      <c r="I156" s="1704">
        <v>1141344</v>
      </c>
      <c r="J156" s="1844"/>
      <c r="K156" s="1979"/>
      <c r="L156" s="1982">
        <f t="shared" si="11"/>
        <v>1872518</v>
      </c>
      <c r="M156" s="1838">
        <v>189904</v>
      </c>
      <c r="N156" s="479">
        <v>285849</v>
      </c>
      <c r="O156" s="1827"/>
      <c r="P156" s="1979"/>
      <c r="Q156" s="1986">
        <f t="shared" si="12"/>
        <v>475753</v>
      </c>
    </row>
    <row r="157" spans="1:17">
      <c r="A157" s="134">
        <f t="shared" si="15"/>
        <v>2005.04</v>
      </c>
      <c r="B157" s="1818">
        <f t="shared" si="13"/>
        <v>1362778</v>
      </c>
      <c r="C157" s="1822">
        <f t="shared" si="14"/>
        <v>450550</v>
      </c>
      <c r="D157" s="1007">
        <v>1708937</v>
      </c>
      <c r="E157" s="1827"/>
      <c r="F157" s="479">
        <v>857946.29075583268</v>
      </c>
      <c r="G157" s="1833"/>
      <c r="H157" s="1838">
        <v>538003</v>
      </c>
      <c r="I157" s="1704">
        <v>824775</v>
      </c>
      <c r="J157" s="1844"/>
      <c r="K157" s="1979"/>
      <c r="L157" s="1982">
        <f t="shared" si="11"/>
        <v>1362778</v>
      </c>
      <c r="M157" s="1838">
        <v>249689</v>
      </c>
      <c r="N157" s="479">
        <v>200861</v>
      </c>
      <c r="O157" s="1827"/>
      <c r="P157" s="1979"/>
      <c r="Q157" s="1986">
        <f t="shared" si="12"/>
        <v>450550</v>
      </c>
    </row>
    <row r="158" spans="1:17">
      <c r="A158" s="134">
        <f t="shared" si="15"/>
        <v>2005.05</v>
      </c>
      <c r="B158" s="1818">
        <f t="shared" si="13"/>
        <v>1036100</v>
      </c>
      <c r="C158" s="1822">
        <f t="shared" si="14"/>
        <v>239778</v>
      </c>
      <c r="D158" s="1007">
        <v>1462436</v>
      </c>
      <c r="E158" s="1827"/>
      <c r="F158" s="479">
        <v>687082.39018417639</v>
      </c>
      <c r="G158" s="1833"/>
      <c r="H158" s="1838">
        <v>471495</v>
      </c>
      <c r="I158" s="1704">
        <v>564605</v>
      </c>
      <c r="J158" s="1844"/>
      <c r="K158" s="1979"/>
      <c r="L158" s="1982">
        <f t="shared" si="11"/>
        <v>1036100</v>
      </c>
      <c r="M158" s="1838">
        <v>119760</v>
      </c>
      <c r="N158" s="479">
        <v>120018</v>
      </c>
      <c r="O158" s="1827"/>
      <c r="P158" s="1979"/>
      <c r="Q158" s="1986">
        <f t="shared" si="12"/>
        <v>239778</v>
      </c>
    </row>
    <row r="159" spans="1:17">
      <c r="A159" s="134">
        <f t="shared" si="15"/>
        <v>2005.06</v>
      </c>
      <c r="B159" s="1818">
        <f t="shared" si="13"/>
        <v>770919</v>
      </c>
      <c r="C159" s="1822">
        <f t="shared" si="14"/>
        <v>161082</v>
      </c>
      <c r="D159" s="1007">
        <v>950702</v>
      </c>
      <c r="E159" s="1827"/>
      <c r="F159" s="479">
        <v>426576</v>
      </c>
      <c r="G159" s="1833"/>
      <c r="H159" s="1838">
        <v>361555</v>
      </c>
      <c r="I159" s="1704">
        <v>409364</v>
      </c>
      <c r="J159" s="1844"/>
      <c r="K159" s="1979"/>
      <c r="L159" s="1982">
        <f t="shared" si="11"/>
        <v>770919</v>
      </c>
      <c r="M159" s="1838">
        <v>76820</v>
      </c>
      <c r="N159" s="479">
        <v>84262</v>
      </c>
      <c r="O159" s="1827"/>
      <c r="P159" s="1979"/>
      <c r="Q159" s="1986">
        <f t="shared" si="12"/>
        <v>161082</v>
      </c>
    </row>
    <row r="160" spans="1:17">
      <c r="A160" s="134">
        <f t="shared" si="15"/>
        <v>2005.07</v>
      </c>
      <c r="B160" s="1818">
        <f t="shared" si="13"/>
        <v>1159997</v>
      </c>
      <c r="C160" s="1822">
        <f t="shared" si="14"/>
        <v>178970</v>
      </c>
      <c r="D160" s="1007">
        <v>1357612</v>
      </c>
      <c r="E160" s="1827"/>
      <c r="F160" s="479">
        <v>502931</v>
      </c>
      <c r="G160" s="1833"/>
      <c r="H160" s="1838">
        <v>478533</v>
      </c>
      <c r="I160" s="1704">
        <v>681464</v>
      </c>
      <c r="J160" s="1844"/>
      <c r="K160" s="1979"/>
      <c r="L160" s="1982">
        <f t="shared" si="11"/>
        <v>1159997</v>
      </c>
      <c r="M160" s="1838">
        <v>134150</v>
      </c>
      <c r="N160" s="479">
        <v>44820</v>
      </c>
      <c r="O160" s="1827"/>
      <c r="P160" s="1979"/>
      <c r="Q160" s="1986">
        <f t="shared" si="12"/>
        <v>178970</v>
      </c>
    </row>
    <row r="161" spans="1:17">
      <c r="A161" s="134">
        <f t="shared" si="15"/>
        <v>2005.08</v>
      </c>
      <c r="B161" s="1818">
        <f t="shared" si="13"/>
        <v>809596</v>
      </c>
      <c r="C161" s="1822">
        <f t="shared" si="14"/>
        <v>139260</v>
      </c>
      <c r="D161" s="1007">
        <v>1197132</v>
      </c>
      <c r="E161" s="1827"/>
      <c r="F161" s="479">
        <v>508231</v>
      </c>
      <c r="G161" s="1833"/>
      <c r="H161" s="1838">
        <v>369753</v>
      </c>
      <c r="I161" s="1704">
        <v>439843</v>
      </c>
      <c r="J161" s="1844"/>
      <c r="K161" s="1979"/>
      <c r="L161" s="1982">
        <f t="shared" si="11"/>
        <v>809596</v>
      </c>
      <c r="M161" s="1838">
        <v>55219</v>
      </c>
      <c r="N161" s="479">
        <v>84041</v>
      </c>
      <c r="O161" s="1827"/>
      <c r="P161" s="1979"/>
      <c r="Q161" s="1986">
        <f t="shared" si="12"/>
        <v>139260</v>
      </c>
    </row>
    <row r="162" spans="1:17">
      <c r="A162" s="134">
        <f t="shared" si="15"/>
        <v>2005.09</v>
      </c>
      <c r="B162" s="1818">
        <f t="shared" si="13"/>
        <v>793798</v>
      </c>
      <c r="C162" s="1822">
        <f t="shared" si="14"/>
        <v>121448</v>
      </c>
      <c r="D162" s="1007">
        <v>1029143</v>
      </c>
      <c r="E162" s="1827"/>
      <c r="F162" s="479">
        <v>388285</v>
      </c>
      <c r="G162" s="1833"/>
      <c r="H162" s="1838">
        <v>354560</v>
      </c>
      <c r="I162" s="1704">
        <v>439238</v>
      </c>
      <c r="J162" s="1844"/>
      <c r="K162" s="1979"/>
      <c r="L162" s="1982">
        <f t="shared" si="11"/>
        <v>793798</v>
      </c>
      <c r="M162" s="1838">
        <v>103173</v>
      </c>
      <c r="N162" s="479">
        <v>18275</v>
      </c>
      <c r="O162" s="1827"/>
      <c r="P162" s="1979"/>
      <c r="Q162" s="1986">
        <f t="shared" si="12"/>
        <v>121448</v>
      </c>
    </row>
    <row r="163" spans="1:17">
      <c r="A163" s="134">
        <f t="shared" si="15"/>
        <v>2005.1</v>
      </c>
      <c r="B163" s="1818">
        <f t="shared" si="13"/>
        <v>685621</v>
      </c>
      <c r="C163" s="1822">
        <f t="shared" si="14"/>
        <v>72281</v>
      </c>
      <c r="D163" s="1007">
        <v>944458</v>
      </c>
      <c r="E163" s="1827"/>
      <c r="F163" s="479">
        <v>356237</v>
      </c>
      <c r="G163" s="1833"/>
      <c r="H163" s="1838">
        <v>280473</v>
      </c>
      <c r="I163" s="1704">
        <v>405148</v>
      </c>
      <c r="J163" s="1844"/>
      <c r="K163" s="1979"/>
      <c r="L163" s="1982">
        <f t="shared" si="11"/>
        <v>685621</v>
      </c>
      <c r="M163" s="1838">
        <v>33640</v>
      </c>
      <c r="N163" s="479">
        <v>38641</v>
      </c>
      <c r="O163" s="1827"/>
      <c r="P163" s="1979"/>
      <c r="Q163" s="1986">
        <f t="shared" si="12"/>
        <v>72281</v>
      </c>
    </row>
    <row r="164" spans="1:17">
      <c r="A164" s="134">
        <f t="shared" si="15"/>
        <v>2005.11</v>
      </c>
      <c r="B164" s="1818">
        <f t="shared" si="13"/>
        <v>793814</v>
      </c>
      <c r="C164" s="1822">
        <f t="shared" si="14"/>
        <v>88024</v>
      </c>
      <c r="D164" s="1007">
        <v>1074870</v>
      </c>
      <c r="E164" s="1827"/>
      <c r="F164" s="479">
        <v>511874</v>
      </c>
      <c r="G164" s="1833"/>
      <c r="H164" s="1838">
        <v>359045</v>
      </c>
      <c r="I164" s="1704">
        <v>434769</v>
      </c>
      <c r="J164" s="1844"/>
      <c r="K164" s="1979"/>
      <c r="L164" s="1982">
        <f t="shared" si="11"/>
        <v>793814</v>
      </c>
      <c r="M164" s="1838">
        <v>34979</v>
      </c>
      <c r="N164" s="479">
        <v>53045</v>
      </c>
      <c r="O164" s="1827"/>
      <c r="P164" s="1979"/>
      <c r="Q164" s="1986">
        <f t="shared" si="12"/>
        <v>88024</v>
      </c>
    </row>
    <row r="165" spans="1:17">
      <c r="A165" s="134">
        <f t="shared" si="15"/>
        <v>2005.12</v>
      </c>
      <c r="B165" s="1818">
        <f t="shared" si="13"/>
        <v>610638</v>
      </c>
      <c r="C165" s="1822">
        <f t="shared" si="14"/>
        <v>391497</v>
      </c>
      <c r="D165" s="1007">
        <v>736339</v>
      </c>
      <c r="E165" s="1827"/>
      <c r="F165" s="479">
        <v>767351</v>
      </c>
      <c r="G165" s="1833"/>
      <c r="H165" s="1838">
        <v>332995</v>
      </c>
      <c r="I165" s="1704">
        <v>277643</v>
      </c>
      <c r="J165" s="1844"/>
      <c r="K165" s="1979"/>
      <c r="L165" s="1982">
        <f t="shared" si="11"/>
        <v>610638</v>
      </c>
      <c r="M165" s="1838">
        <v>90410</v>
      </c>
      <c r="N165" s="479">
        <v>301087</v>
      </c>
      <c r="O165" s="1827"/>
      <c r="P165" s="1979"/>
      <c r="Q165" s="1986">
        <f t="shared" si="12"/>
        <v>391497</v>
      </c>
    </row>
    <row r="166" spans="1:17">
      <c r="A166" s="134">
        <f t="shared" si="15"/>
        <v>2006.01</v>
      </c>
      <c r="B166" s="1818">
        <f t="shared" si="13"/>
        <v>670218.17915671389</v>
      </c>
      <c r="C166" s="1822">
        <f t="shared" si="14"/>
        <v>442314</v>
      </c>
      <c r="D166" s="1007">
        <v>836144.1802657271</v>
      </c>
      <c r="E166" s="1827"/>
      <c r="F166" s="479">
        <v>910511</v>
      </c>
      <c r="G166" s="1833"/>
      <c r="H166" s="1838">
        <v>169148</v>
      </c>
      <c r="I166" s="1704">
        <v>501070.17915671383</v>
      </c>
      <c r="J166" s="1844"/>
      <c r="K166" s="1979"/>
      <c r="L166" s="1982">
        <f t="shared" si="11"/>
        <v>670218.17915671389</v>
      </c>
      <c r="M166" s="1838">
        <v>158381</v>
      </c>
      <c r="N166" s="479">
        <v>283933</v>
      </c>
      <c r="O166" s="1827"/>
      <c r="P166" s="1979"/>
      <c r="Q166" s="1986">
        <f t="shared" si="12"/>
        <v>442314</v>
      </c>
    </row>
    <row r="167" spans="1:17">
      <c r="A167" s="134">
        <f t="shared" si="15"/>
        <v>2006.02</v>
      </c>
      <c r="B167" s="1818">
        <f t="shared" si="13"/>
        <v>482947.99327229999</v>
      </c>
      <c r="C167" s="1822">
        <f t="shared" si="14"/>
        <v>278276.005</v>
      </c>
      <c r="D167" s="1007">
        <v>571462.213581649</v>
      </c>
      <c r="E167" s="1827"/>
      <c r="F167" s="479">
        <v>623784</v>
      </c>
      <c r="G167" s="1833"/>
      <c r="H167" s="1838">
        <v>189388.75</v>
      </c>
      <c r="I167" s="1704">
        <v>293559.24327229999</v>
      </c>
      <c r="J167" s="1844"/>
      <c r="K167" s="1979"/>
      <c r="L167" s="1982">
        <f t="shared" si="11"/>
        <v>482947.99327229999</v>
      </c>
      <c r="M167" s="1838">
        <v>114603.005</v>
      </c>
      <c r="N167" s="479">
        <v>163673</v>
      </c>
      <c r="O167" s="1827"/>
      <c r="P167" s="1979"/>
      <c r="Q167" s="1986">
        <f t="shared" si="12"/>
        <v>278276.005</v>
      </c>
    </row>
    <row r="168" spans="1:17">
      <c r="A168" s="134">
        <f t="shared" si="15"/>
        <v>2006.03</v>
      </c>
      <c r="B168" s="1818">
        <f t="shared" si="13"/>
        <v>806258.88359011046</v>
      </c>
      <c r="C168" s="1822">
        <f t="shared" si="14"/>
        <v>348844</v>
      </c>
      <c r="D168" s="1007">
        <v>843084.83267184976</v>
      </c>
      <c r="E168" s="1827"/>
      <c r="F168" s="479">
        <v>865803</v>
      </c>
      <c r="G168" s="1833"/>
      <c r="H168" s="1838">
        <v>331189</v>
      </c>
      <c r="I168" s="1704">
        <v>475069.88359011046</v>
      </c>
      <c r="J168" s="1844"/>
      <c r="K168" s="1979"/>
      <c r="L168" s="1982">
        <f t="shared" si="11"/>
        <v>806258.88359011046</v>
      </c>
      <c r="M168" s="1838">
        <v>129387</v>
      </c>
      <c r="N168" s="479">
        <v>219457</v>
      </c>
      <c r="O168" s="1827"/>
      <c r="P168" s="1979"/>
      <c r="Q168" s="1986">
        <f t="shared" si="12"/>
        <v>348844</v>
      </c>
    </row>
    <row r="169" spans="1:17">
      <c r="A169" s="134">
        <f t="shared" si="15"/>
        <v>2006.04</v>
      </c>
      <c r="B169" s="1818">
        <f t="shared" si="13"/>
        <v>837770.3600447746</v>
      </c>
      <c r="C169" s="1822">
        <f t="shared" si="14"/>
        <v>303146.799999999</v>
      </c>
      <c r="D169" s="1007">
        <v>974772.67329517566</v>
      </c>
      <c r="E169" s="1827"/>
      <c r="F169" s="479">
        <v>471148</v>
      </c>
      <c r="G169" s="1833"/>
      <c r="H169" s="1838">
        <v>424038.90500000003</v>
      </c>
      <c r="I169" s="1704">
        <v>413731.45504477457</v>
      </c>
      <c r="J169" s="1844"/>
      <c r="K169" s="1979"/>
      <c r="L169" s="1982">
        <f t="shared" si="11"/>
        <v>837770.3600447746</v>
      </c>
      <c r="M169" s="1838">
        <v>148081.799999999</v>
      </c>
      <c r="N169" s="479">
        <v>155065</v>
      </c>
      <c r="O169" s="1827"/>
      <c r="P169" s="1979"/>
      <c r="Q169" s="1986">
        <f t="shared" si="12"/>
        <v>303146.799999999</v>
      </c>
    </row>
    <row r="170" spans="1:17">
      <c r="A170" s="134">
        <f t="shared" si="15"/>
        <v>2006.05</v>
      </c>
      <c r="B170" s="1818">
        <f t="shared" si="13"/>
        <v>832648.85627016728</v>
      </c>
      <c r="C170" s="1822">
        <f t="shared" si="14"/>
        <v>340294.95</v>
      </c>
      <c r="D170" s="1007">
        <v>1128395.1094113407</v>
      </c>
      <c r="E170" s="1827"/>
      <c r="F170" s="479">
        <v>758732</v>
      </c>
      <c r="G170" s="1833"/>
      <c r="H170" s="1838">
        <v>306383.565</v>
      </c>
      <c r="I170" s="1704">
        <v>526265.29127016733</v>
      </c>
      <c r="J170" s="1844"/>
      <c r="K170" s="1979"/>
      <c r="L170" s="1982">
        <f t="shared" si="11"/>
        <v>832648.85627016728</v>
      </c>
      <c r="M170" s="1838">
        <v>121695.95</v>
      </c>
      <c r="N170" s="479">
        <v>218599</v>
      </c>
      <c r="O170" s="1827"/>
      <c r="P170" s="1979"/>
      <c r="Q170" s="1986">
        <f t="shared" si="12"/>
        <v>340294.95</v>
      </c>
    </row>
    <row r="171" spans="1:17">
      <c r="A171" s="134">
        <f t="shared" si="15"/>
        <v>2006.06</v>
      </c>
      <c r="B171" s="1818">
        <f t="shared" si="13"/>
        <v>493880.96117041685</v>
      </c>
      <c r="C171" s="1822">
        <f t="shared" si="14"/>
        <v>379970</v>
      </c>
      <c r="D171" s="1007">
        <v>628676.35034520435</v>
      </c>
      <c r="E171" s="1827"/>
      <c r="F171" s="479">
        <v>847175</v>
      </c>
      <c r="G171" s="1833"/>
      <c r="H171" s="1838">
        <v>317031</v>
      </c>
      <c r="I171" s="1704">
        <v>176849.96117041685</v>
      </c>
      <c r="J171" s="1844"/>
      <c r="K171" s="1979"/>
      <c r="L171" s="1982">
        <f t="shared" si="11"/>
        <v>493880.96117041685</v>
      </c>
      <c r="M171" s="1838">
        <v>170307</v>
      </c>
      <c r="N171" s="479">
        <v>209663</v>
      </c>
      <c r="O171" s="1827"/>
      <c r="P171" s="1979"/>
      <c r="Q171" s="1986">
        <f t="shared" si="12"/>
        <v>379970</v>
      </c>
    </row>
    <row r="172" spans="1:17">
      <c r="A172" s="134">
        <f t="shared" si="15"/>
        <v>2006.07</v>
      </c>
      <c r="B172" s="1818">
        <f t="shared" si="13"/>
        <v>581374.94462784776</v>
      </c>
      <c r="C172" s="1822">
        <f t="shared" si="14"/>
        <v>328956</v>
      </c>
      <c r="D172" s="1007">
        <v>720760.19233305613</v>
      </c>
      <c r="E172" s="1827"/>
      <c r="F172" s="479">
        <v>735054</v>
      </c>
      <c r="G172" s="1833"/>
      <c r="H172" s="1838">
        <v>324006</v>
      </c>
      <c r="I172" s="1704">
        <v>257368.94462784781</v>
      </c>
      <c r="J172" s="1844"/>
      <c r="K172" s="1979"/>
      <c r="L172" s="1982">
        <f t="shared" si="11"/>
        <v>581374.94462784776</v>
      </c>
      <c r="M172" s="1838">
        <v>124731</v>
      </c>
      <c r="N172" s="479">
        <v>204225</v>
      </c>
      <c r="O172" s="1827"/>
      <c r="P172" s="1979"/>
      <c r="Q172" s="1986">
        <f t="shared" si="12"/>
        <v>328956</v>
      </c>
    </row>
    <row r="173" spans="1:17">
      <c r="A173" s="134">
        <f t="shared" si="15"/>
        <v>2006.08</v>
      </c>
      <c r="B173" s="1818">
        <f t="shared" si="13"/>
        <v>858484.64769383834</v>
      </c>
      <c r="C173" s="1822">
        <f t="shared" si="14"/>
        <v>257755</v>
      </c>
      <c r="D173" s="1007">
        <v>1137226.4480959973</v>
      </c>
      <c r="E173" s="1827"/>
      <c r="F173" s="479">
        <v>783558</v>
      </c>
      <c r="G173" s="1833"/>
      <c r="H173" s="1838">
        <v>349831</v>
      </c>
      <c r="I173" s="1704">
        <v>508653.64769383834</v>
      </c>
      <c r="J173" s="1844"/>
      <c r="K173" s="1979"/>
      <c r="L173" s="1982">
        <f t="shared" si="11"/>
        <v>858484.64769383834</v>
      </c>
      <c r="M173" s="1838">
        <v>155224</v>
      </c>
      <c r="N173" s="479">
        <v>102531</v>
      </c>
      <c r="O173" s="1827"/>
      <c r="P173" s="1979"/>
      <c r="Q173" s="1986">
        <f t="shared" si="12"/>
        <v>257755</v>
      </c>
    </row>
    <row r="174" spans="1:17">
      <c r="A174" s="134">
        <f t="shared" si="15"/>
        <v>2006.09</v>
      </c>
      <c r="B174" s="1818">
        <f t="shared" si="13"/>
        <v>600896.47148210905</v>
      </c>
      <c r="C174" s="1822">
        <f t="shared" si="14"/>
        <v>198249</v>
      </c>
      <c r="D174" s="1007">
        <v>731969</v>
      </c>
      <c r="E174" s="1827"/>
      <c r="F174" s="479">
        <v>497121</v>
      </c>
      <c r="G174" s="1833"/>
      <c r="H174" s="1838">
        <v>336426</v>
      </c>
      <c r="I174" s="1704">
        <v>264470.47148210899</v>
      </c>
      <c r="J174" s="1844"/>
      <c r="K174" s="1979"/>
      <c r="L174" s="1982">
        <f t="shared" si="11"/>
        <v>600896.47148210905</v>
      </c>
      <c r="M174" s="1838">
        <v>76568</v>
      </c>
      <c r="N174" s="479">
        <v>121681</v>
      </c>
      <c r="O174" s="1827"/>
      <c r="P174" s="1979"/>
      <c r="Q174" s="1986">
        <f t="shared" si="12"/>
        <v>198249</v>
      </c>
    </row>
    <row r="175" spans="1:17">
      <c r="A175" s="134">
        <f t="shared" si="15"/>
        <v>2006.1</v>
      </c>
      <c r="B175" s="1818">
        <f t="shared" si="13"/>
        <v>931483.28614006471</v>
      </c>
      <c r="C175" s="1822">
        <f t="shared" si="14"/>
        <v>150576</v>
      </c>
      <c r="D175" s="1007">
        <v>1204909</v>
      </c>
      <c r="E175" s="1827"/>
      <c r="F175" s="479">
        <v>717622</v>
      </c>
      <c r="G175" s="1833"/>
      <c r="H175" s="1838">
        <v>455454</v>
      </c>
      <c r="I175" s="1704">
        <v>476029.28614006465</v>
      </c>
      <c r="J175" s="1844"/>
      <c r="K175" s="1979"/>
      <c r="L175" s="1982">
        <f t="shared" si="11"/>
        <v>931483.28614006471</v>
      </c>
      <c r="M175" s="1838">
        <v>68654</v>
      </c>
      <c r="N175" s="479">
        <v>81922</v>
      </c>
      <c r="O175" s="1827"/>
      <c r="P175" s="1979"/>
      <c r="Q175" s="1986">
        <f t="shared" si="12"/>
        <v>150576</v>
      </c>
    </row>
    <row r="176" spans="1:17">
      <c r="A176" s="134">
        <f t="shared" si="15"/>
        <v>2006.11</v>
      </c>
      <c r="B176" s="1818">
        <f t="shared" si="13"/>
        <v>1003521.4316745845</v>
      </c>
      <c r="C176" s="1822">
        <f t="shared" si="14"/>
        <v>321247</v>
      </c>
      <c r="D176" s="1007">
        <v>1081568</v>
      </c>
      <c r="E176" s="1827"/>
      <c r="F176" s="479">
        <v>618368</v>
      </c>
      <c r="G176" s="1833"/>
      <c r="H176" s="1838">
        <v>532231</v>
      </c>
      <c r="I176" s="1704">
        <v>471290.43167458451</v>
      </c>
      <c r="J176" s="1844"/>
      <c r="K176" s="1979"/>
      <c r="L176" s="1982">
        <f t="shared" si="11"/>
        <v>1003521.4316745845</v>
      </c>
      <c r="M176" s="1838">
        <v>143254</v>
      </c>
      <c r="N176" s="479">
        <v>177993</v>
      </c>
      <c r="O176" s="1827"/>
      <c r="P176" s="1979"/>
      <c r="Q176" s="1986">
        <f t="shared" si="12"/>
        <v>321247</v>
      </c>
    </row>
    <row r="177" spans="1:17">
      <c r="A177" s="134">
        <f t="shared" si="15"/>
        <v>2006.12</v>
      </c>
      <c r="B177" s="1818">
        <f t="shared" si="13"/>
        <v>369468.20487707271</v>
      </c>
      <c r="C177" s="1822">
        <f t="shared" si="14"/>
        <v>736415</v>
      </c>
      <c r="D177" s="1007">
        <v>454109</v>
      </c>
      <c r="E177" s="1827"/>
      <c r="F177" s="479">
        <v>1556235</v>
      </c>
      <c r="G177" s="1833"/>
      <c r="H177" s="1838">
        <v>113239</v>
      </c>
      <c r="I177" s="1704">
        <v>256229.20487707271</v>
      </c>
      <c r="J177" s="1844"/>
      <c r="K177" s="1979"/>
      <c r="L177" s="1982">
        <f t="shared" si="11"/>
        <v>369468.20487707271</v>
      </c>
      <c r="M177" s="1838">
        <v>226220</v>
      </c>
      <c r="N177" s="479">
        <v>510195</v>
      </c>
      <c r="O177" s="1827"/>
      <c r="P177" s="1979"/>
      <c r="Q177" s="1986">
        <f t="shared" si="12"/>
        <v>736415</v>
      </c>
    </row>
    <row r="178" spans="1:17">
      <c r="A178" s="134">
        <f t="shared" si="15"/>
        <v>2007.01</v>
      </c>
      <c r="B178" s="1818">
        <f t="shared" si="13"/>
        <v>286915.32441014226</v>
      </c>
      <c r="C178" s="1822">
        <f t="shared" si="14"/>
        <v>645634</v>
      </c>
      <c r="D178" s="1007">
        <v>359491</v>
      </c>
      <c r="E178" s="1827"/>
      <c r="F178" s="479">
        <v>1443602</v>
      </c>
      <c r="G178" s="1833"/>
      <c r="H178" s="1838">
        <v>132098</v>
      </c>
      <c r="I178" s="1704">
        <v>154817.32441014223</v>
      </c>
      <c r="J178" s="1844"/>
      <c r="K178" s="1979"/>
      <c r="L178" s="1982">
        <f t="shared" si="11"/>
        <v>286915.32441014226</v>
      </c>
      <c r="M178" s="1838">
        <v>324208</v>
      </c>
      <c r="N178" s="479">
        <v>321426</v>
      </c>
      <c r="O178" s="1827"/>
      <c r="P178" s="1979"/>
      <c r="Q178" s="1986">
        <f t="shared" si="12"/>
        <v>645634</v>
      </c>
    </row>
    <row r="179" spans="1:17">
      <c r="A179" s="134">
        <f t="shared" si="15"/>
        <v>2007.02</v>
      </c>
      <c r="B179" s="1818">
        <f t="shared" si="13"/>
        <v>307484.74985436455</v>
      </c>
      <c r="C179" s="1822">
        <f t="shared" si="14"/>
        <v>704208</v>
      </c>
      <c r="D179" s="1007">
        <v>308060</v>
      </c>
      <c r="E179" s="1827"/>
      <c r="F179" s="479">
        <v>1253649</v>
      </c>
      <c r="G179" s="1833"/>
      <c r="H179" s="1838">
        <v>89952</v>
      </c>
      <c r="I179" s="1704">
        <v>217532.74985436455</v>
      </c>
      <c r="J179" s="1844"/>
      <c r="K179" s="1979"/>
      <c r="L179" s="1982">
        <f t="shared" si="11"/>
        <v>307484.74985436455</v>
      </c>
      <c r="M179" s="1838">
        <v>283827</v>
      </c>
      <c r="N179" s="479">
        <v>420381</v>
      </c>
      <c r="O179" s="1827"/>
      <c r="P179" s="1979"/>
      <c r="Q179" s="1986">
        <f t="shared" si="12"/>
        <v>704208</v>
      </c>
    </row>
    <row r="180" spans="1:17">
      <c r="A180" s="134">
        <f t="shared" si="15"/>
        <v>2007.03</v>
      </c>
      <c r="B180" s="1818">
        <f t="shared" si="13"/>
        <v>1102043.5672890474</v>
      </c>
      <c r="C180" s="1822">
        <f t="shared" si="14"/>
        <v>540048</v>
      </c>
      <c r="D180" s="1007">
        <v>1283674</v>
      </c>
      <c r="E180" s="1827"/>
      <c r="F180" s="479">
        <v>1031947</v>
      </c>
      <c r="G180" s="1833"/>
      <c r="H180" s="1838">
        <v>412353</v>
      </c>
      <c r="I180" s="1704">
        <v>689690.56728904741</v>
      </c>
      <c r="J180" s="1844"/>
      <c r="K180" s="1979"/>
      <c r="L180" s="1982">
        <f t="shared" si="11"/>
        <v>1102043.5672890474</v>
      </c>
      <c r="M180" s="1838">
        <v>231643</v>
      </c>
      <c r="N180" s="479">
        <v>308405</v>
      </c>
      <c r="O180" s="1827"/>
      <c r="P180" s="1979"/>
      <c r="Q180" s="1986">
        <f t="shared" si="12"/>
        <v>540048</v>
      </c>
    </row>
    <row r="181" spans="1:17">
      <c r="A181" s="134">
        <f t="shared" si="15"/>
        <v>2007.04</v>
      </c>
      <c r="B181" s="1818">
        <f t="shared" si="13"/>
        <v>1795252.549077095</v>
      </c>
      <c r="C181" s="1822">
        <f t="shared" si="14"/>
        <v>367496</v>
      </c>
      <c r="D181" s="1007">
        <v>2373118</v>
      </c>
      <c r="E181" s="1827"/>
      <c r="F181" s="479">
        <v>983555</v>
      </c>
      <c r="G181" s="1833"/>
      <c r="H181" s="1838">
        <v>865390</v>
      </c>
      <c r="I181" s="1704">
        <v>929862.54907709511</v>
      </c>
      <c r="J181" s="1844"/>
      <c r="K181" s="1979"/>
      <c r="L181" s="1982">
        <f t="shared" si="11"/>
        <v>1795252.549077095</v>
      </c>
      <c r="M181" s="1838">
        <v>193179</v>
      </c>
      <c r="N181" s="479">
        <v>174317</v>
      </c>
      <c r="O181" s="1827"/>
      <c r="P181" s="1979"/>
      <c r="Q181" s="1986">
        <f t="shared" si="12"/>
        <v>367496</v>
      </c>
    </row>
    <row r="182" spans="1:17">
      <c r="A182" s="134">
        <f t="shared" si="15"/>
        <v>2007.05</v>
      </c>
      <c r="B182" s="1818">
        <f t="shared" si="13"/>
        <v>1598442.8093693508</v>
      </c>
      <c r="C182" s="1822">
        <f t="shared" si="14"/>
        <v>241609</v>
      </c>
      <c r="D182" s="1007">
        <v>2153950</v>
      </c>
      <c r="E182" s="1827"/>
      <c r="F182" s="479">
        <v>688093</v>
      </c>
      <c r="G182" s="1833"/>
      <c r="H182" s="1838">
        <v>663394</v>
      </c>
      <c r="I182" s="1704">
        <v>935048.80936935067</v>
      </c>
      <c r="J182" s="1844"/>
      <c r="K182" s="1979"/>
      <c r="L182" s="1982">
        <f t="shared" si="11"/>
        <v>1598442.8093693508</v>
      </c>
      <c r="M182" s="1838">
        <v>63608</v>
      </c>
      <c r="N182" s="479">
        <v>178001</v>
      </c>
      <c r="O182" s="1827"/>
      <c r="P182" s="1979"/>
      <c r="Q182" s="1986">
        <f t="shared" si="12"/>
        <v>241609</v>
      </c>
    </row>
    <row r="183" spans="1:17">
      <c r="A183" s="134">
        <f t="shared" si="15"/>
        <v>2007.06</v>
      </c>
      <c r="B183" s="1818">
        <f t="shared" si="13"/>
        <v>1285700</v>
      </c>
      <c r="C183" s="1822">
        <f t="shared" si="14"/>
        <v>328806</v>
      </c>
      <c r="D183" s="1007">
        <v>1564223</v>
      </c>
      <c r="E183" s="1827"/>
      <c r="F183" s="479">
        <v>659794</v>
      </c>
      <c r="G183" s="1833"/>
      <c r="H183" s="1838">
        <v>632188</v>
      </c>
      <c r="I183" s="1704">
        <v>653512</v>
      </c>
      <c r="J183" s="1844"/>
      <c r="K183" s="1979"/>
      <c r="L183" s="1982">
        <f t="shared" si="11"/>
        <v>1285700</v>
      </c>
      <c r="M183" s="1838">
        <v>104341</v>
      </c>
      <c r="N183" s="479">
        <v>224465</v>
      </c>
      <c r="O183" s="1827"/>
      <c r="P183" s="1979"/>
      <c r="Q183" s="1986">
        <f t="shared" si="12"/>
        <v>328806</v>
      </c>
    </row>
    <row r="184" spans="1:17">
      <c r="A184" s="134">
        <f t="shared" si="15"/>
        <v>2007.07</v>
      </c>
      <c r="B184" s="1818">
        <f t="shared" si="13"/>
        <v>1291575</v>
      </c>
      <c r="C184" s="1822">
        <f t="shared" si="14"/>
        <v>274827</v>
      </c>
      <c r="D184" s="1007">
        <v>1582896</v>
      </c>
      <c r="E184" s="1827"/>
      <c r="F184" s="479">
        <v>611284</v>
      </c>
      <c r="G184" s="1833"/>
      <c r="H184" s="1838">
        <v>585290</v>
      </c>
      <c r="I184" s="1704">
        <v>706285</v>
      </c>
      <c r="J184" s="1844"/>
      <c r="K184" s="1979"/>
      <c r="L184" s="1982">
        <f t="shared" si="11"/>
        <v>1291575</v>
      </c>
      <c r="M184" s="1838">
        <v>190251</v>
      </c>
      <c r="N184" s="479">
        <v>84576</v>
      </c>
      <c r="O184" s="1827"/>
      <c r="P184" s="1979"/>
      <c r="Q184" s="1986">
        <f t="shared" si="12"/>
        <v>274827</v>
      </c>
    </row>
    <row r="185" spans="1:17">
      <c r="A185" s="134">
        <f t="shared" si="15"/>
        <v>2007.08</v>
      </c>
      <c r="B185" s="1818">
        <f t="shared" si="13"/>
        <v>1188045</v>
      </c>
      <c r="C185" s="1822">
        <f t="shared" si="14"/>
        <v>146476</v>
      </c>
      <c r="D185" s="1007">
        <v>1669874</v>
      </c>
      <c r="E185" s="1827"/>
      <c r="F185" s="479">
        <v>373104</v>
      </c>
      <c r="G185" s="1833"/>
      <c r="H185" s="1838">
        <v>690439</v>
      </c>
      <c r="I185" s="1704">
        <v>497606</v>
      </c>
      <c r="J185" s="1844"/>
      <c r="K185" s="1979"/>
      <c r="L185" s="1982">
        <f t="shared" si="11"/>
        <v>1188045</v>
      </c>
      <c r="M185" s="1838">
        <v>100751</v>
      </c>
      <c r="N185" s="479">
        <v>45725</v>
      </c>
      <c r="O185" s="1827"/>
      <c r="P185" s="1979"/>
      <c r="Q185" s="1986">
        <f t="shared" si="12"/>
        <v>146476</v>
      </c>
    </row>
    <row r="186" spans="1:17">
      <c r="A186" s="134">
        <f t="shared" si="15"/>
        <v>2007.09</v>
      </c>
      <c r="B186" s="1818">
        <f>L186</f>
        <v>1250034</v>
      </c>
      <c r="C186" s="1822">
        <f t="shared" si="14"/>
        <v>50632</v>
      </c>
      <c r="D186" s="1007">
        <v>1505063</v>
      </c>
      <c r="E186" s="1827"/>
      <c r="F186" s="479">
        <v>116428</v>
      </c>
      <c r="G186" s="1833"/>
      <c r="H186" s="1838">
        <v>549685</v>
      </c>
      <c r="I186" s="1704">
        <v>700349</v>
      </c>
      <c r="J186" s="1844"/>
      <c r="K186" s="1979"/>
      <c r="L186" s="1982">
        <f t="shared" si="11"/>
        <v>1250034</v>
      </c>
      <c r="M186" s="1838">
        <v>14500</v>
      </c>
      <c r="N186" s="479">
        <v>36132</v>
      </c>
      <c r="O186" s="1827"/>
      <c r="P186" s="1979"/>
      <c r="Q186" s="1986">
        <f t="shared" si="12"/>
        <v>50632</v>
      </c>
    </row>
    <row r="187" spans="1:17">
      <c r="A187" s="134">
        <f t="shared" si="15"/>
        <v>2007.1</v>
      </c>
      <c r="B187" s="1818">
        <f t="shared" si="13"/>
        <v>867666</v>
      </c>
      <c r="C187" s="1822">
        <f t="shared" si="14"/>
        <v>7388</v>
      </c>
      <c r="D187" s="1007">
        <v>1047065</v>
      </c>
      <c r="E187" s="1827"/>
      <c r="F187" s="479">
        <v>62082</v>
      </c>
      <c r="G187" s="1833"/>
      <c r="H187" s="1838">
        <v>467611</v>
      </c>
      <c r="I187" s="1704">
        <v>400055</v>
      </c>
      <c r="J187" s="1844"/>
      <c r="K187" s="1979"/>
      <c r="L187" s="1982">
        <f t="shared" si="11"/>
        <v>867666</v>
      </c>
      <c r="M187" s="1838">
        <v>0</v>
      </c>
      <c r="N187" s="479">
        <v>7388</v>
      </c>
      <c r="O187" s="1827"/>
      <c r="P187" s="1979"/>
      <c r="Q187" s="1986">
        <f t="shared" si="12"/>
        <v>7388</v>
      </c>
    </row>
    <row r="188" spans="1:17">
      <c r="A188" s="134">
        <f t="shared" si="15"/>
        <v>2007.11</v>
      </c>
      <c r="B188" s="1818">
        <f t="shared" si="13"/>
        <v>386013</v>
      </c>
      <c r="C188" s="1822">
        <f>Q188</f>
        <v>368942</v>
      </c>
      <c r="D188" s="1007">
        <v>488678</v>
      </c>
      <c r="E188" s="1827"/>
      <c r="F188" s="479">
        <v>536186</v>
      </c>
      <c r="G188" s="1833"/>
      <c r="H188" s="1838">
        <v>135527</v>
      </c>
      <c r="I188" s="1704">
        <v>250486</v>
      </c>
      <c r="J188" s="1844"/>
      <c r="K188" s="1979"/>
      <c r="L188" s="1982">
        <f t="shared" si="11"/>
        <v>386013</v>
      </c>
      <c r="M188" s="1838">
        <v>105054</v>
      </c>
      <c r="N188" s="479">
        <v>263888</v>
      </c>
      <c r="O188" s="1827"/>
      <c r="P188" s="1979"/>
      <c r="Q188" s="1986">
        <f t="shared" si="12"/>
        <v>368942</v>
      </c>
    </row>
    <row r="189" spans="1:17">
      <c r="A189" s="134">
        <f t="shared" si="15"/>
        <v>2007.12</v>
      </c>
      <c r="B189" s="1818">
        <f t="shared" si="13"/>
        <v>280778</v>
      </c>
      <c r="C189" s="1822">
        <f t="shared" si="14"/>
        <v>1143697</v>
      </c>
      <c r="D189" s="1007">
        <v>331444</v>
      </c>
      <c r="E189" s="1827"/>
      <c r="F189" s="479">
        <v>1724593</v>
      </c>
      <c r="G189" s="1833"/>
      <c r="H189" s="1838">
        <v>113035</v>
      </c>
      <c r="I189" s="1704">
        <v>167743</v>
      </c>
      <c r="J189" s="1844"/>
      <c r="K189" s="1979"/>
      <c r="L189" s="1982">
        <f t="shared" si="11"/>
        <v>280778</v>
      </c>
      <c r="M189" s="1838">
        <v>523544</v>
      </c>
      <c r="N189" s="479">
        <v>620153</v>
      </c>
      <c r="O189" s="1827"/>
      <c r="P189" s="1979"/>
      <c r="Q189" s="1986">
        <f t="shared" si="12"/>
        <v>1143697</v>
      </c>
    </row>
    <row r="190" spans="1:17">
      <c r="A190" s="134">
        <f t="shared" si="15"/>
        <v>2008.01</v>
      </c>
      <c r="B190" s="1818">
        <f t="shared" si="13"/>
        <v>123386.28984423952</v>
      </c>
      <c r="C190" s="1822">
        <f t="shared" si="14"/>
        <v>1632380</v>
      </c>
      <c r="D190" s="1007">
        <v>124845.35662293155</v>
      </c>
      <c r="E190" s="1827"/>
      <c r="F190" s="479">
        <v>3351208</v>
      </c>
      <c r="G190" s="1833"/>
      <c r="H190" s="1838">
        <v>42550</v>
      </c>
      <c r="I190" s="1704">
        <v>80836.289844239524</v>
      </c>
      <c r="J190" s="1844"/>
      <c r="K190" s="1979"/>
      <c r="L190" s="1982">
        <f t="shared" si="11"/>
        <v>123386.28984423952</v>
      </c>
      <c r="M190" s="1838">
        <v>767385</v>
      </c>
      <c r="N190" s="479">
        <v>864995</v>
      </c>
      <c r="O190" s="1827"/>
      <c r="P190" s="1979"/>
      <c r="Q190" s="1986">
        <f t="shared" si="12"/>
        <v>1632380</v>
      </c>
    </row>
    <row r="191" spans="1:17">
      <c r="A191" s="134">
        <f t="shared" si="15"/>
        <v>2008.02</v>
      </c>
      <c r="B191" s="1818">
        <f t="shared" si="13"/>
        <v>783941.4350068908</v>
      </c>
      <c r="C191" s="1822">
        <f t="shared" si="14"/>
        <v>1050039</v>
      </c>
      <c r="D191" s="1007">
        <v>837998.97254652029</v>
      </c>
      <c r="E191" s="1827"/>
      <c r="F191" s="479">
        <v>1599502</v>
      </c>
      <c r="G191" s="1833"/>
      <c r="H191" s="1838">
        <v>144118</v>
      </c>
      <c r="I191" s="1704">
        <v>639823.4350068908</v>
      </c>
      <c r="J191" s="1844"/>
      <c r="K191" s="1979"/>
      <c r="L191" s="1982">
        <f t="shared" si="11"/>
        <v>783941.4350068908</v>
      </c>
      <c r="M191" s="1838">
        <v>489005</v>
      </c>
      <c r="N191" s="479">
        <v>561034</v>
      </c>
      <c r="O191" s="1827"/>
      <c r="P191" s="1979"/>
      <c r="Q191" s="1986">
        <f t="shared" si="12"/>
        <v>1050039</v>
      </c>
    </row>
    <row r="192" spans="1:17">
      <c r="A192" s="134">
        <f t="shared" si="15"/>
        <v>2008.03</v>
      </c>
      <c r="B192" s="1818">
        <f t="shared" si="13"/>
        <v>1756747.9425710104</v>
      </c>
      <c r="C192" s="1822">
        <f t="shared" si="14"/>
        <v>0</v>
      </c>
      <c r="D192" s="1007">
        <v>1956124.6708305483</v>
      </c>
      <c r="E192" s="1827"/>
      <c r="F192" s="479">
        <v>2674</v>
      </c>
      <c r="G192" s="1833"/>
      <c r="H192" s="1838">
        <v>682556</v>
      </c>
      <c r="I192" s="1704">
        <v>1074191.9425710104</v>
      </c>
      <c r="J192" s="1844"/>
      <c r="K192" s="1979"/>
      <c r="L192" s="1982">
        <f t="shared" si="11"/>
        <v>1756747.9425710104</v>
      </c>
      <c r="M192" s="1838">
        <v>0</v>
      </c>
      <c r="N192" s="479">
        <v>0</v>
      </c>
      <c r="O192" s="1827"/>
      <c r="P192" s="1979"/>
      <c r="Q192" s="1986">
        <f t="shared" si="12"/>
        <v>0</v>
      </c>
    </row>
    <row r="193" spans="1:17">
      <c r="A193" s="134">
        <f t="shared" si="15"/>
        <v>2008.04</v>
      </c>
      <c r="B193" s="1818">
        <f t="shared" si="13"/>
        <v>1723829.7224124488</v>
      </c>
      <c r="C193" s="1822">
        <f t="shared" si="14"/>
        <v>0</v>
      </c>
      <c r="D193" s="1007">
        <v>2111533</v>
      </c>
      <c r="E193" s="1827"/>
      <c r="F193" s="479">
        <v>1298</v>
      </c>
      <c r="G193" s="1833"/>
      <c r="H193" s="1838">
        <v>651373</v>
      </c>
      <c r="I193" s="1704">
        <v>1072456.7224124488</v>
      </c>
      <c r="J193" s="1844"/>
      <c r="K193" s="1979"/>
      <c r="L193" s="1982">
        <f>SUM(H193:K193)</f>
        <v>1723829.7224124488</v>
      </c>
      <c r="M193" s="1838">
        <v>0</v>
      </c>
      <c r="N193" s="479">
        <v>0</v>
      </c>
      <c r="O193" s="1827"/>
      <c r="P193" s="1979"/>
      <c r="Q193" s="1986">
        <f t="shared" si="12"/>
        <v>0</v>
      </c>
    </row>
    <row r="194" spans="1:17">
      <c r="A194" s="134">
        <f t="shared" si="15"/>
        <v>2008.05</v>
      </c>
      <c r="B194" s="1818">
        <f t="shared" si="13"/>
        <v>1669749.6101654104</v>
      </c>
      <c r="C194" s="1822">
        <f t="shared" si="14"/>
        <v>0</v>
      </c>
      <c r="D194" s="1007">
        <v>2146635</v>
      </c>
      <c r="E194" s="1827"/>
      <c r="F194" s="479">
        <v>454</v>
      </c>
      <c r="G194" s="1833"/>
      <c r="H194" s="1838">
        <v>722824</v>
      </c>
      <c r="I194" s="1704">
        <v>946925.61016541044</v>
      </c>
      <c r="J194" s="1844"/>
      <c r="K194" s="1979"/>
      <c r="L194" s="1982">
        <f t="shared" si="11"/>
        <v>1669749.6101654104</v>
      </c>
      <c r="M194" s="1838">
        <v>0</v>
      </c>
      <c r="N194" s="479">
        <v>0</v>
      </c>
      <c r="O194" s="1827"/>
      <c r="P194" s="1979"/>
      <c r="Q194" s="1986">
        <f t="shared" si="12"/>
        <v>0</v>
      </c>
    </row>
    <row r="195" spans="1:17">
      <c r="A195" s="134">
        <f t="shared" si="15"/>
        <v>2008.06</v>
      </c>
      <c r="B195" s="1818">
        <f t="shared" si="13"/>
        <v>1013358</v>
      </c>
      <c r="C195" s="1822">
        <f t="shared" si="14"/>
        <v>28143</v>
      </c>
      <c r="D195" s="1007">
        <v>1274685</v>
      </c>
      <c r="E195" s="1827"/>
      <c r="F195" s="479">
        <v>93382</v>
      </c>
      <c r="G195" s="1833"/>
      <c r="H195" s="1838">
        <v>487769</v>
      </c>
      <c r="I195" s="1704">
        <v>525589</v>
      </c>
      <c r="J195" s="1844"/>
      <c r="K195" s="1979"/>
      <c r="L195" s="1982">
        <f t="shared" si="11"/>
        <v>1013358</v>
      </c>
      <c r="M195" s="1838">
        <v>0</v>
      </c>
      <c r="N195" s="479">
        <v>28143</v>
      </c>
      <c r="O195" s="1827"/>
      <c r="P195" s="1979"/>
      <c r="Q195" s="1986">
        <f>SUM(M195:P195)</f>
        <v>28143</v>
      </c>
    </row>
    <row r="196" spans="1:17">
      <c r="A196" s="134">
        <f t="shared" si="15"/>
        <v>2008.07</v>
      </c>
      <c r="B196" s="1818">
        <f t="shared" si="13"/>
        <v>2352357</v>
      </c>
      <c r="C196" s="1822">
        <f t="shared" si="14"/>
        <v>12070</v>
      </c>
      <c r="D196" s="1007">
        <v>2983621</v>
      </c>
      <c r="E196" s="1827"/>
      <c r="F196" s="479">
        <v>105465</v>
      </c>
      <c r="G196" s="1833"/>
      <c r="H196" s="1838">
        <v>883682</v>
      </c>
      <c r="I196" s="1704">
        <v>1468675</v>
      </c>
      <c r="J196" s="1844"/>
      <c r="K196" s="1979"/>
      <c r="L196" s="1982">
        <f t="shared" si="11"/>
        <v>2352357</v>
      </c>
      <c r="M196" s="1838">
        <v>0</v>
      </c>
      <c r="N196" s="479">
        <v>12070</v>
      </c>
      <c r="O196" s="1827"/>
      <c r="P196" s="1979"/>
      <c r="Q196" s="1986">
        <f t="shared" si="12"/>
        <v>12070</v>
      </c>
    </row>
    <row r="197" spans="1:17">
      <c r="A197" s="134">
        <f t="shared" si="15"/>
        <v>2008.08</v>
      </c>
      <c r="B197" s="1818">
        <f t="shared" si="13"/>
        <v>937976</v>
      </c>
      <c r="C197" s="1822">
        <f t="shared" si="14"/>
        <v>237129</v>
      </c>
      <c r="D197" s="1007">
        <v>1176944</v>
      </c>
      <c r="E197" s="1827"/>
      <c r="F197" s="479">
        <v>441124</v>
      </c>
      <c r="G197" s="1833"/>
      <c r="H197" s="1838">
        <v>407129</v>
      </c>
      <c r="I197" s="1704">
        <v>530847</v>
      </c>
      <c r="J197" s="1844"/>
      <c r="K197" s="1979"/>
      <c r="L197" s="1982">
        <f t="shared" si="11"/>
        <v>937976</v>
      </c>
      <c r="M197" s="1838">
        <v>36997</v>
      </c>
      <c r="N197" s="479">
        <v>200132</v>
      </c>
      <c r="O197" s="1827"/>
      <c r="P197" s="1979"/>
      <c r="Q197" s="1986">
        <f t="shared" si="12"/>
        <v>237129</v>
      </c>
    </row>
    <row r="198" spans="1:17">
      <c r="A198" s="134">
        <f t="shared" si="15"/>
        <v>2008.09</v>
      </c>
      <c r="B198" s="1818">
        <f t="shared" si="13"/>
        <v>660198</v>
      </c>
      <c r="C198" s="1822">
        <f t="shared" si="14"/>
        <v>529951</v>
      </c>
      <c r="D198" s="1007">
        <v>843710</v>
      </c>
      <c r="E198" s="1827"/>
      <c r="F198" s="479">
        <v>884319</v>
      </c>
      <c r="G198" s="1833"/>
      <c r="H198" s="1838">
        <v>167603</v>
      </c>
      <c r="I198" s="1704">
        <v>492595</v>
      </c>
      <c r="J198" s="1844"/>
      <c r="K198" s="1979"/>
      <c r="L198" s="1982">
        <f t="shared" si="11"/>
        <v>660198</v>
      </c>
      <c r="M198" s="1838">
        <v>183625</v>
      </c>
      <c r="N198" s="479">
        <v>346326</v>
      </c>
      <c r="O198" s="1827"/>
      <c r="P198" s="1979"/>
      <c r="Q198" s="1986">
        <f t="shared" si="12"/>
        <v>529951</v>
      </c>
    </row>
    <row r="199" spans="1:17">
      <c r="A199" s="134">
        <f t="shared" si="15"/>
        <v>2008.1</v>
      </c>
      <c r="B199" s="1818">
        <f t="shared" si="13"/>
        <v>631376</v>
      </c>
      <c r="C199" s="1822">
        <f t="shared" si="14"/>
        <v>278476</v>
      </c>
      <c r="D199" s="1007">
        <v>755875</v>
      </c>
      <c r="E199" s="1827"/>
      <c r="F199" s="479">
        <v>599128</v>
      </c>
      <c r="G199" s="1833"/>
      <c r="H199" s="1838">
        <v>145616</v>
      </c>
      <c r="I199" s="1704">
        <v>485760</v>
      </c>
      <c r="J199" s="1844"/>
      <c r="K199" s="1979"/>
      <c r="L199" s="1982">
        <f t="shared" si="11"/>
        <v>631376</v>
      </c>
      <c r="M199" s="1838">
        <v>70971</v>
      </c>
      <c r="N199" s="479">
        <v>207505</v>
      </c>
      <c r="O199" s="1827"/>
      <c r="P199" s="1979"/>
      <c r="Q199" s="1986">
        <f t="shared" si="12"/>
        <v>278476</v>
      </c>
    </row>
    <row r="200" spans="1:17">
      <c r="A200" s="134">
        <f t="shared" si="15"/>
        <v>2008.11</v>
      </c>
      <c r="B200" s="1818">
        <f t="shared" si="13"/>
        <v>335349</v>
      </c>
      <c r="C200" s="1822">
        <f t="shared" si="14"/>
        <v>318908</v>
      </c>
      <c r="D200" s="1007">
        <v>406368</v>
      </c>
      <c r="E200" s="1827"/>
      <c r="F200" s="479">
        <v>598213</v>
      </c>
      <c r="G200" s="1833"/>
      <c r="H200" s="1838">
        <v>114816</v>
      </c>
      <c r="I200" s="1704">
        <v>220533</v>
      </c>
      <c r="J200" s="1844"/>
      <c r="K200" s="1979"/>
      <c r="L200" s="1982">
        <f t="shared" si="11"/>
        <v>335349</v>
      </c>
      <c r="M200" s="1838">
        <v>75834</v>
      </c>
      <c r="N200" s="479">
        <v>243074</v>
      </c>
      <c r="O200" s="1827"/>
      <c r="P200" s="1979"/>
      <c r="Q200" s="1986">
        <f t="shared" si="12"/>
        <v>318908</v>
      </c>
    </row>
    <row r="201" spans="1:17">
      <c r="A201" s="134">
        <f t="shared" si="15"/>
        <v>2008.12</v>
      </c>
      <c r="B201" s="1818">
        <f t="shared" si="13"/>
        <v>356096</v>
      </c>
      <c r="C201" s="1822">
        <f t="shared" si="14"/>
        <v>478518</v>
      </c>
      <c r="D201" s="1007">
        <v>362631</v>
      </c>
      <c r="E201" s="1827"/>
      <c r="F201" s="479">
        <v>819857</v>
      </c>
      <c r="G201" s="1833"/>
      <c r="H201" s="1838">
        <v>124265</v>
      </c>
      <c r="I201" s="1704">
        <v>231831</v>
      </c>
      <c r="J201" s="1844"/>
      <c r="K201" s="1979"/>
      <c r="L201" s="1982">
        <f t="shared" si="11"/>
        <v>356096</v>
      </c>
      <c r="M201" s="1838">
        <v>122086</v>
      </c>
      <c r="N201" s="479">
        <v>356432</v>
      </c>
      <c r="O201" s="1827"/>
      <c r="P201" s="1979"/>
      <c r="Q201" s="1986">
        <f t="shared" si="12"/>
        <v>478518</v>
      </c>
    </row>
    <row r="202" spans="1:17">
      <c r="A202" s="134">
        <f t="shared" si="15"/>
        <v>2009.01</v>
      </c>
      <c r="B202" s="1818">
        <f t="shared" si="13"/>
        <v>167540.42094001826</v>
      </c>
      <c r="C202" s="1822">
        <f t="shared" si="14"/>
        <v>537852.93162922177</v>
      </c>
      <c r="D202" s="1007">
        <v>169133</v>
      </c>
      <c r="E202" s="1827"/>
      <c r="F202" s="479">
        <v>1156327</v>
      </c>
      <c r="G202" s="1833"/>
      <c r="H202" s="1838">
        <v>62235.815941479974</v>
      </c>
      <c r="I202" s="1704">
        <v>105304.6049985383</v>
      </c>
      <c r="J202" s="1844"/>
      <c r="K202" s="1979"/>
      <c r="L202" s="1982">
        <f t="shared" ref="L202:L265" si="16">SUM(H202:K202)</f>
        <v>167540.42094001826</v>
      </c>
      <c r="M202" s="1838">
        <v>196462.95392511674</v>
      </c>
      <c r="N202" s="479">
        <v>341389.97770410503</v>
      </c>
      <c r="O202" s="1827"/>
      <c r="P202" s="1979"/>
      <c r="Q202" s="1986">
        <f t="shared" ref="Q202:Q265" si="17">SUM(M202:P202)</f>
        <v>537852.93162922177</v>
      </c>
    </row>
    <row r="203" spans="1:17">
      <c r="A203" s="134">
        <f t="shared" si="15"/>
        <v>2009.02</v>
      </c>
      <c r="B203" s="1818">
        <f t="shared" si="13"/>
        <v>160388.81098065822</v>
      </c>
      <c r="C203" s="1822">
        <f t="shared" si="14"/>
        <v>592940.6554933798</v>
      </c>
      <c r="D203" s="1007">
        <v>178284</v>
      </c>
      <c r="E203" s="1827"/>
      <c r="F203" s="479">
        <v>1113460</v>
      </c>
      <c r="G203" s="1833"/>
      <c r="H203" s="1838">
        <v>85896.553731339198</v>
      </c>
      <c r="I203" s="1704">
        <v>74492.257249319038</v>
      </c>
      <c r="J203" s="1844"/>
      <c r="K203" s="1979"/>
      <c r="L203" s="1982">
        <f t="shared" si="16"/>
        <v>160388.81098065822</v>
      </c>
      <c r="M203" s="1838">
        <v>179375.63319748483</v>
      </c>
      <c r="N203" s="479">
        <v>413565.02229589497</v>
      </c>
      <c r="O203" s="1827"/>
      <c r="P203" s="1979"/>
      <c r="Q203" s="1986">
        <f t="shared" si="17"/>
        <v>592940.6554933798</v>
      </c>
    </row>
    <row r="204" spans="1:17">
      <c r="A204" s="134">
        <f t="shared" si="15"/>
        <v>2009.03</v>
      </c>
      <c r="B204" s="1818">
        <f t="shared" ref="B204:B267" si="18">L204</f>
        <v>951980.48620391381</v>
      </c>
      <c r="C204" s="1822">
        <f t="shared" ref="C204:C267" si="19">Q204</f>
        <v>316292.98113621725</v>
      </c>
      <c r="D204" s="1007">
        <v>1116542</v>
      </c>
      <c r="E204" s="1827"/>
      <c r="F204" s="479">
        <v>487322</v>
      </c>
      <c r="G204" s="1833"/>
      <c r="H204" s="1838">
        <v>388475.48620391387</v>
      </c>
      <c r="I204" s="1704">
        <v>563505</v>
      </c>
      <c r="J204" s="1844"/>
      <c r="K204" s="1979"/>
      <c r="L204" s="1982">
        <f t="shared" si="16"/>
        <v>951980.48620391381</v>
      </c>
      <c r="M204" s="1838">
        <v>142223.98113621725</v>
      </c>
      <c r="N204" s="479">
        <v>174069</v>
      </c>
      <c r="O204" s="1827"/>
      <c r="P204" s="1979"/>
      <c r="Q204" s="1986">
        <f t="shared" si="17"/>
        <v>316292.98113621725</v>
      </c>
    </row>
    <row r="205" spans="1:17">
      <c r="A205" s="134">
        <f t="shared" si="15"/>
        <v>2009.04</v>
      </c>
      <c r="B205" s="1818">
        <f t="shared" si="18"/>
        <v>1408081.6087316428</v>
      </c>
      <c r="C205" s="1822">
        <f t="shared" si="19"/>
        <v>207633.25688942548</v>
      </c>
      <c r="D205" s="1007">
        <v>1850974</v>
      </c>
      <c r="E205" s="1827"/>
      <c r="F205" s="479">
        <v>450313</v>
      </c>
      <c r="G205" s="1833"/>
      <c r="H205" s="1838">
        <v>473460.62568732334</v>
      </c>
      <c r="I205" s="1704">
        <v>934620.98304431955</v>
      </c>
      <c r="J205" s="1844"/>
      <c r="K205" s="1979"/>
      <c r="L205" s="1982">
        <f t="shared" si="16"/>
        <v>1408081.6087316428</v>
      </c>
      <c r="M205" s="1838">
        <v>30490.25688942548</v>
      </c>
      <c r="N205" s="479">
        <v>177143</v>
      </c>
      <c r="O205" s="1827"/>
      <c r="P205" s="1979"/>
      <c r="Q205" s="1986">
        <f t="shared" si="17"/>
        <v>207633.25688942548</v>
      </c>
    </row>
    <row r="206" spans="1:17">
      <c r="A206" s="134">
        <f t="shared" si="15"/>
        <v>2009.05</v>
      </c>
      <c r="B206" s="1818">
        <f t="shared" si="18"/>
        <v>793319.56147947419</v>
      </c>
      <c r="C206" s="1822">
        <f t="shared" si="19"/>
        <v>54487.495642931208</v>
      </c>
      <c r="D206" s="1007">
        <v>1116809</v>
      </c>
      <c r="E206" s="1827"/>
      <c r="F206" s="479">
        <v>310372</v>
      </c>
      <c r="G206" s="1833"/>
      <c r="H206" s="1838">
        <v>297749.4967425564</v>
      </c>
      <c r="I206" s="1704">
        <v>495570.06473691779</v>
      </c>
      <c r="J206" s="1844"/>
      <c r="K206" s="1979"/>
      <c r="L206" s="1982">
        <f t="shared" si="16"/>
        <v>793319.56147947419</v>
      </c>
      <c r="M206" s="1838">
        <v>10221.495642931208</v>
      </c>
      <c r="N206" s="479">
        <v>44266</v>
      </c>
      <c r="O206" s="1827"/>
      <c r="P206" s="1979"/>
      <c r="Q206" s="1986">
        <f t="shared" si="17"/>
        <v>54487.495642931208</v>
      </c>
    </row>
    <row r="207" spans="1:17">
      <c r="A207" s="134">
        <f t="shared" si="15"/>
        <v>2009.06</v>
      </c>
      <c r="B207" s="1818">
        <f t="shared" si="18"/>
        <v>926058.83319303324</v>
      </c>
      <c r="C207" s="1822">
        <f t="shared" si="19"/>
        <v>136002.92524384853</v>
      </c>
      <c r="D207" s="1007">
        <v>1123200</v>
      </c>
      <c r="E207" s="1827"/>
      <c r="F207" s="479">
        <v>175395</v>
      </c>
      <c r="G207" s="1833"/>
      <c r="H207" s="1838">
        <v>338491.83319303329</v>
      </c>
      <c r="I207" s="1704">
        <v>587567</v>
      </c>
      <c r="J207" s="1844"/>
      <c r="K207" s="1979"/>
      <c r="L207" s="1982">
        <f t="shared" si="16"/>
        <v>926058.83319303324</v>
      </c>
      <c r="M207" s="1838">
        <v>93132.925243848542</v>
      </c>
      <c r="N207" s="479">
        <v>42870</v>
      </c>
      <c r="O207" s="1827"/>
      <c r="P207" s="1979"/>
      <c r="Q207" s="1986">
        <f t="shared" si="17"/>
        <v>136002.92524384853</v>
      </c>
    </row>
    <row r="208" spans="1:17">
      <c r="A208" s="134">
        <f t="shared" si="15"/>
        <v>2009.07</v>
      </c>
      <c r="B208" s="1818">
        <f t="shared" si="18"/>
        <v>568989.95434666739</v>
      </c>
      <c r="C208" s="1822">
        <f t="shared" si="19"/>
        <v>58937.25688942548</v>
      </c>
      <c r="D208" s="1007">
        <v>582792</v>
      </c>
      <c r="E208" s="1827"/>
      <c r="F208" s="479">
        <v>65402</v>
      </c>
      <c r="G208" s="1833"/>
      <c r="H208" s="1838">
        <v>129954.95434666736</v>
      </c>
      <c r="I208" s="1704">
        <v>439035</v>
      </c>
      <c r="J208" s="1844"/>
      <c r="K208" s="1979"/>
      <c r="L208" s="1982">
        <f t="shared" si="16"/>
        <v>568989.95434666739</v>
      </c>
      <c r="M208" s="1838">
        <v>30490.25688942548</v>
      </c>
      <c r="N208" s="479">
        <v>28447</v>
      </c>
      <c r="O208" s="1827"/>
      <c r="P208" s="1979"/>
      <c r="Q208" s="1986">
        <f t="shared" si="17"/>
        <v>58937.25688942548</v>
      </c>
    </row>
    <row r="209" spans="1:17">
      <c r="A209" s="134">
        <f t="shared" si="15"/>
        <v>2009.08</v>
      </c>
      <c r="B209" s="1818">
        <f t="shared" si="18"/>
        <v>285987</v>
      </c>
      <c r="C209" s="1822">
        <f t="shared" si="19"/>
        <v>42269</v>
      </c>
      <c r="D209" s="1007">
        <v>341265</v>
      </c>
      <c r="E209" s="1827"/>
      <c r="F209" s="479">
        <v>42269</v>
      </c>
      <c r="G209" s="1833"/>
      <c r="H209" s="1838">
        <v>0</v>
      </c>
      <c r="I209" s="1704">
        <v>285987</v>
      </c>
      <c r="J209" s="1844"/>
      <c r="K209" s="1979"/>
      <c r="L209" s="1982">
        <f t="shared" si="16"/>
        <v>285987</v>
      </c>
      <c r="M209" s="1838">
        <v>0</v>
      </c>
      <c r="N209" s="479">
        <v>42269</v>
      </c>
      <c r="O209" s="1827"/>
      <c r="P209" s="1979"/>
      <c r="Q209" s="1986">
        <f t="shared" si="17"/>
        <v>42269</v>
      </c>
    </row>
    <row r="210" spans="1:17">
      <c r="A210" s="134">
        <f t="shared" si="15"/>
        <v>2009.09</v>
      </c>
      <c r="B210" s="1818">
        <f t="shared" si="18"/>
        <v>110351.09246564051</v>
      </c>
      <c r="C210" s="1822">
        <f t="shared" si="19"/>
        <v>27289</v>
      </c>
      <c r="D210" s="1007">
        <v>121782</v>
      </c>
      <c r="E210" s="1827"/>
      <c r="F210" s="479">
        <v>27289</v>
      </c>
      <c r="G210" s="1833"/>
      <c r="H210" s="1838">
        <v>53519.092465640511</v>
      </c>
      <c r="I210" s="1704">
        <v>56832</v>
      </c>
      <c r="J210" s="1844"/>
      <c r="K210" s="1979"/>
      <c r="L210" s="1982">
        <f t="shared" si="16"/>
        <v>110351.09246564051</v>
      </c>
      <c r="M210" s="1838">
        <v>0</v>
      </c>
      <c r="N210" s="479">
        <v>27289</v>
      </c>
      <c r="O210" s="1827"/>
      <c r="P210" s="1979"/>
      <c r="Q210" s="1986">
        <f t="shared" si="17"/>
        <v>27289</v>
      </c>
    </row>
    <row r="211" spans="1:17">
      <c r="A211" s="134">
        <f t="shared" si="15"/>
        <v>2009.1</v>
      </c>
      <c r="B211" s="1818">
        <f t="shared" si="18"/>
        <v>160365.33024204086</v>
      </c>
      <c r="C211" s="1822">
        <f t="shared" si="19"/>
        <v>45213</v>
      </c>
      <c r="D211" s="1007">
        <v>158796</v>
      </c>
      <c r="E211" s="1827"/>
      <c r="F211" s="479">
        <v>219263</v>
      </c>
      <c r="G211" s="1833"/>
      <c r="H211" s="1838">
        <v>27819.330242040862</v>
      </c>
      <c r="I211" s="1704">
        <v>132546</v>
      </c>
      <c r="J211" s="1844"/>
      <c r="K211" s="1979"/>
      <c r="L211" s="1982">
        <f t="shared" si="16"/>
        <v>160365.33024204086</v>
      </c>
      <c r="M211" s="1838">
        <v>0</v>
      </c>
      <c r="N211" s="479">
        <v>45213</v>
      </c>
      <c r="O211" s="1827"/>
      <c r="P211" s="1979"/>
      <c r="Q211" s="1986">
        <f t="shared" si="17"/>
        <v>45213</v>
      </c>
    </row>
    <row r="212" spans="1:17">
      <c r="A212" s="134">
        <f t="shared" si="15"/>
        <v>2009.11</v>
      </c>
      <c r="B212" s="1818">
        <f t="shared" si="18"/>
        <v>464878.27280581859</v>
      </c>
      <c r="C212" s="1822">
        <f t="shared" si="19"/>
        <v>167325.49707555043</v>
      </c>
      <c r="D212" s="1007">
        <v>488146</v>
      </c>
      <c r="E212" s="1827"/>
      <c r="F212" s="479">
        <v>483483</v>
      </c>
      <c r="G212" s="1833"/>
      <c r="H212" s="1838">
        <v>173533.27280581859</v>
      </c>
      <c r="I212" s="1704">
        <v>291345</v>
      </c>
      <c r="J212" s="1844"/>
      <c r="K212" s="1979"/>
      <c r="L212" s="1982">
        <f t="shared" si="16"/>
        <v>464878.27280581859</v>
      </c>
      <c r="M212" s="1838">
        <v>121892.49707555045</v>
      </c>
      <c r="N212" s="479">
        <v>45433</v>
      </c>
      <c r="O212" s="1827"/>
      <c r="P212" s="1979"/>
      <c r="Q212" s="1986">
        <f t="shared" si="17"/>
        <v>167325.49707555043</v>
      </c>
    </row>
    <row r="213" spans="1:17">
      <c r="A213" s="134">
        <f t="shared" si="15"/>
        <v>2009.12</v>
      </c>
      <c r="B213" s="1818">
        <f t="shared" si="18"/>
        <v>996038.53864018654</v>
      </c>
      <c r="C213" s="1822">
        <f t="shared" si="19"/>
        <v>373075</v>
      </c>
      <c r="D213" s="1007">
        <v>1061006</v>
      </c>
      <c r="E213" s="1827"/>
      <c r="F213" s="479">
        <v>510267</v>
      </c>
      <c r="G213" s="1833"/>
      <c r="H213" s="1838">
        <v>298421.53864018654</v>
      </c>
      <c r="I213" s="1704">
        <v>697617</v>
      </c>
      <c r="J213" s="1844"/>
      <c r="K213" s="1979"/>
      <c r="L213" s="1982">
        <f t="shared" si="16"/>
        <v>996038.53864018654</v>
      </c>
      <c r="M213" s="1838">
        <v>155911</v>
      </c>
      <c r="N213" s="479">
        <v>217164</v>
      </c>
      <c r="O213" s="1827"/>
      <c r="P213" s="1979"/>
      <c r="Q213" s="1986">
        <f t="shared" si="17"/>
        <v>373075</v>
      </c>
    </row>
    <row r="214" spans="1:17">
      <c r="A214" s="134">
        <v>2010.01</v>
      </c>
      <c r="B214" s="1818">
        <f t="shared" si="18"/>
        <v>1373506</v>
      </c>
      <c r="C214" s="1822">
        <f t="shared" si="19"/>
        <v>243967</v>
      </c>
      <c r="D214" s="1007">
        <v>1558351.1947821444</v>
      </c>
      <c r="E214" s="1827"/>
      <c r="F214" s="479">
        <v>546879</v>
      </c>
      <c r="G214" s="1833"/>
      <c r="H214" s="1838">
        <v>586430</v>
      </c>
      <c r="I214" s="1704">
        <v>787076</v>
      </c>
      <c r="J214" s="1844"/>
      <c r="K214" s="1979"/>
      <c r="L214" s="1982">
        <f t="shared" si="16"/>
        <v>1373506</v>
      </c>
      <c r="M214" s="1838">
        <v>164252</v>
      </c>
      <c r="N214" s="479">
        <v>79715</v>
      </c>
      <c r="O214" s="1827"/>
      <c r="P214" s="1979"/>
      <c r="Q214" s="1986">
        <f t="shared" si="17"/>
        <v>243967</v>
      </c>
    </row>
    <row r="215" spans="1:17">
      <c r="A215" s="134">
        <v>2010.02</v>
      </c>
      <c r="B215" s="1818">
        <f t="shared" si="18"/>
        <v>421156</v>
      </c>
      <c r="C215" s="1822">
        <f t="shared" si="19"/>
        <v>172111</v>
      </c>
      <c r="D215" s="1007">
        <v>501288.25164731132</v>
      </c>
      <c r="E215" s="1827"/>
      <c r="F215" s="479">
        <v>422526</v>
      </c>
      <c r="G215" s="1833"/>
      <c r="H215" s="1838">
        <v>167892</v>
      </c>
      <c r="I215" s="1704">
        <v>253264</v>
      </c>
      <c r="J215" s="1844"/>
      <c r="K215" s="1979"/>
      <c r="L215" s="1982">
        <f t="shared" si="16"/>
        <v>421156</v>
      </c>
      <c r="M215" s="1838">
        <v>59010</v>
      </c>
      <c r="N215" s="479">
        <v>113101</v>
      </c>
      <c r="O215" s="1827"/>
      <c r="P215" s="1979"/>
      <c r="Q215" s="1986">
        <f t="shared" si="17"/>
        <v>172111</v>
      </c>
    </row>
    <row r="216" spans="1:17">
      <c r="A216" s="134">
        <v>2010.03</v>
      </c>
      <c r="B216" s="1818">
        <f t="shared" si="18"/>
        <v>1242244</v>
      </c>
      <c r="C216" s="1822">
        <f t="shared" si="19"/>
        <v>102526</v>
      </c>
      <c r="D216" s="1007">
        <v>1356332.7026332004</v>
      </c>
      <c r="E216" s="1827"/>
      <c r="F216" s="479">
        <v>279459</v>
      </c>
      <c r="G216" s="1833"/>
      <c r="H216" s="1838">
        <v>434822</v>
      </c>
      <c r="I216" s="1704">
        <v>807422</v>
      </c>
      <c r="J216" s="1844"/>
      <c r="K216" s="1979"/>
      <c r="L216" s="1982">
        <f t="shared" si="16"/>
        <v>1242244</v>
      </c>
      <c r="M216" s="1838">
        <v>61840</v>
      </c>
      <c r="N216" s="479">
        <v>40686</v>
      </c>
      <c r="O216" s="1827"/>
      <c r="P216" s="1979"/>
      <c r="Q216" s="1986">
        <f t="shared" si="17"/>
        <v>102526</v>
      </c>
    </row>
    <row r="217" spans="1:17">
      <c r="A217" s="134">
        <v>2010.04</v>
      </c>
      <c r="B217" s="1818">
        <f t="shared" si="18"/>
        <v>1980346.9612374576</v>
      </c>
      <c r="C217" s="1822">
        <f t="shared" si="19"/>
        <v>147679</v>
      </c>
      <c r="D217" s="1007">
        <v>2426571.8304579337</v>
      </c>
      <c r="E217" s="1828">
        <v>1377.5556584913941</v>
      </c>
      <c r="F217" s="479">
        <v>433963</v>
      </c>
      <c r="G217" s="1834">
        <v>0</v>
      </c>
      <c r="H217" s="1838">
        <v>853947</v>
      </c>
      <c r="I217" s="1704">
        <v>1125592</v>
      </c>
      <c r="J217" s="1845">
        <v>0</v>
      </c>
      <c r="K217" s="1980">
        <v>807.96123745763794</v>
      </c>
      <c r="L217" s="1982">
        <f t="shared" si="16"/>
        <v>1980346.9612374576</v>
      </c>
      <c r="M217" s="1838">
        <v>60627</v>
      </c>
      <c r="N217" s="479">
        <v>87052</v>
      </c>
      <c r="O217" s="1828">
        <v>0</v>
      </c>
      <c r="P217" s="1983">
        <v>0</v>
      </c>
      <c r="Q217" s="1986">
        <f t="shared" si="17"/>
        <v>147679</v>
      </c>
    </row>
    <row r="218" spans="1:17">
      <c r="A218" s="134">
        <v>2010.05</v>
      </c>
      <c r="B218" s="1818">
        <f t="shared" si="18"/>
        <v>1589871</v>
      </c>
      <c r="C218" s="1822">
        <f t="shared" si="19"/>
        <v>130518</v>
      </c>
      <c r="D218" s="1007">
        <v>2100966.70827172</v>
      </c>
      <c r="E218" s="1704">
        <v>0</v>
      </c>
      <c r="F218" s="479">
        <v>443229</v>
      </c>
      <c r="G218" s="1835">
        <v>0</v>
      </c>
      <c r="H218" s="1838">
        <v>652485</v>
      </c>
      <c r="I218" s="1704">
        <v>937386</v>
      </c>
      <c r="J218" s="1846">
        <v>0</v>
      </c>
      <c r="K218" s="479">
        <v>0</v>
      </c>
      <c r="L218" s="1982">
        <f t="shared" si="16"/>
        <v>1589871</v>
      </c>
      <c r="M218" s="1838">
        <v>41907</v>
      </c>
      <c r="N218" s="479">
        <v>88611</v>
      </c>
      <c r="O218" s="1704">
        <v>0</v>
      </c>
      <c r="P218" s="479">
        <v>0</v>
      </c>
      <c r="Q218" s="1986">
        <f t="shared" si="17"/>
        <v>130518</v>
      </c>
    </row>
    <row r="219" spans="1:17">
      <c r="A219" s="134">
        <v>2010.06</v>
      </c>
      <c r="B219" s="1818">
        <f t="shared" si="18"/>
        <v>1734775</v>
      </c>
      <c r="C219" s="1822">
        <f t="shared" si="19"/>
        <v>151886</v>
      </c>
      <c r="D219" s="1007">
        <v>2198895.2421183772</v>
      </c>
      <c r="E219" s="1704">
        <v>0</v>
      </c>
      <c r="F219" s="479">
        <v>397949</v>
      </c>
      <c r="G219" s="1835">
        <v>0</v>
      </c>
      <c r="H219" s="1838">
        <v>543867</v>
      </c>
      <c r="I219" s="1704">
        <v>1190908</v>
      </c>
      <c r="J219" s="1846">
        <v>0</v>
      </c>
      <c r="K219" s="479">
        <v>0</v>
      </c>
      <c r="L219" s="1982">
        <f t="shared" si="16"/>
        <v>1734775</v>
      </c>
      <c r="M219" s="1838">
        <v>51750</v>
      </c>
      <c r="N219" s="479">
        <v>100136</v>
      </c>
      <c r="O219" s="1704">
        <v>0</v>
      </c>
      <c r="P219" s="479">
        <v>0</v>
      </c>
      <c r="Q219" s="1986">
        <f t="shared" si="17"/>
        <v>151886</v>
      </c>
    </row>
    <row r="220" spans="1:17">
      <c r="A220" s="134">
        <v>2010.07</v>
      </c>
      <c r="B220" s="1818">
        <f t="shared" si="18"/>
        <v>1638761</v>
      </c>
      <c r="C220" s="1822">
        <f t="shared" si="19"/>
        <v>39873</v>
      </c>
      <c r="D220" s="1007">
        <v>2065006.5583314612</v>
      </c>
      <c r="E220" s="1704">
        <v>0</v>
      </c>
      <c r="F220" s="479">
        <v>230717</v>
      </c>
      <c r="G220" s="1835">
        <v>0</v>
      </c>
      <c r="H220" s="1838">
        <v>592086</v>
      </c>
      <c r="I220" s="1704">
        <v>1046675</v>
      </c>
      <c r="J220" s="1846">
        <v>0</v>
      </c>
      <c r="K220" s="479">
        <v>0</v>
      </c>
      <c r="L220" s="1982">
        <f t="shared" si="16"/>
        <v>1638761</v>
      </c>
      <c r="M220" s="1838">
        <v>11550</v>
      </c>
      <c r="N220" s="479">
        <v>28323</v>
      </c>
      <c r="O220" s="1704">
        <v>0</v>
      </c>
      <c r="P220" s="479">
        <v>0</v>
      </c>
      <c r="Q220" s="1986">
        <f t="shared" si="17"/>
        <v>39873</v>
      </c>
    </row>
    <row r="221" spans="1:17">
      <c r="A221" s="134">
        <v>2010.08</v>
      </c>
      <c r="B221" s="1818">
        <f t="shared" si="18"/>
        <v>1158715</v>
      </c>
      <c r="C221" s="1822">
        <f t="shared" si="19"/>
        <v>0</v>
      </c>
      <c r="D221" s="1007">
        <v>1409249.5248454057</v>
      </c>
      <c r="E221" s="1704">
        <v>0</v>
      </c>
      <c r="F221" s="479">
        <v>139809</v>
      </c>
      <c r="G221" s="1835">
        <v>0</v>
      </c>
      <c r="H221" s="1838">
        <v>482639</v>
      </c>
      <c r="I221" s="1704">
        <v>676076</v>
      </c>
      <c r="J221" s="1846">
        <v>0</v>
      </c>
      <c r="K221" s="479">
        <v>0</v>
      </c>
      <c r="L221" s="1982">
        <f t="shared" si="16"/>
        <v>1158715</v>
      </c>
      <c r="M221" s="1838">
        <v>0</v>
      </c>
      <c r="N221" s="479">
        <v>0</v>
      </c>
      <c r="O221" s="1704">
        <v>0</v>
      </c>
      <c r="P221" s="479">
        <v>0</v>
      </c>
      <c r="Q221" s="1986">
        <f t="shared" si="17"/>
        <v>0</v>
      </c>
    </row>
    <row r="222" spans="1:17">
      <c r="A222" s="134">
        <v>2010.09</v>
      </c>
      <c r="B222" s="1818">
        <f t="shared" si="18"/>
        <v>846472.53393849905</v>
      </c>
      <c r="C222" s="1822">
        <f t="shared" si="19"/>
        <v>56575</v>
      </c>
      <c r="D222" s="1007">
        <v>926326.49972130358</v>
      </c>
      <c r="E222" s="1704">
        <v>90649.444341508613</v>
      </c>
      <c r="F222" s="479">
        <v>146077</v>
      </c>
      <c r="G222" s="1835">
        <v>0</v>
      </c>
      <c r="H222" s="1838">
        <v>439461</v>
      </c>
      <c r="I222" s="1704">
        <v>353844</v>
      </c>
      <c r="J222" s="1846">
        <v>0</v>
      </c>
      <c r="K222" s="479">
        <v>53167.533938499037</v>
      </c>
      <c r="L222" s="1982">
        <f t="shared" si="16"/>
        <v>846472.53393849905</v>
      </c>
      <c r="M222" s="1838">
        <v>0</v>
      </c>
      <c r="N222" s="479">
        <v>56575</v>
      </c>
      <c r="O222" s="1704">
        <v>0</v>
      </c>
      <c r="P222" s="479">
        <v>0</v>
      </c>
      <c r="Q222" s="1986">
        <f t="shared" si="17"/>
        <v>56575</v>
      </c>
    </row>
    <row r="223" spans="1:17">
      <c r="A223" s="134">
        <v>2010.1</v>
      </c>
      <c r="B223" s="1818">
        <f t="shared" si="18"/>
        <v>793764.80250603729</v>
      </c>
      <c r="C223" s="1822">
        <f t="shared" si="19"/>
        <v>8149</v>
      </c>
      <c r="D223" s="1007">
        <v>880345.40664546425</v>
      </c>
      <c r="E223" s="1704">
        <v>59952</v>
      </c>
      <c r="F223" s="479">
        <v>73565</v>
      </c>
      <c r="G223" s="1835">
        <v>0</v>
      </c>
      <c r="H223" s="1838">
        <v>289452</v>
      </c>
      <c r="I223" s="1704">
        <v>451719</v>
      </c>
      <c r="J223" s="1846">
        <v>0</v>
      </c>
      <c r="K223" s="479">
        <v>52593.80250603726</v>
      </c>
      <c r="L223" s="1982">
        <f t="shared" si="16"/>
        <v>793764.80250603729</v>
      </c>
      <c r="M223" s="1838">
        <v>8149</v>
      </c>
      <c r="N223" s="479">
        <v>0</v>
      </c>
      <c r="O223" s="1704">
        <v>0</v>
      </c>
      <c r="P223" s="479">
        <v>0</v>
      </c>
      <c r="Q223" s="1986">
        <f t="shared" si="17"/>
        <v>8149</v>
      </c>
    </row>
    <row r="224" spans="1:17">
      <c r="A224" s="134">
        <v>2010.11</v>
      </c>
      <c r="B224" s="1818">
        <f t="shared" si="18"/>
        <v>597266</v>
      </c>
      <c r="C224" s="1822">
        <f t="shared" si="19"/>
        <v>158280</v>
      </c>
      <c r="D224" s="1007">
        <v>638087.08054567827</v>
      </c>
      <c r="E224" s="1704">
        <v>62646</v>
      </c>
      <c r="F224" s="479">
        <v>158302</v>
      </c>
      <c r="G224" s="1835">
        <v>0</v>
      </c>
      <c r="H224" s="1838">
        <v>287524</v>
      </c>
      <c r="I224" s="1704">
        <v>309742</v>
      </c>
      <c r="J224" s="1846">
        <v>0</v>
      </c>
      <c r="K224" s="479">
        <v>0</v>
      </c>
      <c r="L224" s="1982">
        <f t="shared" si="16"/>
        <v>597266</v>
      </c>
      <c r="M224" s="1838">
        <v>23304</v>
      </c>
      <c r="N224" s="479">
        <v>108748</v>
      </c>
      <c r="O224" s="1704">
        <v>0</v>
      </c>
      <c r="P224" s="479">
        <v>26228</v>
      </c>
      <c r="Q224" s="1986">
        <f t="shared" si="17"/>
        <v>158280</v>
      </c>
    </row>
    <row r="225" spans="1:17">
      <c r="A225" s="134">
        <v>2010.12</v>
      </c>
      <c r="B225" s="1818">
        <f t="shared" si="18"/>
        <v>547942.70231800608</v>
      </c>
      <c r="C225" s="1822">
        <f t="shared" si="19"/>
        <v>597613</v>
      </c>
      <c r="D225" s="1007">
        <v>519013</v>
      </c>
      <c r="E225" s="1704">
        <v>64759</v>
      </c>
      <c r="F225" s="479">
        <v>716966</v>
      </c>
      <c r="G225" s="1835">
        <v>0</v>
      </c>
      <c r="H225" s="1838">
        <v>227385</v>
      </c>
      <c r="I225" s="1704">
        <v>275148</v>
      </c>
      <c r="J225" s="1846">
        <v>0</v>
      </c>
      <c r="K225" s="479">
        <v>45409.702318006071</v>
      </c>
      <c r="L225" s="1982">
        <f t="shared" si="16"/>
        <v>547942.70231800608</v>
      </c>
      <c r="M225" s="1838">
        <v>149018</v>
      </c>
      <c r="N225" s="479">
        <v>410303</v>
      </c>
      <c r="O225" s="1704">
        <v>0</v>
      </c>
      <c r="P225" s="479">
        <v>38292</v>
      </c>
      <c r="Q225" s="1986">
        <f t="shared" si="17"/>
        <v>597613</v>
      </c>
    </row>
    <row r="226" spans="1:17">
      <c r="A226" s="134">
        <v>2011.01</v>
      </c>
      <c r="B226" s="1818">
        <f t="shared" si="18"/>
        <v>492161.15098030714</v>
      </c>
      <c r="C226" s="1822">
        <f t="shared" si="19"/>
        <v>721925</v>
      </c>
      <c r="D226" s="1007">
        <v>489126.77585003123</v>
      </c>
      <c r="E226" s="1704">
        <v>27805.735621353811</v>
      </c>
      <c r="F226" s="479">
        <v>1036732.6796669072</v>
      </c>
      <c r="G226" s="1835">
        <v>0</v>
      </c>
      <c r="H226" s="1838">
        <v>274714.99769607373</v>
      </c>
      <c r="I226" s="1704">
        <v>177097.15328423338</v>
      </c>
      <c r="J226" s="1846">
        <v>0</v>
      </c>
      <c r="K226" s="479">
        <v>40349</v>
      </c>
      <c r="L226" s="1982">
        <f t="shared" si="16"/>
        <v>492161.15098030714</v>
      </c>
      <c r="M226" s="1838">
        <v>349153</v>
      </c>
      <c r="N226" s="479">
        <v>344861</v>
      </c>
      <c r="O226" s="1704">
        <v>0</v>
      </c>
      <c r="P226" s="479">
        <v>27911</v>
      </c>
      <c r="Q226" s="1986">
        <f t="shared" si="17"/>
        <v>721925</v>
      </c>
    </row>
    <row r="227" spans="1:17">
      <c r="A227" s="134">
        <v>2011.02</v>
      </c>
      <c r="B227" s="1818">
        <f t="shared" si="18"/>
        <v>555000.43778002867</v>
      </c>
      <c r="C227" s="1822">
        <f t="shared" si="19"/>
        <v>725230</v>
      </c>
      <c r="D227" s="1007">
        <v>562193.8499001055</v>
      </c>
      <c r="E227" s="1704">
        <v>19927.593173627305</v>
      </c>
      <c r="F227" s="479">
        <v>1086216.625413747</v>
      </c>
      <c r="G227" s="1835">
        <v>0</v>
      </c>
      <c r="H227" s="1838">
        <v>266461.2083803835</v>
      </c>
      <c r="I227" s="1704">
        <v>259622.22939964518</v>
      </c>
      <c r="J227" s="1846">
        <v>0</v>
      </c>
      <c r="K227" s="479">
        <v>28917</v>
      </c>
      <c r="L227" s="1982">
        <f t="shared" si="16"/>
        <v>555000.43778002867</v>
      </c>
      <c r="M227" s="1838">
        <v>123049</v>
      </c>
      <c r="N227" s="479">
        <v>564012</v>
      </c>
      <c r="O227" s="1704">
        <v>0</v>
      </c>
      <c r="P227" s="479">
        <v>38169</v>
      </c>
      <c r="Q227" s="1986">
        <f t="shared" si="17"/>
        <v>725230</v>
      </c>
    </row>
    <row r="228" spans="1:17">
      <c r="A228" s="134">
        <v>2011.03</v>
      </c>
      <c r="B228" s="1818">
        <f t="shared" si="18"/>
        <v>1419695.1002863082</v>
      </c>
      <c r="C228" s="1822">
        <f t="shared" si="19"/>
        <v>615504</v>
      </c>
      <c r="D228" s="1007">
        <v>1513941.8337871232</v>
      </c>
      <c r="E228" s="1704">
        <v>0</v>
      </c>
      <c r="F228" s="479">
        <v>935915.91908484069</v>
      </c>
      <c r="G228" s="1835">
        <v>0</v>
      </c>
      <c r="H228" s="1838">
        <v>594982.60082949908</v>
      </c>
      <c r="I228" s="1704">
        <v>824712.49945680914</v>
      </c>
      <c r="J228" s="1846">
        <v>0</v>
      </c>
      <c r="K228" s="479">
        <v>0</v>
      </c>
      <c r="L228" s="1982">
        <f t="shared" si="16"/>
        <v>1419695.1002863082</v>
      </c>
      <c r="M228" s="1838">
        <v>269650</v>
      </c>
      <c r="N228" s="479">
        <v>345854</v>
      </c>
      <c r="O228" s="1704">
        <v>0</v>
      </c>
      <c r="P228" s="479">
        <v>0</v>
      </c>
      <c r="Q228" s="1986">
        <f t="shared" si="17"/>
        <v>615504</v>
      </c>
    </row>
    <row r="229" spans="1:17">
      <c r="A229" s="134">
        <v>2011.04</v>
      </c>
      <c r="B229" s="1818">
        <f t="shared" si="18"/>
        <v>1446098.1215359429</v>
      </c>
      <c r="C229" s="1822">
        <f t="shared" si="19"/>
        <v>235132</v>
      </c>
      <c r="D229" s="1007">
        <v>1809909.4554141301</v>
      </c>
      <c r="E229" s="1704">
        <v>0</v>
      </c>
      <c r="F229" s="479">
        <v>507177.94243946619</v>
      </c>
      <c r="G229" s="1835">
        <v>0</v>
      </c>
      <c r="H229" s="1838">
        <v>642841.63882082549</v>
      </c>
      <c r="I229" s="1704">
        <v>803256.48271511728</v>
      </c>
      <c r="J229" s="1846">
        <v>0</v>
      </c>
      <c r="K229" s="479">
        <v>0</v>
      </c>
      <c r="L229" s="1982">
        <f t="shared" si="16"/>
        <v>1446098.1215359429</v>
      </c>
      <c r="M229" s="1838">
        <v>82753</v>
      </c>
      <c r="N229" s="479">
        <v>152379</v>
      </c>
      <c r="O229" s="1704">
        <v>0</v>
      </c>
      <c r="P229" s="479">
        <v>0</v>
      </c>
      <c r="Q229" s="1986">
        <f t="shared" si="17"/>
        <v>235132</v>
      </c>
    </row>
    <row r="230" spans="1:17">
      <c r="A230" s="134">
        <v>2011.05</v>
      </c>
      <c r="B230" s="1818">
        <f t="shared" si="18"/>
        <v>1831652.8197707213</v>
      </c>
      <c r="C230" s="1822">
        <f t="shared" si="19"/>
        <v>235204</v>
      </c>
      <c r="D230" s="1007">
        <v>2412867.0760402791</v>
      </c>
      <c r="E230" s="1704">
        <v>0</v>
      </c>
      <c r="F230" s="479">
        <v>715427.83339503885</v>
      </c>
      <c r="G230" s="1835">
        <v>0</v>
      </c>
      <c r="H230" s="1838">
        <v>655729.09025482892</v>
      </c>
      <c r="I230" s="1704">
        <v>1175923.7295158922</v>
      </c>
      <c r="J230" s="1846">
        <v>0</v>
      </c>
      <c r="K230" s="479">
        <v>0</v>
      </c>
      <c r="L230" s="1982">
        <f t="shared" si="16"/>
        <v>1831652.8197707213</v>
      </c>
      <c r="M230" s="1838">
        <v>123050</v>
      </c>
      <c r="N230" s="479">
        <v>112154</v>
      </c>
      <c r="O230" s="1704">
        <v>0</v>
      </c>
      <c r="P230" s="479">
        <v>0</v>
      </c>
      <c r="Q230" s="1986">
        <f t="shared" si="17"/>
        <v>235204</v>
      </c>
    </row>
    <row r="231" spans="1:17">
      <c r="A231" s="134">
        <v>2011.06</v>
      </c>
      <c r="B231" s="1818">
        <f t="shared" si="18"/>
        <v>1398816.2727613978</v>
      </c>
      <c r="C231" s="1822">
        <f t="shared" si="19"/>
        <v>327302</v>
      </c>
      <c r="D231" s="1007">
        <v>1789609.162553841</v>
      </c>
      <c r="E231" s="1704">
        <v>0</v>
      </c>
      <c r="F231" s="479">
        <v>591808</v>
      </c>
      <c r="G231" s="1835">
        <v>0</v>
      </c>
      <c r="H231" s="1838">
        <v>540044.38407282962</v>
      </c>
      <c r="I231" s="1704">
        <v>858771.88868856814</v>
      </c>
      <c r="J231" s="1846">
        <v>0</v>
      </c>
      <c r="K231" s="479">
        <v>0</v>
      </c>
      <c r="L231" s="1982">
        <f t="shared" si="16"/>
        <v>1398816.2727613978</v>
      </c>
      <c r="M231" s="1838">
        <v>166844</v>
      </c>
      <c r="N231" s="479">
        <v>160458</v>
      </c>
      <c r="O231" s="1704">
        <v>0</v>
      </c>
      <c r="P231" s="479">
        <v>0</v>
      </c>
      <c r="Q231" s="1986">
        <f t="shared" si="17"/>
        <v>327302</v>
      </c>
    </row>
    <row r="232" spans="1:17">
      <c r="A232" s="134">
        <v>2011.07</v>
      </c>
      <c r="B232" s="1818">
        <f t="shared" si="18"/>
        <v>1109422.0968852942</v>
      </c>
      <c r="C232" s="1822">
        <f t="shared" si="19"/>
        <v>228796</v>
      </c>
      <c r="D232" s="1007">
        <v>1371364.8464544895</v>
      </c>
      <c r="E232" s="1704">
        <v>0</v>
      </c>
      <c r="F232" s="479">
        <v>340456</v>
      </c>
      <c r="G232" s="1835">
        <v>0</v>
      </c>
      <c r="H232" s="1838">
        <v>448659.07994555973</v>
      </c>
      <c r="I232" s="1704">
        <v>660763.01693973457</v>
      </c>
      <c r="J232" s="1846">
        <v>0</v>
      </c>
      <c r="K232" s="479">
        <v>0</v>
      </c>
      <c r="L232" s="1982">
        <f t="shared" si="16"/>
        <v>1109422.0968852942</v>
      </c>
      <c r="M232" s="1838">
        <v>116836</v>
      </c>
      <c r="N232" s="479">
        <v>111960</v>
      </c>
      <c r="O232" s="1704">
        <v>0</v>
      </c>
      <c r="P232" s="479">
        <v>0</v>
      </c>
      <c r="Q232" s="1986">
        <f t="shared" si="17"/>
        <v>228796</v>
      </c>
    </row>
    <row r="233" spans="1:17">
      <c r="A233" s="134">
        <v>2011.08</v>
      </c>
      <c r="B233" s="1818">
        <f t="shared" si="18"/>
        <v>1265560</v>
      </c>
      <c r="C233" s="1822">
        <f t="shared" si="19"/>
        <v>350761</v>
      </c>
      <c r="D233" s="1007">
        <v>1706260</v>
      </c>
      <c r="E233" s="1704">
        <v>40033.67120501888</v>
      </c>
      <c r="F233" s="479">
        <v>553854</v>
      </c>
      <c r="G233" s="1835">
        <v>0</v>
      </c>
      <c r="H233" s="1838">
        <v>309157</v>
      </c>
      <c r="I233" s="1704">
        <v>937902</v>
      </c>
      <c r="J233" s="1846">
        <v>18501</v>
      </c>
      <c r="K233" s="479">
        <v>0</v>
      </c>
      <c r="L233" s="1982">
        <f t="shared" si="16"/>
        <v>1265560</v>
      </c>
      <c r="M233" s="1838">
        <v>207488</v>
      </c>
      <c r="N233" s="479">
        <v>85180</v>
      </c>
      <c r="O233" s="1704">
        <v>24733</v>
      </c>
      <c r="P233" s="479">
        <v>33360</v>
      </c>
      <c r="Q233" s="1986">
        <f t="shared" si="17"/>
        <v>350761</v>
      </c>
    </row>
    <row r="234" spans="1:17">
      <c r="A234" s="134">
        <v>2011.09</v>
      </c>
      <c r="B234" s="1818">
        <f t="shared" si="18"/>
        <v>848204</v>
      </c>
      <c r="C234" s="1822">
        <f t="shared" si="19"/>
        <v>190408</v>
      </c>
      <c r="D234" s="1007">
        <v>866259</v>
      </c>
      <c r="E234" s="1704">
        <v>17483</v>
      </c>
      <c r="F234" s="479">
        <v>382721</v>
      </c>
      <c r="G234" s="1835">
        <v>0</v>
      </c>
      <c r="H234" s="1838">
        <v>283138</v>
      </c>
      <c r="I234" s="1704">
        <v>547583</v>
      </c>
      <c r="J234" s="1846">
        <v>17483</v>
      </c>
      <c r="K234" s="479">
        <v>0</v>
      </c>
      <c r="L234" s="1982">
        <f t="shared" si="16"/>
        <v>848204</v>
      </c>
      <c r="M234" s="1838">
        <v>82474</v>
      </c>
      <c r="N234" s="479">
        <v>107934</v>
      </c>
      <c r="O234" s="1704">
        <v>0</v>
      </c>
      <c r="P234" s="479">
        <v>0</v>
      </c>
      <c r="Q234" s="1986">
        <f t="shared" si="17"/>
        <v>190408</v>
      </c>
    </row>
    <row r="235" spans="1:17">
      <c r="A235" s="134">
        <v>2011.1</v>
      </c>
      <c r="B235" s="1818">
        <f t="shared" si="18"/>
        <v>576965</v>
      </c>
      <c r="C235" s="1822">
        <f t="shared" si="19"/>
        <v>242116</v>
      </c>
      <c r="D235" s="1007">
        <v>567738</v>
      </c>
      <c r="E235" s="1704">
        <v>57182</v>
      </c>
      <c r="F235" s="479">
        <v>462858</v>
      </c>
      <c r="G235" s="1835">
        <v>0</v>
      </c>
      <c r="H235" s="1838">
        <v>137369</v>
      </c>
      <c r="I235" s="1704">
        <v>382414</v>
      </c>
      <c r="J235" s="1846">
        <v>5081</v>
      </c>
      <c r="K235" s="479">
        <v>52101</v>
      </c>
      <c r="L235" s="1982">
        <f t="shared" si="16"/>
        <v>576965</v>
      </c>
      <c r="M235" s="1838">
        <v>161035</v>
      </c>
      <c r="N235" s="479">
        <v>81081</v>
      </c>
      <c r="O235" s="1704">
        <v>0</v>
      </c>
      <c r="P235" s="479">
        <v>0</v>
      </c>
      <c r="Q235" s="1986">
        <f t="shared" si="17"/>
        <v>242116</v>
      </c>
    </row>
    <row r="236" spans="1:17">
      <c r="A236" s="134">
        <v>2011.11</v>
      </c>
      <c r="B236" s="1818">
        <f t="shared" si="18"/>
        <v>707352</v>
      </c>
      <c r="C236" s="1822">
        <f t="shared" si="19"/>
        <v>342785</v>
      </c>
      <c r="D236" s="1007">
        <v>709191</v>
      </c>
      <c r="E236" s="1704">
        <v>121603</v>
      </c>
      <c r="F236" s="479">
        <v>467309</v>
      </c>
      <c r="G236" s="1835">
        <v>0</v>
      </c>
      <c r="H236" s="1838">
        <v>239275</v>
      </c>
      <c r="I236" s="1704">
        <v>346474</v>
      </c>
      <c r="J236" s="1846">
        <v>65249</v>
      </c>
      <c r="K236" s="479">
        <v>56354</v>
      </c>
      <c r="L236" s="1982">
        <f t="shared" si="16"/>
        <v>707352</v>
      </c>
      <c r="M236" s="1838">
        <v>189695</v>
      </c>
      <c r="N236" s="479">
        <v>153090</v>
      </c>
      <c r="O236" s="1704">
        <v>0</v>
      </c>
      <c r="P236" s="479">
        <v>0</v>
      </c>
      <c r="Q236" s="1986">
        <f t="shared" si="17"/>
        <v>342785</v>
      </c>
    </row>
    <row r="237" spans="1:17">
      <c r="A237" s="134">
        <v>2011.12</v>
      </c>
      <c r="B237" s="1818">
        <f t="shared" si="18"/>
        <v>735998</v>
      </c>
      <c r="C237" s="1822">
        <f t="shared" si="19"/>
        <v>604368</v>
      </c>
      <c r="D237" s="1007">
        <v>663903</v>
      </c>
      <c r="E237" s="1704">
        <v>91845</v>
      </c>
      <c r="F237" s="479">
        <v>776019</v>
      </c>
      <c r="G237" s="1835">
        <v>0</v>
      </c>
      <c r="H237" s="1838">
        <v>141023</v>
      </c>
      <c r="I237" s="1704">
        <v>503130</v>
      </c>
      <c r="J237" s="1846">
        <v>7816</v>
      </c>
      <c r="K237" s="479">
        <v>84029</v>
      </c>
      <c r="L237" s="1982">
        <f t="shared" si="16"/>
        <v>735998</v>
      </c>
      <c r="M237" s="1838">
        <v>164815</v>
      </c>
      <c r="N237" s="479">
        <v>439553</v>
      </c>
      <c r="O237" s="1704">
        <v>0</v>
      </c>
      <c r="P237" s="479">
        <v>0</v>
      </c>
      <c r="Q237" s="1986">
        <f t="shared" si="17"/>
        <v>604368</v>
      </c>
    </row>
    <row r="238" spans="1:17">
      <c r="A238" s="134">
        <v>2012.01</v>
      </c>
      <c r="B238" s="1818">
        <f t="shared" si="18"/>
        <v>576505</v>
      </c>
      <c r="C238" s="1822">
        <f t="shared" si="19"/>
        <v>830933.86637659778</v>
      </c>
      <c r="D238" s="1007">
        <v>540103</v>
      </c>
      <c r="E238" s="1704">
        <v>41902</v>
      </c>
      <c r="F238" s="479">
        <v>1295318.8663765979</v>
      </c>
      <c r="G238" s="1835">
        <v>0</v>
      </c>
      <c r="H238" s="1838">
        <v>74054</v>
      </c>
      <c r="I238" s="1704">
        <v>460549</v>
      </c>
      <c r="J238" s="1846">
        <v>0</v>
      </c>
      <c r="K238" s="479">
        <v>41902</v>
      </c>
      <c r="L238" s="1982">
        <f t="shared" si="16"/>
        <v>576505</v>
      </c>
      <c r="M238" s="1838">
        <v>493631</v>
      </c>
      <c r="N238" s="479">
        <v>337302.86637659778</v>
      </c>
      <c r="O238" s="1704">
        <v>0</v>
      </c>
      <c r="P238" s="479">
        <v>0</v>
      </c>
      <c r="Q238" s="1986">
        <f t="shared" si="17"/>
        <v>830933.86637659778</v>
      </c>
    </row>
    <row r="239" spans="1:17">
      <c r="A239" s="134">
        <v>2012.02</v>
      </c>
      <c r="B239" s="1818">
        <f t="shared" si="18"/>
        <v>1536468</v>
      </c>
      <c r="C239" s="1822">
        <f t="shared" si="19"/>
        <v>924592.13362340222</v>
      </c>
      <c r="D239" s="1007">
        <v>1803731</v>
      </c>
      <c r="E239" s="1704">
        <v>46387</v>
      </c>
      <c r="F239" s="479">
        <v>1317555.1336234021</v>
      </c>
      <c r="G239" s="1835">
        <v>0</v>
      </c>
      <c r="H239" s="1838">
        <v>612933</v>
      </c>
      <c r="I239" s="1704">
        <v>877148</v>
      </c>
      <c r="J239" s="1846">
        <v>10772</v>
      </c>
      <c r="K239" s="479">
        <v>35615</v>
      </c>
      <c r="L239" s="1982">
        <f t="shared" si="16"/>
        <v>1536468</v>
      </c>
      <c r="M239" s="1838">
        <v>347958</v>
      </c>
      <c r="N239" s="479">
        <v>565133.13362340222</v>
      </c>
      <c r="O239" s="1704">
        <v>0</v>
      </c>
      <c r="P239" s="479">
        <v>11501</v>
      </c>
      <c r="Q239" s="1986">
        <f t="shared" si="17"/>
        <v>924592.13362340222</v>
      </c>
    </row>
    <row r="240" spans="1:17">
      <c r="A240" s="134">
        <v>2012.03</v>
      </c>
      <c r="B240" s="1818">
        <f t="shared" si="18"/>
        <v>1229074</v>
      </c>
      <c r="C240" s="1822">
        <f t="shared" si="19"/>
        <v>718488</v>
      </c>
      <c r="D240" s="1007">
        <v>1480973</v>
      </c>
      <c r="E240" s="1704">
        <v>0</v>
      </c>
      <c r="F240" s="479">
        <v>1190617</v>
      </c>
      <c r="G240" s="1835">
        <v>0</v>
      </c>
      <c r="H240" s="1838">
        <v>594238</v>
      </c>
      <c r="I240" s="1704">
        <v>634836</v>
      </c>
      <c r="J240" s="1846">
        <v>0</v>
      </c>
      <c r="K240" s="479">
        <v>0</v>
      </c>
      <c r="L240" s="1982">
        <f t="shared" si="16"/>
        <v>1229074</v>
      </c>
      <c r="M240" s="1838">
        <v>292078</v>
      </c>
      <c r="N240" s="479">
        <v>415917</v>
      </c>
      <c r="O240" s="1704">
        <v>0</v>
      </c>
      <c r="P240" s="479">
        <v>10493</v>
      </c>
      <c r="Q240" s="1986">
        <f t="shared" si="17"/>
        <v>718488</v>
      </c>
    </row>
    <row r="241" spans="1:17">
      <c r="A241" s="134">
        <v>2012.04</v>
      </c>
      <c r="B241" s="1818">
        <f t="shared" si="18"/>
        <v>1541870</v>
      </c>
      <c r="C241" s="1822">
        <f t="shared" si="19"/>
        <v>821151</v>
      </c>
      <c r="D241" s="1007">
        <v>1173552</v>
      </c>
      <c r="E241" s="1704">
        <v>10108</v>
      </c>
      <c r="F241" s="479">
        <v>1869142</v>
      </c>
      <c r="G241" s="1835">
        <v>0</v>
      </c>
      <c r="H241" s="1838">
        <v>440788</v>
      </c>
      <c r="I241" s="1704">
        <v>1090974</v>
      </c>
      <c r="J241" s="1846">
        <v>0</v>
      </c>
      <c r="K241" s="479">
        <v>10108</v>
      </c>
      <c r="L241" s="1982">
        <f t="shared" si="16"/>
        <v>1541870</v>
      </c>
      <c r="M241" s="1838">
        <v>393609</v>
      </c>
      <c r="N241" s="479">
        <v>427542</v>
      </c>
      <c r="O241" s="1704">
        <v>0</v>
      </c>
      <c r="P241" s="479">
        <v>0</v>
      </c>
      <c r="Q241" s="1986">
        <f t="shared" si="17"/>
        <v>821151</v>
      </c>
    </row>
    <row r="242" spans="1:17">
      <c r="A242" s="134">
        <v>2012.05</v>
      </c>
      <c r="B242" s="1818">
        <f t="shared" si="18"/>
        <v>1561716</v>
      </c>
      <c r="C242" s="1822">
        <f t="shared" si="19"/>
        <v>698989</v>
      </c>
      <c r="D242" s="1007">
        <v>2535133</v>
      </c>
      <c r="E242" s="1704">
        <v>19207</v>
      </c>
      <c r="F242" s="479">
        <v>353350</v>
      </c>
      <c r="G242" s="1835">
        <v>0</v>
      </c>
      <c r="H242" s="1838">
        <v>546004</v>
      </c>
      <c r="I242" s="1704">
        <v>996505</v>
      </c>
      <c r="J242" s="1846">
        <v>0</v>
      </c>
      <c r="K242" s="479">
        <v>19207</v>
      </c>
      <c r="L242" s="1982">
        <f t="shared" si="16"/>
        <v>1561716</v>
      </c>
      <c r="M242" s="1838">
        <v>325859</v>
      </c>
      <c r="N242" s="479">
        <v>368463</v>
      </c>
      <c r="O242" s="1704">
        <v>0</v>
      </c>
      <c r="P242" s="479">
        <v>4667</v>
      </c>
      <c r="Q242" s="1986">
        <f t="shared" si="17"/>
        <v>698989</v>
      </c>
    </row>
    <row r="243" spans="1:17">
      <c r="A243" s="134">
        <v>2012.06</v>
      </c>
      <c r="B243" s="1818">
        <f t="shared" si="18"/>
        <v>1607139</v>
      </c>
      <c r="C243" s="1822">
        <f t="shared" si="19"/>
        <v>692794</v>
      </c>
      <c r="D243" s="1007">
        <v>1968463</v>
      </c>
      <c r="E243" s="1704">
        <v>0</v>
      </c>
      <c r="F243" s="479">
        <v>977975</v>
      </c>
      <c r="G243" s="1835">
        <v>0</v>
      </c>
      <c r="H243" s="1838">
        <v>629385</v>
      </c>
      <c r="I243" s="1704">
        <v>977754</v>
      </c>
      <c r="J243" s="1846">
        <v>0</v>
      </c>
      <c r="K243" s="479">
        <v>0</v>
      </c>
      <c r="L243" s="1982">
        <f t="shared" si="16"/>
        <v>1607139</v>
      </c>
      <c r="M243" s="1838">
        <v>349944</v>
      </c>
      <c r="N243" s="479">
        <v>342850</v>
      </c>
      <c r="O243" s="1704">
        <v>0</v>
      </c>
      <c r="P243" s="479">
        <v>0</v>
      </c>
      <c r="Q243" s="1986">
        <f t="shared" si="17"/>
        <v>692794</v>
      </c>
    </row>
    <row r="244" spans="1:17">
      <c r="A244" s="134">
        <v>2012.07</v>
      </c>
      <c r="B244" s="1818">
        <f t="shared" si="18"/>
        <v>1424083</v>
      </c>
      <c r="C244" s="1822">
        <f t="shared" si="19"/>
        <v>669582</v>
      </c>
      <c r="D244" s="1007">
        <v>1973186</v>
      </c>
      <c r="E244" s="1704">
        <v>0</v>
      </c>
      <c r="F244" s="479">
        <v>1128055</v>
      </c>
      <c r="G244" s="1835">
        <v>0</v>
      </c>
      <c r="H244" s="1838">
        <v>503713</v>
      </c>
      <c r="I244" s="1704">
        <v>920370</v>
      </c>
      <c r="J244" s="1846">
        <v>0</v>
      </c>
      <c r="K244" s="479">
        <v>0</v>
      </c>
      <c r="L244" s="1982">
        <f t="shared" si="16"/>
        <v>1424083</v>
      </c>
      <c r="M244" s="1838">
        <v>311182</v>
      </c>
      <c r="N244" s="479">
        <v>358400</v>
      </c>
      <c r="O244" s="1704">
        <v>0</v>
      </c>
      <c r="P244" s="479">
        <v>0</v>
      </c>
      <c r="Q244" s="1986">
        <f t="shared" si="17"/>
        <v>669582</v>
      </c>
    </row>
    <row r="245" spans="1:17">
      <c r="A245" s="134">
        <v>2012.08</v>
      </c>
      <c r="B245" s="1818">
        <f t="shared" si="18"/>
        <v>1008158</v>
      </c>
      <c r="C245" s="1822">
        <f t="shared" si="19"/>
        <v>466103</v>
      </c>
      <c r="D245" s="1007">
        <v>1160884</v>
      </c>
      <c r="E245" s="1704">
        <v>78067</v>
      </c>
      <c r="F245" s="479">
        <v>718743</v>
      </c>
      <c r="G245" s="1835">
        <v>0</v>
      </c>
      <c r="H245" s="1838">
        <v>302718</v>
      </c>
      <c r="I245" s="1704">
        <v>627373</v>
      </c>
      <c r="J245" s="1846">
        <v>11000</v>
      </c>
      <c r="K245" s="479">
        <v>67067</v>
      </c>
      <c r="L245" s="1982">
        <f t="shared" si="16"/>
        <v>1008158</v>
      </c>
      <c r="M245" s="1838">
        <v>128600</v>
      </c>
      <c r="N245" s="479">
        <v>337503</v>
      </c>
      <c r="O245" s="1704">
        <v>0</v>
      </c>
      <c r="P245" s="479">
        <v>0</v>
      </c>
      <c r="Q245" s="1986">
        <f t="shared" si="17"/>
        <v>466103</v>
      </c>
    </row>
    <row r="246" spans="1:17">
      <c r="A246" s="134">
        <v>2012.09</v>
      </c>
      <c r="B246" s="1818">
        <f t="shared" si="18"/>
        <v>722744</v>
      </c>
      <c r="C246" s="1822">
        <f t="shared" si="19"/>
        <v>317707</v>
      </c>
      <c r="D246" s="1007">
        <v>828336</v>
      </c>
      <c r="E246" s="1704">
        <v>89061</v>
      </c>
      <c r="F246" s="479">
        <v>506381</v>
      </c>
      <c r="G246" s="1835">
        <v>0</v>
      </c>
      <c r="H246" s="1838">
        <v>276990</v>
      </c>
      <c r="I246" s="1704">
        <v>356693</v>
      </c>
      <c r="J246" s="1846">
        <v>18412</v>
      </c>
      <c r="K246" s="479">
        <v>70649</v>
      </c>
      <c r="L246" s="1982">
        <f t="shared" si="16"/>
        <v>722744</v>
      </c>
      <c r="M246" s="1838">
        <v>216673</v>
      </c>
      <c r="N246" s="479">
        <v>101034</v>
      </c>
      <c r="O246" s="1704">
        <v>0</v>
      </c>
      <c r="P246" s="479">
        <v>0</v>
      </c>
      <c r="Q246" s="1986">
        <f t="shared" si="17"/>
        <v>317707</v>
      </c>
    </row>
    <row r="247" spans="1:17">
      <c r="A247" s="134">
        <v>2012.1</v>
      </c>
      <c r="B247" s="1818">
        <f t="shared" si="18"/>
        <v>863387</v>
      </c>
      <c r="C247" s="1822">
        <f t="shared" si="19"/>
        <v>272786</v>
      </c>
      <c r="D247" s="1007">
        <v>902744</v>
      </c>
      <c r="E247" s="1704">
        <v>181504</v>
      </c>
      <c r="F247" s="479">
        <v>482576</v>
      </c>
      <c r="G247" s="1835">
        <v>0</v>
      </c>
      <c r="H247" s="1838">
        <v>125695</v>
      </c>
      <c r="I247" s="1704">
        <v>556188</v>
      </c>
      <c r="J247" s="1846">
        <v>18412</v>
      </c>
      <c r="K247" s="479">
        <v>163092</v>
      </c>
      <c r="L247" s="1982">
        <f t="shared" si="16"/>
        <v>863387</v>
      </c>
      <c r="M247" s="1838">
        <v>133255</v>
      </c>
      <c r="N247" s="479">
        <v>114064</v>
      </c>
      <c r="O247" s="1704">
        <v>0</v>
      </c>
      <c r="P247" s="479">
        <v>25467</v>
      </c>
      <c r="Q247" s="1986">
        <f t="shared" si="17"/>
        <v>272786</v>
      </c>
    </row>
    <row r="248" spans="1:17">
      <c r="A248" s="134">
        <v>2012.11</v>
      </c>
      <c r="B248" s="1818">
        <f t="shared" si="18"/>
        <v>1255885</v>
      </c>
      <c r="C248" s="1822">
        <f t="shared" si="19"/>
        <v>154106</v>
      </c>
      <c r="D248" s="1007">
        <v>1256404</v>
      </c>
      <c r="E248" s="1704">
        <v>188023</v>
      </c>
      <c r="F248" s="479">
        <v>295069</v>
      </c>
      <c r="G248" s="1835">
        <v>0</v>
      </c>
      <c r="H248" s="1838">
        <v>366957</v>
      </c>
      <c r="I248" s="1704">
        <v>700905</v>
      </c>
      <c r="J248" s="1846">
        <v>10706</v>
      </c>
      <c r="K248" s="479">
        <v>177317</v>
      </c>
      <c r="L248" s="1982">
        <f t="shared" si="16"/>
        <v>1255885</v>
      </c>
      <c r="M248" s="1838">
        <v>21703</v>
      </c>
      <c r="N248" s="479">
        <v>97768</v>
      </c>
      <c r="O248" s="1704">
        <v>0</v>
      </c>
      <c r="P248" s="479">
        <v>34635</v>
      </c>
      <c r="Q248" s="1986">
        <f t="shared" si="17"/>
        <v>154106</v>
      </c>
    </row>
    <row r="249" spans="1:17">
      <c r="A249" s="134">
        <v>2012.12</v>
      </c>
      <c r="B249" s="1818">
        <f t="shared" si="18"/>
        <v>865824</v>
      </c>
      <c r="C249" s="1822">
        <f t="shared" si="19"/>
        <v>593902</v>
      </c>
      <c r="D249" s="1007">
        <v>897175</v>
      </c>
      <c r="E249" s="1704">
        <v>126627</v>
      </c>
      <c r="F249" s="479">
        <v>709157</v>
      </c>
      <c r="G249" s="1835">
        <v>0</v>
      </c>
      <c r="H249" s="1838">
        <v>274285</v>
      </c>
      <c r="I249" s="1704">
        <v>464912</v>
      </c>
      <c r="J249" s="1846">
        <v>44301</v>
      </c>
      <c r="K249" s="479">
        <v>82326</v>
      </c>
      <c r="L249" s="1982">
        <f t="shared" si="16"/>
        <v>865824</v>
      </c>
      <c r="M249" s="1838">
        <v>161048</v>
      </c>
      <c r="N249" s="479">
        <v>366734</v>
      </c>
      <c r="O249" s="1704">
        <v>0</v>
      </c>
      <c r="P249" s="479">
        <v>66120</v>
      </c>
      <c r="Q249" s="1986">
        <f t="shared" si="17"/>
        <v>593902</v>
      </c>
    </row>
    <row r="250" spans="1:17">
      <c r="A250" s="134">
        <v>2013.01</v>
      </c>
      <c r="B250" s="1818">
        <f t="shared" si="18"/>
        <v>1020155.2517519377</v>
      </c>
      <c r="C250" s="1822">
        <f t="shared" si="19"/>
        <v>479982.39576157305</v>
      </c>
      <c r="D250" s="1007">
        <v>1024928.8574243813</v>
      </c>
      <c r="E250" s="1704">
        <v>92406.715492072472</v>
      </c>
      <c r="F250" s="479">
        <v>705101.39576157299</v>
      </c>
      <c r="G250" s="1835">
        <v>0</v>
      </c>
      <c r="H250" s="1838">
        <v>329805.75409864972</v>
      </c>
      <c r="I250" s="1704">
        <v>597942.78216121544</v>
      </c>
      <c r="J250" s="1846">
        <v>0</v>
      </c>
      <c r="K250" s="479">
        <v>92406.715492072472</v>
      </c>
      <c r="L250" s="1982">
        <f t="shared" si="16"/>
        <v>1020155.2517519377</v>
      </c>
      <c r="M250" s="1838">
        <v>113458.39576157303</v>
      </c>
      <c r="N250" s="479">
        <v>317606</v>
      </c>
      <c r="O250" s="1704">
        <v>0</v>
      </c>
      <c r="P250" s="479">
        <v>48918</v>
      </c>
      <c r="Q250" s="1986">
        <f t="shared" si="17"/>
        <v>479982.39576157305</v>
      </c>
    </row>
    <row r="251" spans="1:17">
      <c r="A251" s="134">
        <v>2013.02</v>
      </c>
      <c r="B251" s="1818">
        <f t="shared" si="18"/>
        <v>698461.81636570953</v>
      </c>
      <c r="C251" s="1822">
        <f t="shared" si="19"/>
        <v>310495.52444134542</v>
      </c>
      <c r="D251" s="1007">
        <v>707782.89400386659</v>
      </c>
      <c r="E251" s="1704">
        <v>98974.638268986004</v>
      </c>
      <c r="F251" s="479">
        <v>572211.52444134536</v>
      </c>
      <c r="G251" s="1835">
        <v>0</v>
      </c>
      <c r="H251" s="1838">
        <v>203096.06418679352</v>
      </c>
      <c r="I251" s="1704">
        <v>396391.11390992993</v>
      </c>
      <c r="J251" s="1846">
        <v>0</v>
      </c>
      <c r="K251" s="479">
        <v>98974.638268986004</v>
      </c>
      <c r="L251" s="1982">
        <f t="shared" si="16"/>
        <v>698461.81636570953</v>
      </c>
      <c r="M251" s="1838">
        <v>99952.524441345406</v>
      </c>
      <c r="N251" s="479">
        <v>141822</v>
      </c>
      <c r="O251" s="1704">
        <v>0</v>
      </c>
      <c r="P251" s="479">
        <v>68721</v>
      </c>
      <c r="Q251" s="1986">
        <f t="shared" si="17"/>
        <v>310495.52444134542</v>
      </c>
    </row>
    <row r="252" spans="1:17">
      <c r="A252" s="134">
        <v>2013.03</v>
      </c>
      <c r="B252" s="1818">
        <f t="shared" si="18"/>
        <v>1983668.4328555907</v>
      </c>
      <c r="C252" s="1822">
        <f t="shared" si="19"/>
        <v>274394.38752435532</v>
      </c>
      <c r="D252" s="1007">
        <v>2246533.9356204793</v>
      </c>
      <c r="E252" s="1704">
        <v>51640.49847420607</v>
      </c>
      <c r="F252" s="479">
        <v>542383.38752435532</v>
      </c>
      <c r="G252" s="1835">
        <v>0</v>
      </c>
      <c r="H252" s="1838">
        <v>567719.1594591788</v>
      </c>
      <c r="I252" s="1704">
        <v>1364308.7749222058</v>
      </c>
      <c r="J252" s="1846">
        <v>0</v>
      </c>
      <c r="K252" s="479">
        <v>51640.49847420607</v>
      </c>
      <c r="L252" s="1982">
        <f t="shared" si="16"/>
        <v>1983668.4328555907</v>
      </c>
      <c r="M252" s="1838">
        <v>169165.38752435529</v>
      </c>
      <c r="N252" s="479">
        <v>105229</v>
      </c>
      <c r="O252" s="1704">
        <v>0</v>
      </c>
      <c r="P252" s="479">
        <v>0</v>
      </c>
      <c r="Q252" s="1986">
        <f t="shared" si="17"/>
        <v>274394.38752435532</v>
      </c>
    </row>
    <row r="253" spans="1:17">
      <c r="A253" s="134">
        <v>2013.04</v>
      </c>
      <c r="B253" s="1818">
        <f t="shared" si="18"/>
        <v>2371808.5810557622</v>
      </c>
      <c r="C253" s="1822">
        <f t="shared" si="19"/>
        <v>83694.340166421374</v>
      </c>
      <c r="D253" s="1007">
        <v>2857300.5149024432</v>
      </c>
      <c r="E253" s="1704">
        <v>0</v>
      </c>
      <c r="F253" s="479">
        <v>277718.34016642137</v>
      </c>
      <c r="G253" s="1835">
        <v>0</v>
      </c>
      <c r="H253" s="1838">
        <v>1048625.3109131367</v>
      </c>
      <c r="I253" s="1704">
        <v>1323183.2701426256</v>
      </c>
      <c r="J253" s="1846">
        <v>0</v>
      </c>
      <c r="K253" s="479">
        <v>0</v>
      </c>
      <c r="L253" s="1982">
        <f t="shared" si="16"/>
        <v>2371808.5810557622</v>
      </c>
      <c r="M253" s="1838">
        <v>47757.340166421367</v>
      </c>
      <c r="N253" s="479">
        <v>35937</v>
      </c>
      <c r="O253" s="1704">
        <v>0</v>
      </c>
      <c r="P253" s="479">
        <v>0</v>
      </c>
      <c r="Q253" s="1986">
        <f t="shared" si="17"/>
        <v>83694.340166421374</v>
      </c>
    </row>
    <row r="254" spans="1:17">
      <c r="A254" s="134">
        <v>2013.05</v>
      </c>
      <c r="B254" s="1818">
        <f t="shared" si="18"/>
        <v>2138166.0760817537</v>
      </c>
      <c r="C254" s="1822">
        <f t="shared" si="19"/>
        <v>103621.3521063049</v>
      </c>
      <c r="D254" s="1007">
        <v>2850473.5983033627</v>
      </c>
      <c r="E254" s="1704">
        <v>0</v>
      </c>
      <c r="F254" s="479">
        <v>212621.3521063049</v>
      </c>
      <c r="G254" s="1835">
        <v>0</v>
      </c>
      <c r="H254" s="1838">
        <v>1099300.0200898838</v>
      </c>
      <c r="I254" s="1704">
        <v>1038866.0559918701</v>
      </c>
      <c r="J254" s="1846">
        <v>0</v>
      </c>
      <c r="K254" s="479">
        <v>0</v>
      </c>
      <c r="L254" s="1982">
        <f t="shared" si="16"/>
        <v>2138166.0760817537</v>
      </c>
      <c r="M254" s="1838">
        <v>59360.352106304905</v>
      </c>
      <c r="N254" s="479">
        <v>44261</v>
      </c>
      <c r="O254" s="1704">
        <v>0</v>
      </c>
      <c r="P254" s="479">
        <v>0</v>
      </c>
      <c r="Q254" s="1986">
        <f t="shared" si="17"/>
        <v>103621.3521063049</v>
      </c>
    </row>
    <row r="255" spans="1:17">
      <c r="A255" s="134">
        <v>2013.06</v>
      </c>
      <c r="B255" s="1818">
        <f t="shared" si="18"/>
        <v>2439831.9921083995</v>
      </c>
      <c r="C255" s="1822">
        <f t="shared" si="19"/>
        <v>18579</v>
      </c>
      <c r="D255" s="1007">
        <v>3255225.3015455953</v>
      </c>
      <c r="E255" s="1704">
        <v>0</v>
      </c>
      <c r="F255" s="479">
        <v>81643</v>
      </c>
      <c r="G255" s="1835">
        <v>0</v>
      </c>
      <c r="H255" s="1838">
        <v>1160315.5712631103</v>
      </c>
      <c r="I255" s="1704">
        <v>1279516.4208452892</v>
      </c>
      <c r="J255" s="1846">
        <v>0</v>
      </c>
      <c r="K255" s="479">
        <v>0</v>
      </c>
      <c r="L255" s="1982">
        <f t="shared" si="16"/>
        <v>2439831.9921083995</v>
      </c>
      <c r="M255" s="1838">
        <v>0</v>
      </c>
      <c r="N255" s="479">
        <v>18579</v>
      </c>
      <c r="O255" s="1704">
        <v>0</v>
      </c>
      <c r="P255" s="479">
        <v>0</v>
      </c>
      <c r="Q255" s="1986">
        <f t="shared" si="17"/>
        <v>18579</v>
      </c>
    </row>
    <row r="256" spans="1:17">
      <c r="A256" s="134">
        <v>2013.07</v>
      </c>
      <c r="B256" s="1818">
        <f t="shared" si="18"/>
        <v>2942226.1262497571</v>
      </c>
      <c r="C256" s="1822">
        <f t="shared" si="19"/>
        <v>0</v>
      </c>
      <c r="D256" s="1007">
        <v>3583832.6390745104</v>
      </c>
      <c r="E256" s="1704">
        <v>0</v>
      </c>
      <c r="F256" s="479">
        <v>0</v>
      </c>
      <c r="G256" s="1835">
        <v>0</v>
      </c>
      <c r="H256" s="1838">
        <v>1112596.5636003017</v>
      </c>
      <c r="I256" s="1704">
        <v>1829629.5626494554</v>
      </c>
      <c r="J256" s="1846">
        <v>0</v>
      </c>
      <c r="K256" s="479">
        <v>0</v>
      </c>
      <c r="L256" s="1982">
        <f t="shared" si="16"/>
        <v>2942226.1262497571</v>
      </c>
      <c r="M256" s="1838">
        <v>0</v>
      </c>
      <c r="N256" s="479">
        <v>0</v>
      </c>
      <c r="O256" s="1704">
        <v>0</v>
      </c>
      <c r="P256" s="479">
        <v>0</v>
      </c>
      <c r="Q256" s="1986">
        <f t="shared" si="17"/>
        <v>0</v>
      </c>
    </row>
    <row r="257" spans="1:17">
      <c r="A257" s="134">
        <v>2013.08</v>
      </c>
      <c r="B257" s="1818">
        <f t="shared" si="18"/>
        <v>1463133.8295579869</v>
      </c>
      <c r="C257" s="1822">
        <f t="shared" si="19"/>
        <v>0</v>
      </c>
      <c r="D257" s="1007">
        <v>1607481.1470681354</v>
      </c>
      <c r="E257" s="1704">
        <v>64902.147764735462</v>
      </c>
      <c r="F257" s="479">
        <v>0</v>
      </c>
      <c r="G257" s="1835">
        <v>0</v>
      </c>
      <c r="H257" s="1838">
        <v>673748.34060730645</v>
      </c>
      <c r="I257" s="1704">
        <v>724483.34118594497</v>
      </c>
      <c r="J257" s="1846">
        <v>0</v>
      </c>
      <c r="K257" s="479">
        <v>64902.147764735462</v>
      </c>
      <c r="L257" s="1982">
        <f t="shared" si="16"/>
        <v>1463133.8295579869</v>
      </c>
      <c r="M257" s="1838">
        <v>0</v>
      </c>
      <c r="N257" s="479">
        <v>0</v>
      </c>
      <c r="O257" s="1704">
        <v>0</v>
      </c>
      <c r="P257" s="479">
        <v>0</v>
      </c>
      <c r="Q257" s="1986">
        <f t="shared" si="17"/>
        <v>0</v>
      </c>
    </row>
    <row r="258" spans="1:17">
      <c r="A258" s="134">
        <v>2013.09</v>
      </c>
      <c r="B258" s="1818">
        <f t="shared" si="18"/>
        <v>780314.85620934237</v>
      </c>
      <c r="C258" s="1822">
        <f>Q258</f>
        <v>0</v>
      </c>
      <c r="D258" s="1007">
        <v>791724.00165915035</v>
      </c>
      <c r="E258" s="1704">
        <v>187675</v>
      </c>
      <c r="F258" s="479">
        <v>0</v>
      </c>
      <c r="G258" s="1835">
        <v>0</v>
      </c>
      <c r="H258" s="1838">
        <v>87804.901475504899</v>
      </c>
      <c r="I258" s="1704">
        <v>504834.95473383745</v>
      </c>
      <c r="J258" s="1846">
        <v>0</v>
      </c>
      <c r="K258" s="479">
        <v>187675</v>
      </c>
      <c r="L258" s="1982">
        <f t="shared" si="16"/>
        <v>780314.85620934237</v>
      </c>
      <c r="M258" s="1838">
        <v>0</v>
      </c>
      <c r="N258" s="479">
        <v>0</v>
      </c>
      <c r="O258" s="1704">
        <v>0</v>
      </c>
      <c r="P258" s="479">
        <v>0</v>
      </c>
      <c r="Q258" s="1986">
        <f t="shared" si="17"/>
        <v>0</v>
      </c>
    </row>
    <row r="259" spans="1:17">
      <c r="A259" s="134">
        <v>2013.1</v>
      </c>
      <c r="B259" s="1818">
        <f t="shared" si="18"/>
        <v>414760.59823256632</v>
      </c>
      <c r="C259" s="1822">
        <f t="shared" si="19"/>
        <v>0</v>
      </c>
      <c r="D259" s="1007">
        <v>250090.71364541433</v>
      </c>
      <c r="E259" s="1704">
        <v>204191</v>
      </c>
      <c r="F259" s="479">
        <v>0</v>
      </c>
      <c r="G259" s="1835">
        <v>0</v>
      </c>
      <c r="H259" s="1838">
        <v>150336.49835568192</v>
      </c>
      <c r="I259" s="1704">
        <v>60233.099876884407</v>
      </c>
      <c r="J259" s="1846">
        <v>0</v>
      </c>
      <c r="K259" s="479">
        <v>204191</v>
      </c>
      <c r="L259" s="1982">
        <f t="shared" si="16"/>
        <v>414760.59823256632</v>
      </c>
      <c r="M259" s="1838">
        <v>0</v>
      </c>
      <c r="N259" s="479">
        <v>0</v>
      </c>
      <c r="O259" s="1704">
        <v>0</v>
      </c>
      <c r="P259" s="479">
        <v>0</v>
      </c>
      <c r="Q259" s="1986">
        <f t="shared" si="17"/>
        <v>0</v>
      </c>
    </row>
    <row r="260" spans="1:17">
      <c r="A260" s="134">
        <v>2013.11</v>
      </c>
      <c r="B260" s="1818">
        <f t="shared" si="18"/>
        <v>366733.91182844283</v>
      </c>
      <c r="C260" s="1822">
        <f t="shared" si="19"/>
        <v>26250</v>
      </c>
      <c r="D260" s="1007">
        <v>174959.7609308431</v>
      </c>
      <c r="E260" s="1704">
        <v>194808</v>
      </c>
      <c r="F260" s="479">
        <v>26250</v>
      </c>
      <c r="G260" s="1835">
        <v>0</v>
      </c>
      <c r="H260" s="1838">
        <v>68793.218218652109</v>
      </c>
      <c r="I260" s="1704">
        <v>103132.69360979069</v>
      </c>
      <c r="J260" s="1846">
        <v>0</v>
      </c>
      <c r="K260" s="479">
        <v>194808</v>
      </c>
      <c r="L260" s="1982">
        <f t="shared" si="16"/>
        <v>366733.91182844283</v>
      </c>
      <c r="M260" s="1838">
        <v>0</v>
      </c>
      <c r="N260" s="479">
        <v>26250</v>
      </c>
      <c r="O260" s="1704">
        <v>0</v>
      </c>
      <c r="P260" s="479">
        <v>0</v>
      </c>
      <c r="Q260" s="1986">
        <f t="shared" si="17"/>
        <v>26250</v>
      </c>
    </row>
    <row r="261" spans="1:17">
      <c r="A261" s="134">
        <v>2013.12</v>
      </c>
      <c r="B261" s="1818">
        <f t="shared" si="18"/>
        <v>199861.52770275116</v>
      </c>
      <c r="C261" s="1822">
        <f t="shared" si="19"/>
        <v>26250</v>
      </c>
      <c r="D261" s="1007">
        <v>177688.98230242287</v>
      </c>
      <c r="E261" s="1704">
        <v>99245</v>
      </c>
      <c r="F261" s="479">
        <v>26250</v>
      </c>
      <c r="G261" s="1835">
        <v>0</v>
      </c>
      <c r="H261" s="1838">
        <v>29339.597731800088</v>
      </c>
      <c r="I261" s="1704">
        <v>71276.929970951067</v>
      </c>
      <c r="J261" s="1846">
        <v>0</v>
      </c>
      <c r="K261" s="479">
        <v>99245</v>
      </c>
      <c r="L261" s="1982">
        <f t="shared" si="16"/>
        <v>199861.52770275116</v>
      </c>
      <c r="M261" s="1838">
        <v>0</v>
      </c>
      <c r="N261" s="479">
        <v>26250</v>
      </c>
      <c r="O261" s="1704">
        <v>0</v>
      </c>
      <c r="P261" s="479">
        <v>0</v>
      </c>
      <c r="Q261" s="1986">
        <f t="shared" si="17"/>
        <v>26250</v>
      </c>
    </row>
    <row r="262" spans="1:17">
      <c r="A262" s="134">
        <v>2014.01</v>
      </c>
      <c r="B262" s="1818">
        <f t="shared" si="18"/>
        <v>218367.32106552477</v>
      </c>
      <c r="C262" s="1822">
        <f t="shared" si="19"/>
        <v>75260</v>
      </c>
      <c r="D262" s="1007">
        <v>72552.370258522045</v>
      </c>
      <c r="E262" s="1704">
        <v>145814.95080700272</v>
      </c>
      <c r="F262" s="479">
        <v>154695</v>
      </c>
      <c r="G262" s="1835">
        <v>0</v>
      </c>
      <c r="H262" s="1838">
        <v>13975</v>
      </c>
      <c r="I262" s="1704">
        <v>58577.370258522053</v>
      </c>
      <c r="J262" s="1846">
        <v>0</v>
      </c>
      <c r="K262" s="479">
        <v>145814.95080700272</v>
      </c>
      <c r="L262" s="1982">
        <f t="shared" si="16"/>
        <v>218367.32106552477</v>
      </c>
      <c r="M262" s="1838">
        <v>0</v>
      </c>
      <c r="N262" s="479">
        <v>75260</v>
      </c>
      <c r="O262" s="1704">
        <v>0</v>
      </c>
      <c r="P262" s="479">
        <v>0</v>
      </c>
      <c r="Q262" s="1986">
        <f t="shared" si="17"/>
        <v>75260</v>
      </c>
    </row>
    <row r="263" spans="1:17">
      <c r="A263" s="134">
        <v>2014.02</v>
      </c>
      <c r="B263" s="1818">
        <f t="shared" si="18"/>
        <v>399904.91155254398</v>
      </c>
      <c r="C263" s="1822">
        <f t="shared" si="19"/>
        <v>92305</v>
      </c>
      <c r="D263" s="1007">
        <v>260324.23041943362</v>
      </c>
      <c r="E263" s="1704">
        <v>180030.6811331104</v>
      </c>
      <c r="F263" s="479">
        <v>246721</v>
      </c>
      <c r="G263" s="1835">
        <v>0</v>
      </c>
      <c r="H263" s="1838">
        <v>92425</v>
      </c>
      <c r="I263" s="1704">
        <v>127449.23041943363</v>
      </c>
      <c r="J263" s="1846">
        <v>0</v>
      </c>
      <c r="K263" s="479">
        <v>180030.6811331104</v>
      </c>
      <c r="L263" s="1982">
        <f t="shared" si="16"/>
        <v>399904.91155254398</v>
      </c>
      <c r="M263" s="1838">
        <v>0</v>
      </c>
      <c r="N263" s="479">
        <v>92305</v>
      </c>
      <c r="O263" s="1704">
        <v>0</v>
      </c>
      <c r="P263" s="479">
        <v>0</v>
      </c>
      <c r="Q263" s="1986">
        <f t="shared" si="17"/>
        <v>92305</v>
      </c>
    </row>
    <row r="264" spans="1:17">
      <c r="A264" s="134">
        <v>2014.03</v>
      </c>
      <c r="B264" s="1818">
        <f t="shared" si="18"/>
        <v>590767.72133969073</v>
      </c>
      <c r="C264" s="1822">
        <f t="shared" si="19"/>
        <v>101947</v>
      </c>
      <c r="D264" s="1007">
        <v>600982.56577690237</v>
      </c>
      <c r="E264" s="1704">
        <v>19696.155562788274</v>
      </c>
      <c r="F264" s="479">
        <v>292798</v>
      </c>
      <c r="G264" s="1835">
        <v>0</v>
      </c>
      <c r="H264" s="1838">
        <v>93100</v>
      </c>
      <c r="I264" s="1704">
        <v>477971.56577690243</v>
      </c>
      <c r="J264" s="1846">
        <v>0</v>
      </c>
      <c r="K264" s="479">
        <v>19696.155562788274</v>
      </c>
      <c r="L264" s="1982">
        <f t="shared" si="16"/>
        <v>590767.72133969073</v>
      </c>
      <c r="M264" s="1838">
        <v>55296</v>
      </c>
      <c r="N264" s="479">
        <v>46651</v>
      </c>
      <c r="O264" s="1704">
        <v>0</v>
      </c>
      <c r="P264" s="479">
        <v>0</v>
      </c>
      <c r="Q264" s="1986">
        <f t="shared" si="17"/>
        <v>101947</v>
      </c>
    </row>
    <row r="265" spans="1:17">
      <c r="A265" s="134">
        <v>2014.04</v>
      </c>
      <c r="B265" s="1818">
        <f t="shared" si="18"/>
        <v>1504034.9152334789</v>
      </c>
      <c r="C265" s="1822">
        <f t="shared" si="19"/>
        <v>149239</v>
      </c>
      <c r="D265" s="1007">
        <v>1689385.9152334786</v>
      </c>
      <c r="E265" s="1704">
        <v>0</v>
      </c>
      <c r="F265" s="479">
        <v>245014</v>
      </c>
      <c r="G265" s="1835">
        <v>0</v>
      </c>
      <c r="H265" s="1838">
        <v>591337</v>
      </c>
      <c r="I265" s="1704">
        <v>912697.91523347877</v>
      </c>
      <c r="J265" s="1846">
        <v>0</v>
      </c>
      <c r="K265" s="479">
        <v>0</v>
      </c>
      <c r="L265" s="1982">
        <f t="shared" si="16"/>
        <v>1504034.9152334789</v>
      </c>
      <c r="M265" s="1838">
        <v>28798</v>
      </c>
      <c r="N265" s="479">
        <v>120441</v>
      </c>
      <c r="O265" s="1704">
        <v>0</v>
      </c>
      <c r="P265" s="479">
        <v>0</v>
      </c>
      <c r="Q265" s="1986">
        <f t="shared" si="17"/>
        <v>149239</v>
      </c>
    </row>
    <row r="266" spans="1:17">
      <c r="A266" s="134">
        <v>2014.05</v>
      </c>
      <c r="B266" s="1818">
        <f t="shared" si="18"/>
        <v>1259902.0988800942</v>
      </c>
      <c r="C266" s="1822">
        <f t="shared" si="19"/>
        <v>25000</v>
      </c>
      <c r="D266" s="1007">
        <v>1432646.1371016928</v>
      </c>
      <c r="E266" s="1704">
        <v>5593.9617784013471</v>
      </c>
      <c r="F266" s="479">
        <v>77500</v>
      </c>
      <c r="G266" s="1835">
        <v>0</v>
      </c>
      <c r="H266" s="1838">
        <v>364137</v>
      </c>
      <c r="I266" s="1704">
        <v>890171.13710169285</v>
      </c>
      <c r="J266" s="1846">
        <v>0</v>
      </c>
      <c r="K266" s="479">
        <v>5593.9617784013471</v>
      </c>
      <c r="L266" s="1982">
        <f t="shared" ref="L266:L329" si="20">SUM(H266:K266)</f>
        <v>1259902.0988800942</v>
      </c>
      <c r="M266" s="1838">
        <v>0</v>
      </c>
      <c r="N266" s="479">
        <v>25000</v>
      </c>
      <c r="O266" s="1704">
        <v>0</v>
      </c>
      <c r="P266" s="479">
        <v>0</v>
      </c>
      <c r="Q266" s="1986">
        <f t="shared" ref="Q266:Q329" si="21">SUM(M266:P266)</f>
        <v>25000</v>
      </c>
    </row>
    <row r="267" spans="1:17">
      <c r="A267" s="134">
        <v>2014.06</v>
      </c>
      <c r="B267" s="1818">
        <f t="shared" si="18"/>
        <v>1527845.7428345177</v>
      </c>
      <c r="C267" s="1822">
        <f t="shared" si="19"/>
        <v>15750</v>
      </c>
      <c r="D267" s="1007">
        <v>1727781.7428345177</v>
      </c>
      <c r="E267" s="1704">
        <v>0</v>
      </c>
      <c r="F267" s="479">
        <v>120548</v>
      </c>
      <c r="G267" s="1835">
        <v>0</v>
      </c>
      <c r="H267" s="1838">
        <v>376344</v>
      </c>
      <c r="I267" s="1704">
        <v>1151501.7428345177</v>
      </c>
      <c r="J267" s="1846">
        <v>0</v>
      </c>
      <c r="K267" s="479">
        <v>0</v>
      </c>
      <c r="L267" s="1982">
        <f t="shared" si="20"/>
        <v>1527845.7428345177</v>
      </c>
      <c r="M267" s="1838">
        <v>0</v>
      </c>
      <c r="N267" s="479">
        <v>15750</v>
      </c>
      <c r="O267" s="1704">
        <v>0</v>
      </c>
      <c r="P267" s="479">
        <v>0</v>
      </c>
      <c r="Q267" s="1986">
        <f t="shared" si="21"/>
        <v>15750</v>
      </c>
    </row>
    <row r="268" spans="1:17">
      <c r="A268" s="134">
        <v>2014.07</v>
      </c>
      <c r="B268" s="1818">
        <f t="shared" ref="B268:B331" si="22">L268</f>
        <v>2270708.4091289691</v>
      </c>
      <c r="C268" s="1822">
        <f t="shared" ref="C268:C331" si="23">Q268</f>
        <v>73641</v>
      </c>
      <c r="D268" s="1007">
        <v>2677716.4091289691</v>
      </c>
      <c r="E268" s="1704">
        <v>0</v>
      </c>
      <c r="F268" s="479">
        <v>146041</v>
      </c>
      <c r="G268" s="1835">
        <v>0</v>
      </c>
      <c r="H268" s="1838">
        <v>650182</v>
      </c>
      <c r="I268" s="1704">
        <v>1620526.4091289691</v>
      </c>
      <c r="J268" s="1846">
        <v>0</v>
      </c>
      <c r="K268" s="479">
        <v>0</v>
      </c>
      <c r="L268" s="1982">
        <f t="shared" si="20"/>
        <v>2270708.4091289691</v>
      </c>
      <c r="M268" s="1838">
        <v>46099</v>
      </c>
      <c r="N268" s="479">
        <v>27542</v>
      </c>
      <c r="O268" s="1704">
        <v>0</v>
      </c>
      <c r="P268" s="479">
        <v>0</v>
      </c>
      <c r="Q268" s="1986">
        <f t="shared" si="21"/>
        <v>73641</v>
      </c>
    </row>
    <row r="269" spans="1:17">
      <c r="A269" s="134">
        <v>2014.08</v>
      </c>
      <c r="B269" s="1818">
        <f t="shared" si="22"/>
        <v>2153709.735285941</v>
      </c>
      <c r="C269" s="1822">
        <f t="shared" si="23"/>
        <v>18240</v>
      </c>
      <c r="D269" s="1007">
        <v>2271432.2224479392</v>
      </c>
      <c r="E269" s="1704">
        <v>102317.51283800168</v>
      </c>
      <c r="F269" s="479">
        <v>26875</v>
      </c>
      <c r="G269" s="1835">
        <v>0</v>
      </c>
      <c r="H269" s="1838">
        <v>854525</v>
      </c>
      <c r="I269" s="1704">
        <v>1196867.2224479392</v>
      </c>
      <c r="J269" s="1846">
        <v>0</v>
      </c>
      <c r="K269" s="479">
        <v>102317.51283800168</v>
      </c>
      <c r="L269" s="1982">
        <f t="shared" si="20"/>
        <v>2153709.735285941</v>
      </c>
      <c r="M269" s="1838">
        <v>15750</v>
      </c>
      <c r="N269" s="479">
        <v>2490</v>
      </c>
      <c r="O269" s="1704">
        <v>0</v>
      </c>
      <c r="P269" s="479">
        <v>0</v>
      </c>
      <c r="Q269" s="1986">
        <f t="shared" si="21"/>
        <v>18240</v>
      </c>
    </row>
    <row r="270" spans="1:17">
      <c r="A270" s="134">
        <v>2014.09</v>
      </c>
      <c r="B270" s="1818">
        <f t="shared" si="22"/>
        <v>1199691.9410475434</v>
      </c>
      <c r="C270" s="1822">
        <f t="shared" si="23"/>
        <v>30000</v>
      </c>
      <c r="D270" s="1007">
        <v>1354845.666477303</v>
      </c>
      <c r="E270" s="1704">
        <v>118556.27457024042</v>
      </c>
      <c r="F270" s="479">
        <v>118355</v>
      </c>
      <c r="G270" s="1835">
        <v>0</v>
      </c>
      <c r="H270" s="1838">
        <v>329485</v>
      </c>
      <c r="I270" s="1704">
        <v>751650.66647730302</v>
      </c>
      <c r="J270" s="1846">
        <v>0</v>
      </c>
      <c r="K270" s="479">
        <v>118556.27457024042</v>
      </c>
      <c r="L270" s="1982">
        <f t="shared" si="20"/>
        <v>1199691.9410475434</v>
      </c>
      <c r="M270" s="1838">
        <v>0</v>
      </c>
      <c r="N270" s="479">
        <v>30000</v>
      </c>
      <c r="O270" s="1704">
        <v>0</v>
      </c>
      <c r="P270" s="479">
        <v>0</v>
      </c>
      <c r="Q270" s="1986">
        <f t="shared" si="21"/>
        <v>30000</v>
      </c>
    </row>
    <row r="271" spans="1:17">
      <c r="A271" s="134">
        <v>2014.1</v>
      </c>
      <c r="B271" s="1818">
        <f t="shared" si="22"/>
        <v>1643533.672054071</v>
      </c>
      <c r="C271" s="1822">
        <f t="shared" si="23"/>
        <v>26250</v>
      </c>
      <c r="D271" s="1007">
        <v>1683361.9609684329</v>
      </c>
      <c r="E271" s="1704">
        <v>167629.71108563812</v>
      </c>
      <c r="F271" s="479">
        <v>63152</v>
      </c>
      <c r="G271" s="1835">
        <v>0</v>
      </c>
      <c r="H271" s="1838">
        <v>510649</v>
      </c>
      <c r="I271" s="1704">
        <v>965254.96096843283</v>
      </c>
      <c r="J271" s="1846">
        <v>0</v>
      </c>
      <c r="K271" s="479">
        <v>167629.71108563812</v>
      </c>
      <c r="L271" s="1982">
        <f t="shared" si="20"/>
        <v>1643533.672054071</v>
      </c>
      <c r="M271" s="1838">
        <v>0</v>
      </c>
      <c r="N271" s="479">
        <v>26250</v>
      </c>
      <c r="O271" s="1704">
        <v>0</v>
      </c>
      <c r="P271" s="479">
        <v>0</v>
      </c>
      <c r="Q271" s="1986">
        <f t="shared" si="21"/>
        <v>26250</v>
      </c>
    </row>
    <row r="272" spans="1:17">
      <c r="A272" s="134">
        <v>2014.11</v>
      </c>
      <c r="B272" s="1818">
        <f t="shared" si="22"/>
        <v>809204.3318243291</v>
      </c>
      <c r="C272" s="1822">
        <f t="shared" si="23"/>
        <v>0</v>
      </c>
      <c r="D272" s="1007">
        <v>868346.22934723855</v>
      </c>
      <c r="E272" s="1704">
        <v>28516.10247709051</v>
      </c>
      <c r="F272" s="479">
        <v>36612</v>
      </c>
      <c r="G272" s="1835">
        <v>0</v>
      </c>
      <c r="H272" s="1838">
        <v>253392</v>
      </c>
      <c r="I272" s="1704">
        <v>527296.22934723855</v>
      </c>
      <c r="J272" s="1846">
        <v>0</v>
      </c>
      <c r="K272" s="479">
        <v>28516.10247709051</v>
      </c>
      <c r="L272" s="1982">
        <f t="shared" si="20"/>
        <v>809204.3318243291</v>
      </c>
      <c r="M272" s="1841">
        <v>0</v>
      </c>
      <c r="N272" s="479">
        <v>0</v>
      </c>
      <c r="O272" s="1704">
        <v>0</v>
      </c>
      <c r="P272" s="479">
        <v>0</v>
      </c>
      <c r="Q272" s="1986">
        <f t="shared" si="21"/>
        <v>0</v>
      </c>
    </row>
    <row r="273" spans="1:17">
      <c r="A273" s="134">
        <v>2014.12</v>
      </c>
      <c r="B273" s="1818">
        <f t="shared" si="22"/>
        <v>876591.19975329656</v>
      </c>
      <c r="C273" s="1822">
        <f t="shared" si="23"/>
        <v>191672</v>
      </c>
      <c r="D273" s="1007">
        <v>834863.55000557005</v>
      </c>
      <c r="E273" s="1704">
        <v>46727.649747726558</v>
      </c>
      <c r="F273" s="479">
        <v>326732</v>
      </c>
      <c r="G273" s="1835">
        <v>0</v>
      </c>
      <c r="H273" s="1838">
        <v>222244</v>
      </c>
      <c r="I273" s="1704">
        <v>607619.55000557005</v>
      </c>
      <c r="J273" s="1846">
        <v>0</v>
      </c>
      <c r="K273" s="479">
        <v>46727.649747726558</v>
      </c>
      <c r="L273" s="1982">
        <f t="shared" si="20"/>
        <v>876591.19975329656</v>
      </c>
      <c r="M273" s="1838">
        <v>10500</v>
      </c>
      <c r="N273" s="479">
        <v>181172</v>
      </c>
      <c r="O273" s="1704">
        <v>0</v>
      </c>
      <c r="P273" s="479">
        <v>0</v>
      </c>
      <c r="Q273" s="1986">
        <f t="shared" si="21"/>
        <v>191672</v>
      </c>
    </row>
    <row r="274" spans="1:17">
      <c r="A274" s="134">
        <v>2015.01</v>
      </c>
      <c r="B274" s="1818">
        <f t="shared" si="22"/>
        <v>1023459.9638810034</v>
      </c>
      <c r="C274" s="1822">
        <f t="shared" si="23"/>
        <v>396779.33465249947</v>
      </c>
      <c r="D274" s="1007">
        <v>1068969.9109194945</v>
      </c>
      <c r="E274" s="1704">
        <v>58473</v>
      </c>
      <c r="F274" s="479">
        <v>617828.60626646667</v>
      </c>
      <c r="G274" s="1835">
        <v>0</v>
      </c>
      <c r="H274" s="1838">
        <v>516500.68970280612</v>
      </c>
      <c r="I274" s="1704">
        <v>448486.27417819732</v>
      </c>
      <c r="J274" s="1846">
        <v>0</v>
      </c>
      <c r="K274" s="479">
        <v>58473</v>
      </c>
      <c r="L274" s="1982">
        <f t="shared" si="20"/>
        <v>1023459.9638810034</v>
      </c>
      <c r="M274" s="1838">
        <v>60558.186199344978</v>
      </c>
      <c r="N274" s="479">
        <v>326434.14845315448</v>
      </c>
      <c r="O274" s="1704">
        <v>0</v>
      </c>
      <c r="P274" s="479">
        <v>9787</v>
      </c>
      <c r="Q274" s="1986">
        <f t="shared" si="21"/>
        <v>396779.33465249947</v>
      </c>
    </row>
    <row r="275" spans="1:17">
      <c r="A275" s="134">
        <v>2015.02</v>
      </c>
      <c r="B275" s="1818">
        <f t="shared" si="22"/>
        <v>813533.44213229744</v>
      </c>
      <c r="C275" s="1822">
        <f t="shared" si="23"/>
        <v>438730.64134825266</v>
      </c>
      <c r="D275" s="1007">
        <v>816271.77099883254</v>
      </c>
      <c r="E275" s="1704">
        <v>42090</v>
      </c>
      <c r="F275" s="479">
        <v>637959.21932687459</v>
      </c>
      <c r="G275" s="1835">
        <v>0</v>
      </c>
      <c r="H275" s="1838">
        <v>210424.10099547653</v>
      </c>
      <c r="I275" s="1704">
        <v>561019.34113682096</v>
      </c>
      <c r="J275" s="1846">
        <v>0</v>
      </c>
      <c r="K275" s="479">
        <v>42090</v>
      </c>
      <c r="L275" s="1982">
        <f t="shared" si="20"/>
        <v>813533.44213229744</v>
      </c>
      <c r="M275" s="1838">
        <v>102149.6335233889</v>
      </c>
      <c r="N275" s="479">
        <v>336581.00782486377</v>
      </c>
      <c r="O275" s="1704">
        <v>0</v>
      </c>
      <c r="P275" s="479">
        <v>0</v>
      </c>
      <c r="Q275" s="1986">
        <f t="shared" si="21"/>
        <v>438730.64134825266</v>
      </c>
    </row>
    <row r="276" spans="1:17">
      <c r="A276" s="134">
        <v>2015.03</v>
      </c>
      <c r="B276" s="1818">
        <f t="shared" si="22"/>
        <v>1864648.4122323284</v>
      </c>
      <c r="C276" s="1822">
        <f t="shared" si="23"/>
        <v>490300.40097478585</v>
      </c>
      <c r="D276" s="1007">
        <v>2017581.1121260345</v>
      </c>
      <c r="E276" s="1704">
        <v>46273</v>
      </c>
      <c r="F276" s="479">
        <v>545458.36246840039</v>
      </c>
      <c r="G276" s="1835">
        <v>0</v>
      </c>
      <c r="H276" s="1838">
        <v>672415.87392660696</v>
      </c>
      <c r="I276" s="1704">
        <v>1145959.5383057215</v>
      </c>
      <c r="J276" s="1846">
        <v>0</v>
      </c>
      <c r="K276" s="479">
        <v>46273</v>
      </c>
      <c r="L276" s="1982">
        <f t="shared" si="20"/>
        <v>1864648.4122323284</v>
      </c>
      <c r="M276" s="1838">
        <v>74141.975190259822</v>
      </c>
      <c r="N276" s="479">
        <v>389822.42578452604</v>
      </c>
      <c r="O276" s="1704">
        <v>0</v>
      </c>
      <c r="P276" s="479">
        <v>26336</v>
      </c>
      <c r="Q276" s="1986">
        <f t="shared" si="21"/>
        <v>490300.40097478585</v>
      </c>
    </row>
    <row r="277" spans="1:17">
      <c r="A277" s="134">
        <v>2015.04</v>
      </c>
      <c r="B277" s="1818">
        <f t="shared" si="22"/>
        <v>2149957.5162228625</v>
      </c>
      <c r="C277" s="1822">
        <f t="shared" si="23"/>
        <v>230049.1399918797</v>
      </c>
      <c r="D277" s="1007">
        <v>2518175.5329053644</v>
      </c>
      <c r="E277" s="1704">
        <v>0</v>
      </c>
      <c r="F277" s="479">
        <v>437851.84540566365</v>
      </c>
      <c r="G277" s="1835">
        <v>0</v>
      </c>
      <c r="H277" s="1838">
        <v>882179.52586029633</v>
      </c>
      <c r="I277" s="1704">
        <v>1267777.9903625662</v>
      </c>
      <c r="J277" s="1846">
        <v>0</v>
      </c>
      <c r="K277" s="479">
        <v>0</v>
      </c>
      <c r="L277" s="1982">
        <f t="shared" si="20"/>
        <v>2149957.5162228625</v>
      </c>
      <c r="M277" s="1838">
        <v>82915.126218740697</v>
      </c>
      <c r="N277" s="479">
        <v>147134.01377313901</v>
      </c>
      <c r="O277" s="1704">
        <v>0</v>
      </c>
      <c r="P277" s="479">
        <v>0</v>
      </c>
      <c r="Q277" s="1986">
        <f t="shared" si="21"/>
        <v>230049.1399918797</v>
      </c>
    </row>
    <row r="278" spans="1:17">
      <c r="A278" s="134">
        <v>2015.05</v>
      </c>
      <c r="B278" s="1818">
        <f t="shared" si="22"/>
        <v>1487135.8155017081</v>
      </c>
      <c r="C278" s="1822">
        <f t="shared" si="23"/>
        <v>228919.55989670102</v>
      </c>
      <c r="D278" s="1007">
        <v>1616559.6253734212</v>
      </c>
      <c r="E278" s="1704">
        <v>0</v>
      </c>
      <c r="F278" s="479">
        <v>324121.23873689026</v>
      </c>
      <c r="G278" s="1835">
        <v>0</v>
      </c>
      <c r="H278" s="1838">
        <v>469116.78616574523</v>
      </c>
      <c r="I278" s="1704">
        <v>1018019.029335963</v>
      </c>
      <c r="J278" s="1846">
        <v>0</v>
      </c>
      <c r="K278" s="479">
        <v>0</v>
      </c>
      <c r="L278" s="1982">
        <f t="shared" si="20"/>
        <v>1487135.8155017081</v>
      </c>
      <c r="M278" s="1838">
        <v>154203.70877675075</v>
      </c>
      <c r="N278" s="479">
        <v>74715.851119950283</v>
      </c>
      <c r="O278" s="1704">
        <v>0</v>
      </c>
      <c r="P278" s="479">
        <v>0</v>
      </c>
      <c r="Q278" s="1986">
        <f t="shared" si="21"/>
        <v>228919.55989670102</v>
      </c>
    </row>
    <row r="279" spans="1:17">
      <c r="A279" s="134">
        <v>2015.06</v>
      </c>
      <c r="B279" s="1818">
        <f t="shared" si="22"/>
        <v>2077028.7536475402</v>
      </c>
      <c r="C279" s="1822">
        <f t="shared" si="23"/>
        <v>362230.1965681765</v>
      </c>
      <c r="D279" s="1007">
        <v>2412775.3251288678</v>
      </c>
      <c r="E279" s="1704">
        <v>0</v>
      </c>
      <c r="F279" s="479">
        <v>510582.6990114933</v>
      </c>
      <c r="G279" s="1835">
        <v>0</v>
      </c>
      <c r="H279" s="1838">
        <v>700606.48713324894</v>
      </c>
      <c r="I279" s="1704">
        <v>1376422.2665142913</v>
      </c>
      <c r="J279" s="1846">
        <v>0</v>
      </c>
      <c r="K279" s="479">
        <v>0</v>
      </c>
      <c r="L279" s="1982">
        <f t="shared" si="20"/>
        <v>2077028.7536475402</v>
      </c>
      <c r="M279" s="1838">
        <v>213245.92478927123</v>
      </c>
      <c r="N279" s="479">
        <v>148984.27177890527</v>
      </c>
      <c r="O279" s="1704">
        <v>0</v>
      </c>
      <c r="P279" s="479">
        <v>0</v>
      </c>
      <c r="Q279" s="1986">
        <f t="shared" si="21"/>
        <v>362230.1965681765</v>
      </c>
    </row>
    <row r="280" spans="1:17">
      <c r="A280" s="134">
        <v>2015.07</v>
      </c>
      <c r="B280" s="1818">
        <f t="shared" si="22"/>
        <v>1694511.2155576181</v>
      </c>
      <c r="C280" s="1822">
        <f t="shared" si="23"/>
        <v>176022.2770654402</v>
      </c>
      <c r="D280" s="1007">
        <v>1916780.6881285682</v>
      </c>
      <c r="E280" s="1704">
        <v>89133</v>
      </c>
      <c r="F280" s="479">
        <v>254272.10263775542</v>
      </c>
      <c r="G280" s="1835">
        <v>0</v>
      </c>
      <c r="H280" s="1838">
        <v>444350.50337290886</v>
      </c>
      <c r="I280" s="1704">
        <v>1161027.7121847093</v>
      </c>
      <c r="J280" s="1846">
        <v>0</v>
      </c>
      <c r="K280" s="479">
        <v>89133</v>
      </c>
      <c r="L280" s="1982">
        <f t="shared" si="20"/>
        <v>1694511.2155576181</v>
      </c>
      <c r="M280" s="1838">
        <v>141769.78900178292</v>
      </c>
      <c r="N280" s="479">
        <v>34252.488063657271</v>
      </c>
      <c r="O280" s="1704">
        <v>0</v>
      </c>
      <c r="P280" s="479">
        <v>0</v>
      </c>
      <c r="Q280" s="1986">
        <f t="shared" si="21"/>
        <v>176022.2770654402</v>
      </c>
    </row>
    <row r="281" spans="1:17">
      <c r="A281" s="134">
        <v>2015.08</v>
      </c>
      <c r="B281" s="1818">
        <f t="shared" si="22"/>
        <v>1373596.874640421</v>
      </c>
      <c r="C281" s="1822">
        <f t="shared" si="23"/>
        <v>178256.84180270639</v>
      </c>
      <c r="D281" s="1007">
        <v>1469889.6897623895</v>
      </c>
      <c r="E281" s="1704">
        <v>41596</v>
      </c>
      <c r="F281" s="479">
        <v>305503.17236107553</v>
      </c>
      <c r="G281" s="1835">
        <v>0</v>
      </c>
      <c r="H281" s="1838">
        <v>330918.8016184665</v>
      </c>
      <c r="I281" s="1704">
        <v>1001082.0730219546</v>
      </c>
      <c r="J281" s="1846">
        <v>0</v>
      </c>
      <c r="K281" s="479">
        <v>41596</v>
      </c>
      <c r="L281" s="1982">
        <f t="shared" si="20"/>
        <v>1373596.874640421</v>
      </c>
      <c r="M281" s="1838">
        <v>123452.86090085476</v>
      </c>
      <c r="N281" s="479">
        <v>54803.980901851632</v>
      </c>
      <c r="O281" s="1704">
        <v>0</v>
      </c>
      <c r="P281" s="479">
        <v>0</v>
      </c>
      <c r="Q281" s="1986">
        <f t="shared" si="21"/>
        <v>178256.84180270639</v>
      </c>
    </row>
    <row r="282" spans="1:17">
      <c r="A282" s="134">
        <v>2015.09</v>
      </c>
      <c r="B282" s="1818">
        <f t="shared" si="22"/>
        <v>1006479.615749997</v>
      </c>
      <c r="C282" s="1822">
        <f t="shared" si="23"/>
        <v>153140.16433920088</v>
      </c>
      <c r="D282" s="1007">
        <v>1187761.6804626531</v>
      </c>
      <c r="E282" s="1704">
        <v>44337</v>
      </c>
      <c r="F282" s="479">
        <v>225320.20907210166</v>
      </c>
      <c r="G282" s="1835">
        <v>0</v>
      </c>
      <c r="H282" s="1838">
        <v>140021.9214900801</v>
      </c>
      <c r="I282" s="1704">
        <v>822120.6942599169</v>
      </c>
      <c r="J282" s="1846">
        <v>0</v>
      </c>
      <c r="K282" s="479">
        <v>44337</v>
      </c>
      <c r="L282" s="1982">
        <f t="shared" si="20"/>
        <v>1006479.615749997</v>
      </c>
      <c r="M282" s="1838">
        <v>55133.512515693583</v>
      </c>
      <c r="N282" s="479">
        <v>98006.651823507316</v>
      </c>
      <c r="O282" s="1704">
        <v>0</v>
      </c>
      <c r="P282" s="479">
        <v>0</v>
      </c>
      <c r="Q282" s="1986">
        <f t="shared" si="21"/>
        <v>153140.16433920088</v>
      </c>
    </row>
    <row r="283" spans="1:17">
      <c r="A283" s="134">
        <v>2015.1</v>
      </c>
      <c r="B283" s="1818">
        <f t="shared" si="22"/>
        <v>807365.62173153902</v>
      </c>
      <c r="C283" s="1822">
        <f t="shared" si="23"/>
        <v>140690.76524141943</v>
      </c>
      <c r="D283" s="1007">
        <v>788839.06923775305</v>
      </c>
      <c r="E283" s="1704">
        <v>101791</v>
      </c>
      <c r="F283" s="479">
        <v>227707.63424986089</v>
      </c>
      <c r="G283" s="1835">
        <v>0</v>
      </c>
      <c r="H283" s="1838">
        <v>236098.30973436453</v>
      </c>
      <c r="I283" s="1704">
        <v>469476.31199717452</v>
      </c>
      <c r="J283" s="1846">
        <v>0</v>
      </c>
      <c r="K283" s="479">
        <v>101791</v>
      </c>
      <c r="L283" s="1982">
        <f t="shared" si="20"/>
        <v>807365.62173153902</v>
      </c>
      <c r="M283" s="1838">
        <v>91535.282883912383</v>
      </c>
      <c r="N283" s="479">
        <v>49155.482357507048</v>
      </c>
      <c r="O283" s="1704">
        <v>0</v>
      </c>
      <c r="P283" s="479">
        <v>0</v>
      </c>
      <c r="Q283" s="1986">
        <f t="shared" si="21"/>
        <v>140690.76524141943</v>
      </c>
    </row>
    <row r="284" spans="1:17">
      <c r="A284" s="134">
        <v>2015.11</v>
      </c>
      <c r="B284" s="1818">
        <f t="shared" si="22"/>
        <v>519440.97532869159</v>
      </c>
      <c r="C284" s="1822">
        <f t="shared" si="23"/>
        <v>16500</v>
      </c>
      <c r="D284" s="1007">
        <v>452737.44146515033</v>
      </c>
      <c r="E284" s="1704">
        <v>110381</v>
      </c>
      <c r="F284" s="479">
        <v>108086.2873063047</v>
      </c>
      <c r="G284" s="1835">
        <v>0</v>
      </c>
      <c r="H284" s="1838">
        <v>119938</v>
      </c>
      <c r="I284" s="1704">
        <v>289121.97532869159</v>
      </c>
      <c r="J284" s="1846">
        <v>0</v>
      </c>
      <c r="K284" s="479">
        <v>110381</v>
      </c>
      <c r="L284" s="1982">
        <f t="shared" si="20"/>
        <v>519440.97532869159</v>
      </c>
      <c r="M284" s="1838">
        <v>16500</v>
      </c>
      <c r="N284" s="479">
        <v>0</v>
      </c>
      <c r="O284" s="1704">
        <v>0</v>
      </c>
      <c r="P284" s="479">
        <v>0</v>
      </c>
      <c r="Q284" s="1986">
        <f t="shared" si="21"/>
        <v>16500</v>
      </c>
    </row>
    <row r="285" spans="1:17">
      <c r="A285" s="134">
        <v>2015.12</v>
      </c>
      <c r="B285" s="1818">
        <f t="shared" si="22"/>
        <v>370771.28711725835</v>
      </c>
      <c r="C285" s="1822">
        <f t="shared" si="23"/>
        <v>46863.921857365523</v>
      </c>
      <c r="D285" s="1007">
        <v>457670.15349147085</v>
      </c>
      <c r="E285" s="1704">
        <v>37767</v>
      </c>
      <c r="F285" s="479">
        <v>43617.866895540588</v>
      </c>
      <c r="G285" s="1835">
        <v>0</v>
      </c>
      <c r="H285" s="1838">
        <v>41848</v>
      </c>
      <c r="I285" s="1704">
        <v>291156.28711725835</v>
      </c>
      <c r="J285" s="1846">
        <v>0</v>
      </c>
      <c r="K285" s="479">
        <v>37767</v>
      </c>
      <c r="L285" s="1982">
        <f t="shared" si="20"/>
        <v>370771.28711725835</v>
      </c>
      <c r="M285" s="1841">
        <v>13300</v>
      </c>
      <c r="N285" s="479">
        <v>33563.921857365523</v>
      </c>
      <c r="O285" s="1704">
        <v>0</v>
      </c>
      <c r="P285" s="479">
        <v>0</v>
      </c>
      <c r="Q285" s="1986">
        <f t="shared" si="21"/>
        <v>46863.921857365523</v>
      </c>
    </row>
    <row r="286" spans="1:17">
      <c r="A286" s="134">
        <f>A274+1</f>
        <v>2016.01</v>
      </c>
      <c r="B286" s="1818">
        <f t="shared" si="22"/>
        <v>1264759.0883399867</v>
      </c>
      <c r="C286" s="1822">
        <f t="shared" si="23"/>
        <v>742086.12253169506</v>
      </c>
      <c r="D286" s="1007">
        <v>1343884.8079278679</v>
      </c>
      <c r="E286" s="1704">
        <v>42999</v>
      </c>
      <c r="F286" s="479">
        <v>1127112.1247328664</v>
      </c>
      <c r="G286" s="1835">
        <v>0</v>
      </c>
      <c r="H286" s="1838">
        <v>453068</v>
      </c>
      <c r="I286" s="1704">
        <v>768692.08833998675</v>
      </c>
      <c r="J286" s="1846">
        <v>0</v>
      </c>
      <c r="K286" s="479">
        <v>42999</v>
      </c>
      <c r="L286" s="1982">
        <f t="shared" si="20"/>
        <v>1264759.0883399867</v>
      </c>
      <c r="M286" s="1838">
        <v>143164</v>
      </c>
      <c r="N286" s="479">
        <v>583952.12253169506</v>
      </c>
      <c r="O286" s="1704">
        <v>0</v>
      </c>
      <c r="P286" s="479">
        <v>14970</v>
      </c>
      <c r="Q286" s="1986">
        <f t="shared" si="21"/>
        <v>742086.12253169506</v>
      </c>
    </row>
    <row r="287" spans="1:17">
      <c r="A287" s="134">
        <f t="shared" ref="A287:A350" si="24">A275+1</f>
        <v>2016.02</v>
      </c>
      <c r="B287" s="1818">
        <f t="shared" si="22"/>
        <v>2082534.651674889</v>
      </c>
      <c r="C287" s="1822">
        <f t="shared" si="23"/>
        <v>383942.59552888054</v>
      </c>
      <c r="D287" s="1007">
        <v>2521613.1518233605</v>
      </c>
      <c r="E287" s="1704">
        <v>0</v>
      </c>
      <c r="F287" s="479">
        <v>1084726.9736799616</v>
      </c>
      <c r="G287" s="1835">
        <v>0</v>
      </c>
      <c r="H287" s="1838">
        <v>953060</v>
      </c>
      <c r="I287" s="1704">
        <v>1129474.651674889</v>
      </c>
      <c r="J287" s="1846">
        <v>0</v>
      </c>
      <c r="K287" s="479">
        <v>0</v>
      </c>
      <c r="L287" s="1982">
        <f t="shared" si="20"/>
        <v>2082534.651674889</v>
      </c>
      <c r="M287" s="1838">
        <v>108519</v>
      </c>
      <c r="N287" s="479">
        <v>275423.59552888054</v>
      </c>
      <c r="O287" s="1704">
        <v>0</v>
      </c>
      <c r="P287" s="479">
        <v>0</v>
      </c>
      <c r="Q287" s="1986">
        <f t="shared" si="21"/>
        <v>383942.59552888054</v>
      </c>
    </row>
    <row r="288" spans="1:17">
      <c r="A288" s="134">
        <f t="shared" si="24"/>
        <v>2016.03</v>
      </c>
      <c r="B288" s="1818">
        <f t="shared" si="22"/>
        <v>2692157.8168854686</v>
      </c>
      <c r="C288" s="1822">
        <f t="shared" si="23"/>
        <v>690280.73516719032</v>
      </c>
      <c r="D288" s="1007">
        <v>3038089.3001133874</v>
      </c>
      <c r="E288" s="1704">
        <v>43998</v>
      </c>
      <c r="F288" s="479">
        <v>1394066.2047160179</v>
      </c>
      <c r="G288" s="1835">
        <v>0</v>
      </c>
      <c r="H288" s="1838">
        <v>956590</v>
      </c>
      <c r="I288" s="1704">
        <v>1691569.8168854686</v>
      </c>
      <c r="J288" s="1846">
        <v>0</v>
      </c>
      <c r="K288" s="479">
        <v>43998</v>
      </c>
      <c r="L288" s="1982">
        <f t="shared" si="20"/>
        <v>2692157.8168854686</v>
      </c>
      <c r="M288" s="1838">
        <v>224794</v>
      </c>
      <c r="N288" s="479">
        <v>465486.73516719032</v>
      </c>
      <c r="O288" s="1704">
        <v>0</v>
      </c>
      <c r="P288" s="479">
        <v>0</v>
      </c>
      <c r="Q288" s="1986">
        <f t="shared" si="21"/>
        <v>690280.73516719032</v>
      </c>
    </row>
    <row r="289" spans="1:18">
      <c r="A289" s="134">
        <f t="shared" si="24"/>
        <v>2016.04</v>
      </c>
      <c r="B289" s="1818">
        <f t="shared" si="22"/>
        <v>1378311.2656571832</v>
      </c>
      <c r="C289" s="1822">
        <f t="shared" si="23"/>
        <v>560324.91217509215</v>
      </c>
      <c r="D289" s="1007">
        <v>1795928.2226735486</v>
      </c>
      <c r="E289" s="1704">
        <v>0</v>
      </c>
      <c r="F289" s="479">
        <v>1031548.4563433327</v>
      </c>
      <c r="G289" s="1835">
        <v>0</v>
      </c>
      <c r="H289" s="1838">
        <v>517016</v>
      </c>
      <c r="I289" s="1704">
        <v>861295.26565718336</v>
      </c>
      <c r="J289" s="1846">
        <v>0</v>
      </c>
      <c r="K289" s="479">
        <v>0</v>
      </c>
      <c r="L289" s="1982">
        <f t="shared" si="20"/>
        <v>1378311.2656571832</v>
      </c>
      <c r="M289" s="1838">
        <v>264354</v>
      </c>
      <c r="N289" s="479">
        <v>295970.91217509221</v>
      </c>
      <c r="O289" s="1704">
        <v>0</v>
      </c>
      <c r="P289" s="479">
        <v>0</v>
      </c>
      <c r="Q289" s="1986">
        <f t="shared" si="21"/>
        <v>560324.91217509215</v>
      </c>
    </row>
    <row r="290" spans="1:18">
      <c r="A290" s="134">
        <f t="shared" si="24"/>
        <v>2016.05</v>
      </c>
      <c r="B290" s="1818">
        <f t="shared" si="22"/>
        <v>1496160.5241534375</v>
      </c>
      <c r="C290" s="1822">
        <f t="shared" si="23"/>
        <v>983619.99405638536</v>
      </c>
      <c r="D290" s="1007">
        <v>1652764.7289970396</v>
      </c>
      <c r="E290" s="1704">
        <v>0</v>
      </c>
      <c r="F290" s="479">
        <v>1263746.7142337612</v>
      </c>
      <c r="G290" s="1835">
        <v>0</v>
      </c>
      <c r="H290" s="1838">
        <v>549851</v>
      </c>
      <c r="I290" s="1704">
        <v>946309.52415343758</v>
      </c>
      <c r="J290" s="1846">
        <v>0</v>
      </c>
      <c r="K290" s="479">
        <v>0</v>
      </c>
      <c r="L290" s="1982">
        <f t="shared" si="20"/>
        <v>1496160.5241534375</v>
      </c>
      <c r="M290" s="1838">
        <v>268011</v>
      </c>
      <c r="N290" s="479">
        <v>715608.99405638536</v>
      </c>
      <c r="O290" s="1704">
        <v>0</v>
      </c>
      <c r="P290" s="479">
        <v>0</v>
      </c>
      <c r="Q290" s="1986">
        <f t="shared" si="21"/>
        <v>983619.99405638536</v>
      </c>
    </row>
    <row r="291" spans="1:18">
      <c r="A291" s="134">
        <f t="shared" si="24"/>
        <v>2016.06</v>
      </c>
      <c r="B291" s="1818">
        <f t="shared" si="22"/>
        <v>1429486.406850908</v>
      </c>
      <c r="C291" s="1822">
        <f t="shared" si="23"/>
        <v>404183.05550639209</v>
      </c>
      <c r="D291" s="1007">
        <v>1583710.7159719022</v>
      </c>
      <c r="E291" s="1704">
        <v>0</v>
      </c>
      <c r="F291" s="479">
        <v>657055.73109264718</v>
      </c>
      <c r="G291" s="1835">
        <v>0</v>
      </c>
      <c r="H291" s="1838">
        <v>462900</v>
      </c>
      <c r="I291" s="1704">
        <v>966586.40685090807</v>
      </c>
      <c r="J291" s="1846">
        <v>0</v>
      </c>
      <c r="K291" s="479">
        <v>0</v>
      </c>
      <c r="L291" s="1982">
        <f t="shared" si="20"/>
        <v>1429486.406850908</v>
      </c>
      <c r="M291" s="1838">
        <v>167585</v>
      </c>
      <c r="N291" s="479">
        <v>236598.05550639209</v>
      </c>
      <c r="O291" s="1704">
        <v>0</v>
      </c>
      <c r="P291" s="479">
        <v>0</v>
      </c>
      <c r="Q291" s="1986">
        <f t="shared" si="21"/>
        <v>404183.05550639209</v>
      </c>
    </row>
    <row r="292" spans="1:18">
      <c r="A292" s="134">
        <f t="shared" si="24"/>
        <v>2016.07</v>
      </c>
      <c r="B292" s="1818">
        <f t="shared" si="22"/>
        <v>1835287.0532030996</v>
      </c>
      <c r="C292" s="1822">
        <f t="shared" si="23"/>
        <v>196405.7394828703</v>
      </c>
      <c r="D292" s="1007">
        <v>2194730.6153972121</v>
      </c>
      <c r="E292" s="1704">
        <v>0</v>
      </c>
      <c r="F292" s="479">
        <v>381674.18524951063</v>
      </c>
      <c r="G292" s="1835">
        <v>0</v>
      </c>
      <c r="H292" s="1838">
        <v>536451</v>
      </c>
      <c r="I292" s="1704">
        <v>1298836.0532030996</v>
      </c>
      <c r="J292" s="1846">
        <v>0</v>
      </c>
      <c r="K292" s="479">
        <v>0</v>
      </c>
      <c r="L292" s="1982">
        <f t="shared" si="20"/>
        <v>1835287.0532030996</v>
      </c>
      <c r="M292" s="1838">
        <v>120143</v>
      </c>
      <c r="N292" s="479">
        <v>76262.739482870296</v>
      </c>
      <c r="O292" s="1704">
        <v>0</v>
      </c>
      <c r="P292" s="479">
        <v>0</v>
      </c>
      <c r="Q292" s="1986">
        <f t="shared" si="21"/>
        <v>196405.7394828703</v>
      </c>
    </row>
    <row r="293" spans="1:18">
      <c r="A293" s="134">
        <f t="shared" si="24"/>
        <v>2016.08</v>
      </c>
      <c r="B293" s="1818">
        <f t="shared" si="22"/>
        <v>3181597.0400949302</v>
      </c>
      <c r="C293" s="1822">
        <f t="shared" si="23"/>
        <v>259176.49292830596</v>
      </c>
      <c r="D293" s="1007">
        <v>3889829.3617679775</v>
      </c>
      <c r="E293" s="1704">
        <v>0</v>
      </c>
      <c r="F293" s="479">
        <v>434599.15164716565</v>
      </c>
      <c r="G293" s="1835">
        <v>0</v>
      </c>
      <c r="H293" s="1838">
        <v>912661</v>
      </c>
      <c r="I293" s="1704">
        <v>2268936.0400949302</v>
      </c>
      <c r="J293" s="1846">
        <v>0</v>
      </c>
      <c r="K293" s="479">
        <v>0</v>
      </c>
      <c r="L293" s="1982">
        <f t="shared" si="20"/>
        <v>3181597.0400949302</v>
      </c>
      <c r="M293" s="1838">
        <v>110694</v>
      </c>
      <c r="N293" s="479">
        <v>148482.49292830596</v>
      </c>
      <c r="O293" s="1704">
        <v>0</v>
      </c>
      <c r="P293" s="479">
        <v>0</v>
      </c>
      <c r="Q293" s="1986">
        <f t="shared" si="21"/>
        <v>259176.49292830596</v>
      </c>
    </row>
    <row r="294" spans="1:18">
      <c r="A294" s="134">
        <f t="shared" si="24"/>
        <v>2016.09</v>
      </c>
      <c r="B294" s="1818">
        <f t="shared" si="22"/>
        <v>1368037.1463030791</v>
      </c>
      <c r="C294" s="1822">
        <f t="shared" si="23"/>
        <v>123251.43414127636</v>
      </c>
      <c r="D294" s="1007">
        <v>1693910.2803667865</v>
      </c>
      <c r="E294" s="1704">
        <v>0</v>
      </c>
      <c r="F294" s="479">
        <v>284741.74437066511</v>
      </c>
      <c r="G294" s="1835">
        <v>0</v>
      </c>
      <c r="H294" s="1838">
        <v>312976</v>
      </c>
      <c r="I294" s="1704">
        <v>1055061.1463030791</v>
      </c>
      <c r="J294" s="1846">
        <v>0</v>
      </c>
      <c r="K294" s="479">
        <v>0</v>
      </c>
      <c r="L294" s="1982">
        <f t="shared" si="20"/>
        <v>1368037.1463030791</v>
      </c>
      <c r="M294" s="1838">
        <v>55954</v>
      </c>
      <c r="N294" s="479">
        <v>67297.434141276361</v>
      </c>
      <c r="O294" s="1704">
        <v>0</v>
      </c>
      <c r="P294" s="479">
        <v>0</v>
      </c>
      <c r="Q294" s="1986">
        <f t="shared" si="21"/>
        <v>123251.43414127636</v>
      </c>
    </row>
    <row r="295" spans="1:18" ht="12.75" customHeight="1">
      <c r="A295" s="134">
        <f t="shared" si="24"/>
        <v>2016.1</v>
      </c>
      <c r="B295" s="1818">
        <f t="shared" si="22"/>
        <v>1253741.5924525452</v>
      </c>
      <c r="C295" s="1822">
        <f t="shared" si="23"/>
        <v>194295.39511388459</v>
      </c>
      <c r="D295" s="1007">
        <v>1723521.1263473374</v>
      </c>
      <c r="E295" s="1704">
        <v>0</v>
      </c>
      <c r="F295" s="479">
        <v>382389.05755627464</v>
      </c>
      <c r="G295" s="1835">
        <v>0</v>
      </c>
      <c r="H295" s="1838">
        <v>475705</v>
      </c>
      <c r="I295" s="1704">
        <v>778036.59245254518</v>
      </c>
      <c r="J295" s="1846">
        <v>0</v>
      </c>
      <c r="K295" s="479">
        <v>0</v>
      </c>
      <c r="L295" s="1982">
        <f t="shared" si="20"/>
        <v>1253741.5924525452</v>
      </c>
      <c r="M295" s="1838">
        <v>87118</v>
      </c>
      <c r="N295" s="479">
        <v>107177.39511388457</v>
      </c>
      <c r="O295" s="1704">
        <v>0</v>
      </c>
      <c r="P295" s="479">
        <v>0</v>
      </c>
      <c r="Q295" s="1986">
        <f t="shared" si="21"/>
        <v>194295.39511388459</v>
      </c>
    </row>
    <row r="296" spans="1:18" ht="12.75" customHeight="1">
      <c r="A296" s="134">
        <f t="shared" si="24"/>
        <v>2016.11</v>
      </c>
      <c r="B296" s="1818">
        <f t="shared" si="22"/>
        <v>897849.95921251376</v>
      </c>
      <c r="C296" s="1822">
        <f t="shared" si="23"/>
        <v>357880.73997811973</v>
      </c>
      <c r="D296" s="1007">
        <v>1255326.3361062282</v>
      </c>
      <c r="E296" s="1704">
        <v>0</v>
      </c>
      <c r="F296" s="479">
        <v>486997.39317485329</v>
      </c>
      <c r="G296" s="1835">
        <v>0</v>
      </c>
      <c r="H296" s="1838">
        <v>249818</v>
      </c>
      <c r="I296" s="1704">
        <v>648031.95921251376</v>
      </c>
      <c r="J296" s="1846">
        <v>0</v>
      </c>
      <c r="K296" s="479">
        <v>0</v>
      </c>
      <c r="L296" s="1982">
        <f t="shared" si="20"/>
        <v>897849.95921251376</v>
      </c>
      <c r="M296" s="1838">
        <v>108450</v>
      </c>
      <c r="N296" s="479">
        <v>249430.7399781197</v>
      </c>
      <c r="O296" s="1704">
        <v>0</v>
      </c>
      <c r="P296" s="479">
        <v>0</v>
      </c>
      <c r="Q296" s="1986">
        <f t="shared" si="21"/>
        <v>357880.73997811973</v>
      </c>
    </row>
    <row r="297" spans="1:18">
      <c r="A297" s="134">
        <f t="shared" si="24"/>
        <v>2016.12</v>
      </c>
      <c r="B297" s="1818">
        <f t="shared" si="22"/>
        <v>564219.45517195924</v>
      </c>
      <c r="C297" s="1822">
        <f t="shared" si="23"/>
        <v>1164948.7833899078</v>
      </c>
      <c r="D297" s="1007">
        <v>874367.35250735132</v>
      </c>
      <c r="E297" s="1704">
        <v>33299</v>
      </c>
      <c r="F297" s="479">
        <v>1584860.2632029434</v>
      </c>
      <c r="G297" s="1835">
        <v>0</v>
      </c>
      <c r="H297" s="1838">
        <v>304560</v>
      </c>
      <c r="I297" s="1704">
        <v>226360.45517195921</v>
      </c>
      <c r="J297" s="1846">
        <v>0</v>
      </c>
      <c r="K297" s="479">
        <v>33299</v>
      </c>
      <c r="L297" s="1982">
        <f t="shared" si="20"/>
        <v>564219.45517195924</v>
      </c>
      <c r="M297" s="1838">
        <v>451125</v>
      </c>
      <c r="N297" s="479">
        <v>713823.78338990768</v>
      </c>
      <c r="O297" s="1704">
        <v>0</v>
      </c>
      <c r="P297" s="479">
        <v>0</v>
      </c>
      <c r="Q297" s="1986">
        <f t="shared" si="21"/>
        <v>1164948.7833899078</v>
      </c>
    </row>
    <row r="298" spans="1:18">
      <c r="A298" s="134">
        <f t="shared" si="24"/>
        <v>2017.01</v>
      </c>
      <c r="B298" s="1818">
        <f t="shared" si="22"/>
        <v>778604.53779191279</v>
      </c>
      <c r="C298" s="1822">
        <f t="shared" si="23"/>
        <v>1535418.8525927218</v>
      </c>
      <c r="D298" s="1007">
        <v>655973.92081640207</v>
      </c>
      <c r="E298" s="1704">
        <v>0</v>
      </c>
      <c r="F298" s="479">
        <v>2532348.3254604423</v>
      </c>
      <c r="G298" s="1835">
        <v>0</v>
      </c>
      <c r="H298" s="1838">
        <v>548914.84072485939</v>
      </c>
      <c r="I298" s="1704">
        <v>229689.69706705341</v>
      </c>
      <c r="J298" s="1846">
        <v>0</v>
      </c>
      <c r="K298" s="479">
        <v>0</v>
      </c>
      <c r="L298" s="1982">
        <f t="shared" si="20"/>
        <v>778604.53779191279</v>
      </c>
      <c r="M298" s="1838">
        <v>280226</v>
      </c>
      <c r="N298" s="479">
        <v>1255192.8525927218</v>
      </c>
      <c r="O298" s="1704">
        <v>0</v>
      </c>
      <c r="P298" s="479">
        <v>0</v>
      </c>
      <c r="Q298" s="1986">
        <f t="shared" si="21"/>
        <v>1535418.8525927218</v>
      </c>
    </row>
    <row r="299" spans="1:18">
      <c r="A299" s="134">
        <f t="shared" si="24"/>
        <v>2017.02</v>
      </c>
      <c r="B299" s="1818">
        <f t="shared" si="22"/>
        <v>375566.50414025929</v>
      </c>
      <c r="C299" s="1822">
        <f t="shared" si="23"/>
        <v>1238385.1474072782</v>
      </c>
      <c r="D299" s="1007">
        <v>210407.83544042148</v>
      </c>
      <c r="E299" s="1704">
        <v>0</v>
      </c>
      <c r="F299" s="479">
        <v>1837583.6928307384</v>
      </c>
      <c r="G299" s="1835">
        <v>0</v>
      </c>
      <c r="H299" s="1838">
        <v>270570.19595789979</v>
      </c>
      <c r="I299" s="1704">
        <v>104996.3081823595</v>
      </c>
      <c r="J299" s="1846">
        <v>0</v>
      </c>
      <c r="K299" s="479">
        <v>0</v>
      </c>
      <c r="L299" s="1982">
        <f t="shared" si="20"/>
        <v>375566.50414025929</v>
      </c>
      <c r="M299" s="1838">
        <v>350865</v>
      </c>
      <c r="N299" s="479">
        <v>887520.14740727819</v>
      </c>
      <c r="O299" s="1704">
        <v>0</v>
      </c>
      <c r="P299" s="479">
        <v>0</v>
      </c>
      <c r="Q299" s="1986">
        <f t="shared" si="21"/>
        <v>1238385.1474072782</v>
      </c>
    </row>
    <row r="300" spans="1:18">
      <c r="A300" s="134">
        <f t="shared" si="24"/>
        <v>2017.03</v>
      </c>
      <c r="B300" s="1818">
        <f t="shared" si="22"/>
        <v>1255257.0678425778</v>
      </c>
      <c r="C300" s="1822">
        <f t="shared" si="23"/>
        <v>689902.70109174412</v>
      </c>
      <c r="D300" s="1007">
        <v>2095301.4552554123</v>
      </c>
      <c r="E300" s="1704">
        <v>0</v>
      </c>
      <c r="F300" s="479">
        <v>1242756.4784138426</v>
      </c>
      <c r="G300" s="1835">
        <v>0</v>
      </c>
      <c r="H300" s="1838">
        <v>61719.963317240894</v>
      </c>
      <c r="I300" s="1704">
        <v>1193537.104525337</v>
      </c>
      <c r="J300" s="1846">
        <v>0</v>
      </c>
      <c r="K300" s="479">
        <v>0</v>
      </c>
      <c r="L300" s="1982">
        <f t="shared" si="20"/>
        <v>1255257.0678425778</v>
      </c>
      <c r="M300" s="1838">
        <v>163650</v>
      </c>
      <c r="N300" s="479">
        <v>526252.70109174412</v>
      </c>
      <c r="O300" s="1704">
        <v>0</v>
      </c>
      <c r="P300" s="479">
        <v>0</v>
      </c>
      <c r="Q300" s="1986">
        <f t="shared" si="21"/>
        <v>689902.70109174412</v>
      </c>
    </row>
    <row r="301" spans="1:18">
      <c r="A301" s="134">
        <f>A289+1</f>
        <v>2017.04</v>
      </c>
      <c r="B301" s="1818">
        <f t="shared" si="22"/>
        <v>2819808.4419844528</v>
      </c>
      <c r="C301" s="1822">
        <f t="shared" si="23"/>
        <v>621384.29881124105</v>
      </c>
      <c r="D301" s="1007">
        <v>3357364.9984561997</v>
      </c>
      <c r="E301" s="1704">
        <v>0</v>
      </c>
      <c r="F301" s="479">
        <v>833961.09171336808</v>
      </c>
      <c r="G301" s="1835">
        <v>0</v>
      </c>
      <c r="H301" s="1838">
        <v>814984</v>
      </c>
      <c r="I301" s="1704">
        <v>2004824.4419844528</v>
      </c>
      <c r="J301" s="1846">
        <v>0</v>
      </c>
      <c r="K301" s="479">
        <v>0</v>
      </c>
      <c r="L301" s="1982">
        <f t="shared" si="20"/>
        <v>2819808.4419844528</v>
      </c>
      <c r="M301" s="1838">
        <v>183198</v>
      </c>
      <c r="N301" s="479">
        <v>438186.29881124099</v>
      </c>
      <c r="O301" s="1704">
        <v>0</v>
      </c>
      <c r="P301" s="479">
        <v>0</v>
      </c>
      <c r="Q301" s="1986">
        <f t="shared" si="21"/>
        <v>621384.29881124105</v>
      </c>
    </row>
    <row r="302" spans="1:18">
      <c r="A302" s="134">
        <f t="shared" si="24"/>
        <v>2017.05</v>
      </c>
      <c r="B302" s="1818">
        <f t="shared" si="22"/>
        <v>1713002.0726953412</v>
      </c>
      <c r="C302" s="1822">
        <f t="shared" si="23"/>
        <v>128254.01770072822</v>
      </c>
      <c r="D302" s="1007">
        <v>2135879.2826290131</v>
      </c>
      <c r="E302" s="1704">
        <v>0</v>
      </c>
      <c r="F302" s="479">
        <v>417599.77334042371</v>
      </c>
      <c r="G302" s="1835">
        <v>0</v>
      </c>
      <c r="H302" s="1838">
        <v>649692</v>
      </c>
      <c r="I302" s="1704">
        <v>1063310.0726953412</v>
      </c>
      <c r="J302" s="1846">
        <v>0</v>
      </c>
      <c r="K302" s="479">
        <v>0</v>
      </c>
      <c r="L302" s="1982">
        <f t="shared" si="20"/>
        <v>1713002.0726953412</v>
      </c>
      <c r="M302" s="1838">
        <v>64383</v>
      </c>
      <c r="N302" s="479">
        <v>63871.017700728218</v>
      </c>
      <c r="O302" s="1704">
        <v>0</v>
      </c>
      <c r="P302" s="479">
        <v>0</v>
      </c>
      <c r="Q302" s="1986">
        <f t="shared" si="21"/>
        <v>128254.01770072822</v>
      </c>
      <c r="R302" s="479"/>
    </row>
    <row r="303" spans="1:18">
      <c r="A303" s="134">
        <f t="shared" si="24"/>
        <v>2017.06</v>
      </c>
      <c r="B303" s="1818">
        <f t="shared" si="22"/>
        <v>1579274.0532464588</v>
      </c>
      <c r="C303" s="1822">
        <f t="shared" si="23"/>
        <v>219533.66279502897</v>
      </c>
      <c r="D303" s="1007">
        <v>2011891.1708850418</v>
      </c>
      <c r="E303" s="1704">
        <v>0</v>
      </c>
      <c r="F303" s="479">
        <v>429218.74704386765</v>
      </c>
      <c r="G303" s="1835">
        <v>0</v>
      </c>
      <c r="H303" s="1838">
        <v>611865</v>
      </c>
      <c r="I303" s="1704">
        <v>967409.05324645876</v>
      </c>
      <c r="J303" s="1846">
        <v>0</v>
      </c>
      <c r="K303" s="479">
        <v>0</v>
      </c>
      <c r="L303" s="1982">
        <f t="shared" si="20"/>
        <v>1579274.0532464588</v>
      </c>
      <c r="M303" s="1838">
        <v>155360</v>
      </c>
      <c r="N303" s="479">
        <v>64173.662795028962</v>
      </c>
      <c r="O303" s="1704">
        <v>0</v>
      </c>
      <c r="P303" s="479">
        <v>0</v>
      </c>
      <c r="Q303" s="1986">
        <f t="shared" si="21"/>
        <v>219533.66279502897</v>
      </c>
    </row>
    <row r="304" spans="1:18">
      <c r="A304" s="134">
        <f t="shared" si="24"/>
        <v>2017.07</v>
      </c>
      <c r="B304" s="1818">
        <f t="shared" si="22"/>
        <v>2686598.0845672088</v>
      </c>
      <c r="C304" s="1822">
        <f t="shared" si="23"/>
        <v>310220.72242595418</v>
      </c>
      <c r="D304" s="1007">
        <v>3408657.3616412235</v>
      </c>
      <c r="E304" s="1704">
        <v>0</v>
      </c>
      <c r="F304" s="479">
        <v>637787.30232072575</v>
      </c>
      <c r="G304" s="1835">
        <v>0</v>
      </c>
      <c r="H304" s="1838">
        <v>911379</v>
      </c>
      <c r="I304" s="1704">
        <v>1775219.084567209</v>
      </c>
      <c r="J304" s="1846">
        <v>0</v>
      </c>
      <c r="K304" s="479">
        <v>0</v>
      </c>
      <c r="L304" s="1982">
        <f t="shared" si="20"/>
        <v>2686598.0845672088</v>
      </c>
      <c r="M304" s="1838">
        <v>151817</v>
      </c>
      <c r="N304" s="479">
        <v>158403.72242595421</v>
      </c>
      <c r="O304" s="1704">
        <v>0</v>
      </c>
      <c r="P304" s="479">
        <v>0</v>
      </c>
      <c r="Q304" s="1986">
        <f t="shared" si="21"/>
        <v>310220.72242595418</v>
      </c>
    </row>
    <row r="305" spans="1:19">
      <c r="A305" s="134">
        <f t="shared" si="24"/>
        <v>2017.08</v>
      </c>
      <c r="B305" s="1818">
        <f t="shared" si="22"/>
        <v>1931619.039851842</v>
      </c>
      <c r="C305" s="1822">
        <f t="shared" si="23"/>
        <v>311435.16234561946</v>
      </c>
      <c r="D305" s="1007">
        <v>2357702.0416359999</v>
      </c>
      <c r="E305" s="1704">
        <v>0</v>
      </c>
      <c r="F305" s="479">
        <v>646962.29736124875</v>
      </c>
      <c r="G305" s="1835">
        <v>0</v>
      </c>
      <c r="H305" s="1838">
        <v>637607</v>
      </c>
      <c r="I305" s="1704">
        <v>1294012.039851842</v>
      </c>
      <c r="J305" s="1846">
        <v>0</v>
      </c>
      <c r="K305" s="479">
        <v>0</v>
      </c>
      <c r="L305" s="1982">
        <f t="shared" si="20"/>
        <v>1931619.039851842</v>
      </c>
      <c r="M305" s="1838">
        <v>226139</v>
      </c>
      <c r="N305" s="479">
        <v>85296.162345619465</v>
      </c>
      <c r="O305" s="1704">
        <v>0</v>
      </c>
      <c r="P305" s="479">
        <v>0</v>
      </c>
      <c r="Q305" s="1986">
        <f t="shared" si="21"/>
        <v>311435.16234561946</v>
      </c>
    </row>
    <row r="306" spans="1:19">
      <c r="A306" s="134">
        <f t="shared" si="24"/>
        <v>2017.09</v>
      </c>
      <c r="B306" s="1818">
        <f t="shared" si="22"/>
        <v>1455508.1094362014</v>
      </c>
      <c r="C306" s="1822">
        <f t="shared" si="23"/>
        <v>358079.66771997628</v>
      </c>
      <c r="D306" s="1007">
        <v>1949616.4318668444</v>
      </c>
      <c r="E306" s="1704">
        <v>0</v>
      </c>
      <c r="F306" s="479">
        <v>521442.77122632507</v>
      </c>
      <c r="G306" s="1835">
        <v>0</v>
      </c>
      <c r="H306" s="1838">
        <v>433765</v>
      </c>
      <c r="I306" s="1704">
        <v>1021743.1094362015</v>
      </c>
      <c r="J306" s="1846">
        <v>0</v>
      </c>
      <c r="K306" s="479">
        <v>0</v>
      </c>
      <c r="L306" s="1982">
        <f t="shared" si="20"/>
        <v>1455508.1094362014</v>
      </c>
      <c r="M306" s="1838">
        <v>254015</v>
      </c>
      <c r="N306" s="479">
        <v>104064.66771997631</v>
      </c>
      <c r="O306" s="1704">
        <v>0</v>
      </c>
      <c r="P306" s="479">
        <v>0</v>
      </c>
      <c r="Q306" s="1986">
        <f t="shared" si="21"/>
        <v>358079.66771997628</v>
      </c>
    </row>
    <row r="307" spans="1:19">
      <c r="A307" s="134">
        <f t="shared" si="24"/>
        <v>2017.1</v>
      </c>
      <c r="B307" s="1818">
        <f t="shared" si="22"/>
        <v>1454800.8716986224</v>
      </c>
      <c r="C307" s="1822">
        <f t="shared" si="23"/>
        <v>229702.54600611827</v>
      </c>
      <c r="D307" s="1007">
        <v>1717758.154876173</v>
      </c>
      <c r="E307" s="1704">
        <v>0</v>
      </c>
      <c r="F307" s="479">
        <v>591342.94443061634</v>
      </c>
      <c r="G307" s="1835">
        <v>0</v>
      </c>
      <c r="H307" s="1838">
        <v>610598</v>
      </c>
      <c r="I307" s="1704">
        <v>844202.87169862236</v>
      </c>
      <c r="J307" s="1846">
        <v>0</v>
      </c>
      <c r="K307" s="479">
        <v>0</v>
      </c>
      <c r="L307" s="1982">
        <f t="shared" si="20"/>
        <v>1454800.8716986224</v>
      </c>
      <c r="M307" s="1838">
        <v>124486</v>
      </c>
      <c r="N307" s="479">
        <v>105216.54600611827</v>
      </c>
      <c r="O307" s="1704">
        <v>0</v>
      </c>
      <c r="P307" s="479">
        <v>0</v>
      </c>
      <c r="Q307" s="1986">
        <f t="shared" si="21"/>
        <v>229702.54600611827</v>
      </c>
    </row>
    <row r="308" spans="1:19">
      <c r="A308" s="134">
        <f t="shared" si="24"/>
        <v>2017.11</v>
      </c>
      <c r="B308" s="1818">
        <f t="shared" ref="B308:B319" si="25">L308</f>
        <v>1313646.8573798519</v>
      </c>
      <c r="C308" s="1822">
        <f t="shared" ref="C308:C319" si="26">Q308</f>
        <v>601215.05885435676</v>
      </c>
      <c r="D308" s="1007">
        <v>1655381.8663281777</v>
      </c>
      <c r="E308" s="1704">
        <v>0</v>
      </c>
      <c r="F308" s="479">
        <v>871614.26635739149</v>
      </c>
      <c r="G308" s="1835">
        <v>0</v>
      </c>
      <c r="H308" s="1838">
        <v>568901</v>
      </c>
      <c r="I308" s="1704">
        <v>744745.85737985186</v>
      </c>
      <c r="J308" s="1846">
        <v>0</v>
      </c>
      <c r="K308" s="479">
        <v>0</v>
      </c>
      <c r="L308" s="1982">
        <f t="shared" si="20"/>
        <v>1313646.8573798519</v>
      </c>
      <c r="M308" s="1838">
        <v>332881</v>
      </c>
      <c r="N308" s="479">
        <v>268334.05885435676</v>
      </c>
      <c r="O308" s="1704">
        <v>0</v>
      </c>
      <c r="P308" s="479">
        <v>0</v>
      </c>
      <c r="Q308" s="1986">
        <f t="shared" si="21"/>
        <v>601215.05885435676</v>
      </c>
    </row>
    <row r="309" spans="1:19">
      <c r="A309" s="134">
        <f t="shared" si="24"/>
        <v>2017.12</v>
      </c>
      <c r="B309" s="1818">
        <f t="shared" si="25"/>
        <v>1114635.3593652709</v>
      </c>
      <c r="C309" s="1822">
        <f t="shared" si="26"/>
        <v>1422328.1622492326</v>
      </c>
      <c r="D309" s="1007">
        <v>1462163.4801690904</v>
      </c>
      <c r="E309" s="1704">
        <v>0</v>
      </c>
      <c r="F309" s="479">
        <v>1858471.3095010098</v>
      </c>
      <c r="G309" s="1835">
        <v>0</v>
      </c>
      <c r="H309" s="1838">
        <v>494814</v>
      </c>
      <c r="I309" s="1704">
        <v>619821.35936527094</v>
      </c>
      <c r="J309" s="1846">
        <v>0</v>
      </c>
      <c r="K309" s="479">
        <v>0</v>
      </c>
      <c r="L309" s="1982">
        <f t="shared" si="20"/>
        <v>1114635.3593652709</v>
      </c>
      <c r="M309" s="1838">
        <v>328877</v>
      </c>
      <c r="N309" s="479">
        <v>1093451.1622492326</v>
      </c>
      <c r="O309" s="1704">
        <v>0</v>
      </c>
      <c r="P309" s="479">
        <v>0</v>
      </c>
      <c r="Q309" s="1986">
        <f t="shared" si="21"/>
        <v>1422328.1622492326</v>
      </c>
    </row>
    <row r="310" spans="1:19">
      <c r="A310" s="134">
        <f t="shared" si="24"/>
        <v>2018.01</v>
      </c>
      <c r="B310" s="1818">
        <f t="shared" si="25"/>
        <v>1174660</v>
      </c>
      <c r="C310" s="1822">
        <f t="shared" si="26"/>
        <v>864369</v>
      </c>
      <c r="D310" s="1007">
        <v>1458951</v>
      </c>
      <c r="E310" s="1704">
        <v>13321</v>
      </c>
      <c r="F310" s="479">
        <v>1702865</v>
      </c>
      <c r="G310" s="1835">
        <v>0</v>
      </c>
      <c r="H310" s="1838">
        <v>782284</v>
      </c>
      <c r="I310" s="1704">
        <v>379055</v>
      </c>
      <c r="J310" s="1846">
        <v>0</v>
      </c>
      <c r="K310" s="479">
        <v>13321</v>
      </c>
      <c r="L310" s="1982">
        <f t="shared" si="20"/>
        <v>1174660</v>
      </c>
      <c r="M310" s="1838">
        <v>386968</v>
      </c>
      <c r="N310" s="479">
        <v>477401</v>
      </c>
      <c r="O310" s="1704">
        <v>0</v>
      </c>
      <c r="P310" s="479">
        <v>0</v>
      </c>
      <c r="Q310" s="1986">
        <f t="shared" si="21"/>
        <v>864369</v>
      </c>
    </row>
    <row r="311" spans="1:19">
      <c r="A311" s="134">
        <f>A299+1</f>
        <v>2018.02</v>
      </c>
      <c r="B311" s="1818">
        <f t="shared" si="25"/>
        <v>1319976</v>
      </c>
      <c r="C311" s="1822">
        <f t="shared" si="26"/>
        <v>758915</v>
      </c>
      <c r="D311" s="1823">
        <v>1592089</v>
      </c>
      <c r="E311" s="1704">
        <v>0</v>
      </c>
      <c r="F311" s="1829">
        <v>1226473</v>
      </c>
      <c r="G311" s="1835">
        <v>0</v>
      </c>
      <c r="H311" s="1838">
        <v>821297</v>
      </c>
      <c r="I311" s="1704">
        <v>498679</v>
      </c>
      <c r="J311" s="1846">
        <v>0</v>
      </c>
      <c r="K311" s="479">
        <v>0</v>
      </c>
      <c r="L311" s="1982">
        <f t="shared" si="20"/>
        <v>1319976</v>
      </c>
      <c r="M311" s="1838">
        <v>233057</v>
      </c>
      <c r="N311" s="479">
        <v>525858</v>
      </c>
      <c r="O311" s="1704">
        <v>0</v>
      </c>
      <c r="P311" s="479">
        <v>0</v>
      </c>
      <c r="Q311" s="1986">
        <f t="shared" si="21"/>
        <v>758915</v>
      </c>
    </row>
    <row r="312" spans="1:19">
      <c r="A312" s="134">
        <f t="shared" si="24"/>
        <v>2018.03</v>
      </c>
      <c r="B312" s="1818">
        <f t="shared" si="25"/>
        <v>2207747</v>
      </c>
      <c r="C312" s="1822">
        <f t="shared" si="26"/>
        <v>1058922</v>
      </c>
      <c r="D312" s="1823">
        <v>2574118</v>
      </c>
      <c r="E312" s="1704">
        <v>31607</v>
      </c>
      <c r="F312" s="1829">
        <v>1546165</v>
      </c>
      <c r="G312" s="1835">
        <v>0</v>
      </c>
      <c r="H312" s="1838">
        <v>985125</v>
      </c>
      <c r="I312" s="1704">
        <v>1191015</v>
      </c>
      <c r="J312" s="1846">
        <v>0</v>
      </c>
      <c r="K312" s="479">
        <v>31607</v>
      </c>
      <c r="L312" s="1982">
        <f t="shared" si="20"/>
        <v>2207747</v>
      </c>
      <c r="M312" s="1838">
        <v>314672</v>
      </c>
      <c r="N312" s="479">
        <v>744250</v>
      </c>
      <c r="O312" s="1704">
        <v>0</v>
      </c>
      <c r="P312" s="479">
        <v>0</v>
      </c>
      <c r="Q312" s="1986">
        <f t="shared" si="21"/>
        <v>1058922</v>
      </c>
    </row>
    <row r="313" spans="1:19">
      <c r="A313" s="134">
        <f t="shared" si="24"/>
        <v>2018.04</v>
      </c>
      <c r="B313" s="1818">
        <f t="shared" si="25"/>
        <v>2211422</v>
      </c>
      <c r="C313" s="1822">
        <f t="shared" si="26"/>
        <v>1497640</v>
      </c>
      <c r="D313" s="1823">
        <v>2559495</v>
      </c>
      <c r="E313" s="1704">
        <v>0</v>
      </c>
      <c r="F313" s="479">
        <v>1863928</v>
      </c>
      <c r="G313" s="1835">
        <v>0</v>
      </c>
      <c r="H313" s="1838">
        <v>946664</v>
      </c>
      <c r="I313" s="1704">
        <v>1264758</v>
      </c>
      <c r="J313" s="1846">
        <v>0</v>
      </c>
      <c r="K313" s="479">
        <v>0</v>
      </c>
      <c r="L313" s="1982">
        <f t="shared" si="20"/>
        <v>2211422</v>
      </c>
      <c r="M313" s="1838">
        <v>83734</v>
      </c>
      <c r="N313" s="479">
        <v>1413906</v>
      </c>
      <c r="O313" s="1704">
        <v>0</v>
      </c>
      <c r="P313" s="479">
        <v>0</v>
      </c>
      <c r="Q313" s="1986">
        <f t="shared" si="21"/>
        <v>1497640</v>
      </c>
    </row>
    <row r="314" spans="1:19">
      <c r="A314" s="134">
        <f t="shared" si="24"/>
        <v>2018.05</v>
      </c>
      <c r="B314" s="1818">
        <f t="shared" si="25"/>
        <v>1493218</v>
      </c>
      <c r="C314" s="1822">
        <f t="shared" si="26"/>
        <v>317709</v>
      </c>
      <c r="D314" s="1007">
        <v>1714744</v>
      </c>
      <c r="E314" s="1704">
        <v>0</v>
      </c>
      <c r="F314" s="479">
        <v>561926</v>
      </c>
      <c r="G314" s="1835">
        <v>0</v>
      </c>
      <c r="H314" s="1838">
        <v>668264</v>
      </c>
      <c r="I314" s="1704">
        <v>824954</v>
      </c>
      <c r="J314" s="1846">
        <v>0</v>
      </c>
      <c r="K314" s="479">
        <v>0</v>
      </c>
      <c r="L314" s="1982">
        <f t="shared" si="20"/>
        <v>1493218</v>
      </c>
      <c r="M314" s="1838">
        <v>134245</v>
      </c>
      <c r="N314" s="479">
        <v>183464</v>
      </c>
      <c r="O314" s="1704">
        <v>0</v>
      </c>
      <c r="P314" s="479">
        <v>0</v>
      </c>
      <c r="Q314" s="1986">
        <f t="shared" si="21"/>
        <v>317709</v>
      </c>
    </row>
    <row r="315" spans="1:19">
      <c r="A315" s="134">
        <f t="shared" si="24"/>
        <v>2018.06</v>
      </c>
      <c r="B315" s="1818">
        <f t="shared" si="25"/>
        <v>1531599</v>
      </c>
      <c r="C315" s="1822">
        <f t="shared" si="26"/>
        <v>186549</v>
      </c>
      <c r="D315" s="1007">
        <v>1693413</v>
      </c>
      <c r="E315" s="1704">
        <v>0</v>
      </c>
      <c r="F315" s="479">
        <v>390022</v>
      </c>
      <c r="G315" s="1835">
        <v>0</v>
      </c>
      <c r="H315" s="1838">
        <v>782945</v>
      </c>
      <c r="I315" s="1704">
        <v>748654</v>
      </c>
      <c r="J315" s="1846">
        <v>0</v>
      </c>
      <c r="K315" s="479">
        <v>0</v>
      </c>
      <c r="L315" s="1982">
        <f t="shared" si="20"/>
        <v>1531599</v>
      </c>
      <c r="M315" s="1838">
        <v>127439</v>
      </c>
      <c r="N315" s="479">
        <v>59110</v>
      </c>
      <c r="O315" s="1704">
        <v>0</v>
      </c>
      <c r="P315" s="479">
        <v>0</v>
      </c>
      <c r="Q315" s="1986">
        <f t="shared" si="21"/>
        <v>186549</v>
      </c>
    </row>
    <row r="316" spans="1:19">
      <c r="A316" s="134">
        <f t="shared" si="24"/>
        <v>2018.07</v>
      </c>
      <c r="B316" s="1818">
        <f t="shared" si="25"/>
        <v>1765837</v>
      </c>
      <c r="C316" s="1822">
        <f t="shared" si="26"/>
        <v>176570</v>
      </c>
      <c r="D316" s="1007">
        <v>2091711</v>
      </c>
      <c r="E316" s="1704">
        <v>0</v>
      </c>
      <c r="F316" s="479">
        <v>405157</v>
      </c>
      <c r="G316" s="1835">
        <v>0</v>
      </c>
      <c r="H316" s="1838">
        <v>860778</v>
      </c>
      <c r="I316" s="1704">
        <v>905059</v>
      </c>
      <c r="J316" s="1846">
        <v>0</v>
      </c>
      <c r="K316" s="479">
        <v>0</v>
      </c>
      <c r="L316" s="1982">
        <f t="shared" si="20"/>
        <v>1765837</v>
      </c>
      <c r="M316" s="1838">
        <v>116250</v>
      </c>
      <c r="N316" s="479">
        <v>60320</v>
      </c>
      <c r="O316" s="1704">
        <v>0</v>
      </c>
      <c r="P316" s="479">
        <v>0</v>
      </c>
      <c r="Q316" s="1986">
        <f t="shared" si="21"/>
        <v>176570</v>
      </c>
    </row>
    <row r="317" spans="1:19">
      <c r="A317" s="134">
        <f t="shared" si="24"/>
        <v>2018.08</v>
      </c>
      <c r="B317" s="1818">
        <f t="shared" si="25"/>
        <v>1219507</v>
      </c>
      <c r="C317" s="1822">
        <f t="shared" si="26"/>
        <v>292312</v>
      </c>
      <c r="D317" s="1007">
        <v>1810476</v>
      </c>
      <c r="E317" s="1704">
        <v>0</v>
      </c>
      <c r="F317" s="479">
        <v>483162</v>
      </c>
      <c r="G317" s="1835">
        <v>0</v>
      </c>
      <c r="H317" s="1838">
        <v>588823</v>
      </c>
      <c r="I317" s="1704">
        <v>630684</v>
      </c>
      <c r="J317" s="1846">
        <v>0</v>
      </c>
      <c r="K317" s="479">
        <v>0</v>
      </c>
      <c r="L317" s="1982">
        <f t="shared" si="20"/>
        <v>1219507</v>
      </c>
      <c r="M317" s="1838">
        <v>171861</v>
      </c>
      <c r="N317" s="479">
        <v>120451</v>
      </c>
      <c r="O317" s="1704">
        <v>0</v>
      </c>
      <c r="P317" s="479">
        <v>0</v>
      </c>
      <c r="Q317" s="1986">
        <f t="shared" si="21"/>
        <v>292312</v>
      </c>
    </row>
    <row r="318" spans="1:19">
      <c r="A318" s="134">
        <f t="shared" si="24"/>
        <v>2018.09</v>
      </c>
      <c r="B318" s="1818">
        <f t="shared" si="25"/>
        <v>1126261</v>
      </c>
      <c r="C318" s="1822">
        <f t="shared" si="26"/>
        <v>243970</v>
      </c>
      <c r="D318" s="1007">
        <v>1487294</v>
      </c>
      <c r="E318" s="1704">
        <v>0</v>
      </c>
      <c r="F318" s="479">
        <v>390538</v>
      </c>
      <c r="G318" s="1835">
        <v>0</v>
      </c>
      <c r="H318" s="1838">
        <v>715363</v>
      </c>
      <c r="I318" s="1704">
        <v>410898</v>
      </c>
      <c r="J318" s="1846">
        <v>0</v>
      </c>
      <c r="K318" s="479">
        <v>0</v>
      </c>
      <c r="L318" s="1982">
        <f t="shared" si="20"/>
        <v>1126261</v>
      </c>
      <c r="M318" s="1838">
        <v>158380</v>
      </c>
      <c r="N318" s="479">
        <v>85590</v>
      </c>
      <c r="O318" s="1704">
        <v>0</v>
      </c>
      <c r="P318" s="479">
        <v>0</v>
      </c>
      <c r="Q318" s="1986">
        <f t="shared" si="21"/>
        <v>243970</v>
      </c>
      <c r="S318" s="962"/>
    </row>
    <row r="319" spans="1:19">
      <c r="A319" s="134">
        <f t="shared" si="24"/>
        <v>2018.1</v>
      </c>
      <c r="B319" s="1818">
        <f t="shared" si="25"/>
        <v>1329913</v>
      </c>
      <c r="C319" s="1822">
        <f t="shared" si="26"/>
        <v>170145</v>
      </c>
      <c r="D319" s="1007">
        <v>1835572</v>
      </c>
      <c r="E319" s="1704">
        <v>72546</v>
      </c>
      <c r="F319" s="479">
        <v>308365</v>
      </c>
      <c r="G319" s="1835">
        <v>0</v>
      </c>
      <c r="H319" s="1838">
        <v>715476</v>
      </c>
      <c r="I319" s="1704">
        <f>516891+25000</f>
        <v>541891</v>
      </c>
      <c r="J319" s="1846">
        <v>0</v>
      </c>
      <c r="K319" s="479">
        <v>72546</v>
      </c>
      <c r="L319" s="1982">
        <f t="shared" si="20"/>
        <v>1329913</v>
      </c>
      <c r="M319" s="1838">
        <v>139015</v>
      </c>
      <c r="N319" s="479">
        <v>31130</v>
      </c>
      <c r="O319" s="1704">
        <v>0</v>
      </c>
      <c r="P319" s="479">
        <v>0</v>
      </c>
      <c r="Q319" s="1986">
        <f t="shared" si="21"/>
        <v>170145</v>
      </c>
    </row>
    <row r="320" spans="1:19">
      <c r="A320" s="134">
        <f t="shared" si="24"/>
        <v>2018.11</v>
      </c>
      <c r="B320" s="1818">
        <f t="shared" si="22"/>
        <v>753459</v>
      </c>
      <c r="C320" s="1822">
        <f t="shared" si="23"/>
        <v>428016</v>
      </c>
      <c r="D320" s="1007">
        <v>1000989</v>
      </c>
      <c r="E320" s="1704">
        <v>75227</v>
      </c>
      <c r="F320" s="479">
        <v>498714</v>
      </c>
      <c r="G320" s="1835">
        <v>0</v>
      </c>
      <c r="H320" s="1838">
        <v>331894</v>
      </c>
      <c r="I320" s="1704">
        <v>379100</v>
      </c>
      <c r="J320" s="1846">
        <v>0</v>
      </c>
      <c r="K320" s="479">
        <v>42465</v>
      </c>
      <c r="L320" s="1982">
        <f t="shared" si="20"/>
        <v>753459</v>
      </c>
      <c r="M320" s="1838">
        <v>309276</v>
      </c>
      <c r="N320" s="479">
        <v>118740</v>
      </c>
      <c r="O320" s="1704">
        <v>0</v>
      </c>
      <c r="P320" s="479">
        <v>0</v>
      </c>
      <c r="Q320" s="1986">
        <f t="shared" si="21"/>
        <v>428016</v>
      </c>
      <c r="S320" s="962"/>
    </row>
    <row r="321" spans="1:21">
      <c r="A321" s="134">
        <f>A309+1</f>
        <v>2018.12</v>
      </c>
      <c r="B321" s="1818">
        <f t="shared" si="22"/>
        <v>1079810</v>
      </c>
      <c r="C321" s="1822">
        <f t="shared" si="23"/>
        <v>1366755</v>
      </c>
      <c r="D321" s="1007">
        <v>1291567</v>
      </c>
      <c r="E321" s="1704">
        <v>98011</v>
      </c>
      <c r="F321" s="479">
        <v>1734305</v>
      </c>
      <c r="G321" s="1835">
        <v>0</v>
      </c>
      <c r="H321" s="1838">
        <v>624517</v>
      </c>
      <c r="I321" s="1704">
        <v>357282</v>
      </c>
      <c r="J321" s="1846">
        <v>0</v>
      </c>
      <c r="K321" s="479">
        <v>98011</v>
      </c>
      <c r="L321" s="1982">
        <f t="shared" si="20"/>
        <v>1079810</v>
      </c>
      <c r="M321" s="1838">
        <v>553728</v>
      </c>
      <c r="N321" s="479">
        <v>813027</v>
      </c>
      <c r="O321" s="1704">
        <v>0</v>
      </c>
      <c r="P321" s="479">
        <v>0</v>
      </c>
      <c r="Q321" s="1986">
        <f t="shared" si="21"/>
        <v>1366755</v>
      </c>
      <c r="S321" s="962"/>
      <c r="T321" s="962"/>
      <c r="U321" s="963"/>
    </row>
    <row r="322" spans="1:21">
      <c r="A322" s="134">
        <f t="shared" si="24"/>
        <v>2019.01</v>
      </c>
      <c r="B322" s="1818">
        <f t="shared" si="22"/>
        <v>910112</v>
      </c>
      <c r="C322" s="1822">
        <f t="shared" si="23"/>
        <v>1265725</v>
      </c>
      <c r="D322" s="1007">
        <v>961773</v>
      </c>
      <c r="E322" s="1704">
        <v>64057</v>
      </c>
      <c r="F322" s="479">
        <v>2178450</v>
      </c>
      <c r="G322" s="1835">
        <v>0</v>
      </c>
      <c r="H322" s="1838">
        <v>677245</v>
      </c>
      <c r="I322" s="1704">
        <v>168810</v>
      </c>
      <c r="J322" s="1846">
        <v>0</v>
      </c>
      <c r="K322" s="479">
        <v>64057</v>
      </c>
      <c r="L322" s="1982">
        <f t="shared" si="20"/>
        <v>910112</v>
      </c>
      <c r="M322" s="1838">
        <v>577755</v>
      </c>
      <c r="N322" s="479">
        <v>687970</v>
      </c>
      <c r="O322" s="1704">
        <v>0</v>
      </c>
      <c r="P322" s="479">
        <v>0</v>
      </c>
      <c r="Q322" s="1986">
        <f t="shared" si="21"/>
        <v>1265725</v>
      </c>
    </row>
    <row r="323" spans="1:21">
      <c r="A323" s="134">
        <f t="shared" si="24"/>
        <v>2019.02</v>
      </c>
      <c r="B323" s="1818">
        <f t="shared" si="22"/>
        <v>913847</v>
      </c>
      <c r="C323" s="1822">
        <f t="shared" si="23"/>
        <v>876459</v>
      </c>
      <c r="D323" s="1007">
        <v>1089432</v>
      </c>
      <c r="E323" s="1704">
        <v>0</v>
      </c>
      <c r="F323" s="479">
        <v>1356524</v>
      </c>
      <c r="G323" s="1835">
        <v>0</v>
      </c>
      <c r="H323" s="1838">
        <v>681187</v>
      </c>
      <c r="I323" s="1704">
        <v>232660</v>
      </c>
      <c r="J323" s="1846">
        <v>0</v>
      </c>
      <c r="K323" s="479">
        <v>0</v>
      </c>
      <c r="L323" s="1982">
        <f t="shared" si="20"/>
        <v>913847</v>
      </c>
      <c r="M323" s="1838">
        <v>230751</v>
      </c>
      <c r="N323" s="479">
        <v>645708</v>
      </c>
      <c r="O323" s="1704">
        <v>0</v>
      </c>
      <c r="P323" s="479">
        <v>0</v>
      </c>
      <c r="Q323" s="1986">
        <f t="shared" si="21"/>
        <v>876459</v>
      </c>
    </row>
    <row r="324" spans="1:21">
      <c r="A324" s="134">
        <f t="shared" si="24"/>
        <v>2019.03</v>
      </c>
      <c r="B324" s="1818">
        <f t="shared" si="22"/>
        <v>2964917</v>
      </c>
      <c r="C324" s="1822">
        <f t="shared" si="23"/>
        <v>327379</v>
      </c>
      <c r="D324" s="1007">
        <v>3238497</v>
      </c>
      <c r="E324" s="1704">
        <v>0</v>
      </c>
      <c r="F324" s="479">
        <v>885769</v>
      </c>
      <c r="G324" s="1835">
        <v>0</v>
      </c>
      <c r="H324" s="1838">
        <v>1158918</v>
      </c>
      <c r="I324" s="1704">
        <v>1805999</v>
      </c>
      <c r="J324" s="1846">
        <v>0</v>
      </c>
      <c r="K324" s="479">
        <v>0</v>
      </c>
      <c r="L324" s="1982">
        <f t="shared" si="20"/>
        <v>2964917</v>
      </c>
      <c r="M324" s="1838">
        <v>196866</v>
      </c>
      <c r="N324" s="479">
        <v>130513</v>
      </c>
      <c r="O324" s="1704">
        <v>0</v>
      </c>
      <c r="P324" s="479">
        <v>0</v>
      </c>
      <c r="Q324" s="1986">
        <f t="shared" si="21"/>
        <v>327379</v>
      </c>
    </row>
    <row r="325" spans="1:21">
      <c r="A325" s="134">
        <f t="shared" si="24"/>
        <v>2019.04</v>
      </c>
      <c r="B325" s="1818">
        <f t="shared" si="22"/>
        <v>2442940</v>
      </c>
      <c r="C325" s="1822">
        <f t="shared" si="23"/>
        <v>269842</v>
      </c>
      <c r="D325" s="1007">
        <v>3044790</v>
      </c>
      <c r="E325" s="1704">
        <v>0</v>
      </c>
      <c r="F325" s="479">
        <v>817406</v>
      </c>
      <c r="G325" s="1835">
        <v>0</v>
      </c>
      <c r="H325" s="1838">
        <v>1075426</v>
      </c>
      <c r="I325" s="1704">
        <f>1345514+22000</f>
        <v>1367514</v>
      </c>
      <c r="J325" s="1846">
        <v>0</v>
      </c>
      <c r="K325" s="479">
        <v>0</v>
      </c>
      <c r="L325" s="1982">
        <f t="shared" si="20"/>
        <v>2442940</v>
      </c>
      <c r="M325" s="1838">
        <v>175392</v>
      </c>
      <c r="N325" s="479">
        <v>94450</v>
      </c>
      <c r="O325" s="1704">
        <v>0</v>
      </c>
      <c r="P325" s="479">
        <v>0</v>
      </c>
      <c r="Q325" s="1986">
        <f t="shared" si="21"/>
        <v>269842</v>
      </c>
    </row>
    <row r="326" spans="1:21">
      <c r="A326" s="134">
        <f t="shared" si="24"/>
        <v>2019.05</v>
      </c>
      <c r="B326" s="1818">
        <f t="shared" si="22"/>
        <v>3087173</v>
      </c>
      <c r="C326" s="1822">
        <f t="shared" si="23"/>
        <v>426121</v>
      </c>
      <c r="D326" s="1007">
        <v>3704027</v>
      </c>
      <c r="E326" s="1704">
        <v>0</v>
      </c>
      <c r="F326" s="479">
        <v>708644</v>
      </c>
      <c r="G326" s="1835">
        <v>0</v>
      </c>
      <c r="H326" s="1838">
        <v>1236126</v>
      </c>
      <c r="I326" s="1704">
        <v>1851047</v>
      </c>
      <c r="J326" s="1846">
        <v>0</v>
      </c>
      <c r="K326" s="479">
        <v>0</v>
      </c>
      <c r="L326" s="1982">
        <f t="shared" si="20"/>
        <v>3087173</v>
      </c>
      <c r="M326" s="1838">
        <v>178050</v>
      </c>
      <c r="N326" s="479">
        <f>220571+27500</f>
        <v>248071</v>
      </c>
      <c r="O326" s="1704">
        <v>0</v>
      </c>
      <c r="P326" s="479">
        <v>0</v>
      </c>
      <c r="Q326" s="1986">
        <f t="shared" si="21"/>
        <v>426121</v>
      </c>
    </row>
    <row r="327" spans="1:21">
      <c r="A327" s="134">
        <f t="shared" si="24"/>
        <v>2019.06</v>
      </c>
      <c r="B327" s="1818">
        <f t="shared" si="22"/>
        <v>2130493</v>
      </c>
      <c r="C327" s="1822">
        <f t="shared" si="23"/>
        <v>125850</v>
      </c>
      <c r="D327" s="1007">
        <v>2606526</v>
      </c>
      <c r="E327" s="1704">
        <v>0</v>
      </c>
      <c r="F327" s="479">
        <v>422881</v>
      </c>
      <c r="G327" s="1835">
        <v>0</v>
      </c>
      <c r="H327" s="1838">
        <v>1004436</v>
      </c>
      <c r="I327" s="1704">
        <v>1126057</v>
      </c>
      <c r="J327" s="1846">
        <v>0</v>
      </c>
      <c r="K327" s="479">
        <v>0</v>
      </c>
      <c r="L327" s="1982">
        <f t="shared" si="20"/>
        <v>2130493</v>
      </c>
      <c r="M327" s="1838">
        <v>65500</v>
      </c>
      <c r="N327" s="479">
        <v>60350</v>
      </c>
      <c r="O327" s="1704">
        <v>0</v>
      </c>
      <c r="P327" s="479">
        <v>0</v>
      </c>
      <c r="Q327" s="1986">
        <f t="shared" si="21"/>
        <v>125850</v>
      </c>
    </row>
    <row r="328" spans="1:21">
      <c r="A328" s="134">
        <f t="shared" si="24"/>
        <v>2019.07</v>
      </c>
      <c r="B328" s="1818">
        <f t="shared" si="22"/>
        <v>3432824</v>
      </c>
      <c r="C328" s="1822">
        <f t="shared" si="23"/>
        <v>182129</v>
      </c>
      <c r="D328" s="1007">
        <v>4183325</v>
      </c>
      <c r="E328" s="1704">
        <v>65572</v>
      </c>
      <c r="F328" s="479">
        <v>379431</v>
      </c>
      <c r="G328" s="1835">
        <v>0</v>
      </c>
      <c r="H328" s="1838">
        <v>1267456</v>
      </c>
      <c r="I328" s="1704">
        <v>2099796</v>
      </c>
      <c r="J328" s="1846">
        <v>0</v>
      </c>
      <c r="K328" s="479">
        <v>65572</v>
      </c>
      <c r="L328" s="1982">
        <f t="shared" si="20"/>
        <v>3432824</v>
      </c>
      <c r="M328" s="1838">
        <v>118979</v>
      </c>
      <c r="N328" s="479">
        <v>63150</v>
      </c>
      <c r="O328" s="1704">
        <v>0</v>
      </c>
      <c r="P328" s="479">
        <v>0</v>
      </c>
      <c r="Q328" s="1986">
        <f t="shared" si="21"/>
        <v>182129</v>
      </c>
      <c r="T328" s="962"/>
    </row>
    <row r="329" spans="1:21">
      <c r="A329" s="134">
        <f>A317+1</f>
        <v>2019.08</v>
      </c>
      <c r="B329" s="1818">
        <f t="shared" si="22"/>
        <v>2759238</v>
      </c>
      <c r="C329" s="1822">
        <f t="shared" si="23"/>
        <v>144180</v>
      </c>
      <c r="D329" s="1007">
        <v>3418392</v>
      </c>
      <c r="E329" s="1704">
        <v>193146</v>
      </c>
      <c r="F329" s="479">
        <v>379532</v>
      </c>
      <c r="G329" s="1835">
        <v>0</v>
      </c>
      <c r="H329" s="1838">
        <v>731252</v>
      </c>
      <c r="I329" s="1704">
        <f>1862211+18000</f>
        <v>1880211</v>
      </c>
      <c r="J329" s="1846">
        <v>0</v>
      </c>
      <c r="K329" s="479">
        <v>147775</v>
      </c>
      <c r="L329" s="1982">
        <f t="shared" si="20"/>
        <v>2759238</v>
      </c>
      <c r="M329" s="1838">
        <v>27404</v>
      </c>
      <c r="N329" s="479">
        <v>116776</v>
      </c>
      <c r="O329" s="1704">
        <v>0</v>
      </c>
      <c r="P329" s="479">
        <v>0</v>
      </c>
      <c r="Q329" s="1986">
        <f t="shared" si="21"/>
        <v>144180</v>
      </c>
    </row>
    <row r="330" spans="1:21">
      <c r="A330" s="134">
        <f t="shared" si="24"/>
        <v>2019.09</v>
      </c>
      <c r="B330" s="1818">
        <f t="shared" si="22"/>
        <v>2326373</v>
      </c>
      <c r="C330" s="1822">
        <f t="shared" si="23"/>
        <v>163133</v>
      </c>
      <c r="D330" s="1007">
        <v>2997321</v>
      </c>
      <c r="E330" s="1704">
        <v>82726</v>
      </c>
      <c r="F330" s="479">
        <v>278657</v>
      </c>
      <c r="G330" s="1835">
        <v>0</v>
      </c>
      <c r="H330" s="1838">
        <v>728342</v>
      </c>
      <c r="I330" s="1704">
        <v>1515305</v>
      </c>
      <c r="J330" s="1846">
        <v>0</v>
      </c>
      <c r="K330" s="479">
        <v>82726</v>
      </c>
      <c r="L330" s="1982">
        <f t="shared" ref="L330:L345" si="27">SUM(H330:K330)</f>
        <v>2326373</v>
      </c>
      <c r="M330" s="1838">
        <v>108133</v>
      </c>
      <c r="N330" s="479">
        <v>55000</v>
      </c>
      <c r="O330" s="1704">
        <v>0</v>
      </c>
      <c r="P330" s="479">
        <v>0</v>
      </c>
      <c r="Q330" s="1986">
        <f t="shared" ref="Q330:Q345" si="28">SUM(M330:P330)</f>
        <v>163133</v>
      </c>
      <c r="T330" s="963"/>
    </row>
    <row r="331" spans="1:21">
      <c r="A331" s="134">
        <f t="shared" si="24"/>
        <v>2019.1</v>
      </c>
      <c r="B331" s="1818">
        <f t="shared" si="22"/>
        <v>1935071</v>
      </c>
      <c r="C331" s="1822">
        <f t="shared" si="23"/>
        <v>90696</v>
      </c>
      <c r="D331" s="1007">
        <v>2684078</v>
      </c>
      <c r="E331" s="1704">
        <v>152252</v>
      </c>
      <c r="F331" s="479">
        <v>246384</v>
      </c>
      <c r="G331" s="1835">
        <v>0</v>
      </c>
      <c r="H331" s="1838">
        <v>580404</v>
      </c>
      <c r="I331" s="1704">
        <v>1251452</v>
      </c>
      <c r="J331" s="1846">
        <v>0</v>
      </c>
      <c r="K331" s="479">
        <v>103215</v>
      </c>
      <c r="L331" s="1982">
        <f t="shared" si="27"/>
        <v>1935071</v>
      </c>
      <c r="M331" s="1838">
        <v>0</v>
      </c>
      <c r="N331" s="479">
        <v>90696</v>
      </c>
      <c r="O331" s="1704">
        <v>0</v>
      </c>
      <c r="P331" s="479">
        <v>0</v>
      </c>
      <c r="Q331" s="1986">
        <f t="shared" si="28"/>
        <v>90696</v>
      </c>
    </row>
    <row r="332" spans="1:21">
      <c r="A332" s="134">
        <f t="shared" si="24"/>
        <v>2019.11</v>
      </c>
      <c r="B332" s="1818">
        <f t="shared" ref="B332:B345" si="29">L332</f>
        <v>2196879</v>
      </c>
      <c r="C332" s="1822">
        <f t="shared" ref="C332:C345" si="30">Q332</f>
        <v>691733</v>
      </c>
      <c r="D332" s="1007">
        <v>2495078</v>
      </c>
      <c r="E332" s="1704">
        <v>236219</v>
      </c>
      <c r="F332" s="479">
        <v>723203</v>
      </c>
      <c r="G332" s="1835">
        <v>0</v>
      </c>
      <c r="H332" s="1838">
        <v>893291</v>
      </c>
      <c r="I332" s="1704">
        <v>1088045</v>
      </c>
      <c r="J332" s="1846">
        <v>112104</v>
      </c>
      <c r="K332" s="479">
        <v>103439</v>
      </c>
      <c r="L332" s="1982">
        <f t="shared" si="27"/>
        <v>2196879</v>
      </c>
      <c r="M332" s="1838">
        <v>148864</v>
      </c>
      <c r="N332" s="479">
        <v>542869</v>
      </c>
      <c r="O332" s="1704">
        <v>0</v>
      </c>
      <c r="P332" s="479">
        <v>0</v>
      </c>
      <c r="Q332" s="1986">
        <f t="shared" si="28"/>
        <v>691733</v>
      </c>
    </row>
    <row r="333" spans="1:21">
      <c r="A333" s="134">
        <f t="shared" si="24"/>
        <v>2019.12</v>
      </c>
      <c r="B333" s="1818">
        <f t="shared" si="29"/>
        <v>1383007</v>
      </c>
      <c r="C333" s="1822">
        <f t="shared" si="30"/>
        <v>1700817</v>
      </c>
      <c r="D333" s="1007">
        <v>1710348</v>
      </c>
      <c r="E333" s="1704">
        <v>54621</v>
      </c>
      <c r="F333" s="479">
        <v>2108332</v>
      </c>
      <c r="G333" s="1835">
        <v>0</v>
      </c>
      <c r="H333" s="1838">
        <v>635395</v>
      </c>
      <c r="I333" s="1704">
        <v>692991</v>
      </c>
      <c r="J333" s="1846">
        <v>0</v>
      </c>
      <c r="K333" s="479">
        <v>54621</v>
      </c>
      <c r="L333" s="1982">
        <f t="shared" si="27"/>
        <v>1383007</v>
      </c>
      <c r="M333" s="1838">
        <v>500467</v>
      </c>
      <c r="N333" s="479">
        <v>1200350</v>
      </c>
      <c r="O333" s="1704">
        <v>0</v>
      </c>
      <c r="P333" s="479">
        <v>0</v>
      </c>
      <c r="Q333" s="1986">
        <f t="shared" si="28"/>
        <v>1700817</v>
      </c>
    </row>
    <row r="334" spans="1:21">
      <c r="A334" s="134">
        <f t="shared" si="24"/>
        <v>2020.01</v>
      </c>
      <c r="B334" s="1818">
        <f t="shared" si="29"/>
        <v>1596697</v>
      </c>
      <c r="C334" s="1822">
        <f t="shared" si="30"/>
        <v>2093434</v>
      </c>
      <c r="D334" s="1007">
        <v>1818017</v>
      </c>
      <c r="E334" s="1704">
        <v>46136</v>
      </c>
      <c r="F334" s="479">
        <v>3360490</v>
      </c>
      <c r="G334" s="1835">
        <v>0</v>
      </c>
      <c r="H334" s="1838">
        <v>640360</v>
      </c>
      <c r="I334" s="1704">
        <v>910201</v>
      </c>
      <c r="J334" s="1846">
        <v>0</v>
      </c>
      <c r="K334" s="479">
        <v>46136</v>
      </c>
      <c r="L334" s="1982">
        <f t="shared" si="27"/>
        <v>1596697</v>
      </c>
      <c r="M334" s="1838">
        <v>561954</v>
      </c>
      <c r="N334" s="479">
        <v>1531480</v>
      </c>
      <c r="O334" s="1704">
        <v>0</v>
      </c>
      <c r="P334" s="479">
        <v>0</v>
      </c>
      <c r="Q334" s="1986">
        <f t="shared" si="28"/>
        <v>2093434</v>
      </c>
    </row>
    <row r="335" spans="1:21">
      <c r="A335" s="134">
        <f t="shared" si="24"/>
        <v>2020.02</v>
      </c>
      <c r="B335" s="1818">
        <f t="shared" si="29"/>
        <v>1071410</v>
      </c>
      <c r="C335" s="1822">
        <f t="shared" si="30"/>
        <v>1356915</v>
      </c>
      <c r="D335" s="1007">
        <v>1331603</v>
      </c>
      <c r="E335" s="1704">
        <v>0</v>
      </c>
      <c r="F335" s="479">
        <v>1966636</v>
      </c>
      <c r="G335" s="1835">
        <v>0</v>
      </c>
      <c r="H335" s="1838">
        <v>377031</v>
      </c>
      <c r="I335" s="1704">
        <v>694379</v>
      </c>
      <c r="J335" s="1846">
        <v>0</v>
      </c>
      <c r="K335" s="479">
        <v>0</v>
      </c>
      <c r="L335" s="1982">
        <f t="shared" si="27"/>
        <v>1071410</v>
      </c>
      <c r="M335" s="1838">
        <v>474505</v>
      </c>
      <c r="N335" s="479">
        <v>882410</v>
      </c>
      <c r="O335" s="1704">
        <v>0</v>
      </c>
      <c r="P335" s="479">
        <v>0</v>
      </c>
      <c r="Q335" s="1986">
        <f t="shared" si="28"/>
        <v>1356915</v>
      </c>
    </row>
    <row r="336" spans="1:21">
      <c r="A336" s="134">
        <f t="shared" si="24"/>
        <v>2020.03</v>
      </c>
      <c r="B336" s="1818">
        <f t="shared" si="29"/>
        <v>3111123</v>
      </c>
      <c r="C336" s="1822">
        <f t="shared" si="30"/>
        <v>768764</v>
      </c>
      <c r="D336" s="1007">
        <v>3431890</v>
      </c>
      <c r="E336" s="1704">
        <v>0</v>
      </c>
      <c r="F336" s="479">
        <v>1202262</v>
      </c>
      <c r="G336" s="1835">
        <v>0</v>
      </c>
      <c r="H336" s="1838">
        <v>1044659</v>
      </c>
      <c r="I336" s="1704">
        <v>2066464</v>
      </c>
      <c r="J336" s="1846">
        <v>0</v>
      </c>
      <c r="K336" s="479">
        <v>0</v>
      </c>
      <c r="L336" s="1982">
        <f t="shared" si="27"/>
        <v>3111123</v>
      </c>
      <c r="M336" s="1838">
        <v>553166</v>
      </c>
      <c r="N336" s="479">
        <v>215598</v>
      </c>
      <c r="O336" s="1704">
        <v>0</v>
      </c>
      <c r="P336" s="479">
        <v>0</v>
      </c>
      <c r="Q336" s="1986">
        <f t="shared" si="28"/>
        <v>768764</v>
      </c>
    </row>
    <row r="337" spans="1:17">
      <c r="A337" s="134">
        <f>A325+1</f>
        <v>2020.04</v>
      </c>
      <c r="B337" s="1818">
        <f t="shared" si="29"/>
        <v>2678374</v>
      </c>
      <c r="C337" s="1822">
        <f t="shared" si="30"/>
        <v>383701</v>
      </c>
      <c r="D337" s="1007">
        <v>3498202</v>
      </c>
      <c r="E337" s="1704">
        <v>0</v>
      </c>
      <c r="F337" s="479">
        <v>667902</v>
      </c>
      <c r="G337" s="1835">
        <v>0</v>
      </c>
      <c r="H337" s="1838">
        <v>979853</v>
      </c>
      <c r="I337" s="1704">
        <f>1677038+21483</f>
        <v>1698521</v>
      </c>
      <c r="J337" s="1846">
        <v>0</v>
      </c>
      <c r="K337" s="479">
        <v>0</v>
      </c>
      <c r="L337" s="1982">
        <f t="shared" si="27"/>
        <v>2678374</v>
      </c>
      <c r="M337" s="1838">
        <v>255498</v>
      </c>
      <c r="N337" s="479">
        <v>128203</v>
      </c>
      <c r="O337" s="1704">
        <v>0</v>
      </c>
      <c r="P337" s="479">
        <v>0</v>
      </c>
      <c r="Q337" s="1986">
        <f t="shared" si="28"/>
        <v>383701</v>
      </c>
    </row>
    <row r="338" spans="1:17">
      <c r="A338" s="134">
        <f t="shared" si="24"/>
        <v>2020.05</v>
      </c>
      <c r="B338" s="1818">
        <f t="shared" si="29"/>
        <v>2926703</v>
      </c>
      <c r="C338" s="1822">
        <f t="shared" si="30"/>
        <v>182101</v>
      </c>
      <c r="D338" s="1007">
        <v>3786962</v>
      </c>
      <c r="E338" s="1704">
        <v>0</v>
      </c>
      <c r="F338" s="479">
        <v>395865</v>
      </c>
      <c r="G338" s="1835">
        <v>0</v>
      </c>
      <c r="H338" s="1838">
        <v>1151576</v>
      </c>
      <c r="I338" s="1704">
        <f>1756117+19010</f>
        <v>1775127</v>
      </c>
      <c r="J338" s="1846">
        <v>0</v>
      </c>
      <c r="K338" s="479">
        <v>0</v>
      </c>
      <c r="L338" s="1982">
        <f t="shared" si="27"/>
        <v>2926703</v>
      </c>
      <c r="M338" s="1838">
        <v>132101</v>
      </c>
      <c r="N338" s="479">
        <v>50000</v>
      </c>
      <c r="O338" s="1704">
        <v>0</v>
      </c>
      <c r="P338" s="479">
        <v>0</v>
      </c>
      <c r="Q338" s="1986">
        <f t="shared" si="28"/>
        <v>182101</v>
      </c>
    </row>
    <row r="339" spans="1:17">
      <c r="A339" s="134">
        <f t="shared" si="24"/>
        <v>2020.06</v>
      </c>
      <c r="B339" s="1818">
        <f t="shared" si="29"/>
        <v>3535583</v>
      </c>
      <c r="C339" s="1822">
        <f t="shared" si="30"/>
        <v>167148</v>
      </c>
      <c r="D339" s="1007">
        <v>4545068</v>
      </c>
      <c r="E339" s="1704">
        <v>0</v>
      </c>
      <c r="F339" s="479">
        <v>293341</v>
      </c>
      <c r="G339" s="1835">
        <v>0</v>
      </c>
      <c r="H339" s="1838">
        <v>860111</v>
      </c>
      <c r="I339" s="1704">
        <v>2675472</v>
      </c>
      <c r="J339" s="1846">
        <v>0</v>
      </c>
      <c r="K339" s="479">
        <v>0</v>
      </c>
      <c r="L339" s="1982">
        <f t="shared" si="27"/>
        <v>3535583</v>
      </c>
      <c r="M339" s="1838">
        <v>135298</v>
      </c>
      <c r="N339" s="479">
        <v>31850</v>
      </c>
      <c r="O339" s="1704">
        <v>0</v>
      </c>
      <c r="P339" s="479">
        <v>0</v>
      </c>
      <c r="Q339" s="1986">
        <f t="shared" si="28"/>
        <v>167148</v>
      </c>
    </row>
    <row r="340" spans="1:17">
      <c r="A340" s="134">
        <f t="shared" si="24"/>
        <v>2020.07</v>
      </c>
      <c r="B340" s="1818">
        <f t="shared" si="29"/>
        <v>3393426</v>
      </c>
      <c r="C340" s="1822">
        <f t="shared" si="30"/>
        <v>291327</v>
      </c>
      <c r="D340" s="1007">
        <v>4265471</v>
      </c>
      <c r="E340" s="1704">
        <v>0</v>
      </c>
      <c r="F340" s="479">
        <v>347997</v>
      </c>
      <c r="G340" s="1835">
        <v>0</v>
      </c>
      <c r="H340" s="1838">
        <v>947466</v>
      </c>
      <c r="I340" s="1704">
        <v>2445960</v>
      </c>
      <c r="J340" s="1846">
        <v>0</v>
      </c>
      <c r="K340" s="479">
        <v>0</v>
      </c>
      <c r="L340" s="1982">
        <f t="shared" si="27"/>
        <v>3393426</v>
      </c>
      <c r="M340" s="1838">
        <v>153651</v>
      </c>
      <c r="N340" s="479">
        <v>137676</v>
      </c>
      <c r="O340" s="1704">
        <v>0</v>
      </c>
      <c r="P340" s="479">
        <v>0</v>
      </c>
      <c r="Q340" s="1986">
        <f t="shared" si="28"/>
        <v>291327</v>
      </c>
    </row>
    <row r="341" spans="1:17">
      <c r="A341" s="134">
        <f t="shared" si="24"/>
        <v>2020.08</v>
      </c>
      <c r="B341" s="1818">
        <f t="shared" si="29"/>
        <v>3290728</v>
      </c>
      <c r="C341" s="1822">
        <f t="shared" si="30"/>
        <v>209347</v>
      </c>
      <c r="D341" s="1007">
        <v>4492636</v>
      </c>
      <c r="E341" s="1704">
        <v>0</v>
      </c>
      <c r="F341" s="479">
        <v>221347</v>
      </c>
      <c r="G341" s="1835">
        <v>0</v>
      </c>
      <c r="H341" s="1838">
        <v>1154807</v>
      </c>
      <c r="I341" s="1704">
        <v>2135921</v>
      </c>
      <c r="J341" s="1846">
        <v>0</v>
      </c>
      <c r="K341" s="479">
        <v>0</v>
      </c>
      <c r="L341" s="1982">
        <f t="shared" si="27"/>
        <v>3290728</v>
      </c>
      <c r="M341" s="1838">
        <v>174762</v>
      </c>
      <c r="N341" s="479">
        <v>34585</v>
      </c>
      <c r="O341" s="1704">
        <v>0</v>
      </c>
      <c r="P341" s="479">
        <v>0</v>
      </c>
      <c r="Q341" s="1986">
        <f t="shared" si="28"/>
        <v>209347</v>
      </c>
    </row>
    <row r="342" spans="1:17">
      <c r="A342" s="134">
        <f t="shared" si="24"/>
        <v>2020.09</v>
      </c>
      <c r="B342" s="1818">
        <f t="shared" si="29"/>
        <v>2183683</v>
      </c>
      <c r="C342" s="1822">
        <f t="shared" si="30"/>
        <v>149294</v>
      </c>
      <c r="D342" s="1007">
        <v>2800685</v>
      </c>
      <c r="E342" s="1704">
        <v>0</v>
      </c>
      <c r="F342" s="479">
        <v>247794</v>
      </c>
      <c r="G342" s="1835">
        <v>0</v>
      </c>
      <c r="H342" s="1838">
        <v>648852</v>
      </c>
      <c r="I342" s="1704">
        <f>1524331+10500</f>
        <v>1534831</v>
      </c>
      <c r="J342" s="1846">
        <v>0</v>
      </c>
      <c r="K342" s="479">
        <v>0</v>
      </c>
      <c r="L342" s="1982">
        <f t="shared" si="27"/>
        <v>2183683</v>
      </c>
      <c r="M342" s="1838">
        <v>120694</v>
      </c>
      <c r="N342" s="479">
        <v>28600</v>
      </c>
      <c r="O342" s="1704">
        <v>0</v>
      </c>
      <c r="P342" s="479">
        <v>0</v>
      </c>
      <c r="Q342" s="1986">
        <f t="shared" si="28"/>
        <v>149294</v>
      </c>
    </row>
    <row r="343" spans="1:17">
      <c r="A343" s="134">
        <f t="shared" si="24"/>
        <v>2020.1</v>
      </c>
      <c r="B343" s="1818">
        <f t="shared" si="29"/>
        <v>1878398</v>
      </c>
      <c r="C343" s="1822">
        <f t="shared" si="30"/>
        <v>32300</v>
      </c>
      <c r="D343" s="1007">
        <v>2486889</v>
      </c>
      <c r="E343" s="1704">
        <v>26400</v>
      </c>
      <c r="F343" s="479">
        <v>63500</v>
      </c>
      <c r="G343" s="1835">
        <v>0</v>
      </c>
      <c r="H343" s="1838">
        <v>617581</v>
      </c>
      <c r="I343" s="1704">
        <v>1234417</v>
      </c>
      <c r="J343" s="1846">
        <v>0</v>
      </c>
      <c r="K343" s="479">
        <v>26400</v>
      </c>
      <c r="L343" s="1982">
        <f t="shared" si="27"/>
        <v>1878398</v>
      </c>
      <c r="M343" s="1838">
        <v>32300</v>
      </c>
      <c r="N343" s="479">
        <v>0</v>
      </c>
      <c r="O343" s="1704">
        <v>0</v>
      </c>
      <c r="P343" s="479">
        <v>0</v>
      </c>
      <c r="Q343" s="1986">
        <f t="shared" si="28"/>
        <v>32300</v>
      </c>
    </row>
    <row r="344" spans="1:17">
      <c r="A344" s="134">
        <f t="shared" si="24"/>
        <v>2020.11</v>
      </c>
      <c r="B344" s="1818">
        <f t="shared" si="29"/>
        <v>895767</v>
      </c>
      <c r="C344" s="1822">
        <f t="shared" si="30"/>
        <v>283442</v>
      </c>
      <c r="D344" s="1007">
        <v>1395515</v>
      </c>
      <c r="E344" s="1704">
        <v>106361</v>
      </c>
      <c r="F344" s="479">
        <v>283442</v>
      </c>
      <c r="G344" s="1835">
        <v>0</v>
      </c>
      <c r="H344" s="1838">
        <v>330701</v>
      </c>
      <c r="I344" s="1704">
        <f>481452+16500</f>
        <v>497952</v>
      </c>
      <c r="J344" s="1846">
        <v>0</v>
      </c>
      <c r="K344" s="479">
        <f>67114</f>
        <v>67114</v>
      </c>
      <c r="L344" s="1982">
        <f t="shared" si="27"/>
        <v>895767</v>
      </c>
      <c r="M344" s="1838">
        <v>52797</v>
      </c>
      <c r="N344" s="479">
        <v>230645</v>
      </c>
      <c r="O344" s="1704">
        <v>0</v>
      </c>
      <c r="P344" s="479">
        <v>0</v>
      </c>
      <c r="Q344" s="1986">
        <f>SUM(M344:P344)</f>
        <v>283442</v>
      </c>
    </row>
    <row r="345" spans="1:17">
      <c r="A345" s="134">
        <f t="shared" si="24"/>
        <v>2020.12</v>
      </c>
      <c r="B345" s="1818">
        <f t="shared" si="29"/>
        <v>574286</v>
      </c>
      <c r="C345" s="1822">
        <f t="shared" si="30"/>
        <v>700780</v>
      </c>
      <c r="D345" s="1007">
        <v>746782</v>
      </c>
      <c r="E345" s="1704">
        <v>29461</v>
      </c>
      <c r="F345" s="479">
        <v>868190</v>
      </c>
      <c r="G345" s="1835">
        <v>0</v>
      </c>
      <c r="H345" s="1838">
        <v>363657</v>
      </c>
      <c r="I345" s="1704">
        <v>181168</v>
      </c>
      <c r="J345" s="1846">
        <v>0</v>
      </c>
      <c r="K345" s="479">
        <v>29461</v>
      </c>
      <c r="L345" s="1982">
        <f t="shared" si="27"/>
        <v>574286</v>
      </c>
      <c r="M345" s="1838">
        <v>351177</v>
      </c>
      <c r="N345" s="479">
        <v>349603</v>
      </c>
      <c r="O345" s="1704">
        <v>0</v>
      </c>
      <c r="P345" s="479">
        <v>0</v>
      </c>
      <c r="Q345" s="1986">
        <f t="shared" si="28"/>
        <v>700780</v>
      </c>
    </row>
    <row r="346" spans="1:17">
      <c r="A346" s="134">
        <f t="shared" si="24"/>
        <v>2021.01</v>
      </c>
      <c r="B346" s="1818">
        <f t="shared" ref="B346:B405" si="31">L346</f>
        <v>1506889</v>
      </c>
      <c r="C346" s="1822">
        <f t="shared" ref="C346:C405" si="32">Q346</f>
        <v>931914</v>
      </c>
      <c r="D346" s="1007">
        <v>1609795</v>
      </c>
      <c r="E346" s="1704">
        <v>162305</v>
      </c>
      <c r="F346" s="479">
        <v>1425172</v>
      </c>
      <c r="G346" s="1835">
        <v>0</v>
      </c>
      <c r="H346" s="1838">
        <v>531772</v>
      </c>
      <c r="I346" s="1704">
        <v>812812</v>
      </c>
      <c r="J346" s="1846">
        <v>0</v>
      </c>
      <c r="K346" s="479">
        <v>162305</v>
      </c>
      <c r="L346" s="1982">
        <f t="shared" ref="L346:L405" si="33">SUM(H346:K346)</f>
        <v>1506889</v>
      </c>
      <c r="M346" s="1838">
        <v>367895</v>
      </c>
      <c r="N346" s="479">
        <v>564019</v>
      </c>
      <c r="O346" s="1704">
        <v>0</v>
      </c>
      <c r="P346" s="479">
        <v>0</v>
      </c>
      <c r="Q346" s="1986">
        <f t="shared" ref="Q346:Q405" si="34">SUM(M346:P346)</f>
        <v>931914</v>
      </c>
    </row>
    <row r="347" spans="1:17">
      <c r="A347" s="134">
        <f t="shared" si="24"/>
        <v>2021.02</v>
      </c>
      <c r="B347" s="1818">
        <f t="shared" si="31"/>
        <v>821249</v>
      </c>
      <c r="C347" s="1822">
        <f t="shared" si="32"/>
        <v>843071</v>
      </c>
      <c r="D347" s="1007">
        <v>1061976</v>
      </c>
      <c r="E347" s="1704">
        <v>102080</v>
      </c>
      <c r="F347" s="479">
        <v>1566139</v>
      </c>
      <c r="G347" s="1835">
        <v>0</v>
      </c>
      <c r="H347" s="1838">
        <v>251761</v>
      </c>
      <c r="I347" s="1704">
        <v>467408</v>
      </c>
      <c r="J347" s="1846">
        <v>0</v>
      </c>
      <c r="K347" s="479">
        <v>102080</v>
      </c>
      <c r="L347" s="1982">
        <f t="shared" si="33"/>
        <v>821249</v>
      </c>
      <c r="M347" s="1838">
        <v>296338</v>
      </c>
      <c r="N347" s="479">
        <v>546733</v>
      </c>
      <c r="O347" s="1704">
        <v>0</v>
      </c>
      <c r="P347" s="479">
        <v>0</v>
      </c>
      <c r="Q347" s="1986">
        <f t="shared" si="34"/>
        <v>843071</v>
      </c>
    </row>
    <row r="348" spans="1:17">
      <c r="A348" s="134">
        <f t="shared" si="24"/>
        <v>2021.03</v>
      </c>
      <c r="B348" s="1818">
        <f t="shared" si="31"/>
        <v>2355207</v>
      </c>
      <c r="C348" s="1822">
        <f t="shared" si="32"/>
        <v>459118</v>
      </c>
      <c r="D348" s="1007">
        <v>2802621</v>
      </c>
      <c r="E348" s="1704">
        <v>0</v>
      </c>
      <c r="F348" s="479">
        <v>1114086</v>
      </c>
      <c r="G348" s="1835">
        <v>0</v>
      </c>
      <c r="H348" s="1838">
        <v>552726</v>
      </c>
      <c r="I348" s="1704">
        <v>1802481</v>
      </c>
      <c r="J348" s="1846">
        <v>0</v>
      </c>
      <c r="K348" s="479">
        <v>0</v>
      </c>
      <c r="L348" s="1982">
        <f t="shared" si="33"/>
        <v>2355207</v>
      </c>
      <c r="M348" s="1838">
        <v>249364</v>
      </c>
      <c r="N348" s="479">
        <v>209754</v>
      </c>
      <c r="O348" s="1704">
        <v>0</v>
      </c>
      <c r="P348" s="479">
        <v>0</v>
      </c>
      <c r="Q348" s="1986">
        <f t="shared" si="34"/>
        <v>459118</v>
      </c>
    </row>
    <row r="349" spans="1:17">
      <c r="A349" s="134">
        <f t="shared" si="24"/>
        <v>2021.04</v>
      </c>
      <c r="B349" s="1818">
        <f t="shared" si="31"/>
        <v>3042671</v>
      </c>
      <c r="C349" s="1822">
        <f t="shared" si="32"/>
        <v>438015</v>
      </c>
      <c r="D349" s="1007">
        <v>3972973</v>
      </c>
      <c r="E349" s="1704">
        <v>0</v>
      </c>
      <c r="F349" s="479">
        <v>802248</v>
      </c>
      <c r="G349" s="1835">
        <v>0</v>
      </c>
      <c r="H349" s="1838">
        <v>983971</v>
      </c>
      <c r="I349" s="1704">
        <f>2033850+24850</f>
        <v>2058700</v>
      </c>
      <c r="J349" s="1846">
        <v>0</v>
      </c>
      <c r="K349" s="479">
        <v>0</v>
      </c>
      <c r="L349" s="1982">
        <f t="shared" si="33"/>
        <v>3042671</v>
      </c>
      <c r="M349" s="1838">
        <v>147845</v>
      </c>
      <c r="N349" s="479">
        <v>290170</v>
      </c>
      <c r="O349" s="1704">
        <v>0</v>
      </c>
      <c r="P349" s="479">
        <v>0</v>
      </c>
      <c r="Q349" s="1986">
        <f t="shared" si="34"/>
        <v>438015</v>
      </c>
    </row>
    <row r="350" spans="1:17">
      <c r="A350" s="134">
        <f t="shared" si="24"/>
        <v>2021.05</v>
      </c>
      <c r="B350" s="1818">
        <f t="shared" si="31"/>
        <v>2322305</v>
      </c>
      <c r="C350" s="1822">
        <f t="shared" si="32"/>
        <v>379394</v>
      </c>
      <c r="D350" s="1007">
        <v>3260348</v>
      </c>
      <c r="E350" s="1704">
        <v>0</v>
      </c>
      <c r="F350" s="479">
        <v>692740</v>
      </c>
      <c r="G350" s="1835">
        <v>0</v>
      </c>
      <c r="H350" s="1838">
        <v>814682</v>
      </c>
      <c r="I350" s="1704">
        <f>1483973+23650</f>
        <v>1507623</v>
      </c>
      <c r="J350" s="1846">
        <v>0</v>
      </c>
      <c r="K350" s="479">
        <v>0</v>
      </c>
      <c r="L350" s="1982">
        <f t="shared" si="33"/>
        <v>2322305</v>
      </c>
      <c r="M350" s="1838">
        <v>227491</v>
      </c>
      <c r="N350" s="479">
        <v>151903</v>
      </c>
      <c r="O350" s="1704">
        <v>0</v>
      </c>
      <c r="P350" s="479">
        <v>0</v>
      </c>
      <c r="Q350" s="1986">
        <f t="shared" si="34"/>
        <v>379394</v>
      </c>
    </row>
    <row r="351" spans="1:17">
      <c r="A351" s="134">
        <f t="shared" ref="A351:A414" si="35">A339+1</f>
        <v>2021.06</v>
      </c>
      <c r="B351" s="1818">
        <f t="shared" si="31"/>
        <v>2918419</v>
      </c>
      <c r="C351" s="1822">
        <f t="shared" si="32"/>
        <v>115289</v>
      </c>
      <c r="D351" s="1007">
        <v>3993871</v>
      </c>
      <c r="E351" s="1704">
        <v>0</v>
      </c>
      <c r="F351" s="479">
        <v>569219</v>
      </c>
      <c r="G351" s="1835">
        <v>0</v>
      </c>
      <c r="H351" s="1838">
        <v>882902</v>
      </c>
      <c r="I351" s="1704">
        <f>1997240+38277</f>
        <v>2035517</v>
      </c>
      <c r="J351" s="1846">
        <v>0</v>
      </c>
      <c r="K351" s="479">
        <v>0</v>
      </c>
      <c r="L351" s="1982">
        <f t="shared" si="33"/>
        <v>2918419</v>
      </c>
      <c r="M351" s="1838">
        <v>47881</v>
      </c>
      <c r="N351" s="479">
        <v>67408</v>
      </c>
      <c r="O351" s="1704">
        <v>0</v>
      </c>
      <c r="P351" s="479">
        <v>0</v>
      </c>
      <c r="Q351" s="1986">
        <f t="shared" si="34"/>
        <v>115289</v>
      </c>
    </row>
    <row r="352" spans="1:17">
      <c r="A352" s="134">
        <f t="shared" si="35"/>
        <v>2021.07</v>
      </c>
      <c r="B352" s="1818">
        <f t="shared" si="31"/>
        <v>3465306</v>
      </c>
      <c r="C352" s="1822">
        <f t="shared" si="32"/>
        <v>301926</v>
      </c>
      <c r="D352" s="1007">
        <v>4750126</v>
      </c>
      <c r="E352" s="1704">
        <v>0</v>
      </c>
      <c r="F352" s="479">
        <v>583813</v>
      </c>
      <c r="G352" s="1835">
        <v>0</v>
      </c>
      <c r="H352" s="1838">
        <v>1044200</v>
      </c>
      <c r="I352" s="1704">
        <v>2421106</v>
      </c>
      <c r="J352" s="1846">
        <v>0</v>
      </c>
      <c r="K352" s="479">
        <v>0</v>
      </c>
      <c r="L352" s="1982">
        <f t="shared" si="33"/>
        <v>3465306</v>
      </c>
      <c r="M352" s="1838">
        <v>180109</v>
      </c>
      <c r="N352" s="479">
        <v>121817</v>
      </c>
      <c r="O352" s="1704">
        <v>0</v>
      </c>
      <c r="P352" s="479">
        <v>0</v>
      </c>
      <c r="Q352" s="1986">
        <f t="shared" si="34"/>
        <v>301926</v>
      </c>
    </row>
    <row r="353" spans="1:17">
      <c r="A353" s="134">
        <f t="shared" si="35"/>
        <v>2021.08</v>
      </c>
      <c r="B353" s="1818">
        <f t="shared" si="31"/>
        <v>2765882</v>
      </c>
      <c r="C353" s="1822">
        <f t="shared" si="32"/>
        <v>265306</v>
      </c>
      <c r="D353" s="1007">
        <v>4326117</v>
      </c>
      <c r="E353" s="1704">
        <v>0</v>
      </c>
      <c r="F353" s="479">
        <v>609172</v>
      </c>
      <c r="G353" s="1835">
        <v>0</v>
      </c>
      <c r="H353" s="1838">
        <v>718001</v>
      </c>
      <c r="I353" s="1704">
        <v>2047881</v>
      </c>
      <c r="J353" s="1846">
        <v>0</v>
      </c>
      <c r="K353" s="479">
        <v>0</v>
      </c>
      <c r="L353" s="1982">
        <f t="shared" si="33"/>
        <v>2765882</v>
      </c>
      <c r="M353" s="1838">
        <v>173644</v>
      </c>
      <c r="N353" s="479">
        <v>91662</v>
      </c>
      <c r="O353" s="1704">
        <v>0</v>
      </c>
      <c r="P353" s="479">
        <v>0</v>
      </c>
      <c r="Q353" s="1986">
        <f t="shared" si="34"/>
        <v>265306</v>
      </c>
    </row>
    <row r="354" spans="1:17">
      <c r="A354" s="134">
        <f t="shared" si="35"/>
        <v>2021.09</v>
      </c>
      <c r="B354" s="1818">
        <f t="shared" si="31"/>
        <v>2646702</v>
      </c>
      <c r="C354" s="1822">
        <f t="shared" si="32"/>
        <v>193103</v>
      </c>
      <c r="D354" s="1007">
        <v>4068971</v>
      </c>
      <c r="E354" s="1704">
        <v>0</v>
      </c>
      <c r="F354" s="479">
        <v>434651</v>
      </c>
      <c r="G354" s="1835">
        <v>0</v>
      </c>
      <c r="H354" s="1838">
        <v>833513</v>
      </c>
      <c r="I354" s="1704">
        <f>1789159+24030</f>
        <v>1813189</v>
      </c>
      <c r="J354" s="1846">
        <v>0</v>
      </c>
      <c r="K354" s="479">
        <v>0</v>
      </c>
      <c r="L354" s="1982">
        <f t="shared" si="33"/>
        <v>2646702</v>
      </c>
      <c r="M354" s="1838">
        <v>149498</v>
      </c>
      <c r="N354" s="479">
        <v>43605</v>
      </c>
      <c r="O354" s="1704">
        <v>0</v>
      </c>
      <c r="P354" s="479">
        <v>0</v>
      </c>
      <c r="Q354" s="1986">
        <f t="shared" si="34"/>
        <v>193103</v>
      </c>
    </row>
    <row r="355" spans="1:17">
      <c r="A355" s="134">
        <f t="shared" si="35"/>
        <v>2021.1</v>
      </c>
      <c r="B355" s="1818">
        <f t="shared" si="31"/>
        <v>2403124</v>
      </c>
      <c r="C355" s="1822">
        <f t="shared" si="32"/>
        <v>192421</v>
      </c>
      <c r="D355" s="1007">
        <v>3893083</v>
      </c>
      <c r="E355" s="1704">
        <v>0</v>
      </c>
      <c r="F355" s="479">
        <v>810960</v>
      </c>
      <c r="G355" s="1835">
        <v>0</v>
      </c>
      <c r="H355" s="1838">
        <v>636952</v>
      </c>
      <c r="I355" s="1704">
        <f>1744172+22000</f>
        <v>1766172</v>
      </c>
      <c r="J355" s="1846">
        <v>0</v>
      </c>
      <c r="K355" s="479">
        <v>0</v>
      </c>
      <c r="L355" s="1982">
        <f t="shared" si="33"/>
        <v>2403124</v>
      </c>
      <c r="M355" s="1838">
        <v>126509</v>
      </c>
      <c r="N355" s="479">
        <v>65912</v>
      </c>
      <c r="O355" s="1704">
        <v>0</v>
      </c>
      <c r="P355" s="479">
        <v>0</v>
      </c>
      <c r="Q355" s="1986">
        <f t="shared" si="34"/>
        <v>192421</v>
      </c>
    </row>
    <row r="356" spans="1:17">
      <c r="A356" s="134">
        <f t="shared" si="35"/>
        <v>2021.11</v>
      </c>
      <c r="B356" s="1818">
        <f t="shared" si="31"/>
        <v>1732055</v>
      </c>
      <c r="C356" s="1822">
        <f t="shared" si="32"/>
        <v>641059</v>
      </c>
      <c r="D356" s="1007">
        <v>2153245</v>
      </c>
      <c r="E356" s="1704">
        <v>0</v>
      </c>
      <c r="F356" s="479">
        <v>825582</v>
      </c>
      <c r="G356" s="1835">
        <v>0</v>
      </c>
      <c r="H356" s="1838">
        <v>657004</v>
      </c>
      <c r="I356" s="1704">
        <v>1075051</v>
      </c>
      <c r="J356" s="1846">
        <v>0</v>
      </c>
      <c r="K356" s="479">
        <v>0</v>
      </c>
      <c r="L356" s="1982">
        <f t="shared" si="33"/>
        <v>1732055</v>
      </c>
      <c r="M356" s="1838">
        <v>89708</v>
      </c>
      <c r="N356" s="479">
        <v>551351</v>
      </c>
      <c r="O356" s="1704">
        <v>0</v>
      </c>
      <c r="P356" s="479">
        <v>0</v>
      </c>
      <c r="Q356" s="1986">
        <f t="shared" si="34"/>
        <v>641059</v>
      </c>
    </row>
    <row r="357" spans="1:17">
      <c r="A357" s="134">
        <f t="shared" si="35"/>
        <v>2021.12</v>
      </c>
      <c r="B357" s="1818">
        <f t="shared" si="31"/>
        <v>1698312</v>
      </c>
      <c r="C357" s="1822">
        <f t="shared" si="32"/>
        <v>1518938</v>
      </c>
      <c r="D357" s="1007">
        <v>2304805</v>
      </c>
      <c r="E357" s="1704">
        <v>0</v>
      </c>
      <c r="F357" s="479">
        <v>2143164</v>
      </c>
      <c r="G357" s="1835">
        <v>0</v>
      </c>
      <c r="H357" s="1838">
        <v>646903</v>
      </c>
      <c r="I357" s="1704">
        <v>1051409</v>
      </c>
      <c r="J357" s="1846">
        <v>0</v>
      </c>
      <c r="K357" s="479">
        <v>0</v>
      </c>
      <c r="L357" s="1982">
        <f t="shared" si="33"/>
        <v>1698312</v>
      </c>
      <c r="M357" s="1838">
        <v>413925</v>
      </c>
      <c r="N357" s="479">
        <v>1105013</v>
      </c>
      <c r="O357" s="1704">
        <v>0</v>
      </c>
      <c r="P357" s="479">
        <v>0</v>
      </c>
      <c r="Q357" s="1986">
        <f t="shared" si="34"/>
        <v>1518938</v>
      </c>
    </row>
    <row r="358" spans="1:17">
      <c r="A358" s="134">
        <f t="shared" si="35"/>
        <v>2022.01</v>
      </c>
      <c r="B358" s="1818">
        <f t="shared" si="31"/>
        <v>1280121</v>
      </c>
      <c r="C358" s="1822">
        <f t="shared" si="32"/>
        <v>1447584</v>
      </c>
      <c r="D358" s="1007">
        <v>1725357</v>
      </c>
      <c r="E358" s="1704">
        <v>0</v>
      </c>
      <c r="F358" s="479">
        <v>2721649</v>
      </c>
      <c r="G358" s="1835">
        <v>0</v>
      </c>
      <c r="H358" s="1838">
        <v>503498</v>
      </c>
      <c r="I358" s="1704">
        <v>776623</v>
      </c>
      <c r="J358" s="1846">
        <v>0</v>
      </c>
      <c r="K358" s="479">
        <v>0</v>
      </c>
      <c r="L358" s="1982">
        <f t="shared" si="33"/>
        <v>1280121</v>
      </c>
      <c r="M358" s="1838">
        <v>438361</v>
      </c>
      <c r="N358" s="479">
        <v>1009223</v>
      </c>
      <c r="O358" s="1704">
        <v>0</v>
      </c>
      <c r="P358" s="479">
        <v>0</v>
      </c>
      <c r="Q358" s="1986">
        <f t="shared" si="34"/>
        <v>1447584</v>
      </c>
    </row>
    <row r="359" spans="1:17">
      <c r="A359" s="134">
        <f t="shared" si="35"/>
        <v>2022.02</v>
      </c>
      <c r="B359" s="1818">
        <f t="shared" si="31"/>
        <v>1247987</v>
      </c>
      <c r="C359" s="1822">
        <f t="shared" si="32"/>
        <v>1448049</v>
      </c>
      <c r="D359" s="1007">
        <v>1728980</v>
      </c>
      <c r="E359" s="1704">
        <v>0</v>
      </c>
      <c r="F359" s="479">
        <v>2402281</v>
      </c>
      <c r="G359" s="1835">
        <v>0</v>
      </c>
      <c r="H359" s="1838">
        <v>480369</v>
      </c>
      <c r="I359" s="1704">
        <v>767618</v>
      </c>
      <c r="J359" s="1846">
        <v>0</v>
      </c>
      <c r="K359" s="479">
        <v>0</v>
      </c>
      <c r="L359" s="1982">
        <f t="shared" si="33"/>
        <v>1247987</v>
      </c>
      <c r="M359" s="1838">
        <v>388295</v>
      </c>
      <c r="N359" s="479">
        <v>1059754</v>
      </c>
      <c r="O359" s="1704">
        <v>0</v>
      </c>
      <c r="P359" s="479">
        <v>0</v>
      </c>
      <c r="Q359" s="1986">
        <f t="shared" si="34"/>
        <v>1448049</v>
      </c>
    </row>
    <row r="360" spans="1:17">
      <c r="A360" s="134">
        <f t="shared" si="35"/>
        <v>2022.03</v>
      </c>
      <c r="B360" s="1818">
        <f t="shared" si="31"/>
        <v>2352829</v>
      </c>
      <c r="C360" s="1822">
        <f t="shared" si="32"/>
        <v>1425745</v>
      </c>
      <c r="D360" s="1007">
        <v>2961946</v>
      </c>
      <c r="E360" s="1704">
        <v>0</v>
      </c>
      <c r="F360" s="479">
        <v>2048231</v>
      </c>
      <c r="G360" s="1835">
        <v>0</v>
      </c>
      <c r="H360" s="1838">
        <v>595236</v>
      </c>
      <c r="I360" s="1846">
        <v>1757593</v>
      </c>
      <c r="J360" s="1846">
        <v>0</v>
      </c>
      <c r="K360" s="479">
        <v>0</v>
      </c>
      <c r="L360" s="1982">
        <f t="shared" si="33"/>
        <v>2352829</v>
      </c>
      <c r="M360" s="1838">
        <v>465943</v>
      </c>
      <c r="N360" s="1704">
        <v>959802</v>
      </c>
      <c r="O360" s="1704">
        <v>0</v>
      </c>
      <c r="P360" s="479">
        <v>0</v>
      </c>
      <c r="Q360" s="1986">
        <f>SUM(M360:P360)</f>
        <v>1425745</v>
      </c>
    </row>
    <row r="361" spans="1:17">
      <c r="A361" s="134">
        <f t="shared" si="35"/>
        <v>2022.04</v>
      </c>
      <c r="B361" s="1818">
        <f>L361</f>
        <v>2814395</v>
      </c>
      <c r="C361" s="1982">
        <f t="shared" si="32"/>
        <v>1246665</v>
      </c>
      <c r="D361" s="479">
        <v>3821618</v>
      </c>
      <c r="E361" s="1704">
        <v>0</v>
      </c>
      <c r="F361" s="479">
        <v>1763462</v>
      </c>
      <c r="G361" s="1835">
        <v>0</v>
      </c>
      <c r="H361" s="1838">
        <v>861841</v>
      </c>
      <c r="I361" s="1704">
        <v>1952554</v>
      </c>
      <c r="J361" s="1846">
        <v>0</v>
      </c>
      <c r="K361" s="479">
        <v>0</v>
      </c>
      <c r="L361" s="1982">
        <f t="shared" si="33"/>
        <v>2814395</v>
      </c>
      <c r="M361" s="1838">
        <v>486775</v>
      </c>
      <c r="N361" s="479">
        <v>759890</v>
      </c>
      <c r="O361" s="1704">
        <v>0</v>
      </c>
      <c r="P361" s="479">
        <v>0</v>
      </c>
      <c r="Q361" s="1986">
        <f t="shared" si="34"/>
        <v>1246665</v>
      </c>
    </row>
    <row r="362" spans="1:17">
      <c r="A362" s="134">
        <f t="shared" si="35"/>
        <v>2022.05</v>
      </c>
      <c r="B362" s="1818">
        <f t="shared" si="31"/>
        <v>2356891</v>
      </c>
      <c r="C362" s="1822">
        <f t="shared" si="32"/>
        <v>650109</v>
      </c>
      <c r="D362" s="1007">
        <v>3464701</v>
      </c>
      <c r="E362" s="1704">
        <v>0</v>
      </c>
      <c r="F362" s="479">
        <v>1209643</v>
      </c>
      <c r="G362" s="1835">
        <v>0</v>
      </c>
      <c r="H362" s="1838">
        <v>712163</v>
      </c>
      <c r="I362" s="1704">
        <v>1644728</v>
      </c>
      <c r="J362" s="1846">
        <v>0</v>
      </c>
      <c r="K362" s="479">
        <v>0</v>
      </c>
      <c r="L362" s="1982">
        <f t="shared" si="33"/>
        <v>2356891</v>
      </c>
      <c r="M362" s="1838">
        <v>208268</v>
      </c>
      <c r="N362" s="479">
        <v>441841</v>
      </c>
      <c r="O362" s="1704">
        <v>0</v>
      </c>
      <c r="P362" s="479">
        <v>0</v>
      </c>
      <c r="Q362" s="1986">
        <f t="shared" si="34"/>
        <v>650109</v>
      </c>
    </row>
    <row r="363" spans="1:17">
      <c r="A363" s="134">
        <f t="shared" si="35"/>
        <v>2022.06</v>
      </c>
      <c r="B363" s="1818">
        <f t="shared" si="31"/>
        <v>2447404</v>
      </c>
      <c r="C363" s="1822">
        <f t="shared" si="32"/>
        <v>321658</v>
      </c>
      <c r="D363" s="1007">
        <v>3383386</v>
      </c>
      <c r="E363" s="1704">
        <v>0</v>
      </c>
      <c r="F363" s="479">
        <v>668062</v>
      </c>
      <c r="G363" s="1835">
        <v>0</v>
      </c>
      <c r="H363" s="1838">
        <v>907693</v>
      </c>
      <c r="I363" s="1704">
        <v>1539711</v>
      </c>
      <c r="J363" s="1846">
        <v>0</v>
      </c>
      <c r="K363" s="479">
        <v>0</v>
      </c>
      <c r="L363" s="1982">
        <f t="shared" si="33"/>
        <v>2447404</v>
      </c>
      <c r="M363" s="1838">
        <v>179407</v>
      </c>
      <c r="N363" s="479">
        <v>142251</v>
      </c>
      <c r="O363" s="1704">
        <v>0</v>
      </c>
      <c r="P363" s="479">
        <v>0</v>
      </c>
      <c r="Q363" s="1986">
        <f t="shared" si="34"/>
        <v>321658</v>
      </c>
    </row>
    <row r="364" spans="1:17">
      <c r="A364" s="134">
        <f t="shared" si="35"/>
        <v>2022.07</v>
      </c>
      <c r="B364" s="1818">
        <f t="shared" si="31"/>
        <v>3451783</v>
      </c>
      <c r="C364" s="1822">
        <f t="shared" si="32"/>
        <v>374512</v>
      </c>
      <c r="D364" s="1007">
        <v>4689646</v>
      </c>
      <c r="E364" s="1704">
        <v>16990</v>
      </c>
      <c r="F364" s="479">
        <v>615795</v>
      </c>
      <c r="G364" s="1835">
        <v>0</v>
      </c>
      <c r="H364" s="1838">
        <v>963176</v>
      </c>
      <c r="I364" s="1704">
        <v>2471617</v>
      </c>
      <c r="J364" s="1846">
        <v>0</v>
      </c>
      <c r="K364" s="479">
        <v>16990</v>
      </c>
      <c r="L364" s="1982">
        <f t="shared" si="33"/>
        <v>3451783</v>
      </c>
      <c r="M364" s="1838">
        <v>275678</v>
      </c>
      <c r="N364" s="479">
        <v>98834</v>
      </c>
      <c r="O364" s="1704">
        <v>0</v>
      </c>
      <c r="P364" s="479">
        <v>0</v>
      </c>
      <c r="Q364" s="1986">
        <f t="shared" si="34"/>
        <v>374512</v>
      </c>
    </row>
    <row r="365" spans="1:17">
      <c r="A365" s="134">
        <f t="shared" si="35"/>
        <v>2022.08</v>
      </c>
      <c r="B365" s="1818">
        <f t="shared" si="31"/>
        <v>2317711</v>
      </c>
      <c r="C365" s="1822">
        <f t="shared" si="32"/>
        <v>229638</v>
      </c>
      <c r="D365" s="1007">
        <v>3433575</v>
      </c>
      <c r="E365" s="1704">
        <v>260111</v>
      </c>
      <c r="F365" s="479">
        <v>419796</v>
      </c>
      <c r="G365" s="1835">
        <v>0</v>
      </c>
      <c r="H365" s="1838">
        <v>808385</v>
      </c>
      <c r="I365" s="1704">
        <v>1288453</v>
      </c>
      <c r="J365" s="1846">
        <v>0</v>
      </c>
      <c r="K365" s="479">
        <v>220873</v>
      </c>
      <c r="L365" s="1982">
        <f t="shared" si="33"/>
        <v>2317711</v>
      </c>
      <c r="M365" s="1838">
        <v>175638</v>
      </c>
      <c r="N365" s="479">
        <v>54000</v>
      </c>
      <c r="O365" s="1704">
        <v>0</v>
      </c>
      <c r="P365" s="479">
        <v>0</v>
      </c>
      <c r="Q365" s="1986">
        <f t="shared" si="34"/>
        <v>229638</v>
      </c>
    </row>
    <row r="366" spans="1:17">
      <c r="A366" s="134">
        <f t="shared" si="35"/>
        <v>2022.09</v>
      </c>
      <c r="B366" s="1818">
        <f t="shared" si="31"/>
        <v>1934300</v>
      </c>
      <c r="C366" s="1822">
        <f t="shared" si="32"/>
        <v>94530</v>
      </c>
      <c r="D366" s="1007">
        <v>2633727</v>
      </c>
      <c r="E366" s="1704">
        <v>180038</v>
      </c>
      <c r="F366" s="479">
        <v>129880</v>
      </c>
      <c r="G366" s="1835">
        <v>0</v>
      </c>
      <c r="H366" s="1838">
        <v>484514</v>
      </c>
      <c r="I366" s="1704">
        <v>1269748</v>
      </c>
      <c r="J366" s="1846">
        <v>0</v>
      </c>
      <c r="K366" s="479">
        <v>180038</v>
      </c>
      <c r="L366" s="1982">
        <f t="shared" si="33"/>
        <v>1934300</v>
      </c>
      <c r="M366" s="1838">
        <v>94530</v>
      </c>
      <c r="N366" s="479">
        <v>0</v>
      </c>
      <c r="O366" s="1704">
        <v>0</v>
      </c>
      <c r="P366" s="479">
        <v>0</v>
      </c>
      <c r="Q366" s="1986">
        <f t="shared" si="34"/>
        <v>94530</v>
      </c>
    </row>
    <row r="367" spans="1:17">
      <c r="A367" s="134">
        <f t="shared" si="35"/>
        <v>2022.1</v>
      </c>
      <c r="B367" s="1818">
        <f t="shared" si="31"/>
        <v>1952061</v>
      </c>
      <c r="C367" s="1822">
        <f t="shared" si="32"/>
        <v>171777</v>
      </c>
      <c r="D367" s="1007">
        <v>2301882</v>
      </c>
      <c r="E367" s="1704">
        <v>336800</v>
      </c>
      <c r="F367" s="479">
        <v>249737</v>
      </c>
      <c r="G367" s="1835">
        <v>0</v>
      </c>
      <c r="H367" s="1838">
        <v>490181</v>
      </c>
      <c r="I367" s="1704">
        <v>1125080</v>
      </c>
      <c r="J367" s="1846">
        <v>0</v>
      </c>
      <c r="K367" s="479">
        <v>336800</v>
      </c>
      <c r="L367" s="1982">
        <f t="shared" si="33"/>
        <v>1952061</v>
      </c>
      <c r="M367" s="1838">
        <v>171777</v>
      </c>
      <c r="N367" s="479">
        <v>0</v>
      </c>
      <c r="O367" s="1704">
        <v>0</v>
      </c>
      <c r="P367" s="479">
        <v>0</v>
      </c>
      <c r="Q367" s="1986">
        <f t="shared" si="34"/>
        <v>171777</v>
      </c>
    </row>
    <row r="368" spans="1:17">
      <c r="A368" s="134">
        <f t="shared" si="35"/>
        <v>2022.11</v>
      </c>
      <c r="B368" s="1818">
        <f t="shared" si="31"/>
        <v>1362878</v>
      </c>
      <c r="C368" s="1822">
        <f t="shared" si="32"/>
        <v>163337</v>
      </c>
      <c r="D368" s="1007">
        <v>1621233</v>
      </c>
      <c r="E368" s="1704">
        <v>85363</v>
      </c>
      <c r="F368" s="479">
        <v>196337</v>
      </c>
      <c r="G368" s="1835">
        <v>0</v>
      </c>
      <c r="H368" s="1838">
        <v>438408</v>
      </c>
      <c r="I368" s="1704">
        <v>839107</v>
      </c>
      <c r="J368" s="1846">
        <v>0</v>
      </c>
      <c r="K368" s="479">
        <v>85363</v>
      </c>
      <c r="L368" s="1982">
        <f t="shared" si="33"/>
        <v>1362878</v>
      </c>
      <c r="M368" s="1838">
        <v>93158</v>
      </c>
      <c r="N368" s="479">
        <v>70179</v>
      </c>
      <c r="O368" s="1704">
        <v>0</v>
      </c>
      <c r="P368" s="479">
        <v>0</v>
      </c>
      <c r="Q368" s="1986">
        <f t="shared" si="34"/>
        <v>163337</v>
      </c>
    </row>
    <row r="369" spans="1:17">
      <c r="A369" s="134">
        <f t="shared" si="35"/>
        <v>2022.12</v>
      </c>
      <c r="B369" s="1818">
        <f t="shared" si="31"/>
        <v>1185339</v>
      </c>
      <c r="C369" s="1822">
        <f t="shared" si="32"/>
        <v>576934</v>
      </c>
      <c r="D369" s="1007">
        <v>1397713</v>
      </c>
      <c r="E369" s="1704">
        <v>163975</v>
      </c>
      <c r="F369" s="479">
        <v>847019</v>
      </c>
      <c r="G369" s="1835">
        <v>0</v>
      </c>
      <c r="H369" s="1838">
        <v>397263</v>
      </c>
      <c r="I369" s="1704">
        <v>624101</v>
      </c>
      <c r="J369" s="1846">
        <v>0</v>
      </c>
      <c r="K369" s="479">
        <v>163975</v>
      </c>
      <c r="L369" s="1982">
        <f t="shared" si="33"/>
        <v>1185339</v>
      </c>
      <c r="M369" s="1838">
        <v>123230</v>
      </c>
      <c r="N369" s="479">
        <v>453704</v>
      </c>
      <c r="O369" s="1704">
        <v>0</v>
      </c>
      <c r="P369" s="479">
        <v>0</v>
      </c>
      <c r="Q369" s="1986">
        <f t="shared" si="34"/>
        <v>576934</v>
      </c>
    </row>
    <row r="370" spans="1:17">
      <c r="A370" s="134">
        <f t="shared" si="35"/>
        <v>2023.01</v>
      </c>
      <c r="B370" s="1818">
        <f t="shared" si="31"/>
        <v>886064</v>
      </c>
      <c r="C370" s="1822">
        <f>Q370</f>
        <v>169243</v>
      </c>
      <c r="D370" s="1007">
        <v>1006431</v>
      </c>
      <c r="E370" s="1704">
        <v>138012</v>
      </c>
      <c r="F370" s="479">
        <v>387652</v>
      </c>
      <c r="G370" s="1835">
        <v>0</v>
      </c>
      <c r="H370" s="1838">
        <v>333957</v>
      </c>
      <c r="I370" s="1704">
        <v>414095</v>
      </c>
      <c r="J370" s="1846">
        <v>0</v>
      </c>
      <c r="K370" s="479">
        <v>138012</v>
      </c>
      <c r="L370" s="1982">
        <f t="shared" si="33"/>
        <v>886064</v>
      </c>
      <c r="M370" s="1838">
        <v>82060</v>
      </c>
      <c r="N370" s="479">
        <v>87183</v>
      </c>
      <c r="O370" s="1704">
        <v>0</v>
      </c>
      <c r="P370" s="479">
        <v>0</v>
      </c>
      <c r="Q370" s="1986">
        <f t="shared" si="34"/>
        <v>169243</v>
      </c>
    </row>
    <row r="371" spans="1:17">
      <c r="A371" s="134">
        <f t="shared" si="35"/>
        <v>2023.02</v>
      </c>
      <c r="B371" s="1818">
        <f t="shared" si="31"/>
        <v>1123289</v>
      </c>
      <c r="C371" s="1822">
        <f t="shared" si="32"/>
        <v>98002</v>
      </c>
      <c r="D371" s="1007">
        <v>1415123</v>
      </c>
      <c r="E371" s="1704">
        <v>41754</v>
      </c>
      <c r="F371" s="479">
        <v>155002</v>
      </c>
      <c r="G371" s="1835">
        <v>0</v>
      </c>
      <c r="H371" s="1838">
        <v>473788</v>
      </c>
      <c r="I371" s="1704">
        <f>590747+17000</f>
        <v>607747</v>
      </c>
      <c r="J371" s="1846">
        <v>0</v>
      </c>
      <c r="K371" s="479">
        <v>41754</v>
      </c>
      <c r="L371" s="1982">
        <f t="shared" si="33"/>
        <v>1123289</v>
      </c>
      <c r="M371" s="1838">
        <v>37491</v>
      </c>
      <c r="N371" s="479">
        <f>60511</f>
        <v>60511</v>
      </c>
      <c r="O371" s="1704">
        <v>0</v>
      </c>
      <c r="P371" s="479">
        <v>0</v>
      </c>
      <c r="Q371" s="1986">
        <f t="shared" si="34"/>
        <v>98002</v>
      </c>
    </row>
    <row r="372" spans="1:17">
      <c r="A372" s="134">
        <f t="shared" si="35"/>
        <v>2023.03</v>
      </c>
      <c r="B372" s="1818">
        <f t="shared" si="31"/>
        <v>1475025</v>
      </c>
      <c r="C372" s="1822">
        <f t="shared" si="32"/>
        <v>116071</v>
      </c>
      <c r="D372" s="1007">
        <v>1889146</v>
      </c>
      <c r="E372" s="1704">
        <v>10749</v>
      </c>
      <c r="F372" s="479">
        <v>346551</v>
      </c>
      <c r="G372" s="1835">
        <v>0</v>
      </c>
      <c r="H372" s="1704">
        <v>498980</v>
      </c>
      <c r="I372" s="1704">
        <v>965296</v>
      </c>
      <c r="J372" s="1846">
        <v>0</v>
      </c>
      <c r="K372" s="479">
        <v>10749</v>
      </c>
      <c r="L372" s="1982">
        <f t="shared" si="33"/>
        <v>1475025</v>
      </c>
      <c r="M372" s="1838">
        <v>93579</v>
      </c>
      <c r="N372" s="479">
        <v>22492</v>
      </c>
      <c r="O372" s="1704">
        <v>0</v>
      </c>
      <c r="P372" s="479">
        <v>0</v>
      </c>
      <c r="Q372" s="1986">
        <f t="shared" si="34"/>
        <v>116071</v>
      </c>
    </row>
    <row r="373" spans="1:17">
      <c r="A373" s="134">
        <f t="shared" si="35"/>
        <v>2023.04</v>
      </c>
      <c r="B373" s="1818">
        <f t="shared" si="31"/>
        <v>1060688</v>
      </c>
      <c r="C373" s="1822">
        <f t="shared" si="32"/>
        <v>155850</v>
      </c>
      <c r="D373" s="1007">
        <v>1560652</v>
      </c>
      <c r="E373" s="1704">
        <v>28120</v>
      </c>
      <c r="F373" s="479">
        <v>223850</v>
      </c>
      <c r="G373" s="1835">
        <v>0</v>
      </c>
      <c r="H373" s="1838">
        <v>291389</v>
      </c>
      <c r="I373" s="1704">
        <v>741179</v>
      </c>
      <c r="J373" s="1846">
        <v>0</v>
      </c>
      <c r="K373" s="479">
        <v>28120</v>
      </c>
      <c r="L373" s="1982">
        <f t="shared" si="33"/>
        <v>1060688</v>
      </c>
      <c r="M373" s="1838">
        <v>128850</v>
      </c>
      <c r="N373" s="479">
        <v>27000</v>
      </c>
      <c r="O373" s="1704">
        <v>0</v>
      </c>
      <c r="P373" s="479">
        <v>0</v>
      </c>
      <c r="Q373" s="1986">
        <f t="shared" si="34"/>
        <v>155850</v>
      </c>
    </row>
    <row r="374" spans="1:17">
      <c r="A374" s="134">
        <f t="shared" si="35"/>
        <v>2023.05</v>
      </c>
      <c r="B374" s="1818">
        <f t="shared" si="31"/>
        <v>1087094</v>
      </c>
      <c r="C374" s="1822">
        <f t="shared" si="32"/>
        <v>89110</v>
      </c>
      <c r="D374" s="1007">
        <v>1741202</v>
      </c>
      <c r="E374" s="1704">
        <v>0</v>
      </c>
      <c r="F374" s="479">
        <v>166760</v>
      </c>
      <c r="G374" s="1835">
        <v>0</v>
      </c>
      <c r="H374" s="1838">
        <v>314289</v>
      </c>
      <c r="I374" s="1704">
        <v>772805</v>
      </c>
      <c r="J374" s="1846">
        <v>0</v>
      </c>
      <c r="K374" s="479">
        <v>0</v>
      </c>
      <c r="L374" s="1982">
        <f t="shared" si="33"/>
        <v>1087094</v>
      </c>
      <c r="M374" s="1838">
        <v>42610</v>
      </c>
      <c r="N374" s="479">
        <v>46500</v>
      </c>
      <c r="O374" s="1704">
        <v>0</v>
      </c>
      <c r="P374" s="479">
        <v>0</v>
      </c>
      <c r="Q374" s="1986">
        <f t="shared" si="34"/>
        <v>89110</v>
      </c>
    </row>
    <row r="375" spans="1:17">
      <c r="A375" s="134">
        <f t="shared" si="35"/>
        <v>2023.06</v>
      </c>
      <c r="B375" s="1818">
        <f t="shared" si="31"/>
        <v>1573325</v>
      </c>
      <c r="C375" s="1822">
        <f t="shared" si="32"/>
        <v>81244</v>
      </c>
      <c r="D375" s="1007">
        <v>2214253</v>
      </c>
      <c r="E375" s="1704">
        <v>0</v>
      </c>
      <c r="F375" s="479">
        <v>149744</v>
      </c>
      <c r="G375" s="1835">
        <v>0</v>
      </c>
      <c r="H375" s="1838">
        <v>490918</v>
      </c>
      <c r="I375" s="1704">
        <v>1082407</v>
      </c>
      <c r="J375" s="1846">
        <v>0</v>
      </c>
      <c r="K375" s="479">
        <v>0</v>
      </c>
      <c r="L375" s="1982">
        <f t="shared" si="33"/>
        <v>1573325</v>
      </c>
      <c r="M375" s="1838">
        <v>53740</v>
      </c>
      <c r="N375" s="479">
        <v>27504</v>
      </c>
      <c r="O375" s="1704">
        <v>0</v>
      </c>
      <c r="P375" s="479">
        <v>0</v>
      </c>
      <c r="Q375" s="1986">
        <f t="shared" si="34"/>
        <v>81244</v>
      </c>
    </row>
    <row r="376" spans="1:17">
      <c r="A376" s="134">
        <f t="shared" si="35"/>
        <v>2023.07</v>
      </c>
      <c r="B376" s="1818">
        <f t="shared" si="31"/>
        <v>2122198</v>
      </c>
      <c r="C376" s="1822">
        <f t="shared" si="32"/>
        <v>0</v>
      </c>
      <c r="D376" s="1007">
        <v>2835046</v>
      </c>
      <c r="E376" s="1704">
        <v>0</v>
      </c>
      <c r="F376" s="479">
        <v>153160</v>
      </c>
      <c r="G376" s="1835">
        <v>0</v>
      </c>
      <c r="H376" s="1838">
        <v>719517</v>
      </c>
      <c r="I376" s="1704">
        <v>1402681</v>
      </c>
      <c r="J376" s="1846">
        <v>0</v>
      </c>
      <c r="K376" s="479">
        <v>0</v>
      </c>
      <c r="L376" s="1982">
        <f t="shared" si="33"/>
        <v>2122198</v>
      </c>
      <c r="M376" s="1838">
        <v>0</v>
      </c>
      <c r="N376" s="479">
        <v>0</v>
      </c>
      <c r="O376" s="1704">
        <v>0</v>
      </c>
      <c r="P376" s="479">
        <v>0</v>
      </c>
      <c r="Q376" s="1986">
        <f t="shared" si="34"/>
        <v>0</v>
      </c>
    </row>
    <row r="377" spans="1:17">
      <c r="A377" s="134">
        <f t="shared" si="35"/>
        <v>2023.08</v>
      </c>
      <c r="B377" s="1818">
        <f t="shared" si="31"/>
        <v>3056065</v>
      </c>
      <c r="C377" s="1822">
        <f t="shared" si="32"/>
        <v>58430</v>
      </c>
      <c r="D377" s="1007">
        <v>3934564</v>
      </c>
      <c r="E377" s="1704">
        <v>30495</v>
      </c>
      <c r="F377" s="479">
        <v>111387</v>
      </c>
      <c r="G377" s="1835">
        <v>0</v>
      </c>
      <c r="H377" s="1838">
        <v>685133</v>
      </c>
      <c r="I377" s="1704">
        <f>2322483+17954</f>
        <v>2340437</v>
      </c>
      <c r="J377" s="1846">
        <v>0</v>
      </c>
      <c r="K377" s="479">
        <v>30495</v>
      </c>
      <c r="L377" s="1982">
        <f t="shared" si="33"/>
        <v>3056065</v>
      </c>
      <c r="M377" s="1838">
        <v>58430</v>
      </c>
      <c r="N377" s="479">
        <v>0</v>
      </c>
      <c r="O377" s="1704">
        <v>0</v>
      </c>
      <c r="P377" s="479">
        <v>0</v>
      </c>
      <c r="Q377" s="1986">
        <f t="shared" si="34"/>
        <v>58430</v>
      </c>
    </row>
    <row r="378" spans="1:17">
      <c r="A378" s="134">
        <f t="shared" si="35"/>
        <v>2023.09</v>
      </c>
      <c r="B378" s="1818">
        <f t="shared" si="31"/>
        <v>2190357</v>
      </c>
      <c r="C378" s="1822">
        <f t="shared" si="32"/>
        <v>0</v>
      </c>
      <c r="D378" s="1007">
        <v>2891785</v>
      </c>
      <c r="E378" s="1704">
        <v>37864</v>
      </c>
      <c r="F378" s="479">
        <v>124649</v>
      </c>
      <c r="G378" s="1835">
        <v>0</v>
      </c>
      <c r="H378" s="1838">
        <v>838501</v>
      </c>
      <c r="I378" s="1704">
        <f>82021+1231971</f>
        <v>1313992</v>
      </c>
      <c r="J378" s="1846">
        <v>0</v>
      </c>
      <c r="K378" s="479">
        <v>37864</v>
      </c>
      <c r="L378" s="1982">
        <f t="shared" si="33"/>
        <v>2190357</v>
      </c>
      <c r="M378" s="1838">
        <v>0</v>
      </c>
      <c r="N378" s="479">
        <v>0</v>
      </c>
      <c r="O378" s="1704">
        <v>0</v>
      </c>
      <c r="P378" s="479">
        <v>0</v>
      </c>
      <c r="Q378" s="1986">
        <f t="shared" si="34"/>
        <v>0</v>
      </c>
    </row>
    <row r="379" spans="1:17">
      <c r="A379" s="134">
        <f t="shared" si="35"/>
        <v>2023.1</v>
      </c>
      <c r="B379" s="1818">
        <f t="shared" si="31"/>
        <v>1308566</v>
      </c>
      <c r="C379" s="1822">
        <f t="shared" si="32"/>
        <v>29700</v>
      </c>
      <c r="D379" s="1007">
        <v>1637070</v>
      </c>
      <c r="E379" s="1704">
        <v>120036</v>
      </c>
      <c r="F379" s="479">
        <v>56700</v>
      </c>
      <c r="G379" s="1835">
        <v>0</v>
      </c>
      <c r="H379" s="1838">
        <v>376475</v>
      </c>
      <c r="I379" s="1704">
        <v>812055</v>
      </c>
      <c r="J379" s="1846">
        <v>0</v>
      </c>
      <c r="K379" s="479">
        <v>120036</v>
      </c>
      <c r="L379" s="1982">
        <f t="shared" si="33"/>
        <v>1308566</v>
      </c>
      <c r="M379" s="1838">
        <v>29700</v>
      </c>
      <c r="N379" s="479">
        <v>0</v>
      </c>
      <c r="O379" s="1704">
        <v>0</v>
      </c>
      <c r="P379" s="479">
        <v>0</v>
      </c>
      <c r="Q379" s="1986">
        <f t="shared" si="34"/>
        <v>29700</v>
      </c>
    </row>
    <row r="380" spans="1:17">
      <c r="A380" s="134">
        <f t="shared" si="35"/>
        <v>2023.11</v>
      </c>
      <c r="B380" s="1818">
        <f t="shared" si="31"/>
        <v>968767</v>
      </c>
      <c r="C380" s="1822">
        <f t="shared" si="32"/>
        <v>138258</v>
      </c>
      <c r="D380" s="1007">
        <v>1130563</v>
      </c>
      <c r="E380" s="1704">
        <v>190780</v>
      </c>
      <c r="F380" s="479">
        <v>161558</v>
      </c>
      <c r="G380" s="1835">
        <v>0</v>
      </c>
      <c r="H380" s="1838">
        <v>213313</v>
      </c>
      <c r="I380" s="1704">
        <v>564674</v>
      </c>
      <c r="J380" s="1846">
        <v>0</v>
      </c>
      <c r="K380" s="479">
        <v>190780</v>
      </c>
      <c r="L380" s="1982">
        <f t="shared" si="33"/>
        <v>968767</v>
      </c>
      <c r="M380" s="1838">
        <v>103258</v>
      </c>
      <c r="N380" s="479">
        <v>35000</v>
      </c>
      <c r="O380" s="1704">
        <v>0</v>
      </c>
      <c r="P380" s="479">
        <v>0</v>
      </c>
      <c r="Q380" s="1986">
        <f t="shared" si="34"/>
        <v>138258</v>
      </c>
    </row>
    <row r="381" spans="1:17">
      <c r="A381" s="134">
        <f t="shared" si="35"/>
        <v>2023.12</v>
      </c>
      <c r="B381" s="1818">
        <f t="shared" si="31"/>
        <v>989074</v>
      </c>
      <c r="C381" s="1822">
        <f t="shared" si="32"/>
        <v>709267</v>
      </c>
      <c r="D381" s="1007">
        <v>1221503</v>
      </c>
      <c r="E381" s="1704">
        <v>111029</v>
      </c>
      <c r="F381" s="479">
        <v>748156</v>
      </c>
      <c r="G381" s="1835">
        <v>0</v>
      </c>
      <c r="H381" s="1838">
        <v>348396</v>
      </c>
      <c r="I381" s="1704">
        <v>529649</v>
      </c>
      <c r="J381" s="1846">
        <v>0</v>
      </c>
      <c r="K381" s="479">
        <v>111029</v>
      </c>
      <c r="L381" s="1982">
        <f t="shared" si="33"/>
        <v>989074</v>
      </c>
      <c r="M381" s="1838">
        <v>313824</v>
      </c>
      <c r="N381" s="479">
        <v>395443</v>
      </c>
      <c r="O381" s="1704">
        <v>0</v>
      </c>
      <c r="P381" s="479">
        <v>0</v>
      </c>
      <c r="Q381" s="1986">
        <f t="shared" si="34"/>
        <v>709267</v>
      </c>
    </row>
    <row r="382" spans="1:17">
      <c r="A382" s="134">
        <f t="shared" si="35"/>
        <v>2024.01</v>
      </c>
      <c r="B382" s="1818">
        <f>L382</f>
        <v>1690798</v>
      </c>
      <c r="C382" s="1822">
        <f t="shared" si="32"/>
        <v>803737</v>
      </c>
      <c r="D382" s="1007">
        <v>1940076</v>
      </c>
      <c r="E382" s="1704">
        <v>60395</v>
      </c>
      <c r="F382" s="479">
        <v>1223839</v>
      </c>
      <c r="G382" s="1835">
        <v>0</v>
      </c>
      <c r="H382" s="1838">
        <v>560991</v>
      </c>
      <c r="I382" s="1704">
        <v>1069412</v>
      </c>
      <c r="J382" s="1846">
        <v>0</v>
      </c>
      <c r="K382" s="479">
        <v>60395</v>
      </c>
      <c r="L382" s="1982">
        <f t="shared" si="33"/>
        <v>1690798</v>
      </c>
      <c r="M382" s="1838">
        <v>211325</v>
      </c>
      <c r="N382" s="479">
        <v>592412</v>
      </c>
      <c r="O382" s="1704">
        <v>0</v>
      </c>
      <c r="P382" s="479">
        <v>0</v>
      </c>
      <c r="Q382" s="1986">
        <f t="shared" si="34"/>
        <v>803737</v>
      </c>
    </row>
    <row r="383" spans="1:17">
      <c r="A383" s="134">
        <f t="shared" si="35"/>
        <v>2024.02</v>
      </c>
      <c r="B383" s="1818">
        <f t="shared" si="31"/>
        <v>1382781</v>
      </c>
      <c r="C383" s="1822">
        <f t="shared" si="32"/>
        <v>759624</v>
      </c>
      <c r="D383" s="1007">
        <v>1775038</v>
      </c>
      <c r="E383" s="1704">
        <v>43106</v>
      </c>
      <c r="F383" s="479">
        <v>1142541</v>
      </c>
      <c r="G383" s="1835">
        <v>9630</v>
      </c>
      <c r="H383" s="1838">
        <v>404851</v>
      </c>
      <c r="I383" s="1704">
        <v>934824</v>
      </c>
      <c r="J383" s="1846">
        <v>0</v>
      </c>
      <c r="K383" s="479">
        <v>43106</v>
      </c>
      <c r="L383" s="1982">
        <f t="shared" si="33"/>
        <v>1382781</v>
      </c>
      <c r="M383" s="1838">
        <v>221039</v>
      </c>
      <c r="N383" s="479">
        <v>528955</v>
      </c>
      <c r="O383" s="1704">
        <v>0</v>
      </c>
      <c r="P383" s="479">
        <v>9630</v>
      </c>
      <c r="Q383" s="1986">
        <f t="shared" si="34"/>
        <v>759624</v>
      </c>
    </row>
    <row r="384" spans="1:17">
      <c r="A384" s="134">
        <f t="shared" si="35"/>
        <v>2024.03</v>
      </c>
      <c r="B384" s="1818">
        <f t="shared" si="31"/>
        <v>2987286</v>
      </c>
      <c r="C384" s="1822">
        <f t="shared" si="32"/>
        <v>545618</v>
      </c>
      <c r="D384" s="1007">
        <v>3710101</v>
      </c>
      <c r="E384" s="1704">
        <v>0</v>
      </c>
      <c r="F384" s="479">
        <v>997797</v>
      </c>
      <c r="G384" s="1835">
        <v>9773</v>
      </c>
      <c r="H384" s="1838">
        <v>1031953</v>
      </c>
      <c r="I384" s="1704">
        <v>1955333</v>
      </c>
      <c r="J384" s="1846">
        <v>0</v>
      </c>
      <c r="K384" s="479">
        <v>0</v>
      </c>
      <c r="L384" s="1982">
        <f t="shared" si="33"/>
        <v>2987286</v>
      </c>
      <c r="M384" s="1838">
        <v>282053</v>
      </c>
      <c r="N384" s="479">
        <v>253792</v>
      </c>
      <c r="O384" s="1704">
        <v>9773</v>
      </c>
      <c r="P384" s="479">
        <v>0</v>
      </c>
      <c r="Q384" s="1986">
        <f t="shared" si="34"/>
        <v>545618</v>
      </c>
    </row>
    <row r="385" spans="1:17">
      <c r="A385" s="134">
        <f t="shared" si="35"/>
        <v>2024.04</v>
      </c>
      <c r="B385" s="1818" t="e">
        <f t="shared" si="31"/>
        <v>#N/A</v>
      </c>
      <c r="C385" s="1822" t="e">
        <f t="shared" si="32"/>
        <v>#N/A</v>
      </c>
      <c r="D385" s="1007" t="e">
        <v>#N/A</v>
      </c>
      <c r="E385" s="1704" t="e">
        <v>#N/A</v>
      </c>
      <c r="F385" s="479" t="e">
        <v>#N/A</v>
      </c>
      <c r="G385" s="1835" t="e">
        <v>#N/A</v>
      </c>
      <c r="H385" s="1838" t="e">
        <v>#N/A</v>
      </c>
      <c r="I385" s="1704" t="e">
        <v>#N/A</v>
      </c>
      <c r="J385" s="1846" t="e">
        <v>#N/A</v>
      </c>
      <c r="K385" s="479" t="e">
        <v>#N/A</v>
      </c>
      <c r="L385" s="1982" t="e">
        <f t="shared" si="33"/>
        <v>#N/A</v>
      </c>
      <c r="M385" s="1838" t="e">
        <v>#N/A</v>
      </c>
      <c r="N385" s="479" t="e">
        <v>#N/A</v>
      </c>
      <c r="O385" s="1704" t="e">
        <v>#N/A</v>
      </c>
      <c r="P385" s="479" t="e">
        <v>#N/A</v>
      </c>
      <c r="Q385" s="1986" t="e">
        <f t="shared" si="34"/>
        <v>#N/A</v>
      </c>
    </row>
    <row r="386" spans="1:17">
      <c r="A386" s="134">
        <f t="shared" si="35"/>
        <v>2024.05</v>
      </c>
      <c r="B386" s="1818" t="e">
        <f t="shared" si="31"/>
        <v>#N/A</v>
      </c>
      <c r="C386" s="1822" t="e">
        <f t="shared" si="32"/>
        <v>#N/A</v>
      </c>
      <c r="D386" s="1007" t="e">
        <v>#N/A</v>
      </c>
      <c r="E386" s="1704" t="e">
        <v>#N/A</v>
      </c>
      <c r="F386" s="479" t="e">
        <v>#N/A</v>
      </c>
      <c r="G386" s="1835" t="e">
        <v>#N/A</v>
      </c>
      <c r="H386" s="1838" t="e">
        <v>#N/A</v>
      </c>
      <c r="I386" s="1704" t="e">
        <v>#N/A</v>
      </c>
      <c r="J386" s="1846" t="e">
        <v>#N/A</v>
      </c>
      <c r="K386" s="479" t="e">
        <v>#N/A</v>
      </c>
      <c r="L386" s="1982" t="e">
        <f t="shared" si="33"/>
        <v>#N/A</v>
      </c>
      <c r="M386" s="1838" t="e">
        <v>#N/A</v>
      </c>
      <c r="N386" s="479" t="e">
        <v>#N/A</v>
      </c>
      <c r="O386" s="1704" t="e">
        <v>#N/A</v>
      </c>
      <c r="P386" s="479" t="e">
        <v>#N/A</v>
      </c>
      <c r="Q386" s="1986" t="e">
        <f t="shared" si="34"/>
        <v>#N/A</v>
      </c>
    </row>
    <row r="387" spans="1:17">
      <c r="A387" s="134">
        <f t="shared" si="35"/>
        <v>2024.06</v>
      </c>
      <c r="B387" s="1818" t="e">
        <f t="shared" si="31"/>
        <v>#N/A</v>
      </c>
      <c r="C387" s="1822" t="e">
        <f t="shared" si="32"/>
        <v>#N/A</v>
      </c>
      <c r="D387" s="1007" t="e">
        <v>#N/A</v>
      </c>
      <c r="E387" s="1704" t="e">
        <v>#N/A</v>
      </c>
      <c r="F387" s="479" t="e">
        <v>#N/A</v>
      </c>
      <c r="G387" s="1835" t="e">
        <v>#N/A</v>
      </c>
      <c r="H387" s="1838" t="e">
        <v>#N/A</v>
      </c>
      <c r="I387" s="1704" t="e">
        <v>#N/A</v>
      </c>
      <c r="J387" s="1846" t="e">
        <v>#N/A</v>
      </c>
      <c r="K387" s="479" t="e">
        <v>#N/A</v>
      </c>
      <c r="L387" s="1982" t="e">
        <f t="shared" si="33"/>
        <v>#N/A</v>
      </c>
      <c r="M387" s="1838" t="e">
        <v>#N/A</v>
      </c>
      <c r="N387" s="479" t="e">
        <v>#N/A</v>
      </c>
      <c r="O387" s="1704" t="e">
        <v>#N/A</v>
      </c>
      <c r="P387" s="479" t="e">
        <v>#N/A</v>
      </c>
      <c r="Q387" s="1986" t="e">
        <f t="shared" si="34"/>
        <v>#N/A</v>
      </c>
    </row>
    <row r="388" spans="1:17">
      <c r="A388" s="134">
        <f t="shared" si="35"/>
        <v>2024.07</v>
      </c>
      <c r="B388" s="1818" t="e">
        <f t="shared" si="31"/>
        <v>#N/A</v>
      </c>
      <c r="C388" s="1822" t="e">
        <f t="shared" si="32"/>
        <v>#N/A</v>
      </c>
      <c r="D388" s="1007" t="e">
        <v>#N/A</v>
      </c>
      <c r="E388" s="1704" t="e">
        <v>#N/A</v>
      </c>
      <c r="F388" s="479" t="e">
        <v>#N/A</v>
      </c>
      <c r="G388" s="1835" t="e">
        <v>#N/A</v>
      </c>
      <c r="H388" s="1838" t="e">
        <v>#N/A</v>
      </c>
      <c r="I388" s="1704" t="e">
        <v>#N/A</v>
      </c>
      <c r="J388" s="1846" t="e">
        <v>#N/A</v>
      </c>
      <c r="K388" s="479" t="e">
        <v>#N/A</v>
      </c>
      <c r="L388" s="1982" t="e">
        <f t="shared" si="33"/>
        <v>#N/A</v>
      </c>
      <c r="M388" s="1838" t="e">
        <v>#N/A</v>
      </c>
      <c r="N388" s="479" t="e">
        <v>#N/A</v>
      </c>
      <c r="O388" s="1704" t="e">
        <v>#N/A</v>
      </c>
      <c r="P388" s="479" t="e">
        <v>#N/A</v>
      </c>
      <c r="Q388" s="1986" t="e">
        <f t="shared" si="34"/>
        <v>#N/A</v>
      </c>
    </row>
    <row r="389" spans="1:17">
      <c r="A389" s="134">
        <f t="shared" si="35"/>
        <v>2024.08</v>
      </c>
      <c r="B389" s="1818" t="e">
        <f t="shared" si="31"/>
        <v>#N/A</v>
      </c>
      <c r="C389" s="1822" t="e">
        <f t="shared" si="32"/>
        <v>#N/A</v>
      </c>
      <c r="D389" s="1007" t="e">
        <v>#N/A</v>
      </c>
      <c r="E389" s="1704" t="e">
        <v>#N/A</v>
      </c>
      <c r="F389" s="479" t="e">
        <v>#N/A</v>
      </c>
      <c r="G389" s="1835" t="e">
        <v>#N/A</v>
      </c>
      <c r="H389" s="1838" t="e">
        <v>#N/A</v>
      </c>
      <c r="I389" s="1704" t="e">
        <v>#N/A</v>
      </c>
      <c r="J389" s="1846" t="e">
        <v>#N/A</v>
      </c>
      <c r="K389" s="479" t="e">
        <v>#N/A</v>
      </c>
      <c r="L389" s="1982" t="e">
        <f t="shared" si="33"/>
        <v>#N/A</v>
      </c>
      <c r="M389" s="1838" t="e">
        <v>#N/A</v>
      </c>
      <c r="N389" s="479" t="e">
        <v>#N/A</v>
      </c>
      <c r="O389" s="1704" t="e">
        <v>#N/A</v>
      </c>
      <c r="P389" s="479" t="e">
        <v>#N/A</v>
      </c>
      <c r="Q389" s="1986" t="e">
        <f t="shared" si="34"/>
        <v>#N/A</v>
      </c>
    </row>
    <row r="390" spans="1:17">
      <c r="A390" s="134">
        <f t="shared" si="35"/>
        <v>2024.09</v>
      </c>
      <c r="B390" s="1818" t="e">
        <f t="shared" si="31"/>
        <v>#N/A</v>
      </c>
      <c r="C390" s="1822" t="e">
        <f t="shared" si="32"/>
        <v>#N/A</v>
      </c>
      <c r="D390" s="1007" t="e">
        <v>#N/A</v>
      </c>
      <c r="E390" s="1704" t="e">
        <v>#N/A</v>
      </c>
      <c r="F390" s="479" t="e">
        <v>#N/A</v>
      </c>
      <c r="G390" s="1835" t="e">
        <v>#N/A</v>
      </c>
      <c r="H390" s="1838" t="e">
        <v>#N/A</v>
      </c>
      <c r="I390" s="1704" t="e">
        <v>#N/A</v>
      </c>
      <c r="J390" s="1846" t="e">
        <v>#N/A</v>
      </c>
      <c r="K390" s="479" t="e">
        <v>#N/A</v>
      </c>
      <c r="L390" s="1982" t="e">
        <f t="shared" si="33"/>
        <v>#N/A</v>
      </c>
      <c r="M390" s="1838" t="e">
        <v>#N/A</v>
      </c>
      <c r="N390" s="479" t="e">
        <v>#N/A</v>
      </c>
      <c r="O390" s="1704" t="e">
        <v>#N/A</v>
      </c>
      <c r="P390" s="479" t="e">
        <v>#N/A</v>
      </c>
      <c r="Q390" s="1986" t="e">
        <f t="shared" si="34"/>
        <v>#N/A</v>
      </c>
    </row>
    <row r="391" spans="1:17">
      <c r="A391" s="134">
        <f t="shared" si="35"/>
        <v>2024.1</v>
      </c>
      <c r="B391" s="1818" t="e">
        <f t="shared" si="31"/>
        <v>#N/A</v>
      </c>
      <c r="C391" s="1822" t="e">
        <f t="shared" si="32"/>
        <v>#N/A</v>
      </c>
      <c r="D391" s="1007" t="e">
        <v>#N/A</v>
      </c>
      <c r="E391" s="1704" t="e">
        <v>#N/A</v>
      </c>
      <c r="F391" s="479" t="e">
        <v>#N/A</v>
      </c>
      <c r="G391" s="1835" t="e">
        <v>#N/A</v>
      </c>
      <c r="H391" s="1838" t="e">
        <v>#N/A</v>
      </c>
      <c r="I391" s="1704" t="e">
        <v>#N/A</v>
      </c>
      <c r="J391" s="1846" t="e">
        <v>#N/A</v>
      </c>
      <c r="K391" s="479" t="e">
        <v>#N/A</v>
      </c>
      <c r="L391" s="1982" t="e">
        <f t="shared" si="33"/>
        <v>#N/A</v>
      </c>
      <c r="M391" s="1838" t="e">
        <v>#N/A</v>
      </c>
      <c r="N391" s="479" t="e">
        <v>#N/A</v>
      </c>
      <c r="O391" s="1704" t="e">
        <v>#N/A</v>
      </c>
      <c r="P391" s="479" t="e">
        <v>#N/A</v>
      </c>
      <c r="Q391" s="1986" t="e">
        <f t="shared" si="34"/>
        <v>#N/A</v>
      </c>
    </row>
    <row r="392" spans="1:17">
      <c r="A392" s="134">
        <f t="shared" si="35"/>
        <v>2024.11</v>
      </c>
      <c r="B392" s="1818" t="e">
        <f t="shared" si="31"/>
        <v>#N/A</v>
      </c>
      <c r="C392" s="1822" t="e">
        <f t="shared" si="32"/>
        <v>#N/A</v>
      </c>
      <c r="D392" s="1007" t="e">
        <v>#N/A</v>
      </c>
      <c r="E392" s="1704" t="e">
        <v>#N/A</v>
      </c>
      <c r="F392" s="479" t="e">
        <v>#N/A</v>
      </c>
      <c r="G392" s="1835" t="e">
        <v>#N/A</v>
      </c>
      <c r="H392" s="1838" t="e">
        <v>#N/A</v>
      </c>
      <c r="I392" s="1704" t="e">
        <v>#N/A</v>
      </c>
      <c r="J392" s="1846" t="e">
        <v>#N/A</v>
      </c>
      <c r="K392" s="479" t="e">
        <v>#N/A</v>
      </c>
      <c r="L392" s="1982" t="e">
        <f t="shared" si="33"/>
        <v>#N/A</v>
      </c>
      <c r="M392" s="1838" t="e">
        <v>#N/A</v>
      </c>
      <c r="N392" s="479" t="e">
        <v>#N/A</v>
      </c>
      <c r="O392" s="1704" t="e">
        <v>#N/A</v>
      </c>
      <c r="P392" s="479" t="e">
        <v>#N/A</v>
      </c>
      <c r="Q392" s="1986" t="e">
        <f t="shared" si="34"/>
        <v>#N/A</v>
      </c>
    </row>
    <row r="393" spans="1:17">
      <c r="A393" s="134">
        <f t="shared" si="35"/>
        <v>2024.12</v>
      </c>
      <c r="B393" s="1818" t="e">
        <f t="shared" si="31"/>
        <v>#N/A</v>
      </c>
      <c r="C393" s="1822" t="e">
        <f t="shared" si="32"/>
        <v>#N/A</v>
      </c>
      <c r="D393" s="1007" t="e">
        <v>#N/A</v>
      </c>
      <c r="E393" s="1704" t="e">
        <v>#N/A</v>
      </c>
      <c r="F393" s="479" t="e">
        <v>#N/A</v>
      </c>
      <c r="G393" s="1835" t="e">
        <v>#N/A</v>
      </c>
      <c r="H393" s="1838" t="e">
        <v>#N/A</v>
      </c>
      <c r="I393" s="1704" t="e">
        <v>#N/A</v>
      </c>
      <c r="J393" s="1846" t="e">
        <v>#N/A</v>
      </c>
      <c r="K393" s="479" t="e">
        <v>#N/A</v>
      </c>
      <c r="L393" s="1982" t="e">
        <f t="shared" si="33"/>
        <v>#N/A</v>
      </c>
      <c r="M393" s="1838" t="e">
        <v>#N/A</v>
      </c>
      <c r="N393" s="479" t="e">
        <v>#N/A</v>
      </c>
      <c r="O393" s="1704" t="e">
        <v>#N/A</v>
      </c>
      <c r="P393" s="479" t="e">
        <v>#N/A</v>
      </c>
      <c r="Q393" s="1986" t="e">
        <f t="shared" si="34"/>
        <v>#N/A</v>
      </c>
    </row>
    <row r="394" spans="1:17">
      <c r="A394" s="134">
        <f t="shared" si="35"/>
        <v>2025.01</v>
      </c>
      <c r="B394" s="1818" t="e">
        <f t="shared" si="31"/>
        <v>#N/A</v>
      </c>
      <c r="C394" s="1822" t="e">
        <f t="shared" si="32"/>
        <v>#N/A</v>
      </c>
      <c r="D394" s="1007" t="e">
        <v>#N/A</v>
      </c>
      <c r="E394" s="1704" t="e">
        <v>#N/A</v>
      </c>
      <c r="F394" s="479" t="e">
        <v>#N/A</v>
      </c>
      <c r="G394" s="1835" t="e">
        <v>#N/A</v>
      </c>
      <c r="H394" s="1838" t="e">
        <v>#N/A</v>
      </c>
      <c r="I394" s="1704" t="e">
        <v>#N/A</v>
      </c>
      <c r="J394" s="1846" t="e">
        <v>#N/A</v>
      </c>
      <c r="K394" s="479" t="e">
        <v>#N/A</v>
      </c>
      <c r="L394" s="1982" t="e">
        <f t="shared" si="33"/>
        <v>#N/A</v>
      </c>
      <c r="M394" s="1838" t="e">
        <v>#N/A</v>
      </c>
      <c r="N394" s="479" t="e">
        <v>#N/A</v>
      </c>
      <c r="O394" s="1704" t="e">
        <v>#N/A</v>
      </c>
      <c r="P394" s="479" t="e">
        <v>#N/A</v>
      </c>
      <c r="Q394" s="1986" t="e">
        <f t="shared" si="34"/>
        <v>#N/A</v>
      </c>
    </row>
    <row r="395" spans="1:17">
      <c r="A395" s="134">
        <f t="shared" si="35"/>
        <v>2025.02</v>
      </c>
      <c r="B395" s="1818" t="e">
        <f t="shared" si="31"/>
        <v>#N/A</v>
      </c>
      <c r="C395" s="1822" t="e">
        <f t="shared" si="32"/>
        <v>#N/A</v>
      </c>
      <c r="D395" s="1007" t="e">
        <v>#N/A</v>
      </c>
      <c r="E395" s="1704" t="e">
        <v>#N/A</v>
      </c>
      <c r="F395" s="479" t="e">
        <v>#N/A</v>
      </c>
      <c r="G395" s="1835" t="e">
        <v>#N/A</v>
      </c>
      <c r="H395" s="1838" t="e">
        <v>#N/A</v>
      </c>
      <c r="I395" s="1704" t="e">
        <v>#N/A</v>
      </c>
      <c r="J395" s="1846" t="e">
        <v>#N/A</v>
      </c>
      <c r="K395" s="479" t="e">
        <v>#N/A</v>
      </c>
      <c r="L395" s="1982" t="e">
        <f t="shared" si="33"/>
        <v>#N/A</v>
      </c>
      <c r="M395" s="1838" t="e">
        <v>#N/A</v>
      </c>
      <c r="N395" s="479" t="e">
        <v>#N/A</v>
      </c>
      <c r="O395" s="1704" t="e">
        <v>#N/A</v>
      </c>
      <c r="P395" s="479" t="e">
        <v>#N/A</v>
      </c>
      <c r="Q395" s="1986" t="e">
        <f t="shared" si="34"/>
        <v>#N/A</v>
      </c>
    </row>
    <row r="396" spans="1:17">
      <c r="A396" s="134">
        <f t="shared" si="35"/>
        <v>2025.03</v>
      </c>
      <c r="B396" s="1818" t="e">
        <f t="shared" si="31"/>
        <v>#N/A</v>
      </c>
      <c r="C396" s="1822" t="e">
        <f t="shared" si="32"/>
        <v>#N/A</v>
      </c>
      <c r="D396" s="1007" t="e">
        <v>#N/A</v>
      </c>
      <c r="E396" s="1704" t="e">
        <v>#N/A</v>
      </c>
      <c r="F396" s="479" t="e">
        <v>#N/A</v>
      </c>
      <c r="G396" s="1835" t="e">
        <v>#N/A</v>
      </c>
      <c r="H396" s="1838" t="e">
        <v>#N/A</v>
      </c>
      <c r="I396" s="1704" t="e">
        <v>#N/A</v>
      </c>
      <c r="J396" s="1846" t="e">
        <v>#N/A</v>
      </c>
      <c r="K396" s="479" t="e">
        <v>#N/A</v>
      </c>
      <c r="L396" s="1982" t="e">
        <f t="shared" si="33"/>
        <v>#N/A</v>
      </c>
      <c r="M396" s="1838" t="e">
        <v>#N/A</v>
      </c>
      <c r="N396" s="479" t="e">
        <v>#N/A</v>
      </c>
      <c r="O396" s="1704" t="e">
        <v>#N/A</v>
      </c>
      <c r="P396" s="479" t="e">
        <v>#N/A</v>
      </c>
      <c r="Q396" s="1986" t="e">
        <f t="shared" si="34"/>
        <v>#N/A</v>
      </c>
    </row>
    <row r="397" spans="1:17">
      <c r="A397" s="134">
        <f t="shared" si="35"/>
        <v>2025.04</v>
      </c>
      <c r="B397" s="1818" t="e">
        <f t="shared" si="31"/>
        <v>#N/A</v>
      </c>
      <c r="C397" s="1822" t="e">
        <f t="shared" si="32"/>
        <v>#N/A</v>
      </c>
      <c r="D397" s="1007" t="e">
        <v>#N/A</v>
      </c>
      <c r="E397" s="1704" t="e">
        <v>#N/A</v>
      </c>
      <c r="F397" s="479" t="e">
        <v>#N/A</v>
      </c>
      <c r="G397" s="1835" t="e">
        <v>#N/A</v>
      </c>
      <c r="H397" s="1838" t="e">
        <v>#N/A</v>
      </c>
      <c r="I397" s="1704" t="e">
        <v>#N/A</v>
      </c>
      <c r="J397" s="1846" t="e">
        <v>#N/A</v>
      </c>
      <c r="K397" s="479" t="e">
        <v>#N/A</v>
      </c>
      <c r="L397" s="1982" t="e">
        <f t="shared" si="33"/>
        <v>#N/A</v>
      </c>
      <c r="M397" s="1838" t="e">
        <v>#N/A</v>
      </c>
      <c r="N397" s="479" t="e">
        <v>#N/A</v>
      </c>
      <c r="O397" s="1704" t="e">
        <v>#N/A</v>
      </c>
      <c r="P397" s="479" t="e">
        <v>#N/A</v>
      </c>
      <c r="Q397" s="1986" t="e">
        <f t="shared" si="34"/>
        <v>#N/A</v>
      </c>
    </row>
    <row r="398" spans="1:17">
      <c r="A398" s="134">
        <f t="shared" si="35"/>
        <v>2025.05</v>
      </c>
      <c r="B398" s="1818" t="e">
        <f t="shared" si="31"/>
        <v>#N/A</v>
      </c>
      <c r="C398" s="1822" t="e">
        <f t="shared" si="32"/>
        <v>#N/A</v>
      </c>
      <c r="D398" s="1007" t="e">
        <v>#N/A</v>
      </c>
      <c r="E398" s="1704" t="e">
        <v>#N/A</v>
      </c>
      <c r="F398" s="479" t="e">
        <v>#N/A</v>
      </c>
      <c r="G398" s="1835" t="e">
        <v>#N/A</v>
      </c>
      <c r="H398" s="1838" t="e">
        <v>#N/A</v>
      </c>
      <c r="I398" s="1704" t="e">
        <v>#N/A</v>
      </c>
      <c r="J398" s="1846" t="e">
        <v>#N/A</v>
      </c>
      <c r="K398" s="479" t="e">
        <v>#N/A</v>
      </c>
      <c r="L398" s="1982" t="e">
        <f t="shared" si="33"/>
        <v>#N/A</v>
      </c>
      <c r="M398" s="1838" t="e">
        <v>#N/A</v>
      </c>
      <c r="N398" s="479" t="e">
        <v>#N/A</v>
      </c>
      <c r="O398" s="1704" t="e">
        <v>#N/A</v>
      </c>
      <c r="P398" s="479" t="e">
        <v>#N/A</v>
      </c>
      <c r="Q398" s="1986" t="e">
        <f t="shared" si="34"/>
        <v>#N/A</v>
      </c>
    </row>
    <row r="399" spans="1:17">
      <c r="A399" s="134">
        <f t="shared" si="35"/>
        <v>2025.06</v>
      </c>
      <c r="B399" s="1818" t="e">
        <f t="shared" si="31"/>
        <v>#N/A</v>
      </c>
      <c r="C399" s="1822" t="e">
        <f t="shared" si="32"/>
        <v>#N/A</v>
      </c>
      <c r="D399" s="1007" t="e">
        <v>#N/A</v>
      </c>
      <c r="E399" s="1704" t="e">
        <v>#N/A</v>
      </c>
      <c r="F399" s="479" t="e">
        <v>#N/A</v>
      </c>
      <c r="G399" s="1835" t="e">
        <v>#N/A</v>
      </c>
      <c r="H399" s="1838" t="e">
        <v>#N/A</v>
      </c>
      <c r="I399" s="1704" t="e">
        <v>#N/A</v>
      </c>
      <c r="J399" s="1846" t="e">
        <v>#N/A</v>
      </c>
      <c r="K399" s="479" t="e">
        <v>#N/A</v>
      </c>
      <c r="L399" s="1982" t="e">
        <f t="shared" si="33"/>
        <v>#N/A</v>
      </c>
      <c r="M399" s="1838" t="e">
        <v>#N/A</v>
      </c>
      <c r="N399" s="479" t="e">
        <v>#N/A</v>
      </c>
      <c r="O399" s="1704" t="e">
        <v>#N/A</v>
      </c>
      <c r="P399" s="479" t="e">
        <v>#N/A</v>
      </c>
      <c r="Q399" s="1986" t="e">
        <f t="shared" si="34"/>
        <v>#N/A</v>
      </c>
    </row>
    <row r="400" spans="1:17">
      <c r="A400" s="134">
        <f t="shared" si="35"/>
        <v>2025.07</v>
      </c>
      <c r="B400" s="1818" t="e">
        <f t="shared" si="31"/>
        <v>#N/A</v>
      </c>
      <c r="C400" s="1822" t="e">
        <f t="shared" si="32"/>
        <v>#N/A</v>
      </c>
      <c r="D400" s="1007" t="e">
        <v>#N/A</v>
      </c>
      <c r="E400" s="1704" t="e">
        <v>#N/A</v>
      </c>
      <c r="F400" s="479" t="e">
        <v>#N/A</v>
      </c>
      <c r="G400" s="1835" t="e">
        <v>#N/A</v>
      </c>
      <c r="H400" s="1838" t="e">
        <v>#N/A</v>
      </c>
      <c r="I400" s="1704" t="e">
        <v>#N/A</v>
      </c>
      <c r="J400" s="1846" t="e">
        <v>#N/A</v>
      </c>
      <c r="K400" s="479" t="e">
        <v>#N/A</v>
      </c>
      <c r="L400" s="1982" t="e">
        <f t="shared" si="33"/>
        <v>#N/A</v>
      </c>
      <c r="M400" s="1838" t="e">
        <v>#N/A</v>
      </c>
      <c r="N400" s="479" t="e">
        <v>#N/A</v>
      </c>
      <c r="O400" s="1704" t="e">
        <v>#N/A</v>
      </c>
      <c r="P400" s="479" t="e">
        <v>#N/A</v>
      </c>
      <c r="Q400" s="1986" t="e">
        <f t="shared" si="34"/>
        <v>#N/A</v>
      </c>
    </row>
    <row r="401" spans="1:17">
      <c r="A401" s="134">
        <f t="shared" si="35"/>
        <v>2025.08</v>
      </c>
      <c r="B401" s="1818" t="e">
        <f t="shared" si="31"/>
        <v>#N/A</v>
      </c>
      <c r="C401" s="1822" t="e">
        <f t="shared" si="32"/>
        <v>#N/A</v>
      </c>
      <c r="D401" s="1007" t="e">
        <v>#N/A</v>
      </c>
      <c r="E401" s="1704" t="e">
        <v>#N/A</v>
      </c>
      <c r="F401" s="479" t="e">
        <v>#N/A</v>
      </c>
      <c r="G401" s="1835" t="e">
        <v>#N/A</v>
      </c>
      <c r="H401" s="1838" t="e">
        <v>#N/A</v>
      </c>
      <c r="I401" s="1704" t="e">
        <v>#N/A</v>
      </c>
      <c r="J401" s="1846" t="e">
        <v>#N/A</v>
      </c>
      <c r="K401" s="479" t="e">
        <v>#N/A</v>
      </c>
      <c r="L401" s="1982" t="e">
        <f t="shared" si="33"/>
        <v>#N/A</v>
      </c>
      <c r="M401" s="1838" t="e">
        <v>#N/A</v>
      </c>
      <c r="N401" s="479" t="e">
        <v>#N/A</v>
      </c>
      <c r="O401" s="1704" t="e">
        <v>#N/A</v>
      </c>
      <c r="P401" s="479" t="e">
        <v>#N/A</v>
      </c>
      <c r="Q401" s="1986" t="e">
        <f t="shared" si="34"/>
        <v>#N/A</v>
      </c>
    </row>
    <row r="402" spans="1:17">
      <c r="A402" s="134">
        <f t="shared" si="35"/>
        <v>2025.09</v>
      </c>
      <c r="B402" s="1818" t="e">
        <f t="shared" si="31"/>
        <v>#N/A</v>
      </c>
      <c r="C402" s="1822" t="e">
        <f t="shared" si="32"/>
        <v>#N/A</v>
      </c>
      <c r="D402" s="1007" t="e">
        <v>#N/A</v>
      </c>
      <c r="E402" s="1704" t="e">
        <v>#N/A</v>
      </c>
      <c r="F402" s="479" t="e">
        <v>#N/A</v>
      </c>
      <c r="G402" s="1835" t="e">
        <v>#N/A</v>
      </c>
      <c r="H402" s="1838" t="e">
        <v>#N/A</v>
      </c>
      <c r="I402" s="1704" t="e">
        <v>#N/A</v>
      </c>
      <c r="J402" s="1846" t="e">
        <v>#N/A</v>
      </c>
      <c r="K402" s="479" t="e">
        <v>#N/A</v>
      </c>
      <c r="L402" s="1982" t="e">
        <f t="shared" si="33"/>
        <v>#N/A</v>
      </c>
      <c r="M402" s="1838" t="e">
        <v>#N/A</v>
      </c>
      <c r="N402" s="479" t="e">
        <v>#N/A</v>
      </c>
      <c r="O402" s="1704" t="e">
        <v>#N/A</v>
      </c>
      <c r="P402" s="479" t="e">
        <v>#N/A</v>
      </c>
      <c r="Q402" s="1986" t="e">
        <f t="shared" si="34"/>
        <v>#N/A</v>
      </c>
    </row>
    <row r="403" spans="1:17">
      <c r="A403" s="134">
        <f t="shared" si="35"/>
        <v>2025.1</v>
      </c>
      <c r="B403" s="1818" t="e">
        <f t="shared" si="31"/>
        <v>#N/A</v>
      </c>
      <c r="C403" s="1822" t="e">
        <f t="shared" si="32"/>
        <v>#N/A</v>
      </c>
      <c r="D403" s="1007" t="e">
        <v>#N/A</v>
      </c>
      <c r="E403" s="1704" t="e">
        <v>#N/A</v>
      </c>
      <c r="F403" s="479" t="e">
        <v>#N/A</v>
      </c>
      <c r="G403" s="1835" t="e">
        <v>#N/A</v>
      </c>
      <c r="H403" s="1838" t="e">
        <v>#N/A</v>
      </c>
      <c r="I403" s="1704" t="e">
        <v>#N/A</v>
      </c>
      <c r="J403" s="1846" t="e">
        <v>#N/A</v>
      </c>
      <c r="K403" s="479" t="e">
        <v>#N/A</v>
      </c>
      <c r="L403" s="1982" t="e">
        <f t="shared" si="33"/>
        <v>#N/A</v>
      </c>
      <c r="M403" s="1838" t="e">
        <v>#N/A</v>
      </c>
      <c r="N403" s="479" t="e">
        <v>#N/A</v>
      </c>
      <c r="O403" s="1704" t="e">
        <v>#N/A</v>
      </c>
      <c r="P403" s="479" t="e">
        <v>#N/A</v>
      </c>
      <c r="Q403" s="1986" t="e">
        <f t="shared" si="34"/>
        <v>#N/A</v>
      </c>
    </row>
    <row r="404" spans="1:17">
      <c r="A404" s="134">
        <f t="shared" si="35"/>
        <v>2025.11</v>
      </c>
      <c r="B404" s="1818" t="e">
        <f t="shared" si="31"/>
        <v>#N/A</v>
      </c>
      <c r="C404" s="1822" t="e">
        <f t="shared" si="32"/>
        <v>#N/A</v>
      </c>
      <c r="D404" s="1007" t="e">
        <v>#N/A</v>
      </c>
      <c r="E404" s="1704" t="e">
        <v>#N/A</v>
      </c>
      <c r="F404" s="479" t="e">
        <v>#N/A</v>
      </c>
      <c r="G404" s="1835" t="e">
        <v>#N/A</v>
      </c>
      <c r="H404" s="1838" t="e">
        <v>#N/A</v>
      </c>
      <c r="I404" s="1704" t="e">
        <v>#N/A</v>
      </c>
      <c r="J404" s="1846" t="e">
        <v>#N/A</v>
      </c>
      <c r="K404" s="479" t="e">
        <v>#N/A</v>
      </c>
      <c r="L404" s="1982" t="e">
        <f t="shared" si="33"/>
        <v>#N/A</v>
      </c>
      <c r="M404" s="1838" t="e">
        <v>#N/A</v>
      </c>
      <c r="N404" s="479" t="e">
        <v>#N/A</v>
      </c>
      <c r="O404" s="1704" t="e">
        <v>#N/A</v>
      </c>
      <c r="P404" s="479" t="e">
        <v>#N/A</v>
      </c>
      <c r="Q404" s="1986" t="e">
        <f t="shared" si="34"/>
        <v>#N/A</v>
      </c>
    </row>
    <row r="405" spans="1:17">
      <c r="A405" s="134">
        <f t="shared" si="35"/>
        <v>2025.12</v>
      </c>
      <c r="B405" s="1818" t="e">
        <f t="shared" si="31"/>
        <v>#N/A</v>
      </c>
      <c r="C405" s="1822" t="e">
        <f t="shared" si="32"/>
        <v>#N/A</v>
      </c>
      <c r="D405" s="1007" t="e">
        <v>#N/A</v>
      </c>
      <c r="E405" s="1704" t="e">
        <v>#N/A</v>
      </c>
      <c r="F405" s="479" t="e">
        <v>#N/A</v>
      </c>
      <c r="G405" s="1835" t="e">
        <v>#N/A</v>
      </c>
      <c r="H405" s="1838" t="e">
        <v>#N/A</v>
      </c>
      <c r="I405" s="1704" t="e">
        <v>#N/A</v>
      </c>
      <c r="J405" s="1846" t="e">
        <v>#N/A</v>
      </c>
      <c r="K405" s="479" t="e">
        <v>#N/A</v>
      </c>
      <c r="L405" s="1982" t="e">
        <f t="shared" si="33"/>
        <v>#N/A</v>
      </c>
      <c r="M405" s="1838" t="e">
        <v>#N/A</v>
      </c>
      <c r="N405" s="479" t="e">
        <v>#N/A</v>
      </c>
      <c r="O405" s="1704" t="e">
        <v>#N/A</v>
      </c>
      <c r="P405" s="479" t="e">
        <v>#N/A</v>
      </c>
      <c r="Q405" s="1986" t="e">
        <f t="shared" si="34"/>
        <v>#N/A</v>
      </c>
    </row>
    <row r="406" spans="1:17">
      <c r="A406" s="134">
        <f t="shared" si="35"/>
        <v>2026.01</v>
      </c>
      <c r="B406" s="1818" t="e">
        <f t="shared" ref="B406:B433" si="36">L406</f>
        <v>#N/A</v>
      </c>
      <c r="C406" s="1822" t="e">
        <f t="shared" ref="C406:C433" si="37">Q406</f>
        <v>#N/A</v>
      </c>
      <c r="D406" s="1007" t="e">
        <v>#N/A</v>
      </c>
      <c r="E406" s="1704" t="e">
        <v>#N/A</v>
      </c>
      <c r="F406" s="479" t="e">
        <v>#N/A</v>
      </c>
      <c r="G406" s="1835" t="e">
        <v>#N/A</v>
      </c>
      <c r="H406" s="1838" t="e">
        <v>#N/A</v>
      </c>
      <c r="I406" s="1704" t="e">
        <v>#N/A</v>
      </c>
      <c r="J406" s="1846" t="e">
        <v>#N/A</v>
      </c>
      <c r="K406" s="479" t="e">
        <v>#N/A</v>
      </c>
      <c r="L406" s="1982" t="e">
        <f t="shared" ref="L406:L433" si="38">SUM(H406:K406)</f>
        <v>#N/A</v>
      </c>
      <c r="M406" s="1838" t="e">
        <v>#N/A</v>
      </c>
      <c r="N406" s="479" t="e">
        <v>#N/A</v>
      </c>
      <c r="O406" s="1704" t="e">
        <v>#N/A</v>
      </c>
      <c r="P406" s="479" t="e">
        <v>#N/A</v>
      </c>
      <c r="Q406" s="1986" t="e">
        <f t="shared" ref="Q406:Q433" si="39">SUM(M406:P406)</f>
        <v>#N/A</v>
      </c>
    </row>
    <row r="407" spans="1:17">
      <c r="A407" s="134">
        <f t="shared" si="35"/>
        <v>2026.02</v>
      </c>
      <c r="B407" s="1818" t="e">
        <f t="shared" si="36"/>
        <v>#N/A</v>
      </c>
      <c r="C407" s="1822" t="e">
        <f t="shared" si="37"/>
        <v>#N/A</v>
      </c>
      <c r="D407" s="1007" t="e">
        <v>#N/A</v>
      </c>
      <c r="E407" s="1704" t="e">
        <v>#N/A</v>
      </c>
      <c r="F407" s="479" t="e">
        <v>#N/A</v>
      </c>
      <c r="G407" s="1835" t="e">
        <v>#N/A</v>
      </c>
      <c r="H407" s="1838" t="e">
        <v>#N/A</v>
      </c>
      <c r="I407" s="1704" t="e">
        <v>#N/A</v>
      </c>
      <c r="J407" s="1846" t="e">
        <v>#N/A</v>
      </c>
      <c r="K407" s="479" t="e">
        <v>#N/A</v>
      </c>
      <c r="L407" s="1982" t="e">
        <f t="shared" si="38"/>
        <v>#N/A</v>
      </c>
      <c r="M407" s="1838" t="e">
        <v>#N/A</v>
      </c>
      <c r="N407" s="479" t="e">
        <v>#N/A</v>
      </c>
      <c r="O407" s="1704" t="e">
        <v>#N/A</v>
      </c>
      <c r="P407" s="479" t="e">
        <v>#N/A</v>
      </c>
      <c r="Q407" s="1986" t="e">
        <f t="shared" si="39"/>
        <v>#N/A</v>
      </c>
    </row>
    <row r="408" spans="1:17">
      <c r="A408" s="134">
        <f t="shared" si="35"/>
        <v>2026.03</v>
      </c>
      <c r="B408" s="1818" t="e">
        <f t="shared" si="36"/>
        <v>#N/A</v>
      </c>
      <c r="C408" s="1822" t="e">
        <f t="shared" si="37"/>
        <v>#N/A</v>
      </c>
      <c r="D408" s="1007" t="e">
        <v>#N/A</v>
      </c>
      <c r="E408" s="1704" t="e">
        <v>#N/A</v>
      </c>
      <c r="F408" s="479" t="e">
        <v>#N/A</v>
      </c>
      <c r="G408" s="1835" t="e">
        <v>#N/A</v>
      </c>
      <c r="H408" s="1838" t="e">
        <v>#N/A</v>
      </c>
      <c r="I408" s="1704" t="e">
        <v>#N/A</v>
      </c>
      <c r="J408" s="1846" t="e">
        <v>#N/A</v>
      </c>
      <c r="K408" s="479" t="e">
        <v>#N/A</v>
      </c>
      <c r="L408" s="1982" t="e">
        <f t="shared" si="38"/>
        <v>#N/A</v>
      </c>
      <c r="M408" s="1838" t="e">
        <v>#N/A</v>
      </c>
      <c r="N408" s="479" t="e">
        <v>#N/A</v>
      </c>
      <c r="O408" s="1704" t="e">
        <v>#N/A</v>
      </c>
      <c r="P408" s="479" t="e">
        <v>#N/A</v>
      </c>
      <c r="Q408" s="1986" t="e">
        <f t="shared" si="39"/>
        <v>#N/A</v>
      </c>
    </row>
    <row r="409" spans="1:17">
      <c r="A409" s="134">
        <f t="shared" si="35"/>
        <v>2026.04</v>
      </c>
      <c r="B409" s="1818" t="e">
        <f t="shared" si="36"/>
        <v>#N/A</v>
      </c>
      <c r="C409" s="1822" t="e">
        <f t="shared" si="37"/>
        <v>#N/A</v>
      </c>
      <c r="D409" s="1007" t="e">
        <v>#N/A</v>
      </c>
      <c r="E409" s="1704" t="e">
        <v>#N/A</v>
      </c>
      <c r="F409" s="479" t="e">
        <v>#N/A</v>
      </c>
      <c r="G409" s="1835" t="e">
        <v>#N/A</v>
      </c>
      <c r="H409" s="1838" t="e">
        <v>#N/A</v>
      </c>
      <c r="I409" s="1704" t="e">
        <v>#N/A</v>
      </c>
      <c r="J409" s="1846" t="e">
        <v>#N/A</v>
      </c>
      <c r="K409" s="479" t="e">
        <v>#N/A</v>
      </c>
      <c r="L409" s="1982" t="e">
        <f t="shared" si="38"/>
        <v>#N/A</v>
      </c>
      <c r="M409" s="1838" t="e">
        <v>#N/A</v>
      </c>
      <c r="N409" s="479" t="e">
        <v>#N/A</v>
      </c>
      <c r="O409" s="1704" t="e">
        <v>#N/A</v>
      </c>
      <c r="P409" s="479" t="e">
        <v>#N/A</v>
      </c>
      <c r="Q409" s="1986" t="e">
        <f t="shared" si="39"/>
        <v>#N/A</v>
      </c>
    </row>
    <row r="410" spans="1:17">
      <c r="A410" s="134">
        <f t="shared" si="35"/>
        <v>2026.05</v>
      </c>
      <c r="B410" s="1818" t="e">
        <f t="shared" si="36"/>
        <v>#N/A</v>
      </c>
      <c r="C410" s="1822" t="e">
        <f t="shared" si="37"/>
        <v>#N/A</v>
      </c>
      <c r="D410" s="1007" t="e">
        <v>#N/A</v>
      </c>
      <c r="E410" s="1704" t="e">
        <v>#N/A</v>
      </c>
      <c r="F410" s="479" t="e">
        <v>#N/A</v>
      </c>
      <c r="G410" s="1835" t="e">
        <v>#N/A</v>
      </c>
      <c r="H410" s="1838" t="e">
        <v>#N/A</v>
      </c>
      <c r="I410" s="1704" t="e">
        <v>#N/A</v>
      </c>
      <c r="J410" s="1846" t="e">
        <v>#N/A</v>
      </c>
      <c r="K410" s="479" t="e">
        <v>#N/A</v>
      </c>
      <c r="L410" s="1982" t="e">
        <f t="shared" si="38"/>
        <v>#N/A</v>
      </c>
      <c r="M410" s="1838" t="e">
        <v>#N/A</v>
      </c>
      <c r="N410" s="479" t="e">
        <v>#N/A</v>
      </c>
      <c r="O410" s="1704" t="e">
        <v>#N/A</v>
      </c>
      <c r="P410" s="479" t="e">
        <v>#N/A</v>
      </c>
      <c r="Q410" s="1986" t="e">
        <f t="shared" si="39"/>
        <v>#N/A</v>
      </c>
    </row>
    <row r="411" spans="1:17">
      <c r="A411" s="134">
        <f t="shared" si="35"/>
        <v>2026.06</v>
      </c>
      <c r="B411" s="1818" t="e">
        <f t="shared" si="36"/>
        <v>#N/A</v>
      </c>
      <c r="C411" s="1822" t="e">
        <f t="shared" si="37"/>
        <v>#N/A</v>
      </c>
      <c r="D411" s="1007" t="e">
        <v>#N/A</v>
      </c>
      <c r="E411" s="1704" t="e">
        <v>#N/A</v>
      </c>
      <c r="F411" s="479" t="e">
        <v>#N/A</v>
      </c>
      <c r="G411" s="1835" t="e">
        <v>#N/A</v>
      </c>
      <c r="H411" s="1838" t="e">
        <v>#N/A</v>
      </c>
      <c r="I411" s="1704" t="e">
        <v>#N/A</v>
      </c>
      <c r="J411" s="1846" t="e">
        <v>#N/A</v>
      </c>
      <c r="K411" s="479" t="e">
        <v>#N/A</v>
      </c>
      <c r="L411" s="1982" t="e">
        <f t="shared" si="38"/>
        <v>#N/A</v>
      </c>
      <c r="M411" s="1838" t="e">
        <v>#N/A</v>
      </c>
      <c r="N411" s="479" t="e">
        <v>#N/A</v>
      </c>
      <c r="O411" s="1704" t="e">
        <v>#N/A</v>
      </c>
      <c r="P411" s="479" t="e">
        <v>#N/A</v>
      </c>
      <c r="Q411" s="1986" t="e">
        <f t="shared" si="39"/>
        <v>#N/A</v>
      </c>
    </row>
    <row r="412" spans="1:17">
      <c r="A412" s="134">
        <f t="shared" si="35"/>
        <v>2026.07</v>
      </c>
      <c r="B412" s="1818" t="e">
        <f t="shared" si="36"/>
        <v>#N/A</v>
      </c>
      <c r="C412" s="1822" t="e">
        <f t="shared" si="37"/>
        <v>#N/A</v>
      </c>
      <c r="D412" s="1007" t="e">
        <v>#N/A</v>
      </c>
      <c r="E412" s="1704" t="e">
        <v>#N/A</v>
      </c>
      <c r="F412" s="479" t="e">
        <v>#N/A</v>
      </c>
      <c r="G412" s="1835" t="e">
        <v>#N/A</v>
      </c>
      <c r="H412" s="1838" t="e">
        <v>#N/A</v>
      </c>
      <c r="I412" s="1704" t="e">
        <v>#N/A</v>
      </c>
      <c r="J412" s="1846" t="e">
        <v>#N/A</v>
      </c>
      <c r="K412" s="479" t="e">
        <v>#N/A</v>
      </c>
      <c r="L412" s="1982" t="e">
        <f t="shared" si="38"/>
        <v>#N/A</v>
      </c>
      <c r="M412" s="1838" t="e">
        <v>#N/A</v>
      </c>
      <c r="N412" s="479" t="e">
        <v>#N/A</v>
      </c>
      <c r="O412" s="1704" t="e">
        <v>#N/A</v>
      </c>
      <c r="P412" s="479" t="e">
        <v>#N/A</v>
      </c>
      <c r="Q412" s="1986" t="e">
        <f t="shared" si="39"/>
        <v>#N/A</v>
      </c>
    </row>
    <row r="413" spans="1:17">
      <c r="A413" s="134">
        <f t="shared" si="35"/>
        <v>2026.08</v>
      </c>
      <c r="B413" s="1818" t="e">
        <f t="shared" si="36"/>
        <v>#N/A</v>
      </c>
      <c r="C413" s="1822" t="e">
        <f t="shared" si="37"/>
        <v>#N/A</v>
      </c>
      <c r="D413" s="1007" t="e">
        <v>#N/A</v>
      </c>
      <c r="E413" s="1704" t="e">
        <v>#N/A</v>
      </c>
      <c r="F413" s="479" t="e">
        <v>#N/A</v>
      </c>
      <c r="G413" s="1835" t="e">
        <v>#N/A</v>
      </c>
      <c r="H413" s="1838" t="e">
        <v>#N/A</v>
      </c>
      <c r="I413" s="1704" t="e">
        <v>#N/A</v>
      </c>
      <c r="J413" s="1846" t="e">
        <v>#N/A</v>
      </c>
      <c r="K413" s="479" t="e">
        <v>#N/A</v>
      </c>
      <c r="L413" s="1982" t="e">
        <f t="shared" si="38"/>
        <v>#N/A</v>
      </c>
      <c r="M413" s="1838" t="e">
        <v>#N/A</v>
      </c>
      <c r="N413" s="479" t="e">
        <v>#N/A</v>
      </c>
      <c r="O413" s="1704" t="e">
        <v>#N/A</v>
      </c>
      <c r="P413" s="479" t="e">
        <v>#N/A</v>
      </c>
      <c r="Q413" s="1986" t="e">
        <f t="shared" si="39"/>
        <v>#N/A</v>
      </c>
    </row>
    <row r="414" spans="1:17">
      <c r="A414" s="134">
        <f t="shared" si="35"/>
        <v>2026.09</v>
      </c>
      <c r="B414" s="1818" t="e">
        <f t="shared" si="36"/>
        <v>#N/A</v>
      </c>
      <c r="C414" s="1822" t="e">
        <f t="shared" si="37"/>
        <v>#N/A</v>
      </c>
      <c r="D414" s="1007" t="e">
        <v>#N/A</v>
      </c>
      <c r="E414" s="1704" t="e">
        <v>#N/A</v>
      </c>
      <c r="F414" s="479" t="e">
        <v>#N/A</v>
      </c>
      <c r="G414" s="1835" t="e">
        <v>#N/A</v>
      </c>
      <c r="H414" s="1838" t="e">
        <v>#N/A</v>
      </c>
      <c r="I414" s="1704" t="e">
        <v>#N/A</v>
      </c>
      <c r="J414" s="1846" t="e">
        <v>#N/A</v>
      </c>
      <c r="K414" s="479" t="e">
        <v>#N/A</v>
      </c>
      <c r="L414" s="1982" t="e">
        <f t="shared" si="38"/>
        <v>#N/A</v>
      </c>
      <c r="M414" s="1838" t="e">
        <v>#N/A</v>
      </c>
      <c r="N414" s="479" t="e">
        <v>#N/A</v>
      </c>
      <c r="O414" s="1704" t="e">
        <v>#N/A</v>
      </c>
      <c r="P414" s="479" t="e">
        <v>#N/A</v>
      </c>
      <c r="Q414" s="1986" t="e">
        <f t="shared" si="39"/>
        <v>#N/A</v>
      </c>
    </row>
    <row r="415" spans="1:17">
      <c r="A415" s="134">
        <f t="shared" ref="A415:A465" si="40">A403+1</f>
        <v>2026.1</v>
      </c>
      <c r="B415" s="1818" t="e">
        <f t="shared" si="36"/>
        <v>#N/A</v>
      </c>
      <c r="C415" s="1822" t="e">
        <f t="shared" si="37"/>
        <v>#N/A</v>
      </c>
      <c r="D415" s="1007" t="e">
        <v>#N/A</v>
      </c>
      <c r="E415" s="1704" t="e">
        <v>#N/A</v>
      </c>
      <c r="F415" s="479" t="e">
        <v>#N/A</v>
      </c>
      <c r="G415" s="1835" t="e">
        <v>#N/A</v>
      </c>
      <c r="H415" s="1838" t="e">
        <v>#N/A</v>
      </c>
      <c r="I415" s="1704" t="e">
        <v>#N/A</v>
      </c>
      <c r="J415" s="1846" t="e">
        <v>#N/A</v>
      </c>
      <c r="K415" s="479" t="e">
        <v>#N/A</v>
      </c>
      <c r="L415" s="1982" t="e">
        <f t="shared" si="38"/>
        <v>#N/A</v>
      </c>
      <c r="M415" s="1838" t="e">
        <v>#N/A</v>
      </c>
      <c r="N415" s="479" t="e">
        <v>#N/A</v>
      </c>
      <c r="O415" s="1704" t="e">
        <v>#N/A</v>
      </c>
      <c r="P415" s="479" t="e">
        <v>#N/A</v>
      </c>
      <c r="Q415" s="1986" t="e">
        <f t="shared" si="39"/>
        <v>#N/A</v>
      </c>
    </row>
    <row r="416" spans="1:17">
      <c r="A416" s="134">
        <f t="shared" si="40"/>
        <v>2026.11</v>
      </c>
      <c r="B416" s="1818" t="e">
        <f t="shared" si="36"/>
        <v>#N/A</v>
      </c>
      <c r="C416" s="1822" t="e">
        <f t="shared" si="37"/>
        <v>#N/A</v>
      </c>
      <c r="D416" s="1007" t="e">
        <v>#N/A</v>
      </c>
      <c r="E416" s="1704" t="e">
        <v>#N/A</v>
      </c>
      <c r="F416" s="479" t="e">
        <v>#N/A</v>
      </c>
      <c r="G416" s="1835" t="e">
        <v>#N/A</v>
      </c>
      <c r="H416" s="1838" t="e">
        <v>#N/A</v>
      </c>
      <c r="I416" s="1704" t="e">
        <v>#N/A</v>
      </c>
      <c r="J416" s="1846" t="e">
        <v>#N/A</v>
      </c>
      <c r="K416" s="479" t="e">
        <v>#N/A</v>
      </c>
      <c r="L416" s="1982" t="e">
        <f t="shared" si="38"/>
        <v>#N/A</v>
      </c>
      <c r="M416" s="1838" t="e">
        <v>#N/A</v>
      </c>
      <c r="N416" s="479" t="e">
        <v>#N/A</v>
      </c>
      <c r="O416" s="1704" t="e">
        <v>#N/A</v>
      </c>
      <c r="P416" s="479" t="e">
        <v>#N/A</v>
      </c>
      <c r="Q416" s="1986" t="e">
        <f t="shared" si="39"/>
        <v>#N/A</v>
      </c>
    </row>
    <row r="417" spans="1:17">
      <c r="A417" s="134">
        <f t="shared" si="40"/>
        <v>2026.12</v>
      </c>
      <c r="B417" s="1818" t="e">
        <f t="shared" si="36"/>
        <v>#N/A</v>
      </c>
      <c r="C417" s="1822" t="e">
        <f t="shared" si="37"/>
        <v>#N/A</v>
      </c>
      <c r="D417" s="1007" t="e">
        <v>#N/A</v>
      </c>
      <c r="E417" s="1704" t="e">
        <v>#N/A</v>
      </c>
      <c r="F417" s="479" t="e">
        <v>#N/A</v>
      </c>
      <c r="G417" s="1835" t="e">
        <v>#N/A</v>
      </c>
      <c r="H417" s="1838" t="e">
        <v>#N/A</v>
      </c>
      <c r="I417" s="1704" t="e">
        <v>#N/A</v>
      </c>
      <c r="J417" s="1846" t="e">
        <v>#N/A</v>
      </c>
      <c r="K417" s="479" t="e">
        <v>#N/A</v>
      </c>
      <c r="L417" s="1982" t="e">
        <f t="shared" si="38"/>
        <v>#N/A</v>
      </c>
      <c r="M417" s="1838" t="e">
        <v>#N/A</v>
      </c>
      <c r="N417" s="479" t="e">
        <v>#N/A</v>
      </c>
      <c r="O417" s="1704" t="e">
        <v>#N/A</v>
      </c>
      <c r="P417" s="479" t="e">
        <v>#N/A</v>
      </c>
      <c r="Q417" s="1986" t="e">
        <f t="shared" si="39"/>
        <v>#N/A</v>
      </c>
    </row>
    <row r="418" spans="1:17">
      <c r="A418" s="134">
        <f t="shared" si="40"/>
        <v>2027.01</v>
      </c>
      <c r="B418" s="1818" t="e">
        <f t="shared" si="36"/>
        <v>#N/A</v>
      </c>
      <c r="C418" s="1822" t="e">
        <f t="shared" si="37"/>
        <v>#N/A</v>
      </c>
      <c r="D418" s="1007" t="e">
        <v>#N/A</v>
      </c>
      <c r="E418" s="1704" t="e">
        <v>#N/A</v>
      </c>
      <c r="F418" s="479" t="e">
        <v>#N/A</v>
      </c>
      <c r="G418" s="1835" t="e">
        <v>#N/A</v>
      </c>
      <c r="H418" s="1838" t="e">
        <v>#N/A</v>
      </c>
      <c r="I418" s="1704" t="e">
        <v>#N/A</v>
      </c>
      <c r="J418" s="1846" t="e">
        <v>#N/A</v>
      </c>
      <c r="K418" s="479" t="e">
        <v>#N/A</v>
      </c>
      <c r="L418" s="1982" t="e">
        <f t="shared" si="38"/>
        <v>#N/A</v>
      </c>
      <c r="M418" s="1838" t="e">
        <v>#N/A</v>
      </c>
      <c r="N418" s="479" t="e">
        <v>#N/A</v>
      </c>
      <c r="O418" s="1704" t="e">
        <v>#N/A</v>
      </c>
      <c r="P418" s="479" t="e">
        <v>#N/A</v>
      </c>
      <c r="Q418" s="1986" t="e">
        <f t="shared" si="39"/>
        <v>#N/A</v>
      </c>
    </row>
    <row r="419" spans="1:17">
      <c r="A419" s="134">
        <f t="shared" si="40"/>
        <v>2027.02</v>
      </c>
      <c r="B419" s="1818" t="e">
        <f t="shared" si="36"/>
        <v>#N/A</v>
      </c>
      <c r="C419" s="1822" t="e">
        <f t="shared" si="37"/>
        <v>#N/A</v>
      </c>
      <c r="D419" s="1007" t="e">
        <v>#N/A</v>
      </c>
      <c r="E419" s="1704" t="e">
        <v>#N/A</v>
      </c>
      <c r="F419" s="479" t="e">
        <v>#N/A</v>
      </c>
      <c r="G419" s="1835" t="e">
        <v>#N/A</v>
      </c>
      <c r="H419" s="1838" t="e">
        <v>#N/A</v>
      </c>
      <c r="I419" s="1704" t="e">
        <v>#N/A</v>
      </c>
      <c r="J419" s="1846" t="e">
        <v>#N/A</v>
      </c>
      <c r="K419" s="479" t="e">
        <v>#N/A</v>
      </c>
      <c r="L419" s="1982" t="e">
        <f t="shared" si="38"/>
        <v>#N/A</v>
      </c>
      <c r="M419" s="1838" t="e">
        <v>#N/A</v>
      </c>
      <c r="N419" s="479" t="e">
        <v>#N/A</v>
      </c>
      <c r="O419" s="1704" t="e">
        <v>#N/A</v>
      </c>
      <c r="P419" s="479" t="e">
        <v>#N/A</v>
      </c>
      <c r="Q419" s="1986" t="e">
        <f t="shared" si="39"/>
        <v>#N/A</v>
      </c>
    </row>
    <row r="420" spans="1:17">
      <c r="A420" s="134">
        <f t="shared" si="40"/>
        <v>2027.03</v>
      </c>
      <c r="B420" s="1818" t="e">
        <f t="shared" si="36"/>
        <v>#N/A</v>
      </c>
      <c r="C420" s="1822" t="e">
        <f t="shared" si="37"/>
        <v>#N/A</v>
      </c>
      <c r="D420" s="1007" t="e">
        <v>#N/A</v>
      </c>
      <c r="E420" s="1704" t="e">
        <v>#N/A</v>
      </c>
      <c r="F420" s="479" t="e">
        <v>#N/A</v>
      </c>
      <c r="G420" s="1835" t="e">
        <v>#N/A</v>
      </c>
      <c r="H420" s="1838" t="e">
        <v>#N/A</v>
      </c>
      <c r="I420" s="1704" t="e">
        <v>#N/A</v>
      </c>
      <c r="J420" s="1846" t="e">
        <v>#N/A</v>
      </c>
      <c r="K420" s="479" t="e">
        <v>#N/A</v>
      </c>
      <c r="L420" s="1982" t="e">
        <f t="shared" si="38"/>
        <v>#N/A</v>
      </c>
      <c r="M420" s="1838" t="e">
        <v>#N/A</v>
      </c>
      <c r="N420" s="479" t="e">
        <v>#N/A</v>
      </c>
      <c r="O420" s="1704" t="e">
        <v>#N/A</v>
      </c>
      <c r="P420" s="479" t="e">
        <v>#N/A</v>
      </c>
      <c r="Q420" s="1986" t="e">
        <f t="shared" si="39"/>
        <v>#N/A</v>
      </c>
    </row>
    <row r="421" spans="1:17">
      <c r="A421" s="134">
        <f t="shared" si="40"/>
        <v>2027.04</v>
      </c>
      <c r="B421" s="1818" t="e">
        <f t="shared" si="36"/>
        <v>#N/A</v>
      </c>
      <c r="C421" s="1822" t="e">
        <f t="shared" si="37"/>
        <v>#N/A</v>
      </c>
      <c r="D421" s="1007" t="e">
        <v>#N/A</v>
      </c>
      <c r="E421" s="1704" t="e">
        <v>#N/A</v>
      </c>
      <c r="F421" s="479" t="e">
        <v>#N/A</v>
      </c>
      <c r="G421" s="1835" t="e">
        <v>#N/A</v>
      </c>
      <c r="H421" s="1838" t="e">
        <v>#N/A</v>
      </c>
      <c r="I421" s="1704" t="e">
        <v>#N/A</v>
      </c>
      <c r="J421" s="1846" t="e">
        <v>#N/A</v>
      </c>
      <c r="K421" s="479" t="e">
        <v>#N/A</v>
      </c>
      <c r="L421" s="1982" t="e">
        <f t="shared" si="38"/>
        <v>#N/A</v>
      </c>
      <c r="M421" s="1838" t="e">
        <v>#N/A</v>
      </c>
      <c r="N421" s="479" t="e">
        <v>#N/A</v>
      </c>
      <c r="O421" s="1704" t="e">
        <v>#N/A</v>
      </c>
      <c r="P421" s="479" t="e">
        <v>#N/A</v>
      </c>
      <c r="Q421" s="1986" t="e">
        <f t="shared" si="39"/>
        <v>#N/A</v>
      </c>
    </row>
    <row r="422" spans="1:17">
      <c r="A422" s="134">
        <f t="shared" si="40"/>
        <v>2027.05</v>
      </c>
      <c r="B422" s="1818" t="e">
        <f t="shared" si="36"/>
        <v>#N/A</v>
      </c>
      <c r="C422" s="1822" t="e">
        <f t="shared" si="37"/>
        <v>#N/A</v>
      </c>
      <c r="D422" s="1007" t="e">
        <v>#N/A</v>
      </c>
      <c r="E422" s="1704" t="e">
        <v>#N/A</v>
      </c>
      <c r="F422" s="479" t="e">
        <v>#N/A</v>
      </c>
      <c r="G422" s="1835" t="e">
        <v>#N/A</v>
      </c>
      <c r="H422" s="1838" t="e">
        <v>#N/A</v>
      </c>
      <c r="I422" s="1704" t="e">
        <v>#N/A</v>
      </c>
      <c r="J422" s="1846" t="e">
        <v>#N/A</v>
      </c>
      <c r="K422" s="479" t="e">
        <v>#N/A</v>
      </c>
      <c r="L422" s="1982" t="e">
        <f t="shared" si="38"/>
        <v>#N/A</v>
      </c>
      <c r="M422" s="1838" t="e">
        <v>#N/A</v>
      </c>
      <c r="N422" s="479" t="e">
        <v>#N/A</v>
      </c>
      <c r="O422" s="1704" t="e">
        <v>#N/A</v>
      </c>
      <c r="P422" s="479" t="e">
        <v>#N/A</v>
      </c>
      <c r="Q422" s="1986" t="e">
        <f t="shared" si="39"/>
        <v>#N/A</v>
      </c>
    </row>
    <row r="423" spans="1:17">
      <c r="A423" s="134">
        <f t="shared" si="40"/>
        <v>2027.06</v>
      </c>
      <c r="B423" s="1818" t="e">
        <f t="shared" si="36"/>
        <v>#N/A</v>
      </c>
      <c r="C423" s="1822" t="e">
        <f t="shared" si="37"/>
        <v>#N/A</v>
      </c>
      <c r="D423" s="1007" t="e">
        <v>#N/A</v>
      </c>
      <c r="E423" s="1704" t="e">
        <v>#N/A</v>
      </c>
      <c r="F423" s="479" t="e">
        <v>#N/A</v>
      </c>
      <c r="G423" s="1835" t="e">
        <v>#N/A</v>
      </c>
      <c r="H423" s="1838" t="e">
        <v>#N/A</v>
      </c>
      <c r="I423" s="1704" t="e">
        <v>#N/A</v>
      </c>
      <c r="J423" s="1846" t="e">
        <v>#N/A</v>
      </c>
      <c r="K423" s="479" t="e">
        <v>#N/A</v>
      </c>
      <c r="L423" s="1982" t="e">
        <f t="shared" si="38"/>
        <v>#N/A</v>
      </c>
      <c r="M423" s="1838" t="e">
        <v>#N/A</v>
      </c>
      <c r="N423" s="479" t="e">
        <v>#N/A</v>
      </c>
      <c r="O423" s="1704" t="e">
        <v>#N/A</v>
      </c>
      <c r="P423" s="479" t="e">
        <v>#N/A</v>
      </c>
      <c r="Q423" s="1986" t="e">
        <f t="shared" si="39"/>
        <v>#N/A</v>
      </c>
    </row>
    <row r="424" spans="1:17">
      <c r="A424" s="134">
        <f t="shared" si="40"/>
        <v>2027.07</v>
      </c>
      <c r="B424" s="1818" t="e">
        <f t="shared" si="36"/>
        <v>#N/A</v>
      </c>
      <c r="C424" s="1822" t="e">
        <f t="shared" si="37"/>
        <v>#N/A</v>
      </c>
      <c r="D424" s="1007" t="e">
        <v>#N/A</v>
      </c>
      <c r="E424" s="1704" t="e">
        <v>#N/A</v>
      </c>
      <c r="F424" s="479" t="e">
        <v>#N/A</v>
      </c>
      <c r="G424" s="1835" t="e">
        <v>#N/A</v>
      </c>
      <c r="H424" s="1838" t="e">
        <v>#N/A</v>
      </c>
      <c r="I424" s="1704" t="e">
        <v>#N/A</v>
      </c>
      <c r="J424" s="1846" t="e">
        <v>#N/A</v>
      </c>
      <c r="K424" s="479" t="e">
        <v>#N/A</v>
      </c>
      <c r="L424" s="1982" t="e">
        <f t="shared" si="38"/>
        <v>#N/A</v>
      </c>
      <c r="M424" s="1838" t="e">
        <v>#N/A</v>
      </c>
      <c r="N424" s="479" t="e">
        <v>#N/A</v>
      </c>
      <c r="O424" s="1704" t="e">
        <v>#N/A</v>
      </c>
      <c r="P424" s="479" t="e">
        <v>#N/A</v>
      </c>
      <c r="Q424" s="1986" t="e">
        <f t="shared" si="39"/>
        <v>#N/A</v>
      </c>
    </row>
    <row r="425" spans="1:17">
      <c r="A425" s="134">
        <f t="shared" si="40"/>
        <v>2027.08</v>
      </c>
      <c r="B425" s="1818" t="e">
        <f t="shared" si="36"/>
        <v>#N/A</v>
      </c>
      <c r="C425" s="1822" t="e">
        <f t="shared" si="37"/>
        <v>#N/A</v>
      </c>
      <c r="D425" s="1007" t="e">
        <v>#N/A</v>
      </c>
      <c r="E425" s="1704" t="e">
        <v>#N/A</v>
      </c>
      <c r="F425" s="479" t="e">
        <v>#N/A</v>
      </c>
      <c r="G425" s="1835" t="e">
        <v>#N/A</v>
      </c>
      <c r="H425" s="1838" t="e">
        <v>#N/A</v>
      </c>
      <c r="I425" s="1704" t="e">
        <v>#N/A</v>
      </c>
      <c r="J425" s="1846" t="e">
        <v>#N/A</v>
      </c>
      <c r="K425" s="479" t="e">
        <v>#N/A</v>
      </c>
      <c r="L425" s="1982" t="e">
        <f t="shared" si="38"/>
        <v>#N/A</v>
      </c>
      <c r="M425" s="1838" t="e">
        <v>#N/A</v>
      </c>
      <c r="N425" s="479" t="e">
        <v>#N/A</v>
      </c>
      <c r="O425" s="1704" t="e">
        <v>#N/A</v>
      </c>
      <c r="P425" s="479" t="e">
        <v>#N/A</v>
      </c>
      <c r="Q425" s="1986" t="e">
        <f t="shared" si="39"/>
        <v>#N/A</v>
      </c>
    </row>
    <row r="426" spans="1:17">
      <c r="A426" s="134">
        <f t="shared" si="40"/>
        <v>2027.09</v>
      </c>
      <c r="B426" s="1818" t="e">
        <f t="shared" si="36"/>
        <v>#N/A</v>
      </c>
      <c r="C426" s="1822" t="e">
        <f t="shared" si="37"/>
        <v>#N/A</v>
      </c>
      <c r="D426" s="1007" t="e">
        <v>#N/A</v>
      </c>
      <c r="E426" s="1704" t="e">
        <v>#N/A</v>
      </c>
      <c r="F426" s="479" t="e">
        <v>#N/A</v>
      </c>
      <c r="G426" s="1835" t="e">
        <v>#N/A</v>
      </c>
      <c r="H426" s="1838" t="e">
        <v>#N/A</v>
      </c>
      <c r="I426" s="1704" t="e">
        <v>#N/A</v>
      </c>
      <c r="J426" s="1846" t="e">
        <v>#N/A</v>
      </c>
      <c r="K426" s="479" t="e">
        <v>#N/A</v>
      </c>
      <c r="L426" s="1982" t="e">
        <f t="shared" si="38"/>
        <v>#N/A</v>
      </c>
      <c r="M426" s="1838" t="e">
        <v>#N/A</v>
      </c>
      <c r="N426" s="479" t="e">
        <v>#N/A</v>
      </c>
      <c r="O426" s="1704" t="e">
        <v>#N/A</v>
      </c>
      <c r="P426" s="479" t="e">
        <v>#N/A</v>
      </c>
      <c r="Q426" s="1986" t="e">
        <f t="shared" si="39"/>
        <v>#N/A</v>
      </c>
    </row>
    <row r="427" spans="1:17">
      <c r="A427" s="134">
        <f t="shared" si="40"/>
        <v>2027.1</v>
      </c>
      <c r="B427" s="1818" t="e">
        <f t="shared" si="36"/>
        <v>#N/A</v>
      </c>
      <c r="C427" s="1822" t="e">
        <f t="shared" si="37"/>
        <v>#N/A</v>
      </c>
      <c r="D427" s="1007" t="e">
        <v>#N/A</v>
      </c>
      <c r="E427" s="1704" t="e">
        <v>#N/A</v>
      </c>
      <c r="F427" s="479" t="e">
        <v>#N/A</v>
      </c>
      <c r="G427" s="1835" t="e">
        <v>#N/A</v>
      </c>
      <c r="H427" s="1838" t="e">
        <v>#N/A</v>
      </c>
      <c r="I427" s="1704" t="e">
        <v>#N/A</v>
      </c>
      <c r="J427" s="1846" t="e">
        <v>#N/A</v>
      </c>
      <c r="K427" s="479" t="e">
        <v>#N/A</v>
      </c>
      <c r="L427" s="1982" t="e">
        <f t="shared" si="38"/>
        <v>#N/A</v>
      </c>
      <c r="M427" s="1838" t="e">
        <v>#N/A</v>
      </c>
      <c r="N427" s="479" t="e">
        <v>#N/A</v>
      </c>
      <c r="O427" s="1704" t="e">
        <v>#N/A</v>
      </c>
      <c r="P427" s="479" t="e">
        <v>#N/A</v>
      </c>
      <c r="Q427" s="1986" t="e">
        <f t="shared" si="39"/>
        <v>#N/A</v>
      </c>
    </row>
    <row r="428" spans="1:17">
      <c r="A428" s="134">
        <f t="shared" si="40"/>
        <v>2027.11</v>
      </c>
      <c r="B428" s="1818" t="e">
        <f t="shared" si="36"/>
        <v>#N/A</v>
      </c>
      <c r="C428" s="1822" t="e">
        <f t="shared" si="37"/>
        <v>#N/A</v>
      </c>
      <c r="D428" s="1007" t="e">
        <v>#N/A</v>
      </c>
      <c r="E428" s="1704" t="e">
        <v>#N/A</v>
      </c>
      <c r="F428" s="479" t="e">
        <v>#N/A</v>
      </c>
      <c r="G428" s="1835" t="e">
        <v>#N/A</v>
      </c>
      <c r="H428" s="1838" t="e">
        <v>#N/A</v>
      </c>
      <c r="I428" s="1704" t="e">
        <v>#N/A</v>
      </c>
      <c r="J428" s="1846" t="e">
        <v>#N/A</v>
      </c>
      <c r="K428" s="479" t="e">
        <v>#N/A</v>
      </c>
      <c r="L428" s="1982" t="e">
        <f t="shared" si="38"/>
        <v>#N/A</v>
      </c>
      <c r="M428" s="1838" t="e">
        <v>#N/A</v>
      </c>
      <c r="N428" s="479" t="e">
        <v>#N/A</v>
      </c>
      <c r="O428" s="1704" t="e">
        <v>#N/A</v>
      </c>
      <c r="P428" s="479" t="e">
        <v>#N/A</v>
      </c>
      <c r="Q428" s="1986" t="e">
        <f t="shared" si="39"/>
        <v>#N/A</v>
      </c>
    </row>
    <row r="429" spans="1:17">
      <c r="A429" s="134">
        <f t="shared" si="40"/>
        <v>2027.12</v>
      </c>
      <c r="B429" s="1818" t="e">
        <f t="shared" si="36"/>
        <v>#N/A</v>
      </c>
      <c r="C429" s="1822" t="e">
        <f t="shared" si="37"/>
        <v>#N/A</v>
      </c>
      <c r="D429" s="1007" t="e">
        <v>#N/A</v>
      </c>
      <c r="E429" s="1704" t="e">
        <v>#N/A</v>
      </c>
      <c r="F429" s="479" t="e">
        <v>#N/A</v>
      </c>
      <c r="G429" s="1835" t="e">
        <v>#N/A</v>
      </c>
      <c r="H429" s="1838" t="e">
        <v>#N/A</v>
      </c>
      <c r="I429" s="1704" t="e">
        <v>#N/A</v>
      </c>
      <c r="J429" s="1846" t="e">
        <v>#N/A</v>
      </c>
      <c r="K429" s="479" t="e">
        <v>#N/A</v>
      </c>
      <c r="L429" s="1982" t="e">
        <f t="shared" si="38"/>
        <v>#N/A</v>
      </c>
      <c r="M429" s="1838" t="e">
        <v>#N/A</v>
      </c>
      <c r="N429" s="479" t="e">
        <v>#N/A</v>
      </c>
      <c r="O429" s="1704" t="e">
        <v>#N/A</v>
      </c>
      <c r="P429" s="479" t="e">
        <v>#N/A</v>
      </c>
      <c r="Q429" s="1986" t="e">
        <f t="shared" si="39"/>
        <v>#N/A</v>
      </c>
    </row>
    <row r="430" spans="1:17">
      <c r="A430" s="134">
        <f t="shared" si="40"/>
        <v>2028.01</v>
      </c>
      <c r="B430" s="1818" t="e">
        <f t="shared" si="36"/>
        <v>#N/A</v>
      </c>
      <c r="C430" s="1822" t="e">
        <f t="shared" si="37"/>
        <v>#N/A</v>
      </c>
      <c r="D430" s="1007" t="e">
        <v>#N/A</v>
      </c>
      <c r="E430" s="1704" t="e">
        <v>#N/A</v>
      </c>
      <c r="F430" s="479" t="e">
        <v>#N/A</v>
      </c>
      <c r="G430" s="1835" t="e">
        <v>#N/A</v>
      </c>
      <c r="H430" s="1838" t="e">
        <v>#N/A</v>
      </c>
      <c r="I430" s="1704" t="e">
        <v>#N/A</v>
      </c>
      <c r="J430" s="1846" t="e">
        <v>#N/A</v>
      </c>
      <c r="K430" s="479" t="e">
        <v>#N/A</v>
      </c>
      <c r="L430" s="1982" t="e">
        <f t="shared" si="38"/>
        <v>#N/A</v>
      </c>
      <c r="M430" s="1838" t="e">
        <v>#N/A</v>
      </c>
      <c r="N430" s="479" t="e">
        <v>#N/A</v>
      </c>
      <c r="O430" s="1704" t="e">
        <v>#N/A</v>
      </c>
      <c r="P430" s="479" t="e">
        <v>#N/A</v>
      </c>
      <c r="Q430" s="1986" t="e">
        <f t="shared" si="39"/>
        <v>#N/A</v>
      </c>
    </row>
    <row r="431" spans="1:17">
      <c r="A431" s="134">
        <f t="shared" si="40"/>
        <v>2028.02</v>
      </c>
      <c r="B431" s="1818" t="e">
        <f t="shared" si="36"/>
        <v>#N/A</v>
      </c>
      <c r="C431" s="1822" t="e">
        <f t="shared" si="37"/>
        <v>#N/A</v>
      </c>
      <c r="D431" s="1007" t="e">
        <v>#N/A</v>
      </c>
      <c r="E431" s="1704" t="e">
        <v>#N/A</v>
      </c>
      <c r="F431" s="479" t="e">
        <v>#N/A</v>
      </c>
      <c r="G431" s="1835" t="e">
        <v>#N/A</v>
      </c>
      <c r="H431" s="1838" t="e">
        <v>#N/A</v>
      </c>
      <c r="I431" s="1704" t="e">
        <v>#N/A</v>
      </c>
      <c r="J431" s="1846" t="e">
        <v>#N/A</v>
      </c>
      <c r="K431" s="479" t="e">
        <v>#N/A</v>
      </c>
      <c r="L431" s="1982" t="e">
        <f t="shared" si="38"/>
        <v>#N/A</v>
      </c>
      <c r="M431" s="1838" t="e">
        <v>#N/A</v>
      </c>
      <c r="N431" s="479" t="e">
        <v>#N/A</v>
      </c>
      <c r="O431" s="1704" t="e">
        <v>#N/A</v>
      </c>
      <c r="P431" s="479" t="e">
        <v>#N/A</v>
      </c>
      <c r="Q431" s="1986" t="e">
        <f t="shared" si="39"/>
        <v>#N/A</v>
      </c>
    </row>
    <row r="432" spans="1:17">
      <c r="A432" s="134">
        <f t="shared" si="40"/>
        <v>2028.03</v>
      </c>
      <c r="B432" s="1818" t="e">
        <f t="shared" si="36"/>
        <v>#N/A</v>
      </c>
      <c r="C432" s="1822" t="e">
        <f t="shared" si="37"/>
        <v>#N/A</v>
      </c>
      <c r="D432" s="1007" t="e">
        <v>#N/A</v>
      </c>
      <c r="E432" s="1704" t="e">
        <v>#N/A</v>
      </c>
      <c r="F432" s="479" t="e">
        <v>#N/A</v>
      </c>
      <c r="G432" s="1835" t="e">
        <v>#N/A</v>
      </c>
      <c r="H432" s="1838" t="e">
        <v>#N/A</v>
      </c>
      <c r="I432" s="1704" t="e">
        <v>#N/A</v>
      </c>
      <c r="J432" s="1846" t="e">
        <v>#N/A</v>
      </c>
      <c r="K432" s="479" t="e">
        <v>#N/A</v>
      </c>
      <c r="L432" s="1982" t="e">
        <f t="shared" si="38"/>
        <v>#N/A</v>
      </c>
      <c r="M432" s="1838" t="e">
        <v>#N/A</v>
      </c>
      <c r="N432" s="479" t="e">
        <v>#N/A</v>
      </c>
      <c r="O432" s="1704" t="e">
        <v>#N/A</v>
      </c>
      <c r="P432" s="479" t="e">
        <v>#N/A</v>
      </c>
      <c r="Q432" s="1986" t="e">
        <f t="shared" si="39"/>
        <v>#N/A</v>
      </c>
    </row>
    <row r="433" spans="1:17">
      <c r="A433" s="134">
        <f t="shared" si="40"/>
        <v>2028.04</v>
      </c>
      <c r="B433" s="1818" t="e">
        <f t="shared" si="36"/>
        <v>#N/A</v>
      </c>
      <c r="C433" s="1822" t="e">
        <f t="shared" si="37"/>
        <v>#N/A</v>
      </c>
      <c r="D433" s="1007" t="e">
        <v>#N/A</v>
      </c>
      <c r="E433" s="1704" t="e">
        <v>#N/A</v>
      </c>
      <c r="F433" s="479" t="e">
        <v>#N/A</v>
      </c>
      <c r="G433" s="1835" t="e">
        <v>#N/A</v>
      </c>
      <c r="H433" s="1838" t="e">
        <v>#N/A</v>
      </c>
      <c r="I433" s="1704" t="e">
        <v>#N/A</v>
      </c>
      <c r="J433" s="1846" t="e">
        <v>#N/A</v>
      </c>
      <c r="K433" s="479" t="e">
        <v>#N/A</v>
      </c>
      <c r="L433" s="1982" t="e">
        <f t="shared" si="38"/>
        <v>#N/A</v>
      </c>
      <c r="M433" s="1838" t="e">
        <v>#N/A</v>
      </c>
      <c r="N433" s="479" t="e">
        <v>#N/A</v>
      </c>
      <c r="O433" s="1704" t="e">
        <v>#N/A</v>
      </c>
      <c r="P433" s="479" t="e">
        <v>#N/A</v>
      </c>
      <c r="Q433" s="1986" t="e">
        <f t="shared" si="39"/>
        <v>#N/A</v>
      </c>
    </row>
    <row r="434" spans="1:17">
      <c r="A434" s="134">
        <f t="shared" si="40"/>
        <v>2028.05</v>
      </c>
      <c r="B434" s="1818" t="e">
        <f t="shared" ref="B434:B465" si="41">L434</f>
        <v>#N/A</v>
      </c>
      <c r="C434" s="1822" t="e">
        <f t="shared" ref="C434:C465" si="42">Q434</f>
        <v>#N/A</v>
      </c>
      <c r="D434" s="1007" t="e">
        <v>#N/A</v>
      </c>
      <c r="E434" s="1704" t="e">
        <v>#N/A</v>
      </c>
      <c r="F434" s="479" t="e">
        <v>#N/A</v>
      </c>
      <c r="G434" s="1835" t="e">
        <v>#N/A</v>
      </c>
      <c r="H434" s="1838" t="e">
        <v>#N/A</v>
      </c>
      <c r="I434" s="1704" t="e">
        <v>#N/A</v>
      </c>
      <c r="J434" s="1846" t="e">
        <v>#N/A</v>
      </c>
      <c r="K434" s="479" t="e">
        <v>#N/A</v>
      </c>
      <c r="L434" s="1982" t="e">
        <f t="shared" ref="L434:L465" si="43">SUM(H434:K434)</f>
        <v>#N/A</v>
      </c>
      <c r="M434" s="1838" t="e">
        <v>#N/A</v>
      </c>
      <c r="N434" s="479" t="e">
        <v>#N/A</v>
      </c>
      <c r="O434" s="1704" t="e">
        <v>#N/A</v>
      </c>
      <c r="P434" s="479" t="e">
        <v>#N/A</v>
      </c>
      <c r="Q434" s="1986" t="e">
        <f t="shared" ref="Q434:Q465" si="44">SUM(M434:P434)</f>
        <v>#N/A</v>
      </c>
    </row>
    <row r="435" spans="1:17">
      <c r="A435" s="134">
        <f t="shared" si="40"/>
        <v>2028.06</v>
      </c>
      <c r="B435" s="1818" t="e">
        <f t="shared" si="41"/>
        <v>#N/A</v>
      </c>
      <c r="C435" s="1822" t="e">
        <f t="shared" si="42"/>
        <v>#N/A</v>
      </c>
      <c r="D435" s="1007" t="e">
        <v>#N/A</v>
      </c>
      <c r="E435" s="1704" t="e">
        <v>#N/A</v>
      </c>
      <c r="F435" s="479" t="e">
        <v>#N/A</v>
      </c>
      <c r="G435" s="1835" t="e">
        <v>#N/A</v>
      </c>
      <c r="H435" s="1838" t="e">
        <v>#N/A</v>
      </c>
      <c r="I435" s="1704" t="e">
        <v>#N/A</v>
      </c>
      <c r="J435" s="1846" t="e">
        <v>#N/A</v>
      </c>
      <c r="K435" s="479" t="e">
        <v>#N/A</v>
      </c>
      <c r="L435" s="1982" t="e">
        <f t="shared" si="43"/>
        <v>#N/A</v>
      </c>
      <c r="M435" s="1838" t="e">
        <v>#N/A</v>
      </c>
      <c r="N435" s="479" t="e">
        <v>#N/A</v>
      </c>
      <c r="O435" s="1704" t="e">
        <v>#N/A</v>
      </c>
      <c r="P435" s="479" t="e">
        <v>#N/A</v>
      </c>
      <c r="Q435" s="1986" t="e">
        <f t="shared" si="44"/>
        <v>#N/A</v>
      </c>
    </row>
    <row r="436" spans="1:17">
      <c r="A436" s="134">
        <f t="shared" si="40"/>
        <v>2028.07</v>
      </c>
      <c r="B436" s="1818" t="e">
        <f t="shared" si="41"/>
        <v>#N/A</v>
      </c>
      <c r="C436" s="1822" t="e">
        <f t="shared" si="42"/>
        <v>#N/A</v>
      </c>
      <c r="D436" s="1007" t="e">
        <v>#N/A</v>
      </c>
      <c r="E436" s="1704" t="e">
        <v>#N/A</v>
      </c>
      <c r="F436" s="479" t="e">
        <v>#N/A</v>
      </c>
      <c r="G436" s="1835" t="e">
        <v>#N/A</v>
      </c>
      <c r="H436" s="1838" t="e">
        <v>#N/A</v>
      </c>
      <c r="I436" s="1704" t="e">
        <v>#N/A</v>
      </c>
      <c r="J436" s="1846" t="e">
        <v>#N/A</v>
      </c>
      <c r="K436" s="479" t="e">
        <v>#N/A</v>
      </c>
      <c r="L436" s="1982" t="e">
        <f t="shared" si="43"/>
        <v>#N/A</v>
      </c>
      <c r="M436" s="1838" t="e">
        <v>#N/A</v>
      </c>
      <c r="N436" s="479" t="e">
        <v>#N/A</v>
      </c>
      <c r="O436" s="1704" t="e">
        <v>#N/A</v>
      </c>
      <c r="P436" s="479" t="e">
        <v>#N/A</v>
      </c>
      <c r="Q436" s="1986" t="e">
        <f t="shared" si="44"/>
        <v>#N/A</v>
      </c>
    </row>
    <row r="437" spans="1:17">
      <c r="A437" s="134">
        <f t="shared" si="40"/>
        <v>2028.08</v>
      </c>
      <c r="B437" s="1818" t="e">
        <f t="shared" si="41"/>
        <v>#N/A</v>
      </c>
      <c r="C437" s="1822" t="e">
        <f t="shared" si="42"/>
        <v>#N/A</v>
      </c>
      <c r="D437" s="1007" t="e">
        <v>#N/A</v>
      </c>
      <c r="E437" s="1704" t="e">
        <v>#N/A</v>
      </c>
      <c r="F437" s="479" t="e">
        <v>#N/A</v>
      </c>
      <c r="G437" s="1835" t="e">
        <v>#N/A</v>
      </c>
      <c r="H437" s="1838" t="e">
        <v>#N/A</v>
      </c>
      <c r="I437" s="1704" t="e">
        <v>#N/A</v>
      </c>
      <c r="J437" s="1846" t="e">
        <v>#N/A</v>
      </c>
      <c r="K437" s="479" t="e">
        <v>#N/A</v>
      </c>
      <c r="L437" s="1982" t="e">
        <f t="shared" si="43"/>
        <v>#N/A</v>
      </c>
      <c r="M437" s="1838" t="e">
        <v>#N/A</v>
      </c>
      <c r="N437" s="479" t="e">
        <v>#N/A</v>
      </c>
      <c r="O437" s="1704" t="e">
        <v>#N/A</v>
      </c>
      <c r="P437" s="479" t="e">
        <v>#N/A</v>
      </c>
      <c r="Q437" s="1986" t="e">
        <f t="shared" si="44"/>
        <v>#N/A</v>
      </c>
    </row>
    <row r="438" spans="1:17">
      <c r="A438" s="134">
        <f t="shared" si="40"/>
        <v>2028.09</v>
      </c>
      <c r="B438" s="1818" t="e">
        <f t="shared" si="41"/>
        <v>#N/A</v>
      </c>
      <c r="C438" s="1822" t="e">
        <f t="shared" si="42"/>
        <v>#N/A</v>
      </c>
      <c r="D438" s="1007" t="e">
        <v>#N/A</v>
      </c>
      <c r="E438" s="1704" t="e">
        <v>#N/A</v>
      </c>
      <c r="F438" s="479" t="e">
        <v>#N/A</v>
      </c>
      <c r="G438" s="1835" t="e">
        <v>#N/A</v>
      </c>
      <c r="H438" s="1838" t="e">
        <v>#N/A</v>
      </c>
      <c r="I438" s="1704" t="e">
        <v>#N/A</v>
      </c>
      <c r="J438" s="1846" t="e">
        <v>#N/A</v>
      </c>
      <c r="K438" s="479" t="e">
        <v>#N/A</v>
      </c>
      <c r="L438" s="1982" t="e">
        <f t="shared" si="43"/>
        <v>#N/A</v>
      </c>
      <c r="M438" s="1838" t="e">
        <v>#N/A</v>
      </c>
      <c r="N438" s="479" t="e">
        <v>#N/A</v>
      </c>
      <c r="O438" s="1704" t="e">
        <v>#N/A</v>
      </c>
      <c r="P438" s="479" t="e">
        <v>#N/A</v>
      </c>
      <c r="Q438" s="1986" t="e">
        <f t="shared" si="44"/>
        <v>#N/A</v>
      </c>
    </row>
    <row r="439" spans="1:17">
      <c r="A439" s="134">
        <f t="shared" si="40"/>
        <v>2028.1</v>
      </c>
      <c r="B439" s="1818" t="e">
        <f t="shared" si="41"/>
        <v>#N/A</v>
      </c>
      <c r="C439" s="1822" t="e">
        <f t="shared" si="42"/>
        <v>#N/A</v>
      </c>
      <c r="D439" s="1007" t="e">
        <v>#N/A</v>
      </c>
      <c r="E439" s="1704" t="e">
        <v>#N/A</v>
      </c>
      <c r="F439" s="479" t="e">
        <v>#N/A</v>
      </c>
      <c r="G439" s="1835" t="e">
        <v>#N/A</v>
      </c>
      <c r="H439" s="1838" t="e">
        <v>#N/A</v>
      </c>
      <c r="I439" s="1704" t="e">
        <v>#N/A</v>
      </c>
      <c r="J439" s="1846" t="e">
        <v>#N/A</v>
      </c>
      <c r="K439" s="479" t="e">
        <v>#N/A</v>
      </c>
      <c r="L439" s="1982" t="e">
        <f t="shared" si="43"/>
        <v>#N/A</v>
      </c>
      <c r="M439" s="1838" t="e">
        <v>#N/A</v>
      </c>
      <c r="N439" s="479" t="e">
        <v>#N/A</v>
      </c>
      <c r="O439" s="1704" t="e">
        <v>#N/A</v>
      </c>
      <c r="P439" s="479" t="e">
        <v>#N/A</v>
      </c>
      <c r="Q439" s="1986" t="e">
        <f t="shared" si="44"/>
        <v>#N/A</v>
      </c>
    </row>
    <row r="440" spans="1:17">
      <c r="A440" s="134">
        <f t="shared" si="40"/>
        <v>2028.11</v>
      </c>
      <c r="B440" s="1818" t="e">
        <f t="shared" si="41"/>
        <v>#N/A</v>
      </c>
      <c r="C440" s="1822" t="e">
        <f t="shared" si="42"/>
        <v>#N/A</v>
      </c>
      <c r="D440" s="1007" t="e">
        <v>#N/A</v>
      </c>
      <c r="E440" s="1704" t="e">
        <v>#N/A</v>
      </c>
      <c r="F440" s="479" t="e">
        <v>#N/A</v>
      </c>
      <c r="G440" s="1835" t="e">
        <v>#N/A</v>
      </c>
      <c r="H440" s="1838" t="e">
        <v>#N/A</v>
      </c>
      <c r="I440" s="1704" t="e">
        <v>#N/A</v>
      </c>
      <c r="J440" s="1846" t="e">
        <v>#N/A</v>
      </c>
      <c r="K440" s="479" t="e">
        <v>#N/A</v>
      </c>
      <c r="L440" s="1982" t="e">
        <f t="shared" si="43"/>
        <v>#N/A</v>
      </c>
      <c r="M440" s="1838" t="e">
        <v>#N/A</v>
      </c>
      <c r="N440" s="479" t="e">
        <v>#N/A</v>
      </c>
      <c r="O440" s="1704" t="e">
        <v>#N/A</v>
      </c>
      <c r="P440" s="479" t="e">
        <v>#N/A</v>
      </c>
      <c r="Q440" s="1986" t="e">
        <f t="shared" si="44"/>
        <v>#N/A</v>
      </c>
    </row>
    <row r="441" spans="1:17">
      <c r="A441" s="134">
        <f t="shared" si="40"/>
        <v>2028.12</v>
      </c>
      <c r="B441" s="1818" t="e">
        <f t="shared" si="41"/>
        <v>#N/A</v>
      </c>
      <c r="C441" s="1822" t="e">
        <f t="shared" si="42"/>
        <v>#N/A</v>
      </c>
      <c r="D441" s="1007" t="e">
        <v>#N/A</v>
      </c>
      <c r="E441" s="1704" t="e">
        <v>#N/A</v>
      </c>
      <c r="F441" s="479" t="e">
        <v>#N/A</v>
      </c>
      <c r="G441" s="1835" t="e">
        <v>#N/A</v>
      </c>
      <c r="H441" s="1838" t="e">
        <v>#N/A</v>
      </c>
      <c r="I441" s="1704" t="e">
        <v>#N/A</v>
      </c>
      <c r="J441" s="1846" t="e">
        <v>#N/A</v>
      </c>
      <c r="K441" s="479" t="e">
        <v>#N/A</v>
      </c>
      <c r="L441" s="1982" t="e">
        <f t="shared" si="43"/>
        <v>#N/A</v>
      </c>
      <c r="M441" s="1838" t="e">
        <v>#N/A</v>
      </c>
      <c r="N441" s="479" t="e">
        <v>#N/A</v>
      </c>
      <c r="O441" s="1704" t="e">
        <v>#N/A</v>
      </c>
      <c r="P441" s="479" t="e">
        <v>#N/A</v>
      </c>
      <c r="Q441" s="1986" t="e">
        <f t="shared" si="44"/>
        <v>#N/A</v>
      </c>
    </row>
    <row r="442" spans="1:17">
      <c r="A442" s="134">
        <f t="shared" si="40"/>
        <v>2029.01</v>
      </c>
      <c r="B442" s="1818" t="e">
        <f t="shared" si="41"/>
        <v>#N/A</v>
      </c>
      <c r="C442" s="1822" t="e">
        <f t="shared" si="42"/>
        <v>#N/A</v>
      </c>
      <c r="D442" s="1007" t="e">
        <v>#N/A</v>
      </c>
      <c r="E442" s="1704" t="e">
        <v>#N/A</v>
      </c>
      <c r="F442" s="479" t="e">
        <v>#N/A</v>
      </c>
      <c r="G442" s="1835" t="e">
        <v>#N/A</v>
      </c>
      <c r="H442" s="1838" t="e">
        <v>#N/A</v>
      </c>
      <c r="I442" s="1704" t="e">
        <v>#N/A</v>
      </c>
      <c r="J442" s="1846" t="e">
        <v>#N/A</v>
      </c>
      <c r="K442" s="479" t="e">
        <v>#N/A</v>
      </c>
      <c r="L442" s="1982" t="e">
        <f t="shared" si="43"/>
        <v>#N/A</v>
      </c>
      <c r="M442" s="1838" t="e">
        <v>#N/A</v>
      </c>
      <c r="N442" s="479" t="e">
        <v>#N/A</v>
      </c>
      <c r="O442" s="1704" t="e">
        <v>#N/A</v>
      </c>
      <c r="P442" s="479" t="e">
        <v>#N/A</v>
      </c>
      <c r="Q442" s="1986" t="e">
        <f t="shared" si="44"/>
        <v>#N/A</v>
      </c>
    </row>
    <row r="443" spans="1:17">
      <c r="A443" s="134">
        <f t="shared" si="40"/>
        <v>2029.02</v>
      </c>
      <c r="B443" s="1818" t="e">
        <f t="shared" si="41"/>
        <v>#N/A</v>
      </c>
      <c r="C443" s="1822" t="e">
        <f t="shared" si="42"/>
        <v>#N/A</v>
      </c>
      <c r="D443" s="1007" t="e">
        <v>#N/A</v>
      </c>
      <c r="E443" s="1704" t="e">
        <v>#N/A</v>
      </c>
      <c r="F443" s="479" t="e">
        <v>#N/A</v>
      </c>
      <c r="G443" s="1835" t="e">
        <v>#N/A</v>
      </c>
      <c r="H443" s="1838" t="e">
        <v>#N/A</v>
      </c>
      <c r="I443" s="1704" t="e">
        <v>#N/A</v>
      </c>
      <c r="J443" s="1846" t="e">
        <v>#N/A</v>
      </c>
      <c r="K443" s="479" t="e">
        <v>#N/A</v>
      </c>
      <c r="L443" s="1982" t="e">
        <f t="shared" si="43"/>
        <v>#N/A</v>
      </c>
      <c r="M443" s="1838" t="e">
        <v>#N/A</v>
      </c>
      <c r="N443" s="479" t="e">
        <v>#N/A</v>
      </c>
      <c r="O443" s="1704" t="e">
        <v>#N/A</v>
      </c>
      <c r="P443" s="479" t="e">
        <v>#N/A</v>
      </c>
      <c r="Q443" s="1986" t="e">
        <f t="shared" si="44"/>
        <v>#N/A</v>
      </c>
    </row>
    <row r="444" spans="1:17">
      <c r="A444" s="134">
        <f t="shared" si="40"/>
        <v>2029.03</v>
      </c>
      <c r="B444" s="1818" t="e">
        <f t="shared" si="41"/>
        <v>#N/A</v>
      </c>
      <c r="C444" s="1822" t="e">
        <f t="shared" si="42"/>
        <v>#N/A</v>
      </c>
      <c r="D444" s="1007" t="e">
        <v>#N/A</v>
      </c>
      <c r="E444" s="1704" t="e">
        <v>#N/A</v>
      </c>
      <c r="F444" s="479" t="e">
        <v>#N/A</v>
      </c>
      <c r="G444" s="1835" t="e">
        <v>#N/A</v>
      </c>
      <c r="H444" s="1838" t="e">
        <v>#N/A</v>
      </c>
      <c r="I444" s="1704" t="e">
        <v>#N/A</v>
      </c>
      <c r="J444" s="1846" t="e">
        <v>#N/A</v>
      </c>
      <c r="K444" s="479" t="e">
        <v>#N/A</v>
      </c>
      <c r="L444" s="1982" t="e">
        <f t="shared" si="43"/>
        <v>#N/A</v>
      </c>
      <c r="M444" s="1838" t="e">
        <v>#N/A</v>
      </c>
      <c r="N444" s="479" t="e">
        <v>#N/A</v>
      </c>
      <c r="O444" s="1704" t="e">
        <v>#N/A</v>
      </c>
      <c r="P444" s="479" t="e">
        <v>#N/A</v>
      </c>
      <c r="Q444" s="1986" t="e">
        <f t="shared" si="44"/>
        <v>#N/A</v>
      </c>
    </row>
    <row r="445" spans="1:17">
      <c r="A445" s="134">
        <f t="shared" si="40"/>
        <v>2029.04</v>
      </c>
      <c r="B445" s="1818" t="e">
        <f t="shared" si="41"/>
        <v>#N/A</v>
      </c>
      <c r="C445" s="1822" t="e">
        <f t="shared" si="42"/>
        <v>#N/A</v>
      </c>
      <c r="D445" s="1007" t="e">
        <v>#N/A</v>
      </c>
      <c r="E445" s="1704" t="e">
        <v>#N/A</v>
      </c>
      <c r="F445" s="479" t="e">
        <v>#N/A</v>
      </c>
      <c r="G445" s="1835" t="e">
        <v>#N/A</v>
      </c>
      <c r="H445" s="1838" t="e">
        <v>#N/A</v>
      </c>
      <c r="I445" s="1704" t="e">
        <v>#N/A</v>
      </c>
      <c r="J445" s="1846" t="e">
        <v>#N/A</v>
      </c>
      <c r="K445" s="479" t="e">
        <v>#N/A</v>
      </c>
      <c r="L445" s="1982" t="e">
        <f t="shared" si="43"/>
        <v>#N/A</v>
      </c>
      <c r="M445" s="1838" t="e">
        <v>#N/A</v>
      </c>
      <c r="N445" s="479" t="e">
        <v>#N/A</v>
      </c>
      <c r="O445" s="1704" t="e">
        <v>#N/A</v>
      </c>
      <c r="P445" s="479" t="e">
        <v>#N/A</v>
      </c>
      <c r="Q445" s="1986" t="e">
        <f t="shared" si="44"/>
        <v>#N/A</v>
      </c>
    </row>
    <row r="446" spans="1:17">
      <c r="A446" s="134">
        <f t="shared" si="40"/>
        <v>2029.05</v>
      </c>
      <c r="B446" s="1818" t="e">
        <f t="shared" si="41"/>
        <v>#N/A</v>
      </c>
      <c r="C446" s="1822" t="e">
        <f t="shared" si="42"/>
        <v>#N/A</v>
      </c>
      <c r="D446" s="1007" t="e">
        <v>#N/A</v>
      </c>
      <c r="E446" s="1704" t="e">
        <v>#N/A</v>
      </c>
      <c r="F446" s="479" t="e">
        <v>#N/A</v>
      </c>
      <c r="G446" s="1835" t="e">
        <v>#N/A</v>
      </c>
      <c r="H446" s="1838" t="e">
        <v>#N/A</v>
      </c>
      <c r="I446" s="1704" t="e">
        <v>#N/A</v>
      </c>
      <c r="J446" s="1846" t="e">
        <v>#N/A</v>
      </c>
      <c r="K446" s="479" t="e">
        <v>#N/A</v>
      </c>
      <c r="L446" s="1982" t="e">
        <f t="shared" si="43"/>
        <v>#N/A</v>
      </c>
      <c r="M446" s="1838" t="e">
        <v>#N/A</v>
      </c>
      <c r="N446" s="479" t="e">
        <v>#N/A</v>
      </c>
      <c r="O446" s="1704" t="e">
        <v>#N/A</v>
      </c>
      <c r="P446" s="479" t="e">
        <v>#N/A</v>
      </c>
      <c r="Q446" s="1986" t="e">
        <f t="shared" si="44"/>
        <v>#N/A</v>
      </c>
    </row>
    <row r="447" spans="1:17">
      <c r="A447" s="134">
        <f t="shared" si="40"/>
        <v>2029.06</v>
      </c>
      <c r="B447" s="1818" t="e">
        <f t="shared" si="41"/>
        <v>#N/A</v>
      </c>
      <c r="C447" s="1822" t="e">
        <f t="shared" si="42"/>
        <v>#N/A</v>
      </c>
      <c r="D447" s="1007" t="e">
        <v>#N/A</v>
      </c>
      <c r="E447" s="1704" t="e">
        <v>#N/A</v>
      </c>
      <c r="F447" s="479" t="e">
        <v>#N/A</v>
      </c>
      <c r="G447" s="1835" t="e">
        <v>#N/A</v>
      </c>
      <c r="H447" s="1838" t="e">
        <v>#N/A</v>
      </c>
      <c r="I447" s="1704" t="e">
        <v>#N/A</v>
      </c>
      <c r="J447" s="1846" t="e">
        <v>#N/A</v>
      </c>
      <c r="K447" s="479" t="e">
        <v>#N/A</v>
      </c>
      <c r="L447" s="1982" t="e">
        <f t="shared" si="43"/>
        <v>#N/A</v>
      </c>
      <c r="M447" s="1838" t="e">
        <v>#N/A</v>
      </c>
      <c r="N447" s="479" t="e">
        <v>#N/A</v>
      </c>
      <c r="O447" s="1704" t="e">
        <v>#N/A</v>
      </c>
      <c r="P447" s="479" t="e">
        <v>#N/A</v>
      </c>
      <c r="Q447" s="1986" t="e">
        <f t="shared" si="44"/>
        <v>#N/A</v>
      </c>
    </row>
    <row r="448" spans="1:17">
      <c r="A448" s="134">
        <f t="shared" si="40"/>
        <v>2029.07</v>
      </c>
      <c r="B448" s="1818" t="e">
        <f t="shared" si="41"/>
        <v>#N/A</v>
      </c>
      <c r="C448" s="1822" t="e">
        <f t="shared" si="42"/>
        <v>#N/A</v>
      </c>
      <c r="D448" s="1007" t="e">
        <v>#N/A</v>
      </c>
      <c r="E448" s="1704" t="e">
        <v>#N/A</v>
      </c>
      <c r="F448" s="479" t="e">
        <v>#N/A</v>
      </c>
      <c r="G448" s="1835" t="e">
        <v>#N/A</v>
      </c>
      <c r="H448" s="1838" t="e">
        <v>#N/A</v>
      </c>
      <c r="I448" s="1704" t="e">
        <v>#N/A</v>
      </c>
      <c r="J448" s="1846" t="e">
        <v>#N/A</v>
      </c>
      <c r="K448" s="479" t="e">
        <v>#N/A</v>
      </c>
      <c r="L448" s="1982" t="e">
        <f t="shared" si="43"/>
        <v>#N/A</v>
      </c>
      <c r="M448" s="1838" t="e">
        <v>#N/A</v>
      </c>
      <c r="N448" s="479" t="e">
        <v>#N/A</v>
      </c>
      <c r="O448" s="1704" t="e">
        <v>#N/A</v>
      </c>
      <c r="P448" s="479" t="e">
        <v>#N/A</v>
      </c>
      <c r="Q448" s="1986" t="e">
        <f t="shared" si="44"/>
        <v>#N/A</v>
      </c>
    </row>
    <row r="449" spans="1:17">
      <c r="A449" s="134">
        <f t="shared" si="40"/>
        <v>2029.08</v>
      </c>
      <c r="B449" s="1818" t="e">
        <f t="shared" si="41"/>
        <v>#N/A</v>
      </c>
      <c r="C449" s="1822" t="e">
        <f t="shared" si="42"/>
        <v>#N/A</v>
      </c>
      <c r="D449" s="1007" t="e">
        <v>#N/A</v>
      </c>
      <c r="E449" s="1704" t="e">
        <v>#N/A</v>
      </c>
      <c r="F449" s="479" t="e">
        <v>#N/A</v>
      </c>
      <c r="G449" s="1835" t="e">
        <v>#N/A</v>
      </c>
      <c r="H449" s="1838" t="e">
        <v>#N/A</v>
      </c>
      <c r="I449" s="1704" t="e">
        <v>#N/A</v>
      </c>
      <c r="J449" s="1846" t="e">
        <v>#N/A</v>
      </c>
      <c r="K449" s="479" t="e">
        <v>#N/A</v>
      </c>
      <c r="L449" s="1982" t="e">
        <f t="shared" si="43"/>
        <v>#N/A</v>
      </c>
      <c r="M449" s="1838" t="e">
        <v>#N/A</v>
      </c>
      <c r="N449" s="479" t="e">
        <v>#N/A</v>
      </c>
      <c r="O449" s="1704" t="e">
        <v>#N/A</v>
      </c>
      <c r="P449" s="479" t="e">
        <v>#N/A</v>
      </c>
      <c r="Q449" s="1986" t="e">
        <f t="shared" si="44"/>
        <v>#N/A</v>
      </c>
    </row>
    <row r="450" spans="1:17">
      <c r="A450" s="134">
        <f t="shared" si="40"/>
        <v>2029.09</v>
      </c>
      <c r="B450" s="1818" t="e">
        <f t="shared" si="41"/>
        <v>#N/A</v>
      </c>
      <c r="C450" s="1822" t="e">
        <f t="shared" si="42"/>
        <v>#N/A</v>
      </c>
      <c r="D450" s="1007" t="e">
        <v>#N/A</v>
      </c>
      <c r="E450" s="1704" t="e">
        <v>#N/A</v>
      </c>
      <c r="F450" s="479" t="e">
        <v>#N/A</v>
      </c>
      <c r="G450" s="1835" t="e">
        <v>#N/A</v>
      </c>
      <c r="H450" s="1838" t="e">
        <v>#N/A</v>
      </c>
      <c r="I450" s="1704" t="e">
        <v>#N/A</v>
      </c>
      <c r="J450" s="1846" t="e">
        <v>#N/A</v>
      </c>
      <c r="K450" s="479" t="e">
        <v>#N/A</v>
      </c>
      <c r="L450" s="1982" t="e">
        <f t="shared" si="43"/>
        <v>#N/A</v>
      </c>
      <c r="M450" s="1838" t="e">
        <v>#N/A</v>
      </c>
      <c r="N450" s="479" t="e">
        <v>#N/A</v>
      </c>
      <c r="O450" s="1704" t="e">
        <v>#N/A</v>
      </c>
      <c r="P450" s="479" t="e">
        <v>#N/A</v>
      </c>
      <c r="Q450" s="1986" t="e">
        <f t="shared" si="44"/>
        <v>#N/A</v>
      </c>
    </row>
    <row r="451" spans="1:17">
      <c r="A451" s="134">
        <f t="shared" si="40"/>
        <v>2029.1</v>
      </c>
      <c r="B451" s="1818" t="e">
        <f t="shared" si="41"/>
        <v>#N/A</v>
      </c>
      <c r="C451" s="1822" t="e">
        <f t="shared" si="42"/>
        <v>#N/A</v>
      </c>
      <c r="D451" s="1007" t="e">
        <v>#N/A</v>
      </c>
      <c r="E451" s="1704" t="e">
        <v>#N/A</v>
      </c>
      <c r="F451" s="479" t="e">
        <v>#N/A</v>
      </c>
      <c r="G451" s="1835" t="e">
        <v>#N/A</v>
      </c>
      <c r="H451" s="1838" t="e">
        <v>#N/A</v>
      </c>
      <c r="I451" s="1704" t="e">
        <v>#N/A</v>
      </c>
      <c r="J451" s="1846" t="e">
        <v>#N/A</v>
      </c>
      <c r="K451" s="479" t="e">
        <v>#N/A</v>
      </c>
      <c r="L451" s="1982" t="e">
        <f t="shared" si="43"/>
        <v>#N/A</v>
      </c>
      <c r="M451" s="1838" t="e">
        <v>#N/A</v>
      </c>
      <c r="N451" s="479" t="e">
        <v>#N/A</v>
      </c>
      <c r="O451" s="1704" t="e">
        <v>#N/A</v>
      </c>
      <c r="P451" s="479" t="e">
        <v>#N/A</v>
      </c>
      <c r="Q451" s="1986" t="e">
        <f t="shared" si="44"/>
        <v>#N/A</v>
      </c>
    </row>
    <row r="452" spans="1:17">
      <c r="A452" s="134">
        <f t="shared" si="40"/>
        <v>2029.11</v>
      </c>
      <c r="B452" s="1818" t="e">
        <f t="shared" si="41"/>
        <v>#N/A</v>
      </c>
      <c r="C452" s="1822" t="e">
        <f t="shared" si="42"/>
        <v>#N/A</v>
      </c>
      <c r="D452" s="1007" t="e">
        <v>#N/A</v>
      </c>
      <c r="E452" s="1704" t="e">
        <v>#N/A</v>
      </c>
      <c r="F452" s="479" t="e">
        <v>#N/A</v>
      </c>
      <c r="G452" s="1835" t="e">
        <v>#N/A</v>
      </c>
      <c r="H452" s="1838" t="e">
        <v>#N/A</v>
      </c>
      <c r="I452" s="1704" t="e">
        <v>#N/A</v>
      </c>
      <c r="J452" s="1846" t="e">
        <v>#N/A</v>
      </c>
      <c r="K452" s="479" t="e">
        <v>#N/A</v>
      </c>
      <c r="L452" s="1982" t="e">
        <f t="shared" si="43"/>
        <v>#N/A</v>
      </c>
      <c r="M452" s="1838" t="e">
        <v>#N/A</v>
      </c>
      <c r="N452" s="479" t="e">
        <v>#N/A</v>
      </c>
      <c r="O452" s="1704" t="e">
        <v>#N/A</v>
      </c>
      <c r="P452" s="479" t="e">
        <v>#N/A</v>
      </c>
      <c r="Q452" s="1986" t="e">
        <f t="shared" si="44"/>
        <v>#N/A</v>
      </c>
    </row>
    <row r="453" spans="1:17">
      <c r="A453" s="134">
        <f t="shared" si="40"/>
        <v>2029.12</v>
      </c>
      <c r="B453" s="1818" t="e">
        <f t="shared" si="41"/>
        <v>#N/A</v>
      </c>
      <c r="C453" s="1822" t="e">
        <f t="shared" si="42"/>
        <v>#N/A</v>
      </c>
      <c r="D453" s="1007" t="e">
        <v>#N/A</v>
      </c>
      <c r="E453" s="1704" t="e">
        <v>#N/A</v>
      </c>
      <c r="F453" s="479" t="e">
        <v>#N/A</v>
      </c>
      <c r="G453" s="1835" t="e">
        <v>#N/A</v>
      </c>
      <c r="H453" s="1838" t="e">
        <v>#N/A</v>
      </c>
      <c r="I453" s="1704" t="e">
        <v>#N/A</v>
      </c>
      <c r="J453" s="1846" t="e">
        <v>#N/A</v>
      </c>
      <c r="K453" s="479" t="e">
        <v>#N/A</v>
      </c>
      <c r="L453" s="1982" t="e">
        <f t="shared" si="43"/>
        <v>#N/A</v>
      </c>
      <c r="M453" s="1838" t="e">
        <v>#N/A</v>
      </c>
      <c r="N453" s="479" t="e">
        <v>#N/A</v>
      </c>
      <c r="O453" s="1704" t="e">
        <v>#N/A</v>
      </c>
      <c r="P453" s="479" t="e">
        <v>#N/A</v>
      </c>
      <c r="Q453" s="1986" t="e">
        <f t="shared" si="44"/>
        <v>#N/A</v>
      </c>
    </row>
    <row r="454" spans="1:17">
      <c r="A454" s="134">
        <f t="shared" si="40"/>
        <v>2030.01</v>
      </c>
      <c r="B454" s="1818" t="e">
        <f t="shared" si="41"/>
        <v>#N/A</v>
      </c>
      <c r="C454" s="1822" t="e">
        <f t="shared" si="42"/>
        <v>#N/A</v>
      </c>
      <c r="D454" s="1007" t="e">
        <v>#N/A</v>
      </c>
      <c r="E454" s="1704" t="e">
        <v>#N/A</v>
      </c>
      <c r="F454" s="479" t="e">
        <v>#N/A</v>
      </c>
      <c r="G454" s="1835" t="e">
        <v>#N/A</v>
      </c>
      <c r="H454" s="1838" t="e">
        <v>#N/A</v>
      </c>
      <c r="I454" s="1704" t="e">
        <v>#N/A</v>
      </c>
      <c r="J454" s="1846" t="e">
        <v>#N/A</v>
      </c>
      <c r="K454" s="479" t="e">
        <v>#N/A</v>
      </c>
      <c r="L454" s="1982" t="e">
        <f t="shared" si="43"/>
        <v>#N/A</v>
      </c>
      <c r="M454" s="1838" t="e">
        <v>#N/A</v>
      </c>
      <c r="N454" s="479" t="e">
        <v>#N/A</v>
      </c>
      <c r="O454" s="1704" t="e">
        <v>#N/A</v>
      </c>
      <c r="P454" s="479" t="e">
        <v>#N/A</v>
      </c>
      <c r="Q454" s="1986" t="e">
        <f t="shared" si="44"/>
        <v>#N/A</v>
      </c>
    </row>
    <row r="455" spans="1:17">
      <c r="A455" s="134">
        <f t="shared" si="40"/>
        <v>2030.02</v>
      </c>
      <c r="B455" s="1818" t="e">
        <f t="shared" si="41"/>
        <v>#N/A</v>
      </c>
      <c r="C455" s="1822" t="e">
        <f t="shared" si="42"/>
        <v>#N/A</v>
      </c>
      <c r="D455" s="1007" t="e">
        <v>#N/A</v>
      </c>
      <c r="E455" s="1704" t="e">
        <v>#N/A</v>
      </c>
      <c r="F455" s="479" t="e">
        <v>#N/A</v>
      </c>
      <c r="G455" s="1835" t="e">
        <v>#N/A</v>
      </c>
      <c r="H455" s="1838" t="e">
        <v>#N/A</v>
      </c>
      <c r="I455" s="1704" t="e">
        <v>#N/A</v>
      </c>
      <c r="J455" s="1846" t="e">
        <v>#N/A</v>
      </c>
      <c r="K455" s="479" t="e">
        <v>#N/A</v>
      </c>
      <c r="L455" s="1982" t="e">
        <f t="shared" si="43"/>
        <v>#N/A</v>
      </c>
      <c r="M455" s="1838" t="e">
        <v>#N/A</v>
      </c>
      <c r="N455" s="479" t="e">
        <v>#N/A</v>
      </c>
      <c r="O455" s="1704" t="e">
        <v>#N/A</v>
      </c>
      <c r="P455" s="479" t="e">
        <v>#N/A</v>
      </c>
      <c r="Q455" s="1986" t="e">
        <f t="shared" si="44"/>
        <v>#N/A</v>
      </c>
    </row>
    <row r="456" spans="1:17">
      <c r="A456" s="134">
        <f t="shared" si="40"/>
        <v>2030.03</v>
      </c>
      <c r="B456" s="1818" t="e">
        <f t="shared" si="41"/>
        <v>#N/A</v>
      </c>
      <c r="C456" s="1822" t="e">
        <f t="shared" si="42"/>
        <v>#N/A</v>
      </c>
      <c r="D456" s="1007" t="e">
        <v>#N/A</v>
      </c>
      <c r="E456" s="1704" t="e">
        <v>#N/A</v>
      </c>
      <c r="F456" s="479" t="e">
        <v>#N/A</v>
      </c>
      <c r="G456" s="1835" t="e">
        <v>#N/A</v>
      </c>
      <c r="H456" s="1838" t="e">
        <v>#N/A</v>
      </c>
      <c r="I456" s="1704" t="e">
        <v>#N/A</v>
      </c>
      <c r="J456" s="1846" t="e">
        <v>#N/A</v>
      </c>
      <c r="K456" s="479" t="e">
        <v>#N/A</v>
      </c>
      <c r="L456" s="1982" t="e">
        <f t="shared" si="43"/>
        <v>#N/A</v>
      </c>
      <c r="M456" s="1838" t="e">
        <v>#N/A</v>
      </c>
      <c r="N456" s="479" t="e">
        <v>#N/A</v>
      </c>
      <c r="O456" s="1704" t="e">
        <v>#N/A</v>
      </c>
      <c r="P456" s="479" t="e">
        <v>#N/A</v>
      </c>
      <c r="Q456" s="1986" t="e">
        <f t="shared" si="44"/>
        <v>#N/A</v>
      </c>
    </row>
    <row r="457" spans="1:17">
      <c r="A457" s="134">
        <f t="shared" si="40"/>
        <v>2030.04</v>
      </c>
      <c r="B457" s="1818" t="e">
        <f t="shared" si="41"/>
        <v>#N/A</v>
      </c>
      <c r="C457" s="1822" t="e">
        <f t="shared" si="42"/>
        <v>#N/A</v>
      </c>
      <c r="D457" s="1007" t="e">
        <v>#N/A</v>
      </c>
      <c r="E457" s="1704" t="e">
        <v>#N/A</v>
      </c>
      <c r="F457" s="479" t="e">
        <v>#N/A</v>
      </c>
      <c r="G457" s="1835" t="e">
        <v>#N/A</v>
      </c>
      <c r="H457" s="1838" t="e">
        <v>#N/A</v>
      </c>
      <c r="I457" s="1704" t="e">
        <v>#N/A</v>
      </c>
      <c r="J457" s="1846" t="e">
        <v>#N/A</v>
      </c>
      <c r="K457" s="479" t="e">
        <v>#N/A</v>
      </c>
      <c r="L457" s="1982" t="e">
        <f t="shared" si="43"/>
        <v>#N/A</v>
      </c>
      <c r="M457" s="1838" t="e">
        <v>#N/A</v>
      </c>
      <c r="N457" s="479" t="e">
        <v>#N/A</v>
      </c>
      <c r="O457" s="1704" t="e">
        <v>#N/A</v>
      </c>
      <c r="P457" s="479" t="e">
        <v>#N/A</v>
      </c>
      <c r="Q457" s="1986" t="e">
        <f t="shared" si="44"/>
        <v>#N/A</v>
      </c>
    </row>
    <row r="458" spans="1:17">
      <c r="A458" s="134">
        <f t="shared" si="40"/>
        <v>2030.05</v>
      </c>
      <c r="B458" s="1818" t="e">
        <f t="shared" si="41"/>
        <v>#N/A</v>
      </c>
      <c r="C458" s="1822" t="e">
        <f t="shared" si="42"/>
        <v>#N/A</v>
      </c>
      <c r="D458" s="1007" t="e">
        <v>#N/A</v>
      </c>
      <c r="E458" s="1704" t="e">
        <v>#N/A</v>
      </c>
      <c r="F458" s="479" t="e">
        <v>#N/A</v>
      </c>
      <c r="G458" s="1835" t="e">
        <v>#N/A</v>
      </c>
      <c r="H458" s="1838" t="e">
        <v>#N/A</v>
      </c>
      <c r="I458" s="1704" t="e">
        <v>#N/A</v>
      </c>
      <c r="J458" s="1846" t="e">
        <v>#N/A</v>
      </c>
      <c r="K458" s="479" t="e">
        <v>#N/A</v>
      </c>
      <c r="L458" s="1982" t="e">
        <f t="shared" si="43"/>
        <v>#N/A</v>
      </c>
      <c r="M458" s="1838" t="e">
        <v>#N/A</v>
      </c>
      <c r="N458" s="479" t="e">
        <v>#N/A</v>
      </c>
      <c r="O458" s="1704" t="e">
        <v>#N/A</v>
      </c>
      <c r="P458" s="479" t="e">
        <v>#N/A</v>
      </c>
      <c r="Q458" s="1986" t="e">
        <f t="shared" si="44"/>
        <v>#N/A</v>
      </c>
    </row>
    <row r="459" spans="1:17">
      <c r="A459" s="134">
        <f t="shared" si="40"/>
        <v>2030.06</v>
      </c>
      <c r="B459" s="1818" t="e">
        <f t="shared" si="41"/>
        <v>#N/A</v>
      </c>
      <c r="C459" s="1822" t="e">
        <f t="shared" si="42"/>
        <v>#N/A</v>
      </c>
      <c r="D459" s="1007" t="e">
        <v>#N/A</v>
      </c>
      <c r="E459" s="1704" t="e">
        <v>#N/A</v>
      </c>
      <c r="F459" s="479" t="e">
        <v>#N/A</v>
      </c>
      <c r="G459" s="1835" t="e">
        <v>#N/A</v>
      </c>
      <c r="H459" s="1838" t="e">
        <v>#N/A</v>
      </c>
      <c r="I459" s="1704" t="e">
        <v>#N/A</v>
      </c>
      <c r="J459" s="1846" t="e">
        <v>#N/A</v>
      </c>
      <c r="K459" s="479" t="e">
        <v>#N/A</v>
      </c>
      <c r="L459" s="1982" t="e">
        <f t="shared" si="43"/>
        <v>#N/A</v>
      </c>
      <c r="M459" s="1838" t="e">
        <v>#N/A</v>
      </c>
      <c r="N459" s="479" t="e">
        <v>#N/A</v>
      </c>
      <c r="O459" s="1704" t="e">
        <v>#N/A</v>
      </c>
      <c r="P459" s="479" t="e">
        <v>#N/A</v>
      </c>
      <c r="Q459" s="1986" t="e">
        <f t="shared" si="44"/>
        <v>#N/A</v>
      </c>
    </row>
    <row r="460" spans="1:17">
      <c r="A460" s="134">
        <f t="shared" si="40"/>
        <v>2030.07</v>
      </c>
      <c r="B460" s="1818" t="e">
        <f t="shared" si="41"/>
        <v>#N/A</v>
      </c>
      <c r="C460" s="1822" t="e">
        <f t="shared" si="42"/>
        <v>#N/A</v>
      </c>
      <c r="D460" s="1007" t="e">
        <v>#N/A</v>
      </c>
      <c r="E460" s="1704" t="e">
        <v>#N/A</v>
      </c>
      <c r="F460" s="479" t="e">
        <v>#N/A</v>
      </c>
      <c r="G460" s="1835" t="e">
        <v>#N/A</v>
      </c>
      <c r="H460" s="1838" t="e">
        <v>#N/A</v>
      </c>
      <c r="I460" s="1704" t="e">
        <v>#N/A</v>
      </c>
      <c r="J460" s="1846" t="e">
        <v>#N/A</v>
      </c>
      <c r="K460" s="479" t="e">
        <v>#N/A</v>
      </c>
      <c r="L460" s="1982" t="e">
        <f t="shared" si="43"/>
        <v>#N/A</v>
      </c>
      <c r="M460" s="1838" t="e">
        <v>#N/A</v>
      </c>
      <c r="N460" s="479" t="e">
        <v>#N/A</v>
      </c>
      <c r="O460" s="1704" t="e">
        <v>#N/A</v>
      </c>
      <c r="P460" s="479" t="e">
        <v>#N/A</v>
      </c>
      <c r="Q460" s="1986" t="e">
        <f t="shared" si="44"/>
        <v>#N/A</v>
      </c>
    </row>
    <row r="461" spans="1:17">
      <c r="A461" s="134">
        <f t="shared" si="40"/>
        <v>2030.08</v>
      </c>
      <c r="B461" s="1818" t="e">
        <f t="shared" si="41"/>
        <v>#N/A</v>
      </c>
      <c r="C461" s="1822" t="e">
        <f t="shared" si="42"/>
        <v>#N/A</v>
      </c>
      <c r="D461" s="1007" t="e">
        <v>#N/A</v>
      </c>
      <c r="E461" s="1704" t="e">
        <v>#N/A</v>
      </c>
      <c r="F461" s="479" t="e">
        <v>#N/A</v>
      </c>
      <c r="G461" s="1835" t="e">
        <v>#N/A</v>
      </c>
      <c r="H461" s="1838" t="e">
        <v>#N/A</v>
      </c>
      <c r="I461" s="1704" t="e">
        <v>#N/A</v>
      </c>
      <c r="J461" s="1846" t="e">
        <v>#N/A</v>
      </c>
      <c r="K461" s="479" t="e">
        <v>#N/A</v>
      </c>
      <c r="L461" s="1982" t="e">
        <f t="shared" si="43"/>
        <v>#N/A</v>
      </c>
      <c r="M461" s="1838" t="e">
        <v>#N/A</v>
      </c>
      <c r="N461" s="479" t="e">
        <v>#N/A</v>
      </c>
      <c r="O461" s="1704" t="e">
        <v>#N/A</v>
      </c>
      <c r="P461" s="479" t="e">
        <v>#N/A</v>
      </c>
      <c r="Q461" s="1986" t="e">
        <f t="shared" si="44"/>
        <v>#N/A</v>
      </c>
    </row>
    <row r="462" spans="1:17">
      <c r="A462" s="134">
        <f t="shared" si="40"/>
        <v>2030.09</v>
      </c>
      <c r="B462" s="1818" t="e">
        <f t="shared" si="41"/>
        <v>#N/A</v>
      </c>
      <c r="C462" s="1822" t="e">
        <f t="shared" si="42"/>
        <v>#N/A</v>
      </c>
      <c r="D462" s="1007" t="e">
        <v>#N/A</v>
      </c>
      <c r="E462" s="1704" t="e">
        <v>#N/A</v>
      </c>
      <c r="F462" s="479" t="e">
        <v>#N/A</v>
      </c>
      <c r="G462" s="1835" t="e">
        <v>#N/A</v>
      </c>
      <c r="H462" s="1838" t="e">
        <v>#N/A</v>
      </c>
      <c r="I462" s="1704" t="e">
        <v>#N/A</v>
      </c>
      <c r="J462" s="1846" t="e">
        <v>#N/A</v>
      </c>
      <c r="K462" s="479" t="e">
        <v>#N/A</v>
      </c>
      <c r="L462" s="1982" t="e">
        <f t="shared" si="43"/>
        <v>#N/A</v>
      </c>
      <c r="M462" s="1838" t="e">
        <v>#N/A</v>
      </c>
      <c r="N462" s="479" t="e">
        <v>#N/A</v>
      </c>
      <c r="O462" s="1704" t="e">
        <v>#N/A</v>
      </c>
      <c r="P462" s="479" t="e">
        <v>#N/A</v>
      </c>
      <c r="Q462" s="1986" t="e">
        <f t="shared" si="44"/>
        <v>#N/A</v>
      </c>
    </row>
    <row r="463" spans="1:17">
      <c r="A463" s="134">
        <f t="shared" si="40"/>
        <v>2030.1</v>
      </c>
      <c r="B463" s="1818" t="e">
        <f t="shared" si="41"/>
        <v>#N/A</v>
      </c>
      <c r="C463" s="1822" t="e">
        <f t="shared" si="42"/>
        <v>#N/A</v>
      </c>
      <c r="D463" s="1007" t="e">
        <v>#N/A</v>
      </c>
      <c r="E463" s="1704" t="e">
        <v>#N/A</v>
      </c>
      <c r="F463" s="479" t="e">
        <v>#N/A</v>
      </c>
      <c r="G463" s="1835" t="e">
        <v>#N/A</v>
      </c>
      <c r="H463" s="1838" t="e">
        <v>#N/A</v>
      </c>
      <c r="I463" s="1704" t="e">
        <v>#N/A</v>
      </c>
      <c r="J463" s="1846" t="e">
        <v>#N/A</v>
      </c>
      <c r="K463" s="479" t="e">
        <v>#N/A</v>
      </c>
      <c r="L463" s="1982" t="e">
        <f t="shared" si="43"/>
        <v>#N/A</v>
      </c>
      <c r="M463" s="1838" t="e">
        <v>#N/A</v>
      </c>
      <c r="N463" s="479" t="e">
        <v>#N/A</v>
      </c>
      <c r="O463" s="1704" t="e">
        <v>#N/A</v>
      </c>
      <c r="P463" s="479" t="e">
        <v>#N/A</v>
      </c>
      <c r="Q463" s="1986" t="e">
        <f t="shared" si="44"/>
        <v>#N/A</v>
      </c>
    </row>
    <row r="464" spans="1:17">
      <c r="A464" s="134">
        <f t="shared" si="40"/>
        <v>2030.11</v>
      </c>
      <c r="B464" s="1818" t="e">
        <f t="shared" si="41"/>
        <v>#N/A</v>
      </c>
      <c r="C464" s="1822" t="e">
        <f t="shared" si="42"/>
        <v>#N/A</v>
      </c>
      <c r="D464" s="1007" t="e">
        <v>#N/A</v>
      </c>
      <c r="E464" s="1704" t="e">
        <v>#N/A</v>
      </c>
      <c r="F464" s="479" t="e">
        <v>#N/A</v>
      </c>
      <c r="G464" s="1835" t="e">
        <v>#N/A</v>
      </c>
      <c r="H464" s="1838" t="e">
        <v>#N/A</v>
      </c>
      <c r="I464" s="1704" t="e">
        <v>#N/A</v>
      </c>
      <c r="J464" s="1846" t="e">
        <v>#N/A</v>
      </c>
      <c r="K464" s="479" t="e">
        <v>#N/A</v>
      </c>
      <c r="L464" s="1982" t="e">
        <f t="shared" si="43"/>
        <v>#N/A</v>
      </c>
      <c r="M464" s="1838" t="e">
        <v>#N/A</v>
      </c>
      <c r="N464" s="479" t="e">
        <v>#N/A</v>
      </c>
      <c r="O464" s="1704" t="e">
        <v>#N/A</v>
      </c>
      <c r="P464" s="479" t="e">
        <v>#N/A</v>
      </c>
      <c r="Q464" s="1986" t="e">
        <f t="shared" si="44"/>
        <v>#N/A</v>
      </c>
    </row>
    <row r="465" spans="1:17">
      <c r="A465" s="134">
        <f t="shared" si="40"/>
        <v>2030.12</v>
      </c>
      <c r="B465" s="1818" t="e">
        <f t="shared" si="41"/>
        <v>#N/A</v>
      </c>
      <c r="C465" s="1822" t="e">
        <f t="shared" si="42"/>
        <v>#N/A</v>
      </c>
      <c r="D465" s="1007" t="e">
        <v>#N/A</v>
      </c>
      <c r="E465" s="1704" t="e">
        <v>#N/A</v>
      </c>
      <c r="F465" s="479" t="e">
        <v>#N/A</v>
      </c>
      <c r="G465" s="1835" t="e">
        <v>#N/A</v>
      </c>
      <c r="H465" s="1838" t="e">
        <v>#N/A</v>
      </c>
      <c r="I465" s="1704" t="e">
        <v>#N/A</v>
      </c>
      <c r="J465" s="1846" t="e">
        <v>#N/A</v>
      </c>
      <c r="K465" s="479" t="e">
        <v>#N/A</v>
      </c>
      <c r="L465" s="1982" t="e">
        <f t="shared" si="43"/>
        <v>#N/A</v>
      </c>
      <c r="M465" s="1838" t="e">
        <v>#N/A</v>
      </c>
      <c r="N465" s="479" t="e">
        <v>#N/A</v>
      </c>
      <c r="O465" s="1704" t="e">
        <v>#N/A</v>
      </c>
      <c r="P465" s="479" t="e">
        <v>#N/A</v>
      </c>
      <c r="Q465" s="1986" t="e">
        <f t="shared" si="44"/>
        <v>#N/A</v>
      </c>
    </row>
  </sheetData>
  <phoneticPr fontId="58" type="noConversion"/>
  <hyperlinks>
    <hyperlink ref="A5" location="INDICE!A13" display="VOLVER AL INDICE" xr:uid="{00000000-0004-0000-2900-000000000000}"/>
  </hyperlinks>
  <pageMargins left="0.75" right="0.75" top="1" bottom="1" header="0" footer="0"/>
  <pageSetup paperSize="9" orientation="portrait"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9">
    <pageSetUpPr autoPageBreaks="0"/>
  </sheetPr>
  <dimension ref="A1:H501"/>
  <sheetViews>
    <sheetView zoomScale="130" zoomScaleNormal="130" workbookViewId="0">
      <pane xSplit="1" ySplit="9" topLeftCell="B404" activePane="bottomRight" state="frozen"/>
      <selection activeCell="A5" sqref="A5"/>
      <selection pane="topRight" activeCell="A5" sqref="A5"/>
      <selection pane="bottomLeft" activeCell="A5" sqref="A5"/>
      <selection pane="bottomRight" activeCell="D420" sqref="D420"/>
    </sheetView>
  </sheetViews>
  <sheetFormatPr baseColWidth="10" defaultColWidth="11.42578125" defaultRowHeight="12.75"/>
  <cols>
    <col min="1" max="1" width="9.5703125" style="19" bestFit="1" customWidth="1"/>
    <col min="2" max="5" width="15.5703125" style="19" customWidth="1"/>
    <col min="6" max="6" width="25" style="1" customWidth="1"/>
    <col min="7" max="16384" width="11.42578125" style="1"/>
  </cols>
  <sheetData>
    <row r="1" spans="1:5" ht="4.5" customHeight="1">
      <c r="A1" s="224"/>
      <c r="B1" s="79"/>
      <c r="C1" s="79"/>
      <c r="D1" s="79"/>
      <c r="E1" s="456"/>
    </row>
    <row r="2" spans="1:5" ht="22.5">
      <c r="A2" s="47" t="s">
        <v>212</v>
      </c>
      <c r="B2" s="77" t="s">
        <v>283</v>
      </c>
      <c r="C2" s="77"/>
      <c r="D2" s="77"/>
      <c r="E2" s="562" t="s">
        <v>849</v>
      </c>
    </row>
    <row r="3" spans="1:5" ht="31.5">
      <c r="A3" s="47" t="s">
        <v>330</v>
      </c>
      <c r="B3" s="77" t="s">
        <v>219</v>
      </c>
      <c r="C3" s="79"/>
      <c r="D3" s="79"/>
      <c r="E3" s="456" t="s">
        <v>850</v>
      </c>
    </row>
    <row r="4" spans="1:5" ht="4.5" customHeight="1">
      <c r="A4" s="224"/>
      <c r="B4" s="79"/>
      <c r="C4" s="79"/>
      <c r="D4" s="79"/>
      <c r="E4" s="456"/>
    </row>
    <row r="5" spans="1:5" ht="22.5">
      <c r="A5" s="45" t="s">
        <v>213</v>
      </c>
      <c r="B5" s="106" t="s">
        <v>157</v>
      </c>
      <c r="C5" s="1863" t="s">
        <v>158</v>
      </c>
      <c r="D5" s="276" t="s">
        <v>284</v>
      </c>
      <c r="E5" s="82" t="s">
        <v>851</v>
      </c>
    </row>
    <row r="6" spans="1:5" ht="4.5" customHeight="1">
      <c r="A6" s="224"/>
      <c r="B6" s="79"/>
      <c r="C6" s="1884"/>
      <c r="D6" s="79"/>
      <c r="E6" s="456"/>
    </row>
    <row r="7" spans="1:5" ht="22.5">
      <c r="A7" s="47" t="s">
        <v>210</v>
      </c>
      <c r="B7" s="280" t="s">
        <v>159</v>
      </c>
      <c r="C7" s="1863" t="s">
        <v>159</v>
      </c>
      <c r="D7" s="276" t="s">
        <v>159</v>
      </c>
      <c r="E7" s="90" t="s">
        <v>159</v>
      </c>
    </row>
    <row r="8" spans="1:5" ht="14.25" customHeight="1">
      <c r="A8" s="225" t="s">
        <v>412</v>
      </c>
      <c r="B8" s="397" t="s">
        <v>664</v>
      </c>
      <c r="C8" s="1290" t="s">
        <v>665</v>
      </c>
      <c r="D8" s="397" t="s">
        <v>666</v>
      </c>
      <c r="E8" s="395" t="s">
        <v>848</v>
      </c>
    </row>
    <row r="9" spans="1:5" ht="13.5" thickBot="1">
      <c r="A9" s="194"/>
      <c r="B9" s="282"/>
      <c r="C9" s="1571"/>
      <c r="D9" s="308"/>
      <c r="E9" s="563"/>
    </row>
    <row r="10" spans="1:5">
      <c r="A10" s="53">
        <v>1990.01</v>
      </c>
      <c r="B10" s="126">
        <v>796</v>
      </c>
      <c r="C10" s="1572">
        <v>386</v>
      </c>
      <c r="D10" s="2330">
        <v>410</v>
      </c>
      <c r="E10" s="564">
        <v>3295.9</v>
      </c>
    </row>
    <row r="11" spans="1:5">
      <c r="A11" s="49">
        <v>1990.02</v>
      </c>
      <c r="B11" s="73">
        <v>811</v>
      </c>
      <c r="C11" s="1365">
        <v>226</v>
      </c>
      <c r="D11" s="2331">
        <v>585</v>
      </c>
      <c r="E11" s="93">
        <v>3055.5</v>
      </c>
    </row>
    <row r="12" spans="1:5">
      <c r="A12" s="49">
        <v>1990.03</v>
      </c>
      <c r="B12" s="73">
        <v>1164</v>
      </c>
      <c r="C12" s="1365">
        <v>303</v>
      </c>
      <c r="D12" s="2331">
        <v>861</v>
      </c>
      <c r="E12" s="93">
        <v>3339.6</v>
      </c>
    </row>
    <row r="13" spans="1:5">
      <c r="A13" s="49">
        <v>1990.04</v>
      </c>
      <c r="B13" s="73">
        <v>1015</v>
      </c>
      <c r="C13" s="1365">
        <v>276</v>
      </c>
      <c r="D13" s="2331">
        <v>738</v>
      </c>
      <c r="E13" s="93">
        <v>3789.6</v>
      </c>
    </row>
    <row r="14" spans="1:5">
      <c r="A14" s="49">
        <v>1990.05</v>
      </c>
      <c r="B14" s="73">
        <v>1106</v>
      </c>
      <c r="C14" s="1365">
        <v>302</v>
      </c>
      <c r="D14" s="2331">
        <v>804</v>
      </c>
      <c r="E14" s="93">
        <v>4116</v>
      </c>
    </row>
    <row r="15" spans="1:5">
      <c r="A15" s="49">
        <v>1990.06</v>
      </c>
      <c r="B15" s="73">
        <v>1076</v>
      </c>
      <c r="C15" s="1365">
        <v>268</v>
      </c>
      <c r="D15" s="2331">
        <v>808</v>
      </c>
      <c r="E15" s="93">
        <v>4689.8</v>
      </c>
    </row>
    <row r="16" spans="1:5">
      <c r="A16" s="49">
        <v>1990.07</v>
      </c>
      <c r="B16" s="73">
        <v>1279</v>
      </c>
      <c r="C16" s="1365">
        <v>313</v>
      </c>
      <c r="D16" s="2331">
        <v>966</v>
      </c>
      <c r="E16" s="93">
        <v>4388.8</v>
      </c>
    </row>
    <row r="17" spans="1:5">
      <c r="A17" s="49">
        <v>1990.08</v>
      </c>
      <c r="B17" s="73">
        <v>1127</v>
      </c>
      <c r="C17" s="1365">
        <v>312</v>
      </c>
      <c r="D17" s="2331">
        <v>815</v>
      </c>
      <c r="E17" s="93">
        <v>4184.2</v>
      </c>
    </row>
    <row r="18" spans="1:5">
      <c r="A18" s="49">
        <v>1990.09</v>
      </c>
      <c r="B18" s="73">
        <v>1025</v>
      </c>
      <c r="C18" s="1365">
        <v>326</v>
      </c>
      <c r="D18" s="2331">
        <v>698</v>
      </c>
      <c r="E18" s="93">
        <v>4910</v>
      </c>
    </row>
    <row r="19" spans="1:5">
      <c r="A19" s="49">
        <v>1990.1</v>
      </c>
      <c r="B19" s="73">
        <v>973</v>
      </c>
      <c r="C19" s="1365">
        <v>425</v>
      </c>
      <c r="D19" s="2331">
        <v>548</v>
      </c>
      <c r="E19" s="93">
        <v>4843.8999999999996</v>
      </c>
    </row>
    <row r="20" spans="1:5">
      <c r="A20" s="49">
        <v>1990.11</v>
      </c>
      <c r="B20" s="73">
        <v>951</v>
      </c>
      <c r="C20" s="1365">
        <v>439</v>
      </c>
      <c r="D20" s="2331">
        <v>511</v>
      </c>
      <c r="E20" s="93">
        <v>4759.5</v>
      </c>
    </row>
    <row r="21" spans="1:5">
      <c r="A21" s="49">
        <v>1990.12</v>
      </c>
      <c r="B21" s="73">
        <v>1031</v>
      </c>
      <c r="C21" s="1365">
        <v>500</v>
      </c>
      <c r="D21" s="2331">
        <v>531</v>
      </c>
      <c r="E21" s="93">
        <v>6170</v>
      </c>
    </row>
    <row r="22" spans="1:5">
      <c r="A22" s="49">
        <v>1991.01</v>
      </c>
      <c r="B22" s="73">
        <v>674</v>
      </c>
      <c r="C22" s="1365">
        <v>493</v>
      </c>
      <c r="D22" s="2331">
        <v>181</v>
      </c>
      <c r="E22" s="93">
        <v>6040</v>
      </c>
    </row>
    <row r="23" spans="1:5">
      <c r="A23" s="49">
        <v>1991.02</v>
      </c>
      <c r="B23" s="73">
        <v>807</v>
      </c>
      <c r="C23" s="1365">
        <v>400</v>
      </c>
      <c r="D23" s="2331">
        <v>407</v>
      </c>
      <c r="E23" s="93">
        <v>6874.8</v>
      </c>
    </row>
    <row r="24" spans="1:5">
      <c r="A24" s="49">
        <v>1991.03</v>
      </c>
      <c r="B24" s="73">
        <v>867</v>
      </c>
      <c r="C24" s="1365">
        <v>408</v>
      </c>
      <c r="D24" s="2331">
        <v>460</v>
      </c>
      <c r="E24" s="93">
        <v>5482</v>
      </c>
    </row>
    <row r="25" spans="1:5">
      <c r="A25" s="49">
        <v>1991.04</v>
      </c>
      <c r="B25" s="73">
        <v>1002</v>
      </c>
      <c r="C25" s="1365">
        <v>614</v>
      </c>
      <c r="D25" s="2331">
        <v>388</v>
      </c>
      <c r="E25" s="93">
        <v>5393.3</v>
      </c>
    </row>
    <row r="26" spans="1:5">
      <c r="A26" s="49">
        <v>1991.05</v>
      </c>
      <c r="B26" s="73">
        <v>1228</v>
      </c>
      <c r="C26" s="1365">
        <v>522</v>
      </c>
      <c r="D26" s="2331">
        <v>706</v>
      </c>
      <c r="E26" s="93">
        <v>5891.8</v>
      </c>
    </row>
    <row r="27" spans="1:5">
      <c r="A27" s="49">
        <v>1991.06</v>
      </c>
      <c r="B27" s="73">
        <v>1142</v>
      </c>
      <c r="C27" s="1365">
        <v>606</v>
      </c>
      <c r="D27" s="2331">
        <v>535</v>
      </c>
      <c r="E27" s="93">
        <v>6401.2</v>
      </c>
    </row>
    <row r="28" spans="1:5">
      <c r="A28" s="49">
        <v>1991.07</v>
      </c>
      <c r="B28" s="73">
        <v>1302</v>
      </c>
      <c r="C28" s="1365">
        <v>748</v>
      </c>
      <c r="D28" s="2331">
        <v>554</v>
      </c>
      <c r="E28" s="93">
        <v>6534.5</v>
      </c>
    </row>
    <row r="29" spans="1:5">
      <c r="A29" s="49">
        <v>1991.08</v>
      </c>
      <c r="B29" s="73">
        <v>1074</v>
      </c>
      <c r="C29" s="1365">
        <v>760</v>
      </c>
      <c r="D29" s="2331">
        <v>315</v>
      </c>
      <c r="E29" s="93">
        <v>6127.1</v>
      </c>
    </row>
    <row r="30" spans="1:5">
      <c r="A30" s="49">
        <v>1991.09</v>
      </c>
      <c r="B30" s="73">
        <v>1079</v>
      </c>
      <c r="C30" s="1365">
        <v>768</v>
      </c>
      <c r="D30" s="2331">
        <v>310</v>
      </c>
      <c r="E30" s="93">
        <v>7270.2</v>
      </c>
    </row>
    <row r="31" spans="1:5">
      <c r="A31" s="49">
        <v>1991.1</v>
      </c>
      <c r="B31" s="73">
        <v>1009</v>
      </c>
      <c r="C31" s="1365">
        <v>937</v>
      </c>
      <c r="D31" s="2331">
        <v>72</v>
      </c>
      <c r="E31" s="93">
        <v>6703.9</v>
      </c>
    </row>
    <row r="32" spans="1:5">
      <c r="A32" s="49">
        <v>1991.11</v>
      </c>
      <c r="B32" s="73">
        <v>921</v>
      </c>
      <c r="C32" s="1365">
        <v>1055</v>
      </c>
      <c r="D32" s="2331">
        <v>-134</v>
      </c>
      <c r="E32" s="93">
        <v>7433.2</v>
      </c>
    </row>
    <row r="33" spans="1:5">
      <c r="A33" s="49">
        <v>1991.12</v>
      </c>
      <c r="B33" s="73">
        <v>873</v>
      </c>
      <c r="C33" s="1365">
        <v>964</v>
      </c>
      <c r="D33" s="2331">
        <v>-91</v>
      </c>
      <c r="E33" s="93">
        <v>9093.2999999999993</v>
      </c>
    </row>
    <row r="34" spans="1:5">
      <c r="A34" s="49">
        <v>1992.01</v>
      </c>
      <c r="B34" s="73">
        <v>726</v>
      </c>
      <c r="C34" s="1365">
        <v>903</v>
      </c>
      <c r="D34" s="2331">
        <v>-177</v>
      </c>
      <c r="E34" s="93">
        <v>9090.2999999999993</v>
      </c>
    </row>
    <row r="35" spans="1:5">
      <c r="A35" s="49">
        <v>1992.02</v>
      </c>
      <c r="B35" s="73">
        <v>852</v>
      </c>
      <c r="C35" s="1365">
        <v>914</v>
      </c>
      <c r="D35" s="2331">
        <v>-62</v>
      </c>
      <c r="E35" s="93">
        <v>8834.7000000000007</v>
      </c>
    </row>
    <row r="36" spans="1:5">
      <c r="A36" s="49">
        <v>1992.03</v>
      </c>
      <c r="B36" s="73">
        <v>985</v>
      </c>
      <c r="C36" s="1365">
        <v>1070</v>
      </c>
      <c r="D36" s="2331">
        <v>-86</v>
      </c>
      <c r="E36" s="93">
        <v>9486.2000000000007</v>
      </c>
    </row>
    <row r="37" spans="1:5">
      <c r="A37" s="49">
        <v>1992.04</v>
      </c>
      <c r="B37" s="73">
        <v>998</v>
      </c>
      <c r="C37" s="1365">
        <v>1186</v>
      </c>
      <c r="D37" s="2331">
        <v>-188</v>
      </c>
      <c r="E37" s="93">
        <v>9901</v>
      </c>
    </row>
    <row r="38" spans="1:5">
      <c r="A38" s="49">
        <v>1992.05</v>
      </c>
      <c r="B38" s="73">
        <v>1138</v>
      </c>
      <c r="C38" s="1365">
        <v>1111</v>
      </c>
      <c r="D38" s="2331">
        <v>27</v>
      </c>
      <c r="E38" s="93">
        <v>10447.299999999999</v>
      </c>
    </row>
    <row r="39" spans="1:5">
      <c r="A39" s="49">
        <v>1992.06</v>
      </c>
      <c r="B39" s="73">
        <v>1193</v>
      </c>
      <c r="C39" s="1365">
        <v>1285</v>
      </c>
      <c r="D39" s="2331">
        <v>-92</v>
      </c>
      <c r="E39" s="93">
        <v>10290</v>
      </c>
    </row>
    <row r="40" spans="1:5">
      <c r="A40" s="49">
        <v>1992.07</v>
      </c>
      <c r="B40" s="73">
        <v>1196</v>
      </c>
      <c r="C40" s="1365">
        <v>1460</v>
      </c>
      <c r="D40" s="2331">
        <v>-264</v>
      </c>
      <c r="E40" s="93">
        <v>10823.9</v>
      </c>
    </row>
    <row r="41" spans="1:5">
      <c r="A41" s="49">
        <v>1992.08</v>
      </c>
      <c r="B41" s="73">
        <v>1077</v>
      </c>
      <c r="C41" s="1365">
        <v>1430</v>
      </c>
      <c r="D41" s="2331">
        <v>-353</v>
      </c>
      <c r="E41" s="93">
        <v>10749.4</v>
      </c>
    </row>
    <row r="42" spans="1:5">
      <c r="A42" s="49">
        <v>1992.09</v>
      </c>
      <c r="B42" s="73">
        <v>1062</v>
      </c>
      <c r="C42" s="1365">
        <v>1465</v>
      </c>
      <c r="D42" s="2331">
        <v>-404</v>
      </c>
      <c r="E42" s="93">
        <v>11361</v>
      </c>
    </row>
    <row r="43" spans="1:5">
      <c r="A43" s="49">
        <v>1992.1</v>
      </c>
      <c r="B43" s="73">
        <v>952</v>
      </c>
      <c r="C43" s="1365">
        <v>1517</v>
      </c>
      <c r="D43" s="2331">
        <v>-565</v>
      </c>
      <c r="E43" s="93">
        <v>11660.8</v>
      </c>
    </row>
    <row r="44" spans="1:5">
      <c r="A44" s="49">
        <v>1992.11</v>
      </c>
      <c r="B44" s="73">
        <v>1033</v>
      </c>
      <c r="C44" s="1365">
        <v>1274</v>
      </c>
      <c r="D44" s="2331">
        <v>-241</v>
      </c>
      <c r="E44" s="93">
        <v>11150.7</v>
      </c>
    </row>
    <row r="45" spans="1:5">
      <c r="A45" s="49">
        <v>1992.12</v>
      </c>
      <c r="B45" s="73">
        <v>1025</v>
      </c>
      <c r="C45" s="1365">
        <v>1257</v>
      </c>
      <c r="D45" s="2331">
        <v>-232</v>
      </c>
      <c r="E45" s="93">
        <v>12495.8</v>
      </c>
    </row>
    <row r="46" spans="1:5">
      <c r="A46" s="49">
        <v>1993.01</v>
      </c>
      <c r="B46" s="73">
        <v>902</v>
      </c>
      <c r="C46" s="1365">
        <v>1039</v>
      </c>
      <c r="D46" s="2331">
        <v>-137</v>
      </c>
      <c r="E46" s="93">
        <v>12767.4</v>
      </c>
    </row>
    <row r="47" spans="1:5">
      <c r="A47" s="49">
        <v>1993.02</v>
      </c>
      <c r="B47" s="73">
        <v>910</v>
      </c>
      <c r="C47" s="1365">
        <v>898</v>
      </c>
      <c r="D47" s="2331">
        <v>13</v>
      </c>
      <c r="E47" s="93">
        <v>12898.7</v>
      </c>
    </row>
    <row r="48" spans="1:5">
      <c r="A48" s="49">
        <v>1993.03</v>
      </c>
      <c r="B48" s="73">
        <v>1075</v>
      </c>
      <c r="C48" s="1365">
        <v>1323</v>
      </c>
      <c r="D48" s="2331">
        <v>-248</v>
      </c>
      <c r="E48" s="93">
        <v>13015</v>
      </c>
    </row>
    <row r="49" spans="1:5">
      <c r="A49" s="49">
        <v>1993.04</v>
      </c>
      <c r="B49" s="73">
        <v>1079</v>
      </c>
      <c r="C49" s="1365">
        <v>1207</v>
      </c>
      <c r="D49" s="2331">
        <v>-128</v>
      </c>
      <c r="E49" s="93">
        <v>12691.9</v>
      </c>
    </row>
    <row r="50" spans="1:5">
      <c r="A50" s="49">
        <v>1993.05</v>
      </c>
      <c r="B50" s="73">
        <v>1221</v>
      </c>
      <c r="C50" s="1365">
        <v>1253</v>
      </c>
      <c r="D50" s="2331">
        <v>-33</v>
      </c>
      <c r="E50" s="93">
        <v>12847.1</v>
      </c>
    </row>
    <row r="51" spans="1:5">
      <c r="A51" s="49">
        <v>1993.06</v>
      </c>
      <c r="B51" s="73">
        <v>1278</v>
      </c>
      <c r="C51" s="1365">
        <v>1410</v>
      </c>
      <c r="D51" s="2331">
        <v>-132</v>
      </c>
      <c r="E51" s="93">
        <v>12829</v>
      </c>
    </row>
    <row r="52" spans="1:5">
      <c r="A52" s="49">
        <v>1993.07</v>
      </c>
      <c r="B52" s="73">
        <v>1162</v>
      </c>
      <c r="C52" s="1365">
        <v>1559</v>
      </c>
      <c r="D52" s="2331">
        <v>-398</v>
      </c>
      <c r="E52" s="93">
        <v>14388.4</v>
      </c>
    </row>
    <row r="53" spans="1:5">
      <c r="A53" s="49">
        <v>1993.08</v>
      </c>
      <c r="B53" s="73">
        <v>1083</v>
      </c>
      <c r="C53" s="1365">
        <v>1538</v>
      </c>
      <c r="D53" s="2331">
        <v>-456</v>
      </c>
      <c r="E53" s="93">
        <v>16060.8</v>
      </c>
    </row>
    <row r="54" spans="1:5">
      <c r="A54" s="49">
        <v>1993.09</v>
      </c>
      <c r="B54" s="73">
        <v>1191</v>
      </c>
      <c r="C54" s="1365">
        <v>1563</v>
      </c>
      <c r="D54" s="2331">
        <v>-372</v>
      </c>
      <c r="E54" s="93">
        <v>15014.9</v>
      </c>
    </row>
    <row r="55" spans="1:5">
      <c r="A55" s="49">
        <v>1993.1</v>
      </c>
      <c r="B55" s="73">
        <v>1092</v>
      </c>
      <c r="C55" s="1365">
        <v>1570</v>
      </c>
      <c r="D55" s="2331">
        <v>-479</v>
      </c>
      <c r="E55" s="93">
        <v>15148.5</v>
      </c>
    </row>
    <row r="56" spans="1:5">
      <c r="A56" s="49">
        <v>1993.11</v>
      </c>
      <c r="B56" s="73">
        <v>1016</v>
      </c>
      <c r="C56" s="1365">
        <v>1758</v>
      </c>
      <c r="D56" s="2331">
        <v>-742</v>
      </c>
      <c r="E56" s="93">
        <v>15193.7</v>
      </c>
    </row>
    <row r="57" spans="1:5">
      <c r="A57" s="49">
        <v>1993.12</v>
      </c>
      <c r="B57" s="73">
        <v>1111</v>
      </c>
      <c r="C57" s="1365">
        <v>1666</v>
      </c>
      <c r="D57" s="2331">
        <v>-555</v>
      </c>
      <c r="E57" s="93">
        <v>17222.8</v>
      </c>
    </row>
    <row r="58" spans="1:5">
      <c r="A58" s="49">
        <v>1994.01</v>
      </c>
      <c r="B58" s="73">
        <v>963</v>
      </c>
      <c r="C58" s="1365">
        <v>1578</v>
      </c>
      <c r="D58" s="2331">
        <v>-615</v>
      </c>
      <c r="E58" s="93">
        <v>17355.722000000002</v>
      </c>
    </row>
    <row r="59" spans="1:5">
      <c r="A59" s="49">
        <v>1994.02</v>
      </c>
      <c r="B59" s="73">
        <v>966</v>
      </c>
      <c r="C59" s="1365">
        <v>1487</v>
      </c>
      <c r="D59" s="2331">
        <v>-521</v>
      </c>
      <c r="E59" s="93">
        <v>17107.716</v>
      </c>
    </row>
    <row r="60" spans="1:5">
      <c r="A60" s="49">
        <v>1994.03</v>
      </c>
      <c r="B60" s="73">
        <v>1127</v>
      </c>
      <c r="C60" s="1365">
        <v>1850</v>
      </c>
      <c r="D60" s="2331">
        <v>-723</v>
      </c>
      <c r="E60" s="93">
        <v>16649.876</v>
      </c>
    </row>
    <row r="61" spans="1:5">
      <c r="A61" s="49">
        <v>1994.04</v>
      </c>
      <c r="B61" s="73">
        <v>1222</v>
      </c>
      <c r="C61" s="1365">
        <v>1752</v>
      </c>
      <c r="D61" s="2331">
        <v>-530</v>
      </c>
      <c r="E61" s="93">
        <v>16788.578999999998</v>
      </c>
    </row>
    <row r="62" spans="1:5">
      <c r="A62" s="49">
        <v>1994.05</v>
      </c>
      <c r="B62" s="73">
        <v>1598</v>
      </c>
      <c r="C62" s="1365">
        <v>1741</v>
      </c>
      <c r="D62" s="2331">
        <v>-143</v>
      </c>
      <c r="E62" s="93">
        <v>16999.263999999999</v>
      </c>
    </row>
    <row r="63" spans="1:5">
      <c r="A63" s="49">
        <v>1994.06</v>
      </c>
      <c r="B63" s="73">
        <v>1458</v>
      </c>
      <c r="C63" s="1365">
        <v>1836</v>
      </c>
      <c r="D63" s="2331">
        <v>-377</v>
      </c>
      <c r="E63" s="93">
        <v>17101.654999999999</v>
      </c>
    </row>
    <row r="64" spans="1:5">
      <c r="A64" s="49">
        <v>1994.07</v>
      </c>
      <c r="B64" s="73">
        <v>1430</v>
      </c>
      <c r="C64" s="1365">
        <v>1776</v>
      </c>
      <c r="D64" s="2331">
        <v>-346</v>
      </c>
      <c r="E64" s="93">
        <v>17872.058000000001</v>
      </c>
    </row>
    <row r="65" spans="1:5">
      <c r="A65" s="49">
        <v>1994.08</v>
      </c>
      <c r="B65" s="73">
        <v>1470</v>
      </c>
      <c r="C65" s="1365">
        <v>2103</v>
      </c>
      <c r="D65" s="2331">
        <v>-633</v>
      </c>
      <c r="E65" s="93">
        <v>17119.756999999998</v>
      </c>
    </row>
    <row r="66" spans="1:5">
      <c r="A66" s="49">
        <v>1994.09</v>
      </c>
      <c r="B66" s="73">
        <v>1357</v>
      </c>
      <c r="C66" s="1365">
        <v>1766</v>
      </c>
      <c r="D66" s="2331">
        <v>-409</v>
      </c>
      <c r="E66" s="93">
        <v>17079.563999999998</v>
      </c>
    </row>
    <row r="67" spans="1:5">
      <c r="A67" s="49">
        <v>1994.1</v>
      </c>
      <c r="B67" s="73">
        <v>1355</v>
      </c>
      <c r="C67" s="1365">
        <v>1840</v>
      </c>
      <c r="D67" s="2331">
        <v>-485</v>
      </c>
      <c r="E67" s="93">
        <v>16743.076999999997</v>
      </c>
    </row>
    <row r="68" spans="1:5">
      <c r="A68" s="49">
        <v>1994.11</v>
      </c>
      <c r="B68" s="73">
        <v>1421</v>
      </c>
      <c r="C68" s="1365">
        <v>1892</v>
      </c>
      <c r="D68" s="2331">
        <v>-471</v>
      </c>
      <c r="E68" s="93">
        <v>16731.624</v>
      </c>
    </row>
    <row r="69" spans="1:5">
      <c r="A69" s="49">
        <v>1994.12</v>
      </c>
      <c r="B69" s="73">
        <v>1472</v>
      </c>
      <c r="C69" s="1365">
        <v>1970</v>
      </c>
      <c r="D69" s="2331">
        <v>-498</v>
      </c>
      <c r="E69" s="93">
        <v>17822.927</v>
      </c>
    </row>
    <row r="70" spans="1:5">
      <c r="A70" s="49">
        <v>1995.01</v>
      </c>
      <c r="B70" s="73">
        <v>1342</v>
      </c>
      <c r="C70" s="1365">
        <v>1718</v>
      </c>
      <c r="D70" s="2331">
        <v>-376</v>
      </c>
      <c r="E70" s="93">
        <v>15367.806</v>
      </c>
    </row>
    <row r="71" spans="1:5">
      <c r="A71" s="49">
        <v>1995.02</v>
      </c>
      <c r="B71" s="73">
        <v>1392</v>
      </c>
      <c r="C71" s="1365">
        <v>1630</v>
      </c>
      <c r="D71" s="2331">
        <v>-237</v>
      </c>
      <c r="E71" s="93">
        <v>14521.665000000001</v>
      </c>
    </row>
    <row r="72" spans="1:5">
      <c r="A72" s="49">
        <v>1995.03</v>
      </c>
      <c r="B72" s="73">
        <v>1802</v>
      </c>
      <c r="C72" s="1365">
        <v>1891</v>
      </c>
      <c r="D72" s="2331">
        <v>-89</v>
      </c>
      <c r="E72" s="93">
        <v>11707.546</v>
      </c>
    </row>
    <row r="73" spans="1:5">
      <c r="A73" s="49">
        <v>1995.04</v>
      </c>
      <c r="B73" s="73">
        <v>1897</v>
      </c>
      <c r="C73" s="1365">
        <v>1485</v>
      </c>
      <c r="D73" s="2331">
        <v>412</v>
      </c>
      <c r="E73" s="93">
        <v>11559.723</v>
      </c>
    </row>
    <row r="74" spans="1:5">
      <c r="A74" s="49">
        <v>1995.05</v>
      </c>
      <c r="B74" s="73">
        <v>2270</v>
      </c>
      <c r="C74" s="1365">
        <v>1722</v>
      </c>
      <c r="D74" s="2331">
        <v>549</v>
      </c>
      <c r="E74" s="93">
        <v>11629.723</v>
      </c>
    </row>
    <row r="75" spans="1:5">
      <c r="A75" s="49">
        <v>1995.06</v>
      </c>
      <c r="B75" s="73">
        <v>2149</v>
      </c>
      <c r="C75" s="1365">
        <v>1573</v>
      </c>
      <c r="D75" s="2331">
        <v>576</v>
      </c>
      <c r="E75" s="93">
        <v>13709.099</v>
      </c>
    </row>
    <row r="76" spans="1:5">
      <c r="A76" s="49">
        <v>1995.07</v>
      </c>
      <c r="B76" s="73">
        <v>1842</v>
      </c>
      <c r="C76" s="1365">
        <v>1519</v>
      </c>
      <c r="D76" s="2331">
        <v>324</v>
      </c>
      <c r="E76" s="93">
        <v>14428.75</v>
      </c>
    </row>
    <row r="77" spans="1:5">
      <c r="A77" s="49">
        <v>1995.08</v>
      </c>
      <c r="B77" s="73">
        <v>1767</v>
      </c>
      <c r="C77" s="1365">
        <v>1744</v>
      </c>
      <c r="D77" s="2331">
        <v>23</v>
      </c>
      <c r="E77" s="93">
        <v>12761.29</v>
      </c>
    </row>
    <row r="78" spans="1:5">
      <c r="A78" s="49">
        <v>1995.09</v>
      </c>
      <c r="B78" s="73">
        <v>1664</v>
      </c>
      <c r="C78" s="1365">
        <v>1655</v>
      </c>
      <c r="D78" s="2331">
        <v>10</v>
      </c>
      <c r="E78" s="93">
        <v>14213.633</v>
      </c>
    </row>
    <row r="79" spans="1:5">
      <c r="A79" s="49">
        <v>1995.1</v>
      </c>
      <c r="B79" s="73">
        <v>1577</v>
      </c>
      <c r="C79" s="1365">
        <v>1752</v>
      </c>
      <c r="D79" s="2331">
        <v>-175</v>
      </c>
      <c r="E79" s="93">
        <v>13469.981</v>
      </c>
    </row>
    <row r="80" spans="1:5">
      <c r="A80" s="49">
        <v>1995.11</v>
      </c>
      <c r="B80" s="73">
        <v>1589</v>
      </c>
      <c r="C80" s="1365">
        <v>1833</v>
      </c>
      <c r="D80" s="2331">
        <v>-244</v>
      </c>
      <c r="E80" s="93">
        <v>13671.195000000002</v>
      </c>
    </row>
    <row r="81" spans="1:5">
      <c r="A81" s="49">
        <v>1995.12</v>
      </c>
      <c r="B81" s="73">
        <v>1671</v>
      </c>
      <c r="C81" s="1365">
        <v>1601</v>
      </c>
      <c r="D81" s="2331">
        <v>70</v>
      </c>
      <c r="E81" s="93">
        <v>17345.898999999998</v>
      </c>
    </row>
    <row r="82" spans="1:5">
      <c r="A82" s="49">
        <v>1996.01</v>
      </c>
      <c r="B82" s="73">
        <v>1449</v>
      </c>
      <c r="C82" s="1365">
        <v>1682</v>
      </c>
      <c r="D82" s="2331">
        <v>-233</v>
      </c>
      <c r="E82" s="93">
        <v>16517</v>
      </c>
    </row>
    <row r="83" spans="1:5">
      <c r="A83" s="49">
        <v>1996.02</v>
      </c>
      <c r="B83" s="73">
        <v>1420</v>
      </c>
      <c r="C83" s="1365">
        <v>1522</v>
      </c>
      <c r="D83" s="2331">
        <v>-102</v>
      </c>
      <c r="E83" s="93">
        <v>18372</v>
      </c>
    </row>
    <row r="84" spans="1:5">
      <c r="A84" s="49">
        <v>1996.03</v>
      </c>
      <c r="B84" s="73">
        <v>1869</v>
      </c>
      <c r="C84" s="1365">
        <v>1782</v>
      </c>
      <c r="D84" s="2331">
        <v>87</v>
      </c>
      <c r="E84" s="93">
        <v>18646</v>
      </c>
    </row>
    <row r="85" spans="1:5">
      <c r="A85" s="49">
        <v>1996.04</v>
      </c>
      <c r="B85" s="73">
        <v>2013</v>
      </c>
      <c r="C85" s="1365">
        <v>1813</v>
      </c>
      <c r="D85" s="2331">
        <v>200</v>
      </c>
      <c r="E85" s="93">
        <v>17763</v>
      </c>
    </row>
    <row r="86" spans="1:5">
      <c r="A86" s="49">
        <v>1996.05</v>
      </c>
      <c r="B86" s="73">
        <v>2386</v>
      </c>
      <c r="C86" s="1365">
        <v>1916</v>
      </c>
      <c r="D86" s="2331">
        <v>470</v>
      </c>
      <c r="E86" s="93">
        <v>18073</v>
      </c>
    </row>
    <row r="87" spans="1:5">
      <c r="A87" s="49">
        <v>1996.06</v>
      </c>
      <c r="B87" s="73">
        <v>2206</v>
      </c>
      <c r="C87" s="1365">
        <v>1996</v>
      </c>
      <c r="D87" s="2331">
        <v>210</v>
      </c>
      <c r="E87" s="93">
        <v>19974</v>
      </c>
    </row>
    <row r="88" spans="1:5">
      <c r="A88" s="49">
        <v>1996.07</v>
      </c>
      <c r="B88" s="73">
        <v>2225</v>
      </c>
      <c r="C88" s="1365">
        <v>2291</v>
      </c>
      <c r="D88" s="2331">
        <v>-66</v>
      </c>
      <c r="E88" s="93">
        <v>19719</v>
      </c>
    </row>
    <row r="89" spans="1:5">
      <c r="A89" s="49">
        <v>1996.08</v>
      </c>
      <c r="B89" s="73">
        <v>2270</v>
      </c>
      <c r="C89" s="1365">
        <v>2308</v>
      </c>
      <c r="D89" s="2331">
        <v>-37</v>
      </c>
      <c r="E89" s="93">
        <v>19530</v>
      </c>
    </row>
    <row r="90" spans="1:5">
      <c r="A90" s="49">
        <v>1996.09</v>
      </c>
      <c r="B90" s="73">
        <v>1943</v>
      </c>
      <c r="C90" s="1365">
        <v>1981</v>
      </c>
      <c r="D90" s="2331">
        <v>-38</v>
      </c>
      <c r="E90" s="93">
        <v>19984</v>
      </c>
    </row>
    <row r="91" spans="1:5">
      <c r="A91" s="49">
        <v>1996.1</v>
      </c>
      <c r="B91" s="73">
        <v>2074</v>
      </c>
      <c r="C91" s="1365">
        <v>2294</v>
      </c>
      <c r="D91" s="2331">
        <v>-220</v>
      </c>
      <c r="E91" s="93">
        <v>19288</v>
      </c>
    </row>
    <row r="92" spans="1:5">
      <c r="A92" s="49">
        <v>1996.11</v>
      </c>
      <c r="B92" s="73">
        <v>1918</v>
      </c>
      <c r="C92" s="1365">
        <v>2099</v>
      </c>
      <c r="D92" s="2331">
        <v>-180</v>
      </c>
      <c r="E92" s="93">
        <v>20033</v>
      </c>
    </row>
    <row r="93" spans="1:5">
      <c r="A93" s="49">
        <v>1996.12</v>
      </c>
      <c r="B93" s="73">
        <v>2036</v>
      </c>
      <c r="C93" s="1365">
        <v>2078</v>
      </c>
      <c r="D93" s="2331">
        <v>-42</v>
      </c>
      <c r="E93" s="93">
        <v>23330</v>
      </c>
    </row>
    <row r="94" spans="1:5">
      <c r="A94" s="49">
        <v>1997.01</v>
      </c>
      <c r="B94" s="73">
        <v>1895</v>
      </c>
      <c r="C94" s="1365">
        <v>2333</v>
      </c>
      <c r="D94" s="2331">
        <v>-439</v>
      </c>
      <c r="E94" s="93">
        <v>23426</v>
      </c>
    </row>
    <row r="95" spans="1:5">
      <c r="A95" s="49">
        <v>1997.02</v>
      </c>
      <c r="B95" s="73">
        <v>1884</v>
      </c>
      <c r="C95" s="1365">
        <v>2027</v>
      </c>
      <c r="D95" s="2331">
        <v>-142</v>
      </c>
      <c r="E95" s="93">
        <v>25155</v>
      </c>
    </row>
    <row r="96" spans="1:5">
      <c r="A96" s="49">
        <v>1997.03</v>
      </c>
      <c r="B96" s="73">
        <v>1995</v>
      </c>
      <c r="C96" s="1365">
        <v>2133</v>
      </c>
      <c r="D96" s="2331">
        <v>-138</v>
      </c>
      <c r="E96" s="93">
        <v>24406</v>
      </c>
    </row>
    <row r="97" spans="1:5">
      <c r="A97" s="49">
        <v>1997.04</v>
      </c>
      <c r="B97" s="73">
        <v>2420</v>
      </c>
      <c r="C97" s="1365">
        <v>2529</v>
      </c>
      <c r="D97" s="2331">
        <v>-109</v>
      </c>
      <c r="E97" s="93">
        <v>24028</v>
      </c>
    </row>
    <row r="98" spans="1:5">
      <c r="A98" s="49">
        <v>1997.05</v>
      </c>
      <c r="B98" s="73">
        <v>2563</v>
      </c>
      <c r="C98" s="1365">
        <v>2544</v>
      </c>
      <c r="D98" s="2331">
        <v>19</v>
      </c>
      <c r="E98" s="93">
        <v>26007</v>
      </c>
    </row>
    <row r="99" spans="1:5">
      <c r="A99" s="49">
        <v>1997.06</v>
      </c>
      <c r="B99" s="73">
        <v>2265</v>
      </c>
      <c r="C99" s="1365">
        <v>2447</v>
      </c>
      <c r="D99" s="2331">
        <v>-182</v>
      </c>
      <c r="E99" s="93">
        <v>25862</v>
      </c>
    </row>
    <row r="100" spans="1:5">
      <c r="A100" s="49">
        <v>1997.07</v>
      </c>
      <c r="B100" s="73">
        <v>2358</v>
      </c>
      <c r="C100" s="1365">
        <v>2734</v>
      </c>
      <c r="D100" s="2331">
        <v>-376</v>
      </c>
      <c r="E100" s="93">
        <v>26863</v>
      </c>
    </row>
    <row r="101" spans="1:5">
      <c r="A101" s="49">
        <v>1997.08</v>
      </c>
      <c r="B101" s="73">
        <v>2356</v>
      </c>
      <c r="C101" s="1365">
        <v>2694</v>
      </c>
      <c r="D101" s="2331">
        <v>-338</v>
      </c>
      <c r="E101" s="93">
        <v>27879</v>
      </c>
    </row>
    <row r="102" spans="1:5">
      <c r="A102" s="49">
        <v>1997.09</v>
      </c>
      <c r="B102" s="73">
        <v>2277</v>
      </c>
      <c r="C102" s="1365">
        <v>2767</v>
      </c>
      <c r="D102" s="2331">
        <v>-490</v>
      </c>
      <c r="E102" s="93">
        <v>26521</v>
      </c>
    </row>
    <row r="103" spans="1:5">
      <c r="A103" s="49">
        <v>1997.1</v>
      </c>
      <c r="B103" s="73">
        <v>2374</v>
      </c>
      <c r="C103" s="1365">
        <v>2836</v>
      </c>
      <c r="D103" s="2331">
        <v>-462</v>
      </c>
      <c r="E103" s="93">
        <v>27591</v>
      </c>
    </row>
    <row r="104" spans="1:5">
      <c r="A104" s="49">
        <v>1997.11</v>
      </c>
      <c r="B104" s="73">
        <v>2022</v>
      </c>
      <c r="C104" s="1365">
        <v>2799</v>
      </c>
      <c r="D104" s="2331">
        <v>-777</v>
      </c>
      <c r="E104" s="93">
        <v>27331</v>
      </c>
    </row>
    <row r="105" spans="1:5">
      <c r="A105" s="49">
        <v>1997.12</v>
      </c>
      <c r="B105" s="73">
        <v>2022</v>
      </c>
      <c r="C105" s="1365">
        <v>2607</v>
      </c>
      <c r="D105" s="2331">
        <v>-586</v>
      </c>
      <c r="E105" s="93">
        <v>29769</v>
      </c>
    </row>
    <row r="106" spans="1:5">
      <c r="A106" s="49">
        <v>1998.01</v>
      </c>
      <c r="B106" s="73">
        <v>1767</v>
      </c>
      <c r="C106" s="1365">
        <v>2558</v>
      </c>
      <c r="D106" s="2331">
        <v>-791</v>
      </c>
      <c r="E106" s="93">
        <v>27914</v>
      </c>
    </row>
    <row r="107" spans="1:5">
      <c r="A107" s="49">
        <v>1998.02</v>
      </c>
      <c r="B107" s="73">
        <v>1883</v>
      </c>
      <c r="C107" s="1365">
        <v>2283</v>
      </c>
      <c r="D107" s="2331">
        <v>-399</v>
      </c>
      <c r="E107" s="93">
        <v>31325</v>
      </c>
    </row>
    <row r="108" spans="1:5">
      <c r="A108" s="49">
        <v>1998.03</v>
      </c>
      <c r="B108" s="73">
        <v>2239</v>
      </c>
      <c r="C108" s="1365">
        <v>2694</v>
      </c>
      <c r="D108" s="2331">
        <v>-454</v>
      </c>
      <c r="E108" s="93">
        <v>29993</v>
      </c>
    </row>
    <row r="109" spans="1:5">
      <c r="A109" s="49">
        <v>1998.04</v>
      </c>
      <c r="B109" s="73">
        <v>2490</v>
      </c>
      <c r="C109" s="1365">
        <v>2739</v>
      </c>
      <c r="D109" s="2331">
        <v>-250</v>
      </c>
      <c r="E109" s="93">
        <v>29941</v>
      </c>
    </row>
    <row r="110" spans="1:5">
      <c r="A110" s="49">
        <v>1998.05</v>
      </c>
      <c r="B110" s="73">
        <v>2572</v>
      </c>
      <c r="C110" s="1365">
        <v>2626</v>
      </c>
      <c r="D110" s="2331">
        <v>-54</v>
      </c>
      <c r="E110" s="93">
        <v>30462</v>
      </c>
    </row>
    <row r="111" spans="1:5">
      <c r="A111" s="49">
        <v>1998.06</v>
      </c>
      <c r="B111" s="73">
        <v>2624</v>
      </c>
      <c r="C111" s="1365">
        <v>2823</v>
      </c>
      <c r="D111" s="2331">
        <v>-199</v>
      </c>
      <c r="E111" s="93">
        <v>30919</v>
      </c>
    </row>
    <row r="112" spans="1:5">
      <c r="A112" s="49">
        <v>1998.07</v>
      </c>
      <c r="B112" s="73">
        <v>2362</v>
      </c>
      <c r="C112" s="1365">
        <v>3027</v>
      </c>
      <c r="D112" s="2331">
        <v>-665</v>
      </c>
      <c r="E112" s="93">
        <v>33513</v>
      </c>
    </row>
    <row r="113" spans="1:5">
      <c r="A113" s="49">
        <v>1998.08</v>
      </c>
      <c r="B113" s="73">
        <v>2367</v>
      </c>
      <c r="C113" s="1365">
        <v>2740</v>
      </c>
      <c r="D113" s="2331">
        <v>-373</v>
      </c>
      <c r="E113" s="93">
        <v>31766</v>
      </c>
    </row>
    <row r="114" spans="1:5">
      <c r="A114" s="49">
        <v>1998.09</v>
      </c>
      <c r="B114" s="73">
        <v>2298</v>
      </c>
      <c r="C114" s="1365">
        <v>2661</v>
      </c>
      <c r="D114" s="2331">
        <v>-363</v>
      </c>
      <c r="E114" s="93">
        <v>30716</v>
      </c>
    </row>
    <row r="115" spans="1:5">
      <c r="A115" s="49">
        <v>1998.1</v>
      </c>
      <c r="B115" s="73">
        <v>2015</v>
      </c>
      <c r="C115" s="1365">
        <v>2591</v>
      </c>
      <c r="D115" s="2331">
        <v>-576</v>
      </c>
      <c r="E115" s="93">
        <v>30283</v>
      </c>
    </row>
    <row r="116" spans="1:5">
      <c r="A116" s="49">
        <v>1998.11</v>
      </c>
      <c r="B116" s="73">
        <v>1884</v>
      </c>
      <c r="C116" s="1365">
        <v>2456</v>
      </c>
      <c r="D116" s="2331">
        <v>-572</v>
      </c>
      <c r="E116" s="93">
        <v>30468</v>
      </c>
    </row>
    <row r="117" spans="1:5">
      <c r="A117" s="49">
        <v>1998.12</v>
      </c>
      <c r="B117" s="73">
        <v>1931</v>
      </c>
      <c r="C117" s="1365">
        <v>2178</v>
      </c>
      <c r="D117" s="2331">
        <v>-247</v>
      </c>
      <c r="E117" s="93">
        <v>31736</v>
      </c>
    </row>
    <row r="118" spans="1:5">
      <c r="A118" s="49">
        <v>1999.01</v>
      </c>
      <c r="B118" s="73">
        <v>1544</v>
      </c>
      <c r="C118" s="1365">
        <v>1906</v>
      </c>
      <c r="D118" s="2331">
        <v>-363</v>
      </c>
      <c r="E118" s="93">
        <v>30931</v>
      </c>
    </row>
    <row r="119" spans="1:5">
      <c r="A119" s="49">
        <v>1999.02</v>
      </c>
      <c r="B119" s="73">
        <v>1524</v>
      </c>
      <c r="C119" s="1365">
        <v>1856</v>
      </c>
      <c r="D119" s="2331">
        <v>-332</v>
      </c>
      <c r="E119" s="93">
        <v>33342</v>
      </c>
    </row>
    <row r="120" spans="1:5">
      <c r="A120" s="49">
        <v>1999.03</v>
      </c>
      <c r="B120" s="73">
        <v>1998</v>
      </c>
      <c r="C120" s="1365">
        <v>2078</v>
      </c>
      <c r="D120" s="2331">
        <v>-81</v>
      </c>
      <c r="E120" s="93">
        <v>31725</v>
      </c>
    </row>
    <row r="121" spans="1:5">
      <c r="A121" s="49">
        <v>1999.04</v>
      </c>
      <c r="B121" s="73">
        <v>2034</v>
      </c>
      <c r="C121" s="1365">
        <v>1873</v>
      </c>
      <c r="D121" s="2331">
        <v>161</v>
      </c>
      <c r="E121" s="93">
        <v>30522.400000000001</v>
      </c>
    </row>
    <row r="122" spans="1:5">
      <c r="A122" s="49">
        <v>1999.05</v>
      </c>
      <c r="B122" s="73">
        <v>2220</v>
      </c>
      <c r="C122" s="1365">
        <v>1931</v>
      </c>
      <c r="D122" s="2331">
        <v>289</v>
      </c>
      <c r="E122" s="93">
        <v>31403.1</v>
      </c>
    </row>
    <row r="123" spans="1:5">
      <c r="A123" s="49">
        <v>1999.06</v>
      </c>
      <c r="B123" s="73">
        <v>2129</v>
      </c>
      <c r="C123" s="1365">
        <v>2212</v>
      </c>
      <c r="D123" s="2331">
        <v>-83</v>
      </c>
      <c r="E123" s="93">
        <v>32191.5</v>
      </c>
    </row>
    <row r="124" spans="1:5">
      <c r="A124" s="49">
        <v>1999.07</v>
      </c>
      <c r="B124" s="73">
        <v>1941</v>
      </c>
      <c r="C124" s="1365">
        <v>2278</v>
      </c>
      <c r="D124" s="2331">
        <v>-337</v>
      </c>
      <c r="E124" s="93">
        <v>31932.6</v>
      </c>
    </row>
    <row r="125" spans="1:5">
      <c r="A125" s="49">
        <v>1999.08</v>
      </c>
      <c r="B125" s="73">
        <v>2099</v>
      </c>
      <c r="C125" s="1365">
        <v>2331</v>
      </c>
      <c r="D125" s="2331">
        <v>-232</v>
      </c>
      <c r="E125" s="93">
        <v>30855.599999999999</v>
      </c>
    </row>
    <row r="126" spans="1:5">
      <c r="A126" s="49">
        <v>1999.09</v>
      </c>
      <c r="B126" s="73">
        <v>1898</v>
      </c>
      <c r="C126" s="1365">
        <v>2234</v>
      </c>
      <c r="D126" s="2331">
        <v>-336</v>
      </c>
      <c r="E126" s="93">
        <v>32084.3</v>
      </c>
    </row>
    <row r="127" spans="1:5">
      <c r="A127" s="49">
        <v>1999.1</v>
      </c>
      <c r="B127" s="73">
        <v>1901</v>
      </c>
      <c r="C127" s="1365">
        <v>2213</v>
      </c>
      <c r="D127" s="2331">
        <v>-312</v>
      </c>
      <c r="E127" s="93">
        <v>32041.3</v>
      </c>
    </row>
    <row r="128" spans="1:5">
      <c r="A128" s="49">
        <v>1999.11</v>
      </c>
      <c r="B128" s="73">
        <v>1965</v>
      </c>
      <c r="C128" s="1365">
        <v>2290</v>
      </c>
      <c r="D128" s="2331">
        <v>-325</v>
      </c>
      <c r="E128" s="93">
        <v>32427.1</v>
      </c>
    </row>
    <row r="129" spans="1:5">
      <c r="A129" s="49">
        <v>1999.12</v>
      </c>
      <c r="B129" s="73">
        <v>2056</v>
      </c>
      <c r="C129" s="1365">
        <v>2305</v>
      </c>
      <c r="D129" s="2331">
        <v>-249</v>
      </c>
      <c r="E129" s="93">
        <v>33100.400000000001</v>
      </c>
    </row>
    <row r="130" spans="1:5">
      <c r="A130" s="49">
        <v>2000.01</v>
      </c>
      <c r="B130" s="73">
        <v>1768</v>
      </c>
      <c r="C130" s="1365">
        <v>1852</v>
      </c>
      <c r="D130" s="2331">
        <v>-84</v>
      </c>
      <c r="E130" s="93">
        <v>31099.7</v>
      </c>
    </row>
    <row r="131" spans="1:5">
      <c r="A131" s="49">
        <v>2000.02</v>
      </c>
      <c r="B131" s="73">
        <v>1783</v>
      </c>
      <c r="C131" s="1365">
        <v>1908</v>
      </c>
      <c r="D131" s="2331">
        <v>-124</v>
      </c>
      <c r="E131" s="93">
        <v>32255.4</v>
      </c>
    </row>
    <row r="132" spans="1:5">
      <c r="A132" s="49">
        <v>2000.03</v>
      </c>
      <c r="B132" s="73">
        <v>2161</v>
      </c>
      <c r="C132" s="1365">
        <v>2116</v>
      </c>
      <c r="D132" s="2331">
        <v>44</v>
      </c>
      <c r="E132" s="93">
        <v>32975.800000000003</v>
      </c>
    </row>
    <row r="133" spans="1:5">
      <c r="A133" s="49">
        <v>2000.04</v>
      </c>
      <c r="B133" s="73">
        <v>2324</v>
      </c>
      <c r="C133" s="1365">
        <v>1905</v>
      </c>
      <c r="D133" s="2331">
        <v>419</v>
      </c>
      <c r="E133" s="93">
        <v>31182.3</v>
      </c>
    </row>
    <row r="134" spans="1:5">
      <c r="A134" s="49">
        <v>2000.05</v>
      </c>
      <c r="B134" s="73">
        <v>2600</v>
      </c>
      <c r="C134" s="1365">
        <v>2215</v>
      </c>
      <c r="D134" s="2331">
        <v>385</v>
      </c>
      <c r="E134" s="93">
        <v>30601.4</v>
      </c>
    </row>
    <row r="135" spans="1:5">
      <c r="A135" s="49">
        <v>2000.06</v>
      </c>
      <c r="B135" s="73">
        <v>2391</v>
      </c>
      <c r="C135" s="1365">
        <v>2178</v>
      </c>
      <c r="D135" s="2331">
        <v>212</v>
      </c>
      <c r="E135" s="93">
        <v>34355.1</v>
      </c>
    </row>
    <row r="136" spans="1:5">
      <c r="A136" s="49">
        <v>2000.07</v>
      </c>
      <c r="B136" s="73">
        <v>2364</v>
      </c>
      <c r="C136" s="1365">
        <v>2202</v>
      </c>
      <c r="D136" s="2331">
        <v>163</v>
      </c>
      <c r="E136" s="93">
        <v>33844.800000000003</v>
      </c>
    </row>
    <row r="137" spans="1:5">
      <c r="A137" s="49">
        <v>2000.08</v>
      </c>
      <c r="B137" s="73">
        <v>2216</v>
      </c>
      <c r="C137" s="1365">
        <v>2320</v>
      </c>
      <c r="D137" s="2331">
        <v>-103</v>
      </c>
      <c r="E137" s="93">
        <v>31830.7</v>
      </c>
    </row>
    <row r="138" spans="1:5">
      <c r="A138" s="49">
        <v>2000.09</v>
      </c>
      <c r="B138" s="73">
        <v>2158</v>
      </c>
      <c r="C138" s="1365">
        <v>2084</v>
      </c>
      <c r="D138" s="2331">
        <v>74</v>
      </c>
      <c r="E138" s="93">
        <v>33219.4</v>
      </c>
    </row>
    <row r="139" spans="1:5">
      <c r="A139" s="49">
        <v>2000.1</v>
      </c>
      <c r="B139" s="73">
        <v>2072</v>
      </c>
      <c r="C139" s="1365">
        <v>2251</v>
      </c>
      <c r="D139" s="2331">
        <v>-180</v>
      </c>
      <c r="E139" s="93">
        <v>31751.3</v>
      </c>
    </row>
    <row r="140" spans="1:5">
      <c r="A140" s="49">
        <v>2000.11</v>
      </c>
      <c r="B140" s="73">
        <v>2147</v>
      </c>
      <c r="C140" s="1365">
        <v>2185</v>
      </c>
      <c r="D140" s="2331">
        <v>-38</v>
      </c>
      <c r="E140" s="93">
        <v>29571.1</v>
      </c>
    </row>
    <row r="141" spans="1:5">
      <c r="A141" s="49">
        <v>2000.12</v>
      </c>
      <c r="B141" s="73">
        <v>2356</v>
      </c>
      <c r="C141" s="1365">
        <v>2065</v>
      </c>
      <c r="D141" s="2331">
        <v>292</v>
      </c>
      <c r="E141" s="93">
        <v>34233.800000000003</v>
      </c>
    </row>
    <row r="142" spans="1:5">
      <c r="A142" s="49">
        <v>2001.01</v>
      </c>
      <c r="B142" s="73">
        <v>2041</v>
      </c>
      <c r="C142" s="1365">
        <v>1954</v>
      </c>
      <c r="D142" s="2331">
        <v>87</v>
      </c>
      <c r="E142" s="93">
        <v>36152.5</v>
      </c>
    </row>
    <row r="143" spans="1:5">
      <c r="A143" s="49">
        <v>2001.02</v>
      </c>
      <c r="B143" s="73">
        <v>1843</v>
      </c>
      <c r="C143" s="1365">
        <v>1754</v>
      </c>
      <c r="D143" s="2331">
        <v>89</v>
      </c>
      <c r="E143" s="93">
        <v>33218.5</v>
      </c>
    </row>
    <row r="144" spans="1:5">
      <c r="A144" s="49">
        <v>2001.03</v>
      </c>
      <c r="B144" s="73">
        <v>2024</v>
      </c>
      <c r="C144" s="1365">
        <v>2035</v>
      </c>
      <c r="D144" s="2331">
        <v>-11</v>
      </c>
      <c r="E144" s="93">
        <v>29811.5</v>
      </c>
    </row>
    <row r="145" spans="1:5">
      <c r="A145" s="49">
        <v>2001.04</v>
      </c>
      <c r="B145" s="73">
        <v>2392</v>
      </c>
      <c r="C145" s="1365">
        <v>1918</v>
      </c>
      <c r="D145" s="2331">
        <v>474</v>
      </c>
      <c r="E145" s="93">
        <v>26464.400000000001</v>
      </c>
    </row>
    <row r="146" spans="1:5">
      <c r="A146" s="49">
        <v>2001.05</v>
      </c>
      <c r="B146" s="73">
        <v>2567</v>
      </c>
      <c r="C146" s="1365">
        <v>2081</v>
      </c>
      <c r="D146" s="2331">
        <v>487</v>
      </c>
      <c r="E146" s="93">
        <v>25570.2</v>
      </c>
    </row>
    <row r="147" spans="1:5">
      <c r="A147" s="49">
        <v>2001.06</v>
      </c>
      <c r="B147" s="73">
        <v>2545</v>
      </c>
      <c r="C147" s="1365">
        <v>1777</v>
      </c>
      <c r="D147" s="2331">
        <v>768</v>
      </c>
      <c r="E147" s="93">
        <v>27266.400000000001</v>
      </c>
    </row>
    <row r="148" spans="1:5">
      <c r="A148" s="49">
        <v>2001.07</v>
      </c>
      <c r="B148" s="73">
        <v>2353</v>
      </c>
      <c r="C148" s="1365">
        <v>1769</v>
      </c>
      <c r="D148" s="2331">
        <v>584</v>
      </c>
      <c r="E148" s="93">
        <v>20256.8</v>
      </c>
    </row>
    <row r="149" spans="1:5">
      <c r="A149" s="49">
        <v>2001.08</v>
      </c>
      <c r="B149" s="73">
        <v>2510</v>
      </c>
      <c r="C149" s="1365">
        <v>1822</v>
      </c>
      <c r="D149" s="2331">
        <v>688</v>
      </c>
      <c r="E149" s="93">
        <v>17467</v>
      </c>
    </row>
    <row r="150" spans="1:5">
      <c r="A150" s="49">
        <v>2001.09</v>
      </c>
      <c r="B150" s="73">
        <v>2192</v>
      </c>
      <c r="C150" s="1365">
        <v>1431</v>
      </c>
      <c r="D150" s="2331">
        <v>761</v>
      </c>
      <c r="E150" s="93">
        <v>24799</v>
      </c>
    </row>
    <row r="151" spans="1:5">
      <c r="A151" s="49">
        <v>2001.1</v>
      </c>
      <c r="B151" s="73">
        <v>2050</v>
      </c>
      <c r="C151" s="1365">
        <v>1512</v>
      </c>
      <c r="D151" s="2331">
        <v>539</v>
      </c>
      <c r="E151" s="93">
        <v>21190</v>
      </c>
    </row>
    <row r="152" spans="1:5">
      <c r="A152" s="49">
        <v>2001.11</v>
      </c>
      <c r="B152" s="73">
        <v>2070</v>
      </c>
      <c r="C152" s="1365">
        <v>1334</v>
      </c>
      <c r="D152" s="2331">
        <v>737</v>
      </c>
      <c r="E152" s="93">
        <v>15195</v>
      </c>
    </row>
    <row r="153" spans="1:5">
      <c r="A153" s="49">
        <v>2001.12</v>
      </c>
      <c r="B153" s="73">
        <v>1954</v>
      </c>
      <c r="C153" s="1365">
        <v>932</v>
      </c>
      <c r="D153" s="2331">
        <v>1022</v>
      </c>
      <c r="E153" s="93">
        <v>15232</v>
      </c>
    </row>
    <row r="154" spans="1:5">
      <c r="A154" s="51">
        <v>2002.01</v>
      </c>
      <c r="B154" s="73">
        <v>1818</v>
      </c>
      <c r="C154" s="1365">
        <v>851</v>
      </c>
      <c r="D154" s="2331">
        <v>967</v>
      </c>
      <c r="E154" s="93">
        <v>14069.285714285716</v>
      </c>
    </row>
    <row r="155" spans="1:5">
      <c r="A155" s="51">
        <v>2002.02</v>
      </c>
      <c r="B155" s="73">
        <v>1782</v>
      </c>
      <c r="C155" s="1365">
        <v>628</v>
      </c>
      <c r="D155" s="2331">
        <v>1154</v>
      </c>
      <c r="E155" s="93">
        <v>13882.79069767442</v>
      </c>
    </row>
    <row r="156" spans="1:5">
      <c r="A156" s="51">
        <v>2002.03</v>
      </c>
      <c r="B156" s="73">
        <v>2112</v>
      </c>
      <c r="C156" s="1365">
        <v>593</v>
      </c>
      <c r="D156" s="2331">
        <v>1520</v>
      </c>
      <c r="E156" s="93">
        <v>12779.655172413793</v>
      </c>
    </row>
    <row r="157" spans="1:5">
      <c r="A157" s="51">
        <v>2002.04</v>
      </c>
      <c r="B157" s="73">
        <v>2182</v>
      </c>
      <c r="C157" s="1365">
        <v>612</v>
      </c>
      <c r="D157" s="2331">
        <v>1570</v>
      </c>
      <c r="E157" s="93">
        <v>12170.847457627118</v>
      </c>
    </row>
    <row r="158" spans="1:5">
      <c r="A158" s="51">
        <v>2002.05</v>
      </c>
      <c r="B158" s="73">
        <v>2369</v>
      </c>
      <c r="C158" s="1365">
        <v>862</v>
      </c>
      <c r="D158" s="2331">
        <v>1508</v>
      </c>
      <c r="E158" s="93">
        <v>10185.277777777777</v>
      </c>
    </row>
    <row r="159" spans="1:5">
      <c r="A159" s="51">
        <v>2002.06</v>
      </c>
      <c r="B159" s="73">
        <v>2226</v>
      </c>
      <c r="C159" s="1365">
        <v>683</v>
      </c>
      <c r="D159" s="2331">
        <v>1544</v>
      </c>
      <c r="E159" s="93">
        <v>9629.21052631579</v>
      </c>
    </row>
    <row r="160" spans="1:5">
      <c r="A160" s="51">
        <v>2002.07</v>
      </c>
      <c r="B160" s="73">
        <v>2245</v>
      </c>
      <c r="C160" s="1365">
        <v>811</v>
      </c>
      <c r="D160" s="2331">
        <v>1433</v>
      </c>
      <c r="E160" s="93">
        <v>8986.4130434782601</v>
      </c>
    </row>
    <row r="161" spans="1:5">
      <c r="A161" s="51">
        <v>2002.08</v>
      </c>
      <c r="B161" s="73">
        <v>2177</v>
      </c>
      <c r="C161" s="1365">
        <v>762</v>
      </c>
      <c r="D161" s="2331">
        <v>1415</v>
      </c>
      <c r="E161" s="93">
        <v>9101.9337016574591</v>
      </c>
    </row>
    <row r="162" spans="1:5">
      <c r="A162" s="51">
        <v>2002.09</v>
      </c>
      <c r="B162" s="73">
        <v>2297</v>
      </c>
      <c r="C162" s="1365">
        <v>719</v>
      </c>
      <c r="D162" s="2331">
        <v>1578</v>
      </c>
      <c r="E162" s="93">
        <v>9404.2666666666664</v>
      </c>
    </row>
    <row r="163" spans="1:5">
      <c r="A163" s="51">
        <v>2002.1</v>
      </c>
      <c r="B163" s="73">
        <v>2258</v>
      </c>
      <c r="C163" s="1365">
        <v>876</v>
      </c>
      <c r="D163" s="2331">
        <v>1382</v>
      </c>
      <c r="E163" s="93">
        <v>9882.5352112676064</v>
      </c>
    </row>
    <row r="164" spans="1:5">
      <c r="A164" s="51">
        <v>2002.11</v>
      </c>
      <c r="B164" s="73">
        <v>2160</v>
      </c>
      <c r="C164" s="1365">
        <v>809</v>
      </c>
      <c r="D164" s="2331">
        <v>1352</v>
      </c>
      <c r="E164" s="93">
        <v>10022.128851540616</v>
      </c>
    </row>
    <row r="165" spans="1:5">
      <c r="A165" s="51">
        <v>2002.12</v>
      </c>
      <c r="B165" s="73">
        <v>2024</v>
      </c>
      <c r="C165" s="1365">
        <v>785</v>
      </c>
      <c r="D165" s="2331">
        <v>1239</v>
      </c>
      <c r="E165" s="93">
        <v>10476.063038953316</v>
      </c>
    </row>
    <row r="166" spans="1:5">
      <c r="A166" s="51">
        <v>2003.01</v>
      </c>
      <c r="B166" s="73">
        <v>2195</v>
      </c>
      <c r="C166" s="1365">
        <v>799</v>
      </c>
      <c r="D166" s="2331">
        <v>1396</v>
      </c>
      <c r="E166" s="93">
        <v>9325.6172839506162</v>
      </c>
    </row>
    <row r="167" spans="1:5">
      <c r="A167" s="51">
        <v>2003.02</v>
      </c>
      <c r="B167" s="73">
        <v>2128</v>
      </c>
      <c r="C167" s="1365">
        <v>777</v>
      </c>
      <c r="D167" s="2331">
        <v>1351</v>
      </c>
      <c r="E167" s="93">
        <v>10288.52500235723</v>
      </c>
    </row>
    <row r="168" spans="1:5">
      <c r="A168" s="51">
        <v>2003.03</v>
      </c>
      <c r="B168" s="73">
        <v>2252</v>
      </c>
      <c r="C168" s="1365">
        <v>934</v>
      </c>
      <c r="D168" s="2331">
        <v>1318</v>
      </c>
      <c r="E168" s="93">
        <v>10516.544757924068</v>
      </c>
    </row>
    <row r="169" spans="1:5">
      <c r="A169" s="51">
        <v>2003.04</v>
      </c>
      <c r="B169" s="73">
        <v>2459</v>
      </c>
      <c r="C169" s="1365">
        <v>1110</v>
      </c>
      <c r="D169" s="2331">
        <v>1349</v>
      </c>
      <c r="E169" s="93">
        <v>10971.380530353454</v>
      </c>
    </row>
    <row r="170" spans="1:5">
      <c r="A170" s="51">
        <v>2003.05</v>
      </c>
      <c r="B170" s="73">
        <v>3123</v>
      </c>
      <c r="C170" s="1365">
        <v>1085</v>
      </c>
      <c r="D170" s="2331">
        <v>2038</v>
      </c>
      <c r="E170" s="93">
        <v>11373.807458803123</v>
      </c>
    </row>
    <row r="171" spans="1:5">
      <c r="A171" s="51">
        <v>2003.06</v>
      </c>
      <c r="B171" s="73">
        <v>2874</v>
      </c>
      <c r="C171" s="1365">
        <v>1149</v>
      </c>
      <c r="D171" s="2331">
        <v>1725</v>
      </c>
      <c r="E171" s="93">
        <v>12183.249821045096</v>
      </c>
    </row>
    <row r="172" spans="1:5">
      <c r="A172" s="51">
        <v>2003.07</v>
      </c>
      <c r="B172" s="73">
        <v>2836</v>
      </c>
      <c r="C172" s="1365">
        <v>1260</v>
      </c>
      <c r="D172" s="2331">
        <v>1576</v>
      </c>
      <c r="E172" s="93">
        <v>13484.390735146022</v>
      </c>
    </row>
    <row r="173" spans="1:5">
      <c r="A173" s="51">
        <v>2003.08</v>
      </c>
      <c r="B173" s="73">
        <v>2347</v>
      </c>
      <c r="C173" s="1365">
        <v>1135</v>
      </c>
      <c r="D173" s="2331">
        <v>1212</v>
      </c>
      <c r="E173" s="93">
        <v>13584.118438761776</v>
      </c>
    </row>
    <row r="174" spans="1:5">
      <c r="A174" s="51">
        <v>2003.09</v>
      </c>
      <c r="B174" s="73">
        <v>2369</v>
      </c>
      <c r="C174" s="1365">
        <v>1318</v>
      </c>
      <c r="D174" s="2331">
        <v>1050</v>
      </c>
      <c r="E174" s="93">
        <v>13405.610049905352</v>
      </c>
    </row>
    <row r="175" spans="1:5">
      <c r="A175" s="51">
        <v>2003.1</v>
      </c>
      <c r="B175" s="73">
        <v>2441</v>
      </c>
      <c r="C175" s="1365">
        <v>1440</v>
      </c>
      <c r="D175" s="2331">
        <v>1002</v>
      </c>
      <c r="E175" s="93">
        <v>12901.648505169042</v>
      </c>
    </row>
    <row r="176" spans="1:5">
      <c r="A176" s="51">
        <v>2003.11</v>
      </c>
      <c r="B176" s="73">
        <v>2454</v>
      </c>
      <c r="C176" s="1365">
        <v>1336</v>
      </c>
      <c r="D176" s="2331">
        <v>1118</v>
      </c>
      <c r="E176" s="93">
        <v>13482.70070540813</v>
      </c>
    </row>
    <row r="177" spans="1:5">
      <c r="A177" s="51">
        <v>2003.12</v>
      </c>
      <c r="B177" s="73">
        <v>2462</v>
      </c>
      <c r="C177" s="1365">
        <v>1508</v>
      </c>
      <c r="D177" s="2331">
        <v>953</v>
      </c>
      <c r="E177" s="93">
        <v>14119.27074459022</v>
      </c>
    </row>
    <row r="178" spans="1:5">
      <c r="A178" s="51">
        <v>2004.01</v>
      </c>
      <c r="B178" s="73">
        <v>2322</v>
      </c>
      <c r="C178" s="1365">
        <v>1609</v>
      </c>
      <c r="D178" s="2331">
        <v>714</v>
      </c>
      <c r="E178" s="93">
        <v>14919.804268044039</v>
      </c>
    </row>
    <row r="179" spans="1:5">
      <c r="A179" s="51">
        <v>2004.02</v>
      </c>
      <c r="B179" s="73">
        <v>2395</v>
      </c>
      <c r="C179" s="1365">
        <v>1364</v>
      </c>
      <c r="D179" s="2331">
        <v>1031</v>
      </c>
      <c r="E179" s="93">
        <v>15002.564716342373</v>
      </c>
    </row>
    <row r="180" spans="1:5">
      <c r="A180" s="51">
        <v>2004.03</v>
      </c>
      <c r="B180" s="73">
        <v>2658</v>
      </c>
      <c r="C180" s="1365">
        <v>1690</v>
      </c>
      <c r="D180" s="2331">
        <v>968</v>
      </c>
      <c r="E180" s="93">
        <v>15003.152364273205</v>
      </c>
    </row>
    <row r="181" spans="1:5">
      <c r="A181" s="51">
        <v>2004.04</v>
      </c>
      <c r="B181" s="73">
        <v>3040</v>
      </c>
      <c r="C181" s="1365">
        <v>1651</v>
      </c>
      <c r="D181" s="2331">
        <v>1389</v>
      </c>
      <c r="E181" s="93">
        <v>15763.039505131448</v>
      </c>
    </row>
    <row r="182" spans="1:5">
      <c r="A182" s="51">
        <v>2004.05</v>
      </c>
      <c r="B182" s="73">
        <v>3394</v>
      </c>
      <c r="C182" s="1365">
        <v>1792</v>
      </c>
      <c r="D182" s="2331">
        <v>1602</v>
      </c>
      <c r="E182" s="93">
        <v>16704.675797854397</v>
      </c>
    </row>
    <row r="183" spans="1:5">
      <c r="A183" s="51">
        <v>2004.06</v>
      </c>
      <c r="B183" s="73">
        <v>2951</v>
      </c>
      <c r="C183" s="1365">
        <v>2039</v>
      </c>
      <c r="D183" s="2331">
        <v>911</v>
      </c>
      <c r="E183" s="93">
        <v>17442.834464822507</v>
      </c>
    </row>
    <row r="184" spans="1:5">
      <c r="A184" s="51">
        <v>2004.07</v>
      </c>
      <c r="B184" s="73">
        <v>3034</v>
      </c>
      <c r="C184" s="1365">
        <v>1970</v>
      </c>
      <c r="D184" s="2331">
        <v>1064</v>
      </c>
      <c r="E184" s="93">
        <v>18068.212365591397</v>
      </c>
    </row>
    <row r="185" spans="1:5">
      <c r="A185" s="51">
        <v>2004.08</v>
      </c>
      <c r="B185" s="73">
        <v>2945</v>
      </c>
      <c r="C185" s="1365">
        <v>2032</v>
      </c>
      <c r="D185" s="2331">
        <v>913</v>
      </c>
      <c r="E185" s="93">
        <v>18075.85908075859</v>
      </c>
    </row>
    <row r="186" spans="1:5">
      <c r="A186" s="51">
        <v>2004.09</v>
      </c>
      <c r="B186" s="73">
        <v>3002</v>
      </c>
      <c r="C186" s="1365">
        <v>2025</v>
      </c>
      <c r="D186" s="2331">
        <v>977</v>
      </c>
      <c r="E186" s="93">
        <v>18223.637887678124</v>
      </c>
    </row>
    <row r="187" spans="1:5">
      <c r="A187" s="51">
        <v>2004.1</v>
      </c>
      <c r="B187" s="73">
        <v>2831</v>
      </c>
      <c r="C187" s="1365">
        <v>1973</v>
      </c>
      <c r="D187" s="2331">
        <v>858</v>
      </c>
      <c r="E187" s="93">
        <v>18586.730239742126</v>
      </c>
    </row>
    <row r="188" spans="1:5">
      <c r="A188" s="51">
        <v>2004.11</v>
      </c>
      <c r="B188" s="73">
        <v>3042</v>
      </c>
      <c r="C188" s="1365">
        <v>2193</v>
      </c>
      <c r="D188" s="2331">
        <v>849</v>
      </c>
      <c r="E188" s="93">
        <v>18943.747882073872</v>
      </c>
    </row>
    <row r="189" spans="1:5">
      <c r="A189" s="51">
        <v>2004.12</v>
      </c>
      <c r="B189" s="73">
        <v>2962</v>
      </c>
      <c r="C189" s="1365">
        <v>2109</v>
      </c>
      <c r="D189" s="2331">
        <v>853</v>
      </c>
      <c r="E189" s="93">
        <v>19645.571322886542</v>
      </c>
    </row>
    <row r="190" spans="1:5">
      <c r="A190" s="51">
        <v>2005.01</v>
      </c>
      <c r="B190" s="73">
        <v>2781</v>
      </c>
      <c r="C190" s="1365">
        <v>1901</v>
      </c>
      <c r="D190" s="2331">
        <v>880</v>
      </c>
      <c r="E190" s="93">
        <v>20137.421802892011</v>
      </c>
    </row>
    <row r="191" spans="1:5">
      <c r="A191" s="51">
        <v>2005.02</v>
      </c>
      <c r="B191" s="73">
        <v>2606</v>
      </c>
      <c r="C191" s="1365">
        <v>1867</v>
      </c>
      <c r="D191" s="2331">
        <v>739</v>
      </c>
      <c r="E191" s="93">
        <v>20792.443823098169</v>
      </c>
    </row>
    <row r="192" spans="1:5">
      <c r="A192" s="51">
        <v>2005.03</v>
      </c>
      <c r="B192" s="73">
        <v>3054</v>
      </c>
      <c r="C192" s="1365">
        <v>2198</v>
      </c>
      <c r="D192" s="2331">
        <v>857</v>
      </c>
      <c r="E192" s="93">
        <v>20338.658365545787</v>
      </c>
    </row>
    <row r="193" spans="1:5">
      <c r="A193" s="51">
        <v>2005.04</v>
      </c>
      <c r="B193" s="73">
        <v>3561</v>
      </c>
      <c r="C193" s="1365">
        <v>2380</v>
      </c>
      <c r="D193" s="2331">
        <v>1181</v>
      </c>
      <c r="E193" s="93">
        <v>20904.472591219579</v>
      </c>
    </row>
    <row r="194" spans="1:5">
      <c r="A194" s="51">
        <v>2005.05</v>
      </c>
      <c r="B194" s="73">
        <v>3695</v>
      </c>
      <c r="C194" s="1365">
        <v>2476</v>
      </c>
      <c r="D194" s="2331">
        <v>1219</v>
      </c>
      <c r="E194" s="93">
        <v>22103.057796862555</v>
      </c>
    </row>
    <row r="195" spans="1:5">
      <c r="A195" s="51">
        <v>2005.06</v>
      </c>
      <c r="B195" s="73">
        <v>3450</v>
      </c>
      <c r="C195" s="1365">
        <v>2724</v>
      </c>
      <c r="D195" s="2331">
        <v>727</v>
      </c>
      <c r="E195" s="93">
        <v>23052.096305520961</v>
      </c>
    </row>
    <row r="196" spans="1:5">
      <c r="A196" s="51">
        <v>2005.07</v>
      </c>
      <c r="B196" s="73">
        <v>3601</v>
      </c>
      <c r="C196" s="1365">
        <v>2349</v>
      </c>
      <c r="D196" s="2331">
        <v>1252</v>
      </c>
      <c r="E196" s="93">
        <v>25105.491127567417</v>
      </c>
    </row>
    <row r="197" spans="1:5">
      <c r="A197" s="51">
        <v>2005.08</v>
      </c>
      <c r="B197" s="73">
        <v>3837</v>
      </c>
      <c r="C197" s="1365">
        <v>2626</v>
      </c>
      <c r="D197" s="2331">
        <v>1212</v>
      </c>
      <c r="E197" s="93">
        <v>25251.914689013291</v>
      </c>
    </row>
    <row r="198" spans="1:5">
      <c r="A198" s="51">
        <v>2005.09</v>
      </c>
      <c r="B198" s="73">
        <v>3483</v>
      </c>
      <c r="C198" s="1365">
        <v>2468</v>
      </c>
      <c r="D198" s="2331">
        <v>1015</v>
      </c>
      <c r="E198" s="93">
        <v>25614.077253218882</v>
      </c>
    </row>
    <row r="199" spans="1:5">
      <c r="A199" s="51">
        <v>2005.1</v>
      </c>
      <c r="B199" s="73">
        <v>3399</v>
      </c>
      <c r="C199" s="1365">
        <v>2503</v>
      </c>
      <c r="D199" s="2331">
        <v>896</v>
      </c>
      <c r="E199" s="93">
        <v>26547.828687244575</v>
      </c>
    </row>
    <row r="200" spans="1:5">
      <c r="A200" s="51">
        <v>2005.11</v>
      </c>
      <c r="B200" s="73">
        <v>3274</v>
      </c>
      <c r="C200" s="1365">
        <v>2701</v>
      </c>
      <c r="D200" s="2331">
        <v>573</v>
      </c>
      <c r="E200" s="93">
        <v>26524.63426937952</v>
      </c>
    </row>
    <row r="201" spans="1:5">
      <c r="A201" s="51">
        <v>2005.12</v>
      </c>
      <c r="B201" s="73">
        <v>3645</v>
      </c>
      <c r="C201" s="1365">
        <v>2495</v>
      </c>
      <c r="D201" s="2331">
        <v>1150</v>
      </c>
      <c r="E201" s="93">
        <v>28076.859640442028</v>
      </c>
    </row>
    <row r="202" spans="1:5">
      <c r="A202" s="51">
        <v>2006.01</v>
      </c>
      <c r="B202" s="73">
        <v>3188</v>
      </c>
      <c r="C202" s="1365">
        <v>2324</v>
      </c>
      <c r="D202" s="2331">
        <v>864</v>
      </c>
      <c r="E202" s="93">
        <v>19689.264614681593</v>
      </c>
    </row>
    <row r="203" spans="1:5">
      <c r="A203" s="51">
        <v>2006.02</v>
      </c>
      <c r="B203" s="73">
        <v>3090</v>
      </c>
      <c r="C203" s="1365">
        <v>2326</v>
      </c>
      <c r="D203" s="2331">
        <v>764</v>
      </c>
      <c r="E203" s="93">
        <v>20531.762561832857</v>
      </c>
    </row>
    <row r="204" spans="1:5">
      <c r="A204" s="51">
        <v>2006.03</v>
      </c>
      <c r="B204" s="73">
        <v>3648</v>
      </c>
      <c r="C204" s="1365">
        <v>2722</v>
      </c>
      <c r="D204" s="2331">
        <v>926</v>
      </c>
      <c r="E204" s="93">
        <v>21548.948325110359</v>
      </c>
    </row>
    <row r="205" spans="1:5">
      <c r="A205" s="51">
        <v>2006.04</v>
      </c>
      <c r="B205" s="73">
        <v>3925</v>
      </c>
      <c r="C205" s="1365">
        <v>2545</v>
      </c>
      <c r="D205" s="2331">
        <v>1380</v>
      </c>
      <c r="E205" s="93">
        <v>22399.960575596295</v>
      </c>
    </row>
    <row r="206" spans="1:5">
      <c r="A206" s="51">
        <v>2006.05</v>
      </c>
      <c r="B206" s="73">
        <v>4181</v>
      </c>
      <c r="C206" s="1365">
        <v>2826</v>
      </c>
      <c r="D206" s="2331">
        <v>1355</v>
      </c>
      <c r="E206" s="93">
        <v>24161.591291952831</v>
      </c>
    </row>
    <row r="207" spans="1:5">
      <c r="A207" s="51">
        <v>2006.06</v>
      </c>
      <c r="B207" s="73">
        <v>3848</v>
      </c>
      <c r="C207" s="1365">
        <v>2859</v>
      </c>
      <c r="D207" s="2331">
        <v>989</v>
      </c>
      <c r="E207" s="93">
        <v>25490.145228215766</v>
      </c>
    </row>
    <row r="208" spans="1:5">
      <c r="A208" s="51">
        <v>2006.07</v>
      </c>
      <c r="B208" s="73">
        <v>3817</v>
      </c>
      <c r="C208" s="1365">
        <v>2852</v>
      </c>
      <c r="D208" s="2331">
        <v>964</v>
      </c>
      <c r="E208" s="93">
        <v>26223.494211005593</v>
      </c>
    </row>
    <row r="209" spans="1:5">
      <c r="A209" s="51">
        <v>2006.08</v>
      </c>
      <c r="B209" s="73">
        <v>4246</v>
      </c>
      <c r="C209" s="1365">
        <v>3281</v>
      </c>
      <c r="D209" s="2331">
        <v>965</v>
      </c>
      <c r="E209" s="93">
        <v>27396.680873046622</v>
      </c>
    </row>
    <row r="210" spans="1:5">
      <c r="A210" s="51">
        <v>2006.09</v>
      </c>
      <c r="B210" s="73">
        <v>4048</v>
      </c>
      <c r="C210" s="1365">
        <v>3169</v>
      </c>
      <c r="D210" s="2331">
        <v>879</v>
      </c>
      <c r="E210" s="93">
        <v>28047.869084817834</v>
      </c>
    </row>
    <row r="211" spans="1:5">
      <c r="A211" s="51">
        <v>2006.1</v>
      </c>
      <c r="B211" s="73">
        <v>4204</v>
      </c>
      <c r="C211" s="1365">
        <v>3255</v>
      </c>
      <c r="D211" s="2331">
        <v>949</v>
      </c>
      <c r="E211" s="93">
        <v>29081.563378915718</v>
      </c>
    </row>
    <row r="212" spans="1:5">
      <c r="A212" s="51">
        <v>2006.11</v>
      </c>
      <c r="B212" s="73">
        <v>4110</v>
      </c>
      <c r="C212" s="1365">
        <v>3237</v>
      </c>
      <c r="D212" s="2331">
        <v>873</v>
      </c>
      <c r="E212" s="93">
        <v>30328.413644805001</v>
      </c>
    </row>
    <row r="213" spans="1:5">
      <c r="A213" s="51">
        <v>2006.12</v>
      </c>
      <c r="B213" s="73">
        <v>4241</v>
      </c>
      <c r="C213" s="1365">
        <v>2756</v>
      </c>
      <c r="D213" s="2331">
        <v>1485</v>
      </c>
      <c r="E213" s="93">
        <v>32036.813813324643</v>
      </c>
    </row>
    <row r="214" spans="1:5">
      <c r="A214" s="51">
        <v>2007.01</v>
      </c>
      <c r="B214" s="73">
        <v>3390</v>
      </c>
      <c r="C214" s="1365">
        <v>2951</v>
      </c>
      <c r="D214" s="2331">
        <v>439</v>
      </c>
      <c r="E214" s="93">
        <v>33739.175224543666</v>
      </c>
    </row>
    <row r="215" spans="1:5">
      <c r="A215" s="51">
        <v>2007.02</v>
      </c>
      <c r="B215" s="73">
        <v>3587</v>
      </c>
      <c r="C215" s="1365">
        <v>2791</v>
      </c>
      <c r="D215" s="2331">
        <v>797</v>
      </c>
      <c r="E215" s="93">
        <v>34935.504675910997</v>
      </c>
    </row>
    <row r="216" spans="1:5">
      <c r="A216" s="51">
        <v>2007.03</v>
      </c>
      <c r="B216" s="73">
        <v>4173</v>
      </c>
      <c r="C216" s="1365">
        <v>3422</v>
      </c>
      <c r="D216" s="2331">
        <v>750</v>
      </c>
      <c r="E216" s="93">
        <v>36849</v>
      </c>
    </row>
    <row r="217" spans="1:5">
      <c r="A217" s="51">
        <v>2007.04</v>
      </c>
      <c r="B217" s="73">
        <v>4299</v>
      </c>
      <c r="C217" s="1365">
        <v>3061</v>
      </c>
      <c r="D217" s="2331">
        <v>1238</v>
      </c>
      <c r="E217" s="93">
        <v>38606</v>
      </c>
    </row>
    <row r="218" spans="1:5">
      <c r="A218" s="51">
        <v>2007.05</v>
      </c>
      <c r="B218" s="73">
        <v>4856</v>
      </c>
      <c r="C218" s="1365">
        <v>3542</v>
      </c>
      <c r="D218" s="2331">
        <v>1314</v>
      </c>
      <c r="E218" s="93">
        <v>40581</v>
      </c>
    </row>
    <row r="219" spans="1:5">
      <c r="A219" s="51">
        <v>2007.06</v>
      </c>
      <c r="B219" s="73">
        <v>4521</v>
      </c>
      <c r="C219" s="1365">
        <v>3579</v>
      </c>
      <c r="D219" s="2331">
        <v>942</v>
      </c>
      <c r="E219" s="93">
        <v>43157</v>
      </c>
    </row>
    <row r="220" spans="1:5">
      <c r="A220" s="51">
        <v>2007.07</v>
      </c>
      <c r="B220" s="73">
        <v>4614</v>
      </c>
      <c r="C220" s="1365">
        <v>4126</v>
      </c>
      <c r="D220" s="2331">
        <v>488</v>
      </c>
      <c r="E220" s="93">
        <v>44202</v>
      </c>
    </row>
    <row r="221" spans="1:5">
      <c r="A221" s="51">
        <v>2007.08</v>
      </c>
      <c r="B221" s="73">
        <v>4922</v>
      </c>
      <c r="C221" s="1365">
        <v>4606</v>
      </c>
      <c r="D221" s="2331">
        <v>315</v>
      </c>
      <c r="E221" s="93">
        <v>43160</v>
      </c>
    </row>
    <row r="222" spans="1:5">
      <c r="A222" s="51">
        <v>2007.09</v>
      </c>
      <c r="B222" s="73">
        <v>4828</v>
      </c>
      <c r="C222" s="1365">
        <v>3963</v>
      </c>
      <c r="D222" s="2331">
        <v>865</v>
      </c>
      <c r="E222" s="93">
        <v>42891</v>
      </c>
    </row>
    <row r="223" spans="1:5">
      <c r="A223" s="51">
        <v>2007.1</v>
      </c>
      <c r="B223" s="73">
        <v>5581</v>
      </c>
      <c r="C223" s="1365">
        <v>4400</v>
      </c>
      <c r="D223" s="2331">
        <v>1180</v>
      </c>
      <c r="E223" s="93">
        <v>43000</v>
      </c>
    </row>
    <row r="224" spans="1:5">
      <c r="A224" s="51">
        <v>2007.11</v>
      </c>
      <c r="B224" s="73">
        <v>5424</v>
      </c>
      <c r="C224" s="1365">
        <v>4384</v>
      </c>
      <c r="D224" s="2331">
        <v>1040</v>
      </c>
      <c r="E224" s="93">
        <v>44860</v>
      </c>
    </row>
    <row r="225" spans="1:5">
      <c r="A225" s="51">
        <v>2007.12</v>
      </c>
      <c r="B225" s="73">
        <v>5787</v>
      </c>
      <c r="C225" s="1365">
        <v>3881</v>
      </c>
      <c r="D225" s="2331">
        <v>1905</v>
      </c>
      <c r="E225" s="93">
        <v>46176</v>
      </c>
    </row>
    <row r="226" spans="1:5">
      <c r="A226" s="51">
        <v>2008.01</v>
      </c>
      <c r="B226" s="73">
        <v>5818</v>
      </c>
      <c r="C226" s="1365">
        <v>4479</v>
      </c>
      <c r="D226" s="2331">
        <v>1340</v>
      </c>
      <c r="E226" s="93">
        <v>47660</v>
      </c>
    </row>
    <row r="227" spans="1:5">
      <c r="A227" s="51">
        <v>2008.02</v>
      </c>
      <c r="B227" s="73">
        <v>5226</v>
      </c>
      <c r="C227" s="1365">
        <v>4210</v>
      </c>
      <c r="D227" s="2331">
        <v>1016</v>
      </c>
      <c r="E227" s="93">
        <v>49261</v>
      </c>
    </row>
    <row r="228" spans="1:5">
      <c r="A228" s="51">
        <v>2008.03</v>
      </c>
      <c r="B228" s="73">
        <v>4991</v>
      </c>
      <c r="C228" s="1365">
        <v>4163</v>
      </c>
      <c r="D228" s="2331">
        <v>827</v>
      </c>
      <c r="E228" s="93">
        <v>50464</v>
      </c>
    </row>
    <row r="229" spans="1:5">
      <c r="A229" s="51">
        <v>2008.04</v>
      </c>
      <c r="B229" s="73">
        <v>5846</v>
      </c>
      <c r="C229" s="1365">
        <v>4930</v>
      </c>
      <c r="D229" s="2331">
        <v>916</v>
      </c>
      <c r="E229" s="93">
        <v>50247</v>
      </c>
    </row>
    <row r="230" spans="1:5">
      <c r="A230" s="51">
        <v>2008.05</v>
      </c>
      <c r="B230" s="73">
        <v>6240</v>
      </c>
      <c r="C230" s="1365">
        <v>5200</v>
      </c>
      <c r="D230" s="2331">
        <v>1040</v>
      </c>
      <c r="E230" s="93">
        <v>48588</v>
      </c>
    </row>
    <row r="231" spans="1:5">
      <c r="A231" s="51">
        <v>2008.06</v>
      </c>
      <c r="B231" s="73">
        <v>5407</v>
      </c>
      <c r="C231" s="1365">
        <v>5196</v>
      </c>
      <c r="D231" s="2331">
        <v>211</v>
      </c>
      <c r="E231" s="93">
        <v>47516</v>
      </c>
    </row>
    <row r="232" spans="1:5">
      <c r="A232" s="51">
        <v>2008.07</v>
      </c>
      <c r="B232" s="73">
        <v>7011</v>
      </c>
      <c r="C232" s="1365">
        <v>6047</v>
      </c>
      <c r="D232" s="2331">
        <v>964</v>
      </c>
      <c r="E232" s="93">
        <v>47545</v>
      </c>
    </row>
    <row r="233" spans="1:5">
      <c r="A233" s="51">
        <v>2008.08</v>
      </c>
      <c r="B233" s="73">
        <v>7367</v>
      </c>
      <c r="C233" s="1365">
        <v>5159</v>
      </c>
      <c r="D233" s="2331">
        <v>2208</v>
      </c>
      <c r="E233" s="93">
        <v>47090</v>
      </c>
    </row>
    <row r="234" spans="1:5">
      <c r="A234" s="51">
        <v>2008.09</v>
      </c>
      <c r="B234" s="73">
        <v>6919</v>
      </c>
      <c r="C234" s="1365">
        <v>5311</v>
      </c>
      <c r="D234" s="2331">
        <v>1608</v>
      </c>
      <c r="E234" s="93">
        <v>47121</v>
      </c>
    </row>
    <row r="235" spans="1:5">
      <c r="A235" s="51">
        <v>2008.1</v>
      </c>
      <c r="B235" s="73">
        <v>6061</v>
      </c>
      <c r="C235" s="1365">
        <v>5129</v>
      </c>
      <c r="D235" s="2331">
        <v>932</v>
      </c>
      <c r="E235" s="93">
        <v>44941</v>
      </c>
    </row>
    <row r="236" spans="1:5">
      <c r="A236" s="51">
        <v>2008.11</v>
      </c>
      <c r="B236" s="73">
        <v>4903</v>
      </c>
      <c r="C236" s="1365">
        <v>4182</v>
      </c>
      <c r="D236" s="2331">
        <v>721</v>
      </c>
      <c r="E236" s="93">
        <v>46072</v>
      </c>
    </row>
    <row r="237" spans="1:5">
      <c r="A237" s="51">
        <v>2008.12</v>
      </c>
      <c r="B237" s="73">
        <v>4231</v>
      </c>
      <c r="C237" s="1365">
        <v>3457</v>
      </c>
      <c r="D237" s="2331">
        <v>774</v>
      </c>
      <c r="E237" s="93">
        <v>46386</v>
      </c>
    </row>
    <row r="238" spans="1:5">
      <c r="A238" s="51">
        <v>2009.01</v>
      </c>
      <c r="B238" s="73">
        <v>3715</v>
      </c>
      <c r="C238" s="1365">
        <v>2760</v>
      </c>
      <c r="D238" s="2331">
        <v>955</v>
      </c>
      <c r="E238" s="93">
        <v>47009</v>
      </c>
    </row>
    <row r="239" spans="1:5">
      <c r="A239" s="51">
        <v>2009.02</v>
      </c>
      <c r="B239" s="73">
        <v>3945</v>
      </c>
      <c r="C239" s="1365">
        <v>2663</v>
      </c>
      <c r="D239" s="2331">
        <v>1281</v>
      </c>
      <c r="E239" s="93">
        <v>47025</v>
      </c>
    </row>
    <row r="240" spans="1:5">
      <c r="A240" s="51">
        <v>2009.03</v>
      </c>
      <c r="B240" s="73">
        <v>4264</v>
      </c>
      <c r="C240" s="1365">
        <v>2888</v>
      </c>
      <c r="D240" s="2331">
        <v>1375</v>
      </c>
      <c r="E240" s="93">
        <v>46509</v>
      </c>
    </row>
    <row r="241" spans="1:8">
      <c r="A241" s="51">
        <v>2009.04</v>
      </c>
      <c r="B241" s="73">
        <v>5052</v>
      </c>
      <c r="C241" s="1365">
        <v>2777</v>
      </c>
      <c r="D241" s="2331">
        <v>2276</v>
      </c>
      <c r="E241" s="93">
        <v>46368</v>
      </c>
    </row>
    <row r="242" spans="1:8">
      <c r="A242" s="51">
        <v>2009.05</v>
      </c>
      <c r="B242" s="73">
        <v>5203</v>
      </c>
      <c r="C242" s="1365">
        <v>2660</v>
      </c>
      <c r="D242" s="2331">
        <v>2543</v>
      </c>
      <c r="E242" s="93">
        <v>46545</v>
      </c>
    </row>
    <row r="243" spans="1:8">
      <c r="A243" s="51">
        <v>2009.06</v>
      </c>
      <c r="B243" s="73">
        <v>5211</v>
      </c>
      <c r="C243" s="1365">
        <v>3619</v>
      </c>
      <c r="D243" s="2331">
        <v>1592</v>
      </c>
      <c r="E243" s="93">
        <v>46026</v>
      </c>
    </row>
    <row r="244" spans="1:8">
      <c r="A244" s="51">
        <v>2009.07</v>
      </c>
      <c r="B244" s="73">
        <v>4925</v>
      </c>
      <c r="C244" s="1365">
        <v>3589</v>
      </c>
      <c r="D244" s="2331">
        <v>1336</v>
      </c>
      <c r="E244" s="93">
        <v>46047</v>
      </c>
    </row>
    <row r="245" spans="1:8">
      <c r="A245" s="51">
        <v>2009.08</v>
      </c>
      <c r="B245" s="73">
        <v>4352</v>
      </c>
      <c r="C245" s="1365">
        <v>3255</v>
      </c>
      <c r="D245" s="2331">
        <v>1097</v>
      </c>
      <c r="E245" s="93">
        <v>45021.214602034677</v>
      </c>
    </row>
    <row r="246" spans="1:8">
      <c r="A246" s="51">
        <v>2009.09</v>
      </c>
      <c r="B246" s="73">
        <v>4531</v>
      </c>
      <c r="C246" s="1365">
        <v>3666</v>
      </c>
      <c r="D246" s="2331">
        <v>865</v>
      </c>
      <c r="E246" s="93">
        <v>45348</v>
      </c>
    </row>
    <row r="247" spans="1:8">
      <c r="A247" s="51">
        <v>2009.1</v>
      </c>
      <c r="B247" s="73">
        <v>4808</v>
      </c>
      <c r="C247" s="1365">
        <v>3656</v>
      </c>
      <c r="D247" s="2331">
        <v>1151</v>
      </c>
      <c r="E247" s="93">
        <v>46277</v>
      </c>
    </row>
    <row r="248" spans="1:8">
      <c r="A248" s="51">
        <v>2009.11</v>
      </c>
      <c r="B248" s="73">
        <v>4872</v>
      </c>
      <c r="C248" s="1365">
        <v>3651</v>
      </c>
      <c r="D248" s="2331">
        <v>1221</v>
      </c>
      <c r="E248" s="93">
        <v>47072</v>
      </c>
    </row>
    <row r="249" spans="1:8">
      <c r="A249" s="51">
        <v>2009.12</v>
      </c>
      <c r="B249" s="73">
        <v>4794</v>
      </c>
      <c r="C249" s="1365">
        <v>3602</v>
      </c>
      <c r="D249" s="2331">
        <v>1193</v>
      </c>
      <c r="E249" s="93">
        <v>47967</v>
      </c>
    </row>
    <row r="250" spans="1:8">
      <c r="A250" s="51">
        <v>2010.01</v>
      </c>
      <c r="B250" s="73">
        <v>4408</v>
      </c>
      <c r="C250" s="1365">
        <v>3209</v>
      </c>
      <c r="D250" s="2331">
        <v>1199</v>
      </c>
      <c r="E250" s="93">
        <v>48129</v>
      </c>
    </row>
    <row r="251" spans="1:8">
      <c r="A251" s="51">
        <v>2010.02</v>
      </c>
      <c r="B251" s="73">
        <v>3959</v>
      </c>
      <c r="C251" s="1365">
        <v>3455</v>
      </c>
      <c r="D251" s="2331">
        <v>504</v>
      </c>
      <c r="E251" s="93">
        <v>47758</v>
      </c>
    </row>
    <row r="252" spans="1:8">
      <c r="A252" s="51">
        <v>2010.03</v>
      </c>
      <c r="B252" s="73">
        <v>4687</v>
      </c>
      <c r="C252" s="1365">
        <v>4403</v>
      </c>
      <c r="D252" s="2331">
        <v>285</v>
      </c>
      <c r="E252" s="93">
        <v>47460</v>
      </c>
    </row>
    <row r="253" spans="1:8">
      <c r="A253" s="51">
        <v>2010.04</v>
      </c>
      <c r="B253" s="73">
        <v>6208</v>
      </c>
      <c r="C253" s="1365">
        <v>4101</v>
      </c>
      <c r="D253" s="2331">
        <v>2107</v>
      </c>
      <c r="E253" s="93">
        <v>48067</v>
      </c>
    </row>
    <row r="254" spans="1:8">
      <c r="A254" s="51">
        <v>2010.05</v>
      </c>
      <c r="B254" s="73">
        <v>6503</v>
      </c>
      <c r="C254" s="1365">
        <v>4575</v>
      </c>
      <c r="D254" s="2331">
        <v>1927</v>
      </c>
      <c r="E254" s="93">
        <v>49000</v>
      </c>
    </row>
    <row r="255" spans="1:8">
      <c r="A255" s="51">
        <v>2010.06</v>
      </c>
      <c r="B255" s="73">
        <v>6369</v>
      </c>
      <c r="C255" s="1365">
        <v>5151</v>
      </c>
      <c r="D255" s="2331">
        <v>1218</v>
      </c>
      <c r="E255" s="93">
        <v>49240</v>
      </c>
      <c r="G255" s="414"/>
      <c r="H255" s="414"/>
    </row>
    <row r="256" spans="1:8">
      <c r="A256" s="51">
        <v>2010.07</v>
      </c>
      <c r="B256" s="73">
        <v>5984</v>
      </c>
      <c r="C256" s="1365">
        <v>5291</v>
      </c>
      <c r="D256" s="2331">
        <v>693</v>
      </c>
      <c r="E256" s="93">
        <v>51073</v>
      </c>
    </row>
    <row r="257" spans="1:8">
      <c r="A257" s="51">
        <v>2010.08</v>
      </c>
      <c r="B257" s="73">
        <v>6383</v>
      </c>
      <c r="C257" s="1365">
        <v>5355</v>
      </c>
      <c r="D257" s="2331">
        <v>1028</v>
      </c>
      <c r="E257" s="93">
        <v>50348</v>
      </c>
    </row>
    <row r="258" spans="1:8">
      <c r="A258" s="51">
        <v>2010.09</v>
      </c>
      <c r="B258" s="73">
        <v>6375</v>
      </c>
      <c r="C258" s="1365">
        <v>5337</v>
      </c>
      <c r="D258" s="2331">
        <v>1038</v>
      </c>
      <c r="E258" s="93">
        <v>51125</v>
      </c>
    </row>
    <row r="259" spans="1:8">
      <c r="A259" s="51">
        <v>2010.1</v>
      </c>
      <c r="B259" s="73">
        <v>5899</v>
      </c>
      <c r="C259" s="1365">
        <v>4951</v>
      </c>
      <c r="D259" s="2331">
        <v>948</v>
      </c>
      <c r="E259" s="93">
        <v>51918</v>
      </c>
    </row>
    <row r="260" spans="1:8">
      <c r="A260" s="51">
        <v>2010.11</v>
      </c>
      <c r="B260" s="73">
        <v>5915</v>
      </c>
      <c r="C260" s="1365">
        <v>5576</v>
      </c>
      <c r="D260" s="2331">
        <v>340</v>
      </c>
      <c r="E260" s="93">
        <v>51896</v>
      </c>
    </row>
    <row r="261" spans="1:8">
      <c r="A261" s="51">
        <v>2010.12</v>
      </c>
      <c r="B261" s="73">
        <v>5484</v>
      </c>
      <c r="C261" s="1365">
        <v>5389</v>
      </c>
      <c r="D261" s="2331">
        <v>95</v>
      </c>
      <c r="E261" s="93">
        <v>52145</v>
      </c>
      <c r="G261" s="414"/>
      <c r="H261" s="414"/>
    </row>
    <row r="262" spans="1:8">
      <c r="A262" s="51">
        <v>2011.01</v>
      </c>
      <c r="B262" s="73">
        <v>5185</v>
      </c>
      <c r="C262" s="1365">
        <v>4889</v>
      </c>
      <c r="D262" s="2331">
        <v>296</v>
      </c>
      <c r="E262" s="93">
        <v>52618</v>
      </c>
    </row>
    <row r="263" spans="1:8">
      <c r="A263" s="51">
        <v>2011.02</v>
      </c>
      <c r="B263" s="73">
        <v>5398</v>
      </c>
      <c r="C263" s="1365">
        <v>4764</v>
      </c>
      <c r="D263" s="2331">
        <v>634</v>
      </c>
      <c r="E263" s="93">
        <v>52318</v>
      </c>
    </row>
    <row r="264" spans="1:8">
      <c r="A264" s="51">
        <v>2011.03</v>
      </c>
      <c r="B264" s="73">
        <v>6098</v>
      </c>
      <c r="C264" s="1365">
        <v>5642</v>
      </c>
      <c r="D264" s="2331">
        <v>457</v>
      </c>
      <c r="E264" s="93">
        <v>51298</v>
      </c>
    </row>
    <row r="265" spans="1:8">
      <c r="A265" s="51">
        <v>2011.04</v>
      </c>
      <c r="B265" s="73">
        <v>7043</v>
      </c>
      <c r="C265" s="1365">
        <v>5533</v>
      </c>
      <c r="D265" s="2331">
        <v>1510</v>
      </c>
      <c r="E265" s="93">
        <v>52011</v>
      </c>
    </row>
    <row r="266" spans="1:8">
      <c r="A266" s="51">
        <v>2011.05</v>
      </c>
      <c r="B266" s="73">
        <v>7933</v>
      </c>
      <c r="C266" s="1365">
        <v>6490</v>
      </c>
      <c r="D266" s="2331">
        <v>1443</v>
      </c>
      <c r="E266" s="93">
        <v>52060</v>
      </c>
    </row>
    <row r="267" spans="1:8">
      <c r="A267" s="51">
        <v>2011.06</v>
      </c>
      <c r="B267" s="73">
        <v>7817</v>
      </c>
      <c r="C267" s="1365">
        <v>6705</v>
      </c>
      <c r="D267" s="2331">
        <v>1112</v>
      </c>
      <c r="E267" s="93">
        <v>51695</v>
      </c>
      <c r="G267" s="414"/>
      <c r="H267" s="414"/>
    </row>
    <row r="268" spans="1:8">
      <c r="A268" s="51">
        <v>2011.07</v>
      </c>
      <c r="B268" s="73">
        <v>7226</v>
      </c>
      <c r="C268" s="1365">
        <v>6859</v>
      </c>
      <c r="D268" s="2331">
        <v>367</v>
      </c>
      <c r="E268" s="93">
        <v>51923</v>
      </c>
      <c r="G268" s="414"/>
      <c r="H268" s="414"/>
    </row>
    <row r="269" spans="1:8">
      <c r="A269" s="51">
        <v>2011.08</v>
      </c>
      <c r="B269" s="73">
        <v>8328</v>
      </c>
      <c r="C269" s="1365">
        <v>7671</v>
      </c>
      <c r="D269" s="2331">
        <v>657</v>
      </c>
      <c r="E269" s="93">
        <v>49990</v>
      </c>
    </row>
    <row r="270" spans="1:8">
      <c r="A270" s="51">
        <v>2011.09</v>
      </c>
      <c r="B270" s="73">
        <v>7718</v>
      </c>
      <c r="C270" s="1365">
        <v>6889</v>
      </c>
      <c r="D270" s="2331">
        <v>830</v>
      </c>
      <c r="E270" s="93">
        <v>48590</v>
      </c>
    </row>
    <row r="271" spans="1:8">
      <c r="A271" s="51">
        <v>2011.1</v>
      </c>
      <c r="B271" s="73">
        <v>7435</v>
      </c>
      <c r="C271" s="1365">
        <v>6303</v>
      </c>
      <c r="D271" s="2331">
        <v>1132</v>
      </c>
      <c r="E271" s="93">
        <v>47523</v>
      </c>
    </row>
    <row r="272" spans="1:8">
      <c r="A272" s="51">
        <v>2011.11</v>
      </c>
      <c r="B272" s="73">
        <v>6493</v>
      </c>
      <c r="C272" s="1365">
        <v>6230</v>
      </c>
      <c r="D272" s="2331">
        <v>263</v>
      </c>
      <c r="E272" s="93">
        <v>46062</v>
      </c>
    </row>
    <row r="273" spans="1:8">
      <c r="A273" s="51">
        <v>2011.12</v>
      </c>
      <c r="B273" s="73">
        <v>6306</v>
      </c>
      <c r="C273" s="1365">
        <v>5987</v>
      </c>
      <c r="D273" s="2331">
        <v>319</v>
      </c>
      <c r="E273" s="93">
        <v>46376</v>
      </c>
      <c r="G273" s="414"/>
      <c r="H273" s="414"/>
    </row>
    <row r="274" spans="1:8">
      <c r="A274" s="51">
        <v>2012.01</v>
      </c>
      <c r="B274" s="73">
        <v>5399</v>
      </c>
      <c r="C274" s="1365">
        <v>5364</v>
      </c>
      <c r="D274" s="2331">
        <v>36</v>
      </c>
      <c r="E274" s="93">
        <v>46594</v>
      </c>
    </row>
    <row r="275" spans="1:8">
      <c r="A275" s="51">
        <v>2012.02</v>
      </c>
      <c r="B275" s="73">
        <v>6005</v>
      </c>
      <c r="C275" s="1365">
        <v>4725</v>
      </c>
      <c r="D275" s="2331">
        <v>1280</v>
      </c>
      <c r="E275" s="93">
        <v>46668</v>
      </c>
    </row>
    <row r="276" spans="1:8">
      <c r="A276" s="51">
        <v>2012.03</v>
      </c>
      <c r="B276" s="73">
        <v>6200</v>
      </c>
      <c r="C276" s="1365">
        <v>5147</v>
      </c>
      <c r="D276" s="2331">
        <v>1053</v>
      </c>
      <c r="E276" s="93">
        <v>47291</v>
      </c>
    </row>
    <row r="277" spans="1:8">
      <c r="A277" s="51">
        <v>2012.04</v>
      </c>
      <c r="B277" s="73">
        <v>6715</v>
      </c>
      <c r="C277" s="1365">
        <v>4770</v>
      </c>
      <c r="D277" s="2331">
        <v>1945</v>
      </c>
      <c r="E277" s="93">
        <v>47844</v>
      </c>
    </row>
    <row r="278" spans="1:8">
      <c r="A278" s="51">
        <v>2012.05</v>
      </c>
      <c r="B278" s="73">
        <v>7081</v>
      </c>
      <c r="C278" s="1365">
        <v>5987</v>
      </c>
      <c r="D278" s="2331">
        <v>1094</v>
      </c>
      <c r="E278" s="93">
        <v>46978</v>
      </c>
    </row>
    <row r="279" spans="1:8">
      <c r="A279" s="51">
        <v>2012.06</v>
      </c>
      <c r="B279" s="73">
        <v>6822</v>
      </c>
      <c r="C279" s="1365">
        <v>6034</v>
      </c>
      <c r="D279" s="2331">
        <v>789</v>
      </c>
      <c r="E279" s="93">
        <v>46348</v>
      </c>
      <c r="G279" s="414"/>
      <c r="H279" s="414"/>
    </row>
    <row r="280" spans="1:8">
      <c r="A280" s="51">
        <v>2012.07</v>
      </c>
      <c r="B280" s="73">
        <v>7655</v>
      </c>
      <c r="C280" s="1365">
        <v>6345</v>
      </c>
      <c r="D280" s="2331">
        <v>1310</v>
      </c>
      <c r="E280" s="93">
        <v>46818</v>
      </c>
    </row>
    <row r="281" spans="1:8">
      <c r="A281" s="51">
        <v>2012.08</v>
      </c>
      <c r="B281" s="73">
        <v>7451</v>
      </c>
      <c r="C281" s="1365">
        <v>6276</v>
      </c>
      <c r="D281" s="2331">
        <v>1175</v>
      </c>
      <c r="E281" s="93">
        <v>45152</v>
      </c>
    </row>
    <row r="282" spans="1:8">
      <c r="A282" s="51">
        <v>2012.09</v>
      </c>
      <c r="B282" s="73">
        <v>6803</v>
      </c>
      <c r="C282" s="1365">
        <v>5855</v>
      </c>
      <c r="D282" s="2331">
        <v>949</v>
      </c>
      <c r="E282" s="93">
        <v>45010</v>
      </c>
    </row>
    <row r="283" spans="1:8">
      <c r="A283" s="51">
        <v>2012.1</v>
      </c>
      <c r="B283" s="73">
        <v>6889</v>
      </c>
      <c r="C283" s="1365">
        <v>6257</v>
      </c>
      <c r="D283" s="2331">
        <v>633</v>
      </c>
      <c r="E283" s="93">
        <v>45274</v>
      </c>
    </row>
    <row r="284" spans="1:8">
      <c r="A284" s="51">
        <v>2012.11</v>
      </c>
      <c r="B284" s="73">
        <v>6649</v>
      </c>
      <c r="C284" s="1365">
        <v>5779</v>
      </c>
      <c r="D284" s="2331">
        <v>870</v>
      </c>
      <c r="E284" s="93">
        <v>45238</v>
      </c>
    </row>
    <row r="285" spans="1:8">
      <c r="A285" s="51">
        <v>2012.12</v>
      </c>
      <c r="B285" s="73">
        <v>6313</v>
      </c>
      <c r="C285" s="1365">
        <v>5437</v>
      </c>
      <c r="D285" s="2331">
        <v>876</v>
      </c>
      <c r="E285" s="93">
        <v>43290</v>
      </c>
      <c r="G285" s="414"/>
      <c r="H285" s="414"/>
    </row>
    <row r="286" spans="1:8">
      <c r="A286" s="51">
        <v>2013.01</v>
      </c>
      <c r="B286" s="73">
        <v>5383</v>
      </c>
      <c r="C286" s="1365">
        <v>5358</v>
      </c>
      <c r="D286" s="2331">
        <v>25</v>
      </c>
      <c r="E286" s="93">
        <v>42531</v>
      </c>
    </row>
    <row r="287" spans="1:8">
      <c r="A287" s="51">
        <v>2013.02</v>
      </c>
      <c r="B287" s="73">
        <v>4906</v>
      </c>
      <c r="C287" s="1365">
        <v>5175</v>
      </c>
      <c r="D287" s="2331">
        <v>-269</v>
      </c>
      <c r="E287" s="93">
        <v>41609</v>
      </c>
    </row>
    <row r="288" spans="1:8">
      <c r="A288" s="51">
        <v>2013.03</v>
      </c>
      <c r="B288" s="73">
        <v>6160</v>
      </c>
      <c r="C288" s="1365">
        <v>5619</v>
      </c>
      <c r="D288" s="2331">
        <v>541</v>
      </c>
      <c r="E288" s="93">
        <v>40446</v>
      </c>
    </row>
    <row r="289" spans="1:8">
      <c r="A289" s="51">
        <v>2013.04</v>
      </c>
      <c r="B289" s="73">
        <v>6895</v>
      </c>
      <c r="C289" s="1365">
        <v>6193</v>
      </c>
      <c r="D289" s="2331">
        <v>702</v>
      </c>
      <c r="E289" s="93">
        <v>39532</v>
      </c>
    </row>
    <row r="290" spans="1:8">
      <c r="A290" s="51">
        <v>2013.05</v>
      </c>
      <c r="B290" s="73">
        <v>8393</v>
      </c>
      <c r="C290" s="1365">
        <v>7028</v>
      </c>
      <c r="D290" s="2331">
        <v>1365</v>
      </c>
      <c r="E290" s="93">
        <v>38551</v>
      </c>
    </row>
    <row r="291" spans="1:8">
      <c r="A291" s="51">
        <v>2013.06</v>
      </c>
      <c r="B291" s="73">
        <v>7483</v>
      </c>
      <c r="C291" s="1365">
        <v>6643</v>
      </c>
      <c r="D291" s="2331">
        <v>841</v>
      </c>
      <c r="E291" s="93">
        <v>37005</v>
      </c>
      <c r="G291" s="414"/>
      <c r="H291" s="414"/>
    </row>
    <row r="292" spans="1:8">
      <c r="A292" s="51">
        <v>2013.07</v>
      </c>
      <c r="B292" s="73">
        <v>6931</v>
      </c>
      <c r="C292" s="1365">
        <v>6988</v>
      </c>
      <c r="D292" s="2331">
        <v>-57</v>
      </c>
      <c r="E292" s="93">
        <v>37049</v>
      </c>
    </row>
    <row r="293" spans="1:8">
      <c r="A293" s="51">
        <v>2013.08</v>
      </c>
      <c r="B293" s="73">
        <v>7200</v>
      </c>
      <c r="C293" s="1365">
        <v>7074</v>
      </c>
      <c r="D293" s="2331">
        <v>126</v>
      </c>
      <c r="E293" s="93">
        <v>36678</v>
      </c>
    </row>
    <row r="294" spans="1:8">
      <c r="A294" s="51">
        <v>2013.09</v>
      </c>
      <c r="B294" s="73">
        <v>6545</v>
      </c>
      <c r="C294" s="1365">
        <v>6029</v>
      </c>
      <c r="D294" s="2331">
        <v>516</v>
      </c>
      <c r="E294" s="93">
        <v>34741</v>
      </c>
    </row>
    <row r="295" spans="1:8">
      <c r="A295" s="51">
        <v>2013.1</v>
      </c>
      <c r="B295" s="73">
        <v>6027</v>
      </c>
      <c r="C295" s="1365">
        <v>6831</v>
      </c>
      <c r="D295" s="2331">
        <v>-804</v>
      </c>
      <c r="E295" s="93">
        <v>33232</v>
      </c>
    </row>
    <row r="296" spans="1:8">
      <c r="A296" s="51">
        <v>2013.11</v>
      </c>
      <c r="B296" s="73">
        <v>5090</v>
      </c>
      <c r="C296" s="1365">
        <v>6092</v>
      </c>
      <c r="D296" s="2331">
        <v>-1002</v>
      </c>
      <c r="E296" s="93">
        <v>30799</v>
      </c>
    </row>
    <row r="297" spans="1:8">
      <c r="A297" s="51">
        <v>2013.12</v>
      </c>
      <c r="B297" s="73">
        <v>4951</v>
      </c>
      <c r="C297" s="1365">
        <v>5412</v>
      </c>
      <c r="D297" s="2331">
        <v>-461</v>
      </c>
      <c r="E297" s="93">
        <v>30599</v>
      </c>
    </row>
    <row r="298" spans="1:8">
      <c r="A298" s="51">
        <v>2014.01</v>
      </c>
      <c r="B298" s="73">
        <v>4275</v>
      </c>
      <c r="C298" s="1365">
        <v>5649</v>
      </c>
      <c r="D298" s="2331">
        <v>-1373</v>
      </c>
      <c r="E298" s="93">
        <v>27748</v>
      </c>
    </row>
    <row r="299" spans="1:8">
      <c r="A299" s="51">
        <v>2014.02</v>
      </c>
      <c r="B299" s="73">
        <v>4648</v>
      </c>
      <c r="C299" s="1365">
        <v>5537</v>
      </c>
      <c r="D299" s="2331">
        <v>-890</v>
      </c>
      <c r="E299" s="93">
        <v>27546</v>
      </c>
    </row>
    <row r="300" spans="1:8">
      <c r="A300" s="51">
        <v>2014.03</v>
      </c>
      <c r="B300" s="73">
        <v>4913</v>
      </c>
      <c r="C300" s="1365">
        <v>5390</v>
      </c>
      <c r="D300" s="2331">
        <v>-477</v>
      </c>
      <c r="E300" s="93">
        <v>27007</v>
      </c>
    </row>
    <row r="301" spans="1:8">
      <c r="A301" s="51">
        <v>2014.04</v>
      </c>
      <c r="B301" s="73">
        <v>6479</v>
      </c>
      <c r="C301" s="1365">
        <v>5656</v>
      </c>
      <c r="D301" s="2331">
        <v>822</v>
      </c>
      <c r="E301" s="93">
        <v>28220</v>
      </c>
    </row>
    <row r="302" spans="1:8">
      <c r="A302" s="51">
        <v>2014.05</v>
      </c>
      <c r="B302" s="73">
        <v>7179</v>
      </c>
      <c r="C302" s="1365">
        <v>5777</v>
      </c>
      <c r="D302" s="2331">
        <v>1402</v>
      </c>
      <c r="E302" s="93">
        <v>28542</v>
      </c>
    </row>
    <row r="303" spans="1:8">
      <c r="A303" s="51">
        <v>2014.06</v>
      </c>
      <c r="B303" s="73">
        <v>7204</v>
      </c>
      <c r="C303" s="1365">
        <v>5848</v>
      </c>
      <c r="D303" s="2331">
        <v>1356</v>
      </c>
      <c r="E303" s="93">
        <v>29278</v>
      </c>
    </row>
    <row r="304" spans="1:8">
      <c r="A304" s="51">
        <v>2014.07</v>
      </c>
      <c r="B304" s="73">
        <v>6417</v>
      </c>
      <c r="C304" s="1365">
        <v>6145</v>
      </c>
      <c r="D304" s="2331">
        <v>272</v>
      </c>
      <c r="E304" s="93">
        <v>29003</v>
      </c>
    </row>
    <row r="305" spans="1:5">
      <c r="A305" s="51">
        <v>2014.08</v>
      </c>
      <c r="B305" s="73">
        <v>6420</v>
      </c>
      <c r="C305" s="1365">
        <v>5644</v>
      </c>
      <c r="D305" s="2331">
        <v>776</v>
      </c>
      <c r="E305" s="93">
        <v>28620</v>
      </c>
    </row>
    <row r="306" spans="1:5">
      <c r="A306" s="51">
        <v>2014.09</v>
      </c>
      <c r="B306" s="73">
        <v>5685</v>
      </c>
      <c r="C306" s="1365">
        <v>5644</v>
      </c>
      <c r="D306" s="2331">
        <v>41</v>
      </c>
      <c r="E306" s="93">
        <v>27866</v>
      </c>
    </row>
    <row r="307" spans="1:5">
      <c r="A307" s="51">
        <v>2014.1</v>
      </c>
      <c r="B307" s="73">
        <v>5794</v>
      </c>
      <c r="C307" s="1365">
        <v>5494</v>
      </c>
      <c r="D307" s="2331">
        <v>300</v>
      </c>
      <c r="E307" s="93">
        <v>28111</v>
      </c>
    </row>
    <row r="308" spans="1:5">
      <c r="A308" s="51">
        <v>2014.11</v>
      </c>
      <c r="B308" s="73">
        <v>4889</v>
      </c>
      <c r="C308" s="1365">
        <v>4651</v>
      </c>
      <c r="D308" s="2331">
        <v>238</v>
      </c>
      <c r="E308" s="93">
        <v>28911</v>
      </c>
    </row>
    <row r="309" spans="1:5">
      <c r="A309" s="51">
        <v>2014.12</v>
      </c>
      <c r="B309" s="73">
        <v>4502</v>
      </c>
      <c r="C309" s="1365">
        <v>4300</v>
      </c>
      <c r="D309" s="2331">
        <v>202</v>
      </c>
      <c r="E309" s="93">
        <v>31443</v>
      </c>
    </row>
    <row r="310" spans="1:5">
      <c r="A310" s="51">
        <v>2015.01</v>
      </c>
      <c r="B310" s="73">
        <v>3796</v>
      </c>
      <c r="C310" s="1365">
        <v>4363</v>
      </c>
      <c r="D310" s="2331">
        <v>-567</v>
      </c>
      <c r="E310" s="93">
        <v>31452</v>
      </c>
    </row>
    <row r="311" spans="1:5">
      <c r="A311" s="51">
        <v>2015.02</v>
      </c>
      <c r="B311" s="73">
        <v>3872</v>
      </c>
      <c r="C311" s="1365">
        <v>4085</v>
      </c>
      <c r="D311" s="2331">
        <v>-213</v>
      </c>
      <c r="E311" s="93">
        <v>31470</v>
      </c>
    </row>
    <row r="312" spans="1:5">
      <c r="A312" s="51">
        <v>2015.03</v>
      </c>
      <c r="B312" s="73">
        <v>4381</v>
      </c>
      <c r="C312" s="1365">
        <v>5059</v>
      </c>
      <c r="D312" s="2331">
        <v>-677</v>
      </c>
      <c r="E312" s="93">
        <v>31490</v>
      </c>
    </row>
    <row r="313" spans="1:5">
      <c r="A313" s="51">
        <v>2015.04</v>
      </c>
      <c r="B313" s="73">
        <v>5155</v>
      </c>
      <c r="C313" s="1365">
        <v>4933</v>
      </c>
      <c r="D313" s="2331">
        <v>222</v>
      </c>
      <c r="E313" s="93">
        <v>33909</v>
      </c>
    </row>
    <row r="314" spans="1:5">
      <c r="A314" s="51">
        <v>2015.05</v>
      </c>
      <c r="B314" s="73">
        <v>5206</v>
      </c>
      <c r="C314" s="1365">
        <v>5003</v>
      </c>
      <c r="D314" s="2331">
        <v>203</v>
      </c>
      <c r="E314" s="93">
        <v>33283</v>
      </c>
    </row>
    <row r="315" spans="1:5">
      <c r="A315" s="51">
        <v>2015.06</v>
      </c>
      <c r="B315" s="73">
        <v>6046</v>
      </c>
      <c r="C315" s="1365">
        <v>5707</v>
      </c>
      <c r="D315" s="2331">
        <v>339</v>
      </c>
      <c r="E315" s="93">
        <v>33851</v>
      </c>
    </row>
    <row r="316" spans="1:5">
      <c r="A316" s="51">
        <v>2015.07</v>
      </c>
      <c r="B316" s="73">
        <v>5569</v>
      </c>
      <c r="C316" s="1365">
        <v>5801</v>
      </c>
      <c r="D316" s="2331">
        <v>-232</v>
      </c>
      <c r="E316" s="93">
        <v>33943</v>
      </c>
    </row>
    <row r="317" spans="1:5">
      <c r="A317" s="51">
        <v>2015.08</v>
      </c>
      <c r="B317" s="73">
        <v>5136</v>
      </c>
      <c r="C317" s="1365">
        <v>5605</v>
      </c>
      <c r="D317" s="2331">
        <v>-469</v>
      </c>
      <c r="E317" s="93">
        <v>33606</v>
      </c>
    </row>
    <row r="318" spans="1:5">
      <c r="A318" s="51">
        <v>2015.09</v>
      </c>
      <c r="B318" s="73">
        <v>5162</v>
      </c>
      <c r="C318" s="1365">
        <v>5487</v>
      </c>
      <c r="D318" s="2331">
        <v>-325</v>
      </c>
      <c r="E318" s="93">
        <v>33257</v>
      </c>
    </row>
    <row r="319" spans="1:5">
      <c r="A319" s="51">
        <v>2015.1</v>
      </c>
      <c r="B319" s="73">
        <v>5033</v>
      </c>
      <c r="C319" s="1365">
        <v>5058</v>
      </c>
      <c r="D319" s="2331">
        <v>-25</v>
      </c>
      <c r="E319" s="93">
        <v>26970</v>
      </c>
    </row>
    <row r="320" spans="1:5">
      <c r="A320" s="51">
        <v>2015.11</v>
      </c>
      <c r="B320" s="73">
        <v>3999</v>
      </c>
      <c r="C320" s="1365">
        <v>4700</v>
      </c>
      <c r="D320" s="2331">
        <v>-701</v>
      </c>
      <c r="E320" s="93">
        <v>25615</v>
      </c>
    </row>
    <row r="321" spans="1:7">
      <c r="A321" s="51">
        <v>2015.12</v>
      </c>
      <c r="B321" s="73">
        <v>3429</v>
      </c>
      <c r="C321" s="1365">
        <v>4404</v>
      </c>
      <c r="D321" s="2331">
        <v>-975</v>
      </c>
      <c r="E321" s="93">
        <v>25563</v>
      </c>
    </row>
    <row r="322" spans="1:7">
      <c r="A322" s="51">
        <f>A310+1</f>
        <v>2016.01</v>
      </c>
      <c r="B322" s="73">
        <v>3881</v>
      </c>
      <c r="C322" s="1365">
        <v>4123</v>
      </c>
      <c r="D322" s="2331">
        <v>-242</v>
      </c>
      <c r="E322" s="93">
        <v>30074</v>
      </c>
      <c r="F322" s="414"/>
      <c r="G322" s="414"/>
    </row>
    <row r="323" spans="1:7">
      <c r="A323" s="51">
        <f t="shared" ref="A323:A350" si="0">A311+1</f>
        <v>2016.02</v>
      </c>
      <c r="B323" s="73">
        <v>4141</v>
      </c>
      <c r="C323" s="1365">
        <v>4096</v>
      </c>
      <c r="D323" s="2331">
        <v>45</v>
      </c>
      <c r="E323" s="93">
        <v>28399</v>
      </c>
    </row>
    <row r="324" spans="1:7">
      <c r="A324" s="51">
        <f t="shared" si="0"/>
        <v>2016.03</v>
      </c>
      <c r="B324" s="73">
        <v>4421</v>
      </c>
      <c r="C324" s="1365">
        <v>4556</v>
      </c>
      <c r="D324" s="2331">
        <v>-135</v>
      </c>
      <c r="E324" s="93">
        <v>29572</v>
      </c>
    </row>
    <row r="325" spans="1:7">
      <c r="A325" s="51">
        <f t="shared" si="0"/>
        <v>2016.04</v>
      </c>
      <c r="B325" s="73">
        <v>4740</v>
      </c>
      <c r="C325" s="1365">
        <v>4423</v>
      </c>
      <c r="D325" s="2331">
        <v>317</v>
      </c>
      <c r="E325" s="93">
        <v>34380</v>
      </c>
    </row>
    <row r="326" spans="1:7">
      <c r="A326" s="51">
        <f t="shared" si="0"/>
        <v>2016.05</v>
      </c>
      <c r="B326" s="73">
        <v>5383</v>
      </c>
      <c r="C326" s="1365">
        <v>4874</v>
      </c>
      <c r="D326" s="2331">
        <v>510</v>
      </c>
      <c r="E326" s="93">
        <v>30171</v>
      </c>
    </row>
    <row r="327" spans="1:7">
      <c r="A327" s="51">
        <f t="shared" si="0"/>
        <v>2016.06</v>
      </c>
      <c r="B327" s="73">
        <v>5305</v>
      </c>
      <c r="C327" s="1365">
        <v>5046</v>
      </c>
      <c r="D327" s="2331">
        <v>259</v>
      </c>
      <c r="E327" s="93">
        <v>30507</v>
      </c>
    </row>
    <row r="328" spans="1:7">
      <c r="A328" s="51">
        <f t="shared" si="0"/>
        <v>2016.07</v>
      </c>
      <c r="B328" s="73">
        <v>5002</v>
      </c>
      <c r="C328" s="1365">
        <v>4718</v>
      </c>
      <c r="D328" s="2331">
        <v>284</v>
      </c>
      <c r="E328" s="93">
        <v>32511</v>
      </c>
    </row>
    <row r="329" spans="1:7">
      <c r="A329" s="51">
        <f t="shared" si="0"/>
        <v>2016.08</v>
      </c>
      <c r="B329" s="73">
        <v>5764</v>
      </c>
      <c r="C329" s="1365">
        <v>5174</v>
      </c>
      <c r="D329" s="2331">
        <v>590</v>
      </c>
      <c r="E329" s="93">
        <v>31150</v>
      </c>
    </row>
    <row r="330" spans="1:7">
      <c r="A330" s="51">
        <f t="shared" si="0"/>
        <v>2016.09</v>
      </c>
      <c r="B330" s="73">
        <v>5050</v>
      </c>
      <c r="C330" s="1365">
        <v>4741</v>
      </c>
      <c r="D330" s="2331">
        <v>308</v>
      </c>
      <c r="E330" s="93">
        <v>29902</v>
      </c>
    </row>
    <row r="331" spans="1:7">
      <c r="A331" s="51">
        <f t="shared" si="0"/>
        <v>2016.1</v>
      </c>
      <c r="B331" s="73">
        <v>4737</v>
      </c>
      <c r="C331" s="1365">
        <v>4783</v>
      </c>
      <c r="D331" s="2331">
        <v>-46</v>
      </c>
      <c r="E331" s="93">
        <v>37210</v>
      </c>
    </row>
    <row r="332" spans="1:7">
      <c r="A332" s="51">
        <f>A320+1</f>
        <v>2016.11</v>
      </c>
      <c r="B332" s="73">
        <v>4837</v>
      </c>
      <c r="C332" s="1365">
        <v>4723</v>
      </c>
      <c r="D332" s="2331">
        <v>114</v>
      </c>
      <c r="E332" s="93">
        <v>37378</v>
      </c>
    </row>
    <row r="333" spans="1:7">
      <c r="A333" s="51">
        <f t="shared" si="0"/>
        <v>2016.12</v>
      </c>
      <c r="B333" s="73">
        <v>4649</v>
      </c>
      <c r="C333" s="1365">
        <v>4595</v>
      </c>
      <c r="D333" s="2331">
        <v>55</v>
      </c>
      <c r="E333" s="93">
        <v>38772</v>
      </c>
    </row>
    <row r="334" spans="1:7">
      <c r="A334" s="51">
        <f t="shared" si="0"/>
        <v>2017.01</v>
      </c>
      <c r="B334" s="73">
        <v>4291</v>
      </c>
      <c r="C334" s="1365">
        <v>4344</v>
      </c>
      <c r="D334" s="2331">
        <v>-53</v>
      </c>
      <c r="E334" s="93">
        <v>46887</v>
      </c>
    </row>
    <row r="335" spans="1:7">
      <c r="A335" s="51">
        <f t="shared" si="0"/>
        <v>2017.02</v>
      </c>
      <c r="B335" s="73">
        <v>3899</v>
      </c>
      <c r="C335" s="1365">
        <v>4117</v>
      </c>
      <c r="D335" s="2331">
        <v>-218</v>
      </c>
      <c r="E335" s="93">
        <v>50608</v>
      </c>
    </row>
    <row r="336" spans="1:7">
      <c r="A336" s="51">
        <f t="shared" si="0"/>
        <v>2017.03</v>
      </c>
      <c r="B336" s="73">
        <v>4565</v>
      </c>
      <c r="C336" s="1365">
        <v>5475</v>
      </c>
      <c r="D336" s="2331">
        <v>-910</v>
      </c>
      <c r="E336" s="93">
        <v>50522</v>
      </c>
    </row>
    <row r="337" spans="1:5">
      <c r="A337" s="51">
        <f t="shared" si="0"/>
        <v>2017.04</v>
      </c>
      <c r="B337" s="73">
        <v>4867</v>
      </c>
      <c r="C337" s="1365">
        <v>4973</v>
      </c>
      <c r="D337" s="2331">
        <v>-106</v>
      </c>
      <c r="E337" s="93">
        <v>48217</v>
      </c>
    </row>
    <row r="338" spans="1:5">
      <c r="A338" s="51">
        <f t="shared" si="0"/>
        <v>2017.05</v>
      </c>
      <c r="B338" s="73">
        <v>5493</v>
      </c>
      <c r="C338" s="1365">
        <v>6064</v>
      </c>
      <c r="D338" s="2331">
        <v>-571</v>
      </c>
      <c r="E338" s="93">
        <v>46146</v>
      </c>
    </row>
    <row r="339" spans="1:5">
      <c r="A339" s="51">
        <f t="shared" si="0"/>
        <v>2017.06</v>
      </c>
      <c r="B339" s="73">
        <v>5158</v>
      </c>
      <c r="C339" s="1365">
        <v>5898</v>
      </c>
      <c r="D339" s="2331">
        <v>-740</v>
      </c>
      <c r="E339" s="93">
        <v>47995</v>
      </c>
    </row>
    <row r="340" spans="1:5">
      <c r="A340" s="51">
        <f t="shared" si="0"/>
        <v>2017.07</v>
      </c>
      <c r="B340" s="73">
        <v>5304</v>
      </c>
      <c r="C340" s="1365">
        <v>6043</v>
      </c>
      <c r="D340" s="2331">
        <v>-739</v>
      </c>
      <c r="E340" s="93">
        <v>47014</v>
      </c>
    </row>
    <row r="341" spans="1:5">
      <c r="A341" s="51">
        <f>A329+1</f>
        <v>2017.08</v>
      </c>
      <c r="B341" s="73">
        <v>5272</v>
      </c>
      <c r="C341" s="1365">
        <v>6317</v>
      </c>
      <c r="D341" s="2331">
        <v>-1044</v>
      </c>
      <c r="E341" s="93">
        <v>48877</v>
      </c>
    </row>
    <row r="342" spans="1:5">
      <c r="A342" s="51">
        <f t="shared" si="0"/>
        <v>2017.09</v>
      </c>
      <c r="B342" s="73">
        <v>5268</v>
      </c>
      <c r="C342" s="1365">
        <v>5968</v>
      </c>
      <c r="D342" s="2331">
        <v>-700</v>
      </c>
      <c r="E342" s="93">
        <v>50237</v>
      </c>
    </row>
    <row r="343" spans="1:5">
      <c r="A343" s="51">
        <f t="shared" si="0"/>
        <v>2017.1</v>
      </c>
      <c r="B343" s="73">
        <v>5281</v>
      </c>
      <c r="C343" s="1365">
        <v>6209</v>
      </c>
      <c r="D343" s="2331">
        <v>-929</v>
      </c>
      <c r="E343" s="93">
        <v>51810</v>
      </c>
    </row>
    <row r="344" spans="1:5">
      <c r="A344" s="51">
        <f t="shared" si="0"/>
        <v>2017.11</v>
      </c>
      <c r="B344" s="73">
        <v>4668</v>
      </c>
      <c r="C344" s="1365">
        <v>6163</v>
      </c>
      <c r="D344" s="2331">
        <v>-1495</v>
      </c>
      <c r="E344" s="93">
        <v>54563</v>
      </c>
    </row>
    <row r="345" spans="1:5">
      <c r="A345" s="51">
        <f t="shared" si="0"/>
        <v>2017.12</v>
      </c>
      <c r="B345" s="73">
        <v>4578</v>
      </c>
      <c r="C345" s="1365">
        <v>5366</v>
      </c>
      <c r="D345" s="2331">
        <v>-788</v>
      </c>
      <c r="E345" s="93">
        <v>55055</v>
      </c>
    </row>
    <row r="346" spans="1:5">
      <c r="A346" s="51">
        <f t="shared" si="0"/>
        <v>2018.01</v>
      </c>
      <c r="B346" s="73">
        <v>4810</v>
      </c>
      <c r="C346" s="1365">
        <v>5743</v>
      </c>
      <c r="D346" s="2331">
        <v>-933</v>
      </c>
      <c r="E346" s="93">
        <v>62023.8</v>
      </c>
    </row>
    <row r="347" spans="1:5">
      <c r="A347" s="51">
        <f t="shared" si="0"/>
        <v>2018.02</v>
      </c>
      <c r="B347" s="73">
        <v>4304</v>
      </c>
      <c r="C347" s="1365">
        <v>5196</v>
      </c>
      <c r="D347" s="2331">
        <v>-892</v>
      </c>
      <c r="E347" s="93">
        <v>61508.5</v>
      </c>
    </row>
    <row r="348" spans="1:5">
      <c r="A348" s="51">
        <f t="shared" si="0"/>
        <v>2018.03</v>
      </c>
      <c r="B348" s="73">
        <v>5417</v>
      </c>
      <c r="C348" s="1365">
        <v>5979</v>
      </c>
      <c r="D348" s="2331">
        <v>-562</v>
      </c>
      <c r="E348" s="93">
        <v>61725.9</v>
      </c>
    </row>
    <row r="349" spans="1:5">
      <c r="A349" s="51">
        <f t="shared" si="0"/>
        <v>2018.04</v>
      </c>
      <c r="B349" s="73">
        <v>5216</v>
      </c>
      <c r="C349" s="1365">
        <v>6106</v>
      </c>
      <c r="D349" s="2331">
        <v>-889</v>
      </c>
      <c r="E349" s="93">
        <v>56623</v>
      </c>
    </row>
    <row r="350" spans="1:5">
      <c r="A350" s="51">
        <f t="shared" si="0"/>
        <v>2018.05</v>
      </c>
      <c r="B350" s="73">
        <v>5163</v>
      </c>
      <c r="C350" s="1365">
        <v>6448</v>
      </c>
      <c r="D350" s="2331">
        <v>-1285</v>
      </c>
      <c r="E350" s="93">
        <v>50098.1</v>
      </c>
    </row>
    <row r="351" spans="1:5">
      <c r="A351" s="51">
        <f>A339+1</f>
        <v>2018.06</v>
      </c>
      <c r="B351" s="73">
        <v>5133</v>
      </c>
      <c r="C351" s="1365">
        <v>5461</v>
      </c>
      <c r="D351" s="2331">
        <v>-328</v>
      </c>
      <c r="E351" s="93">
        <v>61881</v>
      </c>
    </row>
    <row r="352" spans="1:5">
      <c r="A352" s="51">
        <f>A340+1</f>
        <v>2018.07</v>
      </c>
      <c r="B352" s="73">
        <v>5415</v>
      </c>
      <c r="C352" s="1365">
        <v>6182</v>
      </c>
      <c r="D352" s="2331">
        <v>-768</v>
      </c>
      <c r="E352" s="93">
        <v>57996.2</v>
      </c>
    </row>
    <row r="353" spans="1:5">
      <c r="A353" s="51">
        <f t="shared" ref="A353:A359" si="1">A341+1</f>
        <v>2018.08</v>
      </c>
      <c r="B353" s="73">
        <v>5202</v>
      </c>
      <c r="C353" s="1365">
        <v>6314</v>
      </c>
      <c r="D353" s="2331">
        <v>-1112</v>
      </c>
      <c r="E353" s="93">
        <v>52657.7</v>
      </c>
    </row>
    <row r="354" spans="1:5">
      <c r="A354" s="51">
        <f t="shared" si="1"/>
        <v>2018.09</v>
      </c>
      <c r="B354" s="73">
        <v>5037</v>
      </c>
      <c r="C354" s="1365">
        <v>4700</v>
      </c>
      <c r="D354" s="2331">
        <v>337</v>
      </c>
      <c r="E354" s="93">
        <v>49003</v>
      </c>
    </row>
    <row r="355" spans="1:5">
      <c r="A355" s="51">
        <f t="shared" si="1"/>
        <v>2018.1</v>
      </c>
      <c r="B355" s="73">
        <v>5398</v>
      </c>
      <c r="C355" s="1365">
        <v>5073</v>
      </c>
      <c r="D355" s="2331">
        <v>325</v>
      </c>
      <c r="E355" s="93">
        <v>53955.1</v>
      </c>
    </row>
    <row r="356" spans="1:5">
      <c r="A356" s="51">
        <f t="shared" si="1"/>
        <v>2018.11</v>
      </c>
      <c r="B356" s="73">
        <v>5350</v>
      </c>
      <c r="C356" s="1365">
        <v>4363</v>
      </c>
      <c r="D356" s="2331">
        <v>987</v>
      </c>
      <c r="E356" s="93">
        <v>51193</v>
      </c>
    </row>
    <row r="357" spans="1:5">
      <c r="A357" s="51">
        <f t="shared" si="1"/>
        <v>2018.12</v>
      </c>
      <c r="B357" s="73">
        <v>5336</v>
      </c>
      <c r="C357" s="1365">
        <v>3917</v>
      </c>
      <c r="D357" s="2331">
        <v>1420</v>
      </c>
      <c r="E357" s="93">
        <v>65806</v>
      </c>
    </row>
    <row r="358" spans="1:5">
      <c r="A358" s="51">
        <f t="shared" si="1"/>
        <v>2019.01</v>
      </c>
      <c r="B358" s="73">
        <v>4585</v>
      </c>
      <c r="C358" s="1365">
        <v>4212</v>
      </c>
      <c r="D358" s="2331">
        <v>373</v>
      </c>
      <c r="E358" s="93">
        <v>66811</v>
      </c>
    </row>
    <row r="359" spans="1:5">
      <c r="A359" s="51">
        <f t="shared" si="1"/>
        <v>2019.02</v>
      </c>
      <c r="B359" s="73">
        <v>4448</v>
      </c>
      <c r="C359" s="1365">
        <v>3998</v>
      </c>
      <c r="D359" s="2331">
        <v>450</v>
      </c>
      <c r="E359" s="93">
        <v>68015</v>
      </c>
    </row>
    <row r="360" spans="1:5">
      <c r="A360" s="51">
        <f>A348+1</f>
        <v>2019.03</v>
      </c>
      <c r="B360" s="73">
        <v>5137</v>
      </c>
      <c r="C360" s="1365">
        <v>3956</v>
      </c>
      <c r="D360" s="2331">
        <v>1181</v>
      </c>
      <c r="E360" s="93">
        <v>66187</v>
      </c>
    </row>
    <row r="361" spans="1:5">
      <c r="A361" s="51">
        <f t="shared" ref="A361:A369" si="2">A349+1</f>
        <v>2019.04</v>
      </c>
      <c r="B361" s="73">
        <v>5337</v>
      </c>
      <c r="C361" s="1365">
        <v>4172</v>
      </c>
      <c r="D361" s="2331">
        <v>1165</v>
      </c>
      <c r="E361" s="93">
        <v>71663</v>
      </c>
    </row>
    <row r="362" spans="1:5">
      <c r="A362" s="51">
        <f t="shared" si="2"/>
        <v>2019.05</v>
      </c>
      <c r="B362" s="73">
        <v>6044</v>
      </c>
      <c r="C362" s="1365">
        <v>4645</v>
      </c>
      <c r="D362" s="2331">
        <v>1399</v>
      </c>
      <c r="E362" s="93">
        <v>64779.4</v>
      </c>
    </row>
    <row r="363" spans="1:5">
      <c r="A363" s="51">
        <f t="shared" si="2"/>
        <v>2019.06</v>
      </c>
      <c r="B363" s="73">
        <v>5239</v>
      </c>
      <c r="C363" s="1365">
        <v>4171</v>
      </c>
      <c r="D363" s="2331">
        <v>1068</v>
      </c>
      <c r="E363" s="93">
        <v>64278</v>
      </c>
    </row>
    <row r="364" spans="1:5">
      <c r="A364" s="51">
        <f t="shared" si="2"/>
        <v>2019.07</v>
      </c>
      <c r="B364" s="73">
        <v>5856</v>
      </c>
      <c r="C364" s="1365">
        <v>4905</v>
      </c>
      <c r="D364" s="2331">
        <v>950</v>
      </c>
      <c r="E364" s="93">
        <v>67899.399999999994</v>
      </c>
    </row>
    <row r="365" spans="1:5">
      <c r="A365" s="51">
        <f t="shared" si="2"/>
        <v>2019.08</v>
      </c>
      <c r="B365" s="73">
        <v>5568</v>
      </c>
      <c r="C365" s="1365">
        <v>4400</v>
      </c>
      <c r="D365" s="2331">
        <v>1168</v>
      </c>
      <c r="E365" s="93">
        <v>54100</v>
      </c>
    </row>
    <row r="366" spans="1:5">
      <c r="A366" s="51">
        <f t="shared" si="2"/>
        <v>2019.09</v>
      </c>
      <c r="B366" s="73">
        <v>5746</v>
      </c>
      <c r="C366" s="1365">
        <v>4002</v>
      </c>
      <c r="D366" s="2331">
        <v>1744</v>
      </c>
      <c r="E366" s="93">
        <v>48703.3</v>
      </c>
    </row>
    <row r="367" spans="1:5">
      <c r="A367" s="51">
        <f t="shared" si="2"/>
        <v>2019.1</v>
      </c>
      <c r="B367" s="73">
        <v>5889</v>
      </c>
      <c r="C367" s="1365">
        <v>4121</v>
      </c>
      <c r="D367" s="2331">
        <v>1768</v>
      </c>
      <c r="E367" s="93">
        <v>43260</v>
      </c>
    </row>
    <row r="368" spans="1:5">
      <c r="A368" s="51">
        <f t="shared" si="2"/>
        <v>2019.11</v>
      </c>
      <c r="B368" s="73">
        <v>5893</v>
      </c>
      <c r="C368" s="1365">
        <v>3409</v>
      </c>
      <c r="D368" s="2331">
        <v>2484</v>
      </c>
      <c r="E368" s="93">
        <v>43772</v>
      </c>
    </row>
    <row r="369" spans="1:5">
      <c r="A369" s="51">
        <f t="shared" si="2"/>
        <v>2019.12</v>
      </c>
      <c r="B369" s="73">
        <v>5374</v>
      </c>
      <c r="C369" s="1365">
        <v>3133</v>
      </c>
      <c r="D369" s="2331">
        <v>2241</v>
      </c>
      <c r="E369" s="93">
        <v>44781</v>
      </c>
    </row>
    <row r="370" spans="1:5">
      <c r="A370" s="51">
        <f>A358+1</f>
        <v>2020.01</v>
      </c>
      <c r="B370" s="73">
        <v>4579</v>
      </c>
      <c r="C370" s="1365">
        <v>3535</v>
      </c>
      <c r="D370" s="2331">
        <v>1044</v>
      </c>
      <c r="E370" s="93">
        <v>44917.1</v>
      </c>
    </row>
    <row r="371" spans="1:5">
      <c r="A371" s="51">
        <f t="shared" ref="A371:A378" si="3">A359+1</f>
        <v>2020.02</v>
      </c>
      <c r="B371" s="73">
        <v>4378</v>
      </c>
      <c r="C371" s="1365">
        <v>3191</v>
      </c>
      <c r="D371" s="2331">
        <v>1187</v>
      </c>
      <c r="E371" s="93">
        <v>44790.7</v>
      </c>
    </row>
    <row r="372" spans="1:5">
      <c r="A372" s="51">
        <f t="shared" si="3"/>
        <v>2020.03</v>
      </c>
      <c r="B372" s="73">
        <v>4383</v>
      </c>
      <c r="C372" s="1365">
        <v>3154</v>
      </c>
      <c r="D372" s="2331">
        <v>1228</v>
      </c>
      <c r="E372" s="93">
        <v>43561.2</v>
      </c>
    </row>
    <row r="373" spans="1:5">
      <c r="A373" s="51">
        <f t="shared" si="3"/>
        <v>2020.04</v>
      </c>
      <c r="B373" s="2332">
        <v>4349</v>
      </c>
      <c r="C373" s="2333">
        <v>2894</v>
      </c>
      <c r="D373" s="2331">
        <v>1455</v>
      </c>
      <c r="E373" s="93">
        <v>43568.4</v>
      </c>
    </row>
    <row r="374" spans="1:5">
      <c r="A374" s="51">
        <f t="shared" si="3"/>
        <v>2020.05</v>
      </c>
      <c r="B374" s="73">
        <v>5078</v>
      </c>
      <c r="C374" s="1365">
        <v>3166</v>
      </c>
      <c r="D374" s="2331">
        <v>1912</v>
      </c>
      <c r="E374" s="93">
        <v>42588.5</v>
      </c>
    </row>
    <row r="375" spans="1:5">
      <c r="A375" s="51">
        <f t="shared" si="3"/>
        <v>2020.06</v>
      </c>
      <c r="B375" s="73">
        <v>4786</v>
      </c>
      <c r="C375" s="1365">
        <v>3299</v>
      </c>
      <c r="D375" s="2331">
        <v>1487</v>
      </c>
      <c r="E375" s="93">
        <v>43241.5</v>
      </c>
    </row>
    <row r="376" spans="1:5">
      <c r="A376" s="51">
        <f t="shared" si="3"/>
        <v>2020.07</v>
      </c>
      <c r="B376" s="73">
        <v>4931</v>
      </c>
      <c r="C376" s="1365">
        <v>3451</v>
      </c>
      <c r="D376" s="2331">
        <v>1480</v>
      </c>
      <c r="E376" s="93">
        <v>43386.3</v>
      </c>
    </row>
    <row r="377" spans="1:5">
      <c r="A377" s="51">
        <f t="shared" si="3"/>
        <v>2020.08</v>
      </c>
      <c r="B377" s="73">
        <v>4955</v>
      </c>
      <c r="C377" s="1365">
        <v>3508</v>
      </c>
      <c r="D377" s="2331">
        <v>1446</v>
      </c>
      <c r="E377" s="93">
        <v>42842.1</v>
      </c>
    </row>
    <row r="378" spans="1:5">
      <c r="A378" s="51">
        <f t="shared" si="3"/>
        <v>2020.09</v>
      </c>
      <c r="B378" s="73">
        <v>4727</v>
      </c>
      <c r="C378" s="1365">
        <v>4129</v>
      </c>
      <c r="D378" s="2331">
        <v>598</v>
      </c>
      <c r="E378" s="93">
        <v>41378.800000000003</v>
      </c>
    </row>
    <row r="379" spans="1:5">
      <c r="A379" s="51">
        <f>A367+1</f>
        <v>2020.1</v>
      </c>
      <c r="B379" s="73">
        <v>4674</v>
      </c>
      <c r="C379" s="1365">
        <v>4004</v>
      </c>
      <c r="D379" s="2331">
        <v>670</v>
      </c>
      <c r="E379" s="93">
        <v>39856.300000000003</v>
      </c>
    </row>
    <row r="380" spans="1:5">
      <c r="A380" s="51">
        <f>A368+1</f>
        <v>2020.11</v>
      </c>
      <c r="B380" s="73">
        <v>4500</v>
      </c>
      <c r="C380" s="1365">
        <v>4115</v>
      </c>
      <c r="D380" s="2331">
        <v>386</v>
      </c>
      <c r="E380" s="93">
        <v>38652</v>
      </c>
    </row>
    <row r="381" spans="1:5">
      <c r="A381" s="51">
        <f>A369+1</f>
        <v>2020.12</v>
      </c>
      <c r="B381" s="73">
        <v>3544</v>
      </c>
      <c r="C381" s="1365">
        <v>3908</v>
      </c>
      <c r="D381" s="430">
        <v>-364</v>
      </c>
      <c r="E381" s="93">
        <v>39387</v>
      </c>
    </row>
    <row r="382" spans="1:5">
      <c r="A382" s="51">
        <f t="shared" ref="A382:A440" si="4">A370+1</f>
        <v>2021.01</v>
      </c>
      <c r="B382" s="73">
        <v>4912</v>
      </c>
      <c r="C382" s="1365">
        <v>3844</v>
      </c>
      <c r="D382" s="2331">
        <v>1068</v>
      </c>
      <c r="E382" s="93">
        <v>39515.199999999997</v>
      </c>
    </row>
    <row r="383" spans="1:5">
      <c r="A383" s="51">
        <f t="shared" si="4"/>
        <v>2021.02</v>
      </c>
      <c r="B383" s="73">
        <v>4775</v>
      </c>
      <c r="C383" s="1365">
        <v>3713</v>
      </c>
      <c r="D383" s="2331">
        <v>1062</v>
      </c>
      <c r="E383" s="93">
        <v>39518.1</v>
      </c>
    </row>
    <row r="384" spans="1:5">
      <c r="A384" s="51">
        <f t="shared" si="4"/>
        <v>2021.03</v>
      </c>
      <c r="B384" s="73">
        <v>5720</v>
      </c>
      <c r="C384" s="1365">
        <v>5320</v>
      </c>
      <c r="D384" s="2331">
        <v>400</v>
      </c>
      <c r="E384" s="93">
        <v>39593.300000000003</v>
      </c>
    </row>
    <row r="385" spans="1:5">
      <c r="A385" s="51">
        <f t="shared" si="4"/>
        <v>2021.04</v>
      </c>
      <c r="B385" s="73">
        <v>6143</v>
      </c>
      <c r="C385" s="1365">
        <v>4673</v>
      </c>
      <c r="D385" s="2331">
        <v>1470</v>
      </c>
      <c r="E385" s="93">
        <v>40262.800000000003</v>
      </c>
    </row>
    <row r="386" spans="1:5">
      <c r="A386" s="51">
        <f t="shared" si="4"/>
        <v>2021.05</v>
      </c>
      <c r="B386" s="73">
        <v>6813</v>
      </c>
      <c r="C386" s="1365">
        <v>5141</v>
      </c>
      <c r="D386" s="2331">
        <v>1672</v>
      </c>
      <c r="E386" s="93">
        <v>41871.800000000003</v>
      </c>
    </row>
    <row r="387" spans="1:5">
      <c r="A387" s="51">
        <f t="shared" si="4"/>
        <v>2021.06</v>
      </c>
      <c r="B387" s="73">
        <v>7010</v>
      </c>
      <c r="C387" s="1365">
        <v>5909</v>
      </c>
      <c r="D387" s="2331">
        <v>1101</v>
      </c>
      <c r="E387" s="93">
        <v>42436.9</v>
      </c>
    </row>
    <row r="388" spans="1:5">
      <c r="A388" s="51">
        <f t="shared" si="4"/>
        <v>2021.07</v>
      </c>
      <c r="B388" s="73">
        <v>7252</v>
      </c>
      <c r="C388" s="1365">
        <v>5715</v>
      </c>
      <c r="D388" s="2331">
        <v>1536</v>
      </c>
      <c r="E388" s="93">
        <v>42581.7</v>
      </c>
    </row>
    <row r="389" spans="1:5">
      <c r="A389" s="51">
        <f t="shared" si="4"/>
        <v>2021.08</v>
      </c>
      <c r="B389" s="73">
        <v>8099</v>
      </c>
      <c r="C389" s="1365">
        <v>5754</v>
      </c>
      <c r="D389" s="2331">
        <v>2345</v>
      </c>
      <c r="E389" s="93">
        <v>46180.3</v>
      </c>
    </row>
    <row r="390" spans="1:5">
      <c r="A390" s="51">
        <f t="shared" si="4"/>
        <v>2021.09</v>
      </c>
      <c r="B390" s="73">
        <v>7570</v>
      </c>
      <c r="C390" s="1365">
        <v>5886</v>
      </c>
      <c r="D390" s="2331">
        <v>1685</v>
      </c>
      <c r="E390" s="93">
        <v>42911.199999999997</v>
      </c>
    </row>
    <row r="391" spans="1:5">
      <c r="A391" s="51">
        <f t="shared" si="4"/>
        <v>2021.1</v>
      </c>
      <c r="B391" s="73">
        <v>6863</v>
      </c>
      <c r="C391" s="1365">
        <v>5247</v>
      </c>
      <c r="D391" s="2331">
        <v>1615</v>
      </c>
      <c r="E391" s="93">
        <v>42817.1</v>
      </c>
    </row>
    <row r="392" spans="1:5">
      <c r="A392" s="51">
        <f t="shared" si="4"/>
        <v>2021.11</v>
      </c>
      <c r="B392" s="73">
        <v>6191</v>
      </c>
      <c r="C392" s="1365">
        <v>5767</v>
      </c>
      <c r="D392" s="2331">
        <v>424</v>
      </c>
      <c r="E392" s="93">
        <v>41529.5</v>
      </c>
    </row>
    <row r="393" spans="1:5">
      <c r="A393" s="51">
        <f t="shared" si="4"/>
        <v>2021.12</v>
      </c>
      <c r="B393" s="73">
        <v>6587</v>
      </c>
      <c r="C393" s="1365">
        <v>6216</v>
      </c>
      <c r="D393" s="2331">
        <v>371</v>
      </c>
      <c r="E393" s="93">
        <v>39662.400000000001</v>
      </c>
    </row>
    <row r="394" spans="1:5">
      <c r="A394" s="51">
        <f t="shared" si="4"/>
        <v>2022.01</v>
      </c>
      <c r="B394" s="73">
        <v>5548</v>
      </c>
      <c r="C394" s="1365">
        <v>5251</v>
      </c>
      <c r="D394" s="2331">
        <v>297</v>
      </c>
      <c r="E394" s="93">
        <v>37589</v>
      </c>
    </row>
    <row r="395" spans="1:5">
      <c r="A395" s="51">
        <f t="shared" si="4"/>
        <v>2022.02</v>
      </c>
      <c r="B395" s="73">
        <v>6452</v>
      </c>
      <c r="C395" s="1365">
        <v>5634</v>
      </c>
      <c r="D395" s="2331">
        <v>818</v>
      </c>
      <c r="E395" s="93">
        <v>37017.5</v>
      </c>
    </row>
    <row r="396" spans="1:5">
      <c r="A396" s="51">
        <f t="shared" si="4"/>
        <v>2022.03</v>
      </c>
      <c r="B396" s="73">
        <v>7354</v>
      </c>
      <c r="C396" s="1365">
        <v>7083</v>
      </c>
      <c r="D396" s="2331">
        <v>271</v>
      </c>
      <c r="E396" s="93">
        <v>43137.4</v>
      </c>
    </row>
    <row r="397" spans="1:5">
      <c r="A397" s="51">
        <f t="shared" si="4"/>
        <v>2022.04</v>
      </c>
      <c r="B397" s="73">
        <v>8337</v>
      </c>
      <c r="C397" s="1365">
        <v>6883</v>
      </c>
      <c r="D397" s="2331">
        <v>1454</v>
      </c>
      <c r="E397" s="93">
        <v>42006.6</v>
      </c>
    </row>
    <row r="398" spans="1:5">
      <c r="A398" s="51">
        <f t="shared" si="4"/>
        <v>2022.05</v>
      </c>
      <c r="B398" s="73">
        <v>8254</v>
      </c>
      <c r="C398" s="1365">
        <v>7886</v>
      </c>
      <c r="D398" s="2331">
        <v>368</v>
      </c>
      <c r="E398" s="93">
        <v>41561.1</v>
      </c>
    </row>
    <row r="399" spans="1:5">
      <c r="A399" s="51">
        <f t="shared" si="4"/>
        <v>2022.06</v>
      </c>
      <c r="B399" s="73">
        <v>8433</v>
      </c>
      <c r="C399" s="1365">
        <v>8664</v>
      </c>
      <c r="D399" s="430">
        <v>-231</v>
      </c>
      <c r="E399" s="93">
        <v>42786.8</v>
      </c>
    </row>
    <row r="400" spans="1:5">
      <c r="A400" s="51">
        <f t="shared" si="4"/>
        <v>2022.07</v>
      </c>
      <c r="B400" s="73">
        <v>7805</v>
      </c>
      <c r="C400" s="1365">
        <v>8289</v>
      </c>
      <c r="D400" s="430">
        <v>-484</v>
      </c>
      <c r="E400" s="93">
        <v>38231.699999999997</v>
      </c>
    </row>
    <row r="401" spans="1:5">
      <c r="A401" s="51">
        <f t="shared" si="4"/>
        <v>2022.08</v>
      </c>
      <c r="B401" s="73">
        <v>7541</v>
      </c>
      <c r="C401" s="1365">
        <v>7837</v>
      </c>
      <c r="D401" s="430">
        <v>-296</v>
      </c>
      <c r="E401" s="93">
        <v>36734.400000000001</v>
      </c>
    </row>
    <row r="402" spans="1:5">
      <c r="A402" s="51">
        <f t="shared" si="4"/>
        <v>2022.09</v>
      </c>
      <c r="B402" s="73">
        <v>7518</v>
      </c>
      <c r="C402" s="1365">
        <v>7137</v>
      </c>
      <c r="D402" s="2331">
        <v>381</v>
      </c>
      <c r="E402" s="93">
        <v>37625</v>
      </c>
    </row>
    <row r="403" spans="1:5">
      <c r="A403" s="51">
        <f t="shared" si="4"/>
        <v>2022.1</v>
      </c>
      <c r="B403" s="73">
        <v>7962</v>
      </c>
      <c r="C403" s="1365">
        <v>6079</v>
      </c>
      <c r="D403" s="2331">
        <v>1883</v>
      </c>
      <c r="E403" s="93">
        <v>38675.9</v>
      </c>
    </row>
    <row r="404" spans="1:5">
      <c r="A404" s="51">
        <f t="shared" si="4"/>
        <v>2022.11</v>
      </c>
      <c r="B404" s="73">
        <v>7122</v>
      </c>
      <c r="C404" s="1365">
        <v>5762</v>
      </c>
      <c r="D404" s="2331">
        <v>1360</v>
      </c>
      <c r="E404" s="93">
        <v>38008.9</v>
      </c>
    </row>
    <row r="405" spans="1:5">
      <c r="A405" s="51">
        <f t="shared" si="4"/>
        <v>2022.12</v>
      </c>
      <c r="B405" s="73">
        <v>6119</v>
      </c>
      <c r="C405" s="1365">
        <v>5017</v>
      </c>
      <c r="D405" s="2331">
        <v>1102</v>
      </c>
      <c r="E405" s="93">
        <v>44598.400000000001</v>
      </c>
    </row>
    <row r="406" spans="1:5">
      <c r="A406" s="51">
        <f t="shared" si="4"/>
        <v>2023.01</v>
      </c>
      <c r="B406" s="73">
        <v>4925.3311477999996</v>
      </c>
      <c r="C406" s="1365">
        <v>5367.9815191799999</v>
      </c>
      <c r="D406" s="430">
        <v>-443</v>
      </c>
      <c r="E406" s="93">
        <v>41417</v>
      </c>
    </row>
    <row r="407" spans="1:5">
      <c r="A407" s="51">
        <f t="shared" si="4"/>
        <v>2023.02</v>
      </c>
      <c r="B407" s="73">
        <v>5239.1941274800001</v>
      </c>
      <c r="C407" s="1365">
        <v>5028.5955485000004</v>
      </c>
      <c r="D407" s="2331">
        <v>211</v>
      </c>
      <c r="E407" s="93">
        <v>38709</v>
      </c>
    </row>
    <row r="408" spans="1:5">
      <c r="A408" s="51">
        <f t="shared" si="4"/>
        <v>2023.03</v>
      </c>
      <c r="B408" s="73">
        <v>5734.5747259099999</v>
      </c>
      <c r="C408" s="1365">
        <v>6845.60693653</v>
      </c>
      <c r="D408" s="2331">
        <v>-1111</v>
      </c>
      <c r="E408" s="93">
        <v>39060</v>
      </c>
    </row>
    <row r="409" spans="1:5">
      <c r="A409" s="51">
        <f t="shared" si="4"/>
        <v>2023.04</v>
      </c>
      <c r="B409" s="73">
        <v>5898.2498807600005</v>
      </c>
      <c r="C409" s="1365">
        <v>6091.2433878600004</v>
      </c>
      <c r="D409" s="2331">
        <v>-193</v>
      </c>
      <c r="E409" s="93">
        <v>35001</v>
      </c>
    </row>
    <row r="410" spans="1:5">
      <c r="A410" s="51">
        <f t="shared" si="4"/>
        <v>2023.05</v>
      </c>
      <c r="B410" s="73">
        <v>6261.8584492999998</v>
      </c>
      <c r="C410" s="1365">
        <v>7385.9027397899999</v>
      </c>
      <c r="D410" s="430">
        <v>-1124</v>
      </c>
      <c r="E410" s="93">
        <v>33001</v>
      </c>
    </row>
    <row r="411" spans="1:5">
      <c r="A411" s="51">
        <f t="shared" si="4"/>
        <v>2023.06</v>
      </c>
      <c r="B411" s="73">
        <v>5414.91487865</v>
      </c>
      <c r="C411" s="1365">
        <v>7247.6517701399998</v>
      </c>
      <c r="D411" s="430">
        <v>-1833</v>
      </c>
      <c r="E411" s="93">
        <v>27926</v>
      </c>
    </row>
    <row r="412" spans="1:5">
      <c r="A412" s="51">
        <f t="shared" si="4"/>
        <v>2023.07</v>
      </c>
      <c r="B412" s="73">
        <v>6060.3428374599998</v>
      </c>
      <c r="C412" s="1365">
        <v>6760.6828310199999</v>
      </c>
      <c r="D412" s="430">
        <v>-700</v>
      </c>
      <c r="E412" s="93">
        <v>24092</v>
      </c>
    </row>
    <row r="413" spans="1:5">
      <c r="A413" s="51">
        <f t="shared" si="4"/>
        <v>2023.08</v>
      </c>
      <c r="B413" s="73">
        <v>5910.2664084600001</v>
      </c>
      <c r="C413" s="1365">
        <v>6884.6586992700004</v>
      </c>
      <c r="D413" s="430">
        <v>-974</v>
      </c>
      <c r="E413" s="93">
        <v>27818</v>
      </c>
    </row>
    <row r="414" spans="1:5">
      <c r="A414" s="51">
        <f t="shared" si="4"/>
        <v>2023.09</v>
      </c>
      <c r="B414" s="73">
        <v>5750.69492438</v>
      </c>
      <c r="C414" s="1365">
        <v>6525.1338426399998</v>
      </c>
      <c r="D414" s="430">
        <v>-774</v>
      </c>
      <c r="E414" s="93">
        <v>26925</v>
      </c>
    </row>
    <row r="415" spans="1:5">
      <c r="A415" s="51">
        <f t="shared" si="4"/>
        <v>2023.1</v>
      </c>
      <c r="B415" s="73">
        <v>5396.4684366900001</v>
      </c>
      <c r="C415" s="1365">
        <v>5838.8767583899998</v>
      </c>
      <c r="D415" s="430">
        <v>-442</v>
      </c>
      <c r="E415" s="93">
        <v>22559</v>
      </c>
    </row>
    <row r="416" spans="1:5">
      <c r="A416" s="51">
        <f t="shared" si="4"/>
        <v>2023.11</v>
      </c>
      <c r="B416" s="73">
        <v>4923.2348577399998</v>
      </c>
      <c r="C416" s="1365">
        <v>5481.9345271000002</v>
      </c>
      <c r="D416" s="430">
        <v>-559</v>
      </c>
      <c r="E416" s="93">
        <v>21513</v>
      </c>
    </row>
    <row r="417" spans="1:5">
      <c r="A417" s="51">
        <f t="shared" si="4"/>
        <v>2023.12</v>
      </c>
      <c r="B417" s="73">
        <v>5273.3853116199998</v>
      </c>
      <c r="C417" s="1365">
        <v>4255.3482090500002</v>
      </c>
      <c r="D417" s="2331">
        <v>1018</v>
      </c>
      <c r="E417" s="93">
        <v>23073</v>
      </c>
    </row>
    <row r="418" spans="1:5">
      <c r="A418" s="51">
        <f t="shared" si="4"/>
        <v>2024.01</v>
      </c>
      <c r="B418" s="73">
        <v>5397.5887418700004</v>
      </c>
      <c r="C418" s="1365">
        <v>4613.2024342000004</v>
      </c>
      <c r="D418" s="2331">
        <v>797</v>
      </c>
      <c r="E418" s="93">
        <v>27642</v>
      </c>
    </row>
    <row r="419" spans="1:5">
      <c r="A419" s="51">
        <f t="shared" si="4"/>
        <v>2024.02</v>
      </c>
      <c r="B419" s="73">
        <v>5530.3205624599996</v>
      </c>
      <c r="C419" s="1365">
        <v>4121.3100269200004</v>
      </c>
      <c r="D419" s="2331">
        <f t="shared" ref="D419:D440" si="5">B419-C419</f>
        <v>1409.0105355399992</v>
      </c>
      <c r="E419" s="93">
        <v>26690</v>
      </c>
    </row>
    <row r="420" spans="1:5">
      <c r="A420" s="51">
        <f t="shared" si="4"/>
        <v>2024.03</v>
      </c>
      <c r="B420" s="73">
        <v>6394.3462437400003</v>
      </c>
      <c r="C420" s="1365">
        <v>4335.2336406000004</v>
      </c>
      <c r="D420" s="2331">
        <f t="shared" si="5"/>
        <v>2059.1126031399999</v>
      </c>
      <c r="E420" s="93">
        <v>27127</v>
      </c>
    </row>
    <row r="421" spans="1:5">
      <c r="A421" s="51">
        <f t="shared" si="4"/>
        <v>2024.04</v>
      </c>
      <c r="B421" s="73" t="e">
        <v>#N/A</v>
      </c>
      <c r="C421" s="1365" t="e">
        <v>#N/A</v>
      </c>
      <c r="D421" s="430" t="e">
        <f t="shared" si="5"/>
        <v>#N/A</v>
      </c>
      <c r="E421" s="93">
        <v>28200</v>
      </c>
    </row>
    <row r="422" spans="1:5">
      <c r="A422" s="51">
        <f t="shared" si="4"/>
        <v>2024.05</v>
      </c>
      <c r="B422" s="73" t="e">
        <v>#N/A</v>
      </c>
      <c r="C422" s="1365" t="e">
        <v>#N/A</v>
      </c>
      <c r="D422" s="430" t="e">
        <f t="shared" si="5"/>
        <v>#N/A</v>
      </c>
      <c r="E422" s="93" t="e">
        <v>#N/A</v>
      </c>
    </row>
    <row r="423" spans="1:5">
      <c r="A423" s="51">
        <f t="shared" si="4"/>
        <v>2024.06</v>
      </c>
      <c r="B423" s="73" t="e">
        <v>#N/A</v>
      </c>
      <c r="C423" s="1365" t="e">
        <v>#N/A</v>
      </c>
      <c r="D423" s="430" t="e">
        <f t="shared" si="5"/>
        <v>#N/A</v>
      </c>
      <c r="E423" s="93" t="e">
        <v>#N/A</v>
      </c>
    </row>
    <row r="424" spans="1:5">
      <c r="A424" s="51">
        <f t="shared" si="4"/>
        <v>2024.07</v>
      </c>
      <c r="B424" s="73" t="e">
        <v>#N/A</v>
      </c>
      <c r="C424" s="1365" t="e">
        <v>#N/A</v>
      </c>
      <c r="D424" s="430" t="e">
        <f t="shared" si="5"/>
        <v>#N/A</v>
      </c>
      <c r="E424" s="93" t="e">
        <v>#N/A</v>
      </c>
    </row>
    <row r="425" spans="1:5">
      <c r="A425" s="51">
        <f t="shared" si="4"/>
        <v>2024.08</v>
      </c>
      <c r="B425" s="73" t="e">
        <v>#N/A</v>
      </c>
      <c r="C425" s="1365" t="e">
        <v>#N/A</v>
      </c>
      <c r="D425" s="430" t="e">
        <f t="shared" si="5"/>
        <v>#N/A</v>
      </c>
      <c r="E425" s="93" t="e">
        <v>#N/A</v>
      </c>
    </row>
    <row r="426" spans="1:5">
      <c r="A426" s="51">
        <f t="shared" si="4"/>
        <v>2024.09</v>
      </c>
      <c r="B426" s="73" t="e">
        <v>#N/A</v>
      </c>
      <c r="C426" s="1365" t="e">
        <v>#N/A</v>
      </c>
      <c r="D426" s="430" t="e">
        <f t="shared" si="5"/>
        <v>#N/A</v>
      </c>
      <c r="E426" s="93" t="e">
        <v>#N/A</v>
      </c>
    </row>
    <row r="427" spans="1:5">
      <c r="A427" s="51">
        <f t="shared" si="4"/>
        <v>2024.1</v>
      </c>
      <c r="B427" s="73" t="e">
        <v>#N/A</v>
      </c>
      <c r="C427" s="1365" t="e">
        <v>#N/A</v>
      </c>
      <c r="D427" s="430" t="e">
        <f t="shared" si="5"/>
        <v>#N/A</v>
      </c>
      <c r="E427" s="93" t="e">
        <v>#N/A</v>
      </c>
    </row>
    <row r="428" spans="1:5">
      <c r="A428" s="51">
        <f t="shared" si="4"/>
        <v>2024.11</v>
      </c>
      <c r="B428" s="73" t="e">
        <v>#N/A</v>
      </c>
      <c r="C428" s="1365" t="e">
        <v>#N/A</v>
      </c>
      <c r="D428" s="430" t="e">
        <f t="shared" si="5"/>
        <v>#N/A</v>
      </c>
      <c r="E428" s="93" t="e">
        <v>#N/A</v>
      </c>
    </row>
    <row r="429" spans="1:5">
      <c r="A429" s="51">
        <f t="shared" si="4"/>
        <v>2024.12</v>
      </c>
      <c r="B429" s="73" t="e">
        <v>#N/A</v>
      </c>
      <c r="C429" s="1365" t="e">
        <v>#N/A</v>
      </c>
      <c r="D429" s="430" t="e">
        <f t="shared" si="5"/>
        <v>#N/A</v>
      </c>
      <c r="E429" s="93" t="e">
        <v>#N/A</v>
      </c>
    </row>
    <row r="430" spans="1:5">
      <c r="A430" s="51">
        <f t="shared" si="4"/>
        <v>2025.01</v>
      </c>
      <c r="B430" s="73" t="e">
        <v>#N/A</v>
      </c>
      <c r="C430" s="1365" t="e">
        <v>#N/A</v>
      </c>
      <c r="D430" s="430" t="e">
        <f t="shared" si="5"/>
        <v>#N/A</v>
      </c>
      <c r="E430" s="93" t="e">
        <v>#N/A</v>
      </c>
    </row>
    <row r="431" spans="1:5">
      <c r="A431" s="51">
        <f t="shared" si="4"/>
        <v>2025.02</v>
      </c>
      <c r="B431" s="73" t="e">
        <v>#N/A</v>
      </c>
      <c r="C431" s="1365" t="e">
        <v>#N/A</v>
      </c>
      <c r="D431" s="430" t="e">
        <f t="shared" si="5"/>
        <v>#N/A</v>
      </c>
      <c r="E431" s="93" t="e">
        <v>#N/A</v>
      </c>
    </row>
    <row r="432" spans="1:5">
      <c r="A432" s="51">
        <f t="shared" si="4"/>
        <v>2025.03</v>
      </c>
      <c r="B432" s="73" t="e">
        <v>#N/A</v>
      </c>
      <c r="C432" s="1365" t="e">
        <v>#N/A</v>
      </c>
      <c r="D432" s="430" t="e">
        <f t="shared" si="5"/>
        <v>#N/A</v>
      </c>
      <c r="E432" s="93" t="e">
        <v>#N/A</v>
      </c>
    </row>
    <row r="433" spans="1:5">
      <c r="A433" s="51">
        <f t="shared" si="4"/>
        <v>2025.04</v>
      </c>
      <c r="B433" s="73" t="e">
        <v>#N/A</v>
      </c>
      <c r="C433" s="1365" t="e">
        <v>#N/A</v>
      </c>
      <c r="D433" s="430" t="e">
        <f t="shared" si="5"/>
        <v>#N/A</v>
      </c>
      <c r="E433" s="93" t="e">
        <v>#N/A</v>
      </c>
    </row>
    <row r="434" spans="1:5">
      <c r="A434" s="51">
        <f t="shared" si="4"/>
        <v>2025.05</v>
      </c>
      <c r="B434" s="73" t="e">
        <v>#N/A</v>
      </c>
      <c r="C434" s="1365" t="e">
        <v>#N/A</v>
      </c>
      <c r="D434" s="430" t="e">
        <f t="shared" si="5"/>
        <v>#N/A</v>
      </c>
      <c r="E434" s="93" t="e">
        <v>#N/A</v>
      </c>
    </row>
    <row r="435" spans="1:5">
      <c r="A435" s="51">
        <f t="shared" si="4"/>
        <v>2025.06</v>
      </c>
      <c r="B435" s="73" t="e">
        <v>#N/A</v>
      </c>
      <c r="C435" s="1365" t="e">
        <v>#N/A</v>
      </c>
      <c r="D435" s="430" t="e">
        <f t="shared" si="5"/>
        <v>#N/A</v>
      </c>
      <c r="E435" s="93" t="e">
        <v>#N/A</v>
      </c>
    </row>
    <row r="436" spans="1:5">
      <c r="A436" s="51">
        <f t="shared" si="4"/>
        <v>2025.07</v>
      </c>
      <c r="B436" s="73" t="e">
        <v>#N/A</v>
      </c>
      <c r="C436" s="1365" t="e">
        <v>#N/A</v>
      </c>
      <c r="D436" s="430" t="e">
        <f t="shared" si="5"/>
        <v>#N/A</v>
      </c>
      <c r="E436" s="93" t="e">
        <v>#N/A</v>
      </c>
    </row>
    <row r="437" spans="1:5">
      <c r="A437" s="51">
        <f t="shared" si="4"/>
        <v>2025.08</v>
      </c>
      <c r="B437" s="73" t="e">
        <v>#N/A</v>
      </c>
      <c r="C437" s="1365" t="e">
        <v>#N/A</v>
      </c>
      <c r="D437" s="430" t="e">
        <f t="shared" si="5"/>
        <v>#N/A</v>
      </c>
      <c r="E437" s="93" t="e">
        <v>#N/A</v>
      </c>
    </row>
    <row r="438" spans="1:5">
      <c r="A438" s="51">
        <f t="shared" si="4"/>
        <v>2025.09</v>
      </c>
      <c r="B438" s="73" t="e">
        <v>#N/A</v>
      </c>
      <c r="C438" s="1365" t="e">
        <v>#N/A</v>
      </c>
      <c r="D438" s="430" t="e">
        <f t="shared" si="5"/>
        <v>#N/A</v>
      </c>
      <c r="E438" s="93" t="e">
        <v>#N/A</v>
      </c>
    </row>
    <row r="439" spans="1:5">
      <c r="A439" s="51">
        <f t="shared" si="4"/>
        <v>2025.1</v>
      </c>
      <c r="B439" s="73" t="e">
        <v>#N/A</v>
      </c>
      <c r="C439" s="1365" t="e">
        <v>#N/A</v>
      </c>
      <c r="D439" s="430" t="e">
        <f t="shared" si="5"/>
        <v>#N/A</v>
      </c>
      <c r="E439" s="93" t="e">
        <v>#N/A</v>
      </c>
    </row>
    <row r="440" spans="1:5">
      <c r="A440" s="51">
        <f t="shared" si="4"/>
        <v>2025.11</v>
      </c>
      <c r="B440" s="73" t="e">
        <v>#N/A</v>
      </c>
      <c r="C440" s="1365" t="e">
        <v>#N/A</v>
      </c>
      <c r="D440" s="430" t="e">
        <f t="shared" si="5"/>
        <v>#N/A</v>
      </c>
      <c r="E440" s="93" t="e">
        <v>#N/A</v>
      </c>
    </row>
    <row r="441" spans="1:5">
      <c r="A441" s="51">
        <f t="shared" ref="A441:A472" si="6">A429+1</f>
        <v>2025.12</v>
      </c>
      <c r="B441" s="73" t="e">
        <v>#N/A</v>
      </c>
      <c r="C441" s="1365" t="e">
        <v>#N/A</v>
      </c>
      <c r="D441" s="430" t="e">
        <f>B441-C441</f>
        <v>#N/A</v>
      </c>
      <c r="E441" s="93" t="e">
        <v>#N/A</v>
      </c>
    </row>
    <row r="442" spans="1:5">
      <c r="A442" s="51">
        <f t="shared" si="6"/>
        <v>2026.01</v>
      </c>
      <c r="B442" s="73" t="e">
        <v>#N/A</v>
      </c>
      <c r="C442" s="1365" t="e">
        <v>#N/A</v>
      </c>
      <c r="D442" s="430" t="e">
        <f t="shared" ref="D442:D458" si="7">B442-C442</f>
        <v>#N/A</v>
      </c>
      <c r="E442" s="93" t="e">
        <v>#N/A</v>
      </c>
    </row>
    <row r="443" spans="1:5">
      <c r="A443" s="51">
        <f t="shared" si="6"/>
        <v>2026.02</v>
      </c>
      <c r="B443" s="73" t="e">
        <v>#N/A</v>
      </c>
      <c r="C443" s="1365" t="e">
        <v>#N/A</v>
      </c>
      <c r="D443" s="430" t="e">
        <f t="shared" si="7"/>
        <v>#N/A</v>
      </c>
      <c r="E443" s="93" t="e">
        <v>#N/A</v>
      </c>
    </row>
    <row r="444" spans="1:5">
      <c r="A444" s="51">
        <f t="shared" si="6"/>
        <v>2026.03</v>
      </c>
      <c r="B444" s="73" t="e">
        <v>#N/A</v>
      </c>
      <c r="C444" s="1365" t="e">
        <v>#N/A</v>
      </c>
      <c r="D444" s="430" t="e">
        <f t="shared" si="7"/>
        <v>#N/A</v>
      </c>
      <c r="E444" s="93" t="e">
        <v>#N/A</v>
      </c>
    </row>
    <row r="445" spans="1:5">
      <c r="A445" s="51">
        <f t="shared" si="6"/>
        <v>2026.04</v>
      </c>
      <c r="B445" s="73" t="e">
        <v>#N/A</v>
      </c>
      <c r="C445" s="1365" t="e">
        <v>#N/A</v>
      </c>
      <c r="D445" s="430" t="e">
        <f t="shared" si="7"/>
        <v>#N/A</v>
      </c>
      <c r="E445" s="93" t="e">
        <v>#N/A</v>
      </c>
    </row>
    <row r="446" spans="1:5">
      <c r="A446" s="51">
        <f t="shared" si="6"/>
        <v>2026.05</v>
      </c>
      <c r="B446" s="73" t="e">
        <v>#N/A</v>
      </c>
      <c r="C446" s="1365" t="e">
        <v>#N/A</v>
      </c>
      <c r="D446" s="430" t="e">
        <f t="shared" si="7"/>
        <v>#N/A</v>
      </c>
      <c r="E446" s="93" t="e">
        <v>#N/A</v>
      </c>
    </row>
    <row r="447" spans="1:5">
      <c r="A447" s="51">
        <f t="shared" si="6"/>
        <v>2026.06</v>
      </c>
      <c r="B447" s="73" t="e">
        <v>#N/A</v>
      </c>
      <c r="C447" s="1365" t="e">
        <v>#N/A</v>
      </c>
      <c r="D447" s="430" t="e">
        <f t="shared" si="7"/>
        <v>#N/A</v>
      </c>
      <c r="E447" s="93" t="e">
        <v>#N/A</v>
      </c>
    </row>
    <row r="448" spans="1:5">
      <c r="A448" s="51">
        <f t="shared" si="6"/>
        <v>2026.07</v>
      </c>
      <c r="B448" s="73" t="e">
        <v>#N/A</v>
      </c>
      <c r="C448" s="1365" t="e">
        <v>#N/A</v>
      </c>
      <c r="D448" s="430" t="e">
        <f t="shared" si="7"/>
        <v>#N/A</v>
      </c>
      <c r="E448" s="93" t="e">
        <v>#N/A</v>
      </c>
    </row>
    <row r="449" spans="1:5">
      <c r="A449" s="51">
        <f t="shared" si="6"/>
        <v>2026.08</v>
      </c>
      <c r="B449" s="73" t="e">
        <v>#N/A</v>
      </c>
      <c r="C449" s="1365" t="e">
        <v>#N/A</v>
      </c>
      <c r="D449" s="430" t="e">
        <f t="shared" si="7"/>
        <v>#N/A</v>
      </c>
      <c r="E449" s="93" t="e">
        <v>#N/A</v>
      </c>
    </row>
    <row r="450" spans="1:5">
      <c r="A450" s="51">
        <f t="shared" si="6"/>
        <v>2026.09</v>
      </c>
      <c r="B450" s="73" t="e">
        <v>#N/A</v>
      </c>
      <c r="C450" s="1365" t="e">
        <v>#N/A</v>
      </c>
      <c r="D450" s="430" t="e">
        <f t="shared" si="7"/>
        <v>#N/A</v>
      </c>
      <c r="E450" s="93" t="e">
        <v>#N/A</v>
      </c>
    </row>
    <row r="451" spans="1:5">
      <c r="A451" s="51">
        <f t="shared" si="6"/>
        <v>2026.1</v>
      </c>
      <c r="B451" s="73" t="e">
        <v>#N/A</v>
      </c>
      <c r="C451" s="1365" t="e">
        <v>#N/A</v>
      </c>
      <c r="D451" s="430" t="e">
        <f t="shared" si="7"/>
        <v>#N/A</v>
      </c>
      <c r="E451" s="93" t="e">
        <v>#N/A</v>
      </c>
    </row>
    <row r="452" spans="1:5">
      <c r="A452" s="51">
        <f t="shared" si="6"/>
        <v>2026.11</v>
      </c>
      <c r="B452" s="73" t="e">
        <v>#N/A</v>
      </c>
      <c r="C452" s="1365" t="e">
        <v>#N/A</v>
      </c>
      <c r="D452" s="430" t="e">
        <f t="shared" si="7"/>
        <v>#N/A</v>
      </c>
      <c r="E452" s="93" t="e">
        <v>#N/A</v>
      </c>
    </row>
    <row r="453" spans="1:5">
      <c r="A453" s="51">
        <f t="shared" si="6"/>
        <v>2026.12</v>
      </c>
      <c r="B453" s="73" t="e">
        <v>#N/A</v>
      </c>
      <c r="C453" s="1365" t="e">
        <v>#N/A</v>
      </c>
      <c r="D453" s="430" t="e">
        <f t="shared" si="7"/>
        <v>#N/A</v>
      </c>
      <c r="E453" s="93" t="e">
        <v>#N/A</v>
      </c>
    </row>
    <row r="454" spans="1:5">
      <c r="A454" s="51">
        <f t="shared" si="6"/>
        <v>2027.01</v>
      </c>
      <c r="B454" s="73" t="e">
        <v>#N/A</v>
      </c>
      <c r="C454" s="1365" t="e">
        <v>#N/A</v>
      </c>
      <c r="D454" s="430" t="e">
        <f t="shared" si="7"/>
        <v>#N/A</v>
      </c>
      <c r="E454" s="93" t="e">
        <v>#N/A</v>
      </c>
    </row>
    <row r="455" spans="1:5">
      <c r="A455" s="51">
        <f t="shared" si="6"/>
        <v>2027.02</v>
      </c>
      <c r="B455" s="73" t="e">
        <v>#N/A</v>
      </c>
      <c r="C455" s="1365" t="e">
        <v>#N/A</v>
      </c>
      <c r="D455" s="430" t="e">
        <f t="shared" si="7"/>
        <v>#N/A</v>
      </c>
      <c r="E455" s="93" t="e">
        <v>#N/A</v>
      </c>
    </row>
    <row r="456" spans="1:5">
      <c r="A456" s="51">
        <f t="shared" si="6"/>
        <v>2027.03</v>
      </c>
      <c r="B456" s="73" t="e">
        <v>#N/A</v>
      </c>
      <c r="C456" s="1365" t="e">
        <v>#N/A</v>
      </c>
      <c r="D456" s="430" t="e">
        <f t="shared" si="7"/>
        <v>#N/A</v>
      </c>
      <c r="E456" s="93" t="e">
        <v>#N/A</v>
      </c>
    </row>
    <row r="457" spans="1:5">
      <c r="A457" s="51">
        <f t="shared" si="6"/>
        <v>2027.04</v>
      </c>
      <c r="B457" s="73" t="e">
        <v>#N/A</v>
      </c>
      <c r="C457" s="1365" t="e">
        <v>#N/A</v>
      </c>
      <c r="D457" s="430" t="e">
        <f t="shared" si="7"/>
        <v>#N/A</v>
      </c>
      <c r="E457" s="93" t="e">
        <v>#N/A</v>
      </c>
    </row>
    <row r="458" spans="1:5">
      <c r="A458" s="51">
        <f t="shared" si="6"/>
        <v>2027.05</v>
      </c>
      <c r="B458" s="73" t="e">
        <v>#N/A</v>
      </c>
      <c r="C458" s="1365" t="e">
        <v>#N/A</v>
      </c>
      <c r="D458" s="430" t="e">
        <f t="shared" si="7"/>
        <v>#N/A</v>
      </c>
      <c r="E458" s="93" t="e">
        <v>#N/A</v>
      </c>
    </row>
    <row r="459" spans="1:5">
      <c r="A459" s="51">
        <f t="shared" si="6"/>
        <v>2027.06</v>
      </c>
      <c r="B459" s="73" t="e">
        <v>#N/A</v>
      </c>
      <c r="C459" s="1365" t="e">
        <v>#N/A</v>
      </c>
      <c r="D459" s="430" t="e">
        <f t="shared" ref="D459:D464" si="8">B459-C459</f>
        <v>#N/A</v>
      </c>
      <c r="E459" s="93" t="e">
        <v>#N/A</v>
      </c>
    </row>
    <row r="460" spans="1:5">
      <c r="A460" s="51">
        <f t="shared" si="6"/>
        <v>2027.07</v>
      </c>
      <c r="B460" s="73" t="e">
        <v>#N/A</v>
      </c>
      <c r="C460" s="1365" t="e">
        <v>#N/A</v>
      </c>
      <c r="D460" s="430" t="e">
        <f t="shared" si="8"/>
        <v>#N/A</v>
      </c>
      <c r="E460" s="93" t="e">
        <v>#N/A</v>
      </c>
    </row>
    <row r="461" spans="1:5">
      <c r="A461" s="51">
        <f t="shared" si="6"/>
        <v>2027.08</v>
      </c>
      <c r="B461" s="73" t="e">
        <v>#N/A</v>
      </c>
      <c r="C461" s="1365" t="e">
        <v>#N/A</v>
      </c>
      <c r="D461" s="430" t="e">
        <f t="shared" si="8"/>
        <v>#N/A</v>
      </c>
      <c r="E461" s="93" t="e">
        <v>#N/A</v>
      </c>
    </row>
    <row r="462" spans="1:5">
      <c r="A462" s="51">
        <f t="shared" si="6"/>
        <v>2027.09</v>
      </c>
      <c r="B462" s="73" t="e">
        <v>#N/A</v>
      </c>
      <c r="C462" s="1365" t="e">
        <v>#N/A</v>
      </c>
      <c r="D462" s="430" t="e">
        <f t="shared" si="8"/>
        <v>#N/A</v>
      </c>
      <c r="E462" s="93" t="e">
        <v>#N/A</v>
      </c>
    </row>
    <row r="463" spans="1:5">
      <c r="A463" s="51">
        <f t="shared" si="6"/>
        <v>2027.1</v>
      </c>
      <c r="B463" s="73" t="e">
        <v>#N/A</v>
      </c>
      <c r="C463" s="1365" t="e">
        <v>#N/A</v>
      </c>
      <c r="D463" s="430" t="e">
        <f t="shared" si="8"/>
        <v>#N/A</v>
      </c>
      <c r="E463" s="93" t="e">
        <v>#N/A</v>
      </c>
    </row>
    <row r="464" spans="1:5">
      <c r="A464" s="51">
        <f t="shared" si="6"/>
        <v>2027.11</v>
      </c>
      <c r="B464" s="73" t="e">
        <v>#N/A</v>
      </c>
      <c r="C464" s="1365" t="e">
        <v>#N/A</v>
      </c>
      <c r="D464" s="430" t="e">
        <f t="shared" si="8"/>
        <v>#N/A</v>
      </c>
      <c r="E464" s="93" t="e">
        <v>#N/A</v>
      </c>
    </row>
    <row r="465" spans="1:5">
      <c r="A465" s="51">
        <f t="shared" si="6"/>
        <v>2027.12</v>
      </c>
      <c r="B465" s="73" t="e">
        <v>#N/A</v>
      </c>
      <c r="C465" s="1365" t="e">
        <v>#N/A</v>
      </c>
      <c r="D465" s="430" t="e">
        <f>B465-C465</f>
        <v>#N/A</v>
      </c>
      <c r="E465" s="93" t="e">
        <v>#N/A</v>
      </c>
    </row>
    <row r="466" spans="1:5">
      <c r="A466" s="51">
        <f t="shared" si="6"/>
        <v>2028.01</v>
      </c>
      <c r="B466" s="73" t="e">
        <v>#N/A</v>
      </c>
      <c r="C466" s="1365" t="e">
        <v>#N/A</v>
      </c>
      <c r="D466" s="430" t="e">
        <f t="shared" ref="D466:D477" si="9">B466-C466</f>
        <v>#N/A</v>
      </c>
      <c r="E466" s="93" t="e">
        <v>#N/A</v>
      </c>
    </row>
    <row r="467" spans="1:5">
      <c r="A467" s="51">
        <f t="shared" si="6"/>
        <v>2028.02</v>
      </c>
      <c r="B467" s="73" t="e">
        <v>#N/A</v>
      </c>
      <c r="C467" s="1365" t="e">
        <v>#N/A</v>
      </c>
      <c r="D467" s="430" t="e">
        <f t="shared" si="9"/>
        <v>#N/A</v>
      </c>
      <c r="E467" s="93" t="e">
        <v>#N/A</v>
      </c>
    </row>
    <row r="468" spans="1:5">
      <c r="A468" s="51">
        <f t="shared" si="6"/>
        <v>2028.03</v>
      </c>
      <c r="B468" s="73" t="e">
        <v>#N/A</v>
      </c>
      <c r="C468" s="1365" t="e">
        <v>#N/A</v>
      </c>
      <c r="D468" s="430" t="e">
        <f t="shared" si="9"/>
        <v>#N/A</v>
      </c>
      <c r="E468" s="93" t="e">
        <v>#N/A</v>
      </c>
    </row>
    <row r="469" spans="1:5">
      <c r="A469" s="51">
        <f t="shared" si="6"/>
        <v>2028.04</v>
      </c>
      <c r="B469" s="73" t="e">
        <v>#N/A</v>
      </c>
      <c r="C469" s="1365" t="e">
        <v>#N/A</v>
      </c>
      <c r="D469" s="430" t="e">
        <f t="shared" si="9"/>
        <v>#N/A</v>
      </c>
      <c r="E469" s="93" t="e">
        <v>#N/A</v>
      </c>
    </row>
    <row r="470" spans="1:5">
      <c r="A470" s="51">
        <f t="shared" si="6"/>
        <v>2028.05</v>
      </c>
      <c r="B470" s="73" t="e">
        <v>#N/A</v>
      </c>
      <c r="C470" s="1365" t="e">
        <v>#N/A</v>
      </c>
      <c r="D470" s="430" t="e">
        <f t="shared" si="9"/>
        <v>#N/A</v>
      </c>
      <c r="E470" s="93" t="e">
        <v>#N/A</v>
      </c>
    </row>
    <row r="471" spans="1:5">
      <c r="A471" s="51">
        <f t="shared" si="6"/>
        <v>2028.06</v>
      </c>
      <c r="B471" s="73" t="e">
        <v>#N/A</v>
      </c>
      <c r="C471" s="1365" t="e">
        <v>#N/A</v>
      </c>
      <c r="D471" s="430" t="e">
        <f t="shared" si="9"/>
        <v>#N/A</v>
      </c>
      <c r="E471" s="93" t="e">
        <v>#N/A</v>
      </c>
    </row>
    <row r="472" spans="1:5">
      <c r="A472" s="51">
        <f t="shared" si="6"/>
        <v>2028.07</v>
      </c>
      <c r="B472" s="73" t="e">
        <v>#N/A</v>
      </c>
      <c r="C472" s="1365" t="e">
        <v>#N/A</v>
      </c>
      <c r="D472" s="430" t="e">
        <f t="shared" si="9"/>
        <v>#N/A</v>
      </c>
      <c r="E472" s="93" t="e">
        <v>#N/A</v>
      </c>
    </row>
    <row r="473" spans="1:5">
      <c r="A473" s="51">
        <f t="shared" ref="A473:A501" si="10">A461+1</f>
        <v>2028.08</v>
      </c>
      <c r="B473" s="73" t="e">
        <v>#N/A</v>
      </c>
      <c r="C473" s="1365" t="e">
        <v>#N/A</v>
      </c>
      <c r="D473" s="430" t="e">
        <f t="shared" si="9"/>
        <v>#N/A</v>
      </c>
      <c r="E473" s="93" t="e">
        <v>#N/A</v>
      </c>
    </row>
    <row r="474" spans="1:5">
      <c r="A474" s="51">
        <f t="shared" si="10"/>
        <v>2028.09</v>
      </c>
      <c r="B474" s="73" t="e">
        <v>#N/A</v>
      </c>
      <c r="C474" s="1365" t="e">
        <v>#N/A</v>
      </c>
      <c r="D474" s="430" t="e">
        <f t="shared" si="9"/>
        <v>#N/A</v>
      </c>
      <c r="E474" s="93" t="e">
        <v>#N/A</v>
      </c>
    </row>
    <row r="475" spans="1:5">
      <c r="A475" s="51">
        <f t="shared" si="10"/>
        <v>2028.1</v>
      </c>
      <c r="B475" s="73" t="e">
        <v>#N/A</v>
      </c>
      <c r="C475" s="1365" t="e">
        <v>#N/A</v>
      </c>
      <c r="D475" s="430" t="e">
        <f t="shared" si="9"/>
        <v>#N/A</v>
      </c>
      <c r="E475" s="93" t="e">
        <v>#N/A</v>
      </c>
    </row>
    <row r="476" spans="1:5">
      <c r="A476" s="51">
        <f t="shared" si="10"/>
        <v>2028.11</v>
      </c>
      <c r="B476" s="73" t="e">
        <v>#N/A</v>
      </c>
      <c r="C476" s="1365" t="e">
        <v>#N/A</v>
      </c>
      <c r="D476" s="430" t="e">
        <f t="shared" si="9"/>
        <v>#N/A</v>
      </c>
      <c r="E476" s="93" t="e">
        <v>#N/A</v>
      </c>
    </row>
    <row r="477" spans="1:5">
      <c r="A477" s="51">
        <f t="shared" si="10"/>
        <v>2028.12</v>
      </c>
      <c r="B477" s="73" t="e">
        <v>#N/A</v>
      </c>
      <c r="C477" s="1365" t="e">
        <v>#N/A</v>
      </c>
      <c r="D477" s="430" t="e">
        <f t="shared" si="9"/>
        <v>#N/A</v>
      </c>
      <c r="E477" s="93" t="e">
        <v>#N/A</v>
      </c>
    </row>
    <row r="478" spans="1:5">
      <c r="A478" s="51">
        <f t="shared" si="10"/>
        <v>2029.01</v>
      </c>
      <c r="B478" s="73" t="e">
        <v>#N/A</v>
      </c>
      <c r="C478" s="1365" t="e">
        <v>#N/A</v>
      </c>
      <c r="D478" s="430" t="e">
        <f>B478-C478</f>
        <v>#N/A</v>
      </c>
      <c r="E478" s="93" t="e">
        <v>#N/A</v>
      </c>
    </row>
    <row r="479" spans="1:5">
      <c r="A479" s="51">
        <f t="shared" si="10"/>
        <v>2029.02</v>
      </c>
      <c r="B479" s="73" t="e">
        <v>#N/A</v>
      </c>
      <c r="C479" s="1365" t="e">
        <v>#N/A</v>
      </c>
      <c r="D479" s="430" t="e">
        <f t="shared" ref="D479:D489" si="11">B479-C479</f>
        <v>#N/A</v>
      </c>
      <c r="E479" s="93" t="e">
        <v>#N/A</v>
      </c>
    </row>
    <row r="480" spans="1:5">
      <c r="A480" s="51">
        <f t="shared" si="10"/>
        <v>2029.03</v>
      </c>
      <c r="B480" s="73" t="e">
        <v>#N/A</v>
      </c>
      <c r="C480" s="1365" t="e">
        <v>#N/A</v>
      </c>
      <c r="D480" s="430" t="e">
        <f t="shared" si="11"/>
        <v>#N/A</v>
      </c>
      <c r="E480" s="93" t="e">
        <v>#N/A</v>
      </c>
    </row>
    <row r="481" spans="1:5">
      <c r="A481" s="51">
        <f t="shared" si="10"/>
        <v>2029.04</v>
      </c>
      <c r="B481" s="73" t="e">
        <v>#N/A</v>
      </c>
      <c r="C481" s="1365" t="e">
        <v>#N/A</v>
      </c>
      <c r="D481" s="430" t="e">
        <f t="shared" si="11"/>
        <v>#N/A</v>
      </c>
      <c r="E481" s="93" t="e">
        <v>#N/A</v>
      </c>
    </row>
    <row r="482" spans="1:5">
      <c r="A482" s="51">
        <f t="shared" si="10"/>
        <v>2029.05</v>
      </c>
      <c r="B482" s="73" t="e">
        <v>#N/A</v>
      </c>
      <c r="C482" s="1365" t="e">
        <v>#N/A</v>
      </c>
      <c r="D482" s="430" t="e">
        <f t="shared" si="11"/>
        <v>#N/A</v>
      </c>
      <c r="E482" s="93" t="e">
        <v>#N/A</v>
      </c>
    </row>
    <row r="483" spans="1:5">
      <c r="A483" s="51">
        <f t="shared" si="10"/>
        <v>2029.06</v>
      </c>
      <c r="B483" s="73" t="e">
        <v>#N/A</v>
      </c>
      <c r="C483" s="1365" t="e">
        <v>#N/A</v>
      </c>
      <c r="D483" s="430" t="e">
        <f t="shared" si="11"/>
        <v>#N/A</v>
      </c>
      <c r="E483" s="93" t="e">
        <v>#N/A</v>
      </c>
    </row>
    <row r="484" spans="1:5">
      <c r="A484" s="51">
        <f t="shared" si="10"/>
        <v>2029.07</v>
      </c>
      <c r="B484" s="73" t="e">
        <v>#N/A</v>
      </c>
      <c r="C484" s="1365" t="e">
        <v>#N/A</v>
      </c>
      <c r="D484" s="430" t="e">
        <f t="shared" si="11"/>
        <v>#N/A</v>
      </c>
      <c r="E484" s="93" t="e">
        <v>#N/A</v>
      </c>
    </row>
    <row r="485" spans="1:5">
      <c r="A485" s="51">
        <f t="shared" si="10"/>
        <v>2029.08</v>
      </c>
      <c r="B485" s="73" t="e">
        <v>#N/A</v>
      </c>
      <c r="C485" s="1365" t="e">
        <v>#N/A</v>
      </c>
      <c r="D485" s="430" t="e">
        <f t="shared" si="11"/>
        <v>#N/A</v>
      </c>
      <c r="E485" s="93" t="e">
        <v>#N/A</v>
      </c>
    </row>
    <row r="486" spans="1:5">
      <c r="A486" s="51">
        <f t="shared" si="10"/>
        <v>2029.09</v>
      </c>
      <c r="B486" s="73" t="e">
        <v>#N/A</v>
      </c>
      <c r="C486" s="1365" t="e">
        <v>#N/A</v>
      </c>
      <c r="D486" s="430" t="e">
        <f t="shared" si="11"/>
        <v>#N/A</v>
      </c>
      <c r="E486" s="93" t="e">
        <v>#N/A</v>
      </c>
    </row>
    <row r="487" spans="1:5">
      <c r="A487" s="51">
        <f t="shared" si="10"/>
        <v>2029.1</v>
      </c>
      <c r="B487" s="73" t="e">
        <v>#N/A</v>
      </c>
      <c r="C487" s="1365" t="e">
        <v>#N/A</v>
      </c>
      <c r="D487" s="430" t="e">
        <f t="shared" si="11"/>
        <v>#N/A</v>
      </c>
      <c r="E487" s="93" t="e">
        <v>#N/A</v>
      </c>
    </row>
    <row r="488" spans="1:5">
      <c r="A488" s="51">
        <f t="shared" si="10"/>
        <v>2029.11</v>
      </c>
      <c r="B488" s="73" t="e">
        <v>#N/A</v>
      </c>
      <c r="C488" s="1365" t="e">
        <v>#N/A</v>
      </c>
      <c r="D488" s="430" t="e">
        <f t="shared" si="11"/>
        <v>#N/A</v>
      </c>
      <c r="E488" s="93" t="e">
        <v>#N/A</v>
      </c>
    </row>
    <row r="489" spans="1:5">
      <c r="A489" s="51">
        <f t="shared" si="10"/>
        <v>2029.12</v>
      </c>
      <c r="B489" s="73" t="e">
        <v>#N/A</v>
      </c>
      <c r="C489" s="1365" t="e">
        <v>#N/A</v>
      </c>
      <c r="D489" s="430" t="e">
        <f t="shared" si="11"/>
        <v>#N/A</v>
      </c>
      <c r="E489" s="93" t="e">
        <v>#N/A</v>
      </c>
    </row>
    <row r="490" spans="1:5">
      <c r="A490" s="51">
        <f t="shared" si="10"/>
        <v>2030.01</v>
      </c>
      <c r="B490" s="73" t="e">
        <v>#N/A</v>
      </c>
      <c r="C490" s="1365" t="e">
        <v>#N/A</v>
      </c>
      <c r="D490" s="430" t="e">
        <f>B490-C490</f>
        <v>#N/A</v>
      </c>
      <c r="E490" s="93" t="e">
        <v>#N/A</v>
      </c>
    </row>
    <row r="491" spans="1:5">
      <c r="A491" s="51">
        <f t="shared" si="10"/>
        <v>2030.02</v>
      </c>
      <c r="B491" s="73" t="e">
        <v>#N/A</v>
      </c>
      <c r="C491" s="1365" t="e">
        <v>#N/A</v>
      </c>
      <c r="D491" s="430" t="e">
        <f t="shared" ref="D491:D499" si="12">B491-C491</f>
        <v>#N/A</v>
      </c>
      <c r="E491" s="93" t="e">
        <v>#N/A</v>
      </c>
    </row>
    <row r="492" spans="1:5">
      <c r="A492" s="51">
        <f t="shared" si="10"/>
        <v>2030.03</v>
      </c>
      <c r="B492" s="73" t="e">
        <v>#N/A</v>
      </c>
      <c r="C492" s="1365" t="e">
        <v>#N/A</v>
      </c>
      <c r="D492" s="430" t="e">
        <f t="shared" si="12"/>
        <v>#N/A</v>
      </c>
      <c r="E492" s="93" t="e">
        <v>#N/A</v>
      </c>
    </row>
    <row r="493" spans="1:5">
      <c r="A493" s="51">
        <f t="shared" si="10"/>
        <v>2030.04</v>
      </c>
      <c r="B493" s="73" t="e">
        <v>#N/A</v>
      </c>
      <c r="C493" s="1365" t="e">
        <v>#N/A</v>
      </c>
      <c r="D493" s="430" t="e">
        <f t="shared" si="12"/>
        <v>#N/A</v>
      </c>
      <c r="E493" s="93" t="e">
        <v>#N/A</v>
      </c>
    </row>
    <row r="494" spans="1:5">
      <c r="A494" s="51">
        <f t="shared" si="10"/>
        <v>2030.05</v>
      </c>
      <c r="B494" s="73" t="e">
        <v>#N/A</v>
      </c>
      <c r="C494" s="1365" t="e">
        <v>#N/A</v>
      </c>
      <c r="D494" s="430" t="e">
        <f t="shared" si="12"/>
        <v>#N/A</v>
      </c>
      <c r="E494" s="93" t="e">
        <v>#N/A</v>
      </c>
    </row>
    <row r="495" spans="1:5">
      <c r="A495" s="51">
        <f t="shared" si="10"/>
        <v>2030.06</v>
      </c>
      <c r="B495" s="73" t="e">
        <v>#N/A</v>
      </c>
      <c r="C495" s="1365" t="e">
        <v>#N/A</v>
      </c>
      <c r="D495" s="430" t="e">
        <f t="shared" si="12"/>
        <v>#N/A</v>
      </c>
      <c r="E495" s="93" t="e">
        <v>#N/A</v>
      </c>
    </row>
    <row r="496" spans="1:5">
      <c r="A496" s="51">
        <f t="shared" si="10"/>
        <v>2030.07</v>
      </c>
      <c r="B496" s="73" t="e">
        <v>#N/A</v>
      </c>
      <c r="C496" s="1365" t="e">
        <v>#N/A</v>
      </c>
      <c r="D496" s="430" t="e">
        <f t="shared" si="12"/>
        <v>#N/A</v>
      </c>
      <c r="E496" s="93" t="e">
        <v>#N/A</v>
      </c>
    </row>
    <row r="497" spans="1:5">
      <c r="A497" s="51">
        <f t="shared" si="10"/>
        <v>2030.08</v>
      </c>
      <c r="B497" s="73" t="e">
        <v>#N/A</v>
      </c>
      <c r="C497" s="1365" t="e">
        <v>#N/A</v>
      </c>
      <c r="D497" s="430" t="e">
        <f t="shared" si="12"/>
        <v>#N/A</v>
      </c>
      <c r="E497" s="93" t="e">
        <v>#N/A</v>
      </c>
    </row>
    <row r="498" spans="1:5">
      <c r="A498" s="51">
        <f t="shared" si="10"/>
        <v>2030.09</v>
      </c>
      <c r="B498" s="73" t="e">
        <v>#N/A</v>
      </c>
      <c r="C498" s="1365" t="e">
        <v>#N/A</v>
      </c>
      <c r="D498" s="430" t="e">
        <f t="shared" si="12"/>
        <v>#N/A</v>
      </c>
      <c r="E498" s="93" t="e">
        <v>#N/A</v>
      </c>
    </row>
    <row r="499" spans="1:5">
      <c r="A499" s="51">
        <f t="shared" si="10"/>
        <v>2030.1</v>
      </c>
      <c r="B499" s="73" t="e">
        <v>#N/A</v>
      </c>
      <c r="C499" s="1365" t="e">
        <v>#N/A</v>
      </c>
      <c r="D499" s="430" t="e">
        <f t="shared" si="12"/>
        <v>#N/A</v>
      </c>
      <c r="E499" s="93" t="e">
        <v>#N/A</v>
      </c>
    </row>
    <row r="500" spans="1:5">
      <c r="A500" s="51">
        <f t="shared" si="10"/>
        <v>2030.11</v>
      </c>
      <c r="B500" s="73" t="e">
        <v>#N/A</v>
      </c>
      <c r="C500" s="1365" t="e">
        <v>#N/A</v>
      </c>
      <c r="D500" s="430" t="e">
        <f>B500-C500</f>
        <v>#N/A</v>
      </c>
      <c r="E500" s="93" t="e">
        <v>#N/A</v>
      </c>
    </row>
    <row r="501" spans="1:5">
      <c r="A501" s="51">
        <f t="shared" si="10"/>
        <v>2030.12</v>
      </c>
      <c r="B501" s="73" t="e">
        <v>#N/A</v>
      </c>
      <c r="C501" s="1365" t="e">
        <v>#N/A</v>
      </c>
      <c r="D501" s="430" t="e">
        <f t="shared" ref="D501" si="13">B501-C501</f>
        <v>#N/A</v>
      </c>
      <c r="E501" s="93" t="e">
        <v>#N/A</v>
      </c>
    </row>
  </sheetData>
  <phoneticPr fontId="58" type="noConversion"/>
  <hyperlinks>
    <hyperlink ref="A5" location="INDICE!A13" display="VOLVER AL INDICE" xr:uid="{00000000-0004-0000-2A00-000000000000}"/>
  </hyperlinks>
  <pageMargins left="0.75" right="0.75" top="1" bottom="1" header="0" footer="0"/>
  <pageSetup paperSize="9"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533"/>
  <sheetViews>
    <sheetView zoomScale="115" zoomScaleNormal="115" workbookViewId="0">
      <pane xSplit="1" ySplit="9" topLeftCell="B158" activePane="bottomRight" state="frozen"/>
      <selection pane="topRight" activeCell="B1" sqref="B1"/>
      <selection pane="bottomLeft" activeCell="A10" sqref="A10"/>
      <selection pane="bottomRight" activeCell="A5" sqref="A5"/>
    </sheetView>
  </sheetViews>
  <sheetFormatPr baseColWidth="10" defaultColWidth="11.42578125" defaultRowHeight="15"/>
  <cols>
    <col min="1" max="8" width="11.5703125" style="1024" customWidth="1"/>
    <col min="9" max="16384" width="11.42578125" style="1024"/>
  </cols>
  <sheetData>
    <row r="1" spans="1:9" ht="2.25" customHeight="1">
      <c r="A1" s="1023"/>
      <c r="B1" s="1486"/>
      <c r="C1" s="1487"/>
      <c r="D1" s="1487"/>
      <c r="E1" s="1486"/>
      <c r="F1" s="1487"/>
      <c r="G1" s="1487"/>
      <c r="I1" s="1488"/>
    </row>
    <row r="2" spans="1:9" ht="24" customHeight="1">
      <c r="A2" s="121" t="s">
        <v>212</v>
      </c>
      <c r="B2" s="1056" t="s">
        <v>875</v>
      </c>
      <c r="C2" s="1057"/>
      <c r="D2" s="1057"/>
      <c r="E2" s="1057" t="s">
        <v>878</v>
      </c>
      <c r="F2" s="1057"/>
      <c r="G2" s="1057"/>
      <c r="H2" s="1058" t="s">
        <v>1177</v>
      </c>
      <c r="I2" s="1059"/>
    </row>
    <row r="3" spans="1:9">
      <c r="A3" s="121" t="s">
        <v>211</v>
      </c>
      <c r="B3" s="1025" t="s">
        <v>1178</v>
      </c>
      <c r="C3" s="1026"/>
      <c r="D3" s="1027"/>
      <c r="E3" s="1025"/>
      <c r="F3" s="1026"/>
      <c r="G3" s="1027"/>
      <c r="H3" s="1025"/>
      <c r="I3" s="1028"/>
    </row>
    <row r="4" spans="1:9" ht="1.5" customHeight="1">
      <c r="A4" s="121"/>
      <c r="B4" s="1060"/>
      <c r="C4" s="1060"/>
      <c r="D4" s="1060"/>
      <c r="E4" s="1060"/>
      <c r="F4" s="1060"/>
      <c r="G4" s="1060"/>
      <c r="H4" s="1060"/>
      <c r="I4" s="1061"/>
    </row>
    <row r="5" spans="1:9" ht="67.5">
      <c r="A5" s="45" t="s">
        <v>213</v>
      </c>
      <c r="B5" s="1052" t="s">
        <v>1179</v>
      </c>
      <c r="C5" s="1053" t="s">
        <v>1180</v>
      </c>
      <c r="D5" s="1054" t="s">
        <v>1181</v>
      </c>
      <c r="E5" s="1055" t="s">
        <v>1182</v>
      </c>
      <c r="F5" s="1053" t="s">
        <v>1183</v>
      </c>
      <c r="G5" s="1054" t="s">
        <v>1184</v>
      </c>
      <c r="H5" s="1055" t="s">
        <v>1197</v>
      </c>
      <c r="I5" s="1477" t="s">
        <v>1198</v>
      </c>
    </row>
    <row r="6" spans="1:9" ht="2.25" customHeight="1">
      <c r="A6" s="1029"/>
      <c r="B6" s="1062"/>
      <c r="C6" s="1063"/>
      <c r="D6" s="1063"/>
      <c r="E6" s="1063"/>
      <c r="F6" s="1063"/>
      <c r="G6" s="1063"/>
      <c r="H6" s="1063"/>
      <c r="I6" s="1478"/>
    </row>
    <row r="7" spans="1:9" ht="22.5">
      <c r="A7" s="47" t="s">
        <v>210</v>
      </c>
      <c r="B7" s="1064" t="s">
        <v>956</v>
      </c>
      <c r="C7" s="1065" t="s">
        <v>956</v>
      </c>
      <c r="D7" s="1066" t="s">
        <v>956</v>
      </c>
      <c r="E7" s="1064" t="s">
        <v>956</v>
      </c>
      <c r="F7" s="1065" t="s">
        <v>956</v>
      </c>
      <c r="G7" s="1066" t="s">
        <v>956</v>
      </c>
      <c r="H7" s="1064" t="s">
        <v>956</v>
      </c>
      <c r="I7" s="1479" t="s">
        <v>956</v>
      </c>
    </row>
    <row r="8" spans="1:9">
      <c r="A8" s="390" t="s">
        <v>412</v>
      </c>
      <c r="B8" s="1030" t="s">
        <v>1185</v>
      </c>
      <c r="C8" s="1031" t="s">
        <v>1186</v>
      </c>
      <c r="D8" s="1032" t="s">
        <v>1187</v>
      </c>
      <c r="E8" s="1030" t="s">
        <v>1188</v>
      </c>
      <c r="F8" s="1031" t="s">
        <v>1189</v>
      </c>
      <c r="G8" s="1032" t="s">
        <v>1190</v>
      </c>
      <c r="H8" s="1475" t="s">
        <v>1191</v>
      </c>
      <c r="I8" s="1480" t="s">
        <v>1192</v>
      </c>
    </row>
    <row r="9" spans="1:9" ht="3" customHeight="1">
      <c r="A9" s="52"/>
      <c r="B9" s="1033"/>
      <c r="C9" s="1034"/>
      <c r="D9" s="1035"/>
      <c r="E9" s="1036"/>
      <c r="F9" s="1034"/>
      <c r="G9" s="1035"/>
      <c r="H9" s="1036"/>
      <c r="I9" s="1481"/>
    </row>
    <row r="10" spans="1:9">
      <c r="A10" s="1037">
        <v>1986.1</v>
      </c>
      <c r="B10" s="1038">
        <v>17.497890999999999</v>
      </c>
      <c r="C10" s="1039">
        <v>69.843274999999991</v>
      </c>
      <c r="D10" s="1040">
        <v>25.053079</v>
      </c>
      <c r="E10" s="1485">
        <v>16.405251</v>
      </c>
      <c r="F10" s="1039">
        <v>94.940759999999997</v>
      </c>
      <c r="G10" s="1051">
        <v>17.279460999999998</v>
      </c>
      <c r="H10" s="1476">
        <v>73.56510999999999</v>
      </c>
      <c r="I10" s="1482">
        <f>B10/F10*100</f>
        <v>18.430325394488101</v>
      </c>
    </row>
    <row r="11" spans="1:9">
      <c r="A11" s="1037">
        <v>1986.2</v>
      </c>
      <c r="B11" s="1041">
        <v>22.766632999999999</v>
      </c>
      <c r="C11" s="1042">
        <v>72.703974000000002</v>
      </c>
      <c r="D11" s="1041">
        <v>31.314152</v>
      </c>
      <c r="E11" s="1043">
        <v>20.557683999999998</v>
      </c>
      <c r="F11" s="1042">
        <v>97.572072999999989</v>
      </c>
      <c r="G11" s="1044">
        <v>21.069229</v>
      </c>
      <c r="H11" s="1041">
        <v>74.513097999999999</v>
      </c>
      <c r="I11" s="1483">
        <f>B11/F11*100</f>
        <v>23.333144720621036</v>
      </c>
    </row>
    <row r="12" spans="1:9">
      <c r="A12" s="1037">
        <v>1986.3</v>
      </c>
      <c r="B12" s="1041">
        <v>21.944872999999998</v>
      </c>
      <c r="C12" s="1042">
        <v>74.478963999999991</v>
      </c>
      <c r="D12" s="1041">
        <v>29.464524999999998</v>
      </c>
      <c r="E12" s="1043">
        <v>24.356791999999999</v>
      </c>
      <c r="F12" s="1042">
        <v>96.965701999999993</v>
      </c>
      <c r="G12" s="1044">
        <v>25.118976</v>
      </c>
      <c r="H12" s="1041">
        <v>76.809595999999999</v>
      </c>
      <c r="I12" s="1483">
        <f t="shared" ref="I12:I75" si="0">B12/F12*100</f>
        <v>22.631582660021373</v>
      </c>
    </row>
    <row r="13" spans="1:9">
      <c r="A13" s="1037">
        <v>1986.4</v>
      </c>
      <c r="B13" s="1041">
        <v>17.062532000000001</v>
      </c>
      <c r="C13" s="1042">
        <v>73.36052699999999</v>
      </c>
      <c r="D13" s="1041">
        <v>23.258464</v>
      </c>
      <c r="E13" s="1043">
        <v>23.048743999999999</v>
      </c>
      <c r="F13" s="1042">
        <v>95.824547999999993</v>
      </c>
      <c r="G13" s="1044">
        <v>24.053068</v>
      </c>
      <c r="H13" s="1041">
        <v>76.557132999999993</v>
      </c>
      <c r="I13" s="1483">
        <f t="shared" si="0"/>
        <v>17.806013548845545</v>
      </c>
    </row>
    <row r="14" spans="1:9">
      <c r="A14" s="1037">
        <f>A10+1</f>
        <v>1987.1</v>
      </c>
      <c r="B14" s="1041">
        <v>16.736376</v>
      </c>
      <c r="C14" s="1042">
        <v>70.648290000000003</v>
      </c>
      <c r="D14" s="1041">
        <v>23.689712</v>
      </c>
      <c r="E14" s="1043">
        <v>21.382617</v>
      </c>
      <c r="F14" s="1042">
        <v>95.836187999999993</v>
      </c>
      <c r="G14" s="1044">
        <v>22.311630999999998</v>
      </c>
      <c r="H14" s="1041">
        <v>73.717759000000001</v>
      </c>
      <c r="I14" s="1483">
        <f t="shared" si="0"/>
        <v>17.463524321313784</v>
      </c>
    </row>
    <row r="15" spans="1:9">
      <c r="A15" s="1037">
        <f t="shared" ref="A15:A78" si="1">A11+1</f>
        <v>1987.2</v>
      </c>
      <c r="B15" s="1041">
        <v>20.144451</v>
      </c>
      <c r="C15" s="1042">
        <v>74.218268999999992</v>
      </c>
      <c r="D15" s="1041">
        <v>27.142173</v>
      </c>
      <c r="E15" s="1043">
        <v>24.580774999999999</v>
      </c>
      <c r="F15" s="1042">
        <v>91.91807399999999</v>
      </c>
      <c r="G15" s="1044">
        <v>26.742048</v>
      </c>
      <c r="H15" s="1041">
        <v>80.743933999999996</v>
      </c>
      <c r="I15" s="1483">
        <f t="shared" si="0"/>
        <v>21.915658285007151</v>
      </c>
    </row>
    <row r="16" spans="1:9">
      <c r="A16" s="1037">
        <f t="shared" si="1"/>
        <v>1987.3</v>
      </c>
      <c r="B16" s="1041">
        <v>18.735963999999999</v>
      </c>
      <c r="C16" s="1042">
        <v>79.580315999999996</v>
      </c>
      <c r="D16" s="1041">
        <v>23.543465999999999</v>
      </c>
      <c r="E16" s="1043">
        <v>29.095948999999997</v>
      </c>
      <c r="F16" s="1042">
        <v>89.221168999999989</v>
      </c>
      <c r="G16" s="1044">
        <v>32.611038000000001</v>
      </c>
      <c r="H16" s="1041">
        <v>89.194432999999989</v>
      </c>
      <c r="I16" s="1483">
        <f t="shared" si="0"/>
        <v>20.999460341076681</v>
      </c>
    </row>
    <row r="17" spans="1:9">
      <c r="A17" s="1037">
        <f t="shared" si="1"/>
        <v>1987.4</v>
      </c>
      <c r="B17" s="1041">
        <v>18.083829999999999</v>
      </c>
      <c r="C17" s="1042">
        <v>80.017229</v>
      </c>
      <c r="D17" s="1041">
        <v>22.599919999999997</v>
      </c>
      <c r="E17" s="1043">
        <v>28.620681999999999</v>
      </c>
      <c r="F17" s="1042">
        <v>100.52935100000001</v>
      </c>
      <c r="G17" s="1044">
        <v>28.469975999999999</v>
      </c>
      <c r="H17" s="1041">
        <v>79.595888000000002</v>
      </c>
      <c r="I17" s="1483">
        <f t="shared" si="0"/>
        <v>17.988607128280375</v>
      </c>
    </row>
    <row r="18" spans="1:9">
      <c r="A18" s="1037">
        <f t="shared" si="1"/>
        <v>1988.1</v>
      </c>
      <c r="B18" s="1041">
        <v>19.886005000000001</v>
      </c>
      <c r="C18" s="1042">
        <v>80.68737999999999</v>
      </c>
      <c r="D18" s="1041">
        <v>24.645744000000001</v>
      </c>
      <c r="E18" s="1043">
        <v>20.757263999999999</v>
      </c>
      <c r="F18" s="1042">
        <v>100.53785499999999</v>
      </c>
      <c r="G18" s="1044">
        <v>20.646217</v>
      </c>
      <c r="H18" s="1041">
        <v>80.255719999999997</v>
      </c>
      <c r="I18" s="1483">
        <f t="shared" si="0"/>
        <v>19.77961932846091</v>
      </c>
    </row>
    <row r="19" spans="1:9">
      <c r="A19" s="1037">
        <f t="shared" si="1"/>
        <v>1988.2</v>
      </c>
      <c r="B19" s="1041">
        <v>26.578254999999999</v>
      </c>
      <c r="C19" s="1042">
        <v>85.181072</v>
      </c>
      <c r="D19" s="1041">
        <v>31.202065999999999</v>
      </c>
      <c r="E19" s="1043">
        <v>25.062417</v>
      </c>
      <c r="F19" s="1042">
        <v>98.469493999999997</v>
      </c>
      <c r="G19" s="1044">
        <v>25.451960999999997</v>
      </c>
      <c r="H19" s="1041">
        <v>86.505037000000002</v>
      </c>
      <c r="I19" s="1483">
        <f t="shared" si="0"/>
        <v>26.991359374711521</v>
      </c>
    </row>
    <row r="20" spans="1:9">
      <c r="A20" s="1037">
        <f t="shared" si="1"/>
        <v>1988.3</v>
      </c>
      <c r="B20" s="1041">
        <v>30.973917</v>
      </c>
      <c r="C20" s="1042">
        <v>91.683137000000002</v>
      </c>
      <c r="D20" s="1041">
        <v>33.783656999999998</v>
      </c>
      <c r="E20" s="1043">
        <v>25.963607999999997</v>
      </c>
      <c r="F20" s="1042">
        <v>95.678249999999991</v>
      </c>
      <c r="G20" s="1044">
        <v>27.136374</v>
      </c>
      <c r="H20" s="1041">
        <v>95.824429999999992</v>
      </c>
      <c r="I20" s="1483">
        <f t="shared" si="0"/>
        <v>32.372996997750278</v>
      </c>
    </row>
    <row r="21" spans="1:9">
      <c r="A21" s="1037">
        <f t="shared" si="1"/>
        <v>1988.4</v>
      </c>
      <c r="B21" s="1041">
        <v>28.240696999999997</v>
      </c>
      <c r="C21" s="1042">
        <v>93.721963000000002</v>
      </c>
      <c r="D21" s="1041">
        <v>30.132421999999998</v>
      </c>
      <c r="E21" s="1043">
        <v>23.052941000000001</v>
      </c>
      <c r="F21" s="1042">
        <v>109.150908</v>
      </c>
      <c r="G21" s="1044">
        <v>21.120246999999999</v>
      </c>
      <c r="H21" s="1041">
        <v>85.864575000000002</v>
      </c>
      <c r="I21" s="1483">
        <f t="shared" si="0"/>
        <v>25.873075650456336</v>
      </c>
    </row>
    <row r="22" spans="1:9">
      <c r="A22" s="1037">
        <f t="shared" si="1"/>
        <v>1989.1</v>
      </c>
      <c r="B22" s="1041">
        <v>24.496727999999997</v>
      </c>
      <c r="C22" s="1042">
        <v>91.705500000000001</v>
      </c>
      <c r="D22" s="1041">
        <v>26.712387</v>
      </c>
      <c r="E22" s="1043">
        <v>20.814142</v>
      </c>
      <c r="F22" s="1042">
        <v>109.453369</v>
      </c>
      <c r="G22" s="1044">
        <v>19.016446999999999</v>
      </c>
      <c r="H22" s="1041">
        <v>83.784995999999992</v>
      </c>
      <c r="I22" s="1483">
        <f t="shared" si="0"/>
        <v>22.380972119734384</v>
      </c>
    </row>
    <row r="23" spans="1:9">
      <c r="A23" s="1037">
        <f t="shared" si="1"/>
        <v>1989.2</v>
      </c>
      <c r="B23" s="1041">
        <v>29.468736999999997</v>
      </c>
      <c r="C23" s="1042">
        <v>90.413122000000001</v>
      </c>
      <c r="D23" s="1041">
        <v>32.593429</v>
      </c>
      <c r="E23" s="1043">
        <v>18.411044</v>
      </c>
      <c r="F23" s="1042">
        <v>107.64888000000001</v>
      </c>
      <c r="G23" s="1044">
        <v>17.102865999999999</v>
      </c>
      <c r="H23" s="1041">
        <v>83.988911000000002</v>
      </c>
      <c r="I23" s="1483">
        <f t="shared" si="0"/>
        <v>27.374866324665891</v>
      </c>
    </row>
    <row r="24" spans="1:9">
      <c r="A24" s="1037">
        <f t="shared" si="1"/>
        <v>1989.3</v>
      </c>
      <c r="B24" s="1041">
        <v>32.569032999999997</v>
      </c>
      <c r="C24" s="1042">
        <v>90.004848999999993</v>
      </c>
      <c r="D24" s="1041">
        <v>36.185865</v>
      </c>
      <c r="E24" s="1043">
        <v>18.287696</v>
      </c>
      <c r="F24" s="1042">
        <v>109.102391</v>
      </c>
      <c r="G24" s="1044">
        <v>16.761956999999999</v>
      </c>
      <c r="H24" s="1041">
        <v>82.495762999999997</v>
      </c>
      <c r="I24" s="1483">
        <f t="shared" si="0"/>
        <v>29.851804989315035</v>
      </c>
    </row>
    <row r="25" spans="1:9">
      <c r="A25" s="1037">
        <f t="shared" si="1"/>
        <v>1989.4</v>
      </c>
      <c r="B25" s="1041">
        <v>24.286237</v>
      </c>
      <c r="C25" s="1042">
        <v>88.301324999999991</v>
      </c>
      <c r="D25" s="1041">
        <v>27.503819</v>
      </c>
      <c r="E25" s="1043">
        <v>17.392741000000001</v>
      </c>
      <c r="F25" s="1042">
        <v>115.529343</v>
      </c>
      <c r="G25" s="1044">
        <v>15.054824999999999</v>
      </c>
      <c r="H25" s="1041">
        <v>76.431945999999996</v>
      </c>
      <c r="I25" s="1483">
        <f t="shared" si="0"/>
        <v>21.021704416686589</v>
      </c>
    </row>
    <row r="26" spans="1:9">
      <c r="A26" s="1037">
        <f t="shared" si="1"/>
        <v>1990.1</v>
      </c>
      <c r="B26" s="1041">
        <v>32.049590999999999</v>
      </c>
      <c r="C26" s="1042">
        <v>89.524197999999998</v>
      </c>
      <c r="D26" s="1041">
        <v>35.79992</v>
      </c>
      <c r="E26" s="1043">
        <v>16.302743</v>
      </c>
      <c r="F26" s="1042">
        <v>110.277625</v>
      </c>
      <c r="G26" s="1044">
        <v>14.783363999999999</v>
      </c>
      <c r="H26" s="1041">
        <v>81.180745000000002</v>
      </c>
      <c r="I26" s="1483">
        <f t="shared" si="0"/>
        <v>29.062641673684936</v>
      </c>
    </row>
    <row r="27" spans="1:9">
      <c r="A27" s="1037">
        <f t="shared" si="1"/>
        <v>1990.2</v>
      </c>
      <c r="B27" s="1041">
        <v>36.983122000000002</v>
      </c>
      <c r="C27" s="1042">
        <v>84.368331999999995</v>
      </c>
      <c r="D27" s="1041">
        <v>43.835312999999999</v>
      </c>
      <c r="E27" s="1043">
        <v>15.081567999999999</v>
      </c>
      <c r="F27" s="1042">
        <v>111.779347</v>
      </c>
      <c r="G27" s="1044">
        <v>13.492267</v>
      </c>
      <c r="H27" s="1041">
        <v>75.477567999999991</v>
      </c>
      <c r="I27" s="1483">
        <f t="shared" si="0"/>
        <v>33.085827563476464</v>
      </c>
    </row>
    <row r="28" spans="1:9">
      <c r="A28" s="1037">
        <f t="shared" si="1"/>
        <v>1990.3</v>
      </c>
      <c r="B28" s="1041">
        <v>39.693822999999995</v>
      </c>
      <c r="C28" s="1042">
        <v>87.010655</v>
      </c>
      <c r="D28" s="1041">
        <v>45.619496999999996</v>
      </c>
      <c r="E28" s="1043">
        <v>16.964548000000001</v>
      </c>
      <c r="F28" s="1042">
        <v>112.30412</v>
      </c>
      <c r="G28" s="1044">
        <v>15.1059</v>
      </c>
      <c r="H28" s="1041">
        <v>77.477705</v>
      </c>
      <c r="I28" s="1483">
        <f t="shared" si="0"/>
        <v>35.344939259574801</v>
      </c>
    </row>
    <row r="29" spans="1:9">
      <c r="A29" s="1037">
        <f t="shared" si="1"/>
        <v>1990.4</v>
      </c>
      <c r="B29" s="1041">
        <v>34.177526999999998</v>
      </c>
      <c r="C29" s="1042">
        <v>91.504056999999989</v>
      </c>
      <c r="D29" s="1041">
        <v>37.350831999999997</v>
      </c>
      <c r="E29" s="1043">
        <v>24.301867999999999</v>
      </c>
      <c r="F29" s="1042">
        <v>116.946344</v>
      </c>
      <c r="G29" s="1044">
        <v>20.780356999999999</v>
      </c>
      <c r="H29" s="1041">
        <v>78.244478000000001</v>
      </c>
      <c r="I29" s="1483">
        <f t="shared" si="0"/>
        <v>29.224964057020884</v>
      </c>
    </row>
    <row r="30" spans="1:9">
      <c r="A30" s="1037">
        <f t="shared" si="1"/>
        <v>1991.1</v>
      </c>
      <c r="B30" s="1041">
        <v>27.163563999999997</v>
      </c>
      <c r="C30" s="1042">
        <v>84.371397999999999</v>
      </c>
      <c r="D30" s="1041">
        <v>32.195228999999998</v>
      </c>
      <c r="E30" s="1043">
        <v>23.177609</v>
      </c>
      <c r="F30" s="1042">
        <v>114.504113</v>
      </c>
      <c r="G30" s="1044">
        <v>20.241726</v>
      </c>
      <c r="H30" s="1041">
        <v>73.684162999999998</v>
      </c>
      <c r="I30" s="1483">
        <f t="shared" si="0"/>
        <v>23.722784525652802</v>
      </c>
    </row>
    <row r="31" spans="1:9">
      <c r="A31" s="1037">
        <f t="shared" si="1"/>
        <v>1991.2</v>
      </c>
      <c r="B31" s="1041">
        <v>39.010551999999997</v>
      </c>
      <c r="C31" s="1042">
        <v>84.656739000000002</v>
      </c>
      <c r="D31" s="1041">
        <v>46.080857999999999</v>
      </c>
      <c r="E31" s="1043">
        <v>31.061667</v>
      </c>
      <c r="F31" s="1042">
        <v>111.98827199999999</v>
      </c>
      <c r="G31" s="1044">
        <v>27.736535999999997</v>
      </c>
      <c r="H31" s="1041">
        <v>75.594290000000001</v>
      </c>
      <c r="I31" s="1483">
        <f t="shared" si="0"/>
        <v>34.834497669541683</v>
      </c>
    </row>
    <row r="32" spans="1:9">
      <c r="A32" s="1037">
        <f t="shared" si="1"/>
        <v>1991.3</v>
      </c>
      <c r="B32" s="1041">
        <v>39.971291999999998</v>
      </c>
      <c r="C32" s="1042">
        <v>86.120572999999993</v>
      </c>
      <c r="D32" s="1041">
        <v>46.413174999999995</v>
      </c>
      <c r="E32" s="1043">
        <v>40.565419999999996</v>
      </c>
      <c r="F32" s="1042">
        <v>105.23448</v>
      </c>
      <c r="G32" s="1044">
        <v>38.547650999999995</v>
      </c>
      <c r="H32" s="1041">
        <v>81.836839999999995</v>
      </c>
      <c r="I32" s="1483">
        <f t="shared" si="0"/>
        <v>37.983075509091698</v>
      </c>
    </row>
    <row r="33" spans="1:9">
      <c r="A33" s="1037">
        <f t="shared" si="1"/>
        <v>1991.4</v>
      </c>
      <c r="B33" s="1041">
        <v>32.423282999999998</v>
      </c>
      <c r="C33" s="1042">
        <v>87.492300999999998</v>
      </c>
      <c r="D33" s="1041">
        <v>37.058440999999995</v>
      </c>
      <c r="E33" s="1043">
        <v>52.669879999999999</v>
      </c>
      <c r="F33" s="1042">
        <v>105.294399</v>
      </c>
      <c r="G33" s="1044">
        <v>50.021539999999995</v>
      </c>
      <c r="H33" s="1041">
        <v>83.093024999999997</v>
      </c>
      <c r="I33" s="1483">
        <f t="shared" si="0"/>
        <v>30.792979786132786</v>
      </c>
    </row>
    <row r="34" spans="1:9">
      <c r="A34" s="1037">
        <f t="shared" si="1"/>
        <v>1992.1</v>
      </c>
      <c r="B34" s="1041">
        <v>29.643262</v>
      </c>
      <c r="C34" s="1042">
        <v>86.076106999999993</v>
      </c>
      <c r="D34" s="1041">
        <v>34.438431999999999</v>
      </c>
      <c r="E34" s="1043">
        <v>51.457974999999998</v>
      </c>
      <c r="F34" s="1042">
        <v>104.359442</v>
      </c>
      <c r="G34" s="1044">
        <v>49.308403999999996</v>
      </c>
      <c r="H34" s="1041">
        <v>82.480420999999993</v>
      </c>
      <c r="I34" s="1483">
        <f t="shared" si="0"/>
        <v>28.404964066404265</v>
      </c>
    </row>
    <row r="35" spans="1:9">
      <c r="A35" s="1037">
        <f t="shared" si="1"/>
        <v>1992.2</v>
      </c>
      <c r="B35" s="1041">
        <v>38.510618000000001</v>
      </c>
      <c r="C35" s="1042">
        <v>86.923045000000002</v>
      </c>
      <c r="D35" s="1041">
        <v>44.304266999999996</v>
      </c>
      <c r="E35" s="1043">
        <v>63.828764999999997</v>
      </c>
      <c r="F35" s="1042">
        <v>102.74252799999999</v>
      </c>
      <c r="G35" s="1044">
        <v>62.124969999999998</v>
      </c>
      <c r="H35" s="1041">
        <v>84.602789999999999</v>
      </c>
      <c r="I35" s="1483">
        <f t="shared" si="0"/>
        <v>37.482645939955852</v>
      </c>
    </row>
    <row r="36" spans="1:9">
      <c r="A36" s="1037">
        <f t="shared" si="1"/>
        <v>1992.3</v>
      </c>
      <c r="B36" s="1041">
        <v>38.569413999999995</v>
      </c>
      <c r="C36" s="1042">
        <v>89.153182000000001</v>
      </c>
      <c r="D36" s="1041">
        <v>43.261959999999995</v>
      </c>
      <c r="E36" s="1043">
        <v>77.60658699999999</v>
      </c>
      <c r="F36" s="1042">
        <v>104.086217</v>
      </c>
      <c r="G36" s="1044">
        <v>74.559907999999993</v>
      </c>
      <c r="H36" s="1041">
        <v>85.653206999999995</v>
      </c>
      <c r="I36" s="1483">
        <f t="shared" si="0"/>
        <v>37.055255836610904</v>
      </c>
    </row>
    <row r="37" spans="1:9">
      <c r="A37" s="1037">
        <f t="shared" si="1"/>
        <v>1992.4</v>
      </c>
      <c r="B37" s="1041">
        <v>34.82047</v>
      </c>
      <c r="C37" s="1042">
        <v>86.565218000000002</v>
      </c>
      <c r="D37" s="1041">
        <v>40.224550999999998</v>
      </c>
      <c r="E37" s="1043">
        <v>72.137952999999996</v>
      </c>
      <c r="F37" s="1042">
        <v>105.11922</v>
      </c>
      <c r="G37" s="1044">
        <v>68.624893999999998</v>
      </c>
      <c r="H37" s="1041">
        <v>82.349561999999992</v>
      </c>
      <c r="I37" s="1483">
        <f t="shared" si="0"/>
        <v>33.124741602915243</v>
      </c>
    </row>
    <row r="38" spans="1:9">
      <c r="A38" s="1037">
        <f t="shared" si="1"/>
        <v>1993.1</v>
      </c>
      <c r="B38" s="1041">
        <v>33.403132999999997</v>
      </c>
      <c r="C38" s="1042">
        <v>85.217035999999993</v>
      </c>
      <c r="D38" s="1041">
        <v>39.197716999999997</v>
      </c>
      <c r="E38" s="1043">
        <v>58.082259999999998</v>
      </c>
      <c r="F38" s="1042">
        <v>104.643156</v>
      </c>
      <c r="G38" s="1044">
        <v>55.505072999999996</v>
      </c>
      <c r="H38" s="1041">
        <v>81.435842999999991</v>
      </c>
      <c r="I38" s="1483">
        <f t="shared" si="0"/>
        <v>31.920991564895075</v>
      </c>
    </row>
    <row r="39" spans="1:9">
      <c r="A39" s="1037">
        <f t="shared" si="1"/>
        <v>1993.2</v>
      </c>
      <c r="B39" s="1041">
        <v>41.385131999999999</v>
      </c>
      <c r="C39" s="1042">
        <v>85.82027699999999</v>
      </c>
      <c r="D39" s="1041">
        <v>48.223022999999998</v>
      </c>
      <c r="E39" s="1043">
        <v>68.974767</v>
      </c>
      <c r="F39" s="1042">
        <v>103.980138</v>
      </c>
      <c r="G39" s="1044">
        <v>66.334559999999996</v>
      </c>
      <c r="H39" s="1041">
        <v>82.535259999999994</v>
      </c>
      <c r="I39" s="1483">
        <f t="shared" si="0"/>
        <v>39.800997378941737</v>
      </c>
    </row>
    <row r="40" spans="1:9">
      <c r="A40" s="1037">
        <f t="shared" si="1"/>
        <v>1993.3</v>
      </c>
      <c r="B40" s="1041">
        <v>39.737197999999999</v>
      </c>
      <c r="C40" s="1042">
        <v>88.647369999999995</v>
      </c>
      <c r="D40" s="1041">
        <v>44.826143999999999</v>
      </c>
      <c r="E40" s="1043">
        <v>83.049059999999997</v>
      </c>
      <c r="F40" s="1042">
        <v>100.49619800000001</v>
      </c>
      <c r="G40" s="1044">
        <v>82.639005999999995</v>
      </c>
      <c r="H40" s="1041">
        <v>88.20967499999999</v>
      </c>
      <c r="I40" s="1483">
        <f t="shared" si="0"/>
        <v>39.540996366847622</v>
      </c>
    </row>
    <row r="41" spans="1:9">
      <c r="A41" s="1037">
        <f t="shared" si="1"/>
        <v>1993.4</v>
      </c>
      <c r="B41" s="1041">
        <v>37.231350999999997</v>
      </c>
      <c r="C41" s="1042">
        <v>85.074176999999992</v>
      </c>
      <c r="D41" s="1041">
        <v>43.763397999999995</v>
      </c>
      <c r="E41" s="1043">
        <v>88.994870999999989</v>
      </c>
      <c r="F41" s="1042">
        <v>103.82983899999999</v>
      </c>
      <c r="G41" s="1044">
        <v>85.712231000000003</v>
      </c>
      <c r="H41" s="1041">
        <v>81.936154999999999</v>
      </c>
      <c r="I41" s="1483">
        <f t="shared" si="0"/>
        <v>35.858045585527684</v>
      </c>
    </row>
    <row r="42" spans="1:9">
      <c r="A42" s="1037">
        <f t="shared" si="1"/>
        <v>1994.1</v>
      </c>
      <c r="B42" s="1041">
        <v>35.352308999999998</v>
      </c>
      <c r="C42" s="1042">
        <v>83.179311999999996</v>
      </c>
      <c r="D42" s="1041">
        <v>42.501323999999997</v>
      </c>
      <c r="E42" s="1043">
        <v>87.592970999999991</v>
      </c>
      <c r="F42" s="1042">
        <v>104.73758599999999</v>
      </c>
      <c r="G42" s="1044">
        <v>83.630884999999992</v>
      </c>
      <c r="H42" s="1041">
        <v>79.416868999999991</v>
      </c>
      <c r="I42" s="1483">
        <f t="shared" si="0"/>
        <v>33.753221121594308</v>
      </c>
    </row>
    <row r="43" spans="1:9">
      <c r="A43" s="1037">
        <f t="shared" si="1"/>
        <v>1994.2</v>
      </c>
      <c r="B43" s="1041">
        <v>49.496725999999995</v>
      </c>
      <c r="C43" s="1042">
        <v>87.637288999999996</v>
      </c>
      <c r="D43" s="1041">
        <v>56.47907</v>
      </c>
      <c r="E43" s="1043">
        <v>94.961055999999999</v>
      </c>
      <c r="F43" s="1042">
        <v>102.348157</v>
      </c>
      <c r="G43" s="1044">
        <v>92.782379999999989</v>
      </c>
      <c r="H43" s="1041">
        <v>85.626640999999992</v>
      </c>
      <c r="I43" s="1483">
        <f t="shared" si="0"/>
        <v>48.361130723633835</v>
      </c>
    </row>
    <row r="44" spans="1:9">
      <c r="A44" s="1037">
        <f t="shared" si="1"/>
        <v>1994.3</v>
      </c>
      <c r="B44" s="1041">
        <v>49.242140999999997</v>
      </c>
      <c r="C44" s="1042">
        <v>90.023411999999993</v>
      </c>
      <c r="D44" s="1041">
        <v>54.699261</v>
      </c>
      <c r="E44" s="1043">
        <v>100.596841</v>
      </c>
      <c r="F44" s="1042">
        <v>103.16973299999999</v>
      </c>
      <c r="G44" s="1044">
        <v>97.506157000000002</v>
      </c>
      <c r="H44" s="1041">
        <v>87.257578999999993</v>
      </c>
      <c r="I44" s="1483">
        <f t="shared" si="0"/>
        <v>47.729251174857652</v>
      </c>
    </row>
    <row r="45" spans="1:9">
      <c r="A45" s="1037">
        <f t="shared" si="1"/>
        <v>1994.4</v>
      </c>
      <c r="B45" s="1041">
        <v>49.149631999999997</v>
      </c>
      <c r="C45" s="1042">
        <v>89.925180999999995</v>
      </c>
      <c r="D45" s="1041">
        <v>54.656138999999996</v>
      </c>
      <c r="E45" s="1043">
        <v>101.61161199999999</v>
      </c>
      <c r="F45" s="1042">
        <v>106.86162899999999</v>
      </c>
      <c r="G45" s="1044">
        <v>95.087088999999992</v>
      </c>
      <c r="H45" s="1041">
        <v>84.151048000000003</v>
      </c>
      <c r="I45" s="1483">
        <f t="shared" si="0"/>
        <v>45.993713983154791</v>
      </c>
    </row>
    <row r="46" spans="1:9">
      <c r="A46" s="1037">
        <f t="shared" si="1"/>
        <v>1995.1</v>
      </c>
      <c r="B46" s="1041">
        <v>52.474664999999995</v>
      </c>
      <c r="C46" s="1042">
        <v>93.309434999999993</v>
      </c>
      <c r="D46" s="1041">
        <v>56.237254999999998</v>
      </c>
      <c r="E46" s="1043">
        <v>93.348241999999999</v>
      </c>
      <c r="F46" s="1042">
        <v>106.60727799999999</v>
      </c>
      <c r="G46" s="1044">
        <v>87.56272899999999</v>
      </c>
      <c r="H46" s="1041">
        <v>87.526326999999995</v>
      </c>
      <c r="I46" s="1483">
        <f t="shared" si="0"/>
        <v>49.22240393381022</v>
      </c>
    </row>
    <row r="47" spans="1:9">
      <c r="A47" s="1037">
        <f t="shared" si="1"/>
        <v>1995.2</v>
      </c>
      <c r="B47" s="1041">
        <v>73.078684999999993</v>
      </c>
      <c r="C47" s="1042">
        <v>95.222476</v>
      </c>
      <c r="D47" s="1041">
        <v>76.745205999999996</v>
      </c>
      <c r="E47" s="1043">
        <v>85.186891000000003</v>
      </c>
      <c r="F47" s="1042">
        <v>106.07539800000001</v>
      </c>
      <c r="G47" s="1044">
        <v>80.307867999999999</v>
      </c>
      <c r="H47" s="1041">
        <v>89.768670999999998</v>
      </c>
      <c r="I47" s="1483">
        <f t="shared" si="0"/>
        <v>68.893151831492531</v>
      </c>
    </row>
    <row r="48" spans="1:9">
      <c r="A48" s="1037">
        <f t="shared" si="1"/>
        <v>1995.3</v>
      </c>
      <c r="B48" s="1041">
        <v>61.009811999999997</v>
      </c>
      <c r="C48" s="1042">
        <v>95.371313000000001</v>
      </c>
      <c r="D48" s="1041">
        <v>63.970820999999994</v>
      </c>
      <c r="E48" s="1043">
        <v>87.629343999999989</v>
      </c>
      <c r="F48" s="1042">
        <v>106.431521</v>
      </c>
      <c r="G48" s="1044">
        <v>82.334013999999996</v>
      </c>
      <c r="H48" s="1041">
        <v>89.608145999999991</v>
      </c>
      <c r="I48" s="1483">
        <f t="shared" si="0"/>
        <v>57.323066913607292</v>
      </c>
    </row>
    <row r="49" spans="1:9">
      <c r="A49" s="1037">
        <f t="shared" si="1"/>
        <v>1995.4</v>
      </c>
      <c r="B49" s="1041">
        <v>55.954995999999994</v>
      </c>
      <c r="C49" s="1042">
        <v>92.272617999999994</v>
      </c>
      <c r="D49" s="1041">
        <v>60.640954000000001</v>
      </c>
      <c r="E49" s="1043">
        <v>92.426394000000002</v>
      </c>
      <c r="F49" s="1042">
        <v>108.831808</v>
      </c>
      <c r="G49" s="1044">
        <v>84.925900999999996</v>
      </c>
      <c r="H49" s="1041">
        <v>84.784604999999999</v>
      </c>
      <c r="I49" s="1483">
        <f t="shared" si="0"/>
        <v>51.414193174113208</v>
      </c>
    </row>
    <row r="50" spans="1:9">
      <c r="A50" s="1037">
        <f t="shared" si="1"/>
        <v>1996.1</v>
      </c>
      <c r="B50" s="1041">
        <v>54.812694999999998</v>
      </c>
      <c r="C50" s="1042">
        <v>94.31291499999999</v>
      </c>
      <c r="D50" s="1041">
        <v>58.117909999999995</v>
      </c>
      <c r="E50" s="1043">
        <v>88.850893999999997</v>
      </c>
      <c r="F50" s="1042">
        <v>112.28900400000001</v>
      </c>
      <c r="G50" s="1044">
        <v>79.126976999999997</v>
      </c>
      <c r="H50" s="1041">
        <v>83.99122899999999</v>
      </c>
      <c r="I50" s="1483">
        <f t="shared" si="0"/>
        <v>48.813947089601037</v>
      </c>
    </row>
    <row r="51" spans="1:9">
      <c r="A51" s="1037">
        <f t="shared" si="1"/>
        <v>1996.2</v>
      </c>
      <c r="B51" s="1041">
        <v>76.41904199999999</v>
      </c>
      <c r="C51" s="1042">
        <v>102.33609799999999</v>
      </c>
      <c r="D51" s="1041">
        <v>74.674571</v>
      </c>
      <c r="E51" s="1043">
        <v>102.035955</v>
      </c>
      <c r="F51" s="1042">
        <v>106.81935799999999</v>
      </c>
      <c r="G51" s="1044">
        <v>95.521970999999994</v>
      </c>
      <c r="H51" s="1041">
        <v>95.802951999999991</v>
      </c>
      <c r="I51" s="1483">
        <f t="shared" si="0"/>
        <v>71.540443072125555</v>
      </c>
    </row>
    <row r="52" spans="1:9">
      <c r="A52" s="1037">
        <f t="shared" si="1"/>
        <v>1996.3</v>
      </c>
      <c r="B52" s="1041">
        <v>74.486336999999992</v>
      </c>
      <c r="C52" s="1042">
        <v>101.591296</v>
      </c>
      <c r="D52" s="1041">
        <v>73.319604999999996</v>
      </c>
      <c r="E52" s="1043">
        <v>117.25258700000001</v>
      </c>
      <c r="F52" s="1042">
        <v>104.350375</v>
      </c>
      <c r="G52" s="1044">
        <v>112.364318</v>
      </c>
      <c r="H52" s="1041">
        <v>97.355947</v>
      </c>
      <c r="I52" s="1483">
        <f t="shared" si="0"/>
        <v>71.380995995462399</v>
      </c>
    </row>
    <row r="53" spans="1:9">
      <c r="A53" s="1037">
        <f t="shared" si="1"/>
        <v>1996.4</v>
      </c>
      <c r="B53" s="1041">
        <v>69.743521999999999</v>
      </c>
      <c r="C53" s="1042">
        <v>98.231893999999997</v>
      </c>
      <c r="D53" s="1041">
        <v>70.998857000000001</v>
      </c>
      <c r="E53" s="1043">
        <v>115.322554</v>
      </c>
      <c r="F53" s="1042">
        <v>108.54783</v>
      </c>
      <c r="G53" s="1044">
        <v>106.24123400000001</v>
      </c>
      <c r="H53" s="1041">
        <v>90.496414000000001</v>
      </c>
      <c r="I53" s="1483">
        <f t="shared" si="0"/>
        <v>64.25141985795571</v>
      </c>
    </row>
    <row r="54" spans="1:9">
      <c r="A54" s="1037">
        <f t="shared" si="1"/>
        <v>1997.1</v>
      </c>
      <c r="B54" s="1041">
        <v>66.796495999999991</v>
      </c>
      <c r="C54" s="1042">
        <v>97.347543999999999</v>
      </c>
      <c r="D54" s="1041">
        <v>68.616518999999997</v>
      </c>
      <c r="E54" s="1043">
        <v>115.71368099999999</v>
      </c>
      <c r="F54" s="1042">
        <v>109.419335</v>
      </c>
      <c r="G54" s="1044">
        <v>105.752499</v>
      </c>
      <c r="H54" s="1041">
        <v>88.967405999999997</v>
      </c>
      <c r="I54" s="1483">
        <f t="shared" si="0"/>
        <v>61.046337011644226</v>
      </c>
    </row>
    <row r="55" spans="1:9">
      <c r="A55" s="1037">
        <f t="shared" si="1"/>
        <v>1997.2</v>
      </c>
      <c r="B55" s="1041">
        <v>83.855400000000003</v>
      </c>
      <c r="C55" s="1042">
        <v>97.54464999999999</v>
      </c>
      <c r="D55" s="1041">
        <v>85.966168999999994</v>
      </c>
      <c r="E55" s="1043">
        <v>134.00908100000001</v>
      </c>
      <c r="F55" s="1042">
        <v>106.27366499999999</v>
      </c>
      <c r="G55" s="1044">
        <v>126.098107</v>
      </c>
      <c r="H55" s="1041">
        <v>91.78628599999999</v>
      </c>
      <c r="I55" s="1483">
        <f t="shared" si="0"/>
        <v>78.905154913025726</v>
      </c>
    </row>
    <row r="56" spans="1:9">
      <c r="A56" s="1037">
        <f t="shared" si="1"/>
        <v>1997.3</v>
      </c>
      <c r="B56" s="1041">
        <v>80.871944999999997</v>
      </c>
      <c r="C56" s="1042">
        <v>95.376139999999992</v>
      </c>
      <c r="D56" s="1041">
        <v>84.792638999999994</v>
      </c>
      <c r="E56" s="1043">
        <v>146.03230500000001</v>
      </c>
      <c r="F56" s="1042">
        <v>104.760679</v>
      </c>
      <c r="G56" s="1044">
        <v>139.39610400000001</v>
      </c>
      <c r="H56" s="1041">
        <v>91.041925999999989</v>
      </c>
      <c r="I56" s="1483">
        <f t="shared" si="0"/>
        <v>77.196850738243114</v>
      </c>
    </row>
    <row r="57" spans="1:9">
      <c r="A57" s="1037">
        <f t="shared" si="1"/>
        <v>1997.4</v>
      </c>
      <c r="B57" s="1041">
        <v>74.249620999999991</v>
      </c>
      <c r="C57" s="1042">
        <v>93.309348999999997</v>
      </c>
      <c r="D57" s="1041">
        <v>79.573613999999992</v>
      </c>
      <c r="E57" s="1043">
        <v>146.90124299999999</v>
      </c>
      <c r="F57" s="1042">
        <v>105.558818</v>
      </c>
      <c r="G57" s="1044">
        <v>139.16529800000001</v>
      </c>
      <c r="H57" s="1041">
        <v>88.39559899999999</v>
      </c>
      <c r="I57" s="1483">
        <f t="shared" si="0"/>
        <v>70.339572199453755</v>
      </c>
    </row>
    <row r="58" spans="1:9">
      <c r="A58" s="1037">
        <f t="shared" si="1"/>
        <v>1998.1</v>
      </c>
      <c r="B58" s="1041">
        <v>68.141406000000003</v>
      </c>
      <c r="C58" s="1042">
        <v>87.500231999999997</v>
      </c>
      <c r="D58" s="1041">
        <v>77.875686000000002</v>
      </c>
      <c r="E58" s="1043">
        <v>134.28358299999999</v>
      </c>
      <c r="F58" s="1042">
        <v>103.936662</v>
      </c>
      <c r="G58" s="1044">
        <v>129.19751299999999</v>
      </c>
      <c r="H58" s="1041">
        <v>84.186109000000002</v>
      </c>
      <c r="I58" s="1483">
        <f t="shared" si="0"/>
        <v>65.56051030386179</v>
      </c>
    </row>
    <row r="59" spans="1:9">
      <c r="A59" s="1037">
        <f t="shared" si="1"/>
        <v>1998.2</v>
      </c>
      <c r="B59" s="1041">
        <v>88.918516999999994</v>
      </c>
      <c r="C59" s="1042">
        <v>87.325071999999992</v>
      </c>
      <c r="D59" s="1041">
        <v>101.82472799999999</v>
      </c>
      <c r="E59" s="1043">
        <v>145.92462599999999</v>
      </c>
      <c r="F59" s="1042">
        <v>100.510887</v>
      </c>
      <c r="G59" s="1044">
        <v>145.182906</v>
      </c>
      <c r="H59" s="1041">
        <v>86.881206999999989</v>
      </c>
      <c r="I59" s="1483">
        <f t="shared" si="0"/>
        <v>88.466552881977847</v>
      </c>
    </row>
    <row r="60" spans="1:9">
      <c r="A60" s="1037">
        <f t="shared" si="1"/>
        <v>1998.3</v>
      </c>
      <c r="B60" s="1041">
        <v>81.29516799999999</v>
      </c>
      <c r="C60" s="1042">
        <v>83.741383999999996</v>
      </c>
      <c r="D60" s="1041">
        <v>97.078845000000001</v>
      </c>
      <c r="E60" s="1043">
        <v>150.20485500000001</v>
      </c>
      <c r="F60" s="1042">
        <v>98.316839000000002</v>
      </c>
      <c r="G60" s="1044">
        <v>152.77632699999998</v>
      </c>
      <c r="H60" s="1041">
        <v>85.175015999999999</v>
      </c>
      <c r="I60" s="1483">
        <f t="shared" si="0"/>
        <v>82.686922023601667</v>
      </c>
    </row>
    <row r="61" spans="1:9">
      <c r="A61" s="1037">
        <f t="shared" si="1"/>
        <v>1998.4</v>
      </c>
      <c r="B61" s="1041">
        <v>67.451272000000003</v>
      </c>
      <c r="C61" s="1042">
        <v>81.591385000000002</v>
      </c>
      <c r="D61" s="1041">
        <v>82.669601</v>
      </c>
      <c r="E61" s="1043">
        <v>128.76656399999999</v>
      </c>
      <c r="F61" s="1042">
        <v>97.94568799999999</v>
      </c>
      <c r="G61" s="1044">
        <v>131.46731299999999</v>
      </c>
      <c r="H61" s="1041">
        <v>83.302680999999993</v>
      </c>
      <c r="I61" s="1483">
        <f t="shared" si="0"/>
        <v>68.865994386603319</v>
      </c>
    </row>
    <row r="62" spans="1:9">
      <c r="A62" s="1037">
        <f t="shared" si="1"/>
        <v>1999.1</v>
      </c>
      <c r="B62" s="1041">
        <v>58.597524999999997</v>
      </c>
      <c r="C62" s="1042">
        <v>74.623187999999999</v>
      </c>
      <c r="D62" s="1041">
        <v>78.524553999999995</v>
      </c>
      <c r="E62" s="1043">
        <v>104.079322</v>
      </c>
      <c r="F62" s="1042">
        <v>97.691524999999999</v>
      </c>
      <c r="G62" s="1044">
        <v>106.538742</v>
      </c>
      <c r="H62" s="1041">
        <v>76.386551999999995</v>
      </c>
      <c r="I62" s="1483">
        <f t="shared" si="0"/>
        <v>59.982199069980737</v>
      </c>
    </row>
    <row r="63" spans="1:9">
      <c r="A63" s="1037">
        <f t="shared" si="1"/>
        <v>1999.2</v>
      </c>
      <c r="B63" s="1041">
        <v>73.852125000000001</v>
      </c>
      <c r="C63" s="1042">
        <v>74.968707999999992</v>
      </c>
      <c r="D63" s="1041">
        <v>98.510600999999994</v>
      </c>
      <c r="E63" s="1043">
        <v>107.22181499999999</v>
      </c>
      <c r="F63" s="1042">
        <v>95.918092999999999</v>
      </c>
      <c r="G63" s="1044">
        <v>111.78476499999999</v>
      </c>
      <c r="H63" s="1041">
        <v>78.159088999999994</v>
      </c>
      <c r="I63" s="1483">
        <f t="shared" si="0"/>
        <v>76.994988839071269</v>
      </c>
    </row>
    <row r="64" spans="1:9">
      <c r="A64" s="1037">
        <f t="shared" si="1"/>
        <v>1999.3</v>
      </c>
      <c r="B64" s="1041">
        <v>68.690910000000002</v>
      </c>
      <c r="C64" s="1042">
        <v>76.394635999999991</v>
      </c>
      <c r="D64" s="1041">
        <v>89.915880999999999</v>
      </c>
      <c r="E64" s="1043">
        <v>121.948931</v>
      </c>
      <c r="F64" s="1042">
        <v>96.312689999999989</v>
      </c>
      <c r="G64" s="1044">
        <v>126.617718</v>
      </c>
      <c r="H64" s="1041">
        <v>79.319386999999992</v>
      </c>
      <c r="I64" s="1483">
        <f t="shared" si="0"/>
        <v>71.320726271896277</v>
      </c>
    </row>
    <row r="65" spans="1:9">
      <c r="A65" s="1037">
        <f t="shared" si="1"/>
        <v>1999.4</v>
      </c>
      <c r="B65" s="1041">
        <v>68.512543999999991</v>
      </c>
      <c r="C65" s="1042">
        <v>80.736273999999995</v>
      </c>
      <c r="D65" s="1041">
        <v>84.859679</v>
      </c>
      <c r="E65" s="1043">
        <v>121.333805</v>
      </c>
      <c r="F65" s="1042">
        <v>97.33099</v>
      </c>
      <c r="G65" s="1044">
        <v>124.66102000000001</v>
      </c>
      <c r="H65" s="1041">
        <v>82.950223999999992</v>
      </c>
      <c r="I65" s="1483">
        <f t="shared" si="0"/>
        <v>70.39129469452638</v>
      </c>
    </row>
    <row r="66" spans="1:9">
      <c r="A66" s="1037">
        <f t="shared" si="1"/>
        <v>2000.1</v>
      </c>
      <c r="B66" s="1041">
        <v>66.083508999999992</v>
      </c>
      <c r="C66" s="1042">
        <v>84.028172999999995</v>
      </c>
      <c r="D66" s="1041">
        <v>78.644468000000003</v>
      </c>
      <c r="E66" s="1043">
        <v>104.721721</v>
      </c>
      <c r="F66" s="1042">
        <v>100.15629</v>
      </c>
      <c r="G66" s="1044">
        <v>104.558306</v>
      </c>
      <c r="H66" s="1041">
        <v>83.897049999999993</v>
      </c>
      <c r="I66" s="1483">
        <f t="shared" si="0"/>
        <v>65.9803882512022</v>
      </c>
    </row>
    <row r="67" spans="1:9">
      <c r="A67" s="1037">
        <f t="shared" si="1"/>
        <v>2000.2</v>
      </c>
      <c r="B67" s="1041">
        <v>84.630690999999999</v>
      </c>
      <c r="C67" s="1042">
        <v>83.326675999999992</v>
      </c>
      <c r="D67" s="1041">
        <v>101.564942</v>
      </c>
      <c r="E67" s="1043">
        <v>112.250893</v>
      </c>
      <c r="F67" s="1042">
        <v>98.631354999999999</v>
      </c>
      <c r="G67" s="1044">
        <v>113.808528</v>
      </c>
      <c r="H67" s="1041">
        <v>84.482947999999993</v>
      </c>
      <c r="I67" s="1483">
        <f t="shared" si="0"/>
        <v>85.805057631013995</v>
      </c>
    </row>
    <row r="68" spans="1:9">
      <c r="A68" s="1037">
        <f t="shared" si="1"/>
        <v>2000.3</v>
      </c>
      <c r="B68" s="1041">
        <v>77.955983000000003</v>
      </c>
      <c r="C68" s="1042">
        <v>85.908846999999994</v>
      </c>
      <c r="D68" s="1041">
        <v>90.742671999999999</v>
      </c>
      <c r="E68" s="1043">
        <v>117.706845</v>
      </c>
      <c r="F68" s="1042">
        <v>96.671522999999993</v>
      </c>
      <c r="G68" s="1044">
        <v>121.759584</v>
      </c>
      <c r="H68" s="1041">
        <v>88.866755999999995</v>
      </c>
      <c r="I68" s="1483">
        <f t="shared" si="0"/>
        <v>80.640069154594798</v>
      </c>
    </row>
    <row r="69" spans="1:9">
      <c r="A69" s="1037">
        <f t="shared" si="1"/>
        <v>2000.4</v>
      </c>
      <c r="B69" s="1041">
        <v>76.064104999999998</v>
      </c>
      <c r="C69" s="1042">
        <v>86.935626999999997</v>
      </c>
      <c r="D69" s="1041">
        <v>87.494744999999995</v>
      </c>
      <c r="E69" s="1043">
        <v>115.847042</v>
      </c>
      <c r="F69" s="1042">
        <v>98.163783999999993</v>
      </c>
      <c r="G69" s="1044">
        <v>118.01403500000001</v>
      </c>
      <c r="H69" s="1041">
        <v>88.561813999999998</v>
      </c>
      <c r="I69" s="1483">
        <f t="shared" si="0"/>
        <v>77.486932451585204</v>
      </c>
    </row>
    <row r="70" spans="1:9">
      <c r="A70" s="1037">
        <f t="shared" si="1"/>
        <v>2001.1</v>
      </c>
      <c r="B70" s="1041">
        <v>68.350732999999991</v>
      </c>
      <c r="C70" s="1042">
        <v>86.374431999999999</v>
      </c>
      <c r="D70" s="1041">
        <v>79.133062999999993</v>
      </c>
      <c r="E70" s="1043">
        <v>102.344966</v>
      </c>
      <c r="F70" s="1042">
        <v>98.522312999999997</v>
      </c>
      <c r="G70" s="1044">
        <v>103.879987</v>
      </c>
      <c r="H70" s="1041">
        <v>87.669918999999993</v>
      </c>
      <c r="I70" s="1483">
        <f t="shared" si="0"/>
        <v>69.375891530277002</v>
      </c>
    </row>
    <row r="71" spans="1:9">
      <c r="A71" s="1037">
        <f t="shared" si="1"/>
        <v>2001.2</v>
      </c>
      <c r="B71" s="1041">
        <v>86.816557000000003</v>
      </c>
      <c r="C71" s="1042">
        <v>79.976546999999997</v>
      </c>
      <c r="D71" s="1041">
        <v>108.552519</v>
      </c>
      <c r="E71" s="1043">
        <v>102.93651300000001</v>
      </c>
      <c r="F71" s="1042">
        <v>96.849054999999993</v>
      </c>
      <c r="G71" s="1044">
        <v>106.285512</v>
      </c>
      <c r="H71" s="1041">
        <v>82.578552000000002</v>
      </c>
      <c r="I71" s="1483">
        <f t="shared" si="0"/>
        <v>89.641098717999895</v>
      </c>
    </row>
    <row r="72" spans="1:9">
      <c r="A72" s="1037">
        <f t="shared" si="1"/>
        <v>2001.3</v>
      </c>
      <c r="B72" s="1041">
        <v>81.621541999999991</v>
      </c>
      <c r="C72" s="1042">
        <v>81.021878999999998</v>
      </c>
      <c r="D72" s="1041">
        <v>100.74012500000001</v>
      </c>
      <c r="E72" s="1043">
        <v>89.517300999999989</v>
      </c>
      <c r="F72" s="1042">
        <v>93.705531999999991</v>
      </c>
      <c r="G72" s="1044">
        <v>95.530434</v>
      </c>
      <c r="H72" s="1041">
        <v>86.464350999999994</v>
      </c>
      <c r="I72" s="1483">
        <f t="shared" si="0"/>
        <v>87.104293906575336</v>
      </c>
    </row>
    <row r="73" spans="1:9">
      <c r="A73" s="1037">
        <f t="shared" si="1"/>
        <v>2001.4</v>
      </c>
      <c r="B73" s="1041">
        <v>70.278852999999998</v>
      </c>
      <c r="C73" s="1042">
        <v>76.405148999999994</v>
      </c>
      <c r="D73" s="1041">
        <v>91.981828999999991</v>
      </c>
      <c r="E73" s="1043">
        <v>67.318831000000003</v>
      </c>
      <c r="F73" s="1042">
        <v>91.994571999999991</v>
      </c>
      <c r="G73" s="1044">
        <v>73.176958999999997</v>
      </c>
      <c r="H73" s="1041">
        <v>83.053974999999994</v>
      </c>
      <c r="I73" s="1483">
        <f t="shared" si="0"/>
        <v>76.39456488802405</v>
      </c>
    </row>
    <row r="74" spans="1:9">
      <c r="A74" s="1037">
        <f t="shared" si="1"/>
        <v>2002.1</v>
      </c>
      <c r="B74" s="1041">
        <v>66.082801000000003</v>
      </c>
      <c r="C74" s="1042">
        <v>75.106133</v>
      </c>
      <c r="D74" s="1041">
        <v>87.98589299999999</v>
      </c>
      <c r="E74" s="1043">
        <v>36.911625000000001</v>
      </c>
      <c r="F74" s="1042">
        <v>94.448090999999991</v>
      </c>
      <c r="G74" s="1044">
        <v>39.081387999999997</v>
      </c>
      <c r="H74" s="1041">
        <v>79.521070999999992</v>
      </c>
      <c r="I74" s="1483">
        <f t="shared" si="0"/>
        <v>69.967323108732828</v>
      </c>
    </row>
    <row r="75" spans="1:9">
      <c r="A75" s="1037">
        <f t="shared" si="1"/>
        <v>2002.2</v>
      </c>
      <c r="B75" s="1041">
        <v>78.408869999999993</v>
      </c>
      <c r="C75" s="1042">
        <v>75.539796999999993</v>
      </c>
      <c r="D75" s="1041">
        <v>103.798095</v>
      </c>
      <c r="E75" s="1043">
        <v>38.431502999999999</v>
      </c>
      <c r="F75" s="1042">
        <v>88.314267000000001</v>
      </c>
      <c r="G75" s="1044">
        <v>43.516754999999996</v>
      </c>
      <c r="H75" s="1041">
        <v>85.535212999999999</v>
      </c>
      <c r="I75" s="1483">
        <f t="shared" si="0"/>
        <v>88.7839220813552</v>
      </c>
    </row>
    <row r="76" spans="1:9">
      <c r="A76" s="1037">
        <f>A72+1</f>
        <v>2002.3</v>
      </c>
      <c r="B76" s="1041">
        <v>77.718760000000003</v>
      </c>
      <c r="C76" s="1042">
        <v>79.813520999999994</v>
      </c>
      <c r="D76" s="1041">
        <v>97.375431999999989</v>
      </c>
      <c r="E76" s="1043">
        <v>40.847806999999996</v>
      </c>
      <c r="F76" s="1042">
        <v>89.337215999999998</v>
      </c>
      <c r="G76" s="1044">
        <v>45.723169999999996</v>
      </c>
      <c r="H76" s="1041">
        <v>89.339610999999991</v>
      </c>
      <c r="I76" s="1483">
        <f t="shared" ref="I76:I139" si="2">B76/F76*100</f>
        <v>86.994830911229656</v>
      </c>
    </row>
    <row r="77" spans="1:9">
      <c r="A77" s="1037">
        <f t="shared" si="1"/>
        <v>2002.4</v>
      </c>
      <c r="B77" s="1041">
        <v>74.536401999999995</v>
      </c>
      <c r="C77" s="1042">
        <v>81.044646</v>
      </c>
      <c r="D77" s="1041">
        <v>91.969556999999995</v>
      </c>
      <c r="E77" s="1043">
        <v>44.012809999999995</v>
      </c>
      <c r="F77" s="1042">
        <v>89.363586999999995</v>
      </c>
      <c r="G77" s="1044">
        <v>49.251390999999998</v>
      </c>
      <c r="H77" s="1041">
        <v>90.690905000000001</v>
      </c>
      <c r="I77" s="1483">
        <f t="shared" si="2"/>
        <v>83.408023896802618</v>
      </c>
    </row>
    <row r="78" spans="1:9">
      <c r="A78" s="1037">
        <f t="shared" si="1"/>
        <v>2003.1</v>
      </c>
      <c r="B78" s="1041">
        <v>76.065935999999994</v>
      </c>
      <c r="C78" s="1042">
        <v>86.957742999999994</v>
      </c>
      <c r="D78" s="1041">
        <v>87.474598</v>
      </c>
      <c r="E78" s="1043">
        <v>44.722693999999997</v>
      </c>
      <c r="F78" s="1042">
        <v>92.217405999999997</v>
      </c>
      <c r="G78" s="1044">
        <v>48.497019999999999</v>
      </c>
      <c r="H78" s="1041">
        <v>94.296453</v>
      </c>
      <c r="I78" s="1483">
        <f t="shared" si="2"/>
        <v>82.485443149420178</v>
      </c>
    </row>
    <row r="79" spans="1:9">
      <c r="A79" s="1037">
        <f t="shared" ref="A79:A142" si="3">A75+1</f>
        <v>2003.2</v>
      </c>
      <c r="B79" s="1041">
        <v>97.826342999999994</v>
      </c>
      <c r="C79" s="1042">
        <v>83.951870999999997</v>
      </c>
      <c r="D79" s="1041">
        <v>116.526698</v>
      </c>
      <c r="E79" s="1043">
        <v>59.594784999999995</v>
      </c>
      <c r="F79" s="1042">
        <v>91.951196999999993</v>
      </c>
      <c r="G79" s="1044">
        <v>64.811319999999995</v>
      </c>
      <c r="H79" s="1041">
        <v>91.300466</v>
      </c>
      <c r="I79" s="1483">
        <f t="shared" si="2"/>
        <v>106.38941763857626</v>
      </c>
    </row>
    <row r="80" spans="1:9">
      <c r="A80" s="1037">
        <f t="shared" si="3"/>
        <v>2003.3</v>
      </c>
      <c r="B80" s="1041">
        <v>87.355685999999992</v>
      </c>
      <c r="C80" s="1042">
        <v>85.389077</v>
      </c>
      <c r="D80" s="1041">
        <v>102.30311500000001</v>
      </c>
      <c r="E80" s="1043">
        <v>66.171143999999998</v>
      </c>
      <c r="F80" s="1042">
        <v>91.865963999999991</v>
      </c>
      <c r="G80" s="1044">
        <v>72.030097999999995</v>
      </c>
      <c r="H80" s="1041">
        <v>92.949633999999989</v>
      </c>
      <c r="I80" s="1483">
        <f t="shared" si="2"/>
        <v>95.090371010530077</v>
      </c>
    </row>
    <row r="81" spans="1:9">
      <c r="A81" s="1037">
        <f t="shared" si="3"/>
        <v>2003.4</v>
      </c>
      <c r="B81" s="1041">
        <v>85.107693999999995</v>
      </c>
      <c r="C81" s="1042">
        <v>90.445297999999994</v>
      </c>
      <c r="D81" s="1041">
        <v>94.098528000000002</v>
      </c>
      <c r="E81" s="1043">
        <v>76.347651999999997</v>
      </c>
      <c r="F81" s="1042">
        <v>93.982407999999992</v>
      </c>
      <c r="G81" s="1044">
        <v>81.236109999999996</v>
      </c>
      <c r="H81" s="1041">
        <v>96.236412000000001</v>
      </c>
      <c r="I81" s="1483">
        <f t="shared" si="2"/>
        <v>90.55704765513137</v>
      </c>
    </row>
    <row r="82" spans="1:9">
      <c r="A82" s="1037">
        <f t="shared" si="3"/>
        <v>2004.1</v>
      </c>
      <c r="B82" s="1041">
        <v>85.32064299999999</v>
      </c>
      <c r="C82" s="1042">
        <v>98.366294999999994</v>
      </c>
      <c r="D82" s="1041">
        <v>86.737679999999997</v>
      </c>
      <c r="E82" s="1043">
        <v>83.088549</v>
      </c>
      <c r="F82" s="1042">
        <v>95.567118999999991</v>
      </c>
      <c r="G82" s="1044">
        <v>86.942611999999997</v>
      </c>
      <c r="H82" s="1041">
        <v>102.929016</v>
      </c>
      <c r="I82" s="1483">
        <f t="shared" si="2"/>
        <v>89.278241190884913</v>
      </c>
    </row>
    <row r="83" spans="1:9">
      <c r="A83" s="1037">
        <f t="shared" si="3"/>
        <v>2004.2</v>
      </c>
      <c r="B83" s="1041">
        <v>108.57138999999999</v>
      </c>
      <c r="C83" s="1042">
        <v>102.46966999999999</v>
      </c>
      <c r="D83" s="1041">
        <v>105.95465899999999</v>
      </c>
      <c r="E83" s="1043">
        <v>97.702032000000003</v>
      </c>
      <c r="F83" s="1042">
        <v>99.076138</v>
      </c>
      <c r="G83" s="1044">
        <v>98.613080999999994</v>
      </c>
      <c r="H83" s="1041">
        <v>103.42517599999999</v>
      </c>
      <c r="I83" s="1483">
        <f t="shared" si="2"/>
        <v>109.58379302188787</v>
      </c>
    </row>
    <row r="84" spans="1:9">
      <c r="A84" s="1037">
        <f t="shared" si="3"/>
        <v>2004.3</v>
      </c>
      <c r="B84" s="1041">
        <v>103.901526</v>
      </c>
      <c r="C84" s="1042">
        <v>99.162854999999993</v>
      </c>
      <c r="D84" s="1041">
        <v>104.778676</v>
      </c>
      <c r="E84" s="1043">
        <v>107.40213900000001</v>
      </c>
      <c r="F84" s="1042">
        <v>101.664419</v>
      </c>
      <c r="G84" s="1044">
        <v>105.643784</v>
      </c>
      <c r="H84" s="1041">
        <v>97.539389999999997</v>
      </c>
      <c r="I84" s="1483">
        <f t="shared" si="2"/>
        <v>102.20048176343781</v>
      </c>
    </row>
    <row r="85" spans="1:9">
      <c r="A85" s="1037">
        <f t="shared" si="3"/>
        <v>2004.4</v>
      </c>
      <c r="B85" s="1041">
        <v>102.206441</v>
      </c>
      <c r="C85" s="1042">
        <v>99.324275</v>
      </c>
      <c r="D85" s="1041">
        <v>102.901774</v>
      </c>
      <c r="E85" s="1043">
        <v>111.80727999999999</v>
      </c>
      <c r="F85" s="1042">
        <v>102.51884099999999</v>
      </c>
      <c r="G85" s="1044">
        <v>109.060226</v>
      </c>
      <c r="H85" s="1041">
        <v>96.883923999999993</v>
      </c>
      <c r="I85" s="1483">
        <f t="shared" si="2"/>
        <v>99.695275525013002</v>
      </c>
    </row>
    <row r="86" spans="1:9">
      <c r="A86" s="1037">
        <f t="shared" si="3"/>
        <v>2005.1</v>
      </c>
      <c r="B86" s="1041">
        <v>97.661503999999994</v>
      </c>
      <c r="C86" s="1042">
        <v>98.67183</v>
      </c>
      <c r="D86" s="1041">
        <v>98.976074999999994</v>
      </c>
      <c r="E86" s="1043">
        <v>106.318434</v>
      </c>
      <c r="F86" s="1042">
        <v>105.486538</v>
      </c>
      <c r="G86" s="1044">
        <v>100.788628</v>
      </c>
      <c r="H86" s="1041">
        <v>93.539737000000002</v>
      </c>
      <c r="I86" s="1483">
        <f t="shared" si="2"/>
        <v>92.581959605120417</v>
      </c>
    </row>
    <row r="87" spans="1:9">
      <c r="A87" s="1037">
        <f t="shared" si="3"/>
        <v>2005.2</v>
      </c>
      <c r="B87" s="1041">
        <v>123.85957999999999</v>
      </c>
      <c r="C87" s="1042">
        <v>101.84740600000001</v>
      </c>
      <c r="D87" s="1041">
        <v>121.61289600000001</v>
      </c>
      <c r="E87" s="1043">
        <v>135.07510000000002</v>
      </c>
      <c r="F87" s="1042">
        <v>108.489405</v>
      </c>
      <c r="G87" s="1044">
        <v>124.50533799999999</v>
      </c>
      <c r="H87" s="1041">
        <v>93.877743999999993</v>
      </c>
      <c r="I87" s="1483">
        <f t="shared" si="2"/>
        <v>114.16744335541335</v>
      </c>
    </row>
    <row r="88" spans="1:9">
      <c r="A88" s="1037">
        <f t="shared" si="3"/>
        <v>2005.3</v>
      </c>
      <c r="B88" s="1041">
        <v>126.346366</v>
      </c>
      <c r="C88" s="1042">
        <v>107.57832000000001</v>
      </c>
      <c r="D88" s="1041">
        <v>117.445936</v>
      </c>
      <c r="E88" s="1043">
        <v>132.63878800000001</v>
      </c>
      <c r="F88" s="1042">
        <v>107.93256</v>
      </c>
      <c r="G88" s="1044">
        <v>122.89043100000001</v>
      </c>
      <c r="H88" s="1041">
        <v>99.671796000000001</v>
      </c>
      <c r="I88" s="1483">
        <f t="shared" si="2"/>
        <v>117.06047368838468</v>
      </c>
    </row>
    <row r="89" spans="1:9">
      <c r="A89" s="1037">
        <f t="shared" si="3"/>
        <v>2005.4</v>
      </c>
      <c r="B89" s="1041">
        <v>119.359213</v>
      </c>
      <c r="C89" s="1042">
        <v>109.861886</v>
      </c>
      <c r="D89" s="1041">
        <v>108.64478800000001</v>
      </c>
      <c r="E89" s="1043">
        <v>137.20011099999999</v>
      </c>
      <c r="F89" s="1042">
        <v>108.854174</v>
      </c>
      <c r="G89" s="1044">
        <v>126.040285</v>
      </c>
      <c r="H89" s="1041">
        <v>100.92574500000001</v>
      </c>
      <c r="I89" s="1483">
        <f t="shared" si="2"/>
        <v>109.65056149339757</v>
      </c>
    </row>
    <row r="90" spans="1:9">
      <c r="A90" s="1037">
        <f t="shared" si="3"/>
        <v>2006.1</v>
      </c>
      <c r="B90" s="1041">
        <v>114.825847</v>
      </c>
      <c r="C90" s="1042">
        <v>110.95615599999999</v>
      </c>
      <c r="D90" s="1041">
        <v>103.48758599999999</v>
      </c>
      <c r="E90" s="1043">
        <v>131.373403</v>
      </c>
      <c r="F90" s="1042">
        <v>111.249756</v>
      </c>
      <c r="G90" s="1044">
        <v>118.088711</v>
      </c>
      <c r="H90" s="1041">
        <v>99.736088999999993</v>
      </c>
      <c r="I90" s="1483">
        <f t="shared" si="2"/>
        <v>103.21447087039004</v>
      </c>
    </row>
    <row r="91" spans="1:9">
      <c r="A91" s="1037">
        <f t="shared" si="3"/>
        <v>2006.2</v>
      </c>
      <c r="B91" s="1041">
        <v>138.298214</v>
      </c>
      <c r="C91" s="1042">
        <v>112.893766</v>
      </c>
      <c r="D91" s="1041">
        <v>122.502968</v>
      </c>
      <c r="E91" s="1043">
        <v>146.67802599999999</v>
      </c>
      <c r="F91" s="1042">
        <v>112.740689</v>
      </c>
      <c r="G91" s="1044">
        <v>130.10212000000001</v>
      </c>
      <c r="H91" s="1041">
        <v>100.135778</v>
      </c>
      <c r="I91" s="1483">
        <f t="shared" si="2"/>
        <v>122.66929998981999</v>
      </c>
    </row>
    <row r="92" spans="1:9">
      <c r="A92" s="1037">
        <f t="shared" si="3"/>
        <v>2006.3</v>
      </c>
      <c r="B92" s="1041">
        <v>140.11140499999999</v>
      </c>
      <c r="C92" s="1042">
        <v>117.133351</v>
      </c>
      <c r="D92" s="1041">
        <v>119.61700399999999</v>
      </c>
      <c r="E92" s="1043">
        <v>165.782501</v>
      </c>
      <c r="F92" s="1042">
        <v>115.25192300000001</v>
      </c>
      <c r="G92" s="1044">
        <v>143.84358800000001</v>
      </c>
      <c r="H92" s="1041">
        <v>101.63244899999999</v>
      </c>
      <c r="I92" s="1483">
        <f t="shared" si="2"/>
        <v>121.56968955737075</v>
      </c>
    </row>
    <row r="93" spans="1:9">
      <c r="A93" s="1037">
        <f t="shared" si="3"/>
        <v>2006.4</v>
      </c>
      <c r="B93" s="1041">
        <v>145.24858699999999</v>
      </c>
      <c r="C93" s="1042">
        <v>119.664248</v>
      </c>
      <c r="D93" s="1041">
        <v>121.38010199999999</v>
      </c>
      <c r="E93" s="1043">
        <v>164.82286299999998</v>
      </c>
      <c r="F93" s="1042">
        <v>115.31078599999999</v>
      </c>
      <c r="G93" s="1044">
        <v>142.937941</v>
      </c>
      <c r="H93" s="1041">
        <v>103.77541600000001</v>
      </c>
      <c r="I93" s="1483">
        <f t="shared" si="2"/>
        <v>125.96270655895103</v>
      </c>
    </row>
    <row r="94" spans="1:9">
      <c r="A94" s="1037">
        <f t="shared" si="3"/>
        <v>2007.1</v>
      </c>
      <c r="B94" s="1041">
        <v>128.98611499999998</v>
      </c>
      <c r="C94" s="1042">
        <v>123.91269699999999</v>
      </c>
      <c r="D94" s="1041">
        <v>104.09434899999999</v>
      </c>
      <c r="E94" s="1043">
        <v>163.31153999999998</v>
      </c>
      <c r="F94" s="1042">
        <v>116.200686</v>
      </c>
      <c r="G94" s="1044">
        <v>140.542665</v>
      </c>
      <c r="H94" s="1041">
        <v>106.636804</v>
      </c>
      <c r="I94" s="1483">
        <f t="shared" si="2"/>
        <v>111.00288598984689</v>
      </c>
    </row>
    <row r="95" spans="1:9">
      <c r="A95" s="1037">
        <f t="shared" si="3"/>
        <v>2007.2</v>
      </c>
      <c r="B95" s="1041">
        <v>158.20915300000001</v>
      </c>
      <c r="C95" s="1042">
        <v>123.34566599999999</v>
      </c>
      <c r="D95" s="1041">
        <v>128.26486499999999</v>
      </c>
      <c r="E95" s="1043">
        <v>181.453778</v>
      </c>
      <c r="F95" s="1042">
        <v>119.88085699999999</v>
      </c>
      <c r="G95" s="1044">
        <v>151.361762</v>
      </c>
      <c r="H95" s="1041">
        <v>102.89021099999999</v>
      </c>
      <c r="I95" s="1483">
        <f t="shared" si="2"/>
        <v>131.97199032369284</v>
      </c>
    </row>
    <row r="96" spans="1:9">
      <c r="A96" s="1037">
        <f t="shared" si="3"/>
        <v>2007.3</v>
      </c>
      <c r="B96" s="1041">
        <v>166.170849</v>
      </c>
      <c r="C96" s="1042">
        <v>128.578</v>
      </c>
      <c r="D96" s="1041">
        <v>129.23738800000001</v>
      </c>
      <c r="E96" s="1043">
        <v>226.24382499999999</v>
      </c>
      <c r="F96" s="1042">
        <v>125.630691</v>
      </c>
      <c r="G96" s="1044">
        <v>180.08642900000001</v>
      </c>
      <c r="H96" s="1041">
        <v>102.346011</v>
      </c>
      <c r="I96" s="1483">
        <f t="shared" si="2"/>
        <v>132.26931068937606</v>
      </c>
    </row>
    <row r="97" spans="1:9">
      <c r="A97" s="1037">
        <f t="shared" si="3"/>
        <v>2007.4</v>
      </c>
      <c r="B97" s="1041">
        <v>194.25928499999998</v>
      </c>
      <c r="C97" s="1042">
        <v>145.74049400000001</v>
      </c>
      <c r="D97" s="1041">
        <v>133.29122100000001</v>
      </c>
      <c r="E97" s="1043">
        <v>225.72782100000001</v>
      </c>
      <c r="F97" s="1042">
        <v>123.744124</v>
      </c>
      <c r="G97" s="1044">
        <v>182.41498100000001</v>
      </c>
      <c r="H97" s="1041">
        <v>117.775689</v>
      </c>
      <c r="I97" s="1483">
        <f t="shared" si="2"/>
        <v>156.98465407537248</v>
      </c>
    </row>
    <row r="98" spans="1:9">
      <c r="A98" s="1037">
        <f t="shared" si="3"/>
        <v>2008.1</v>
      </c>
      <c r="B98" s="1041">
        <v>185.50386700000001</v>
      </c>
      <c r="C98" s="1042">
        <v>166.238134</v>
      </c>
      <c r="D98" s="1041">
        <v>111.58923799999999</v>
      </c>
      <c r="E98" s="1043">
        <v>229.03165899999999</v>
      </c>
      <c r="F98" s="1042">
        <v>126.83327800000001</v>
      </c>
      <c r="G98" s="1044">
        <v>180.57694499999999</v>
      </c>
      <c r="H98" s="1041">
        <v>131.06823</v>
      </c>
      <c r="I98" s="1483">
        <f t="shared" si="2"/>
        <v>146.25804041743683</v>
      </c>
    </row>
    <row r="99" spans="1:9">
      <c r="A99" s="1037">
        <f t="shared" si="3"/>
        <v>2008.2</v>
      </c>
      <c r="B99" s="1041">
        <v>202.37287800000001</v>
      </c>
      <c r="C99" s="1042">
        <v>166.415896</v>
      </c>
      <c r="D99" s="1041">
        <v>121.60669899999999</v>
      </c>
      <c r="E99" s="1043">
        <v>273.126981</v>
      </c>
      <c r="F99" s="1042">
        <v>141.87285500000002</v>
      </c>
      <c r="G99" s="1044">
        <v>192.515321</v>
      </c>
      <c r="H99" s="1041">
        <v>117.29932099999999</v>
      </c>
      <c r="I99" s="1483">
        <f t="shared" si="2"/>
        <v>142.6438327472863</v>
      </c>
    </row>
    <row r="100" spans="1:9">
      <c r="A100" s="1037">
        <f t="shared" si="3"/>
        <v>2008.3</v>
      </c>
      <c r="B100" s="1041">
        <v>246.368673</v>
      </c>
      <c r="C100" s="1042">
        <v>174.38721900000002</v>
      </c>
      <c r="D100" s="1041">
        <v>141.27679499999999</v>
      </c>
      <c r="E100" s="1043">
        <v>294.34193299999998</v>
      </c>
      <c r="F100" s="1042">
        <v>146.498198</v>
      </c>
      <c r="G100" s="1044">
        <v>200.91846699999999</v>
      </c>
      <c r="H100" s="1041">
        <v>119.037108</v>
      </c>
      <c r="I100" s="1483">
        <f t="shared" si="2"/>
        <v>168.17181123279073</v>
      </c>
    </row>
    <row r="101" spans="1:9">
      <c r="A101" s="1037">
        <f t="shared" si="3"/>
        <v>2008.4</v>
      </c>
      <c r="B101" s="1041">
        <v>175.78904199999999</v>
      </c>
      <c r="C101" s="1042">
        <v>152.35330000000002</v>
      </c>
      <c r="D101" s="1041">
        <v>115.382497</v>
      </c>
      <c r="E101" s="1043">
        <v>227.54454899999999</v>
      </c>
      <c r="F101" s="1042">
        <v>131.89752200000001</v>
      </c>
      <c r="G101" s="1044">
        <v>172.516167</v>
      </c>
      <c r="H101" s="1041">
        <v>115.508842</v>
      </c>
      <c r="I101" s="1483">
        <f t="shared" si="2"/>
        <v>133.27698605285397</v>
      </c>
    </row>
    <row r="102" spans="1:9">
      <c r="A102" s="1037">
        <f t="shared" si="3"/>
        <v>2009.1</v>
      </c>
      <c r="B102" s="1041">
        <v>137.937107</v>
      </c>
      <c r="C102" s="1042">
        <v>139.13414499999999</v>
      </c>
      <c r="D102" s="1041">
        <v>99.139651999999998</v>
      </c>
      <c r="E102" s="1043">
        <v>148.12368699999999</v>
      </c>
      <c r="F102" s="1042">
        <v>120.679051</v>
      </c>
      <c r="G102" s="1044">
        <v>122.741839</v>
      </c>
      <c r="H102" s="1041">
        <v>115.29270700000001</v>
      </c>
      <c r="I102" s="1483">
        <f t="shared" si="2"/>
        <v>114.30078862651978</v>
      </c>
    </row>
    <row r="103" spans="1:9">
      <c r="A103" s="1037">
        <f t="shared" si="3"/>
        <v>2009.2</v>
      </c>
      <c r="B103" s="1041">
        <v>178.93429800000001</v>
      </c>
      <c r="C103" s="1042">
        <v>145.40756400000001</v>
      </c>
      <c r="D103" s="1041">
        <v>123.05707699999999</v>
      </c>
      <c r="E103" s="1043">
        <v>161.380099</v>
      </c>
      <c r="F103" s="1042">
        <v>122.934074</v>
      </c>
      <c r="G103" s="1044">
        <v>131.27369300000001</v>
      </c>
      <c r="H103" s="1041">
        <v>118.280929</v>
      </c>
      <c r="I103" s="1483">
        <f t="shared" si="2"/>
        <v>145.55305309413239</v>
      </c>
    </row>
    <row r="104" spans="1:9">
      <c r="A104" s="1037">
        <f t="shared" si="3"/>
        <v>2009.3</v>
      </c>
      <c r="B104" s="1041">
        <v>159.734544</v>
      </c>
      <c r="C104" s="1042">
        <v>150.10470599999999</v>
      </c>
      <c r="D104" s="1041">
        <v>106.415414</v>
      </c>
      <c r="E104" s="1043">
        <v>187.300218</v>
      </c>
      <c r="F104" s="1042">
        <v>121.728893</v>
      </c>
      <c r="G104" s="1044">
        <v>153.86668900000001</v>
      </c>
      <c r="H104" s="1041">
        <v>123.31066300000001</v>
      </c>
      <c r="I104" s="1483">
        <f t="shared" si="2"/>
        <v>131.22155312790039</v>
      </c>
    </row>
    <row r="105" spans="1:9">
      <c r="A105" s="1037">
        <f t="shared" si="3"/>
        <v>2009.4</v>
      </c>
      <c r="B105" s="1041">
        <v>167.45380799999998</v>
      </c>
      <c r="C105" s="1042">
        <v>154.006348</v>
      </c>
      <c r="D105" s="1041">
        <v>108.731757</v>
      </c>
      <c r="E105" s="1043">
        <v>194.41066499999999</v>
      </c>
      <c r="F105" s="1042">
        <v>119.328468</v>
      </c>
      <c r="G105" s="1044">
        <v>162.92060799999999</v>
      </c>
      <c r="H105" s="1041">
        <v>129.06086099999999</v>
      </c>
      <c r="I105" s="1483">
        <f t="shared" si="2"/>
        <v>140.33014150487543</v>
      </c>
    </row>
    <row r="106" spans="1:9">
      <c r="A106" s="1037">
        <f t="shared" si="3"/>
        <v>2010.1</v>
      </c>
      <c r="B106" s="1041">
        <v>151.026173</v>
      </c>
      <c r="C106" s="1042">
        <v>158.45370399999999</v>
      </c>
      <c r="D106" s="1041">
        <v>95.312490999999994</v>
      </c>
      <c r="E106" s="1043">
        <v>197.22841199999999</v>
      </c>
      <c r="F106" s="1042">
        <v>122.710314</v>
      </c>
      <c r="G106" s="1044">
        <v>160.726842</v>
      </c>
      <c r="H106" s="1041">
        <v>129.12826899999999</v>
      </c>
      <c r="I106" s="1483">
        <f t="shared" si="2"/>
        <v>123.07537001331445</v>
      </c>
    </row>
    <row r="107" spans="1:9">
      <c r="A107" s="1037">
        <f t="shared" si="3"/>
        <v>2010.2</v>
      </c>
      <c r="B107" s="1041">
        <v>220.734084</v>
      </c>
      <c r="C107" s="1042">
        <v>151.29083600000001</v>
      </c>
      <c r="D107" s="1041">
        <v>145.900498</v>
      </c>
      <c r="E107" s="1043">
        <v>246.41987799999998</v>
      </c>
      <c r="F107" s="1042">
        <v>129.73098999999999</v>
      </c>
      <c r="G107" s="1044">
        <v>189.946811</v>
      </c>
      <c r="H107" s="1041">
        <v>116.618887</v>
      </c>
      <c r="I107" s="1483">
        <f t="shared" si="2"/>
        <v>170.14753683757445</v>
      </c>
    </row>
    <row r="108" spans="1:9">
      <c r="A108" s="1037">
        <f t="shared" si="3"/>
        <v>2010.3</v>
      </c>
      <c r="B108" s="1041">
        <v>216.820008</v>
      </c>
      <c r="C108" s="1042">
        <v>155.830941</v>
      </c>
      <c r="D108" s="1041">
        <v>139.13797</v>
      </c>
      <c r="E108" s="1043">
        <v>284.83361400000001</v>
      </c>
      <c r="F108" s="1042">
        <v>127.56622899999999</v>
      </c>
      <c r="G108" s="1044">
        <v>223.28293099999999</v>
      </c>
      <c r="H108" s="1041">
        <v>122.156893</v>
      </c>
      <c r="I108" s="1483">
        <f t="shared" si="2"/>
        <v>169.96662024084762</v>
      </c>
    </row>
    <row r="109" spans="1:9">
      <c r="A109" s="1037">
        <f t="shared" si="3"/>
        <v>2010.4</v>
      </c>
      <c r="B109" s="1041">
        <v>200.11677499999999</v>
      </c>
      <c r="C109" s="1042">
        <v>170.98254900000001</v>
      </c>
      <c r="D109" s="1041">
        <v>117.039298</v>
      </c>
      <c r="E109" s="1043">
        <v>283.62531000000001</v>
      </c>
      <c r="F109" s="1042">
        <v>126.39264299999999</v>
      </c>
      <c r="G109" s="1044">
        <v>224.400173</v>
      </c>
      <c r="H109" s="1041">
        <v>135.27887799999999</v>
      </c>
      <c r="I109" s="1483">
        <f t="shared" si="2"/>
        <v>158.32944881135208</v>
      </c>
    </row>
    <row r="110" spans="1:9">
      <c r="A110" s="1037">
        <f t="shared" si="3"/>
        <v>2011.1</v>
      </c>
      <c r="B110" s="1041">
        <v>192.982225</v>
      </c>
      <c r="C110" s="1042">
        <v>184.95815199999998</v>
      </c>
      <c r="D110" s="1041">
        <v>104.338318</v>
      </c>
      <c r="E110" s="1043">
        <v>272.57565299999999</v>
      </c>
      <c r="F110" s="1042">
        <v>131.97011599999999</v>
      </c>
      <c r="G110" s="1044">
        <v>206.54346799999999</v>
      </c>
      <c r="H110" s="1041">
        <v>140.15154200000001</v>
      </c>
      <c r="I110" s="1483">
        <f t="shared" si="2"/>
        <v>146.23176128753269</v>
      </c>
    </row>
    <row r="111" spans="1:9">
      <c r="A111" s="1037">
        <f t="shared" si="3"/>
        <v>2011.2</v>
      </c>
      <c r="B111" s="1041">
        <v>263.68465900000001</v>
      </c>
      <c r="C111" s="1042">
        <v>190.05904799999999</v>
      </c>
      <c r="D111" s="1041">
        <v>138.738282</v>
      </c>
      <c r="E111" s="1043">
        <v>333.741196</v>
      </c>
      <c r="F111" s="1042">
        <v>141.36484000000002</v>
      </c>
      <c r="G111" s="1044">
        <v>236.08500900000001</v>
      </c>
      <c r="H111" s="1041">
        <v>134.44576999999998</v>
      </c>
      <c r="I111" s="1483">
        <f t="shared" si="2"/>
        <v>186.52775258685256</v>
      </c>
    </row>
    <row r="112" spans="1:9">
      <c r="A112" s="1037">
        <f t="shared" si="3"/>
        <v>2011.3</v>
      </c>
      <c r="B112" s="1041">
        <v>269.232328</v>
      </c>
      <c r="C112" s="1042">
        <v>190.733239</v>
      </c>
      <c r="D112" s="1041">
        <v>141.15648099999999</v>
      </c>
      <c r="E112" s="1043">
        <v>381.69480299999998</v>
      </c>
      <c r="F112" s="1042">
        <v>138.95346999999998</v>
      </c>
      <c r="G112" s="1044">
        <v>274.69252999999998</v>
      </c>
      <c r="H112" s="1041">
        <v>137.264106</v>
      </c>
      <c r="I112" s="1483">
        <f t="shared" si="2"/>
        <v>193.75718217040568</v>
      </c>
    </row>
    <row r="113" spans="1:9">
      <c r="A113" s="1037">
        <f t="shared" si="3"/>
        <v>2011.4</v>
      </c>
      <c r="B113" s="1041">
        <v>234.093042</v>
      </c>
      <c r="C113" s="1042">
        <v>188.19283799999999</v>
      </c>
      <c r="D113" s="1041">
        <v>124.389984</v>
      </c>
      <c r="E113" s="1043">
        <v>330.05024900000001</v>
      </c>
      <c r="F113" s="1042">
        <v>131.230707</v>
      </c>
      <c r="G113" s="1044">
        <v>251.503826</v>
      </c>
      <c r="H113" s="1041">
        <v>143.40609899999998</v>
      </c>
      <c r="I113" s="1483">
        <f t="shared" si="2"/>
        <v>178.38282468446963</v>
      </c>
    </row>
    <row r="114" spans="1:9">
      <c r="A114" s="1037">
        <f t="shared" si="3"/>
        <v>2012.1</v>
      </c>
      <c r="B114" s="1041">
        <v>203.65477899999999</v>
      </c>
      <c r="C114" s="1042">
        <v>189.91087899999999</v>
      </c>
      <c r="D114" s="1041">
        <v>107.237026</v>
      </c>
      <c r="E114" s="1043">
        <v>271.50910799999997</v>
      </c>
      <c r="F114" s="1042">
        <v>130.434642</v>
      </c>
      <c r="G114" s="1044">
        <v>208.157208</v>
      </c>
      <c r="H114" s="1041">
        <v>145.59849800000001</v>
      </c>
      <c r="I114" s="1483">
        <f t="shared" si="2"/>
        <v>156.13549888073445</v>
      </c>
    </row>
    <row r="115" spans="1:9">
      <c r="A115" s="1037">
        <f t="shared" si="3"/>
        <v>2012.2</v>
      </c>
      <c r="B115" s="1041">
        <v>238.52514500000001</v>
      </c>
      <c r="C115" s="1042">
        <v>193.72343100000001</v>
      </c>
      <c r="D115" s="1041">
        <v>123.126637</v>
      </c>
      <c r="E115" s="1043">
        <v>299.22402799999998</v>
      </c>
      <c r="F115" s="1042">
        <v>144.45784499999999</v>
      </c>
      <c r="G115" s="1044">
        <v>207.13587899999999</v>
      </c>
      <c r="H115" s="1041">
        <v>134.10378</v>
      </c>
      <c r="I115" s="1483">
        <f t="shared" si="2"/>
        <v>165.11747423616904</v>
      </c>
    </row>
    <row r="116" spans="1:9">
      <c r="A116" s="1037">
        <f t="shared" si="3"/>
        <v>2012.3</v>
      </c>
      <c r="B116" s="1041">
        <v>253.46499399999999</v>
      </c>
      <c r="C116" s="1042">
        <v>195.36873399999999</v>
      </c>
      <c r="D116" s="1041">
        <v>129.73672400000001</v>
      </c>
      <c r="E116" s="1043">
        <v>329.26185900000002</v>
      </c>
      <c r="F116" s="1042">
        <v>132.32468</v>
      </c>
      <c r="G116" s="1044">
        <v>248.82875799999999</v>
      </c>
      <c r="H116" s="1041">
        <v>147.64345800000001</v>
      </c>
      <c r="I116" s="1483">
        <f t="shared" si="2"/>
        <v>191.54778534132862</v>
      </c>
    </row>
    <row r="117" spans="1:9">
      <c r="A117" s="1037">
        <f t="shared" si="3"/>
        <v>2012.4</v>
      </c>
      <c r="B117" s="1041">
        <v>229.655914</v>
      </c>
      <c r="C117" s="1042">
        <v>193.362493</v>
      </c>
      <c r="D117" s="1041">
        <v>118.769628</v>
      </c>
      <c r="E117" s="1043">
        <v>311.38147800000002</v>
      </c>
      <c r="F117" s="1042">
        <v>127.828868</v>
      </c>
      <c r="G117" s="1044">
        <v>243.592456</v>
      </c>
      <c r="H117" s="1041">
        <v>151.26668699999999</v>
      </c>
      <c r="I117" s="1483">
        <f t="shared" si="2"/>
        <v>179.65888112222038</v>
      </c>
    </row>
    <row r="118" spans="1:9">
      <c r="A118" s="1037">
        <f t="shared" si="3"/>
        <v>2013.1</v>
      </c>
      <c r="B118" s="1041">
        <v>190.293655</v>
      </c>
      <c r="C118" s="1042">
        <v>194.322622</v>
      </c>
      <c r="D118" s="1041">
        <v>97.926660999999996</v>
      </c>
      <c r="E118" s="1043">
        <v>287.84943499999997</v>
      </c>
      <c r="F118" s="1042">
        <v>137.76397399999999</v>
      </c>
      <c r="G118" s="1044">
        <v>208.94390999999999</v>
      </c>
      <c r="H118" s="1041">
        <v>141.054744</v>
      </c>
      <c r="I118" s="1483">
        <f t="shared" si="2"/>
        <v>138.13020158666447</v>
      </c>
    </row>
    <row r="119" spans="1:9">
      <c r="A119" s="1037">
        <f t="shared" si="3"/>
        <v>2013.2</v>
      </c>
      <c r="B119" s="1041">
        <v>263.44521500000002</v>
      </c>
      <c r="C119" s="1042">
        <v>194.386876</v>
      </c>
      <c r="D119" s="1041">
        <v>135.52623499999999</v>
      </c>
      <c r="E119" s="1043">
        <v>354.004974</v>
      </c>
      <c r="F119" s="1042">
        <v>147.94547800000001</v>
      </c>
      <c r="G119" s="1044">
        <v>239.280699</v>
      </c>
      <c r="H119" s="1041">
        <v>131.39088699999999</v>
      </c>
      <c r="I119" s="1483">
        <f t="shared" si="2"/>
        <v>178.06912286971016</v>
      </c>
    </row>
    <row r="120" spans="1:9">
      <c r="A120" s="1037">
        <f t="shared" si="3"/>
        <v>2013.3</v>
      </c>
      <c r="B120" s="1041">
        <v>239.185102</v>
      </c>
      <c r="C120" s="1042">
        <v>188.395241</v>
      </c>
      <c r="D120" s="1041">
        <v>126.95920599999999</v>
      </c>
      <c r="E120" s="1043">
        <v>358.043814</v>
      </c>
      <c r="F120" s="1042">
        <v>139.48645299999998</v>
      </c>
      <c r="G120" s="1044">
        <v>256.68715900000001</v>
      </c>
      <c r="H120" s="1041">
        <v>135.063468</v>
      </c>
      <c r="I120" s="1483">
        <f t="shared" si="2"/>
        <v>171.47550665726658</v>
      </c>
    </row>
    <row r="121" spans="1:9">
      <c r="A121" s="1037">
        <f t="shared" si="3"/>
        <v>2013.4</v>
      </c>
      <c r="B121" s="1041">
        <v>185.87712099999999</v>
      </c>
      <c r="C121" s="1042">
        <v>184.32217</v>
      </c>
      <c r="D121" s="1041">
        <v>100.843605</v>
      </c>
      <c r="E121" s="1043">
        <v>326.73785299999997</v>
      </c>
      <c r="F121" s="1042">
        <v>137.99876499999999</v>
      </c>
      <c r="G121" s="1044">
        <v>236.76867999999999</v>
      </c>
      <c r="H121" s="1041">
        <v>133.56798599999999</v>
      </c>
      <c r="I121" s="1483">
        <f t="shared" si="2"/>
        <v>134.69477136262776</v>
      </c>
    </row>
    <row r="122" spans="1:9">
      <c r="A122" s="1037">
        <f t="shared" si="3"/>
        <v>2014.1</v>
      </c>
      <c r="B122" s="1041">
        <v>160.06589199999999</v>
      </c>
      <c r="C122" s="1042">
        <v>189.14250000000001</v>
      </c>
      <c r="D122" s="1041">
        <v>84.627141999999992</v>
      </c>
      <c r="E122" s="1043">
        <v>295.40238299999999</v>
      </c>
      <c r="F122" s="1042">
        <v>140.73940199999998</v>
      </c>
      <c r="G122" s="1044">
        <v>209.89316299999999</v>
      </c>
      <c r="H122" s="1041">
        <v>134.39200199999999</v>
      </c>
      <c r="I122" s="1483">
        <f t="shared" si="2"/>
        <v>113.73211035812132</v>
      </c>
    </row>
    <row r="123" spans="1:9">
      <c r="A123" s="1037">
        <f t="shared" si="3"/>
        <v>2014.2</v>
      </c>
      <c r="B123" s="1041">
        <v>241.333957</v>
      </c>
      <c r="C123" s="1042">
        <v>195.20411200000001</v>
      </c>
      <c r="D123" s="1041">
        <v>123.631595</v>
      </c>
      <c r="E123" s="1043">
        <v>307.96392500000002</v>
      </c>
      <c r="F123" s="1042">
        <v>143.57737900000001</v>
      </c>
      <c r="G123" s="1044">
        <v>214.493347</v>
      </c>
      <c r="H123" s="1041">
        <v>135.95742799999999</v>
      </c>
      <c r="I123" s="1483">
        <f t="shared" si="2"/>
        <v>168.08633691523229</v>
      </c>
    </row>
    <row r="124" spans="1:9">
      <c r="A124" s="1037">
        <f t="shared" si="3"/>
        <v>2014.3</v>
      </c>
      <c r="B124" s="1041">
        <v>214.27862300000001</v>
      </c>
      <c r="C124" s="1042">
        <v>184.73238800000001</v>
      </c>
      <c r="D124" s="1041">
        <v>115.994074</v>
      </c>
      <c r="E124" s="1043">
        <v>310.68555500000002</v>
      </c>
      <c r="F124" s="1042">
        <v>140.12380200000001</v>
      </c>
      <c r="G124" s="1044">
        <v>221.722184</v>
      </c>
      <c r="H124" s="1041">
        <v>131.83512300000001</v>
      </c>
      <c r="I124" s="1483">
        <f t="shared" si="2"/>
        <v>152.92093130616024</v>
      </c>
    </row>
    <row r="125" spans="1:9">
      <c r="A125" s="1037">
        <f t="shared" si="3"/>
        <v>2014.4</v>
      </c>
      <c r="B125" s="1041">
        <v>175.67823199999998</v>
      </c>
      <c r="C125" s="1042">
        <v>173.55538999999999</v>
      </c>
      <c r="D125" s="1041">
        <v>101.22314900000001</v>
      </c>
      <c r="E125" s="1043">
        <v>257.43835300000001</v>
      </c>
      <c r="F125" s="1042">
        <v>136.37870100000001</v>
      </c>
      <c r="G125" s="1044">
        <v>188.76727199999999</v>
      </c>
      <c r="H125" s="1041">
        <v>127.259894</v>
      </c>
      <c r="I125" s="1483">
        <f t="shared" si="2"/>
        <v>128.8164725956731</v>
      </c>
    </row>
    <row r="126" spans="1:9">
      <c r="A126" s="1037">
        <f t="shared" si="3"/>
        <v>2015.1</v>
      </c>
      <c r="B126" s="1041">
        <v>139.39441299999999</v>
      </c>
      <c r="C126" s="1042">
        <v>166.581695</v>
      </c>
      <c r="D126" s="1041">
        <v>83.679310000000001</v>
      </c>
      <c r="E126" s="1043">
        <v>240.69250499999998</v>
      </c>
      <c r="F126" s="1042">
        <v>128.92812799999999</v>
      </c>
      <c r="G126" s="1044">
        <v>186.68734899999998</v>
      </c>
      <c r="H126" s="1041">
        <v>129.205083</v>
      </c>
      <c r="I126" s="1483">
        <f t="shared" si="2"/>
        <v>108.11792210308056</v>
      </c>
    </row>
    <row r="127" spans="1:9">
      <c r="A127" s="1037">
        <f t="shared" si="3"/>
        <v>2015.2</v>
      </c>
      <c r="B127" s="1041">
        <v>189.81230599999998</v>
      </c>
      <c r="C127" s="1042">
        <v>157.11533600000001</v>
      </c>
      <c r="D127" s="1041">
        <v>120.81080799999999</v>
      </c>
      <c r="E127" s="1043">
        <v>278.774316</v>
      </c>
      <c r="F127" s="1042">
        <v>129.07645199999999</v>
      </c>
      <c r="G127" s="1044">
        <v>215.976122</v>
      </c>
      <c r="H127" s="1041">
        <v>121.722694</v>
      </c>
      <c r="I127" s="1483">
        <f t="shared" si="2"/>
        <v>147.05417065538802</v>
      </c>
    </row>
    <row r="128" spans="1:9">
      <c r="A128" s="1037">
        <f t="shared" si="3"/>
        <v>2015.3</v>
      </c>
      <c r="B128" s="1041">
        <v>183.55786999999998</v>
      </c>
      <c r="C128" s="1042">
        <v>155.55627099999998</v>
      </c>
      <c r="D128" s="1041">
        <v>118.000945</v>
      </c>
      <c r="E128" s="1043">
        <v>301.04525699999999</v>
      </c>
      <c r="F128" s="1042">
        <v>123.500888</v>
      </c>
      <c r="G128" s="1044">
        <v>243.75958900000001</v>
      </c>
      <c r="H128" s="1041">
        <v>125.955589</v>
      </c>
      <c r="I128" s="1483">
        <f t="shared" si="2"/>
        <v>148.62878556792239</v>
      </c>
    </row>
    <row r="129" spans="1:9">
      <c r="A129" s="1037">
        <f t="shared" si="3"/>
        <v>2015.4</v>
      </c>
      <c r="B129" s="1041">
        <v>144.15801400000001</v>
      </c>
      <c r="C129" s="1042">
        <v>150.39274699999999</v>
      </c>
      <c r="D129" s="1041">
        <v>95.854365999999999</v>
      </c>
      <c r="E129" s="1043">
        <v>252.3733</v>
      </c>
      <c r="F129" s="1042">
        <v>116.552076</v>
      </c>
      <c r="G129" s="1044">
        <v>216.53265199999998</v>
      </c>
      <c r="H129" s="1041">
        <v>129.034808</v>
      </c>
      <c r="I129" s="1483">
        <f t="shared" si="2"/>
        <v>123.6854966015363</v>
      </c>
    </row>
    <row r="130" spans="1:9">
      <c r="A130" s="1037">
        <f t="shared" si="3"/>
        <v>2016.1</v>
      </c>
      <c r="B130" s="1041">
        <v>143.94654199999999</v>
      </c>
      <c r="C130" s="1042">
        <v>143.74258499999999</v>
      </c>
      <c r="D130" s="1041">
        <v>100.141891</v>
      </c>
      <c r="E130" s="1043">
        <v>227.67900599999999</v>
      </c>
      <c r="F130" s="1042">
        <v>111.730631</v>
      </c>
      <c r="G130" s="1044">
        <v>203.774923</v>
      </c>
      <c r="H130" s="1041">
        <v>128.65100999999999</v>
      </c>
      <c r="I130" s="1483">
        <f t="shared" si="2"/>
        <v>128.83355326257845</v>
      </c>
    </row>
    <row r="131" spans="1:9">
      <c r="A131" s="1037">
        <f t="shared" si="3"/>
        <v>2016.2</v>
      </c>
      <c r="B131" s="1041">
        <v>178.482677</v>
      </c>
      <c r="C131" s="1042">
        <v>147.05749499999999</v>
      </c>
      <c r="D131" s="1041">
        <v>121.369316</v>
      </c>
      <c r="E131" s="1043">
        <v>255.60136900000001</v>
      </c>
      <c r="F131" s="1042">
        <v>110.483604</v>
      </c>
      <c r="G131" s="1044">
        <v>231.34778299999999</v>
      </c>
      <c r="H131" s="1041">
        <v>133.10345599999999</v>
      </c>
      <c r="I131" s="1483">
        <f t="shared" si="2"/>
        <v>161.54675493750185</v>
      </c>
    </row>
    <row r="132" spans="1:9">
      <c r="A132" s="1037">
        <f t="shared" si="3"/>
        <v>2016.3</v>
      </c>
      <c r="B132" s="1041">
        <v>182.95985300000001</v>
      </c>
      <c r="C132" s="1042">
        <v>155.551815</v>
      </c>
      <c r="D132" s="1041">
        <v>117.619877</v>
      </c>
      <c r="E132" s="1043">
        <v>260.77209699999997</v>
      </c>
      <c r="F132" s="1042">
        <v>111.520894</v>
      </c>
      <c r="G132" s="1044">
        <v>233.83250100000001</v>
      </c>
      <c r="H132" s="1173">
        <v>139.48221599999999</v>
      </c>
      <c r="I132" s="1483">
        <f t="shared" si="2"/>
        <v>164.0588112573775</v>
      </c>
    </row>
    <row r="133" spans="1:9">
      <c r="A133" s="1037">
        <f t="shared" si="3"/>
        <v>2016.4</v>
      </c>
      <c r="B133" s="1041">
        <v>164.550117</v>
      </c>
      <c r="C133" s="1042">
        <v>152.777635</v>
      </c>
      <c r="D133" s="1041">
        <v>107.70563199999999</v>
      </c>
      <c r="E133" s="1043">
        <v>251.293757</v>
      </c>
      <c r="F133" s="1042">
        <v>113.08951999999999</v>
      </c>
      <c r="G133" s="1044">
        <v>222.207821</v>
      </c>
      <c r="H133" s="1173">
        <v>135.094424</v>
      </c>
      <c r="I133" s="1483">
        <f t="shared" si="2"/>
        <v>145.50430225541677</v>
      </c>
    </row>
    <row r="134" spans="1:9">
      <c r="A134" s="1037">
        <f t="shared" si="3"/>
        <v>2017.1</v>
      </c>
      <c r="B134" s="1173">
        <v>147.55752100000001</v>
      </c>
      <c r="C134" s="1178">
        <v>151.92221899999998</v>
      </c>
      <c r="D134" s="1173">
        <v>97.127017999999993</v>
      </c>
      <c r="E134" s="1175">
        <v>248.35987699999998</v>
      </c>
      <c r="F134" s="1178">
        <v>116.36561499999999</v>
      </c>
      <c r="G134" s="822">
        <v>213.43064000000001</v>
      </c>
      <c r="H134" s="1173">
        <v>130.555937</v>
      </c>
      <c r="I134" s="1483">
        <f t="shared" si="2"/>
        <v>126.80508842753937</v>
      </c>
    </row>
    <row r="135" spans="1:9">
      <c r="A135" s="1037">
        <f t="shared" si="3"/>
        <v>2017.2</v>
      </c>
      <c r="B135" s="1173">
        <v>179.52820199999999</v>
      </c>
      <c r="C135" s="1178">
        <v>151.97879499999999</v>
      </c>
      <c r="D135" s="1173">
        <v>118.127138</v>
      </c>
      <c r="E135" s="1175">
        <v>301.81080800000001</v>
      </c>
      <c r="F135" s="1178">
        <v>119.704117</v>
      </c>
      <c r="G135" s="822">
        <v>252.130683</v>
      </c>
      <c r="H135" s="1173">
        <v>126.962046</v>
      </c>
      <c r="I135" s="1483">
        <f t="shared" si="2"/>
        <v>149.9766311295709</v>
      </c>
    </row>
    <row r="136" spans="1:9">
      <c r="A136" s="1037">
        <f t="shared" si="3"/>
        <v>2017.3</v>
      </c>
      <c r="B136" s="1173">
        <v>183.30425400000001</v>
      </c>
      <c r="C136" s="1178">
        <v>149.23845799999998</v>
      </c>
      <c r="D136" s="1173">
        <v>122.826419</v>
      </c>
      <c r="E136" s="1175">
        <v>326.62216100000001</v>
      </c>
      <c r="F136" s="1178">
        <v>116.565352</v>
      </c>
      <c r="G136" s="822">
        <v>280.20518500000003</v>
      </c>
      <c r="H136" s="1173">
        <v>128.02986100000001</v>
      </c>
      <c r="I136" s="1483">
        <f t="shared" si="2"/>
        <v>157.25449359943596</v>
      </c>
    </row>
    <row r="137" spans="1:9">
      <c r="A137" s="1037">
        <f t="shared" si="3"/>
        <v>2017.4</v>
      </c>
      <c r="B137" s="1173">
        <v>168.05964499999999</v>
      </c>
      <c r="C137" s="1178">
        <v>155.27035899999998</v>
      </c>
      <c r="D137" s="1173">
        <v>108.236785</v>
      </c>
      <c r="E137" s="1175">
        <v>316.11863599999998</v>
      </c>
      <c r="F137" s="1178">
        <v>114.462757</v>
      </c>
      <c r="G137" s="822">
        <v>276.17597499999999</v>
      </c>
      <c r="H137" s="1173">
        <v>135.65142299999999</v>
      </c>
      <c r="I137" s="1483">
        <f t="shared" si="2"/>
        <v>146.82473968366844</v>
      </c>
    </row>
    <row r="138" spans="1:9">
      <c r="A138" s="1037">
        <f t="shared" si="3"/>
        <v>2018.1</v>
      </c>
      <c r="B138" s="1173">
        <v>168.10771799999998</v>
      </c>
      <c r="C138" s="1178">
        <v>159.929115</v>
      </c>
      <c r="D138" s="1173">
        <v>105.113893</v>
      </c>
      <c r="E138" s="1175">
        <v>301.50112100000001</v>
      </c>
      <c r="F138" s="1178">
        <v>120.09186199999999</v>
      </c>
      <c r="G138" s="822">
        <v>251.05874499999999</v>
      </c>
      <c r="H138" s="1173">
        <v>133.17231699999999</v>
      </c>
      <c r="I138" s="1483">
        <f t="shared" si="2"/>
        <v>139.98260598207727</v>
      </c>
    </row>
    <row r="139" spans="1:9">
      <c r="A139" s="1037">
        <f t="shared" si="3"/>
        <v>2018.2</v>
      </c>
      <c r="B139" s="1173">
        <v>179.46473499999999</v>
      </c>
      <c r="C139" s="1178">
        <v>169.35917899999998</v>
      </c>
      <c r="D139" s="1173">
        <v>105.966937</v>
      </c>
      <c r="E139" s="1175">
        <v>321.04039399999999</v>
      </c>
      <c r="F139" s="1178">
        <v>123.322419</v>
      </c>
      <c r="G139" s="822">
        <v>260.32605999999998</v>
      </c>
      <c r="H139" s="1173">
        <v>137.33040700000001</v>
      </c>
      <c r="I139" s="1483">
        <f t="shared" si="2"/>
        <v>145.52482545772963</v>
      </c>
    </row>
    <row r="140" spans="1:9">
      <c r="A140" s="1037">
        <f t="shared" si="3"/>
        <v>2018.3</v>
      </c>
      <c r="B140" s="1173">
        <v>181.09174200000001</v>
      </c>
      <c r="C140" s="1178">
        <v>160.69407200000001</v>
      </c>
      <c r="D140" s="1173">
        <v>112.69347999999999</v>
      </c>
      <c r="E140" s="1175">
        <v>306.463641</v>
      </c>
      <c r="F140" s="1178">
        <v>123.825655</v>
      </c>
      <c r="G140" s="822">
        <v>247.49607900000001</v>
      </c>
      <c r="H140" s="1173">
        <v>129.77445800000001</v>
      </c>
      <c r="I140" s="1483">
        <f t="shared" ref="I140:I169" si="4">B140/F140*100</f>
        <v>146.24735237620993</v>
      </c>
    </row>
    <row r="141" spans="1:9">
      <c r="A141" s="1037">
        <f t="shared" si="3"/>
        <v>2018.4</v>
      </c>
      <c r="B141" s="1174">
        <v>186.07440299999999</v>
      </c>
      <c r="C141" s="1179">
        <v>153.494381</v>
      </c>
      <c r="D141" s="1174">
        <v>121.22554700000001</v>
      </c>
      <c r="E141" s="1176">
        <v>237.97178199999999</v>
      </c>
      <c r="F141" s="1179">
        <v>121.144414</v>
      </c>
      <c r="G141" s="1177">
        <v>196.43644599999999</v>
      </c>
      <c r="H141" s="1174">
        <v>126.703638</v>
      </c>
      <c r="I141" s="1483">
        <f t="shared" si="4"/>
        <v>153.5971794787005</v>
      </c>
    </row>
    <row r="142" spans="1:9">
      <c r="A142" s="1037">
        <f t="shared" si="3"/>
        <v>2019.1</v>
      </c>
      <c r="B142" s="1174">
        <v>163.92326399999999</v>
      </c>
      <c r="C142" s="1179">
        <v>153.83475799999999</v>
      </c>
      <c r="D142" s="1174">
        <v>106.558015</v>
      </c>
      <c r="E142" s="1176">
        <v>216.81273300000001</v>
      </c>
      <c r="F142" s="1179">
        <v>119.182467</v>
      </c>
      <c r="G142" s="1177">
        <v>181.91663499999999</v>
      </c>
      <c r="H142" s="1174">
        <v>129.07499100000001</v>
      </c>
      <c r="I142" s="1483">
        <f t="shared" si="4"/>
        <v>137.53974735226785</v>
      </c>
    </row>
    <row r="143" spans="1:9">
      <c r="A143" s="1037">
        <f t="shared" ref="A143:A189" si="5">A139+1</f>
        <v>2019.2</v>
      </c>
      <c r="B143" s="1174">
        <v>192.273696</v>
      </c>
      <c r="C143" s="1179">
        <v>151.721464</v>
      </c>
      <c r="D143" s="1174">
        <v>126.728078</v>
      </c>
      <c r="E143" s="1176">
        <v>231.46891199999999</v>
      </c>
      <c r="F143" s="1179">
        <v>117.255427</v>
      </c>
      <c r="G143" s="1177">
        <v>197.40571299999999</v>
      </c>
      <c r="H143" s="1174">
        <v>129.39398</v>
      </c>
      <c r="I143" s="1483">
        <f t="shared" si="4"/>
        <v>163.97850480728709</v>
      </c>
    </row>
    <row r="144" spans="1:9">
      <c r="A144" s="1037">
        <f t="shared" si="5"/>
        <v>2019.3</v>
      </c>
      <c r="B144" s="1174">
        <v>198.63398100000001</v>
      </c>
      <c r="C144" s="1179">
        <v>149.35465199999999</v>
      </c>
      <c r="D144" s="1174">
        <v>132.99484000000001</v>
      </c>
      <c r="E144" s="1176">
        <v>237.15156100000002</v>
      </c>
      <c r="F144" s="1179">
        <v>114.054642</v>
      </c>
      <c r="G144" s="1177">
        <v>207.928022</v>
      </c>
      <c r="H144" s="1174">
        <v>130.950086</v>
      </c>
      <c r="I144" s="1483">
        <f t="shared" si="4"/>
        <v>174.15685807860413</v>
      </c>
    </row>
    <row r="145" spans="1:9">
      <c r="A145" s="1037">
        <f t="shared" si="5"/>
        <v>2019.4</v>
      </c>
      <c r="B145" s="1045">
        <v>197.535504</v>
      </c>
      <c r="C145" s="1046">
        <v>149.31657100000001</v>
      </c>
      <c r="D145" s="1048">
        <v>132.29308900000001</v>
      </c>
      <c r="E145" s="1047">
        <v>190.029732</v>
      </c>
      <c r="F145" s="1046">
        <v>111.85278700000001</v>
      </c>
      <c r="G145" s="1048">
        <v>169.89270999999999</v>
      </c>
      <c r="H145" s="1047">
        <v>133.493831</v>
      </c>
      <c r="I145" s="1483">
        <f t="shared" si="4"/>
        <v>176.603113161588</v>
      </c>
    </row>
    <row r="146" spans="1:9">
      <c r="A146" s="1037">
        <f t="shared" si="5"/>
        <v>2020.1</v>
      </c>
      <c r="B146" s="1045">
        <v>154.329329</v>
      </c>
      <c r="C146" s="1046">
        <v>150.838076</v>
      </c>
      <c r="D146" s="1045">
        <v>102.31457</v>
      </c>
      <c r="E146" s="1047">
        <v>176.08771899999999</v>
      </c>
      <c r="F146" s="1046">
        <v>114.72090299999999</v>
      </c>
      <c r="G146" s="1048">
        <v>153.49227099999999</v>
      </c>
      <c r="H146" s="1045">
        <v>131.482643</v>
      </c>
      <c r="I146" s="1483">
        <f t="shared" si="4"/>
        <v>134.52590152642017</v>
      </c>
    </row>
    <row r="147" spans="1:9">
      <c r="A147" s="1037">
        <f t="shared" si="5"/>
        <v>2020.2</v>
      </c>
      <c r="B147" s="1045">
        <v>164.42724900000002</v>
      </c>
      <c r="C147" s="1046">
        <v>140.470834</v>
      </c>
      <c r="D147" s="1045">
        <v>117.05437000000001</v>
      </c>
      <c r="E147" s="1047">
        <v>166.79950500000001</v>
      </c>
      <c r="F147" s="1046">
        <v>111.784153</v>
      </c>
      <c r="G147" s="1048">
        <v>149.215699</v>
      </c>
      <c r="H147" s="1045">
        <v>125.662564</v>
      </c>
      <c r="I147" s="1483">
        <f t="shared" si="4"/>
        <v>147.09352317586556</v>
      </c>
    </row>
    <row r="148" spans="1:9">
      <c r="A148" s="1037">
        <f t="shared" si="5"/>
        <v>2020.3</v>
      </c>
      <c r="B148" s="1045">
        <v>169.045389</v>
      </c>
      <c r="C148" s="1046">
        <v>144.21149600000001</v>
      </c>
      <c r="D148" s="1045">
        <v>117.220467</v>
      </c>
      <c r="E148" s="1047">
        <v>197.60050999999999</v>
      </c>
      <c r="F148" s="1046">
        <v>109.927216</v>
      </c>
      <c r="G148" s="1048">
        <v>179.75576599999999</v>
      </c>
      <c r="H148" s="1045">
        <v>131.188163</v>
      </c>
      <c r="I148" s="1484">
        <f t="shared" si="4"/>
        <v>153.77937798406538</v>
      </c>
    </row>
    <row r="149" spans="1:9">
      <c r="A149" s="1037">
        <f t="shared" si="5"/>
        <v>2020.4</v>
      </c>
      <c r="B149" s="1045">
        <v>147.10154600000001</v>
      </c>
      <c r="C149" s="1046">
        <v>151.77972399999999</v>
      </c>
      <c r="D149" s="1045">
        <v>96.917784999999995</v>
      </c>
      <c r="E149" s="1047">
        <v>214.337052</v>
      </c>
      <c r="F149" s="1046">
        <v>110.442745</v>
      </c>
      <c r="G149" s="1048">
        <v>194.07074</v>
      </c>
      <c r="H149" s="1045">
        <v>137.42842400000001</v>
      </c>
      <c r="I149" s="1484">
        <f t="shared" si="4"/>
        <v>133.19258408508409</v>
      </c>
    </row>
    <row r="150" spans="1:9">
      <c r="A150" s="1037">
        <f t="shared" si="5"/>
        <v>2021.1</v>
      </c>
      <c r="B150" s="1045">
        <v>178.240587</v>
      </c>
      <c r="C150" s="1046">
        <v>170.27346799999998</v>
      </c>
      <c r="D150" s="1045">
        <v>104.679014</v>
      </c>
      <c r="E150" s="1047">
        <v>229.47175999999999</v>
      </c>
      <c r="F150" s="1046">
        <v>115.846199</v>
      </c>
      <c r="G150" s="1048">
        <v>198.08311599999999</v>
      </c>
      <c r="H150" s="1045">
        <v>146.98235199999999</v>
      </c>
      <c r="I150" s="1484">
        <f t="shared" si="4"/>
        <v>153.85967648364536</v>
      </c>
    </row>
    <row r="151" spans="1:9">
      <c r="A151" s="1037">
        <f t="shared" si="5"/>
        <v>2021.2</v>
      </c>
      <c r="B151" s="1045">
        <v>230.97752700000001</v>
      </c>
      <c r="C151" s="1046">
        <v>183.97788500000001</v>
      </c>
      <c r="D151" s="1045">
        <v>125.54635399999999</v>
      </c>
      <c r="E151" s="1047">
        <v>280.19413099999997</v>
      </c>
      <c r="F151" s="1046">
        <v>128.03014899999999</v>
      </c>
      <c r="G151" s="1048">
        <v>218.85011700000001</v>
      </c>
      <c r="H151" s="1045">
        <v>143.69887599999998</v>
      </c>
      <c r="I151" s="1484">
        <f t="shared" si="4"/>
        <v>180.40869967276225</v>
      </c>
    </row>
    <row r="152" spans="1:9">
      <c r="A152" s="1037">
        <f t="shared" si="5"/>
        <v>2021.3</v>
      </c>
      <c r="B152" s="1045">
        <v>265.16808200000003</v>
      </c>
      <c r="C152" s="1046">
        <v>188.93883399999999</v>
      </c>
      <c r="D152" s="1045">
        <v>140.34599299999999</v>
      </c>
      <c r="E152" s="1047">
        <v>309.28129799999999</v>
      </c>
      <c r="F152" s="1046">
        <v>133.652308</v>
      </c>
      <c r="G152" s="1048">
        <v>231.407376</v>
      </c>
      <c r="H152" s="1045">
        <v>141.36593500000001</v>
      </c>
      <c r="I152" s="1484">
        <f t="shared" si="4"/>
        <v>198.40142378985331</v>
      </c>
    </row>
    <row r="153" spans="1:9">
      <c r="A153" s="1037">
        <f t="shared" si="5"/>
        <v>2021.4</v>
      </c>
      <c r="B153" s="1045">
        <v>227.15048100000001</v>
      </c>
      <c r="C153" s="1046">
        <v>191.34169600000001</v>
      </c>
      <c r="D153" s="1045">
        <v>118.8</v>
      </c>
      <c r="E153" s="1047">
        <v>307.05791299999999</v>
      </c>
      <c r="F153" s="1046">
        <v>132.64962399999999</v>
      </c>
      <c r="G153" s="1048">
        <v>231.48042599999999</v>
      </c>
      <c r="H153" s="1045">
        <v>144.24593999999999</v>
      </c>
      <c r="I153" s="1484">
        <f t="shared" si="4"/>
        <v>171.24095353636287</v>
      </c>
    </row>
    <row r="154" spans="1:9">
      <c r="A154" s="1037">
        <f t="shared" si="5"/>
        <v>2022.1</v>
      </c>
      <c r="B154" s="1045">
        <v>223.90637699999999</v>
      </c>
      <c r="C154" s="1046">
        <v>208.370394</v>
      </c>
      <c r="D154" s="1045">
        <v>107.455946</v>
      </c>
      <c r="E154" s="1047">
        <v>320.21722899999997</v>
      </c>
      <c r="F154" s="1046">
        <v>136.84343799999999</v>
      </c>
      <c r="G154" s="1048">
        <v>234.00261899999998</v>
      </c>
      <c r="H154" s="1045">
        <v>152.26918899999998</v>
      </c>
      <c r="I154" s="1484">
        <f t="shared" si="4"/>
        <v>163.62229732930271</v>
      </c>
    </row>
    <row r="155" spans="1:9">
      <c r="A155" s="1037">
        <f t="shared" si="5"/>
        <v>2022.2</v>
      </c>
      <c r="B155" s="1045">
        <v>289.49203799999998</v>
      </c>
      <c r="C155" s="1046">
        <v>225.74579299999999</v>
      </c>
      <c r="D155" s="1045">
        <v>128.23806500000001</v>
      </c>
      <c r="E155" s="1047">
        <v>417.59945900000002</v>
      </c>
      <c r="F155" s="1046">
        <v>159.231989</v>
      </c>
      <c r="G155" s="1048">
        <v>262.25851999999998</v>
      </c>
      <c r="H155" s="1045">
        <v>141.77163400000001</v>
      </c>
      <c r="I155" s="1484">
        <f t="shared" si="4"/>
        <v>181.80520121493927</v>
      </c>
    </row>
    <row r="156" spans="1:9">
      <c r="A156" s="1037">
        <f t="shared" si="5"/>
        <v>2022.3</v>
      </c>
      <c r="B156" s="1045">
        <v>264.51818300000002</v>
      </c>
      <c r="C156" s="1046">
        <v>212.74434199999999</v>
      </c>
      <c r="D156" s="1045">
        <v>124.336178</v>
      </c>
      <c r="E156" s="1047">
        <v>414.57616999999999</v>
      </c>
      <c r="F156" s="1046">
        <v>158.70294000000001</v>
      </c>
      <c r="G156" s="1048">
        <v>261.22778199999999</v>
      </c>
      <c r="H156" s="1045">
        <v>134.05192199999999</v>
      </c>
      <c r="I156" s="1484">
        <f t="shared" si="4"/>
        <v>166.67503639189042</v>
      </c>
    </row>
    <row r="157" spans="1:9">
      <c r="A157" s="1037">
        <f t="shared" si="5"/>
        <v>2022.4</v>
      </c>
      <c r="B157" s="1045">
        <v>245.29487799999998</v>
      </c>
      <c r="C157" s="1046">
        <v>207.904853</v>
      </c>
      <c r="D157" s="1045">
        <v>117.9842</v>
      </c>
      <c r="E157" s="1047">
        <v>300.43243000000001</v>
      </c>
      <c r="F157" s="1046">
        <v>137.324287</v>
      </c>
      <c r="G157" s="1048">
        <v>218.77589</v>
      </c>
      <c r="H157" s="1045">
        <v>151.39700199999999</v>
      </c>
      <c r="I157" s="1484">
        <f t="shared" si="4"/>
        <v>178.62454148405661</v>
      </c>
    </row>
    <row r="158" spans="1:9">
      <c r="A158" s="1037">
        <f t="shared" si="5"/>
        <v>2023.1</v>
      </c>
      <c r="B158" s="1045">
        <v>183.93362400000001</v>
      </c>
      <c r="C158" s="1046">
        <v>202.84607600000001</v>
      </c>
      <c r="D158" s="1045">
        <v>90.676451999999998</v>
      </c>
      <c r="E158" s="1047">
        <v>307.27498900000001</v>
      </c>
      <c r="F158" s="1046">
        <v>142.20514499999999</v>
      </c>
      <c r="G158" s="1048">
        <v>216.07867200000001</v>
      </c>
      <c r="H158" s="1045">
        <v>142.64327399999999</v>
      </c>
      <c r="I158" s="1484">
        <f t="shared" si="4"/>
        <v>129.34386023796819</v>
      </c>
    </row>
    <row r="159" spans="1:9">
      <c r="A159" s="1037">
        <f t="shared" si="5"/>
        <v>2023.2</v>
      </c>
      <c r="B159" s="1045">
        <v>203.322057</v>
      </c>
      <c r="C159" s="1046">
        <v>198.05728199999999</v>
      </c>
      <c r="D159" s="1045">
        <v>102.658208</v>
      </c>
      <c r="E159" s="1047">
        <v>369.33906100000002</v>
      </c>
      <c r="F159" s="1046">
        <v>148.337748</v>
      </c>
      <c r="G159" s="1048">
        <v>248.98521499999998</v>
      </c>
      <c r="H159" s="1045">
        <v>133.51778899999999</v>
      </c>
      <c r="I159" s="1484">
        <f t="shared" si="4"/>
        <v>137.0669703034726</v>
      </c>
    </row>
    <row r="160" spans="1:9">
      <c r="A160" s="1037">
        <f t="shared" si="5"/>
        <v>2023.3</v>
      </c>
      <c r="B160" s="1045">
        <v>205.014353</v>
      </c>
      <c r="C160" s="1046">
        <v>187.456481</v>
      </c>
      <c r="D160" s="1045">
        <v>109.366372</v>
      </c>
      <c r="E160" s="1047">
        <v>359.46041400000001</v>
      </c>
      <c r="F160" s="1046">
        <v>137.011122</v>
      </c>
      <c r="G160" s="1048">
        <v>262.358566</v>
      </c>
      <c r="H160" s="1045">
        <v>136.81844100000001</v>
      </c>
      <c r="I160" s="1484">
        <f t="shared" si="4"/>
        <v>149.63336553071946</v>
      </c>
    </row>
    <row r="161" spans="1:9">
      <c r="A161" s="1037">
        <f t="shared" si="5"/>
        <v>2023.4</v>
      </c>
      <c r="B161" s="1045">
        <v>180.39343700000001</v>
      </c>
      <c r="C161" s="1046">
        <v>186.64695699999999</v>
      </c>
      <c r="D161" s="1045">
        <v>96.649546000000001</v>
      </c>
      <c r="E161" s="1047">
        <v>277.58457099999998</v>
      </c>
      <c r="F161" s="1046">
        <v>132.64777900000001</v>
      </c>
      <c r="G161" s="1048">
        <v>209.26439400000001</v>
      </c>
      <c r="H161" s="1045">
        <v>140.70869400000001</v>
      </c>
      <c r="I161" s="1484">
        <f t="shared" si="4"/>
        <v>135.99431393419712</v>
      </c>
    </row>
    <row r="162" spans="1:9">
      <c r="A162" s="1037">
        <f t="shared" si="5"/>
        <v>2024.1</v>
      </c>
      <c r="B162" s="1045">
        <v>200.39783600000001</v>
      </c>
      <c r="C162" s="1046">
        <v>186.39723800000002</v>
      </c>
      <c r="D162" s="1045">
        <v>107.511162</v>
      </c>
      <c r="E162" s="1047">
        <v>232.917483</v>
      </c>
      <c r="F162" s="1046">
        <v>134.558164</v>
      </c>
      <c r="G162" s="1048">
        <v>173.097994</v>
      </c>
      <c r="H162" s="1045">
        <v>138.52540199999999</v>
      </c>
      <c r="I162" s="1484">
        <f t="shared" si="4"/>
        <v>148.93026929231883</v>
      </c>
    </row>
    <row r="163" spans="1:9">
      <c r="A163" s="1037">
        <f t="shared" si="5"/>
        <v>2024.2</v>
      </c>
      <c r="B163" s="1045" t="e">
        <v>#N/A</v>
      </c>
      <c r="C163" s="1046" t="e">
        <v>#N/A</v>
      </c>
      <c r="D163" s="1045" t="e">
        <v>#N/A</v>
      </c>
      <c r="E163" s="1047" t="e">
        <v>#N/A</v>
      </c>
      <c r="F163" s="1046" t="e">
        <v>#N/A</v>
      </c>
      <c r="G163" s="1048" t="e">
        <v>#N/A</v>
      </c>
      <c r="H163" s="1045" t="e">
        <v>#N/A</v>
      </c>
      <c r="I163" s="1484" t="e">
        <f t="shared" si="4"/>
        <v>#N/A</v>
      </c>
    </row>
    <row r="164" spans="1:9">
      <c r="A164" s="1037">
        <f t="shared" si="5"/>
        <v>2024.3</v>
      </c>
      <c r="B164" s="1045" t="e">
        <v>#N/A</v>
      </c>
      <c r="C164" s="1046" t="e">
        <v>#N/A</v>
      </c>
      <c r="D164" s="1045" t="e">
        <v>#N/A</v>
      </c>
      <c r="E164" s="1047" t="e">
        <v>#N/A</v>
      </c>
      <c r="F164" s="1046" t="e">
        <v>#N/A</v>
      </c>
      <c r="G164" s="1048" t="e">
        <v>#N/A</v>
      </c>
      <c r="H164" s="1045" t="e">
        <v>#N/A</v>
      </c>
      <c r="I164" s="1484" t="e">
        <f t="shared" si="4"/>
        <v>#N/A</v>
      </c>
    </row>
    <row r="165" spans="1:9">
      <c r="A165" s="1037">
        <f t="shared" si="5"/>
        <v>2024.4</v>
      </c>
      <c r="B165" s="1045" t="e">
        <v>#N/A</v>
      </c>
      <c r="C165" s="1046" t="e">
        <v>#N/A</v>
      </c>
      <c r="D165" s="1045" t="e">
        <v>#N/A</v>
      </c>
      <c r="E165" s="1047" t="e">
        <v>#N/A</v>
      </c>
      <c r="F165" s="1046" t="e">
        <v>#N/A</v>
      </c>
      <c r="G165" s="1048" t="e">
        <v>#N/A</v>
      </c>
      <c r="H165" s="1045" t="e">
        <v>#N/A</v>
      </c>
      <c r="I165" s="1484" t="e">
        <f t="shared" si="4"/>
        <v>#N/A</v>
      </c>
    </row>
    <row r="166" spans="1:9">
      <c r="A166" s="1037">
        <f t="shared" si="5"/>
        <v>2025.1</v>
      </c>
      <c r="B166" s="1045" t="e">
        <v>#N/A</v>
      </c>
      <c r="C166" s="1046" t="e">
        <v>#N/A</v>
      </c>
      <c r="D166" s="1045" t="e">
        <v>#N/A</v>
      </c>
      <c r="E166" s="1047" t="e">
        <v>#N/A</v>
      </c>
      <c r="F166" s="1046" t="e">
        <v>#N/A</v>
      </c>
      <c r="G166" s="1048" t="e">
        <v>#N/A</v>
      </c>
      <c r="H166" s="1045" t="e">
        <v>#N/A</v>
      </c>
      <c r="I166" s="1484" t="e">
        <f t="shared" si="4"/>
        <v>#N/A</v>
      </c>
    </row>
    <row r="167" spans="1:9">
      <c r="A167" s="1037">
        <f t="shared" si="5"/>
        <v>2025.2</v>
      </c>
      <c r="B167" s="1045" t="e">
        <v>#N/A</v>
      </c>
      <c r="C167" s="1046" t="e">
        <v>#N/A</v>
      </c>
      <c r="D167" s="1045" t="e">
        <v>#N/A</v>
      </c>
      <c r="E167" s="1047" t="e">
        <v>#N/A</v>
      </c>
      <c r="F167" s="1046" t="e">
        <v>#N/A</v>
      </c>
      <c r="G167" s="1048" t="e">
        <v>#N/A</v>
      </c>
      <c r="H167" s="1045" t="e">
        <v>#N/A</v>
      </c>
      <c r="I167" s="1484" t="e">
        <f t="shared" si="4"/>
        <v>#N/A</v>
      </c>
    </row>
    <row r="168" spans="1:9">
      <c r="A168" s="1037">
        <f t="shared" si="5"/>
        <v>2025.3</v>
      </c>
      <c r="B168" s="1045" t="e">
        <v>#N/A</v>
      </c>
      <c r="C168" s="1046" t="e">
        <v>#N/A</v>
      </c>
      <c r="D168" s="1045" t="e">
        <v>#N/A</v>
      </c>
      <c r="E168" s="1047" t="e">
        <v>#N/A</v>
      </c>
      <c r="F168" s="1046" t="e">
        <v>#N/A</v>
      </c>
      <c r="G168" s="1048" t="e">
        <v>#N/A</v>
      </c>
      <c r="H168" s="1045" t="e">
        <v>#N/A</v>
      </c>
      <c r="I168" s="1484" t="e">
        <f t="shared" si="4"/>
        <v>#N/A</v>
      </c>
    </row>
    <row r="169" spans="1:9">
      <c r="A169" s="1037">
        <f t="shared" si="5"/>
        <v>2025.4</v>
      </c>
      <c r="B169" s="1045" t="e">
        <v>#N/A</v>
      </c>
      <c r="C169" s="1046" t="e">
        <v>#N/A</v>
      </c>
      <c r="D169" s="1045" t="e">
        <v>#N/A</v>
      </c>
      <c r="E169" s="1047" t="e">
        <v>#N/A</v>
      </c>
      <c r="F169" s="1046" t="e">
        <v>#N/A</v>
      </c>
      <c r="G169" s="1048" t="e">
        <v>#N/A</v>
      </c>
      <c r="H169" s="1045" t="e">
        <v>#N/A</v>
      </c>
      <c r="I169" s="1484" t="e">
        <f t="shared" si="4"/>
        <v>#N/A</v>
      </c>
    </row>
    <row r="170" spans="1:9">
      <c r="A170" s="1037">
        <f t="shared" si="5"/>
        <v>2026.1</v>
      </c>
      <c r="B170" s="1045" t="e">
        <v>#N/A</v>
      </c>
      <c r="C170" s="1046" t="e">
        <v>#N/A</v>
      </c>
      <c r="D170" s="1045" t="e">
        <v>#N/A</v>
      </c>
      <c r="E170" s="1047" t="e">
        <v>#N/A</v>
      </c>
      <c r="F170" s="1046" t="e">
        <v>#N/A</v>
      </c>
      <c r="G170" s="1048" t="e">
        <v>#N/A</v>
      </c>
      <c r="H170" s="1045" t="e">
        <v>#N/A</v>
      </c>
      <c r="I170" s="1484" t="e">
        <f t="shared" ref="I170:I189" si="6">B170/F170*100</f>
        <v>#N/A</v>
      </c>
    </row>
    <row r="171" spans="1:9">
      <c r="A171" s="1037">
        <f t="shared" si="5"/>
        <v>2026.2</v>
      </c>
      <c r="B171" s="1045" t="e">
        <v>#N/A</v>
      </c>
      <c r="C171" s="1046" t="e">
        <v>#N/A</v>
      </c>
      <c r="D171" s="1045" t="e">
        <v>#N/A</v>
      </c>
      <c r="E171" s="1047" t="e">
        <v>#N/A</v>
      </c>
      <c r="F171" s="1046" t="e">
        <v>#N/A</v>
      </c>
      <c r="G171" s="1048" t="e">
        <v>#N/A</v>
      </c>
      <c r="H171" s="1045" t="e">
        <v>#N/A</v>
      </c>
      <c r="I171" s="1484" t="e">
        <f t="shared" si="6"/>
        <v>#N/A</v>
      </c>
    </row>
    <row r="172" spans="1:9">
      <c r="A172" s="1037">
        <f t="shared" si="5"/>
        <v>2026.3</v>
      </c>
      <c r="B172" s="1045" t="e">
        <v>#N/A</v>
      </c>
      <c r="C172" s="1046" t="e">
        <v>#N/A</v>
      </c>
      <c r="D172" s="1045" t="e">
        <v>#N/A</v>
      </c>
      <c r="E172" s="1047" t="e">
        <v>#N/A</v>
      </c>
      <c r="F172" s="1046" t="e">
        <v>#N/A</v>
      </c>
      <c r="G172" s="1048" t="e">
        <v>#N/A</v>
      </c>
      <c r="H172" s="1045" t="e">
        <v>#N/A</v>
      </c>
      <c r="I172" s="1484" t="e">
        <f t="shared" si="6"/>
        <v>#N/A</v>
      </c>
    </row>
    <row r="173" spans="1:9">
      <c r="A173" s="1037">
        <f t="shared" si="5"/>
        <v>2026.4</v>
      </c>
      <c r="B173" s="1045" t="e">
        <v>#N/A</v>
      </c>
      <c r="C173" s="1046" t="e">
        <v>#N/A</v>
      </c>
      <c r="D173" s="1045" t="e">
        <v>#N/A</v>
      </c>
      <c r="E173" s="1047" t="e">
        <v>#N/A</v>
      </c>
      <c r="F173" s="1046" t="e">
        <v>#N/A</v>
      </c>
      <c r="G173" s="1048" t="e">
        <v>#N/A</v>
      </c>
      <c r="H173" s="1045" t="e">
        <v>#N/A</v>
      </c>
      <c r="I173" s="1484" t="e">
        <f t="shared" si="6"/>
        <v>#N/A</v>
      </c>
    </row>
    <row r="174" spans="1:9">
      <c r="A174" s="1037">
        <f t="shared" si="5"/>
        <v>2027.1</v>
      </c>
      <c r="B174" s="1045" t="e">
        <v>#N/A</v>
      </c>
      <c r="C174" s="1046" t="e">
        <v>#N/A</v>
      </c>
      <c r="D174" s="1045" t="e">
        <v>#N/A</v>
      </c>
      <c r="E174" s="1047" t="e">
        <v>#N/A</v>
      </c>
      <c r="F174" s="1046" t="e">
        <v>#N/A</v>
      </c>
      <c r="G174" s="1048" t="e">
        <v>#N/A</v>
      </c>
      <c r="H174" s="1045" t="e">
        <v>#N/A</v>
      </c>
      <c r="I174" s="1484" t="e">
        <f t="shared" si="6"/>
        <v>#N/A</v>
      </c>
    </row>
    <row r="175" spans="1:9">
      <c r="A175" s="1037">
        <f t="shared" si="5"/>
        <v>2027.2</v>
      </c>
      <c r="B175" s="1045" t="e">
        <v>#N/A</v>
      </c>
      <c r="C175" s="1046" t="e">
        <v>#N/A</v>
      </c>
      <c r="D175" s="1045" t="e">
        <v>#N/A</v>
      </c>
      <c r="E175" s="1047" t="e">
        <v>#N/A</v>
      </c>
      <c r="F175" s="1046" t="e">
        <v>#N/A</v>
      </c>
      <c r="G175" s="1048" t="e">
        <v>#N/A</v>
      </c>
      <c r="H175" s="1045" t="e">
        <v>#N/A</v>
      </c>
      <c r="I175" s="1484" t="e">
        <f t="shared" si="6"/>
        <v>#N/A</v>
      </c>
    </row>
    <row r="176" spans="1:9">
      <c r="A176" s="1037">
        <f t="shared" si="5"/>
        <v>2027.3</v>
      </c>
      <c r="B176" s="1045" t="e">
        <v>#N/A</v>
      </c>
      <c r="C176" s="1046" t="e">
        <v>#N/A</v>
      </c>
      <c r="D176" s="1045" t="e">
        <v>#N/A</v>
      </c>
      <c r="E176" s="1047" t="e">
        <v>#N/A</v>
      </c>
      <c r="F176" s="1046" t="e">
        <v>#N/A</v>
      </c>
      <c r="G176" s="1048" t="e">
        <v>#N/A</v>
      </c>
      <c r="H176" s="1045" t="e">
        <v>#N/A</v>
      </c>
      <c r="I176" s="1484" t="e">
        <f t="shared" si="6"/>
        <v>#N/A</v>
      </c>
    </row>
    <row r="177" spans="1:9">
      <c r="A177" s="1037">
        <f t="shared" si="5"/>
        <v>2027.4</v>
      </c>
      <c r="B177" s="1045" t="e">
        <v>#N/A</v>
      </c>
      <c r="C177" s="1046" t="e">
        <v>#N/A</v>
      </c>
      <c r="D177" s="1045" t="e">
        <v>#N/A</v>
      </c>
      <c r="E177" s="1047" t="e">
        <v>#N/A</v>
      </c>
      <c r="F177" s="1046" t="e">
        <v>#N/A</v>
      </c>
      <c r="G177" s="1048" t="e">
        <v>#N/A</v>
      </c>
      <c r="H177" s="1045" t="e">
        <v>#N/A</v>
      </c>
      <c r="I177" s="1484" t="e">
        <f t="shared" si="6"/>
        <v>#N/A</v>
      </c>
    </row>
    <row r="178" spans="1:9">
      <c r="A178" s="1037">
        <f t="shared" si="5"/>
        <v>2028.1</v>
      </c>
      <c r="B178" s="1045" t="e">
        <v>#N/A</v>
      </c>
      <c r="C178" s="1046" t="e">
        <v>#N/A</v>
      </c>
      <c r="D178" s="1045" t="e">
        <v>#N/A</v>
      </c>
      <c r="E178" s="1047" t="e">
        <v>#N/A</v>
      </c>
      <c r="F178" s="1046" t="e">
        <v>#N/A</v>
      </c>
      <c r="G178" s="1048" t="e">
        <v>#N/A</v>
      </c>
      <c r="H178" s="1045" t="e">
        <v>#N/A</v>
      </c>
      <c r="I178" s="1484" t="e">
        <f t="shared" si="6"/>
        <v>#N/A</v>
      </c>
    </row>
    <row r="179" spans="1:9">
      <c r="A179" s="1037">
        <f t="shared" si="5"/>
        <v>2028.2</v>
      </c>
      <c r="B179" s="1045" t="e">
        <v>#N/A</v>
      </c>
      <c r="C179" s="1046" t="e">
        <v>#N/A</v>
      </c>
      <c r="D179" s="1045" t="e">
        <v>#N/A</v>
      </c>
      <c r="E179" s="1047" t="e">
        <v>#N/A</v>
      </c>
      <c r="F179" s="1046" t="e">
        <v>#N/A</v>
      </c>
      <c r="G179" s="1048" t="e">
        <v>#N/A</v>
      </c>
      <c r="H179" s="1045" t="e">
        <v>#N/A</v>
      </c>
      <c r="I179" s="1484" t="e">
        <f t="shared" si="6"/>
        <v>#N/A</v>
      </c>
    </row>
    <row r="180" spans="1:9">
      <c r="A180" s="1037">
        <f t="shared" si="5"/>
        <v>2028.3</v>
      </c>
      <c r="B180" s="1045" t="e">
        <v>#N/A</v>
      </c>
      <c r="C180" s="1046" t="e">
        <v>#N/A</v>
      </c>
      <c r="D180" s="1045" t="e">
        <v>#N/A</v>
      </c>
      <c r="E180" s="1047" t="e">
        <v>#N/A</v>
      </c>
      <c r="F180" s="1046" t="e">
        <v>#N/A</v>
      </c>
      <c r="G180" s="1048" t="e">
        <v>#N/A</v>
      </c>
      <c r="H180" s="1045" t="e">
        <v>#N/A</v>
      </c>
      <c r="I180" s="1484" t="e">
        <f t="shared" si="6"/>
        <v>#N/A</v>
      </c>
    </row>
    <row r="181" spans="1:9">
      <c r="A181" s="1037">
        <f t="shared" si="5"/>
        <v>2028.4</v>
      </c>
      <c r="B181" s="1045" t="e">
        <v>#N/A</v>
      </c>
      <c r="C181" s="1046" t="e">
        <v>#N/A</v>
      </c>
      <c r="D181" s="1045" t="e">
        <v>#N/A</v>
      </c>
      <c r="E181" s="1047" t="e">
        <v>#N/A</v>
      </c>
      <c r="F181" s="1046" t="e">
        <v>#N/A</v>
      </c>
      <c r="G181" s="1048" t="e">
        <v>#N/A</v>
      </c>
      <c r="H181" s="1045" t="e">
        <v>#N/A</v>
      </c>
      <c r="I181" s="1484" t="e">
        <f t="shared" si="6"/>
        <v>#N/A</v>
      </c>
    </row>
    <row r="182" spans="1:9">
      <c r="A182" s="1037">
        <f t="shared" si="5"/>
        <v>2029.1</v>
      </c>
      <c r="B182" s="1045" t="e">
        <v>#N/A</v>
      </c>
      <c r="C182" s="1046" t="e">
        <v>#N/A</v>
      </c>
      <c r="D182" s="1045" t="e">
        <v>#N/A</v>
      </c>
      <c r="E182" s="1047" t="e">
        <v>#N/A</v>
      </c>
      <c r="F182" s="1046" t="e">
        <v>#N/A</v>
      </c>
      <c r="G182" s="1048" t="e">
        <v>#N/A</v>
      </c>
      <c r="H182" s="1045" t="e">
        <v>#N/A</v>
      </c>
      <c r="I182" s="1484" t="e">
        <f t="shared" si="6"/>
        <v>#N/A</v>
      </c>
    </row>
    <row r="183" spans="1:9">
      <c r="A183" s="1037">
        <f t="shared" si="5"/>
        <v>2029.2</v>
      </c>
      <c r="B183" s="1045" t="e">
        <v>#N/A</v>
      </c>
      <c r="C183" s="1046" t="e">
        <v>#N/A</v>
      </c>
      <c r="D183" s="1045" t="e">
        <v>#N/A</v>
      </c>
      <c r="E183" s="1047" t="e">
        <v>#N/A</v>
      </c>
      <c r="F183" s="1046" t="e">
        <v>#N/A</v>
      </c>
      <c r="G183" s="1048" t="e">
        <v>#N/A</v>
      </c>
      <c r="H183" s="1045" t="e">
        <v>#N/A</v>
      </c>
      <c r="I183" s="1484" t="e">
        <f t="shared" si="6"/>
        <v>#N/A</v>
      </c>
    </row>
    <row r="184" spans="1:9">
      <c r="A184" s="1037">
        <f t="shared" si="5"/>
        <v>2029.3</v>
      </c>
      <c r="B184" s="1045" t="e">
        <v>#N/A</v>
      </c>
      <c r="C184" s="1046" t="e">
        <v>#N/A</v>
      </c>
      <c r="D184" s="1045" t="e">
        <v>#N/A</v>
      </c>
      <c r="E184" s="1047" t="e">
        <v>#N/A</v>
      </c>
      <c r="F184" s="1046" t="e">
        <v>#N/A</v>
      </c>
      <c r="G184" s="1048" t="e">
        <v>#N/A</v>
      </c>
      <c r="H184" s="1045" t="e">
        <v>#N/A</v>
      </c>
      <c r="I184" s="1484" t="e">
        <f t="shared" si="6"/>
        <v>#N/A</v>
      </c>
    </row>
    <row r="185" spans="1:9">
      <c r="A185" s="1037">
        <f t="shared" si="5"/>
        <v>2029.4</v>
      </c>
      <c r="B185" s="1045" t="e">
        <v>#N/A</v>
      </c>
      <c r="C185" s="1046" t="e">
        <v>#N/A</v>
      </c>
      <c r="D185" s="1045" t="e">
        <v>#N/A</v>
      </c>
      <c r="E185" s="1047" t="e">
        <v>#N/A</v>
      </c>
      <c r="F185" s="1046" t="e">
        <v>#N/A</v>
      </c>
      <c r="G185" s="1048" t="e">
        <v>#N/A</v>
      </c>
      <c r="H185" s="1045" t="e">
        <v>#N/A</v>
      </c>
      <c r="I185" s="1484" t="e">
        <f t="shared" si="6"/>
        <v>#N/A</v>
      </c>
    </row>
    <row r="186" spans="1:9">
      <c r="A186" s="1037">
        <f t="shared" si="5"/>
        <v>2030.1</v>
      </c>
      <c r="B186" s="1045" t="e">
        <v>#N/A</v>
      </c>
      <c r="C186" s="1046" t="e">
        <v>#N/A</v>
      </c>
      <c r="D186" s="1045" t="e">
        <v>#N/A</v>
      </c>
      <c r="E186" s="1047" t="e">
        <v>#N/A</v>
      </c>
      <c r="F186" s="1046" t="e">
        <v>#N/A</v>
      </c>
      <c r="G186" s="1048" t="e">
        <v>#N/A</v>
      </c>
      <c r="H186" s="1045" t="e">
        <v>#N/A</v>
      </c>
      <c r="I186" s="1484" t="e">
        <f t="shared" si="6"/>
        <v>#N/A</v>
      </c>
    </row>
    <row r="187" spans="1:9">
      <c r="A187" s="1037">
        <f t="shared" si="5"/>
        <v>2030.2</v>
      </c>
      <c r="B187" s="1045" t="e">
        <v>#N/A</v>
      </c>
      <c r="C187" s="1046" t="e">
        <v>#N/A</v>
      </c>
      <c r="D187" s="1045" t="e">
        <v>#N/A</v>
      </c>
      <c r="E187" s="1047" t="e">
        <v>#N/A</v>
      </c>
      <c r="F187" s="1046" t="e">
        <v>#N/A</v>
      </c>
      <c r="G187" s="1048" t="e">
        <v>#N/A</v>
      </c>
      <c r="H187" s="1045" t="e">
        <v>#N/A</v>
      </c>
      <c r="I187" s="1484" t="e">
        <f t="shared" si="6"/>
        <v>#N/A</v>
      </c>
    </row>
    <row r="188" spans="1:9">
      <c r="A188" s="1037">
        <f t="shared" si="5"/>
        <v>2030.3</v>
      </c>
      <c r="B188" s="1045" t="e">
        <v>#N/A</v>
      </c>
      <c r="C188" s="1046" t="e">
        <v>#N/A</v>
      </c>
      <c r="D188" s="1045" t="e">
        <v>#N/A</v>
      </c>
      <c r="E188" s="1047" t="e">
        <v>#N/A</v>
      </c>
      <c r="F188" s="1046" t="e">
        <v>#N/A</v>
      </c>
      <c r="G188" s="1048" t="e">
        <v>#N/A</v>
      </c>
      <c r="H188" s="1045" t="e">
        <v>#N/A</v>
      </c>
      <c r="I188" s="1484" t="e">
        <f t="shared" si="6"/>
        <v>#N/A</v>
      </c>
    </row>
    <row r="189" spans="1:9">
      <c r="A189" s="1037">
        <f t="shared" si="5"/>
        <v>2030.4</v>
      </c>
      <c r="B189" s="1045" t="e">
        <v>#N/A</v>
      </c>
      <c r="C189" s="1046" t="e">
        <v>#N/A</v>
      </c>
      <c r="D189" s="1045" t="e">
        <v>#N/A</v>
      </c>
      <c r="E189" s="1047" t="e">
        <v>#N/A</v>
      </c>
      <c r="F189" s="1046" t="e">
        <v>#N/A</v>
      </c>
      <c r="G189" s="1048" t="e">
        <v>#N/A</v>
      </c>
      <c r="H189" s="1045" t="e">
        <v>#N/A</v>
      </c>
      <c r="I189" s="1484" t="e">
        <f t="shared" si="6"/>
        <v>#N/A</v>
      </c>
    </row>
    <row r="190" spans="1:9">
      <c r="A190" s="1049"/>
    </row>
    <row r="191" spans="1:9">
      <c r="A191" s="1049"/>
    </row>
    <row r="192" spans="1:9">
      <c r="A192" s="1049"/>
    </row>
    <row r="193" spans="1:1">
      <c r="A193" s="1049"/>
    </row>
    <row r="194" spans="1:1">
      <c r="A194" s="1049"/>
    </row>
    <row r="195" spans="1:1">
      <c r="A195" s="1049"/>
    </row>
    <row r="196" spans="1:1">
      <c r="A196" s="1049"/>
    </row>
    <row r="197" spans="1:1">
      <c r="A197" s="1049"/>
    </row>
    <row r="198" spans="1:1">
      <c r="A198" s="1049"/>
    </row>
    <row r="199" spans="1:1">
      <c r="A199" s="1049"/>
    </row>
    <row r="200" spans="1:1">
      <c r="A200" s="1049"/>
    </row>
    <row r="201" spans="1:1">
      <c r="A201" s="1049"/>
    </row>
    <row r="202" spans="1:1">
      <c r="A202" s="1049"/>
    </row>
    <row r="203" spans="1:1">
      <c r="A203" s="1049"/>
    </row>
    <row r="204" spans="1:1">
      <c r="A204" s="1049"/>
    </row>
    <row r="205" spans="1:1">
      <c r="A205" s="1049"/>
    </row>
    <row r="206" spans="1:1">
      <c r="A206" s="1049"/>
    </row>
    <row r="207" spans="1:1">
      <c r="A207" s="1049"/>
    </row>
    <row r="208" spans="1:1">
      <c r="A208" s="1049"/>
    </row>
    <row r="209" spans="1:1">
      <c r="A209" s="1049"/>
    </row>
    <row r="210" spans="1:1">
      <c r="A210" s="1049"/>
    </row>
    <row r="211" spans="1:1">
      <c r="A211" s="1049"/>
    </row>
    <row r="212" spans="1:1">
      <c r="A212" s="1049"/>
    </row>
    <row r="213" spans="1:1">
      <c r="A213" s="1049"/>
    </row>
    <row r="214" spans="1:1">
      <c r="A214" s="1049"/>
    </row>
    <row r="215" spans="1:1">
      <c r="A215" s="1049"/>
    </row>
    <row r="216" spans="1:1">
      <c r="A216" s="1049"/>
    </row>
    <row r="217" spans="1:1">
      <c r="A217" s="1049"/>
    </row>
    <row r="218" spans="1:1">
      <c r="A218" s="1049"/>
    </row>
    <row r="219" spans="1:1">
      <c r="A219" s="1049"/>
    </row>
    <row r="220" spans="1:1">
      <c r="A220" s="1049"/>
    </row>
    <row r="221" spans="1:1">
      <c r="A221" s="1049"/>
    </row>
    <row r="222" spans="1:1">
      <c r="A222" s="1049"/>
    </row>
    <row r="223" spans="1:1">
      <c r="A223" s="1049"/>
    </row>
    <row r="224" spans="1:1">
      <c r="A224" s="1049"/>
    </row>
    <row r="225" spans="1:1">
      <c r="A225" s="1049"/>
    </row>
    <row r="226" spans="1:1">
      <c r="A226" s="1049"/>
    </row>
    <row r="227" spans="1:1">
      <c r="A227" s="1049"/>
    </row>
    <row r="228" spans="1:1">
      <c r="A228" s="1049"/>
    </row>
    <row r="229" spans="1:1">
      <c r="A229" s="1049"/>
    </row>
    <row r="230" spans="1:1">
      <c r="A230" s="1049"/>
    </row>
    <row r="231" spans="1:1">
      <c r="A231" s="1049"/>
    </row>
    <row r="232" spans="1:1">
      <c r="A232" s="1049"/>
    </row>
    <row r="233" spans="1:1">
      <c r="A233" s="1049"/>
    </row>
    <row r="234" spans="1:1">
      <c r="A234" s="1049"/>
    </row>
    <row r="235" spans="1:1">
      <c r="A235" s="1049"/>
    </row>
    <row r="236" spans="1:1">
      <c r="A236" s="1049"/>
    </row>
    <row r="237" spans="1:1">
      <c r="A237" s="1049"/>
    </row>
    <row r="238" spans="1:1">
      <c r="A238" s="1049"/>
    </row>
    <row r="239" spans="1:1">
      <c r="A239" s="1049"/>
    </row>
    <row r="240" spans="1:1">
      <c r="A240" s="1049"/>
    </row>
    <row r="241" spans="1:1">
      <c r="A241" s="1049"/>
    </row>
    <row r="242" spans="1:1">
      <c r="A242" s="1049"/>
    </row>
    <row r="243" spans="1:1">
      <c r="A243" s="1049"/>
    </row>
    <row r="244" spans="1:1">
      <c r="A244" s="1049"/>
    </row>
    <row r="245" spans="1:1">
      <c r="A245" s="1049"/>
    </row>
    <row r="246" spans="1:1">
      <c r="A246" s="1049"/>
    </row>
    <row r="247" spans="1:1">
      <c r="A247" s="1049"/>
    </row>
    <row r="248" spans="1:1">
      <c r="A248" s="1049"/>
    </row>
    <row r="249" spans="1:1">
      <c r="A249" s="1049"/>
    </row>
    <row r="250" spans="1:1">
      <c r="A250" s="1049"/>
    </row>
    <row r="251" spans="1:1">
      <c r="A251" s="1049"/>
    </row>
    <row r="252" spans="1:1">
      <c r="A252" s="1049"/>
    </row>
    <row r="253" spans="1:1">
      <c r="A253" s="1049"/>
    </row>
    <row r="254" spans="1:1">
      <c r="A254" s="1049"/>
    </row>
    <row r="255" spans="1:1">
      <c r="A255" s="1049"/>
    </row>
    <row r="256" spans="1:1">
      <c r="A256" s="1049"/>
    </row>
    <row r="257" spans="1:1">
      <c r="A257" s="1049"/>
    </row>
    <row r="258" spans="1:1">
      <c r="A258" s="1049"/>
    </row>
    <row r="259" spans="1:1">
      <c r="A259" s="1049"/>
    </row>
    <row r="260" spans="1:1">
      <c r="A260" s="1049"/>
    </row>
    <row r="261" spans="1:1">
      <c r="A261" s="1049"/>
    </row>
    <row r="262" spans="1:1">
      <c r="A262" s="1049"/>
    </row>
    <row r="263" spans="1:1">
      <c r="A263" s="1049"/>
    </row>
    <row r="264" spans="1:1">
      <c r="A264" s="1049"/>
    </row>
    <row r="265" spans="1:1">
      <c r="A265" s="1049"/>
    </row>
    <row r="266" spans="1:1">
      <c r="A266" s="1049"/>
    </row>
    <row r="267" spans="1:1">
      <c r="A267" s="1049"/>
    </row>
    <row r="268" spans="1:1">
      <c r="A268" s="1049"/>
    </row>
    <row r="269" spans="1:1">
      <c r="A269" s="1049"/>
    </row>
    <row r="270" spans="1:1">
      <c r="A270" s="1049"/>
    </row>
    <row r="271" spans="1:1">
      <c r="A271" s="1049"/>
    </row>
    <row r="272" spans="1:1">
      <c r="A272" s="1049"/>
    </row>
    <row r="273" spans="1:1">
      <c r="A273" s="1049"/>
    </row>
    <row r="274" spans="1:1">
      <c r="A274" s="1049"/>
    </row>
    <row r="275" spans="1:1">
      <c r="A275" s="1049"/>
    </row>
    <row r="276" spans="1:1">
      <c r="A276" s="1049"/>
    </row>
    <row r="277" spans="1:1">
      <c r="A277" s="1049"/>
    </row>
    <row r="278" spans="1:1">
      <c r="A278" s="1049"/>
    </row>
    <row r="279" spans="1:1">
      <c r="A279" s="1049"/>
    </row>
    <row r="280" spans="1:1">
      <c r="A280" s="1049"/>
    </row>
    <row r="281" spans="1:1">
      <c r="A281" s="1049"/>
    </row>
    <row r="282" spans="1:1">
      <c r="A282" s="1049"/>
    </row>
    <row r="283" spans="1:1">
      <c r="A283" s="1049"/>
    </row>
    <row r="284" spans="1:1">
      <c r="A284" s="1049"/>
    </row>
    <row r="285" spans="1:1">
      <c r="A285" s="1049"/>
    </row>
    <row r="286" spans="1:1">
      <c r="A286" s="1049"/>
    </row>
    <row r="287" spans="1:1">
      <c r="A287" s="1049"/>
    </row>
    <row r="288" spans="1:1">
      <c r="A288" s="1049"/>
    </row>
    <row r="289" spans="1:1">
      <c r="A289" s="1049"/>
    </row>
    <row r="290" spans="1:1">
      <c r="A290" s="1049"/>
    </row>
    <row r="291" spans="1:1">
      <c r="A291" s="1049"/>
    </row>
    <row r="292" spans="1:1">
      <c r="A292" s="1049"/>
    </row>
    <row r="293" spans="1:1">
      <c r="A293" s="1049"/>
    </row>
    <row r="294" spans="1:1">
      <c r="A294" s="1049"/>
    </row>
    <row r="295" spans="1:1">
      <c r="A295" s="1049"/>
    </row>
    <row r="296" spans="1:1">
      <c r="A296" s="1049"/>
    </row>
    <row r="297" spans="1:1">
      <c r="A297" s="1049"/>
    </row>
    <row r="298" spans="1:1">
      <c r="A298" s="1049"/>
    </row>
    <row r="299" spans="1:1">
      <c r="A299" s="1049"/>
    </row>
    <row r="300" spans="1:1">
      <c r="A300" s="1049"/>
    </row>
    <row r="301" spans="1:1">
      <c r="A301" s="1049"/>
    </row>
    <row r="302" spans="1:1">
      <c r="A302" s="1049"/>
    </row>
    <row r="303" spans="1:1">
      <c r="A303" s="1049"/>
    </row>
    <row r="304" spans="1:1">
      <c r="A304" s="1049"/>
    </row>
    <row r="305" spans="1:1">
      <c r="A305" s="1049"/>
    </row>
    <row r="306" spans="1:1">
      <c r="A306" s="1049"/>
    </row>
    <row r="307" spans="1:1">
      <c r="A307" s="1049"/>
    </row>
    <row r="308" spans="1:1">
      <c r="A308" s="1049"/>
    </row>
    <row r="309" spans="1:1">
      <c r="A309" s="1049"/>
    </row>
    <row r="310" spans="1:1">
      <c r="A310" s="1049"/>
    </row>
    <row r="311" spans="1:1">
      <c r="A311" s="1049"/>
    </row>
    <row r="312" spans="1:1">
      <c r="A312" s="1049"/>
    </row>
    <row r="313" spans="1:1">
      <c r="A313" s="1049"/>
    </row>
    <row r="314" spans="1:1">
      <c r="A314" s="1049"/>
    </row>
    <row r="315" spans="1:1">
      <c r="A315" s="1049"/>
    </row>
    <row r="316" spans="1:1">
      <c r="A316" s="1049"/>
    </row>
    <row r="317" spans="1:1">
      <c r="A317" s="1049"/>
    </row>
    <row r="318" spans="1:1">
      <c r="A318" s="1049"/>
    </row>
    <row r="319" spans="1:1">
      <c r="A319" s="1049"/>
    </row>
    <row r="320" spans="1:1">
      <c r="A320" s="1049"/>
    </row>
    <row r="321" spans="1:1">
      <c r="A321" s="1049"/>
    </row>
    <row r="322" spans="1:1">
      <c r="A322" s="1049"/>
    </row>
    <row r="323" spans="1:1">
      <c r="A323" s="1049"/>
    </row>
    <row r="324" spans="1:1">
      <c r="A324" s="1049"/>
    </row>
    <row r="325" spans="1:1">
      <c r="A325" s="1049"/>
    </row>
    <row r="326" spans="1:1">
      <c r="A326" s="1049"/>
    </row>
    <row r="327" spans="1:1">
      <c r="A327" s="1049"/>
    </row>
    <row r="328" spans="1:1">
      <c r="A328" s="1049"/>
    </row>
    <row r="329" spans="1:1">
      <c r="A329" s="1049"/>
    </row>
    <row r="330" spans="1:1">
      <c r="A330" s="1049"/>
    </row>
    <row r="331" spans="1:1">
      <c r="A331" s="1049"/>
    </row>
    <row r="332" spans="1:1">
      <c r="A332" s="1049"/>
    </row>
    <row r="333" spans="1:1">
      <c r="A333" s="1049"/>
    </row>
    <row r="334" spans="1:1">
      <c r="A334" s="1049"/>
    </row>
    <row r="335" spans="1:1">
      <c r="A335" s="1049"/>
    </row>
    <row r="336" spans="1:1">
      <c r="A336" s="1049"/>
    </row>
    <row r="337" spans="1:1">
      <c r="A337" s="1049"/>
    </row>
    <row r="338" spans="1:1">
      <c r="A338" s="1049"/>
    </row>
    <row r="339" spans="1:1">
      <c r="A339" s="1049"/>
    </row>
    <row r="340" spans="1:1">
      <c r="A340" s="1049"/>
    </row>
    <row r="341" spans="1:1">
      <c r="A341" s="1049"/>
    </row>
    <row r="342" spans="1:1">
      <c r="A342" s="1049"/>
    </row>
    <row r="343" spans="1:1">
      <c r="A343" s="1049"/>
    </row>
    <row r="344" spans="1:1">
      <c r="A344" s="1049"/>
    </row>
    <row r="345" spans="1:1">
      <c r="A345" s="1049"/>
    </row>
    <row r="346" spans="1:1">
      <c r="A346" s="1049"/>
    </row>
    <row r="347" spans="1:1">
      <c r="A347" s="1049"/>
    </row>
    <row r="348" spans="1:1">
      <c r="A348" s="1049"/>
    </row>
    <row r="349" spans="1:1">
      <c r="A349" s="1049"/>
    </row>
    <row r="350" spans="1:1">
      <c r="A350" s="1049"/>
    </row>
    <row r="351" spans="1:1">
      <c r="A351" s="1049"/>
    </row>
    <row r="352" spans="1:1">
      <c r="A352" s="1049"/>
    </row>
    <row r="353" spans="1:1">
      <c r="A353" s="1049"/>
    </row>
    <row r="354" spans="1:1">
      <c r="A354" s="1049"/>
    </row>
    <row r="355" spans="1:1">
      <c r="A355" s="1049"/>
    </row>
    <row r="356" spans="1:1">
      <c r="A356" s="1049"/>
    </row>
    <row r="357" spans="1:1">
      <c r="A357" s="1049"/>
    </row>
    <row r="358" spans="1:1">
      <c r="A358" s="1049"/>
    </row>
    <row r="359" spans="1:1">
      <c r="A359" s="1049"/>
    </row>
    <row r="360" spans="1:1">
      <c r="A360" s="1049"/>
    </row>
    <row r="361" spans="1:1">
      <c r="A361" s="1049"/>
    </row>
    <row r="362" spans="1:1">
      <c r="A362" s="1049"/>
    </row>
    <row r="363" spans="1:1">
      <c r="A363" s="1049"/>
    </row>
    <row r="364" spans="1:1">
      <c r="A364" s="1049"/>
    </row>
    <row r="365" spans="1:1">
      <c r="A365" s="1049"/>
    </row>
    <row r="366" spans="1:1">
      <c r="A366" s="1049"/>
    </row>
    <row r="367" spans="1:1">
      <c r="A367" s="1049"/>
    </row>
    <row r="368" spans="1:1">
      <c r="A368" s="1049"/>
    </row>
    <row r="369" spans="1:1">
      <c r="A369" s="1049"/>
    </row>
    <row r="370" spans="1:1">
      <c r="A370" s="1049"/>
    </row>
    <row r="371" spans="1:1">
      <c r="A371" s="1049"/>
    </row>
    <row r="372" spans="1:1">
      <c r="A372" s="1049"/>
    </row>
    <row r="373" spans="1:1">
      <c r="A373" s="1049"/>
    </row>
    <row r="374" spans="1:1">
      <c r="A374" s="1049"/>
    </row>
    <row r="375" spans="1:1">
      <c r="A375" s="1049"/>
    </row>
    <row r="376" spans="1:1">
      <c r="A376" s="1049"/>
    </row>
    <row r="377" spans="1:1">
      <c r="A377" s="1049"/>
    </row>
    <row r="378" spans="1:1">
      <c r="A378" s="1049"/>
    </row>
    <row r="379" spans="1:1">
      <c r="A379" s="1049"/>
    </row>
    <row r="380" spans="1:1">
      <c r="A380" s="1049"/>
    </row>
    <row r="381" spans="1:1">
      <c r="A381" s="1049"/>
    </row>
    <row r="382" spans="1:1">
      <c r="A382" s="1049"/>
    </row>
    <row r="383" spans="1:1">
      <c r="A383" s="1049"/>
    </row>
    <row r="384" spans="1:1">
      <c r="A384" s="1049"/>
    </row>
    <row r="385" spans="1:1">
      <c r="A385" s="1049"/>
    </row>
    <row r="386" spans="1:1">
      <c r="A386" s="1049"/>
    </row>
    <row r="387" spans="1:1">
      <c r="A387" s="1049"/>
    </row>
    <row r="388" spans="1:1">
      <c r="A388" s="1049"/>
    </row>
    <row r="389" spans="1:1">
      <c r="A389" s="1049"/>
    </row>
    <row r="390" spans="1:1">
      <c r="A390" s="1049"/>
    </row>
    <row r="391" spans="1:1">
      <c r="A391" s="1049"/>
    </row>
    <row r="392" spans="1:1">
      <c r="A392" s="1049"/>
    </row>
    <row r="393" spans="1:1">
      <c r="A393" s="1049"/>
    </row>
    <row r="394" spans="1:1">
      <c r="A394" s="1049"/>
    </row>
    <row r="395" spans="1:1">
      <c r="A395" s="1049"/>
    </row>
    <row r="396" spans="1:1">
      <c r="A396" s="1049"/>
    </row>
    <row r="397" spans="1:1">
      <c r="A397" s="1049"/>
    </row>
    <row r="398" spans="1:1">
      <c r="A398" s="1049"/>
    </row>
    <row r="399" spans="1:1">
      <c r="A399" s="1049"/>
    </row>
    <row r="400" spans="1:1">
      <c r="A400" s="1049"/>
    </row>
    <row r="401" spans="1:1">
      <c r="A401" s="1049"/>
    </row>
    <row r="402" spans="1:1">
      <c r="A402" s="1049"/>
    </row>
    <row r="403" spans="1:1">
      <c r="A403" s="1049"/>
    </row>
    <row r="404" spans="1:1">
      <c r="A404" s="1049"/>
    </row>
    <row r="405" spans="1:1">
      <c r="A405" s="1049"/>
    </row>
    <row r="406" spans="1:1">
      <c r="A406" s="1049"/>
    </row>
    <row r="407" spans="1:1">
      <c r="A407" s="1049"/>
    </row>
    <row r="408" spans="1:1">
      <c r="A408" s="1049"/>
    </row>
    <row r="409" spans="1:1">
      <c r="A409" s="1049"/>
    </row>
    <row r="410" spans="1:1">
      <c r="A410" s="1049"/>
    </row>
    <row r="411" spans="1:1">
      <c r="A411" s="1049"/>
    </row>
    <row r="412" spans="1:1">
      <c r="A412" s="1049"/>
    </row>
    <row r="413" spans="1:1">
      <c r="A413" s="1049"/>
    </row>
    <row r="414" spans="1:1">
      <c r="A414" s="1049"/>
    </row>
    <row r="415" spans="1:1">
      <c r="A415" s="1049"/>
    </row>
    <row r="416" spans="1:1">
      <c r="A416" s="1049"/>
    </row>
    <row r="417" spans="1:1">
      <c r="A417" s="1049"/>
    </row>
    <row r="418" spans="1:1">
      <c r="A418" s="1049"/>
    </row>
    <row r="419" spans="1:1">
      <c r="A419" s="1049"/>
    </row>
    <row r="420" spans="1:1">
      <c r="A420" s="1049"/>
    </row>
    <row r="421" spans="1:1">
      <c r="A421" s="1049"/>
    </row>
    <row r="422" spans="1:1">
      <c r="A422" s="1049"/>
    </row>
    <row r="423" spans="1:1">
      <c r="A423" s="1049"/>
    </row>
    <row r="424" spans="1:1">
      <c r="A424" s="1049"/>
    </row>
    <row r="425" spans="1:1">
      <c r="A425" s="1049"/>
    </row>
    <row r="426" spans="1:1">
      <c r="A426" s="1049"/>
    </row>
    <row r="427" spans="1:1">
      <c r="A427" s="1049"/>
    </row>
    <row r="428" spans="1:1">
      <c r="A428" s="1049"/>
    </row>
    <row r="429" spans="1:1">
      <c r="A429" s="1049"/>
    </row>
    <row r="430" spans="1:1">
      <c r="A430" s="1049"/>
    </row>
    <row r="431" spans="1:1">
      <c r="A431" s="1049"/>
    </row>
    <row r="432" spans="1:1">
      <c r="A432" s="1049"/>
    </row>
    <row r="433" spans="1:1">
      <c r="A433" s="1049"/>
    </row>
    <row r="434" spans="1:1">
      <c r="A434" s="1049"/>
    </row>
    <row r="435" spans="1:1">
      <c r="A435" s="1049"/>
    </row>
    <row r="436" spans="1:1">
      <c r="A436" s="1049"/>
    </row>
    <row r="437" spans="1:1">
      <c r="A437" s="1049"/>
    </row>
    <row r="438" spans="1:1">
      <c r="A438" s="1049"/>
    </row>
    <row r="439" spans="1:1">
      <c r="A439" s="1049"/>
    </row>
    <row r="440" spans="1:1">
      <c r="A440" s="1049"/>
    </row>
    <row r="441" spans="1:1">
      <c r="A441" s="1049"/>
    </row>
    <row r="442" spans="1:1">
      <c r="A442" s="1049"/>
    </row>
    <row r="443" spans="1:1">
      <c r="A443" s="1049"/>
    </row>
    <row r="444" spans="1:1">
      <c r="A444" s="1049"/>
    </row>
    <row r="445" spans="1:1">
      <c r="A445" s="1049"/>
    </row>
    <row r="446" spans="1:1">
      <c r="A446" s="1049"/>
    </row>
    <row r="447" spans="1:1">
      <c r="A447" s="1049"/>
    </row>
    <row r="448" spans="1:1">
      <c r="A448" s="1049"/>
    </row>
    <row r="449" spans="1:1">
      <c r="A449" s="1049"/>
    </row>
    <row r="450" spans="1:1">
      <c r="A450" s="1049"/>
    </row>
    <row r="451" spans="1:1">
      <c r="A451" s="1049"/>
    </row>
    <row r="452" spans="1:1">
      <c r="A452" s="1049"/>
    </row>
    <row r="453" spans="1:1">
      <c r="A453" s="1049"/>
    </row>
    <row r="454" spans="1:1">
      <c r="A454" s="1049"/>
    </row>
    <row r="455" spans="1:1">
      <c r="A455" s="1049"/>
    </row>
    <row r="456" spans="1:1">
      <c r="A456" s="1049"/>
    </row>
    <row r="457" spans="1:1">
      <c r="A457" s="1049"/>
    </row>
    <row r="458" spans="1:1">
      <c r="A458" s="1049"/>
    </row>
    <row r="459" spans="1:1">
      <c r="A459" s="1049"/>
    </row>
    <row r="460" spans="1:1">
      <c r="A460" s="1049"/>
    </row>
    <row r="461" spans="1:1">
      <c r="A461" s="1049"/>
    </row>
    <row r="462" spans="1:1">
      <c r="A462" s="1049"/>
    </row>
    <row r="463" spans="1:1">
      <c r="A463" s="1049"/>
    </row>
    <row r="464" spans="1:1">
      <c r="A464" s="1049"/>
    </row>
    <row r="465" spans="1:1">
      <c r="A465" s="1049"/>
    </row>
    <row r="466" spans="1:1">
      <c r="A466" s="1049"/>
    </row>
    <row r="467" spans="1:1">
      <c r="A467" s="1049"/>
    </row>
    <row r="468" spans="1:1">
      <c r="A468" s="1049"/>
    </row>
    <row r="469" spans="1:1">
      <c r="A469" s="1049"/>
    </row>
    <row r="470" spans="1:1">
      <c r="A470" s="1049"/>
    </row>
    <row r="471" spans="1:1">
      <c r="A471" s="1049"/>
    </row>
    <row r="472" spans="1:1">
      <c r="A472" s="1049"/>
    </row>
    <row r="473" spans="1:1">
      <c r="A473" s="1049"/>
    </row>
    <row r="474" spans="1:1">
      <c r="A474" s="1049"/>
    </row>
    <row r="475" spans="1:1">
      <c r="A475" s="1049"/>
    </row>
    <row r="476" spans="1:1">
      <c r="A476" s="1049"/>
    </row>
    <row r="477" spans="1:1">
      <c r="A477" s="1049"/>
    </row>
    <row r="478" spans="1:1">
      <c r="A478" s="1049"/>
    </row>
    <row r="479" spans="1:1">
      <c r="A479" s="1049"/>
    </row>
    <row r="480" spans="1:1">
      <c r="A480" s="1049"/>
    </row>
    <row r="481" spans="1:1">
      <c r="A481" s="1049"/>
    </row>
    <row r="482" spans="1:1">
      <c r="A482" s="1049"/>
    </row>
    <row r="483" spans="1:1">
      <c r="A483" s="1049"/>
    </row>
    <row r="484" spans="1:1">
      <c r="A484" s="1049"/>
    </row>
    <row r="485" spans="1:1">
      <c r="A485" s="1049"/>
    </row>
    <row r="486" spans="1:1">
      <c r="A486" s="1049"/>
    </row>
    <row r="487" spans="1:1">
      <c r="A487" s="1049"/>
    </row>
    <row r="488" spans="1:1">
      <c r="A488" s="1049"/>
    </row>
    <row r="489" spans="1:1">
      <c r="A489" s="1049"/>
    </row>
    <row r="490" spans="1:1">
      <c r="A490" s="1050"/>
    </row>
    <row r="491" spans="1:1">
      <c r="A491" s="1050"/>
    </row>
    <row r="492" spans="1:1">
      <c r="A492" s="1050"/>
    </row>
    <row r="493" spans="1:1">
      <c r="A493" s="1050"/>
    </row>
    <row r="494" spans="1:1">
      <c r="A494" s="1050"/>
    </row>
    <row r="495" spans="1:1">
      <c r="A495" s="1050"/>
    </row>
    <row r="496" spans="1:1">
      <c r="A496" s="1050"/>
    </row>
    <row r="497" spans="1:1">
      <c r="A497" s="1050"/>
    </row>
    <row r="498" spans="1:1">
      <c r="A498" s="1050"/>
    </row>
    <row r="499" spans="1:1">
      <c r="A499" s="1050"/>
    </row>
    <row r="500" spans="1:1">
      <c r="A500" s="1050"/>
    </row>
    <row r="501" spans="1:1">
      <c r="A501" s="1050"/>
    </row>
    <row r="502" spans="1:1">
      <c r="A502" s="1050"/>
    </row>
    <row r="503" spans="1:1">
      <c r="A503" s="1050"/>
    </row>
    <row r="504" spans="1:1">
      <c r="A504" s="1050"/>
    </row>
    <row r="505" spans="1:1">
      <c r="A505" s="1050"/>
    </row>
    <row r="506" spans="1:1">
      <c r="A506" s="1050"/>
    </row>
    <row r="507" spans="1:1">
      <c r="A507" s="1050"/>
    </row>
    <row r="508" spans="1:1">
      <c r="A508" s="1050"/>
    </row>
    <row r="509" spans="1:1">
      <c r="A509" s="1050"/>
    </row>
    <row r="510" spans="1:1">
      <c r="A510" s="1050"/>
    </row>
    <row r="511" spans="1:1">
      <c r="A511" s="1050"/>
    </row>
    <row r="512" spans="1:1">
      <c r="A512" s="1050"/>
    </row>
    <row r="513" spans="1:1">
      <c r="A513" s="1050"/>
    </row>
    <row r="514" spans="1:1">
      <c r="A514" s="1050"/>
    </row>
    <row r="515" spans="1:1">
      <c r="A515" s="1050"/>
    </row>
    <row r="516" spans="1:1">
      <c r="A516" s="1050"/>
    </row>
    <row r="517" spans="1:1">
      <c r="A517" s="1050"/>
    </row>
    <row r="518" spans="1:1">
      <c r="A518" s="1050"/>
    </row>
    <row r="519" spans="1:1">
      <c r="A519" s="1050"/>
    </row>
    <row r="520" spans="1:1">
      <c r="A520" s="1050"/>
    </row>
    <row r="521" spans="1:1">
      <c r="A521" s="1050"/>
    </row>
    <row r="522" spans="1:1">
      <c r="A522" s="1050"/>
    </row>
    <row r="523" spans="1:1">
      <c r="A523" s="1050"/>
    </row>
    <row r="524" spans="1:1">
      <c r="A524" s="1050"/>
    </row>
    <row r="525" spans="1:1">
      <c r="A525" s="1050"/>
    </row>
    <row r="526" spans="1:1">
      <c r="A526" s="1050"/>
    </row>
    <row r="527" spans="1:1">
      <c r="A527" s="1050"/>
    </row>
    <row r="528" spans="1:1">
      <c r="A528" s="1050"/>
    </row>
    <row r="529" spans="1:1">
      <c r="A529" s="1050"/>
    </row>
    <row r="530" spans="1:1">
      <c r="A530" s="1050"/>
    </row>
    <row r="531" spans="1:1">
      <c r="A531" s="1050"/>
    </row>
    <row r="532" spans="1:1">
      <c r="A532" s="1050"/>
    </row>
    <row r="533" spans="1:1">
      <c r="A533" s="1050"/>
    </row>
  </sheetData>
  <hyperlinks>
    <hyperlink ref="A5" location="INDICE!A13" display="VOLVER AL INDICE" xr:uid="{00000000-0004-0000-2B00-000000000000}"/>
  </hyperlinks>
  <pageMargins left="0.7" right="0.7" top="0.75" bottom="0.75" header="0.3" footer="0.3"/>
  <pageSetup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5"/>
  <dimension ref="A1:AB47"/>
  <sheetViews>
    <sheetView zoomScale="130" zoomScaleNormal="130" workbookViewId="0">
      <pane xSplit="1" ySplit="9" topLeftCell="B31"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5703125" style="19" customWidth="1"/>
    <col min="2" max="3" width="25.28515625" style="19" customWidth="1"/>
    <col min="4" max="5" width="24.5703125" style="19" customWidth="1"/>
    <col min="6" max="6" width="12" style="2" bestFit="1" customWidth="1"/>
    <col min="7" max="16384" width="11.42578125" style="2"/>
  </cols>
  <sheetData>
    <row r="1" spans="1:28" s="30" customFormat="1" ht="3" customHeight="1">
      <c r="A1" s="37"/>
      <c r="B1" s="98"/>
      <c r="C1" s="99"/>
      <c r="D1" s="436"/>
      <c r="E1" s="422"/>
    </row>
    <row r="2" spans="1:28" s="11" customFormat="1">
      <c r="A2" s="39" t="s">
        <v>212</v>
      </c>
      <c r="B2" s="468" t="s">
        <v>747</v>
      </c>
      <c r="C2" s="467"/>
      <c r="D2" s="469" t="s">
        <v>461</v>
      </c>
      <c r="E2" s="423"/>
    </row>
    <row r="3" spans="1:28" s="11" customFormat="1">
      <c r="A3" s="42" t="s">
        <v>211</v>
      </c>
      <c r="B3" s="470" t="s">
        <v>745</v>
      </c>
      <c r="C3" s="55"/>
      <c r="D3" s="471" t="s">
        <v>462</v>
      </c>
      <c r="E3" s="424"/>
    </row>
    <row r="4" spans="1:28" s="11" customFormat="1">
      <c r="A4" s="38"/>
      <c r="B4" s="62"/>
      <c r="C4" s="63"/>
      <c r="D4" s="437"/>
      <c r="E4" s="438"/>
    </row>
    <row r="5" spans="1:28" s="30" customFormat="1" ht="22.5">
      <c r="A5" s="45" t="s">
        <v>213</v>
      </c>
      <c r="B5" s="1990" t="s">
        <v>746</v>
      </c>
      <c r="C5" s="1987" t="s">
        <v>681</v>
      </c>
      <c r="D5" s="2000" t="s">
        <v>746</v>
      </c>
      <c r="E5" s="1996" t="s">
        <v>681</v>
      </c>
    </row>
    <row r="6" spans="1:28" s="30" customFormat="1" ht="11.25" customHeight="1">
      <c r="A6" s="36"/>
      <c r="B6" s="1991"/>
      <c r="C6" s="1988"/>
      <c r="D6" s="2001"/>
      <c r="E6" s="1997"/>
    </row>
    <row r="7" spans="1:28" s="30" customFormat="1" ht="22.5">
      <c r="A7" s="47" t="s">
        <v>210</v>
      </c>
      <c r="B7" s="1992" t="s">
        <v>159</v>
      </c>
      <c r="C7" s="1379" t="s">
        <v>72</v>
      </c>
      <c r="D7" s="2002" t="s">
        <v>159</v>
      </c>
      <c r="E7" s="1998" t="s">
        <v>72</v>
      </c>
    </row>
    <row r="8" spans="1:28" s="30" customFormat="1" ht="11.25">
      <c r="A8" s="390" t="s">
        <v>412</v>
      </c>
      <c r="B8" s="1842" t="s">
        <v>667</v>
      </c>
      <c r="C8" s="397" t="s">
        <v>749</v>
      </c>
      <c r="D8" s="1588" t="s">
        <v>1303</v>
      </c>
      <c r="E8" s="391" t="s">
        <v>1304</v>
      </c>
    </row>
    <row r="9" spans="1:28" s="12" customFormat="1" ht="13.5" customHeight="1" thickBot="1">
      <c r="A9" s="52"/>
      <c r="B9" s="1993"/>
      <c r="C9" s="1989"/>
      <c r="D9" s="2003"/>
      <c r="E9" s="1999"/>
    </row>
    <row r="10" spans="1:28">
      <c r="A10" s="60">
        <v>1994</v>
      </c>
      <c r="B10" s="1994">
        <v>2838.1</v>
      </c>
      <c r="C10" s="441"/>
      <c r="D10" s="1978"/>
      <c r="E10" s="1816"/>
    </row>
    <row r="11" spans="1:28">
      <c r="A11" s="60">
        <v>1995</v>
      </c>
      <c r="B11" s="1995">
        <v>3455.9</v>
      </c>
      <c r="C11" s="165"/>
      <c r="D11" s="2004"/>
      <c r="E11" s="1578"/>
    </row>
    <row r="12" spans="1:28">
      <c r="A12" s="60">
        <v>1996</v>
      </c>
      <c r="B12" s="1995">
        <v>4218</v>
      </c>
      <c r="C12" s="165"/>
      <c r="D12" s="2004"/>
      <c r="E12" s="1578"/>
      <c r="G12" s="30"/>
      <c r="H12" s="30"/>
      <c r="I12" s="30"/>
      <c r="J12" s="30"/>
      <c r="K12" s="30"/>
      <c r="L12" s="30"/>
      <c r="M12" s="30"/>
      <c r="N12" s="30"/>
      <c r="O12" s="30"/>
      <c r="P12" s="30"/>
      <c r="Q12" s="30"/>
      <c r="R12" s="30"/>
      <c r="S12" s="30"/>
      <c r="T12" s="30"/>
      <c r="U12" s="30"/>
      <c r="V12" s="30"/>
      <c r="W12" s="30"/>
      <c r="X12" s="30"/>
      <c r="Y12" s="30"/>
      <c r="Z12" s="30"/>
      <c r="AA12" s="30"/>
      <c r="AB12" s="30"/>
    </row>
    <row r="13" spans="1:28">
      <c r="A13" s="60">
        <v>1997</v>
      </c>
      <c r="B13" s="1995">
        <v>4253.3</v>
      </c>
      <c r="C13" s="126">
        <v>13050578</v>
      </c>
      <c r="D13" s="2005">
        <v>26433.698394000003</v>
      </c>
      <c r="E13" s="399">
        <v>70165157</v>
      </c>
      <c r="G13" s="30"/>
      <c r="H13" s="30"/>
      <c r="I13" s="30"/>
      <c r="J13" s="30"/>
      <c r="K13" s="30"/>
      <c r="L13" s="30"/>
      <c r="M13" s="30"/>
      <c r="N13" s="30"/>
      <c r="O13" s="30"/>
      <c r="P13" s="30"/>
      <c r="Q13" s="30"/>
      <c r="R13" s="30"/>
      <c r="S13" s="30"/>
      <c r="T13" s="30"/>
      <c r="U13" s="30"/>
      <c r="V13" s="30"/>
      <c r="W13" s="30"/>
      <c r="X13" s="30"/>
      <c r="Y13" s="30"/>
      <c r="Z13" s="30"/>
      <c r="AA13" s="30"/>
      <c r="AB13" s="30"/>
    </row>
    <row r="14" spans="1:28">
      <c r="A14" s="60">
        <v>1998</v>
      </c>
      <c r="B14" s="1995">
        <v>4606.2</v>
      </c>
      <c r="C14" s="73">
        <v>17442174</v>
      </c>
      <c r="D14" s="1675">
        <v>26433.698394000003</v>
      </c>
      <c r="E14" s="163">
        <v>82505183</v>
      </c>
      <c r="G14" s="961"/>
      <c r="H14" s="961"/>
      <c r="I14" s="30"/>
      <c r="J14" s="30"/>
      <c r="K14" s="30"/>
      <c r="L14" s="30"/>
      <c r="M14" s="30"/>
      <c r="N14" s="30"/>
      <c r="O14" s="30"/>
      <c r="P14" s="30"/>
      <c r="Q14" s="30"/>
      <c r="R14" s="30"/>
      <c r="S14" s="30"/>
      <c r="T14" s="30"/>
      <c r="U14" s="30"/>
      <c r="V14" s="30"/>
      <c r="W14" s="30"/>
      <c r="X14" s="30"/>
      <c r="Y14" s="30"/>
      <c r="Z14" s="30"/>
      <c r="AA14" s="30"/>
      <c r="AB14" s="30"/>
    </row>
    <row r="15" spans="1:28">
      <c r="A15" s="60">
        <v>1999</v>
      </c>
      <c r="B15" s="1995">
        <v>4187.8999999999996</v>
      </c>
      <c r="C15" s="73">
        <v>18753840</v>
      </c>
      <c r="D15" s="1675">
        <v>23308.634743000002</v>
      </c>
      <c r="E15" s="163">
        <v>78074028</v>
      </c>
      <c r="G15" s="961"/>
      <c r="H15" s="961"/>
      <c r="I15" s="30"/>
      <c r="J15" s="30"/>
      <c r="K15" s="30"/>
      <c r="L15" s="30"/>
      <c r="M15" s="30"/>
      <c r="N15" s="30"/>
      <c r="O15" s="30"/>
      <c r="P15" s="30"/>
      <c r="Q15" s="30"/>
      <c r="R15" s="30"/>
      <c r="S15" s="30"/>
      <c r="T15" s="30"/>
      <c r="U15" s="30"/>
      <c r="V15" s="30"/>
      <c r="W15" s="30"/>
      <c r="X15" s="30"/>
      <c r="Y15" s="30"/>
      <c r="Z15" s="30"/>
      <c r="AA15" s="30"/>
      <c r="AB15" s="30"/>
    </row>
    <row r="16" spans="1:28">
      <c r="A16" s="60">
        <v>2000</v>
      </c>
      <c r="B16" s="1995">
        <v>4304.4931939999997</v>
      </c>
      <c r="C16" s="73">
        <v>18730568.384550001</v>
      </c>
      <c r="D16" s="1675">
        <v>26341.028985000001</v>
      </c>
      <c r="E16" s="163">
        <v>82610069</v>
      </c>
      <c r="G16" s="961"/>
      <c r="H16" s="961"/>
      <c r="I16" s="30"/>
      <c r="J16" s="30"/>
      <c r="K16" s="30"/>
      <c r="L16" s="30"/>
      <c r="M16" s="30"/>
      <c r="N16" s="30"/>
      <c r="O16" s="30"/>
      <c r="P16" s="30"/>
      <c r="Q16" s="30"/>
      <c r="R16" s="30"/>
      <c r="S16" s="30"/>
      <c r="T16" s="30"/>
      <c r="U16" s="30"/>
      <c r="V16" s="30"/>
      <c r="W16" s="30"/>
      <c r="X16" s="30"/>
      <c r="Y16" s="30"/>
      <c r="Z16" s="30"/>
      <c r="AA16" s="30"/>
      <c r="AB16" s="30"/>
    </row>
    <row r="17" spans="1:28">
      <c r="A17" s="60">
        <v>2001</v>
      </c>
      <c r="B17" s="1995">
        <v>4332.1929550000004</v>
      </c>
      <c r="C17" s="73">
        <v>20128876.156709999</v>
      </c>
      <c r="D17" s="1675">
        <v>26542.726999999999</v>
      </c>
      <c r="E17" s="163">
        <v>90013747</v>
      </c>
      <c r="G17" s="961"/>
      <c r="H17" s="961"/>
      <c r="I17" s="30"/>
      <c r="J17" s="30"/>
      <c r="K17" s="30"/>
      <c r="L17" s="30"/>
      <c r="M17" s="30"/>
      <c r="N17" s="30"/>
      <c r="O17" s="30"/>
      <c r="P17" s="30"/>
      <c r="Q17" s="30"/>
      <c r="R17" s="30"/>
      <c r="S17" s="30"/>
      <c r="T17" s="30"/>
      <c r="U17" s="30"/>
      <c r="V17" s="30"/>
      <c r="W17" s="30"/>
      <c r="X17" s="30"/>
      <c r="Y17" s="30"/>
      <c r="Z17" s="30"/>
      <c r="AA17" s="30"/>
      <c r="AB17" s="30"/>
    </row>
    <row r="18" spans="1:28">
      <c r="A18" s="60">
        <v>2002</v>
      </c>
      <c r="B18" s="1995">
        <v>4888.2099900000003</v>
      </c>
      <c r="C18" s="73">
        <v>20835780.032159999</v>
      </c>
      <c r="D18" s="1675">
        <v>25650.598999999998</v>
      </c>
      <c r="E18" s="163">
        <v>89532210</v>
      </c>
      <c r="G18" s="961"/>
      <c r="H18" s="961"/>
      <c r="I18" s="30"/>
      <c r="J18" s="30"/>
      <c r="K18" s="30"/>
      <c r="L18" s="30"/>
      <c r="M18" s="30"/>
      <c r="N18" s="30"/>
      <c r="O18" s="30"/>
      <c r="P18" s="30"/>
      <c r="Q18" s="30"/>
      <c r="R18" s="30"/>
      <c r="S18" s="30"/>
      <c r="T18" s="30"/>
      <c r="U18" s="30"/>
      <c r="V18" s="30"/>
      <c r="W18" s="30"/>
      <c r="X18" s="30"/>
      <c r="Y18" s="30"/>
      <c r="Z18" s="30"/>
      <c r="AA18" s="30"/>
      <c r="AB18" s="30"/>
    </row>
    <row r="19" spans="1:28">
      <c r="A19" s="60">
        <v>2003</v>
      </c>
      <c r="B19" s="1995">
        <v>6265.7760980000003</v>
      </c>
      <c r="C19" s="73">
        <v>23632375.135770001</v>
      </c>
      <c r="D19" s="1675">
        <v>29938.752</v>
      </c>
      <c r="E19" s="163">
        <v>94870426</v>
      </c>
      <c r="G19" s="961"/>
      <c r="H19" s="961"/>
      <c r="I19" s="30"/>
      <c r="J19" s="30"/>
      <c r="K19" s="30"/>
      <c r="L19" s="30"/>
      <c r="M19" s="30"/>
      <c r="N19" s="30"/>
      <c r="O19" s="30"/>
      <c r="P19" s="30"/>
      <c r="Q19" s="30"/>
      <c r="R19" s="30"/>
      <c r="S19" s="30"/>
      <c r="T19" s="30"/>
      <c r="U19" s="30"/>
      <c r="V19" s="30"/>
      <c r="W19" s="30"/>
      <c r="X19" s="30"/>
      <c r="Y19" s="30"/>
      <c r="Z19" s="30"/>
      <c r="AA19" s="30"/>
      <c r="AB19" s="30"/>
    </row>
    <row r="20" spans="1:28">
      <c r="A20" s="60">
        <v>2004</v>
      </c>
      <c r="B20" s="1995">
        <v>7155.7241869999998</v>
      </c>
      <c r="C20" s="73">
        <v>23242105.1063</v>
      </c>
      <c r="D20" s="1675">
        <v>34575.733999999997</v>
      </c>
      <c r="E20" s="163">
        <v>92344518</v>
      </c>
      <c r="G20" s="961"/>
      <c r="H20" s="961"/>
      <c r="I20" s="30"/>
      <c r="J20" s="30"/>
      <c r="K20" s="30"/>
      <c r="L20" s="30"/>
      <c r="M20" s="30"/>
      <c r="N20" s="30"/>
      <c r="O20" s="30"/>
      <c r="P20" s="30"/>
      <c r="Q20" s="30"/>
      <c r="R20" s="30"/>
      <c r="S20" s="30"/>
      <c r="T20" s="30"/>
      <c r="U20" s="30"/>
      <c r="V20" s="30"/>
      <c r="W20" s="30"/>
      <c r="X20" s="30"/>
      <c r="Y20" s="30"/>
      <c r="Z20" s="30"/>
      <c r="AA20" s="30"/>
      <c r="AB20" s="30"/>
    </row>
    <row r="21" spans="1:28">
      <c r="A21" s="60">
        <v>2005</v>
      </c>
      <c r="B21" s="1995">
        <v>7720.4310429999996</v>
      </c>
      <c r="C21" s="73">
        <v>26962405.437120002</v>
      </c>
      <c r="D21" s="1675">
        <v>40386.762000000002</v>
      </c>
      <c r="E21" s="163">
        <v>102722083</v>
      </c>
      <c r="G21" s="961"/>
      <c r="H21" s="961"/>
      <c r="I21" s="30"/>
      <c r="J21" s="30"/>
      <c r="K21" s="30"/>
      <c r="L21" s="30"/>
      <c r="M21" s="30"/>
      <c r="N21" s="30"/>
      <c r="O21" s="30"/>
      <c r="P21" s="30"/>
      <c r="Q21" s="30"/>
      <c r="R21" s="30"/>
      <c r="S21" s="30"/>
      <c r="T21" s="30"/>
      <c r="U21" s="30"/>
      <c r="V21" s="30"/>
      <c r="W21" s="30"/>
      <c r="X21" s="30"/>
      <c r="Y21" s="30"/>
      <c r="Z21" s="30"/>
      <c r="AA21" s="30"/>
      <c r="AB21" s="30"/>
    </row>
    <row r="22" spans="1:28">
      <c r="A22" s="60">
        <v>2006</v>
      </c>
      <c r="B22" s="1995">
        <v>8930.9271079999999</v>
      </c>
      <c r="C22" s="73">
        <v>29688614.75028</v>
      </c>
      <c r="D22" s="1675">
        <v>46546.203077749997</v>
      </c>
      <c r="E22" s="163">
        <v>99199610</v>
      </c>
      <c r="G22" s="961"/>
      <c r="H22" s="961"/>
      <c r="I22" s="30"/>
      <c r="J22" s="30"/>
      <c r="K22" s="30"/>
      <c r="L22" s="30"/>
      <c r="M22" s="30"/>
      <c r="N22" s="30"/>
      <c r="O22" s="30"/>
      <c r="P22" s="30"/>
      <c r="Q22" s="30"/>
      <c r="R22" s="30"/>
      <c r="S22" s="30"/>
      <c r="T22" s="30"/>
      <c r="U22" s="30"/>
      <c r="V22" s="30"/>
      <c r="W22" s="30"/>
      <c r="X22" s="30"/>
      <c r="Y22" s="30"/>
      <c r="Z22" s="30"/>
      <c r="AA22" s="30"/>
      <c r="AB22" s="30"/>
    </row>
    <row r="23" spans="1:28">
      <c r="A23" s="60">
        <v>2007</v>
      </c>
      <c r="B23" s="1995">
        <v>12567.216152999999</v>
      </c>
      <c r="C23" s="73">
        <v>33765493.091940001</v>
      </c>
      <c r="D23" s="1675">
        <v>55980.309000000001</v>
      </c>
      <c r="E23" s="163">
        <v>105637416</v>
      </c>
      <c r="G23" s="961"/>
      <c r="H23" s="961"/>
      <c r="I23" s="30"/>
      <c r="J23" s="30"/>
      <c r="K23" s="30"/>
      <c r="L23" s="30"/>
      <c r="M23" s="30"/>
      <c r="N23" s="30"/>
      <c r="O23" s="30"/>
      <c r="P23" s="30"/>
      <c r="Q23" s="30"/>
      <c r="R23" s="30"/>
      <c r="S23" s="30"/>
      <c r="T23" s="30"/>
      <c r="U23" s="30"/>
      <c r="V23" s="30"/>
      <c r="W23" s="30"/>
      <c r="X23" s="30"/>
      <c r="Y23" s="30"/>
      <c r="Z23" s="30"/>
      <c r="AA23" s="30"/>
      <c r="AB23" s="30"/>
    </row>
    <row r="24" spans="1:28">
      <c r="A24" s="60">
        <v>2008</v>
      </c>
      <c r="B24" s="1995">
        <v>15243.845942</v>
      </c>
      <c r="C24" s="73">
        <v>29962249.94117</v>
      </c>
      <c r="D24" s="1675">
        <v>70018.839000000007</v>
      </c>
      <c r="E24" s="163">
        <v>100074049</v>
      </c>
      <c r="G24" s="961"/>
      <c r="H24" s="961"/>
      <c r="I24" s="30"/>
      <c r="J24" s="30"/>
      <c r="K24" s="30"/>
      <c r="L24" s="30"/>
      <c r="M24" s="30"/>
      <c r="N24" s="30"/>
      <c r="O24" s="30"/>
      <c r="P24" s="30"/>
      <c r="Q24" s="30"/>
      <c r="R24" s="30"/>
      <c r="S24" s="30"/>
      <c r="T24" s="30"/>
      <c r="U24" s="30"/>
      <c r="V24" s="30"/>
      <c r="W24" s="30"/>
      <c r="X24" s="30"/>
      <c r="Y24" s="30"/>
      <c r="Z24" s="30"/>
      <c r="AA24" s="30"/>
      <c r="AB24" s="30"/>
    </row>
    <row r="25" spans="1:28">
      <c r="A25" s="60">
        <v>2009</v>
      </c>
      <c r="B25" s="1995">
        <v>12971.332934</v>
      </c>
      <c r="C25" s="73">
        <v>25808946</v>
      </c>
      <c r="D25" s="1675">
        <v>55672.097000000002</v>
      </c>
      <c r="E25" s="163">
        <v>82229800</v>
      </c>
      <c r="G25" s="961"/>
      <c r="H25" s="961"/>
      <c r="I25" s="30"/>
      <c r="J25" s="30"/>
      <c r="K25" s="30"/>
      <c r="L25" s="30"/>
      <c r="M25" s="30"/>
      <c r="N25" s="30"/>
      <c r="O25" s="30"/>
      <c r="P25" s="30"/>
      <c r="Q25" s="30"/>
      <c r="R25" s="30"/>
      <c r="S25" s="30"/>
      <c r="T25" s="30"/>
      <c r="U25" s="30"/>
      <c r="V25" s="30"/>
      <c r="W25" s="30"/>
      <c r="X25" s="30"/>
      <c r="Y25" s="30"/>
      <c r="Z25" s="30"/>
      <c r="AA25" s="30"/>
      <c r="AB25" s="30"/>
    </row>
    <row r="26" spans="1:28">
      <c r="A26" s="60">
        <v>2010</v>
      </c>
      <c r="B26" s="1995">
        <v>15448.056685</v>
      </c>
      <c r="C26" s="73">
        <v>31950609</v>
      </c>
      <c r="D26" s="1675">
        <v>68174.447</v>
      </c>
      <c r="E26" s="163">
        <v>99698352</v>
      </c>
      <c r="G26" s="961"/>
      <c r="H26" s="961"/>
      <c r="I26" s="30"/>
      <c r="J26" s="30"/>
      <c r="K26" s="30"/>
      <c r="L26" s="30"/>
      <c r="M26" s="30"/>
      <c r="N26" s="30"/>
      <c r="O26" s="30"/>
      <c r="P26" s="30"/>
      <c r="Q26" s="30"/>
      <c r="R26" s="30"/>
      <c r="S26" s="30"/>
      <c r="T26" s="30"/>
      <c r="U26" s="30"/>
      <c r="V26" s="30"/>
      <c r="W26" s="30"/>
      <c r="X26" s="30"/>
      <c r="Y26" s="30"/>
      <c r="Z26" s="30"/>
      <c r="AA26" s="30"/>
      <c r="AB26" s="30"/>
    </row>
    <row r="27" spans="1:28">
      <c r="A27" s="60">
        <v>2011</v>
      </c>
      <c r="B27" s="1995">
        <v>18852.657176000001</v>
      </c>
      <c r="C27" s="73">
        <v>30838193</v>
      </c>
      <c r="D27" s="1675">
        <v>82981.091</v>
      </c>
      <c r="E27" s="163">
        <v>99360518</v>
      </c>
      <c r="G27" s="961"/>
      <c r="H27" s="961"/>
      <c r="I27" s="30"/>
      <c r="J27" s="30"/>
      <c r="K27" s="30"/>
      <c r="L27" s="30"/>
      <c r="M27" s="30"/>
      <c r="N27" s="30"/>
      <c r="O27" s="30"/>
      <c r="P27" s="30"/>
      <c r="Q27" s="30"/>
      <c r="R27" s="30"/>
      <c r="S27" s="30"/>
      <c r="T27" s="30"/>
      <c r="U27" s="30"/>
      <c r="V27" s="30"/>
      <c r="W27" s="30"/>
      <c r="X27" s="30"/>
      <c r="Y27" s="30"/>
      <c r="Z27" s="30"/>
      <c r="AA27" s="30"/>
      <c r="AB27" s="30"/>
    </row>
    <row r="28" spans="1:28">
      <c r="A28" s="60">
        <v>2012</v>
      </c>
      <c r="B28" s="1995">
        <v>17931.537294999998</v>
      </c>
      <c r="C28" s="73">
        <v>28561926</v>
      </c>
      <c r="D28" s="1675">
        <v>79982.388000000006</v>
      </c>
      <c r="E28" s="163">
        <v>98717168</v>
      </c>
      <c r="G28" s="961"/>
      <c r="H28" s="961"/>
      <c r="I28" s="30"/>
      <c r="J28" s="30"/>
      <c r="K28" s="30"/>
      <c r="L28" s="30"/>
      <c r="M28" s="30"/>
      <c r="N28" s="30"/>
      <c r="O28" s="30"/>
      <c r="P28" s="30"/>
      <c r="Q28" s="30"/>
      <c r="R28" s="30"/>
      <c r="S28" s="30"/>
      <c r="T28" s="30"/>
      <c r="U28" s="30"/>
      <c r="V28" s="30"/>
      <c r="W28" s="30"/>
      <c r="X28" s="30"/>
      <c r="Y28" s="30"/>
      <c r="Z28" s="30"/>
      <c r="AA28" s="30"/>
      <c r="AB28" s="30"/>
    </row>
    <row r="29" spans="1:28">
      <c r="A29" s="60">
        <v>2013</v>
      </c>
      <c r="B29" s="1995">
        <v>16794.654402</v>
      </c>
      <c r="C29" s="73">
        <v>26601621</v>
      </c>
      <c r="D29" s="1675">
        <v>75962.981</v>
      </c>
      <c r="E29" s="163">
        <v>89235430</v>
      </c>
      <c r="G29" s="961"/>
      <c r="H29" s="961"/>
      <c r="I29" s="30"/>
      <c r="J29" s="30"/>
      <c r="K29" s="30"/>
      <c r="L29" s="30"/>
      <c r="M29" s="30"/>
      <c r="N29" s="30"/>
      <c r="O29" s="30"/>
      <c r="P29" s="30"/>
      <c r="Q29" s="30"/>
      <c r="R29" s="30"/>
      <c r="S29" s="30"/>
      <c r="T29" s="30"/>
      <c r="U29" s="30"/>
      <c r="V29" s="30"/>
      <c r="W29" s="30"/>
      <c r="X29" s="30"/>
      <c r="Y29" s="30"/>
      <c r="Z29" s="30"/>
      <c r="AA29" s="30"/>
      <c r="AB29" s="30"/>
    </row>
    <row r="30" spans="1:28">
      <c r="A30" s="60">
        <v>2014</v>
      </c>
      <c r="B30" s="1995">
        <v>16079.051364000001</v>
      </c>
      <c r="C30" s="73">
        <v>26262937</v>
      </c>
      <c r="D30" s="1675">
        <v>68404.346618249998</v>
      </c>
      <c r="E30" s="163">
        <v>83145392</v>
      </c>
      <c r="F30" s="621"/>
      <c r="G30" s="961"/>
      <c r="H30" s="961"/>
      <c r="I30" s="30"/>
      <c r="J30" s="30"/>
      <c r="K30" s="30"/>
      <c r="L30" s="30"/>
      <c r="M30" s="30"/>
      <c r="N30" s="30"/>
      <c r="O30" s="30"/>
      <c r="P30" s="30"/>
      <c r="Q30" s="30"/>
      <c r="R30" s="30"/>
      <c r="S30" s="30"/>
      <c r="T30" s="30"/>
      <c r="U30" s="30"/>
      <c r="V30" s="30"/>
      <c r="W30" s="30"/>
      <c r="X30" s="30"/>
      <c r="Y30" s="30"/>
      <c r="Z30" s="30"/>
      <c r="AA30" s="30"/>
      <c r="AB30" s="30"/>
    </row>
    <row r="31" spans="1:28">
      <c r="A31" s="60">
        <v>2015</v>
      </c>
      <c r="B31" s="1995">
        <v>13181.231191000001</v>
      </c>
      <c r="C31" s="73">
        <v>29563082</v>
      </c>
      <c r="D31" s="1675">
        <v>56783.952503679997</v>
      </c>
      <c r="E31" s="163">
        <v>91557794</v>
      </c>
      <c r="G31" s="961"/>
      <c r="H31" s="961"/>
      <c r="I31" s="30"/>
      <c r="J31" s="30"/>
      <c r="K31" s="30"/>
      <c r="L31" s="30"/>
      <c r="M31" s="30"/>
      <c r="N31" s="30"/>
      <c r="O31" s="30"/>
      <c r="P31" s="30"/>
      <c r="Q31" s="30"/>
      <c r="R31" s="30"/>
      <c r="S31" s="30"/>
      <c r="T31" s="30"/>
      <c r="U31" s="30"/>
      <c r="V31" s="30"/>
      <c r="W31" s="30"/>
      <c r="X31" s="30"/>
      <c r="Y31" s="30"/>
      <c r="Z31" s="30"/>
      <c r="AA31" s="30"/>
      <c r="AB31" s="30"/>
    </row>
    <row r="32" spans="1:28">
      <c r="A32" s="60">
        <v>2016</v>
      </c>
      <c r="B32" s="1995">
        <v>13824.998164000001</v>
      </c>
      <c r="C32" s="73">
        <v>32184459.19833</v>
      </c>
      <c r="D32" s="1675">
        <v>57909.097000000002</v>
      </c>
      <c r="E32" s="163">
        <v>108258508.168</v>
      </c>
      <c r="G32" s="961"/>
      <c r="H32" s="961"/>
      <c r="I32" s="30"/>
      <c r="J32" s="30"/>
      <c r="K32" s="30"/>
      <c r="L32" s="30"/>
      <c r="M32" s="30"/>
      <c r="N32" s="30"/>
      <c r="O32" s="30"/>
      <c r="P32" s="30"/>
      <c r="Q32" s="30"/>
      <c r="R32" s="30"/>
      <c r="S32" s="30"/>
      <c r="T32" s="30"/>
      <c r="U32" s="30"/>
      <c r="V32" s="30"/>
      <c r="W32" s="30"/>
      <c r="X32" s="30"/>
      <c r="Y32" s="30"/>
      <c r="Z32" s="30"/>
      <c r="AA32" s="30"/>
      <c r="AB32" s="30"/>
    </row>
    <row r="33" spans="1:28">
      <c r="A33" s="60">
        <v>2017</v>
      </c>
      <c r="B33" s="1995">
        <v>13663.7</v>
      </c>
      <c r="C33" s="73">
        <v>32196600</v>
      </c>
      <c r="D33" s="1675">
        <v>58620.764000000003</v>
      </c>
      <c r="E33" s="163">
        <v>104547078</v>
      </c>
      <c r="G33" s="961"/>
      <c r="H33" s="961"/>
      <c r="I33" s="30"/>
      <c r="J33" s="30"/>
      <c r="K33" s="30"/>
      <c r="L33" s="30"/>
      <c r="M33" s="30"/>
      <c r="N33" s="30"/>
      <c r="O33" s="30"/>
      <c r="P33" s="30"/>
      <c r="Q33" s="30"/>
      <c r="R33" s="30"/>
      <c r="S33" s="30"/>
      <c r="T33" s="30"/>
      <c r="U33" s="30"/>
      <c r="V33" s="30"/>
      <c r="W33" s="30"/>
      <c r="X33" s="30"/>
      <c r="Y33" s="30"/>
      <c r="Z33" s="30"/>
      <c r="AA33" s="30"/>
      <c r="AB33" s="30"/>
    </row>
    <row r="34" spans="1:28">
      <c r="A34" s="60">
        <v>2018</v>
      </c>
      <c r="B34" s="1995">
        <v>13564</v>
      </c>
      <c r="C34" s="73">
        <v>28131700</v>
      </c>
      <c r="D34" s="1675">
        <v>61559.385337</v>
      </c>
      <c r="E34" s="163">
        <v>97229072</v>
      </c>
      <c r="G34" s="961"/>
      <c r="H34" s="961"/>
      <c r="I34" s="30"/>
      <c r="J34" s="30"/>
      <c r="K34" s="30"/>
      <c r="L34" s="30"/>
      <c r="M34" s="30"/>
      <c r="N34" s="30"/>
      <c r="O34" s="30"/>
      <c r="P34" s="30"/>
      <c r="Q34" s="30"/>
      <c r="R34" s="30"/>
      <c r="S34" s="30"/>
      <c r="T34" s="30"/>
      <c r="U34" s="30"/>
      <c r="V34" s="30"/>
      <c r="W34" s="30"/>
      <c r="X34" s="30"/>
      <c r="Y34" s="30"/>
      <c r="Z34" s="30"/>
      <c r="AA34" s="30"/>
      <c r="AB34" s="30"/>
    </row>
    <row r="35" spans="1:28">
      <c r="A35" s="60">
        <v>2019</v>
      </c>
      <c r="B35" s="1995">
        <v>14271.196642700001</v>
      </c>
      <c r="C35" s="73">
        <v>34730399.409170002</v>
      </c>
      <c r="D35" s="1675">
        <v>65115</v>
      </c>
      <c r="E35" s="163">
        <v>127508496</v>
      </c>
      <c r="G35" s="30"/>
      <c r="H35" s="30"/>
      <c r="I35" s="30"/>
      <c r="J35" s="30"/>
      <c r="K35" s="30"/>
      <c r="L35" s="30"/>
      <c r="M35" s="30"/>
      <c r="N35" s="30"/>
      <c r="O35" s="30"/>
      <c r="P35" s="30"/>
      <c r="Q35" s="30"/>
      <c r="R35" s="30"/>
      <c r="S35" s="30"/>
      <c r="T35" s="30"/>
      <c r="U35" s="30"/>
      <c r="V35" s="30"/>
      <c r="W35" s="30"/>
      <c r="X35" s="30"/>
      <c r="Y35" s="30"/>
      <c r="Z35" s="30"/>
      <c r="AA35" s="30"/>
      <c r="AB35" s="30"/>
    </row>
    <row r="36" spans="1:28">
      <c r="A36" s="60">
        <v>2020</v>
      </c>
      <c r="B36" s="1995">
        <v>11239.026</v>
      </c>
      <c r="C36" s="73">
        <v>27045352.189070001</v>
      </c>
      <c r="D36" s="1675">
        <v>54883.822</v>
      </c>
      <c r="E36" s="163">
        <v>116664853</v>
      </c>
      <c r="G36" s="30"/>
      <c r="H36" s="30"/>
      <c r="I36" s="30"/>
      <c r="J36" s="30"/>
      <c r="K36" s="30"/>
      <c r="L36" s="30"/>
      <c r="M36" s="30"/>
      <c r="N36" s="30"/>
      <c r="O36" s="30"/>
      <c r="P36" s="30"/>
      <c r="Q36" s="30"/>
      <c r="R36" s="30"/>
      <c r="S36" s="30"/>
      <c r="T36" s="30"/>
      <c r="U36" s="30"/>
      <c r="V36" s="30"/>
      <c r="W36" s="30"/>
      <c r="X36" s="30"/>
      <c r="Y36" s="30"/>
      <c r="Z36" s="30"/>
      <c r="AA36" s="30"/>
      <c r="AB36" s="30"/>
    </row>
    <row r="37" spans="1:28">
      <c r="A37" s="60">
        <f>A36+1</f>
        <v>2021</v>
      </c>
      <c r="B37" s="1995">
        <v>17920.400000000001</v>
      </c>
      <c r="C37" s="73">
        <v>31549292.80971</v>
      </c>
      <c r="D37" s="2748">
        <v>77934</v>
      </c>
      <c r="E37" s="844">
        <v>128532890.169</v>
      </c>
      <c r="G37" s="30"/>
      <c r="H37" s="30"/>
      <c r="I37" s="30"/>
      <c r="J37" s="30"/>
      <c r="K37" s="30"/>
      <c r="L37" s="30"/>
      <c r="M37" s="30"/>
      <c r="N37" s="30"/>
      <c r="O37" s="30"/>
      <c r="P37" s="30"/>
      <c r="Q37" s="30"/>
      <c r="R37" s="30"/>
      <c r="S37" s="30"/>
      <c r="T37" s="30"/>
      <c r="U37" s="30"/>
      <c r="V37" s="30"/>
      <c r="W37" s="30"/>
      <c r="X37" s="30"/>
      <c r="Y37" s="30"/>
      <c r="Z37" s="30"/>
      <c r="AA37" s="30"/>
      <c r="AB37" s="30"/>
    </row>
    <row r="38" spans="1:28">
      <c r="A38" s="60">
        <f t="shared" ref="A38:A46" si="0">A37+1</f>
        <v>2022</v>
      </c>
      <c r="B38" s="1995">
        <v>19158.920321230002</v>
      </c>
      <c r="C38" s="73">
        <v>28860242.428309999</v>
      </c>
      <c r="D38" s="1675">
        <v>88446</v>
      </c>
      <c r="E38" s="163">
        <v>125515437.7269</v>
      </c>
      <c r="G38" s="30"/>
      <c r="H38" s="30"/>
      <c r="I38" s="30"/>
      <c r="J38" s="30"/>
      <c r="K38" s="30"/>
      <c r="L38" s="30"/>
      <c r="M38" s="30"/>
      <c r="N38" s="30"/>
      <c r="O38" s="30"/>
      <c r="P38" s="30"/>
      <c r="Q38" s="30"/>
      <c r="R38" s="30"/>
      <c r="S38" s="30"/>
      <c r="T38" s="30"/>
      <c r="U38" s="30"/>
      <c r="V38" s="30"/>
      <c r="W38" s="30"/>
      <c r="X38" s="30"/>
      <c r="Y38" s="30"/>
      <c r="Z38" s="30"/>
      <c r="AA38" s="30"/>
      <c r="AB38" s="30"/>
    </row>
    <row r="39" spans="1:28">
      <c r="A39" s="60">
        <f t="shared" si="0"/>
        <v>2023</v>
      </c>
      <c r="B39" s="1591">
        <v>11592.944909</v>
      </c>
      <c r="C39" s="73">
        <v>17423859.305</v>
      </c>
      <c r="D39" s="1595">
        <v>66788.514999999999</v>
      </c>
      <c r="E39" s="163">
        <v>86445605.409999996</v>
      </c>
      <c r="G39" s="30"/>
      <c r="H39" s="30"/>
      <c r="I39" s="30"/>
      <c r="J39" s="30"/>
      <c r="K39" s="30"/>
      <c r="L39" s="30"/>
      <c r="M39" s="30"/>
      <c r="N39" s="30"/>
      <c r="O39" s="30"/>
      <c r="P39" s="30"/>
      <c r="Q39" s="30"/>
      <c r="R39" s="30"/>
      <c r="S39" s="30"/>
      <c r="T39" s="30"/>
      <c r="U39" s="30"/>
      <c r="V39" s="30"/>
      <c r="W39" s="30"/>
      <c r="X39" s="30"/>
      <c r="Y39" s="30"/>
      <c r="Z39" s="30"/>
      <c r="AA39" s="30"/>
      <c r="AB39" s="30"/>
    </row>
    <row r="40" spans="1:28">
      <c r="A40" s="60">
        <f t="shared" si="0"/>
        <v>2024</v>
      </c>
      <c r="B40" s="1995" t="e">
        <v>#N/A</v>
      </c>
      <c r="C40" s="73" t="e">
        <v>#N/A</v>
      </c>
      <c r="D40" s="1675" t="e">
        <v>#N/A</v>
      </c>
      <c r="E40" s="163" t="e">
        <v>#N/A</v>
      </c>
      <c r="G40" s="30"/>
      <c r="H40" s="30"/>
      <c r="I40" s="30"/>
      <c r="J40" s="30"/>
      <c r="K40" s="30"/>
      <c r="L40" s="30"/>
      <c r="M40" s="30"/>
      <c r="N40" s="30"/>
      <c r="O40" s="30"/>
      <c r="P40" s="30"/>
      <c r="Q40" s="30"/>
      <c r="R40" s="30"/>
      <c r="S40" s="30"/>
      <c r="T40" s="30"/>
      <c r="U40" s="30"/>
      <c r="V40" s="30"/>
      <c r="W40" s="30"/>
      <c r="X40" s="30"/>
      <c r="Y40" s="30"/>
      <c r="Z40" s="30"/>
      <c r="AA40" s="30"/>
      <c r="AB40" s="30"/>
    </row>
    <row r="41" spans="1:28">
      <c r="A41" s="60">
        <f>A40+1</f>
        <v>2025</v>
      </c>
      <c r="B41" s="1995" t="e">
        <v>#N/A</v>
      </c>
      <c r="C41" s="73" t="e">
        <v>#N/A</v>
      </c>
      <c r="D41" s="1675" t="e">
        <v>#N/A</v>
      </c>
      <c r="E41" s="163" t="e">
        <v>#N/A</v>
      </c>
      <c r="G41" s="30"/>
      <c r="H41" s="30"/>
      <c r="I41" s="30"/>
      <c r="J41" s="30"/>
      <c r="K41" s="30"/>
      <c r="L41" s="30"/>
      <c r="M41" s="30"/>
      <c r="N41" s="30"/>
      <c r="O41" s="30"/>
      <c r="P41" s="30"/>
      <c r="Q41" s="30"/>
      <c r="R41" s="30"/>
      <c r="S41" s="30"/>
      <c r="T41" s="30"/>
      <c r="U41" s="30"/>
      <c r="V41" s="30"/>
      <c r="W41" s="30"/>
      <c r="X41" s="30"/>
      <c r="Y41" s="30"/>
      <c r="Z41" s="30"/>
      <c r="AA41" s="30"/>
      <c r="AB41" s="30"/>
    </row>
    <row r="42" spans="1:28">
      <c r="A42" s="60">
        <f t="shared" si="0"/>
        <v>2026</v>
      </c>
      <c r="B42" s="1995" t="e">
        <v>#N/A</v>
      </c>
      <c r="C42" s="73" t="e">
        <v>#N/A</v>
      </c>
      <c r="D42" s="1675" t="e">
        <v>#N/A</v>
      </c>
      <c r="E42" s="163" t="e">
        <v>#N/A</v>
      </c>
    </row>
    <row r="43" spans="1:28">
      <c r="A43" s="60">
        <f t="shared" si="0"/>
        <v>2027</v>
      </c>
      <c r="B43" s="1995" t="e">
        <v>#N/A</v>
      </c>
      <c r="C43" s="73" t="e">
        <v>#N/A</v>
      </c>
      <c r="D43" s="1675" t="e">
        <v>#N/A</v>
      </c>
      <c r="E43" s="163" t="e">
        <v>#N/A</v>
      </c>
    </row>
    <row r="44" spans="1:28">
      <c r="A44" s="60">
        <f t="shared" si="0"/>
        <v>2028</v>
      </c>
      <c r="B44" s="1995" t="e">
        <v>#N/A</v>
      </c>
      <c r="C44" s="73" t="e">
        <v>#N/A</v>
      </c>
      <c r="D44" s="1675" t="e">
        <v>#N/A</v>
      </c>
      <c r="E44" s="163" t="e">
        <v>#N/A</v>
      </c>
    </row>
    <row r="45" spans="1:28">
      <c r="A45" s="60">
        <f t="shared" si="0"/>
        <v>2029</v>
      </c>
      <c r="B45" s="1995" t="e">
        <v>#N/A</v>
      </c>
      <c r="C45" s="73" t="e">
        <v>#N/A</v>
      </c>
      <c r="D45" s="1675" t="e">
        <v>#N/A</v>
      </c>
      <c r="E45" s="163" t="e">
        <v>#N/A</v>
      </c>
    </row>
    <row r="46" spans="1:28">
      <c r="A46" s="60">
        <f t="shared" si="0"/>
        <v>2030</v>
      </c>
      <c r="B46" s="1995" t="e">
        <v>#N/A</v>
      </c>
      <c r="C46" s="73" t="e">
        <v>#N/A</v>
      </c>
      <c r="D46" s="1675" t="e">
        <v>#N/A</v>
      </c>
      <c r="E46" s="163" t="e">
        <v>#N/A</v>
      </c>
    </row>
    <row r="47" spans="1:28">
      <c r="A47" s="60"/>
    </row>
  </sheetData>
  <phoneticPr fontId="58" type="noConversion"/>
  <hyperlinks>
    <hyperlink ref="A5" location="INDICE!A13" display="VOLVER AL INDICE" xr:uid="{00000000-0004-0000-2C00-000000000000}"/>
  </hyperlinks>
  <pageMargins left="0.75" right="0.75" top="1" bottom="1" header="0" footer="0"/>
  <pageSetup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0"/>
  <dimension ref="A1:I489"/>
  <sheetViews>
    <sheetView zoomScale="115" zoomScaleNormal="115" workbookViewId="0">
      <pane xSplit="1" ySplit="9" topLeftCell="B403" activePane="bottomRight" state="frozen"/>
      <selection sqref="A1:A5"/>
      <selection pane="topRight" sqref="A1:A5"/>
      <selection pane="bottomLeft" sqref="A1:A5"/>
      <selection pane="bottomRight" activeCell="A5" sqref="A5"/>
    </sheetView>
  </sheetViews>
  <sheetFormatPr baseColWidth="10" defaultColWidth="12.5703125" defaultRowHeight="12.75"/>
  <cols>
    <col min="1" max="1" width="11" style="222" customWidth="1"/>
    <col min="2" max="2" width="27.7109375" style="222" customWidth="1"/>
    <col min="3" max="6" width="18.7109375" style="222" customWidth="1"/>
    <col min="7" max="7" width="4.7109375" style="16" customWidth="1"/>
    <col min="8" max="16384" width="12.5703125" style="16"/>
  </cols>
  <sheetData>
    <row r="1" spans="1:8" s="14" customFormat="1" ht="3.75" customHeight="1">
      <c r="A1" s="37"/>
      <c r="B1" s="226"/>
      <c r="C1" s="622"/>
      <c r="D1" s="215"/>
      <c r="E1" s="215"/>
      <c r="F1" s="220"/>
      <c r="G1" s="335"/>
    </row>
    <row r="2" spans="1:8" s="14" customFormat="1" ht="22.5">
      <c r="A2" s="121" t="s">
        <v>212</v>
      </c>
      <c r="B2" s="237" t="s">
        <v>356</v>
      </c>
      <c r="C2" s="234" t="s">
        <v>927</v>
      </c>
      <c r="D2" s="338"/>
      <c r="E2" s="338"/>
      <c r="F2" s="400"/>
      <c r="G2" s="335"/>
    </row>
    <row r="3" spans="1:8" s="14" customFormat="1" ht="22.5">
      <c r="A3" s="121" t="s">
        <v>211</v>
      </c>
      <c r="B3" s="239" t="s">
        <v>250</v>
      </c>
      <c r="C3" s="218" t="s">
        <v>250</v>
      </c>
      <c r="D3" s="324"/>
      <c r="E3" s="324"/>
      <c r="F3" s="401"/>
      <c r="G3" s="335"/>
    </row>
    <row r="4" spans="1:8" s="14" customFormat="1" ht="2.25" customHeight="1">
      <c r="A4" s="224"/>
      <c r="B4" s="248"/>
      <c r="C4" s="623" t="s">
        <v>74</v>
      </c>
      <c r="D4" s="626"/>
      <c r="E4" s="626"/>
      <c r="F4" s="629"/>
      <c r="G4" s="335"/>
    </row>
    <row r="5" spans="1:8" s="14" customFormat="1" ht="45">
      <c r="A5" s="45" t="s">
        <v>213</v>
      </c>
      <c r="B5" s="223" t="s">
        <v>940</v>
      </c>
      <c r="C5" s="672" t="s">
        <v>941</v>
      </c>
      <c r="D5" s="2012" t="s">
        <v>942</v>
      </c>
      <c r="E5" s="2012" t="s">
        <v>943</v>
      </c>
      <c r="F5" s="2017" t="s">
        <v>944</v>
      </c>
      <c r="G5" s="335"/>
      <c r="H5" s="673"/>
    </row>
    <row r="6" spans="1:8" s="14" customFormat="1" ht="4.5" customHeight="1">
      <c r="A6" s="225"/>
      <c r="B6" s="351"/>
      <c r="C6" s="624"/>
      <c r="D6" s="2007"/>
      <c r="E6" s="2007"/>
      <c r="F6" s="630"/>
      <c r="G6" s="335"/>
    </row>
    <row r="7" spans="1:8" s="14" customFormat="1" ht="22.5">
      <c r="A7" s="47" t="s">
        <v>210</v>
      </c>
      <c r="B7" s="223" t="s">
        <v>926</v>
      </c>
      <c r="C7" s="340" t="s">
        <v>926</v>
      </c>
      <c r="D7" s="2013" t="s">
        <v>926</v>
      </c>
      <c r="E7" s="2013" t="s">
        <v>926</v>
      </c>
      <c r="F7" s="340" t="s">
        <v>926</v>
      </c>
      <c r="G7" s="335"/>
    </row>
    <row r="8" spans="1:8" s="14" customFormat="1" ht="12.75" customHeight="1">
      <c r="A8" s="225" t="s">
        <v>412</v>
      </c>
      <c r="B8" s="397" t="s">
        <v>748</v>
      </c>
      <c r="C8" s="397" t="s">
        <v>906</v>
      </c>
      <c r="D8" s="1290" t="s">
        <v>907</v>
      </c>
      <c r="E8" s="1290" t="s">
        <v>908</v>
      </c>
      <c r="F8" s="397" t="s">
        <v>909</v>
      </c>
      <c r="G8" s="335"/>
    </row>
    <row r="9" spans="1:8" s="15" customFormat="1" ht="13.5" thickBot="1">
      <c r="A9" s="194"/>
      <c r="B9" s="352"/>
      <c r="C9" s="247"/>
      <c r="D9" s="2014"/>
      <c r="E9" s="2014"/>
      <c r="F9" s="2018"/>
      <c r="G9" s="336"/>
    </row>
    <row r="10" spans="1:8" s="15" customFormat="1">
      <c r="A10" s="219">
        <v>1991.01</v>
      </c>
      <c r="B10" s="653">
        <v>106.46006076671858</v>
      </c>
      <c r="C10" s="656">
        <v>131.70241759721873</v>
      </c>
      <c r="D10" s="2015">
        <v>85.812322164889167</v>
      </c>
      <c r="E10" s="2015">
        <v>64.711754823775109</v>
      </c>
      <c r="F10" s="654">
        <v>115.02370293782712</v>
      </c>
      <c r="G10" s="336"/>
    </row>
    <row r="11" spans="1:8" s="15" customFormat="1">
      <c r="A11" s="219">
        <v>1991.02</v>
      </c>
      <c r="B11" s="653">
        <v>123.99909591302099</v>
      </c>
      <c r="C11" s="657">
        <v>149.16617757771519</v>
      </c>
      <c r="D11" s="2008">
        <v>97.809627809888156</v>
      </c>
      <c r="E11" s="2008">
        <v>77.217418633665886</v>
      </c>
      <c r="F11" s="654">
        <v>134.37046335441045</v>
      </c>
      <c r="G11" s="336"/>
    </row>
    <row r="12" spans="1:8" s="15" customFormat="1">
      <c r="A12" s="219">
        <v>1991.03</v>
      </c>
      <c r="B12" s="653">
        <v>109.54679279807536</v>
      </c>
      <c r="C12" s="657">
        <v>146.90738013515733</v>
      </c>
      <c r="D12" s="2008">
        <v>89.060285491232733</v>
      </c>
      <c r="E12" s="2008">
        <v>70.970658506033502</v>
      </c>
      <c r="F12" s="654">
        <v>112.86793776045258</v>
      </c>
      <c r="G12" s="336"/>
    </row>
    <row r="13" spans="1:8" s="15" customFormat="1">
      <c r="A13" s="219">
        <v>1991.04</v>
      </c>
      <c r="B13" s="653">
        <v>105.86759283734837</v>
      </c>
      <c r="C13" s="657">
        <v>145.82767775024541</v>
      </c>
      <c r="D13" s="2008">
        <v>87.390468066136549</v>
      </c>
      <c r="E13" s="2008">
        <v>68.183410538647351</v>
      </c>
      <c r="F13" s="654">
        <v>104.90597522513363</v>
      </c>
      <c r="G13" s="336"/>
    </row>
    <row r="14" spans="1:8" s="15" customFormat="1">
      <c r="A14" s="219">
        <v>1991.05</v>
      </c>
      <c r="B14" s="653">
        <v>103.00385801005974</v>
      </c>
      <c r="C14" s="657">
        <v>132.04603147782129</v>
      </c>
      <c r="D14" s="2008">
        <v>85.867482858190044</v>
      </c>
      <c r="E14" s="2008">
        <v>66.271300627943674</v>
      </c>
      <c r="F14" s="654">
        <v>102.35034669468001</v>
      </c>
      <c r="G14" s="336"/>
    </row>
    <row r="15" spans="1:8" s="15" customFormat="1">
      <c r="A15" s="219">
        <v>1991.06</v>
      </c>
      <c r="B15" s="653">
        <v>98.547289504139798</v>
      </c>
      <c r="C15" s="657">
        <v>129.96860334078903</v>
      </c>
      <c r="D15" s="2008">
        <v>84.104990994689558</v>
      </c>
      <c r="E15" s="2008">
        <v>65.67578915029685</v>
      </c>
      <c r="F15" s="654">
        <v>96.528663794820659</v>
      </c>
      <c r="G15" s="336"/>
    </row>
    <row r="16" spans="1:8" s="15" customFormat="1">
      <c r="A16" s="219">
        <v>1991.07</v>
      </c>
      <c r="B16" s="653">
        <v>96.576347336667624</v>
      </c>
      <c r="C16" s="657">
        <v>135.56320093688447</v>
      </c>
      <c r="D16" s="2008">
        <v>82.101429577802705</v>
      </c>
      <c r="E16" s="2008">
        <v>63.24706348940947</v>
      </c>
      <c r="F16" s="654">
        <v>94.500713641083664</v>
      </c>
      <c r="G16" s="336"/>
    </row>
    <row r="17" spans="1:7" s="15" customFormat="1">
      <c r="A17" s="219">
        <v>1991.08</v>
      </c>
      <c r="B17" s="653">
        <v>97.127338735040283</v>
      </c>
      <c r="C17" s="657">
        <v>136.85971384928757</v>
      </c>
      <c r="D17" s="2008">
        <v>81.366958205013148</v>
      </c>
      <c r="E17" s="2008">
        <v>62.400023759622314</v>
      </c>
      <c r="F17" s="654">
        <v>95.567187772242193</v>
      </c>
      <c r="G17" s="336"/>
    </row>
    <row r="18" spans="1:7" s="15" customFormat="1">
      <c r="A18" s="219">
        <v>1991.09</v>
      </c>
      <c r="B18" s="653">
        <v>97.08546491166166</v>
      </c>
      <c r="C18" s="657">
        <v>131.56769127595112</v>
      </c>
      <c r="D18" s="2008">
        <v>80.063440623180597</v>
      </c>
      <c r="E18" s="2008">
        <v>62.025043896817714</v>
      </c>
      <c r="F18" s="654">
        <v>96.377855634490658</v>
      </c>
      <c r="G18" s="336"/>
    </row>
    <row r="19" spans="1:7" s="15" customFormat="1">
      <c r="A19" s="219">
        <v>1991.1</v>
      </c>
      <c r="B19" s="653">
        <v>94.011280232219605</v>
      </c>
      <c r="C19" s="657">
        <v>117.84945228922673</v>
      </c>
      <c r="D19" s="2008">
        <v>79.111508423415117</v>
      </c>
      <c r="E19" s="2008">
        <v>60.529176541711834</v>
      </c>
      <c r="F19" s="654">
        <v>95.66140955361891</v>
      </c>
      <c r="G19" s="336"/>
    </row>
    <row r="20" spans="1:7" s="15" customFormat="1">
      <c r="A20" s="219">
        <v>1991.11</v>
      </c>
      <c r="B20" s="653">
        <v>95.409382573201469</v>
      </c>
      <c r="C20" s="657">
        <v>114.64480534700662</v>
      </c>
      <c r="D20" s="2008">
        <v>79.034439502640495</v>
      </c>
      <c r="E20" s="2008">
        <v>59.011125730724906</v>
      </c>
      <c r="F20" s="654">
        <v>99.467113994392037</v>
      </c>
      <c r="G20" s="336"/>
    </row>
    <row r="21" spans="1:7" s="15" customFormat="1">
      <c r="A21" s="219">
        <v>1991.12</v>
      </c>
      <c r="B21" s="653">
        <v>95.510582151427414</v>
      </c>
      <c r="C21" s="657">
        <v>108.20456465628332</v>
      </c>
      <c r="D21" s="2008">
        <v>78.581613442919291</v>
      </c>
      <c r="E21" s="2008">
        <v>57.962044235337629</v>
      </c>
      <c r="F21" s="654">
        <v>102.24399499513392</v>
      </c>
      <c r="G21" s="336"/>
    </row>
    <row r="22" spans="1:7" s="15" customFormat="1">
      <c r="A22" s="219">
        <v>1992.01</v>
      </c>
      <c r="B22" s="653">
        <v>92.947352335501179</v>
      </c>
      <c r="C22" s="657">
        <v>104.92038849202896</v>
      </c>
      <c r="D22" s="2008">
        <v>76.371858161645321</v>
      </c>
      <c r="E22" s="2008">
        <v>56.384382575211724</v>
      </c>
      <c r="F22" s="654">
        <v>98.965003544644546</v>
      </c>
      <c r="G22" s="336"/>
    </row>
    <row r="23" spans="1:7" s="15" customFormat="1">
      <c r="A23" s="219">
        <v>1992.02</v>
      </c>
      <c r="B23" s="653">
        <v>90.459676921773635</v>
      </c>
      <c r="C23" s="657">
        <v>103.99011707390737</v>
      </c>
      <c r="D23" s="2008">
        <v>75.032110070294124</v>
      </c>
      <c r="E23" s="2008">
        <v>57.847636076586745</v>
      </c>
      <c r="F23" s="654">
        <v>95.037582637883958</v>
      </c>
      <c r="G23" s="336"/>
    </row>
    <row r="24" spans="1:7" s="15" customFormat="1">
      <c r="A24" s="219">
        <v>1992.03</v>
      </c>
      <c r="B24" s="653">
        <v>87.315298253456859</v>
      </c>
      <c r="C24" s="657">
        <v>99.682417658420576</v>
      </c>
      <c r="D24" s="2008">
        <v>73.934810074340504</v>
      </c>
      <c r="E24" s="2008">
        <v>57.396702112120941</v>
      </c>
      <c r="F24" s="654">
        <v>91.158140394788006</v>
      </c>
      <c r="G24" s="336"/>
    </row>
    <row r="25" spans="1:7" s="15" customFormat="1">
      <c r="A25" s="219">
        <v>1992.04</v>
      </c>
      <c r="B25" s="653">
        <v>86.750138346119883</v>
      </c>
      <c r="C25" s="657">
        <v>98.799205866422597</v>
      </c>
      <c r="D25" s="2008">
        <v>73.02668626274189</v>
      </c>
      <c r="E25" s="2008">
        <v>55.589838737702109</v>
      </c>
      <c r="F25" s="654">
        <v>90.927263240056348</v>
      </c>
      <c r="G25" s="336"/>
    </row>
    <row r="26" spans="1:7" s="15" customFormat="1">
      <c r="A26" s="219">
        <v>1992.05</v>
      </c>
      <c r="B26" s="653">
        <v>87.942939835192306</v>
      </c>
      <c r="C26" s="657">
        <v>102.2301537249146</v>
      </c>
      <c r="D26" s="2008">
        <v>72.642468695000645</v>
      </c>
      <c r="E26" s="2008">
        <v>56.119039784331861</v>
      </c>
      <c r="F26" s="654">
        <v>92.278941128561044</v>
      </c>
      <c r="G26" s="336"/>
    </row>
    <row r="27" spans="1:7" s="15" customFormat="1">
      <c r="A27" s="219">
        <v>1992.06</v>
      </c>
      <c r="B27" s="653">
        <v>88.921813277804318</v>
      </c>
      <c r="C27" s="657">
        <v>101.39740943094468</v>
      </c>
      <c r="D27" s="2008">
        <v>72.335287234913736</v>
      </c>
      <c r="E27" s="2008">
        <v>55.937140876690293</v>
      </c>
      <c r="F27" s="654">
        <v>94.496135283885366</v>
      </c>
      <c r="G27" s="336"/>
    </row>
    <row r="28" spans="1:7" s="15" customFormat="1">
      <c r="A28" s="219">
        <v>1992.07</v>
      </c>
      <c r="B28" s="653">
        <v>89.690158919503773</v>
      </c>
      <c r="C28" s="657">
        <v>100.05759158039763</v>
      </c>
      <c r="D28" s="2008">
        <v>71.258201293664996</v>
      </c>
      <c r="E28" s="2008">
        <v>54.973948637694981</v>
      </c>
      <c r="F28" s="654">
        <v>97.879698756588738</v>
      </c>
      <c r="G28" s="336"/>
    </row>
    <row r="29" spans="1:7" s="15" customFormat="1">
      <c r="A29" s="219">
        <v>1992.08</v>
      </c>
      <c r="B29" s="653">
        <v>89.474952891827286</v>
      </c>
      <c r="C29" s="657">
        <v>98.406951679638766</v>
      </c>
      <c r="D29" s="2008">
        <v>70.40729461999797</v>
      </c>
      <c r="E29" s="2008">
        <v>54.338948063600263</v>
      </c>
      <c r="F29" s="654">
        <v>98.978662882689491</v>
      </c>
      <c r="G29" s="336"/>
    </row>
    <row r="30" spans="1:7" s="15" customFormat="1">
      <c r="A30" s="219">
        <v>1992.09</v>
      </c>
      <c r="B30" s="653">
        <v>88.401159610443798</v>
      </c>
      <c r="C30" s="657">
        <v>98.308648421402609</v>
      </c>
      <c r="D30" s="2008">
        <v>69.884690504253726</v>
      </c>
      <c r="E30" s="2008">
        <v>54.408229068290588</v>
      </c>
      <c r="F30" s="654">
        <v>96.975236270810257</v>
      </c>
      <c r="G30" s="336"/>
    </row>
    <row r="31" spans="1:7" s="15" customFormat="1">
      <c r="A31" s="219">
        <v>1992.1</v>
      </c>
      <c r="B31" s="653">
        <v>85.448844082148653</v>
      </c>
      <c r="C31" s="657">
        <v>97.260665740129383</v>
      </c>
      <c r="D31" s="2008">
        <v>69.255276948739976</v>
      </c>
      <c r="E31" s="2008">
        <v>53.692441993676084</v>
      </c>
      <c r="F31" s="654">
        <v>92.132759139784568</v>
      </c>
      <c r="G31" s="336"/>
    </row>
    <row r="32" spans="1:7" s="15" customFormat="1">
      <c r="A32" s="219">
        <v>1992.11</v>
      </c>
      <c r="B32" s="653">
        <v>81.934165654480921</v>
      </c>
      <c r="C32" s="657">
        <v>94.605213067644527</v>
      </c>
      <c r="D32" s="2008">
        <v>69.034786989737555</v>
      </c>
      <c r="E32" s="2008">
        <v>51.905943585801197</v>
      </c>
      <c r="F32" s="654">
        <v>86.214033369124252</v>
      </c>
      <c r="G32" s="336"/>
    </row>
    <row r="33" spans="1:7" s="15" customFormat="1">
      <c r="A33" s="219">
        <v>1992.12</v>
      </c>
      <c r="B33" s="653">
        <v>81.947764974333197</v>
      </c>
      <c r="C33" s="657">
        <v>95.795075488077828</v>
      </c>
      <c r="D33" s="2008">
        <v>68.791022520266409</v>
      </c>
      <c r="E33" s="2008">
        <v>49.855574704666296</v>
      </c>
      <c r="F33" s="654">
        <v>85.786710189229055</v>
      </c>
      <c r="G33" s="336"/>
    </row>
    <row r="34" spans="1:7" s="15" customFormat="1">
      <c r="A34" s="219">
        <v>1993.01</v>
      </c>
      <c r="B34" s="653">
        <v>81.450239084730768</v>
      </c>
      <c r="C34" s="657">
        <v>99.110613046003294</v>
      </c>
      <c r="D34" s="2008">
        <v>69.113118125741025</v>
      </c>
      <c r="E34" s="2008">
        <v>50.695551628462958</v>
      </c>
      <c r="F34" s="654">
        <v>84.125018741870619</v>
      </c>
      <c r="G34" s="336"/>
    </row>
    <row r="35" spans="1:7" s="15" customFormat="1">
      <c r="A35" s="219">
        <v>1993.02</v>
      </c>
      <c r="B35" s="653">
        <v>80.002767294916879</v>
      </c>
      <c r="C35" s="657">
        <v>96.721634686208503</v>
      </c>
      <c r="D35" s="2008">
        <v>68.852520819016149</v>
      </c>
      <c r="E35" s="2008">
        <v>53.768946840168049</v>
      </c>
      <c r="F35" s="654">
        <v>82.134824943406002</v>
      </c>
      <c r="G35" s="336"/>
    </row>
    <row r="36" spans="1:7" s="15" customFormat="1">
      <c r="A36" s="219">
        <v>1993.03</v>
      </c>
      <c r="B36" s="653">
        <v>79.96015203446342</v>
      </c>
      <c r="C36" s="657">
        <v>97.110316407925609</v>
      </c>
      <c r="D36" s="2008">
        <v>68.577490861795511</v>
      </c>
      <c r="E36" s="2008">
        <v>54.62073958057686</v>
      </c>
      <c r="F36" s="654">
        <v>81.175146410816041</v>
      </c>
      <c r="G36" s="336"/>
    </row>
    <row r="37" spans="1:7" s="15" customFormat="1">
      <c r="A37" s="219">
        <v>1993.04</v>
      </c>
      <c r="B37" s="653">
        <v>80.827985563558414</v>
      </c>
      <c r="C37" s="657">
        <v>96.068793189290759</v>
      </c>
      <c r="D37" s="2008">
        <v>68.057087174442671</v>
      </c>
      <c r="E37" s="2008">
        <v>54.307093126058419</v>
      </c>
      <c r="F37" s="654">
        <v>83.19151327427447</v>
      </c>
      <c r="G37" s="336"/>
    </row>
    <row r="38" spans="1:7" s="15" customFormat="1">
      <c r="A38" s="219">
        <v>1993.05</v>
      </c>
      <c r="B38" s="653">
        <v>79.824848029352879</v>
      </c>
      <c r="C38" s="657">
        <v>93.894670091193447</v>
      </c>
      <c r="D38" s="2008">
        <v>67.285948530183731</v>
      </c>
      <c r="E38" s="2008">
        <v>54.685649730029134</v>
      </c>
      <c r="F38" s="654">
        <v>82.114064773205357</v>
      </c>
      <c r="G38" s="336"/>
    </row>
    <row r="39" spans="1:7" s="15" customFormat="1">
      <c r="A39" s="219">
        <v>1993.06</v>
      </c>
      <c r="B39" s="653">
        <v>78.649465071737779</v>
      </c>
      <c r="C39" s="657">
        <v>93.385088850558077</v>
      </c>
      <c r="D39" s="2008">
        <v>66.898102044327956</v>
      </c>
      <c r="E39" s="2008">
        <v>54.605879936880058</v>
      </c>
      <c r="F39" s="654">
        <v>79.526306339023279</v>
      </c>
      <c r="G39" s="336"/>
    </row>
    <row r="40" spans="1:7" s="15" customFormat="1">
      <c r="A40" s="219">
        <v>1993.07</v>
      </c>
      <c r="B40" s="653">
        <v>77.296835769639173</v>
      </c>
      <c r="C40" s="657">
        <v>93.20598703541188</v>
      </c>
      <c r="D40" s="2008">
        <v>66.683555275208505</v>
      </c>
      <c r="E40" s="2008">
        <v>54.325109795336814</v>
      </c>
      <c r="F40" s="654">
        <v>76.02544052608522</v>
      </c>
      <c r="G40" s="336"/>
    </row>
    <row r="41" spans="1:7" s="15" customFormat="1">
      <c r="A41" s="219">
        <v>1993.08</v>
      </c>
      <c r="B41" s="653">
        <v>77.722885224756439</v>
      </c>
      <c r="C41" s="657">
        <v>94.075024015068294</v>
      </c>
      <c r="D41" s="2008">
        <v>66.857606757528487</v>
      </c>
      <c r="E41" s="2008">
        <v>55.015230651067867</v>
      </c>
      <c r="F41" s="654">
        <v>75.835750354664299</v>
      </c>
      <c r="G41" s="336"/>
    </row>
    <row r="42" spans="1:7" s="15" customFormat="1">
      <c r="A42" s="219">
        <v>1993.09</v>
      </c>
      <c r="B42" s="653">
        <v>78.555340518400953</v>
      </c>
      <c r="C42" s="657">
        <v>94.239681586419437</v>
      </c>
      <c r="D42" s="2008">
        <v>66.515014981249749</v>
      </c>
      <c r="E42" s="2008">
        <v>55.908660227543038</v>
      </c>
      <c r="F42" s="654">
        <v>78.571289501255279</v>
      </c>
      <c r="G42" s="336"/>
    </row>
    <row r="43" spans="1:7" s="15" customFormat="1">
      <c r="A43" s="219">
        <v>1993.1</v>
      </c>
      <c r="B43" s="653">
        <v>77.483503182727432</v>
      </c>
      <c r="C43" s="657">
        <v>92.257555522994579</v>
      </c>
      <c r="D43" s="2008">
        <v>66.348210382533566</v>
      </c>
      <c r="E43" s="2008">
        <v>55.534027140541028</v>
      </c>
      <c r="F43" s="654">
        <v>77.186478480366389</v>
      </c>
      <c r="G43" s="336"/>
    </row>
    <row r="44" spans="1:7" s="15" customFormat="1">
      <c r="A44" s="219">
        <v>1993.11</v>
      </c>
      <c r="B44" s="653">
        <v>76.507025832389957</v>
      </c>
      <c r="C44" s="657">
        <v>91.802655893976308</v>
      </c>
      <c r="D44" s="2008">
        <v>66.355815170668322</v>
      </c>
      <c r="E44" s="2008">
        <v>54.598571494911901</v>
      </c>
      <c r="F44" s="654">
        <v>74.689431690054192</v>
      </c>
      <c r="G44" s="336"/>
    </row>
    <row r="45" spans="1:7" s="15" customFormat="1">
      <c r="A45" s="219">
        <v>1993.12</v>
      </c>
      <c r="B45" s="653">
        <v>76.689984377104651</v>
      </c>
      <c r="C45" s="657">
        <v>92.527714489858923</v>
      </c>
      <c r="D45" s="2008">
        <v>66.364511514300233</v>
      </c>
      <c r="E45" s="2008">
        <v>54.507321171968719</v>
      </c>
      <c r="F45" s="654">
        <v>74.587222108735745</v>
      </c>
      <c r="G45" s="336"/>
    </row>
    <row r="46" spans="1:7" s="15" customFormat="1">
      <c r="A46" s="219">
        <v>1994.01</v>
      </c>
      <c r="B46" s="653">
        <v>75.541517478414036</v>
      </c>
      <c r="C46" s="657">
        <v>93.396423608020385</v>
      </c>
      <c r="D46" s="2008">
        <v>66.479668925363455</v>
      </c>
      <c r="E46" s="2008">
        <v>37.561848146271309</v>
      </c>
      <c r="F46" s="654">
        <v>73.695534734327552</v>
      </c>
      <c r="G46" s="336"/>
    </row>
    <row r="47" spans="1:7" s="15" customFormat="1">
      <c r="A47" s="219">
        <v>1994.02</v>
      </c>
      <c r="B47" s="653">
        <v>76.070039199987761</v>
      </c>
      <c r="C47" s="657">
        <v>92.966804453846095</v>
      </c>
      <c r="D47" s="2008">
        <v>66.70940319305555</v>
      </c>
      <c r="E47" s="2008">
        <v>40.907174028782514</v>
      </c>
      <c r="F47" s="654">
        <v>74.61438495348952</v>
      </c>
      <c r="G47" s="336"/>
    </row>
    <row r="48" spans="1:7" s="15" customFormat="1">
      <c r="A48" s="219">
        <v>1994.03</v>
      </c>
      <c r="B48" s="653">
        <v>77.123683344709761</v>
      </c>
      <c r="C48" s="657">
        <v>95.082677642735078</v>
      </c>
      <c r="D48" s="2008">
        <v>66.84358107464935</v>
      </c>
      <c r="E48" s="2008">
        <v>41.546590112110984</v>
      </c>
      <c r="F48" s="654">
        <v>76.254325877904776</v>
      </c>
      <c r="G48" s="336"/>
    </row>
    <row r="49" spans="1:7" s="15" customFormat="1">
      <c r="A49" s="219">
        <v>1994.04</v>
      </c>
      <c r="B49" s="653">
        <v>76.848915719202694</v>
      </c>
      <c r="C49" s="657">
        <v>93.690869109685607</v>
      </c>
      <c r="D49" s="2008">
        <v>66.771879517837732</v>
      </c>
      <c r="E49" s="2008">
        <v>41.851175279313615</v>
      </c>
      <c r="F49" s="654">
        <v>76.220350268285344</v>
      </c>
      <c r="G49" s="336"/>
    </row>
    <row r="50" spans="1:7" s="15" customFormat="1">
      <c r="A50" s="219">
        <v>1994.05</v>
      </c>
      <c r="B50" s="653">
        <v>77.623683910245546</v>
      </c>
      <c r="C50" s="657">
        <v>94.030249681681937</v>
      </c>
      <c r="D50" s="2008">
        <v>66.586371539496341</v>
      </c>
      <c r="E50" s="2008">
        <v>42.604172026147005</v>
      </c>
      <c r="F50" s="654">
        <v>77.842270376749426</v>
      </c>
      <c r="G50" s="336"/>
    </row>
    <row r="51" spans="1:7" s="15" customFormat="1">
      <c r="A51" s="219">
        <v>1994.06</v>
      </c>
      <c r="B51" s="653">
        <v>78.272918788431809</v>
      </c>
      <c r="C51" s="657">
        <v>95.597560116655444</v>
      </c>
      <c r="D51" s="2008">
        <v>66.554505483446135</v>
      </c>
      <c r="E51" s="2008">
        <v>43.192985859676071</v>
      </c>
      <c r="F51" s="654">
        <v>78.812795908709546</v>
      </c>
      <c r="G51" s="336"/>
    </row>
    <row r="52" spans="1:7" s="15" customFormat="1">
      <c r="A52" s="219">
        <v>1994.07</v>
      </c>
      <c r="B52" s="653">
        <v>78.25058225653693</v>
      </c>
      <c r="C52" s="657">
        <v>91.157996978097245</v>
      </c>
      <c r="D52" s="2008">
        <v>66.123908095225502</v>
      </c>
      <c r="E52" s="2008">
        <v>44.072339085263508</v>
      </c>
      <c r="F52" s="654">
        <v>80.989665920334204</v>
      </c>
      <c r="G52" s="336"/>
    </row>
    <row r="53" spans="1:7" s="15" customFormat="1">
      <c r="A53" s="219">
        <v>1994.08</v>
      </c>
      <c r="B53" s="653">
        <v>79.408928503117295</v>
      </c>
      <c r="C53" s="657">
        <v>95.579905480720413</v>
      </c>
      <c r="D53" s="2008">
        <v>66.254575153721532</v>
      </c>
      <c r="E53" s="2008">
        <v>44.913026928900443</v>
      </c>
      <c r="F53" s="654">
        <v>81.057960593770716</v>
      </c>
      <c r="G53" s="336"/>
    </row>
    <row r="54" spans="1:7" s="15" customFormat="1">
      <c r="A54" s="219">
        <v>1994.09</v>
      </c>
      <c r="B54" s="653">
        <v>80.404300349115175</v>
      </c>
      <c r="C54" s="657">
        <v>100.18902732420564</v>
      </c>
      <c r="D54" s="2008">
        <v>65.980871495951718</v>
      </c>
      <c r="E54" s="2008">
        <v>46.089171860102859</v>
      </c>
      <c r="F54" s="654">
        <v>81.440565744741534</v>
      </c>
      <c r="G54" s="336"/>
    </row>
    <row r="55" spans="1:7" s="15" customFormat="1">
      <c r="A55" s="219">
        <v>1994.1</v>
      </c>
      <c r="B55" s="653">
        <v>82.04726522136059</v>
      </c>
      <c r="C55" s="657">
        <v>104.78688165352588</v>
      </c>
      <c r="D55" s="2008">
        <v>65.814140280012708</v>
      </c>
      <c r="E55" s="2008">
        <v>46.849644596809341</v>
      </c>
      <c r="F55" s="654">
        <v>82.750813701987539</v>
      </c>
      <c r="G55" s="336"/>
    </row>
    <row r="56" spans="1:7" s="15" customFormat="1">
      <c r="A56" s="219">
        <v>1994.11</v>
      </c>
      <c r="B56" s="653">
        <v>82.081901728230363</v>
      </c>
      <c r="C56" s="657">
        <v>108.03250922213354</v>
      </c>
      <c r="D56" s="2008">
        <v>65.753499613795967</v>
      </c>
      <c r="E56" s="2008">
        <v>47.543711839019622</v>
      </c>
      <c r="F56" s="654">
        <v>81.490439633680083</v>
      </c>
      <c r="G56" s="336"/>
    </row>
    <row r="57" spans="1:7" s="15" customFormat="1">
      <c r="A57" s="219">
        <v>1994.12</v>
      </c>
      <c r="B57" s="653">
        <v>81.197585220616119</v>
      </c>
      <c r="C57" s="657">
        <v>108.53593496799104</v>
      </c>
      <c r="D57" s="2008">
        <v>65.610847422571041</v>
      </c>
      <c r="E57" s="2008">
        <v>48.546339397944259</v>
      </c>
      <c r="F57" s="654">
        <v>79.5418626888913</v>
      </c>
      <c r="G57" s="336"/>
    </row>
    <row r="58" spans="1:7" s="15" customFormat="1">
      <c r="A58" s="219">
        <v>1995.01</v>
      </c>
      <c r="B58" s="653">
        <v>81.089680833584325</v>
      </c>
      <c r="C58" s="657">
        <v>109.20776972382978</v>
      </c>
      <c r="D58" s="2008">
        <v>64.932890819800519</v>
      </c>
      <c r="E58" s="2008">
        <v>48.652132858631362</v>
      </c>
      <c r="F58" s="654">
        <v>80.328181082961336</v>
      </c>
      <c r="G58" s="336"/>
    </row>
    <row r="59" spans="1:7" s="15" customFormat="1">
      <c r="A59" s="219">
        <v>1995.02</v>
      </c>
      <c r="B59" s="653">
        <v>82.156595052967404</v>
      </c>
      <c r="C59" s="657">
        <v>111.44616215740548</v>
      </c>
      <c r="D59" s="2008">
        <v>65.390029200936738</v>
      </c>
      <c r="E59" s="2008">
        <v>50.003032319641754</v>
      </c>
      <c r="F59" s="654">
        <v>82.095309124103139</v>
      </c>
      <c r="G59" s="336"/>
    </row>
    <row r="60" spans="1:7" s="15" customFormat="1">
      <c r="A60" s="219">
        <v>1995.03</v>
      </c>
      <c r="B60" s="653">
        <v>83.566716541395635</v>
      </c>
      <c r="C60" s="657">
        <v>107.48551459845481</v>
      </c>
      <c r="D60" s="2008">
        <v>65.902805355776636</v>
      </c>
      <c r="E60" s="2008">
        <v>50.396661119233499</v>
      </c>
      <c r="F60" s="654">
        <v>86.284975079245456</v>
      </c>
      <c r="G60" s="336"/>
    </row>
    <row r="61" spans="1:7" s="15" customFormat="1">
      <c r="A61" s="219">
        <v>1995.04</v>
      </c>
      <c r="B61" s="653">
        <v>84.738499015876656</v>
      </c>
      <c r="C61" s="657">
        <v>107.35957504491122</v>
      </c>
      <c r="D61" s="2008">
        <v>65.819424848253746</v>
      </c>
      <c r="E61" s="2008">
        <v>50.170910465022963</v>
      </c>
      <c r="F61" s="654">
        <v>87.493055536366029</v>
      </c>
      <c r="G61" s="336"/>
    </row>
    <row r="62" spans="1:7" s="15" customFormat="1">
      <c r="A62" s="219">
        <v>1995.05</v>
      </c>
      <c r="B62" s="653">
        <v>85.349917106956937</v>
      </c>
      <c r="C62" s="657">
        <v>111.50030895019734</v>
      </c>
      <c r="D62" s="2008">
        <v>65.935545317917359</v>
      </c>
      <c r="E62" s="2008">
        <v>51.449693489403579</v>
      </c>
      <c r="F62" s="654">
        <v>86.404125469071218</v>
      </c>
      <c r="G62" s="336"/>
    </row>
    <row r="63" spans="1:7" s="15" customFormat="1">
      <c r="A63" s="219">
        <v>1995.06</v>
      </c>
      <c r="B63" s="653">
        <v>86.099001527230129</v>
      </c>
      <c r="C63" s="657">
        <v>112.10704991831409</v>
      </c>
      <c r="D63" s="2008">
        <v>66.20185557447931</v>
      </c>
      <c r="E63" s="2008">
        <v>52.285530979924111</v>
      </c>
      <c r="F63" s="654">
        <v>87.820818819117719</v>
      </c>
      <c r="G63" s="336"/>
    </row>
    <row r="64" spans="1:7" s="15" customFormat="1">
      <c r="A64" s="219">
        <v>1995.07</v>
      </c>
      <c r="B64" s="653">
        <v>86.131133011387206</v>
      </c>
      <c r="C64" s="657">
        <v>112.51598899136059</v>
      </c>
      <c r="D64" s="2008">
        <v>65.934382510754389</v>
      </c>
      <c r="E64" s="2008">
        <v>52.251906560121711</v>
      </c>
      <c r="F64" s="654">
        <v>88.438564263384592</v>
      </c>
      <c r="G64" s="336"/>
    </row>
    <row r="65" spans="1:7" s="15" customFormat="1">
      <c r="A65" s="219">
        <v>1995.08</v>
      </c>
      <c r="B65" s="653">
        <v>84.923690619091431</v>
      </c>
      <c r="C65" s="657">
        <v>112.32265830239231</v>
      </c>
      <c r="D65" s="2008">
        <v>66.267863518184299</v>
      </c>
      <c r="E65" s="2008">
        <v>52.778387224644483</v>
      </c>
      <c r="F65" s="654">
        <v>86.201619473287266</v>
      </c>
      <c r="G65" s="336"/>
    </row>
    <row r="66" spans="1:7" s="15" customFormat="1">
      <c r="A66" s="219">
        <v>1995.09</v>
      </c>
      <c r="B66" s="653">
        <v>84.30432278040962</v>
      </c>
      <c r="C66" s="657">
        <v>111.97116839094524</v>
      </c>
      <c r="D66" s="2008">
        <v>66.28893516103804</v>
      </c>
      <c r="E66" s="2008">
        <v>53.004507395437074</v>
      </c>
      <c r="F66" s="654">
        <v>85.195116884872746</v>
      </c>
      <c r="G66" s="336"/>
    </row>
    <row r="67" spans="1:7" s="15" customFormat="1">
      <c r="A67" s="219">
        <v>1995.1</v>
      </c>
      <c r="B67" s="653">
        <v>84.938983748296167</v>
      </c>
      <c r="C67" s="657">
        <v>112.19729380447129</v>
      </c>
      <c r="D67" s="2008">
        <v>66.279916165237083</v>
      </c>
      <c r="E67" s="2008">
        <v>53.258652845378883</v>
      </c>
      <c r="F67" s="654">
        <v>87.141120376468479</v>
      </c>
      <c r="G67" s="336"/>
    </row>
    <row r="68" spans="1:7" s="15" customFormat="1">
      <c r="A68" s="219">
        <v>1995.11</v>
      </c>
      <c r="B68" s="653">
        <v>85.086937431204177</v>
      </c>
      <c r="C68" s="657">
        <v>113.66978867226229</v>
      </c>
      <c r="D68" s="2008">
        <v>66.388442648629791</v>
      </c>
      <c r="E68" s="2008">
        <v>53.753755394290522</v>
      </c>
      <c r="F68" s="654">
        <v>87.619996182112075</v>
      </c>
      <c r="G68" s="336"/>
    </row>
    <row r="69" spans="1:7" s="15" customFormat="1">
      <c r="A69" s="219">
        <v>1995.12</v>
      </c>
      <c r="B69" s="653">
        <v>84.895695217984837</v>
      </c>
      <c r="C69" s="657">
        <v>114.77099894724243</v>
      </c>
      <c r="D69" s="2008">
        <v>66.2780502907992</v>
      </c>
      <c r="E69" s="2008">
        <v>54.010293585621334</v>
      </c>
      <c r="F69" s="654">
        <v>86.666468315369571</v>
      </c>
      <c r="G69" s="336"/>
    </row>
    <row r="70" spans="1:7">
      <c r="A70" s="219">
        <v>1996.01</v>
      </c>
      <c r="B70" s="653">
        <v>83.80559759883721</v>
      </c>
      <c r="C70" s="657">
        <v>115.17604346290143</v>
      </c>
      <c r="D70" s="2008">
        <v>66.467409550916102</v>
      </c>
      <c r="E70" s="2008">
        <v>54.084994405101803</v>
      </c>
      <c r="F70" s="654">
        <v>85.736433571688053</v>
      </c>
      <c r="G70" s="645"/>
    </row>
    <row r="71" spans="1:7">
      <c r="A71" s="219">
        <v>1996.02</v>
      </c>
      <c r="B71" s="653">
        <v>84.789621404476236</v>
      </c>
      <c r="C71" s="657">
        <v>115.94620910368349</v>
      </c>
      <c r="D71" s="2008">
        <v>66.900022130042984</v>
      </c>
      <c r="E71" s="2008">
        <v>54.762560918420611</v>
      </c>
      <c r="F71" s="654">
        <v>86.140529849510585</v>
      </c>
      <c r="G71" s="645"/>
    </row>
    <row r="72" spans="1:7">
      <c r="A72" s="219">
        <v>1996.03</v>
      </c>
      <c r="B72" s="653">
        <v>85.326546715038802</v>
      </c>
      <c r="C72" s="657">
        <v>116.40987954116771</v>
      </c>
      <c r="D72" s="2008">
        <v>67.610325130917772</v>
      </c>
      <c r="E72" s="2008">
        <v>55.401914540572996</v>
      </c>
      <c r="F72" s="654">
        <v>86.525683951787272</v>
      </c>
      <c r="G72" s="645"/>
    </row>
    <row r="73" spans="1:7">
      <c r="A73" s="219">
        <v>1996.04</v>
      </c>
      <c r="B73" s="653">
        <v>85.011069216637651</v>
      </c>
      <c r="C73" s="657">
        <v>117.41048149401163</v>
      </c>
      <c r="D73" s="2008">
        <v>67.869780818150076</v>
      </c>
      <c r="E73" s="2008">
        <v>55.614068956644374</v>
      </c>
      <c r="F73" s="654">
        <v>85.46276236974667</v>
      </c>
      <c r="G73" s="645"/>
    </row>
    <row r="74" spans="1:7">
      <c r="A74" s="219">
        <v>1996.05</v>
      </c>
      <c r="B74" s="653">
        <v>85.270188957475014</v>
      </c>
      <c r="C74" s="657">
        <v>118.24287922652829</v>
      </c>
      <c r="D74" s="2008">
        <v>68.060778742449656</v>
      </c>
      <c r="E74" s="2008">
        <v>56.637041697039635</v>
      </c>
      <c r="F74" s="654">
        <v>84.543448567839476</v>
      </c>
      <c r="G74" s="645"/>
    </row>
    <row r="75" spans="1:7">
      <c r="A75" s="219">
        <v>1996.06</v>
      </c>
      <c r="B75" s="653">
        <v>85.481685069532062</v>
      </c>
      <c r="C75" s="657">
        <v>118.93237161824867</v>
      </c>
      <c r="D75" s="2008">
        <v>68.102469459863002</v>
      </c>
      <c r="E75" s="2008">
        <v>57.026049617143002</v>
      </c>
      <c r="F75" s="654">
        <v>84.819310593921685</v>
      </c>
      <c r="G75" s="645"/>
    </row>
    <row r="76" spans="1:7">
      <c r="A76" s="219">
        <v>1996.07</v>
      </c>
      <c r="B76" s="653">
        <v>85.915435874792038</v>
      </c>
      <c r="C76" s="657">
        <v>118.88592473682873</v>
      </c>
      <c r="D76" s="2008">
        <v>67.864863128184055</v>
      </c>
      <c r="E76" s="2008">
        <v>56.784337009072367</v>
      </c>
      <c r="F76" s="654">
        <v>85.686232513643375</v>
      </c>
      <c r="G76" s="645"/>
    </row>
    <row r="77" spans="1:7">
      <c r="A77" s="219">
        <v>1996.08</v>
      </c>
      <c r="B77" s="653">
        <v>86.015885367075256</v>
      </c>
      <c r="C77" s="657">
        <v>118.77968996271575</v>
      </c>
      <c r="D77" s="2008">
        <v>68.047267629378865</v>
      </c>
      <c r="E77" s="2008">
        <v>57.0416773395837</v>
      </c>
      <c r="F77" s="654">
        <v>86.632261101992412</v>
      </c>
      <c r="G77" s="645"/>
    </row>
    <row r="78" spans="1:7">
      <c r="A78" s="219">
        <v>1996.09</v>
      </c>
      <c r="B78" s="653">
        <v>85.174086071855243</v>
      </c>
      <c r="C78" s="657">
        <v>118.02045009391459</v>
      </c>
      <c r="D78" s="2008">
        <v>68.139844558665061</v>
      </c>
      <c r="E78" s="2008">
        <v>57.22911172755645</v>
      </c>
      <c r="F78" s="654">
        <v>85.583745036491663</v>
      </c>
      <c r="G78" s="645"/>
    </row>
    <row r="79" spans="1:7">
      <c r="A79" s="219">
        <v>1996.1</v>
      </c>
      <c r="B79" s="653">
        <v>84.878784934578761</v>
      </c>
      <c r="C79" s="657">
        <v>117.18089481507867</v>
      </c>
      <c r="D79" s="2008">
        <v>68.012915244535805</v>
      </c>
      <c r="E79" s="2008">
        <v>57.04687326396617</v>
      </c>
      <c r="F79" s="654">
        <v>84.301921426322934</v>
      </c>
      <c r="G79" s="645"/>
    </row>
    <row r="80" spans="1:7">
      <c r="A80" s="219">
        <v>1996.11</v>
      </c>
      <c r="B80" s="653">
        <v>84.710942922900912</v>
      </c>
      <c r="C80" s="657">
        <v>117.13573758070169</v>
      </c>
      <c r="D80" s="2008">
        <v>68.247810009745052</v>
      </c>
      <c r="E80" s="2008">
        <v>57.275298410170244</v>
      </c>
      <c r="F80" s="654">
        <v>85.315582382995402</v>
      </c>
      <c r="G80" s="645"/>
    </row>
    <row r="81" spans="1:9" ht="13.5" thickBot="1">
      <c r="A81" s="219">
        <v>1996.12</v>
      </c>
      <c r="B81" s="653">
        <v>84.629028660022698</v>
      </c>
      <c r="C81" s="657">
        <v>117.17213484178987</v>
      </c>
      <c r="D81" s="2008">
        <v>68.442924967301238</v>
      </c>
      <c r="E81" s="2008">
        <v>57.662408921587186</v>
      </c>
      <c r="F81" s="654">
        <v>83.77982996956483</v>
      </c>
      <c r="G81" s="645"/>
    </row>
    <row r="82" spans="1:9">
      <c r="A82" s="219">
        <v>1997.01</v>
      </c>
      <c r="B82" s="537">
        <v>85.383664898648618</v>
      </c>
      <c r="C82" s="2006">
        <v>120.29376659855224</v>
      </c>
      <c r="D82" s="2016">
        <v>70.202916882579785</v>
      </c>
      <c r="E82" s="2016">
        <v>58.82225251443792</v>
      </c>
      <c r="F82" s="655">
        <v>85.778839506847206</v>
      </c>
      <c r="G82" s="645"/>
      <c r="H82" s="974"/>
      <c r="I82" s="975"/>
    </row>
    <row r="83" spans="1:9">
      <c r="A83" s="219">
        <v>1997.02</v>
      </c>
      <c r="B83" s="322">
        <v>84.041747508165273</v>
      </c>
      <c r="C83" s="625">
        <v>120.04762927622339</v>
      </c>
      <c r="D83" s="2009">
        <v>70.064503321015209</v>
      </c>
      <c r="E83" s="2009">
        <v>59.841290110803129</v>
      </c>
      <c r="F83" s="627">
        <v>81.596624991657919</v>
      </c>
      <c r="G83" s="645"/>
      <c r="H83" s="974"/>
      <c r="I83" s="975"/>
    </row>
    <row r="84" spans="1:9">
      <c r="A84" s="219">
        <v>1997.03</v>
      </c>
      <c r="B84" s="322">
        <v>83.801701561108317</v>
      </c>
      <c r="C84" s="625">
        <v>119.82477122809016</v>
      </c>
      <c r="D84" s="2009">
        <v>70.176494997567787</v>
      </c>
      <c r="E84" s="2009">
        <v>59.818303694161081</v>
      </c>
      <c r="F84" s="627">
        <v>80.64524752515976</v>
      </c>
      <c r="G84" s="645"/>
      <c r="H84" s="974"/>
      <c r="I84" s="975"/>
    </row>
    <row r="85" spans="1:9">
      <c r="A85" s="219">
        <v>1997.04</v>
      </c>
      <c r="B85" s="322">
        <v>84.058682654334604</v>
      </c>
      <c r="C85" s="625">
        <v>120.70659777256759</v>
      </c>
      <c r="D85" s="2009">
        <v>70.509440527144122</v>
      </c>
      <c r="E85" s="2009">
        <v>59.656265105097717</v>
      </c>
      <c r="F85" s="627">
        <v>80.4016065971784</v>
      </c>
      <c r="G85" s="645"/>
      <c r="H85" s="974"/>
      <c r="I85" s="975"/>
    </row>
    <row r="86" spans="1:9">
      <c r="A86" s="219">
        <v>1997.05</v>
      </c>
      <c r="B86" s="322">
        <v>84.526287555861543</v>
      </c>
      <c r="C86" s="625">
        <v>120.88318608720378</v>
      </c>
      <c r="D86" s="2009">
        <v>70.698458464598531</v>
      </c>
      <c r="E86" s="2009">
        <v>60.117392616101263</v>
      </c>
      <c r="F86" s="627">
        <v>80.972139185467753</v>
      </c>
      <c r="G86" s="645"/>
      <c r="H86" s="974"/>
      <c r="I86" s="975"/>
    </row>
    <row r="87" spans="1:9">
      <c r="A87" s="219">
        <v>1997.06</v>
      </c>
      <c r="B87" s="322">
        <v>84.291032721652343</v>
      </c>
      <c r="C87" s="625">
        <v>120.62946786704167</v>
      </c>
      <c r="D87" s="2009">
        <v>70.729082446828883</v>
      </c>
      <c r="E87" s="2009">
        <v>60.018689382393696</v>
      </c>
      <c r="F87" s="627">
        <v>79.992173116519467</v>
      </c>
      <c r="G87" s="645"/>
      <c r="H87" s="974"/>
      <c r="I87" s="975"/>
    </row>
    <row r="88" spans="1:9">
      <c r="A88" s="219">
        <v>1997.07</v>
      </c>
      <c r="B88" s="322">
        <v>83.385035962160273</v>
      </c>
      <c r="C88" s="625">
        <v>120.1544481010795</v>
      </c>
      <c r="D88" s="2009">
        <v>70.677993632056243</v>
      </c>
      <c r="E88" s="2009">
        <v>60.000134325374212</v>
      </c>
      <c r="F88" s="627">
        <v>77.281208049860695</v>
      </c>
      <c r="G88" s="645"/>
      <c r="H88" s="974"/>
      <c r="I88" s="975"/>
    </row>
    <row r="89" spans="1:9">
      <c r="A89" s="219">
        <v>1997.08</v>
      </c>
      <c r="B89" s="322">
        <v>82.443648453186555</v>
      </c>
      <c r="C89" s="625">
        <v>119.21532770307623</v>
      </c>
      <c r="D89" s="2009">
        <v>70.690260271573024</v>
      </c>
      <c r="E89" s="2009">
        <v>60.5472343193968</v>
      </c>
      <c r="F89" s="627">
        <v>75.228747049220416</v>
      </c>
      <c r="G89" s="645"/>
      <c r="H89" s="974"/>
      <c r="I89" s="975"/>
    </row>
    <row r="90" spans="1:9">
      <c r="A90" s="219">
        <v>1997.09</v>
      </c>
      <c r="B90" s="322">
        <v>83.021115889422148</v>
      </c>
      <c r="C90" s="625">
        <v>118.56603238460347</v>
      </c>
      <c r="D90" s="2009">
        <v>70.846678469563386</v>
      </c>
      <c r="E90" s="2009">
        <v>60.533721122610011</v>
      </c>
      <c r="F90" s="627">
        <v>77.479689129323987</v>
      </c>
      <c r="G90" s="645"/>
      <c r="H90" s="974"/>
      <c r="I90" s="975"/>
    </row>
    <row r="91" spans="1:9">
      <c r="A91" s="219">
        <v>1997.1</v>
      </c>
      <c r="B91" s="322">
        <v>83.473335888790032</v>
      </c>
      <c r="C91" s="625">
        <v>118.21836651830064</v>
      </c>
      <c r="D91" s="2009">
        <v>71.102199417043281</v>
      </c>
      <c r="E91" s="2009">
        <v>59.452592025538294</v>
      </c>
      <c r="F91" s="627">
        <v>78.732057231062129</v>
      </c>
      <c r="G91" s="645"/>
      <c r="H91" s="974"/>
      <c r="I91" s="975"/>
    </row>
    <row r="92" spans="1:9">
      <c r="A92" s="219">
        <v>1997.11</v>
      </c>
      <c r="B92" s="322">
        <v>83.670298782161836</v>
      </c>
      <c r="C92" s="625">
        <v>117.82534711497108</v>
      </c>
      <c r="D92" s="2009">
        <v>71.361152033236337</v>
      </c>
      <c r="E92" s="2009">
        <v>58.567747663973002</v>
      </c>
      <c r="F92" s="627">
        <v>80.143789611503323</v>
      </c>
      <c r="G92" s="645"/>
      <c r="H92" s="974"/>
      <c r="I92" s="975"/>
    </row>
    <row r="93" spans="1:9">
      <c r="A93" s="219">
        <v>1997.12</v>
      </c>
      <c r="B93" s="322">
        <v>82.906546260870016</v>
      </c>
      <c r="C93" s="625">
        <v>117.64676247140558</v>
      </c>
      <c r="D93" s="2009">
        <v>71.437656426943718</v>
      </c>
      <c r="E93" s="2009">
        <v>58.478841980074854</v>
      </c>
      <c r="F93" s="627">
        <v>78.216715304862078</v>
      </c>
      <c r="G93" s="645"/>
      <c r="H93" s="974"/>
      <c r="I93" s="975"/>
    </row>
    <row r="94" spans="1:9">
      <c r="A94" s="219">
        <v>1998.01</v>
      </c>
      <c r="B94" s="322">
        <v>81.944550012536041</v>
      </c>
      <c r="C94" s="625">
        <v>117.24344895143263</v>
      </c>
      <c r="D94" s="2009">
        <v>71.215118310206435</v>
      </c>
      <c r="E94" s="2009">
        <v>58.905879470424921</v>
      </c>
      <c r="F94" s="627">
        <v>76.052219390795969</v>
      </c>
      <c r="G94" s="645"/>
      <c r="H94" s="974"/>
      <c r="I94" s="975"/>
    </row>
    <row r="95" spans="1:9">
      <c r="A95" s="219">
        <v>1998.02</v>
      </c>
      <c r="B95" s="322">
        <v>81.859609443593328</v>
      </c>
      <c r="C95" s="625">
        <v>116.520603424144</v>
      </c>
      <c r="D95" s="2009">
        <v>70.914017128514587</v>
      </c>
      <c r="E95" s="2009">
        <v>59.716017803922924</v>
      </c>
      <c r="F95" s="627">
        <v>75.920809704482835</v>
      </c>
      <c r="G95" s="645"/>
      <c r="H95" s="974"/>
      <c r="I95" s="975"/>
    </row>
    <row r="96" spans="1:9">
      <c r="A96" s="219">
        <v>1998.03</v>
      </c>
      <c r="B96" s="322">
        <v>81.3077788775296</v>
      </c>
      <c r="C96" s="625">
        <v>114.83009096741245</v>
      </c>
      <c r="D96" s="2009">
        <v>70.840998379588839</v>
      </c>
      <c r="E96" s="2009">
        <v>59.739584908499424</v>
      </c>
      <c r="F96" s="627">
        <v>75.417340971433987</v>
      </c>
      <c r="G96" s="645"/>
      <c r="H96" s="974"/>
      <c r="I96" s="975"/>
    </row>
    <row r="97" spans="1:9">
      <c r="A97" s="219">
        <v>1998.04</v>
      </c>
      <c r="B97" s="322">
        <v>81.748439650785215</v>
      </c>
      <c r="C97" s="625">
        <v>115.84935552112766</v>
      </c>
      <c r="D97" s="2009">
        <v>70.925142166416933</v>
      </c>
      <c r="E97" s="2009">
        <v>59.28909783143984</v>
      </c>
      <c r="F97" s="627">
        <v>76.062758202692208</v>
      </c>
      <c r="G97" s="645"/>
      <c r="H97" s="974"/>
      <c r="I97" s="975"/>
    </row>
    <row r="98" spans="1:9">
      <c r="A98" s="219">
        <v>1998.05</v>
      </c>
      <c r="B98" s="322">
        <v>82.240477848221275</v>
      </c>
      <c r="C98" s="625">
        <v>115.64653767675698</v>
      </c>
      <c r="D98" s="2009">
        <v>71.080376818836086</v>
      </c>
      <c r="E98" s="2009">
        <v>59.124194514851908</v>
      </c>
      <c r="F98" s="627">
        <v>77.95632926556307</v>
      </c>
      <c r="G98" s="645"/>
      <c r="H98" s="974"/>
      <c r="I98" s="975"/>
    </row>
    <row r="99" spans="1:9">
      <c r="A99" s="219">
        <v>1998.06</v>
      </c>
      <c r="B99" s="322">
        <v>81.768164900713771</v>
      </c>
      <c r="C99" s="625">
        <v>114.93427455116885</v>
      </c>
      <c r="D99" s="2009">
        <v>71.165064000493558</v>
      </c>
      <c r="E99" s="2009">
        <v>58.723060877840481</v>
      </c>
      <c r="F99" s="627">
        <v>77.320211065649488</v>
      </c>
      <c r="G99" s="645"/>
      <c r="H99" s="974"/>
      <c r="I99" s="975"/>
    </row>
    <row r="100" spans="1:9">
      <c r="A100" s="219">
        <v>1998.07</v>
      </c>
      <c r="B100" s="322">
        <v>81.336624687533799</v>
      </c>
      <c r="C100" s="625">
        <v>114.12515224876313</v>
      </c>
      <c r="D100" s="2009">
        <v>71.11726920668751</v>
      </c>
      <c r="E100" s="2009">
        <v>58.572589138421378</v>
      </c>
      <c r="F100" s="627">
        <v>76.845863529707884</v>
      </c>
      <c r="G100" s="645"/>
      <c r="H100" s="974"/>
      <c r="I100" s="975"/>
    </row>
    <row r="101" spans="1:9">
      <c r="A101" s="219">
        <v>1998.08</v>
      </c>
      <c r="B101" s="322">
        <v>80.937239675896265</v>
      </c>
      <c r="C101" s="625">
        <v>112.60325958769856</v>
      </c>
      <c r="D101" s="2009">
        <v>71.13189448881019</v>
      </c>
      <c r="E101" s="2009">
        <v>59.083265660882233</v>
      </c>
      <c r="F101" s="627">
        <v>77.197162635336696</v>
      </c>
      <c r="G101" s="645"/>
      <c r="H101" s="974"/>
      <c r="I101" s="975"/>
    </row>
    <row r="102" spans="1:9">
      <c r="A102" s="219">
        <v>1998.09</v>
      </c>
      <c r="B102" s="322">
        <v>81.946240525559929</v>
      </c>
      <c r="C102" s="625">
        <v>111.47293191571094</v>
      </c>
      <c r="D102" s="2009">
        <v>71.200985915569291</v>
      </c>
      <c r="E102" s="2009">
        <v>59.06588608732411</v>
      </c>
      <c r="F102" s="627">
        <v>81.166878605131203</v>
      </c>
      <c r="G102" s="645"/>
      <c r="H102" s="974"/>
      <c r="I102" s="975"/>
    </row>
    <row r="103" spans="1:9">
      <c r="A103" s="219">
        <v>1998.1</v>
      </c>
      <c r="B103" s="322">
        <v>83.085030239969399</v>
      </c>
      <c r="C103" s="625">
        <v>110.68355489172531</v>
      </c>
      <c r="D103" s="2009">
        <v>71.457727204467517</v>
      </c>
      <c r="E103" s="2009">
        <v>58.145938568075785</v>
      </c>
      <c r="F103" s="627">
        <v>84.355814672209448</v>
      </c>
      <c r="G103" s="645"/>
      <c r="H103" s="974"/>
      <c r="I103" s="975"/>
    </row>
    <row r="104" spans="1:9">
      <c r="A104" s="219">
        <v>1998.11</v>
      </c>
      <c r="B104" s="322">
        <v>82.690516250986192</v>
      </c>
      <c r="C104" s="625">
        <v>110.48245354419336</v>
      </c>
      <c r="D104" s="2009">
        <v>71.80249681121208</v>
      </c>
      <c r="E104" s="2009">
        <v>57.414687790491421</v>
      </c>
      <c r="F104" s="627">
        <v>82.314897126986793</v>
      </c>
      <c r="G104" s="645"/>
      <c r="H104" s="974"/>
      <c r="I104" s="975"/>
    </row>
    <row r="105" spans="1:9">
      <c r="A105" s="219">
        <v>1998.12</v>
      </c>
      <c r="B105" s="322">
        <v>82.815504534872474</v>
      </c>
      <c r="C105" s="625">
        <v>109.67261688453031</v>
      </c>
      <c r="D105" s="2009">
        <v>72.000283313378574</v>
      </c>
      <c r="E105" s="2009">
        <v>57.41637428971729</v>
      </c>
      <c r="F105" s="627">
        <v>83.040256643756663</v>
      </c>
      <c r="G105" s="645"/>
      <c r="H105" s="974"/>
      <c r="I105" s="975"/>
    </row>
    <row r="106" spans="1:9">
      <c r="A106" s="219">
        <v>1999.01</v>
      </c>
      <c r="B106" s="322">
        <v>78.255504667938425</v>
      </c>
      <c r="C106" s="625">
        <v>93.786745053717752</v>
      </c>
      <c r="D106" s="2009">
        <v>71.961661998792451</v>
      </c>
      <c r="E106" s="2009">
        <v>57.919854448719228</v>
      </c>
      <c r="F106" s="627">
        <v>81.901615668619371</v>
      </c>
      <c r="G106" s="645"/>
      <c r="H106" s="974"/>
      <c r="I106" s="975"/>
    </row>
    <row r="107" spans="1:9">
      <c r="A107" s="219">
        <v>1999.02</v>
      </c>
      <c r="B107" s="322">
        <v>70.306765810476023</v>
      </c>
      <c r="C107" s="625">
        <v>68.845910237023134</v>
      </c>
      <c r="D107" s="2009">
        <v>71.921288024927293</v>
      </c>
      <c r="E107" s="2009">
        <v>58.831869427251569</v>
      </c>
      <c r="F107" s="627">
        <v>79.005765014970819</v>
      </c>
      <c r="G107" s="645"/>
      <c r="H107" s="974"/>
      <c r="I107" s="975"/>
    </row>
    <row r="108" spans="1:9">
      <c r="A108" s="219">
        <v>1999.03</v>
      </c>
      <c r="B108" s="322">
        <v>70.867332107097027</v>
      </c>
      <c r="C108" s="625">
        <v>71.748420307908319</v>
      </c>
      <c r="D108" s="2009">
        <v>72.280404471234974</v>
      </c>
      <c r="E108" s="2009">
        <v>59.00168183998818</v>
      </c>
      <c r="F108" s="627">
        <v>77.441812321231311</v>
      </c>
      <c r="G108" s="645"/>
      <c r="H108" s="974"/>
      <c r="I108" s="975"/>
    </row>
    <row r="109" spans="1:9">
      <c r="A109" s="219">
        <v>1999.04</v>
      </c>
      <c r="B109" s="322">
        <v>73.692768847693529</v>
      </c>
      <c r="C109" s="625">
        <v>80.728500941961812</v>
      </c>
      <c r="D109" s="2009">
        <v>72.852461077227446</v>
      </c>
      <c r="E109" s="2009">
        <v>58.499663568233096</v>
      </c>
      <c r="F109" s="627">
        <v>76.845373437150627</v>
      </c>
      <c r="G109" s="645"/>
      <c r="H109" s="974"/>
      <c r="I109" s="975"/>
    </row>
    <row r="110" spans="1:9">
      <c r="A110" s="219">
        <v>1999.05</v>
      </c>
      <c r="B110" s="322">
        <v>74.453732271193985</v>
      </c>
      <c r="C110" s="625">
        <v>82.507807407949286</v>
      </c>
      <c r="D110" s="2009">
        <v>73.330943235041374</v>
      </c>
      <c r="E110" s="2009">
        <v>58.383570661740897</v>
      </c>
      <c r="F110" s="627">
        <v>77.130106897302852</v>
      </c>
      <c r="G110" s="645"/>
      <c r="H110" s="974"/>
      <c r="I110" s="975"/>
    </row>
    <row r="111" spans="1:9">
      <c r="A111" s="219">
        <v>1999.06</v>
      </c>
      <c r="B111" s="322">
        <v>73.186163061022583</v>
      </c>
      <c r="C111" s="625">
        <v>79.428829634548634</v>
      </c>
      <c r="D111" s="2009">
        <v>73.529951225289636</v>
      </c>
      <c r="E111" s="2009">
        <v>58.204355052541089</v>
      </c>
      <c r="F111" s="627">
        <v>75.800883063891447</v>
      </c>
      <c r="G111" s="645"/>
      <c r="H111" s="974"/>
      <c r="I111" s="975"/>
    </row>
    <row r="112" spans="1:9">
      <c r="A112" s="219">
        <v>1999.07</v>
      </c>
      <c r="B112" s="322">
        <v>72.336083413315478</v>
      </c>
      <c r="C112" s="625">
        <v>77.864393782549101</v>
      </c>
      <c r="D112" s="2009">
        <v>73.621394238572393</v>
      </c>
      <c r="E112" s="2009">
        <v>58.393498414686249</v>
      </c>
      <c r="F112" s="627">
        <v>74.816911521228619</v>
      </c>
      <c r="G112" s="645"/>
      <c r="H112" s="974"/>
      <c r="I112" s="975"/>
    </row>
    <row r="113" spans="1:9">
      <c r="A113" s="219">
        <v>1999.08</v>
      </c>
      <c r="B113" s="322">
        <v>72.317771986708038</v>
      </c>
      <c r="C113" s="625">
        <v>74.874481993553346</v>
      </c>
      <c r="D113" s="2009">
        <v>73.940307666676347</v>
      </c>
      <c r="E113" s="2009">
        <v>59.298679068535655</v>
      </c>
      <c r="F113" s="627">
        <v>76.80198473099766</v>
      </c>
      <c r="G113" s="645"/>
      <c r="H113" s="974"/>
      <c r="I113" s="975"/>
    </row>
    <row r="114" spans="1:9">
      <c r="A114" s="219">
        <v>1999.09</v>
      </c>
      <c r="B114" s="322">
        <v>72.552168427137829</v>
      </c>
      <c r="C114" s="625">
        <v>75.409821247472777</v>
      </c>
      <c r="D114" s="2009">
        <v>74.398275893029464</v>
      </c>
      <c r="E114" s="2009">
        <v>59.622795201165701</v>
      </c>
      <c r="F114" s="627">
        <v>76.316704470931882</v>
      </c>
      <c r="G114" s="645"/>
      <c r="H114" s="974"/>
      <c r="I114" s="975"/>
    </row>
    <row r="115" spans="1:9">
      <c r="A115" s="219">
        <v>1999.1</v>
      </c>
      <c r="B115" s="322">
        <v>72.473479421911762</v>
      </c>
      <c r="C115" s="625">
        <v>73.308299743371649</v>
      </c>
      <c r="D115" s="2009">
        <v>74.695385381411157</v>
      </c>
      <c r="E115" s="2009">
        <v>58.832005474154272</v>
      </c>
      <c r="F115" s="627">
        <v>77.852913272697933</v>
      </c>
      <c r="G115" s="645"/>
      <c r="H115" s="974"/>
      <c r="I115" s="975"/>
    </row>
    <row r="116" spans="1:9">
      <c r="A116" s="219">
        <v>1999.11</v>
      </c>
      <c r="B116" s="322">
        <v>72.304599970501826</v>
      </c>
      <c r="C116" s="625">
        <v>75.064497652949953</v>
      </c>
      <c r="D116" s="2009">
        <v>74.957139228159662</v>
      </c>
      <c r="E116" s="2009">
        <v>57.978784406871554</v>
      </c>
      <c r="F116" s="627">
        <v>75.359073982394705</v>
      </c>
      <c r="G116" s="645"/>
      <c r="H116" s="974"/>
      <c r="I116" s="975"/>
    </row>
    <row r="117" spans="1:9">
      <c r="A117" s="219">
        <v>1999.12</v>
      </c>
      <c r="B117" s="322">
        <v>72.803663601673037</v>
      </c>
      <c r="C117" s="625">
        <v>77.434752116114339</v>
      </c>
      <c r="D117" s="2009">
        <v>75.252822662909679</v>
      </c>
      <c r="E117" s="2009">
        <v>57.89532657610151</v>
      </c>
      <c r="F117" s="627">
        <v>74.24924965936242</v>
      </c>
      <c r="G117" s="645"/>
      <c r="H117" s="974"/>
      <c r="I117" s="975"/>
    </row>
    <row r="118" spans="1:9">
      <c r="A118" s="219">
        <v>2000.01</v>
      </c>
      <c r="B118" s="322">
        <v>73.553449315509269</v>
      </c>
      <c r="C118" s="625">
        <v>80.368879311050733</v>
      </c>
      <c r="D118" s="2009">
        <v>75.149939911900944</v>
      </c>
      <c r="E118" s="2009">
        <v>58.526821076724843</v>
      </c>
      <c r="F118" s="627">
        <v>74.112651235746071</v>
      </c>
      <c r="G118" s="645"/>
      <c r="H118" s="974"/>
      <c r="I118" s="975"/>
    </row>
    <row r="119" spans="1:9">
      <c r="A119" s="219">
        <v>2000.02</v>
      </c>
      <c r="B119" s="322">
        <v>73.332872682085679</v>
      </c>
      <c r="C119" s="625">
        <v>82.317959443007666</v>
      </c>
      <c r="D119" s="2009">
        <v>75.110194430956625</v>
      </c>
      <c r="E119" s="2009">
        <v>59.802097713108964</v>
      </c>
      <c r="F119" s="627">
        <v>71.767420738309255</v>
      </c>
      <c r="G119" s="645"/>
      <c r="H119" s="974"/>
      <c r="I119" s="975"/>
    </row>
    <row r="120" spans="1:9">
      <c r="A120" s="219">
        <v>2000.03</v>
      </c>
      <c r="B120" s="322">
        <v>73.684120099938056</v>
      </c>
      <c r="C120" s="625">
        <v>83.278814523444723</v>
      </c>
      <c r="D120" s="2009">
        <v>75.693658861679609</v>
      </c>
      <c r="E120" s="2009">
        <v>59.843853062645763</v>
      </c>
      <c r="F120" s="627">
        <v>70.953361270499599</v>
      </c>
      <c r="G120" s="645"/>
      <c r="H120" s="974"/>
      <c r="I120" s="975"/>
    </row>
    <row r="121" spans="1:9">
      <c r="A121" s="219">
        <v>2000.04</v>
      </c>
      <c r="B121" s="322">
        <v>73.634999745415783</v>
      </c>
      <c r="C121" s="625">
        <v>83.268610877322871</v>
      </c>
      <c r="D121" s="2009">
        <v>76.124472481874122</v>
      </c>
      <c r="E121" s="2009">
        <v>58.982012192575702</v>
      </c>
      <c r="F121" s="627">
        <v>69.937394816767664</v>
      </c>
      <c r="G121" s="645"/>
      <c r="H121" s="974"/>
      <c r="I121" s="975"/>
    </row>
    <row r="122" spans="1:9">
      <c r="A122" s="219">
        <v>2000.05</v>
      </c>
      <c r="B122" s="322">
        <v>72.685902128935012</v>
      </c>
      <c r="C122" s="625">
        <v>83.275159863703266</v>
      </c>
      <c r="D122" s="2009">
        <v>76.366755323125801</v>
      </c>
      <c r="E122" s="2009">
        <v>58.93189314212551</v>
      </c>
      <c r="F122" s="627">
        <v>67.184796116857683</v>
      </c>
      <c r="G122" s="645"/>
      <c r="H122" s="974"/>
      <c r="I122" s="975"/>
    </row>
    <row r="123" spans="1:9">
      <c r="A123" s="219">
        <v>2000.06</v>
      </c>
      <c r="B123" s="322">
        <v>73.771005793448566</v>
      </c>
      <c r="C123" s="625">
        <v>82.884418427109992</v>
      </c>
      <c r="D123" s="2009">
        <v>76.880075489151849</v>
      </c>
      <c r="E123" s="2009">
        <v>59.016117782773328</v>
      </c>
      <c r="F123" s="627">
        <v>70.793167914778664</v>
      </c>
      <c r="G123" s="645"/>
      <c r="H123" s="974"/>
      <c r="I123" s="975"/>
    </row>
    <row r="124" spans="1:9">
      <c r="A124" s="219">
        <v>2000.07</v>
      </c>
      <c r="B124" s="322">
        <v>73.579399989922763</v>
      </c>
      <c r="C124" s="625">
        <v>83.160267446538754</v>
      </c>
      <c r="D124" s="2009">
        <v>77.108508046950007</v>
      </c>
      <c r="E124" s="2009">
        <v>59.280653802970349</v>
      </c>
      <c r="F124" s="627">
        <v>70.219202334834321</v>
      </c>
      <c r="G124" s="645"/>
      <c r="H124" s="974"/>
      <c r="I124" s="975"/>
    </row>
    <row r="125" spans="1:9">
      <c r="A125" s="219">
        <v>2000.08</v>
      </c>
      <c r="B125" s="322">
        <v>73.246042185623665</v>
      </c>
      <c r="C125" s="625">
        <v>85.127942690641859</v>
      </c>
      <c r="D125" s="2009">
        <v>77.14073330339086</v>
      </c>
      <c r="E125" s="2009">
        <v>60.009717118058774</v>
      </c>
      <c r="F125" s="627">
        <v>67.555770336724976</v>
      </c>
      <c r="G125" s="645"/>
      <c r="H125" s="974"/>
      <c r="I125" s="975"/>
    </row>
    <row r="126" spans="1:9">
      <c r="A126" s="219">
        <v>2000.09</v>
      </c>
      <c r="B126" s="322">
        <v>72.406137537454796</v>
      </c>
      <c r="C126" s="625">
        <v>84.103391520958041</v>
      </c>
      <c r="D126" s="2009">
        <v>77.490460944011119</v>
      </c>
      <c r="E126" s="2009">
        <v>60.13441420391873</v>
      </c>
      <c r="F126" s="627">
        <v>65.412687482934103</v>
      </c>
      <c r="G126" s="645"/>
      <c r="H126" s="974"/>
      <c r="I126" s="975"/>
    </row>
    <row r="127" spans="1:9">
      <c r="A127" s="219">
        <v>2000.1</v>
      </c>
      <c r="B127" s="322">
        <v>71.716390237914339</v>
      </c>
      <c r="C127" s="625">
        <v>82.865505534073719</v>
      </c>
      <c r="D127" s="2009">
        <v>77.738507993506417</v>
      </c>
      <c r="E127" s="2009">
        <v>59.178310869885635</v>
      </c>
      <c r="F127" s="627">
        <v>64.160886063400412</v>
      </c>
      <c r="G127" s="645"/>
      <c r="H127" s="974"/>
      <c r="I127" s="975"/>
    </row>
    <row r="128" spans="1:9">
      <c r="A128" s="219">
        <v>2000.11</v>
      </c>
      <c r="B128" s="322">
        <v>70.965974105634643</v>
      </c>
      <c r="C128" s="625">
        <v>79.783824266349484</v>
      </c>
      <c r="D128" s="2009">
        <v>78.001964323545806</v>
      </c>
      <c r="E128" s="2009">
        <v>58.720102979835922</v>
      </c>
      <c r="F128" s="627">
        <v>64.447202414732701</v>
      </c>
      <c r="G128" s="645"/>
      <c r="H128" s="974"/>
      <c r="I128" s="975"/>
    </row>
    <row r="129" spans="1:9">
      <c r="A129" s="219">
        <v>2000.12</v>
      </c>
      <c r="B129" s="322">
        <v>72.068764552723408</v>
      </c>
      <c r="C129" s="625">
        <v>79.547914696559488</v>
      </c>
      <c r="D129" s="2009">
        <v>78.394543723928649</v>
      </c>
      <c r="E129" s="2009">
        <v>59.139368034965663</v>
      </c>
      <c r="F129" s="627">
        <v>68.036332054294093</v>
      </c>
      <c r="G129" s="645"/>
      <c r="H129" s="974"/>
      <c r="I129" s="975"/>
    </row>
    <row r="130" spans="1:9">
      <c r="A130" s="219">
        <v>2001.01</v>
      </c>
      <c r="B130" s="322">
        <v>73.36917942798442</v>
      </c>
      <c r="C130" s="625">
        <v>80.477882566658366</v>
      </c>
      <c r="D130" s="2009">
        <v>78.726614618971936</v>
      </c>
      <c r="E130" s="2009">
        <v>60.001076795623504</v>
      </c>
      <c r="F130" s="627">
        <v>71.775634859866642</v>
      </c>
      <c r="G130" s="645"/>
      <c r="H130" s="974"/>
      <c r="I130" s="975"/>
    </row>
    <row r="131" spans="1:9">
      <c r="A131" s="219">
        <v>2001.02</v>
      </c>
      <c r="B131" s="322">
        <v>72.750626494401132</v>
      </c>
      <c r="C131" s="625">
        <v>79.435857372838953</v>
      </c>
      <c r="D131" s="2009">
        <v>79.097566175845785</v>
      </c>
      <c r="E131" s="2009">
        <v>61.134165465053975</v>
      </c>
      <c r="F131" s="627">
        <v>69.993861159435497</v>
      </c>
      <c r="G131" s="645"/>
      <c r="H131" s="974"/>
      <c r="I131" s="975"/>
    </row>
    <row r="132" spans="1:9">
      <c r="A132" s="219">
        <v>2001.03</v>
      </c>
      <c r="B132" s="322">
        <v>72.289193608521728</v>
      </c>
      <c r="C132" s="625">
        <v>78.745391008201793</v>
      </c>
      <c r="D132" s="2009">
        <v>79.213931413033862</v>
      </c>
      <c r="E132" s="2009">
        <v>60.915662134129605</v>
      </c>
      <c r="F132" s="627">
        <v>69.274842099027936</v>
      </c>
      <c r="G132" s="645"/>
      <c r="H132" s="974"/>
      <c r="I132" s="975"/>
    </row>
    <row r="133" spans="1:9">
      <c r="A133" s="219">
        <v>2001.04</v>
      </c>
      <c r="B133" s="322">
        <v>70.040532562531624</v>
      </c>
      <c r="C133" s="625">
        <v>73.02705862197908</v>
      </c>
      <c r="D133" s="2009">
        <v>78.960896876142044</v>
      </c>
      <c r="E133" s="2009">
        <v>60.073606507804442</v>
      </c>
      <c r="F133" s="627">
        <v>68.196896953195974</v>
      </c>
      <c r="G133" s="645"/>
      <c r="H133" s="974"/>
      <c r="I133" s="975"/>
    </row>
    <row r="134" spans="1:9">
      <c r="A134" s="219">
        <v>2001.05</v>
      </c>
      <c r="B134" s="322">
        <v>69.381512136680186</v>
      </c>
      <c r="C134" s="625">
        <v>72.000576419211285</v>
      </c>
      <c r="D134" s="2009">
        <v>78.955633379955785</v>
      </c>
      <c r="E134" s="2009">
        <v>59.910030737027817</v>
      </c>
      <c r="F134" s="627">
        <v>66.946495981727239</v>
      </c>
      <c r="G134" s="645"/>
      <c r="H134" s="974"/>
      <c r="I134" s="975"/>
    </row>
    <row r="135" spans="1:9">
      <c r="A135" s="219">
        <v>2001.06</v>
      </c>
      <c r="B135" s="322">
        <v>68.096584491861179</v>
      </c>
      <c r="C135" s="625">
        <v>68.777477760550013</v>
      </c>
      <c r="D135" s="2009">
        <v>79.516319622282793</v>
      </c>
      <c r="E135" s="2009">
        <v>59.961263477921563</v>
      </c>
      <c r="F135" s="627">
        <v>65.652841546169469</v>
      </c>
      <c r="G135" s="645"/>
      <c r="H135" s="974"/>
      <c r="I135" s="975"/>
    </row>
    <row r="136" spans="1:9">
      <c r="A136" s="219">
        <v>2001.07</v>
      </c>
      <c r="B136" s="322">
        <v>67.914579036241776</v>
      </c>
      <c r="C136" s="625">
        <v>67.900351253285436</v>
      </c>
      <c r="D136" s="2009">
        <v>79.945072619873045</v>
      </c>
      <c r="E136" s="2009">
        <v>60.58535508696621</v>
      </c>
      <c r="F136" s="627">
        <v>66.537503138060998</v>
      </c>
      <c r="G136" s="645"/>
      <c r="H136" s="974"/>
      <c r="I136" s="975"/>
    </row>
    <row r="137" spans="1:9">
      <c r="A137" s="219">
        <v>2001.08</v>
      </c>
      <c r="B137" s="322">
        <v>68.522012601538776</v>
      </c>
      <c r="C137" s="625">
        <v>66.892833576095455</v>
      </c>
      <c r="D137" s="2009">
        <v>80.151363355972933</v>
      </c>
      <c r="E137" s="2009">
        <v>61.472919795910109</v>
      </c>
      <c r="F137" s="627">
        <v>69.854734497143511</v>
      </c>
      <c r="G137" s="645"/>
      <c r="H137" s="974"/>
      <c r="I137" s="975"/>
    </row>
    <row r="138" spans="1:9">
      <c r="A138" s="219">
        <v>2001.09</v>
      </c>
      <c r="B138" s="322">
        <v>67.500462210274321</v>
      </c>
      <c r="C138" s="625">
        <v>62.988602432211223</v>
      </c>
      <c r="D138" s="2009">
        <v>80.486371579871658</v>
      </c>
      <c r="E138" s="2009">
        <v>61.120189878748164</v>
      </c>
      <c r="F138" s="627">
        <v>70.819056130647567</v>
      </c>
      <c r="G138" s="645"/>
      <c r="H138" s="974"/>
      <c r="I138" s="975"/>
    </row>
    <row r="139" spans="1:9">
      <c r="A139" s="219">
        <v>2001.1</v>
      </c>
      <c r="B139" s="322">
        <v>66.458501693396315</v>
      </c>
      <c r="C139" s="625">
        <v>60.559818752803899</v>
      </c>
      <c r="D139" s="2009">
        <v>80.736583917949773</v>
      </c>
      <c r="E139" s="2009">
        <v>60.092854838701882</v>
      </c>
      <c r="F139" s="627">
        <v>70.71126546978833</v>
      </c>
      <c r="G139" s="645"/>
      <c r="H139" s="974"/>
      <c r="I139" s="975"/>
    </row>
    <row r="140" spans="1:9">
      <c r="A140" s="219">
        <v>2001.11</v>
      </c>
      <c r="B140" s="322">
        <v>68.100159068095152</v>
      </c>
      <c r="C140" s="625">
        <v>65.748382888979307</v>
      </c>
      <c r="D140" s="2009">
        <v>80.910934276956098</v>
      </c>
      <c r="E140" s="2009">
        <v>59.679999461393585</v>
      </c>
      <c r="F140" s="627">
        <v>69.567038659967764</v>
      </c>
      <c r="G140" s="645"/>
      <c r="H140" s="974"/>
      <c r="I140" s="975"/>
    </row>
    <row r="141" spans="1:9">
      <c r="A141" s="219">
        <v>2001.12</v>
      </c>
      <c r="B141" s="322">
        <v>69.21320254505919</v>
      </c>
      <c r="C141" s="625">
        <v>68.023479556057339</v>
      </c>
      <c r="D141" s="2009">
        <v>81.02755522357873</v>
      </c>
      <c r="E141" s="2009">
        <v>59.90066234063741</v>
      </c>
      <c r="F141" s="627">
        <v>70.400087392601236</v>
      </c>
      <c r="G141" s="645"/>
      <c r="H141" s="974"/>
      <c r="I141" s="975"/>
    </row>
    <row r="142" spans="1:9">
      <c r="A142" s="219">
        <v>2002.01</v>
      </c>
      <c r="B142" s="322">
        <v>109.99825080751174</v>
      </c>
      <c r="C142" s="625">
        <v>114.60919142318531</v>
      </c>
      <c r="D142" s="2009">
        <v>128.12264415801363</v>
      </c>
      <c r="E142" s="2009">
        <v>76.059219560285499</v>
      </c>
      <c r="F142" s="627">
        <v>109.97237533885303</v>
      </c>
      <c r="G142" s="645"/>
      <c r="H142" s="974"/>
      <c r="I142" s="975"/>
    </row>
    <row r="143" spans="1:9">
      <c r="A143" s="219">
        <v>2002.02</v>
      </c>
      <c r="B143" s="322">
        <v>134.31282006704319</v>
      </c>
      <c r="C143" s="625">
        <v>140.02134152233404</v>
      </c>
      <c r="D143" s="2009">
        <v>156.87494169998826</v>
      </c>
      <c r="E143" s="2009">
        <v>103.6595573048439</v>
      </c>
      <c r="F143" s="627">
        <v>132.04232882618717</v>
      </c>
      <c r="G143" s="645"/>
      <c r="H143" s="974"/>
      <c r="I143" s="975"/>
    </row>
    <row r="144" spans="1:9">
      <c r="A144" s="219">
        <v>2002.03</v>
      </c>
      <c r="B144" s="322">
        <v>163.99912280245914</v>
      </c>
      <c r="C144" s="625">
        <v>171.19190642528386</v>
      </c>
      <c r="D144" s="2009">
        <v>188.82894958865705</v>
      </c>
      <c r="E144" s="2009">
        <v>137.85199490068936</v>
      </c>
      <c r="F144" s="627">
        <v>160.86697461217148</v>
      </c>
      <c r="G144" s="645"/>
      <c r="H144" s="974"/>
      <c r="I144" s="975"/>
    </row>
    <row r="145" spans="1:9">
      <c r="A145" s="219">
        <v>2002.04</v>
      </c>
      <c r="B145" s="322">
        <v>182.8022188036262</v>
      </c>
      <c r="C145" s="625">
        <v>192.98037225105307</v>
      </c>
      <c r="D145" s="2009">
        <v>208.76774049999116</v>
      </c>
      <c r="E145" s="2009">
        <v>153.26208953082281</v>
      </c>
      <c r="F145" s="627">
        <v>179.99180072008664</v>
      </c>
      <c r="G145" s="645"/>
      <c r="H145" s="974"/>
      <c r="I145" s="975"/>
    </row>
    <row r="146" spans="1:9">
      <c r="A146" s="219">
        <v>2002.05</v>
      </c>
      <c r="B146" s="322">
        <v>191.19498607465647</v>
      </c>
      <c r="C146" s="625">
        <v>191.49231800387409</v>
      </c>
      <c r="D146" s="2009">
        <v>220.86503605156148</v>
      </c>
      <c r="E146" s="2009">
        <v>161.44459135112265</v>
      </c>
      <c r="F146" s="627">
        <v>197.45156631050631</v>
      </c>
      <c r="G146" s="645"/>
      <c r="H146" s="974"/>
      <c r="I146" s="975"/>
    </row>
    <row r="147" spans="1:9">
      <c r="A147" s="219">
        <v>2002.06</v>
      </c>
      <c r="B147" s="322">
        <v>198.84868574319867</v>
      </c>
      <c r="C147" s="625">
        <v>185.88256635298796</v>
      </c>
      <c r="D147" s="2009">
        <v>233.61925590597446</v>
      </c>
      <c r="E147" s="2009">
        <v>170.95370430237037</v>
      </c>
      <c r="F147" s="627">
        <v>217.48836022307981</v>
      </c>
      <c r="G147" s="645"/>
      <c r="H147" s="974"/>
      <c r="I147" s="975"/>
    </row>
    <row r="148" spans="1:9">
      <c r="A148" s="219">
        <v>2002.07</v>
      </c>
      <c r="B148" s="322">
        <v>187.74231526084813</v>
      </c>
      <c r="C148" s="625">
        <v>166.47337737870859</v>
      </c>
      <c r="D148" s="2009">
        <v>224.13785633894946</v>
      </c>
      <c r="E148" s="2009">
        <v>165.81128483319807</v>
      </c>
      <c r="F148" s="627">
        <v>216.0037569422968</v>
      </c>
      <c r="G148" s="645"/>
      <c r="H148" s="974"/>
      <c r="I148" s="975"/>
    </row>
    <row r="149" spans="1:9">
      <c r="A149" s="219">
        <v>2002.08</v>
      </c>
      <c r="B149" s="322">
        <v>179.13383659078553</v>
      </c>
      <c r="C149" s="625">
        <v>153.66965883512262</v>
      </c>
      <c r="D149" s="2009">
        <v>219.25390408636846</v>
      </c>
      <c r="E149" s="2009">
        <v>163.89758186312625</v>
      </c>
      <c r="F149" s="627">
        <v>207.84930716863727</v>
      </c>
      <c r="G149" s="645"/>
      <c r="H149" s="974"/>
      <c r="I149" s="975"/>
    </row>
    <row r="150" spans="1:9">
      <c r="A150" s="219">
        <v>2002.09</v>
      </c>
      <c r="B150" s="322">
        <v>174.03119380604304</v>
      </c>
      <c r="C150" s="625">
        <v>144.8992403658859</v>
      </c>
      <c r="D150" s="2009">
        <v>217.3845317460146</v>
      </c>
      <c r="E150" s="2009">
        <v>160.79889377523131</v>
      </c>
      <c r="F150" s="627">
        <v>206.29959128325538</v>
      </c>
      <c r="G150" s="645"/>
      <c r="H150" s="974"/>
      <c r="I150" s="975"/>
    </row>
    <row r="151" spans="1:9">
      <c r="A151" s="219">
        <v>2002.1</v>
      </c>
      <c r="B151" s="322">
        <v>167.43030292563625</v>
      </c>
      <c r="C151" s="625">
        <v>125.92335992003316</v>
      </c>
      <c r="D151" s="2009">
        <v>216.97389361927483</v>
      </c>
      <c r="E151" s="2009">
        <v>156.93314701737654</v>
      </c>
      <c r="F151" s="627">
        <v>206.65158147541126</v>
      </c>
      <c r="G151" s="645"/>
      <c r="H151" s="974"/>
      <c r="I151" s="975"/>
    </row>
    <row r="152" spans="1:9">
      <c r="A152" s="219">
        <v>2002.11</v>
      </c>
      <c r="B152" s="322">
        <v>165.94214736088352</v>
      </c>
      <c r="C152" s="625">
        <v>130.80348792040644</v>
      </c>
      <c r="D152" s="2009">
        <v>208.77447905200799</v>
      </c>
      <c r="E152" s="2009">
        <v>149.15123975867715</v>
      </c>
      <c r="F152" s="627">
        <v>202.25537997207266</v>
      </c>
      <c r="G152" s="645"/>
      <c r="H152" s="974"/>
      <c r="I152" s="975"/>
    </row>
    <row r="153" spans="1:9">
      <c r="A153" s="219">
        <v>2002.12</v>
      </c>
      <c r="B153" s="322">
        <v>165.31993223363332</v>
      </c>
      <c r="C153" s="625">
        <v>130.98548938730295</v>
      </c>
      <c r="D153" s="2009">
        <v>205.87832933727185</v>
      </c>
      <c r="E153" s="2009">
        <v>147.6435096262536</v>
      </c>
      <c r="F153" s="627">
        <v>203.24614789541533</v>
      </c>
      <c r="G153" s="645"/>
      <c r="H153" s="974"/>
      <c r="I153" s="975"/>
    </row>
    <row r="154" spans="1:9">
      <c r="A154" s="219">
        <v>2003.01</v>
      </c>
      <c r="B154" s="322">
        <v>158.16523249195936</v>
      </c>
      <c r="C154" s="625">
        <v>130.54762648960539</v>
      </c>
      <c r="D154" s="2009">
        <v>191.35683112797977</v>
      </c>
      <c r="E154" s="2009">
        <v>139.41266372232795</v>
      </c>
      <c r="F154" s="627">
        <v>196.53585095184258</v>
      </c>
      <c r="G154" s="645"/>
      <c r="H154" s="974"/>
      <c r="I154" s="975"/>
    </row>
    <row r="155" spans="1:9">
      <c r="A155" s="219">
        <v>2003.02</v>
      </c>
      <c r="B155" s="322">
        <v>151.88978490388718</v>
      </c>
      <c r="C155" s="625">
        <v>122.72565207071914</v>
      </c>
      <c r="D155" s="2009">
        <v>185.24391774171394</v>
      </c>
      <c r="E155" s="2009">
        <v>137.05414636760199</v>
      </c>
      <c r="F155" s="627">
        <v>192.61924436523958</v>
      </c>
      <c r="G155" s="645"/>
      <c r="H155" s="974"/>
      <c r="I155" s="975"/>
    </row>
    <row r="156" spans="1:9">
      <c r="A156" s="219">
        <v>2003.03</v>
      </c>
      <c r="B156" s="322">
        <v>149.25481352249011</v>
      </c>
      <c r="C156" s="625">
        <v>124.71605946696781</v>
      </c>
      <c r="D156" s="2009">
        <v>179.23912699881487</v>
      </c>
      <c r="E156" s="2009">
        <v>132.40770849642757</v>
      </c>
      <c r="F156" s="627">
        <v>186.72859783602772</v>
      </c>
      <c r="G156" s="645"/>
      <c r="H156" s="974"/>
      <c r="I156" s="975"/>
    </row>
    <row r="157" spans="1:9">
      <c r="A157" s="219">
        <v>2003.04</v>
      </c>
      <c r="B157" s="322">
        <v>145.64274460781058</v>
      </c>
      <c r="C157" s="625">
        <v>131.22995336995081</v>
      </c>
      <c r="D157" s="2009">
        <v>168.01422716370359</v>
      </c>
      <c r="E157" s="2009">
        <v>122.75937125393793</v>
      </c>
      <c r="F157" s="627">
        <v>177.100149373541</v>
      </c>
      <c r="G157" s="645"/>
      <c r="H157" s="974"/>
      <c r="I157" s="975"/>
    </row>
    <row r="158" spans="1:9">
      <c r="A158" s="219">
        <v>2003.05</v>
      </c>
      <c r="B158" s="322">
        <v>148.78971603779308</v>
      </c>
      <c r="C158" s="625">
        <v>137.42642018970912</v>
      </c>
      <c r="D158" s="2009">
        <v>164.73650321262582</v>
      </c>
      <c r="E158" s="2009">
        <v>120.14461806990533</v>
      </c>
      <c r="F158" s="627">
        <v>185.57952261746865</v>
      </c>
      <c r="G158" s="645"/>
      <c r="H158" s="974"/>
      <c r="I158" s="975"/>
    </row>
    <row r="159" spans="1:9">
      <c r="A159" s="219">
        <v>2003.06</v>
      </c>
      <c r="B159" s="322">
        <v>149.13524844798928</v>
      </c>
      <c r="C159" s="625">
        <v>139.54650362588771</v>
      </c>
      <c r="D159" s="2009">
        <v>163.39670351459478</v>
      </c>
      <c r="E159" s="2009">
        <v>118.93436466325893</v>
      </c>
      <c r="F159" s="627">
        <v>185.76545212472834</v>
      </c>
      <c r="G159" s="645"/>
      <c r="H159" s="974"/>
      <c r="I159" s="975"/>
    </row>
    <row r="160" spans="1:9">
      <c r="A160" s="219">
        <v>2003.07</v>
      </c>
      <c r="B160" s="322">
        <v>147.42016511485244</v>
      </c>
      <c r="C160" s="625">
        <v>138.97422690745745</v>
      </c>
      <c r="D160" s="2009">
        <v>162.70674124803355</v>
      </c>
      <c r="E160" s="2009">
        <v>118.7414015881194</v>
      </c>
      <c r="F160" s="627">
        <v>179.87256660919147</v>
      </c>
      <c r="G160" s="645"/>
      <c r="H160" s="974"/>
      <c r="I160" s="975"/>
    </row>
    <row r="161" spans="1:9">
      <c r="A161" s="219">
        <v>2003.08</v>
      </c>
      <c r="B161" s="322">
        <v>151.2234074390864</v>
      </c>
      <c r="C161" s="625">
        <v>139.51289453117363</v>
      </c>
      <c r="D161" s="2009">
        <v>170.41690622373739</v>
      </c>
      <c r="E161" s="2009">
        <v>125.88659302953846</v>
      </c>
      <c r="F161" s="627">
        <v>183.86952024403826</v>
      </c>
      <c r="G161" s="645"/>
      <c r="H161" s="974"/>
      <c r="I161" s="975"/>
    </row>
    <row r="162" spans="1:9">
      <c r="A162" s="219">
        <v>2003.09</v>
      </c>
      <c r="B162" s="322">
        <v>153.28210600829783</v>
      </c>
      <c r="C162" s="625">
        <v>143.65265945434288</v>
      </c>
      <c r="D162" s="2009">
        <v>170.41446607369889</v>
      </c>
      <c r="E162" s="2009">
        <v>124.85064214675748</v>
      </c>
      <c r="F162" s="627">
        <v>185.7236604451985</v>
      </c>
      <c r="G162" s="645"/>
      <c r="H162" s="974"/>
      <c r="I162" s="975"/>
    </row>
    <row r="163" spans="1:9">
      <c r="A163" s="219">
        <v>2003.1</v>
      </c>
      <c r="B163" s="322">
        <v>152.74212225476469</v>
      </c>
      <c r="C163" s="625">
        <v>143.71506157992366</v>
      </c>
      <c r="D163" s="2009">
        <v>166.35432695042806</v>
      </c>
      <c r="E163" s="2009">
        <v>119.96215727693195</v>
      </c>
      <c r="F163" s="627">
        <v>188.53673091734896</v>
      </c>
      <c r="G163" s="645"/>
      <c r="H163" s="974"/>
      <c r="I163" s="975"/>
    </row>
    <row r="164" spans="1:9">
      <c r="A164" s="219">
        <v>2003.11</v>
      </c>
      <c r="B164" s="322">
        <v>153.65815586564085</v>
      </c>
      <c r="C164" s="625">
        <v>142.6286559016508</v>
      </c>
      <c r="D164" s="2009">
        <v>167.50847019458644</v>
      </c>
      <c r="E164" s="2009">
        <v>120.56058939126508</v>
      </c>
      <c r="F164" s="627">
        <v>190.41210379784647</v>
      </c>
      <c r="G164" s="645"/>
      <c r="H164" s="974"/>
      <c r="I164" s="975"/>
    </row>
    <row r="165" spans="1:9">
      <c r="A165" s="219">
        <v>2003.12</v>
      </c>
      <c r="B165" s="322">
        <v>159.82720880313192</v>
      </c>
      <c r="C165" s="625">
        <v>145.82890065567594</v>
      </c>
      <c r="D165" s="2009">
        <v>171.52328251007197</v>
      </c>
      <c r="E165" s="2009">
        <v>124.66978359701247</v>
      </c>
      <c r="F165" s="627">
        <v>204.6248387917303</v>
      </c>
      <c r="G165" s="645"/>
      <c r="H165" s="974"/>
      <c r="I165" s="975"/>
    </row>
    <row r="166" spans="1:9">
      <c r="A166" s="219">
        <v>2004.01</v>
      </c>
      <c r="B166" s="322">
        <v>159.60284738331177</v>
      </c>
      <c r="C166" s="625">
        <v>146.87118408381426</v>
      </c>
      <c r="D166" s="2009">
        <v>168.08873997153015</v>
      </c>
      <c r="E166" s="2009">
        <v>123.64049255347928</v>
      </c>
      <c r="F166" s="627">
        <v>204.82989604275369</v>
      </c>
      <c r="G166" s="645"/>
      <c r="H166" s="974"/>
      <c r="I166" s="975"/>
    </row>
    <row r="167" spans="1:9">
      <c r="A167" s="219">
        <v>2004.02</v>
      </c>
      <c r="B167" s="322">
        <v>160.33460457452367</v>
      </c>
      <c r="C167" s="625">
        <v>145.23081644242782</v>
      </c>
      <c r="D167" s="2009">
        <v>170.14421703686506</v>
      </c>
      <c r="E167" s="2009">
        <v>127.03669548740025</v>
      </c>
      <c r="F167" s="627">
        <v>206.98396872478577</v>
      </c>
      <c r="G167" s="645"/>
      <c r="H167" s="974"/>
      <c r="I167" s="975"/>
    </row>
    <row r="168" spans="1:9">
      <c r="A168" s="219">
        <v>2004.03</v>
      </c>
      <c r="B168" s="322">
        <v>157.19702806619557</v>
      </c>
      <c r="C168" s="625">
        <v>145.07570583527965</v>
      </c>
      <c r="D168" s="2009">
        <v>167.89441703022061</v>
      </c>
      <c r="E168" s="2009">
        <v>124.99003720222312</v>
      </c>
      <c r="F168" s="627">
        <v>198.76675787840361</v>
      </c>
      <c r="G168" s="645"/>
      <c r="H168" s="974"/>
      <c r="I168" s="975"/>
    </row>
    <row r="169" spans="1:9">
      <c r="A169" s="219">
        <v>2004.04</v>
      </c>
      <c r="B169" s="322">
        <v>152.1854631406955</v>
      </c>
      <c r="C169" s="625">
        <v>141.37893857434028</v>
      </c>
      <c r="D169" s="2009">
        <v>163.25731930267145</v>
      </c>
      <c r="E169" s="2009">
        <v>120.83342968454215</v>
      </c>
      <c r="F169" s="627">
        <v>190.10721329037798</v>
      </c>
      <c r="G169" s="645"/>
      <c r="H169" s="974"/>
      <c r="I169" s="975"/>
    </row>
    <row r="170" spans="1:9">
      <c r="A170" s="219">
        <v>2004.05</v>
      </c>
      <c r="B170" s="322">
        <v>152.54144042990887</v>
      </c>
      <c r="C170" s="625">
        <v>136.42206605267324</v>
      </c>
      <c r="D170" s="2009">
        <v>167.54901263682652</v>
      </c>
      <c r="E170" s="2009">
        <v>124.15112899637843</v>
      </c>
      <c r="F170" s="627">
        <v>195.13274620851439</v>
      </c>
      <c r="G170" s="645"/>
      <c r="H170" s="974"/>
      <c r="I170" s="975"/>
    </row>
    <row r="171" spans="1:9">
      <c r="A171" s="219">
        <v>2004.06</v>
      </c>
      <c r="B171" s="322">
        <v>154.3482919296342</v>
      </c>
      <c r="C171" s="625">
        <v>136.7504401837304</v>
      </c>
      <c r="D171" s="2009">
        <v>169.45801754935837</v>
      </c>
      <c r="E171" s="2009">
        <v>125.38276006790144</v>
      </c>
      <c r="F171" s="627">
        <v>199.23396136823069</v>
      </c>
      <c r="G171" s="645"/>
      <c r="H171" s="974"/>
      <c r="I171" s="975"/>
    </row>
    <row r="172" spans="1:9">
      <c r="A172" s="219">
        <v>2004.07</v>
      </c>
      <c r="B172" s="322">
        <v>155.77464092854285</v>
      </c>
      <c r="C172" s="625">
        <v>140.89840979572705</v>
      </c>
      <c r="D172" s="2009">
        <v>168.71036175464923</v>
      </c>
      <c r="E172" s="2009">
        <v>125.64124625310566</v>
      </c>
      <c r="F172" s="627">
        <v>199.54812551799407</v>
      </c>
      <c r="G172" s="645"/>
      <c r="H172" s="974"/>
      <c r="I172" s="975"/>
    </row>
    <row r="173" spans="1:9">
      <c r="A173" s="219">
        <v>2004.08</v>
      </c>
      <c r="B173" s="322">
        <v>159.40491163016341</v>
      </c>
      <c r="C173" s="625">
        <v>146.11155354728083</v>
      </c>
      <c r="D173" s="2009">
        <v>171.48824966143144</v>
      </c>
      <c r="E173" s="2009">
        <v>129.78680322382669</v>
      </c>
      <c r="F173" s="627">
        <v>201.79029940213664</v>
      </c>
      <c r="G173" s="645"/>
      <c r="H173" s="974"/>
      <c r="I173" s="975"/>
    </row>
    <row r="174" spans="1:9">
      <c r="A174" s="219">
        <v>2004.09</v>
      </c>
      <c r="B174" s="322">
        <v>160.29208546981218</v>
      </c>
      <c r="C174" s="625">
        <v>150.70846115680612</v>
      </c>
      <c r="D174" s="2009">
        <v>169.86658136720783</v>
      </c>
      <c r="E174" s="2009">
        <v>127.84096997661679</v>
      </c>
      <c r="F174" s="627">
        <v>200.00508787644316</v>
      </c>
      <c r="G174" s="645"/>
      <c r="H174" s="974"/>
      <c r="I174" s="975"/>
    </row>
    <row r="175" spans="1:9">
      <c r="A175" s="219">
        <v>2004.1</v>
      </c>
      <c r="B175" s="322">
        <v>160.41649621964527</v>
      </c>
      <c r="C175" s="625">
        <v>151.48822377362183</v>
      </c>
      <c r="D175" s="2009">
        <v>168.21480430522621</v>
      </c>
      <c r="E175" s="2009">
        <v>123.42820907097475</v>
      </c>
      <c r="F175" s="627">
        <v>202.63367160217226</v>
      </c>
      <c r="G175" s="645"/>
      <c r="H175" s="974"/>
      <c r="I175" s="975"/>
    </row>
    <row r="176" spans="1:9">
      <c r="A176" s="219">
        <v>2004.11</v>
      </c>
      <c r="B176" s="322">
        <v>162.89251816820297</v>
      </c>
      <c r="C176" s="625">
        <v>154.52043816161535</v>
      </c>
      <c r="D176" s="2009">
        <v>167.84990724025178</v>
      </c>
      <c r="E176" s="2009">
        <v>121.04043933952924</v>
      </c>
      <c r="F176" s="627">
        <v>209.48868663469702</v>
      </c>
      <c r="G176" s="645"/>
      <c r="H176" s="974"/>
      <c r="I176" s="975"/>
    </row>
    <row r="177" spans="1:9">
      <c r="A177" s="219">
        <v>2004.12</v>
      </c>
      <c r="B177" s="322">
        <v>166.92882346533932</v>
      </c>
      <c r="C177" s="625">
        <v>159.9889939012632</v>
      </c>
      <c r="D177" s="2009">
        <v>168.54375857002009</v>
      </c>
      <c r="E177" s="2009">
        <v>121.40896708367509</v>
      </c>
      <c r="F177" s="627">
        <v>216.49175277315516</v>
      </c>
      <c r="G177" s="645"/>
      <c r="H177" s="974"/>
      <c r="I177" s="975"/>
    </row>
    <row r="178" spans="1:9">
      <c r="A178" s="219">
        <v>2005.01</v>
      </c>
      <c r="B178" s="322">
        <v>164.01406528722904</v>
      </c>
      <c r="C178" s="625">
        <v>159.69368909147599</v>
      </c>
      <c r="D178" s="2009">
        <v>165.16257042362605</v>
      </c>
      <c r="E178" s="2009">
        <v>120.47673229799197</v>
      </c>
      <c r="F178" s="627">
        <v>207.6965926490906</v>
      </c>
      <c r="G178" s="645"/>
      <c r="H178" s="974"/>
      <c r="I178" s="975"/>
    </row>
    <row r="179" spans="1:9">
      <c r="A179" s="219">
        <v>2005.02</v>
      </c>
      <c r="B179" s="322">
        <v>162.79024909068374</v>
      </c>
      <c r="C179" s="625">
        <v>162.52779617444278</v>
      </c>
      <c r="D179" s="2009">
        <v>161.974498879073</v>
      </c>
      <c r="E179" s="2009">
        <v>120.78555738080043</v>
      </c>
      <c r="F179" s="627">
        <v>201.2768366942816</v>
      </c>
      <c r="G179" s="645"/>
      <c r="H179" s="974"/>
      <c r="I179" s="975"/>
    </row>
    <row r="180" spans="1:9">
      <c r="A180" s="219">
        <v>2005.03</v>
      </c>
      <c r="B180" s="322">
        <v>159.96582727947958</v>
      </c>
      <c r="C180" s="625">
        <v>155.44588455690095</v>
      </c>
      <c r="D180" s="2009">
        <v>160.86377238686143</v>
      </c>
      <c r="E180" s="2009">
        <v>119.96600030128604</v>
      </c>
      <c r="F180" s="627">
        <v>203.07816139945024</v>
      </c>
      <c r="G180" s="645"/>
      <c r="H180" s="974"/>
      <c r="I180" s="975"/>
    </row>
    <row r="181" spans="1:9">
      <c r="A181" s="219">
        <v>2005.04</v>
      </c>
      <c r="B181" s="322">
        <v>159.6903974133597</v>
      </c>
      <c r="C181" s="625">
        <v>161.33768529007773</v>
      </c>
      <c r="D181" s="2009">
        <v>158.58478976096032</v>
      </c>
      <c r="E181" s="2009">
        <v>116.09190270997127</v>
      </c>
      <c r="F181" s="627">
        <v>196.5906418919154</v>
      </c>
      <c r="G181" s="645"/>
      <c r="H181" s="974"/>
      <c r="I181" s="975"/>
    </row>
    <row r="182" spans="1:9">
      <c r="A182" s="219">
        <v>2005.05</v>
      </c>
      <c r="B182" s="322">
        <v>161.1519701799993</v>
      </c>
      <c r="C182" s="625">
        <v>169.41675807282598</v>
      </c>
      <c r="D182" s="2009">
        <v>157.33927443823148</v>
      </c>
      <c r="E182" s="2009">
        <v>115.1706863363637</v>
      </c>
      <c r="F182" s="627">
        <v>191.6551189481909</v>
      </c>
      <c r="G182" s="645"/>
      <c r="H182" s="974"/>
      <c r="I182" s="975"/>
    </row>
    <row r="183" spans="1:9">
      <c r="A183" s="219">
        <v>2005.06</v>
      </c>
      <c r="B183" s="322">
        <v>159.05684742993202</v>
      </c>
      <c r="C183" s="625">
        <v>170.70450047182081</v>
      </c>
      <c r="D183" s="2009">
        <v>155.7470229458979</v>
      </c>
      <c r="E183" s="2009">
        <v>114.08885260497802</v>
      </c>
      <c r="F183" s="627">
        <v>182.19801214550043</v>
      </c>
      <c r="G183" s="645"/>
      <c r="H183" s="974"/>
      <c r="I183" s="975"/>
    </row>
    <row r="184" spans="1:9">
      <c r="A184" s="219">
        <v>2005.07</v>
      </c>
      <c r="B184" s="322">
        <v>157.88172079127756</v>
      </c>
      <c r="C184" s="625">
        <v>171.56823693951517</v>
      </c>
      <c r="D184" s="2009">
        <v>153.98873406504677</v>
      </c>
      <c r="E184" s="2009">
        <v>114.37777606931046</v>
      </c>
      <c r="F184" s="627">
        <v>177.76423514506959</v>
      </c>
      <c r="G184" s="645"/>
      <c r="H184" s="974"/>
      <c r="I184" s="975"/>
    </row>
    <row r="185" spans="1:9">
      <c r="A185" s="219">
        <v>2005.08</v>
      </c>
      <c r="B185" s="322">
        <v>160.02707863940361</v>
      </c>
      <c r="C185" s="625">
        <v>172.01575821002859</v>
      </c>
      <c r="D185" s="2009">
        <v>154.92400686256229</v>
      </c>
      <c r="E185" s="2009">
        <v>117.64257143226548</v>
      </c>
      <c r="F185" s="627">
        <v>181.67727387952178</v>
      </c>
      <c r="G185" s="645"/>
      <c r="H185" s="974"/>
      <c r="I185" s="975"/>
    </row>
    <row r="186" spans="1:9">
      <c r="A186" s="219">
        <v>2005.09</v>
      </c>
      <c r="B186" s="322">
        <v>162.33141247195337</v>
      </c>
      <c r="C186" s="625">
        <v>177.84412352782155</v>
      </c>
      <c r="D186" s="2009">
        <v>156.42969759791265</v>
      </c>
      <c r="E186" s="2009">
        <v>116.70917454672431</v>
      </c>
      <c r="F186" s="627">
        <v>181.73459344126329</v>
      </c>
      <c r="G186" s="645"/>
      <c r="H186" s="974"/>
      <c r="I186" s="975"/>
    </row>
    <row r="187" spans="1:9">
      <c r="A187" s="219">
        <v>2005.1</v>
      </c>
      <c r="B187" s="322">
        <v>164.50710584045891</v>
      </c>
      <c r="C187" s="625">
        <v>183.68997851936928</v>
      </c>
      <c r="D187" s="2009">
        <v>158.99328815686869</v>
      </c>
      <c r="E187" s="2009">
        <v>115.31471971458612</v>
      </c>
      <c r="F187" s="627">
        <v>180.63947397033323</v>
      </c>
      <c r="G187" s="645"/>
      <c r="H187" s="974"/>
      <c r="I187" s="975"/>
    </row>
    <row r="188" spans="1:9">
      <c r="A188" s="219">
        <v>2005.11</v>
      </c>
      <c r="B188" s="322">
        <v>163.57997427865701</v>
      </c>
      <c r="C188" s="625">
        <v>186.72462345436551</v>
      </c>
      <c r="D188" s="2009">
        <v>157.1075917386739</v>
      </c>
      <c r="E188" s="2009">
        <v>113.15073404940449</v>
      </c>
      <c r="F188" s="627">
        <v>175.06409494870795</v>
      </c>
      <c r="G188" s="645"/>
      <c r="H188" s="974"/>
      <c r="I188" s="975"/>
    </row>
    <row r="189" spans="1:9">
      <c r="A189" s="219">
        <v>2005.12</v>
      </c>
      <c r="B189" s="322">
        <v>163.5214165188537</v>
      </c>
      <c r="C189" s="625">
        <v>182.71064230259591</v>
      </c>
      <c r="D189" s="2009">
        <v>157.48588283790588</v>
      </c>
      <c r="E189" s="2009">
        <v>114.10938846091386</v>
      </c>
      <c r="F189" s="627">
        <v>177.12562408314093</v>
      </c>
      <c r="G189" s="645"/>
      <c r="H189" s="974"/>
      <c r="I189" s="975"/>
    </row>
    <row r="190" spans="1:9">
      <c r="A190" s="219">
        <v>2006.01</v>
      </c>
      <c r="B190" s="322">
        <v>164.93609877719072</v>
      </c>
      <c r="C190" s="625">
        <v>184.1281373187646</v>
      </c>
      <c r="D190" s="2009">
        <v>157.80433803474389</v>
      </c>
      <c r="E190" s="2009">
        <v>115.91905481685725</v>
      </c>
      <c r="F190" s="627">
        <v>180.71273623224056</v>
      </c>
      <c r="G190" s="645"/>
      <c r="H190" s="974"/>
      <c r="I190" s="975"/>
    </row>
    <row r="191" spans="1:9">
      <c r="A191" s="219">
        <v>2006.02</v>
      </c>
      <c r="B191" s="322">
        <v>167.81845574641557</v>
      </c>
      <c r="C191" s="625">
        <v>194.57535099753855</v>
      </c>
      <c r="D191" s="2009">
        <v>158.20418079400474</v>
      </c>
      <c r="E191" s="2009">
        <v>118.5749608786048</v>
      </c>
      <c r="F191" s="627">
        <v>177.73971817925278</v>
      </c>
      <c r="G191" s="645"/>
      <c r="H191" s="974"/>
      <c r="I191" s="975"/>
    </row>
    <row r="192" spans="1:9">
      <c r="A192" s="219">
        <v>2006.03</v>
      </c>
      <c r="B192" s="322">
        <v>167.68493051474306</v>
      </c>
      <c r="C192" s="625">
        <v>195.24131027197419</v>
      </c>
      <c r="D192" s="2009">
        <v>157.45679288097577</v>
      </c>
      <c r="E192" s="2009">
        <v>117.79876046206137</v>
      </c>
      <c r="F192" s="627">
        <v>178.88968876565991</v>
      </c>
      <c r="G192" s="645"/>
      <c r="H192" s="974"/>
      <c r="I192" s="975"/>
    </row>
    <row r="193" spans="1:9">
      <c r="A193" s="219">
        <v>2006.04</v>
      </c>
      <c r="B193" s="322">
        <v>167.25943636187134</v>
      </c>
      <c r="C193" s="625">
        <v>194.67454097027928</v>
      </c>
      <c r="D193" s="2009">
        <v>155.8339488797553</v>
      </c>
      <c r="E193" s="2009">
        <v>114.9958554923253</v>
      </c>
      <c r="F193" s="627">
        <v>181.1796724801892</v>
      </c>
      <c r="G193" s="645"/>
      <c r="H193" s="974"/>
      <c r="I193" s="975"/>
    </row>
    <row r="194" spans="1:9">
      <c r="A194" s="219">
        <v>2006.05</v>
      </c>
      <c r="B194" s="322">
        <v>166.47005492714612</v>
      </c>
      <c r="C194" s="625">
        <v>189.33858054811179</v>
      </c>
      <c r="D194" s="2009">
        <v>154.68195044624116</v>
      </c>
      <c r="E194" s="2009">
        <v>114.11395150543642</v>
      </c>
      <c r="F194" s="627">
        <v>187.13035255669377</v>
      </c>
      <c r="G194" s="645"/>
      <c r="H194" s="974"/>
      <c r="I194" s="975"/>
    </row>
    <row r="195" spans="1:9">
      <c r="A195" s="219">
        <v>2006.06</v>
      </c>
      <c r="B195" s="322">
        <v>164.32949211740882</v>
      </c>
      <c r="C195" s="625">
        <v>183.13953502218664</v>
      </c>
      <c r="D195" s="2009">
        <v>155.69260136240129</v>
      </c>
      <c r="E195" s="2009">
        <v>114.95738435792211</v>
      </c>
      <c r="F195" s="627">
        <v>186.83834298668256</v>
      </c>
      <c r="G195" s="645"/>
      <c r="H195" s="974"/>
      <c r="I195" s="975"/>
    </row>
    <row r="196" spans="1:9">
      <c r="A196" s="219">
        <v>2006.07</v>
      </c>
      <c r="B196" s="322">
        <v>165.70861372345584</v>
      </c>
      <c r="C196" s="625">
        <v>187.37178644746311</v>
      </c>
      <c r="D196" s="2009">
        <v>155.48839952100639</v>
      </c>
      <c r="E196" s="2009">
        <v>115.46199216760171</v>
      </c>
      <c r="F196" s="627">
        <v>186.34656814185215</v>
      </c>
      <c r="G196" s="645"/>
      <c r="H196" s="974"/>
      <c r="I196" s="975"/>
    </row>
    <row r="197" spans="1:9">
      <c r="A197" s="219">
        <v>2006.08</v>
      </c>
      <c r="B197" s="322">
        <v>166.25181793880662</v>
      </c>
      <c r="C197" s="625">
        <v>188.83944398106408</v>
      </c>
      <c r="D197" s="2009">
        <v>155.21871774800462</v>
      </c>
      <c r="E197" s="2009">
        <v>116.46705508749318</v>
      </c>
      <c r="F197" s="627">
        <v>186.45083682481965</v>
      </c>
      <c r="G197" s="645"/>
      <c r="H197" s="974"/>
      <c r="I197" s="975"/>
    </row>
    <row r="198" spans="1:9">
      <c r="A198" s="219">
        <v>2006.09</v>
      </c>
      <c r="B198" s="322">
        <v>165.89999110969424</v>
      </c>
      <c r="C198" s="625">
        <v>188.29020365872691</v>
      </c>
      <c r="D198" s="2009">
        <v>155.03830829783965</v>
      </c>
      <c r="E198" s="2009">
        <v>116.21405380382991</v>
      </c>
      <c r="F198" s="627">
        <v>185.38322714336599</v>
      </c>
      <c r="G198" s="645"/>
      <c r="H198" s="974"/>
      <c r="I198" s="975"/>
    </row>
    <row r="199" spans="1:9">
      <c r="A199" s="219">
        <v>2006.1</v>
      </c>
      <c r="B199" s="322">
        <v>164.77111834461599</v>
      </c>
      <c r="C199" s="625">
        <v>188.6583884662991</v>
      </c>
      <c r="D199" s="2009">
        <v>152.90277914877842</v>
      </c>
      <c r="E199" s="2009">
        <v>113.29448599863443</v>
      </c>
      <c r="F199" s="627">
        <v>182.17208338178324</v>
      </c>
      <c r="G199" s="645"/>
      <c r="H199" s="974"/>
      <c r="I199" s="975"/>
    </row>
    <row r="200" spans="1:9">
      <c r="A200" s="219">
        <v>2006.11</v>
      </c>
      <c r="B200" s="322">
        <v>163.15132189672815</v>
      </c>
      <c r="C200" s="625">
        <v>185.63684141082624</v>
      </c>
      <c r="D200" s="2009">
        <v>150.28477241041472</v>
      </c>
      <c r="E200" s="2009">
        <v>111.16452940333463</v>
      </c>
      <c r="F200" s="627">
        <v>183.24636793901121</v>
      </c>
      <c r="G200" s="645"/>
      <c r="H200" s="974"/>
      <c r="I200" s="975"/>
    </row>
    <row r="201" spans="1:9">
      <c r="A201" s="219">
        <v>2006.12</v>
      </c>
      <c r="B201" s="322">
        <v>162.74750861526249</v>
      </c>
      <c r="C201" s="625">
        <v>184.60787028946208</v>
      </c>
      <c r="D201" s="2009">
        <v>148.72736711122519</v>
      </c>
      <c r="E201" s="2009">
        <v>111.39326361664955</v>
      </c>
      <c r="F201" s="627">
        <v>185.64712492936425</v>
      </c>
      <c r="G201" s="645"/>
      <c r="H201" s="974"/>
      <c r="I201" s="975"/>
    </row>
    <row r="202" spans="1:9">
      <c r="A202" s="219">
        <v>2007.01</v>
      </c>
      <c r="B202" s="322">
        <v>162.30224209682197</v>
      </c>
      <c r="C202" s="625">
        <v>185.98386064547216</v>
      </c>
      <c r="D202" s="2009">
        <v>148.95351827705468</v>
      </c>
      <c r="E202" s="2009">
        <v>113.50162375989929</v>
      </c>
      <c r="F202" s="627">
        <v>182.15612760376399</v>
      </c>
      <c r="G202" s="645"/>
      <c r="H202" s="974"/>
      <c r="I202" s="975"/>
    </row>
    <row r="203" spans="1:9">
      <c r="A203" s="219">
        <v>2007.02</v>
      </c>
      <c r="B203" s="322">
        <v>163.75370382945789</v>
      </c>
      <c r="C203" s="625">
        <v>189.78776068887191</v>
      </c>
      <c r="D203" s="2009">
        <v>148.89620332935172</v>
      </c>
      <c r="E203" s="2009">
        <v>116.1307242674886</v>
      </c>
      <c r="F203" s="627">
        <v>182.68095570026455</v>
      </c>
      <c r="G203" s="645"/>
      <c r="H203" s="974"/>
      <c r="I203" s="975"/>
    </row>
    <row r="204" spans="1:9">
      <c r="A204" s="219">
        <v>2007.03</v>
      </c>
      <c r="B204" s="322">
        <v>163.72111782407003</v>
      </c>
      <c r="C204" s="625">
        <v>189.68538452551829</v>
      </c>
      <c r="D204" s="2009">
        <v>148.17579563130019</v>
      </c>
      <c r="E204" s="2009">
        <v>115.58746823411721</v>
      </c>
      <c r="F204" s="627">
        <v>184.21853587622155</v>
      </c>
      <c r="G204" s="645"/>
      <c r="H204" s="974"/>
      <c r="I204" s="975"/>
    </row>
    <row r="205" spans="1:9">
      <c r="A205" s="219">
        <v>2007.04</v>
      </c>
      <c r="B205" s="322">
        <v>163.76234069474759</v>
      </c>
      <c r="C205" s="625">
        <v>191.79171081111289</v>
      </c>
      <c r="D205" s="2009">
        <v>145.92016238916779</v>
      </c>
      <c r="E205" s="2009">
        <v>112.17317604338999</v>
      </c>
      <c r="F205" s="627">
        <v>185.44617194105922</v>
      </c>
      <c r="G205" s="645"/>
      <c r="H205" s="974"/>
      <c r="I205" s="975"/>
    </row>
    <row r="206" spans="1:9">
      <c r="A206" s="219">
        <v>2007.05</v>
      </c>
      <c r="B206" s="322">
        <v>162.06739952384697</v>
      </c>
      <c r="C206" s="625">
        <v>191.85252970236516</v>
      </c>
      <c r="D206" s="2009">
        <v>142.82710072542341</v>
      </c>
      <c r="E206" s="2009">
        <v>110.5984809573919</v>
      </c>
      <c r="F206" s="627">
        <v>181.71213760699138</v>
      </c>
      <c r="G206" s="645"/>
      <c r="H206" s="974"/>
      <c r="I206" s="975"/>
    </row>
    <row r="207" spans="1:9">
      <c r="A207" s="219">
        <v>2007.06</v>
      </c>
      <c r="B207" s="322">
        <v>159.99890310797758</v>
      </c>
      <c r="C207" s="625">
        <v>193.14579021851398</v>
      </c>
      <c r="D207" s="2009">
        <v>139.88442611767729</v>
      </c>
      <c r="E207" s="2009">
        <v>109.6211110597222</v>
      </c>
      <c r="F207" s="627">
        <v>176.46973327821325</v>
      </c>
      <c r="G207" s="645"/>
      <c r="H207" s="974"/>
      <c r="I207" s="975"/>
    </row>
    <row r="208" spans="1:9">
      <c r="A208" s="219">
        <v>2007.07</v>
      </c>
      <c r="B208" s="322">
        <v>160.71034383857682</v>
      </c>
      <c r="C208" s="625">
        <v>195.5742391205585</v>
      </c>
      <c r="D208" s="2009">
        <v>138.064527807621</v>
      </c>
      <c r="E208" s="2009">
        <v>110.75368207310484</v>
      </c>
      <c r="F208" s="627">
        <v>177.48928383346535</v>
      </c>
      <c r="G208" s="645"/>
      <c r="H208" s="974"/>
      <c r="I208" s="975"/>
    </row>
    <row r="209" spans="1:9">
      <c r="A209" s="219">
        <v>2007.08</v>
      </c>
      <c r="B209" s="322">
        <v>156.56263102809129</v>
      </c>
      <c r="C209" s="625">
        <v>186.06324487286219</v>
      </c>
      <c r="D209" s="2009">
        <v>136.03282988101842</v>
      </c>
      <c r="E209" s="2009">
        <v>111.64437286435238</v>
      </c>
      <c r="F209" s="627">
        <v>173.55624778884101</v>
      </c>
      <c r="G209" s="645"/>
      <c r="H209" s="974"/>
      <c r="I209" s="975"/>
    </row>
    <row r="210" spans="1:9">
      <c r="A210" s="219">
        <v>2007.09</v>
      </c>
      <c r="B210" s="322">
        <v>155.41269399862912</v>
      </c>
      <c r="C210" s="625">
        <v>186.66904521851694</v>
      </c>
      <c r="D210" s="2009">
        <v>132.64438347455115</v>
      </c>
      <c r="E210" s="2009">
        <v>108.9529240844212</v>
      </c>
      <c r="F210" s="627">
        <v>172.69925634497773</v>
      </c>
      <c r="G210" s="645"/>
      <c r="H210" s="974"/>
      <c r="I210" s="975"/>
    </row>
    <row r="211" spans="1:9">
      <c r="A211" s="219">
        <v>2007.1</v>
      </c>
      <c r="B211" s="322">
        <v>158.29431563213407</v>
      </c>
      <c r="C211" s="625">
        <v>195.37607130049429</v>
      </c>
      <c r="D211" s="2009">
        <v>131.37857855659465</v>
      </c>
      <c r="E211" s="2009">
        <v>105.60575016323754</v>
      </c>
      <c r="F211" s="627">
        <v>175.06701834892826</v>
      </c>
      <c r="G211" s="645"/>
      <c r="H211" s="974"/>
      <c r="I211" s="975"/>
    </row>
    <row r="212" spans="1:9">
      <c r="A212" s="219">
        <v>2007.11</v>
      </c>
      <c r="B212" s="322">
        <v>159.23307245755672</v>
      </c>
      <c r="C212" s="625">
        <v>197.12252166504791</v>
      </c>
      <c r="D212" s="2009">
        <v>130.4299587535312</v>
      </c>
      <c r="E212" s="2009">
        <v>104.8951843264537</v>
      </c>
      <c r="F212" s="627">
        <v>179.20782054054936</v>
      </c>
      <c r="G212" s="645"/>
      <c r="H212" s="974"/>
      <c r="I212" s="975"/>
    </row>
    <row r="213" spans="1:9">
      <c r="A213" s="219">
        <v>2007.12</v>
      </c>
      <c r="B213" s="322">
        <v>159.1101801141989</v>
      </c>
      <c r="C213" s="625">
        <v>195.86753252984232</v>
      </c>
      <c r="D213" s="2009">
        <v>130.96329038387003</v>
      </c>
      <c r="E213" s="2009">
        <v>106.57622428532721</v>
      </c>
      <c r="F213" s="627">
        <v>178.3335615818381</v>
      </c>
      <c r="G213" s="645"/>
      <c r="H213" s="974"/>
      <c r="I213" s="975"/>
    </row>
    <row r="214" spans="1:9">
      <c r="A214" s="219">
        <f t="shared" ref="A214:A277" si="0">A202+1</f>
        <v>2008.01</v>
      </c>
      <c r="B214" s="322">
        <v>159.27340420776062</v>
      </c>
      <c r="C214" s="625">
        <v>195.73110477295242</v>
      </c>
      <c r="D214" s="2009">
        <v>129.57436662249066</v>
      </c>
      <c r="E214" s="2009">
        <v>108.81722071373026</v>
      </c>
      <c r="F214" s="627">
        <v>177.78992936131451</v>
      </c>
      <c r="G214" s="645"/>
      <c r="H214" s="974"/>
      <c r="I214" s="975"/>
    </row>
    <row r="215" spans="1:9">
      <c r="A215" s="219">
        <f t="shared" si="0"/>
        <v>2008.02</v>
      </c>
      <c r="B215" s="322">
        <v>159.44734015322967</v>
      </c>
      <c r="C215" s="625">
        <v>197.69937679035718</v>
      </c>
      <c r="D215" s="2009">
        <v>127.80469667500873</v>
      </c>
      <c r="E215" s="2009">
        <v>111.60618213611569</v>
      </c>
      <c r="F215" s="627">
        <v>175.20248179273491</v>
      </c>
      <c r="G215" s="645"/>
      <c r="H215" s="974"/>
      <c r="I215" s="975"/>
    </row>
    <row r="216" spans="1:9">
      <c r="A216" s="219">
        <f t="shared" si="0"/>
        <v>2008.03</v>
      </c>
      <c r="B216" s="322">
        <v>159.14295097367912</v>
      </c>
      <c r="C216" s="625">
        <v>195.48737541458618</v>
      </c>
      <c r="D216" s="2009">
        <v>124.15195126165308</v>
      </c>
      <c r="E216" s="2009">
        <v>110.37596980991437</v>
      </c>
      <c r="F216" s="627">
        <v>180.08617334421351</v>
      </c>
      <c r="G216" s="645"/>
      <c r="H216" s="974"/>
      <c r="I216" s="975"/>
    </row>
    <row r="217" spans="1:9">
      <c r="A217" s="219">
        <f t="shared" si="0"/>
        <v>2008.04</v>
      </c>
      <c r="B217" s="322">
        <v>156.14403497190108</v>
      </c>
      <c r="C217" s="625">
        <v>192.7670702257212</v>
      </c>
      <c r="D217" s="2009">
        <v>120.68776897840156</v>
      </c>
      <c r="E217" s="2009">
        <v>106.78172633071077</v>
      </c>
      <c r="F217" s="627">
        <v>177.9325766114992</v>
      </c>
      <c r="G217" s="645"/>
      <c r="H217" s="974"/>
      <c r="I217" s="975"/>
    </row>
    <row r="218" spans="1:9">
      <c r="A218" s="219">
        <f t="shared" si="0"/>
        <v>2008.05</v>
      </c>
      <c r="B218" s="322">
        <v>153.65651487304581</v>
      </c>
      <c r="C218" s="625">
        <v>193.20702991484734</v>
      </c>
      <c r="D218" s="2009">
        <v>118.73048959538693</v>
      </c>
      <c r="E218" s="2009">
        <v>105.17700154096912</v>
      </c>
      <c r="F218" s="627">
        <v>173.19522756714409</v>
      </c>
      <c r="G218" s="645"/>
      <c r="H218" s="974"/>
      <c r="I218" s="975"/>
    </row>
    <row r="219" spans="1:9">
      <c r="A219" s="219">
        <f t="shared" si="0"/>
        <v>2008.06</v>
      </c>
      <c r="B219" s="322">
        <v>148.50959524331455</v>
      </c>
      <c r="C219" s="625">
        <v>190.24779071701889</v>
      </c>
      <c r="D219" s="2009">
        <v>114.1787217854143</v>
      </c>
      <c r="E219" s="2009">
        <v>101.69454463529134</v>
      </c>
      <c r="F219" s="627">
        <v>166.15879491300549</v>
      </c>
      <c r="G219" s="645"/>
      <c r="H219" s="974"/>
      <c r="I219" s="975"/>
    </row>
    <row r="220" spans="1:9">
      <c r="A220" s="219">
        <f t="shared" si="0"/>
        <v>2008.07</v>
      </c>
      <c r="B220" s="322">
        <v>146.98973284371391</v>
      </c>
      <c r="C220" s="625">
        <v>189.73152082710854</v>
      </c>
      <c r="D220" s="2009">
        <v>112.15165128829317</v>
      </c>
      <c r="E220" s="2009">
        <v>101.10404144778111</v>
      </c>
      <c r="F220" s="627">
        <v>163.85669864570988</v>
      </c>
      <c r="G220" s="645"/>
      <c r="H220" s="974"/>
      <c r="I220" s="975"/>
    </row>
    <row r="221" spans="1:9">
      <c r="A221" s="219">
        <f t="shared" si="0"/>
        <v>2008.08</v>
      </c>
      <c r="B221" s="322">
        <v>143.61354033181348</v>
      </c>
      <c r="C221" s="625">
        <v>186.73405815346081</v>
      </c>
      <c r="D221" s="2009">
        <v>111.6539667965568</v>
      </c>
      <c r="E221" s="2009">
        <v>101.45345734577974</v>
      </c>
      <c r="F221" s="627">
        <v>154.08163858585741</v>
      </c>
      <c r="G221" s="645"/>
      <c r="H221" s="974"/>
      <c r="I221" s="975"/>
    </row>
    <row r="222" spans="1:9">
      <c r="A222" s="219">
        <f t="shared" si="0"/>
        <v>2008.09</v>
      </c>
      <c r="B222" s="322">
        <v>137.3532236800913</v>
      </c>
      <c r="C222" s="625">
        <v>169.30417935036601</v>
      </c>
      <c r="D222" s="2009">
        <v>112.41086086339719</v>
      </c>
      <c r="E222" s="2009">
        <v>101.18379953939414</v>
      </c>
      <c r="F222" s="627">
        <v>149.19487342761462</v>
      </c>
      <c r="G222" s="645"/>
      <c r="H222" s="974"/>
      <c r="I222" s="975"/>
    </row>
    <row r="223" spans="1:9">
      <c r="A223" s="219">
        <f t="shared" si="0"/>
        <v>2008.1</v>
      </c>
      <c r="B223" s="322">
        <v>128.22641161402126</v>
      </c>
      <c r="C223" s="625">
        <v>144.61101970943184</v>
      </c>
      <c r="D223" s="2009">
        <v>116.4860038129145</v>
      </c>
      <c r="E223" s="2009">
        <v>102.73692077947523</v>
      </c>
      <c r="F223" s="627">
        <v>143.40647125916914</v>
      </c>
      <c r="G223" s="645"/>
      <c r="H223" s="974"/>
      <c r="I223" s="975"/>
    </row>
    <row r="224" spans="1:9">
      <c r="A224" s="219">
        <f t="shared" si="0"/>
        <v>2008.11</v>
      </c>
      <c r="B224" s="322">
        <v>127.53745205892336</v>
      </c>
      <c r="C224" s="625">
        <v>144.16949360346374</v>
      </c>
      <c r="D224" s="2009">
        <v>117.61363914228559</v>
      </c>
      <c r="E224" s="2009">
        <v>103.59228485967151</v>
      </c>
      <c r="F224" s="627">
        <v>140.59918964619459</v>
      </c>
      <c r="G224" s="645"/>
      <c r="H224" s="974"/>
      <c r="I224" s="975"/>
    </row>
    <row r="225" spans="1:9">
      <c r="A225" s="219">
        <f t="shared" si="0"/>
        <v>2008.12</v>
      </c>
      <c r="B225" s="322">
        <v>129.13233580137458</v>
      </c>
      <c r="C225" s="625">
        <v>139.03859695897751</v>
      </c>
      <c r="D225" s="2009">
        <v>118.87673698416236</v>
      </c>
      <c r="E225" s="2009">
        <v>105.33438188290896</v>
      </c>
      <c r="F225" s="627">
        <v>152.2895360450363</v>
      </c>
      <c r="G225" s="645"/>
      <c r="H225" s="974"/>
      <c r="I225" s="975"/>
    </row>
    <row r="226" spans="1:9">
      <c r="A226" s="219">
        <f t="shared" si="0"/>
        <v>2009.01</v>
      </c>
      <c r="B226" s="322">
        <v>131.18385305457971</v>
      </c>
      <c r="C226" s="625">
        <v>145.73944227160368</v>
      </c>
      <c r="D226" s="2009">
        <v>118.77107090153407</v>
      </c>
      <c r="E226" s="2009">
        <v>106.94328960990744</v>
      </c>
      <c r="F226" s="627">
        <v>149.3659869301782</v>
      </c>
      <c r="G226" s="645"/>
      <c r="H226" s="974"/>
      <c r="I226" s="975"/>
    </row>
    <row r="227" spans="1:9">
      <c r="A227" s="219">
        <f t="shared" si="0"/>
        <v>2009.02</v>
      </c>
      <c r="B227" s="322">
        <v>131.35500936623166</v>
      </c>
      <c r="C227" s="625">
        <v>147.2599015455792</v>
      </c>
      <c r="D227" s="2009">
        <v>120.17479867947158</v>
      </c>
      <c r="E227" s="2009">
        <v>109.71324002750222</v>
      </c>
      <c r="F227" s="627">
        <v>144.79990509078849</v>
      </c>
      <c r="G227" s="645"/>
      <c r="H227" s="974"/>
      <c r="I227" s="975"/>
    </row>
    <row r="228" spans="1:9">
      <c r="A228" s="219">
        <f t="shared" si="0"/>
        <v>2009.03</v>
      </c>
      <c r="B228" s="322">
        <v>135.84940317462838</v>
      </c>
      <c r="C228" s="625">
        <v>152.39837816433385</v>
      </c>
      <c r="D228" s="2009">
        <v>123.74580087678598</v>
      </c>
      <c r="E228" s="2009">
        <v>112.54359903635618</v>
      </c>
      <c r="F228" s="627">
        <v>152.58115453771913</v>
      </c>
      <c r="G228" s="645"/>
      <c r="H228" s="974"/>
      <c r="I228" s="975"/>
    </row>
    <row r="229" spans="1:9">
      <c r="A229" s="219">
        <f t="shared" si="0"/>
        <v>2009.04</v>
      </c>
      <c r="B229" s="322">
        <v>137.74600810151921</v>
      </c>
      <c r="C229" s="625">
        <v>158.59446402959347</v>
      </c>
      <c r="D229" s="2009">
        <v>122.39988289874567</v>
      </c>
      <c r="E229" s="2009">
        <v>110.04194922013457</v>
      </c>
      <c r="F229" s="627">
        <v>153.22274655328724</v>
      </c>
      <c r="G229" s="645"/>
      <c r="H229" s="974"/>
      <c r="I229" s="975"/>
    </row>
    <row r="230" spans="1:9">
      <c r="A230" s="219">
        <f t="shared" si="0"/>
        <v>2009.05</v>
      </c>
      <c r="B230" s="322">
        <v>142.54750068237897</v>
      </c>
      <c r="C230" s="625">
        <v>169.6017113191711</v>
      </c>
      <c r="D230" s="2009">
        <v>122.14230831340105</v>
      </c>
      <c r="E230" s="2009">
        <v>109.84583990648201</v>
      </c>
      <c r="F230" s="627">
        <v>158.40579622451082</v>
      </c>
      <c r="G230" s="645"/>
      <c r="H230" s="974"/>
      <c r="I230" s="975"/>
    </row>
    <row r="231" spans="1:9">
      <c r="A231" s="219">
        <f t="shared" si="0"/>
        <v>2009.06</v>
      </c>
      <c r="B231" s="322">
        <v>147.68972909573984</v>
      </c>
      <c r="C231" s="625">
        <v>180.78912355193123</v>
      </c>
      <c r="D231" s="2009">
        <v>123.31698280517922</v>
      </c>
      <c r="E231" s="2009">
        <v>110.39856761385391</v>
      </c>
      <c r="F231" s="627">
        <v>163.4030091050104</v>
      </c>
      <c r="G231" s="645"/>
      <c r="H231" s="974"/>
      <c r="I231" s="975"/>
    </row>
    <row r="232" spans="1:9">
      <c r="A232" s="219">
        <f t="shared" si="0"/>
        <v>2009.07</v>
      </c>
      <c r="B232" s="322">
        <v>149.16630711430244</v>
      </c>
      <c r="C232" s="625">
        <v>183.33614139147062</v>
      </c>
      <c r="D232" s="2009">
        <v>124.09898620815906</v>
      </c>
      <c r="E232" s="2009">
        <v>111.75307068634186</v>
      </c>
      <c r="F232" s="627">
        <v>163.85083692915791</v>
      </c>
      <c r="G232" s="645"/>
      <c r="H232" s="974"/>
      <c r="I232" s="975"/>
    </row>
    <row r="233" spans="1:9">
      <c r="A233" s="219">
        <f t="shared" si="0"/>
        <v>2009.08</v>
      </c>
      <c r="B233" s="322">
        <v>151.6934559556332</v>
      </c>
      <c r="C233" s="625">
        <v>191.70562207440241</v>
      </c>
      <c r="D233" s="2009">
        <v>123.50590925462446</v>
      </c>
      <c r="E233" s="2009">
        <v>112.79995385625509</v>
      </c>
      <c r="F233" s="627">
        <v>164.92189844324989</v>
      </c>
      <c r="G233" s="645"/>
      <c r="H233" s="974"/>
      <c r="I233" s="975"/>
    </row>
    <row r="234" spans="1:9">
      <c r="A234" s="219">
        <f t="shared" si="0"/>
        <v>2009.09</v>
      </c>
      <c r="B234" s="322">
        <v>151.14923280633005</v>
      </c>
      <c r="C234" s="625">
        <v>191.90748222917088</v>
      </c>
      <c r="D234" s="2009">
        <v>121.87904624202298</v>
      </c>
      <c r="E234" s="2009">
        <v>110.35773113364006</v>
      </c>
      <c r="F234" s="627">
        <v>165.98548868099516</v>
      </c>
      <c r="G234" s="645"/>
      <c r="H234" s="974"/>
      <c r="I234" s="975"/>
    </row>
    <row r="235" spans="1:9">
      <c r="A235" s="219">
        <f t="shared" si="0"/>
        <v>2009.1</v>
      </c>
      <c r="B235" s="322">
        <v>151.55156036893976</v>
      </c>
      <c r="C235" s="625">
        <v>197.33966369948627</v>
      </c>
      <c r="D235" s="2009">
        <v>119.74930743489961</v>
      </c>
      <c r="E235" s="2009">
        <v>105.93890785106498</v>
      </c>
      <c r="F235" s="627">
        <v>165.5566899125275</v>
      </c>
      <c r="G235" s="645"/>
      <c r="H235" s="974"/>
      <c r="I235" s="975"/>
    </row>
    <row r="236" spans="1:9">
      <c r="A236" s="219">
        <f t="shared" si="0"/>
        <v>2009.11</v>
      </c>
      <c r="B236" s="322">
        <v>150.45908549061943</v>
      </c>
      <c r="C236" s="625">
        <v>195.43040652746672</v>
      </c>
      <c r="D236" s="2009">
        <v>117.99275784644988</v>
      </c>
      <c r="E236" s="2009">
        <v>103.11406009728998</v>
      </c>
      <c r="F236" s="627">
        <v>164.02776985203661</v>
      </c>
      <c r="G236" s="645"/>
      <c r="H236" s="974"/>
      <c r="I236" s="975"/>
    </row>
    <row r="237" spans="1:9">
      <c r="A237" s="219">
        <f t="shared" si="0"/>
        <v>2009.12</v>
      </c>
      <c r="B237" s="322">
        <v>146.27906686610976</v>
      </c>
      <c r="C237" s="625">
        <v>189.23644744274304</v>
      </c>
      <c r="D237" s="2009">
        <v>115.49121952221218</v>
      </c>
      <c r="E237" s="2009">
        <v>101.58752782255122</v>
      </c>
      <c r="F237" s="627">
        <v>156.9707169094772</v>
      </c>
      <c r="G237" s="645"/>
      <c r="H237" s="974"/>
      <c r="I237" s="975"/>
    </row>
    <row r="238" spans="1:9">
      <c r="A238" s="219">
        <f t="shared" si="0"/>
        <v>2010.01</v>
      </c>
      <c r="B238" s="322">
        <v>141.43127423592085</v>
      </c>
      <c r="C238" s="625">
        <v>182.05599177354347</v>
      </c>
      <c r="D238" s="2009">
        <v>112.52647742453705</v>
      </c>
      <c r="E238" s="2009">
        <v>100.42935121068642</v>
      </c>
      <c r="F238" s="627">
        <v>149.23513368138893</v>
      </c>
      <c r="G238" s="645"/>
      <c r="H238" s="974"/>
      <c r="I238" s="975"/>
    </row>
    <row r="239" spans="1:9">
      <c r="A239" s="219">
        <f t="shared" si="0"/>
        <v>2010.02</v>
      </c>
      <c r="B239" s="322">
        <v>135.74724111796101</v>
      </c>
      <c r="C239" s="625">
        <v>174.00045109514741</v>
      </c>
      <c r="D239" s="2009">
        <v>110.20034098884442</v>
      </c>
      <c r="E239" s="2009">
        <v>100.45056330437501</v>
      </c>
      <c r="F239" s="627">
        <v>139.67785256481116</v>
      </c>
      <c r="G239" s="645"/>
      <c r="H239" s="974"/>
      <c r="I239" s="975"/>
    </row>
    <row r="240" spans="1:9">
      <c r="A240" s="219">
        <f t="shared" si="0"/>
        <v>2010.03</v>
      </c>
      <c r="B240" s="322">
        <v>133.74127768683007</v>
      </c>
      <c r="C240" s="625">
        <v>174.90222129236932</v>
      </c>
      <c r="D240" s="2009">
        <v>106.81280765450823</v>
      </c>
      <c r="E240" s="2009">
        <v>97.587513378313844</v>
      </c>
      <c r="F240" s="627">
        <v>135.58187737609526</v>
      </c>
      <c r="G240" s="645"/>
      <c r="H240" s="974"/>
      <c r="I240" s="975"/>
    </row>
    <row r="241" spans="1:9">
      <c r="A241" s="219">
        <f t="shared" si="0"/>
        <v>2010.04</v>
      </c>
      <c r="B241" s="322">
        <v>132.61786781597624</v>
      </c>
      <c r="C241" s="625">
        <v>175.50463790109717</v>
      </c>
      <c r="D241" s="2009">
        <v>105.12101302158935</v>
      </c>
      <c r="E241" s="2009">
        <v>94.912551345256986</v>
      </c>
      <c r="F241" s="627">
        <v>132.96711502631467</v>
      </c>
      <c r="G241" s="645"/>
      <c r="H241" s="974"/>
      <c r="I241" s="975"/>
    </row>
    <row r="242" spans="1:9">
      <c r="A242" s="219">
        <f t="shared" si="0"/>
        <v>2010.05</v>
      </c>
      <c r="B242" s="322">
        <v>128.20502962332719</v>
      </c>
      <c r="C242" s="625">
        <v>170.02810162105527</v>
      </c>
      <c r="D242" s="2009">
        <v>104.28944667711711</v>
      </c>
      <c r="E242" s="2009">
        <v>94.514808989483058</v>
      </c>
      <c r="F242" s="627">
        <v>124.0965382404917</v>
      </c>
      <c r="G242" s="645"/>
      <c r="H242" s="974"/>
      <c r="I242" s="975"/>
    </row>
    <row r="243" spans="1:9">
      <c r="A243" s="219">
        <f t="shared" si="0"/>
        <v>2010.06</v>
      </c>
      <c r="B243" s="322">
        <v>126.60627747499035</v>
      </c>
      <c r="C243" s="625">
        <v>169.8691091812529</v>
      </c>
      <c r="D243" s="2009">
        <v>103.49742702795336</v>
      </c>
      <c r="E243" s="2009">
        <v>94.162901405963268</v>
      </c>
      <c r="F243" s="627">
        <v>119.46573378288167</v>
      </c>
      <c r="G243" s="645"/>
      <c r="H243" s="974"/>
      <c r="I243" s="975"/>
    </row>
    <row r="244" spans="1:9">
      <c r="A244" s="219">
        <f t="shared" si="0"/>
        <v>2010.07</v>
      </c>
      <c r="B244" s="322">
        <v>127.96275138767186</v>
      </c>
      <c r="C244" s="625">
        <v>171.39139665090727</v>
      </c>
      <c r="D244" s="2009">
        <v>102.49563627686554</v>
      </c>
      <c r="E244" s="2009">
        <v>94.770915486194411</v>
      </c>
      <c r="F244" s="627">
        <v>123.59868158838931</v>
      </c>
      <c r="G244" s="645"/>
      <c r="H244" s="974"/>
      <c r="I244" s="975"/>
    </row>
    <row r="245" spans="1:9">
      <c r="A245" s="219">
        <f t="shared" si="0"/>
        <v>2010.08</v>
      </c>
      <c r="B245" s="322">
        <v>127.72426650910541</v>
      </c>
      <c r="C245" s="625">
        <v>170.40187643286896</v>
      </c>
      <c r="D245" s="2009">
        <v>101.46318647136327</v>
      </c>
      <c r="E245" s="2009">
        <v>95.27072851232839</v>
      </c>
      <c r="F245" s="627">
        <v>122.95690425165606</v>
      </c>
      <c r="G245" s="645"/>
      <c r="H245" s="974"/>
      <c r="I245" s="975"/>
    </row>
    <row r="246" spans="1:9">
      <c r="A246" s="219">
        <f t="shared" si="0"/>
        <v>2010.09</v>
      </c>
      <c r="B246" s="322">
        <v>128.7056969824711</v>
      </c>
      <c r="C246" s="625">
        <v>173.36207829520703</v>
      </c>
      <c r="D246" s="2009">
        <v>100.64688383995968</v>
      </c>
      <c r="E246" s="2009">
        <v>94.503769984057442</v>
      </c>
      <c r="F246" s="627">
        <v>123.75785249862089</v>
      </c>
      <c r="G246" s="645"/>
      <c r="H246" s="974"/>
      <c r="I246" s="975"/>
    </row>
    <row r="247" spans="1:9">
      <c r="A247" s="219">
        <f t="shared" si="0"/>
        <v>2010.1</v>
      </c>
      <c r="B247" s="322">
        <v>129.49340864146714</v>
      </c>
      <c r="C247" s="625">
        <v>173.96118234203408</v>
      </c>
      <c r="D247" s="2009">
        <v>98.620322577076905</v>
      </c>
      <c r="E247" s="2009">
        <v>91.86601774191044</v>
      </c>
      <c r="F247" s="627">
        <v>128.95563354851507</v>
      </c>
      <c r="G247" s="645"/>
      <c r="H247" s="974"/>
      <c r="I247" s="975"/>
    </row>
    <row r="248" spans="1:9">
      <c r="A248" s="219">
        <f t="shared" si="0"/>
        <v>2010.11</v>
      </c>
      <c r="B248" s="322">
        <v>126.01228875825714</v>
      </c>
      <c r="C248" s="625">
        <v>168.59779498440494</v>
      </c>
      <c r="D248" s="2009">
        <v>96.7412813562552</v>
      </c>
      <c r="E248" s="2009">
        <v>89.888770003173448</v>
      </c>
      <c r="F248" s="627">
        <v>124.11094473697293</v>
      </c>
      <c r="G248" s="645"/>
      <c r="H248" s="974"/>
      <c r="I248" s="975"/>
    </row>
    <row r="249" spans="1:9">
      <c r="A249" s="219">
        <f t="shared" si="0"/>
        <v>2010.12</v>
      </c>
      <c r="B249" s="322">
        <v>124.50316957888204</v>
      </c>
      <c r="C249" s="625">
        <v>168.86200774446397</v>
      </c>
      <c r="D249" s="2009">
        <v>95.537476054198976</v>
      </c>
      <c r="E249" s="2009">
        <v>89.321796018062145</v>
      </c>
      <c r="F249" s="627">
        <v>118.78199741860401</v>
      </c>
      <c r="G249" s="645"/>
      <c r="H249" s="974"/>
      <c r="I249" s="975"/>
    </row>
    <row r="250" spans="1:9">
      <c r="A250" s="219">
        <f t="shared" si="0"/>
        <v>2011.01</v>
      </c>
      <c r="B250" s="322">
        <v>124.61287436342766</v>
      </c>
      <c r="C250" s="625">
        <v>169.92294211102302</v>
      </c>
      <c r="D250" s="2009">
        <v>94.711588612044679</v>
      </c>
      <c r="E250" s="2009">
        <v>90.164938260277253</v>
      </c>
      <c r="F250" s="627">
        <v>118.52064039355724</v>
      </c>
      <c r="G250" s="645"/>
      <c r="H250" s="974"/>
      <c r="I250" s="975"/>
    </row>
    <row r="251" spans="1:9">
      <c r="A251" s="219">
        <f t="shared" si="0"/>
        <v>2011.02</v>
      </c>
      <c r="B251" s="322">
        <v>126.45368647994792</v>
      </c>
      <c r="C251" s="625">
        <v>172.09025987644981</v>
      </c>
      <c r="D251" s="2009">
        <v>94.931292252836911</v>
      </c>
      <c r="E251" s="2009">
        <v>92.426649967126764</v>
      </c>
      <c r="F251" s="627">
        <v>120.77670138402097</v>
      </c>
      <c r="G251" s="645"/>
      <c r="H251" s="974"/>
      <c r="I251" s="975"/>
    </row>
    <row r="252" spans="1:9">
      <c r="A252" s="219">
        <f t="shared" si="0"/>
        <v>2011.03</v>
      </c>
      <c r="B252" s="322">
        <v>126.52727769508638</v>
      </c>
      <c r="C252" s="625">
        <v>171.82247196182439</v>
      </c>
      <c r="D252" s="2009">
        <v>93.891300540165219</v>
      </c>
      <c r="E252" s="2009">
        <v>91.593706437623922</v>
      </c>
      <c r="F252" s="627">
        <v>123.31290023786691</v>
      </c>
      <c r="G252" s="645"/>
      <c r="H252" s="974"/>
      <c r="I252" s="975"/>
    </row>
    <row r="253" spans="1:9">
      <c r="A253" s="219">
        <f t="shared" si="0"/>
        <v>2011.04</v>
      </c>
      <c r="B253" s="322">
        <v>128.22840412310171</v>
      </c>
      <c r="C253" s="625">
        <v>177.81069274758923</v>
      </c>
      <c r="D253" s="2009">
        <v>92.62216848745787</v>
      </c>
      <c r="E253" s="2009">
        <v>89.532109229726302</v>
      </c>
      <c r="F253" s="627">
        <v>125.93203394235132</v>
      </c>
      <c r="G253" s="645"/>
      <c r="H253" s="974"/>
      <c r="I253" s="975"/>
    </row>
    <row r="254" spans="1:9">
      <c r="A254" s="219">
        <f t="shared" si="0"/>
        <v>2011.05</v>
      </c>
      <c r="B254" s="322">
        <v>125.84597679313239</v>
      </c>
      <c r="C254" s="625">
        <v>173.00696496188439</v>
      </c>
      <c r="D254" s="2009">
        <v>91.409908969043059</v>
      </c>
      <c r="E254" s="2009">
        <v>88.877945510351665</v>
      </c>
      <c r="F254" s="627">
        <v>123.06664257763974</v>
      </c>
      <c r="G254" s="645"/>
      <c r="H254" s="974"/>
      <c r="I254" s="975"/>
    </row>
    <row r="255" spans="1:9">
      <c r="A255" s="219">
        <f t="shared" si="0"/>
        <v>2011.06</v>
      </c>
      <c r="B255" s="322">
        <v>125.29492273661185</v>
      </c>
      <c r="C255" s="625">
        <v>173.67100212022825</v>
      </c>
      <c r="D255" s="2009">
        <v>90.351845567220252</v>
      </c>
      <c r="E255" s="2009">
        <v>88.655821017293675</v>
      </c>
      <c r="F255" s="627">
        <v>121.96908756015452</v>
      </c>
      <c r="G255" s="645"/>
      <c r="H255" s="974"/>
      <c r="I255" s="975"/>
    </row>
    <row r="256" spans="1:9">
      <c r="A256" s="219">
        <f t="shared" si="0"/>
        <v>2011.07</v>
      </c>
      <c r="B256" s="322">
        <v>125.57308500163255</v>
      </c>
      <c r="C256" s="625">
        <v>175.50435618875591</v>
      </c>
      <c r="D256" s="2009">
        <v>89.724173730810861</v>
      </c>
      <c r="E256" s="2009">
        <v>89.509946928287604</v>
      </c>
      <c r="F256" s="627">
        <v>119.86938351988222</v>
      </c>
      <c r="G256" s="645"/>
      <c r="H256" s="974"/>
      <c r="I256" s="975"/>
    </row>
    <row r="257" spans="1:9">
      <c r="A257" s="219">
        <f t="shared" si="0"/>
        <v>2011.08</v>
      </c>
      <c r="B257" s="322">
        <v>123.52060133047067</v>
      </c>
      <c r="C257" s="625">
        <v>170.19955616686892</v>
      </c>
      <c r="D257" s="2009">
        <v>89.014167592326118</v>
      </c>
      <c r="E257" s="2009">
        <v>90.873882534628791</v>
      </c>
      <c r="F257" s="627">
        <v>118.627587003806</v>
      </c>
      <c r="G257" s="645"/>
      <c r="H257" s="974"/>
      <c r="I257" s="975"/>
    </row>
    <row r="258" spans="1:9">
      <c r="A258" s="219">
        <f t="shared" si="0"/>
        <v>2011.09</v>
      </c>
      <c r="B258" s="322">
        <v>116.65557747668143</v>
      </c>
      <c r="C258" s="625">
        <v>155.17638983604476</v>
      </c>
      <c r="D258" s="2009">
        <v>88.094960391851501</v>
      </c>
      <c r="E258" s="2009">
        <v>89.275135980114726</v>
      </c>
      <c r="F258" s="627">
        <v>112.98695158722811</v>
      </c>
      <c r="G258" s="645"/>
      <c r="H258" s="974"/>
      <c r="I258" s="975"/>
    </row>
    <row r="259" spans="1:9">
      <c r="A259" s="219">
        <f t="shared" si="0"/>
        <v>2011.1</v>
      </c>
      <c r="B259" s="322">
        <v>114.09466059821911</v>
      </c>
      <c r="C259" s="625">
        <v>151.44211878150438</v>
      </c>
      <c r="D259" s="2009">
        <v>87.273613416213237</v>
      </c>
      <c r="E259" s="2009">
        <v>86.828391754572294</v>
      </c>
      <c r="F259" s="627">
        <v>111.98301559095258</v>
      </c>
      <c r="G259" s="645"/>
      <c r="H259" s="974"/>
      <c r="I259" s="975"/>
    </row>
    <row r="260" spans="1:9">
      <c r="A260" s="219">
        <f t="shared" si="0"/>
        <v>2011.11</v>
      </c>
      <c r="B260" s="322">
        <v>113.08228879978387</v>
      </c>
      <c r="C260" s="625">
        <v>150.09846993131853</v>
      </c>
      <c r="D260" s="2009">
        <v>87.12431641146334</v>
      </c>
      <c r="E260" s="2009">
        <v>85.823827254283344</v>
      </c>
      <c r="F260" s="627">
        <v>110.60273456844591</v>
      </c>
      <c r="G260" s="645"/>
      <c r="H260" s="974"/>
      <c r="I260" s="975"/>
    </row>
    <row r="261" spans="1:9">
      <c r="A261" s="219">
        <f t="shared" si="0"/>
        <v>2011.12</v>
      </c>
      <c r="B261" s="322">
        <v>110.41459248656372</v>
      </c>
      <c r="C261" s="625">
        <v>145.50758110965802</v>
      </c>
      <c r="D261" s="2009">
        <v>86.34352139371579</v>
      </c>
      <c r="E261" s="2009">
        <v>85.30675963533487</v>
      </c>
      <c r="F261" s="627">
        <v>106.52523407664607</v>
      </c>
      <c r="G261" s="645"/>
      <c r="H261" s="974"/>
      <c r="I261" s="975"/>
    </row>
    <row r="262" spans="1:9">
      <c r="A262" s="219">
        <f t="shared" si="0"/>
        <v>2012.01</v>
      </c>
      <c r="B262" s="322">
        <v>111.10280371543446</v>
      </c>
      <c r="C262" s="625">
        <v>148.95206281067937</v>
      </c>
      <c r="D262" s="2009">
        <v>85.842240306059708</v>
      </c>
      <c r="E262" s="2009">
        <v>86.505688209121772</v>
      </c>
      <c r="F262" s="627">
        <v>103.33130491811046</v>
      </c>
      <c r="G262" s="645"/>
      <c r="H262" s="974"/>
      <c r="I262" s="975"/>
    </row>
    <row r="263" spans="1:9">
      <c r="A263" s="219">
        <f t="shared" si="0"/>
        <v>2012.02</v>
      </c>
      <c r="B263" s="322">
        <v>113.81070716472159</v>
      </c>
      <c r="C263" s="625">
        <v>155.07514272702858</v>
      </c>
      <c r="D263" s="2009">
        <v>85.462047256268932</v>
      </c>
      <c r="E263" s="2009">
        <v>87.65910027473511</v>
      </c>
      <c r="F263" s="627">
        <v>105.14632984296648</v>
      </c>
      <c r="G263" s="645"/>
      <c r="H263" s="974"/>
      <c r="I263" s="975"/>
    </row>
    <row r="264" spans="1:9">
      <c r="A264" s="219">
        <f t="shared" si="0"/>
        <v>2012.03</v>
      </c>
      <c r="B264" s="322">
        <v>109.801586321241</v>
      </c>
      <c r="C264" s="625">
        <v>145.67247731735267</v>
      </c>
      <c r="D264" s="2009">
        <v>83.762127211356216</v>
      </c>
      <c r="E264" s="2009">
        <v>85.560158964328977</v>
      </c>
      <c r="F264" s="627">
        <v>103.57996138391002</v>
      </c>
      <c r="G264" s="645"/>
      <c r="H264" s="974"/>
      <c r="I264" s="975"/>
    </row>
    <row r="265" spans="1:9">
      <c r="A265" s="219">
        <f t="shared" si="0"/>
        <v>2012.04</v>
      </c>
      <c r="B265" s="322">
        <v>106.90182383076193</v>
      </c>
      <c r="C265" s="625">
        <v>139.20375506025763</v>
      </c>
      <c r="D265" s="2009">
        <v>82.522886350443557</v>
      </c>
      <c r="E265" s="2009">
        <v>83.496005175033304</v>
      </c>
      <c r="F265" s="627">
        <v>102.50490637437787</v>
      </c>
      <c r="G265" s="645"/>
      <c r="H265" s="974"/>
      <c r="I265" s="975"/>
    </row>
    <row r="266" spans="1:9">
      <c r="A266" s="219">
        <f t="shared" si="0"/>
        <v>2012.05</v>
      </c>
      <c r="B266" s="322">
        <v>102.62518330711806</v>
      </c>
      <c r="C266" s="625">
        <v>129.63076431833778</v>
      </c>
      <c r="D266" s="2009">
        <v>81.876842776680817</v>
      </c>
      <c r="E266" s="2009">
        <v>82.713103550587689</v>
      </c>
      <c r="F266" s="627">
        <v>98.950632361793154</v>
      </c>
      <c r="G266" s="645"/>
      <c r="H266" s="974"/>
      <c r="I266" s="975"/>
    </row>
    <row r="267" spans="1:9">
      <c r="A267" s="219">
        <f t="shared" si="0"/>
        <v>2012.06</v>
      </c>
      <c r="B267" s="322">
        <v>100.26682728549835</v>
      </c>
      <c r="C267" s="625">
        <v>125.5261397816589</v>
      </c>
      <c r="D267" s="2009">
        <v>81.464541815258301</v>
      </c>
      <c r="E267" s="2009">
        <v>82.045258634109558</v>
      </c>
      <c r="F267" s="627">
        <v>96.399016799782785</v>
      </c>
      <c r="G267" s="645"/>
      <c r="H267" s="974"/>
      <c r="I267" s="975"/>
    </row>
    <row r="268" spans="1:9">
      <c r="A268" s="219">
        <f t="shared" si="0"/>
        <v>2012.07</v>
      </c>
      <c r="B268" s="322">
        <v>100.09535171119374</v>
      </c>
      <c r="C268" s="625">
        <v>126.25812231459405</v>
      </c>
      <c r="D268" s="2009">
        <v>81.063726297672233</v>
      </c>
      <c r="E268" s="2009">
        <v>82.334725865380705</v>
      </c>
      <c r="F268" s="627">
        <v>93.834862550801589</v>
      </c>
      <c r="G268" s="645"/>
      <c r="H268" s="974"/>
      <c r="I268" s="975"/>
    </row>
    <row r="269" spans="1:9">
      <c r="A269" s="219">
        <f t="shared" si="0"/>
        <v>2012.08</v>
      </c>
      <c r="B269" s="322">
        <v>100.46264517601797</v>
      </c>
      <c r="C269" s="625">
        <v>126.2087827265763</v>
      </c>
      <c r="D269" s="2009">
        <v>80.811793672301363</v>
      </c>
      <c r="E269" s="2009">
        <v>83.348465198426254</v>
      </c>
      <c r="F269" s="627">
        <v>94.020068928352714</v>
      </c>
      <c r="G269" s="645"/>
      <c r="H269" s="974"/>
      <c r="I269" s="975"/>
    </row>
    <row r="270" spans="1:9">
      <c r="A270" s="219">
        <f t="shared" si="0"/>
        <v>2012.09</v>
      </c>
      <c r="B270" s="322">
        <v>101.52839203898377</v>
      </c>
      <c r="C270" s="625">
        <v>126.2104792103347</v>
      </c>
      <c r="D270" s="2009">
        <v>80.875810951358744</v>
      </c>
      <c r="E270" s="2009">
        <v>82.944937970781382</v>
      </c>
      <c r="F270" s="627">
        <v>97.738221345999392</v>
      </c>
      <c r="G270" s="645"/>
      <c r="H270" s="974"/>
      <c r="I270" s="975"/>
    </row>
    <row r="271" spans="1:9">
      <c r="A271" s="219">
        <f t="shared" si="0"/>
        <v>2012.1</v>
      </c>
      <c r="B271" s="322">
        <v>101.80860950436634</v>
      </c>
      <c r="C271" s="625">
        <v>126.4078210736137</v>
      </c>
      <c r="D271" s="2009">
        <v>80.973281108809644</v>
      </c>
      <c r="E271" s="2009">
        <v>81.576616743502228</v>
      </c>
      <c r="F271" s="627">
        <v>98.732322934396308</v>
      </c>
      <c r="G271" s="645"/>
      <c r="H271" s="974"/>
      <c r="I271" s="975"/>
    </row>
    <row r="272" spans="1:9">
      <c r="A272" s="219">
        <f t="shared" si="0"/>
        <v>2012.11</v>
      </c>
      <c r="B272" s="322">
        <v>100.65027122348557</v>
      </c>
      <c r="C272" s="625">
        <v>124.5924805622321</v>
      </c>
      <c r="D272" s="2009">
        <v>80.738052057658095</v>
      </c>
      <c r="E272" s="2009">
        <v>80.991696944761529</v>
      </c>
      <c r="F272" s="627">
        <v>97.298404645420632</v>
      </c>
      <c r="G272" s="645"/>
      <c r="H272" s="974"/>
      <c r="I272" s="975"/>
    </row>
    <row r="273" spans="1:9">
      <c r="A273" s="219">
        <f t="shared" si="0"/>
        <v>2012.12</v>
      </c>
      <c r="B273" s="322">
        <v>101.37999425046311</v>
      </c>
      <c r="C273" s="625">
        <v>124.64621861295394</v>
      </c>
      <c r="D273" s="2009">
        <v>80.681823247576119</v>
      </c>
      <c r="E273" s="2009">
        <v>81.568761239500233</v>
      </c>
      <c r="F273" s="627">
        <v>99.590196382820253</v>
      </c>
      <c r="G273" s="645"/>
      <c r="H273" s="974"/>
      <c r="I273" s="975"/>
    </row>
    <row r="274" spans="1:9">
      <c r="A274" s="219">
        <f t="shared" si="0"/>
        <v>2013.01</v>
      </c>
      <c r="B274" s="322">
        <v>102.51903725984623</v>
      </c>
      <c r="C274" s="625">
        <v>128.07390902832532</v>
      </c>
      <c r="D274" s="2009">
        <v>80.407460180813189</v>
      </c>
      <c r="E274" s="2009">
        <v>82.634796853503659</v>
      </c>
      <c r="F274" s="627">
        <v>100.17337814687281</v>
      </c>
      <c r="G274" s="645"/>
      <c r="H274" s="974"/>
      <c r="I274" s="975"/>
    </row>
    <row r="275" spans="1:9">
      <c r="A275" s="219">
        <f t="shared" si="0"/>
        <v>2013.02</v>
      </c>
      <c r="B275" s="322">
        <v>103.48037641404345</v>
      </c>
      <c r="C275" s="625">
        <v>131.96178387576671</v>
      </c>
      <c r="D275" s="2009">
        <v>80.199911550611588</v>
      </c>
      <c r="E275" s="2009">
        <v>83.753296727148651</v>
      </c>
      <c r="F275" s="627">
        <v>99.656360721541432</v>
      </c>
      <c r="G275" s="645"/>
      <c r="H275" s="974"/>
      <c r="I275" s="975"/>
    </row>
    <row r="276" spans="1:9">
      <c r="A276" s="219">
        <f t="shared" si="0"/>
        <v>2013.03</v>
      </c>
      <c r="B276" s="322">
        <v>102.67538236426567</v>
      </c>
      <c r="C276" s="625">
        <v>131.43105024051025</v>
      </c>
      <c r="D276" s="2009">
        <v>80.042379610793034</v>
      </c>
      <c r="E276" s="2009">
        <v>83.720698860289033</v>
      </c>
      <c r="F276" s="627">
        <v>97.091605436011051</v>
      </c>
      <c r="G276" s="645"/>
      <c r="H276" s="974"/>
      <c r="I276" s="975"/>
    </row>
    <row r="277" spans="1:9">
      <c r="A277" s="219">
        <f t="shared" si="0"/>
        <v>2013.04</v>
      </c>
      <c r="B277" s="322">
        <v>102.19310801075113</v>
      </c>
      <c r="C277" s="625">
        <v>130.43592365932469</v>
      </c>
      <c r="D277" s="2009">
        <v>79.347433703422865</v>
      </c>
      <c r="E277" s="2009">
        <v>82.551713535346238</v>
      </c>
      <c r="F277" s="627">
        <v>97.569765251032734</v>
      </c>
      <c r="G277" s="645"/>
      <c r="H277" s="974"/>
      <c r="I277" s="975"/>
    </row>
    <row r="278" spans="1:9">
      <c r="A278" s="219">
        <f t="shared" ref="A278:A342" si="1">A266+1</f>
        <v>2013.05</v>
      </c>
      <c r="B278" s="322">
        <v>101.31354578316243</v>
      </c>
      <c r="C278" s="625">
        <v>128.40463467470613</v>
      </c>
      <c r="D278" s="2009">
        <v>79.174285300130606</v>
      </c>
      <c r="E278" s="2009">
        <v>83.158112853698455</v>
      </c>
      <c r="F278" s="627">
        <v>97.009468086877661</v>
      </c>
      <c r="G278" s="645"/>
      <c r="H278" s="974"/>
      <c r="I278" s="975"/>
    </row>
    <row r="279" spans="1:9">
      <c r="A279" s="219">
        <f t="shared" si="1"/>
        <v>2013.06</v>
      </c>
      <c r="B279" s="322">
        <v>99.061374562085078</v>
      </c>
      <c r="C279" s="625">
        <v>121.06958488400743</v>
      </c>
      <c r="D279" s="2009">
        <v>79.186553793740785</v>
      </c>
      <c r="E279" s="2009">
        <v>83.453481726763485</v>
      </c>
      <c r="F279" s="627">
        <v>98.772541673182104</v>
      </c>
      <c r="G279" s="645"/>
      <c r="H279" s="974"/>
      <c r="I279" s="975"/>
    </row>
    <row r="280" spans="1:9">
      <c r="A280" s="219">
        <f t="shared" si="1"/>
        <v>2013.07</v>
      </c>
      <c r="B280" s="322">
        <v>97.283228891515577</v>
      </c>
      <c r="C280" s="625">
        <v>116.2261728485925</v>
      </c>
      <c r="D280" s="2009">
        <v>79.210144081590684</v>
      </c>
      <c r="E280" s="2009">
        <v>84.3067192204674</v>
      </c>
      <c r="F280" s="627">
        <v>97.457730830455631</v>
      </c>
      <c r="G280" s="645"/>
      <c r="H280" s="974"/>
      <c r="I280" s="975"/>
    </row>
    <row r="281" spans="1:9">
      <c r="A281" s="219">
        <f t="shared" si="1"/>
        <v>2013.08</v>
      </c>
      <c r="B281" s="322">
        <v>96.860668677054562</v>
      </c>
      <c r="C281" s="625">
        <v>112.56365818475153</v>
      </c>
      <c r="D281" s="2009">
        <v>79.697056192377275</v>
      </c>
      <c r="E281" s="2009">
        <v>86.223833005476507</v>
      </c>
      <c r="F281" s="627">
        <v>99.419368537308983</v>
      </c>
      <c r="G281" s="645"/>
      <c r="H281" s="974"/>
      <c r="I281" s="975"/>
    </row>
    <row r="282" spans="1:9">
      <c r="A282" s="219">
        <f t="shared" si="1"/>
        <v>2013.09</v>
      </c>
      <c r="B282" s="322">
        <v>98.923597907497879</v>
      </c>
      <c r="C282" s="625">
        <v>117.13208316382443</v>
      </c>
      <c r="D282" s="2009">
        <v>80.422691385863146</v>
      </c>
      <c r="E282" s="2009">
        <v>86.499327382150156</v>
      </c>
      <c r="F282" s="627">
        <v>100.78821323636573</v>
      </c>
      <c r="G282" s="645"/>
      <c r="H282" s="974"/>
      <c r="I282" s="975"/>
    </row>
    <row r="283" spans="1:9">
      <c r="A283" s="219">
        <f t="shared" si="1"/>
        <v>2013.1</v>
      </c>
      <c r="B283" s="322">
        <v>100.52661867948001</v>
      </c>
      <c r="C283" s="625">
        <v>121.5261889841674</v>
      </c>
      <c r="D283" s="2009">
        <v>80.127272282516898</v>
      </c>
      <c r="E283" s="2009">
        <v>84.712696443753757</v>
      </c>
      <c r="F283" s="627">
        <v>102.58838802524203</v>
      </c>
      <c r="G283" s="645"/>
      <c r="H283" s="974"/>
      <c r="I283" s="975"/>
    </row>
    <row r="284" spans="1:9">
      <c r="A284" s="219">
        <f t="shared" si="1"/>
        <v>2013.11</v>
      </c>
      <c r="B284" s="322">
        <v>98.566864919009049</v>
      </c>
      <c r="C284" s="625">
        <v>116.58276278783107</v>
      </c>
      <c r="D284" s="2009">
        <v>80.343958777904291</v>
      </c>
      <c r="E284" s="2009">
        <v>84.098951357377715</v>
      </c>
      <c r="F284" s="627">
        <v>101.51828315450547</v>
      </c>
      <c r="G284" s="645"/>
      <c r="H284" s="974"/>
      <c r="I284" s="975"/>
    </row>
    <row r="285" spans="1:9">
      <c r="A285" s="219">
        <f t="shared" si="1"/>
        <v>2013.12</v>
      </c>
      <c r="B285" s="322">
        <v>101.02939709105688</v>
      </c>
      <c r="C285" s="625">
        <v>118.00405955422684</v>
      </c>
      <c r="D285" s="2009">
        <v>82.643556291602096</v>
      </c>
      <c r="E285" s="2009">
        <v>86.878295417931682</v>
      </c>
      <c r="F285" s="627">
        <v>106.04161053044301</v>
      </c>
      <c r="G285" s="645"/>
      <c r="H285" s="974"/>
      <c r="I285" s="975"/>
    </row>
    <row r="286" spans="1:9">
      <c r="A286" s="219">
        <f t="shared" si="1"/>
        <v>2014.01</v>
      </c>
      <c r="B286" s="322">
        <v>108.18112142933681</v>
      </c>
      <c r="C286" s="625">
        <v>125.98233445888818</v>
      </c>
      <c r="D286" s="2009">
        <v>89.059411603403461</v>
      </c>
      <c r="E286" s="2009">
        <v>94.996934716821812</v>
      </c>
      <c r="F286" s="627">
        <v>112.76349967194682</v>
      </c>
      <c r="G286" s="645"/>
      <c r="H286" s="974"/>
      <c r="I286" s="975"/>
    </row>
    <row r="287" spans="1:9">
      <c r="A287" s="219">
        <f t="shared" si="1"/>
        <v>2014.02</v>
      </c>
      <c r="B287" s="322">
        <v>114.79852774296708</v>
      </c>
      <c r="C287" s="625">
        <v>134.03912349474865</v>
      </c>
      <c r="D287" s="2009">
        <v>94.360735406002888</v>
      </c>
      <c r="E287" s="2009">
        <v>101.92196575640753</v>
      </c>
      <c r="F287" s="627">
        <v>119.13128153664631</v>
      </c>
      <c r="G287" s="645"/>
      <c r="H287" s="974"/>
      <c r="I287" s="975"/>
    </row>
    <row r="288" spans="1:9">
      <c r="A288" s="219">
        <f t="shared" si="1"/>
        <v>2014.03</v>
      </c>
      <c r="B288" s="322">
        <v>112.15815746112349</v>
      </c>
      <c r="C288" s="625">
        <v>133.32235610632412</v>
      </c>
      <c r="D288" s="2009">
        <v>91.033967324977723</v>
      </c>
      <c r="E288" s="2009">
        <v>96.662138696504741</v>
      </c>
      <c r="F288" s="627">
        <v>116.96574534061476</v>
      </c>
      <c r="G288" s="645"/>
      <c r="H288" s="974"/>
      <c r="I288" s="975"/>
    </row>
    <row r="289" spans="1:9">
      <c r="A289" s="219">
        <f t="shared" si="1"/>
        <v>2014.04</v>
      </c>
      <c r="B289" s="322">
        <v>111.61090168901063</v>
      </c>
      <c r="C289" s="625">
        <v>136.80196656045192</v>
      </c>
      <c r="D289" s="2009">
        <v>89.197315734514092</v>
      </c>
      <c r="E289" s="2009">
        <v>92.496105302145708</v>
      </c>
      <c r="F289" s="627">
        <v>114.8649929126032</v>
      </c>
      <c r="G289" s="645"/>
      <c r="H289" s="974"/>
      <c r="I289" s="975"/>
    </row>
    <row r="290" spans="1:9">
      <c r="A290" s="219">
        <f t="shared" si="1"/>
        <v>2014.05</v>
      </c>
      <c r="B290" s="322">
        <v>109.79693886319285</v>
      </c>
      <c r="C290" s="625">
        <v>135.40923927953665</v>
      </c>
      <c r="D290" s="2009">
        <v>87.540671877619388</v>
      </c>
      <c r="E290" s="2009">
        <v>90.591390966363306</v>
      </c>
      <c r="F290" s="627">
        <v>111.88861353509103</v>
      </c>
      <c r="G290" s="645"/>
      <c r="H290" s="974"/>
      <c r="I290" s="975"/>
    </row>
    <row r="291" spans="1:9">
      <c r="A291" s="219">
        <f t="shared" si="1"/>
        <v>2014.06</v>
      </c>
      <c r="B291" s="322">
        <v>108.45302496158074</v>
      </c>
      <c r="C291" s="625">
        <v>133.77337066118827</v>
      </c>
      <c r="D291" s="2009">
        <v>86.607314533169088</v>
      </c>
      <c r="E291" s="2009">
        <v>90.146384063039619</v>
      </c>
      <c r="F291" s="627">
        <v>109.53658260740062</v>
      </c>
      <c r="G291" s="645"/>
      <c r="H291" s="974"/>
      <c r="I291" s="975"/>
    </row>
    <row r="292" spans="1:9">
      <c r="A292" s="219">
        <f t="shared" si="1"/>
        <v>2014.07</v>
      </c>
      <c r="B292" s="322">
        <v>107.08538215082289</v>
      </c>
      <c r="C292" s="625">
        <v>132.4400282794935</v>
      </c>
      <c r="D292" s="2009">
        <v>85.303305467366698</v>
      </c>
      <c r="E292" s="2009">
        <v>90.117797001104179</v>
      </c>
      <c r="F292" s="627">
        <v>106.92285120077055</v>
      </c>
      <c r="G292" s="645"/>
      <c r="H292" s="974"/>
      <c r="I292" s="975"/>
    </row>
    <row r="293" spans="1:9">
      <c r="A293" s="219">
        <f t="shared" si="1"/>
        <v>2014.08</v>
      </c>
      <c r="B293" s="322">
        <v>105.69477818846087</v>
      </c>
      <c r="C293" s="625">
        <v>129.65152024276097</v>
      </c>
      <c r="D293" s="2009">
        <v>85.080276542264599</v>
      </c>
      <c r="E293" s="2009">
        <v>91.843177983945878</v>
      </c>
      <c r="F293" s="627">
        <v>104.60556654051997</v>
      </c>
      <c r="G293" s="645"/>
      <c r="H293" s="974"/>
      <c r="I293" s="975"/>
    </row>
    <row r="294" spans="1:9">
      <c r="A294" s="219">
        <f t="shared" si="1"/>
        <v>2014.09</v>
      </c>
      <c r="B294" s="322">
        <v>102.48409365650211</v>
      </c>
      <c r="C294" s="625">
        <v>124.7940015675988</v>
      </c>
      <c r="D294" s="2009">
        <v>83.989218247922523</v>
      </c>
      <c r="E294" s="2009">
        <v>90.17284369505181</v>
      </c>
      <c r="F294" s="627">
        <v>100.18630212220005</v>
      </c>
      <c r="G294" s="645"/>
      <c r="H294" s="974"/>
      <c r="I294" s="975"/>
    </row>
    <row r="295" spans="1:9">
      <c r="A295" s="219">
        <f t="shared" si="1"/>
        <v>2014.1</v>
      </c>
      <c r="B295" s="322">
        <v>98.968452566170029</v>
      </c>
      <c r="C295" s="625">
        <v>117.93642813556473</v>
      </c>
      <c r="D295" s="2009">
        <v>82.858326666102087</v>
      </c>
      <c r="E295" s="2009">
        <v>87.259722099174937</v>
      </c>
      <c r="F295" s="627">
        <v>97.273598556255791</v>
      </c>
      <c r="G295" s="645"/>
      <c r="H295" s="974"/>
      <c r="I295" s="975"/>
    </row>
    <row r="296" spans="1:9">
      <c r="A296" s="219">
        <f t="shared" si="1"/>
        <v>2014.11</v>
      </c>
      <c r="B296" s="322">
        <v>95.998362429085788</v>
      </c>
      <c r="C296" s="625">
        <v>112.58096975157129</v>
      </c>
      <c r="D296" s="2009">
        <v>81.83701166848482</v>
      </c>
      <c r="E296" s="2009">
        <v>85.253988709756598</v>
      </c>
      <c r="F296" s="627">
        <v>94.546165992431895</v>
      </c>
      <c r="G296" s="645"/>
      <c r="H296" s="974"/>
      <c r="I296" s="975"/>
    </row>
    <row r="297" spans="1:9">
      <c r="A297" s="219">
        <f t="shared" si="1"/>
        <v>2014.12</v>
      </c>
      <c r="B297" s="322">
        <v>93.041117301272195</v>
      </c>
      <c r="C297" s="625">
        <v>107.86533866486276</v>
      </c>
      <c r="D297" s="2009">
        <v>80.732682332601271</v>
      </c>
      <c r="E297" s="2009">
        <v>83.663023834279457</v>
      </c>
      <c r="F297" s="627">
        <v>92.15581955710185</v>
      </c>
      <c r="G297" s="645"/>
      <c r="H297" s="974"/>
      <c r="I297" s="975"/>
    </row>
    <row r="298" spans="1:9">
      <c r="A298" s="219">
        <f t="shared" si="1"/>
        <v>2015.01</v>
      </c>
      <c r="B298" s="322">
        <v>91.270743831734634</v>
      </c>
      <c r="C298" s="625">
        <v>108.28031818992902</v>
      </c>
      <c r="D298" s="2009">
        <v>79.54395465135029</v>
      </c>
      <c r="E298" s="2009">
        <v>83.310794045136035</v>
      </c>
      <c r="F298" s="627">
        <v>85.495150788161212</v>
      </c>
      <c r="G298" s="645"/>
      <c r="H298" s="974"/>
      <c r="I298" s="975"/>
    </row>
    <row r="299" spans="1:9">
      <c r="A299" s="219">
        <f t="shared" si="1"/>
        <v>2015.02</v>
      </c>
      <c r="B299" s="322">
        <v>88.681228940057551</v>
      </c>
      <c r="C299" s="625">
        <v>101.87306398153289</v>
      </c>
      <c r="D299" s="2009">
        <v>78.841323466386939</v>
      </c>
      <c r="E299" s="2009">
        <v>83.843393833818794</v>
      </c>
      <c r="F299" s="627">
        <v>82.479918546431762</v>
      </c>
      <c r="G299" s="645"/>
      <c r="H299" s="974"/>
      <c r="I299" s="975"/>
    </row>
    <row r="300" spans="1:9">
      <c r="A300" s="219">
        <f t="shared" si="1"/>
        <v>2015.03</v>
      </c>
      <c r="B300" s="322">
        <v>84.550356111864119</v>
      </c>
      <c r="C300" s="625">
        <v>91.711636550278158</v>
      </c>
      <c r="D300" s="2009">
        <v>78.487222635964031</v>
      </c>
      <c r="E300" s="2009">
        <v>83.646909451758916</v>
      </c>
      <c r="F300" s="627">
        <v>78.764605600430031</v>
      </c>
      <c r="G300" s="645"/>
      <c r="H300" s="974"/>
      <c r="I300" s="975"/>
    </row>
    <row r="301" spans="1:9">
      <c r="A301" s="219">
        <f t="shared" si="1"/>
        <v>2015.04</v>
      </c>
      <c r="B301" s="322">
        <v>84.904258459642605</v>
      </c>
      <c r="C301" s="625">
        <v>94.615031173862789</v>
      </c>
      <c r="D301" s="2009">
        <v>77.783165652575065</v>
      </c>
      <c r="E301" s="2009">
        <v>82.180086793347172</v>
      </c>
      <c r="F301" s="627">
        <v>78.279637236497521</v>
      </c>
      <c r="G301" s="645"/>
      <c r="H301" s="974"/>
      <c r="I301" s="975"/>
    </row>
    <row r="302" spans="1:9">
      <c r="A302" s="219">
        <f t="shared" si="1"/>
        <v>2015.05</v>
      </c>
      <c r="B302" s="322">
        <v>84.842819778875821</v>
      </c>
      <c r="C302" s="625">
        <v>94.107760414583609</v>
      </c>
      <c r="D302" s="2009">
        <v>77.087749188631747</v>
      </c>
      <c r="E302" s="2009">
        <v>81.345354079260758</v>
      </c>
      <c r="F302" s="627">
        <v>80.277829428259139</v>
      </c>
      <c r="G302" s="645"/>
      <c r="H302" s="974"/>
      <c r="I302" s="975"/>
    </row>
    <row r="303" spans="1:9">
      <c r="A303" s="219">
        <f t="shared" si="1"/>
        <v>2015.06</v>
      </c>
      <c r="B303" s="322">
        <v>84.018603756055384</v>
      </c>
      <c r="C303" s="625">
        <v>92.42957357108034</v>
      </c>
      <c r="D303" s="2009">
        <v>76.838016732107818</v>
      </c>
      <c r="E303" s="2009">
        <v>81.262456015662337</v>
      </c>
      <c r="F303" s="627">
        <v>80.372492327088693</v>
      </c>
      <c r="G303" s="645"/>
      <c r="H303" s="974"/>
      <c r="I303" s="975"/>
    </row>
    <row r="304" spans="1:9">
      <c r="A304" s="219">
        <f t="shared" si="1"/>
        <v>2015.07</v>
      </c>
      <c r="B304" s="322">
        <v>82.339262462486587</v>
      </c>
      <c r="C304" s="625">
        <v>89.467631352467947</v>
      </c>
      <c r="D304" s="2009">
        <v>76.513542950496472</v>
      </c>
      <c r="E304" s="2009">
        <v>81.788765639043518</v>
      </c>
      <c r="F304" s="627">
        <v>78.01091339736638</v>
      </c>
      <c r="G304" s="645"/>
      <c r="H304" s="974"/>
      <c r="I304" s="975"/>
    </row>
    <row r="305" spans="1:9">
      <c r="A305" s="219">
        <f t="shared" si="1"/>
        <v>2015.08</v>
      </c>
      <c r="B305" s="322">
        <v>79.255379154784649</v>
      </c>
      <c r="C305" s="625">
        <v>81.711356838588713</v>
      </c>
      <c r="D305" s="2009">
        <v>75.890919617984608</v>
      </c>
      <c r="E305" s="2009">
        <v>80.910904249235941</v>
      </c>
      <c r="F305" s="627">
        <v>78.020766611591384</v>
      </c>
      <c r="G305" s="645"/>
      <c r="H305" s="974"/>
      <c r="I305" s="975"/>
    </row>
    <row r="306" spans="1:9">
      <c r="A306" s="219">
        <f t="shared" si="1"/>
        <v>2015.09</v>
      </c>
      <c r="B306" s="322">
        <v>76.197346524263438</v>
      </c>
      <c r="C306" s="625">
        <v>73.343261218993732</v>
      </c>
      <c r="D306" s="2009">
        <v>75.364423294408496</v>
      </c>
      <c r="E306" s="2009">
        <v>79.303670322283779</v>
      </c>
      <c r="F306" s="627">
        <v>78.352434951257919</v>
      </c>
      <c r="G306" s="645"/>
      <c r="H306" s="974"/>
      <c r="I306" s="975"/>
    </row>
    <row r="307" spans="1:9">
      <c r="A307" s="219">
        <f t="shared" si="1"/>
        <v>2015.1</v>
      </c>
      <c r="B307" s="322">
        <v>76.093021184457285</v>
      </c>
      <c r="C307" s="625">
        <v>74.062662433972491</v>
      </c>
      <c r="D307" s="2009">
        <v>75.005262226194631</v>
      </c>
      <c r="E307" s="2009">
        <v>77.266041191878514</v>
      </c>
      <c r="F307" s="627">
        <v>77.992369842908005</v>
      </c>
      <c r="G307" s="645"/>
      <c r="H307" s="974"/>
      <c r="I307" s="975"/>
    </row>
    <row r="308" spans="1:9">
      <c r="A308" s="219">
        <f t="shared" si="1"/>
        <v>2015.11</v>
      </c>
      <c r="B308" s="322">
        <v>75.434395339022828</v>
      </c>
      <c r="C308" s="625">
        <v>76.18886724439669</v>
      </c>
      <c r="D308" s="2009">
        <v>74.729604400345679</v>
      </c>
      <c r="E308" s="2009">
        <v>75.71337715036276</v>
      </c>
      <c r="F308" s="627">
        <v>74.208174179707683</v>
      </c>
      <c r="G308" s="645"/>
      <c r="H308" s="974"/>
      <c r="I308" s="975"/>
    </row>
    <row r="309" spans="1:9">
      <c r="A309" s="219">
        <f t="shared" si="1"/>
        <v>2015.12</v>
      </c>
      <c r="B309" s="322">
        <v>85.104770495311755</v>
      </c>
      <c r="C309" s="625">
        <v>84.969816704403755</v>
      </c>
      <c r="D309" s="2009">
        <v>84.805387031151952</v>
      </c>
      <c r="E309" s="2009">
        <v>85.154944300834757</v>
      </c>
      <c r="F309" s="627">
        <v>85.432253557894001</v>
      </c>
      <c r="G309" s="645"/>
      <c r="H309" s="974"/>
      <c r="I309" s="975"/>
    </row>
    <row r="310" spans="1:9">
      <c r="A310" s="219">
        <f t="shared" si="1"/>
        <v>2016.01</v>
      </c>
      <c r="B310" s="322">
        <v>96.002130266658881</v>
      </c>
      <c r="C310" s="625">
        <v>94.59853588136022</v>
      </c>
      <c r="D310" s="2009">
        <v>97.163413763268878</v>
      </c>
      <c r="E310" s="2009">
        <v>97.065037978047997</v>
      </c>
      <c r="F310" s="627">
        <v>96.914633080354179</v>
      </c>
      <c r="G310" s="645"/>
      <c r="H310" s="974"/>
      <c r="I310" s="975"/>
    </row>
    <row r="311" spans="1:9">
      <c r="A311" s="219">
        <f t="shared" si="1"/>
        <v>2016.02</v>
      </c>
      <c r="B311" s="322">
        <v>102.46340690520722</v>
      </c>
      <c r="C311" s="625">
        <v>102.20252675449318</v>
      </c>
      <c r="D311" s="2009">
        <v>101.90884484668968</v>
      </c>
      <c r="E311" s="2009">
        <v>104.53763639436778</v>
      </c>
      <c r="F311" s="627">
        <v>103.24439094759386</v>
      </c>
      <c r="G311" s="645"/>
      <c r="H311" s="974"/>
      <c r="I311" s="975"/>
    </row>
    <row r="312" spans="1:9">
      <c r="A312" s="219">
        <f t="shared" si="1"/>
        <v>2016.03</v>
      </c>
      <c r="B312" s="322">
        <v>103.03024119681776</v>
      </c>
      <c r="C312" s="625">
        <v>107.87341917012928</v>
      </c>
      <c r="D312" s="2009">
        <v>99.248797912338844</v>
      </c>
      <c r="E312" s="2009">
        <v>102.94771129203534</v>
      </c>
      <c r="F312" s="627">
        <v>101.58985730543121</v>
      </c>
      <c r="G312" s="645"/>
      <c r="H312" s="974"/>
      <c r="I312" s="975"/>
    </row>
    <row r="313" spans="1:9">
      <c r="A313" s="219">
        <f t="shared" si="1"/>
        <v>2016.04</v>
      </c>
      <c r="B313" s="322">
        <v>97.42026494107327</v>
      </c>
      <c r="C313" s="625">
        <v>104.20461148255718</v>
      </c>
      <c r="D313" s="2009">
        <v>92.442469586672217</v>
      </c>
      <c r="E313" s="2009">
        <v>94.637315479359287</v>
      </c>
      <c r="F313" s="627">
        <v>96.672419373172929</v>
      </c>
      <c r="G313" s="645"/>
      <c r="H313" s="974"/>
      <c r="I313" s="975"/>
    </row>
    <row r="314" spans="1:9">
      <c r="A314" s="219">
        <f t="shared" si="1"/>
        <v>2016.05</v>
      </c>
      <c r="B314" s="322">
        <v>91.457390418294139</v>
      </c>
      <c r="C314" s="625">
        <v>98.985394432314763</v>
      </c>
      <c r="D314" s="2009">
        <v>86.976071409679236</v>
      </c>
      <c r="E314" s="2009">
        <v>88.000382412994512</v>
      </c>
      <c r="F314" s="627">
        <v>90.62583781008739</v>
      </c>
      <c r="G314" s="645"/>
      <c r="H314" s="974"/>
      <c r="I314" s="975"/>
    </row>
    <row r="315" spans="1:9">
      <c r="A315" s="219">
        <f t="shared" si="1"/>
        <v>2016.06</v>
      </c>
      <c r="B315" s="322">
        <v>89.333091458766731</v>
      </c>
      <c r="C315" s="625">
        <v>99.278207308120884</v>
      </c>
      <c r="D315" s="2009">
        <v>84.356997757489864</v>
      </c>
      <c r="E315" s="2009">
        <v>84.65172921794526</v>
      </c>
      <c r="F315" s="627">
        <v>87.443107744409062</v>
      </c>
      <c r="G315" s="645"/>
      <c r="H315" s="974"/>
      <c r="I315" s="975"/>
    </row>
    <row r="316" spans="1:9">
      <c r="A316" s="219">
        <f t="shared" si="1"/>
        <v>2016.07</v>
      </c>
      <c r="B316" s="322">
        <v>92.872746391343682</v>
      </c>
      <c r="C316" s="625">
        <v>107.17285145377556</v>
      </c>
      <c r="D316" s="2009">
        <v>86.699925545810913</v>
      </c>
      <c r="E316" s="2009">
        <v>86.835756467531766</v>
      </c>
      <c r="F316" s="627">
        <v>88.271088769339826</v>
      </c>
      <c r="G316" s="645"/>
      <c r="H316" s="974"/>
      <c r="I316" s="975"/>
    </row>
    <row r="317" spans="1:9">
      <c r="A317" s="219">
        <f t="shared" si="1"/>
        <v>2016.08</v>
      </c>
      <c r="B317" s="322">
        <v>92.826640134673625</v>
      </c>
      <c r="C317" s="625">
        <v>108.29881036774074</v>
      </c>
      <c r="D317" s="2009">
        <v>85.493750355660751</v>
      </c>
      <c r="E317" s="2009">
        <v>87.163825322155319</v>
      </c>
      <c r="F317" s="627">
        <v>87.870785512489974</v>
      </c>
      <c r="G317" s="645"/>
      <c r="H317" s="974"/>
      <c r="I317" s="975"/>
    </row>
    <row r="318" spans="1:9">
      <c r="A318" s="219">
        <f t="shared" si="1"/>
        <v>2016.09</v>
      </c>
      <c r="B318" s="322">
        <v>93.32111332449405</v>
      </c>
      <c r="C318" s="625">
        <v>108.27883942610863</v>
      </c>
      <c r="D318" s="2009">
        <v>86.625104175446808</v>
      </c>
      <c r="E318" s="2009">
        <v>87.161199232440865</v>
      </c>
      <c r="F318" s="627">
        <v>89.081305044864436</v>
      </c>
      <c r="G318" s="645"/>
      <c r="H318" s="974"/>
      <c r="I318" s="975"/>
    </row>
    <row r="319" spans="1:9">
      <c r="A319" s="219">
        <f t="shared" si="1"/>
        <v>2016.1</v>
      </c>
      <c r="B319" s="322">
        <v>92.194345230638987</v>
      </c>
      <c r="C319" s="625">
        <v>109.26935043918104</v>
      </c>
      <c r="D319" s="2009">
        <v>85.765340724125437</v>
      </c>
      <c r="E319" s="2009">
        <v>83.687277930750795</v>
      </c>
      <c r="F319" s="627">
        <v>86.88219484800922</v>
      </c>
      <c r="G319" s="645"/>
      <c r="H319" s="974"/>
      <c r="I319" s="975"/>
    </row>
    <row r="320" spans="1:9">
      <c r="A320" s="219">
        <f t="shared" si="1"/>
        <v>2016.11</v>
      </c>
      <c r="B320" s="322">
        <v>89.217526584824341</v>
      </c>
      <c r="C320" s="625">
        <v>103.67967591677888</v>
      </c>
      <c r="D320" s="2009">
        <v>85.210559633532498</v>
      </c>
      <c r="E320" s="2009">
        <v>80.759226278615358</v>
      </c>
      <c r="F320" s="627">
        <v>84.168991696837182</v>
      </c>
      <c r="G320" s="645"/>
      <c r="H320" s="974"/>
      <c r="I320" s="975"/>
    </row>
    <row r="321" spans="1:9">
      <c r="A321" s="219">
        <f t="shared" si="1"/>
        <v>2016.12</v>
      </c>
      <c r="B321" s="322">
        <v>90.144172860569384</v>
      </c>
      <c r="C321" s="625">
        <v>105.36801637386442</v>
      </c>
      <c r="D321" s="2009">
        <v>86.889210340190473</v>
      </c>
      <c r="E321" s="2009">
        <v>81.625778235611406</v>
      </c>
      <c r="F321" s="627">
        <v>84.001969671435816</v>
      </c>
      <c r="G321" s="645"/>
      <c r="H321" s="974"/>
      <c r="I321" s="975"/>
    </row>
    <row r="322" spans="1:9">
      <c r="A322" s="219">
        <f t="shared" si="1"/>
        <v>2017.01</v>
      </c>
      <c r="B322" s="322">
        <v>90.883108331098526</v>
      </c>
      <c r="C322" s="625">
        <v>109.86613702027005</v>
      </c>
      <c r="D322" s="2009">
        <v>86.247265437440234</v>
      </c>
      <c r="E322" s="2009">
        <v>82.073568147505767</v>
      </c>
      <c r="F322" s="627">
        <v>83.449554959667822</v>
      </c>
      <c r="G322" s="645"/>
      <c r="H322" s="974"/>
      <c r="I322" s="975"/>
    </row>
    <row r="323" spans="1:9">
      <c r="A323" s="219">
        <f t="shared" si="1"/>
        <v>2017.02</v>
      </c>
      <c r="B323" s="322">
        <v>89.013213514082992</v>
      </c>
      <c r="C323" s="625">
        <v>109.2330990087048</v>
      </c>
      <c r="D323" s="2009">
        <v>83.230136235033228</v>
      </c>
      <c r="E323" s="2009">
        <v>80.56796887770922</v>
      </c>
      <c r="F323" s="627">
        <v>80.235592332722817</v>
      </c>
      <c r="G323" s="645"/>
      <c r="H323" s="974"/>
      <c r="I323" s="975"/>
    </row>
    <row r="324" spans="1:9">
      <c r="A324" s="219">
        <f t="shared" si="1"/>
        <v>2017.03</v>
      </c>
      <c r="B324" s="322">
        <v>86.830922936860048</v>
      </c>
      <c r="C324" s="625">
        <v>105.92350452663142</v>
      </c>
      <c r="D324" s="2009">
        <v>81.164875829870823</v>
      </c>
      <c r="E324" s="2009">
        <v>78.016164507184016</v>
      </c>
      <c r="F324" s="627">
        <v>78.999075642675351</v>
      </c>
      <c r="G324" s="645"/>
      <c r="H324" s="974"/>
      <c r="I324" s="975"/>
    </row>
    <row r="325" spans="1:9">
      <c r="A325" s="219">
        <f t="shared" si="1"/>
        <v>2017.04</v>
      </c>
      <c r="B325" s="322">
        <v>83.964814448384445</v>
      </c>
      <c r="C325" s="625">
        <v>101.84719603847635</v>
      </c>
      <c r="D325" s="2009">
        <v>78.301759762157474</v>
      </c>
      <c r="E325" s="2009">
        <v>74.44202628376118</v>
      </c>
      <c r="F325" s="627">
        <v>76.838321772252996</v>
      </c>
      <c r="G325" s="645"/>
      <c r="H325" s="974"/>
      <c r="I325" s="975"/>
    </row>
    <row r="326" spans="1:9">
      <c r="A326" s="219">
        <f t="shared" si="1"/>
        <v>2017.05</v>
      </c>
      <c r="B326" s="322">
        <v>84.449863039185232</v>
      </c>
      <c r="C326" s="625">
        <v>100.48858851061675</v>
      </c>
      <c r="D326" s="2009">
        <v>78.62063134747379</v>
      </c>
      <c r="E326" s="2009">
        <v>74.984491372539182</v>
      </c>
      <c r="F326" s="627">
        <v>79.916622816507825</v>
      </c>
      <c r="G326" s="645"/>
      <c r="H326" s="974"/>
      <c r="I326" s="975"/>
    </row>
    <row r="327" spans="1:9">
      <c r="A327" s="219">
        <f t="shared" si="1"/>
        <v>2017.06</v>
      </c>
      <c r="B327" s="322">
        <v>85.297322616397793</v>
      </c>
      <c r="C327" s="625">
        <v>98.91643206127101</v>
      </c>
      <c r="D327" s="2009">
        <v>79.482694652909487</v>
      </c>
      <c r="E327" s="2009">
        <v>77.083213367139464</v>
      </c>
      <c r="F327" s="627">
        <v>82.050921890006066</v>
      </c>
      <c r="G327" s="645"/>
      <c r="H327" s="974"/>
      <c r="I327" s="975"/>
    </row>
    <row r="328" spans="1:9">
      <c r="A328" s="219">
        <f t="shared" si="1"/>
        <v>2017.07</v>
      </c>
      <c r="B328" s="322">
        <v>91.303172037942844</v>
      </c>
      <c r="C328" s="625">
        <v>107.00191696236962</v>
      </c>
      <c r="D328" s="2009">
        <v>83.625133042518286</v>
      </c>
      <c r="E328" s="2009">
        <v>82.45079298607115</v>
      </c>
      <c r="F328" s="627">
        <v>88.425924577112596</v>
      </c>
      <c r="G328" s="645"/>
      <c r="H328" s="974"/>
      <c r="I328" s="975"/>
    </row>
    <row r="329" spans="1:9">
      <c r="A329" s="219">
        <f t="shared" si="1"/>
        <v>2017.08</v>
      </c>
      <c r="B329" s="322">
        <v>92.714861409512238</v>
      </c>
      <c r="C329" s="625">
        <v>108.95353202285456</v>
      </c>
      <c r="D329" s="2009">
        <v>83.719422059711761</v>
      </c>
      <c r="E329" s="2009">
        <v>84.915136943307431</v>
      </c>
      <c r="F329" s="627">
        <v>90.402891113511274</v>
      </c>
      <c r="G329" s="645"/>
      <c r="H329" s="974"/>
      <c r="I329" s="975"/>
    </row>
    <row r="330" spans="1:9">
      <c r="A330" s="219">
        <f t="shared" si="1"/>
        <v>2017.09</v>
      </c>
      <c r="B330" s="322">
        <v>90.898555927740915</v>
      </c>
      <c r="C330" s="625">
        <v>106.71957527875537</v>
      </c>
      <c r="D330" s="2009">
        <v>81.741257805355175</v>
      </c>
      <c r="E330" s="2009">
        <v>83.340981584957106</v>
      </c>
      <c r="F330" s="627">
        <v>88.925532781867858</v>
      </c>
      <c r="G330" s="645"/>
      <c r="H330" s="974"/>
      <c r="I330" s="975"/>
    </row>
    <row r="331" spans="1:9">
      <c r="A331" s="219">
        <f t="shared" si="1"/>
        <v>2017.1</v>
      </c>
      <c r="B331" s="322">
        <v>89.366393627637123</v>
      </c>
      <c r="C331" s="625">
        <v>104.64349889969095</v>
      </c>
      <c r="D331" s="2009">
        <v>81.679587823188939</v>
      </c>
      <c r="E331" s="2009">
        <v>80.668425129736178</v>
      </c>
      <c r="F331" s="627">
        <v>87.561855791581451</v>
      </c>
      <c r="G331" s="645"/>
      <c r="H331" s="974"/>
      <c r="I331" s="975"/>
    </row>
    <row r="332" spans="1:9">
      <c r="A332" s="219">
        <f t="shared" si="1"/>
        <v>2017.11</v>
      </c>
      <c r="B332" s="322">
        <v>87.68938182516473</v>
      </c>
      <c r="C332" s="625">
        <v>101.38405022905368</v>
      </c>
      <c r="D332" s="2009">
        <v>80.818160632814752</v>
      </c>
      <c r="E332" s="2009">
        <v>78.931229656584861</v>
      </c>
      <c r="F332" s="627">
        <v>86.398524689047406</v>
      </c>
      <c r="G332" s="645"/>
      <c r="H332" s="974"/>
      <c r="I332" s="975"/>
    </row>
    <row r="333" spans="1:9">
      <c r="A333" s="219">
        <f t="shared" si="1"/>
        <v>2017.12</v>
      </c>
      <c r="B333" s="322">
        <v>87.110885529135729</v>
      </c>
      <c r="C333" s="625">
        <v>99.822178981834838</v>
      </c>
      <c r="D333" s="2009">
        <v>80.312112952555879</v>
      </c>
      <c r="E333" s="2009">
        <v>78.994621331921309</v>
      </c>
      <c r="F333" s="627">
        <v>86.472025609640241</v>
      </c>
      <c r="G333" s="645"/>
      <c r="H333" s="974"/>
      <c r="I333" s="975"/>
    </row>
    <row r="334" spans="1:9">
      <c r="A334" s="219">
        <f t="shared" si="1"/>
        <v>2018.01</v>
      </c>
      <c r="B334" s="322">
        <v>93.550538655986358</v>
      </c>
      <c r="C334" s="625">
        <v>107.83497059039254</v>
      </c>
      <c r="D334" s="2009">
        <v>84.386634017628879</v>
      </c>
      <c r="E334" s="2009">
        <v>85.769124446172967</v>
      </c>
      <c r="F334" s="627">
        <v>92.974212520725246</v>
      </c>
      <c r="G334" s="645"/>
      <c r="H334" s="974"/>
      <c r="I334" s="975"/>
    </row>
    <row r="335" spans="1:9">
      <c r="A335" s="219">
        <f t="shared" si="1"/>
        <v>2018.02</v>
      </c>
      <c r="B335" s="322">
        <v>96.16828708610683</v>
      </c>
      <c r="C335" s="625">
        <v>109.14072159028417</v>
      </c>
      <c r="D335" s="2009">
        <v>86.477025307945993</v>
      </c>
      <c r="E335" s="2009">
        <v>90.986161971653146</v>
      </c>
      <c r="F335" s="627">
        <v>95.730664508506052</v>
      </c>
      <c r="G335" s="645"/>
      <c r="H335" s="974"/>
      <c r="I335" s="975"/>
    </row>
    <row r="336" spans="1:9">
      <c r="A336" s="219">
        <f t="shared" si="1"/>
        <v>2018.03</v>
      </c>
      <c r="B336" s="322">
        <v>95.595143919407747</v>
      </c>
      <c r="C336" s="625">
        <v>107.82325988559506</v>
      </c>
      <c r="D336" s="2009">
        <v>86.269277443782329</v>
      </c>
      <c r="E336" s="2009">
        <v>90.566519868654424</v>
      </c>
      <c r="F336" s="627">
        <v>95.931557645352441</v>
      </c>
      <c r="G336" s="645"/>
      <c r="H336" s="974"/>
      <c r="I336" s="975"/>
    </row>
    <row r="337" spans="1:9">
      <c r="A337" s="219">
        <f t="shared" si="1"/>
        <v>2018.04</v>
      </c>
      <c r="B337" s="322">
        <v>92.150990662664313</v>
      </c>
      <c r="C337" s="625">
        <v>101.52410915072983</v>
      </c>
      <c r="D337" s="2009">
        <v>84.341560444739358</v>
      </c>
      <c r="E337" s="2009">
        <v>87.256617556611317</v>
      </c>
      <c r="F337" s="627">
        <v>93.883122902826784</v>
      </c>
      <c r="G337" s="645"/>
      <c r="H337" s="974"/>
      <c r="I337" s="975"/>
    </row>
    <row r="338" spans="1:9">
      <c r="A338" s="219">
        <f t="shared" si="1"/>
        <v>2018.05</v>
      </c>
      <c r="B338" s="322">
        <v>101.41660306704749</v>
      </c>
      <c r="C338" s="625">
        <v>108.81814360729516</v>
      </c>
      <c r="D338" s="2009">
        <v>96.196183298188359</v>
      </c>
      <c r="E338" s="2009">
        <v>98.212377162701102</v>
      </c>
      <c r="F338" s="627">
        <v>103.48104949214476</v>
      </c>
      <c r="G338" s="645"/>
      <c r="H338" s="974"/>
      <c r="I338" s="975"/>
    </row>
    <row r="339" spans="1:9">
      <c r="A339" s="219">
        <f t="shared" si="1"/>
        <v>2018.06</v>
      </c>
      <c r="B339" s="322">
        <v>109.33700471175786</v>
      </c>
      <c r="C339" s="625">
        <v>115.55126486056697</v>
      </c>
      <c r="D339" s="2009">
        <v>105.38430692789392</v>
      </c>
      <c r="E339" s="2009">
        <v>106.49640920790128</v>
      </c>
      <c r="F339" s="627">
        <v>112.12923176063369</v>
      </c>
      <c r="G339" s="645"/>
      <c r="H339" s="974"/>
      <c r="I339" s="975"/>
    </row>
    <row r="340" spans="1:9">
      <c r="A340" s="219">
        <f t="shared" si="1"/>
        <v>2018.07</v>
      </c>
      <c r="B340" s="322">
        <v>109.45764602440892</v>
      </c>
      <c r="C340" s="625">
        <v>115.50178227628062</v>
      </c>
      <c r="D340" s="2009">
        <v>106.01338675404286</v>
      </c>
      <c r="E340" s="2009">
        <v>104.40158217979908</v>
      </c>
      <c r="F340" s="627">
        <v>112.78636362528331</v>
      </c>
      <c r="G340" s="645"/>
      <c r="H340" s="974"/>
      <c r="I340" s="975"/>
    </row>
    <row r="341" spans="1:9">
      <c r="A341" s="219">
        <f t="shared" si="1"/>
        <v>2018.08</v>
      </c>
      <c r="B341" s="862">
        <v>113.26875226424316</v>
      </c>
      <c r="C341" s="863">
        <v>117.67978277604873</v>
      </c>
      <c r="D341" s="2010">
        <v>111.12121540521547</v>
      </c>
      <c r="E341" s="2010">
        <v>109.27894309136063</v>
      </c>
      <c r="F341" s="864">
        <v>116.48879244000625</v>
      </c>
      <c r="G341" s="645"/>
      <c r="H341" s="974"/>
      <c r="I341" s="975"/>
    </row>
    <row r="342" spans="1:9">
      <c r="A342" s="219">
        <f t="shared" si="1"/>
        <v>2018.09</v>
      </c>
      <c r="B342" s="862">
        <v>136.74181990279214</v>
      </c>
      <c r="C342" s="863">
        <v>138.32737655001637</v>
      </c>
      <c r="D342" s="2010">
        <v>136.09826666759983</v>
      </c>
      <c r="E342" s="2010">
        <v>132.75114583657248</v>
      </c>
      <c r="F342" s="864">
        <v>144.22259257194733</v>
      </c>
      <c r="G342" s="645"/>
      <c r="H342" s="974"/>
      <c r="I342" s="975"/>
    </row>
    <row r="343" spans="1:9">
      <c r="A343" s="219">
        <f t="shared" ref="A343:A406" si="2">A331+1</f>
        <v>2018.1</v>
      </c>
      <c r="B343" s="862">
        <v>126.96237491905744</v>
      </c>
      <c r="C343" s="863">
        <v>137.40613140969043</v>
      </c>
      <c r="D343" s="2010">
        <v>123.9048399982793</v>
      </c>
      <c r="E343" s="2010">
        <v>117.26935533630034</v>
      </c>
      <c r="F343" s="864">
        <v>129.57238365074195</v>
      </c>
      <c r="G343" s="645"/>
      <c r="H343" s="974"/>
      <c r="I343" s="975"/>
    </row>
    <row r="344" spans="1:9">
      <c r="A344" s="219">
        <f t="shared" si="2"/>
        <v>2018.11</v>
      </c>
      <c r="B344" s="862">
        <v>118.89146763299674</v>
      </c>
      <c r="C344" s="863">
        <v>129.17010574269821</v>
      </c>
      <c r="D344" s="2010">
        <v>116.81580084468111</v>
      </c>
      <c r="E344" s="2010">
        <v>108.92977200462126</v>
      </c>
      <c r="F344" s="864">
        <v>120.55733353824067</v>
      </c>
      <c r="G344" s="645"/>
      <c r="H344" s="974"/>
      <c r="I344" s="975"/>
    </row>
    <row r="345" spans="1:9">
      <c r="A345" s="219">
        <f t="shared" si="2"/>
        <v>2018.12</v>
      </c>
      <c r="B345" s="862">
        <v>119.22027305722528</v>
      </c>
      <c r="C345" s="863">
        <v>126.98714300137952</v>
      </c>
      <c r="D345" s="2010">
        <v>118.11770109631551</v>
      </c>
      <c r="E345" s="2010">
        <v>110.97568516998237</v>
      </c>
      <c r="F345" s="864">
        <v>121.71370528955964</v>
      </c>
      <c r="G345" s="645"/>
      <c r="H345" s="974"/>
      <c r="I345" s="975"/>
    </row>
    <row r="346" spans="1:9">
      <c r="A346" s="219">
        <f t="shared" si="2"/>
        <v>2019.01</v>
      </c>
      <c r="B346" s="862">
        <v>116.64606561371967</v>
      </c>
      <c r="C346" s="863">
        <v>126.89046691629957</v>
      </c>
      <c r="D346" s="2010">
        <v>113.56450105976155</v>
      </c>
      <c r="E346" s="2010">
        <v>109.23413054903114</v>
      </c>
      <c r="F346" s="864">
        <v>116.71608674272547</v>
      </c>
      <c r="G346" s="645"/>
      <c r="H346" s="974"/>
      <c r="I346" s="975"/>
    </row>
    <row r="347" spans="1:9">
      <c r="A347" s="219">
        <f t="shared" si="2"/>
        <v>2019.02</v>
      </c>
      <c r="B347" s="1022">
        <v>116.6601491375196</v>
      </c>
      <c r="C347" s="864">
        <v>127.35816302568371</v>
      </c>
      <c r="D347" s="2010">
        <v>112.9278430244684</v>
      </c>
      <c r="E347" s="2010">
        <v>111.46921101421331</v>
      </c>
      <c r="F347" s="864">
        <v>114.86666479775344</v>
      </c>
      <c r="G347" s="645"/>
      <c r="H347" s="974"/>
      <c r="I347" s="975"/>
    </row>
    <row r="348" spans="1:9">
      <c r="A348" s="219">
        <f t="shared" si="2"/>
        <v>2019.03</v>
      </c>
      <c r="B348" s="862">
        <v>119.76328317564308</v>
      </c>
      <c r="C348" s="863">
        <v>128.04522760118988</v>
      </c>
      <c r="D348" s="2010">
        <v>117.05496054070497</v>
      </c>
      <c r="E348" s="2010">
        <v>115.98482365619275</v>
      </c>
      <c r="F348" s="2019">
        <v>118.96133370738566</v>
      </c>
      <c r="G348" s="645"/>
    </row>
    <row r="349" spans="1:9">
      <c r="A349" s="219">
        <f t="shared" si="2"/>
        <v>2019.04</v>
      </c>
      <c r="B349" s="1022">
        <v>120.1434681938902</v>
      </c>
      <c r="C349" s="863">
        <v>127.83956021764146</v>
      </c>
      <c r="D349" s="2010">
        <v>118.14555845862142</v>
      </c>
      <c r="E349" s="2010">
        <v>115.29004579833958</v>
      </c>
      <c r="F349" s="864">
        <v>120.02836460370837</v>
      </c>
      <c r="G349" s="645"/>
    </row>
    <row r="350" spans="1:9">
      <c r="A350" s="219">
        <f t="shared" si="2"/>
        <v>2019.05</v>
      </c>
      <c r="B350" s="862">
        <v>119.43558615627575</v>
      </c>
      <c r="C350" s="863">
        <v>125.77803692899819</v>
      </c>
      <c r="D350" s="2010">
        <v>118.94759340896047</v>
      </c>
      <c r="E350" s="2010">
        <v>113.83109157047302</v>
      </c>
      <c r="F350" s="2019">
        <v>120.57534112005946</v>
      </c>
      <c r="G350" s="645"/>
    </row>
    <row r="351" spans="1:9">
      <c r="A351" s="219">
        <f t="shared" si="2"/>
        <v>2019.06</v>
      </c>
      <c r="B351" s="862">
        <v>114.78789829913148</v>
      </c>
      <c r="C351" s="863">
        <v>123.35091945163587</v>
      </c>
      <c r="D351" s="2010">
        <v>112.81385889633795</v>
      </c>
      <c r="E351" s="2010">
        <v>107.88469235672612</v>
      </c>
      <c r="F351" s="2019">
        <v>115.57988856226775</v>
      </c>
      <c r="G351" s="645"/>
    </row>
    <row r="352" spans="1:9">
      <c r="A352" s="219">
        <f t="shared" si="2"/>
        <v>2019.07</v>
      </c>
      <c r="B352" s="1158">
        <v>109.82241660885521</v>
      </c>
      <c r="C352" s="1159">
        <v>119.75108288775291</v>
      </c>
      <c r="D352" s="2011">
        <v>106.96750621954331</v>
      </c>
      <c r="E352" s="2011">
        <v>103.92225937246151</v>
      </c>
      <c r="F352" s="2020">
        <v>108.54751726701113</v>
      </c>
      <c r="G352" s="645"/>
    </row>
    <row r="353" spans="1:7">
      <c r="A353" s="219">
        <f t="shared" si="2"/>
        <v>2019.08</v>
      </c>
      <c r="B353" s="1158">
        <v>127.77665862208953</v>
      </c>
      <c r="C353" s="1159">
        <v>134.21877447009885</v>
      </c>
      <c r="D353" s="2011">
        <v>127.7231018537092</v>
      </c>
      <c r="E353" s="2011">
        <v>122.97111809690394</v>
      </c>
      <c r="F353" s="2020">
        <v>128.12703168385002</v>
      </c>
      <c r="G353" s="645"/>
    </row>
    <row r="354" spans="1:7">
      <c r="A354" s="219">
        <f t="shared" si="2"/>
        <v>2019.09</v>
      </c>
      <c r="B354" s="322">
        <v>130.70723844267704</v>
      </c>
      <c r="C354" s="625">
        <v>135.40708897236254</v>
      </c>
      <c r="D354" s="2009">
        <v>132.16806982599161</v>
      </c>
      <c r="E354" s="2009">
        <v>125.62919724511626</v>
      </c>
      <c r="F354" s="627">
        <v>131.30782098098615</v>
      </c>
      <c r="G354" s="645"/>
    </row>
    <row r="355" spans="1:7">
      <c r="A355" s="219">
        <f t="shared" si="2"/>
        <v>2019.1</v>
      </c>
      <c r="B355" s="322">
        <v>129.78726674521587</v>
      </c>
      <c r="C355" s="625">
        <v>135.31724085905978</v>
      </c>
      <c r="D355" s="2009">
        <v>131.085357938626</v>
      </c>
      <c r="E355" s="2009">
        <v>122.92046591203942</v>
      </c>
      <c r="F355" s="627">
        <v>130.73003844764321</v>
      </c>
      <c r="G355" s="645"/>
    </row>
    <row r="356" spans="1:7">
      <c r="A356" s="219">
        <f t="shared" si="2"/>
        <v>2019.11</v>
      </c>
      <c r="B356" s="322">
        <v>127.03946489548572</v>
      </c>
      <c r="C356" s="625">
        <v>131.28870351471909</v>
      </c>
      <c r="D356" s="2009">
        <v>129.24253299141455</v>
      </c>
      <c r="E356" s="2009">
        <v>121.7048126997437</v>
      </c>
      <c r="F356" s="627">
        <v>128.3417390441505</v>
      </c>
      <c r="G356" s="645"/>
    </row>
    <row r="357" spans="1:7">
      <c r="A357" s="219">
        <f t="shared" si="2"/>
        <v>2019.12</v>
      </c>
      <c r="B357" s="322">
        <v>123.66806992408385</v>
      </c>
      <c r="C357" s="625">
        <v>128.9562173998346</v>
      </c>
      <c r="D357" s="2009">
        <v>124.93043767002477</v>
      </c>
      <c r="E357" s="2009">
        <v>117.94172274910156</v>
      </c>
      <c r="F357" s="627">
        <v>124.36968228737855</v>
      </c>
      <c r="G357" s="645"/>
    </row>
    <row r="358" spans="1:7">
      <c r="A358" s="219">
        <f t="shared" si="2"/>
        <v>2020.01</v>
      </c>
      <c r="B358" s="862">
        <v>120.93727817801663</v>
      </c>
      <c r="C358" s="863">
        <v>125.33783145933423</v>
      </c>
      <c r="D358" s="2010">
        <v>121.82524249929702</v>
      </c>
      <c r="E358" s="2010">
        <v>117.93771638297306</v>
      </c>
      <c r="F358" s="864">
        <v>120.51488800035749</v>
      </c>
      <c r="G358" s="645"/>
    </row>
    <row r="359" spans="1:7">
      <c r="A359" s="219">
        <f t="shared" si="2"/>
        <v>2020.02</v>
      </c>
      <c r="B359" s="862">
        <v>119.07725758798917</v>
      </c>
      <c r="C359" s="863">
        <v>119.8049287055629</v>
      </c>
      <c r="D359" s="2010">
        <v>122.13745930297489</v>
      </c>
      <c r="E359" s="2010">
        <v>119.47007080247178</v>
      </c>
      <c r="F359" s="864">
        <v>118.14520193360119</v>
      </c>
      <c r="G359" s="645"/>
    </row>
    <row r="360" spans="1:7">
      <c r="A360" s="219">
        <f t="shared" si="2"/>
        <v>2020.03</v>
      </c>
      <c r="B360" s="862">
        <v>114.90148381454726</v>
      </c>
      <c r="C360" s="863">
        <v>107.83665273358214</v>
      </c>
      <c r="D360" s="2010">
        <v>122.38032698557271</v>
      </c>
      <c r="E360" s="2010">
        <v>119.10086688411879</v>
      </c>
      <c r="F360" s="864">
        <v>120.429755262179</v>
      </c>
      <c r="G360" s="645"/>
    </row>
    <row r="361" spans="1:7">
      <c r="A361" s="219">
        <f t="shared" si="2"/>
        <v>2020.04</v>
      </c>
      <c r="B361" s="862">
        <v>112.10406655975048</v>
      </c>
      <c r="C361" s="863">
        <v>99.399823258629937</v>
      </c>
      <c r="D361" s="2010">
        <v>123.35568355557255</v>
      </c>
      <c r="E361" s="2010">
        <v>117.46178074462838</v>
      </c>
      <c r="F361" s="864">
        <v>120.55656417898813</v>
      </c>
      <c r="G361" s="645"/>
    </row>
    <row r="362" spans="1:7">
      <c r="A362" s="219">
        <f t="shared" si="2"/>
        <v>2020.05</v>
      </c>
      <c r="B362" s="862">
        <v>112.37914931925468</v>
      </c>
      <c r="C362" s="863">
        <v>95.424198136370777</v>
      </c>
      <c r="D362" s="2010">
        <v>124.7364967034484</v>
      </c>
      <c r="E362" s="2010">
        <v>118.08756370376587</v>
      </c>
      <c r="F362" s="864">
        <v>123.15956808867877</v>
      </c>
      <c r="G362" s="645"/>
    </row>
    <row r="363" spans="1:7">
      <c r="A363" s="219">
        <f t="shared" si="2"/>
        <v>2020.06</v>
      </c>
      <c r="B363" s="862">
        <v>117.05846812400129</v>
      </c>
      <c r="C363" s="863">
        <v>104.30197941417676</v>
      </c>
      <c r="D363" s="2010">
        <v>125.96429579340845</v>
      </c>
      <c r="E363" s="2010">
        <v>119.68594112941815</v>
      </c>
      <c r="F363" s="864">
        <v>128.17176986463647</v>
      </c>
      <c r="G363" s="645"/>
    </row>
    <row r="364" spans="1:7">
      <c r="A364" s="219">
        <f t="shared" si="2"/>
        <v>2020.07</v>
      </c>
      <c r="B364" s="862">
        <v>118.55065853583837</v>
      </c>
      <c r="C364" s="863">
        <v>103.15319797359379</v>
      </c>
      <c r="D364" s="2010">
        <v>127.24165486565836</v>
      </c>
      <c r="E364" s="2010">
        <v>123.39547327001023</v>
      </c>
      <c r="F364" s="864">
        <v>131.30233170670382</v>
      </c>
      <c r="G364" s="645"/>
    </row>
    <row r="365" spans="1:7">
      <c r="A365" s="219">
        <f t="shared" si="2"/>
        <v>2020.08</v>
      </c>
      <c r="B365" s="862">
        <v>119.75939537263281</v>
      </c>
      <c r="C365" s="863">
        <v>100.65514567676783</v>
      </c>
      <c r="D365" s="2010">
        <v>128.19892422699533</v>
      </c>
      <c r="E365" s="2010">
        <v>127.46351617916129</v>
      </c>
      <c r="F365" s="864">
        <v>135.30160651476757</v>
      </c>
      <c r="G365" s="645"/>
    </row>
    <row r="366" spans="1:7">
      <c r="A366" s="219">
        <f t="shared" si="2"/>
        <v>2020.09</v>
      </c>
      <c r="B366" s="1158">
        <v>120.46377225310455</v>
      </c>
      <c r="C366" s="1159">
        <v>101.98920398002033</v>
      </c>
      <c r="D366" s="2011">
        <v>128.46916977954791</v>
      </c>
      <c r="E366" s="2011">
        <v>128.37758999502174</v>
      </c>
      <c r="F366" s="2423">
        <v>134.49911030170344</v>
      </c>
      <c r="G366" s="645"/>
    </row>
    <row r="367" spans="1:7">
      <c r="A367" s="219">
        <f t="shared" si="2"/>
        <v>2020.1</v>
      </c>
      <c r="B367" s="1158">
        <v>119.17317305276269</v>
      </c>
      <c r="C367" s="1159">
        <v>98.379920430738551</v>
      </c>
      <c r="D367" s="2011">
        <v>128.48376615553519</v>
      </c>
      <c r="E367" s="2011">
        <v>126.95106307421493</v>
      </c>
      <c r="F367" s="2423">
        <v>134.22910817044229</v>
      </c>
      <c r="G367" s="645"/>
    </row>
    <row r="368" spans="1:7">
      <c r="A368" s="219">
        <f t="shared" si="2"/>
        <v>2020.11</v>
      </c>
      <c r="B368" s="1158">
        <v>120.42818054601595</v>
      </c>
      <c r="C368" s="1159">
        <v>102.00004842354929</v>
      </c>
      <c r="D368" s="2011">
        <v>128.15127783100729</v>
      </c>
      <c r="E368" s="2011">
        <v>126.82771698732751</v>
      </c>
      <c r="F368" s="2423">
        <v>134.3003422767504</v>
      </c>
      <c r="G368" s="645"/>
    </row>
    <row r="369" spans="1:7">
      <c r="A369" s="219">
        <f t="shared" si="2"/>
        <v>2020.12</v>
      </c>
      <c r="B369" s="862">
        <v>123.78872903840734</v>
      </c>
      <c r="C369" s="863">
        <v>108.91559459070824</v>
      </c>
      <c r="D369" s="2010">
        <v>128.36890060823646</v>
      </c>
      <c r="E369" s="2010">
        <v>128.16993056774066</v>
      </c>
      <c r="F369" s="864">
        <v>137.94937001561931</v>
      </c>
      <c r="G369" s="645"/>
    </row>
    <row r="370" spans="1:7">
      <c r="A370" s="219">
        <f t="shared" si="2"/>
        <v>2021.01</v>
      </c>
      <c r="B370" s="862">
        <v>123.54847201836387</v>
      </c>
      <c r="C370" s="863">
        <v>105.64826506084528</v>
      </c>
      <c r="D370" s="2010">
        <v>128.64487930547298</v>
      </c>
      <c r="E370" s="2010">
        <v>131.1942776420388</v>
      </c>
      <c r="F370" s="2019">
        <v>138.15375240259834</v>
      </c>
    </row>
    <row r="371" spans="1:7">
      <c r="A371" s="219">
        <f t="shared" si="2"/>
        <v>2021.02</v>
      </c>
      <c r="B371" s="862">
        <v>123.17687562865183</v>
      </c>
      <c r="C371" s="863">
        <v>104.32844099235315</v>
      </c>
      <c r="D371" s="2010">
        <v>128.44953614161298</v>
      </c>
      <c r="E371" s="2010">
        <v>133.4968500855903</v>
      </c>
      <c r="F371" s="2019">
        <v>136.77251917211362</v>
      </c>
    </row>
    <row r="372" spans="1:7">
      <c r="A372" s="219">
        <f t="shared" si="2"/>
        <v>2021.03</v>
      </c>
      <c r="B372" s="862">
        <v>119.97886178335229</v>
      </c>
      <c r="C372" s="863">
        <v>99.896980308713452</v>
      </c>
      <c r="D372" s="2010">
        <v>127.12393113894815</v>
      </c>
      <c r="E372" s="2010">
        <v>130.77889423895598</v>
      </c>
      <c r="F372" s="2019">
        <v>133.43629966632685</v>
      </c>
    </row>
    <row r="373" spans="1:7">
      <c r="A373" s="219">
        <f t="shared" si="2"/>
        <v>2021.04</v>
      </c>
      <c r="B373" s="862">
        <v>117.54530021581451</v>
      </c>
      <c r="C373" s="863">
        <v>98.883210189286061</v>
      </c>
      <c r="D373" s="2010">
        <v>124.63086131523565</v>
      </c>
      <c r="E373" s="2010">
        <v>125.33654646783829</v>
      </c>
      <c r="F373" s="2019">
        <v>131.64339461468037</v>
      </c>
    </row>
    <row r="374" spans="1:7">
      <c r="A374" s="219">
        <f t="shared" si="2"/>
        <v>2021.05</v>
      </c>
      <c r="B374" s="862">
        <v>117.87859929326011</v>
      </c>
      <c r="C374" s="863">
        <v>102.47216807250551</v>
      </c>
      <c r="D374" s="2010">
        <v>122.77961270749927</v>
      </c>
      <c r="E374" s="2010">
        <v>124.1727014141851</v>
      </c>
      <c r="F374" s="2019">
        <v>131.40587967034986</v>
      </c>
    </row>
    <row r="375" spans="1:7">
      <c r="A375" s="219">
        <f t="shared" si="2"/>
        <v>2021.06</v>
      </c>
      <c r="B375" s="862">
        <v>117.31425780871525</v>
      </c>
      <c r="C375" s="863">
        <v>106.3739565798007</v>
      </c>
      <c r="D375" s="2010">
        <v>121.25389769514997</v>
      </c>
      <c r="E375" s="2010">
        <v>122.26193825884857</v>
      </c>
      <c r="F375" s="2019">
        <v>128.05385875551519</v>
      </c>
    </row>
    <row r="376" spans="1:7">
      <c r="A376" s="219">
        <f t="shared" si="2"/>
        <v>2021.07</v>
      </c>
      <c r="B376" s="862">
        <v>114.08393231509834</v>
      </c>
      <c r="C376" s="863">
        <v>102.50206218890837</v>
      </c>
      <c r="D376" s="2010">
        <v>119.53304880155265</v>
      </c>
      <c r="E376" s="2010">
        <v>120.45936988718206</v>
      </c>
      <c r="F376" s="2019">
        <v>123.3268116113907</v>
      </c>
    </row>
    <row r="377" spans="1:7">
      <c r="A377" s="219">
        <f t="shared" si="2"/>
        <v>2021.08</v>
      </c>
      <c r="B377" s="862">
        <v>112.28415164722585</v>
      </c>
      <c r="C377" s="863">
        <v>99.9147179401985</v>
      </c>
      <c r="D377" s="2010">
        <v>118.054672288001</v>
      </c>
      <c r="E377" s="2010">
        <v>120.4291127116179</v>
      </c>
      <c r="F377" s="2019">
        <v>120.91571879760387</v>
      </c>
    </row>
    <row r="378" spans="1:7">
      <c r="A378" s="219">
        <f t="shared" si="2"/>
        <v>2021.09</v>
      </c>
      <c r="B378" s="862">
        <v>110.49825119877616</v>
      </c>
      <c r="C378" s="863">
        <v>98.528757864714436</v>
      </c>
      <c r="D378" s="2010">
        <v>116.33223824504036</v>
      </c>
      <c r="E378" s="2010">
        <v>117.3881103018839</v>
      </c>
      <c r="F378" s="2019">
        <v>119.20350085665298</v>
      </c>
    </row>
    <row r="379" spans="1:7">
      <c r="A379" s="219">
        <f t="shared" si="2"/>
        <v>2021.1</v>
      </c>
      <c r="B379" s="862">
        <v>106.16654980671548</v>
      </c>
      <c r="C379" s="863">
        <v>92.820994573370285</v>
      </c>
      <c r="D379" s="2010">
        <v>114.21997305161396</v>
      </c>
      <c r="E379" s="2010">
        <v>112.89512035922553</v>
      </c>
      <c r="F379" s="2019">
        <v>115.24544227741934</v>
      </c>
    </row>
    <row r="380" spans="1:7">
      <c r="A380" s="219">
        <f t="shared" si="2"/>
        <v>2021.11</v>
      </c>
      <c r="B380" s="1158">
        <v>104.36663150859043</v>
      </c>
      <c r="C380" s="863">
        <v>91.755375693960431</v>
      </c>
      <c r="D380" s="2010">
        <v>113.08171387975167</v>
      </c>
      <c r="E380" s="2010">
        <v>110.57941882179001</v>
      </c>
      <c r="F380" s="2019">
        <v>112.02179952168723</v>
      </c>
    </row>
    <row r="381" spans="1:7">
      <c r="A381" s="219">
        <f t="shared" si="2"/>
        <v>2021.12</v>
      </c>
      <c r="B381" s="1158">
        <v>102.26886322650965</v>
      </c>
      <c r="C381" s="1159">
        <v>89.355941965689141</v>
      </c>
      <c r="D381" s="2010">
        <v>112.13585948126679</v>
      </c>
      <c r="E381" s="2011">
        <v>109.40677270340564</v>
      </c>
      <c r="F381" s="2020">
        <v>109.68923805437926</v>
      </c>
    </row>
    <row r="382" spans="1:7">
      <c r="A382" s="219">
        <f t="shared" si="2"/>
        <v>2022.01</v>
      </c>
      <c r="B382" s="1158">
        <v>101.98667299212953</v>
      </c>
      <c r="C382" s="1159">
        <v>90.435429353983125</v>
      </c>
      <c r="D382" s="2011">
        <v>110.90742749086992</v>
      </c>
      <c r="E382" s="2011">
        <v>108.53451912987676</v>
      </c>
      <c r="F382" s="2020">
        <v>108.31151946943807</v>
      </c>
    </row>
    <row r="383" spans="1:7">
      <c r="A383" s="219">
        <f t="shared" si="2"/>
        <v>2022.02</v>
      </c>
      <c r="B383" s="1158">
        <v>102.69184163270715</v>
      </c>
      <c r="C383" s="1159">
        <v>95.10578116372848</v>
      </c>
      <c r="D383" s="2011">
        <v>109.56619362014966</v>
      </c>
      <c r="E383" s="2011">
        <v>108.65336433000924</v>
      </c>
      <c r="F383" s="2020">
        <v>107.22204660437747</v>
      </c>
    </row>
    <row r="384" spans="1:7">
      <c r="A384" s="219">
        <f t="shared" si="2"/>
        <v>2022.03</v>
      </c>
      <c r="B384" s="1158">
        <v>101.3062471973853</v>
      </c>
      <c r="C384" s="1159">
        <v>97.863033357891467</v>
      </c>
      <c r="D384" s="2011">
        <v>107.44829001516159</v>
      </c>
      <c r="E384" s="2011">
        <v>106.05732920354271</v>
      </c>
      <c r="F384" s="2020">
        <v>102.8541693527894</v>
      </c>
    </row>
    <row r="385" spans="1:6">
      <c r="A385" s="219">
        <f t="shared" si="2"/>
        <v>2022.04</v>
      </c>
      <c r="B385" s="1158">
        <v>99.81558963146017</v>
      </c>
      <c r="C385" s="625">
        <v>101.19688643384156</v>
      </c>
      <c r="D385" s="2009">
        <v>105.25049803018292</v>
      </c>
      <c r="E385" s="2009">
        <v>100.90600680020451</v>
      </c>
      <c r="F385" s="2021">
        <v>99.799056961812553</v>
      </c>
    </row>
    <row r="386" spans="1:6">
      <c r="A386" s="219">
        <f t="shared" si="2"/>
        <v>2022.05</v>
      </c>
      <c r="B386" s="322">
        <v>96.439443412303646</v>
      </c>
      <c r="C386" s="625">
        <v>96.527469866219974</v>
      </c>
      <c r="D386" s="2009">
        <v>104.48330787771525</v>
      </c>
      <c r="E386" s="2009">
        <v>95.603424291391747</v>
      </c>
      <c r="F386" s="2021">
        <v>96.825649365764278</v>
      </c>
    </row>
    <row r="387" spans="1:6">
      <c r="A387" s="219">
        <f t="shared" si="2"/>
        <v>2022.06</v>
      </c>
      <c r="B387" s="322">
        <v>95.607315197984917</v>
      </c>
      <c r="C387" s="625">
        <v>94.425879959661103</v>
      </c>
      <c r="D387" s="2009">
        <v>104.54445144394245</v>
      </c>
      <c r="E387" s="2009">
        <v>95.194003254573616</v>
      </c>
      <c r="F387" s="2021">
        <v>96.702617143196903</v>
      </c>
    </row>
    <row r="388" spans="1:6">
      <c r="A388" s="219">
        <f t="shared" si="2"/>
        <v>2022.07</v>
      </c>
      <c r="B388" s="322">
        <v>91.69604319071901</v>
      </c>
      <c r="C388" s="625">
        <v>87.206727789781681</v>
      </c>
      <c r="D388" s="2009">
        <v>103.44424807714924</v>
      </c>
      <c r="E388" s="2009">
        <v>94.693192173727383</v>
      </c>
      <c r="F388" s="2021">
        <v>92.072419977423635</v>
      </c>
    </row>
    <row r="389" spans="1:6">
      <c r="A389" s="219">
        <f t="shared" si="2"/>
        <v>2022.08</v>
      </c>
      <c r="B389" s="322">
        <v>91.491104916607298</v>
      </c>
      <c r="C389" s="625">
        <v>88.883976754669831</v>
      </c>
      <c r="D389" s="2009">
        <v>101.79416707275308</v>
      </c>
      <c r="E389" s="2009">
        <v>93.722304664445559</v>
      </c>
      <c r="F389" s="2021">
        <v>90.258253847863415</v>
      </c>
    </row>
    <row r="390" spans="1:6">
      <c r="A390" s="219">
        <f t="shared" si="2"/>
        <v>2022.09</v>
      </c>
      <c r="B390" s="322">
        <v>89.262293282346747</v>
      </c>
      <c r="C390" s="625">
        <v>86.327050691659736</v>
      </c>
      <c r="D390" s="2009">
        <v>101.33269703618998</v>
      </c>
      <c r="E390" s="2009">
        <v>89.414432886234351</v>
      </c>
      <c r="F390" s="2021">
        <v>88.434998439315876</v>
      </c>
    </row>
    <row r="391" spans="1:6">
      <c r="A391" s="219">
        <f t="shared" si="2"/>
        <v>2022.1</v>
      </c>
      <c r="B391" s="322">
        <v>88.352023281870203</v>
      </c>
      <c r="C391" s="625">
        <v>86.431182454945457</v>
      </c>
      <c r="D391" s="2009">
        <v>101.81851551287401</v>
      </c>
      <c r="E391" s="2009">
        <v>85.291960261765439</v>
      </c>
      <c r="F391" s="2021">
        <v>89.048340924353909</v>
      </c>
    </row>
    <row r="392" spans="1:6">
      <c r="A392" s="219">
        <f t="shared" si="2"/>
        <v>2022.11</v>
      </c>
      <c r="B392" s="322">
        <v>90.095840546948054</v>
      </c>
      <c r="C392" s="625">
        <v>87.099384538432858</v>
      </c>
      <c r="D392" s="2009">
        <v>103.1291784572889</v>
      </c>
      <c r="E392" s="2009">
        <v>85.302699805601108</v>
      </c>
      <c r="F392" s="2021">
        <v>94.034571596798955</v>
      </c>
    </row>
    <row r="393" spans="1:6">
      <c r="A393" s="219">
        <f t="shared" si="2"/>
        <v>2022.12</v>
      </c>
      <c r="B393" s="322">
        <v>93.209707555853939</v>
      </c>
      <c r="C393" s="625">
        <v>89.388431666828879</v>
      </c>
      <c r="D393" s="2009">
        <v>104.78958414531255</v>
      </c>
      <c r="E393" s="2009">
        <v>88.897769431902603</v>
      </c>
      <c r="F393" s="2021">
        <v>98.57718354348421</v>
      </c>
    </row>
    <row r="394" spans="1:6">
      <c r="A394" s="219">
        <f t="shared" si="2"/>
        <v>2023.01</v>
      </c>
      <c r="B394" s="322">
        <v>95.139297100512096</v>
      </c>
      <c r="C394" s="625">
        <v>90.820229800067494</v>
      </c>
      <c r="D394" s="2009">
        <v>105.12095785065989</v>
      </c>
      <c r="E394" s="2009">
        <v>92.274678927657206</v>
      </c>
      <c r="F394" s="2021">
        <v>100.11259986557462</v>
      </c>
    </row>
    <row r="395" spans="1:6">
      <c r="A395" s="219">
        <f t="shared" si="2"/>
        <v>2023.02</v>
      </c>
      <c r="B395" s="322">
        <v>94.767846309493578</v>
      </c>
      <c r="C395" s="625">
        <v>90.7663362598296</v>
      </c>
      <c r="D395" s="2009">
        <v>104.66044552788641</v>
      </c>
      <c r="E395" s="2009">
        <v>92.001797632662488</v>
      </c>
      <c r="F395" s="2021">
        <v>98.785001265454056</v>
      </c>
    </row>
    <row r="396" spans="1:6">
      <c r="A396" s="219">
        <f t="shared" si="2"/>
        <v>2023.03</v>
      </c>
      <c r="B396" s="322">
        <v>93.58761700075064</v>
      </c>
      <c r="C396" s="625">
        <v>89.62221182541974</v>
      </c>
      <c r="D396" s="2009">
        <v>103.47156749133255</v>
      </c>
      <c r="E396" s="2009">
        <v>89.950770897373417</v>
      </c>
      <c r="F396" s="2021">
        <v>98.441397769959295</v>
      </c>
    </row>
    <row r="397" spans="1:6">
      <c r="A397" s="219">
        <f t="shared" si="2"/>
        <v>2023.04</v>
      </c>
      <c r="B397" s="322">
        <v>93.809378454921088</v>
      </c>
      <c r="C397" s="625">
        <v>92.257824877200434</v>
      </c>
      <c r="D397" s="2009">
        <v>102.08936498839998</v>
      </c>
      <c r="E397" s="2009">
        <v>87.30676166704734</v>
      </c>
      <c r="F397" s="2021">
        <v>99.832350553841323</v>
      </c>
    </row>
    <row r="398" spans="1:6">
      <c r="A398" s="219">
        <f t="shared" si="2"/>
        <v>2023.05</v>
      </c>
      <c r="B398" s="322">
        <v>93.047700077162759</v>
      </c>
      <c r="C398" s="625">
        <v>92.757416775813979</v>
      </c>
      <c r="D398" s="2009">
        <v>101.46329296298532</v>
      </c>
      <c r="E398" s="2009">
        <v>85.198573707501467</v>
      </c>
      <c r="F398" s="2021">
        <v>98.44770772472495</v>
      </c>
    </row>
    <row r="399" spans="1:6">
      <c r="A399" s="219">
        <f t="shared" si="2"/>
        <v>2023.06</v>
      </c>
      <c r="B399" s="322">
        <v>93.957929460378054</v>
      </c>
      <c r="C399" s="625">
        <v>95.536927848930446</v>
      </c>
      <c r="D399" s="2009">
        <v>102.2030018612773</v>
      </c>
      <c r="E399" s="2009">
        <v>84.12158879624856</v>
      </c>
      <c r="F399" s="2021">
        <v>98.911870253778915</v>
      </c>
    </row>
    <row r="400" spans="1:6">
      <c r="A400" s="219">
        <f t="shared" si="2"/>
        <v>2023.07</v>
      </c>
      <c r="B400" s="322">
        <v>95.839531239822094</v>
      </c>
      <c r="C400" s="625">
        <v>97.588316920437506</v>
      </c>
      <c r="D400" s="2009">
        <v>103.34053817827119</v>
      </c>
      <c r="E400" s="2009">
        <v>85.637922882082094</v>
      </c>
      <c r="F400" s="2021">
        <v>101.85928344619849</v>
      </c>
    </row>
    <row r="401" spans="1:6">
      <c r="A401" s="219">
        <f t="shared" si="2"/>
        <v>2023.08</v>
      </c>
      <c r="B401" s="322">
        <v>104.81891099831414</v>
      </c>
      <c r="C401" s="625">
        <v>105.37607168876211</v>
      </c>
      <c r="D401" s="2009">
        <v>114.3118928148251</v>
      </c>
      <c r="E401" s="2009">
        <v>95.20045654568986</v>
      </c>
      <c r="F401" s="2021">
        <v>110.98113455569329</v>
      </c>
    </row>
    <row r="402" spans="1:6">
      <c r="A402" s="219">
        <f t="shared" si="2"/>
        <v>2023.09</v>
      </c>
      <c r="B402" s="322">
        <v>100.65902907826839</v>
      </c>
      <c r="C402" s="625">
        <v>101.66325587727339</v>
      </c>
      <c r="D402" s="2009">
        <v>111.28448736049621</v>
      </c>
      <c r="E402" s="2009">
        <v>90.976990664516563</v>
      </c>
      <c r="F402" s="2021">
        <v>105.81877376448604</v>
      </c>
    </row>
    <row r="403" spans="1:6">
      <c r="A403" s="219">
        <f t="shared" si="2"/>
        <v>2023.1</v>
      </c>
      <c r="B403" s="322">
        <v>89.617009125673192</v>
      </c>
      <c r="C403" s="625">
        <v>90.056542858573536</v>
      </c>
      <c r="D403" s="2009">
        <v>100.96049494474877</v>
      </c>
      <c r="E403" s="2009">
        <v>80.344870215027214</v>
      </c>
      <c r="F403" s="2021">
        <v>94.960881874833674</v>
      </c>
    </row>
    <row r="404" spans="1:6">
      <c r="A404" s="219">
        <f t="shared" si="2"/>
        <v>2023.11</v>
      </c>
      <c r="B404" s="322">
        <v>83.185385946626539</v>
      </c>
      <c r="C404" s="625">
        <v>85.144702251838225</v>
      </c>
      <c r="D404" s="2009">
        <v>92.286423551490287</v>
      </c>
      <c r="E404" s="2009">
        <v>73.009713947196175</v>
      </c>
      <c r="F404" s="2021">
        <v>88.498586514312947</v>
      </c>
    </row>
    <row r="405" spans="1:6">
      <c r="A405" s="219">
        <f t="shared" si="2"/>
        <v>2023.12</v>
      </c>
      <c r="B405" s="322">
        <v>124.86426958124187</v>
      </c>
      <c r="C405" s="625">
        <v>127.35574792801974</v>
      </c>
      <c r="D405" s="2009">
        <v>137.38654005232883</v>
      </c>
      <c r="E405" s="2009">
        <v>110.10545659223369</v>
      </c>
      <c r="F405" s="2021">
        <v>132.87110027445655</v>
      </c>
    </row>
    <row r="406" spans="1:6">
      <c r="A406" s="219">
        <f t="shared" si="2"/>
        <v>2024.01</v>
      </c>
      <c r="B406" s="322">
        <v>132.77551220261014</v>
      </c>
      <c r="C406" s="625">
        <v>135.58360545735317</v>
      </c>
      <c r="D406" s="2009">
        <v>146.57169876590623</v>
      </c>
      <c r="E406" s="2009">
        <v>117.44991250923704</v>
      </c>
      <c r="F406" s="2021">
        <v>140.76645894945656</v>
      </c>
    </row>
    <row r="407" spans="1:6">
      <c r="A407" s="219">
        <f t="shared" ref="A407:A470" si="3">A395+1</f>
        <v>2024.02</v>
      </c>
      <c r="B407" s="322">
        <v>115.75087567623997</v>
      </c>
      <c r="C407" s="625">
        <v>117.73366866151071</v>
      </c>
      <c r="D407" s="2009">
        <v>128.41637824566646</v>
      </c>
      <c r="E407" s="2009">
        <v>104.09027422837356</v>
      </c>
      <c r="F407" s="2021">
        <v>121.73838221712838</v>
      </c>
    </row>
    <row r="408" spans="1:6">
      <c r="A408" s="219">
        <f t="shared" si="3"/>
        <v>2024.03</v>
      </c>
      <c r="B408" s="322">
        <v>105.91059997844827</v>
      </c>
      <c r="C408" s="625">
        <v>107.36500975842877</v>
      </c>
      <c r="D408" s="2009">
        <v>117.3282061600914</v>
      </c>
      <c r="E408" s="2009">
        <v>94.793184174469047</v>
      </c>
      <c r="F408" s="2021">
        <v>112.3895751978435</v>
      </c>
    </row>
    <row r="409" spans="1:6">
      <c r="A409" s="219">
        <f t="shared" si="3"/>
        <v>2024.04</v>
      </c>
      <c r="B409" s="322">
        <v>96.26315025268417</v>
      </c>
      <c r="C409" s="625">
        <v>96.477809381187882</v>
      </c>
      <c r="D409" s="2009">
        <v>108.4099524473904</v>
      </c>
      <c r="E409" s="2009">
        <v>85.359682919356175</v>
      </c>
      <c r="F409" s="2021">
        <v>102.86841793089977</v>
      </c>
    </row>
    <row r="410" spans="1:6">
      <c r="A410" s="219">
        <f t="shared" si="3"/>
        <v>2024.05</v>
      </c>
      <c r="B410" s="322" t="e">
        <v>#N/A</v>
      </c>
      <c r="C410" s="625" t="e">
        <v>#N/A</v>
      </c>
      <c r="D410" s="2009" t="e">
        <v>#N/A</v>
      </c>
      <c r="E410" s="2009" t="e">
        <v>#N/A</v>
      </c>
      <c r="F410" s="2021" t="e">
        <v>#N/A</v>
      </c>
    </row>
    <row r="411" spans="1:6">
      <c r="A411" s="219">
        <f t="shared" si="3"/>
        <v>2024.06</v>
      </c>
      <c r="B411" s="322" t="e">
        <v>#N/A</v>
      </c>
      <c r="C411" s="625" t="e">
        <v>#N/A</v>
      </c>
      <c r="D411" s="2009" t="e">
        <v>#N/A</v>
      </c>
      <c r="E411" s="2009" t="e">
        <v>#N/A</v>
      </c>
      <c r="F411" s="2021" t="e">
        <v>#N/A</v>
      </c>
    </row>
    <row r="412" spans="1:6">
      <c r="A412" s="219">
        <f t="shared" si="3"/>
        <v>2024.07</v>
      </c>
      <c r="B412" s="322" t="e">
        <v>#N/A</v>
      </c>
      <c r="C412" s="625" t="e">
        <v>#N/A</v>
      </c>
      <c r="D412" s="2009" t="e">
        <v>#N/A</v>
      </c>
      <c r="E412" s="2009" t="e">
        <v>#N/A</v>
      </c>
      <c r="F412" s="2021" t="e">
        <v>#N/A</v>
      </c>
    </row>
    <row r="413" spans="1:6">
      <c r="A413" s="219">
        <f t="shared" si="3"/>
        <v>2024.08</v>
      </c>
      <c r="B413" s="322" t="e">
        <v>#N/A</v>
      </c>
      <c r="C413" s="625" t="e">
        <v>#N/A</v>
      </c>
      <c r="D413" s="2009" t="e">
        <v>#N/A</v>
      </c>
      <c r="E413" s="2009" t="e">
        <v>#N/A</v>
      </c>
      <c r="F413" s="2021" t="e">
        <v>#N/A</v>
      </c>
    </row>
    <row r="414" spans="1:6">
      <c r="A414" s="219">
        <f t="shared" si="3"/>
        <v>2024.09</v>
      </c>
      <c r="B414" s="322" t="e">
        <v>#N/A</v>
      </c>
      <c r="C414" s="625" t="e">
        <v>#N/A</v>
      </c>
      <c r="D414" s="2009" t="e">
        <v>#N/A</v>
      </c>
      <c r="E414" s="2009" t="e">
        <v>#N/A</v>
      </c>
      <c r="F414" s="2021" t="e">
        <v>#N/A</v>
      </c>
    </row>
    <row r="415" spans="1:6">
      <c r="A415" s="219">
        <f t="shared" si="3"/>
        <v>2024.1</v>
      </c>
      <c r="B415" s="322" t="e">
        <v>#N/A</v>
      </c>
      <c r="C415" s="625" t="e">
        <v>#N/A</v>
      </c>
      <c r="D415" s="2009" t="e">
        <v>#N/A</v>
      </c>
      <c r="E415" s="2009" t="e">
        <v>#N/A</v>
      </c>
      <c r="F415" s="2021" t="e">
        <v>#N/A</v>
      </c>
    </row>
    <row r="416" spans="1:6">
      <c r="A416" s="219">
        <f t="shared" si="3"/>
        <v>2024.11</v>
      </c>
      <c r="B416" s="322" t="e">
        <v>#N/A</v>
      </c>
      <c r="C416" s="625" t="e">
        <v>#N/A</v>
      </c>
      <c r="D416" s="2009" t="e">
        <v>#N/A</v>
      </c>
      <c r="E416" s="2009" t="e">
        <v>#N/A</v>
      </c>
      <c r="F416" s="2021" t="e">
        <v>#N/A</v>
      </c>
    </row>
    <row r="417" spans="1:6">
      <c r="A417" s="219">
        <f t="shared" si="3"/>
        <v>2024.12</v>
      </c>
      <c r="B417" s="322" t="e">
        <v>#N/A</v>
      </c>
      <c r="C417" s="625" t="e">
        <v>#N/A</v>
      </c>
      <c r="D417" s="2009" t="e">
        <v>#N/A</v>
      </c>
      <c r="E417" s="2009" t="e">
        <v>#N/A</v>
      </c>
      <c r="F417" s="2021" t="e">
        <v>#N/A</v>
      </c>
    </row>
    <row r="418" spans="1:6">
      <c r="A418" s="219">
        <f t="shared" si="3"/>
        <v>2025.01</v>
      </c>
      <c r="B418" s="322" t="e">
        <v>#N/A</v>
      </c>
      <c r="C418" s="625" t="e">
        <v>#N/A</v>
      </c>
      <c r="D418" s="2009" t="e">
        <v>#N/A</v>
      </c>
      <c r="E418" s="2009" t="e">
        <v>#N/A</v>
      </c>
      <c r="F418" s="2021" t="e">
        <v>#N/A</v>
      </c>
    </row>
    <row r="419" spans="1:6">
      <c r="A419" s="219">
        <f t="shared" si="3"/>
        <v>2025.02</v>
      </c>
      <c r="B419" s="322" t="e">
        <v>#N/A</v>
      </c>
      <c r="C419" s="625" t="e">
        <v>#N/A</v>
      </c>
      <c r="D419" s="2009" t="e">
        <v>#N/A</v>
      </c>
      <c r="E419" s="2009" t="e">
        <v>#N/A</v>
      </c>
      <c r="F419" s="2021" t="e">
        <v>#N/A</v>
      </c>
    </row>
    <row r="420" spans="1:6">
      <c r="A420" s="219">
        <f t="shared" si="3"/>
        <v>2025.03</v>
      </c>
      <c r="B420" s="322" t="e">
        <v>#N/A</v>
      </c>
      <c r="C420" s="625" t="e">
        <v>#N/A</v>
      </c>
      <c r="D420" s="2009" t="e">
        <v>#N/A</v>
      </c>
      <c r="E420" s="2009" t="e">
        <v>#N/A</v>
      </c>
      <c r="F420" s="2021" t="e">
        <v>#N/A</v>
      </c>
    </row>
    <row r="421" spans="1:6">
      <c r="A421" s="219">
        <f t="shared" si="3"/>
        <v>2025.04</v>
      </c>
      <c r="B421" s="322" t="e">
        <v>#N/A</v>
      </c>
      <c r="C421" s="625" t="e">
        <v>#N/A</v>
      </c>
      <c r="D421" s="2009" t="e">
        <v>#N/A</v>
      </c>
      <c r="E421" s="2009" t="e">
        <v>#N/A</v>
      </c>
      <c r="F421" s="2021" t="e">
        <v>#N/A</v>
      </c>
    </row>
    <row r="422" spans="1:6">
      <c r="A422" s="219">
        <f t="shared" si="3"/>
        <v>2025.05</v>
      </c>
      <c r="B422" s="322" t="e">
        <v>#N/A</v>
      </c>
      <c r="C422" s="625" t="e">
        <v>#N/A</v>
      </c>
      <c r="D422" s="2009" t="e">
        <v>#N/A</v>
      </c>
      <c r="E422" s="2009" t="e">
        <v>#N/A</v>
      </c>
      <c r="F422" s="2021" t="e">
        <v>#N/A</v>
      </c>
    </row>
    <row r="423" spans="1:6">
      <c r="A423" s="219">
        <f t="shared" si="3"/>
        <v>2025.06</v>
      </c>
      <c r="B423" s="322" t="e">
        <v>#N/A</v>
      </c>
      <c r="C423" s="625" t="e">
        <v>#N/A</v>
      </c>
      <c r="D423" s="2009" t="e">
        <v>#N/A</v>
      </c>
      <c r="E423" s="2009" t="e">
        <v>#N/A</v>
      </c>
      <c r="F423" s="2021" t="e">
        <v>#N/A</v>
      </c>
    </row>
    <row r="424" spans="1:6">
      <c r="A424" s="219">
        <f t="shared" si="3"/>
        <v>2025.07</v>
      </c>
      <c r="B424" s="322" t="e">
        <v>#N/A</v>
      </c>
      <c r="C424" s="625" t="e">
        <v>#N/A</v>
      </c>
      <c r="D424" s="2009" t="e">
        <v>#N/A</v>
      </c>
      <c r="E424" s="2009" t="e">
        <v>#N/A</v>
      </c>
      <c r="F424" s="2021" t="e">
        <v>#N/A</v>
      </c>
    </row>
    <row r="425" spans="1:6">
      <c r="A425" s="219">
        <f t="shared" si="3"/>
        <v>2025.08</v>
      </c>
      <c r="B425" s="322" t="e">
        <v>#N/A</v>
      </c>
      <c r="C425" s="625" t="e">
        <v>#N/A</v>
      </c>
      <c r="D425" s="2009" t="e">
        <v>#N/A</v>
      </c>
      <c r="E425" s="2009" t="e">
        <v>#N/A</v>
      </c>
      <c r="F425" s="2021" t="e">
        <v>#N/A</v>
      </c>
    </row>
    <row r="426" spans="1:6">
      <c r="A426" s="219">
        <f t="shared" si="3"/>
        <v>2025.09</v>
      </c>
      <c r="B426" s="322" t="e">
        <v>#N/A</v>
      </c>
      <c r="C426" s="625" t="e">
        <v>#N/A</v>
      </c>
      <c r="D426" s="2009" t="e">
        <v>#N/A</v>
      </c>
      <c r="E426" s="2009" t="e">
        <v>#N/A</v>
      </c>
      <c r="F426" s="2021" t="e">
        <v>#N/A</v>
      </c>
    </row>
    <row r="427" spans="1:6">
      <c r="A427" s="219">
        <f t="shared" si="3"/>
        <v>2025.1</v>
      </c>
      <c r="B427" s="322" t="e">
        <v>#N/A</v>
      </c>
      <c r="C427" s="625" t="e">
        <v>#N/A</v>
      </c>
      <c r="D427" s="2009" t="e">
        <v>#N/A</v>
      </c>
      <c r="E427" s="2009" t="e">
        <v>#N/A</v>
      </c>
      <c r="F427" s="2021" t="e">
        <v>#N/A</v>
      </c>
    </row>
    <row r="428" spans="1:6">
      <c r="A428" s="219">
        <f t="shared" si="3"/>
        <v>2025.11</v>
      </c>
      <c r="B428" s="322" t="e">
        <v>#N/A</v>
      </c>
      <c r="C428" s="625" t="e">
        <v>#N/A</v>
      </c>
      <c r="D428" s="2009" t="e">
        <v>#N/A</v>
      </c>
      <c r="E428" s="2009" t="e">
        <v>#N/A</v>
      </c>
      <c r="F428" s="2021" t="e">
        <v>#N/A</v>
      </c>
    </row>
    <row r="429" spans="1:6">
      <c r="A429" s="219">
        <f t="shared" si="3"/>
        <v>2025.12</v>
      </c>
      <c r="B429" s="322" t="e">
        <v>#N/A</v>
      </c>
      <c r="C429" s="625" t="e">
        <v>#N/A</v>
      </c>
      <c r="D429" s="2009" t="e">
        <v>#N/A</v>
      </c>
      <c r="E429" s="2009" t="e">
        <v>#N/A</v>
      </c>
      <c r="F429" s="2021" t="e">
        <v>#N/A</v>
      </c>
    </row>
    <row r="430" spans="1:6">
      <c r="A430" s="2765">
        <f t="shared" si="3"/>
        <v>2026.01</v>
      </c>
      <c r="B430" s="322" t="e">
        <v>#N/A</v>
      </c>
      <c r="C430" s="625" t="e">
        <v>#N/A</v>
      </c>
      <c r="D430" s="2009" t="e">
        <v>#N/A</v>
      </c>
      <c r="E430" s="2009" t="e">
        <v>#N/A</v>
      </c>
      <c r="F430" s="2021" t="e">
        <v>#N/A</v>
      </c>
    </row>
    <row r="431" spans="1:6">
      <c r="A431" s="2765">
        <f t="shared" si="3"/>
        <v>2026.02</v>
      </c>
      <c r="B431" s="322" t="e">
        <v>#N/A</v>
      </c>
      <c r="C431" s="625" t="e">
        <v>#N/A</v>
      </c>
      <c r="D431" s="2009" t="e">
        <v>#N/A</v>
      </c>
      <c r="E431" s="2009" t="e">
        <v>#N/A</v>
      </c>
      <c r="F431" s="2021" t="e">
        <v>#N/A</v>
      </c>
    </row>
    <row r="432" spans="1:6">
      <c r="A432" s="2765">
        <f t="shared" si="3"/>
        <v>2026.03</v>
      </c>
      <c r="B432" s="322" t="e">
        <v>#N/A</v>
      </c>
      <c r="C432" s="625" t="e">
        <v>#N/A</v>
      </c>
      <c r="D432" s="2009" t="e">
        <v>#N/A</v>
      </c>
      <c r="E432" s="2009" t="e">
        <v>#N/A</v>
      </c>
      <c r="F432" s="2021" t="e">
        <v>#N/A</v>
      </c>
    </row>
    <row r="433" spans="1:6">
      <c r="A433" s="2765">
        <f t="shared" si="3"/>
        <v>2026.04</v>
      </c>
      <c r="B433" s="322" t="e">
        <v>#N/A</v>
      </c>
      <c r="C433" s="625" t="e">
        <v>#N/A</v>
      </c>
      <c r="D433" s="2009" t="e">
        <v>#N/A</v>
      </c>
      <c r="E433" s="2009" t="e">
        <v>#N/A</v>
      </c>
      <c r="F433" s="2021" t="e">
        <v>#N/A</v>
      </c>
    </row>
    <row r="434" spans="1:6">
      <c r="A434" s="2765">
        <f t="shared" si="3"/>
        <v>2026.05</v>
      </c>
      <c r="B434" s="322" t="e">
        <v>#N/A</v>
      </c>
      <c r="C434" s="625" t="e">
        <v>#N/A</v>
      </c>
      <c r="D434" s="2009" t="e">
        <v>#N/A</v>
      </c>
      <c r="E434" s="2009" t="e">
        <v>#N/A</v>
      </c>
      <c r="F434" s="2021" t="e">
        <v>#N/A</v>
      </c>
    </row>
    <row r="435" spans="1:6">
      <c r="A435" s="2765">
        <f t="shared" si="3"/>
        <v>2026.06</v>
      </c>
      <c r="B435" s="322" t="e">
        <v>#N/A</v>
      </c>
      <c r="C435" s="625" t="e">
        <v>#N/A</v>
      </c>
      <c r="D435" s="2009" t="e">
        <v>#N/A</v>
      </c>
      <c r="E435" s="2009" t="e">
        <v>#N/A</v>
      </c>
      <c r="F435" s="2021" t="e">
        <v>#N/A</v>
      </c>
    </row>
    <row r="436" spans="1:6">
      <c r="A436" s="2765">
        <f t="shared" si="3"/>
        <v>2026.07</v>
      </c>
      <c r="B436" s="322" t="e">
        <v>#N/A</v>
      </c>
      <c r="C436" s="625" t="e">
        <v>#N/A</v>
      </c>
      <c r="D436" s="2009" t="e">
        <v>#N/A</v>
      </c>
      <c r="E436" s="2009" t="e">
        <v>#N/A</v>
      </c>
      <c r="F436" s="2021" t="e">
        <v>#N/A</v>
      </c>
    </row>
    <row r="437" spans="1:6">
      <c r="A437" s="2765">
        <f t="shared" si="3"/>
        <v>2026.08</v>
      </c>
      <c r="B437" s="322" t="e">
        <v>#N/A</v>
      </c>
      <c r="C437" s="625" t="e">
        <v>#N/A</v>
      </c>
      <c r="D437" s="2009" t="e">
        <v>#N/A</v>
      </c>
      <c r="E437" s="2009" t="e">
        <v>#N/A</v>
      </c>
      <c r="F437" s="2021" t="e">
        <v>#N/A</v>
      </c>
    </row>
    <row r="438" spans="1:6">
      <c r="A438" s="2765">
        <f t="shared" si="3"/>
        <v>2026.09</v>
      </c>
      <c r="B438" s="322" t="e">
        <v>#N/A</v>
      </c>
      <c r="C438" s="625" t="e">
        <v>#N/A</v>
      </c>
      <c r="D438" s="2009" t="e">
        <v>#N/A</v>
      </c>
      <c r="E438" s="2009" t="e">
        <v>#N/A</v>
      </c>
      <c r="F438" s="2021" t="e">
        <v>#N/A</v>
      </c>
    </row>
    <row r="439" spans="1:6">
      <c r="A439" s="2765">
        <f t="shared" si="3"/>
        <v>2026.1</v>
      </c>
      <c r="B439" s="322" t="e">
        <v>#N/A</v>
      </c>
      <c r="C439" s="625" t="e">
        <v>#N/A</v>
      </c>
      <c r="D439" s="2009" t="e">
        <v>#N/A</v>
      </c>
      <c r="E439" s="2009" t="e">
        <v>#N/A</v>
      </c>
      <c r="F439" s="2021" t="e">
        <v>#N/A</v>
      </c>
    </row>
    <row r="440" spans="1:6">
      <c r="A440" s="2765">
        <f t="shared" si="3"/>
        <v>2026.11</v>
      </c>
      <c r="B440" s="322" t="e">
        <v>#N/A</v>
      </c>
      <c r="C440" s="625" t="e">
        <v>#N/A</v>
      </c>
      <c r="D440" s="2009" t="e">
        <v>#N/A</v>
      </c>
      <c r="E440" s="2009" t="e">
        <v>#N/A</v>
      </c>
      <c r="F440" s="2021" t="e">
        <v>#N/A</v>
      </c>
    </row>
    <row r="441" spans="1:6">
      <c r="A441" s="2765">
        <f t="shared" si="3"/>
        <v>2026.12</v>
      </c>
      <c r="B441" s="322" t="e">
        <v>#N/A</v>
      </c>
      <c r="C441" s="625" t="e">
        <v>#N/A</v>
      </c>
      <c r="D441" s="2009" t="e">
        <v>#N/A</v>
      </c>
      <c r="E441" s="2009" t="e">
        <v>#N/A</v>
      </c>
      <c r="F441" s="2021" t="e">
        <v>#N/A</v>
      </c>
    </row>
    <row r="442" spans="1:6">
      <c r="A442" s="2765">
        <f t="shared" si="3"/>
        <v>2027.01</v>
      </c>
      <c r="B442" s="322" t="e">
        <v>#N/A</v>
      </c>
      <c r="C442" s="625" t="e">
        <v>#N/A</v>
      </c>
      <c r="D442" s="2009" t="e">
        <v>#N/A</v>
      </c>
      <c r="E442" s="2009" t="e">
        <v>#N/A</v>
      </c>
      <c r="F442" s="2021" t="e">
        <v>#N/A</v>
      </c>
    </row>
    <row r="443" spans="1:6">
      <c r="A443" s="2765">
        <f t="shared" si="3"/>
        <v>2027.02</v>
      </c>
      <c r="B443" s="322" t="e">
        <v>#N/A</v>
      </c>
      <c r="C443" s="625" t="e">
        <v>#N/A</v>
      </c>
      <c r="D443" s="2009" t="e">
        <v>#N/A</v>
      </c>
      <c r="E443" s="2009" t="e">
        <v>#N/A</v>
      </c>
      <c r="F443" s="2021" t="e">
        <v>#N/A</v>
      </c>
    </row>
    <row r="444" spans="1:6">
      <c r="A444" s="2765">
        <f t="shared" si="3"/>
        <v>2027.03</v>
      </c>
      <c r="B444" s="322" t="e">
        <v>#N/A</v>
      </c>
      <c r="C444" s="625" t="e">
        <v>#N/A</v>
      </c>
      <c r="D444" s="2009" t="e">
        <v>#N/A</v>
      </c>
      <c r="E444" s="2009" t="e">
        <v>#N/A</v>
      </c>
      <c r="F444" s="2021" t="e">
        <v>#N/A</v>
      </c>
    </row>
    <row r="445" spans="1:6">
      <c r="A445" s="2765">
        <f t="shared" si="3"/>
        <v>2027.04</v>
      </c>
      <c r="B445" s="322" t="e">
        <v>#N/A</v>
      </c>
      <c r="C445" s="625" t="e">
        <v>#N/A</v>
      </c>
      <c r="D445" s="2009" t="e">
        <v>#N/A</v>
      </c>
      <c r="E445" s="2009" t="e">
        <v>#N/A</v>
      </c>
      <c r="F445" s="2021" t="e">
        <v>#N/A</v>
      </c>
    </row>
    <row r="446" spans="1:6">
      <c r="A446" s="2765">
        <f t="shared" si="3"/>
        <v>2027.05</v>
      </c>
      <c r="B446" s="322" t="e">
        <v>#N/A</v>
      </c>
      <c r="C446" s="625" t="e">
        <v>#N/A</v>
      </c>
      <c r="D446" s="2009" t="e">
        <v>#N/A</v>
      </c>
      <c r="E446" s="2009" t="e">
        <v>#N/A</v>
      </c>
      <c r="F446" s="2021" t="e">
        <v>#N/A</v>
      </c>
    </row>
    <row r="447" spans="1:6">
      <c r="A447" s="2765">
        <f t="shared" si="3"/>
        <v>2027.06</v>
      </c>
      <c r="B447" s="322" t="e">
        <v>#N/A</v>
      </c>
      <c r="C447" s="625" t="e">
        <v>#N/A</v>
      </c>
      <c r="D447" s="2009" t="e">
        <v>#N/A</v>
      </c>
      <c r="E447" s="2009" t="e">
        <v>#N/A</v>
      </c>
      <c r="F447" s="2021" t="e">
        <v>#N/A</v>
      </c>
    </row>
    <row r="448" spans="1:6">
      <c r="A448" s="2765">
        <f t="shared" si="3"/>
        <v>2027.07</v>
      </c>
      <c r="B448" s="322" t="e">
        <v>#N/A</v>
      </c>
      <c r="C448" s="625" t="e">
        <v>#N/A</v>
      </c>
      <c r="D448" s="2009" t="e">
        <v>#N/A</v>
      </c>
      <c r="E448" s="2009" t="e">
        <v>#N/A</v>
      </c>
      <c r="F448" s="2021" t="e">
        <v>#N/A</v>
      </c>
    </row>
    <row r="449" spans="1:6">
      <c r="A449" s="2765">
        <f t="shared" si="3"/>
        <v>2027.08</v>
      </c>
      <c r="B449" s="322" t="e">
        <v>#N/A</v>
      </c>
      <c r="C449" s="625" t="e">
        <v>#N/A</v>
      </c>
      <c r="D449" s="2009" t="e">
        <v>#N/A</v>
      </c>
      <c r="E449" s="2009" t="e">
        <v>#N/A</v>
      </c>
      <c r="F449" s="2021" t="e">
        <v>#N/A</v>
      </c>
    </row>
    <row r="450" spans="1:6">
      <c r="A450" s="2765">
        <f t="shared" si="3"/>
        <v>2027.09</v>
      </c>
      <c r="B450" s="322" t="e">
        <v>#N/A</v>
      </c>
      <c r="C450" s="625" t="e">
        <v>#N/A</v>
      </c>
      <c r="D450" s="2009" t="e">
        <v>#N/A</v>
      </c>
      <c r="E450" s="2009" t="e">
        <v>#N/A</v>
      </c>
      <c r="F450" s="2021" t="e">
        <v>#N/A</v>
      </c>
    </row>
    <row r="451" spans="1:6">
      <c r="A451" s="2765">
        <f t="shared" si="3"/>
        <v>2027.1</v>
      </c>
      <c r="B451" s="322" t="e">
        <v>#N/A</v>
      </c>
      <c r="C451" s="625" t="e">
        <v>#N/A</v>
      </c>
      <c r="D451" s="2009" t="e">
        <v>#N/A</v>
      </c>
      <c r="E451" s="2009" t="e">
        <v>#N/A</v>
      </c>
      <c r="F451" s="2021" t="e">
        <v>#N/A</v>
      </c>
    </row>
    <row r="452" spans="1:6">
      <c r="A452" s="2765">
        <f t="shared" si="3"/>
        <v>2027.11</v>
      </c>
      <c r="B452" s="322" t="e">
        <v>#N/A</v>
      </c>
      <c r="C452" s="625" t="e">
        <v>#N/A</v>
      </c>
      <c r="D452" s="2009" t="e">
        <v>#N/A</v>
      </c>
      <c r="E452" s="2009" t="e">
        <v>#N/A</v>
      </c>
      <c r="F452" s="2021" t="e">
        <v>#N/A</v>
      </c>
    </row>
    <row r="453" spans="1:6">
      <c r="A453" s="2765">
        <f t="shared" si="3"/>
        <v>2027.12</v>
      </c>
      <c r="B453" s="322" t="e">
        <v>#N/A</v>
      </c>
      <c r="C453" s="625" t="e">
        <v>#N/A</v>
      </c>
      <c r="D453" s="2009" t="e">
        <v>#N/A</v>
      </c>
      <c r="E453" s="2009" t="e">
        <v>#N/A</v>
      </c>
      <c r="F453" s="2021" t="e">
        <v>#N/A</v>
      </c>
    </row>
    <row r="454" spans="1:6">
      <c r="A454" s="2765">
        <f t="shared" si="3"/>
        <v>2028.01</v>
      </c>
      <c r="B454" s="322" t="e">
        <v>#N/A</v>
      </c>
      <c r="C454" s="625" t="e">
        <v>#N/A</v>
      </c>
      <c r="D454" s="2009" t="e">
        <v>#N/A</v>
      </c>
      <c r="E454" s="2009" t="e">
        <v>#N/A</v>
      </c>
      <c r="F454" s="2021" t="e">
        <v>#N/A</v>
      </c>
    </row>
    <row r="455" spans="1:6">
      <c r="A455" s="2765">
        <f t="shared" si="3"/>
        <v>2028.02</v>
      </c>
      <c r="B455" s="322" t="e">
        <v>#N/A</v>
      </c>
      <c r="C455" s="625" t="e">
        <v>#N/A</v>
      </c>
      <c r="D455" s="2009" t="e">
        <v>#N/A</v>
      </c>
      <c r="E455" s="2009" t="e">
        <v>#N/A</v>
      </c>
      <c r="F455" s="2021" t="e">
        <v>#N/A</v>
      </c>
    </row>
    <row r="456" spans="1:6">
      <c r="A456" s="2765">
        <f t="shared" si="3"/>
        <v>2028.03</v>
      </c>
      <c r="B456" s="322" t="e">
        <v>#N/A</v>
      </c>
      <c r="C456" s="625" t="e">
        <v>#N/A</v>
      </c>
      <c r="D456" s="2009" t="e">
        <v>#N/A</v>
      </c>
      <c r="E456" s="2009" t="e">
        <v>#N/A</v>
      </c>
      <c r="F456" s="2021" t="e">
        <v>#N/A</v>
      </c>
    </row>
    <row r="457" spans="1:6">
      <c r="A457" s="2765">
        <f t="shared" si="3"/>
        <v>2028.04</v>
      </c>
      <c r="B457" s="322" t="e">
        <v>#N/A</v>
      </c>
      <c r="C457" s="625" t="e">
        <v>#N/A</v>
      </c>
      <c r="D457" s="2009" t="e">
        <v>#N/A</v>
      </c>
      <c r="E457" s="2009" t="e">
        <v>#N/A</v>
      </c>
      <c r="F457" s="2021" t="e">
        <v>#N/A</v>
      </c>
    </row>
    <row r="458" spans="1:6">
      <c r="A458" s="2765">
        <f t="shared" si="3"/>
        <v>2028.05</v>
      </c>
      <c r="B458" s="322" t="e">
        <v>#N/A</v>
      </c>
      <c r="C458" s="625" t="e">
        <v>#N/A</v>
      </c>
      <c r="D458" s="2009" t="e">
        <v>#N/A</v>
      </c>
      <c r="E458" s="2009" t="e">
        <v>#N/A</v>
      </c>
      <c r="F458" s="2021" t="e">
        <v>#N/A</v>
      </c>
    </row>
    <row r="459" spans="1:6">
      <c r="A459" s="2765">
        <f t="shared" si="3"/>
        <v>2028.06</v>
      </c>
      <c r="B459" s="322" t="e">
        <v>#N/A</v>
      </c>
      <c r="C459" s="625" t="e">
        <v>#N/A</v>
      </c>
      <c r="D459" s="2009" t="e">
        <v>#N/A</v>
      </c>
      <c r="E459" s="2009" t="e">
        <v>#N/A</v>
      </c>
      <c r="F459" s="2021" t="e">
        <v>#N/A</v>
      </c>
    </row>
    <row r="460" spans="1:6">
      <c r="A460" s="2765">
        <f t="shared" si="3"/>
        <v>2028.07</v>
      </c>
      <c r="B460" s="322" t="e">
        <v>#N/A</v>
      </c>
      <c r="C460" s="625" t="e">
        <v>#N/A</v>
      </c>
      <c r="D460" s="2009" t="e">
        <v>#N/A</v>
      </c>
      <c r="E460" s="2009" t="e">
        <v>#N/A</v>
      </c>
      <c r="F460" s="2021" t="e">
        <v>#N/A</v>
      </c>
    </row>
    <row r="461" spans="1:6">
      <c r="A461" s="2765">
        <f t="shared" si="3"/>
        <v>2028.08</v>
      </c>
      <c r="B461" s="322" t="e">
        <v>#N/A</v>
      </c>
      <c r="C461" s="625" t="e">
        <v>#N/A</v>
      </c>
      <c r="D461" s="2009" t="e">
        <v>#N/A</v>
      </c>
      <c r="E461" s="2009" t="e">
        <v>#N/A</v>
      </c>
      <c r="F461" s="2021" t="e">
        <v>#N/A</v>
      </c>
    </row>
    <row r="462" spans="1:6">
      <c r="A462" s="2765">
        <f t="shared" si="3"/>
        <v>2028.09</v>
      </c>
      <c r="B462" s="322" t="e">
        <v>#N/A</v>
      </c>
      <c r="C462" s="625" t="e">
        <v>#N/A</v>
      </c>
      <c r="D462" s="2009" t="e">
        <v>#N/A</v>
      </c>
      <c r="E462" s="2009" t="e">
        <v>#N/A</v>
      </c>
      <c r="F462" s="2021" t="e">
        <v>#N/A</v>
      </c>
    </row>
    <row r="463" spans="1:6">
      <c r="A463" s="2765">
        <f t="shared" si="3"/>
        <v>2028.1</v>
      </c>
      <c r="B463" s="322" t="e">
        <v>#N/A</v>
      </c>
      <c r="C463" s="625" t="e">
        <v>#N/A</v>
      </c>
      <c r="D463" s="2009" t="e">
        <v>#N/A</v>
      </c>
      <c r="E463" s="2009" t="e">
        <v>#N/A</v>
      </c>
      <c r="F463" s="2021" t="e">
        <v>#N/A</v>
      </c>
    </row>
    <row r="464" spans="1:6">
      <c r="A464" s="2765">
        <f t="shared" si="3"/>
        <v>2028.11</v>
      </c>
      <c r="B464" s="322" t="e">
        <v>#N/A</v>
      </c>
      <c r="C464" s="625" t="e">
        <v>#N/A</v>
      </c>
      <c r="D464" s="2009" t="e">
        <v>#N/A</v>
      </c>
      <c r="E464" s="2009" t="e">
        <v>#N/A</v>
      </c>
      <c r="F464" s="2021" t="e">
        <v>#N/A</v>
      </c>
    </row>
    <row r="465" spans="1:6">
      <c r="A465" s="2765">
        <f t="shared" si="3"/>
        <v>2028.12</v>
      </c>
      <c r="B465" s="322" t="e">
        <v>#N/A</v>
      </c>
      <c r="C465" s="625" t="e">
        <v>#N/A</v>
      </c>
      <c r="D465" s="2009" t="e">
        <v>#N/A</v>
      </c>
      <c r="E465" s="2009" t="e">
        <v>#N/A</v>
      </c>
      <c r="F465" s="2021" t="e">
        <v>#N/A</v>
      </c>
    </row>
    <row r="466" spans="1:6">
      <c r="A466" s="2765">
        <f t="shared" si="3"/>
        <v>2029.01</v>
      </c>
      <c r="B466" s="322" t="e">
        <v>#N/A</v>
      </c>
      <c r="C466" s="625" t="e">
        <v>#N/A</v>
      </c>
      <c r="D466" s="2009" t="e">
        <v>#N/A</v>
      </c>
      <c r="E466" s="2009" t="e">
        <v>#N/A</v>
      </c>
      <c r="F466" s="2021" t="e">
        <v>#N/A</v>
      </c>
    </row>
    <row r="467" spans="1:6">
      <c r="A467" s="2765">
        <f t="shared" si="3"/>
        <v>2029.02</v>
      </c>
      <c r="B467" s="322" t="e">
        <v>#N/A</v>
      </c>
      <c r="C467" s="625" t="e">
        <v>#N/A</v>
      </c>
      <c r="D467" s="2009" t="e">
        <v>#N/A</v>
      </c>
      <c r="E467" s="2009" t="e">
        <v>#N/A</v>
      </c>
      <c r="F467" s="2021" t="e">
        <v>#N/A</v>
      </c>
    </row>
    <row r="468" spans="1:6">
      <c r="A468" s="2765">
        <f t="shared" si="3"/>
        <v>2029.03</v>
      </c>
      <c r="B468" s="322" t="e">
        <v>#N/A</v>
      </c>
      <c r="C468" s="625" t="e">
        <v>#N/A</v>
      </c>
      <c r="D468" s="2009" t="e">
        <v>#N/A</v>
      </c>
      <c r="E468" s="2009" t="e">
        <v>#N/A</v>
      </c>
      <c r="F468" s="2021" t="e">
        <v>#N/A</v>
      </c>
    </row>
    <row r="469" spans="1:6">
      <c r="A469" s="2765">
        <f t="shared" si="3"/>
        <v>2029.04</v>
      </c>
      <c r="B469" s="322" t="e">
        <v>#N/A</v>
      </c>
      <c r="C469" s="625" t="e">
        <v>#N/A</v>
      </c>
      <c r="D469" s="2009" t="e">
        <v>#N/A</v>
      </c>
      <c r="E469" s="2009" t="e">
        <v>#N/A</v>
      </c>
      <c r="F469" s="2021" t="e">
        <v>#N/A</v>
      </c>
    </row>
    <row r="470" spans="1:6">
      <c r="A470" s="2765">
        <f t="shared" si="3"/>
        <v>2029.05</v>
      </c>
      <c r="B470" s="322" t="e">
        <v>#N/A</v>
      </c>
      <c r="C470" s="625" t="e">
        <v>#N/A</v>
      </c>
      <c r="D470" s="2009" t="e">
        <v>#N/A</v>
      </c>
      <c r="E470" s="2009" t="e">
        <v>#N/A</v>
      </c>
      <c r="F470" s="2021" t="e">
        <v>#N/A</v>
      </c>
    </row>
    <row r="471" spans="1:6">
      <c r="A471" s="2765">
        <f t="shared" ref="A471:A489" si="4">A459+1</f>
        <v>2029.06</v>
      </c>
      <c r="B471" s="322" t="e">
        <v>#N/A</v>
      </c>
      <c r="C471" s="625" t="e">
        <v>#N/A</v>
      </c>
      <c r="D471" s="2009" t="e">
        <v>#N/A</v>
      </c>
      <c r="E471" s="2009" t="e">
        <v>#N/A</v>
      </c>
      <c r="F471" s="2021" t="e">
        <v>#N/A</v>
      </c>
    </row>
    <row r="472" spans="1:6">
      <c r="A472" s="2765">
        <f t="shared" si="4"/>
        <v>2029.07</v>
      </c>
      <c r="B472" s="322" t="e">
        <v>#N/A</v>
      </c>
      <c r="C472" s="625" t="e">
        <v>#N/A</v>
      </c>
      <c r="D472" s="2009" t="e">
        <v>#N/A</v>
      </c>
      <c r="E472" s="2009" t="e">
        <v>#N/A</v>
      </c>
      <c r="F472" s="2021" t="e">
        <v>#N/A</v>
      </c>
    </row>
    <row r="473" spans="1:6">
      <c r="A473" s="2765">
        <f t="shared" si="4"/>
        <v>2029.08</v>
      </c>
      <c r="B473" s="322" t="e">
        <v>#N/A</v>
      </c>
      <c r="C473" s="625" t="e">
        <v>#N/A</v>
      </c>
      <c r="D473" s="2009" t="e">
        <v>#N/A</v>
      </c>
      <c r="E473" s="2009" t="e">
        <v>#N/A</v>
      </c>
      <c r="F473" s="2021" t="e">
        <v>#N/A</v>
      </c>
    </row>
    <row r="474" spans="1:6">
      <c r="A474" s="2765">
        <f t="shared" si="4"/>
        <v>2029.09</v>
      </c>
      <c r="B474" s="322" t="e">
        <v>#N/A</v>
      </c>
      <c r="C474" s="625" t="e">
        <v>#N/A</v>
      </c>
      <c r="D474" s="2009" t="e">
        <v>#N/A</v>
      </c>
      <c r="E474" s="2009" t="e">
        <v>#N/A</v>
      </c>
      <c r="F474" s="2021" t="e">
        <v>#N/A</v>
      </c>
    </row>
    <row r="475" spans="1:6">
      <c r="A475" s="2765">
        <f t="shared" si="4"/>
        <v>2029.1</v>
      </c>
      <c r="B475" s="322" t="e">
        <v>#N/A</v>
      </c>
      <c r="C475" s="625" t="e">
        <v>#N/A</v>
      </c>
      <c r="D475" s="2009" t="e">
        <v>#N/A</v>
      </c>
      <c r="E475" s="2009" t="e">
        <v>#N/A</v>
      </c>
      <c r="F475" s="2021" t="e">
        <v>#N/A</v>
      </c>
    </row>
    <row r="476" spans="1:6">
      <c r="A476" s="2765">
        <f t="shared" si="4"/>
        <v>2029.11</v>
      </c>
      <c r="B476" s="322" t="e">
        <v>#N/A</v>
      </c>
      <c r="C476" s="625" t="e">
        <v>#N/A</v>
      </c>
      <c r="D476" s="2009" t="e">
        <v>#N/A</v>
      </c>
      <c r="E476" s="2009" t="e">
        <v>#N/A</v>
      </c>
      <c r="F476" s="2021" t="e">
        <v>#N/A</v>
      </c>
    </row>
    <row r="477" spans="1:6">
      <c r="A477" s="2765">
        <f t="shared" si="4"/>
        <v>2029.12</v>
      </c>
      <c r="B477" s="322" t="e">
        <v>#N/A</v>
      </c>
      <c r="C477" s="625" t="e">
        <v>#N/A</v>
      </c>
      <c r="D477" s="2009" t="e">
        <v>#N/A</v>
      </c>
      <c r="E477" s="2009" t="e">
        <v>#N/A</v>
      </c>
      <c r="F477" s="2021" t="e">
        <v>#N/A</v>
      </c>
    </row>
    <row r="478" spans="1:6">
      <c r="A478" s="2765">
        <f t="shared" si="4"/>
        <v>2030.01</v>
      </c>
      <c r="B478" s="322" t="e">
        <v>#N/A</v>
      </c>
      <c r="C478" s="625" t="e">
        <v>#N/A</v>
      </c>
      <c r="D478" s="2009" t="e">
        <v>#N/A</v>
      </c>
      <c r="E478" s="2009" t="e">
        <v>#N/A</v>
      </c>
      <c r="F478" s="2021" t="e">
        <v>#N/A</v>
      </c>
    </row>
    <row r="479" spans="1:6">
      <c r="A479" s="2765">
        <f t="shared" si="4"/>
        <v>2030.02</v>
      </c>
      <c r="B479" s="322" t="e">
        <v>#N/A</v>
      </c>
      <c r="C479" s="625" t="e">
        <v>#N/A</v>
      </c>
      <c r="D479" s="2009" t="e">
        <v>#N/A</v>
      </c>
      <c r="E479" s="2009" t="e">
        <v>#N/A</v>
      </c>
      <c r="F479" s="2021" t="e">
        <v>#N/A</v>
      </c>
    </row>
    <row r="480" spans="1:6">
      <c r="A480" s="2765">
        <f t="shared" si="4"/>
        <v>2030.03</v>
      </c>
      <c r="B480" s="322" t="e">
        <v>#N/A</v>
      </c>
      <c r="C480" s="625" t="e">
        <v>#N/A</v>
      </c>
      <c r="D480" s="2009" t="e">
        <v>#N/A</v>
      </c>
      <c r="E480" s="2009" t="e">
        <v>#N/A</v>
      </c>
      <c r="F480" s="2021" t="e">
        <v>#N/A</v>
      </c>
    </row>
    <row r="481" spans="1:6">
      <c r="A481" s="2765">
        <f t="shared" si="4"/>
        <v>2030.04</v>
      </c>
      <c r="B481" s="322" t="e">
        <v>#N/A</v>
      </c>
      <c r="C481" s="625" t="e">
        <v>#N/A</v>
      </c>
      <c r="D481" s="2009" t="e">
        <v>#N/A</v>
      </c>
      <c r="E481" s="2009" t="e">
        <v>#N/A</v>
      </c>
      <c r="F481" s="2021" t="e">
        <v>#N/A</v>
      </c>
    </row>
    <row r="482" spans="1:6">
      <c r="A482" s="2765">
        <f t="shared" si="4"/>
        <v>2030.05</v>
      </c>
      <c r="B482" s="322" t="e">
        <v>#N/A</v>
      </c>
      <c r="C482" s="625" t="e">
        <v>#N/A</v>
      </c>
      <c r="D482" s="2009" t="e">
        <v>#N/A</v>
      </c>
      <c r="E482" s="2009" t="e">
        <v>#N/A</v>
      </c>
      <c r="F482" s="2021" t="e">
        <v>#N/A</v>
      </c>
    </row>
    <row r="483" spans="1:6">
      <c r="A483" s="2765">
        <f t="shared" si="4"/>
        <v>2030.06</v>
      </c>
      <c r="B483" s="322" t="e">
        <v>#N/A</v>
      </c>
      <c r="C483" s="625" t="e">
        <v>#N/A</v>
      </c>
      <c r="D483" s="2009" t="e">
        <v>#N/A</v>
      </c>
      <c r="E483" s="2009" t="e">
        <v>#N/A</v>
      </c>
      <c r="F483" s="2021" t="e">
        <v>#N/A</v>
      </c>
    </row>
    <row r="484" spans="1:6">
      <c r="A484" s="2765">
        <f t="shared" si="4"/>
        <v>2030.07</v>
      </c>
      <c r="B484" s="322" t="e">
        <v>#N/A</v>
      </c>
      <c r="C484" s="625" t="e">
        <v>#N/A</v>
      </c>
      <c r="D484" s="2009" t="e">
        <v>#N/A</v>
      </c>
      <c r="E484" s="2009" t="e">
        <v>#N/A</v>
      </c>
      <c r="F484" s="2021" t="e">
        <v>#N/A</v>
      </c>
    </row>
    <row r="485" spans="1:6">
      <c r="A485" s="2765">
        <f t="shared" si="4"/>
        <v>2030.08</v>
      </c>
      <c r="B485" s="322" t="e">
        <v>#N/A</v>
      </c>
      <c r="C485" s="625" t="e">
        <v>#N/A</v>
      </c>
      <c r="D485" s="2009" t="e">
        <v>#N/A</v>
      </c>
      <c r="E485" s="2009" t="e">
        <v>#N/A</v>
      </c>
      <c r="F485" s="2021" t="e">
        <v>#N/A</v>
      </c>
    </row>
    <row r="486" spans="1:6">
      <c r="A486" s="2765">
        <f t="shared" si="4"/>
        <v>2030.09</v>
      </c>
      <c r="B486" s="322" t="e">
        <v>#N/A</v>
      </c>
      <c r="C486" s="625" t="e">
        <v>#N/A</v>
      </c>
      <c r="D486" s="2009" t="e">
        <v>#N/A</v>
      </c>
      <c r="E486" s="2009" t="e">
        <v>#N/A</v>
      </c>
      <c r="F486" s="2021" t="e">
        <v>#N/A</v>
      </c>
    </row>
    <row r="487" spans="1:6">
      <c r="A487" s="2765">
        <f t="shared" si="4"/>
        <v>2030.1</v>
      </c>
      <c r="B487" s="322" t="e">
        <v>#N/A</v>
      </c>
      <c r="C487" s="625" t="e">
        <v>#N/A</v>
      </c>
      <c r="D487" s="2009" t="e">
        <v>#N/A</v>
      </c>
      <c r="E487" s="2009" t="e">
        <v>#N/A</v>
      </c>
      <c r="F487" s="2021" t="e">
        <v>#N/A</v>
      </c>
    </row>
    <row r="488" spans="1:6">
      <c r="A488" s="2765">
        <f t="shared" si="4"/>
        <v>2030.11</v>
      </c>
      <c r="B488" s="322" t="e">
        <v>#N/A</v>
      </c>
      <c r="C488" s="625" t="e">
        <v>#N/A</v>
      </c>
      <c r="D488" s="2009" t="e">
        <v>#N/A</v>
      </c>
      <c r="E488" s="2009" t="e">
        <v>#N/A</v>
      </c>
      <c r="F488" s="2021" t="e">
        <v>#N/A</v>
      </c>
    </row>
    <row r="489" spans="1:6">
      <c r="A489" s="2765">
        <f t="shared" si="4"/>
        <v>2030.12</v>
      </c>
      <c r="B489" s="322" t="e">
        <v>#N/A</v>
      </c>
      <c r="C489" s="625" t="e">
        <v>#N/A</v>
      </c>
      <c r="D489" s="2009" t="e">
        <v>#N/A</v>
      </c>
      <c r="E489" s="2009" t="e">
        <v>#N/A</v>
      </c>
      <c r="F489" s="2021" t="e">
        <v>#N/A</v>
      </c>
    </row>
  </sheetData>
  <phoneticPr fontId="64" type="noConversion"/>
  <hyperlinks>
    <hyperlink ref="A1:A3" location="Indice!A1" display="ÍNDICE" xr:uid="{00000000-0004-0000-2D00-000000000000}"/>
    <hyperlink ref="A5" location="INDICE!A13" display="VOLVER AL INDICE" xr:uid="{00000000-0004-0000-2D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1">
    <pageSetUpPr autoPageBreaks="0"/>
  </sheetPr>
  <dimension ref="A1:X477"/>
  <sheetViews>
    <sheetView zoomScale="115" zoomScaleNormal="115" workbookViewId="0">
      <pane xSplit="1" ySplit="9" topLeftCell="B391" activePane="bottomRight" state="frozen"/>
      <selection sqref="A1:A5"/>
      <selection pane="topRight" sqref="A1:A5"/>
      <selection pane="bottomLeft" sqref="A1:A5"/>
      <selection pane="bottomRight" activeCell="H399" sqref="H399"/>
    </sheetView>
  </sheetViews>
  <sheetFormatPr baseColWidth="10" defaultColWidth="11.42578125" defaultRowHeight="12.75"/>
  <cols>
    <col min="1" max="1" width="10.42578125" style="19" bestFit="1" customWidth="1"/>
    <col min="2" max="2" width="14.28515625" style="19" bestFit="1" customWidth="1"/>
    <col min="3" max="3" width="17.5703125" style="19" bestFit="1" customWidth="1"/>
    <col min="4" max="4" width="13.28515625" style="19" bestFit="1" customWidth="1"/>
    <col min="5" max="5" width="14" style="19" bestFit="1" customWidth="1"/>
    <col min="6" max="6" width="18" style="19" customWidth="1"/>
    <col min="7" max="7" width="12.7109375" style="19" customWidth="1"/>
    <col min="8" max="8" width="13.85546875" style="19" customWidth="1"/>
    <col min="9" max="9" width="16.85546875" style="1" customWidth="1"/>
    <col min="10" max="10" width="17.85546875" style="1" bestFit="1" customWidth="1"/>
    <col min="11" max="11" width="16.85546875" style="1" customWidth="1"/>
    <col min="12" max="13" width="16.5703125" style="1" bestFit="1" customWidth="1"/>
    <col min="14" max="14" width="14.85546875" style="1" bestFit="1" customWidth="1"/>
    <col min="15" max="15" width="17.5703125" style="1" bestFit="1" customWidth="1"/>
    <col min="16" max="16" width="12.28515625" style="1" bestFit="1" customWidth="1"/>
    <col min="17" max="22" width="11.42578125" style="1"/>
    <col min="23" max="23" width="14.85546875" style="1" bestFit="1" customWidth="1"/>
    <col min="24" max="16384" width="11.42578125" style="1"/>
  </cols>
  <sheetData>
    <row r="1" spans="1:8" ht="3.75" customHeight="1">
      <c r="A1" s="47"/>
      <c r="B1" s="10"/>
      <c r="C1" s="10"/>
      <c r="D1" s="10"/>
      <c r="E1" s="10"/>
      <c r="F1" s="10"/>
      <c r="G1" s="10"/>
      <c r="H1" s="7"/>
    </row>
    <row r="2" spans="1:8">
      <c r="A2" s="47" t="s">
        <v>212</v>
      </c>
      <c r="B2" s="77" t="s">
        <v>1458</v>
      </c>
      <c r="C2" s="76"/>
      <c r="D2" s="77"/>
      <c r="E2" s="76"/>
      <c r="F2" s="76"/>
      <c r="G2" s="76"/>
      <c r="H2" s="78"/>
    </row>
    <row r="3" spans="1:8">
      <c r="A3" s="47" t="s">
        <v>330</v>
      </c>
      <c r="B3" s="77" t="s">
        <v>266</v>
      </c>
      <c r="C3" s="76"/>
      <c r="D3" s="77"/>
      <c r="E3" s="76"/>
      <c r="F3" s="76"/>
      <c r="G3" s="76"/>
      <c r="H3" s="78"/>
    </row>
    <row r="4" spans="1:8" ht="3" customHeight="1">
      <c r="A4" s="224"/>
      <c r="B4" s="40"/>
      <c r="C4" s="77"/>
      <c r="D4" s="77"/>
      <c r="E4" s="77"/>
      <c r="F4" s="77"/>
      <c r="G4" s="77"/>
      <c r="H4" s="109"/>
    </row>
    <row r="5" spans="1:8" s="19" customFormat="1" ht="22.35" customHeight="1">
      <c r="A5" s="45" t="s">
        <v>213</v>
      </c>
      <c r="B5" s="124" t="s">
        <v>276</v>
      </c>
      <c r="C5" s="1801" t="s">
        <v>275</v>
      </c>
      <c r="D5" s="176" t="s">
        <v>274</v>
      </c>
      <c r="E5" s="1801" t="s">
        <v>270</v>
      </c>
      <c r="F5" s="76" t="s">
        <v>269</v>
      </c>
      <c r="G5" s="1801" t="s">
        <v>752</v>
      </c>
      <c r="H5" s="78" t="s">
        <v>410</v>
      </c>
    </row>
    <row r="6" spans="1:8" s="19" customFormat="1" ht="3" customHeight="1">
      <c r="A6" s="224"/>
      <c r="B6" s="269"/>
      <c r="C6" s="2025"/>
      <c r="D6" s="270"/>
      <c r="E6" s="2025"/>
      <c r="F6" s="270"/>
      <c r="G6" s="2025"/>
      <c r="H6" s="271"/>
    </row>
    <row r="7" spans="1:8" s="19" customFormat="1" ht="22.5">
      <c r="A7" s="47" t="s">
        <v>210</v>
      </c>
      <c r="B7" s="124" t="s">
        <v>229</v>
      </c>
      <c r="C7" s="1801" t="s">
        <v>229</v>
      </c>
      <c r="D7" s="76" t="s">
        <v>229</v>
      </c>
      <c r="E7" s="1801" t="s">
        <v>229</v>
      </c>
      <c r="F7" s="76" t="s">
        <v>229</v>
      </c>
      <c r="G7" s="1801" t="s">
        <v>229</v>
      </c>
      <c r="H7" s="78" t="str">
        <f>F7</f>
        <v>Pesos corrientes</v>
      </c>
    </row>
    <row r="8" spans="1:8" s="19" customFormat="1" ht="12" customHeight="1">
      <c r="A8" s="225" t="s">
        <v>412</v>
      </c>
      <c r="B8" s="397" t="s">
        <v>668</v>
      </c>
      <c r="C8" s="1290" t="s">
        <v>669</v>
      </c>
      <c r="D8" s="397" t="s">
        <v>670</v>
      </c>
      <c r="E8" s="1290" t="s">
        <v>671</v>
      </c>
      <c r="F8" s="397" t="s">
        <v>672</v>
      </c>
      <c r="G8" s="1290" t="s">
        <v>673</v>
      </c>
      <c r="H8" s="391" t="s">
        <v>674</v>
      </c>
    </row>
    <row r="9" spans="1:8" ht="13.5" thickBot="1">
      <c r="A9" s="194"/>
      <c r="B9" s="2022"/>
      <c r="C9" s="2026"/>
      <c r="D9" s="1906"/>
      <c r="E9" s="2026"/>
      <c r="F9" s="1906"/>
      <c r="G9" s="2026"/>
      <c r="H9" s="802"/>
    </row>
    <row r="10" spans="1:8">
      <c r="A10" s="85">
        <v>1992.01</v>
      </c>
      <c r="B10" s="54">
        <v>5800312</v>
      </c>
      <c r="C10" s="1572">
        <v>27293814</v>
      </c>
      <c r="D10" s="1574">
        <v>7063668</v>
      </c>
      <c r="E10" s="1572">
        <v>10612125</v>
      </c>
      <c r="F10" s="1574">
        <v>2202467</v>
      </c>
      <c r="G10" s="1572">
        <v>405086</v>
      </c>
      <c r="H10" s="902">
        <f>SUM(B10:G10)</f>
        <v>53377472</v>
      </c>
    </row>
    <row r="11" spans="1:8">
      <c r="A11" s="85">
        <v>1992.02</v>
      </c>
      <c r="B11" s="50">
        <v>15086512</v>
      </c>
      <c r="C11" s="1365">
        <v>24660172</v>
      </c>
      <c r="D11" s="73">
        <v>4708936</v>
      </c>
      <c r="E11" s="1365">
        <v>8062176</v>
      </c>
      <c r="F11" s="73">
        <v>1806530</v>
      </c>
      <c r="G11" s="1365">
        <v>177949</v>
      </c>
      <c r="H11" s="526">
        <f>SUM(B11:G11)</f>
        <v>54502275</v>
      </c>
    </row>
    <row r="12" spans="1:8">
      <c r="A12" s="85">
        <v>1992.03</v>
      </c>
      <c r="B12" s="50">
        <v>11097571</v>
      </c>
      <c r="C12" s="1365">
        <v>26885910</v>
      </c>
      <c r="D12" s="73">
        <v>5438320</v>
      </c>
      <c r="E12" s="1365">
        <v>8750411</v>
      </c>
      <c r="F12" s="73">
        <v>1822667</v>
      </c>
      <c r="G12" s="1365">
        <v>232876</v>
      </c>
      <c r="H12" s="526">
        <f t="shared" ref="H12:H74" si="0">SUM(B12:G12)</f>
        <v>54227755</v>
      </c>
    </row>
    <row r="13" spans="1:8">
      <c r="A13" s="85">
        <v>1992.04</v>
      </c>
      <c r="B13" s="50">
        <v>4362917</v>
      </c>
      <c r="C13" s="1365">
        <v>27856542</v>
      </c>
      <c r="D13" s="73">
        <v>4543488</v>
      </c>
      <c r="E13" s="1365">
        <v>10873481</v>
      </c>
      <c r="F13" s="73">
        <v>9039579</v>
      </c>
      <c r="G13" s="1365">
        <v>255425</v>
      </c>
      <c r="H13" s="526">
        <f>SUM(B13:G13)</f>
        <v>56931432</v>
      </c>
    </row>
    <row r="14" spans="1:8">
      <c r="A14" s="85">
        <v>1992.05</v>
      </c>
      <c r="B14" s="50">
        <v>22603227</v>
      </c>
      <c r="C14" s="1365">
        <v>31365100</v>
      </c>
      <c r="D14" s="73">
        <v>4485236</v>
      </c>
      <c r="E14" s="1365">
        <v>9898321</v>
      </c>
      <c r="F14" s="73">
        <v>2250304</v>
      </c>
      <c r="G14" s="1365">
        <v>195892</v>
      </c>
      <c r="H14" s="526">
        <f t="shared" si="0"/>
        <v>70798080</v>
      </c>
    </row>
    <row r="15" spans="1:8">
      <c r="A15" s="85">
        <v>1992.06</v>
      </c>
      <c r="B15" s="50">
        <v>30391854</v>
      </c>
      <c r="C15" s="1365">
        <v>30968249</v>
      </c>
      <c r="D15" s="73">
        <v>4802926</v>
      </c>
      <c r="E15" s="1365">
        <v>11957626</v>
      </c>
      <c r="F15" s="73">
        <v>11142206</v>
      </c>
      <c r="G15" s="1365">
        <v>224244</v>
      </c>
      <c r="H15" s="526">
        <f t="shared" si="0"/>
        <v>89487105</v>
      </c>
    </row>
    <row r="16" spans="1:8">
      <c r="A16" s="85">
        <v>1992.07</v>
      </c>
      <c r="B16" s="50">
        <v>8776210</v>
      </c>
      <c r="C16" s="1365">
        <v>31960848</v>
      </c>
      <c r="D16" s="73">
        <v>9419252</v>
      </c>
      <c r="E16" s="1365">
        <v>11288212</v>
      </c>
      <c r="F16" s="73">
        <v>2458234</v>
      </c>
      <c r="G16" s="1365">
        <v>295363</v>
      </c>
      <c r="H16" s="526">
        <f t="shared" si="0"/>
        <v>64198119</v>
      </c>
    </row>
    <row r="17" spans="1:8">
      <c r="A17" s="85">
        <v>1992.08</v>
      </c>
      <c r="B17" s="50">
        <v>11775155</v>
      </c>
      <c r="C17" s="1365">
        <v>27428295</v>
      </c>
      <c r="D17" s="73">
        <v>5259848</v>
      </c>
      <c r="E17" s="1365">
        <v>12484148</v>
      </c>
      <c r="F17" s="73">
        <v>1794328</v>
      </c>
      <c r="G17" s="1365">
        <v>237914</v>
      </c>
      <c r="H17" s="526">
        <f t="shared" si="0"/>
        <v>58979688</v>
      </c>
    </row>
    <row r="18" spans="1:8">
      <c r="A18" s="85">
        <v>1992.09</v>
      </c>
      <c r="B18" s="50">
        <v>12552228</v>
      </c>
      <c r="C18" s="1365">
        <v>31136506</v>
      </c>
      <c r="D18" s="73">
        <v>5409138</v>
      </c>
      <c r="E18" s="1365">
        <v>13115142</v>
      </c>
      <c r="F18" s="73">
        <v>8067676</v>
      </c>
      <c r="G18" s="1365">
        <v>219062</v>
      </c>
      <c r="H18" s="526">
        <f t="shared" si="0"/>
        <v>70499752</v>
      </c>
    </row>
    <row r="19" spans="1:8">
      <c r="A19" s="85">
        <v>1992.1</v>
      </c>
      <c r="B19" s="50">
        <v>1589067</v>
      </c>
      <c r="C19" s="1365">
        <v>32302620</v>
      </c>
      <c r="D19" s="73">
        <v>5256699</v>
      </c>
      <c r="E19" s="1365">
        <v>13276370</v>
      </c>
      <c r="F19" s="73">
        <v>1412311</v>
      </c>
      <c r="G19" s="1365">
        <v>238538</v>
      </c>
      <c r="H19" s="526">
        <f t="shared" si="0"/>
        <v>54075605</v>
      </c>
    </row>
    <row r="20" spans="1:8">
      <c r="A20" s="85">
        <v>1992.11</v>
      </c>
      <c r="B20" s="50">
        <v>4110818</v>
      </c>
      <c r="C20" s="1365">
        <v>34594148</v>
      </c>
      <c r="D20" s="73">
        <v>5318404</v>
      </c>
      <c r="E20" s="1365">
        <v>13692393</v>
      </c>
      <c r="F20" s="73">
        <v>9294234</v>
      </c>
      <c r="G20" s="1365">
        <v>322825</v>
      </c>
      <c r="H20" s="526">
        <f t="shared" si="0"/>
        <v>67332822</v>
      </c>
    </row>
    <row r="21" spans="1:8">
      <c r="A21" s="85">
        <v>1992.12</v>
      </c>
      <c r="B21" s="50">
        <v>16372702</v>
      </c>
      <c r="C21" s="1365">
        <v>32853704</v>
      </c>
      <c r="D21" s="73">
        <v>5355167</v>
      </c>
      <c r="E21" s="1365">
        <v>13994519</v>
      </c>
      <c r="F21" s="73">
        <v>2152009</v>
      </c>
      <c r="G21" s="1365">
        <v>230476</v>
      </c>
      <c r="H21" s="526">
        <f t="shared" si="0"/>
        <v>70958577</v>
      </c>
    </row>
    <row r="22" spans="1:8">
      <c r="A22" s="85">
        <v>1993.01</v>
      </c>
      <c r="B22" s="50">
        <v>16744838</v>
      </c>
      <c r="C22" s="1365">
        <v>32061046</v>
      </c>
      <c r="D22" s="73">
        <v>9806986</v>
      </c>
      <c r="E22" s="1365">
        <v>14555197</v>
      </c>
      <c r="F22" s="73">
        <v>2311145</v>
      </c>
      <c r="G22" s="1365">
        <v>708582</v>
      </c>
      <c r="H22" s="526">
        <f t="shared" si="0"/>
        <v>76187794</v>
      </c>
    </row>
    <row r="23" spans="1:8">
      <c r="A23" s="85">
        <v>1993.02</v>
      </c>
      <c r="B23" s="50">
        <v>17454004</v>
      </c>
      <c r="C23" s="1365">
        <v>29205065</v>
      </c>
      <c r="D23" s="73">
        <v>5806663</v>
      </c>
      <c r="E23" s="1365">
        <v>12744236</v>
      </c>
      <c r="F23" s="73">
        <v>2817482</v>
      </c>
      <c r="G23" s="1365">
        <v>162059</v>
      </c>
      <c r="H23" s="526">
        <f t="shared" si="0"/>
        <v>68189509</v>
      </c>
    </row>
    <row r="24" spans="1:8">
      <c r="A24" s="85">
        <v>1993.03</v>
      </c>
      <c r="B24" s="50">
        <v>19362653</v>
      </c>
      <c r="C24" s="1365">
        <v>27162685</v>
      </c>
      <c r="D24" s="73">
        <v>5429554</v>
      </c>
      <c r="E24" s="1365">
        <v>13732865</v>
      </c>
      <c r="F24" s="73">
        <v>2211834</v>
      </c>
      <c r="G24" s="1365">
        <v>146889</v>
      </c>
      <c r="H24" s="526">
        <f t="shared" si="0"/>
        <v>68046480</v>
      </c>
    </row>
    <row r="25" spans="1:8">
      <c r="A25" s="85">
        <v>1993.04</v>
      </c>
      <c r="B25" s="50">
        <v>2777319</v>
      </c>
      <c r="C25" s="1365">
        <v>31642017</v>
      </c>
      <c r="D25" s="73">
        <v>5425658</v>
      </c>
      <c r="E25" s="1365">
        <v>13919182</v>
      </c>
      <c r="F25" s="73">
        <v>12141693</v>
      </c>
      <c r="G25" s="1365">
        <v>156047</v>
      </c>
      <c r="H25" s="526">
        <f t="shared" si="0"/>
        <v>66061916</v>
      </c>
    </row>
    <row r="26" spans="1:8">
      <c r="A26" s="85">
        <v>1993.05</v>
      </c>
      <c r="B26" s="50">
        <v>10478470</v>
      </c>
      <c r="C26" s="1365">
        <v>33086288</v>
      </c>
      <c r="D26" s="73">
        <v>5451575</v>
      </c>
      <c r="E26" s="1365">
        <v>14064436</v>
      </c>
      <c r="F26" s="73">
        <v>3382319</v>
      </c>
      <c r="G26" s="1365">
        <v>158044</v>
      </c>
      <c r="H26" s="526">
        <f t="shared" si="0"/>
        <v>66621132</v>
      </c>
    </row>
    <row r="27" spans="1:8">
      <c r="A27" s="85">
        <v>1993.06</v>
      </c>
      <c r="B27" s="50">
        <v>2251201</v>
      </c>
      <c r="C27" s="1365">
        <v>34390832</v>
      </c>
      <c r="D27" s="73">
        <v>5522229</v>
      </c>
      <c r="E27" s="1365">
        <v>14937369</v>
      </c>
      <c r="F27" s="73">
        <v>2334352</v>
      </c>
      <c r="G27" s="1365">
        <v>186577</v>
      </c>
      <c r="H27" s="526">
        <f t="shared" si="0"/>
        <v>59622560</v>
      </c>
    </row>
    <row r="28" spans="1:8">
      <c r="A28" s="85">
        <v>1993.07</v>
      </c>
      <c r="B28" s="50">
        <v>2657318</v>
      </c>
      <c r="C28" s="1365">
        <v>34837539</v>
      </c>
      <c r="D28" s="73">
        <v>9637191</v>
      </c>
      <c r="E28" s="1365">
        <v>15295422</v>
      </c>
      <c r="F28" s="73">
        <v>9628626</v>
      </c>
      <c r="G28" s="1365">
        <v>219205</v>
      </c>
      <c r="H28" s="526">
        <f t="shared" si="0"/>
        <v>72275301</v>
      </c>
    </row>
    <row r="29" spans="1:8">
      <c r="A29" s="85">
        <v>1993.08</v>
      </c>
      <c r="B29" s="50">
        <v>1585539</v>
      </c>
      <c r="C29" s="1365">
        <v>33178987</v>
      </c>
      <c r="D29" s="73">
        <v>5690193</v>
      </c>
      <c r="E29" s="1365">
        <v>15852017</v>
      </c>
      <c r="F29" s="73">
        <v>3273716</v>
      </c>
      <c r="G29" s="1365">
        <v>203841</v>
      </c>
      <c r="H29" s="526">
        <f t="shared" si="0"/>
        <v>59784293</v>
      </c>
    </row>
    <row r="30" spans="1:8">
      <c r="A30" s="85">
        <v>1993.09</v>
      </c>
      <c r="B30" s="50">
        <v>9412387</v>
      </c>
      <c r="C30" s="1365">
        <v>32459886</v>
      </c>
      <c r="D30" s="73">
        <v>5673596</v>
      </c>
      <c r="E30" s="1365">
        <v>16129501</v>
      </c>
      <c r="F30" s="73">
        <v>10315121</v>
      </c>
      <c r="G30" s="1365">
        <v>221917</v>
      </c>
      <c r="H30" s="526">
        <f t="shared" si="0"/>
        <v>74212408</v>
      </c>
    </row>
    <row r="31" spans="1:8">
      <c r="A31" s="85">
        <v>1993.1</v>
      </c>
      <c r="B31" s="50">
        <v>23379693</v>
      </c>
      <c r="C31" s="1365">
        <v>34663512</v>
      </c>
      <c r="D31" s="73">
        <v>5995664</v>
      </c>
      <c r="E31" s="1365">
        <v>15463793</v>
      </c>
      <c r="F31" s="73">
        <v>2266822</v>
      </c>
      <c r="G31" s="1365">
        <v>185104</v>
      </c>
      <c r="H31" s="526">
        <f t="shared" si="0"/>
        <v>81954588</v>
      </c>
    </row>
    <row r="32" spans="1:8">
      <c r="A32" s="85">
        <v>1993.11</v>
      </c>
      <c r="B32" s="50">
        <v>15172396</v>
      </c>
      <c r="C32" s="1365">
        <v>48115404</v>
      </c>
      <c r="D32" s="73">
        <v>6047637</v>
      </c>
      <c r="E32" s="1365">
        <v>16755622</v>
      </c>
      <c r="F32" s="73">
        <v>10546678</v>
      </c>
      <c r="G32" s="1365">
        <v>230236</v>
      </c>
      <c r="H32" s="526">
        <f t="shared" si="0"/>
        <v>96867973</v>
      </c>
    </row>
    <row r="33" spans="1:8">
      <c r="A33" s="85">
        <v>1993.12</v>
      </c>
      <c r="B33" s="50">
        <v>29602991</v>
      </c>
      <c r="C33" s="1365">
        <v>38264210</v>
      </c>
      <c r="D33" s="73">
        <v>5973757</v>
      </c>
      <c r="E33" s="1365">
        <v>16301558</v>
      </c>
      <c r="F33" s="73">
        <v>1669464</v>
      </c>
      <c r="G33" s="1365">
        <v>194628</v>
      </c>
      <c r="H33" s="526">
        <f t="shared" si="0"/>
        <v>92006608</v>
      </c>
    </row>
    <row r="34" spans="1:8">
      <c r="A34" s="85">
        <v>1994.01</v>
      </c>
      <c r="B34" s="50">
        <v>5823841</v>
      </c>
      <c r="C34" s="1365">
        <v>38704943</v>
      </c>
      <c r="D34" s="73">
        <v>10291998</v>
      </c>
      <c r="E34" s="1365">
        <v>16291631</v>
      </c>
      <c r="F34" s="73">
        <v>2592703</v>
      </c>
      <c r="G34" s="1365">
        <v>721415</v>
      </c>
      <c r="H34" s="526">
        <f t="shared" si="0"/>
        <v>74426531</v>
      </c>
    </row>
    <row r="35" spans="1:8">
      <c r="A35" s="85">
        <v>1994.02</v>
      </c>
      <c r="B35" s="50">
        <v>27343248</v>
      </c>
      <c r="C35" s="1365">
        <v>38714257</v>
      </c>
      <c r="D35" s="73">
        <v>5009667</v>
      </c>
      <c r="E35" s="1365">
        <v>12671022</v>
      </c>
      <c r="F35" s="73">
        <v>2407366</v>
      </c>
      <c r="G35" s="1365">
        <v>196486</v>
      </c>
      <c r="H35" s="526">
        <f t="shared" si="0"/>
        <v>86342046</v>
      </c>
    </row>
    <row r="36" spans="1:8">
      <c r="A36" s="85">
        <v>1994.03</v>
      </c>
      <c r="B36" s="50">
        <v>16441286</v>
      </c>
      <c r="C36" s="1365">
        <v>37526839</v>
      </c>
      <c r="D36" s="73">
        <v>4721711</v>
      </c>
      <c r="E36" s="1365">
        <v>13416492</v>
      </c>
      <c r="F36" s="73">
        <v>2083336</v>
      </c>
      <c r="G36" s="1365">
        <v>211523</v>
      </c>
      <c r="H36" s="526">
        <f t="shared" si="0"/>
        <v>74401187</v>
      </c>
    </row>
    <row r="37" spans="1:8">
      <c r="A37" s="85">
        <v>1994.04</v>
      </c>
      <c r="B37" s="50">
        <v>5232339</v>
      </c>
      <c r="C37" s="1365">
        <v>42732055</v>
      </c>
      <c r="D37" s="73">
        <v>4640847</v>
      </c>
      <c r="E37" s="1365">
        <v>13471365</v>
      </c>
      <c r="F37" s="73">
        <v>12393772</v>
      </c>
      <c r="G37" s="1365">
        <v>199321</v>
      </c>
      <c r="H37" s="526">
        <f t="shared" si="0"/>
        <v>78669699</v>
      </c>
    </row>
    <row r="38" spans="1:8">
      <c r="A38" s="85">
        <v>1994.05</v>
      </c>
      <c r="B38" s="50">
        <v>23039736</v>
      </c>
      <c r="C38" s="1365">
        <v>41925763</v>
      </c>
      <c r="D38" s="73">
        <v>4760142</v>
      </c>
      <c r="E38" s="1365">
        <v>13863863</v>
      </c>
      <c r="F38" s="73">
        <v>5281000</v>
      </c>
      <c r="G38" s="1365">
        <v>207822</v>
      </c>
      <c r="H38" s="526">
        <f t="shared" si="0"/>
        <v>89078326</v>
      </c>
    </row>
    <row r="39" spans="1:8">
      <c r="A39" s="85">
        <v>1994.06</v>
      </c>
      <c r="B39" s="50">
        <v>14157589</v>
      </c>
      <c r="C39" s="1365">
        <v>44108183</v>
      </c>
      <c r="D39" s="73">
        <v>4637417</v>
      </c>
      <c r="E39" s="1365">
        <v>13788355</v>
      </c>
      <c r="F39" s="73">
        <v>9879760</v>
      </c>
      <c r="G39" s="1365">
        <v>197653</v>
      </c>
      <c r="H39" s="526">
        <f t="shared" si="0"/>
        <v>86768957</v>
      </c>
    </row>
    <row r="40" spans="1:8">
      <c r="A40" s="85">
        <v>1994.07</v>
      </c>
      <c r="B40" s="50">
        <v>3423858</v>
      </c>
      <c r="C40" s="1365">
        <v>43430746</v>
      </c>
      <c r="D40" s="73">
        <v>7044053</v>
      </c>
      <c r="E40" s="1365">
        <v>13713163</v>
      </c>
      <c r="F40" s="73">
        <v>4268421</v>
      </c>
      <c r="G40" s="1365">
        <v>157634</v>
      </c>
      <c r="H40" s="526">
        <f t="shared" si="0"/>
        <v>72037875</v>
      </c>
    </row>
    <row r="41" spans="1:8">
      <c r="A41" s="85">
        <v>1994.08</v>
      </c>
      <c r="B41" s="50">
        <v>2291245</v>
      </c>
      <c r="C41" s="1365">
        <v>40856898</v>
      </c>
      <c r="D41" s="73">
        <v>4503503</v>
      </c>
      <c r="E41" s="1365">
        <v>14594575</v>
      </c>
      <c r="F41" s="73">
        <v>1932319</v>
      </c>
      <c r="G41" s="1365">
        <v>225696</v>
      </c>
      <c r="H41" s="526">
        <f t="shared" si="0"/>
        <v>64404236</v>
      </c>
    </row>
    <row r="42" spans="1:8">
      <c r="A42" s="85">
        <v>1994.09</v>
      </c>
      <c r="B42" s="50">
        <v>10034632</v>
      </c>
      <c r="C42" s="1365">
        <v>41012431</v>
      </c>
      <c r="D42" s="73">
        <v>4620500</v>
      </c>
      <c r="E42" s="1365">
        <v>14976286</v>
      </c>
      <c r="F42" s="73">
        <v>9210556</v>
      </c>
      <c r="G42" s="1365">
        <v>140125</v>
      </c>
      <c r="H42" s="526">
        <f t="shared" si="0"/>
        <v>79994530</v>
      </c>
    </row>
    <row r="43" spans="1:8">
      <c r="A43" s="85">
        <v>1994.1</v>
      </c>
      <c r="B43" s="50">
        <v>19514482</v>
      </c>
      <c r="C43" s="1365">
        <v>39907295</v>
      </c>
      <c r="D43" s="73">
        <v>4731084</v>
      </c>
      <c r="E43" s="1365">
        <v>14272150</v>
      </c>
      <c r="F43" s="73">
        <v>3902842</v>
      </c>
      <c r="G43" s="1365">
        <v>212419</v>
      </c>
      <c r="H43" s="526">
        <f t="shared" si="0"/>
        <v>82540272</v>
      </c>
    </row>
    <row r="44" spans="1:8">
      <c r="A44" s="85">
        <v>1994.11</v>
      </c>
      <c r="B44" s="50">
        <v>4247235</v>
      </c>
      <c r="C44" s="1365">
        <v>40604353</v>
      </c>
      <c r="D44" s="73">
        <v>4637332</v>
      </c>
      <c r="E44" s="1365">
        <v>13823193</v>
      </c>
      <c r="F44" s="73">
        <v>7890869</v>
      </c>
      <c r="G44" s="1365">
        <v>135753</v>
      </c>
      <c r="H44" s="526">
        <f t="shared" si="0"/>
        <v>71338735</v>
      </c>
    </row>
    <row r="45" spans="1:8">
      <c r="A45" s="85">
        <v>1994.12</v>
      </c>
      <c r="B45" s="50">
        <v>40242087</v>
      </c>
      <c r="C45" s="1365">
        <v>51235121</v>
      </c>
      <c r="D45" s="73">
        <v>4814238</v>
      </c>
      <c r="E45" s="1365">
        <v>14778109</v>
      </c>
      <c r="F45" s="73">
        <v>5613363</v>
      </c>
      <c r="G45" s="1365">
        <v>369087</v>
      </c>
      <c r="H45" s="526">
        <f t="shared" si="0"/>
        <v>117052005</v>
      </c>
    </row>
    <row r="46" spans="1:8">
      <c r="A46" s="85">
        <v>1995.01</v>
      </c>
      <c r="B46" s="50">
        <v>4313909</v>
      </c>
      <c r="C46" s="1365">
        <v>44177026</v>
      </c>
      <c r="D46" s="73">
        <v>7808885</v>
      </c>
      <c r="E46" s="1365">
        <v>14098080</v>
      </c>
      <c r="F46" s="73">
        <v>2709051</v>
      </c>
      <c r="G46" s="1365">
        <v>789214</v>
      </c>
      <c r="H46" s="526">
        <f t="shared" si="0"/>
        <v>73896165</v>
      </c>
    </row>
    <row r="47" spans="1:8">
      <c r="A47" s="85">
        <v>1995.02</v>
      </c>
      <c r="B47" s="50">
        <v>25094098</v>
      </c>
      <c r="C47" s="1365">
        <v>37365289</v>
      </c>
      <c r="D47" s="73">
        <v>4927430</v>
      </c>
      <c r="E47" s="1365">
        <v>11654581</v>
      </c>
      <c r="F47" s="73">
        <v>2104638</v>
      </c>
      <c r="G47" s="1365">
        <v>170533</v>
      </c>
      <c r="H47" s="526">
        <f t="shared" si="0"/>
        <v>81316569</v>
      </c>
    </row>
    <row r="48" spans="1:8">
      <c r="A48" s="85">
        <v>1995.03</v>
      </c>
      <c r="B48" s="50">
        <v>13855149</v>
      </c>
      <c r="C48" s="1365">
        <v>33194650</v>
      </c>
      <c r="D48" s="73">
        <v>4511668</v>
      </c>
      <c r="E48" s="1365">
        <v>10204279</v>
      </c>
      <c r="F48" s="73">
        <v>2035131</v>
      </c>
      <c r="G48" s="1365">
        <v>179671</v>
      </c>
      <c r="H48" s="526">
        <f t="shared" si="0"/>
        <v>63980548</v>
      </c>
    </row>
    <row r="49" spans="1:8">
      <c r="A49" s="85">
        <v>1995.04</v>
      </c>
      <c r="B49" s="50">
        <v>4411245</v>
      </c>
      <c r="C49" s="1365">
        <v>34489587</v>
      </c>
      <c r="D49" s="73">
        <v>4212129</v>
      </c>
      <c r="E49" s="1365">
        <v>9732824</v>
      </c>
      <c r="F49" s="73">
        <v>12085006</v>
      </c>
      <c r="G49" s="1365">
        <v>156706</v>
      </c>
      <c r="H49" s="526">
        <f t="shared" si="0"/>
        <v>65087497</v>
      </c>
    </row>
    <row r="50" spans="1:8">
      <c r="A50" s="85">
        <v>1995.05</v>
      </c>
      <c r="B50" s="50">
        <v>22950992</v>
      </c>
      <c r="C50" s="1365">
        <v>32867470</v>
      </c>
      <c r="D50" s="73">
        <v>4324133</v>
      </c>
      <c r="E50" s="1365">
        <v>10162588</v>
      </c>
      <c r="F50" s="73">
        <v>8590242</v>
      </c>
      <c r="G50" s="1365">
        <v>181069</v>
      </c>
      <c r="H50" s="526">
        <f t="shared" si="0"/>
        <v>79076494</v>
      </c>
    </row>
    <row r="51" spans="1:8">
      <c r="A51" s="85">
        <v>1995.06</v>
      </c>
      <c r="B51" s="50">
        <v>13860700</v>
      </c>
      <c r="C51" s="1365">
        <v>32503300</v>
      </c>
      <c r="D51" s="73">
        <v>4773900</v>
      </c>
      <c r="E51" s="1365">
        <v>10744700</v>
      </c>
      <c r="F51" s="73">
        <v>9262400</v>
      </c>
      <c r="G51" s="1365">
        <v>182400</v>
      </c>
      <c r="H51" s="526">
        <f t="shared" si="0"/>
        <v>71327400</v>
      </c>
    </row>
    <row r="52" spans="1:8">
      <c r="A52" s="85">
        <v>1995.07</v>
      </c>
      <c r="B52" s="50">
        <v>26139461</v>
      </c>
      <c r="C52" s="1365">
        <v>37290108</v>
      </c>
      <c r="D52" s="73">
        <v>6295055</v>
      </c>
      <c r="E52" s="1365">
        <v>9548470</v>
      </c>
      <c r="F52" s="73">
        <v>6926831</v>
      </c>
      <c r="G52" s="1365">
        <v>168222</v>
      </c>
      <c r="H52" s="526">
        <f t="shared" si="0"/>
        <v>86368147</v>
      </c>
    </row>
    <row r="53" spans="1:8">
      <c r="A53" s="85">
        <v>1995.08</v>
      </c>
      <c r="B53" s="50">
        <v>14525702</v>
      </c>
      <c r="C53" s="1365">
        <v>36264847</v>
      </c>
      <c r="D53" s="73">
        <v>4398645</v>
      </c>
      <c r="E53" s="1365">
        <v>10643494</v>
      </c>
      <c r="F53" s="73">
        <v>2208236</v>
      </c>
      <c r="G53" s="1365">
        <v>195375</v>
      </c>
      <c r="H53" s="526">
        <f t="shared" si="0"/>
        <v>68236299</v>
      </c>
    </row>
    <row r="54" spans="1:8">
      <c r="A54" s="85">
        <v>1995.09</v>
      </c>
      <c r="B54" s="50">
        <v>4518910</v>
      </c>
      <c r="C54" s="1365">
        <v>34055851</v>
      </c>
      <c r="D54" s="73">
        <v>4139090</v>
      </c>
      <c r="E54" s="1365">
        <v>9779873</v>
      </c>
      <c r="F54" s="73">
        <v>8763451</v>
      </c>
      <c r="G54" s="1365">
        <v>175899</v>
      </c>
      <c r="H54" s="526">
        <f t="shared" si="0"/>
        <v>61433074</v>
      </c>
    </row>
    <row r="55" spans="1:8">
      <c r="A55" s="85">
        <v>1995.1</v>
      </c>
      <c r="B55" s="50">
        <v>24298301</v>
      </c>
      <c r="C55" s="1365">
        <v>33552532</v>
      </c>
      <c r="D55" s="73">
        <v>4893860</v>
      </c>
      <c r="E55" s="1365">
        <v>9507614</v>
      </c>
      <c r="F55" s="73">
        <v>4510843</v>
      </c>
      <c r="G55" s="1365">
        <v>172192</v>
      </c>
      <c r="H55" s="526">
        <f t="shared" si="0"/>
        <v>76935342</v>
      </c>
    </row>
    <row r="56" spans="1:8">
      <c r="A56" s="85">
        <v>1995.11</v>
      </c>
      <c r="B56" s="50">
        <v>13244005</v>
      </c>
      <c r="C56" s="1365">
        <v>37385540</v>
      </c>
      <c r="D56" s="73">
        <v>5263781</v>
      </c>
      <c r="E56" s="1365">
        <v>9780312</v>
      </c>
      <c r="F56" s="73">
        <v>8141799</v>
      </c>
      <c r="G56" s="1365">
        <v>192715</v>
      </c>
      <c r="H56" s="526">
        <f t="shared" si="0"/>
        <v>74008152</v>
      </c>
    </row>
    <row r="57" spans="1:8">
      <c r="A57" s="85">
        <v>1995.12</v>
      </c>
      <c r="B57" s="50">
        <v>4022565</v>
      </c>
      <c r="C57" s="1365">
        <v>34678661</v>
      </c>
      <c r="D57" s="73">
        <v>4188671</v>
      </c>
      <c r="E57" s="1365">
        <v>9261264</v>
      </c>
      <c r="F57" s="73">
        <v>4364486</v>
      </c>
      <c r="G57" s="1365">
        <v>136154</v>
      </c>
      <c r="H57" s="526">
        <f t="shared" si="0"/>
        <v>56651801</v>
      </c>
    </row>
    <row r="58" spans="1:8">
      <c r="A58" s="85">
        <v>1996.01</v>
      </c>
      <c r="B58" s="50">
        <v>5732178</v>
      </c>
      <c r="C58" s="1365">
        <v>36910702</v>
      </c>
      <c r="D58" s="73">
        <v>6529269</v>
      </c>
      <c r="E58" s="1365">
        <v>10042346</v>
      </c>
      <c r="F58" s="73">
        <v>2666511</v>
      </c>
      <c r="G58" s="1365">
        <v>665980</v>
      </c>
      <c r="H58" s="526">
        <f t="shared" si="0"/>
        <v>62546986</v>
      </c>
    </row>
    <row r="59" spans="1:8">
      <c r="A59" s="85">
        <v>1996.02</v>
      </c>
      <c r="B59" s="50">
        <v>24245402</v>
      </c>
      <c r="C59" s="1365">
        <v>32848257</v>
      </c>
      <c r="D59" s="73">
        <v>4462247</v>
      </c>
      <c r="E59" s="1365">
        <v>9517473</v>
      </c>
      <c r="F59" s="73">
        <v>2096164</v>
      </c>
      <c r="G59" s="1365">
        <v>141245</v>
      </c>
      <c r="H59" s="526">
        <f t="shared" si="0"/>
        <v>73310788</v>
      </c>
    </row>
    <row r="60" spans="1:8">
      <c r="A60" s="85">
        <v>1996.03</v>
      </c>
      <c r="B60" s="50">
        <v>15000225</v>
      </c>
      <c r="C60" s="1365">
        <v>32270675</v>
      </c>
      <c r="D60" s="73">
        <v>4283152</v>
      </c>
      <c r="E60" s="1365">
        <v>8976987</v>
      </c>
      <c r="F60" s="73">
        <v>2228414</v>
      </c>
      <c r="G60" s="1365">
        <v>174399</v>
      </c>
      <c r="H60" s="526">
        <f t="shared" si="0"/>
        <v>62933852</v>
      </c>
    </row>
    <row r="61" spans="1:8">
      <c r="A61" s="85">
        <v>1996.04</v>
      </c>
      <c r="B61" s="50">
        <v>8221411</v>
      </c>
      <c r="C61" s="1365">
        <v>36840442</v>
      </c>
      <c r="D61" s="73">
        <v>4906559</v>
      </c>
      <c r="E61" s="1365">
        <v>9453156</v>
      </c>
      <c r="F61" s="73">
        <v>13449814</v>
      </c>
      <c r="G61" s="1365">
        <v>146493</v>
      </c>
      <c r="H61" s="526">
        <f t="shared" si="0"/>
        <v>73017875</v>
      </c>
    </row>
    <row r="62" spans="1:8">
      <c r="A62" s="85">
        <v>1996.05</v>
      </c>
      <c r="B62" s="50">
        <v>24628707</v>
      </c>
      <c r="C62" s="1365">
        <v>35965568</v>
      </c>
      <c r="D62" s="73">
        <v>4322198</v>
      </c>
      <c r="E62" s="1365">
        <v>10022999</v>
      </c>
      <c r="F62" s="73">
        <v>7200700</v>
      </c>
      <c r="G62" s="1365">
        <v>181537</v>
      </c>
      <c r="H62" s="526">
        <f t="shared" si="0"/>
        <v>82321709</v>
      </c>
    </row>
    <row r="63" spans="1:8">
      <c r="A63" s="85">
        <v>1996.06</v>
      </c>
      <c r="B63" s="50">
        <v>14217435</v>
      </c>
      <c r="C63" s="1365">
        <v>35946527</v>
      </c>
      <c r="D63" s="73">
        <v>4304909</v>
      </c>
      <c r="E63" s="1365">
        <v>9837055</v>
      </c>
      <c r="F63" s="73">
        <v>8681854</v>
      </c>
      <c r="G63" s="1365">
        <v>231916</v>
      </c>
      <c r="H63" s="526">
        <f t="shared" si="0"/>
        <v>73219696</v>
      </c>
    </row>
    <row r="64" spans="1:8">
      <c r="A64" s="85">
        <v>1996.07</v>
      </c>
      <c r="B64" s="50">
        <v>18620258</v>
      </c>
      <c r="C64" s="1365">
        <v>35984642</v>
      </c>
      <c r="D64" s="73">
        <v>6339320</v>
      </c>
      <c r="E64" s="1365">
        <v>9586423</v>
      </c>
      <c r="F64" s="73">
        <v>5457664</v>
      </c>
      <c r="G64" s="1365">
        <v>231312</v>
      </c>
      <c r="H64" s="526">
        <f t="shared" si="0"/>
        <v>76219619</v>
      </c>
    </row>
    <row r="65" spans="1:8">
      <c r="A65" s="85">
        <v>1996.08</v>
      </c>
      <c r="B65" s="50">
        <v>20430860</v>
      </c>
      <c r="C65" s="1365">
        <v>36858402</v>
      </c>
      <c r="D65" s="73">
        <v>4331792</v>
      </c>
      <c r="E65" s="1365">
        <v>11171741</v>
      </c>
      <c r="F65" s="73">
        <v>2221795</v>
      </c>
      <c r="G65" s="1365">
        <v>254975</v>
      </c>
      <c r="H65" s="526">
        <f t="shared" si="0"/>
        <v>75269565</v>
      </c>
    </row>
    <row r="66" spans="1:8">
      <c r="A66" s="85">
        <v>1996.09</v>
      </c>
      <c r="B66" s="50">
        <v>4422056</v>
      </c>
      <c r="C66" s="1365">
        <v>36140088</v>
      </c>
      <c r="D66" s="73">
        <v>4478633</v>
      </c>
      <c r="E66" s="1365">
        <v>10415940</v>
      </c>
      <c r="F66" s="73">
        <v>8719750</v>
      </c>
      <c r="G66" s="1365">
        <v>264981</v>
      </c>
      <c r="H66" s="526">
        <f t="shared" si="0"/>
        <v>64441448</v>
      </c>
    </row>
    <row r="67" spans="1:8">
      <c r="A67" s="85">
        <v>1996.1</v>
      </c>
      <c r="B67" s="50">
        <v>5444336</v>
      </c>
      <c r="C67" s="1365">
        <v>35782085</v>
      </c>
      <c r="D67" s="73">
        <v>4510669</v>
      </c>
      <c r="E67" s="1365">
        <v>10734457</v>
      </c>
      <c r="F67" s="73">
        <v>4394946</v>
      </c>
      <c r="G67" s="1365">
        <v>286539</v>
      </c>
      <c r="H67" s="526">
        <f t="shared" si="0"/>
        <v>61153032</v>
      </c>
    </row>
    <row r="68" spans="1:8">
      <c r="A68" s="85">
        <v>1996.11</v>
      </c>
      <c r="B68" s="50">
        <v>27099993</v>
      </c>
      <c r="C68" s="1365">
        <v>37345246</v>
      </c>
      <c r="D68" s="73">
        <v>4297144</v>
      </c>
      <c r="E68" s="1365">
        <v>10868303</v>
      </c>
      <c r="F68" s="73">
        <v>7753044</v>
      </c>
      <c r="G68" s="1365">
        <v>284265</v>
      </c>
      <c r="H68" s="526">
        <f t="shared" si="0"/>
        <v>87647995</v>
      </c>
    </row>
    <row r="69" spans="1:8">
      <c r="A69" s="85">
        <v>1996.12</v>
      </c>
      <c r="B69" s="50">
        <v>8620861</v>
      </c>
      <c r="C69" s="1365">
        <v>36839559</v>
      </c>
      <c r="D69" s="73">
        <v>4458343</v>
      </c>
      <c r="E69" s="1365">
        <v>9972240</v>
      </c>
      <c r="F69" s="73">
        <v>4052632</v>
      </c>
      <c r="G69" s="1365">
        <v>222964</v>
      </c>
      <c r="H69" s="526">
        <f t="shared" si="0"/>
        <v>64166599</v>
      </c>
    </row>
    <row r="70" spans="1:8">
      <c r="A70" s="85">
        <v>1997.01</v>
      </c>
      <c r="B70" s="50">
        <v>1983542.87</v>
      </c>
      <c r="C70" s="1365">
        <v>38154916.869999997</v>
      </c>
      <c r="D70" s="73">
        <v>7040117.71</v>
      </c>
      <c r="E70" s="1365">
        <v>10865703.77</v>
      </c>
      <c r="F70" s="73">
        <v>2541852.54</v>
      </c>
      <c r="G70" s="1365">
        <v>602885.46</v>
      </c>
      <c r="H70" s="526">
        <f t="shared" si="0"/>
        <v>61189019.219999999</v>
      </c>
    </row>
    <row r="71" spans="1:8">
      <c r="A71" s="85">
        <v>1997.02</v>
      </c>
      <c r="B71" s="50">
        <v>19262998.539999999</v>
      </c>
      <c r="C71" s="1365">
        <v>34362947.710000001</v>
      </c>
      <c r="D71" s="73">
        <v>5211821.0599999996</v>
      </c>
      <c r="E71" s="1365">
        <v>10348337.02</v>
      </c>
      <c r="F71" s="73">
        <v>2011939.72</v>
      </c>
      <c r="G71" s="1365">
        <v>221646.72</v>
      </c>
      <c r="H71" s="526">
        <f t="shared" si="0"/>
        <v>71419690.769999996</v>
      </c>
    </row>
    <row r="72" spans="1:8">
      <c r="A72" s="85">
        <v>1997.03</v>
      </c>
      <c r="B72" s="50">
        <v>31767312.460000001</v>
      </c>
      <c r="C72" s="1365">
        <v>40661292.039999999</v>
      </c>
      <c r="D72" s="73">
        <v>6050177.2999999998</v>
      </c>
      <c r="E72" s="1365">
        <v>10555956.619999999</v>
      </c>
      <c r="F72" s="73">
        <v>4183230.58</v>
      </c>
      <c r="G72" s="1365">
        <v>209092.59</v>
      </c>
      <c r="H72" s="526">
        <f t="shared" si="0"/>
        <v>93427061.590000004</v>
      </c>
    </row>
    <row r="73" spans="1:8">
      <c r="A73" s="85">
        <v>1997.04</v>
      </c>
      <c r="B73" s="50">
        <v>11185572.41</v>
      </c>
      <c r="C73" s="1365">
        <v>42701913.049999997</v>
      </c>
      <c r="D73" s="73">
        <v>5981098.9299999997</v>
      </c>
      <c r="E73" s="1365">
        <v>12159125.67</v>
      </c>
      <c r="F73" s="73">
        <v>14554480.48</v>
      </c>
      <c r="G73" s="1365">
        <v>266637.59000000003</v>
      </c>
      <c r="H73" s="526">
        <f t="shared" si="0"/>
        <v>86848828.129999995</v>
      </c>
    </row>
    <row r="74" spans="1:8">
      <c r="A74" s="85">
        <v>1997.05</v>
      </c>
      <c r="B74" s="50">
        <v>20204381.739999998</v>
      </c>
      <c r="C74" s="1365">
        <v>41141430.700000003</v>
      </c>
      <c r="D74" s="73">
        <v>5222559.08</v>
      </c>
      <c r="E74" s="1365">
        <v>11124111.779999999</v>
      </c>
      <c r="F74" s="73">
        <v>6403061.1699999999</v>
      </c>
      <c r="G74" s="1365">
        <v>254491.37</v>
      </c>
      <c r="H74" s="526">
        <f t="shared" si="0"/>
        <v>84350035.840000004</v>
      </c>
    </row>
    <row r="75" spans="1:8">
      <c r="A75" s="85">
        <v>1997.06</v>
      </c>
      <c r="B75" s="50">
        <v>20204381.739999998</v>
      </c>
      <c r="C75" s="1365">
        <v>41141430.700000003</v>
      </c>
      <c r="D75" s="73">
        <v>5222559.08</v>
      </c>
      <c r="E75" s="1365">
        <v>11124111.779999999</v>
      </c>
      <c r="F75" s="73">
        <v>6403061.1699999999</v>
      </c>
      <c r="G75" s="1365">
        <v>254491.37</v>
      </c>
      <c r="H75" s="526">
        <f t="shared" ref="H75:H138" si="1">SUM(B75:G75)</f>
        <v>84350035.840000004</v>
      </c>
    </row>
    <row r="76" spans="1:8">
      <c r="A76" s="85">
        <v>1997.07</v>
      </c>
      <c r="B76" s="50">
        <v>24018574.129999999</v>
      </c>
      <c r="C76" s="1365">
        <v>40288593.829999998</v>
      </c>
      <c r="D76" s="73">
        <v>7305986.7300000004</v>
      </c>
      <c r="E76" s="1365">
        <v>11724032.17</v>
      </c>
      <c r="F76" s="73">
        <v>5130231.8</v>
      </c>
      <c r="G76" s="1365">
        <v>212439.79</v>
      </c>
      <c r="H76" s="526">
        <f t="shared" si="1"/>
        <v>88679858.450000003</v>
      </c>
    </row>
    <row r="77" spans="1:8">
      <c r="A77" s="85">
        <v>1997.08</v>
      </c>
      <c r="B77" s="50">
        <v>15942811.42</v>
      </c>
      <c r="C77" s="1365">
        <v>42406771.590000004</v>
      </c>
      <c r="D77" s="73">
        <v>5209310.3</v>
      </c>
      <c r="E77" s="1365">
        <v>12730657.279999999</v>
      </c>
      <c r="F77" s="73">
        <v>4073454.55</v>
      </c>
      <c r="G77" s="1365">
        <v>217093.42</v>
      </c>
      <c r="H77" s="526">
        <f t="shared" si="1"/>
        <v>80580098.560000002</v>
      </c>
    </row>
    <row r="78" spans="1:8">
      <c r="A78" s="85">
        <v>1997.09</v>
      </c>
      <c r="B78" s="50">
        <v>6295810.2199999997</v>
      </c>
      <c r="C78" s="1365">
        <v>40842079.439999998</v>
      </c>
      <c r="D78" s="73">
        <v>5164908.17</v>
      </c>
      <c r="E78" s="1365">
        <v>12117487.4</v>
      </c>
      <c r="F78" s="73">
        <v>9825239.2699999996</v>
      </c>
      <c r="G78" s="1365">
        <v>298607.63</v>
      </c>
      <c r="H78" s="526">
        <f t="shared" si="1"/>
        <v>74544132.129999995</v>
      </c>
    </row>
    <row r="79" spans="1:8">
      <c r="A79" s="85">
        <v>1997.1</v>
      </c>
      <c r="B79" s="50">
        <v>18708299.73</v>
      </c>
      <c r="C79" s="1365">
        <v>40274987.030000001</v>
      </c>
      <c r="D79" s="73">
        <v>5175482.49</v>
      </c>
      <c r="E79" s="1365">
        <v>12917849.609999999</v>
      </c>
      <c r="F79" s="73">
        <v>3930969.85</v>
      </c>
      <c r="G79" s="1365">
        <v>263145.78999999998</v>
      </c>
      <c r="H79" s="526">
        <f t="shared" si="1"/>
        <v>81270734.500000015</v>
      </c>
    </row>
    <row r="80" spans="1:8">
      <c r="A80" s="85">
        <v>1997.11</v>
      </c>
      <c r="B80" s="50">
        <v>15056321.32</v>
      </c>
      <c r="C80" s="1365">
        <v>40088875.289999999</v>
      </c>
      <c r="D80" s="73">
        <v>6169055.54</v>
      </c>
      <c r="E80" s="1365">
        <v>11696514.529999999</v>
      </c>
      <c r="F80" s="73">
        <v>9435986.7799999993</v>
      </c>
      <c r="G80" s="1365">
        <v>259791.76</v>
      </c>
      <c r="H80" s="526">
        <f t="shared" si="1"/>
        <v>82706545.219999999</v>
      </c>
    </row>
    <row r="81" spans="1:8">
      <c r="A81" s="85">
        <v>1997.12</v>
      </c>
      <c r="B81" s="50">
        <v>6003911.8600000003</v>
      </c>
      <c r="C81" s="1365">
        <v>39138256.869999997</v>
      </c>
      <c r="D81" s="73">
        <v>4847074.28</v>
      </c>
      <c r="E81" s="1365">
        <v>12116147.82</v>
      </c>
      <c r="F81" s="73">
        <v>3398452.13</v>
      </c>
      <c r="G81" s="1365">
        <v>223539.34</v>
      </c>
      <c r="H81" s="526">
        <f t="shared" si="1"/>
        <v>65727382.300000004</v>
      </c>
    </row>
    <row r="82" spans="1:8">
      <c r="A82" s="85">
        <v>1998.01</v>
      </c>
      <c r="B82" s="50">
        <v>4360269.99</v>
      </c>
      <c r="C82" s="1365">
        <v>42620051.789999999</v>
      </c>
      <c r="D82" s="73">
        <v>7320467.0999999996</v>
      </c>
      <c r="E82" s="1365">
        <v>11990779.16</v>
      </c>
      <c r="F82" s="73">
        <v>4818756.17</v>
      </c>
      <c r="G82" s="1365">
        <v>561553.79</v>
      </c>
      <c r="H82" s="526">
        <f t="shared" si="1"/>
        <v>71671878.000000015</v>
      </c>
    </row>
    <row r="83" spans="1:8">
      <c r="A83" s="85">
        <v>1998.02</v>
      </c>
      <c r="B83" s="50">
        <v>19587668.010000002</v>
      </c>
      <c r="C83" s="1365">
        <v>39944228.009999998</v>
      </c>
      <c r="D83" s="73">
        <v>5301233.7699999996</v>
      </c>
      <c r="E83" s="1365">
        <v>11471217.210000001</v>
      </c>
      <c r="F83" s="73">
        <v>2919867.73</v>
      </c>
      <c r="G83" s="1365">
        <v>213905.98</v>
      </c>
      <c r="H83" s="526">
        <f t="shared" si="1"/>
        <v>79438120.710000008</v>
      </c>
    </row>
    <row r="84" spans="1:8">
      <c r="A84" s="85">
        <v>1998.03</v>
      </c>
      <c r="B84" s="50">
        <v>19179330.780000001</v>
      </c>
      <c r="C84" s="1365">
        <v>37915542.840000004</v>
      </c>
      <c r="D84" s="73">
        <v>5150680.13</v>
      </c>
      <c r="E84" s="1365">
        <v>11166327.92</v>
      </c>
      <c r="F84" s="73">
        <v>2613691.75</v>
      </c>
      <c r="G84" s="1365">
        <v>188634.2</v>
      </c>
      <c r="H84" s="526">
        <f t="shared" si="1"/>
        <v>76214207.620000005</v>
      </c>
    </row>
    <row r="85" spans="1:8">
      <c r="A85" s="85">
        <v>1998.04</v>
      </c>
      <c r="B85" s="50">
        <v>7466149.29</v>
      </c>
      <c r="C85" s="1365">
        <v>42269255.939999998</v>
      </c>
      <c r="D85" s="73">
        <v>4976008.54</v>
      </c>
      <c r="E85" s="1365">
        <v>12645528.289999999</v>
      </c>
      <c r="F85" s="73">
        <v>13054617.529999999</v>
      </c>
      <c r="G85" s="1365">
        <v>256885.29</v>
      </c>
      <c r="H85" s="526">
        <f t="shared" si="1"/>
        <v>80668444.88000001</v>
      </c>
    </row>
    <row r="86" spans="1:8">
      <c r="A86" s="85">
        <v>1998.05</v>
      </c>
      <c r="B86" s="50">
        <v>19457704.82</v>
      </c>
      <c r="C86" s="1365">
        <v>44402740.799999997</v>
      </c>
      <c r="D86" s="73">
        <v>5018369.63</v>
      </c>
      <c r="E86" s="1365">
        <v>11533337.92</v>
      </c>
      <c r="F86" s="73">
        <v>6277018.2199999997</v>
      </c>
      <c r="G86" s="1365">
        <v>247195.38</v>
      </c>
      <c r="H86" s="526">
        <f t="shared" si="1"/>
        <v>86936366.769999996</v>
      </c>
    </row>
    <row r="87" spans="1:8">
      <c r="A87" s="85">
        <v>1998.06</v>
      </c>
      <c r="B87" s="50">
        <v>18092612.02</v>
      </c>
      <c r="C87" s="1365">
        <v>41529123.950000003</v>
      </c>
      <c r="D87" s="73">
        <v>4918191.66</v>
      </c>
      <c r="E87" s="1365">
        <v>12119399.65</v>
      </c>
      <c r="F87" s="73">
        <v>11320742.810000001</v>
      </c>
      <c r="G87" s="1365">
        <v>265033.03000000003</v>
      </c>
      <c r="H87" s="526">
        <f t="shared" si="1"/>
        <v>88245103.120000005</v>
      </c>
    </row>
    <row r="88" spans="1:8">
      <c r="A88" s="85">
        <v>1998.07</v>
      </c>
      <c r="B88" s="50">
        <v>24867488.629999999</v>
      </c>
      <c r="C88" s="1365">
        <v>42730672.689999998</v>
      </c>
      <c r="D88" s="73">
        <v>7131055.6399999997</v>
      </c>
      <c r="E88" s="1365">
        <v>12739441.32</v>
      </c>
      <c r="F88" s="73">
        <v>5400460.5899999999</v>
      </c>
      <c r="G88" s="1365">
        <v>226798.13</v>
      </c>
      <c r="H88" s="526">
        <f t="shared" si="1"/>
        <v>93095917</v>
      </c>
    </row>
    <row r="89" spans="1:8">
      <c r="A89" s="85">
        <v>1998.08</v>
      </c>
      <c r="B89" s="50">
        <v>19308158.879999999</v>
      </c>
      <c r="C89" s="1365">
        <v>41754662.619999997</v>
      </c>
      <c r="D89" s="73">
        <v>4873050.29</v>
      </c>
      <c r="E89" s="1365">
        <v>13856524.58</v>
      </c>
      <c r="F89" s="73">
        <v>4469479.92</v>
      </c>
      <c r="G89" s="1365">
        <v>256720.36</v>
      </c>
      <c r="H89" s="526">
        <f t="shared" si="1"/>
        <v>84518596.650000006</v>
      </c>
    </row>
    <row r="90" spans="1:8">
      <c r="A90" s="85">
        <v>1998.09</v>
      </c>
      <c r="B90" s="50">
        <v>8964689.5700000003</v>
      </c>
      <c r="C90" s="1365">
        <v>41085946.229999997</v>
      </c>
      <c r="D90" s="73">
        <v>4711776.72</v>
      </c>
      <c r="E90" s="1365">
        <v>12853472.08</v>
      </c>
      <c r="F90" s="73">
        <v>8499431.1999999993</v>
      </c>
      <c r="G90" s="1365">
        <v>319227.76</v>
      </c>
      <c r="H90" s="526">
        <f t="shared" si="1"/>
        <v>76434543.560000002</v>
      </c>
    </row>
    <row r="91" spans="1:8">
      <c r="A91" s="85">
        <v>1998.1</v>
      </c>
      <c r="B91" s="50">
        <v>18889628.039999999</v>
      </c>
      <c r="C91" s="1365">
        <v>39885475.710000001</v>
      </c>
      <c r="D91" s="73">
        <v>4723804.72</v>
      </c>
      <c r="E91" s="1365">
        <v>12578439.93</v>
      </c>
      <c r="F91" s="73">
        <v>3932462.35</v>
      </c>
      <c r="G91" s="1365">
        <v>282975.56</v>
      </c>
      <c r="H91" s="526">
        <f t="shared" si="1"/>
        <v>80292786.310000002</v>
      </c>
    </row>
    <row r="92" spans="1:8">
      <c r="A92" s="85">
        <v>1998.11</v>
      </c>
      <c r="B92" s="50">
        <v>17847498.32</v>
      </c>
      <c r="C92" s="1365">
        <v>40556705.609999999</v>
      </c>
      <c r="D92" s="73">
        <v>4804099.57</v>
      </c>
      <c r="E92" s="1365">
        <v>11908026.52</v>
      </c>
      <c r="F92" s="73">
        <v>9332963.6600000001</v>
      </c>
      <c r="G92" s="1365">
        <v>316859.86</v>
      </c>
      <c r="H92" s="526">
        <f t="shared" si="1"/>
        <v>84766153.539999992</v>
      </c>
    </row>
    <row r="93" spans="1:8">
      <c r="A93" s="85">
        <v>1998.12</v>
      </c>
      <c r="B93" s="50">
        <v>8398824</v>
      </c>
      <c r="C93" s="1365">
        <v>39612028</v>
      </c>
      <c r="D93" s="73">
        <v>4283001</v>
      </c>
      <c r="E93" s="1365">
        <v>12272026</v>
      </c>
      <c r="F93" s="73">
        <v>3798871</v>
      </c>
      <c r="G93" s="1365">
        <v>286466</v>
      </c>
      <c r="H93" s="526">
        <f t="shared" si="1"/>
        <v>68651216</v>
      </c>
    </row>
    <row r="94" spans="1:8">
      <c r="A94" s="85">
        <v>1999.01</v>
      </c>
      <c r="B94" s="50">
        <v>4665708</v>
      </c>
      <c r="C94" s="1365">
        <v>41941015</v>
      </c>
      <c r="D94" s="73">
        <v>6646022</v>
      </c>
      <c r="E94" s="1365">
        <v>11586789</v>
      </c>
      <c r="F94" s="73">
        <v>4874185</v>
      </c>
      <c r="G94" s="1365">
        <v>395396</v>
      </c>
      <c r="H94" s="526">
        <f t="shared" si="1"/>
        <v>70109115</v>
      </c>
    </row>
    <row r="95" spans="1:8">
      <c r="A95" s="85">
        <v>1999.02</v>
      </c>
      <c r="B95" s="50">
        <v>21214444</v>
      </c>
      <c r="C95" s="1365">
        <v>37971944</v>
      </c>
      <c r="D95" s="73">
        <v>4563402</v>
      </c>
      <c r="E95" s="1365">
        <v>10458305</v>
      </c>
      <c r="F95" s="73">
        <v>2667580</v>
      </c>
      <c r="G95" s="1365">
        <v>271378</v>
      </c>
      <c r="H95" s="526">
        <f t="shared" si="1"/>
        <v>77147053</v>
      </c>
    </row>
    <row r="96" spans="1:8">
      <c r="A96" s="85">
        <v>1999.03</v>
      </c>
      <c r="B96" s="50">
        <v>19286926</v>
      </c>
      <c r="C96" s="1365">
        <v>33726204</v>
      </c>
      <c r="D96" s="73">
        <v>4345798</v>
      </c>
      <c r="E96" s="1365">
        <v>9978794</v>
      </c>
      <c r="F96" s="73">
        <v>2630398</v>
      </c>
      <c r="G96" s="1365">
        <v>274387</v>
      </c>
      <c r="H96" s="526">
        <f t="shared" si="1"/>
        <v>70242507</v>
      </c>
    </row>
    <row r="97" spans="1:8">
      <c r="A97" s="85">
        <v>1999.04</v>
      </c>
      <c r="B97" s="50">
        <v>9380040</v>
      </c>
      <c r="C97" s="1365">
        <v>37709596</v>
      </c>
      <c r="D97" s="73">
        <v>4258491</v>
      </c>
      <c r="E97" s="1365">
        <v>9807777</v>
      </c>
      <c r="F97" s="73">
        <v>13669652</v>
      </c>
      <c r="G97" s="1365">
        <v>275139</v>
      </c>
      <c r="H97" s="526">
        <f t="shared" si="1"/>
        <v>75100695</v>
      </c>
    </row>
    <row r="98" spans="1:8">
      <c r="A98" s="85">
        <v>1999.05</v>
      </c>
      <c r="B98" s="50">
        <v>20588265</v>
      </c>
      <c r="C98" s="1365">
        <v>36968408</v>
      </c>
      <c r="D98" s="73">
        <v>4203436</v>
      </c>
      <c r="E98" s="1365">
        <v>10207588</v>
      </c>
      <c r="F98" s="73">
        <v>5948597</v>
      </c>
      <c r="G98" s="1365">
        <v>274111</v>
      </c>
      <c r="H98" s="526">
        <f t="shared" si="1"/>
        <v>78190405</v>
      </c>
    </row>
    <row r="99" spans="1:8">
      <c r="A99" s="85">
        <v>1999.06</v>
      </c>
      <c r="B99" s="50">
        <v>18583640.800000001</v>
      </c>
      <c r="C99" s="1365">
        <v>35690174.840000004</v>
      </c>
      <c r="D99" s="73">
        <v>4196785.16</v>
      </c>
      <c r="E99" s="1365">
        <v>11120020.99</v>
      </c>
      <c r="F99" s="73">
        <v>12748377.890000001</v>
      </c>
      <c r="G99" s="1365">
        <v>314634.27</v>
      </c>
      <c r="H99" s="526">
        <f t="shared" si="1"/>
        <v>82653633.949999988</v>
      </c>
    </row>
    <row r="100" spans="1:8">
      <c r="A100" s="85">
        <v>1999.07</v>
      </c>
      <c r="B100" s="50">
        <v>22093100.960000001</v>
      </c>
      <c r="C100" s="1365">
        <v>36393034.880000003</v>
      </c>
      <c r="D100" s="73">
        <v>6158302.75</v>
      </c>
      <c r="E100" s="1365">
        <v>10945264.039999999</v>
      </c>
      <c r="F100" s="73">
        <v>4809792.18</v>
      </c>
      <c r="G100" s="1365">
        <v>258968.04</v>
      </c>
      <c r="H100" s="526">
        <f t="shared" si="1"/>
        <v>80658462.850000009</v>
      </c>
    </row>
    <row r="101" spans="1:8">
      <c r="A101" s="85">
        <v>1999.08</v>
      </c>
      <c r="B101" s="50">
        <v>18808221</v>
      </c>
      <c r="C101" s="1365">
        <v>36036920</v>
      </c>
      <c r="D101" s="73">
        <v>4097577</v>
      </c>
      <c r="E101" s="1365">
        <v>11501169</v>
      </c>
      <c r="F101" s="73">
        <v>5276660</v>
      </c>
      <c r="G101" s="1365">
        <v>313470</v>
      </c>
      <c r="H101" s="526">
        <f t="shared" si="1"/>
        <v>76034017</v>
      </c>
    </row>
    <row r="102" spans="1:8">
      <c r="A102" s="85">
        <v>1999.09</v>
      </c>
      <c r="B102" s="50">
        <v>8141354</v>
      </c>
      <c r="C102" s="1365">
        <v>35142602</v>
      </c>
      <c r="D102" s="73">
        <v>4165250</v>
      </c>
      <c r="E102" s="1365">
        <v>12394948</v>
      </c>
      <c r="F102" s="73">
        <v>9183545</v>
      </c>
      <c r="G102" s="1365">
        <v>312295</v>
      </c>
      <c r="H102" s="526">
        <f t="shared" si="1"/>
        <v>69339994</v>
      </c>
    </row>
    <row r="103" spans="1:8">
      <c r="A103" s="85">
        <v>1999.1</v>
      </c>
      <c r="B103" s="50">
        <v>17146404</v>
      </c>
      <c r="C103" s="1365">
        <v>35211218</v>
      </c>
      <c r="D103" s="73">
        <v>4260396</v>
      </c>
      <c r="E103" s="1365">
        <v>11803359</v>
      </c>
      <c r="F103" s="73">
        <v>3759925</v>
      </c>
      <c r="G103" s="1365">
        <v>317816</v>
      </c>
      <c r="H103" s="526">
        <f t="shared" si="1"/>
        <v>72499118</v>
      </c>
    </row>
    <row r="104" spans="1:8">
      <c r="A104" s="85">
        <v>1999.11</v>
      </c>
      <c r="B104" s="50">
        <v>17226856</v>
      </c>
      <c r="C104" s="1365">
        <v>36490417</v>
      </c>
      <c r="D104" s="73">
        <v>4281769</v>
      </c>
      <c r="E104" s="1365">
        <v>12821302</v>
      </c>
      <c r="F104" s="73">
        <v>10620098</v>
      </c>
      <c r="G104" s="1365">
        <v>348270</v>
      </c>
      <c r="H104" s="526">
        <f t="shared" si="1"/>
        <v>81788712</v>
      </c>
    </row>
    <row r="105" spans="1:8">
      <c r="A105" s="85">
        <v>1999.12</v>
      </c>
      <c r="B105" s="50">
        <v>27050839</v>
      </c>
      <c r="C105" s="1365">
        <v>42867139</v>
      </c>
      <c r="D105" s="73">
        <v>4285544</v>
      </c>
      <c r="E105" s="1365">
        <v>13371064</v>
      </c>
      <c r="F105" s="73">
        <v>7107154</v>
      </c>
      <c r="G105" s="1365">
        <v>286437</v>
      </c>
      <c r="H105" s="526">
        <f t="shared" si="1"/>
        <v>94968177</v>
      </c>
    </row>
    <row r="106" spans="1:8">
      <c r="A106" s="85">
        <v>2000.01</v>
      </c>
      <c r="B106" s="50">
        <v>13444481</v>
      </c>
      <c r="C106" s="1365">
        <v>46651122</v>
      </c>
      <c r="D106" s="73">
        <v>6301058</v>
      </c>
      <c r="E106" s="1365">
        <v>12160119</v>
      </c>
      <c r="F106" s="73">
        <v>6810551</v>
      </c>
      <c r="G106" s="1365">
        <v>211935</v>
      </c>
      <c r="H106" s="526">
        <f t="shared" si="1"/>
        <v>85579266</v>
      </c>
    </row>
    <row r="107" spans="1:8">
      <c r="A107" s="85">
        <v>2000.02</v>
      </c>
      <c r="B107" s="50">
        <v>24906636</v>
      </c>
      <c r="C107" s="1365">
        <v>38976750</v>
      </c>
      <c r="D107" s="73">
        <v>4474452</v>
      </c>
      <c r="E107" s="1365">
        <v>10911337</v>
      </c>
      <c r="F107" s="73">
        <v>3203120</v>
      </c>
      <c r="G107" s="1365">
        <v>296939</v>
      </c>
      <c r="H107" s="526">
        <f t="shared" si="1"/>
        <v>82769234</v>
      </c>
    </row>
    <row r="108" spans="1:8">
      <c r="A108" s="85">
        <v>2000.03</v>
      </c>
      <c r="B108" s="50">
        <v>17980172</v>
      </c>
      <c r="C108" s="1365">
        <v>33703853</v>
      </c>
      <c r="D108" s="73">
        <v>4283879</v>
      </c>
      <c r="E108" s="1365">
        <v>11087444</v>
      </c>
      <c r="F108" s="73">
        <v>2331684</v>
      </c>
      <c r="G108" s="1365">
        <v>302329</v>
      </c>
      <c r="H108" s="526">
        <f t="shared" si="1"/>
        <v>69689361</v>
      </c>
    </row>
    <row r="109" spans="1:8">
      <c r="A109" s="85">
        <v>2000.04</v>
      </c>
      <c r="B109" s="50">
        <v>14901148</v>
      </c>
      <c r="C109" s="1365">
        <v>41749775</v>
      </c>
      <c r="D109" s="73">
        <v>4300046</v>
      </c>
      <c r="E109" s="1365">
        <v>10322601</v>
      </c>
      <c r="F109" s="73">
        <v>12807749</v>
      </c>
      <c r="G109" s="1365">
        <v>281716</v>
      </c>
      <c r="H109" s="526">
        <f t="shared" si="1"/>
        <v>84363035</v>
      </c>
    </row>
    <row r="110" spans="1:8">
      <c r="A110" s="85">
        <v>2000.05</v>
      </c>
      <c r="B110" s="50">
        <v>23695131</v>
      </c>
      <c r="C110" s="1365">
        <v>35866246</v>
      </c>
      <c r="D110" s="73">
        <v>4228804</v>
      </c>
      <c r="E110" s="1365">
        <v>9882517</v>
      </c>
      <c r="F110" s="73">
        <v>5382566</v>
      </c>
      <c r="G110" s="1365">
        <v>276965</v>
      </c>
      <c r="H110" s="526">
        <f t="shared" si="1"/>
        <v>79332229</v>
      </c>
    </row>
    <row r="111" spans="1:8">
      <c r="A111" s="85">
        <v>2000.06</v>
      </c>
      <c r="B111" s="50">
        <v>16127676</v>
      </c>
      <c r="C111" s="1365">
        <v>37421690</v>
      </c>
      <c r="D111" s="73">
        <v>4311969</v>
      </c>
      <c r="E111" s="1365">
        <v>11232520</v>
      </c>
      <c r="F111" s="73">
        <v>12101785</v>
      </c>
      <c r="G111" s="1365">
        <v>307617</v>
      </c>
      <c r="H111" s="526">
        <f t="shared" si="1"/>
        <v>81503257</v>
      </c>
    </row>
    <row r="112" spans="1:8">
      <c r="A112" s="85">
        <v>2000.07</v>
      </c>
      <c r="B112" s="50">
        <v>26674024</v>
      </c>
      <c r="C112" s="1365">
        <v>37394608</v>
      </c>
      <c r="D112" s="73">
        <v>7392153</v>
      </c>
      <c r="E112" s="1365">
        <v>11044175</v>
      </c>
      <c r="F112" s="73">
        <v>5081935</v>
      </c>
      <c r="G112" s="1365">
        <v>247307</v>
      </c>
      <c r="H112" s="526">
        <f t="shared" si="1"/>
        <v>87834202</v>
      </c>
    </row>
    <row r="113" spans="1:8">
      <c r="A113" s="85">
        <v>2000.08</v>
      </c>
      <c r="B113" s="50">
        <v>16797618</v>
      </c>
      <c r="C113" s="1365">
        <v>35470993</v>
      </c>
      <c r="D113" s="73">
        <v>4155790</v>
      </c>
      <c r="E113" s="1365">
        <v>12079793</v>
      </c>
      <c r="F113" s="73">
        <v>5243611</v>
      </c>
      <c r="G113" s="1365">
        <v>315280</v>
      </c>
      <c r="H113" s="526">
        <f t="shared" si="1"/>
        <v>74063085</v>
      </c>
    </row>
    <row r="114" spans="1:8">
      <c r="A114" s="85">
        <v>2000.09</v>
      </c>
      <c r="B114" s="50">
        <v>12060416</v>
      </c>
      <c r="C114" s="1365">
        <v>35650318</v>
      </c>
      <c r="D114" s="73">
        <v>4095356</v>
      </c>
      <c r="E114" s="1365">
        <v>11884246</v>
      </c>
      <c r="F114" s="73">
        <v>8819571</v>
      </c>
      <c r="G114" s="1365">
        <v>304814</v>
      </c>
      <c r="H114" s="526">
        <f t="shared" si="1"/>
        <v>72814721</v>
      </c>
    </row>
    <row r="115" spans="1:8">
      <c r="A115" s="85">
        <v>2000.1</v>
      </c>
      <c r="B115" s="50">
        <v>21756230</v>
      </c>
      <c r="C115" s="1365">
        <v>36527558</v>
      </c>
      <c r="D115" s="73">
        <v>4125880</v>
      </c>
      <c r="E115" s="1365">
        <v>11150487</v>
      </c>
      <c r="F115" s="73">
        <v>4093427</v>
      </c>
      <c r="G115" s="1365">
        <v>307381</v>
      </c>
      <c r="H115" s="526">
        <f t="shared" si="1"/>
        <v>77960963</v>
      </c>
    </row>
    <row r="116" spans="1:8">
      <c r="A116" s="85">
        <v>2000.11</v>
      </c>
      <c r="B116" s="50">
        <v>15032164</v>
      </c>
      <c r="C116" s="1365">
        <v>36071616</v>
      </c>
      <c r="D116" s="73">
        <v>4083778</v>
      </c>
      <c r="E116" s="1365">
        <v>11656307</v>
      </c>
      <c r="F116" s="73">
        <v>10648697</v>
      </c>
      <c r="G116" s="1365">
        <v>337954</v>
      </c>
      <c r="H116" s="526">
        <f t="shared" si="1"/>
        <v>77830516</v>
      </c>
    </row>
    <row r="117" spans="1:8">
      <c r="A117" s="85">
        <v>2000.12</v>
      </c>
      <c r="B117" s="50">
        <v>11170140</v>
      </c>
      <c r="C117" s="1365">
        <v>35408746</v>
      </c>
      <c r="D117" s="73">
        <v>3991078</v>
      </c>
      <c r="E117" s="1365">
        <v>11543140</v>
      </c>
      <c r="F117" s="73">
        <v>3798764</v>
      </c>
      <c r="G117" s="1365">
        <v>249410</v>
      </c>
      <c r="H117" s="526">
        <f t="shared" si="1"/>
        <v>66161278</v>
      </c>
    </row>
    <row r="118" spans="1:8">
      <c r="A118" s="85">
        <v>2001.01</v>
      </c>
      <c r="B118" s="50">
        <v>7248477</v>
      </c>
      <c r="C118" s="1365">
        <v>39487938</v>
      </c>
      <c r="D118" s="73">
        <v>6369797</v>
      </c>
      <c r="E118" s="1365">
        <v>11616669</v>
      </c>
      <c r="F118" s="73">
        <v>5720066</v>
      </c>
      <c r="G118" s="1365">
        <v>225686</v>
      </c>
      <c r="H118" s="526">
        <f t="shared" si="1"/>
        <v>70668633</v>
      </c>
    </row>
    <row r="119" spans="1:8">
      <c r="A119" s="85">
        <v>2001.02</v>
      </c>
      <c r="B119" s="50">
        <v>20453476</v>
      </c>
      <c r="C119" s="1365">
        <v>33820950</v>
      </c>
      <c r="D119" s="73">
        <v>4329292</v>
      </c>
      <c r="E119" s="1365">
        <v>10577763</v>
      </c>
      <c r="F119" s="73">
        <v>2260686</v>
      </c>
      <c r="G119" s="1365">
        <v>275505</v>
      </c>
      <c r="H119" s="526">
        <f t="shared" si="1"/>
        <v>71717672</v>
      </c>
    </row>
    <row r="120" spans="1:8">
      <c r="A120" s="85">
        <v>2001.03</v>
      </c>
      <c r="B120" s="50">
        <v>15456329</v>
      </c>
      <c r="C120" s="1365">
        <v>31700888</v>
      </c>
      <c r="D120" s="73">
        <v>4380953</v>
      </c>
      <c r="E120" s="1365">
        <v>10575488</v>
      </c>
      <c r="F120" s="73">
        <v>2105723</v>
      </c>
      <c r="G120" s="1365">
        <v>275257</v>
      </c>
      <c r="H120" s="526">
        <f t="shared" si="1"/>
        <v>64494638</v>
      </c>
    </row>
    <row r="121" spans="1:8">
      <c r="A121" s="85">
        <v>2001.04</v>
      </c>
      <c r="B121" s="50">
        <v>10893516</v>
      </c>
      <c r="C121" s="1365">
        <v>33361185</v>
      </c>
      <c r="D121" s="73">
        <v>3792680</v>
      </c>
      <c r="E121" s="1365">
        <v>9384046</v>
      </c>
      <c r="F121" s="73">
        <v>11857631</v>
      </c>
      <c r="G121" s="1365">
        <v>257853</v>
      </c>
      <c r="H121" s="526">
        <f t="shared" si="1"/>
        <v>69546911</v>
      </c>
    </row>
    <row r="122" spans="1:8">
      <c r="A122" s="85">
        <v>2001.05</v>
      </c>
      <c r="B122" s="50">
        <v>22165980</v>
      </c>
      <c r="C122" s="1365">
        <v>35784331</v>
      </c>
      <c r="D122" s="73">
        <v>3774047</v>
      </c>
      <c r="E122" s="1365">
        <v>10608877</v>
      </c>
      <c r="F122" s="73">
        <v>5227680</v>
      </c>
      <c r="G122" s="1365">
        <v>292404</v>
      </c>
      <c r="H122" s="526">
        <f t="shared" si="1"/>
        <v>77853319</v>
      </c>
    </row>
    <row r="123" spans="1:8">
      <c r="A123" s="85">
        <v>2001.06</v>
      </c>
      <c r="B123" s="50">
        <v>14951345</v>
      </c>
      <c r="C123" s="1365">
        <v>35866167</v>
      </c>
      <c r="D123" s="73">
        <v>3748093</v>
      </c>
      <c r="E123" s="1365">
        <v>10734398</v>
      </c>
      <c r="F123" s="73">
        <v>11478158</v>
      </c>
      <c r="G123" s="1365">
        <v>293523</v>
      </c>
      <c r="H123" s="526">
        <f t="shared" si="1"/>
        <v>77071684</v>
      </c>
    </row>
    <row r="124" spans="1:8">
      <c r="A124" s="85">
        <v>2001.07</v>
      </c>
      <c r="B124" s="50">
        <v>24317167</v>
      </c>
      <c r="C124" s="1365">
        <v>34323675</v>
      </c>
      <c r="D124" s="73">
        <v>5294656</v>
      </c>
      <c r="E124" s="1365">
        <v>9464103</v>
      </c>
      <c r="F124" s="73">
        <v>4589726</v>
      </c>
      <c r="G124" s="1365">
        <v>243217</v>
      </c>
      <c r="H124" s="526">
        <f t="shared" si="1"/>
        <v>78232544</v>
      </c>
    </row>
    <row r="125" spans="1:8">
      <c r="A125" s="85">
        <v>2001.08</v>
      </c>
      <c r="B125" s="50">
        <v>15551115</v>
      </c>
      <c r="C125" s="1365">
        <v>32704550</v>
      </c>
      <c r="D125" s="73">
        <v>3586712</v>
      </c>
      <c r="E125" s="1365">
        <v>10848236</v>
      </c>
      <c r="F125" s="73">
        <v>4783413</v>
      </c>
      <c r="G125" s="1365">
        <v>292987</v>
      </c>
      <c r="H125" s="526">
        <f t="shared" si="1"/>
        <v>67767013</v>
      </c>
    </row>
    <row r="126" spans="1:8">
      <c r="A126" s="85">
        <v>2001.09</v>
      </c>
      <c r="B126" s="50">
        <v>10696758</v>
      </c>
      <c r="C126" s="1365">
        <v>31621393</v>
      </c>
      <c r="D126" s="73">
        <v>3543838</v>
      </c>
      <c r="E126" s="1365">
        <v>9495867</v>
      </c>
      <c r="F126" s="73">
        <v>8060722</v>
      </c>
      <c r="G126" s="1365">
        <v>266459</v>
      </c>
      <c r="H126" s="526">
        <f t="shared" si="1"/>
        <v>63685037</v>
      </c>
    </row>
    <row r="127" spans="1:8">
      <c r="A127" s="85">
        <v>2001.1</v>
      </c>
      <c r="B127" s="50">
        <v>17319589</v>
      </c>
      <c r="C127" s="1365">
        <v>31498251</v>
      </c>
      <c r="D127" s="73">
        <v>3543542</v>
      </c>
      <c r="E127" s="1365">
        <v>10503456</v>
      </c>
      <c r="F127" s="73">
        <v>3834569</v>
      </c>
      <c r="G127" s="1365">
        <v>314892</v>
      </c>
      <c r="H127" s="526">
        <f t="shared" si="1"/>
        <v>67014299</v>
      </c>
    </row>
    <row r="128" spans="1:8">
      <c r="A128" s="85">
        <v>2001.11</v>
      </c>
      <c r="B128" s="50">
        <v>11641989</v>
      </c>
      <c r="C128" s="1365">
        <v>30785711</v>
      </c>
      <c r="D128" s="73">
        <v>3440012</v>
      </c>
      <c r="E128" s="1365">
        <v>9941648</v>
      </c>
      <c r="F128" s="73">
        <v>9454672</v>
      </c>
      <c r="G128" s="1365">
        <v>300017</v>
      </c>
      <c r="H128" s="526">
        <f t="shared" si="1"/>
        <v>65564049</v>
      </c>
    </row>
    <row r="129" spans="1:8">
      <c r="A129" s="85">
        <v>2001.12</v>
      </c>
      <c r="B129" s="50">
        <v>7556722</v>
      </c>
      <c r="C129" s="1365">
        <v>21703764</v>
      </c>
      <c r="D129" s="73">
        <v>2757606</v>
      </c>
      <c r="E129" s="1365">
        <v>7272328</v>
      </c>
      <c r="F129" s="73">
        <v>2373767</v>
      </c>
      <c r="G129" s="1365">
        <v>205254</v>
      </c>
      <c r="H129" s="526">
        <f t="shared" si="1"/>
        <v>41869441</v>
      </c>
    </row>
    <row r="130" spans="1:8">
      <c r="A130" s="85">
        <v>2002.01</v>
      </c>
      <c r="B130" s="50">
        <v>10018829</v>
      </c>
      <c r="C130" s="1365">
        <v>27961004</v>
      </c>
      <c r="D130" s="73">
        <v>4686049</v>
      </c>
      <c r="E130" s="1365">
        <v>6211722</v>
      </c>
      <c r="F130" s="73">
        <v>4636557</v>
      </c>
      <c r="G130" s="1365">
        <v>151149</v>
      </c>
      <c r="H130" s="526">
        <f t="shared" si="1"/>
        <v>53665310</v>
      </c>
    </row>
    <row r="131" spans="1:8">
      <c r="A131" s="85">
        <v>2002.02</v>
      </c>
      <c r="B131" s="50">
        <v>21413546</v>
      </c>
      <c r="C131" s="1365">
        <v>24237128</v>
      </c>
      <c r="D131" s="73">
        <v>3122868</v>
      </c>
      <c r="E131" s="1365">
        <v>5304961</v>
      </c>
      <c r="F131" s="73">
        <v>1772263</v>
      </c>
      <c r="G131" s="1365">
        <v>198338</v>
      </c>
      <c r="H131" s="526">
        <f t="shared" si="1"/>
        <v>56049104</v>
      </c>
    </row>
    <row r="132" spans="1:8">
      <c r="A132" s="85">
        <v>2002.03</v>
      </c>
      <c r="B132" s="50">
        <v>19185128</v>
      </c>
      <c r="C132" s="1365">
        <v>26753561</v>
      </c>
      <c r="D132" s="73">
        <v>2905367</v>
      </c>
      <c r="E132" s="1365">
        <v>5538631</v>
      </c>
      <c r="F132" s="73">
        <v>1851869</v>
      </c>
      <c r="G132" s="1365">
        <v>183930</v>
      </c>
      <c r="H132" s="526">
        <f t="shared" si="1"/>
        <v>56418486</v>
      </c>
    </row>
    <row r="133" spans="1:8">
      <c r="A133" s="85">
        <v>2002.04</v>
      </c>
      <c r="B133" s="50">
        <v>13225317</v>
      </c>
      <c r="C133" s="1365">
        <v>31096569</v>
      </c>
      <c r="D133" s="73">
        <v>3077461</v>
      </c>
      <c r="E133" s="1365">
        <v>7422650</v>
      </c>
      <c r="F133" s="73">
        <v>9121162</v>
      </c>
      <c r="G133" s="1365">
        <v>208673</v>
      </c>
      <c r="H133" s="526">
        <f t="shared" si="1"/>
        <v>64151832</v>
      </c>
    </row>
    <row r="134" spans="1:8">
      <c r="A134" s="85">
        <v>2002.05</v>
      </c>
      <c r="B134" s="50">
        <v>22268433</v>
      </c>
      <c r="C134" s="1365">
        <v>36138824</v>
      </c>
      <c r="D134" s="73">
        <v>3113521</v>
      </c>
      <c r="E134" s="1365">
        <v>11467183</v>
      </c>
      <c r="F134" s="73">
        <v>5295545</v>
      </c>
      <c r="G134" s="1365">
        <v>216988</v>
      </c>
      <c r="H134" s="526">
        <f t="shared" si="1"/>
        <v>78500494</v>
      </c>
    </row>
    <row r="135" spans="1:8">
      <c r="A135" s="85">
        <v>2002.06</v>
      </c>
      <c r="B135" s="50">
        <v>15619475</v>
      </c>
      <c r="C135" s="1365">
        <v>40643915</v>
      </c>
      <c r="D135" s="73">
        <v>3029309</v>
      </c>
      <c r="E135" s="1365">
        <v>8377650</v>
      </c>
      <c r="F135" s="73">
        <v>9902871</v>
      </c>
      <c r="G135" s="1365">
        <v>242386</v>
      </c>
      <c r="H135" s="526">
        <f t="shared" si="1"/>
        <v>77815606</v>
      </c>
    </row>
    <row r="136" spans="1:8">
      <c r="A136" s="85">
        <v>2002.07</v>
      </c>
      <c r="B136" s="50">
        <v>25336889</v>
      </c>
      <c r="C136" s="1365">
        <v>43108473</v>
      </c>
      <c r="D136" s="73">
        <v>4477723</v>
      </c>
      <c r="E136" s="1365">
        <v>9979953</v>
      </c>
      <c r="F136" s="73">
        <v>4637639</v>
      </c>
      <c r="G136" s="1365">
        <v>226104</v>
      </c>
      <c r="H136" s="526">
        <f t="shared" si="1"/>
        <v>87766781</v>
      </c>
    </row>
    <row r="137" spans="1:8">
      <c r="A137" s="85">
        <v>2002.08</v>
      </c>
      <c r="B137" s="50">
        <v>16239662</v>
      </c>
      <c r="C137" s="1365">
        <v>46520716</v>
      </c>
      <c r="D137" s="73">
        <v>3040623</v>
      </c>
      <c r="E137" s="1365">
        <v>9961753</v>
      </c>
      <c r="F137" s="73">
        <v>4588806</v>
      </c>
      <c r="G137" s="1365">
        <v>253162</v>
      </c>
      <c r="H137" s="526">
        <f t="shared" si="1"/>
        <v>80604722</v>
      </c>
    </row>
    <row r="138" spans="1:8">
      <c r="A138" s="85">
        <v>2002.09</v>
      </c>
      <c r="B138" s="50">
        <v>11248894</v>
      </c>
      <c r="C138" s="1365">
        <v>46443879</v>
      </c>
      <c r="D138" s="73">
        <v>3114659</v>
      </c>
      <c r="E138" s="1365">
        <v>8766596</v>
      </c>
      <c r="F138" s="73">
        <v>8144087</v>
      </c>
      <c r="G138" s="1365">
        <v>256392</v>
      </c>
      <c r="H138" s="526">
        <f t="shared" si="1"/>
        <v>77974507</v>
      </c>
    </row>
    <row r="139" spans="1:8">
      <c r="A139" s="85">
        <v>2002.1</v>
      </c>
      <c r="B139" s="50">
        <v>19169490</v>
      </c>
      <c r="C139" s="1365">
        <v>52953807</v>
      </c>
      <c r="D139" s="73">
        <v>3359305</v>
      </c>
      <c r="E139" s="1365">
        <v>12123487</v>
      </c>
      <c r="F139" s="73">
        <v>3871552</v>
      </c>
      <c r="G139" s="1365">
        <v>302786</v>
      </c>
      <c r="H139" s="526">
        <f t="shared" ref="H139:H207" si="2">SUM(B139:G139)</f>
        <v>91780427</v>
      </c>
    </row>
    <row r="140" spans="1:8">
      <c r="A140" s="85">
        <v>2002.11</v>
      </c>
      <c r="B140" s="50">
        <v>13489309</v>
      </c>
      <c r="C140" s="1365">
        <v>52678067</v>
      </c>
      <c r="D140" s="73">
        <v>3132454</v>
      </c>
      <c r="E140" s="1365">
        <v>13920626</v>
      </c>
      <c r="F140" s="73">
        <v>9327702</v>
      </c>
      <c r="G140" s="1365">
        <v>645584</v>
      </c>
      <c r="H140" s="526">
        <f t="shared" si="2"/>
        <v>93193742</v>
      </c>
    </row>
    <row r="141" spans="1:8">
      <c r="A141" s="85">
        <v>2002.12</v>
      </c>
      <c r="B141" s="50">
        <v>11068613</v>
      </c>
      <c r="C141" s="1365">
        <v>53425275</v>
      </c>
      <c r="D141" s="73">
        <v>3412167</v>
      </c>
      <c r="E141" s="1365">
        <v>10809410</v>
      </c>
      <c r="F141" s="73">
        <v>4139389</v>
      </c>
      <c r="G141" s="1365">
        <v>273862</v>
      </c>
      <c r="H141" s="526">
        <f t="shared" si="2"/>
        <v>83128716</v>
      </c>
    </row>
    <row r="142" spans="1:8">
      <c r="A142" s="85">
        <v>2003.01</v>
      </c>
      <c r="B142" s="50">
        <v>4382997</v>
      </c>
      <c r="C142" s="1365">
        <v>75370933</v>
      </c>
      <c r="D142" s="73">
        <v>4989113</v>
      </c>
      <c r="E142" s="1365">
        <v>11060112</v>
      </c>
      <c r="F142" s="73">
        <v>4314294</v>
      </c>
      <c r="G142" s="1365">
        <v>234617</v>
      </c>
      <c r="H142" s="526">
        <f t="shared" si="2"/>
        <v>100352066</v>
      </c>
    </row>
    <row r="143" spans="1:8">
      <c r="A143" s="85">
        <v>2003.02</v>
      </c>
      <c r="B143" s="50">
        <v>19724332</v>
      </c>
      <c r="C143" s="1365">
        <v>48305115</v>
      </c>
      <c r="D143" s="73">
        <v>3678309</v>
      </c>
      <c r="E143" s="1365">
        <v>9383824</v>
      </c>
      <c r="F143" s="73">
        <v>2278198</v>
      </c>
      <c r="G143" s="1365">
        <v>278773</v>
      </c>
      <c r="H143" s="526">
        <f t="shared" si="2"/>
        <v>83648551</v>
      </c>
    </row>
    <row r="144" spans="1:8">
      <c r="A144" s="85">
        <v>2003.03</v>
      </c>
      <c r="B144" s="50">
        <v>14861590</v>
      </c>
      <c r="C144" s="1365">
        <v>47491014</v>
      </c>
      <c r="D144" s="73">
        <v>3453554</v>
      </c>
      <c r="E144" s="1365">
        <v>9041371</v>
      </c>
      <c r="F144" s="73">
        <v>2271932</v>
      </c>
      <c r="G144" s="1365">
        <v>300666</v>
      </c>
      <c r="H144" s="526">
        <f t="shared" si="2"/>
        <v>77420127</v>
      </c>
    </row>
    <row r="145" spans="1:8">
      <c r="A145" s="85">
        <v>2003.04</v>
      </c>
      <c r="B145" s="50">
        <v>9366311</v>
      </c>
      <c r="C145" s="1365">
        <v>52040553</v>
      </c>
      <c r="D145" s="73">
        <v>3469927</v>
      </c>
      <c r="E145" s="1365">
        <v>10834349</v>
      </c>
      <c r="F145" s="73">
        <v>12572681</v>
      </c>
      <c r="G145" s="1365">
        <v>281781</v>
      </c>
      <c r="H145" s="526">
        <f t="shared" si="2"/>
        <v>88565602</v>
      </c>
    </row>
    <row r="146" spans="1:8">
      <c r="A146" s="85">
        <v>2003.05</v>
      </c>
      <c r="B146" s="50">
        <v>25853714</v>
      </c>
      <c r="C146" s="1365">
        <v>53866303</v>
      </c>
      <c r="D146" s="73">
        <v>3612164</v>
      </c>
      <c r="E146" s="1365">
        <v>9829661</v>
      </c>
      <c r="F146" s="73">
        <v>5578118</v>
      </c>
      <c r="G146" s="1365">
        <v>302251</v>
      </c>
      <c r="H146" s="526">
        <f t="shared" si="2"/>
        <v>99042211</v>
      </c>
    </row>
    <row r="147" spans="1:8">
      <c r="A147" s="85">
        <v>2003.06</v>
      </c>
      <c r="B147" s="50">
        <v>7479536</v>
      </c>
      <c r="C147" s="1365">
        <v>55247389</v>
      </c>
      <c r="D147" s="73">
        <v>3707883</v>
      </c>
      <c r="E147" s="1365">
        <v>11112777</v>
      </c>
      <c r="F147" s="73">
        <v>11300707</v>
      </c>
      <c r="G147" s="1365">
        <v>333853</v>
      </c>
      <c r="H147" s="526">
        <f t="shared" si="2"/>
        <v>89182145</v>
      </c>
    </row>
    <row r="148" spans="1:8">
      <c r="A148" s="85">
        <v>2003.07</v>
      </c>
      <c r="B148" s="50">
        <v>7152406</v>
      </c>
      <c r="C148" s="1365">
        <v>55983074</v>
      </c>
      <c r="D148" s="73">
        <v>5415589</v>
      </c>
      <c r="E148" s="1365">
        <v>12857993</v>
      </c>
      <c r="F148" s="73">
        <v>4881647</v>
      </c>
      <c r="G148" s="1365">
        <v>283225</v>
      </c>
      <c r="H148" s="526">
        <f t="shared" si="2"/>
        <v>86573934</v>
      </c>
    </row>
    <row r="149" spans="1:8">
      <c r="A149" s="85">
        <v>2003.08</v>
      </c>
      <c r="B149" s="50">
        <v>2847459</v>
      </c>
      <c r="C149" s="1365">
        <v>55256521</v>
      </c>
      <c r="D149" s="73">
        <v>3930867</v>
      </c>
      <c r="E149" s="1365">
        <v>11785766</v>
      </c>
      <c r="F149" s="73">
        <v>10174903</v>
      </c>
      <c r="G149" s="1365">
        <v>323790</v>
      </c>
      <c r="H149" s="526">
        <f t="shared" si="2"/>
        <v>84319306</v>
      </c>
    </row>
    <row r="150" spans="1:8">
      <c r="A150" s="85">
        <v>2003.09</v>
      </c>
      <c r="B150" s="50">
        <v>29777706</v>
      </c>
      <c r="C150" s="1365">
        <v>63032220</v>
      </c>
      <c r="D150" s="73">
        <v>4080639</v>
      </c>
      <c r="E150" s="1365">
        <v>12752728</v>
      </c>
      <c r="F150" s="73">
        <v>5870354</v>
      </c>
      <c r="G150" s="1365">
        <v>332151</v>
      </c>
      <c r="H150" s="526">
        <f t="shared" si="2"/>
        <v>115845798</v>
      </c>
    </row>
    <row r="151" spans="1:8">
      <c r="A151" s="85">
        <v>2003.1</v>
      </c>
      <c r="B151" s="50">
        <v>24673817</v>
      </c>
      <c r="C151" s="1365">
        <v>62990461</v>
      </c>
      <c r="D151" s="73">
        <v>3934067</v>
      </c>
      <c r="E151" s="1365">
        <v>12293550</v>
      </c>
      <c r="F151" s="73">
        <v>12426509</v>
      </c>
      <c r="G151" s="1365">
        <v>351130</v>
      </c>
      <c r="H151" s="526">
        <f t="shared" si="2"/>
        <v>116669534</v>
      </c>
    </row>
    <row r="152" spans="1:8">
      <c r="A152" s="85">
        <v>2003.11</v>
      </c>
      <c r="B152" s="50">
        <v>36578612</v>
      </c>
      <c r="C152" s="1365">
        <v>68212240</v>
      </c>
      <c r="D152" s="73">
        <v>4100299</v>
      </c>
      <c r="E152" s="1365">
        <v>11960800</v>
      </c>
      <c r="F152" s="73">
        <v>8113059</v>
      </c>
      <c r="G152" s="1365">
        <v>353960</v>
      </c>
      <c r="H152" s="526">
        <f t="shared" si="2"/>
        <v>129318970</v>
      </c>
    </row>
    <row r="153" spans="1:8">
      <c r="A153" s="85">
        <v>2003.12</v>
      </c>
      <c r="B153" s="50">
        <v>18550201</v>
      </c>
      <c r="C153" s="1365">
        <v>63708358</v>
      </c>
      <c r="D153" s="73">
        <v>4267741</v>
      </c>
      <c r="E153" s="1365">
        <v>14656642</v>
      </c>
      <c r="F153" s="73">
        <v>5675819</v>
      </c>
      <c r="G153" s="1365">
        <v>306888</v>
      </c>
      <c r="H153" s="526">
        <f t="shared" si="2"/>
        <v>107165649</v>
      </c>
    </row>
    <row r="154" spans="1:8">
      <c r="A154" s="85">
        <v>2004.01</v>
      </c>
      <c r="B154" s="50">
        <v>11286033</v>
      </c>
      <c r="C154" s="1365">
        <v>69358249</v>
      </c>
      <c r="D154" s="73">
        <v>6148338</v>
      </c>
      <c r="E154" s="1365">
        <v>12204805</v>
      </c>
      <c r="F154" s="73">
        <v>2963901</v>
      </c>
      <c r="G154" s="1365">
        <v>260200</v>
      </c>
      <c r="H154" s="526">
        <f t="shared" si="2"/>
        <v>102221526</v>
      </c>
    </row>
    <row r="155" spans="1:8">
      <c r="A155" s="85">
        <v>2004.02</v>
      </c>
      <c r="B155" s="50">
        <v>24456890</v>
      </c>
      <c r="C155" s="1365">
        <v>62726369</v>
      </c>
      <c r="D155" s="73">
        <v>4982134</v>
      </c>
      <c r="E155" s="1365">
        <v>12950475</v>
      </c>
      <c r="F155" s="73">
        <v>3149843</v>
      </c>
      <c r="G155" s="1365">
        <v>308286</v>
      </c>
      <c r="H155" s="526">
        <f t="shared" si="2"/>
        <v>108573997</v>
      </c>
    </row>
    <row r="156" spans="1:8">
      <c r="A156" s="85">
        <v>2004.03</v>
      </c>
      <c r="B156" s="50">
        <v>34300383</v>
      </c>
      <c r="C156" s="1365">
        <v>75477754</v>
      </c>
      <c r="D156" s="73">
        <v>4956242</v>
      </c>
      <c r="E156" s="1365">
        <v>13304793</v>
      </c>
      <c r="F156" s="73">
        <v>6667780</v>
      </c>
      <c r="G156" s="1365">
        <v>341344</v>
      </c>
      <c r="H156" s="526">
        <f t="shared" si="2"/>
        <v>135048296</v>
      </c>
    </row>
    <row r="157" spans="1:8">
      <c r="A157" s="85">
        <v>2004.04</v>
      </c>
      <c r="B157" s="50">
        <v>14581391</v>
      </c>
      <c r="C157" s="1365">
        <v>69316513</v>
      </c>
      <c r="D157" s="73">
        <v>4862854</v>
      </c>
      <c r="E157" s="1365">
        <v>13356709</v>
      </c>
      <c r="F157" s="73">
        <v>17841335</v>
      </c>
      <c r="G157" s="1365">
        <v>341026</v>
      </c>
      <c r="H157" s="526">
        <f t="shared" si="2"/>
        <v>120299828</v>
      </c>
    </row>
    <row r="158" spans="1:8">
      <c r="A158" s="85">
        <v>2004.05</v>
      </c>
      <c r="B158" s="50">
        <v>25620673</v>
      </c>
      <c r="C158" s="1365">
        <v>74529893</v>
      </c>
      <c r="D158" s="73">
        <v>4858985</v>
      </c>
      <c r="E158" s="1365">
        <v>13404787</v>
      </c>
      <c r="F158" s="73">
        <v>5411711</v>
      </c>
      <c r="G158" s="1365">
        <v>360060</v>
      </c>
      <c r="H158" s="526">
        <f t="shared" si="2"/>
        <v>124186109</v>
      </c>
    </row>
    <row r="159" spans="1:8">
      <c r="A159" s="85">
        <v>2004.06</v>
      </c>
      <c r="B159" s="50">
        <v>16814810</v>
      </c>
      <c r="C159" s="1365">
        <v>74229244</v>
      </c>
      <c r="D159" s="73">
        <v>4982653</v>
      </c>
      <c r="E159" s="1365">
        <v>13717074</v>
      </c>
      <c r="F159" s="73">
        <v>13960531</v>
      </c>
      <c r="G159" s="1365">
        <v>369350</v>
      </c>
      <c r="H159" s="526">
        <f t="shared" si="2"/>
        <v>124073662</v>
      </c>
    </row>
    <row r="160" spans="1:8">
      <c r="A160" s="85">
        <v>2004.07</v>
      </c>
      <c r="B160" s="50">
        <v>11421255</v>
      </c>
      <c r="C160" s="1365">
        <v>75831887</v>
      </c>
      <c r="D160" s="73">
        <v>7109242</v>
      </c>
      <c r="E160" s="1365">
        <v>15837332</v>
      </c>
      <c r="F160" s="73">
        <v>4284170</v>
      </c>
      <c r="G160" s="1365">
        <v>351617</v>
      </c>
      <c r="H160" s="526">
        <f t="shared" si="2"/>
        <v>114835503</v>
      </c>
    </row>
    <row r="161" spans="1:8">
      <c r="A161" s="85">
        <v>2004.08</v>
      </c>
      <c r="B161" s="50">
        <v>41898365</v>
      </c>
      <c r="C161" s="1365">
        <v>74760534</v>
      </c>
      <c r="D161" s="73">
        <v>5079596</v>
      </c>
      <c r="E161" s="1365">
        <v>15901131</v>
      </c>
      <c r="F161" s="73">
        <v>3777721</v>
      </c>
      <c r="G161" s="1365">
        <v>393253</v>
      </c>
      <c r="H161" s="526">
        <f t="shared" si="2"/>
        <v>141810600</v>
      </c>
    </row>
    <row r="162" spans="1:8">
      <c r="A162" s="85">
        <v>2004.09</v>
      </c>
      <c r="B162" s="50">
        <v>11574543</v>
      </c>
      <c r="C162" s="1365">
        <v>75398222</v>
      </c>
      <c r="D162" s="73">
        <v>5058265</v>
      </c>
      <c r="E162" s="1365">
        <v>16858369</v>
      </c>
      <c r="F162" s="73">
        <v>15676975</v>
      </c>
      <c r="G162" s="1365">
        <v>382833</v>
      </c>
      <c r="H162" s="526">
        <f t="shared" si="2"/>
        <v>124949207</v>
      </c>
    </row>
    <row r="163" spans="1:8">
      <c r="A163" s="85">
        <v>2004.1</v>
      </c>
      <c r="B163" s="50">
        <v>38514093</v>
      </c>
      <c r="C163" s="1365">
        <v>73130268</v>
      </c>
      <c r="D163" s="73">
        <v>6018772</v>
      </c>
      <c r="E163" s="1365">
        <v>15854486</v>
      </c>
      <c r="F163" s="73">
        <v>4823658</v>
      </c>
      <c r="G163" s="1365">
        <v>377380</v>
      </c>
      <c r="H163" s="526">
        <f t="shared" si="2"/>
        <v>138718657</v>
      </c>
    </row>
    <row r="164" spans="1:8">
      <c r="A164" s="85">
        <v>2004.11</v>
      </c>
      <c r="B164" s="50">
        <v>11141580</v>
      </c>
      <c r="C164" s="1365">
        <v>75516596</v>
      </c>
      <c r="D164" s="73">
        <v>5995015</v>
      </c>
      <c r="E164" s="1365">
        <v>17558055</v>
      </c>
      <c r="F164" s="73">
        <v>14143889</v>
      </c>
      <c r="G164" s="1365">
        <v>403353</v>
      </c>
      <c r="H164" s="526">
        <f t="shared" si="2"/>
        <v>124758488</v>
      </c>
    </row>
    <row r="165" spans="1:8">
      <c r="A165" s="85">
        <v>2004.12</v>
      </c>
      <c r="B165" s="50">
        <v>8637522</v>
      </c>
      <c r="C165" s="1365">
        <v>79451252</v>
      </c>
      <c r="D165" s="73">
        <v>6011610</v>
      </c>
      <c r="E165" s="1365">
        <v>20641328</v>
      </c>
      <c r="F165" s="73">
        <v>12167354</v>
      </c>
      <c r="G165" s="1365">
        <v>424738</v>
      </c>
      <c r="H165" s="526">
        <f t="shared" si="2"/>
        <v>127333804</v>
      </c>
    </row>
    <row r="166" spans="1:8">
      <c r="A166" s="85">
        <v>2005.01</v>
      </c>
      <c r="B166" s="50">
        <v>9543203</v>
      </c>
      <c r="C166" s="1365">
        <v>89559899</v>
      </c>
      <c r="D166" s="73">
        <v>9174184</v>
      </c>
      <c r="E166" s="1365">
        <v>21401753</v>
      </c>
      <c r="F166" s="73">
        <v>7293555</v>
      </c>
      <c r="G166" s="1365">
        <v>319308</v>
      </c>
      <c r="H166" s="526">
        <f t="shared" si="2"/>
        <v>137291902</v>
      </c>
    </row>
    <row r="167" spans="1:8">
      <c r="A167" s="85">
        <v>2005.02</v>
      </c>
      <c r="B167" s="50">
        <v>32416538</v>
      </c>
      <c r="C167" s="1365">
        <v>74004305</v>
      </c>
      <c r="D167" s="73">
        <v>5894856</v>
      </c>
      <c r="E167" s="1365">
        <v>15480765</v>
      </c>
      <c r="F167" s="73">
        <v>22153872</v>
      </c>
      <c r="G167" s="1365">
        <v>446684</v>
      </c>
      <c r="H167" s="526">
        <f t="shared" si="2"/>
        <v>150397020</v>
      </c>
    </row>
    <row r="168" spans="1:8">
      <c r="A168" s="85">
        <v>2005.03</v>
      </c>
      <c r="B168" s="50">
        <v>16590933</v>
      </c>
      <c r="C168" s="1365">
        <v>74325957</v>
      </c>
      <c r="D168" s="73">
        <v>5480899</v>
      </c>
      <c r="E168" s="1365">
        <v>15838399</v>
      </c>
      <c r="F168" s="73">
        <v>7436445</v>
      </c>
      <c r="G168" s="1365">
        <v>371104</v>
      </c>
      <c r="H168" s="526">
        <f t="shared" si="2"/>
        <v>120043737</v>
      </c>
    </row>
    <row r="169" spans="1:8">
      <c r="A169" s="85">
        <v>2005.04</v>
      </c>
      <c r="B169" s="50">
        <v>9974223</v>
      </c>
      <c r="C169" s="1365">
        <v>83664240</v>
      </c>
      <c r="D169" s="73">
        <v>5874247</v>
      </c>
      <c r="E169" s="1365">
        <v>19131819</v>
      </c>
      <c r="F169" s="73">
        <v>23386954</v>
      </c>
      <c r="G169" s="1365">
        <v>414964</v>
      </c>
      <c r="H169" s="526">
        <f t="shared" si="2"/>
        <v>142446447</v>
      </c>
    </row>
    <row r="170" spans="1:8">
      <c r="A170" s="85">
        <v>2005.05</v>
      </c>
      <c r="B170" s="50">
        <v>31169204</v>
      </c>
      <c r="C170" s="1365">
        <v>86322842</v>
      </c>
      <c r="D170" s="73">
        <v>5761931</v>
      </c>
      <c r="E170" s="1365">
        <v>16525856</v>
      </c>
      <c r="F170" s="73">
        <v>8173043</v>
      </c>
      <c r="G170" s="1365">
        <v>383692</v>
      </c>
      <c r="H170" s="526">
        <f t="shared" si="2"/>
        <v>148336568</v>
      </c>
    </row>
    <row r="171" spans="1:8">
      <c r="A171" s="85">
        <v>2005.06</v>
      </c>
      <c r="B171" s="50">
        <v>19104832</v>
      </c>
      <c r="C171" s="1365">
        <v>91245630</v>
      </c>
      <c r="D171" s="73">
        <v>5790883</v>
      </c>
      <c r="E171" s="1365">
        <v>19290820</v>
      </c>
      <c r="F171" s="73">
        <v>20294118</v>
      </c>
      <c r="G171" s="1365">
        <v>401925</v>
      </c>
      <c r="H171" s="526">
        <f t="shared" si="2"/>
        <v>156128208</v>
      </c>
    </row>
    <row r="172" spans="1:8">
      <c r="A172" s="85">
        <v>2005.07</v>
      </c>
      <c r="B172" s="50">
        <v>32090228</v>
      </c>
      <c r="C172" s="1365">
        <v>86933772</v>
      </c>
      <c r="D172" s="73">
        <v>8230553</v>
      </c>
      <c r="E172" s="1365">
        <v>17957044</v>
      </c>
      <c r="F172" s="73">
        <v>7083304</v>
      </c>
      <c r="G172" s="1365">
        <v>380459</v>
      </c>
      <c r="H172" s="526">
        <f t="shared" si="2"/>
        <v>152675360</v>
      </c>
    </row>
    <row r="173" spans="1:8">
      <c r="A173" s="85">
        <v>2005.08</v>
      </c>
      <c r="B173" s="50">
        <v>18280325</v>
      </c>
      <c r="C173" s="1365">
        <v>88148121</v>
      </c>
      <c r="D173" s="73">
        <v>6480676</v>
      </c>
      <c r="E173" s="1365">
        <v>18935556</v>
      </c>
      <c r="F173" s="73">
        <v>6636822</v>
      </c>
      <c r="G173" s="1365">
        <v>427354</v>
      </c>
      <c r="H173" s="526">
        <f t="shared" si="2"/>
        <v>138908854</v>
      </c>
    </row>
    <row r="174" spans="1:8">
      <c r="A174" s="85">
        <v>2005.09</v>
      </c>
      <c r="B174" s="50">
        <v>9335888</v>
      </c>
      <c r="C174" s="1365">
        <v>92361079</v>
      </c>
      <c r="D174" s="73">
        <v>6351214</v>
      </c>
      <c r="E174" s="1365">
        <v>19514652</v>
      </c>
      <c r="F174" s="73">
        <v>18597340</v>
      </c>
      <c r="G174" s="1365">
        <v>408214</v>
      </c>
      <c r="H174" s="526">
        <f t="shared" si="2"/>
        <v>146568387</v>
      </c>
    </row>
    <row r="175" spans="1:8">
      <c r="A175" s="85">
        <v>2005.1</v>
      </c>
      <c r="B175" s="50">
        <v>29007396</v>
      </c>
      <c r="C175" s="1365">
        <v>91416542</v>
      </c>
      <c r="D175" s="73">
        <v>6626223</v>
      </c>
      <c r="E175" s="1365">
        <v>19441519</v>
      </c>
      <c r="F175" s="73">
        <v>5693372</v>
      </c>
      <c r="G175" s="1365">
        <v>437876</v>
      </c>
      <c r="H175" s="526">
        <f t="shared" si="2"/>
        <v>152622928</v>
      </c>
    </row>
    <row r="176" spans="1:8">
      <c r="A176" s="85">
        <v>2005.11</v>
      </c>
      <c r="B176" s="50">
        <v>15625823</v>
      </c>
      <c r="C176" s="1365">
        <v>96489354</v>
      </c>
      <c r="D176" s="73">
        <v>6691643</v>
      </c>
      <c r="E176" s="1365">
        <v>19613044</v>
      </c>
      <c r="F176" s="73">
        <v>18971551</v>
      </c>
      <c r="G176" s="1365">
        <v>461810</v>
      </c>
      <c r="H176" s="526">
        <f t="shared" si="2"/>
        <v>157853225</v>
      </c>
    </row>
    <row r="177" spans="1:8">
      <c r="A177" s="85">
        <v>2005.12</v>
      </c>
      <c r="B177" s="50">
        <v>8252271</v>
      </c>
      <c r="C177" s="1365">
        <v>95855207</v>
      </c>
      <c r="D177" s="73">
        <v>6912705</v>
      </c>
      <c r="E177" s="1365">
        <v>20546592</v>
      </c>
      <c r="F177" s="73">
        <v>6178504</v>
      </c>
      <c r="G177" s="1365">
        <v>447415</v>
      </c>
      <c r="H177" s="526">
        <f t="shared" si="2"/>
        <v>138192694</v>
      </c>
    </row>
    <row r="178" spans="1:8">
      <c r="A178" s="85">
        <v>2006.01</v>
      </c>
      <c r="B178" s="50">
        <v>5591294</v>
      </c>
      <c r="C178" s="1365">
        <v>103282137</v>
      </c>
      <c r="D178" s="73">
        <v>9610206</v>
      </c>
      <c r="E178" s="1365">
        <v>20921471</v>
      </c>
      <c r="F178" s="73">
        <v>7641730</v>
      </c>
      <c r="G178" s="1365">
        <v>357412</v>
      </c>
      <c r="H178" s="526">
        <f t="shared" si="2"/>
        <v>147404250</v>
      </c>
    </row>
    <row r="179" spans="1:8">
      <c r="A179" s="85">
        <v>2006.02</v>
      </c>
      <c r="B179" s="50">
        <v>35010088</v>
      </c>
      <c r="C179" s="1365">
        <v>91460656</v>
      </c>
      <c r="D179" s="73">
        <v>6319668</v>
      </c>
      <c r="E179" s="1365">
        <v>23250609</v>
      </c>
      <c r="F179" s="73">
        <v>31104518</v>
      </c>
      <c r="G179" s="1365">
        <v>399361</v>
      </c>
      <c r="H179" s="526">
        <f t="shared" si="2"/>
        <v>187544900</v>
      </c>
    </row>
    <row r="180" spans="1:8">
      <c r="A180" s="85">
        <v>2006.03</v>
      </c>
      <c r="B180" s="50">
        <v>19623955</v>
      </c>
      <c r="C180" s="1365">
        <v>90508588</v>
      </c>
      <c r="D180" s="73">
        <v>5846170</v>
      </c>
      <c r="E180" s="1365">
        <v>19532920</v>
      </c>
      <c r="F180" s="73">
        <v>10628329</v>
      </c>
      <c r="G180" s="1365">
        <v>411602</v>
      </c>
      <c r="H180" s="526">
        <f t="shared" si="2"/>
        <v>146551564</v>
      </c>
    </row>
    <row r="181" spans="1:8">
      <c r="A181" s="85">
        <v>2006.04</v>
      </c>
      <c r="B181" s="50">
        <v>10193282</v>
      </c>
      <c r="C181" s="1365">
        <v>97508446</v>
      </c>
      <c r="D181" s="73">
        <v>5632441</v>
      </c>
      <c r="E181" s="1365">
        <v>18731773</v>
      </c>
      <c r="F181" s="73">
        <v>27610877</v>
      </c>
      <c r="G181" s="1365">
        <v>427218</v>
      </c>
      <c r="H181" s="526">
        <f t="shared" si="2"/>
        <v>160104037</v>
      </c>
    </row>
    <row r="182" spans="1:8">
      <c r="A182" s="85">
        <v>2006.05</v>
      </c>
      <c r="B182" s="50">
        <v>31352277</v>
      </c>
      <c r="C182" s="1365">
        <v>104859642</v>
      </c>
      <c r="D182" s="73">
        <v>5854810</v>
      </c>
      <c r="E182" s="1365">
        <v>20938606</v>
      </c>
      <c r="F182" s="73">
        <v>10494942</v>
      </c>
      <c r="G182" s="1365">
        <v>429988</v>
      </c>
      <c r="H182" s="526">
        <f t="shared" si="2"/>
        <v>173930265</v>
      </c>
    </row>
    <row r="183" spans="1:8">
      <c r="A183" s="85">
        <v>2006.06</v>
      </c>
      <c r="B183" s="50">
        <v>20153447</v>
      </c>
      <c r="C183" s="1365">
        <v>108237524</v>
      </c>
      <c r="D183" s="73">
        <v>5704010</v>
      </c>
      <c r="E183" s="1365">
        <v>23706780</v>
      </c>
      <c r="F183" s="73">
        <v>24469256</v>
      </c>
      <c r="G183" s="1365">
        <v>482117</v>
      </c>
      <c r="H183" s="526">
        <f t="shared" si="2"/>
        <v>182753134</v>
      </c>
    </row>
    <row r="184" spans="1:8">
      <c r="A184" s="85">
        <v>2006.07</v>
      </c>
      <c r="B184" s="50">
        <v>36783702</v>
      </c>
      <c r="C184" s="1365">
        <v>104705492</v>
      </c>
      <c r="D184" s="73">
        <v>7808103</v>
      </c>
      <c r="E184" s="1365">
        <v>26570440</v>
      </c>
      <c r="F184" s="73">
        <v>8737087</v>
      </c>
      <c r="G184" s="1365">
        <v>427477</v>
      </c>
      <c r="H184" s="526">
        <f t="shared" si="2"/>
        <v>185032301</v>
      </c>
    </row>
    <row r="185" spans="1:8">
      <c r="A185" s="85">
        <v>2006.08</v>
      </c>
      <c r="B185" s="50">
        <v>20115586</v>
      </c>
      <c r="C185" s="1365">
        <v>108539430</v>
      </c>
      <c r="D185" s="73">
        <v>5703582</v>
      </c>
      <c r="E185" s="1365">
        <v>25085972</v>
      </c>
      <c r="F185" s="73">
        <v>7995942</v>
      </c>
      <c r="G185" s="1365">
        <v>505776</v>
      </c>
      <c r="H185" s="526">
        <f t="shared" si="2"/>
        <v>167946288</v>
      </c>
    </row>
    <row r="186" spans="1:8">
      <c r="A186" s="85">
        <v>2006.09</v>
      </c>
      <c r="B186" s="50">
        <v>11589793</v>
      </c>
      <c r="C186" s="1365">
        <v>113375345</v>
      </c>
      <c r="D186" s="73">
        <v>5684615</v>
      </c>
      <c r="E186" s="1365">
        <v>24090776</v>
      </c>
      <c r="F186" s="73">
        <v>23050611</v>
      </c>
      <c r="G186" s="1365">
        <v>535878</v>
      </c>
      <c r="H186" s="526">
        <f t="shared" si="2"/>
        <v>178327018</v>
      </c>
    </row>
    <row r="187" spans="1:8">
      <c r="A187" s="85">
        <v>2006.1</v>
      </c>
      <c r="B187" s="50">
        <v>29475367</v>
      </c>
      <c r="C187" s="1365">
        <v>113786578</v>
      </c>
      <c r="D187" s="73">
        <v>5970549</v>
      </c>
      <c r="E187" s="1365">
        <v>23478071</v>
      </c>
      <c r="F187" s="73">
        <v>7697321</v>
      </c>
      <c r="G187" s="1365">
        <v>481042</v>
      </c>
      <c r="H187" s="526">
        <f t="shared" si="2"/>
        <v>180888928</v>
      </c>
    </row>
    <row r="188" spans="1:8">
      <c r="A188" s="85">
        <v>2006.11</v>
      </c>
      <c r="B188" s="50">
        <v>16445940</v>
      </c>
      <c r="C188" s="1365">
        <v>118207003</v>
      </c>
      <c r="D188" s="73">
        <v>5965378</v>
      </c>
      <c r="E188" s="1365">
        <v>24456797</v>
      </c>
      <c r="F188" s="73">
        <v>20984363</v>
      </c>
      <c r="G188" s="1365">
        <v>529340</v>
      </c>
      <c r="H188" s="526">
        <f t="shared" si="2"/>
        <v>186588821</v>
      </c>
    </row>
    <row r="189" spans="1:8">
      <c r="A189" s="85">
        <v>2006.12</v>
      </c>
      <c r="B189" s="50">
        <v>9105705</v>
      </c>
      <c r="C189" s="1365">
        <v>115836481</v>
      </c>
      <c r="D189" s="73">
        <v>6415657</v>
      </c>
      <c r="E189" s="1365">
        <v>23934285</v>
      </c>
      <c r="F189" s="73">
        <v>6882844</v>
      </c>
      <c r="G189" s="1365">
        <v>488941</v>
      </c>
      <c r="H189" s="526">
        <f t="shared" si="2"/>
        <v>162663913</v>
      </c>
    </row>
    <row r="190" spans="1:8">
      <c r="A190" s="85">
        <v>2007.01</v>
      </c>
      <c r="B190" s="50">
        <v>10335415</v>
      </c>
      <c r="C190" s="1365">
        <v>123602705</v>
      </c>
      <c r="D190" s="73">
        <v>8458627</v>
      </c>
      <c r="E190" s="1365">
        <v>27216332</v>
      </c>
      <c r="F190" s="73">
        <v>8928320</v>
      </c>
      <c r="G190" s="1365">
        <v>436162</v>
      </c>
      <c r="H190" s="526">
        <f t="shared" si="2"/>
        <v>178977561</v>
      </c>
    </row>
    <row r="191" spans="1:8">
      <c r="A191" s="85">
        <v>2007.02</v>
      </c>
      <c r="B191" s="50">
        <v>35023534</v>
      </c>
      <c r="C191" s="1365">
        <v>117256154</v>
      </c>
      <c r="D191" s="73">
        <v>6339062</v>
      </c>
      <c r="E191" s="1365">
        <v>25039186</v>
      </c>
      <c r="F191" s="73">
        <v>35310588</v>
      </c>
      <c r="G191" s="1365">
        <v>443375</v>
      </c>
      <c r="H191" s="526">
        <f t="shared" si="2"/>
        <v>219411899</v>
      </c>
    </row>
    <row r="192" spans="1:8">
      <c r="A192" s="85">
        <v>2007.03</v>
      </c>
      <c r="B192" s="50">
        <v>17331246</v>
      </c>
      <c r="C192" s="1365">
        <v>113159346</v>
      </c>
      <c r="D192" s="73">
        <v>5633093</v>
      </c>
      <c r="E192" s="1365">
        <v>26670043</v>
      </c>
      <c r="F192" s="73">
        <v>13947321</v>
      </c>
      <c r="G192" s="1365">
        <v>398902</v>
      </c>
      <c r="H192" s="526">
        <f t="shared" si="2"/>
        <v>177139951</v>
      </c>
    </row>
    <row r="193" spans="1:8">
      <c r="A193" s="85">
        <v>2007.04</v>
      </c>
      <c r="B193" s="50">
        <v>8315870</v>
      </c>
      <c r="C193" s="1365">
        <v>120419718</v>
      </c>
      <c r="D193" s="73">
        <v>4456126</v>
      </c>
      <c r="E193" s="1365">
        <v>26456727</v>
      </c>
      <c r="F193" s="73">
        <v>32401708</v>
      </c>
      <c r="G193" s="1365">
        <v>400268</v>
      </c>
      <c r="H193" s="526">
        <f t="shared" si="2"/>
        <v>192450417</v>
      </c>
    </row>
    <row r="194" spans="1:8">
      <c r="A194" s="85">
        <v>2007.05</v>
      </c>
      <c r="B194" s="50">
        <v>28815345</v>
      </c>
      <c r="C194" s="1365">
        <v>128389031</v>
      </c>
      <c r="D194" s="73">
        <v>4314816</v>
      </c>
      <c r="E194" s="1365">
        <v>28438279</v>
      </c>
      <c r="F194" s="73">
        <v>12469890</v>
      </c>
      <c r="G194" s="1365">
        <v>448316</v>
      </c>
      <c r="H194" s="526">
        <f t="shared" si="2"/>
        <v>202875677</v>
      </c>
    </row>
    <row r="195" spans="1:8">
      <c r="A195" s="85">
        <v>2007.06</v>
      </c>
      <c r="B195" s="50">
        <v>23870002</v>
      </c>
      <c r="C195" s="1365">
        <v>139831894</v>
      </c>
      <c r="D195" s="73">
        <v>3991211</v>
      </c>
      <c r="E195" s="1365">
        <v>31069875</v>
      </c>
      <c r="F195" s="73">
        <v>29072307</v>
      </c>
      <c r="G195" s="1365">
        <v>467656</v>
      </c>
      <c r="H195" s="526">
        <f t="shared" si="2"/>
        <v>228302945</v>
      </c>
    </row>
    <row r="196" spans="1:8">
      <c r="A196" s="85">
        <v>2007.07</v>
      </c>
      <c r="B196" s="50">
        <v>36556968</v>
      </c>
      <c r="C196" s="1365">
        <v>141581266</v>
      </c>
      <c r="D196" s="73">
        <v>5388541</v>
      </c>
      <c r="E196" s="1365">
        <v>28763004</v>
      </c>
      <c r="F196" s="73">
        <v>11717596</v>
      </c>
      <c r="G196" s="1365">
        <v>423441</v>
      </c>
      <c r="H196" s="526">
        <f t="shared" si="2"/>
        <v>224430816</v>
      </c>
    </row>
    <row r="197" spans="1:8">
      <c r="A197" s="85">
        <v>2007.08</v>
      </c>
      <c r="B197" s="50">
        <v>19074231</v>
      </c>
      <c r="C197" s="1365">
        <v>150946901</v>
      </c>
      <c r="D197" s="73">
        <v>3983932</v>
      </c>
      <c r="E197" s="1365">
        <v>34586145</v>
      </c>
      <c r="F197" s="73">
        <v>10634184</v>
      </c>
      <c r="G197" s="1365">
        <v>486839</v>
      </c>
      <c r="H197" s="526">
        <f t="shared" si="2"/>
        <v>219712232</v>
      </c>
    </row>
    <row r="198" spans="1:8">
      <c r="A198" s="85">
        <v>2007.09</v>
      </c>
      <c r="B198" s="50">
        <v>9955748</v>
      </c>
      <c r="C198" s="1365">
        <v>149359581</v>
      </c>
      <c r="D198" s="73">
        <v>4076253</v>
      </c>
      <c r="E198" s="1365">
        <v>33445862</v>
      </c>
      <c r="F198" s="73">
        <v>27897056</v>
      </c>
      <c r="G198" s="1365">
        <v>486966</v>
      </c>
      <c r="H198" s="526">
        <f t="shared" si="2"/>
        <v>225221466</v>
      </c>
    </row>
    <row r="199" spans="1:8">
      <c r="A199" s="85">
        <v>2007.1</v>
      </c>
      <c r="B199" s="50">
        <v>30169253</v>
      </c>
      <c r="C199" s="1365">
        <v>152444384</v>
      </c>
      <c r="D199" s="73">
        <v>4187362</v>
      </c>
      <c r="E199" s="1365">
        <v>35165101</v>
      </c>
      <c r="F199" s="73">
        <v>10735348</v>
      </c>
      <c r="G199" s="1365">
        <v>508147</v>
      </c>
      <c r="H199" s="526">
        <f t="shared" si="2"/>
        <v>233209595</v>
      </c>
    </row>
    <row r="200" spans="1:8">
      <c r="A200" s="85">
        <v>2007.11</v>
      </c>
      <c r="B200" s="50">
        <v>16401152</v>
      </c>
      <c r="C200" s="1365">
        <v>166821082</v>
      </c>
      <c r="D200" s="73">
        <v>4929435</v>
      </c>
      <c r="E200" s="1365">
        <v>32484264</v>
      </c>
      <c r="F200" s="73">
        <v>26029174</v>
      </c>
      <c r="G200" s="1365">
        <v>531013</v>
      </c>
      <c r="H200" s="526">
        <f t="shared" si="2"/>
        <v>247196120</v>
      </c>
    </row>
    <row r="201" spans="1:8">
      <c r="A201" s="85">
        <v>2007.12</v>
      </c>
      <c r="B201" s="50">
        <v>8345298</v>
      </c>
      <c r="C201" s="1365">
        <v>164681986</v>
      </c>
      <c r="D201" s="73">
        <v>4478013</v>
      </c>
      <c r="E201" s="1365">
        <v>34372020</v>
      </c>
      <c r="F201" s="73">
        <v>8607822</v>
      </c>
      <c r="G201" s="1365">
        <v>575581</v>
      </c>
      <c r="H201" s="526">
        <f t="shared" si="2"/>
        <v>221060720</v>
      </c>
    </row>
    <row r="202" spans="1:8">
      <c r="A202" s="85">
        <f t="shared" ref="A202:A261" si="3">A190+1</f>
        <v>2008.01</v>
      </c>
      <c r="B202" s="50">
        <v>11651366</v>
      </c>
      <c r="C202" s="1365">
        <v>170731455</v>
      </c>
      <c r="D202" s="73">
        <v>6127287</v>
      </c>
      <c r="E202" s="1365">
        <v>38722169</v>
      </c>
      <c r="F202" s="73">
        <v>10944602</v>
      </c>
      <c r="G202" s="1365">
        <v>454845</v>
      </c>
      <c r="H202" s="526">
        <f t="shared" si="2"/>
        <v>238631724</v>
      </c>
    </row>
    <row r="203" spans="1:8">
      <c r="A203" s="85">
        <f t="shared" si="3"/>
        <v>2008.02</v>
      </c>
      <c r="B203" s="50">
        <v>37645068</v>
      </c>
      <c r="C203" s="1365">
        <v>165783276</v>
      </c>
      <c r="D203" s="73">
        <v>1194525</v>
      </c>
      <c r="E203" s="1365">
        <v>31653922</v>
      </c>
      <c r="F203" s="73">
        <v>47670367</v>
      </c>
      <c r="G203" s="1365">
        <v>529956</v>
      </c>
      <c r="H203" s="526">
        <f>SUM(B203:G203)</f>
        <v>284477114</v>
      </c>
    </row>
    <row r="204" spans="1:8">
      <c r="A204" s="85">
        <f t="shared" si="3"/>
        <v>2008.03</v>
      </c>
      <c r="B204" s="50">
        <v>17456465</v>
      </c>
      <c r="C204" s="1365">
        <v>157552437</v>
      </c>
      <c r="D204" s="73">
        <v>835157</v>
      </c>
      <c r="E204" s="1365">
        <v>31361284</v>
      </c>
      <c r="F204" s="73">
        <v>17264114</v>
      </c>
      <c r="G204" s="1365">
        <v>556727</v>
      </c>
      <c r="H204" s="526">
        <f t="shared" si="2"/>
        <v>225026184</v>
      </c>
    </row>
    <row r="205" spans="1:8">
      <c r="A205" s="85">
        <f t="shared" si="3"/>
        <v>2008.04</v>
      </c>
      <c r="B205" s="50">
        <v>9981309</v>
      </c>
      <c r="C205" s="1365">
        <v>166346650</v>
      </c>
      <c r="D205" s="73">
        <v>996986</v>
      </c>
      <c r="E205" s="1365">
        <v>34463297</v>
      </c>
      <c r="F205" s="73">
        <v>44263145</v>
      </c>
      <c r="G205" s="1365">
        <v>533246</v>
      </c>
      <c r="H205" s="526">
        <f t="shared" si="2"/>
        <v>256584633</v>
      </c>
    </row>
    <row r="206" spans="1:8">
      <c r="A206" s="85">
        <f t="shared" si="3"/>
        <v>2008.05</v>
      </c>
      <c r="B206" s="50">
        <v>29554208</v>
      </c>
      <c r="C206" s="1365">
        <v>188510758</v>
      </c>
      <c r="D206" s="73">
        <v>736889</v>
      </c>
      <c r="E206" s="1365">
        <v>40848336</v>
      </c>
      <c r="F206" s="73">
        <v>16705970</v>
      </c>
      <c r="G206" s="1365">
        <v>567474</v>
      </c>
      <c r="H206" s="526">
        <f t="shared" si="2"/>
        <v>276923635</v>
      </c>
    </row>
    <row r="207" spans="1:8">
      <c r="A207" s="85">
        <f t="shared" si="3"/>
        <v>2008.06</v>
      </c>
      <c r="B207" s="50">
        <v>20801134</v>
      </c>
      <c r="C207" s="1365">
        <v>194716524</v>
      </c>
      <c r="D207" s="73">
        <v>621306</v>
      </c>
      <c r="E207" s="1365">
        <v>35750949</v>
      </c>
      <c r="F207" s="73">
        <v>35850969</v>
      </c>
      <c r="G207" s="1365">
        <v>606204</v>
      </c>
      <c r="H207" s="526">
        <f t="shared" si="2"/>
        <v>288347086</v>
      </c>
    </row>
    <row r="208" spans="1:8">
      <c r="A208" s="85">
        <f t="shared" si="3"/>
        <v>2008.07</v>
      </c>
      <c r="B208" s="50">
        <v>37816825</v>
      </c>
      <c r="C208" s="1365">
        <v>209640131</v>
      </c>
      <c r="D208" s="73">
        <v>686772</v>
      </c>
      <c r="E208" s="1365">
        <v>37651176</v>
      </c>
      <c r="F208" s="73">
        <v>15648446</v>
      </c>
      <c r="G208" s="1365">
        <v>704746</v>
      </c>
      <c r="H208" s="526">
        <f t="shared" ref="H208:H271" si="4">SUM(B208:G208)</f>
        <v>302148096</v>
      </c>
    </row>
    <row r="209" spans="1:8">
      <c r="A209" s="85">
        <f t="shared" si="3"/>
        <v>2008.08</v>
      </c>
      <c r="B209" s="50">
        <v>18987446</v>
      </c>
      <c r="C209" s="1365">
        <v>221090957.38999999</v>
      </c>
      <c r="D209" s="73">
        <v>786022.34</v>
      </c>
      <c r="E209" s="1365">
        <v>36907712.280000001</v>
      </c>
      <c r="F209" s="73">
        <v>12025986</v>
      </c>
      <c r="G209" s="1365">
        <v>506433.99</v>
      </c>
      <c r="H209" s="526">
        <f t="shared" si="4"/>
        <v>290304558</v>
      </c>
    </row>
    <row r="210" spans="1:8">
      <c r="A210" s="85">
        <f t="shared" si="3"/>
        <v>2008.09</v>
      </c>
      <c r="B210" s="50">
        <v>21249389</v>
      </c>
      <c r="C210" s="1365">
        <v>193105269</v>
      </c>
      <c r="D210" s="73">
        <v>691162</v>
      </c>
      <c r="E210" s="1365">
        <v>39261158</v>
      </c>
      <c r="F210" s="73">
        <v>35225655</v>
      </c>
      <c r="G210" s="1365">
        <v>629639</v>
      </c>
      <c r="H210" s="526">
        <f t="shared" si="4"/>
        <v>290162272</v>
      </c>
    </row>
    <row r="211" spans="1:8">
      <c r="A211" s="85">
        <f t="shared" si="3"/>
        <v>2008.1</v>
      </c>
      <c r="B211" s="50">
        <v>31745607</v>
      </c>
      <c r="C211" s="1365">
        <v>199419804</v>
      </c>
      <c r="D211" s="73">
        <v>735651</v>
      </c>
      <c r="E211" s="1365">
        <v>38245792</v>
      </c>
      <c r="F211" s="73">
        <v>12530932</v>
      </c>
      <c r="G211" s="1365">
        <v>656341</v>
      </c>
      <c r="H211" s="526">
        <f t="shared" si="4"/>
        <v>283334127</v>
      </c>
    </row>
    <row r="212" spans="1:8">
      <c r="A212" s="85">
        <f t="shared" si="3"/>
        <v>2008.11</v>
      </c>
      <c r="B212" s="50">
        <v>19540363</v>
      </c>
      <c r="C212" s="1365">
        <v>196534647</v>
      </c>
      <c r="D212" s="73">
        <v>603122</v>
      </c>
      <c r="E212" s="1365">
        <v>34653839</v>
      </c>
      <c r="F212" s="73">
        <v>29572532</v>
      </c>
      <c r="G212" s="1365">
        <v>696405</v>
      </c>
      <c r="H212" s="526">
        <f t="shared" si="4"/>
        <v>281600908</v>
      </c>
    </row>
    <row r="213" spans="1:8">
      <c r="A213" s="85">
        <f t="shared" si="3"/>
        <v>2008.12</v>
      </c>
      <c r="B213" s="50">
        <v>10478910</v>
      </c>
      <c r="C213" s="1365">
        <v>200547900</v>
      </c>
      <c r="D213" s="73">
        <v>586490</v>
      </c>
      <c r="E213" s="1365">
        <v>34452360</v>
      </c>
      <c r="F213" s="73">
        <v>12127090</v>
      </c>
      <c r="G213" s="1365">
        <v>773840</v>
      </c>
      <c r="H213" s="526">
        <f t="shared" si="4"/>
        <v>258966590</v>
      </c>
    </row>
    <row r="214" spans="1:8">
      <c r="A214" s="85">
        <f t="shared" si="3"/>
        <v>2009.01</v>
      </c>
      <c r="B214" s="50">
        <v>13427880</v>
      </c>
      <c r="C214" s="1365">
        <v>233179150</v>
      </c>
      <c r="D214" s="73">
        <v>561120</v>
      </c>
      <c r="E214" s="1365">
        <v>35459700</v>
      </c>
      <c r="F214" s="73">
        <v>12685920</v>
      </c>
      <c r="G214" s="1365">
        <v>632140</v>
      </c>
      <c r="H214" s="526">
        <f t="shared" si="4"/>
        <v>295945910</v>
      </c>
    </row>
    <row r="215" spans="1:8">
      <c r="A215" s="85">
        <f t="shared" si="3"/>
        <v>2009.02</v>
      </c>
      <c r="B215" s="50">
        <v>36098750</v>
      </c>
      <c r="C215" s="1365">
        <v>192319860</v>
      </c>
      <c r="D215" s="73">
        <v>582950</v>
      </c>
      <c r="E215" s="1365">
        <v>32977950</v>
      </c>
      <c r="F215" s="73">
        <v>52143900</v>
      </c>
      <c r="G215" s="1365">
        <v>805320</v>
      </c>
      <c r="H215" s="526">
        <f t="shared" si="4"/>
        <v>314928730</v>
      </c>
    </row>
    <row r="216" spans="1:8">
      <c r="A216" s="85">
        <f t="shared" si="3"/>
        <v>2009.03</v>
      </c>
      <c r="B216" s="50">
        <v>17749880</v>
      </c>
      <c r="C216" s="1365">
        <v>184272140</v>
      </c>
      <c r="D216" s="73">
        <v>651090</v>
      </c>
      <c r="E216" s="1365">
        <v>30439310</v>
      </c>
      <c r="F216" s="73">
        <v>19628630</v>
      </c>
      <c r="G216" s="1365">
        <v>717610</v>
      </c>
      <c r="H216" s="526">
        <f t="shared" si="4"/>
        <v>253458660</v>
      </c>
    </row>
    <row r="217" spans="1:8">
      <c r="A217" s="85">
        <f t="shared" si="3"/>
        <v>2009.04</v>
      </c>
      <c r="B217" s="50">
        <v>8633930</v>
      </c>
      <c r="C217" s="1365">
        <v>210365370</v>
      </c>
      <c r="D217" s="73">
        <v>544760</v>
      </c>
      <c r="E217" s="1365">
        <v>32149850</v>
      </c>
      <c r="F217" s="73">
        <v>46567590</v>
      </c>
      <c r="G217" s="1365">
        <v>717710</v>
      </c>
      <c r="H217" s="526">
        <f t="shared" si="4"/>
        <v>298979210</v>
      </c>
    </row>
    <row r="218" spans="1:8">
      <c r="A218" s="85">
        <f t="shared" si="3"/>
        <v>2009.05</v>
      </c>
      <c r="B218" s="50">
        <v>28162700</v>
      </c>
      <c r="C218" s="1365">
        <v>204624940</v>
      </c>
      <c r="D218" s="73">
        <v>979470</v>
      </c>
      <c r="E218" s="1365">
        <v>32601390</v>
      </c>
      <c r="F218" s="73">
        <v>16566020</v>
      </c>
      <c r="G218" s="1365">
        <v>756510</v>
      </c>
      <c r="H218" s="526">
        <f t="shared" si="4"/>
        <v>283691030</v>
      </c>
    </row>
    <row r="219" spans="1:8">
      <c r="A219" s="85">
        <f t="shared" si="3"/>
        <v>2009.06</v>
      </c>
      <c r="B219" s="50">
        <v>16361230</v>
      </c>
      <c r="C219" s="1365">
        <v>227110700</v>
      </c>
      <c r="D219" s="73">
        <v>385650</v>
      </c>
      <c r="E219" s="1365">
        <v>35995040</v>
      </c>
      <c r="F219" s="73">
        <v>43152330</v>
      </c>
      <c r="G219" s="1365">
        <v>857660</v>
      </c>
      <c r="H219" s="526">
        <f t="shared" si="4"/>
        <v>323862610</v>
      </c>
    </row>
    <row r="220" spans="1:8">
      <c r="A220" s="85">
        <f t="shared" si="3"/>
        <v>2009.07</v>
      </c>
      <c r="B220" s="50">
        <v>41717140</v>
      </c>
      <c r="C220" s="1365">
        <v>222337930</v>
      </c>
      <c r="D220" s="73">
        <v>557350</v>
      </c>
      <c r="E220" s="1365">
        <v>36339660</v>
      </c>
      <c r="F220" s="73">
        <v>18112050</v>
      </c>
      <c r="G220" s="1365">
        <v>769800</v>
      </c>
      <c r="H220" s="526">
        <f t="shared" si="4"/>
        <v>319833930</v>
      </c>
    </row>
    <row r="221" spans="1:8">
      <c r="A221" s="85">
        <f t="shared" si="3"/>
        <v>2009.08</v>
      </c>
      <c r="B221" s="50">
        <v>28574700</v>
      </c>
      <c r="C221" s="1365">
        <v>235781920</v>
      </c>
      <c r="D221" s="73">
        <v>635160</v>
      </c>
      <c r="E221" s="1365">
        <v>39197820</v>
      </c>
      <c r="F221" s="73">
        <v>13762440</v>
      </c>
      <c r="G221" s="1365">
        <v>859460</v>
      </c>
      <c r="H221" s="526">
        <f t="shared" si="4"/>
        <v>318811500</v>
      </c>
    </row>
    <row r="222" spans="1:8">
      <c r="A222" s="85">
        <f t="shared" si="3"/>
        <v>2009.09</v>
      </c>
      <c r="B222" s="50">
        <v>12561300</v>
      </c>
      <c r="C222" s="1365">
        <v>252607310</v>
      </c>
      <c r="D222" s="73">
        <v>502160</v>
      </c>
      <c r="E222" s="1365">
        <v>40011820</v>
      </c>
      <c r="F222" s="73">
        <v>41167120</v>
      </c>
      <c r="G222" s="1365">
        <v>834750</v>
      </c>
      <c r="H222" s="526">
        <f t="shared" si="4"/>
        <v>347684460</v>
      </c>
    </row>
    <row r="223" spans="1:8">
      <c r="A223" s="85">
        <f t="shared" si="3"/>
        <v>2009.1</v>
      </c>
      <c r="B223" s="50">
        <v>28885780</v>
      </c>
      <c r="C223" s="1365">
        <v>234578350</v>
      </c>
      <c r="D223" s="73">
        <v>251170</v>
      </c>
      <c r="E223" s="1365">
        <v>39789210</v>
      </c>
      <c r="F223" s="73">
        <v>14722470</v>
      </c>
      <c r="G223" s="1365">
        <v>901260</v>
      </c>
      <c r="H223" s="526">
        <f t="shared" si="4"/>
        <v>319128240</v>
      </c>
    </row>
    <row r="224" spans="1:8">
      <c r="A224" s="85">
        <f t="shared" si="3"/>
        <v>2009.11</v>
      </c>
      <c r="B224" s="50">
        <v>16527570</v>
      </c>
      <c r="C224" s="1365">
        <v>229983960</v>
      </c>
      <c r="D224" s="73">
        <v>352620</v>
      </c>
      <c r="E224" s="1365">
        <v>40978290</v>
      </c>
      <c r="F224" s="73">
        <v>37723840</v>
      </c>
      <c r="G224" s="1365">
        <v>888940</v>
      </c>
      <c r="H224" s="526">
        <f t="shared" si="4"/>
        <v>326455220</v>
      </c>
    </row>
    <row r="225" spans="1:8">
      <c r="A225" s="85">
        <f t="shared" si="3"/>
        <v>2009.12</v>
      </c>
      <c r="B225" s="50">
        <v>10931290</v>
      </c>
      <c r="C225" s="1365">
        <v>218545500</v>
      </c>
      <c r="D225" s="73">
        <v>447630</v>
      </c>
      <c r="E225" s="1365">
        <v>42855890</v>
      </c>
      <c r="F225" s="73">
        <v>17090150</v>
      </c>
      <c r="G225" s="1365">
        <v>903110</v>
      </c>
      <c r="H225" s="526">
        <f t="shared" si="4"/>
        <v>290773570</v>
      </c>
    </row>
    <row r="226" spans="1:8">
      <c r="A226" s="85">
        <f t="shared" si="3"/>
        <v>2010.01</v>
      </c>
      <c r="B226" s="50">
        <v>9246350</v>
      </c>
      <c r="C226" s="1365">
        <v>240727110</v>
      </c>
      <c r="D226" s="73">
        <v>379000</v>
      </c>
      <c r="E226" s="1365">
        <v>43013050</v>
      </c>
      <c r="F226" s="73">
        <v>13497620</v>
      </c>
      <c r="G226" s="1365">
        <v>853990</v>
      </c>
      <c r="H226" s="526">
        <f t="shared" si="4"/>
        <v>307717120</v>
      </c>
    </row>
    <row r="227" spans="1:8">
      <c r="A227" s="85">
        <f t="shared" si="3"/>
        <v>2010.02</v>
      </c>
      <c r="B227" s="50">
        <v>77945000</v>
      </c>
      <c r="C227" s="1365">
        <v>222210730</v>
      </c>
      <c r="D227" s="73">
        <v>858640</v>
      </c>
      <c r="E227" s="1365">
        <v>38841960</v>
      </c>
      <c r="F227" s="73">
        <v>67840340</v>
      </c>
      <c r="G227" s="1365">
        <v>871370</v>
      </c>
      <c r="H227" s="526">
        <f t="shared" si="4"/>
        <v>408568040</v>
      </c>
    </row>
    <row r="228" spans="1:8">
      <c r="A228" s="85">
        <f t="shared" si="3"/>
        <v>2010.03</v>
      </c>
      <c r="B228" s="50">
        <v>38581800</v>
      </c>
      <c r="C228" s="1365">
        <v>280874920</v>
      </c>
      <c r="D228" s="73">
        <v>313030</v>
      </c>
      <c r="E228" s="1365">
        <v>40898040</v>
      </c>
      <c r="F228" s="73">
        <v>29115430</v>
      </c>
      <c r="G228" s="1365">
        <v>856170</v>
      </c>
      <c r="H228" s="526">
        <f t="shared" si="4"/>
        <v>390639390</v>
      </c>
    </row>
    <row r="229" spans="1:8">
      <c r="A229" s="85">
        <f t="shared" si="3"/>
        <v>2010.04</v>
      </c>
      <c r="B229" s="50">
        <v>39842799</v>
      </c>
      <c r="C229" s="1365">
        <v>310544881</v>
      </c>
      <c r="D229" s="73">
        <v>796020</v>
      </c>
      <c r="E229" s="1365">
        <v>45186955</v>
      </c>
      <c r="F229" s="73">
        <v>72333328</v>
      </c>
      <c r="G229" s="1365">
        <v>921799</v>
      </c>
      <c r="H229" s="526">
        <f t="shared" si="4"/>
        <v>469625782</v>
      </c>
    </row>
    <row r="230" spans="1:8">
      <c r="A230" s="85">
        <f t="shared" si="3"/>
        <v>2010.05</v>
      </c>
      <c r="B230" s="50">
        <v>77378525</v>
      </c>
      <c r="C230" s="1365">
        <v>315309248</v>
      </c>
      <c r="D230" s="73">
        <v>1216851</v>
      </c>
      <c r="E230" s="1365">
        <v>49784114</v>
      </c>
      <c r="F230" s="73">
        <v>29099625</v>
      </c>
      <c r="G230" s="1365">
        <v>869432</v>
      </c>
      <c r="H230" s="526">
        <f t="shared" si="4"/>
        <v>473657795</v>
      </c>
    </row>
    <row r="231" spans="1:8">
      <c r="A231" s="85">
        <f t="shared" si="3"/>
        <v>2010.06</v>
      </c>
      <c r="B231" s="50">
        <v>42265410</v>
      </c>
      <c r="C231" s="1365">
        <v>327202160</v>
      </c>
      <c r="D231" s="73">
        <v>400620</v>
      </c>
      <c r="E231" s="1365">
        <v>51707740</v>
      </c>
      <c r="F231" s="73">
        <v>62145820</v>
      </c>
      <c r="G231" s="1365">
        <v>969470</v>
      </c>
      <c r="H231" s="526">
        <f t="shared" si="4"/>
        <v>484691220</v>
      </c>
    </row>
    <row r="232" spans="1:8">
      <c r="A232" s="85">
        <f t="shared" si="3"/>
        <v>2010.07</v>
      </c>
      <c r="B232" s="50">
        <v>82095220</v>
      </c>
      <c r="C232" s="1365">
        <v>334026620</v>
      </c>
      <c r="D232" s="73">
        <v>704140</v>
      </c>
      <c r="E232" s="1365">
        <v>53320730</v>
      </c>
      <c r="F232" s="73">
        <v>25354680</v>
      </c>
      <c r="G232" s="1365">
        <v>1061030</v>
      </c>
      <c r="H232" s="526">
        <f t="shared" si="4"/>
        <v>496562420</v>
      </c>
    </row>
    <row r="233" spans="1:8">
      <c r="A233" s="85">
        <f t="shared" si="3"/>
        <v>2010.08</v>
      </c>
      <c r="B233" s="50">
        <v>47002102</v>
      </c>
      <c r="C233" s="1365">
        <v>351833100</v>
      </c>
      <c r="D233" s="73">
        <v>254133</v>
      </c>
      <c r="E233" s="1365">
        <v>55146693</v>
      </c>
      <c r="F233" s="73">
        <v>24498789</v>
      </c>
      <c r="G233" s="1365">
        <v>1043960</v>
      </c>
      <c r="H233" s="526">
        <f t="shared" si="4"/>
        <v>479778777</v>
      </c>
    </row>
    <row r="234" spans="1:8">
      <c r="A234" s="85">
        <f t="shared" si="3"/>
        <v>2010.09</v>
      </c>
      <c r="B234" s="50">
        <v>20844858</v>
      </c>
      <c r="C234" s="1365">
        <v>327967946</v>
      </c>
      <c r="D234" s="73">
        <v>281030</v>
      </c>
      <c r="E234" s="1365">
        <v>60746126</v>
      </c>
      <c r="F234" s="73">
        <v>59075005</v>
      </c>
      <c r="G234" s="1365">
        <v>1119536</v>
      </c>
      <c r="H234" s="526">
        <f t="shared" si="4"/>
        <v>470034501</v>
      </c>
    </row>
    <row r="235" spans="1:8">
      <c r="A235" s="85">
        <f t="shared" si="3"/>
        <v>2010.1</v>
      </c>
      <c r="B235" s="50">
        <v>63482858</v>
      </c>
      <c r="C235" s="1365">
        <v>331989161</v>
      </c>
      <c r="D235" s="73">
        <v>252548</v>
      </c>
      <c r="E235" s="1365">
        <v>54558216</v>
      </c>
      <c r="F235" s="73">
        <v>21204001</v>
      </c>
      <c r="G235" s="1365">
        <v>1057064</v>
      </c>
      <c r="H235" s="526">
        <f t="shared" si="4"/>
        <v>472543848</v>
      </c>
    </row>
    <row r="236" spans="1:8">
      <c r="A236" s="85">
        <f t="shared" si="3"/>
        <v>2010.11</v>
      </c>
      <c r="B236" s="50">
        <v>40743289</v>
      </c>
      <c r="C236" s="1365">
        <v>350054599</v>
      </c>
      <c r="D236" s="73">
        <v>256954</v>
      </c>
      <c r="E236" s="1365">
        <v>56636419</v>
      </c>
      <c r="F236" s="73">
        <v>57503836</v>
      </c>
      <c r="G236" s="1365">
        <v>1169635</v>
      </c>
      <c r="H236" s="526">
        <f t="shared" si="4"/>
        <v>506364732</v>
      </c>
    </row>
    <row r="237" spans="1:8">
      <c r="A237" s="85">
        <f t="shared" si="3"/>
        <v>2010.12</v>
      </c>
      <c r="B237" s="50">
        <v>18045959</v>
      </c>
      <c r="C237" s="1365">
        <v>366745240</v>
      </c>
      <c r="D237" s="73">
        <v>526743</v>
      </c>
      <c r="E237" s="1365">
        <v>61611740</v>
      </c>
      <c r="F237" s="73">
        <v>36401081</v>
      </c>
      <c r="G237" s="1365">
        <v>1160243</v>
      </c>
      <c r="H237" s="526">
        <f t="shared" si="4"/>
        <v>484491006</v>
      </c>
    </row>
    <row r="238" spans="1:8">
      <c r="A238" s="85">
        <f t="shared" si="3"/>
        <v>2011.01</v>
      </c>
      <c r="B238" s="50">
        <v>20863878</v>
      </c>
      <c r="C238" s="1365">
        <v>394506883</v>
      </c>
      <c r="D238" s="73">
        <v>378489</v>
      </c>
      <c r="E238" s="1365">
        <v>63888987</v>
      </c>
      <c r="F238" s="73">
        <v>27269539</v>
      </c>
      <c r="G238" s="1365">
        <v>1157302</v>
      </c>
      <c r="H238" s="526">
        <f t="shared" si="4"/>
        <v>508065078</v>
      </c>
    </row>
    <row r="239" spans="1:8">
      <c r="A239" s="85">
        <f t="shared" si="3"/>
        <v>2011.02</v>
      </c>
      <c r="B239" s="50">
        <v>80701120</v>
      </c>
      <c r="C239" s="1365">
        <v>335814899</v>
      </c>
      <c r="D239" s="73">
        <v>450654</v>
      </c>
      <c r="E239" s="1365">
        <v>57814961</v>
      </c>
      <c r="F239" s="73">
        <v>94312795</v>
      </c>
      <c r="G239" s="1365">
        <v>1190377</v>
      </c>
      <c r="H239" s="526">
        <f t="shared" si="4"/>
        <v>570284806</v>
      </c>
    </row>
    <row r="240" spans="1:8">
      <c r="A240" s="85">
        <f t="shared" si="3"/>
        <v>2011.03</v>
      </c>
      <c r="B240" s="50">
        <v>41784654</v>
      </c>
      <c r="C240" s="1365">
        <v>350492069</v>
      </c>
      <c r="D240" s="73">
        <v>259975</v>
      </c>
      <c r="E240" s="1365">
        <v>56387690</v>
      </c>
      <c r="F240" s="73">
        <v>38713305</v>
      </c>
      <c r="G240" s="1365">
        <v>1122717</v>
      </c>
      <c r="H240" s="526">
        <f t="shared" si="4"/>
        <v>488760410</v>
      </c>
    </row>
    <row r="241" spans="1:9">
      <c r="A241" s="85">
        <f t="shared" si="3"/>
        <v>2011.04</v>
      </c>
      <c r="B241" s="50">
        <v>16773327</v>
      </c>
      <c r="C241" s="1365">
        <v>377113084</v>
      </c>
      <c r="D241" s="73">
        <v>303468</v>
      </c>
      <c r="E241" s="1365">
        <v>62936740</v>
      </c>
      <c r="F241" s="73">
        <v>85055274</v>
      </c>
      <c r="G241" s="1365">
        <v>1241024</v>
      </c>
      <c r="H241" s="526">
        <f t="shared" si="4"/>
        <v>543422917</v>
      </c>
    </row>
    <row r="242" spans="1:9">
      <c r="A242" s="85">
        <f t="shared" si="3"/>
        <v>2011.05</v>
      </c>
      <c r="B242" s="50">
        <v>68021620</v>
      </c>
      <c r="C242" s="1365">
        <v>424145700</v>
      </c>
      <c r="D242" s="73">
        <v>256410</v>
      </c>
      <c r="E242" s="1365">
        <v>68600307</v>
      </c>
      <c r="F242" s="73">
        <v>40505466</v>
      </c>
      <c r="G242" s="1365">
        <v>1220557</v>
      </c>
      <c r="H242" s="526">
        <f t="shared" si="4"/>
        <v>602750060</v>
      </c>
    </row>
    <row r="243" spans="1:9">
      <c r="A243" s="85">
        <f t="shared" si="3"/>
        <v>2011.06</v>
      </c>
      <c r="B243" s="50">
        <v>50262190</v>
      </c>
      <c r="C243" s="1365">
        <v>462334457</v>
      </c>
      <c r="D243" s="73">
        <v>294056</v>
      </c>
      <c r="E243" s="1365">
        <v>76961414</v>
      </c>
      <c r="F243" s="73">
        <v>81386926</v>
      </c>
      <c r="G243" s="1365">
        <v>1409506</v>
      </c>
      <c r="H243" s="526">
        <f t="shared" si="4"/>
        <v>672648549</v>
      </c>
    </row>
    <row r="244" spans="1:9">
      <c r="A244" s="85">
        <f t="shared" si="3"/>
        <v>2011.07</v>
      </c>
      <c r="B244" s="50">
        <v>87975396</v>
      </c>
      <c r="C244" s="1365">
        <v>450537516</v>
      </c>
      <c r="D244" s="73">
        <v>247354</v>
      </c>
      <c r="E244" s="1365">
        <v>74903424</v>
      </c>
      <c r="F244" s="73">
        <v>36369254</v>
      </c>
      <c r="G244" s="1365">
        <v>1348446</v>
      </c>
      <c r="H244" s="526">
        <f t="shared" si="4"/>
        <v>651381390</v>
      </c>
    </row>
    <row r="245" spans="1:9">
      <c r="A245" s="85">
        <f t="shared" si="3"/>
        <v>2011.08</v>
      </c>
      <c r="B245" s="50">
        <v>47429984</v>
      </c>
      <c r="C245" s="1365">
        <v>455867208</v>
      </c>
      <c r="D245" s="73">
        <v>236050</v>
      </c>
      <c r="E245" s="1365">
        <v>78465906</v>
      </c>
      <c r="F245" s="73">
        <v>31328058</v>
      </c>
      <c r="G245" s="1365">
        <v>1366780</v>
      </c>
      <c r="H245" s="526">
        <f t="shared" si="4"/>
        <v>614693986</v>
      </c>
    </row>
    <row r="246" spans="1:9">
      <c r="A246" s="85">
        <f t="shared" si="3"/>
        <v>2011.09</v>
      </c>
      <c r="B246" s="50">
        <v>25506090</v>
      </c>
      <c r="C246" s="1365">
        <v>466914900</v>
      </c>
      <c r="D246" s="73">
        <v>397710</v>
      </c>
      <c r="E246" s="1365">
        <v>96085690</v>
      </c>
      <c r="F246" s="73">
        <v>78498720</v>
      </c>
      <c r="G246" s="1365">
        <v>1383620</v>
      </c>
      <c r="H246" s="526">
        <f t="shared" si="4"/>
        <v>668786730</v>
      </c>
    </row>
    <row r="247" spans="1:9">
      <c r="A247" s="85">
        <f t="shared" si="3"/>
        <v>2011.1</v>
      </c>
      <c r="B247" s="50">
        <v>69342213</v>
      </c>
      <c r="C247" s="1365">
        <v>463871114</v>
      </c>
      <c r="D247" s="73">
        <v>262410</v>
      </c>
      <c r="E247" s="1365">
        <v>76250037</v>
      </c>
      <c r="F247" s="73">
        <v>30794046</v>
      </c>
      <c r="G247" s="1365">
        <v>1489249</v>
      </c>
      <c r="H247" s="526">
        <f t="shared" si="4"/>
        <v>642009069</v>
      </c>
    </row>
    <row r="248" spans="1:9">
      <c r="A248" s="85">
        <f t="shared" si="3"/>
        <v>2011.11</v>
      </c>
      <c r="B248" s="50">
        <v>39559759</v>
      </c>
      <c r="C248" s="1365">
        <v>474416848</v>
      </c>
      <c r="D248" s="73">
        <v>315997</v>
      </c>
      <c r="E248" s="1365">
        <v>77574715</v>
      </c>
      <c r="F248" s="73">
        <v>68080347</v>
      </c>
      <c r="G248" s="1365">
        <v>1518230</v>
      </c>
      <c r="H248" s="526">
        <f t="shared" si="4"/>
        <v>661465896</v>
      </c>
    </row>
    <row r="249" spans="1:9">
      <c r="A249" s="85">
        <f t="shared" si="3"/>
        <v>2011.12</v>
      </c>
      <c r="B249" s="50">
        <v>18253808</v>
      </c>
      <c r="C249" s="1365">
        <v>472845824</v>
      </c>
      <c r="D249" s="73">
        <v>329654</v>
      </c>
      <c r="E249" s="1365">
        <v>83642819</v>
      </c>
      <c r="F249" s="73">
        <v>31820854</v>
      </c>
      <c r="G249" s="1365">
        <v>1442894</v>
      </c>
      <c r="H249" s="526">
        <f t="shared" si="4"/>
        <v>608335853</v>
      </c>
    </row>
    <row r="250" spans="1:9">
      <c r="A250" s="85">
        <f t="shared" si="3"/>
        <v>2012.01</v>
      </c>
      <c r="B250" s="50">
        <v>22718211</v>
      </c>
      <c r="C250" s="1365">
        <v>508731980</v>
      </c>
      <c r="D250" s="73">
        <v>266717</v>
      </c>
      <c r="E250" s="1365">
        <v>76806688</v>
      </c>
      <c r="F250" s="73">
        <v>32776717</v>
      </c>
      <c r="G250" s="1365">
        <v>1503570</v>
      </c>
      <c r="H250" s="526">
        <f t="shared" si="4"/>
        <v>642803883</v>
      </c>
    </row>
    <row r="251" spans="1:9">
      <c r="A251" s="85">
        <f t="shared" si="3"/>
        <v>2012.02</v>
      </c>
      <c r="B251" s="50">
        <v>89943398</v>
      </c>
      <c r="C251" s="1365">
        <v>447258655</v>
      </c>
      <c r="D251" s="73">
        <v>185338</v>
      </c>
      <c r="E251" s="1365">
        <v>67934645</v>
      </c>
      <c r="F251" s="73">
        <v>110048518</v>
      </c>
      <c r="G251" s="1365">
        <v>1613724</v>
      </c>
      <c r="H251" s="526">
        <f t="shared" si="4"/>
        <v>716984278</v>
      </c>
    </row>
    <row r="252" spans="1:9">
      <c r="A252" s="85">
        <f t="shared" si="3"/>
        <v>2012.03</v>
      </c>
      <c r="B252" s="50">
        <v>47439366</v>
      </c>
      <c r="C252" s="1365">
        <v>501166731</v>
      </c>
      <c r="D252" s="73">
        <v>297286</v>
      </c>
      <c r="E252" s="1365">
        <v>71899073</v>
      </c>
      <c r="F252" s="73">
        <v>50454420</v>
      </c>
      <c r="G252" s="1365">
        <v>1353492</v>
      </c>
      <c r="H252" s="526">
        <f t="shared" si="4"/>
        <v>672610368</v>
      </c>
      <c r="I252" s="784"/>
    </row>
    <row r="253" spans="1:9">
      <c r="A253" s="85">
        <f t="shared" si="3"/>
        <v>2012.04</v>
      </c>
      <c r="B253" s="50">
        <v>19402704</v>
      </c>
      <c r="C253" s="1365">
        <v>459685238</v>
      </c>
      <c r="D253" s="73">
        <v>290479</v>
      </c>
      <c r="E253" s="1365">
        <v>71116137</v>
      </c>
      <c r="F253" s="73">
        <v>101930235</v>
      </c>
      <c r="G253" s="1365">
        <v>1699615</v>
      </c>
      <c r="H253" s="526">
        <f t="shared" si="4"/>
        <v>654124408</v>
      </c>
      <c r="I253" s="784"/>
    </row>
    <row r="254" spans="1:9">
      <c r="A254" s="85">
        <f t="shared" si="3"/>
        <v>2012.05</v>
      </c>
      <c r="B254" s="50">
        <v>76362756</v>
      </c>
      <c r="C254" s="1365">
        <v>548215874</v>
      </c>
      <c r="D254" s="73">
        <v>192630</v>
      </c>
      <c r="E254" s="1365">
        <v>79714284</v>
      </c>
      <c r="F254" s="73">
        <v>47906134</v>
      </c>
      <c r="G254" s="1365">
        <v>1491476</v>
      </c>
      <c r="H254" s="526">
        <f t="shared" si="4"/>
        <v>753883154</v>
      </c>
      <c r="I254" s="784"/>
    </row>
    <row r="255" spans="1:9">
      <c r="A255" s="85">
        <f t="shared" si="3"/>
        <v>2012.06</v>
      </c>
      <c r="B255" s="50">
        <v>40206058</v>
      </c>
      <c r="C255" s="1365">
        <v>540929077</v>
      </c>
      <c r="D255" s="73">
        <v>653977</v>
      </c>
      <c r="E255" s="1365">
        <v>82816785</v>
      </c>
      <c r="F255" s="73">
        <v>100710084</v>
      </c>
      <c r="G255" s="1365">
        <v>1700636</v>
      </c>
      <c r="H255" s="526">
        <f t="shared" si="4"/>
        <v>767016617</v>
      </c>
      <c r="I255" s="784"/>
    </row>
    <row r="256" spans="1:9">
      <c r="A256" s="85">
        <f t="shared" si="3"/>
        <v>2012.07</v>
      </c>
      <c r="B256" s="50">
        <v>90058608</v>
      </c>
      <c r="C256" s="1365">
        <v>526652018</v>
      </c>
      <c r="D256" s="73">
        <v>162375</v>
      </c>
      <c r="E256" s="1365">
        <v>80643007</v>
      </c>
      <c r="F256" s="73">
        <v>45786885</v>
      </c>
      <c r="G256" s="1365">
        <v>1623650</v>
      </c>
      <c r="H256" s="526">
        <f t="shared" si="4"/>
        <v>744926543</v>
      </c>
      <c r="I256" s="784"/>
    </row>
    <row r="257" spans="1:23">
      <c r="A257" s="85">
        <f t="shared" si="3"/>
        <v>2012.08</v>
      </c>
      <c r="B257" s="50">
        <v>45178416</v>
      </c>
      <c r="C257" s="1365">
        <v>555742754</v>
      </c>
      <c r="D257" s="73">
        <v>217577</v>
      </c>
      <c r="E257" s="1365">
        <v>90462064</v>
      </c>
      <c r="F257" s="73">
        <v>36755636</v>
      </c>
      <c r="G257" s="1365">
        <v>2161723</v>
      </c>
      <c r="H257" s="526">
        <f t="shared" si="4"/>
        <v>730518170</v>
      </c>
      <c r="I257" s="784"/>
    </row>
    <row r="258" spans="1:23">
      <c r="A258" s="85">
        <f t="shared" si="3"/>
        <v>2012.09</v>
      </c>
      <c r="B258" s="50">
        <v>21492183</v>
      </c>
      <c r="C258" s="1365">
        <v>547907645</v>
      </c>
      <c r="D258" s="73">
        <v>188033</v>
      </c>
      <c r="E258" s="1365">
        <v>86791822</v>
      </c>
      <c r="F258" s="73">
        <v>90381628</v>
      </c>
      <c r="G258" s="1365">
        <v>1932700</v>
      </c>
      <c r="H258" s="526">
        <f t="shared" si="4"/>
        <v>748694011</v>
      </c>
      <c r="I258" s="784"/>
    </row>
    <row r="259" spans="1:23">
      <c r="A259" s="85">
        <f t="shared" si="3"/>
        <v>2012.1</v>
      </c>
      <c r="B259" s="50">
        <v>85148854</v>
      </c>
      <c r="C259" s="1365">
        <v>580430060</v>
      </c>
      <c r="D259" s="73">
        <v>149169</v>
      </c>
      <c r="E259" s="1365">
        <v>90955045</v>
      </c>
      <c r="F259" s="73">
        <v>37701464</v>
      </c>
      <c r="G259" s="1365">
        <v>2023812</v>
      </c>
      <c r="H259" s="526">
        <f t="shared" si="4"/>
        <v>796408404</v>
      </c>
      <c r="I259" s="784"/>
    </row>
    <row r="260" spans="1:23">
      <c r="A260" s="85">
        <f t="shared" si="3"/>
        <v>2012.11</v>
      </c>
      <c r="B260" s="50">
        <v>47205963</v>
      </c>
      <c r="C260" s="1365">
        <v>609715748</v>
      </c>
      <c r="D260" s="73">
        <v>144473</v>
      </c>
      <c r="E260" s="1365">
        <v>104117468</v>
      </c>
      <c r="F260" s="73">
        <v>86027553</v>
      </c>
      <c r="G260" s="1365">
        <v>2214599</v>
      </c>
      <c r="H260" s="526">
        <f>SUM(B260:G260)</f>
        <v>849425804</v>
      </c>
      <c r="I260" s="784"/>
    </row>
    <row r="261" spans="1:23">
      <c r="A261" s="85">
        <f t="shared" si="3"/>
        <v>2012.12</v>
      </c>
      <c r="B261" s="50">
        <v>93718410</v>
      </c>
      <c r="C261" s="1365">
        <v>580067239</v>
      </c>
      <c r="D261" s="73">
        <v>111487</v>
      </c>
      <c r="E261" s="1365">
        <v>87130986</v>
      </c>
      <c r="F261" s="73">
        <v>55202466</v>
      </c>
      <c r="G261" s="1365">
        <v>1936546</v>
      </c>
      <c r="H261" s="526">
        <f>SUM(B261:G261)</f>
        <v>818167134</v>
      </c>
      <c r="I261" s="784"/>
    </row>
    <row r="262" spans="1:23">
      <c r="A262" s="85">
        <f t="shared" ref="A262:A273" si="5">A250+1</f>
        <v>2013.01</v>
      </c>
      <c r="B262" s="50">
        <v>33420229</v>
      </c>
      <c r="C262" s="1365">
        <v>717589023</v>
      </c>
      <c r="D262" s="73">
        <v>120630</v>
      </c>
      <c r="E262" s="1365">
        <v>97928902</v>
      </c>
      <c r="F262" s="73">
        <v>39342845</v>
      </c>
      <c r="G262" s="1365">
        <v>1974244</v>
      </c>
      <c r="H262" s="526">
        <f t="shared" si="4"/>
        <v>890375873</v>
      </c>
      <c r="I262" s="784"/>
      <c r="Q262" s="853"/>
      <c r="R262" s="853"/>
      <c r="S262" s="853"/>
      <c r="T262" s="853"/>
      <c r="U262" s="853"/>
      <c r="V262" s="853"/>
      <c r="W262" s="853"/>
    </row>
    <row r="263" spans="1:23">
      <c r="A263" s="85">
        <f t="shared" si="5"/>
        <v>2013.02</v>
      </c>
      <c r="B263" s="50">
        <v>151617727</v>
      </c>
      <c r="C263" s="1365">
        <v>635240365</v>
      </c>
      <c r="D263" s="73">
        <v>280913</v>
      </c>
      <c r="E263" s="1365">
        <v>87686765</v>
      </c>
      <c r="F263" s="73">
        <v>131934621</v>
      </c>
      <c r="G263" s="1365">
        <v>2217683</v>
      </c>
      <c r="H263" s="526">
        <f t="shared" si="4"/>
        <v>1008978074</v>
      </c>
      <c r="I263" s="784"/>
      <c r="Q263" s="853"/>
      <c r="R263" s="853"/>
      <c r="S263" s="853"/>
      <c r="T263" s="853"/>
      <c r="U263" s="853"/>
      <c r="V263" s="853"/>
      <c r="W263" s="853"/>
    </row>
    <row r="264" spans="1:23">
      <c r="A264" s="85">
        <f t="shared" si="5"/>
        <v>2013.03</v>
      </c>
      <c r="B264" s="50">
        <v>101880082</v>
      </c>
      <c r="C264" s="1365">
        <v>646823153</v>
      </c>
      <c r="D264" s="73">
        <v>809487</v>
      </c>
      <c r="E264" s="1365">
        <v>95360845</v>
      </c>
      <c r="F264" s="73">
        <v>71877373</v>
      </c>
      <c r="G264" s="1365">
        <v>2181853</v>
      </c>
      <c r="H264" s="526">
        <f t="shared" si="4"/>
        <v>918932793</v>
      </c>
      <c r="I264" s="784"/>
      <c r="Q264" s="853"/>
      <c r="R264" s="853"/>
      <c r="S264" s="853"/>
      <c r="T264" s="853"/>
      <c r="U264" s="853"/>
      <c r="V264" s="853"/>
      <c r="W264" s="853"/>
    </row>
    <row r="265" spans="1:23">
      <c r="A265" s="85">
        <f t="shared" si="5"/>
        <v>2013.04</v>
      </c>
      <c r="B265" s="50">
        <v>106668306</v>
      </c>
      <c r="C265" s="1365">
        <v>657565107</v>
      </c>
      <c r="D265" s="73">
        <v>224176</v>
      </c>
      <c r="E265" s="1365">
        <v>93967865</v>
      </c>
      <c r="F265" s="73">
        <v>136008132</v>
      </c>
      <c r="G265" s="1365">
        <v>2070422</v>
      </c>
      <c r="H265" s="526">
        <f t="shared" si="4"/>
        <v>996504008</v>
      </c>
      <c r="I265" s="784"/>
      <c r="Q265" s="853"/>
      <c r="R265" s="853"/>
      <c r="S265" s="853"/>
      <c r="T265" s="853"/>
      <c r="U265" s="853"/>
      <c r="V265" s="853"/>
      <c r="W265" s="853"/>
    </row>
    <row r="266" spans="1:23">
      <c r="A266" s="85">
        <f t="shared" si="5"/>
        <v>2013.05</v>
      </c>
      <c r="B266" s="50">
        <v>96308147</v>
      </c>
      <c r="C266" s="1365">
        <v>734254212</v>
      </c>
      <c r="D266" s="73">
        <v>295732</v>
      </c>
      <c r="E266" s="1365">
        <v>108573621</v>
      </c>
      <c r="F266" s="73">
        <v>62012409</v>
      </c>
      <c r="G266" s="1365">
        <v>2306015</v>
      </c>
      <c r="H266" s="526">
        <f t="shared" si="4"/>
        <v>1003750136</v>
      </c>
      <c r="I266" s="784"/>
      <c r="Q266" s="853"/>
      <c r="R266" s="853"/>
      <c r="S266" s="853"/>
      <c r="T266" s="853"/>
      <c r="U266" s="853"/>
      <c r="V266" s="853"/>
      <c r="W266" s="853"/>
    </row>
    <row r="267" spans="1:23">
      <c r="A267" s="85">
        <f t="shared" si="5"/>
        <v>2013.06</v>
      </c>
      <c r="B267" s="50">
        <v>103995047</v>
      </c>
      <c r="C267" s="1365">
        <v>781978947</v>
      </c>
      <c r="D267" s="73">
        <v>257305</v>
      </c>
      <c r="E267" s="1365">
        <v>107538269</v>
      </c>
      <c r="F267" s="73">
        <v>119793176</v>
      </c>
      <c r="G267" s="1365">
        <v>2209184</v>
      </c>
      <c r="H267" s="526">
        <f t="shared" si="4"/>
        <v>1115771928</v>
      </c>
      <c r="I267" s="784"/>
      <c r="Q267" s="853"/>
      <c r="R267" s="853"/>
      <c r="S267" s="853"/>
      <c r="T267" s="853"/>
      <c r="U267" s="853"/>
      <c r="V267" s="853"/>
      <c r="W267" s="853"/>
    </row>
    <row r="268" spans="1:23">
      <c r="A268" s="85">
        <f t="shared" si="5"/>
        <v>2013.07</v>
      </c>
      <c r="B268" s="50">
        <v>83457476</v>
      </c>
      <c r="C268" s="1365">
        <v>756245563</v>
      </c>
      <c r="D268" s="73">
        <v>243836</v>
      </c>
      <c r="E268" s="1365">
        <v>110058255</v>
      </c>
      <c r="F268" s="73">
        <v>56933484</v>
      </c>
      <c r="G268" s="1365">
        <v>2298543</v>
      </c>
      <c r="H268" s="526">
        <f t="shared" si="4"/>
        <v>1009237157</v>
      </c>
      <c r="I268" s="784"/>
      <c r="Q268" s="853"/>
      <c r="R268" s="853"/>
      <c r="S268" s="853"/>
      <c r="T268" s="853"/>
      <c r="U268" s="853"/>
      <c r="V268" s="853"/>
      <c r="W268" s="853"/>
    </row>
    <row r="269" spans="1:23">
      <c r="A269" s="85">
        <f t="shared" si="5"/>
        <v>2013.08</v>
      </c>
      <c r="B269" s="50">
        <v>100186562</v>
      </c>
      <c r="C269" s="1365">
        <v>816719259</v>
      </c>
      <c r="D269" s="73">
        <v>342930</v>
      </c>
      <c r="E269" s="1365">
        <v>116086394</v>
      </c>
      <c r="F269" s="73">
        <v>44942883</v>
      </c>
      <c r="G269" s="1365">
        <v>2853607</v>
      </c>
      <c r="H269" s="526">
        <f t="shared" si="4"/>
        <v>1081131635</v>
      </c>
      <c r="I269" s="784"/>
      <c r="Q269" s="853"/>
      <c r="R269" s="853"/>
      <c r="S269" s="853"/>
      <c r="T269" s="853"/>
      <c r="U269" s="853"/>
      <c r="V269" s="853"/>
      <c r="W269" s="853"/>
    </row>
    <row r="270" spans="1:23">
      <c r="A270" s="85">
        <f t="shared" si="5"/>
        <v>2013.09</v>
      </c>
      <c r="B270" s="50">
        <v>85950186</v>
      </c>
      <c r="C270" s="1365">
        <v>815740097</v>
      </c>
      <c r="D270" s="73">
        <v>321819</v>
      </c>
      <c r="E270" s="1365">
        <v>116921800</v>
      </c>
      <c r="F270" s="73">
        <v>116325390</v>
      </c>
      <c r="G270" s="1365">
        <v>2582735</v>
      </c>
      <c r="H270" s="526">
        <f t="shared" si="4"/>
        <v>1137842027</v>
      </c>
      <c r="I270" s="784"/>
      <c r="Q270" s="853"/>
      <c r="R270" s="853"/>
      <c r="S270" s="853"/>
      <c r="T270" s="853"/>
      <c r="U270" s="853"/>
      <c r="V270" s="853"/>
      <c r="W270" s="853"/>
    </row>
    <row r="271" spans="1:23">
      <c r="A271" s="85">
        <f t="shared" si="5"/>
        <v>2013.1</v>
      </c>
      <c r="B271" s="50">
        <v>94418354</v>
      </c>
      <c r="C271" s="1365">
        <v>797172759</v>
      </c>
      <c r="D271" s="73">
        <v>269508</v>
      </c>
      <c r="E271" s="1365">
        <v>121232566</v>
      </c>
      <c r="F271" s="73">
        <v>49147223</v>
      </c>
      <c r="G271" s="1365">
        <v>2800954</v>
      </c>
      <c r="H271" s="526">
        <f t="shared" si="4"/>
        <v>1065041364</v>
      </c>
      <c r="I271" s="784"/>
      <c r="Q271" s="853"/>
      <c r="R271" s="853"/>
      <c r="S271" s="853"/>
      <c r="T271" s="853"/>
      <c r="U271" s="853"/>
      <c r="V271" s="853"/>
      <c r="W271" s="853"/>
    </row>
    <row r="272" spans="1:23">
      <c r="A272" s="85">
        <f t="shared" si="5"/>
        <v>2013.11</v>
      </c>
      <c r="B272" s="50">
        <v>81168594</v>
      </c>
      <c r="C272" s="1365">
        <v>881813160</v>
      </c>
      <c r="D272" s="73">
        <v>226557</v>
      </c>
      <c r="E272" s="1365">
        <v>117465573</v>
      </c>
      <c r="F272" s="73">
        <v>110084727</v>
      </c>
      <c r="G272" s="1365">
        <v>2924503</v>
      </c>
      <c r="H272" s="526">
        <f>SUM(B272:G272)</f>
        <v>1193683114</v>
      </c>
      <c r="I272" s="784"/>
      <c r="Q272" s="853"/>
      <c r="R272" s="853"/>
      <c r="S272" s="853"/>
      <c r="T272" s="853"/>
      <c r="U272" s="853"/>
      <c r="V272" s="853"/>
      <c r="W272" s="853"/>
    </row>
    <row r="273" spans="1:23">
      <c r="A273" s="85">
        <f t="shared" si="5"/>
        <v>2013.12</v>
      </c>
      <c r="B273" s="50">
        <v>94268386</v>
      </c>
      <c r="C273" s="1365">
        <v>876688961</v>
      </c>
      <c r="D273" s="73">
        <v>308092</v>
      </c>
      <c r="E273" s="1365">
        <v>116733707</v>
      </c>
      <c r="F273" s="73">
        <v>77246279</v>
      </c>
      <c r="G273" s="1365">
        <v>2609736</v>
      </c>
      <c r="H273" s="526">
        <f t="shared" ref="H273:H296" si="6">SUM(B273:G273)</f>
        <v>1167855161</v>
      </c>
      <c r="I273" s="784"/>
      <c r="Q273" s="853"/>
      <c r="R273" s="853"/>
      <c r="S273" s="853"/>
      <c r="T273" s="853"/>
      <c r="U273" s="853"/>
      <c r="V273" s="853"/>
      <c r="W273" s="853"/>
    </row>
    <row r="274" spans="1:23">
      <c r="A274" s="85">
        <f t="shared" ref="A274:A338" si="7">A262+1</f>
        <v>2014.01</v>
      </c>
      <c r="B274" s="50">
        <v>39145610</v>
      </c>
      <c r="C274" s="1365">
        <v>935929326</v>
      </c>
      <c r="D274" s="73">
        <v>299712</v>
      </c>
      <c r="E274" s="1365">
        <v>134122612</v>
      </c>
      <c r="F274" s="73">
        <v>59127890</v>
      </c>
      <c r="G274" s="1365">
        <v>2523167</v>
      </c>
      <c r="H274" s="526">
        <f t="shared" si="6"/>
        <v>1171148317</v>
      </c>
      <c r="I274" s="784"/>
      <c r="J274" s="475"/>
      <c r="Q274" s="853"/>
      <c r="R274" s="853"/>
      <c r="S274" s="853"/>
      <c r="T274" s="853"/>
      <c r="U274" s="853"/>
      <c r="V274" s="853"/>
      <c r="W274" s="853"/>
    </row>
    <row r="275" spans="1:23">
      <c r="A275" s="85">
        <f t="shared" si="7"/>
        <v>2014.02</v>
      </c>
      <c r="B275" s="50">
        <f>210321401</f>
        <v>210321401</v>
      </c>
      <c r="C275" s="1365">
        <v>949408461</v>
      </c>
      <c r="D275" s="73">
        <v>220822</v>
      </c>
      <c r="E275" s="1365">
        <v>116086421</v>
      </c>
      <c r="F275" s="73">
        <v>177613385</v>
      </c>
      <c r="G275" s="1365">
        <v>2843258</v>
      </c>
      <c r="H275" s="526">
        <f t="shared" si="6"/>
        <v>1456493748</v>
      </c>
      <c r="I275" s="784"/>
      <c r="Q275" s="853"/>
      <c r="R275" s="853"/>
      <c r="S275" s="853"/>
      <c r="T275" s="853"/>
      <c r="U275" s="853"/>
      <c r="V275" s="853"/>
      <c r="W275" s="853"/>
    </row>
    <row r="276" spans="1:23">
      <c r="A276" s="85">
        <f t="shared" si="7"/>
        <v>2014.03</v>
      </c>
      <c r="B276" s="50">
        <v>99975074</v>
      </c>
      <c r="C276" s="1639">
        <v>824842740</v>
      </c>
      <c r="D276" s="457">
        <v>255684</v>
      </c>
      <c r="E276" s="1639">
        <v>106167897</v>
      </c>
      <c r="F276" s="457">
        <v>74516239</v>
      </c>
      <c r="G276" s="1639">
        <v>2782094</v>
      </c>
      <c r="H276" s="526">
        <f t="shared" si="6"/>
        <v>1108539728</v>
      </c>
      <c r="I276" s="784"/>
      <c r="Q276" s="853"/>
      <c r="R276" s="853"/>
      <c r="S276" s="853"/>
      <c r="T276" s="853"/>
      <c r="U276" s="853"/>
      <c r="V276" s="853"/>
      <c r="W276" s="853"/>
    </row>
    <row r="277" spans="1:23">
      <c r="A277" s="85">
        <f t="shared" si="7"/>
        <v>2014.04</v>
      </c>
      <c r="B277" s="50">
        <v>125963578</v>
      </c>
      <c r="C277" s="1639">
        <v>898493291</v>
      </c>
      <c r="D277" s="457">
        <v>244542</v>
      </c>
      <c r="E277" s="1639">
        <v>123840401</v>
      </c>
      <c r="F277" s="457">
        <v>161119889</v>
      </c>
      <c r="G277" s="1639">
        <v>2867697</v>
      </c>
      <c r="H277" s="526">
        <f t="shared" si="6"/>
        <v>1312529398</v>
      </c>
      <c r="I277" s="784"/>
      <c r="Q277" s="853"/>
      <c r="R277" s="853"/>
      <c r="S277" s="853"/>
      <c r="T277" s="853"/>
      <c r="U277" s="853"/>
      <c r="V277" s="853"/>
      <c r="W277" s="853"/>
    </row>
    <row r="278" spans="1:23">
      <c r="A278" s="85">
        <f t="shared" si="7"/>
        <v>2014.05</v>
      </c>
      <c r="B278" s="50">
        <v>101264546</v>
      </c>
      <c r="C278" s="1639">
        <v>984970542</v>
      </c>
      <c r="D278" s="457">
        <v>187935</v>
      </c>
      <c r="E278" s="1639">
        <v>123316535</v>
      </c>
      <c r="F278" s="457">
        <v>65973667</v>
      </c>
      <c r="G278" s="1639">
        <v>2842000</v>
      </c>
      <c r="H278" s="526">
        <f t="shared" si="6"/>
        <v>1278555225</v>
      </c>
      <c r="I278" s="784"/>
      <c r="Q278" s="853"/>
      <c r="R278" s="853"/>
      <c r="S278" s="853"/>
      <c r="T278" s="853"/>
      <c r="U278" s="853"/>
      <c r="V278" s="853"/>
      <c r="W278" s="853"/>
    </row>
    <row r="279" spans="1:23">
      <c r="A279" s="85">
        <f t="shared" si="7"/>
        <v>2014.06</v>
      </c>
      <c r="B279" s="613">
        <v>154497915</v>
      </c>
      <c r="C279" s="1639">
        <v>1053530378</v>
      </c>
      <c r="D279" s="457">
        <v>205056</v>
      </c>
      <c r="E279" s="1639">
        <v>139220045</v>
      </c>
      <c r="F279" s="457">
        <v>164080441</v>
      </c>
      <c r="G279" s="1639">
        <v>3272683</v>
      </c>
      <c r="H279" s="526">
        <f t="shared" si="6"/>
        <v>1514806518</v>
      </c>
      <c r="I279" s="784"/>
      <c r="Q279" s="853"/>
      <c r="R279" s="853"/>
      <c r="S279" s="853"/>
      <c r="T279" s="853"/>
      <c r="U279" s="853"/>
      <c r="V279" s="853"/>
      <c r="W279" s="853"/>
    </row>
    <row r="280" spans="1:23">
      <c r="A280" s="85">
        <f t="shared" si="7"/>
        <v>2014.07</v>
      </c>
      <c r="B280" s="613">
        <v>113895437</v>
      </c>
      <c r="C280" s="1639">
        <v>1077953330</v>
      </c>
      <c r="D280" s="457">
        <v>208314</v>
      </c>
      <c r="E280" s="1639">
        <v>139871604</v>
      </c>
      <c r="F280" s="457">
        <v>70673699</v>
      </c>
      <c r="G280" s="1639">
        <v>3139309</v>
      </c>
      <c r="H280" s="526">
        <f t="shared" si="6"/>
        <v>1405741693</v>
      </c>
      <c r="I280" s="784"/>
      <c r="Q280" s="853"/>
      <c r="R280" s="853"/>
      <c r="S280" s="853"/>
      <c r="T280" s="853"/>
      <c r="U280" s="853"/>
      <c r="V280" s="853"/>
      <c r="W280" s="853"/>
    </row>
    <row r="281" spans="1:23">
      <c r="A281" s="85">
        <f t="shared" si="7"/>
        <v>2014.08</v>
      </c>
      <c r="B281" s="613">
        <v>128043700</v>
      </c>
      <c r="C281" s="1639">
        <v>1134553827</v>
      </c>
      <c r="D281" s="457">
        <v>157121</v>
      </c>
      <c r="E281" s="1639">
        <v>143546760</v>
      </c>
      <c r="F281" s="457">
        <v>54954780</v>
      </c>
      <c r="G281" s="1639">
        <v>3639797</v>
      </c>
      <c r="H281" s="526">
        <f t="shared" si="6"/>
        <v>1464895985</v>
      </c>
      <c r="I281" s="784"/>
      <c r="Q281" s="853"/>
      <c r="R281" s="853"/>
      <c r="S281" s="853"/>
      <c r="T281" s="853"/>
      <c r="U281" s="853"/>
      <c r="V281" s="853"/>
      <c r="W281" s="853"/>
    </row>
    <row r="282" spans="1:23">
      <c r="A282" s="614">
        <f t="shared" si="7"/>
        <v>2014.09</v>
      </c>
      <c r="B282" s="613">
        <v>110417283</v>
      </c>
      <c r="C282" s="1639">
        <v>1214551944</v>
      </c>
      <c r="D282" s="457">
        <v>206753</v>
      </c>
      <c r="E282" s="1639">
        <v>142836694</v>
      </c>
      <c r="F282" s="457">
        <v>163607385</v>
      </c>
      <c r="G282" s="1639">
        <v>3507234</v>
      </c>
      <c r="H282" s="526">
        <f>SUM(B282:G282)</f>
        <v>1635127293</v>
      </c>
      <c r="I282" s="784"/>
      <c r="Q282" s="853"/>
      <c r="R282" s="853"/>
      <c r="S282" s="853"/>
      <c r="T282" s="853"/>
      <c r="U282" s="853"/>
      <c r="V282" s="853"/>
      <c r="W282" s="853"/>
    </row>
    <row r="283" spans="1:23">
      <c r="A283" s="85">
        <f t="shared" si="7"/>
        <v>2014.1</v>
      </c>
      <c r="B283" s="613">
        <v>128714975</v>
      </c>
      <c r="C283" s="1639">
        <v>1157203317</v>
      </c>
      <c r="D283" s="457">
        <v>207131</v>
      </c>
      <c r="E283" s="1639">
        <v>151123305</v>
      </c>
      <c r="F283" s="457">
        <v>65326950</v>
      </c>
      <c r="G283" s="1639">
        <v>3884141</v>
      </c>
      <c r="H283" s="526">
        <f t="shared" si="6"/>
        <v>1506459819</v>
      </c>
      <c r="I283" s="784"/>
      <c r="Q283" s="853"/>
      <c r="R283" s="853"/>
      <c r="S283" s="853"/>
      <c r="T283" s="853"/>
      <c r="U283" s="853"/>
      <c r="V283" s="853"/>
      <c r="W283" s="853"/>
    </row>
    <row r="284" spans="1:23">
      <c r="A284" s="85">
        <f t="shared" si="7"/>
        <v>2014.11</v>
      </c>
      <c r="B284" s="613">
        <v>102615690</v>
      </c>
      <c r="C284" s="1639">
        <v>1207035725</v>
      </c>
      <c r="D284" s="457">
        <v>185219</v>
      </c>
      <c r="E284" s="1639">
        <v>142318663</v>
      </c>
      <c r="F284" s="457">
        <v>146752446</v>
      </c>
      <c r="G284" s="1639">
        <v>3629658</v>
      </c>
      <c r="H284" s="526">
        <f t="shared" si="6"/>
        <v>1602537401</v>
      </c>
      <c r="I284" s="784"/>
      <c r="Q284" s="853"/>
      <c r="R284" s="853"/>
      <c r="S284" s="853"/>
      <c r="T284" s="853"/>
      <c r="U284" s="853"/>
      <c r="V284" s="853"/>
      <c r="W284" s="853"/>
    </row>
    <row r="285" spans="1:23">
      <c r="A285" s="85">
        <f t="shared" si="7"/>
        <v>2014.12</v>
      </c>
      <c r="B285" s="50">
        <v>139796848</v>
      </c>
      <c r="C285" s="1365">
        <v>1173024680</v>
      </c>
      <c r="D285" s="73">
        <v>194235</v>
      </c>
      <c r="E285" s="1365">
        <v>150110836</v>
      </c>
      <c r="F285" s="73">
        <v>104759830</v>
      </c>
      <c r="G285" s="1365">
        <v>3572020</v>
      </c>
      <c r="H285" s="526">
        <f t="shared" si="6"/>
        <v>1571458449</v>
      </c>
      <c r="I285" s="784"/>
      <c r="Q285" s="853"/>
      <c r="R285" s="853"/>
      <c r="S285" s="853"/>
      <c r="T285" s="853"/>
      <c r="U285" s="853"/>
      <c r="V285" s="853"/>
      <c r="W285" s="853"/>
    </row>
    <row r="286" spans="1:23">
      <c r="A286" s="85">
        <f t="shared" si="7"/>
        <v>2015.01</v>
      </c>
      <c r="B286" s="50">
        <v>47887893</v>
      </c>
      <c r="C286" s="1365">
        <v>1241072984</v>
      </c>
      <c r="D286" s="73">
        <v>186361</v>
      </c>
      <c r="E286" s="1365">
        <v>148430114</v>
      </c>
      <c r="F286" s="73">
        <v>64146269</v>
      </c>
      <c r="G286" s="1365">
        <v>3619563</v>
      </c>
      <c r="H286" s="526">
        <f t="shared" si="6"/>
        <v>1505343184</v>
      </c>
      <c r="I286" s="784"/>
      <c r="Q286" s="853"/>
      <c r="R286" s="853"/>
      <c r="S286" s="853"/>
      <c r="T286" s="853"/>
      <c r="U286" s="853"/>
      <c r="V286" s="853"/>
      <c r="W286" s="853"/>
    </row>
    <row r="287" spans="1:23">
      <c r="A287" s="85">
        <f t="shared" si="7"/>
        <v>2015.02</v>
      </c>
      <c r="B287" s="50">
        <v>259478087</v>
      </c>
      <c r="C287" s="1365">
        <v>1122447229</v>
      </c>
      <c r="D287" s="73">
        <v>170944</v>
      </c>
      <c r="E287" s="1365">
        <v>167014245</v>
      </c>
      <c r="F287" s="73">
        <v>237955240</v>
      </c>
      <c r="G287" s="1365">
        <v>4050266</v>
      </c>
      <c r="H287" s="526">
        <f t="shared" si="6"/>
        <v>1791116011</v>
      </c>
      <c r="I287" s="784"/>
      <c r="Q287" s="853"/>
      <c r="R287" s="853"/>
      <c r="S287" s="853"/>
      <c r="T287" s="853"/>
      <c r="U287" s="853"/>
      <c r="V287" s="853"/>
      <c r="W287" s="853"/>
    </row>
    <row r="288" spans="1:23">
      <c r="A288" s="85">
        <f t="shared" si="7"/>
        <v>2015.03</v>
      </c>
      <c r="B288" s="50">
        <v>133530640</v>
      </c>
      <c r="C288" s="1639">
        <v>1139110660</v>
      </c>
      <c r="D288" s="457">
        <v>274241</v>
      </c>
      <c r="E288" s="1639">
        <v>157529281</v>
      </c>
      <c r="F288" s="457">
        <v>109422709</v>
      </c>
      <c r="G288" s="1639">
        <v>3459132</v>
      </c>
      <c r="H288" s="526">
        <f t="shared" si="6"/>
        <v>1543326663</v>
      </c>
      <c r="I288" s="784"/>
      <c r="Q288" s="853"/>
      <c r="R288" s="853"/>
      <c r="S288" s="853"/>
      <c r="T288" s="853"/>
      <c r="U288" s="853"/>
      <c r="V288" s="853"/>
      <c r="W288" s="853"/>
    </row>
    <row r="289" spans="1:23">
      <c r="A289" s="85">
        <f t="shared" si="7"/>
        <v>2015.04</v>
      </c>
      <c r="B289" s="50">
        <v>179701804</v>
      </c>
      <c r="C289" s="1639">
        <v>1273857446</v>
      </c>
      <c r="D289" s="457">
        <v>365267</v>
      </c>
      <c r="E289" s="1639">
        <v>178966985</v>
      </c>
      <c r="F289" s="457">
        <v>234658123</v>
      </c>
      <c r="G289" s="1639">
        <v>3908184</v>
      </c>
      <c r="H289" s="526">
        <f t="shared" si="6"/>
        <v>1871457809</v>
      </c>
      <c r="I289" s="784"/>
      <c r="Q289" s="853"/>
      <c r="R289" s="853"/>
      <c r="S289" s="853"/>
      <c r="T289" s="853"/>
      <c r="U289" s="853"/>
      <c r="V289" s="853"/>
      <c r="W289" s="853"/>
    </row>
    <row r="290" spans="1:23">
      <c r="A290" s="85">
        <f t="shared" si="7"/>
        <v>2015.05</v>
      </c>
      <c r="B290" s="50">
        <v>137537819</v>
      </c>
      <c r="C290" s="1639">
        <v>1366284652</v>
      </c>
      <c r="D290" s="457">
        <v>223908</v>
      </c>
      <c r="E290" s="1639">
        <v>181766559</v>
      </c>
      <c r="F290" s="457">
        <v>93728809</v>
      </c>
      <c r="G290" s="1639">
        <v>4290128</v>
      </c>
      <c r="H290" s="526">
        <f t="shared" si="6"/>
        <v>1783831875</v>
      </c>
      <c r="I290" s="784"/>
      <c r="Q290" s="853"/>
      <c r="R290" s="853"/>
      <c r="S290" s="853"/>
      <c r="T290" s="853"/>
      <c r="U290" s="853"/>
      <c r="V290" s="853"/>
      <c r="W290" s="853"/>
    </row>
    <row r="291" spans="1:23">
      <c r="A291" s="85">
        <f t="shared" si="7"/>
        <v>2015.06</v>
      </c>
      <c r="B291" s="631">
        <v>193676306</v>
      </c>
      <c r="C291" s="1639">
        <v>1362709548</v>
      </c>
      <c r="D291" s="457">
        <v>334705</v>
      </c>
      <c r="E291" s="1639">
        <v>187666310</v>
      </c>
      <c r="F291" s="457">
        <v>258323789</v>
      </c>
      <c r="G291" s="1639">
        <v>4102489</v>
      </c>
      <c r="H291" s="526">
        <f t="shared" si="6"/>
        <v>2006813147</v>
      </c>
      <c r="I291" s="784"/>
      <c r="Q291" s="853"/>
      <c r="R291" s="853"/>
      <c r="S291" s="853"/>
      <c r="T291" s="853"/>
      <c r="U291" s="853"/>
      <c r="V291" s="853"/>
      <c r="W291" s="853"/>
    </row>
    <row r="292" spans="1:23">
      <c r="A292" s="85">
        <f t="shared" si="7"/>
        <v>2015.07</v>
      </c>
      <c r="B292" s="631">
        <v>143743754</v>
      </c>
      <c r="C292" s="1639">
        <v>1426363795</v>
      </c>
      <c r="D292" s="457">
        <v>246678</v>
      </c>
      <c r="E292" s="1639">
        <v>208815469</v>
      </c>
      <c r="F292" s="457">
        <v>105322688</v>
      </c>
      <c r="G292" s="1639">
        <v>4110088</v>
      </c>
      <c r="H292" s="526">
        <f t="shared" si="6"/>
        <v>1888602472</v>
      </c>
      <c r="I292" s="784"/>
      <c r="Q292" s="853"/>
      <c r="R292" s="853"/>
      <c r="S292" s="853"/>
      <c r="T292" s="853"/>
      <c r="U292" s="853"/>
      <c r="V292" s="853"/>
      <c r="W292" s="853"/>
    </row>
    <row r="293" spans="1:23">
      <c r="A293" s="85">
        <f t="shared" si="7"/>
        <v>2015.08</v>
      </c>
      <c r="B293" s="631">
        <v>173620220</v>
      </c>
      <c r="C293" s="1639">
        <v>1426889980</v>
      </c>
      <c r="D293" s="457">
        <v>275820</v>
      </c>
      <c r="E293" s="1639">
        <v>212922159.99999997</v>
      </c>
      <c r="F293" s="457">
        <v>86128230.000000015</v>
      </c>
      <c r="G293" s="1639">
        <v>5038230</v>
      </c>
      <c r="H293" s="526">
        <f t="shared" si="6"/>
        <v>1904874640</v>
      </c>
      <c r="I293" s="784"/>
      <c r="Q293" s="853"/>
      <c r="R293" s="853"/>
      <c r="S293" s="853"/>
      <c r="T293" s="853"/>
      <c r="U293" s="853"/>
      <c r="V293" s="853"/>
      <c r="W293" s="853"/>
    </row>
    <row r="294" spans="1:23">
      <c r="A294" s="85">
        <f t="shared" si="7"/>
        <v>2015.09</v>
      </c>
      <c r="B294" s="631">
        <v>137971131</v>
      </c>
      <c r="C294" s="1639">
        <v>1375294020</v>
      </c>
      <c r="D294" s="457">
        <v>413895</v>
      </c>
      <c r="E294" s="1639">
        <v>209907655</v>
      </c>
      <c r="F294" s="457">
        <v>231448973</v>
      </c>
      <c r="G294" s="1639">
        <v>4252637</v>
      </c>
      <c r="H294" s="526">
        <f t="shared" si="6"/>
        <v>1959288311</v>
      </c>
      <c r="I294" s="784"/>
      <c r="Q294" s="853"/>
      <c r="R294" s="853"/>
      <c r="S294" s="853"/>
      <c r="T294" s="853"/>
      <c r="U294" s="853"/>
      <c r="V294" s="853"/>
      <c r="W294" s="853"/>
    </row>
    <row r="295" spans="1:23">
      <c r="A295" s="85">
        <f t="shared" si="7"/>
        <v>2015.1</v>
      </c>
      <c r="B295" s="631">
        <v>171789636</v>
      </c>
      <c r="C295" s="1639">
        <v>1434301769</v>
      </c>
      <c r="D295" s="457">
        <v>198547</v>
      </c>
      <c r="E295" s="1639">
        <v>215849870</v>
      </c>
      <c r="F295" s="457">
        <v>95999813</v>
      </c>
      <c r="G295" s="1639">
        <v>4974316</v>
      </c>
      <c r="H295" s="526">
        <f t="shared" si="6"/>
        <v>1923113951</v>
      </c>
      <c r="I295" s="784"/>
      <c r="Q295" s="853"/>
      <c r="R295" s="853"/>
      <c r="S295" s="853"/>
      <c r="T295" s="853"/>
      <c r="U295" s="853"/>
      <c r="V295" s="853"/>
      <c r="W295" s="853"/>
    </row>
    <row r="296" spans="1:23">
      <c r="A296" s="85">
        <f t="shared" si="7"/>
        <v>2015.11</v>
      </c>
      <c r="B296" s="613">
        <v>132592321</v>
      </c>
      <c r="C296" s="1639">
        <v>1550925305</v>
      </c>
      <c r="D296" s="457">
        <v>226485</v>
      </c>
      <c r="E296" s="1639">
        <v>216746483</v>
      </c>
      <c r="F296" s="457">
        <v>227891165</v>
      </c>
      <c r="G296" s="1639">
        <v>4655262</v>
      </c>
      <c r="H296" s="526">
        <f t="shared" si="6"/>
        <v>2133037021</v>
      </c>
      <c r="I296" s="784"/>
      <c r="Q296" s="853"/>
      <c r="R296" s="853"/>
      <c r="S296" s="853"/>
      <c r="T296" s="853"/>
      <c r="U296" s="853"/>
      <c r="V296" s="853"/>
      <c r="W296" s="853"/>
    </row>
    <row r="297" spans="1:23">
      <c r="A297" s="85">
        <f t="shared" si="7"/>
        <v>2015.12</v>
      </c>
      <c r="B297" s="50">
        <v>182017823</v>
      </c>
      <c r="C297" s="1365">
        <v>1554777288</v>
      </c>
      <c r="D297" s="73">
        <v>220333</v>
      </c>
      <c r="E297" s="1365">
        <v>232911232</v>
      </c>
      <c r="F297" s="73">
        <v>160461255</v>
      </c>
      <c r="G297" s="1365">
        <v>5558780</v>
      </c>
      <c r="H297" s="526">
        <f>SUM(B297:G297)</f>
        <v>2135946711</v>
      </c>
      <c r="I297" s="784"/>
      <c r="Q297" s="853"/>
      <c r="R297" s="853"/>
      <c r="S297" s="853"/>
      <c r="T297" s="853"/>
      <c r="U297" s="853"/>
      <c r="V297" s="853"/>
      <c r="W297" s="853"/>
    </row>
    <row r="298" spans="1:23">
      <c r="A298" s="85">
        <f t="shared" si="7"/>
        <v>2016.01</v>
      </c>
      <c r="B298" s="631">
        <v>75221161</v>
      </c>
      <c r="C298" s="1639">
        <v>1608868173</v>
      </c>
      <c r="D298" s="457">
        <v>190129</v>
      </c>
      <c r="E298" s="1639">
        <v>224330927</v>
      </c>
      <c r="F298" s="457">
        <v>89257393</v>
      </c>
      <c r="G298" s="1639">
        <v>5041329</v>
      </c>
      <c r="H298" s="526">
        <f>SUM(B298:G298)</f>
        <v>2002909112</v>
      </c>
      <c r="I298" s="784"/>
      <c r="Q298" s="853"/>
      <c r="R298" s="853"/>
      <c r="S298" s="853"/>
      <c r="T298" s="853"/>
      <c r="U298" s="853"/>
      <c r="V298" s="853"/>
      <c r="W298" s="853"/>
    </row>
    <row r="299" spans="1:23">
      <c r="A299" s="85">
        <f t="shared" si="7"/>
        <v>2016.02</v>
      </c>
      <c r="B299" s="631">
        <v>406848860</v>
      </c>
      <c r="C299" s="1639">
        <v>1624295285</v>
      </c>
      <c r="D299" s="457">
        <v>197941</v>
      </c>
      <c r="E299" s="1639">
        <v>214297289</v>
      </c>
      <c r="F299" s="457">
        <v>343607097</v>
      </c>
      <c r="G299" s="1639">
        <v>4502793</v>
      </c>
      <c r="H299" s="526">
        <f t="shared" ref="H299:H309" si="8">SUM(B299:G299)</f>
        <v>2593749265</v>
      </c>
      <c r="I299" s="784"/>
      <c r="Q299" s="853"/>
      <c r="R299" s="853"/>
      <c r="S299" s="853"/>
      <c r="T299" s="853"/>
      <c r="U299" s="853"/>
      <c r="V299" s="853"/>
      <c r="W299" s="853"/>
    </row>
    <row r="300" spans="1:23">
      <c r="A300" s="85">
        <f t="shared" si="7"/>
        <v>2016.03</v>
      </c>
      <c r="B300" s="631">
        <v>198673800</v>
      </c>
      <c r="C300" s="1639">
        <v>1748944995</v>
      </c>
      <c r="D300" s="457">
        <v>383302</v>
      </c>
      <c r="E300" s="1639">
        <v>242219968</v>
      </c>
      <c r="F300" s="457">
        <v>160159545</v>
      </c>
      <c r="G300" s="1639">
        <v>5412827</v>
      </c>
      <c r="H300" s="526">
        <f t="shared" si="8"/>
        <v>2355794437</v>
      </c>
      <c r="I300" s="784"/>
      <c r="Q300" s="853"/>
      <c r="R300" s="853"/>
      <c r="S300" s="853"/>
      <c r="T300" s="853"/>
      <c r="U300" s="853"/>
      <c r="V300" s="853"/>
      <c r="W300" s="853"/>
    </row>
    <row r="301" spans="1:23">
      <c r="A301" s="85">
        <f t="shared" si="7"/>
        <v>2016.04</v>
      </c>
      <c r="B301" s="613">
        <v>257898157</v>
      </c>
      <c r="C301" s="1639">
        <v>1897691732</v>
      </c>
      <c r="D301" s="457">
        <v>205013</v>
      </c>
      <c r="E301" s="1639">
        <v>261695994</v>
      </c>
      <c r="F301" s="457">
        <v>328466130</v>
      </c>
      <c r="G301" s="1639">
        <v>5764656</v>
      </c>
      <c r="H301" s="526">
        <f t="shared" si="8"/>
        <v>2751721682</v>
      </c>
      <c r="I301" s="784"/>
      <c r="Q301" s="853"/>
      <c r="R301" s="853"/>
      <c r="S301" s="853"/>
      <c r="T301" s="853"/>
      <c r="U301" s="853"/>
      <c r="V301" s="853"/>
      <c r="W301" s="853"/>
    </row>
    <row r="302" spans="1:23">
      <c r="A302" s="85">
        <f t="shared" si="7"/>
        <v>2016.05</v>
      </c>
      <c r="B302" s="613">
        <v>167522678</v>
      </c>
      <c r="C302" s="1639">
        <v>1889105765</v>
      </c>
      <c r="D302" s="457">
        <v>210979</v>
      </c>
      <c r="E302" s="1639">
        <v>245671195</v>
      </c>
      <c r="F302" s="457">
        <v>139579607</v>
      </c>
      <c r="G302" s="1639">
        <v>5247945</v>
      </c>
      <c r="H302" s="526">
        <f t="shared" si="8"/>
        <v>2447338169</v>
      </c>
      <c r="I302" s="784"/>
      <c r="Q302" s="853"/>
      <c r="R302" s="853"/>
      <c r="S302" s="853"/>
      <c r="T302" s="853"/>
      <c r="U302" s="853"/>
      <c r="V302" s="853"/>
      <c r="W302" s="853"/>
    </row>
    <row r="303" spans="1:23">
      <c r="A303" s="85">
        <f t="shared" si="7"/>
        <v>2016.06</v>
      </c>
      <c r="B303" s="613">
        <v>241645556</v>
      </c>
      <c r="C303" s="1639">
        <v>2016972638</v>
      </c>
      <c r="D303" s="457">
        <v>122302</v>
      </c>
      <c r="E303" s="1639">
        <v>264462951</v>
      </c>
      <c r="F303" s="457">
        <v>320780968</v>
      </c>
      <c r="G303" s="1639">
        <v>5690836</v>
      </c>
      <c r="H303" s="526">
        <f t="shared" si="8"/>
        <v>2849675251</v>
      </c>
      <c r="I303" s="784"/>
      <c r="M303" s="35"/>
      <c r="Q303" s="853"/>
      <c r="R303" s="853"/>
      <c r="S303" s="853"/>
      <c r="T303" s="853"/>
      <c r="U303" s="853"/>
      <c r="V303" s="853"/>
      <c r="W303" s="853"/>
    </row>
    <row r="304" spans="1:23">
      <c r="A304" s="85">
        <f t="shared" si="7"/>
        <v>2016.07</v>
      </c>
      <c r="B304" s="613">
        <v>181465195</v>
      </c>
      <c r="C304" s="1639">
        <v>2123494058</v>
      </c>
      <c r="D304" s="457">
        <v>157453</v>
      </c>
      <c r="E304" s="1639">
        <v>272986810</v>
      </c>
      <c r="F304" s="457">
        <v>132201383</v>
      </c>
      <c r="G304" s="1639">
        <v>5535613</v>
      </c>
      <c r="H304" s="526">
        <f t="shared" si="8"/>
        <v>2715840512</v>
      </c>
      <c r="I304" s="784"/>
      <c r="M304" s="35"/>
      <c r="Q304" s="853"/>
      <c r="R304" s="853"/>
      <c r="S304" s="853"/>
      <c r="T304" s="853"/>
      <c r="U304" s="853"/>
      <c r="V304" s="853"/>
      <c r="W304" s="853"/>
    </row>
    <row r="305" spans="1:23">
      <c r="A305" s="85">
        <f t="shared" si="7"/>
        <v>2016.08</v>
      </c>
      <c r="B305" s="631">
        <v>292516710</v>
      </c>
      <c r="C305" s="1639">
        <v>2028089488</v>
      </c>
      <c r="D305" s="457">
        <v>222296</v>
      </c>
      <c r="E305" s="1639">
        <v>289736645</v>
      </c>
      <c r="F305" s="457">
        <v>137455836</v>
      </c>
      <c r="G305" s="1639">
        <v>7154949</v>
      </c>
      <c r="H305" s="526">
        <f t="shared" si="8"/>
        <v>2755175924</v>
      </c>
      <c r="I305" s="784"/>
      <c r="M305" s="35"/>
      <c r="Q305" s="853"/>
      <c r="R305" s="853"/>
      <c r="S305" s="853"/>
      <c r="T305" s="853"/>
      <c r="U305" s="853"/>
      <c r="V305" s="853"/>
      <c r="W305" s="853"/>
    </row>
    <row r="306" spans="1:23">
      <c r="A306" s="85">
        <f t="shared" si="7"/>
        <v>2016.09</v>
      </c>
      <c r="B306" s="631">
        <v>182569885</v>
      </c>
      <c r="C306" s="1639">
        <v>2180436782</v>
      </c>
      <c r="D306" s="457">
        <v>153950</v>
      </c>
      <c r="E306" s="1639">
        <v>326130859</v>
      </c>
      <c r="F306" s="457">
        <v>338155449</v>
      </c>
      <c r="G306" s="1639">
        <v>6713719</v>
      </c>
      <c r="H306" s="526">
        <f t="shared" si="8"/>
        <v>3034160644</v>
      </c>
      <c r="I306" s="784"/>
      <c r="M306" s="35"/>
      <c r="Q306" s="853"/>
      <c r="R306" s="853"/>
      <c r="S306" s="853"/>
      <c r="T306" s="853"/>
      <c r="U306" s="853"/>
      <c r="V306" s="853"/>
      <c r="W306" s="853"/>
    </row>
    <row r="307" spans="1:23">
      <c r="A307" s="85">
        <f t="shared" si="7"/>
        <v>2016.1</v>
      </c>
      <c r="B307" s="613">
        <v>257757976</v>
      </c>
      <c r="C307" s="1639">
        <v>2069836244</v>
      </c>
      <c r="D307" s="457">
        <v>143035</v>
      </c>
      <c r="E307" s="1639">
        <v>294421192</v>
      </c>
      <c r="F307" s="457">
        <v>129934356</v>
      </c>
      <c r="G307" s="1639">
        <v>6359439</v>
      </c>
      <c r="H307" s="526">
        <f t="shared" si="8"/>
        <v>2758452242</v>
      </c>
      <c r="I307" s="784"/>
      <c r="M307" s="35"/>
      <c r="Q307" s="853"/>
      <c r="R307" s="853"/>
      <c r="S307" s="853"/>
      <c r="T307" s="853"/>
      <c r="U307" s="853"/>
      <c r="V307" s="853"/>
      <c r="W307" s="853"/>
    </row>
    <row r="308" spans="1:23">
      <c r="A308" s="85">
        <f t="shared" si="7"/>
        <v>2016.11</v>
      </c>
      <c r="B308" s="613">
        <v>182162007</v>
      </c>
      <c r="C308" s="1639">
        <v>2209888992</v>
      </c>
      <c r="D308" s="457">
        <v>148612</v>
      </c>
      <c r="E308" s="1639">
        <v>325431955</v>
      </c>
      <c r="F308" s="457">
        <v>313280636</v>
      </c>
      <c r="G308" s="1639">
        <v>7263231</v>
      </c>
      <c r="H308" s="526">
        <f t="shared" si="8"/>
        <v>3038175433</v>
      </c>
      <c r="I308" s="784"/>
      <c r="M308" s="35"/>
      <c r="Q308" s="853"/>
      <c r="R308" s="853"/>
      <c r="S308" s="853"/>
      <c r="T308" s="853"/>
      <c r="U308" s="853"/>
      <c r="V308" s="853"/>
      <c r="W308" s="853"/>
    </row>
    <row r="309" spans="1:23">
      <c r="A309" s="85">
        <f t="shared" si="7"/>
        <v>2016.12</v>
      </c>
      <c r="B309" s="613">
        <v>266387360</v>
      </c>
      <c r="C309" s="1639">
        <v>2381368435</v>
      </c>
      <c r="D309" s="457">
        <v>146470</v>
      </c>
      <c r="E309" s="1639">
        <v>352449716</v>
      </c>
      <c r="F309" s="457">
        <v>237863087</v>
      </c>
      <c r="G309" s="1639">
        <v>7659404</v>
      </c>
      <c r="H309" s="526">
        <f t="shared" si="8"/>
        <v>3245874472</v>
      </c>
      <c r="I309" s="784"/>
      <c r="M309" s="35"/>
      <c r="Q309" s="853"/>
      <c r="R309" s="853"/>
      <c r="S309" s="853"/>
      <c r="T309" s="853"/>
      <c r="U309" s="853"/>
      <c r="V309" s="853"/>
      <c r="W309" s="853"/>
    </row>
    <row r="310" spans="1:23">
      <c r="A310" s="85">
        <f t="shared" si="7"/>
        <v>2017.01</v>
      </c>
      <c r="B310" s="613">
        <v>141537107</v>
      </c>
      <c r="C310" s="1639">
        <v>2530754197</v>
      </c>
      <c r="D310" s="457">
        <v>123544</v>
      </c>
      <c r="E310" s="1639">
        <v>333178168</v>
      </c>
      <c r="F310" s="457">
        <v>160251115</v>
      </c>
      <c r="G310" s="1639">
        <v>14840528</v>
      </c>
      <c r="H310" s="526">
        <f t="shared" ref="H310:H357" si="9">SUM(B310:G310)</f>
        <v>3180684659</v>
      </c>
      <c r="I310" s="784"/>
      <c r="M310" s="35"/>
      <c r="Q310" s="853"/>
      <c r="R310" s="853"/>
      <c r="S310" s="853"/>
      <c r="T310" s="853"/>
      <c r="U310" s="853"/>
      <c r="V310" s="853"/>
      <c r="W310" s="853"/>
    </row>
    <row r="311" spans="1:23">
      <c r="A311" s="85">
        <f t="shared" si="7"/>
        <v>2017.02</v>
      </c>
      <c r="B311" s="613">
        <v>584956917</v>
      </c>
      <c r="C311" s="1639">
        <v>2225366116</v>
      </c>
      <c r="D311" s="457">
        <v>121057</v>
      </c>
      <c r="E311" s="1639">
        <v>330888733</v>
      </c>
      <c r="F311" s="457">
        <v>520296116</v>
      </c>
      <c r="G311" s="1639">
        <v>7873242</v>
      </c>
      <c r="H311" s="526">
        <f t="shared" si="9"/>
        <v>3669502181</v>
      </c>
      <c r="I311" s="784"/>
      <c r="M311" s="35"/>
      <c r="Q311" s="853"/>
      <c r="R311" s="853"/>
      <c r="S311" s="853"/>
      <c r="T311" s="853"/>
      <c r="U311" s="853"/>
      <c r="V311" s="853"/>
      <c r="W311" s="853"/>
    </row>
    <row r="312" spans="1:23">
      <c r="A312" s="85">
        <f t="shared" si="7"/>
        <v>2017.03</v>
      </c>
      <c r="B312" s="613">
        <v>206584819</v>
      </c>
      <c r="C312" s="1639">
        <v>2057199234</v>
      </c>
      <c r="D312" s="457">
        <v>129038</v>
      </c>
      <c r="E312" s="1639">
        <v>343156200</v>
      </c>
      <c r="F312" s="457">
        <v>208900194</v>
      </c>
      <c r="G312" s="1639">
        <v>8943830</v>
      </c>
      <c r="H312" s="526">
        <f t="shared" si="9"/>
        <v>2824913315</v>
      </c>
      <c r="I312" s="784"/>
      <c r="M312" s="35"/>
      <c r="Q312" s="853"/>
      <c r="R312" s="853"/>
      <c r="S312" s="853"/>
      <c r="T312" s="853"/>
      <c r="U312" s="853"/>
      <c r="V312" s="853"/>
      <c r="W312" s="853"/>
    </row>
    <row r="313" spans="1:23">
      <c r="A313" s="85">
        <f t="shared" si="7"/>
        <v>2017.04</v>
      </c>
      <c r="B313" s="613">
        <v>305347514</v>
      </c>
      <c r="C313" s="1639">
        <v>2250503718</v>
      </c>
      <c r="D313" s="457">
        <v>118619</v>
      </c>
      <c r="E313" s="1639">
        <v>346564528</v>
      </c>
      <c r="F313" s="457">
        <v>387512752</v>
      </c>
      <c r="G313" s="1639">
        <v>20747695</v>
      </c>
      <c r="H313" s="526">
        <f t="shared" si="9"/>
        <v>3310794826</v>
      </c>
      <c r="I313" s="784"/>
      <c r="M313" s="35"/>
      <c r="Q313" s="853"/>
      <c r="R313" s="853"/>
      <c r="S313" s="853"/>
      <c r="T313" s="853"/>
      <c r="U313" s="853"/>
      <c r="V313" s="853"/>
      <c r="W313" s="853"/>
    </row>
    <row r="314" spans="1:23">
      <c r="A314" s="85">
        <f t="shared" si="7"/>
        <v>2017.05</v>
      </c>
      <c r="B314" s="613">
        <v>231633318</v>
      </c>
      <c r="C314" s="1639">
        <v>2460630680</v>
      </c>
      <c r="D314" s="457">
        <v>152352</v>
      </c>
      <c r="E314" s="1639">
        <v>368990026</v>
      </c>
      <c r="F314" s="457">
        <v>195300019</v>
      </c>
      <c r="G314" s="1639">
        <v>12155190</v>
      </c>
      <c r="H314" s="526">
        <f t="shared" si="9"/>
        <v>3268861585</v>
      </c>
      <c r="I314" s="784"/>
      <c r="M314" s="35"/>
      <c r="Q314" s="853"/>
      <c r="R314" s="853"/>
      <c r="S314" s="853"/>
      <c r="T314" s="853"/>
      <c r="U314" s="853"/>
      <c r="V314" s="853"/>
      <c r="W314" s="853"/>
    </row>
    <row r="315" spans="1:23">
      <c r="A315" s="614">
        <f t="shared" si="7"/>
        <v>2017.06</v>
      </c>
      <c r="B315" s="613">
        <v>341513820</v>
      </c>
      <c r="C315" s="1639">
        <v>2649660020</v>
      </c>
      <c r="D315" s="457">
        <v>120987</v>
      </c>
      <c r="E315" s="1639">
        <v>398090423</v>
      </c>
      <c r="F315" s="457">
        <v>422730342</v>
      </c>
      <c r="G315" s="1639">
        <v>7910054</v>
      </c>
      <c r="H315" s="526">
        <f t="shared" si="9"/>
        <v>3820025646</v>
      </c>
      <c r="I315" s="784"/>
      <c r="M315" s="35"/>
      <c r="Q315" s="853"/>
      <c r="R315" s="853"/>
      <c r="S315" s="853"/>
      <c r="T315" s="853"/>
      <c r="U315" s="853"/>
      <c r="V315" s="853"/>
      <c r="W315" s="853"/>
    </row>
    <row r="316" spans="1:23">
      <c r="A316" s="85">
        <f t="shared" si="7"/>
        <v>2017.07</v>
      </c>
      <c r="B316" s="613">
        <v>230997424</v>
      </c>
      <c r="C316" s="1639">
        <v>2717143448</v>
      </c>
      <c r="D316" s="457">
        <v>160338</v>
      </c>
      <c r="E316" s="1639">
        <v>399425050</v>
      </c>
      <c r="F316" s="457">
        <v>213864064</v>
      </c>
      <c r="G316" s="1639">
        <v>7976510</v>
      </c>
      <c r="H316" s="526">
        <f t="shared" si="9"/>
        <v>3569566834</v>
      </c>
      <c r="I316" s="784"/>
      <c r="M316" s="35"/>
      <c r="Q316" s="853"/>
      <c r="R316" s="853"/>
      <c r="S316" s="853"/>
      <c r="T316" s="853"/>
      <c r="U316" s="853"/>
      <c r="V316" s="853"/>
      <c r="W316" s="853"/>
    </row>
    <row r="317" spans="1:23">
      <c r="A317" s="85">
        <f t="shared" si="7"/>
        <v>2017.08</v>
      </c>
      <c r="B317" s="613">
        <v>339074369</v>
      </c>
      <c r="C317" s="1639">
        <v>2758889928</v>
      </c>
      <c r="D317" s="457">
        <v>221339</v>
      </c>
      <c r="E317" s="1639">
        <v>432999163</v>
      </c>
      <c r="F317" s="457">
        <v>181519396</v>
      </c>
      <c r="G317" s="1639">
        <v>8809985</v>
      </c>
      <c r="H317" s="526">
        <f>SUM(B317:G317)</f>
        <v>3721514180</v>
      </c>
      <c r="I317" s="784"/>
      <c r="M317" s="35"/>
      <c r="Q317" s="853"/>
      <c r="R317" s="853"/>
      <c r="S317" s="853"/>
      <c r="T317" s="853"/>
      <c r="U317" s="853"/>
      <c r="V317" s="853"/>
      <c r="W317" s="853"/>
    </row>
    <row r="318" spans="1:23">
      <c r="A318" s="85">
        <f t="shared" si="7"/>
        <v>2017.09</v>
      </c>
      <c r="B318" s="613">
        <v>259169932</v>
      </c>
      <c r="C318" s="1639">
        <v>2814566764</v>
      </c>
      <c r="D318" s="457">
        <v>419555</v>
      </c>
      <c r="E318" s="1639">
        <v>460875399</v>
      </c>
      <c r="F318" s="457">
        <v>377699542</v>
      </c>
      <c r="G318" s="1639">
        <v>9440100</v>
      </c>
      <c r="H318" s="526">
        <f t="shared" si="9"/>
        <v>3922171292</v>
      </c>
      <c r="I318" s="784"/>
      <c r="M318" s="35"/>
      <c r="Q318" s="853"/>
      <c r="R318" s="853"/>
      <c r="S318" s="853"/>
      <c r="T318" s="853"/>
      <c r="U318" s="853"/>
      <c r="V318" s="853"/>
      <c r="W318" s="853"/>
    </row>
    <row r="319" spans="1:23">
      <c r="A319" s="85">
        <f t="shared" si="7"/>
        <v>2017.1</v>
      </c>
      <c r="B319" s="613">
        <v>338566287</v>
      </c>
      <c r="C319" s="1639">
        <v>2691928865</v>
      </c>
      <c r="D319" s="457">
        <v>385177</v>
      </c>
      <c r="E319" s="1639">
        <v>438285347</v>
      </c>
      <c r="F319" s="457">
        <v>182400172</v>
      </c>
      <c r="G319" s="1639">
        <v>8174345</v>
      </c>
      <c r="H319" s="526">
        <f t="shared" si="9"/>
        <v>3659740193</v>
      </c>
      <c r="I319" s="784"/>
      <c r="M319" s="35"/>
      <c r="Q319" s="853"/>
      <c r="R319" s="853"/>
      <c r="S319" s="853"/>
      <c r="T319" s="853"/>
      <c r="U319" s="853"/>
      <c r="V319" s="853"/>
      <c r="W319" s="853"/>
    </row>
    <row r="320" spans="1:23">
      <c r="A320" s="85">
        <f t="shared" si="7"/>
        <v>2017.11</v>
      </c>
      <c r="B320" s="613">
        <v>266205724</v>
      </c>
      <c r="C320" s="1639">
        <v>2775041794</v>
      </c>
      <c r="D320" s="457">
        <v>130991</v>
      </c>
      <c r="E320" s="1639">
        <v>460762811</v>
      </c>
      <c r="F320" s="457">
        <v>382807968</v>
      </c>
      <c r="G320" s="1639">
        <v>9072166</v>
      </c>
      <c r="H320" s="526">
        <f>SUM(B320:G320)</f>
        <v>3894021454</v>
      </c>
      <c r="I320" s="784"/>
      <c r="M320" s="35"/>
      <c r="Q320" s="853"/>
      <c r="R320" s="853"/>
      <c r="S320" s="853"/>
      <c r="T320" s="853"/>
      <c r="U320" s="853"/>
      <c r="V320" s="853"/>
      <c r="W320" s="853"/>
    </row>
    <row r="321" spans="1:24">
      <c r="A321" s="85">
        <f t="shared" si="7"/>
        <v>2017.12</v>
      </c>
      <c r="B321" s="631">
        <v>354089367.00000012</v>
      </c>
      <c r="C321" s="1639">
        <v>2809468153</v>
      </c>
      <c r="D321" s="457">
        <v>118864</v>
      </c>
      <c r="E321" s="1639">
        <v>470213862</v>
      </c>
      <c r="F321" s="457">
        <v>293138625</v>
      </c>
      <c r="G321" s="1639">
        <v>9968189</v>
      </c>
      <c r="H321" s="526">
        <f t="shared" si="9"/>
        <v>3936997060</v>
      </c>
      <c r="I321" s="784"/>
      <c r="M321" s="35"/>
      <c r="Q321" s="853"/>
      <c r="R321" s="853"/>
      <c r="S321" s="853"/>
      <c r="T321" s="853"/>
      <c r="U321" s="853"/>
      <c r="V321" s="853"/>
      <c r="W321" s="853"/>
    </row>
    <row r="322" spans="1:24">
      <c r="A322" s="85">
        <f t="shared" si="7"/>
        <v>2018.01</v>
      </c>
      <c r="B322" s="50">
        <v>132836384.06999999</v>
      </c>
      <c r="C322" s="1365">
        <v>2980280972.5599999</v>
      </c>
      <c r="D322" s="73">
        <v>204333.45</v>
      </c>
      <c r="E322" s="1365">
        <v>484901630.26999998</v>
      </c>
      <c r="F322" s="73">
        <v>227931959.53</v>
      </c>
      <c r="G322" s="1365">
        <v>8647351.5700000003</v>
      </c>
      <c r="H322" s="526">
        <f t="shared" si="9"/>
        <v>3834802631.4500003</v>
      </c>
      <c r="I322" s="784"/>
      <c r="M322" s="35"/>
      <c r="Q322" s="853"/>
      <c r="R322" s="853"/>
      <c r="S322" s="853"/>
      <c r="T322" s="853"/>
      <c r="U322" s="853"/>
      <c r="V322" s="853"/>
      <c r="W322" s="853"/>
    </row>
    <row r="323" spans="1:24">
      <c r="A323" s="85">
        <f t="shared" si="7"/>
        <v>2018.02</v>
      </c>
      <c r="B323" s="2023">
        <v>444379580.19999999</v>
      </c>
      <c r="C323" s="2027">
        <v>2725723988.1700001</v>
      </c>
      <c r="D323" s="2028">
        <v>106860.94</v>
      </c>
      <c r="E323" s="2027">
        <v>449894177.44999999</v>
      </c>
      <c r="F323" s="2028">
        <v>621974948.19000006</v>
      </c>
      <c r="G323" s="2027">
        <v>8743210</v>
      </c>
      <c r="H323" s="526">
        <f t="shared" si="9"/>
        <v>4250822764.9499998</v>
      </c>
      <c r="I323" s="784"/>
      <c r="M323" s="35"/>
      <c r="Q323" s="853"/>
      <c r="R323" s="853"/>
      <c r="S323" s="853"/>
      <c r="T323" s="853"/>
      <c r="U323" s="853"/>
      <c r="V323" s="853"/>
      <c r="W323" s="853"/>
    </row>
    <row r="324" spans="1:24">
      <c r="A324" s="85">
        <f t="shared" si="7"/>
        <v>2018.03</v>
      </c>
      <c r="B324" s="2023">
        <v>119149146.97</v>
      </c>
      <c r="C324" s="2027">
        <v>2787202218.0599999</v>
      </c>
      <c r="D324" s="2028">
        <v>136199.1</v>
      </c>
      <c r="E324" s="2027">
        <v>477146233.63999999</v>
      </c>
      <c r="F324" s="2028">
        <v>249635081.50999999</v>
      </c>
      <c r="G324" s="2027">
        <v>8312069.4500000002</v>
      </c>
      <c r="H324" s="526">
        <f t="shared" si="9"/>
        <v>3641580948.7299995</v>
      </c>
      <c r="I324" s="784"/>
      <c r="K324" s="1067"/>
      <c r="M324" s="35"/>
      <c r="Q324" s="853"/>
      <c r="R324" s="853"/>
      <c r="S324" s="853"/>
      <c r="T324" s="853"/>
      <c r="U324" s="853"/>
      <c r="V324" s="853"/>
      <c r="W324" s="853"/>
    </row>
    <row r="325" spans="1:24">
      <c r="A325" s="85">
        <f t="shared" si="7"/>
        <v>2018.04</v>
      </c>
      <c r="B325" s="2023">
        <v>117322110.86</v>
      </c>
      <c r="C325" s="2027">
        <v>2990322365.98</v>
      </c>
      <c r="D325" s="2028">
        <v>315726.52</v>
      </c>
      <c r="E325" s="2027">
        <v>461808027.75</v>
      </c>
      <c r="F325" s="2028">
        <v>474335106.44999999</v>
      </c>
      <c r="G325" s="2027">
        <v>8744090.7599999998</v>
      </c>
      <c r="H325" s="526">
        <f t="shared" si="9"/>
        <v>4052847428.3200002</v>
      </c>
      <c r="I325" s="784"/>
      <c r="K325" s="1067"/>
      <c r="M325" s="35"/>
      <c r="Q325" s="853"/>
      <c r="R325" s="853"/>
      <c r="S325" s="853"/>
      <c r="T325" s="853"/>
      <c r="U325" s="853"/>
      <c r="V325" s="853"/>
      <c r="W325" s="853"/>
    </row>
    <row r="326" spans="1:24">
      <c r="A326" s="85">
        <f t="shared" si="7"/>
        <v>2018.05</v>
      </c>
      <c r="B326" s="2023">
        <v>640365146.02999997</v>
      </c>
      <c r="C326" s="2027">
        <v>3153485979.1900001</v>
      </c>
      <c r="D326" s="2028">
        <v>134064.6</v>
      </c>
      <c r="E326" s="2027">
        <v>510492647.64999998</v>
      </c>
      <c r="F326" s="2028">
        <v>242574071.81</v>
      </c>
      <c r="G326" s="2027">
        <v>8842871.4299999997</v>
      </c>
      <c r="H326" s="526">
        <f t="shared" si="9"/>
        <v>4555894780.710001</v>
      </c>
      <c r="I326" s="784"/>
      <c r="K326" s="1067"/>
      <c r="M326" s="35"/>
      <c r="Q326" s="853"/>
      <c r="R326" s="853"/>
      <c r="S326" s="853"/>
      <c r="T326" s="853"/>
      <c r="U326" s="853"/>
      <c r="V326" s="853"/>
      <c r="W326" s="853"/>
    </row>
    <row r="327" spans="1:24">
      <c r="A327" s="85">
        <f t="shared" si="7"/>
        <v>2018.06</v>
      </c>
      <c r="B327" s="2023">
        <v>499071538.80000001</v>
      </c>
      <c r="C327" s="2027">
        <v>3476759122.1599998</v>
      </c>
      <c r="D327" s="2028">
        <v>114833.94</v>
      </c>
      <c r="E327" s="2027">
        <v>528517782.95999998</v>
      </c>
      <c r="F327" s="2028">
        <v>469147118.39999998</v>
      </c>
      <c r="G327" s="2027">
        <v>9538199.0099999998</v>
      </c>
      <c r="H327" s="526">
        <f t="shared" si="9"/>
        <v>4983148595.2699995</v>
      </c>
      <c r="I327" s="784"/>
      <c r="M327" s="35"/>
      <c r="Q327" s="853"/>
      <c r="R327" s="853"/>
      <c r="S327" s="853"/>
      <c r="T327" s="853"/>
      <c r="U327" s="853"/>
      <c r="V327" s="853"/>
      <c r="W327" s="853"/>
      <c r="X327" s="853"/>
    </row>
    <row r="328" spans="1:24">
      <c r="A328" s="85">
        <f t="shared" si="7"/>
        <v>2018.07</v>
      </c>
      <c r="B328" s="2023">
        <v>217774170.66</v>
      </c>
      <c r="C328" s="2027">
        <v>3469461155.1799998</v>
      </c>
      <c r="D328" s="2028">
        <v>115506.04</v>
      </c>
      <c r="E328" s="2027">
        <v>487893272.55000001</v>
      </c>
      <c r="F328" s="2028">
        <v>269798278.85000002</v>
      </c>
      <c r="G328" s="2027">
        <v>9683448.7300000004</v>
      </c>
      <c r="H328" s="526">
        <f t="shared" si="9"/>
        <v>4454725832.0099993</v>
      </c>
      <c r="I328" s="784"/>
      <c r="J328" s="640"/>
      <c r="M328" s="35"/>
    </row>
    <row r="329" spans="1:24">
      <c r="A329" s="85">
        <f t="shared" si="7"/>
        <v>2018.08</v>
      </c>
      <c r="B329" s="2023">
        <v>680096633.07000005</v>
      </c>
      <c r="C329" s="2027">
        <v>3635753440.6500001</v>
      </c>
      <c r="D329" s="2028">
        <v>98070.51</v>
      </c>
      <c r="E329" s="2027">
        <v>515518241.41000003</v>
      </c>
      <c r="F329" s="2028">
        <v>209429178.63999999</v>
      </c>
      <c r="G329" s="2027">
        <v>9716727.0099999998</v>
      </c>
      <c r="H329" s="526">
        <f t="shared" si="9"/>
        <v>5050612291.2900009</v>
      </c>
      <c r="I329" s="784"/>
      <c r="M329" s="35"/>
    </row>
    <row r="330" spans="1:24">
      <c r="A330" s="85">
        <f t="shared" si="7"/>
        <v>2018.09</v>
      </c>
      <c r="B330" s="2023">
        <v>593768030.65999997</v>
      </c>
      <c r="C330" s="2027">
        <v>3926127027.1599998</v>
      </c>
      <c r="D330" s="2028">
        <v>106448.57</v>
      </c>
      <c r="E330" s="2027">
        <v>490298427.74000001</v>
      </c>
      <c r="F330" s="2028">
        <v>416356204.77999997</v>
      </c>
      <c r="G330" s="2027">
        <v>9726137.3000000007</v>
      </c>
      <c r="H330" s="526">
        <f t="shared" si="9"/>
        <v>5436382276.2099991</v>
      </c>
      <c r="I330" s="784"/>
      <c r="M330" s="35"/>
    </row>
    <row r="331" spans="1:24">
      <c r="A331" s="85">
        <f t="shared" si="7"/>
        <v>2018.1</v>
      </c>
      <c r="B331" s="2024">
        <v>222885613</v>
      </c>
      <c r="C331" s="2027">
        <v>4048372283.8400002</v>
      </c>
      <c r="D331" s="2028">
        <v>405113.39</v>
      </c>
      <c r="E331" s="2027">
        <v>505678908.87</v>
      </c>
      <c r="F331" s="2028">
        <v>202809736.13999999</v>
      </c>
      <c r="G331" s="2027">
        <v>13800548.399999619</v>
      </c>
      <c r="H331" s="526">
        <f t="shared" si="9"/>
        <v>4993952203.6400003</v>
      </c>
      <c r="I331" s="784"/>
      <c r="J331" s="955"/>
      <c r="K331" s="414"/>
      <c r="M331" s="35"/>
    </row>
    <row r="332" spans="1:24">
      <c r="A332" s="85">
        <f t="shared" si="7"/>
        <v>2018.11</v>
      </c>
      <c r="B332" s="2024">
        <v>603488287.04999995</v>
      </c>
      <c r="C332" s="2027">
        <v>4213651708.1100001</v>
      </c>
      <c r="D332" s="2028">
        <v>206981.8</v>
      </c>
      <c r="E332" s="2027">
        <v>517427212.58999997</v>
      </c>
      <c r="F332" s="2028">
        <v>417331267.67000002</v>
      </c>
      <c r="G332" s="2027">
        <v>10936879.390000001</v>
      </c>
      <c r="H332" s="526">
        <f t="shared" si="9"/>
        <v>5763042336.6100006</v>
      </c>
      <c r="I332" s="784"/>
      <c r="J332" s="414"/>
      <c r="M332" s="35"/>
    </row>
    <row r="333" spans="1:24">
      <c r="A333" s="85">
        <f t="shared" si="7"/>
        <v>2018.12</v>
      </c>
      <c r="B333" s="2024">
        <v>661290896.80999994</v>
      </c>
      <c r="C333" s="2027">
        <v>4176915143.8699999</v>
      </c>
      <c r="D333" s="2028">
        <v>67205.740000000005</v>
      </c>
      <c r="E333" s="2027">
        <v>526325085.19999999</v>
      </c>
      <c r="F333" s="2028">
        <v>343717818.86000001</v>
      </c>
      <c r="G333" s="2027">
        <v>14328782.279999999</v>
      </c>
      <c r="H333" s="526">
        <f t="shared" si="9"/>
        <v>5722644932.7599993</v>
      </c>
      <c r="I333" s="784"/>
      <c r="J333" s="2310"/>
      <c r="M333" s="35"/>
    </row>
    <row r="334" spans="1:24">
      <c r="A334" s="85">
        <f t="shared" si="7"/>
        <v>2019.01</v>
      </c>
      <c r="B334" s="2024">
        <v>181575410.78</v>
      </c>
      <c r="C334" s="2027">
        <v>4233183377.0799999</v>
      </c>
      <c r="D334" s="2028">
        <v>109584.32000000001</v>
      </c>
      <c r="E334" s="2027">
        <v>493044828.77999997</v>
      </c>
      <c r="F334" s="2028">
        <v>245001663.83000001</v>
      </c>
      <c r="G334" s="2027">
        <v>10809654.380000001</v>
      </c>
      <c r="H334" s="526">
        <f t="shared" si="9"/>
        <v>5163724519.1699991</v>
      </c>
      <c r="I334" s="784"/>
      <c r="J334" s="35"/>
      <c r="M334" s="35"/>
    </row>
    <row r="335" spans="1:24">
      <c r="A335" s="85">
        <f t="shared" si="7"/>
        <v>2019.02</v>
      </c>
      <c r="B335" s="2024">
        <v>949182514.80999994</v>
      </c>
      <c r="C335" s="2027">
        <v>4274503667.3200002</v>
      </c>
      <c r="D335" s="2028">
        <v>72671.27</v>
      </c>
      <c r="E335" s="2027">
        <v>460230851.75</v>
      </c>
      <c r="F335" s="2028">
        <v>814069295.76999998</v>
      </c>
      <c r="G335" s="2027">
        <v>12019316.789999999</v>
      </c>
      <c r="H335" s="526">
        <f t="shared" si="9"/>
        <v>6510078317.71</v>
      </c>
      <c r="I335" s="784"/>
      <c r="J335" s="2328"/>
      <c r="M335" s="35"/>
    </row>
    <row r="336" spans="1:24">
      <c r="A336" s="85">
        <f t="shared" si="7"/>
        <v>2019.03</v>
      </c>
      <c r="B336" s="2024">
        <v>450675897.56999999</v>
      </c>
      <c r="C336" s="2027">
        <v>4060371007.9200001</v>
      </c>
      <c r="D336" s="2028">
        <v>75051.960000000006</v>
      </c>
      <c r="E336" s="2027">
        <v>426995820.49000001</v>
      </c>
      <c r="F336" s="2028">
        <v>320136368.74000001</v>
      </c>
      <c r="G336" s="2027">
        <v>10744545.98</v>
      </c>
      <c r="H336" s="526">
        <f>SUM(B336:G336)</f>
        <v>5268998692.6599989</v>
      </c>
      <c r="I336" s="784"/>
      <c r="J336" s="2329"/>
      <c r="M336" s="35"/>
    </row>
    <row r="337" spans="1:13">
      <c r="A337" s="85">
        <f t="shared" si="7"/>
        <v>2019.04</v>
      </c>
      <c r="B337" s="613">
        <v>536169975.56</v>
      </c>
      <c r="C337" s="1639">
        <v>4424954328.0699997</v>
      </c>
      <c r="D337" s="457">
        <v>64286.1</v>
      </c>
      <c r="E337" s="1639">
        <v>475527763.25</v>
      </c>
      <c r="F337" s="457">
        <v>627855218.58000004</v>
      </c>
      <c r="G337" s="1639">
        <v>11152879.74</v>
      </c>
      <c r="H337" s="526">
        <f t="shared" si="9"/>
        <v>6075724451.3000002</v>
      </c>
      <c r="I337" s="784"/>
      <c r="M337" s="35"/>
    </row>
    <row r="338" spans="1:13">
      <c r="A338" s="85">
        <f t="shared" si="7"/>
        <v>2019.05</v>
      </c>
      <c r="B338" s="631">
        <v>455195854.94</v>
      </c>
      <c r="C338" s="1639">
        <v>4708137639.4099998</v>
      </c>
      <c r="D338" s="457">
        <v>119907.93</v>
      </c>
      <c r="E338" s="1639">
        <v>486270070.85000002</v>
      </c>
      <c r="F338" s="457">
        <v>329753185.82999998</v>
      </c>
      <c r="G338" s="1639">
        <v>12400465.939999999</v>
      </c>
      <c r="H338" s="526">
        <f t="shared" si="9"/>
        <v>5991877124.8999996</v>
      </c>
      <c r="I338" s="784"/>
      <c r="M338" s="35"/>
    </row>
    <row r="339" spans="1:13">
      <c r="A339" s="85">
        <f t="shared" ref="A339:A402" si="10">A327+1</f>
        <v>2019.06</v>
      </c>
      <c r="B339" s="631">
        <v>481758777</v>
      </c>
      <c r="C339" s="1639">
        <v>4707904644.5699997</v>
      </c>
      <c r="D339" s="457">
        <v>69859.17</v>
      </c>
      <c r="E339" s="1639">
        <v>604375382.65999997</v>
      </c>
      <c r="F339" s="457">
        <v>606141255.58000004</v>
      </c>
      <c r="G339" s="1639">
        <v>12911838.810000001</v>
      </c>
      <c r="H339" s="526">
        <f t="shared" si="9"/>
        <v>6413161757.79</v>
      </c>
      <c r="I339" s="784"/>
      <c r="J339" s="2364"/>
      <c r="M339" s="35"/>
    </row>
    <row r="340" spans="1:13">
      <c r="A340" s="85">
        <f t="shared" si="10"/>
        <v>2019.07</v>
      </c>
      <c r="B340" s="631">
        <v>561521616.44000006</v>
      </c>
      <c r="C340" s="1639">
        <v>4657143837.5500002</v>
      </c>
      <c r="D340" s="457">
        <v>92978.23</v>
      </c>
      <c r="E340" s="1639">
        <v>500982119.31</v>
      </c>
      <c r="F340" s="457">
        <v>350898844.00999999</v>
      </c>
      <c r="G340" s="1639">
        <v>13037781.390000001</v>
      </c>
      <c r="H340" s="526">
        <f t="shared" si="9"/>
        <v>6083677176.9300003</v>
      </c>
      <c r="I340" s="784"/>
      <c r="M340" s="35"/>
    </row>
    <row r="341" spans="1:13">
      <c r="A341" s="85">
        <f t="shared" si="10"/>
        <v>2019.08</v>
      </c>
      <c r="B341" s="631">
        <v>778511135.01999998</v>
      </c>
      <c r="C341" s="1639">
        <v>5138260513.21</v>
      </c>
      <c r="D341" s="457">
        <v>68074.84</v>
      </c>
      <c r="E341" s="1639">
        <v>587022150.38999999</v>
      </c>
      <c r="F341" s="457">
        <v>313992914.58999997</v>
      </c>
      <c r="G341" s="1639">
        <v>14328969.33</v>
      </c>
      <c r="H341" s="526">
        <f t="shared" si="9"/>
        <v>6832183757.3800001</v>
      </c>
      <c r="I341" s="784"/>
      <c r="M341" s="35"/>
    </row>
    <row r="342" spans="1:13">
      <c r="A342" s="85">
        <f t="shared" si="10"/>
        <v>2019.09</v>
      </c>
      <c r="B342" s="631">
        <v>556076364.45000005</v>
      </c>
      <c r="C342" s="1639">
        <v>5623382211.6199999</v>
      </c>
      <c r="D342" s="457">
        <v>76693.490000000005</v>
      </c>
      <c r="E342" s="1639">
        <v>558120910.75999999</v>
      </c>
      <c r="F342" s="457">
        <v>671517821.13</v>
      </c>
      <c r="G342" s="1639">
        <v>14986152.27</v>
      </c>
      <c r="H342" s="526">
        <f t="shared" si="9"/>
        <v>7424160153.7200003</v>
      </c>
      <c r="I342" s="784"/>
      <c r="K342" s="414"/>
      <c r="M342" s="35"/>
    </row>
    <row r="343" spans="1:13">
      <c r="A343" s="85">
        <f t="shared" si="10"/>
        <v>2019.1</v>
      </c>
      <c r="B343" s="2024">
        <v>705415359.90999997</v>
      </c>
      <c r="C343" s="2027">
        <v>5564225923.7700005</v>
      </c>
      <c r="D343" s="457">
        <v>119364.19</v>
      </c>
      <c r="E343" s="1639">
        <v>568025538.45000005</v>
      </c>
      <c r="F343" s="457">
        <v>312201085.24000001</v>
      </c>
      <c r="G343" s="1639">
        <v>15420107.32</v>
      </c>
      <c r="H343" s="526">
        <f t="shared" si="9"/>
        <v>7165407378.8799992</v>
      </c>
      <c r="I343" s="784"/>
      <c r="M343" s="35"/>
    </row>
    <row r="344" spans="1:13">
      <c r="A344" s="85">
        <f t="shared" si="10"/>
        <v>2019.11</v>
      </c>
      <c r="B344" s="613">
        <v>537163991.35000002</v>
      </c>
      <c r="C344" s="1639">
        <v>6273247365.5699997</v>
      </c>
      <c r="D344" s="457">
        <v>102196.45</v>
      </c>
      <c r="E344" s="1639">
        <v>619512737.80999994</v>
      </c>
      <c r="F344" s="457">
        <v>587170385.28999996</v>
      </c>
      <c r="G344" s="1639">
        <v>18703002.199999999</v>
      </c>
      <c r="H344" s="526">
        <f>SUM(B344:G344)</f>
        <v>8035899678.6700001</v>
      </c>
      <c r="I344" s="784"/>
      <c r="K344" s="1067"/>
      <c r="M344" s="35"/>
    </row>
    <row r="345" spans="1:13">
      <c r="A345" s="85">
        <f t="shared" si="10"/>
        <v>2019.12</v>
      </c>
      <c r="B345" s="613">
        <v>698107609.96000004</v>
      </c>
      <c r="C345" s="1639">
        <v>6251114476.1000004</v>
      </c>
      <c r="D345" s="457">
        <v>111352.86</v>
      </c>
      <c r="E345" s="1639">
        <v>636980288.34000003</v>
      </c>
      <c r="F345" s="457">
        <v>616057061.89999998</v>
      </c>
      <c r="G345" s="1639">
        <v>15358025.74</v>
      </c>
      <c r="H345" s="526">
        <f t="shared" si="9"/>
        <v>8217728814.8999996</v>
      </c>
      <c r="I345" s="784"/>
      <c r="M345" s="35"/>
    </row>
    <row r="346" spans="1:13">
      <c r="A346" s="85">
        <f t="shared" si="10"/>
        <v>2020.01</v>
      </c>
      <c r="B346" s="50">
        <v>210591660.44999999</v>
      </c>
      <c r="C346" s="1365">
        <v>6457025387.0600004</v>
      </c>
      <c r="D346" s="73">
        <v>86819.81</v>
      </c>
      <c r="E346" s="1365">
        <v>612578160.32000005</v>
      </c>
      <c r="F346" s="73">
        <v>376319435.31</v>
      </c>
      <c r="G346" s="1365">
        <v>15868420.630000001</v>
      </c>
      <c r="H346" s="526">
        <f t="shared" si="9"/>
        <v>7672469883.5800009</v>
      </c>
      <c r="I346" s="784"/>
      <c r="J346" s="1067"/>
      <c r="K346" s="414"/>
      <c r="M346" s="35"/>
    </row>
    <row r="347" spans="1:13">
      <c r="A347" s="85">
        <f t="shared" si="10"/>
        <v>2020.02</v>
      </c>
      <c r="B347" s="613">
        <v>1641676011.51</v>
      </c>
      <c r="C347" s="1639">
        <v>6129152444.6800003</v>
      </c>
      <c r="D347" s="457">
        <v>170599.27</v>
      </c>
      <c r="E347" s="1639">
        <v>599862057.74000001</v>
      </c>
      <c r="F347" s="457">
        <v>1253384570.9100001</v>
      </c>
      <c r="G347" s="1639">
        <v>17431920.920000002</v>
      </c>
      <c r="H347" s="526">
        <f t="shared" si="9"/>
        <v>9641677605.0300007</v>
      </c>
      <c r="I347" s="784"/>
      <c r="K347" s="1067"/>
      <c r="M347" s="35"/>
    </row>
    <row r="348" spans="1:13">
      <c r="A348" s="85">
        <f t="shared" si="10"/>
        <v>2020.03</v>
      </c>
      <c r="B348" s="50">
        <v>694345285.87</v>
      </c>
      <c r="C348" s="1365">
        <v>5555525392.6199999</v>
      </c>
      <c r="D348" s="73">
        <v>198601.34</v>
      </c>
      <c r="E348" s="1365">
        <v>500435532.63</v>
      </c>
      <c r="F348" s="73">
        <v>402876339.77999997</v>
      </c>
      <c r="G348" s="1365">
        <v>12842398.25</v>
      </c>
      <c r="H348" s="526">
        <f t="shared" si="9"/>
        <v>7166223550.4899998</v>
      </c>
      <c r="I348" s="784"/>
      <c r="M348" s="35"/>
    </row>
    <row r="349" spans="1:13">
      <c r="A349" s="85">
        <f t="shared" si="10"/>
        <v>2020.04</v>
      </c>
      <c r="B349" s="50">
        <v>670511853.77999997</v>
      </c>
      <c r="C349" s="1365">
        <v>5144586606.7600002</v>
      </c>
      <c r="D349" s="73">
        <v>154840</v>
      </c>
      <c r="E349" s="1365">
        <v>333974844.27999997</v>
      </c>
      <c r="F349" s="73">
        <v>663977509.21000004</v>
      </c>
      <c r="G349" s="1365">
        <v>3478563.98</v>
      </c>
      <c r="H349" s="526">
        <f t="shared" si="9"/>
        <v>6816684218.0099993</v>
      </c>
      <c r="I349" s="784"/>
      <c r="K349" s="414"/>
      <c r="M349" s="35"/>
    </row>
    <row r="350" spans="1:13">
      <c r="A350" s="85">
        <f t="shared" si="10"/>
        <v>2020.05</v>
      </c>
      <c r="B350" s="50">
        <v>817122248.29999995</v>
      </c>
      <c r="C350" s="1365">
        <v>6375791693.8500004</v>
      </c>
      <c r="D350" s="1365">
        <v>305320.39</v>
      </c>
      <c r="E350" s="1365">
        <v>387764369.04000002</v>
      </c>
      <c r="F350" s="73">
        <v>494536738.13999999</v>
      </c>
      <c r="G350" s="1365">
        <v>10312714.220000001</v>
      </c>
      <c r="H350" s="526">
        <f t="shared" si="9"/>
        <v>8085833083.9400015</v>
      </c>
      <c r="I350" s="784"/>
      <c r="M350" s="35"/>
    </row>
    <row r="351" spans="1:13">
      <c r="A351" s="85">
        <f t="shared" si="10"/>
        <v>2020.06</v>
      </c>
      <c r="B351" s="50">
        <v>1085559253.3699999</v>
      </c>
      <c r="C351" s="1365">
        <v>6707421117.8699999</v>
      </c>
      <c r="D351" s="1365">
        <v>525306.74</v>
      </c>
      <c r="E351" s="1365">
        <v>597292097.39999998</v>
      </c>
      <c r="F351" s="73">
        <v>1114962680.76</v>
      </c>
      <c r="G351" s="1365">
        <v>7145877.4400000004</v>
      </c>
      <c r="H351" s="526">
        <f t="shared" si="9"/>
        <v>9512906333.5799999</v>
      </c>
      <c r="I351" s="784"/>
      <c r="J351" s="414"/>
      <c r="M351" s="35"/>
    </row>
    <row r="352" spans="1:13">
      <c r="A352" s="85">
        <f t="shared" si="10"/>
        <v>2020.07</v>
      </c>
      <c r="B352" s="50">
        <v>857854114.14999998</v>
      </c>
      <c r="C352" s="1365">
        <v>7670138926.1999998</v>
      </c>
      <c r="D352" s="73">
        <v>32154.47</v>
      </c>
      <c r="E352" s="1365">
        <v>701307059.70000005</v>
      </c>
      <c r="F352" s="73">
        <v>537088422.63</v>
      </c>
      <c r="G352" s="1365">
        <v>8918285.3100000005</v>
      </c>
      <c r="H352" s="526">
        <f t="shared" ref="H352" si="11">SUM(B352:G352)</f>
        <v>9775338962.4599991</v>
      </c>
      <c r="I352" s="784"/>
      <c r="M352" s="35"/>
    </row>
    <row r="353" spans="1:13">
      <c r="A353" s="85">
        <f t="shared" si="10"/>
        <v>2020.08</v>
      </c>
      <c r="B353" s="50">
        <v>921435089.5</v>
      </c>
      <c r="C353" s="1365">
        <v>7863037288.5699997</v>
      </c>
      <c r="D353" s="73">
        <v>51289.66</v>
      </c>
      <c r="E353" s="1365">
        <v>715255009.75</v>
      </c>
      <c r="F353" s="73">
        <v>506090021.75</v>
      </c>
      <c r="G353" s="1365">
        <v>5246490.25</v>
      </c>
      <c r="H353" s="526">
        <f t="shared" si="9"/>
        <v>10011115189.48</v>
      </c>
      <c r="I353" s="784"/>
      <c r="J353" s="1067"/>
      <c r="M353" s="35"/>
    </row>
    <row r="354" spans="1:13">
      <c r="A354" s="85">
        <f t="shared" si="10"/>
        <v>2020.09</v>
      </c>
      <c r="B354" s="2419">
        <v>819354365.39999998</v>
      </c>
      <c r="C354" s="1639">
        <v>7650547842.9300003</v>
      </c>
      <c r="D354" s="457">
        <v>145332.57</v>
      </c>
      <c r="E354" s="1639">
        <v>784289786.84000003</v>
      </c>
      <c r="F354" s="457">
        <v>979750345</v>
      </c>
      <c r="G354" s="1639">
        <v>5196622.57</v>
      </c>
      <c r="H354" s="526">
        <f t="shared" si="9"/>
        <v>10239284295.309999</v>
      </c>
      <c r="I354" s="784"/>
      <c r="J354" s="1067"/>
      <c r="M354" s="35"/>
    </row>
    <row r="355" spans="1:13">
      <c r="A355" s="85">
        <f t="shared" si="10"/>
        <v>2020.1</v>
      </c>
      <c r="B355" s="50">
        <v>888648932.50999999</v>
      </c>
      <c r="C355" s="1365">
        <v>8068730406.6700001</v>
      </c>
      <c r="D355" s="73">
        <v>34365.620000000003</v>
      </c>
      <c r="E355" s="1365">
        <v>720820723.72000003</v>
      </c>
      <c r="F355" s="73">
        <v>471672411.18000001</v>
      </c>
      <c r="G355" s="1365">
        <v>8570156.1799999997</v>
      </c>
      <c r="H355" s="526">
        <f t="shared" si="9"/>
        <v>10158476995.880001</v>
      </c>
      <c r="I355" s="784"/>
      <c r="J355" s="2310"/>
      <c r="M355" s="35"/>
    </row>
    <row r="356" spans="1:13">
      <c r="A356" s="85">
        <f t="shared" si="10"/>
        <v>2020.11</v>
      </c>
      <c r="B356" s="50">
        <v>760272628.82000005</v>
      </c>
      <c r="C356" s="1365">
        <v>8757251122.3199997</v>
      </c>
      <c r="D356" s="73">
        <v>46590.54</v>
      </c>
      <c r="E356" s="1365">
        <v>846038236.95000005</v>
      </c>
      <c r="F356" s="457">
        <v>940431583.30999994</v>
      </c>
      <c r="G356" s="1365">
        <v>8954580.2200000007</v>
      </c>
      <c r="H356" s="526">
        <f t="shared" si="9"/>
        <v>11312994742.16</v>
      </c>
      <c r="I356" s="784"/>
      <c r="K356" s="414"/>
      <c r="M356" s="35"/>
    </row>
    <row r="357" spans="1:13">
      <c r="A357" s="85">
        <f t="shared" si="10"/>
        <v>2020.12</v>
      </c>
      <c r="B357" s="50">
        <v>935953918.74000001</v>
      </c>
      <c r="C357" s="1365">
        <v>7885531756.25</v>
      </c>
      <c r="D357" s="73">
        <v>32494</v>
      </c>
      <c r="E357" s="1365">
        <v>844300829.28999996</v>
      </c>
      <c r="F357" s="457">
        <v>960058883.73000002</v>
      </c>
      <c r="G357" s="1365">
        <v>10285648.300000001</v>
      </c>
      <c r="H357" s="526">
        <f t="shared" si="9"/>
        <v>10636163530.309998</v>
      </c>
      <c r="I357" s="784"/>
      <c r="J357" s="2667"/>
      <c r="K357" s="414"/>
      <c r="M357" s="35"/>
    </row>
    <row r="358" spans="1:13">
      <c r="A358" s="85">
        <f t="shared" si="10"/>
        <v>2021.01</v>
      </c>
      <c r="B358" s="50">
        <v>328378146.30000001</v>
      </c>
      <c r="C358" s="1365">
        <v>9153626259.3099995</v>
      </c>
      <c r="D358" s="457">
        <v>39875</v>
      </c>
      <c r="E358" s="1365">
        <v>908168901.70000005</v>
      </c>
      <c r="F358" s="73">
        <v>504864919.35000002</v>
      </c>
      <c r="G358" s="1365">
        <v>8791586.9199999999</v>
      </c>
      <c r="H358" s="526">
        <f t="shared" ref="H358:H417" si="12">SUM(B358:G358)</f>
        <v>10903869688.58</v>
      </c>
      <c r="I358" s="784"/>
      <c r="J358" s="2667"/>
      <c r="M358" s="35"/>
    </row>
    <row r="359" spans="1:13">
      <c r="A359" s="85">
        <f t="shared" si="10"/>
        <v>2021.02</v>
      </c>
      <c r="B359" s="50">
        <v>2561626396.4299998</v>
      </c>
      <c r="C359" s="1365">
        <v>8449710999.8100004</v>
      </c>
      <c r="D359" s="73">
        <v>66893.19</v>
      </c>
      <c r="E359" s="1365">
        <v>873881654.76999998</v>
      </c>
      <c r="F359" s="73">
        <v>1415191002.9400001</v>
      </c>
      <c r="G359" s="1365">
        <v>8875399.2899999991</v>
      </c>
      <c r="H359" s="526">
        <f t="shared" si="12"/>
        <v>13309352346.430002</v>
      </c>
      <c r="I359" s="784"/>
      <c r="J359" s="2667"/>
      <c r="M359" s="35"/>
    </row>
    <row r="360" spans="1:13">
      <c r="A360" s="85">
        <f t="shared" si="10"/>
        <v>2021.03</v>
      </c>
      <c r="B360" s="50">
        <v>1144114227.3599999</v>
      </c>
      <c r="C360" s="1365">
        <v>8786628513.0499992</v>
      </c>
      <c r="D360" s="73">
        <v>38076.269999999997</v>
      </c>
      <c r="E360" s="1365">
        <v>1054661638.36</v>
      </c>
      <c r="F360" s="73">
        <v>680832702.08000004</v>
      </c>
      <c r="G360" s="1365">
        <v>6990252.2000000002</v>
      </c>
      <c r="H360" s="526">
        <f t="shared" si="12"/>
        <v>11673265409.320002</v>
      </c>
      <c r="I360" s="784"/>
      <c r="J360" s="2667"/>
      <c r="M360" s="35"/>
    </row>
    <row r="361" spans="1:13">
      <c r="A361" s="85">
        <f t="shared" si="10"/>
        <v>2021.04</v>
      </c>
      <c r="B361" s="50">
        <v>1232045233.51</v>
      </c>
      <c r="C361" s="1365">
        <v>9785383086.7099991</v>
      </c>
      <c r="D361" s="73">
        <v>1969101.97</v>
      </c>
      <c r="E361" s="1365">
        <v>1023942497.37</v>
      </c>
      <c r="F361" s="73">
        <v>1036992871.89</v>
      </c>
      <c r="G361" s="1365">
        <v>11570632.43</v>
      </c>
      <c r="H361" s="526">
        <f t="shared" si="12"/>
        <v>13091903423.879999</v>
      </c>
      <c r="I361" s="784"/>
      <c r="J361" s="2667"/>
      <c r="M361" s="35"/>
    </row>
    <row r="362" spans="1:13">
      <c r="A362" s="85">
        <f t="shared" si="10"/>
        <v>2021.05</v>
      </c>
      <c r="B362" s="50">
        <v>1139734705.5799999</v>
      </c>
      <c r="C362" s="1365">
        <v>10629375699.620001</v>
      </c>
      <c r="D362" s="73">
        <v>641043.65</v>
      </c>
      <c r="E362" s="1365">
        <v>1077348032.3900001</v>
      </c>
      <c r="F362" s="73">
        <v>694339022.57000005</v>
      </c>
      <c r="G362" s="1365">
        <v>9738503.0899999999</v>
      </c>
      <c r="H362" s="526">
        <f t="shared" si="12"/>
        <v>13551177006.9</v>
      </c>
      <c r="I362" s="784"/>
      <c r="J362" s="955"/>
      <c r="M362" s="35"/>
    </row>
    <row r="363" spans="1:13" s="640" customFormat="1">
      <c r="A363" s="85">
        <f t="shared" si="10"/>
        <v>2021.06</v>
      </c>
      <c r="B363" s="50">
        <v>1383577762.28</v>
      </c>
      <c r="C363" s="1365">
        <v>11079653022.01</v>
      </c>
      <c r="D363" s="73">
        <v>823521.93</v>
      </c>
      <c r="E363" s="1365">
        <v>1090900732.71</v>
      </c>
      <c r="F363" s="73">
        <v>1301244775.26</v>
      </c>
      <c r="G363" s="1365">
        <v>10397096.720000001</v>
      </c>
      <c r="H363" s="526">
        <f t="shared" si="12"/>
        <v>14866596910.91</v>
      </c>
      <c r="I363" s="784"/>
      <c r="J363" s="2679"/>
      <c r="M363" s="35"/>
    </row>
    <row r="364" spans="1:13">
      <c r="A364" s="85">
        <f t="shared" si="10"/>
        <v>2021.07</v>
      </c>
      <c r="B364" s="50">
        <v>1052266133.14</v>
      </c>
      <c r="C364" s="1365">
        <v>11422300324.16</v>
      </c>
      <c r="D364" s="73">
        <v>367370.6</v>
      </c>
      <c r="E364" s="1365">
        <v>1202862180.8099999</v>
      </c>
      <c r="F364" s="73">
        <v>634487986.77999997</v>
      </c>
      <c r="G364" s="1365">
        <v>11664640.560000001</v>
      </c>
      <c r="H364" s="526">
        <f t="shared" si="12"/>
        <v>14323948636.049999</v>
      </c>
      <c r="I364" s="784"/>
      <c r="M364" s="35"/>
    </row>
    <row r="365" spans="1:13">
      <c r="A365" s="85">
        <f t="shared" si="10"/>
        <v>2021.08</v>
      </c>
      <c r="B365" s="50">
        <v>1328289966.9400001</v>
      </c>
      <c r="C365" s="1365">
        <v>11980551480.43</v>
      </c>
      <c r="D365" s="73">
        <v>108909.89</v>
      </c>
      <c r="E365" s="1365">
        <v>1276729445.99</v>
      </c>
      <c r="F365" s="73">
        <v>1207044016.23</v>
      </c>
      <c r="G365" s="1365">
        <v>12472429.1</v>
      </c>
      <c r="H365" s="526">
        <f t="shared" si="12"/>
        <v>15805196248.58</v>
      </c>
      <c r="I365" s="784"/>
      <c r="M365" s="35"/>
    </row>
    <row r="366" spans="1:13">
      <c r="A366" s="85">
        <f t="shared" si="10"/>
        <v>2021.09</v>
      </c>
      <c r="B366" s="50">
        <v>1013547463.5700001</v>
      </c>
      <c r="C366" s="1365">
        <v>12623151384.1</v>
      </c>
      <c r="D366" s="73">
        <v>37043.99</v>
      </c>
      <c r="E366" s="1365">
        <v>1376767742.1700001</v>
      </c>
      <c r="F366" s="73">
        <v>1534321861.8699999</v>
      </c>
      <c r="G366" s="1365">
        <v>11655066.619999999</v>
      </c>
      <c r="H366" s="526">
        <f t="shared" si="12"/>
        <v>16559480562.320002</v>
      </c>
      <c r="I366" s="784"/>
      <c r="M366" s="35"/>
    </row>
    <row r="367" spans="1:13" s="640" customFormat="1">
      <c r="A367" s="85">
        <f t="shared" si="10"/>
        <v>2021.1</v>
      </c>
      <c r="B367" s="50">
        <v>1141985557.9100001</v>
      </c>
      <c r="C367" s="1365">
        <v>12638007801.77</v>
      </c>
      <c r="D367" s="73">
        <v>34451.67</v>
      </c>
      <c r="E367" s="1365">
        <v>1323647424.99</v>
      </c>
      <c r="F367" s="73">
        <v>688812210.74000001</v>
      </c>
      <c r="G367" s="1365">
        <v>14078695.699999999</v>
      </c>
      <c r="H367" s="526">
        <f t="shared" si="12"/>
        <v>15806566142.780001</v>
      </c>
      <c r="I367" s="784"/>
      <c r="M367" s="35"/>
    </row>
    <row r="368" spans="1:13" s="640" customFormat="1">
      <c r="A368" s="85">
        <f t="shared" si="10"/>
        <v>2021.11</v>
      </c>
      <c r="B368" s="50">
        <v>622523026.76999998</v>
      </c>
      <c r="C368" s="1365">
        <v>14052915449.860001</v>
      </c>
      <c r="D368" s="73">
        <v>50704.82</v>
      </c>
      <c r="E368" s="1365">
        <v>1491614318</v>
      </c>
      <c r="F368" s="73">
        <v>1365230566.3599999</v>
      </c>
      <c r="G368" s="1365">
        <v>15316569.68</v>
      </c>
      <c r="H368" s="526">
        <f t="shared" si="12"/>
        <v>17547650635.490002</v>
      </c>
      <c r="I368" s="784"/>
      <c r="M368" s="35"/>
    </row>
    <row r="369" spans="1:16">
      <c r="A369" s="85">
        <f t="shared" si="10"/>
        <v>2021.12</v>
      </c>
      <c r="B369" s="50">
        <v>764782440.27999997</v>
      </c>
      <c r="C369" s="1365">
        <v>14335802554.700001</v>
      </c>
      <c r="D369" s="73">
        <v>250915.59</v>
      </c>
      <c r="E369" s="1365">
        <v>1428776648.5</v>
      </c>
      <c r="F369" s="73">
        <v>1352147019.74</v>
      </c>
      <c r="G369" s="1365">
        <v>19879507.190000001</v>
      </c>
      <c r="H369" s="526">
        <f t="shared" si="12"/>
        <v>17901639086</v>
      </c>
      <c r="I369" s="2747"/>
      <c r="J369" s="414"/>
      <c r="M369" s="35"/>
    </row>
    <row r="370" spans="1:16">
      <c r="A370" s="85">
        <f t="shared" si="10"/>
        <v>2022.01</v>
      </c>
      <c r="B370" s="613">
        <v>396995713.38</v>
      </c>
      <c r="C370" s="1639">
        <v>15300399886.360001</v>
      </c>
      <c r="D370" s="457">
        <v>35334.51</v>
      </c>
      <c r="E370" s="1639">
        <v>1391394435.3399999</v>
      </c>
      <c r="F370" s="457">
        <v>717436480.70000005</v>
      </c>
      <c r="G370" s="1639">
        <v>41148579.140000001</v>
      </c>
      <c r="H370" s="526">
        <f>SUM(B370:G370)</f>
        <v>17847410429.43</v>
      </c>
      <c r="I370" s="2747"/>
      <c r="J370" s="1067"/>
      <c r="M370" s="35"/>
    </row>
    <row r="371" spans="1:16">
      <c r="A371" s="85">
        <f t="shared" si="10"/>
        <v>2022.02</v>
      </c>
      <c r="B371" s="613">
        <v>3839903617.0100002</v>
      </c>
      <c r="C371" s="1639">
        <v>13908779014.17</v>
      </c>
      <c r="D371" s="457">
        <v>49403.040000000001</v>
      </c>
      <c r="E371" s="1639">
        <v>1406305280.6199999</v>
      </c>
      <c r="F371" s="457">
        <v>3475847676.27</v>
      </c>
      <c r="G371" s="1639">
        <v>28759923.530000001</v>
      </c>
      <c r="H371" s="526">
        <f t="shared" si="12"/>
        <v>22659644914.639999</v>
      </c>
      <c r="I371" s="2774"/>
      <c r="M371" s="35"/>
    </row>
    <row r="372" spans="1:16">
      <c r="A372" s="85">
        <f t="shared" si="10"/>
        <v>2022.03</v>
      </c>
      <c r="B372" s="613">
        <v>1250703591.6600001</v>
      </c>
      <c r="C372" s="1639">
        <v>14207078537.74</v>
      </c>
      <c r="D372" s="457">
        <v>129181.03</v>
      </c>
      <c r="E372" s="1639">
        <v>1473461562.0799999</v>
      </c>
      <c r="F372" s="457">
        <v>1140373969.26</v>
      </c>
      <c r="G372" s="1639">
        <v>35705095.640000001</v>
      </c>
      <c r="H372" s="526">
        <f t="shared" si="12"/>
        <v>18107451937.41</v>
      </c>
      <c r="I372" s="784"/>
      <c r="J372" s="2667"/>
      <c r="K372" s="778"/>
      <c r="M372" s="35"/>
    </row>
    <row r="373" spans="1:16">
      <c r="A373" s="85">
        <f t="shared" si="10"/>
        <v>2022.04</v>
      </c>
      <c r="B373" s="613">
        <v>1424931408.48</v>
      </c>
      <c r="C373" s="1639">
        <v>17128774559.42</v>
      </c>
      <c r="D373" s="73">
        <v>50878.14</v>
      </c>
      <c r="E373" s="1365">
        <v>1668322966.3900001</v>
      </c>
      <c r="F373" s="73">
        <v>1725789984.3599999</v>
      </c>
      <c r="G373" s="1365">
        <v>36459467.07</v>
      </c>
      <c r="H373" s="526">
        <f>SUM(B373:G373)</f>
        <v>21984329263.860001</v>
      </c>
      <c r="I373" s="2725"/>
      <c r="J373" s="2667"/>
      <c r="M373" s="35"/>
    </row>
    <row r="374" spans="1:16">
      <c r="A374" s="85">
        <f t="shared" si="10"/>
        <v>2022.05</v>
      </c>
      <c r="B374" s="50">
        <v>1395807506.73</v>
      </c>
      <c r="C374" s="1639">
        <v>18578413394.009998</v>
      </c>
      <c r="D374" s="73">
        <v>309820.58</v>
      </c>
      <c r="E374" s="1365">
        <v>1878881021.6199999</v>
      </c>
      <c r="F374" s="1365">
        <v>1268457323.46</v>
      </c>
      <c r="G374" s="1365">
        <v>34142763</v>
      </c>
      <c r="H374" s="2730">
        <f>SUM(B374:G374)</f>
        <v>23156011829.399998</v>
      </c>
      <c r="I374" s="784"/>
      <c r="J374" s="73"/>
      <c r="K374" s="1067"/>
      <c r="M374" s="35"/>
    </row>
    <row r="375" spans="1:16">
      <c r="A375" s="85">
        <f t="shared" si="10"/>
        <v>2022.06</v>
      </c>
      <c r="B375" s="50">
        <v>1578618162.7399998</v>
      </c>
      <c r="C375" s="1365">
        <v>20112234608.300003</v>
      </c>
      <c r="D375" s="73">
        <f>(D363/(SUM(B363:G363)-D363))*SUM(B375:C375,E375:G375)</f>
        <v>1417671.5520132338</v>
      </c>
      <c r="E375" s="1365">
        <v>2024074733.9499998</v>
      </c>
      <c r="F375" s="1365">
        <v>1841810000</v>
      </c>
      <c r="G375" s="1365">
        <v>34304171.620000005</v>
      </c>
      <c r="H375" s="2730">
        <f>SUM(B375:G375)</f>
        <v>25592459348.162014</v>
      </c>
      <c r="I375" s="2726"/>
      <c r="J375" s="2727"/>
      <c r="K375" s="2728"/>
      <c r="L375" s="640"/>
      <c r="M375" s="35"/>
      <c r="N375" s="640"/>
      <c r="O375" s="640"/>
      <c r="P375" s="640"/>
    </row>
    <row r="376" spans="1:16">
      <c r="A376" s="85">
        <f t="shared" si="10"/>
        <v>2022.07</v>
      </c>
      <c r="B376" s="50">
        <v>1114293551.8</v>
      </c>
      <c r="C376" s="1365">
        <v>22244706078.849998</v>
      </c>
      <c r="D376" s="73">
        <v>119568.52</v>
      </c>
      <c r="E376" s="1365">
        <v>2035348075.8800001</v>
      </c>
      <c r="F376" s="73">
        <v>870729752.23000002</v>
      </c>
      <c r="G376" s="1365">
        <v>44772323.32</v>
      </c>
      <c r="H376" s="2730">
        <f>SUM(B376:G376)</f>
        <v>26309969350.599998</v>
      </c>
      <c r="I376" s="642"/>
      <c r="J376" s="642"/>
      <c r="K376" s="642"/>
      <c r="L376" s="642"/>
      <c r="M376" s="35"/>
      <c r="N376" s="642"/>
      <c r="O376" s="643"/>
      <c r="P376" s="640"/>
    </row>
    <row r="377" spans="1:16">
      <c r="A377" s="85">
        <f t="shared" si="10"/>
        <v>2022.08</v>
      </c>
      <c r="B377" s="50">
        <v>1501566906.21</v>
      </c>
      <c r="C377" s="1365">
        <v>21885972661.330002</v>
      </c>
      <c r="D377" s="73">
        <v>48741.27</v>
      </c>
      <c r="E377" s="1365">
        <v>2027945666.3</v>
      </c>
      <c r="F377" s="73">
        <v>932242195.42999995</v>
      </c>
      <c r="G377" s="1365">
        <v>42704739.170000002</v>
      </c>
      <c r="H377" s="2730">
        <f t="shared" si="12"/>
        <v>26390480909.709999</v>
      </c>
      <c r="I377" s="642"/>
      <c r="J377" s="642"/>
      <c r="K377" s="642"/>
      <c r="L377" s="642"/>
      <c r="M377" s="35"/>
      <c r="N377" s="642"/>
      <c r="O377" s="643"/>
      <c r="P377" s="640"/>
    </row>
    <row r="378" spans="1:16">
      <c r="A378" s="85">
        <f t="shared" si="10"/>
        <v>2022.09</v>
      </c>
      <c r="B378" s="50">
        <v>1110035393.6900001</v>
      </c>
      <c r="C378" s="1365">
        <v>24326567910.560001</v>
      </c>
      <c r="D378" s="73">
        <v>352659.48</v>
      </c>
      <c r="E378" s="1365">
        <v>2268982091.29</v>
      </c>
      <c r="F378" s="73">
        <v>1650413552.3900001</v>
      </c>
      <c r="G378" s="1365">
        <v>52365968.100000001</v>
      </c>
      <c r="H378" s="2730">
        <f t="shared" si="12"/>
        <v>29408717575.509998</v>
      </c>
      <c r="I378" s="642"/>
      <c r="J378" s="642"/>
      <c r="K378" s="642"/>
      <c r="L378" s="642"/>
      <c r="M378" s="35"/>
      <c r="N378" s="642"/>
      <c r="O378" s="643"/>
      <c r="P378" s="640"/>
    </row>
    <row r="379" spans="1:16">
      <c r="A379" s="85">
        <f t="shared" si="10"/>
        <v>2022.1</v>
      </c>
      <c r="B379" s="50">
        <v>1332783479.98</v>
      </c>
      <c r="C379" s="1365">
        <v>24717510456.32</v>
      </c>
      <c r="D379" s="73">
        <v>62259.41</v>
      </c>
      <c r="E379" s="1365">
        <v>2238701767.3499999</v>
      </c>
      <c r="F379" s="73">
        <v>851033578.99000001</v>
      </c>
      <c r="G379" s="1365">
        <v>43108490.5</v>
      </c>
      <c r="H379" s="2730">
        <f t="shared" si="12"/>
        <v>29183200032.549999</v>
      </c>
      <c r="I379" s="640"/>
      <c r="J379" s="640"/>
      <c r="K379" s="640"/>
      <c r="L379" s="640"/>
      <c r="M379" s="35"/>
      <c r="N379" s="640"/>
      <c r="O379" s="640"/>
      <c r="P379" s="640"/>
    </row>
    <row r="380" spans="1:16">
      <c r="A380" s="85">
        <f t="shared" si="10"/>
        <v>2022.11</v>
      </c>
      <c r="B380" s="50">
        <v>684311491.98000002</v>
      </c>
      <c r="C380" s="1365">
        <v>25611893675.080002</v>
      </c>
      <c r="D380" s="73">
        <v>120659.78</v>
      </c>
      <c r="E380" s="1365">
        <v>2325923058.8600001</v>
      </c>
      <c r="F380" s="73">
        <v>1646446864.8800001</v>
      </c>
      <c r="G380" s="1365">
        <v>57462848.75</v>
      </c>
      <c r="H380" s="2730">
        <f t="shared" si="12"/>
        <v>30326158599.330002</v>
      </c>
      <c r="I380" s="2729"/>
      <c r="J380" s="2729"/>
      <c r="K380" s="2729"/>
      <c r="L380" s="2729"/>
      <c r="M380" s="35"/>
      <c r="N380" s="2729"/>
      <c r="O380" s="2729"/>
      <c r="P380" s="640"/>
    </row>
    <row r="381" spans="1:16">
      <c r="A381" s="85">
        <f t="shared" si="10"/>
        <v>2022.12</v>
      </c>
      <c r="B381" s="50">
        <v>939670729.62</v>
      </c>
      <c r="C381" s="1365">
        <v>26479630600.77</v>
      </c>
      <c r="D381" s="73">
        <v>196219.29</v>
      </c>
      <c r="E381" s="1365">
        <v>2518047389.9499998</v>
      </c>
      <c r="F381" s="73">
        <v>1649339708.3299999</v>
      </c>
      <c r="G381" s="1365">
        <v>49871510.829999998</v>
      </c>
      <c r="H381" s="2730">
        <f t="shared" si="12"/>
        <v>31636756158.790001</v>
      </c>
      <c r="I381" s="3090"/>
      <c r="J381" s="2729"/>
      <c r="K381" s="2729"/>
      <c r="L381" s="2729"/>
      <c r="M381" s="35"/>
      <c r="N381" s="2729"/>
      <c r="O381" s="2729"/>
      <c r="P381" s="640"/>
    </row>
    <row r="382" spans="1:16">
      <c r="A382" s="85">
        <f t="shared" si="10"/>
        <v>2023.01</v>
      </c>
      <c r="B382" s="50">
        <v>938861327.75</v>
      </c>
      <c r="C382" s="1365">
        <v>30000972037.75</v>
      </c>
      <c r="D382" s="73">
        <v>51573.14</v>
      </c>
      <c r="E382" s="1365">
        <v>2477788568.5100002</v>
      </c>
      <c r="F382" s="73">
        <v>1688682039.03</v>
      </c>
      <c r="G382" s="1365">
        <v>65872099.340000004</v>
      </c>
      <c r="H382" s="2730">
        <f t="shared" si="12"/>
        <v>35172227645.519997</v>
      </c>
      <c r="I382" s="3090"/>
      <c r="J382" s="2749"/>
      <c r="K382" s="2729"/>
      <c r="L382" s="2729"/>
      <c r="M382" s="35"/>
      <c r="N382" s="2729"/>
      <c r="O382" s="2729"/>
      <c r="P382" s="640"/>
    </row>
    <row r="383" spans="1:16">
      <c r="A383" s="85">
        <f t="shared" si="10"/>
        <v>2023.02</v>
      </c>
      <c r="B383" s="50">
        <v>5695385736.8400002</v>
      </c>
      <c r="C383" s="1365">
        <v>26081260271.639999</v>
      </c>
      <c r="D383" s="73">
        <v>34743.5</v>
      </c>
      <c r="E383" s="1365">
        <v>2532060319.5599999</v>
      </c>
      <c r="F383" s="73">
        <v>5710227400.1099997</v>
      </c>
      <c r="G383" s="1365">
        <v>68040596.829999998</v>
      </c>
      <c r="H383" s="2730">
        <f t="shared" si="12"/>
        <v>40087009068.480003</v>
      </c>
      <c r="I383" s="3090"/>
      <c r="K383" s="640"/>
      <c r="L383" s="640"/>
      <c r="M383" s="35"/>
      <c r="N383" s="640"/>
      <c r="O383" s="640"/>
      <c r="P383" s="640"/>
    </row>
    <row r="384" spans="1:16">
      <c r="A384" s="85">
        <f t="shared" si="10"/>
        <v>2023.03</v>
      </c>
      <c r="B384" s="50">
        <v>1497030244</v>
      </c>
      <c r="C384" s="1365">
        <v>28777671142.91</v>
      </c>
      <c r="D384" s="73">
        <v>291725.23</v>
      </c>
      <c r="E384" s="1365">
        <v>2468531628.4699998</v>
      </c>
      <c r="F384" s="73">
        <v>1618772695.1500001</v>
      </c>
      <c r="G384" s="1365">
        <v>82137537.459999993</v>
      </c>
      <c r="H384" s="2730">
        <f t="shared" si="12"/>
        <v>34444434973.220001</v>
      </c>
      <c r="I384" s="3090"/>
      <c r="M384" s="35"/>
    </row>
    <row r="385" spans="1:16">
      <c r="A385" s="85">
        <f t="shared" si="10"/>
        <v>2023.04</v>
      </c>
      <c r="B385" s="50">
        <v>1868217828.77</v>
      </c>
      <c r="C385" s="1365">
        <v>33070532002.25</v>
      </c>
      <c r="D385" s="73">
        <v>31108.01</v>
      </c>
      <c r="E385" s="1365">
        <v>2967725261.1700001</v>
      </c>
      <c r="F385" s="73">
        <v>2497939389.5100002</v>
      </c>
      <c r="G385" s="1365">
        <v>72877217.620000005</v>
      </c>
      <c r="H385" s="526">
        <f t="shared" si="12"/>
        <v>40477322807.330002</v>
      </c>
      <c r="I385"/>
      <c r="M385" s="35"/>
    </row>
    <row r="386" spans="1:16">
      <c r="A386" s="85">
        <f t="shared" si="10"/>
        <v>2023.05</v>
      </c>
      <c r="B386" s="50">
        <v>1284502417.9100001</v>
      </c>
      <c r="C386" s="1365">
        <v>38426931672.410004</v>
      </c>
      <c r="D386" s="73">
        <v>1122222.8600000001</v>
      </c>
      <c r="E386" s="1365">
        <v>3008647775.02</v>
      </c>
      <c r="F386" s="73">
        <v>1437869722.0999999</v>
      </c>
      <c r="G386" s="1365">
        <v>75006414.989999995</v>
      </c>
      <c r="H386" s="526">
        <f t="shared" si="12"/>
        <v>44234080225.290001</v>
      </c>
      <c r="M386" s="35"/>
    </row>
    <row r="387" spans="1:16">
      <c r="A387" s="85">
        <f t="shared" si="10"/>
        <v>2023.06</v>
      </c>
      <c r="B387" s="50">
        <v>1858135121.79</v>
      </c>
      <c r="C387" s="1365">
        <v>42261316040.68</v>
      </c>
      <c r="D387" s="73">
        <v>227290.93</v>
      </c>
      <c r="E387" s="1365">
        <v>3465937645.6599998</v>
      </c>
      <c r="F387" s="73">
        <v>2702806976.3800001</v>
      </c>
      <c r="G387" s="1365">
        <v>91830546.439999998</v>
      </c>
      <c r="H387" s="526">
        <f t="shared" si="12"/>
        <v>50380253621.879997</v>
      </c>
      <c r="I387" s="3123"/>
      <c r="J387" s="3123"/>
      <c r="K387" s="35"/>
      <c r="L387" s="35"/>
      <c r="M387" s="35"/>
      <c r="N387" s="35"/>
      <c r="O387" s="35"/>
      <c r="P387" s="35"/>
    </row>
    <row r="388" spans="1:16">
      <c r="A388" s="85">
        <f t="shared" si="10"/>
        <v>2023.07</v>
      </c>
      <c r="B388" s="50">
        <v>1239166315.97</v>
      </c>
      <c r="C388" s="1365">
        <v>46670100591.400002</v>
      </c>
      <c r="D388" s="73">
        <v>27944.41</v>
      </c>
      <c r="E388" s="1365">
        <v>3801166175.6500001</v>
      </c>
      <c r="F388" s="73">
        <v>1504648516.02</v>
      </c>
      <c r="G388" s="1365">
        <v>86459999.340000004</v>
      </c>
      <c r="H388" s="526">
        <f t="shared" si="12"/>
        <v>53301569542.790001</v>
      </c>
      <c r="I388" s="35"/>
      <c r="J388" s="35"/>
      <c r="K388" s="35"/>
      <c r="L388" s="35"/>
      <c r="M388" s="35"/>
      <c r="N388" s="35"/>
      <c r="O388" s="35"/>
    </row>
    <row r="389" spans="1:16">
      <c r="A389" s="85">
        <f t="shared" si="10"/>
        <v>2023.08</v>
      </c>
      <c r="B389" s="50">
        <v>2159434273.5799999</v>
      </c>
      <c r="C389" s="1365">
        <v>53205799348.089996</v>
      </c>
      <c r="D389" s="73">
        <v>25566.799999999999</v>
      </c>
      <c r="E389" s="1365">
        <v>4253957641.6999998</v>
      </c>
      <c r="F389" s="73">
        <v>1486595440.45</v>
      </c>
      <c r="G389" s="1365">
        <v>120156546.31999999</v>
      </c>
      <c r="H389" s="526">
        <f t="shared" si="12"/>
        <v>61225968816.939995</v>
      </c>
      <c r="I389" s="3123"/>
      <c r="J389" s="35"/>
      <c r="K389" s="35"/>
      <c r="L389" s="35"/>
      <c r="M389" s="35"/>
      <c r="N389" s="35"/>
      <c r="O389" s="35"/>
    </row>
    <row r="390" spans="1:16">
      <c r="A390" s="85">
        <f t="shared" si="10"/>
        <v>2023.09</v>
      </c>
      <c r="B390" s="50">
        <v>1225186436.79</v>
      </c>
      <c r="C390" s="1365">
        <v>58806826719.379997</v>
      </c>
      <c r="D390" s="73">
        <v>34830.949999999997</v>
      </c>
      <c r="E390" s="1365">
        <v>4267335740.9000001</v>
      </c>
      <c r="F390" s="73">
        <v>2744217168.9499998</v>
      </c>
      <c r="G390" s="1365">
        <v>103502581.59999999</v>
      </c>
      <c r="H390" s="526">
        <f t="shared" si="12"/>
        <v>67147103478.569992</v>
      </c>
      <c r="I390" s="3123"/>
      <c r="K390" s="35"/>
      <c r="L390" s="35"/>
      <c r="M390" s="35"/>
      <c r="N390" s="35"/>
      <c r="O390" s="35"/>
    </row>
    <row r="391" spans="1:16">
      <c r="A391" s="85">
        <f t="shared" si="10"/>
        <v>2023.1</v>
      </c>
      <c r="B391" s="50">
        <v>1992947018.8900001</v>
      </c>
      <c r="C391" s="1365">
        <v>65632212731.190002</v>
      </c>
      <c r="D391" s="73">
        <v>216969.66</v>
      </c>
      <c r="E391" s="1365">
        <v>4360449824.6000004</v>
      </c>
      <c r="F391" s="73">
        <v>1384843239.9400001</v>
      </c>
      <c r="G391" s="1365">
        <v>99490684.079999998</v>
      </c>
      <c r="H391" s="526">
        <f t="shared" si="12"/>
        <v>73470160468.360016</v>
      </c>
      <c r="I391" s="3123"/>
      <c r="J391" s="3123"/>
      <c r="K391" s="35"/>
      <c r="L391" s="35"/>
      <c r="M391" s="35"/>
      <c r="N391" s="35"/>
      <c r="O391" s="35"/>
    </row>
    <row r="392" spans="1:16">
      <c r="A392" s="85">
        <f t="shared" si="10"/>
        <v>2023.11</v>
      </c>
      <c r="B392" s="50">
        <v>985209957.23000002</v>
      </c>
      <c r="C392" s="1365">
        <v>68278044206.489998</v>
      </c>
      <c r="D392" s="73">
        <v>989153.81</v>
      </c>
      <c r="E392" s="1365">
        <v>4820027231.9899998</v>
      </c>
      <c r="F392" s="73">
        <v>2652217832.9899998</v>
      </c>
      <c r="G392" s="1365">
        <v>162065691.69</v>
      </c>
      <c r="H392" s="526">
        <f t="shared" si="12"/>
        <v>76898554074.200012</v>
      </c>
      <c r="I392" s="3123"/>
      <c r="J392" s="3123"/>
      <c r="K392" s="35"/>
      <c r="L392" s="35"/>
      <c r="M392" s="35"/>
      <c r="N392" s="35"/>
      <c r="O392" s="35"/>
    </row>
    <row r="393" spans="1:16">
      <c r="A393" s="85">
        <f t="shared" si="10"/>
        <v>2023.12</v>
      </c>
      <c r="B393" s="3160">
        <v>1401016815.8499999</v>
      </c>
      <c r="C393" s="3160">
        <v>75890657017.190002</v>
      </c>
      <c r="D393" s="3160">
        <v>80156.42</v>
      </c>
      <c r="E393" s="3160">
        <v>5809561124.8199997</v>
      </c>
      <c r="F393" s="3160">
        <v>2898259280.3600001</v>
      </c>
      <c r="G393" s="3160">
        <v>148162659.13</v>
      </c>
      <c r="H393" s="526">
        <f t="shared" si="12"/>
        <v>86147737053.770004</v>
      </c>
      <c r="I393" s="2328"/>
      <c r="L393" s="35"/>
      <c r="M393" s="35"/>
      <c r="N393" s="35"/>
      <c r="O393" s="35"/>
    </row>
    <row r="394" spans="1:16">
      <c r="A394" s="85">
        <f t="shared" si="10"/>
        <v>2024.01</v>
      </c>
      <c r="B394" s="50" t="e">
        <v>#N/A</v>
      </c>
      <c r="C394" s="1365" t="e">
        <v>#N/A</v>
      </c>
      <c r="D394" s="73" t="e">
        <v>#N/A</v>
      </c>
      <c r="E394" s="1365" t="e">
        <v>#N/A</v>
      </c>
      <c r="F394" s="73" t="e">
        <v>#N/A</v>
      </c>
      <c r="G394" s="1365" t="e">
        <v>#N/A</v>
      </c>
      <c r="H394" s="526" t="e">
        <f t="shared" ref="H394:H396" si="13">SUM(B394:G394)</f>
        <v>#N/A</v>
      </c>
      <c r="L394" s="35"/>
      <c r="M394" s="35"/>
      <c r="N394" s="35"/>
      <c r="O394" s="35"/>
    </row>
    <row r="395" spans="1:16">
      <c r="A395" s="85">
        <f t="shared" si="10"/>
        <v>2024.02</v>
      </c>
      <c r="B395" s="50" t="e">
        <v>#N/A</v>
      </c>
      <c r="C395" s="1365" t="e">
        <v>#N/A</v>
      </c>
      <c r="D395" s="73" t="e">
        <v>#N/A</v>
      </c>
      <c r="E395" s="1365" t="e">
        <v>#N/A</v>
      </c>
      <c r="F395" s="73" t="e">
        <v>#N/A</v>
      </c>
      <c r="G395" s="1365" t="e">
        <v>#N/A</v>
      </c>
      <c r="H395" s="526" t="e">
        <f t="shared" si="13"/>
        <v>#N/A</v>
      </c>
      <c r="L395" s="35"/>
      <c r="M395" s="35"/>
      <c r="N395" s="35"/>
      <c r="O395" s="35"/>
    </row>
    <row r="396" spans="1:16">
      <c r="A396" s="85">
        <f t="shared" si="10"/>
        <v>2024.03</v>
      </c>
      <c r="B396" s="50" t="e">
        <v>#N/A</v>
      </c>
      <c r="C396" s="1365" t="e">
        <v>#N/A</v>
      </c>
      <c r="D396" s="73" t="e">
        <v>#N/A</v>
      </c>
      <c r="E396" s="1365" t="e">
        <v>#N/A</v>
      </c>
      <c r="F396" s="73" t="e">
        <v>#N/A</v>
      </c>
      <c r="G396" s="1365" t="e">
        <v>#N/A</v>
      </c>
      <c r="H396" s="526" t="e">
        <f t="shared" si="13"/>
        <v>#N/A</v>
      </c>
      <c r="I396" s="35"/>
      <c r="L396" s="35"/>
      <c r="M396" s="35"/>
      <c r="N396" s="35"/>
      <c r="O396" s="35"/>
    </row>
    <row r="397" spans="1:16">
      <c r="A397" s="85">
        <f t="shared" si="10"/>
        <v>2024.04</v>
      </c>
      <c r="B397" s="50" t="e">
        <v>#N/A</v>
      </c>
      <c r="C397" s="1365" t="e">
        <v>#N/A</v>
      </c>
      <c r="D397" s="73" t="e">
        <v>#N/A</v>
      </c>
      <c r="E397" s="1365" t="e">
        <v>#N/A</v>
      </c>
      <c r="F397" s="73" t="e">
        <v>#N/A</v>
      </c>
      <c r="G397" s="1365" t="e">
        <v>#N/A</v>
      </c>
      <c r="H397" s="526" t="e">
        <f t="shared" si="12"/>
        <v>#N/A</v>
      </c>
      <c r="I397" s="35"/>
      <c r="L397" s="3386"/>
      <c r="M397" s="35"/>
      <c r="N397" s="35"/>
      <c r="O397" s="35"/>
    </row>
    <row r="398" spans="1:16">
      <c r="A398" s="85">
        <f t="shared" si="10"/>
        <v>2024.05</v>
      </c>
      <c r="B398" s="50" t="e">
        <v>#N/A</v>
      </c>
      <c r="C398" s="1365" t="e">
        <v>#N/A</v>
      </c>
      <c r="D398" s="73" t="e">
        <v>#N/A</v>
      </c>
      <c r="E398" s="1365" t="e">
        <v>#N/A</v>
      </c>
      <c r="F398" s="73" t="e">
        <v>#N/A</v>
      </c>
      <c r="G398" s="1365" t="e">
        <v>#N/A</v>
      </c>
      <c r="H398" s="526" t="e">
        <f t="shared" si="12"/>
        <v>#N/A</v>
      </c>
      <c r="I398" s="414"/>
    </row>
    <row r="399" spans="1:16">
      <c r="A399" s="85">
        <f t="shared" si="10"/>
        <v>2024.06</v>
      </c>
      <c r="B399" s="50" t="e">
        <v>#N/A</v>
      </c>
      <c r="C399" s="1365" t="e">
        <v>#N/A</v>
      </c>
      <c r="D399" s="73" t="e">
        <v>#N/A</v>
      </c>
      <c r="E399" s="1365" t="e">
        <v>#N/A</v>
      </c>
      <c r="F399" s="73" t="e">
        <v>#N/A</v>
      </c>
      <c r="G399" s="1365" t="e">
        <v>#N/A</v>
      </c>
      <c r="H399" s="526" t="e">
        <f t="shared" si="12"/>
        <v>#N/A</v>
      </c>
      <c r="I399" s="414"/>
    </row>
    <row r="400" spans="1:16">
      <c r="A400" s="85">
        <f t="shared" si="10"/>
        <v>2024.07</v>
      </c>
      <c r="B400" s="50" t="e">
        <v>#N/A</v>
      </c>
      <c r="C400" s="1365" t="e">
        <v>#N/A</v>
      </c>
      <c r="D400" s="73" t="e">
        <v>#N/A</v>
      </c>
      <c r="E400" s="1365" t="e">
        <v>#N/A</v>
      </c>
      <c r="F400" s="73" t="e">
        <v>#N/A</v>
      </c>
      <c r="G400" s="1365" t="e">
        <v>#N/A</v>
      </c>
      <c r="H400" s="526" t="e">
        <f t="shared" si="12"/>
        <v>#N/A</v>
      </c>
      <c r="I400" s="414"/>
    </row>
    <row r="401" spans="1:9">
      <c r="A401" s="85">
        <f t="shared" si="10"/>
        <v>2024.08</v>
      </c>
      <c r="B401" s="50" t="e">
        <v>#N/A</v>
      </c>
      <c r="C401" s="1365" t="e">
        <v>#N/A</v>
      </c>
      <c r="D401" s="73" t="e">
        <v>#N/A</v>
      </c>
      <c r="E401" s="1365" t="e">
        <v>#N/A</v>
      </c>
      <c r="F401" s="73" t="e">
        <v>#N/A</v>
      </c>
      <c r="G401" s="1365" t="e">
        <v>#N/A</v>
      </c>
      <c r="H401" s="526" t="e">
        <f t="shared" si="12"/>
        <v>#N/A</v>
      </c>
      <c r="I401" s="414"/>
    </row>
    <row r="402" spans="1:9">
      <c r="A402" s="85">
        <f t="shared" si="10"/>
        <v>2024.09</v>
      </c>
      <c r="B402" s="50" t="e">
        <v>#N/A</v>
      </c>
      <c r="C402" s="1365" t="e">
        <v>#N/A</v>
      </c>
      <c r="D402" s="73" t="e">
        <v>#N/A</v>
      </c>
      <c r="E402" s="1365" t="e">
        <v>#N/A</v>
      </c>
      <c r="F402" s="73" t="e">
        <v>#N/A</v>
      </c>
      <c r="G402" s="1365" t="e">
        <v>#N/A</v>
      </c>
      <c r="H402" s="526" t="e">
        <f t="shared" si="12"/>
        <v>#N/A</v>
      </c>
      <c r="I402" s="414"/>
    </row>
    <row r="403" spans="1:9">
      <c r="A403" s="85">
        <f t="shared" ref="A403:A466" si="14">A391+1</f>
        <v>2024.1</v>
      </c>
      <c r="B403" s="50" t="e">
        <v>#N/A</v>
      </c>
      <c r="C403" s="1365" t="e">
        <v>#N/A</v>
      </c>
      <c r="D403" s="73" t="e">
        <v>#N/A</v>
      </c>
      <c r="E403" s="1365" t="e">
        <v>#N/A</v>
      </c>
      <c r="F403" s="73" t="e">
        <v>#N/A</v>
      </c>
      <c r="G403" s="1365" t="e">
        <v>#N/A</v>
      </c>
      <c r="H403" s="526" t="e">
        <f t="shared" si="12"/>
        <v>#N/A</v>
      </c>
      <c r="I403" s="414"/>
    </row>
    <row r="404" spans="1:9">
      <c r="A404" s="85">
        <f t="shared" si="14"/>
        <v>2024.11</v>
      </c>
      <c r="B404" s="50" t="e">
        <v>#N/A</v>
      </c>
      <c r="C404" s="1365" t="e">
        <v>#N/A</v>
      </c>
      <c r="D404" s="73" t="e">
        <v>#N/A</v>
      </c>
      <c r="E404" s="1365" t="e">
        <v>#N/A</v>
      </c>
      <c r="F404" s="73" t="e">
        <v>#N/A</v>
      </c>
      <c r="G404" s="1365" t="e">
        <v>#N/A</v>
      </c>
      <c r="H404" s="526" t="e">
        <f t="shared" si="12"/>
        <v>#N/A</v>
      </c>
      <c r="I404" s="414"/>
    </row>
    <row r="405" spans="1:9">
      <c r="A405" s="85">
        <f t="shared" si="14"/>
        <v>2024.12</v>
      </c>
      <c r="B405" s="50" t="e">
        <v>#N/A</v>
      </c>
      <c r="C405" s="1365" t="e">
        <v>#N/A</v>
      </c>
      <c r="D405" s="73" t="e">
        <v>#N/A</v>
      </c>
      <c r="E405" s="1365" t="e">
        <v>#N/A</v>
      </c>
      <c r="F405" s="73" t="e">
        <v>#N/A</v>
      </c>
      <c r="G405" s="1365" t="e">
        <v>#N/A</v>
      </c>
      <c r="H405" s="526" t="e">
        <f t="shared" si="12"/>
        <v>#N/A</v>
      </c>
      <c r="I405" s="414"/>
    </row>
    <row r="406" spans="1:9">
      <c r="A406" s="85">
        <f t="shared" si="14"/>
        <v>2025.01</v>
      </c>
      <c r="B406" s="50" t="e">
        <v>#N/A</v>
      </c>
      <c r="C406" s="1365" t="e">
        <v>#N/A</v>
      </c>
      <c r="D406" s="73" t="e">
        <v>#N/A</v>
      </c>
      <c r="E406" s="1365" t="e">
        <v>#N/A</v>
      </c>
      <c r="F406" s="73" t="e">
        <v>#N/A</v>
      </c>
      <c r="G406" s="1365" t="e">
        <v>#N/A</v>
      </c>
      <c r="H406" s="526" t="e">
        <f t="shared" si="12"/>
        <v>#N/A</v>
      </c>
      <c r="I406" s="414"/>
    </row>
    <row r="407" spans="1:9">
      <c r="A407" s="85">
        <f t="shared" si="14"/>
        <v>2025.02</v>
      </c>
      <c r="B407" s="50" t="e">
        <v>#N/A</v>
      </c>
      <c r="C407" s="1365" t="e">
        <v>#N/A</v>
      </c>
      <c r="D407" s="73" t="e">
        <v>#N/A</v>
      </c>
      <c r="E407" s="1365" t="e">
        <v>#N/A</v>
      </c>
      <c r="F407" s="73" t="e">
        <v>#N/A</v>
      </c>
      <c r="G407" s="1365" t="e">
        <v>#N/A</v>
      </c>
      <c r="H407" s="526" t="e">
        <f t="shared" si="12"/>
        <v>#N/A</v>
      </c>
      <c r="I407" s="414"/>
    </row>
    <row r="408" spans="1:9">
      <c r="A408" s="85">
        <f t="shared" si="14"/>
        <v>2025.03</v>
      </c>
      <c r="B408" s="50" t="e">
        <v>#N/A</v>
      </c>
      <c r="C408" s="1365" t="e">
        <v>#N/A</v>
      </c>
      <c r="D408" s="73" t="e">
        <v>#N/A</v>
      </c>
      <c r="E408" s="1365" t="e">
        <v>#N/A</v>
      </c>
      <c r="F408" s="73" t="e">
        <v>#N/A</v>
      </c>
      <c r="G408" s="1365" t="e">
        <v>#N/A</v>
      </c>
      <c r="H408" s="526" t="e">
        <f t="shared" si="12"/>
        <v>#N/A</v>
      </c>
      <c r="I408" s="414"/>
    </row>
    <row r="409" spans="1:9">
      <c r="A409" s="85">
        <f t="shared" si="14"/>
        <v>2025.04</v>
      </c>
      <c r="B409" s="50" t="e">
        <v>#N/A</v>
      </c>
      <c r="C409" s="1365" t="e">
        <v>#N/A</v>
      </c>
      <c r="D409" s="73" t="e">
        <v>#N/A</v>
      </c>
      <c r="E409" s="1365" t="e">
        <v>#N/A</v>
      </c>
      <c r="F409" s="73" t="e">
        <v>#N/A</v>
      </c>
      <c r="G409" s="1365" t="e">
        <v>#N/A</v>
      </c>
      <c r="H409" s="526" t="e">
        <f t="shared" si="12"/>
        <v>#N/A</v>
      </c>
      <c r="I409" s="414"/>
    </row>
    <row r="410" spans="1:9">
      <c r="A410" s="85">
        <f t="shared" si="14"/>
        <v>2025.05</v>
      </c>
      <c r="B410" s="50" t="e">
        <v>#N/A</v>
      </c>
      <c r="C410" s="1365" t="e">
        <v>#N/A</v>
      </c>
      <c r="D410" s="73" t="e">
        <v>#N/A</v>
      </c>
      <c r="E410" s="1365" t="e">
        <v>#N/A</v>
      </c>
      <c r="F410" s="73" t="e">
        <v>#N/A</v>
      </c>
      <c r="G410" s="1365" t="e">
        <v>#N/A</v>
      </c>
      <c r="H410" s="526" t="e">
        <f t="shared" si="12"/>
        <v>#N/A</v>
      </c>
      <c r="I410" s="414"/>
    </row>
    <row r="411" spans="1:9">
      <c r="A411" s="85">
        <f t="shared" si="14"/>
        <v>2025.06</v>
      </c>
      <c r="B411" s="50" t="e">
        <v>#N/A</v>
      </c>
      <c r="C411" s="1365" t="e">
        <v>#N/A</v>
      </c>
      <c r="D411" s="73" t="e">
        <v>#N/A</v>
      </c>
      <c r="E411" s="1365" t="e">
        <v>#N/A</v>
      </c>
      <c r="F411" s="73" t="e">
        <v>#N/A</v>
      </c>
      <c r="G411" s="1365" t="e">
        <v>#N/A</v>
      </c>
      <c r="H411" s="526" t="e">
        <f t="shared" si="12"/>
        <v>#N/A</v>
      </c>
      <c r="I411" s="414"/>
    </row>
    <row r="412" spans="1:9">
      <c r="A412" s="85">
        <f t="shared" si="14"/>
        <v>2025.07</v>
      </c>
      <c r="B412" s="50" t="e">
        <v>#N/A</v>
      </c>
      <c r="C412" s="1365" t="e">
        <v>#N/A</v>
      </c>
      <c r="D412" s="73" t="e">
        <v>#N/A</v>
      </c>
      <c r="E412" s="1365" t="e">
        <v>#N/A</v>
      </c>
      <c r="F412" s="73" t="e">
        <v>#N/A</v>
      </c>
      <c r="G412" s="1365" t="e">
        <v>#N/A</v>
      </c>
      <c r="H412" s="526" t="e">
        <f t="shared" si="12"/>
        <v>#N/A</v>
      </c>
      <c r="I412" s="414"/>
    </row>
    <row r="413" spans="1:9">
      <c r="A413" s="85">
        <f t="shared" si="14"/>
        <v>2025.08</v>
      </c>
      <c r="B413" s="50" t="e">
        <v>#N/A</v>
      </c>
      <c r="C413" s="1365" t="e">
        <v>#N/A</v>
      </c>
      <c r="D413" s="73" t="e">
        <v>#N/A</v>
      </c>
      <c r="E413" s="1365" t="e">
        <v>#N/A</v>
      </c>
      <c r="F413" s="73" t="e">
        <v>#N/A</v>
      </c>
      <c r="G413" s="1365" t="e">
        <v>#N/A</v>
      </c>
      <c r="H413" s="526" t="e">
        <f t="shared" si="12"/>
        <v>#N/A</v>
      </c>
      <c r="I413" s="414"/>
    </row>
    <row r="414" spans="1:9">
      <c r="A414" s="85">
        <f t="shared" si="14"/>
        <v>2025.09</v>
      </c>
      <c r="B414" s="50" t="e">
        <v>#N/A</v>
      </c>
      <c r="C414" s="1365" t="e">
        <v>#N/A</v>
      </c>
      <c r="D414" s="73" t="e">
        <v>#N/A</v>
      </c>
      <c r="E414" s="1365" t="e">
        <v>#N/A</v>
      </c>
      <c r="F414" s="73" t="e">
        <v>#N/A</v>
      </c>
      <c r="G414" s="1365" t="e">
        <v>#N/A</v>
      </c>
      <c r="H414" s="526" t="e">
        <f t="shared" si="12"/>
        <v>#N/A</v>
      </c>
      <c r="I414" s="414"/>
    </row>
    <row r="415" spans="1:9">
      <c r="A415" s="85">
        <f t="shared" si="14"/>
        <v>2025.1</v>
      </c>
      <c r="B415" s="50" t="e">
        <v>#N/A</v>
      </c>
      <c r="C415" s="1365" t="e">
        <v>#N/A</v>
      </c>
      <c r="D415" s="73" t="e">
        <v>#N/A</v>
      </c>
      <c r="E415" s="1365" t="e">
        <v>#N/A</v>
      </c>
      <c r="F415" s="73" t="e">
        <v>#N/A</v>
      </c>
      <c r="G415" s="1365" t="e">
        <v>#N/A</v>
      </c>
      <c r="H415" s="526" t="e">
        <f t="shared" si="12"/>
        <v>#N/A</v>
      </c>
      <c r="I415" s="414"/>
    </row>
    <row r="416" spans="1:9">
      <c r="A416" s="85">
        <f t="shared" si="14"/>
        <v>2025.11</v>
      </c>
      <c r="B416" s="50" t="e">
        <v>#N/A</v>
      </c>
      <c r="C416" s="1365" t="e">
        <v>#N/A</v>
      </c>
      <c r="D416" s="73" t="e">
        <v>#N/A</v>
      </c>
      <c r="E416" s="1365" t="e">
        <v>#N/A</v>
      </c>
      <c r="F416" s="73" t="e">
        <v>#N/A</v>
      </c>
      <c r="G416" s="1365" t="e">
        <v>#N/A</v>
      </c>
      <c r="H416" s="526" t="e">
        <f t="shared" si="12"/>
        <v>#N/A</v>
      </c>
      <c r="I416" s="414"/>
    </row>
    <row r="417" spans="1:9">
      <c r="A417" s="85">
        <f t="shared" si="14"/>
        <v>2025.12</v>
      </c>
      <c r="B417" s="50" t="e">
        <v>#N/A</v>
      </c>
      <c r="C417" s="1365" t="e">
        <v>#N/A</v>
      </c>
      <c r="D417" s="73" t="e">
        <v>#N/A</v>
      </c>
      <c r="E417" s="1365" t="e">
        <v>#N/A</v>
      </c>
      <c r="F417" s="73" t="e">
        <v>#N/A</v>
      </c>
      <c r="G417" s="1365" t="e">
        <v>#N/A</v>
      </c>
      <c r="H417" s="526" t="e">
        <f t="shared" si="12"/>
        <v>#N/A</v>
      </c>
      <c r="I417" s="414"/>
    </row>
    <row r="418" spans="1:9">
      <c r="A418" s="2765">
        <f t="shared" si="14"/>
        <v>2026.01</v>
      </c>
      <c r="B418" s="50" t="e">
        <v>#N/A</v>
      </c>
      <c r="C418" s="1365" t="e">
        <v>#N/A</v>
      </c>
      <c r="D418" s="73" t="e">
        <v>#N/A</v>
      </c>
      <c r="E418" s="1365" t="e">
        <v>#N/A</v>
      </c>
      <c r="F418" s="73" t="e">
        <v>#N/A</v>
      </c>
      <c r="G418" s="1365" t="e">
        <v>#N/A</v>
      </c>
      <c r="H418" s="526" t="e">
        <f t="shared" ref="H418:H477" si="15">SUM(B418:G418)</f>
        <v>#N/A</v>
      </c>
    </row>
    <row r="419" spans="1:9">
      <c r="A419" s="2765">
        <f t="shared" si="14"/>
        <v>2026.02</v>
      </c>
      <c r="B419" s="50" t="e">
        <v>#N/A</v>
      </c>
      <c r="C419" s="1365" t="e">
        <v>#N/A</v>
      </c>
      <c r="D419" s="73" t="e">
        <v>#N/A</v>
      </c>
      <c r="E419" s="1365" t="e">
        <v>#N/A</v>
      </c>
      <c r="F419" s="73" t="e">
        <v>#N/A</v>
      </c>
      <c r="G419" s="1365" t="e">
        <v>#N/A</v>
      </c>
      <c r="H419" s="526" t="e">
        <f t="shared" si="15"/>
        <v>#N/A</v>
      </c>
    </row>
    <row r="420" spans="1:9">
      <c r="A420" s="2765">
        <f t="shared" si="14"/>
        <v>2026.03</v>
      </c>
      <c r="B420" s="50" t="e">
        <v>#N/A</v>
      </c>
      <c r="C420" s="1365" t="e">
        <v>#N/A</v>
      </c>
      <c r="D420" s="73" t="e">
        <v>#N/A</v>
      </c>
      <c r="E420" s="1365" t="e">
        <v>#N/A</v>
      </c>
      <c r="F420" s="73" t="e">
        <v>#N/A</v>
      </c>
      <c r="G420" s="1365" t="e">
        <v>#N/A</v>
      </c>
      <c r="H420" s="526" t="e">
        <f t="shared" si="15"/>
        <v>#N/A</v>
      </c>
    </row>
    <row r="421" spans="1:9">
      <c r="A421" s="2765">
        <f t="shared" si="14"/>
        <v>2026.04</v>
      </c>
      <c r="B421" s="50" t="e">
        <v>#N/A</v>
      </c>
      <c r="C421" s="1365" t="e">
        <v>#N/A</v>
      </c>
      <c r="D421" s="73" t="e">
        <v>#N/A</v>
      </c>
      <c r="E421" s="1365" t="e">
        <v>#N/A</v>
      </c>
      <c r="F421" s="73" t="e">
        <v>#N/A</v>
      </c>
      <c r="G421" s="1365" t="e">
        <v>#N/A</v>
      </c>
      <c r="H421" s="526" t="e">
        <f t="shared" si="15"/>
        <v>#N/A</v>
      </c>
    </row>
    <row r="422" spans="1:9">
      <c r="A422" s="2765">
        <f t="shared" si="14"/>
        <v>2026.05</v>
      </c>
      <c r="B422" s="50" t="e">
        <v>#N/A</v>
      </c>
      <c r="C422" s="1365" t="e">
        <v>#N/A</v>
      </c>
      <c r="D422" s="73" t="e">
        <v>#N/A</v>
      </c>
      <c r="E422" s="1365" t="e">
        <v>#N/A</v>
      </c>
      <c r="F422" s="73" t="e">
        <v>#N/A</v>
      </c>
      <c r="G422" s="1365" t="e">
        <v>#N/A</v>
      </c>
      <c r="H422" s="526" t="e">
        <f t="shared" si="15"/>
        <v>#N/A</v>
      </c>
    </row>
    <row r="423" spans="1:9">
      <c r="A423" s="2765">
        <f t="shared" si="14"/>
        <v>2026.06</v>
      </c>
      <c r="B423" s="50" t="e">
        <v>#N/A</v>
      </c>
      <c r="C423" s="1365" t="e">
        <v>#N/A</v>
      </c>
      <c r="D423" s="73" t="e">
        <v>#N/A</v>
      </c>
      <c r="E423" s="1365" t="e">
        <v>#N/A</v>
      </c>
      <c r="F423" s="73" t="e">
        <v>#N/A</v>
      </c>
      <c r="G423" s="1365" t="e">
        <v>#N/A</v>
      </c>
      <c r="H423" s="526" t="e">
        <f t="shared" si="15"/>
        <v>#N/A</v>
      </c>
    </row>
    <row r="424" spans="1:9">
      <c r="A424" s="2765">
        <f t="shared" si="14"/>
        <v>2026.07</v>
      </c>
      <c r="B424" s="50" t="e">
        <v>#N/A</v>
      </c>
      <c r="C424" s="1365" t="e">
        <v>#N/A</v>
      </c>
      <c r="D424" s="73" t="e">
        <v>#N/A</v>
      </c>
      <c r="E424" s="1365" t="e">
        <v>#N/A</v>
      </c>
      <c r="F424" s="73" t="e">
        <v>#N/A</v>
      </c>
      <c r="G424" s="1365" t="e">
        <v>#N/A</v>
      </c>
      <c r="H424" s="526" t="e">
        <f t="shared" si="15"/>
        <v>#N/A</v>
      </c>
    </row>
    <row r="425" spans="1:9">
      <c r="A425" s="2765">
        <f t="shared" si="14"/>
        <v>2026.08</v>
      </c>
      <c r="B425" s="50" t="e">
        <v>#N/A</v>
      </c>
      <c r="C425" s="1365" t="e">
        <v>#N/A</v>
      </c>
      <c r="D425" s="73" t="e">
        <v>#N/A</v>
      </c>
      <c r="E425" s="1365" t="e">
        <v>#N/A</v>
      </c>
      <c r="F425" s="73" t="e">
        <v>#N/A</v>
      </c>
      <c r="G425" s="1365" t="e">
        <v>#N/A</v>
      </c>
      <c r="H425" s="526" t="e">
        <f t="shared" si="15"/>
        <v>#N/A</v>
      </c>
    </row>
    <row r="426" spans="1:9">
      <c r="A426" s="2765">
        <f t="shared" si="14"/>
        <v>2026.09</v>
      </c>
      <c r="B426" s="50" t="e">
        <v>#N/A</v>
      </c>
      <c r="C426" s="1365" t="e">
        <v>#N/A</v>
      </c>
      <c r="D426" s="73" t="e">
        <v>#N/A</v>
      </c>
      <c r="E426" s="1365" t="e">
        <v>#N/A</v>
      </c>
      <c r="F426" s="73" t="e">
        <v>#N/A</v>
      </c>
      <c r="G426" s="1365" t="e">
        <v>#N/A</v>
      </c>
      <c r="H426" s="526" t="e">
        <f t="shared" si="15"/>
        <v>#N/A</v>
      </c>
    </row>
    <row r="427" spans="1:9">
      <c r="A427" s="2765">
        <f t="shared" si="14"/>
        <v>2026.1</v>
      </c>
      <c r="B427" s="50" t="e">
        <v>#N/A</v>
      </c>
      <c r="C427" s="1365" t="e">
        <v>#N/A</v>
      </c>
      <c r="D427" s="73" t="e">
        <v>#N/A</v>
      </c>
      <c r="E427" s="1365" t="e">
        <v>#N/A</v>
      </c>
      <c r="F427" s="73" t="e">
        <v>#N/A</v>
      </c>
      <c r="G427" s="1365" t="e">
        <v>#N/A</v>
      </c>
      <c r="H427" s="526" t="e">
        <f t="shared" si="15"/>
        <v>#N/A</v>
      </c>
    </row>
    <row r="428" spans="1:9">
      <c r="A428" s="2765">
        <f t="shared" si="14"/>
        <v>2026.11</v>
      </c>
      <c r="B428" s="50" t="e">
        <v>#N/A</v>
      </c>
      <c r="C428" s="1365" t="e">
        <v>#N/A</v>
      </c>
      <c r="D428" s="73" t="e">
        <v>#N/A</v>
      </c>
      <c r="E428" s="1365" t="e">
        <v>#N/A</v>
      </c>
      <c r="F428" s="73" t="e">
        <v>#N/A</v>
      </c>
      <c r="G428" s="1365" t="e">
        <v>#N/A</v>
      </c>
      <c r="H428" s="526" t="e">
        <f t="shared" si="15"/>
        <v>#N/A</v>
      </c>
    </row>
    <row r="429" spans="1:9">
      <c r="A429" s="2765">
        <f t="shared" si="14"/>
        <v>2026.12</v>
      </c>
      <c r="B429" s="50" t="e">
        <v>#N/A</v>
      </c>
      <c r="C429" s="1365" t="e">
        <v>#N/A</v>
      </c>
      <c r="D429" s="73" t="e">
        <v>#N/A</v>
      </c>
      <c r="E429" s="1365" t="e">
        <v>#N/A</v>
      </c>
      <c r="F429" s="73" t="e">
        <v>#N/A</v>
      </c>
      <c r="G429" s="1365" t="e">
        <v>#N/A</v>
      </c>
      <c r="H429" s="526" t="e">
        <f t="shared" si="15"/>
        <v>#N/A</v>
      </c>
    </row>
    <row r="430" spans="1:9">
      <c r="A430" s="2765">
        <f t="shared" si="14"/>
        <v>2027.01</v>
      </c>
      <c r="B430" s="50" t="e">
        <v>#N/A</v>
      </c>
      <c r="C430" s="1365" t="e">
        <v>#N/A</v>
      </c>
      <c r="D430" s="73" t="e">
        <v>#N/A</v>
      </c>
      <c r="E430" s="1365" t="e">
        <v>#N/A</v>
      </c>
      <c r="F430" s="73" t="e">
        <v>#N/A</v>
      </c>
      <c r="G430" s="1365" t="e">
        <v>#N/A</v>
      </c>
      <c r="H430" s="526" t="e">
        <f t="shared" si="15"/>
        <v>#N/A</v>
      </c>
    </row>
    <row r="431" spans="1:9">
      <c r="A431" s="2765">
        <f t="shared" si="14"/>
        <v>2027.02</v>
      </c>
      <c r="B431" s="50" t="e">
        <v>#N/A</v>
      </c>
      <c r="C431" s="1365" t="e">
        <v>#N/A</v>
      </c>
      <c r="D431" s="73" t="e">
        <v>#N/A</v>
      </c>
      <c r="E431" s="1365" t="e">
        <v>#N/A</v>
      </c>
      <c r="F431" s="73" t="e">
        <v>#N/A</v>
      </c>
      <c r="G431" s="1365" t="e">
        <v>#N/A</v>
      </c>
      <c r="H431" s="526" t="e">
        <f t="shared" si="15"/>
        <v>#N/A</v>
      </c>
    </row>
    <row r="432" spans="1:9">
      <c r="A432" s="2765">
        <f t="shared" si="14"/>
        <v>2027.03</v>
      </c>
      <c r="B432" s="50" t="e">
        <v>#N/A</v>
      </c>
      <c r="C432" s="1365" t="e">
        <v>#N/A</v>
      </c>
      <c r="D432" s="73" t="e">
        <v>#N/A</v>
      </c>
      <c r="E432" s="1365" t="e">
        <v>#N/A</v>
      </c>
      <c r="F432" s="73" t="e">
        <v>#N/A</v>
      </c>
      <c r="G432" s="1365" t="e">
        <v>#N/A</v>
      </c>
      <c r="H432" s="526" t="e">
        <f t="shared" si="15"/>
        <v>#N/A</v>
      </c>
    </row>
    <row r="433" spans="1:8">
      <c r="A433" s="2765">
        <f t="shared" si="14"/>
        <v>2027.04</v>
      </c>
      <c r="B433" s="50" t="e">
        <v>#N/A</v>
      </c>
      <c r="C433" s="1365" t="e">
        <v>#N/A</v>
      </c>
      <c r="D433" s="73" t="e">
        <v>#N/A</v>
      </c>
      <c r="E433" s="1365" t="e">
        <v>#N/A</v>
      </c>
      <c r="F433" s="73" t="e">
        <v>#N/A</v>
      </c>
      <c r="G433" s="1365" t="e">
        <v>#N/A</v>
      </c>
      <c r="H433" s="526" t="e">
        <f t="shared" si="15"/>
        <v>#N/A</v>
      </c>
    </row>
    <row r="434" spans="1:8">
      <c r="A434" s="2765">
        <f t="shared" si="14"/>
        <v>2027.05</v>
      </c>
      <c r="B434" s="50" t="e">
        <v>#N/A</v>
      </c>
      <c r="C434" s="1365" t="e">
        <v>#N/A</v>
      </c>
      <c r="D434" s="73" t="e">
        <v>#N/A</v>
      </c>
      <c r="E434" s="1365" t="e">
        <v>#N/A</v>
      </c>
      <c r="F434" s="73" t="e">
        <v>#N/A</v>
      </c>
      <c r="G434" s="1365" t="e">
        <v>#N/A</v>
      </c>
      <c r="H434" s="526" t="e">
        <f t="shared" si="15"/>
        <v>#N/A</v>
      </c>
    </row>
    <row r="435" spans="1:8">
      <c r="A435" s="2765">
        <f t="shared" si="14"/>
        <v>2027.06</v>
      </c>
      <c r="B435" s="50" t="e">
        <v>#N/A</v>
      </c>
      <c r="C435" s="1365" t="e">
        <v>#N/A</v>
      </c>
      <c r="D435" s="73" t="e">
        <v>#N/A</v>
      </c>
      <c r="E435" s="1365" t="e">
        <v>#N/A</v>
      </c>
      <c r="F435" s="73" t="e">
        <v>#N/A</v>
      </c>
      <c r="G435" s="1365" t="e">
        <v>#N/A</v>
      </c>
      <c r="H435" s="526" t="e">
        <f t="shared" si="15"/>
        <v>#N/A</v>
      </c>
    </row>
    <row r="436" spans="1:8">
      <c r="A436" s="2765">
        <f t="shared" si="14"/>
        <v>2027.07</v>
      </c>
      <c r="B436" s="50" t="e">
        <v>#N/A</v>
      </c>
      <c r="C436" s="1365" t="e">
        <v>#N/A</v>
      </c>
      <c r="D436" s="73" t="e">
        <v>#N/A</v>
      </c>
      <c r="E436" s="1365" t="e">
        <v>#N/A</v>
      </c>
      <c r="F436" s="73" t="e">
        <v>#N/A</v>
      </c>
      <c r="G436" s="1365" t="e">
        <v>#N/A</v>
      </c>
      <c r="H436" s="526" t="e">
        <f t="shared" si="15"/>
        <v>#N/A</v>
      </c>
    </row>
    <row r="437" spans="1:8">
      <c r="A437" s="2765">
        <f t="shared" si="14"/>
        <v>2027.08</v>
      </c>
      <c r="B437" s="50" t="e">
        <v>#N/A</v>
      </c>
      <c r="C437" s="1365" t="e">
        <v>#N/A</v>
      </c>
      <c r="D437" s="73" t="e">
        <v>#N/A</v>
      </c>
      <c r="E437" s="1365" t="e">
        <v>#N/A</v>
      </c>
      <c r="F437" s="73" t="e">
        <v>#N/A</v>
      </c>
      <c r="G437" s="1365" t="e">
        <v>#N/A</v>
      </c>
      <c r="H437" s="526" t="e">
        <f t="shared" si="15"/>
        <v>#N/A</v>
      </c>
    </row>
    <row r="438" spans="1:8">
      <c r="A438" s="2765">
        <f t="shared" si="14"/>
        <v>2027.09</v>
      </c>
      <c r="B438" s="50" t="e">
        <v>#N/A</v>
      </c>
      <c r="C438" s="1365" t="e">
        <v>#N/A</v>
      </c>
      <c r="D438" s="73" t="e">
        <v>#N/A</v>
      </c>
      <c r="E438" s="1365" t="e">
        <v>#N/A</v>
      </c>
      <c r="F438" s="73" t="e">
        <v>#N/A</v>
      </c>
      <c r="G438" s="1365" t="e">
        <v>#N/A</v>
      </c>
      <c r="H438" s="526" t="e">
        <f t="shared" si="15"/>
        <v>#N/A</v>
      </c>
    </row>
    <row r="439" spans="1:8">
      <c r="A439" s="2765">
        <f t="shared" si="14"/>
        <v>2027.1</v>
      </c>
      <c r="B439" s="50" t="e">
        <v>#N/A</v>
      </c>
      <c r="C439" s="1365" t="e">
        <v>#N/A</v>
      </c>
      <c r="D439" s="73" t="e">
        <v>#N/A</v>
      </c>
      <c r="E439" s="1365" t="e">
        <v>#N/A</v>
      </c>
      <c r="F439" s="73" t="e">
        <v>#N/A</v>
      </c>
      <c r="G439" s="1365" t="e">
        <v>#N/A</v>
      </c>
      <c r="H439" s="526" t="e">
        <f t="shared" si="15"/>
        <v>#N/A</v>
      </c>
    </row>
    <row r="440" spans="1:8">
      <c r="A440" s="2765">
        <f t="shared" si="14"/>
        <v>2027.11</v>
      </c>
      <c r="B440" s="50" t="e">
        <v>#N/A</v>
      </c>
      <c r="C440" s="1365" t="e">
        <v>#N/A</v>
      </c>
      <c r="D440" s="73" t="e">
        <v>#N/A</v>
      </c>
      <c r="E440" s="1365" t="e">
        <v>#N/A</v>
      </c>
      <c r="F440" s="73" t="e">
        <v>#N/A</v>
      </c>
      <c r="G440" s="1365" t="e">
        <v>#N/A</v>
      </c>
      <c r="H440" s="526" t="e">
        <f t="shared" si="15"/>
        <v>#N/A</v>
      </c>
    </row>
    <row r="441" spans="1:8">
      <c r="A441" s="2765">
        <f t="shared" si="14"/>
        <v>2027.12</v>
      </c>
      <c r="B441" s="50" t="e">
        <v>#N/A</v>
      </c>
      <c r="C441" s="1365" t="e">
        <v>#N/A</v>
      </c>
      <c r="D441" s="73" t="e">
        <v>#N/A</v>
      </c>
      <c r="E441" s="1365" t="e">
        <v>#N/A</v>
      </c>
      <c r="F441" s="73" t="e">
        <v>#N/A</v>
      </c>
      <c r="G441" s="1365" t="e">
        <v>#N/A</v>
      </c>
      <c r="H441" s="526" t="e">
        <f t="shared" si="15"/>
        <v>#N/A</v>
      </c>
    </row>
    <row r="442" spans="1:8">
      <c r="A442" s="2765">
        <f t="shared" si="14"/>
        <v>2028.01</v>
      </c>
      <c r="B442" s="50" t="e">
        <v>#N/A</v>
      </c>
      <c r="C442" s="1365" t="e">
        <v>#N/A</v>
      </c>
      <c r="D442" s="73" t="e">
        <v>#N/A</v>
      </c>
      <c r="E442" s="1365" t="e">
        <v>#N/A</v>
      </c>
      <c r="F442" s="73" t="e">
        <v>#N/A</v>
      </c>
      <c r="G442" s="1365" t="e">
        <v>#N/A</v>
      </c>
      <c r="H442" s="526" t="e">
        <f t="shared" si="15"/>
        <v>#N/A</v>
      </c>
    </row>
    <row r="443" spans="1:8">
      <c r="A443" s="2765">
        <f t="shared" si="14"/>
        <v>2028.02</v>
      </c>
      <c r="B443" s="50" t="e">
        <v>#N/A</v>
      </c>
      <c r="C443" s="1365" t="e">
        <v>#N/A</v>
      </c>
      <c r="D443" s="73" t="e">
        <v>#N/A</v>
      </c>
      <c r="E443" s="1365" t="e">
        <v>#N/A</v>
      </c>
      <c r="F443" s="73" t="e">
        <v>#N/A</v>
      </c>
      <c r="G443" s="1365" t="e">
        <v>#N/A</v>
      </c>
      <c r="H443" s="526" t="e">
        <f t="shared" si="15"/>
        <v>#N/A</v>
      </c>
    </row>
    <row r="444" spans="1:8">
      <c r="A444" s="2765">
        <f t="shared" si="14"/>
        <v>2028.03</v>
      </c>
      <c r="B444" s="50" t="e">
        <v>#N/A</v>
      </c>
      <c r="C444" s="1365" t="e">
        <v>#N/A</v>
      </c>
      <c r="D444" s="73" t="e">
        <v>#N/A</v>
      </c>
      <c r="E444" s="1365" t="e">
        <v>#N/A</v>
      </c>
      <c r="F444" s="73" t="e">
        <v>#N/A</v>
      </c>
      <c r="G444" s="1365" t="e">
        <v>#N/A</v>
      </c>
      <c r="H444" s="526" t="e">
        <f t="shared" si="15"/>
        <v>#N/A</v>
      </c>
    </row>
    <row r="445" spans="1:8">
      <c r="A445" s="2765">
        <f t="shared" si="14"/>
        <v>2028.04</v>
      </c>
      <c r="B445" s="50" t="e">
        <v>#N/A</v>
      </c>
      <c r="C445" s="1365" t="e">
        <v>#N/A</v>
      </c>
      <c r="D445" s="73" t="e">
        <v>#N/A</v>
      </c>
      <c r="E445" s="1365" t="e">
        <v>#N/A</v>
      </c>
      <c r="F445" s="73" t="e">
        <v>#N/A</v>
      </c>
      <c r="G445" s="1365" t="e">
        <v>#N/A</v>
      </c>
      <c r="H445" s="526" t="e">
        <f t="shared" si="15"/>
        <v>#N/A</v>
      </c>
    </row>
    <row r="446" spans="1:8">
      <c r="A446" s="2765">
        <f t="shared" si="14"/>
        <v>2028.05</v>
      </c>
      <c r="B446" s="50" t="e">
        <v>#N/A</v>
      </c>
      <c r="C446" s="1365" t="e">
        <v>#N/A</v>
      </c>
      <c r="D446" s="73" t="e">
        <v>#N/A</v>
      </c>
      <c r="E446" s="1365" t="e">
        <v>#N/A</v>
      </c>
      <c r="F446" s="73" t="e">
        <v>#N/A</v>
      </c>
      <c r="G446" s="1365" t="e">
        <v>#N/A</v>
      </c>
      <c r="H446" s="526" t="e">
        <f t="shared" si="15"/>
        <v>#N/A</v>
      </c>
    </row>
    <row r="447" spans="1:8">
      <c r="A447" s="2765">
        <f t="shared" si="14"/>
        <v>2028.06</v>
      </c>
      <c r="B447" s="50" t="e">
        <v>#N/A</v>
      </c>
      <c r="C447" s="1365" t="e">
        <v>#N/A</v>
      </c>
      <c r="D447" s="73" t="e">
        <v>#N/A</v>
      </c>
      <c r="E447" s="1365" t="e">
        <v>#N/A</v>
      </c>
      <c r="F447" s="73" t="e">
        <v>#N/A</v>
      </c>
      <c r="G447" s="1365" t="e">
        <v>#N/A</v>
      </c>
      <c r="H447" s="526" t="e">
        <f t="shared" si="15"/>
        <v>#N/A</v>
      </c>
    </row>
    <row r="448" spans="1:8">
      <c r="A448" s="2765">
        <f t="shared" si="14"/>
        <v>2028.07</v>
      </c>
      <c r="B448" s="50" t="e">
        <v>#N/A</v>
      </c>
      <c r="C448" s="1365" t="e">
        <v>#N/A</v>
      </c>
      <c r="D448" s="73" t="e">
        <v>#N/A</v>
      </c>
      <c r="E448" s="1365" t="e">
        <v>#N/A</v>
      </c>
      <c r="F448" s="73" t="e">
        <v>#N/A</v>
      </c>
      <c r="G448" s="1365" t="e">
        <v>#N/A</v>
      </c>
      <c r="H448" s="526" t="e">
        <f t="shared" si="15"/>
        <v>#N/A</v>
      </c>
    </row>
    <row r="449" spans="1:8">
      <c r="A449" s="2765">
        <f t="shared" si="14"/>
        <v>2028.08</v>
      </c>
      <c r="B449" s="50" t="e">
        <v>#N/A</v>
      </c>
      <c r="C449" s="1365" t="e">
        <v>#N/A</v>
      </c>
      <c r="D449" s="73" t="e">
        <v>#N/A</v>
      </c>
      <c r="E449" s="1365" t="e">
        <v>#N/A</v>
      </c>
      <c r="F449" s="73" t="e">
        <v>#N/A</v>
      </c>
      <c r="G449" s="1365" t="e">
        <v>#N/A</v>
      </c>
      <c r="H449" s="526" t="e">
        <f t="shared" si="15"/>
        <v>#N/A</v>
      </c>
    </row>
    <row r="450" spans="1:8">
      <c r="A450" s="2765">
        <f t="shared" si="14"/>
        <v>2028.09</v>
      </c>
      <c r="B450" s="50" t="e">
        <v>#N/A</v>
      </c>
      <c r="C450" s="1365" t="e">
        <v>#N/A</v>
      </c>
      <c r="D450" s="73" t="e">
        <v>#N/A</v>
      </c>
      <c r="E450" s="1365" t="e">
        <v>#N/A</v>
      </c>
      <c r="F450" s="73" t="e">
        <v>#N/A</v>
      </c>
      <c r="G450" s="1365" t="e">
        <v>#N/A</v>
      </c>
      <c r="H450" s="526" t="e">
        <f t="shared" si="15"/>
        <v>#N/A</v>
      </c>
    </row>
    <row r="451" spans="1:8">
      <c r="A451" s="2765">
        <f t="shared" si="14"/>
        <v>2028.1</v>
      </c>
      <c r="B451" s="50" t="e">
        <v>#N/A</v>
      </c>
      <c r="C451" s="1365" t="e">
        <v>#N/A</v>
      </c>
      <c r="D451" s="73" t="e">
        <v>#N/A</v>
      </c>
      <c r="E451" s="1365" t="e">
        <v>#N/A</v>
      </c>
      <c r="F451" s="73" t="e">
        <v>#N/A</v>
      </c>
      <c r="G451" s="1365" t="e">
        <v>#N/A</v>
      </c>
      <c r="H451" s="526" t="e">
        <f t="shared" si="15"/>
        <v>#N/A</v>
      </c>
    </row>
    <row r="452" spans="1:8">
      <c r="A452" s="2765">
        <f t="shared" si="14"/>
        <v>2028.11</v>
      </c>
      <c r="B452" s="50" t="e">
        <v>#N/A</v>
      </c>
      <c r="C452" s="1365" t="e">
        <v>#N/A</v>
      </c>
      <c r="D452" s="73" t="e">
        <v>#N/A</v>
      </c>
      <c r="E452" s="1365" t="e">
        <v>#N/A</v>
      </c>
      <c r="F452" s="73" t="e">
        <v>#N/A</v>
      </c>
      <c r="G452" s="1365" t="e">
        <v>#N/A</v>
      </c>
      <c r="H452" s="526" t="e">
        <f t="shared" si="15"/>
        <v>#N/A</v>
      </c>
    </row>
    <row r="453" spans="1:8">
      <c r="A453" s="2765">
        <f t="shared" si="14"/>
        <v>2028.12</v>
      </c>
      <c r="B453" s="50" t="e">
        <v>#N/A</v>
      </c>
      <c r="C453" s="1365" t="e">
        <v>#N/A</v>
      </c>
      <c r="D453" s="73" t="e">
        <v>#N/A</v>
      </c>
      <c r="E453" s="1365" t="e">
        <v>#N/A</v>
      </c>
      <c r="F453" s="73" t="e">
        <v>#N/A</v>
      </c>
      <c r="G453" s="1365" t="e">
        <v>#N/A</v>
      </c>
      <c r="H453" s="526" t="e">
        <f t="shared" si="15"/>
        <v>#N/A</v>
      </c>
    </row>
    <row r="454" spans="1:8">
      <c r="A454" s="2765">
        <f t="shared" si="14"/>
        <v>2029.01</v>
      </c>
      <c r="B454" s="50" t="e">
        <v>#N/A</v>
      </c>
      <c r="C454" s="1365" t="e">
        <v>#N/A</v>
      </c>
      <c r="D454" s="73" t="e">
        <v>#N/A</v>
      </c>
      <c r="E454" s="1365" t="e">
        <v>#N/A</v>
      </c>
      <c r="F454" s="73" t="e">
        <v>#N/A</v>
      </c>
      <c r="G454" s="1365" t="e">
        <v>#N/A</v>
      </c>
      <c r="H454" s="526" t="e">
        <f t="shared" si="15"/>
        <v>#N/A</v>
      </c>
    </row>
    <row r="455" spans="1:8">
      <c r="A455" s="2765">
        <f t="shared" si="14"/>
        <v>2029.02</v>
      </c>
      <c r="B455" s="50" t="e">
        <v>#N/A</v>
      </c>
      <c r="C455" s="1365" t="e">
        <v>#N/A</v>
      </c>
      <c r="D455" s="73" t="e">
        <v>#N/A</v>
      </c>
      <c r="E455" s="1365" t="e">
        <v>#N/A</v>
      </c>
      <c r="F455" s="73" t="e">
        <v>#N/A</v>
      </c>
      <c r="G455" s="1365" t="e">
        <v>#N/A</v>
      </c>
      <c r="H455" s="526" t="e">
        <f t="shared" si="15"/>
        <v>#N/A</v>
      </c>
    </row>
    <row r="456" spans="1:8">
      <c r="A456" s="2765">
        <f t="shared" si="14"/>
        <v>2029.03</v>
      </c>
      <c r="B456" s="50" t="e">
        <v>#N/A</v>
      </c>
      <c r="C456" s="1365" t="e">
        <v>#N/A</v>
      </c>
      <c r="D456" s="73" t="e">
        <v>#N/A</v>
      </c>
      <c r="E456" s="1365" t="e">
        <v>#N/A</v>
      </c>
      <c r="F456" s="73" t="e">
        <v>#N/A</v>
      </c>
      <c r="G456" s="1365" t="e">
        <v>#N/A</v>
      </c>
      <c r="H456" s="526" t="e">
        <f t="shared" si="15"/>
        <v>#N/A</v>
      </c>
    </row>
    <row r="457" spans="1:8">
      <c r="A457" s="2765">
        <f t="shared" si="14"/>
        <v>2029.04</v>
      </c>
      <c r="B457" s="50" t="e">
        <v>#N/A</v>
      </c>
      <c r="C457" s="1365" t="e">
        <v>#N/A</v>
      </c>
      <c r="D457" s="73" t="e">
        <v>#N/A</v>
      </c>
      <c r="E457" s="1365" t="e">
        <v>#N/A</v>
      </c>
      <c r="F457" s="73" t="e">
        <v>#N/A</v>
      </c>
      <c r="G457" s="1365" t="e">
        <v>#N/A</v>
      </c>
      <c r="H457" s="526" t="e">
        <f t="shared" si="15"/>
        <v>#N/A</v>
      </c>
    </row>
    <row r="458" spans="1:8">
      <c r="A458" s="2765">
        <f t="shared" si="14"/>
        <v>2029.05</v>
      </c>
      <c r="B458" s="50" t="e">
        <v>#N/A</v>
      </c>
      <c r="C458" s="1365" t="e">
        <v>#N/A</v>
      </c>
      <c r="D458" s="73" t="e">
        <v>#N/A</v>
      </c>
      <c r="E458" s="1365" t="e">
        <v>#N/A</v>
      </c>
      <c r="F458" s="73" t="e">
        <v>#N/A</v>
      </c>
      <c r="G458" s="1365" t="e">
        <v>#N/A</v>
      </c>
      <c r="H458" s="526" t="e">
        <f t="shared" si="15"/>
        <v>#N/A</v>
      </c>
    </row>
    <row r="459" spans="1:8">
      <c r="A459" s="2765">
        <f t="shared" si="14"/>
        <v>2029.06</v>
      </c>
      <c r="B459" s="50" t="e">
        <v>#N/A</v>
      </c>
      <c r="C459" s="1365" t="e">
        <v>#N/A</v>
      </c>
      <c r="D459" s="73" t="e">
        <v>#N/A</v>
      </c>
      <c r="E459" s="1365" t="e">
        <v>#N/A</v>
      </c>
      <c r="F459" s="73" t="e">
        <v>#N/A</v>
      </c>
      <c r="G459" s="1365" t="e">
        <v>#N/A</v>
      </c>
      <c r="H459" s="526" t="e">
        <f t="shared" si="15"/>
        <v>#N/A</v>
      </c>
    </row>
    <row r="460" spans="1:8">
      <c r="A460" s="2765">
        <f t="shared" si="14"/>
        <v>2029.07</v>
      </c>
      <c r="B460" s="50" t="e">
        <v>#N/A</v>
      </c>
      <c r="C460" s="1365" t="e">
        <v>#N/A</v>
      </c>
      <c r="D460" s="73" t="e">
        <v>#N/A</v>
      </c>
      <c r="E460" s="1365" t="e">
        <v>#N/A</v>
      </c>
      <c r="F460" s="73" t="e">
        <v>#N/A</v>
      </c>
      <c r="G460" s="1365" t="e">
        <v>#N/A</v>
      </c>
      <c r="H460" s="526" t="e">
        <f t="shared" si="15"/>
        <v>#N/A</v>
      </c>
    </row>
    <row r="461" spans="1:8">
      <c r="A461" s="2765">
        <f t="shared" si="14"/>
        <v>2029.08</v>
      </c>
      <c r="B461" s="50" t="e">
        <v>#N/A</v>
      </c>
      <c r="C461" s="1365" t="e">
        <v>#N/A</v>
      </c>
      <c r="D461" s="73" t="e">
        <v>#N/A</v>
      </c>
      <c r="E461" s="1365" t="e">
        <v>#N/A</v>
      </c>
      <c r="F461" s="73" t="e">
        <v>#N/A</v>
      </c>
      <c r="G461" s="1365" t="e">
        <v>#N/A</v>
      </c>
      <c r="H461" s="526" t="e">
        <f t="shared" si="15"/>
        <v>#N/A</v>
      </c>
    </row>
    <row r="462" spans="1:8">
      <c r="A462" s="2765">
        <f t="shared" si="14"/>
        <v>2029.09</v>
      </c>
      <c r="B462" s="50" t="e">
        <v>#N/A</v>
      </c>
      <c r="C462" s="1365" t="e">
        <v>#N/A</v>
      </c>
      <c r="D462" s="73" t="e">
        <v>#N/A</v>
      </c>
      <c r="E462" s="1365" t="e">
        <v>#N/A</v>
      </c>
      <c r="F462" s="73" t="e">
        <v>#N/A</v>
      </c>
      <c r="G462" s="1365" t="e">
        <v>#N/A</v>
      </c>
      <c r="H462" s="526" t="e">
        <f t="shared" si="15"/>
        <v>#N/A</v>
      </c>
    </row>
    <row r="463" spans="1:8">
      <c r="A463" s="2765">
        <f t="shared" si="14"/>
        <v>2029.1</v>
      </c>
      <c r="B463" s="50" t="e">
        <v>#N/A</v>
      </c>
      <c r="C463" s="1365" t="e">
        <v>#N/A</v>
      </c>
      <c r="D463" s="73" t="e">
        <v>#N/A</v>
      </c>
      <c r="E463" s="1365" t="e">
        <v>#N/A</v>
      </c>
      <c r="F463" s="73" t="e">
        <v>#N/A</v>
      </c>
      <c r="G463" s="1365" t="e">
        <v>#N/A</v>
      </c>
      <c r="H463" s="526" t="e">
        <f t="shared" si="15"/>
        <v>#N/A</v>
      </c>
    </row>
    <row r="464" spans="1:8">
      <c r="A464" s="2765">
        <f t="shared" si="14"/>
        <v>2029.11</v>
      </c>
      <c r="B464" s="50" t="e">
        <v>#N/A</v>
      </c>
      <c r="C464" s="1365" t="e">
        <v>#N/A</v>
      </c>
      <c r="D464" s="73" t="e">
        <v>#N/A</v>
      </c>
      <c r="E464" s="1365" t="e">
        <v>#N/A</v>
      </c>
      <c r="F464" s="73" t="e">
        <v>#N/A</v>
      </c>
      <c r="G464" s="1365" t="e">
        <v>#N/A</v>
      </c>
      <c r="H464" s="526" t="e">
        <f t="shared" si="15"/>
        <v>#N/A</v>
      </c>
    </row>
    <row r="465" spans="1:8">
      <c r="A465" s="2765">
        <f t="shared" si="14"/>
        <v>2029.12</v>
      </c>
      <c r="B465" s="50" t="e">
        <v>#N/A</v>
      </c>
      <c r="C465" s="1365" t="e">
        <v>#N/A</v>
      </c>
      <c r="D465" s="73" t="e">
        <v>#N/A</v>
      </c>
      <c r="E465" s="1365" t="e">
        <v>#N/A</v>
      </c>
      <c r="F465" s="73" t="e">
        <v>#N/A</v>
      </c>
      <c r="G465" s="1365" t="e">
        <v>#N/A</v>
      </c>
      <c r="H465" s="526" t="e">
        <f t="shared" si="15"/>
        <v>#N/A</v>
      </c>
    </row>
    <row r="466" spans="1:8">
      <c r="A466" s="2765">
        <f t="shared" si="14"/>
        <v>2030.01</v>
      </c>
      <c r="B466" s="50" t="e">
        <v>#N/A</v>
      </c>
      <c r="C466" s="1365" t="e">
        <v>#N/A</v>
      </c>
      <c r="D466" s="73" t="e">
        <v>#N/A</v>
      </c>
      <c r="E466" s="1365" t="e">
        <v>#N/A</v>
      </c>
      <c r="F466" s="73" t="e">
        <v>#N/A</v>
      </c>
      <c r="G466" s="1365" t="e">
        <v>#N/A</v>
      </c>
      <c r="H466" s="526" t="e">
        <f t="shared" si="15"/>
        <v>#N/A</v>
      </c>
    </row>
    <row r="467" spans="1:8">
      <c r="A467" s="2765">
        <f t="shared" ref="A467:A477" si="16">A455+1</f>
        <v>2030.02</v>
      </c>
      <c r="B467" s="50" t="e">
        <v>#N/A</v>
      </c>
      <c r="C467" s="1365" t="e">
        <v>#N/A</v>
      </c>
      <c r="D467" s="73" t="e">
        <v>#N/A</v>
      </c>
      <c r="E467" s="1365" t="e">
        <v>#N/A</v>
      </c>
      <c r="F467" s="73" t="e">
        <v>#N/A</v>
      </c>
      <c r="G467" s="1365" t="e">
        <v>#N/A</v>
      </c>
      <c r="H467" s="526" t="e">
        <f t="shared" si="15"/>
        <v>#N/A</v>
      </c>
    </row>
    <row r="468" spans="1:8">
      <c r="A468" s="2765">
        <f t="shared" si="16"/>
        <v>2030.03</v>
      </c>
      <c r="B468" s="50" t="e">
        <v>#N/A</v>
      </c>
      <c r="C468" s="1365" t="e">
        <v>#N/A</v>
      </c>
      <c r="D468" s="73" t="e">
        <v>#N/A</v>
      </c>
      <c r="E468" s="1365" t="e">
        <v>#N/A</v>
      </c>
      <c r="F468" s="73" t="e">
        <v>#N/A</v>
      </c>
      <c r="G468" s="1365" t="e">
        <v>#N/A</v>
      </c>
      <c r="H468" s="526" t="e">
        <f t="shared" si="15"/>
        <v>#N/A</v>
      </c>
    </row>
    <row r="469" spans="1:8">
      <c r="A469" s="2765">
        <f t="shared" si="16"/>
        <v>2030.04</v>
      </c>
      <c r="B469" s="50" t="e">
        <v>#N/A</v>
      </c>
      <c r="C469" s="1365" t="e">
        <v>#N/A</v>
      </c>
      <c r="D469" s="73" t="e">
        <v>#N/A</v>
      </c>
      <c r="E469" s="1365" t="e">
        <v>#N/A</v>
      </c>
      <c r="F469" s="73" t="e">
        <v>#N/A</v>
      </c>
      <c r="G469" s="1365" t="e">
        <v>#N/A</v>
      </c>
      <c r="H469" s="526" t="e">
        <f t="shared" si="15"/>
        <v>#N/A</v>
      </c>
    </row>
    <row r="470" spans="1:8">
      <c r="A470" s="2765">
        <f t="shared" si="16"/>
        <v>2030.05</v>
      </c>
      <c r="B470" s="50" t="e">
        <v>#N/A</v>
      </c>
      <c r="C470" s="1365" t="e">
        <v>#N/A</v>
      </c>
      <c r="D470" s="73" t="e">
        <v>#N/A</v>
      </c>
      <c r="E470" s="1365" t="e">
        <v>#N/A</v>
      </c>
      <c r="F470" s="73" t="e">
        <v>#N/A</v>
      </c>
      <c r="G470" s="1365" t="e">
        <v>#N/A</v>
      </c>
      <c r="H470" s="526" t="e">
        <f t="shared" si="15"/>
        <v>#N/A</v>
      </c>
    </row>
    <row r="471" spans="1:8">
      <c r="A471" s="2765">
        <f t="shared" si="16"/>
        <v>2030.06</v>
      </c>
      <c r="B471" s="50" t="e">
        <v>#N/A</v>
      </c>
      <c r="C471" s="1365" t="e">
        <v>#N/A</v>
      </c>
      <c r="D471" s="73" t="e">
        <v>#N/A</v>
      </c>
      <c r="E471" s="1365" t="e">
        <v>#N/A</v>
      </c>
      <c r="F471" s="73" t="e">
        <v>#N/A</v>
      </c>
      <c r="G471" s="1365" t="e">
        <v>#N/A</v>
      </c>
      <c r="H471" s="526" t="e">
        <f t="shared" si="15"/>
        <v>#N/A</v>
      </c>
    </row>
    <row r="472" spans="1:8">
      <c r="A472" s="2765">
        <f t="shared" si="16"/>
        <v>2030.07</v>
      </c>
      <c r="B472" s="50" t="e">
        <v>#N/A</v>
      </c>
      <c r="C472" s="1365" t="e">
        <v>#N/A</v>
      </c>
      <c r="D472" s="73" t="e">
        <v>#N/A</v>
      </c>
      <c r="E472" s="1365" t="e">
        <v>#N/A</v>
      </c>
      <c r="F472" s="73" t="e">
        <v>#N/A</v>
      </c>
      <c r="G472" s="1365" t="e">
        <v>#N/A</v>
      </c>
      <c r="H472" s="526" t="e">
        <f t="shared" si="15"/>
        <v>#N/A</v>
      </c>
    </row>
    <row r="473" spans="1:8">
      <c r="A473" s="2765">
        <f t="shared" si="16"/>
        <v>2030.08</v>
      </c>
      <c r="B473" s="50" t="e">
        <v>#N/A</v>
      </c>
      <c r="C473" s="1365" t="e">
        <v>#N/A</v>
      </c>
      <c r="D473" s="73" t="e">
        <v>#N/A</v>
      </c>
      <c r="E473" s="1365" t="e">
        <v>#N/A</v>
      </c>
      <c r="F473" s="73" t="e">
        <v>#N/A</v>
      </c>
      <c r="G473" s="1365" t="e">
        <v>#N/A</v>
      </c>
      <c r="H473" s="526" t="e">
        <f t="shared" si="15"/>
        <v>#N/A</v>
      </c>
    </row>
    <row r="474" spans="1:8">
      <c r="A474" s="2765">
        <f t="shared" si="16"/>
        <v>2030.09</v>
      </c>
      <c r="B474" s="50" t="e">
        <v>#N/A</v>
      </c>
      <c r="C474" s="1365" t="e">
        <v>#N/A</v>
      </c>
      <c r="D474" s="73" t="e">
        <v>#N/A</v>
      </c>
      <c r="E474" s="1365" t="e">
        <v>#N/A</v>
      </c>
      <c r="F474" s="73" t="e">
        <v>#N/A</v>
      </c>
      <c r="G474" s="1365" t="e">
        <v>#N/A</v>
      </c>
      <c r="H474" s="526" t="e">
        <f t="shared" si="15"/>
        <v>#N/A</v>
      </c>
    </row>
    <row r="475" spans="1:8">
      <c r="A475" s="2765">
        <f t="shared" si="16"/>
        <v>2030.1</v>
      </c>
      <c r="B475" s="50" t="e">
        <v>#N/A</v>
      </c>
      <c r="C475" s="1365" t="e">
        <v>#N/A</v>
      </c>
      <c r="D475" s="73" t="e">
        <v>#N/A</v>
      </c>
      <c r="E475" s="1365" t="e">
        <v>#N/A</v>
      </c>
      <c r="F475" s="73" t="e">
        <v>#N/A</v>
      </c>
      <c r="G475" s="1365" t="e">
        <v>#N/A</v>
      </c>
      <c r="H475" s="526" t="e">
        <f t="shared" si="15"/>
        <v>#N/A</v>
      </c>
    </row>
    <row r="476" spans="1:8">
      <c r="A476" s="2765">
        <f t="shared" si="16"/>
        <v>2030.11</v>
      </c>
      <c r="B476" s="50" t="e">
        <v>#N/A</v>
      </c>
      <c r="C476" s="1365" t="e">
        <v>#N/A</v>
      </c>
      <c r="D476" s="73" t="e">
        <v>#N/A</v>
      </c>
      <c r="E476" s="1365" t="e">
        <v>#N/A</v>
      </c>
      <c r="F476" s="73" t="e">
        <v>#N/A</v>
      </c>
      <c r="G476" s="1365" t="e">
        <v>#N/A</v>
      </c>
      <c r="H476" s="526" t="e">
        <f t="shared" si="15"/>
        <v>#N/A</v>
      </c>
    </row>
    <row r="477" spans="1:8">
      <c r="A477" s="2765">
        <f t="shared" si="16"/>
        <v>2030.12</v>
      </c>
      <c r="B477" s="50" t="e">
        <v>#N/A</v>
      </c>
      <c r="C477" s="1365" t="e">
        <v>#N/A</v>
      </c>
      <c r="D477" s="73" t="e">
        <v>#N/A</v>
      </c>
      <c r="E477" s="1365" t="e">
        <v>#N/A</v>
      </c>
      <c r="F477" s="73" t="e">
        <v>#N/A</v>
      </c>
      <c r="G477" s="1365" t="e">
        <v>#N/A</v>
      </c>
      <c r="H477" s="526" t="e">
        <f t="shared" si="15"/>
        <v>#N/A</v>
      </c>
    </row>
  </sheetData>
  <phoneticPr fontId="0" type="noConversion"/>
  <hyperlinks>
    <hyperlink ref="A5" location="INDICE!A13" display="VOLVER AL INDICE" xr:uid="{00000000-0004-0000-2E00-000000000000}"/>
  </hyperlinks>
  <pageMargins left="0.75" right="0.75" top="1" bottom="1" header="0" footer="0"/>
  <pageSetup paperSize="9" orientation="portrait" horizontalDpi="300" verticalDpi="300"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2">
    <pageSetUpPr autoPageBreaks="0"/>
  </sheetPr>
  <dimension ref="A1:C477"/>
  <sheetViews>
    <sheetView zoomScale="115" zoomScaleNormal="115" workbookViewId="0">
      <pane xSplit="1" ySplit="9" topLeftCell="B381" activePane="bottomRight" state="frozen"/>
      <selection sqref="A1:A5"/>
      <selection pane="topRight" sqref="A1:A5"/>
      <selection pane="bottomLeft" sqref="A1:A5"/>
      <selection pane="bottomRight" activeCell="A5" sqref="A5"/>
    </sheetView>
  </sheetViews>
  <sheetFormatPr baseColWidth="10" defaultColWidth="11.42578125" defaultRowHeight="12.75"/>
  <cols>
    <col min="1" max="1" width="10.42578125" style="19" bestFit="1" customWidth="1"/>
    <col min="2" max="2" width="26.7109375" style="19" customWidth="1"/>
    <col min="3" max="16384" width="11.42578125" style="1"/>
  </cols>
  <sheetData>
    <row r="1" spans="1:3" ht="3.75" customHeight="1">
      <c r="A1" s="47"/>
      <c r="B1" s="41"/>
      <c r="C1" s="10"/>
    </row>
    <row r="2" spans="1:3" ht="45">
      <c r="A2" s="47" t="s">
        <v>212</v>
      </c>
      <c r="B2" s="41" t="s">
        <v>1301</v>
      </c>
      <c r="C2" s="5" t="s">
        <v>74</v>
      </c>
    </row>
    <row r="3" spans="1:3" ht="22.5">
      <c r="A3" s="47" t="s">
        <v>330</v>
      </c>
      <c r="B3" s="41" t="s">
        <v>741</v>
      </c>
      <c r="C3" s="5" t="s">
        <v>74</v>
      </c>
    </row>
    <row r="4" spans="1:3" ht="3" customHeight="1">
      <c r="A4" s="224"/>
      <c r="B4" s="410"/>
      <c r="C4" s="5" t="s">
        <v>74</v>
      </c>
    </row>
    <row r="5" spans="1:3" s="19" customFormat="1" ht="22.5">
      <c r="A5" s="45" t="s">
        <v>213</v>
      </c>
      <c r="B5" s="82"/>
      <c r="C5" s="6" t="s">
        <v>74</v>
      </c>
    </row>
    <row r="6" spans="1:3" s="19" customFormat="1" ht="3" customHeight="1">
      <c r="A6" s="224"/>
      <c r="B6" s="410"/>
      <c r="C6" s="346"/>
    </row>
    <row r="7" spans="1:3" s="19" customFormat="1" ht="22.5">
      <c r="A7" s="47" t="s">
        <v>210</v>
      </c>
      <c r="B7" s="82" t="s">
        <v>215</v>
      </c>
      <c r="C7" s="6" t="s">
        <v>74</v>
      </c>
    </row>
    <row r="8" spans="1:3" s="19" customFormat="1" ht="13.5" customHeight="1">
      <c r="A8" s="225" t="s">
        <v>412</v>
      </c>
      <c r="B8" s="413" t="s">
        <v>675</v>
      </c>
      <c r="C8" s="347" t="s">
        <v>74</v>
      </c>
    </row>
    <row r="9" spans="1:3" ht="13.5" thickBot="1">
      <c r="A9" s="194"/>
      <c r="B9" s="161"/>
      <c r="C9" s="344" t="s">
        <v>74</v>
      </c>
    </row>
    <row r="10" spans="1:3">
      <c r="A10" s="85">
        <v>1992.01</v>
      </c>
      <c r="B10" s="412">
        <v>74720.219678755646</v>
      </c>
      <c r="C10" s="344"/>
    </row>
    <row r="11" spans="1:3">
      <c r="A11" s="85">
        <v>1992.02</v>
      </c>
      <c r="B11" s="411">
        <v>70353.343649184419</v>
      </c>
      <c r="C11" s="344"/>
    </row>
    <row r="12" spans="1:3">
      <c r="A12" s="85">
        <v>1992.03</v>
      </c>
      <c r="B12" s="411">
        <v>70471.315911203012</v>
      </c>
      <c r="C12" s="344"/>
    </row>
    <row r="13" spans="1:3">
      <c r="A13" s="85">
        <v>1992.04</v>
      </c>
      <c r="B13" s="411">
        <v>71524.213484273758</v>
      </c>
      <c r="C13" s="344"/>
    </row>
    <row r="14" spans="1:3">
      <c r="A14" s="85">
        <v>1992.05</v>
      </c>
      <c r="B14" s="411">
        <v>103261.58375298294</v>
      </c>
      <c r="C14" s="344"/>
    </row>
    <row r="15" spans="1:3">
      <c r="A15" s="85">
        <v>1992.06</v>
      </c>
      <c r="B15" s="411">
        <v>94834.976756224962</v>
      </c>
      <c r="C15" s="344"/>
    </row>
    <row r="16" spans="1:3">
      <c r="A16" s="85">
        <v>1992.07</v>
      </c>
      <c r="B16" s="411">
        <v>81495.237898387684</v>
      </c>
      <c r="C16" s="344"/>
    </row>
    <row r="17" spans="1:3">
      <c r="A17" s="85">
        <v>1992.08</v>
      </c>
      <c r="B17" s="411">
        <v>87623.098721539936</v>
      </c>
      <c r="C17" s="344"/>
    </row>
    <row r="18" spans="1:3">
      <c r="A18" s="85">
        <v>1992.09</v>
      </c>
      <c r="B18" s="411">
        <v>81708.939076311843</v>
      </c>
      <c r="C18" s="344"/>
    </row>
    <row r="19" spans="1:3">
      <c r="A19" s="85">
        <v>1992.1</v>
      </c>
      <c r="B19" s="411">
        <v>83723.102197507833</v>
      </c>
      <c r="C19" s="344"/>
    </row>
    <row r="20" spans="1:3">
      <c r="A20" s="85">
        <v>1992.11</v>
      </c>
      <c r="B20" s="411">
        <v>82262.879762628058</v>
      </c>
      <c r="C20" s="344"/>
    </row>
    <row r="21" spans="1:3">
      <c r="A21" s="85">
        <v>1992.12</v>
      </c>
      <c r="B21" s="411">
        <v>85574.859110999896</v>
      </c>
      <c r="C21" s="344"/>
    </row>
    <row r="22" spans="1:3">
      <c r="A22" s="85">
        <v>1993.01</v>
      </c>
      <c r="B22" s="411">
        <v>80649.9305733363</v>
      </c>
      <c r="C22" s="344"/>
    </row>
    <row r="23" spans="1:3">
      <c r="A23" s="85">
        <v>1993.02</v>
      </c>
      <c r="B23" s="411">
        <v>75936.504272912571</v>
      </c>
      <c r="C23" s="344"/>
    </row>
    <row r="24" spans="1:3">
      <c r="A24" s="85">
        <v>1993.03</v>
      </c>
      <c r="B24" s="411">
        <v>76063.838678275453</v>
      </c>
      <c r="C24" s="344"/>
    </row>
    <row r="25" spans="1:3">
      <c r="A25" s="85">
        <v>1993.04</v>
      </c>
      <c r="B25" s="411">
        <v>77200.292994577918</v>
      </c>
      <c r="C25" s="344"/>
    </row>
    <row r="26" spans="1:3">
      <c r="A26" s="85">
        <v>1993.05</v>
      </c>
      <c r="B26" s="411">
        <v>111456.30455016776</v>
      </c>
      <c r="C26" s="344"/>
    </row>
    <row r="27" spans="1:3">
      <c r="A27" s="85">
        <v>1993.06</v>
      </c>
      <c r="B27" s="411">
        <v>102360.97169141618</v>
      </c>
      <c r="C27" s="344"/>
    </row>
    <row r="28" spans="1:3">
      <c r="A28" s="85">
        <v>1993.07</v>
      </c>
      <c r="B28" s="411">
        <v>87962.606464755896</v>
      </c>
      <c r="C28" s="344"/>
    </row>
    <row r="29" spans="1:3">
      <c r="A29" s="85">
        <v>1993.08</v>
      </c>
      <c r="B29" s="411">
        <v>94576.76729130403</v>
      </c>
      <c r="C29" s="344"/>
    </row>
    <row r="30" spans="1:3">
      <c r="A30" s="85">
        <v>1993.09</v>
      </c>
      <c r="B30" s="411">
        <v>88193.266722944667</v>
      </c>
      <c r="C30" s="344"/>
    </row>
    <row r="31" spans="1:3">
      <c r="A31" s="85">
        <v>1993.1</v>
      </c>
      <c r="B31" s="411">
        <v>90367.271518249312</v>
      </c>
      <c r="C31" s="344"/>
    </row>
    <row r="32" spans="1:3">
      <c r="A32" s="85">
        <v>1993.11</v>
      </c>
      <c r="B32" s="411">
        <v>88791.167506497251</v>
      </c>
      <c r="C32" s="344"/>
    </row>
    <row r="33" spans="1:3">
      <c r="A33" s="85">
        <v>1993.12</v>
      </c>
      <c r="B33" s="411">
        <v>92365.981735562716</v>
      </c>
      <c r="C33" s="344"/>
    </row>
    <row r="34" spans="1:3">
      <c r="A34" s="85">
        <v>1994.01</v>
      </c>
      <c r="B34" s="411">
        <v>83364.861742826048</v>
      </c>
      <c r="C34" s="273"/>
    </row>
    <row r="35" spans="1:3">
      <c r="A35" s="85">
        <v>1994.02</v>
      </c>
      <c r="B35" s="411">
        <v>78492.766639005422</v>
      </c>
      <c r="C35" s="273"/>
    </row>
    <row r="36" spans="1:3">
      <c r="A36" s="85">
        <v>1994.03</v>
      </c>
      <c r="B36" s="411">
        <v>78624.387522281075</v>
      </c>
      <c r="C36" s="273"/>
    </row>
    <row r="37" spans="1:3">
      <c r="A37" s="85">
        <v>1994.04</v>
      </c>
      <c r="B37" s="411">
        <v>79799.098477170774</v>
      </c>
      <c r="C37" s="273"/>
    </row>
    <row r="38" spans="1:3">
      <c r="A38" s="85">
        <v>1994.05</v>
      </c>
      <c r="B38" s="411">
        <v>115208.27548316485</v>
      </c>
      <c r="C38" s="273"/>
    </row>
    <row r="39" spans="1:3">
      <c r="A39" s="85">
        <v>1994.06</v>
      </c>
      <c r="B39" s="411">
        <v>105806.76501831287</v>
      </c>
      <c r="C39" s="273"/>
    </row>
    <row r="40" spans="1:3">
      <c r="A40" s="85">
        <v>1994.07</v>
      </c>
      <c r="B40" s="411">
        <v>90923.705381308202</v>
      </c>
      <c r="C40" s="273"/>
    </row>
    <row r="41" spans="1:3">
      <c r="A41" s="85">
        <v>1994.08</v>
      </c>
      <c r="B41" s="411">
        <v>97760.519733536508</v>
      </c>
      <c r="C41" s="273"/>
    </row>
    <row r="42" spans="1:3">
      <c r="A42" s="85">
        <v>1994.09</v>
      </c>
      <c r="B42" s="411">
        <v>91162.13039168049</v>
      </c>
      <c r="C42" s="273"/>
    </row>
    <row r="43" spans="1:3">
      <c r="A43" s="85">
        <v>1994.1</v>
      </c>
      <c r="B43" s="411">
        <v>93409.319048885984</v>
      </c>
      <c r="C43" s="273"/>
    </row>
    <row r="44" spans="1:3">
      <c r="A44" s="85">
        <v>1994.11</v>
      </c>
      <c r="B44" s="411">
        <v>91780.158402398549</v>
      </c>
      <c r="C44" s="273"/>
    </row>
    <row r="45" spans="1:3">
      <c r="A45" s="85">
        <v>1994.12</v>
      </c>
      <c r="B45" s="411">
        <v>95475.312159429261</v>
      </c>
      <c r="C45" s="273"/>
    </row>
    <row r="46" spans="1:3">
      <c r="A46" s="85">
        <v>1995.01</v>
      </c>
      <c r="B46" s="411">
        <v>83378.590229960508</v>
      </c>
      <c r="C46" s="273"/>
    </row>
    <row r="47" spans="1:3">
      <c r="A47" s="85">
        <v>1995.02</v>
      </c>
      <c r="B47" s="411">
        <v>78505.692791756403</v>
      </c>
      <c r="C47" s="273"/>
    </row>
    <row r="48" spans="1:3">
      <c r="A48" s="85">
        <v>1995.03</v>
      </c>
      <c r="B48" s="411">
        <v>78637.335350298643</v>
      </c>
      <c r="C48" s="273"/>
    </row>
    <row r="49" spans="1:3">
      <c r="A49" s="85">
        <v>1995.04</v>
      </c>
      <c r="B49" s="411">
        <v>79812.239756048744</v>
      </c>
      <c r="C49" s="273"/>
    </row>
    <row r="50" spans="1:3">
      <c r="A50" s="85">
        <v>1995.05</v>
      </c>
      <c r="B50" s="411">
        <v>115227.24792904539</v>
      </c>
      <c r="C50" s="273"/>
    </row>
    <row r="51" spans="1:3">
      <c r="A51" s="85">
        <v>1995.06</v>
      </c>
      <c r="B51" s="411">
        <v>105824.18922776906</v>
      </c>
      <c r="C51" s="273"/>
    </row>
    <row r="52" spans="1:3">
      <c r="A52" s="85">
        <v>1995.07</v>
      </c>
      <c r="B52" s="411">
        <v>90938.678655340569</v>
      </c>
      <c r="C52" s="273"/>
    </row>
    <row r="53" spans="1:3">
      <c r="A53" s="85">
        <v>1995.08</v>
      </c>
      <c r="B53" s="411">
        <v>97776.618891015605</v>
      </c>
      <c r="C53" s="273"/>
    </row>
    <row r="54" spans="1:3">
      <c r="A54" s="85">
        <v>1995.09</v>
      </c>
      <c r="B54" s="411">
        <v>91177.142929434034</v>
      </c>
      <c r="C54" s="273"/>
    </row>
    <row r="55" spans="1:3">
      <c r="A55" s="85">
        <v>1995.1</v>
      </c>
      <c r="B55" s="411">
        <v>93424.701652635253</v>
      </c>
      <c r="C55" s="273"/>
    </row>
    <row r="56" spans="1:3">
      <c r="A56" s="85">
        <v>1995.11</v>
      </c>
      <c r="B56" s="411">
        <v>91795.272716720967</v>
      </c>
      <c r="C56" s="273"/>
    </row>
    <row r="57" spans="1:3">
      <c r="A57" s="85">
        <v>1995.12</v>
      </c>
      <c r="B57" s="411">
        <v>95491.034989974869</v>
      </c>
      <c r="C57" s="273"/>
    </row>
    <row r="58" spans="1:3">
      <c r="A58" s="85">
        <v>1996.01</v>
      </c>
      <c r="B58" s="411">
        <v>90689.335914503143</v>
      </c>
      <c r="C58" s="272"/>
    </row>
    <row r="59" spans="1:3">
      <c r="A59" s="85">
        <v>1996.02</v>
      </c>
      <c r="B59" s="411">
        <v>85389.176347983885</v>
      </c>
      <c r="C59" s="272"/>
    </row>
    <row r="60" spans="1:3">
      <c r="A60" s="85">
        <v>1996.03</v>
      </c>
      <c r="B60" s="411">
        <v>85532.361501143168</v>
      </c>
      <c r="C60" s="272"/>
    </row>
    <row r="61" spans="1:3">
      <c r="A61" s="85">
        <v>1996.04</v>
      </c>
      <c r="B61" s="411">
        <v>86810.283087807431</v>
      </c>
      <c r="C61" s="272"/>
    </row>
    <row r="62" spans="1:3">
      <c r="A62" s="85">
        <v>1996.05</v>
      </c>
      <c r="B62" s="411">
        <v>125330.52627922661</v>
      </c>
      <c r="C62" s="272"/>
    </row>
    <row r="63" spans="1:3">
      <c r="A63" s="85">
        <v>1996.06</v>
      </c>
      <c r="B63" s="411">
        <v>115102.99488499326</v>
      </c>
      <c r="C63" s="272"/>
    </row>
    <row r="64" spans="1:3">
      <c r="A64" s="85">
        <v>1996.07</v>
      </c>
      <c r="B64" s="411">
        <v>98912.302947906821</v>
      </c>
      <c r="C64" s="272"/>
    </row>
    <row r="65" spans="1:3">
      <c r="A65" s="85">
        <v>1996.08</v>
      </c>
      <c r="B65" s="411">
        <v>106349.80287787803</v>
      </c>
      <c r="C65" s="272"/>
    </row>
    <row r="66" spans="1:3">
      <c r="A66" s="85">
        <v>1996.09</v>
      </c>
      <c r="B66" s="411">
        <v>99171.676086709296</v>
      </c>
      <c r="C66" s="272"/>
    </row>
    <row r="67" spans="1:3">
      <c r="A67" s="85">
        <v>1996.1</v>
      </c>
      <c r="B67" s="411">
        <v>101616.30374800459</v>
      </c>
      <c r="C67" s="272"/>
    </row>
    <row r="68" spans="1:3">
      <c r="A68" s="85">
        <v>1996.11</v>
      </c>
      <c r="B68" s="411">
        <v>99844.004315855607</v>
      </c>
      <c r="C68" s="272"/>
    </row>
    <row r="69" spans="1:3">
      <c r="A69" s="85">
        <v>1996.12</v>
      </c>
      <c r="B69" s="411">
        <v>103863.81594057691</v>
      </c>
      <c r="C69" s="272"/>
    </row>
    <row r="70" spans="1:3">
      <c r="A70" s="85">
        <v>1997.01</v>
      </c>
      <c r="B70" s="411">
        <v>102957.39364094843</v>
      </c>
      <c r="C70" s="272"/>
    </row>
    <row r="71" spans="1:3">
      <c r="A71" s="85">
        <v>1997.02</v>
      </c>
      <c r="B71" s="411">
        <v>96940.251610441017</v>
      </c>
      <c r="C71" s="272"/>
    </row>
    <row r="72" spans="1:3">
      <c r="A72" s="85">
        <v>1997.03</v>
      </c>
      <c r="B72" s="411">
        <v>97102.806226468398</v>
      </c>
      <c r="C72" s="272"/>
    </row>
    <row r="73" spans="1:3">
      <c r="A73" s="85">
        <v>1997.04</v>
      </c>
      <c r="B73" s="411">
        <v>98553.599470389556</v>
      </c>
      <c r="C73" s="272"/>
    </row>
    <row r="74" spans="1:3">
      <c r="A74" s="85">
        <v>1997.05</v>
      </c>
      <c r="B74" s="411">
        <v>142284.69311455166</v>
      </c>
      <c r="C74" s="272"/>
    </row>
    <row r="75" spans="1:3">
      <c r="A75" s="85">
        <v>1997.06</v>
      </c>
      <c r="B75" s="411">
        <v>130673.62589134523</v>
      </c>
      <c r="C75" s="272"/>
    </row>
    <row r="76" spans="1:3">
      <c r="A76" s="85">
        <v>1997.07</v>
      </c>
      <c r="B76" s="411">
        <v>112292.72778158903</v>
      </c>
      <c r="C76" s="272"/>
    </row>
    <row r="77" spans="1:3">
      <c r="A77" s="85">
        <v>1997.08</v>
      </c>
      <c r="B77" s="411">
        <v>120736.34025567831</v>
      </c>
      <c r="C77" s="272"/>
    </row>
    <row r="78" spans="1:3">
      <c r="A78" s="85">
        <v>1997.09</v>
      </c>
      <c r="B78" s="411">
        <v>112587.1877870824</v>
      </c>
      <c r="C78" s="272"/>
    </row>
    <row r="79" spans="1:3">
      <c r="A79" s="85">
        <v>1997.1</v>
      </c>
      <c r="B79" s="411">
        <v>115362.51401360601</v>
      </c>
      <c r="C79" s="272"/>
    </row>
    <row r="80" spans="1:3">
      <c r="A80" s="85">
        <v>1997.11</v>
      </c>
      <c r="B80" s="411">
        <v>113350.46564600724</v>
      </c>
      <c r="C80" s="272"/>
    </row>
    <row r="81" spans="1:3">
      <c r="A81" s="85">
        <v>1997.12</v>
      </c>
      <c r="B81" s="411">
        <v>117914.05985072239</v>
      </c>
      <c r="C81" s="272"/>
    </row>
    <row r="82" spans="1:3">
      <c r="A82" s="85">
        <v>1998.01</v>
      </c>
      <c r="B82" s="411">
        <v>107301.66967515073</v>
      </c>
      <c r="C82" s="272"/>
    </row>
    <row r="83" spans="1:3">
      <c r="A83" s="85">
        <v>1998.02</v>
      </c>
      <c r="B83" s="411">
        <v>101030.63499067147</v>
      </c>
      <c r="C83" s="272"/>
    </row>
    <row r="84" spans="1:3">
      <c r="A84" s="85">
        <v>1998.03</v>
      </c>
      <c r="B84" s="411">
        <v>101200.048581054</v>
      </c>
      <c r="C84" s="272"/>
    </row>
    <row r="85" spans="1:3">
      <c r="A85" s="85">
        <v>1998.04</v>
      </c>
      <c r="B85" s="411">
        <v>102712.05788821516</v>
      </c>
      <c r="C85" s="272"/>
    </row>
    <row r="86" spans="1:3">
      <c r="A86" s="85">
        <v>1998.05</v>
      </c>
      <c r="B86" s="411">
        <v>148288.38027554378</v>
      </c>
      <c r="C86" s="272"/>
    </row>
    <row r="87" spans="1:3">
      <c r="A87" s="85">
        <v>1998.06</v>
      </c>
      <c r="B87" s="411">
        <v>136187.38533286541</v>
      </c>
      <c r="C87" s="272"/>
    </row>
    <row r="88" spans="1:3">
      <c r="A88" s="85">
        <v>1998.07</v>
      </c>
      <c r="B88" s="411">
        <v>117030.90722519469</v>
      </c>
      <c r="C88" s="272"/>
    </row>
    <row r="89" spans="1:3">
      <c r="A89" s="85">
        <v>1998.08</v>
      </c>
      <c r="B89" s="411">
        <v>125830.79700988879</v>
      </c>
      <c r="C89" s="272"/>
    </row>
    <row r="90" spans="1:3">
      <c r="A90" s="85">
        <v>1998.09</v>
      </c>
      <c r="B90" s="411">
        <v>117337.7919386149</v>
      </c>
      <c r="C90" s="272"/>
    </row>
    <row r="91" spans="1:3">
      <c r="A91" s="85">
        <v>1998.1</v>
      </c>
      <c r="B91" s="411">
        <v>120230.22275361542</v>
      </c>
      <c r="C91" s="272"/>
    </row>
    <row r="92" spans="1:3">
      <c r="A92" s="85">
        <v>1998.11</v>
      </c>
      <c r="B92" s="411">
        <v>118133.27622383613</v>
      </c>
      <c r="C92" s="272"/>
    </row>
    <row r="93" spans="1:3">
      <c r="A93" s="85">
        <v>1998.12</v>
      </c>
      <c r="B93" s="411">
        <v>122889.43079000048</v>
      </c>
      <c r="C93" s="272"/>
    </row>
    <row r="94" spans="1:3">
      <c r="A94" s="85">
        <v>1999.01</v>
      </c>
      <c r="B94" s="411">
        <v>103920.02064050338</v>
      </c>
      <c r="C94" s="272"/>
    </row>
    <row r="95" spans="1:3">
      <c r="A95" s="85">
        <v>1999.02</v>
      </c>
      <c r="B95" s="411">
        <v>97846.619771520302</v>
      </c>
      <c r="C95" s="272"/>
    </row>
    <row r="96" spans="1:3">
      <c r="A96" s="85">
        <v>1999.03</v>
      </c>
      <c r="B96" s="411">
        <v>98010.694234318813</v>
      </c>
      <c r="C96" s="272"/>
    </row>
    <row r="97" spans="1:3">
      <c r="A97" s="85">
        <v>1999.04</v>
      </c>
      <c r="B97" s="411">
        <v>99475.052047990466</v>
      </c>
      <c r="C97" s="272"/>
    </row>
    <row r="98" spans="1:3">
      <c r="A98" s="85">
        <v>1999.05</v>
      </c>
      <c r="B98" s="411">
        <v>143615.02095572752</v>
      </c>
      <c r="C98" s="272"/>
    </row>
    <row r="99" spans="1:3">
      <c r="A99" s="85">
        <v>1999.06</v>
      </c>
      <c r="B99" s="411">
        <v>131895.39303175508</v>
      </c>
      <c r="C99" s="272"/>
    </row>
    <row r="100" spans="1:3">
      <c r="A100" s="85">
        <v>1999.07</v>
      </c>
      <c r="B100" s="411">
        <v>113342.63792202249</v>
      </c>
      <c r="C100" s="272"/>
    </row>
    <row r="101" spans="1:3">
      <c r="A101" s="85">
        <v>1999.08</v>
      </c>
      <c r="B101" s="411">
        <v>121865.19615273886</v>
      </c>
      <c r="C101" s="272"/>
    </row>
    <row r="102" spans="1:3">
      <c r="A102" s="85">
        <v>1999.09</v>
      </c>
      <c r="B102" s="411">
        <v>113639.85105812216</v>
      </c>
      <c r="C102" s="272"/>
    </row>
    <row r="103" spans="1:3">
      <c r="A103" s="85">
        <v>1999.1</v>
      </c>
      <c r="B103" s="411">
        <v>116441.12592090925</v>
      </c>
      <c r="C103" s="272"/>
    </row>
    <row r="104" spans="1:3">
      <c r="A104" s="85">
        <v>1999.11</v>
      </c>
      <c r="B104" s="411">
        <v>114410.26538242536</v>
      </c>
      <c r="C104" s="272"/>
    </row>
    <row r="105" spans="1:3">
      <c r="A105" s="85">
        <v>1999.12</v>
      </c>
      <c r="B105" s="411">
        <v>119016.52810118422</v>
      </c>
      <c r="C105" s="272"/>
    </row>
    <row r="106" spans="1:3">
      <c r="A106" s="85">
        <v>2000.01</v>
      </c>
      <c r="B106" s="411">
        <v>114004.69745864099</v>
      </c>
      <c r="C106" s="272"/>
    </row>
    <row r="107" spans="1:3">
      <c r="A107" s="85">
        <v>2000.02</v>
      </c>
      <c r="B107" s="411">
        <v>113858.59082876529</v>
      </c>
      <c r="C107" s="272"/>
    </row>
    <row r="108" spans="1:3">
      <c r="A108" s="85">
        <v>2000.03</v>
      </c>
      <c r="B108" s="411">
        <v>113935.53642646484</v>
      </c>
      <c r="C108" s="272"/>
    </row>
    <row r="109" spans="1:3">
      <c r="A109" s="85">
        <v>2000.04</v>
      </c>
      <c r="B109" s="411">
        <v>113849.64383246483</v>
      </c>
      <c r="C109" s="272"/>
    </row>
    <row r="110" spans="1:3">
      <c r="A110" s="85">
        <v>2000.05</v>
      </c>
      <c r="B110" s="411">
        <v>113848.72078346484</v>
      </c>
      <c r="C110" s="272"/>
    </row>
    <row r="111" spans="1:3">
      <c r="A111" s="85">
        <v>2000.06</v>
      </c>
      <c r="B111" s="411">
        <v>113865.46856846486</v>
      </c>
      <c r="C111" s="272"/>
    </row>
    <row r="112" spans="1:3">
      <c r="A112" s="85">
        <v>2000.07</v>
      </c>
      <c r="B112" s="411">
        <v>113785.63497088566</v>
      </c>
      <c r="C112" s="272"/>
    </row>
    <row r="113" spans="1:3">
      <c r="A113" s="85">
        <v>2000.08</v>
      </c>
      <c r="B113" s="411">
        <v>113915.69655717014</v>
      </c>
      <c r="C113" s="272"/>
    </row>
    <row r="114" spans="1:3">
      <c r="A114" s="85">
        <v>2000.09</v>
      </c>
      <c r="B114" s="411">
        <v>113859.86464846485</v>
      </c>
      <c r="C114" s="272"/>
    </row>
    <row r="115" spans="1:3">
      <c r="A115" s="85">
        <v>2000.1</v>
      </c>
      <c r="B115" s="411">
        <v>113860.0619776985</v>
      </c>
      <c r="C115" s="272"/>
    </row>
    <row r="116" spans="1:3">
      <c r="A116" s="85">
        <v>2000.11</v>
      </c>
      <c r="B116" s="411">
        <v>113572.18394846485</v>
      </c>
      <c r="C116" s="272"/>
    </row>
    <row r="117" spans="1:3">
      <c r="A117" s="85">
        <v>2000.12</v>
      </c>
      <c r="B117" s="411">
        <v>113892.02602846487</v>
      </c>
      <c r="C117" s="272"/>
    </row>
    <row r="118" spans="1:3">
      <c r="A118" s="85">
        <v>2001.01</v>
      </c>
      <c r="B118" s="93">
        <v>113882.78904236421</v>
      </c>
      <c r="C118" s="272"/>
    </row>
    <row r="119" spans="1:3">
      <c r="A119" s="85">
        <v>2001.02</v>
      </c>
      <c r="B119" s="93">
        <v>103554.99932797925</v>
      </c>
      <c r="C119" s="272"/>
    </row>
    <row r="120" spans="1:3">
      <c r="A120" s="85">
        <v>2001.03</v>
      </c>
      <c r="B120" s="93">
        <v>118000.5645694605</v>
      </c>
      <c r="C120" s="272"/>
    </row>
    <row r="121" spans="1:3">
      <c r="A121" s="85">
        <v>2001.04</v>
      </c>
      <c r="B121" s="93">
        <v>110859.73153092472</v>
      </c>
      <c r="C121" s="272"/>
    </row>
    <row r="122" spans="1:3">
      <c r="A122" s="85">
        <v>2001.05</v>
      </c>
      <c r="B122" s="93">
        <v>129985.83752652435</v>
      </c>
      <c r="C122" s="272"/>
    </row>
    <row r="123" spans="1:3">
      <c r="A123" s="85">
        <v>2001.06</v>
      </c>
      <c r="B123" s="93">
        <v>113335.29742951998</v>
      </c>
      <c r="C123" s="272"/>
    </row>
    <row r="124" spans="1:3">
      <c r="A124" s="85">
        <v>2001.07</v>
      </c>
      <c r="B124" s="93">
        <v>94006.363509765783</v>
      </c>
      <c r="C124" s="272"/>
    </row>
    <row r="125" spans="1:3">
      <c r="A125" s="85">
        <v>2001.08</v>
      </c>
      <c r="B125" s="93">
        <v>118390.06913956979</v>
      </c>
      <c r="C125" s="272"/>
    </row>
    <row r="126" spans="1:3">
      <c r="A126" s="85">
        <v>2001.09</v>
      </c>
      <c r="B126" s="93">
        <v>91852.616120608887</v>
      </c>
      <c r="C126" s="272"/>
    </row>
    <row r="127" spans="1:3">
      <c r="A127" s="85">
        <v>2001.1</v>
      </c>
      <c r="B127" s="93">
        <v>86763.829712707535</v>
      </c>
      <c r="C127" s="272"/>
    </row>
    <row r="128" spans="1:3">
      <c r="A128" s="85">
        <v>2001.11</v>
      </c>
      <c r="B128" s="93">
        <v>76039.358260300025</v>
      </c>
      <c r="C128" s="272"/>
    </row>
    <row r="129" spans="1:3">
      <c r="A129" s="85">
        <v>2001.12</v>
      </c>
      <c r="B129" s="93">
        <v>53301.135828822102</v>
      </c>
      <c r="C129" s="272"/>
    </row>
    <row r="130" spans="1:3">
      <c r="A130" s="85">
        <v>2002.01</v>
      </c>
      <c r="B130" s="93">
        <v>114004.69745864099</v>
      </c>
      <c r="C130" s="272"/>
    </row>
    <row r="131" spans="1:3">
      <c r="A131" s="85">
        <v>2002.02</v>
      </c>
      <c r="B131" s="93">
        <v>113858.59082876529</v>
      </c>
      <c r="C131" s="272"/>
    </row>
    <row r="132" spans="1:3">
      <c r="A132" s="85">
        <v>2002.03</v>
      </c>
      <c r="B132" s="93">
        <v>113935.53642646484</v>
      </c>
      <c r="C132" s="272"/>
    </row>
    <row r="133" spans="1:3">
      <c r="A133" s="85">
        <v>2002.04</v>
      </c>
      <c r="B133" s="93">
        <v>113849.64383246483</v>
      </c>
      <c r="C133" s="272"/>
    </row>
    <row r="134" spans="1:3">
      <c r="A134" s="85">
        <v>2002.05</v>
      </c>
      <c r="B134" s="93">
        <v>113848.72078346484</v>
      </c>
      <c r="C134" s="272"/>
    </row>
    <row r="135" spans="1:3">
      <c r="A135" s="85">
        <v>2002.06</v>
      </c>
      <c r="B135" s="93">
        <v>113865.46856846486</v>
      </c>
      <c r="C135" s="272"/>
    </row>
    <row r="136" spans="1:3">
      <c r="A136" s="85">
        <v>2002.07</v>
      </c>
      <c r="B136" s="93">
        <v>113785.63497088566</v>
      </c>
      <c r="C136" s="272"/>
    </row>
    <row r="137" spans="1:3">
      <c r="A137" s="85">
        <v>2002.08</v>
      </c>
      <c r="B137" s="93">
        <v>113915.69655717014</v>
      </c>
      <c r="C137" s="272"/>
    </row>
    <row r="138" spans="1:3">
      <c r="A138" s="85">
        <v>2002.09</v>
      </c>
      <c r="B138" s="93">
        <v>113859.86464846485</v>
      </c>
      <c r="C138" s="272"/>
    </row>
    <row r="139" spans="1:3">
      <c r="A139" s="85">
        <v>2002.1</v>
      </c>
      <c r="B139" s="93">
        <v>113860.0619776985</v>
      </c>
      <c r="C139" s="272"/>
    </row>
    <row r="140" spans="1:3">
      <c r="A140" s="85">
        <v>2002.11</v>
      </c>
      <c r="B140" s="93">
        <v>113572.18394846485</v>
      </c>
      <c r="C140" s="272"/>
    </row>
    <row r="141" spans="1:3">
      <c r="A141" s="85">
        <v>2002.12</v>
      </c>
      <c r="B141" s="93">
        <v>113892.02602846487</v>
      </c>
      <c r="C141" s="272"/>
    </row>
    <row r="142" spans="1:3">
      <c r="A142" s="85">
        <v>2003.01</v>
      </c>
      <c r="B142" s="93">
        <v>122659.7840192093</v>
      </c>
      <c r="C142" s="272"/>
    </row>
    <row r="143" spans="1:3">
      <c r="A143" s="85">
        <v>2003.02</v>
      </c>
      <c r="B143" s="93">
        <v>94389.416098168658</v>
      </c>
      <c r="C143" s="272"/>
    </row>
    <row r="144" spans="1:3">
      <c r="A144" s="85">
        <v>2003.03</v>
      </c>
      <c r="B144" s="93">
        <v>97299.951338496539</v>
      </c>
      <c r="C144" s="272"/>
    </row>
    <row r="145" spans="1:3">
      <c r="A145" s="85">
        <v>2003.04</v>
      </c>
      <c r="B145" s="93">
        <v>112749.14079337637</v>
      </c>
      <c r="C145" s="272"/>
    </row>
    <row r="146" spans="1:3">
      <c r="A146" s="85">
        <v>2003.05</v>
      </c>
      <c r="B146" s="93">
        <v>184810.9190461323</v>
      </c>
      <c r="C146" s="272"/>
    </row>
    <row r="147" spans="1:3">
      <c r="A147" s="85">
        <v>2003.06</v>
      </c>
      <c r="B147" s="93">
        <v>147893.063572118</v>
      </c>
      <c r="C147" s="272"/>
    </row>
    <row r="148" spans="1:3">
      <c r="A148" s="85">
        <v>2003.07</v>
      </c>
      <c r="B148" s="93">
        <v>134252.39016294101</v>
      </c>
      <c r="C148" s="272"/>
    </row>
    <row r="149" spans="1:3">
      <c r="A149" s="85">
        <v>2003.08</v>
      </c>
      <c r="B149" s="93">
        <v>158989.43377400088</v>
      </c>
      <c r="C149" s="272"/>
    </row>
    <row r="150" spans="1:3">
      <c r="A150" s="85">
        <v>2003.09</v>
      </c>
      <c r="B150" s="93">
        <v>141252.80998308089</v>
      </c>
      <c r="C150" s="272"/>
    </row>
    <row r="151" spans="1:3">
      <c r="A151" s="85">
        <v>2003.1</v>
      </c>
      <c r="B151" s="93">
        <v>146433.13265858626</v>
      </c>
      <c r="C151" s="272"/>
    </row>
    <row r="152" spans="1:3">
      <c r="A152" s="85">
        <v>2003.11</v>
      </c>
      <c r="B152" s="93">
        <v>155849.51147899791</v>
      </c>
      <c r="C152" s="272"/>
    </row>
    <row r="153" spans="1:3">
      <c r="A153" s="85">
        <v>2003.12</v>
      </c>
      <c r="B153" s="93">
        <v>183563.2477261383</v>
      </c>
      <c r="C153" s="272"/>
    </row>
    <row r="154" spans="1:3">
      <c r="A154" s="85">
        <v>2004.01</v>
      </c>
      <c r="B154" s="93">
        <v>161823.64065823634</v>
      </c>
      <c r="C154" s="272"/>
    </row>
    <row r="155" spans="1:3">
      <c r="A155" s="85">
        <v>2004.02</v>
      </c>
      <c r="B155" s="93">
        <v>147655.81179882714</v>
      </c>
      <c r="C155" s="272"/>
    </row>
    <row r="156" spans="1:3">
      <c r="A156" s="85">
        <v>2004.03</v>
      </c>
      <c r="B156" s="93">
        <v>157691.66429141138</v>
      </c>
      <c r="C156" s="272"/>
    </row>
    <row r="157" spans="1:3">
      <c r="A157" s="85">
        <v>2004.04</v>
      </c>
      <c r="B157" s="93">
        <v>155487.4203188621</v>
      </c>
      <c r="C157" s="272"/>
    </row>
    <row r="158" spans="1:3">
      <c r="A158" s="85">
        <v>2004.05</v>
      </c>
      <c r="B158" s="93">
        <v>351221.88902006007</v>
      </c>
      <c r="C158" s="272"/>
    </row>
    <row r="159" spans="1:3">
      <c r="A159" s="85">
        <v>2004.06</v>
      </c>
      <c r="B159" s="93">
        <v>263764.25786617707</v>
      </c>
      <c r="C159" s="272"/>
    </row>
    <row r="160" spans="1:3">
      <c r="A160" s="85">
        <v>2004.07</v>
      </c>
      <c r="B160" s="93">
        <v>206685.3</v>
      </c>
      <c r="C160" s="272"/>
    </row>
    <row r="161" spans="1:3">
      <c r="A161" s="85">
        <v>2004.08</v>
      </c>
      <c r="B161" s="93">
        <v>212495.5</v>
      </c>
      <c r="C161" s="272"/>
    </row>
    <row r="162" spans="1:3">
      <c r="A162" s="85">
        <v>2004.09</v>
      </c>
      <c r="B162" s="93">
        <v>198872.8</v>
      </c>
      <c r="C162" s="272"/>
    </row>
    <row r="163" spans="1:3">
      <c r="A163" s="85">
        <v>2004.1</v>
      </c>
      <c r="B163" s="93">
        <v>203398.9</v>
      </c>
      <c r="C163" s="272"/>
    </row>
    <row r="164" spans="1:3">
      <c r="A164" s="85">
        <v>2004.11</v>
      </c>
      <c r="B164" s="93">
        <v>201934.9</v>
      </c>
      <c r="C164" s="272"/>
    </row>
    <row r="165" spans="1:3">
      <c r="A165" s="85">
        <v>2004.12</v>
      </c>
      <c r="B165" s="93">
        <v>184246</v>
      </c>
      <c r="C165" s="272"/>
    </row>
    <row r="166" spans="1:3">
      <c r="A166" s="85">
        <v>2005.01</v>
      </c>
      <c r="B166" s="93">
        <v>207044.4</v>
      </c>
      <c r="C166" s="272"/>
    </row>
    <row r="167" spans="1:3">
      <c r="A167" s="85">
        <v>2005.02</v>
      </c>
      <c r="B167" s="93">
        <v>199668.2</v>
      </c>
      <c r="C167" s="272"/>
    </row>
    <row r="168" spans="1:3">
      <c r="A168" s="85">
        <v>2005.03</v>
      </c>
      <c r="B168" s="93">
        <v>203409.1</v>
      </c>
      <c r="C168" s="272"/>
    </row>
    <row r="169" spans="1:3">
      <c r="A169" s="85">
        <v>2005.04</v>
      </c>
      <c r="B169" s="93">
        <v>223507.5</v>
      </c>
      <c r="C169" s="272"/>
    </row>
    <row r="170" spans="1:3">
      <c r="A170" s="85">
        <v>2005.05</v>
      </c>
      <c r="B170" s="93">
        <v>330750.59999999998</v>
      </c>
      <c r="C170" s="272"/>
    </row>
    <row r="171" spans="1:3">
      <c r="A171" s="85">
        <v>2005.06</v>
      </c>
      <c r="B171" s="93">
        <v>301734.90000000002</v>
      </c>
      <c r="C171" s="272"/>
    </row>
    <row r="172" spans="1:3">
      <c r="A172" s="85">
        <v>2005.07</v>
      </c>
      <c r="B172" s="93">
        <v>238282.5</v>
      </c>
      <c r="C172" s="272"/>
    </row>
    <row r="173" spans="1:3">
      <c r="A173" s="85">
        <v>2005.08</v>
      </c>
      <c r="B173" s="93">
        <v>255399.9</v>
      </c>
      <c r="C173" s="272"/>
    </row>
    <row r="174" spans="1:3">
      <c r="A174" s="85">
        <v>2005.09</v>
      </c>
      <c r="B174" s="93">
        <v>255916.3</v>
      </c>
      <c r="C174" s="272"/>
    </row>
    <row r="175" spans="1:3">
      <c r="A175" s="85">
        <v>2005.1</v>
      </c>
      <c r="B175" s="93">
        <v>249881.5</v>
      </c>
      <c r="C175" s="272"/>
    </row>
    <row r="176" spans="1:3">
      <c r="A176" s="85">
        <v>2005.11</v>
      </c>
      <c r="B176" s="93">
        <v>255664.9</v>
      </c>
      <c r="C176" s="272"/>
    </row>
    <row r="177" spans="1:3">
      <c r="A177" s="85">
        <v>2005.12</v>
      </c>
      <c r="B177" s="93">
        <v>288713.59999999998</v>
      </c>
      <c r="C177" s="272"/>
    </row>
    <row r="178" spans="1:3">
      <c r="A178" s="85">
        <v>2006.01</v>
      </c>
      <c r="B178" s="93">
        <v>259662.5</v>
      </c>
      <c r="C178" s="272"/>
    </row>
    <row r="179" spans="1:3">
      <c r="A179" s="85">
        <v>2006.02</v>
      </c>
      <c r="B179" s="93">
        <v>254188.9</v>
      </c>
      <c r="C179" s="272"/>
    </row>
    <row r="180" spans="1:3">
      <c r="A180" s="85">
        <v>2006.03</v>
      </c>
      <c r="B180" s="93">
        <v>245617.1</v>
      </c>
      <c r="C180" s="272"/>
    </row>
    <row r="181" spans="1:3">
      <c r="A181" s="85">
        <v>2006.04</v>
      </c>
      <c r="B181" s="93">
        <v>221864.2</v>
      </c>
      <c r="C181" s="272"/>
    </row>
    <row r="182" spans="1:3">
      <c r="A182" s="85">
        <v>2006.05</v>
      </c>
      <c r="B182" s="93">
        <v>384467.5</v>
      </c>
      <c r="C182" s="272"/>
    </row>
    <row r="183" spans="1:3">
      <c r="A183" s="85">
        <v>2006.06</v>
      </c>
      <c r="B183" s="93">
        <v>390039.9</v>
      </c>
      <c r="C183" s="272"/>
    </row>
    <row r="184" spans="1:3">
      <c r="A184" s="85">
        <v>2006.07</v>
      </c>
      <c r="B184" s="93">
        <v>300226</v>
      </c>
      <c r="C184" s="272"/>
    </row>
    <row r="185" spans="1:3">
      <c r="A185" s="85">
        <v>2006.08</v>
      </c>
      <c r="B185" s="93">
        <v>328050.94599999994</v>
      </c>
      <c r="C185" s="272"/>
    </row>
    <row r="186" spans="1:3">
      <c r="A186" s="85">
        <v>2006.09</v>
      </c>
      <c r="B186" s="93">
        <v>308775.59760000004</v>
      </c>
      <c r="C186" s="272"/>
    </row>
    <row r="187" spans="1:3">
      <c r="A187" s="85">
        <v>2006.1</v>
      </c>
      <c r="B187" s="93">
        <v>327828.79760000005</v>
      </c>
      <c r="C187" s="272"/>
    </row>
    <row r="188" spans="1:3">
      <c r="A188" s="85">
        <v>2006.11</v>
      </c>
      <c r="B188" s="93">
        <v>335191.41880000004</v>
      </c>
      <c r="C188" s="272"/>
    </row>
    <row r="189" spans="1:3">
      <c r="A189" s="85">
        <v>2006.12</v>
      </c>
      <c r="B189" s="93">
        <v>346989.0612</v>
      </c>
      <c r="C189" s="272"/>
    </row>
    <row r="190" spans="1:3">
      <c r="A190" s="85">
        <v>2007.01</v>
      </c>
      <c r="B190" s="93">
        <v>347489.8</v>
      </c>
      <c r="C190" s="272"/>
    </row>
    <row r="191" spans="1:3">
      <c r="A191" s="85">
        <v>2007.02</v>
      </c>
      <c r="B191" s="93">
        <v>314805.90000000002</v>
      </c>
      <c r="C191" s="272"/>
    </row>
    <row r="192" spans="1:3">
      <c r="A192" s="85">
        <v>2007.03</v>
      </c>
      <c r="B192" s="93">
        <v>311504.09999999998</v>
      </c>
      <c r="C192" s="272"/>
    </row>
    <row r="193" spans="1:3">
      <c r="A193" s="85">
        <v>2007.04</v>
      </c>
      <c r="B193" s="93">
        <v>293278.2</v>
      </c>
      <c r="C193" s="272"/>
    </row>
    <row r="194" spans="1:3">
      <c r="A194" s="85">
        <v>2007.05</v>
      </c>
      <c r="B194" s="93">
        <v>505586</v>
      </c>
      <c r="C194" s="272"/>
    </row>
    <row r="195" spans="1:3">
      <c r="A195" s="85">
        <v>2007.06</v>
      </c>
      <c r="B195" s="93">
        <v>492630.33015000005</v>
      </c>
      <c r="C195" s="272"/>
    </row>
    <row r="196" spans="1:3">
      <c r="A196" s="85">
        <v>2007.07</v>
      </c>
      <c r="B196" s="93">
        <v>411636.76846999989</v>
      </c>
      <c r="C196" s="272"/>
    </row>
    <row r="197" spans="1:3">
      <c r="A197" s="85">
        <v>2007.08</v>
      </c>
      <c r="B197" s="93">
        <v>451807.96075999999</v>
      </c>
      <c r="C197" s="272"/>
    </row>
    <row r="198" spans="1:3">
      <c r="A198" s="85">
        <v>2007.09</v>
      </c>
      <c r="B198" s="93">
        <v>405385.17617999989</v>
      </c>
      <c r="C198" s="272"/>
    </row>
    <row r="199" spans="1:3">
      <c r="A199" s="85">
        <v>2007.1</v>
      </c>
      <c r="B199" s="93">
        <v>420647.96076000005</v>
      </c>
      <c r="C199" s="272"/>
    </row>
    <row r="200" spans="1:3">
      <c r="A200" s="85">
        <v>2007.11</v>
      </c>
      <c r="B200" s="93">
        <v>428495.33808999998</v>
      </c>
      <c r="C200" s="272"/>
    </row>
    <row r="201" spans="1:3">
      <c r="A201" s="85">
        <v>2007.12</v>
      </c>
      <c r="B201" s="93">
        <v>473005.14579999994</v>
      </c>
      <c r="C201" s="272"/>
    </row>
    <row r="202" spans="1:3">
      <c r="A202" s="85">
        <f t="shared" ref="A202:A265" si="0">A190+1</f>
        <v>2008.01</v>
      </c>
      <c r="B202" s="93">
        <v>461696.3</v>
      </c>
      <c r="C202" s="272"/>
    </row>
    <row r="203" spans="1:3">
      <c r="A203" s="85">
        <f t="shared" si="0"/>
        <v>2008.02</v>
      </c>
      <c r="B203" s="93">
        <v>432737.20655999996</v>
      </c>
      <c r="C203" s="272"/>
    </row>
    <row r="204" spans="1:3">
      <c r="A204" s="85">
        <f t="shared" si="0"/>
        <v>2008.03</v>
      </c>
      <c r="B204" s="93">
        <v>371188.07440000004</v>
      </c>
      <c r="C204" s="272"/>
    </row>
    <row r="205" spans="1:3">
      <c r="A205" s="85">
        <f t="shared" si="0"/>
        <v>2008.04</v>
      </c>
      <c r="B205" s="93">
        <v>438694.00655999995</v>
      </c>
      <c r="C205" s="272"/>
    </row>
    <row r="206" spans="1:3">
      <c r="A206" s="85">
        <f t="shared" si="0"/>
        <v>2008.05</v>
      </c>
      <c r="B206" s="93">
        <v>610695.40655999992</v>
      </c>
      <c r="C206" s="272"/>
    </row>
    <row r="207" spans="1:3">
      <c r="A207" s="85">
        <f t="shared" si="0"/>
        <v>2008.06</v>
      </c>
      <c r="B207" s="93">
        <v>612978.58720000007</v>
      </c>
      <c r="C207" s="272"/>
    </row>
    <row r="208" spans="1:3">
      <c r="A208" s="85">
        <f t="shared" si="0"/>
        <v>2008.07</v>
      </c>
      <c r="B208" s="93">
        <v>541041.22592</v>
      </c>
      <c r="C208" s="272"/>
    </row>
    <row r="209" spans="1:3">
      <c r="A209" s="85">
        <f t="shared" si="0"/>
        <v>2008.08</v>
      </c>
      <c r="B209" s="93">
        <v>546588.18720000004</v>
      </c>
      <c r="C209" s="272"/>
    </row>
    <row r="210" spans="1:3">
      <c r="A210" s="85">
        <f t="shared" si="0"/>
        <v>2008.09</v>
      </c>
      <c r="B210" s="93">
        <v>514731.52592000051</v>
      </c>
      <c r="C210" s="272"/>
    </row>
    <row r="211" spans="1:3">
      <c r="A211" s="85">
        <f t="shared" si="0"/>
        <v>2008.1</v>
      </c>
      <c r="B211" s="93">
        <v>548637.7452800005</v>
      </c>
      <c r="C211" s="272"/>
    </row>
    <row r="212" spans="1:3">
      <c r="A212" s="85">
        <f t="shared" si="0"/>
        <v>2008.11</v>
      </c>
      <c r="B212" s="93">
        <v>490560.06784000027</v>
      </c>
      <c r="C212" s="272"/>
    </row>
    <row r="213" spans="1:3">
      <c r="A213" s="85">
        <f t="shared" si="0"/>
        <v>2008.12</v>
      </c>
      <c r="B213" s="93">
        <v>545773.90656000015</v>
      </c>
      <c r="C213" s="272"/>
    </row>
    <row r="214" spans="1:3">
      <c r="A214" s="85">
        <f t="shared" si="0"/>
        <v>2009.01</v>
      </c>
      <c r="B214" s="93">
        <v>469472.27195999993</v>
      </c>
      <c r="C214" s="272"/>
    </row>
    <row r="215" spans="1:3">
      <c r="A215" s="85">
        <f t="shared" si="0"/>
        <v>2009.02</v>
      </c>
      <c r="B215" s="93">
        <v>486428.0352000001</v>
      </c>
      <c r="C215" s="272"/>
    </row>
    <row r="216" spans="1:3">
      <c r="A216" s="85">
        <f t="shared" si="0"/>
        <v>2009.03</v>
      </c>
      <c r="B216" s="93">
        <v>453937.77196000016</v>
      </c>
      <c r="C216" s="272"/>
    </row>
    <row r="217" spans="1:3">
      <c r="A217" s="85">
        <f t="shared" si="0"/>
        <v>2009.04</v>
      </c>
      <c r="B217" s="93">
        <v>459580.69843999995</v>
      </c>
      <c r="C217" s="272"/>
    </row>
    <row r="218" spans="1:3">
      <c r="A218" s="85">
        <f t="shared" si="0"/>
        <v>2009.05</v>
      </c>
      <c r="B218" s="93">
        <v>667753.59843999986</v>
      </c>
      <c r="C218" s="272"/>
    </row>
    <row r="219" spans="1:3">
      <c r="A219" s="85">
        <f t="shared" si="0"/>
        <v>2009.06</v>
      </c>
      <c r="B219" s="93">
        <v>644947.27195999981</v>
      </c>
      <c r="C219" s="272"/>
    </row>
    <row r="220" spans="1:3">
      <c r="A220" s="85">
        <f t="shared" si="0"/>
        <v>2009.07</v>
      </c>
      <c r="B220" s="93">
        <v>553348.30871999986</v>
      </c>
      <c r="C220" s="272"/>
    </row>
    <row r="221" spans="1:3">
      <c r="A221" s="85">
        <f t="shared" si="0"/>
        <v>2009.08</v>
      </c>
      <c r="B221" s="93">
        <v>568196.53519999969</v>
      </c>
      <c r="C221" s="272"/>
    </row>
    <row r="222" spans="1:3">
      <c r="A222" s="85">
        <f t="shared" si="0"/>
        <v>2009.09</v>
      </c>
      <c r="B222" s="93">
        <v>555253.00871999969</v>
      </c>
      <c r="C222" s="272"/>
    </row>
    <row r="223" spans="1:3">
      <c r="A223" s="85">
        <f t="shared" si="0"/>
        <v>2009.1</v>
      </c>
      <c r="B223" s="93">
        <v>607478.67196000007</v>
      </c>
      <c r="C223" s="272"/>
    </row>
    <row r="224" spans="1:3">
      <c r="A224" s="85">
        <f t="shared" si="0"/>
        <v>2009.11</v>
      </c>
      <c r="B224" s="93">
        <v>563933.63520000014</v>
      </c>
      <c r="C224" s="272"/>
    </row>
    <row r="225" spans="1:3">
      <c r="A225" s="85">
        <f t="shared" si="0"/>
        <v>2009.12</v>
      </c>
      <c r="B225" s="93">
        <v>632160.17195999972</v>
      </c>
      <c r="C225" s="272"/>
    </row>
    <row r="226" spans="1:3">
      <c r="A226" s="85">
        <f t="shared" si="0"/>
        <v>2010.01</v>
      </c>
      <c r="B226" s="93">
        <v>569481.27040000004</v>
      </c>
      <c r="C226" s="272"/>
    </row>
    <row r="227" spans="1:3">
      <c r="A227" s="85">
        <f t="shared" si="0"/>
        <v>2010.02</v>
      </c>
      <c r="B227" s="93">
        <v>591194.37039999978</v>
      </c>
      <c r="C227" s="272"/>
    </row>
    <row r="228" spans="1:3">
      <c r="A228" s="85">
        <f t="shared" si="0"/>
        <v>2010.03</v>
      </c>
      <c r="B228" s="93">
        <v>593962.4974400003</v>
      </c>
      <c r="C228" s="272"/>
    </row>
    <row r="229" spans="1:3">
      <c r="A229" s="85">
        <f t="shared" si="0"/>
        <v>2010.04</v>
      </c>
      <c r="B229" s="93">
        <v>612672.37040000001</v>
      </c>
      <c r="C229" s="272"/>
    </row>
    <row r="230" spans="1:3">
      <c r="A230" s="85">
        <f t="shared" si="0"/>
        <v>2010.05</v>
      </c>
      <c r="B230" s="93">
        <v>983156.97039999987</v>
      </c>
      <c r="C230" s="272"/>
    </row>
    <row r="231" spans="1:3">
      <c r="A231" s="85">
        <f t="shared" si="0"/>
        <v>2010.06</v>
      </c>
      <c r="B231" s="93">
        <v>908405.23391999968</v>
      </c>
      <c r="C231" s="272"/>
    </row>
    <row r="232" spans="1:3">
      <c r="A232" s="85">
        <f t="shared" si="0"/>
        <v>2010.07</v>
      </c>
      <c r="B232" s="93">
        <v>752282.1339199997</v>
      </c>
      <c r="C232" s="272"/>
    </row>
    <row r="233" spans="1:3">
      <c r="A233" s="85">
        <f t="shared" si="0"/>
        <v>2010.08</v>
      </c>
      <c r="B233" s="93">
        <v>774330</v>
      </c>
      <c r="C233" s="272"/>
    </row>
    <row r="234" spans="1:3">
      <c r="A234" s="85">
        <f t="shared" si="0"/>
        <v>2010.09</v>
      </c>
      <c r="B234" s="93">
        <v>756957.19743999955</v>
      </c>
      <c r="C234" s="272"/>
    </row>
    <row r="235" spans="1:3">
      <c r="A235" s="85">
        <f t="shared" si="0"/>
        <v>2010.1</v>
      </c>
      <c r="B235" s="93">
        <v>746998.96221000003</v>
      </c>
      <c r="C235" s="272"/>
    </row>
    <row r="236" spans="1:3">
      <c r="A236" s="85">
        <f t="shared" si="0"/>
        <v>2010.11</v>
      </c>
      <c r="B236" s="93">
        <v>788357.94799000002</v>
      </c>
      <c r="C236" s="272"/>
    </row>
    <row r="237" spans="1:3">
      <c r="A237" s="85">
        <f t="shared" si="0"/>
        <v>2010.12</v>
      </c>
      <c r="B237" s="93">
        <v>888369.4974399996</v>
      </c>
      <c r="C237" s="272"/>
    </row>
    <row r="238" spans="1:3">
      <c r="A238" s="85">
        <f t="shared" si="0"/>
        <v>2011.01</v>
      </c>
      <c r="B238" s="93">
        <v>811740.2</v>
      </c>
      <c r="C238" s="272"/>
    </row>
    <row r="239" spans="1:3">
      <c r="A239" s="85">
        <f t="shared" si="0"/>
        <v>2011.02</v>
      </c>
      <c r="B239" s="93">
        <v>788772.8</v>
      </c>
      <c r="C239" s="272"/>
    </row>
    <row r="240" spans="1:3">
      <c r="A240" s="85">
        <f t="shared" si="0"/>
        <v>2011.03</v>
      </c>
      <c r="B240" s="93">
        <v>827722.3</v>
      </c>
      <c r="C240" s="272"/>
    </row>
    <row r="241" spans="1:3">
      <c r="A241" s="85">
        <f t="shared" si="0"/>
        <v>2011.04</v>
      </c>
      <c r="B241" s="93">
        <v>836537.1</v>
      </c>
      <c r="C241" s="272"/>
    </row>
    <row r="242" spans="1:3">
      <c r="A242" s="85">
        <f t="shared" si="0"/>
        <v>2011.05</v>
      </c>
      <c r="B242" s="93">
        <v>1274884.6000000001</v>
      </c>
      <c r="C242" s="272"/>
    </row>
    <row r="243" spans="1:3">
      <c r="A243" s="85">
        <f t="shared" si="0"/>
        <v>2011.06</v>
      </c>
      <c r="B243" s="93">
        <v>1143529.5</v>
      </c>
      <c r="C243" s="272"/>
    </row>
    <row r="244" spans="1:3">
      <c r="A244" s="85">
        <f t="shared" si="0"/>
        <v>2011.07</v>
      </c>
      <c r="B244" s="93">
        <v>999246.6</v>
      </c>
      <c r="C244" s="272"/>
    </row>
    <row r="245" spans="1:3">
      <c r="A245" s="85">
        <f t="shared" si="0"/>
        <v>2011.08</v>
      </c>
      <c r="B245" s="93">
        <v>1021369.1</v>
      </c>
      <c r="C245" s="272"/>
    </row>
    <row r="246" spans="1:3">
      <c r="A246" s="85">
        <f t="shared" si="0"/>
        <v>2011.09</v>
      </c>
      <c r="B246" s="93">
        <v>1025307.7</v>
      </c>
      <c r="C246" s="272"/>
    </row>
    <row r="247" spans="1:3">
      <c r="A247" s="85">
        <f t="shared" si="0"/>
        <v>2011.1</v>
      </c>
      <c r="B247" s="93">
        <v>1008851.8</v>
      </c>
      <c r="C247" s="272"/>
    </row>
    <row r="248" spans="1:3">
      <c r="A248" s="85">
        <f t="shared" si="0"/>
        <v>2011.11</v>
      </c>
      <c r="B248" s="93">
        <v>1092864.1000000001</v>
      </c>
      <c r="C248" s="272"/>
    </row>
    <row r="249" spans="1:3">
      <c r="A249" s="85">
        <f t="shared" si="0"/>
        <v>2011.12</v>
      </c>
      <c r="B249" s="93">
        <v>1074542.7</v>
      </c>
      <c r="C249" s="272"/>
    </row>
    <row r="250" spans="1:3">
      <c r="A250" s="85">
        <f t="shared" si="0"/>
        <v>2012.01</v>
      </c>
      <c r="B250" s="93">
        <v>1077484.9651600001</v>
      </c>
      <c r="C250" s="272"/>
    </row>
    <row r="251" spans="1:3">
      <c r="A251" s="85">
        <f t="shared" si="0"/>
        <v>2012.02</v>
      </c>
      <c r="B251" s="93">
        <v>1032580.1121600001</v>
      </c>
      <c r="C251" s="272"/>
    </row>
    <row r="252" spans="1:3">
      <c r="A252" s="85">
        <f t="shared" si="0"/>
        <v>2012.03</v>
      </c>
      <c r="B252" s="93">
        <v>1007273.9333600001</v>
      </c>
      <c r="C252" s="272"/>
    </row>
    <row r="253" spans="1:3">
      <c r="A253" s="85">
        <f t="shared" si="0"/>
        <v>2012.04</v>
      </c>
      <c r="B253" s="93">
        <v>970962.54396000016</v>
      </c>
      <c r="C253" s="272"/>
    </row>
    <row r="254" spans="1:3">
      <c r="A254" s="85">
        <f t="shared" si="0"/>
        <v>2012.05</v>
      </c>
      <c r="B254" s="93">
        <v>1493780.3954799999</v>
      </c>
      <c r="C254" s="272"/>
    </row>
    <row r="255" spans="1:3">
      <c r="A255" s="85">
        <f t="shared" si="0"/>
        <v>2012.06</v>
      </c>
      <c r="B255" s="93">
        <v>1432963.0575999999</v>
      </c>
      <c r="C255" s="272"/>
    </row>
    <row r="256" spans="1:3">
      <c r="A256" s="85">
        <f t="shared" si="0"/>
        <v>2012.07</v>
      </c>
      <c r="B256" s="93">
        <v>1212682.2954799999</v>
      </c>
      <c r="C256" s="272"/>
    </row>
    <row r="257" spans="1:3">
      <c r="A257" s="85">
        <f t="shared" si="0"/>
        <v>2012.08</v>
      </c>
      <c r="B257" s="93">
        <v>1344183.5333599998</v>
      </c>
      <c r="C257" s="272"/>
    </row>
    <row r="258" spans="1:3">
      <c r="A258" s="85">
        <f t="shared" si="0"/>
        <v>2012.09</v>
      </c>
      <c r="B258" s="93">
        <v>1250232.7575999999</v>
      </c>
      <c r="C258" s="272"/>
    </row>
    <row r="259" spans="1:3">
      <c r="A259" s="85">
        <f t="shared" si="0"/>
        <v>2012.1</v>
      </c>
      <c r="B259" s="93">
        <v>1409000.23336</v>
      </c>
      <c r="C259" s="272"/>
    </row>
    <row r="260" spans="1:3">
      <c r="A260" s="85">
        <f t="shared" si="0"/>
        <v>2012.11</v>
      </c>
      <c r="B260" s="93">
        <v>1410129.4576000001</v>
      </c>
    </row>
    <row r="261" spans="1:3">
      <c r="A261" s="85">
        <f t="shared" si="0"/>
        <v>2012.12</v>
      </c>
      <c r="B261" s="93">
        <v>1458296.7197200006</v>
      </c>
    </row>
    <row r="262" spans="1:3">
      <c r="A262" s="85">
        <f t="shared" si="0"/>
        <v>2013.01</v>
      </c>
      <c r="B262" s="93">
        <v>1358156.0668500005</v>
      </c>
    </row>
    <row r="263" spans="1:3">
      <c r="A263" s="85">
        <f t="shared" si="0"/>
        <v>2013.02</v>
      </c>
      <c r="B263" s="93">
        <v>1435479.1</v>
      </c>
    </row>
    <row r="264" spans="1:3">
      <c r="A264" s="85">
        <f t="shared" si="0"/>
        <v>2013.03</v>
      </c>
      <c r="B264" s="93">
        <v>1333270.3970000001</v>
      </c>
    </row>
    <row r="265" spans="1:3">
      <c r="A265" s="85">
        <f t="shared" si="0"/>
        <v>2013.04</v>
      </c>
      <c r="B265" s="93">
        <v>1373982.4970000002</v>
      </c>
    </row>
    <row r="266" spans="1:3">
      <c r="A266" s="85">
        <f t="shared" ref="A266:A329" si="1">A254+1</f>
        <v>2013.05</v>
      </c>
      <c r="B266" s="93">
        <v>1985578.3367000001</v>
      </c>
    </row>
    <row r="267" spans="1:3">
      <c r="A267" s="85">
        <f t="shared" si="1"/>
        <v>2013.06</v>
      </c>
      <c r="B267" s="93">
        <v>1897516.2</v>
      </c>
    </row>
    <row r="268" spans="1:3">
      <c r="A268" s="85">
        <f t="shared" si="1"/>
        <v>2013.07</v>
      </c>
      <c r="B268" s="93">
        <v>1696179.0367000008</v>
      </c>
    </row>
    <row r="269" spans="1:3">
      <c r="A269" s="85">
        <f t="shared" si="1"/>
        <v>2013.08</v>
      </c>
      <c r="B269" s="93">
        <v>1735649.76685</v>
      </c>
    </row>
    <row r="270" spans="1:3">
      <c r="A270" s="85">
        <f t="shared" si="1"/>
        <v>2013.09</v>
      </c>
      <c r="B270" s="93">
        <v>1617002.8</v>
      </c>
    </row>
    <row r="271" spans="1:3">
      <c r="A271" s="85">
        <f t="shared" si="1"/>
        <v>2013.1</v>
      </c>
      <c r="B271" s="93">
        <v>1749049.7366999984</v>
      </c>
    </row>
    <row r="272" spans="1:3">
      <c r="A272" s="85">
        <f t="shared" si="1"/>
        <v>2013.11</v>
      </c>
      <c r="B272" s="93">
        <v>1732827.32715</v>
      </c>
    </row>
    <row r="273" spans="1:2">
      <c r="A273" s="85">
        <f t="shared" si="1"/>
        <v>2013.12</v>
      </c>
      <c r="B273" s="93">
        <v>1795421.5668499987</v>
      </c>
    </row>
    <row r="274" spans="1:2">
      <c r="A274" s="85">
        <f t="shared" si="1"/>
        <v>2014.01</v>
      </c>
      <c r="B274" s="93">
        <v>2005961.9120399999</v>
      </c>
    </row>
    <row r="275" spans="1:2">
      <c r="A275" s="85">
        <f t="shared" si="1"/>
        <v>2014.02</v>
      </c>
      <c r="B275" s="93">
        <v>1947098.7563999996</v>
      </c>
    </row>
    <row r="276" spans="1:2">
      <c r="A276" s="85">
        <f t="shared" si="1"/>
        <v>2014.03</v>
      </c>
      <c r="B276" s="93">
        <v>1788614.5007600004</v>
      </c>
    </row>
    <row r="277" spans="1:2">
      <c r="A277" s="85">
        <f t="shared" si="1"/>
        <v>2014.04</v>
      </c>
      <c r="B277" s="93">
        <v>1894451.8785800003</v>
      </c>
    </row>
    <row r="278" spans="1:2">
      <c r="A278" s="85">
        <f t="shared" si="1"/>
        <v>2014.05</v>
      </c>
      <c r="B278" s="93">
        <v>2646369.3564000004</v>
      </c>
    </row>
    <row r="279" spans="1:2">
      <c r="A279" s="85">
        <f t="shared" si="1"/>
        <v>2014.06</v>
      </c>
      <c r="B279" s="93">
        <v>2494326.8564000009</v>
      </c>
    </row>
    <row r="280" spans="1:2">
      <c r="A280" s="85">
        <f t="shared" si="1"/>
        <v>2014.07</v>
      </c>
      <c r="B280" s="93">
        <v>2240090.7120400011</v>
      </c>
    </row>
    <row r="281" spans="1:2">
      <c r="A281" s="85">
        <f t="shared" si="1"/>
        <v>2014.08</v>
      </c>
      <c r="B281" s="93">
        <v>2296988.6563999993</v>
      </c>
    </row>
    <row r="282" spans="1:2">
      <c r="A282" s="85">
        <f t="shared" si="1"/>
        <v>2014.09</v>
      </c>
      <c r="B282" s="93">
        <v>2318378.5120399985</v>
      </c>
    </row>
    <row r="283" spans="1:2">
      <c r="A283" s="85">
        <f t="shared" si="1"/>
        <v>2014.1</v>
      </c>
      <c r="B283" s="93">
        <v>2457094.4120399985</v>
      </c>
    </row>
    <row r="284" spans="1:2">
      <c r="A284" s="85">
        <f t="shared" si="1"/>
        <v>2014.11</v>
      </c>
      <c r="B284" s="93">
        <v>2413032.9007599996</v>
      </c>
    </row>
    <row r="285" spans="1:2">
      <c r="A285" s="85">
        <f t="shared" si="1"/>
        <v>2014.12</v>
      </c>
      <c r="B285" s="93">
        <v>2594125.1</v>
      </c>
    </row>
    <row r="286" spans="1:2">
      <c r="A286" s="85">
        <f t="shared" si="1"/>
        <v>2015.01</v>
      </c>
      <c r="B286" s="93">
        <v>2594383.6</v>
      </c>
    </row>
    <row r="287" spans="1:2">
      <c r="A287" s="85">
        <f t="shared" si="1"/>
        <v>2015.02</v>
      </c>
      <c r="B287" s="93">
        <v>2593487.7000000002</v>
      </c>
    </row>
    <row r="288" spans="1:2">
      <c r="A288" s="85">
        <f t="shared" si="1"/>
        <v>2015.03</v>
      </c>
      <c r="B288" s="93">
        <v>2324248.7999999998</v>
      </c>
    </row>
    <row r="289" spans="1:2">
      <c r="A289" s="85">
        <f t="shared" si="1"/>
        <v>2015.04</v>
      </c>
      <c r="B289" s="93">
        <v>2620793.5</v>
      </c>
    </row>
    <row r="290" spans="1:2">
      <c r="A290" s="85">
        <f t="shared" si="1"/>
        <v>2015.05</v>
      </c>
      <c r="B290" s="93">
        <v>3569954</v>
      </c>
    </row>
    <row r="291" spans="1:2">
      <c r="A291" s="85">
        <f t="shared" si="1"/>
        <v>2015.06</v>
      </c>
      <c r="B291" s="93">
        <v>3529503.6</v>
      </c>
    </row>
    <row r="292" spans="1:2">
      <c r="A292" s="85">
        <f t="shared" si="1"/>
        <v>2015.07</v>
      </c>
      <c r="B292" s="93">
        <v>3095414.3</v>
      </c>
    </row>
    <row r="293" spans="1:2">
      <c r="A293" s="85">
        <f t="shared" si="1"/>
        <v>2015.08</v>
      </c>
      <c r="B293" s="93">
        <v>3194866.9</v>
      </c>
    </row>
    <row r="294" spans="1:2">
      <c r="A294" s="85">
        <f t="shared" si="1"/>
        <v>2015.09</v>
      </c>
      <c r="B294" s="93">
        <v>3153547.8</v>
      </c>
    </row>
    <row r="295" spans="1:2">
      <c r="A295" s="85">
        <f t="shared" si="1"/>
        <v>2015.1</v>
      </c>
      <c r="B295" s="93">
        <v>3293349.9</v>
      </c>
    </row>
    <row r="296" spans="1:2">
      <c r="A296" s="85">
        <f t="shared" si="1"/>
        <v>2015.11</v>
      </c>
      <c r="B296" s="93">
        <v>3145379.2</v>
      </c>
    </row>
    <row r="297" spans="1:2">
      <c r="A297" s="85">
        <f t="shared" si="1"/>
        <v>2015.12</v>
      </c>
      <c r="B297" s="93">
        <v>4341541.2</v>
      </c>
    </row>
    <row r="298" spans="1:2">
      <c r="A298" s="85">
        <f t="shared" si="1"/>
        <v>2016.01</v>
      </c>
      <c r="B298" s="93">
        <v>4427593.7</v>
      </c>
    </row>
    <row r="299" spans="1:2">
      <c r="A299" s="85">
        <f t="shared" si="1"/>
        <v>2016.02</v>
      </c>
      <c r="B299" s="93">
        <v>3840889.9</v>
      </c>
    </row>
    <row r="300" spans="1:2">
      <c r="A300" s="85">
        <f t="shared" si="1"/>
        <v>2016.03</v>
      </c>
      <c r="B300" s="93">
        <v>3641285.4999999995</v>
      </c>
    </row>
    <row r="301" spans="1:2">
      <c r="A301" s="85">
        <f t="shared" si="1"/>
        <v>2016.04</v>
      </c>
      <c r="B301" s="93">
        <v>3724859</v>
      </c>
    </row>
    <row r="302" spans="1:2">
      <c r="A302" s="85">
        <f t="shared" si="1"/>
        <v>2016.05</v>
      </c>
      <c r="B302" s="93">
        <v>4882320.2</v>
      </c>
    </row>
    <row r="303" spans="1:2">
      <c r="A303" s="85">
        <f t="shared" si="1"/>
        <v>2016.06</v>
      </c>
      <c r="B303" s="93">
        <v>5131944.5999999996</v>
      </c>
    </row>
    <row r="304" spans="1:2">
      <c r="A304" s="85">
        <f t="shared" si="1"/>
        <v>2016.07</v>
      </c>
      <c r="B304" s="93">
        <v>4495104.4000000004</v>
      </c>
    </row>
    <row r="305" spans="1:2">
      <c r="A305" s="85">
        <f t="shared" si="1"/>
        <v>2016.08</v>
      </c>
      <c r="B305" s="93">
        <v>4625653</v>
      </c>
    </row>
    <row r="306" spans="1:2">
      <c r="A306" s="85">
        <f t="shared" si="1"/>
        <v>2016.09</v>
      </c>
      <c r="B306" s="93">
        <v>4665886.3</v>
      </c>
    </row>
    <row r="307" spans="1:2">
      <c r="A307" s="85">
        <f t="shared" si="1"/>
        <v>2016.1</v>
      </c>
      <c r="B307" s="93">
        <v>4526237.8</v>
      </c>
    </row>
    <row r="308" spans="1:2">
      <c r="A308" s="85">
        <f t="shared" si="1"/>
        <v>2016.11</v>
      </c>
      <c r="B308" s="93">
        <v>4713930.7</v>
      </c>
    </row>
    <row r="309" spans="1:2">
      <c r="A309" s="85">
        <f t="shared" si="1"/>
        <v>2016.12</v>
      </c>
      <c r="B309" s="93">
        <v>5185468.4000000004</v>
      </c>
    </row>
    <row r="310" spans="1:2">
      <c r="A310" s="85">
        <f t="shared" si="1"/>
        <v>2017.01</v>
      </c>
      <c r="B310" s="93">
        <v>5358739.4000000004</v>
      </c>
    </row>
    <row r="311" spans="1:2">
      <c r="A311" s="85">
        <f t="shared" si="1"/>
        <v>2017.02</v>
      </c>
      <c r="B311" s="93">
        <v>4688140.1407261509</v>
      </c>
    </row>
    <row r="312" spans="1:2">
      <c r="A312" s="85">
        <f t="shared" si="1"/>
        <v>2017.03</v>
      </c>
      <c r="B312" s="93">
        <v>4631502.9000000004</v>
      </c>
    </row>
    <row r="313" spans="1:2">
      <c r="A313" s="85">
        <f t="shared" si="1"/>
        <v>2017.04</v>
      </c>
      <c r="B313" s="93">
        <v>4840230.0999999996</v>
      </c>
    </row>
    <row r="314" spans="1:2">
      <c r="A314" s="85">
        <f t="shared" si="1"/>
        <v>2017.05</v>
      </c>
      <c r="B314" s="93">
        <v>5852039.164180507</v>
      </c>
    </row>
    <row r="315" spans="1:2">
      <c r="A315" s="85">
        <f t="shared" si="1"/>
        <v>2017.06</v>
      </c>
      <c r="B315" s="93">
        <v>6661482.164180507</v>
      </c>
    </row>
    <row r="316" spans="1:2">
      <c r="A316" s="85">
        <f t="shared" si="1"/>
        <v>2017.07</v>
      </c>
      <c r="B316" s="93">
        <v>6193379.0641805064</v>
      </c>
    </row>
    <row r="317" spans="1:2">
      <c r="A317" s="85">
        <f t="shared" si="1"/>
        <v>2017.08</v>
      </c>
      <c r="B317" s="93">
        <v>6213946.5672652926</v>
      </c>
    </row>
    <row r="318" spans="1:2">
      <c r="A318" s="85">
        <f t="shared" si="1"/>
        <v>2017.09</v>
      </c>
      <c r="B318" s="93">
        <v>6401639.0901505072</v>
      </c>
    </row>
    <row r="319" spans="1:2">
      <c r="A319" s="85">
        <f t="shared" si="1"/>
        <v>2017.1</v>
      </c>
      <c r="B319" s="93">
        <v>6290765.2899605073</v>
      </c>
    </row>
    <row r="320" spans="1:2">
      <c r="A320" s="85">
        <f t="shared" si="1"/>
        <v>2017.11</v>
      </c>
      <c r="B320" s="93">
        <v>6350882.9287561486</v>
      </c>
    </row>
    <row r="321" spans="1:2">
      <c r="A321" s="85">
        <f t="shared" si="1"/>
        <v>2017.12</v>
      </c>
      <c r="B321" s="93">
        <v>6652392.6744561475</v>
      </c>
    </row>
    <row r="322" spans="1:2">
      <c r="A322" s="85">
        <f t="shared" si="1"/>
        <v>2018.01</v>
      </c>
      <c r="B322" s="93">
        <v>6962829.084973569</v>
      </c>
    </row>
    <row r="323" spans="1:2">
      <c r="A323" s="85">
        <f t="shared" si="1"/>
        <v>2018.02</v>
      </c>
      <c r="B323" s="93">
        <v>6359112.1692267442</v>
      </c>
    </row>
    <row r="324" spans="1:2">
      <c r="A324" s="85">
        <f t="shared" si="1"/>
        <v>2018.03</v>
      </c>
      <c r="B324" s="93">
        <v>7226745.5979582937</v>
      </c>
    </row>
    <row r="325" spans="1:2">
      <c r="A325" s="85">
        <f t="shared" si="1"/>
        <v>2018.04</v>
      </c>
      <c r="B325" s="93">
        <v>6583933.2419323437</v>
      </c>
    </row>
    <row r="326" spans="1:2">
      <c r="A326" s="85">
        <f t="shared" si="1"/>
        <v>2018.05</v>
      </c>
      <c r="B326" s="93">
        <v>8790288.96034953</v>
      </c>
    </row>
    <row r="327" spans="1:2">
      <c r="A327" s="85">
        <f t="shared" si="1"/>
        <v>2018.06</v>
      </c>
      <c r="B327" s="93">
        <v>9851338.4508313295</v>
      </c>
    </row>
    <row r="328" spans="1:2">
      <c r="A328" s="85">
        <f t="shared" si="1"/>
        <v>2018.07</v>
      </c>
      <c r="B328" s="93">
        <v>8019420.5999999996</v>
      </c>
    </row>
    <row r="329" spans="1:2">
      <c r="A329" s="85">
        <f t="shared" si="1"/>
        <v>2018.08</v>
      </c>
      <c r="B329" s="93">
        <v>8723221.4258405026</v>
      </c>
    </row>
    <row r="330" spans="1:2">
      <c r="A330" s="85">
        <f t="shared" ref="A330:A393" si="2">A318+1</f>
        <v>2018.09</v>
      </c>
      <c r="B330" s="93">
        <v>8299709.2940060543</v>
      </c>
    </row>
    <row r="331" spans="1:2">
      <c r="A331" s="85">
        <f t="shared" si="2"/>
        <v>2018.1</v>
      </c>
      <c r="B331" s="93">
        <v>8994680.5796141624</v>
      </c>
    </row>
    <row r="332" spans="1:2">
      <c r="A332" s="85">
        <f t="shared" si="2"/>
        <v>2018.11</v>
      </c>
      <c r="B332" s="93">
        <v>8341299.4363304544</v>
      </c>
    </row>
    <row r="333" spans="1:2">
      <c r="A333" s="85">
        <f t="shared" si="2"/>
        <v>2018.12</v>
      </c>
      <c r="B333" s="93">
        <v>8787259.9594178647</v>
      </c>
    </row>
    <row r="334" spans="1:2">
      <c r="A334" s="85">
        <f t="shared" si="2"/>
        <v>2019.01</v>
      </c>
      <c r="B334" s="93">
        <v>9910947.4347412102</v>
      </c>
    </row>
    <row r="335" spans="1:2">
      <c r="A335" s="85">
        <f t="shared" si="2"/>
        <v>2019.02</v>
      </c>
      <c r="B335" s="93">
        <v>9025182.2465656418</v>
      </c>
    </row>
    <row r="336" spans="1:2">
      <c r="A336" s="85">
        <f t="shared" si="2"/>
        <v>2019.03</v>
      </c>
      <c r="B336" s="93">
        <v>8803952.9414528571</v>
      </c>
    </row>
    <row r="337" spans="1:2">
      <c r="A337" s="85">
        <f t="shared" si="2"/>
        <v>2019.04</v>
      </c>
      <c r="B337" s="93">
        <v>9249820.1643200796</v>
      </c>
    </row>
    <row r="338" spans="1:2">
      <c r="A338" s="85">
        <f t="shared" si="2"/>
        <v>2019.05</v>
      </c>
      <c r="B338" s="93">
        <v>13553222.542503988</v>
      </c>
    </row>
    <row r="339" spans="1:2">
      <c r="A339" s="85">
        <f t="shared" si="2"/>
        <v>2019.06</v>
      </c>
      <c r="B339" s="93">
        <v>13454808.461600076</v>
      </c>
    </row>
    <row r="340" spans="1:2">
      <c r="A340" s="85">
        <f t="shared" si="2"/>
        <v>2019.07</v>
      </c>
      <c r="B340" s="93">
        <v>11971165.984838426</v>
      </c>
    </row>
    <row r="341" spans="1:2">
      <c r="A341" s="85">
        <f t="shared" si="2"/>
        <v>2019.08</v>
      </c>
      <c r="B341" s="93">
        <v>12622452.974498427</v>
      </c>
    </row>
    <row r="342" spans="1:2">
      <c r="A342" s="85">
        <f t="shared" si="2"/>
        <v>2019.09</v>
      </c>
      <c r="B342" s="93">
        <v>11624692.375328425</v>
      </c>
    </row>
    <row r="343" spans="1:2">
      <c r="A343" s="85">
        <f t="shared" si="2"/>
        <v>2019.1</v>
      </c>
      <c r="B343" s="93">
        <v>12231326.9034412</v>
      </c>
    </row>
    <row r="344" spans="1:2">
      <c r="A344" s="85">
        <f t="shared" si="2"/>
        <v>2019.11</v>
      </c>
      <c r="B344" s="93">
        <v>12387496.365782859</v>
      </c>
    </row>
    <row r="345" spans="1:2">
      <c r="A345" s="85">
        <f t="shared" si="2"/>
        <v>2019.12</v>
      </c>
      <c r="B345" s="93">
        <v>12671348.446881209</v>
      </c>
    </row>
    <row r="346" spans="1:2">
      <c r="A346" s="85">
        <f t="shared" si="2"/>
        <v>2020.01</v>
      </c>
      <c r="B346" s="93">
        <v>13497199.228019999</v>
      </c>
    </row>
    <row r="347" spans="1:2">
      <c r="A347" s="85">
        <f t="shared" si="2"/>
        <v>2020.02</v>
      </c>
      <c r="B347" s="93">
        <v>12829726.256490001</v>
      </c>
    </row>
    <row r="348" spans="1:2">
      <c r="A348" s="85">
        <f t="shared" si="2"/>
        <v>2020.03</v>
      </c>
      <c r="B348" s="93">
        <v>11296177.207850004</v>
      </c>
    </row>
    <row r="349" spans="1:2">
      <c r="A349" s="85">
        <f t="shared" si="2"/>
        <v>2020.04</v>
      </c>
      <c r="B349" s="93">
        <v>10794744.361199999</v>
      </c>
    </row>
    <row r="350" spans="1:2">
      <c r="A350" s="85">
        <f t="shared" si="2"/>
        <v>2020.05</v>
      </c>
      <c r="B350" s="93">
        <v>14231255.025969995</v>
      </c>
    </row>
    <row r="351" spans="1:2">
      <c r="A351" s="85">
        <f t="shared" si="2"/>
        <v>2020.06</v>
      </c>
      <c r="B351" s="93">
        <v>16780086.096209992</v>
      </c>
    </row>
    <row r="352" spans="1:2">
      <c r="A352" s="85">
        <f t="shared" si="2"/>
        <v>2020.07</v>
      </c>
      <c r="B352" s="93">
        <v>14413090.630149996</v>
      </c>
    </row>
    <row r="353" spans="1:2">
      <c r="A353" s="85">
        <f t="shared" si="2"/>
        <v>2020.08</v>
      </c>
      <c r="B353" s="93">
        <v>18122175.690419998</v>
      </c>
    </row>
    <row r="354" spans="1:2">
      <c r="A354" s="85">
        <f t="shared" si="2"/>
        <v>2020.09</v>
      </c>
      <c r="B354" s="93">
        <v>16664474.659719994</v>
      </c>
    </row>
    <row r="355" spans="1:2">
      <c r="A355" s="85">
        <f t="shared" si="2"/>
        <v>2020.1</v>
      </c>
      <c r="B355" s="93">
        <v>19323880.159759991</v>
      </c>
    </row>
    <row r="356" spans="1:2">
      <c r="A356" s="85">
        <f t="shared" si="2"/>
        <v>2020.11</v>
      </c>
      <c r="B356" s="93">
        <v>19342188.999570001</v>
      </c>
    </row>
    <row r="357" spans="1:2">
      <c r="A357" s="85">
        <f t="shared" si="2"/>
        <v>2020.12</v>
      </c>
      <c r="B357" s="93">
        <v>20711483.211920001</v>
      </c>
    </row>
    <row r="358" spans="1:2">
      <c r="A358" s="85">
        <f t="shared" si="2"/>
        <v>2021.01</v>
      </c>
      <c r="B358" s="93">
        <v>20239716.062554151</v>
      </c>
    </row>
    <row r="359" spans="1:2">
      <c r="A359" s="85">
        <f t="shared" si="2"/>
        <v>2021.02</v>
      </c>
      <c r="B359" s="93">
        <v>19932208.687030826</v>
      </c>
    </row>
    <row r="360" spans="1:2">
      <c r="A360" s="85">
        <f t="shared" si="2"/>
        <v>2021.03</v>
      </c>
      <c r="B360" s="93">
        <v>20462855.561635487</v>
      </c>
    </row>
    <row r="361" spans="1:2">
      <c r="A361" s="85">
        <f t="shared" si="2"/>
        <v>2021.04</v>
      </c>
      <c r="B361" s="93">
        <v>22910626.765061233</v>
      </c>
    </row>
    <row r="362" spans="1:2">
      <c r="A362" s="85">
        <f t="shared" si="2"/>
        <v>2021.05</v>
      </c>
      <c r="B362" s="93">
        <v>23561783.606001832</v>
      </c>
    </row>
    <row r="363" spans="1:2">
      <c r="A363" s="85">
        <f t="shared" si="2"/>
        <v>2021.06</v>
      </c>
      <c r="B363" s="93">
        <v>27744068.828014068</v>
      </c>
    </row>
    <row r="364" spans="1:2">
      <c r="A364" s="85">
        <f t="shared" si="2"/>
        <v>2021.07</v>
      </c>
      <c r="B364" s="93">
        <v>23807003.857964344</v>
      </c>
    </row>
    <row r="365" spans="1:2">
      <c r="A365" s="85">
        <f t="shared" si="2"/>
        <v>2021.08</v>
      </c>
      <c r="B365" s="93">
        <v>29514513.702886708</v>
      </c>
    </row>
    <row r="366" spans="1:2">
      <c r="A366" s="85">
        <f t="shared" si="2"/>
        <v>2021.09</v>
      </c>
      <c r="B366" s="93">
        <v>27440569.18554838</v>
      </c>
    </row>
    <row r="367" spans="1:2">
      <c r="A367" s="85">
        <f t="shared" si="2"/>
        <v>2021.1</v>
      </c>
      <c r="B367" s="93">
        <v>28457817.809350256</v>
      </c>
    </row>
    <row r="368" spans="1:2">
      <c r="A368" s="85">
        <f t="shared" si="2"/>
        <v>2021.11</v>
      </c>
      <c r="B368" s="93">
        <v>28802803.889758144</v>
      </c>
    </row>
    <row r="369" spans="1:2">
      <c r="A369" s="85">
        <f t="shared" si="2"/>
        <v>2021.12</v>
      </c>
      <c r="B369" s="93">
        <v>33625539.933210202</v>
      </c>
    </row>
    <row r="370" spans="1:2">
      <c r="A370" s="85">
        <f t="shared" si="2"/>
        <v>2022.01</v>
      </c>
      <c r="B370" s="93">
        <v>31217729.588561889</v>
      </c>
    </row>
    <row r="371" spans="1:2">
      <c r="A371" s="85">
        <f t="shared" si="2"/>
        <v>2022.02</v>
      </c>
      <c r="B371" s="93">
        <v>31474572.301535528</v>
      </c>
    </row>
    <row r="372" spans="1:2">
      <c r="A372" s="85">
        <f t="shared" si="2"/>
        <v>2022.03</v>
      </c>
      <c r="B372" s="93">
        <v>32151381.803923063</v>
      </c>
    </row>
    <row r="373" spans="1:2">
      <c r="A373" s="85">
        <f t="shared" si="2"/>
        <v>2022.04</v>
      </c>
      <c r="B373" s="93">
        <v>37442105.532266974</v>
      </c>
    </row>
    <row r="374" spans="1:2">
      <c r="A374" s="85">
        <f t="shared" si="2"/>
        <v>2022.05</v>
      </c>
      <c r="B374" s="93">
        <v>44190211.823564678</v>
      </c>
    </row>
    <row r="375" spans="1:2">
      <c r="A375" s="85">
        <f t="shared" si="2"/>
        <v>2022.06</v>
      </c>
      <c r="B375" s="93">
        <v>52571547.541900009</v>
      </c>
    </row>
    <row r="376" spans="1:2">
      <c r="A376" s="85">
        <f t="shared" si="2"/>
        <v>2022.07</v>
      </c>
      <c r="B376" s="93">
        <v>47541642.390599057</v>
      </c>
    </row>
    <row r="377" spans="1:2">
      <c r="A377" s="85">
        <f t="shared" si="2"/>
        <v>2022.08</v>
      </c>
      <c r="B377" s="93">
        <v>51136392.400154084</v>
      </c>
    </row>
    <row r="378" spans="1:2">
      <c r="A378" s="85">
        <f t="shared" si="2"/>
        <v>2022.09</v>
      </c>
      <c r="B378" s="93">
        <v>51789826.247062504</v>
      </c>
    </row>
    <row r="379" spans="1:2">
      <c r="A379" s="85">
        <f t="shared" si="2"/>
        <v>2022.1</v>
      </c>
      <c r="B379" s="93">
        <v>58933857.137441233</v>
      </c>
    </row>
    <row r="380" spans="1:2">
      <c r="A380" s="85">
        <f t="shared" si="2"/>
        <v>2022.11</v>
      </c>
      <c r="B380" s="93">
        <v>59644753.211845145</v>
      </c>
    </row>
    <row r="381" spans="1:2">
      <c r="A381" s="85">
        <f t="shared" si="2"/>
        <v>2022.12</v>
      </c>
      <c r="B381" s="93">
        <v>66161269.808220014</v>
      </c>
    </row>
    <row r="382" spans="1:2">
      <c r="A382" s="85">
        <f t="shared" si="2"/>
        <v>2023.01</v>
      </c>
      <c r="B382" s="93">
        <v>62820178.768470392</v>
      </c>
    </row>
    <row r="383" spans="1:2">
      <c r="A383" s="85">
        <f t="shared" si="2"/>
        <v>2023.02</v>
      </c>
      <c r="B383" s="93">
        <v>62322533.811819993</v>
      </c>
    </row>
    <row r="384" spans="1:2">
      <c r="A384" s="85">
        <f t="shared" si="2"/>
        <v>2023.03</v>
      </c>
      <c r="B384" s="93">
        <v>67327625.931510746</v>
      </c>
    </row>
    <row r="385" spans="1:2">
      <c r="A385" s="85">
        <f t="shared" si="2"/>
        <v>2023.04</v>
      </c>
      <c r="B385" s="93">
        <v>75018341.537748963</v>
      </c>
    </row>
    <row r="386" spans="1:2">
      <c r="A386" s="85">
        <f t="shared" si="2"/>
        <v>2023.05</v>
      </c>
      <c r="B386" s="93">
        <v>93494136.950799957</v>
      </c>
    </row>
    <row r="387" spans="1:2">
      <c r="A387" s="85">
        <f t="shared" si="2"/>
        <v>2023.06</v>
      </c>
      <c r="B387" s="93">
        <v>112315607.61296964</v>
      </c>
    </row>
    <row r="388" spans="1:2">
      <c r="A388" s="85">
        <f t="shared" si="2"/>
        <v>2023.07</v>
      </c>
      <c r="B388" s="93">
        <v>98881322.371633157</v>
      </c>
    </row>
    <row r="389" spans="1:2">
      <c r="A389" s="85">
        <f t="shared" si="2"/>
        <v>2023.08</v>
      </c>
      <c r="B389" s="93">
        <v>119605086.03583835</v>
      </c>
    </row>
    <row r="390" spans="1:2">
      <c r="A390" s="85">
        <f t="shared" si="2"/>
        <v>2023.09</v>
      </c>
      <c r="B390" s="93">
        <v>123116323.25839679</v>
      </c>
    </row>
    <row r="391" spans="1:2">
      <c r="A391" s="85">
        <f t="shared" si="2"/>
        <v>2023.1</v>
      </c>
      <c r="B391" s="93">
        <v>130107616.74159853</v>
      </c>
    </row>
    <row r="392" spans="1:2">
      <c r="A392" s="85">
        <f t="shared" si="2"/>
        <v>2023.11</v>
      </c>
      <c r="B392" s="93">
        <v>135996257.98842871</v>
      </c>
    </row>
    <row r="393" spans="1:2">
      <c r="A393" s="85">
        <f t="shared" si="2"/>
        <v>2023.12</v>
      </c>
      <c r="B393" s="93">
        <v>163411677.28899014</v>
      </c>
    </row>
    <row r="394" spans="1:2">
      <c r="A394" s="85">
        <f t="shared" ref="A394:A457" si="3">A382+1</f>
        <v>2024.01</v>
      </c>
      <c r="B394" s="93">
        <v>199863968.19593</v>
      </c>
    </row>
    <row r="395" spans="1:2">
      <c r="A395" s="85">
        <f t="shared" si="3"/>
        <v>2024.02</v>
      </c>
      <c r="B395" s="93">
        <v>193052996.16180262</v>
      </c>
    </row>
    <row r="396" spans="1:2">
      <c r="A396" s="85">
        <f t="shared" si="3"/>
        <v>2024.03</v>
      </c>
      <c r="B396" s="93">
        <v>192449679.20925421</v>
      </c>
    </row>
    <row r="397" spans="1:2">
      <c r="A397" s="85">
        <f t="shared" si="3"/>
        <v>2024.04</v>
      </c>
      <c r="B397" s="93">
        <v>232972568.94190499</v>
      </c>
    </row>
    <row r="398" spans="1:2">
      <c r="A398" s="85">
        <f t="shared" si="3"/>
        <v>2024.05</v>
      </c>
      <c r="B398" s="93" t="e">
        <v>#N/A</v>
      </c>
    </row>
    <row r="399" spans="1:2">
      <c r="A399" s="85">
        <f t="shared" si="3"/>
        <v>2024.06</v>
      </c>
      <c r="B399" s="93" t="e">
        <v>#N/A</v>
      </c>
    </row>
    <row r="400" spans="1:2">
      <c r="A400" s="85">
        <f t="shared" si="3"/>
        <v>2024.07</v>
      </c>
      <c r="B400" s="93" t="e">
        <v>#N/A</v>
      </c>
    </row>
    <row r="401" spans="1:2">
      <c r="A401" s="85">
        <f t="shared" si="3"/>
        <v>2024.08</v>
      </c>
      <c r="B401" s="93" t="e">
        <v>#N/A</v>
      </c>
    </row>
    <row r="402" spans="1:2">
      <c r="A402" s="85">
        <f t="shared" si="3"/>
        <v>2024.09</v>
      </c>
      <c r="B402" s="93" t="e">
        <v>#N/A</v>
      </c>
    </row>
    <row r="403" spans="1:2">
      <c r="A403" s="85">
        <f t="shared" si="3"/>
        <v>2024.1</v>
      </c>
      <c r="B403" s="93" t="e">
        <v>#N/A</v>
      </c>
    </row>
    <row r="404" spans="1:2">
      <c r="A404" s="85">
        <f t="shared" si="3"/>
        <v>2024.11</v>
      </c>
      <c r="B404" s="93" t="e">
        <v>#N/A</v>
      </c>
    </row>
    <row r="405" spans="1:2">
      <c r="A405" s="85">
        <f t="shared" si="3"/>
        <v>2024.12</v>
      </c>
      <c r="B405" s="93" t="e">
        <v>#N/A</v>
      </c>
    </row>
    <row r="406" spans="1:2">
      <c r="A406" s="85">
        <f t="shared" si="3"/>
        <v>2025.01</v>
      </c>
      <c r="B406" s="93" t="e">
        <v>#N/A</v>
      </c>
    </row>
    <row r="407" spans="1:2">
      <c r="A407" s="85">
        <f t="shared" si="3"/>
        <v>2025.02</v>
      </c>
      <c r="B407" s="93" t="e">
        <v>#N/A</v>
      </c>
    </row>
    <row r="408" spans="1:2">
      <c r="A408" s="85">
        <f t="shared" si="3"/>
        <v>2025.03</v>
      </c>
      <c r="B408" s="93" t="e">
        <v>#N/A</v>
      </c>
    </row>
    <row r="409" spans="1:2">
      <c r="A409" s="85">
        <f t="shared" si="3"/>
        <v>2025.04</v>
      </c>
      <c r="B409" s="93" t="e">
        <v>#N/A</v>
      </c>
    </row>
    <row r="410" spans="1:2">
      <c r="A410" s="85">
        <f t="shared" si="3"/>
        <v>2025.05</v>
      </c>
      <c r="B410" s="93" t="e">
        <v>#N/A</v>
      </c>
    </row>
    <row r="411" spans="1:2">
      <c r="A411" s="85">
        <f t="shared" si="3"/>
        <v>2025.06</v>
      </c>
      <c r="B411" s="93" t="e">
        <v>#N/A</v>
      </c>
    </row>
    <row r="412" spans="1:2">
      <c r="A412" s="85">
        <f t="shared" si="3"/>
        <v>2025.07</v>
      </c>
      <c r="B412" s="93" t="e">
        <v>#N/A</v>
      </c>
    </row>
    <row r="413" spans="1:2">
      <c r="A413" s="85">
        <f t="shared" si="3"/>
        <v>2025.08</v>
      </c>
      <c r="B413" s="93" t="e">
        <v>#N/A</v>
      </c>
    </row>
    <row r="414" spans="1:2">
      <c r="A414" s="85">
        <f t="shared" si="3"/>
        <v>2025.09</v>
      </c>
      <c r="B414" s="93" t="e">
        <v>#N/A</v>
      </c>
    </row>
    <row r="415" spans="1:2">
      <c r="A415" s="85">
        <f t="shared" si="3"/>
        <v>2025.1</v>
      </c>
      <c r="B415" s="93" t="e">
        <v>#N/A</v>
      </c>
    </row>
    <row r="416" spans="1:2">
      <c r="A416" s="85">
        <f t="shared" si="3"/>
        <v>2025.11</v>
      </c>
      <c r="B416" s="93" t="e">
        <v>#N/A</v>
      </c>
    </row>
    <row r="417" spans="1:2">
      <c r="A417" s="85">
        <f t="shared" si="3"/>
        <v>2025.12</v>
      </c>
      <c r="B417" s="93" t="e">
        <v>#N/A</v>
      </c>
    </row>
    <row r="418" spans="1:2">
      <c r="A418" s="2765">
        <f t="shared" si="3"/>
        <v>2026.01</v>
      </c>
      <c r="B418" s="93" t="e">
        <v>#N/A</v>
      </c>
    </row>
    <row r="419" spans="1:2">
      <c r="A419" s="2765">
        <f t="shared" si="3"/>
        <v>2026.02</v>
      </c>
      <c r="B419" s="93" t="e">
        <v>#N/A</v>
      </c>
    </row>
    <row r="420" spans="1:2">
      <c r="A420" s="2765">
        <f t="shared" si="3"/>
        <v>2026.03</v>
      </c>
      <c r="B420" s="93" t="e">
        <v>#N/A</v>
      </c>
    </row>
    <row r="421" spans="1:2">
      <c r="A421" s="2765">
        <f t="shared" si="3"/>
        <v>2026.04</v>
      </c>
      <c r="B421" s="93" t="e">
        <v>#N/A</v>
      </c>
    </row>
    <row r="422" spans="1:2">
      <c r="A422" s="2765">
        <f t="shared" si="3"/>
        <v>2026.05</v>
      </c>
      <c r="B422" s="93" t="e">
        <v>#N/A</v>
      </c>
    </row>
    <row r="423" spans="1:2">
      <c r="A423" s="2765">
        <f t="shared" si="3"/>
        <v>2026.06</v>
      </c>
      <c r="B423" s="93" t="e">
        <v>#N/A</v>
      </c>
    </row>
    <row r="424" spans="1:2">
      <c r="A424" s="2765">
        <f t="shared" si="3"/>
        <v>2026.07</v>
      </c>
      <c r="B424" s="93" t="e">
        <v>#N/A</v>
      </c>
    </row>
    <row r="425" spans="1:2">
      <c r="A425" s="2765">
        <f t="shared" si="3"/>
        <v>2026.08</v>
      </c>
      <c r="B425" s="93" t="e">
        <v>#N/A</v>
      </c>
    </row>
    <row r="426" spans="1:2">
      <c r="A426" s="2765">
        <f t="shared" si="3"/>
        <v>2026.09</v>
      </c>
      <c r="B426" s="93" t="e">
        <v>#N/A</v>
      </c>
    </row>
    <row r="427" spans="1:2">
      <c r="A427" s="2765">
        <f t="shared" si="3"/>
        <v>2026.1</v>
      </c>
      <c r="B427" s="93" t="e">
        <v>#N/A</v>
      </c>
    </row>
    <row r="428" spans="1:2">
      <c r="A428" s="2765">
        <f t="shared" si="3"/>
        <v>2026.11</v>
      </c>
      <c r="B428" s="93" t="e">
        <v>#N/A</v>
      </c>
    </row>
    <row r="429" spans="1:2">
      <c r="A429" s="2765">
        <f t="shared" si="3"/>
        <v>2026.12</v>
      </c>
      <c r="B429" s="93" t="e">
        <v>#N/A</v>
      </c>
    </row>
    <row r="430" spans="1:2">
      <c r="A430" s="2765">
        <f t="shared" si="3"/>
        <v>2027.01</v>
      </c>
      <c r="B430" s="93" t="e">
        <v>#N/A</v>
      </c>
    </row>
    <row r="431" spans="1:2">
      <c r="A431" s="2765">
        <f t="shared" si="3"/>
        <v>2027.02</v>
      </c>
      <c r="B431" s="93" t="e">
        <v>#N/A</v>
      </c>
    </row>
    <row r="432" spans="1:2">
      <c r="A432" s="2765">
        <f t="shared" si="3"/>
        <v>2027.03</v>
      </c>
      <c r="B432" s="93" t="e">
        <v>#N/A</v>
      </c>
    </row>
    <row r="433" spans="1:2">
      <c r="A433" s="2765">
        <f t="shared" si="3"/>
        <v>2027.04</v>
      </c>
      <c r="B433" s="93" t="e">
        <v>#N/A</v>
      </c>
    </row>
    <row r="434" spans="1:2">
      <c r="A434" s="2765">
        <f t="shared" si="3"/>
        <v>2027.05</v>
      </c>
      <c r="B434" s="93" t="e">
        <v>#N/A</v>
      </c>
    </row>
    <row r="435" spans="1:2">
      <c r="A435" s="2765">
        <f t="shared" si="3"/>
        <v>2027.06</v>
      </c>
      <c r="B435" s="93" t="e">
        <v>#N/A</v>
      </c>
    </row>
    <row r="436" spans="1:2">
      <c r="A436" s="2765">
        <f t="shared" si="3"/>
        <v>2027.07</v>
      </c>
      <c r="B436" s="93" t="e">
        <v>#N/A</v>
      </c>
    </row>
    <row r="437" spans="1:2">
      <c r="A437" s="2765">
        <f t="shared" si="3"/>
        <v>2027.08</v>
      </c>
      <c r="B437" s="93" t="e">
        <v>#N/A</v>
      </c>
    </row>
    <row r="438" spans="1:2">
      <c r="A438" s="2765">
        <f t="shared" si="3"/>
        <v>2027.09</v>
      </c>
      <c r="B438" s="93" t="e">
        <v>#N/A</v>
      </c>
    </row>
    <row r="439" spans="1:2">
      <c r="A439" s="2765">
        <f t="shared" si="3"/>
        <v>2027.1</v>
      </c>
      <c r="B439" s="93" t="e">
        <v>#N/A</v>
      </c>
    </row>
    <row r="440" spans="1:2">
      <c r="A440" s="2765">
        <f t="shared" si="3"/>
        <v>2027.11</v>
      </c>
      <c r="B440" s="93" t="e">
        <v>#N/A</v>
      </c>
    </row>
    <row r="441" spans="1:2">
      <c r="A441" s="2765">
        <f t="shared" si="3"/>
        <v>2027.12</v>
      </c>
      <c r="B441" s="93" t="e">
        <v>#N/A</v>
      </c>
    </row>
    <row r="442" spans="1:2">
      <c r="A442" s="2765">
        <f t="shared" si="3"/>
        <v>2028.01</v>
      </c>
      <c r="B442" s="93" t="e">
        <v>#N/A</v>
      </c>
    </row>
    <row r="443" spans="1:2">
      <c r="A443" s="2765">
        <f t="shared" si="3"/>
        <v>2028.02</v>
      </c>
      <c r="B443" s="93" t="e">
        <v>#N/A</v>
      </c>
    </row>
    <row r="444" spans="1:2">
      <c r="A444" s="2765">
        <f t="shared" si="3"/>
        <v>2028.03</v>
      </c>
      <c r="B444" s="93" t="e">
        <v>#N/A</v>
      </c>
    </row>
    <row r="445" spans="1:2">
      <c r="A445" s="2765">
        <f t="shared" si="3"/>
        <v>2028.04</v>
      </c>
      <c r="B445" s="93" t="e">
        <v>#N/A</v>
      </c>
    </row>
    <row r="446" spans="1:2">
      <c r="A446" s="2765">
        <f t="shared" si="3"/>
        <v>2028.05</v>
      </c>
      <c r="B446" s="93" t="e">
        <v>#N/A</v>
      </c>
    </row>
    <row r="447" spans="1:2">
      <c r="A447" s="2765">
        <f t="shared" si="3"/>
        <v>2028.06</v>
      </c>
      <c r="B447" s="93" t="e">
        <v>#N/A</v>
      </c>
    </row>
    <row r="448" spans="1:2">
      <c r="A448" s="2765">
        <f t="shared" si="3"/>
        <v>2028.07</v>
      </c>
      <c r="B448" s="93" t="e">
        <v>#N/A</v>
      </c>
    </row>
    <row r="449" spans="1:2">
      <c r="A449" s="2765">
        <f t="shared" si="3"/>
        <v>2028.08</v>
      </c>
      <c r="B449" s="93" t="e">
        <v>#N/A</v>
      </c>
    </row>
    <row r="450" spans="1:2">
      <c r="A450" s="2765">
        <f t="shared" si="3"/>
        <v>2028.09</v>
      </c>
      <c r="B450" s="93" t="e">
        <v>#N/A</v>
      </c>
    </row>
    <row r="451" spans="1:2">
      <c r="A451" s="2765">
        <f t="shared" si="3"/>
        <v>2028.1</v>
      </c>
      <c r="B451" s="93" t="e">
        <v>#N/A</v>
      </c>
    </row>
    <row r="452" spans="1:2">
      <c r="A452" s="2765">
        <f t="shared" si="3"/>
        <v>2028.11</v>
      </c>
      <c r="B452" s="93" t="e">
        <v>#N/A</v>
      </c>
    </row>
    <row r="453" spans="1:2">
      <c r="A453" s="2765">
        <f t="shared" si="3"/>
        <v>2028.12</v>
      </c>
      <c r="B453" s="93" t="e">
        <v>#N/A</v>
      </c>
    </row>
    <row r="454" spans="1:2">
      <c r="A454" s="2765">
        <f t="shared" si="3"/>
        <v>2029.01</v>
      </c>
      <c r="B454" s="93" t="e">
        <v>#N/A</v>
      </c>
    </row>
    <row r="455" spans="1:2">
      <c r="A455" s="2765">
        <f t="shared" si="3"/>
        <v>2029.02</v>
      </c>
      <c r="B455" s="93" t="e">
        <v>#N/A</v>
      </c>
    </row>
    <row r="456" spans="1:2">
      <c r="A456" s="2765">
        <f t="shared" si="3"/>
        <v>2029.03</v>
      </c>
      <c r="B456" s="93" t="e">
        <v>#N/A</v>
      </c>
    </row>
    <row r="457" spans="1:2">
      <c r="A457" s="2765">
        <f t="shared" si="3"/>
        <v>2029.04</v>
      </c>
      <c r="B457" s="93" t="e">
        <v>#N/A</v>
      </c>
    </row>
    <row r="458" spans="1:2">
      <c r="A458" s="2765">
        <f t="shared" ref="A458:A477" si="4">A446+1</f>
        <v>2029.05</v>
      </c>
      <c r="B458" s="93" t="e">
        <v>#N/A</v>
      </c>
    </row>
    <row r="459" spans="1:2">
      <c r="A459" s="2765">
        <f t="shared" si="4"/>
        <v>2029.06</v>
      </c>
      <c r="B459" s="93" t="e">
        <v>#N/A</v>
      </c>
    </row>
    <row r="460" spans="1:2">
      <c r="A460" s="2765">
        <f t="shared" si="4"/>
        <v>2029.07</v>
      </c>
      <c r="B460" s="93" t="e">
        <v>#N/A</v>
      </c>
    </row>
    <row r="461" spans="1:2">
      <c r="A461" s="2765">
        <f t="shared" si="4"/>
        <v>2029.08</v>
      </c>
      <c r="B461" s="93" t="e">
        <v>#N/A</v>
      </c>
    </row>
    <row r="462" spans="1:2">
      <c r="A462" s="2765">
        <f t="shared" si="4"/>
        <v>2029.09</v>
      </c>
      <c r="B462" s="93" t="e">
        <v>#N/A</v>
      </c>
    </row>
    <row r="463" spans="1:2">
      <c r="A463" s="2765">
        <f t="shared" si="4"/>
        <v>2029.1</v>
      </c>
      <c r="B463" s="93" t="e">
        <v>#N/A</v>
      </c>
    </row>
    <row r="464" spans="1:2">
      <c r="A464" s="2765">
        <f t="shared" si="4"/>
        <v>2029.11</v>
      </c>
      <c r="B464" s="93" t="e">
        <v>#N/A</v>
      </c>
    </row>
    <row r="465" spans="1:2">
      <c r="A465" s="2765">
        <f t="shared" si="4"/>
        <v>2029.12</v>
      </c>
      <c r="B465" s="93" t="e">
        <v>#N/A</v>
      </c>
    </row>
    <row r="466" spans="1:2">
      <c r="A466" s="2765">
        <f t="shared" si="4"/>
        <v>2030.01</v>
      </c>
      <c r="B466" s="93" t="e">
        <v>#N/A</v>
      </c>
    </row>
    <row r="467" spans="1:2">
      <c r="A467" s="2765">
        <f t="shared" si="4"/>
        <v>2030.02</v>
      </c>
      <c r="B467" s="93" t="e">
        <v>#N/A</v>
      </c>
    </row>
    <row r="468" spans="1:2">
      <c r="A468" s="2765">
        <f t="shared" si="4"/>
        <v>2030.03</v>
      </c>
      <c r="B468" s="93" t="e">
        <v>#N/A</v>
      </c>
    </row>
    <row r="469" spans="1:2">
      <c r="A469" s="2765">
        <f t="shared" si="4"/>
        <v>2030.04</v>
      </c>
      <c r="B469" s="93" t="e">
        <v>#N/A</v>
      </c>
    </row>
    <row r="470" spans="1:2">
      <c r="A470" s="2765">
        <f t="shared" si="4"/>
        <v>2030.05</v>
      </c>
      <c r="B470" s="93" t="e">
        <v>#N/A</v>
      </c>
    </row>
    <row r="471" spans="1:2">
      <c r="A471" s="2765">
        <f t="shared" si="4"/>
        <v>2030.06</v>
      </c>
      <c r="B471" s="93" t="e">
        <v>#N/A</v>
      </c>
    </row>
    <row r="472" spans="1:2">
      <c r="A472" s="2765">
        <f t="shared" si="4"/>
        <v>2030.07</v>
      </c>
      <c r="B472" s="93" t="e">
        <v>#N/A</v>
      </c>
    </row>
    <row r="473" spans="1:2">
      <c r="A473" s="2765">
        <f t="shared" si="4"/>
        <v>2030.08</v>
      </c>
      <c r="B473" s="93" t="e">
        <v>#N/A</v>
      </c>
    </row>
    <row r="474" spans="1:2">
      <c r="A474" s="2765">
        <f t="shared" si="4"/>
        <v>2030.09</v>
      </c>
      <c r="B474" s="93" t="e">
        <v>#N/A</v>
      </c>
    </row>
    <row r="475" spans="1:2">
      <c r="A475" s="2765">
        <f t="shared" si="4"/>
        <v>2030.1</v>
      </c>
      <c r="B475" s="93" t="e">
        <v>#N/A</v>
      </c>
    </row>
    <row r="476" spans="1:2">
      <c r="A476" s="2765">
        <f t="shared" si="4"/>
        <v>2030.11</v>
      </c>
      <c r="B476" s="93" t="e">
        <v>#N/A</v>
      </c>
    </row>
    <row r="477" spans="1:2">
      <c r="A477" s="2765">
        <f t="shared" si="4"/>
        <v>2030.12</v>
      </c>
      <c r="B477" s="93" t="e">
        <v>#N/A</v>
      </c>
    </row>
  </sheetData>
  <phoneticPr fontId="0" type="noConversion"/>
  <hyperlinks>
    <hyperlink ref="A5" location="INDICE!A13" display="VOLVER AL INDICE" xr:uid="{00000000-0004-0000-2F00-000000000000}"/>
  </hyperlinks>
  <pageMargins left="0.75" right="0.75" top="1" bottom="1" header="0" footer="0"/>
  <pageSetup paperSize="9"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7">
    <pageSetUpPr autoPageBreaks="0"/>
  </sheetPr>
  <dimension ref="A1:F477"/>
  <sheetViews>
    <sheetView zoomScale="115" zoomScaleNormal="115" workbookViewId="0">
      <pane xSplit="1" ySplit="9" topLeftCell="B376" activePane="bottomRight" state="frozen"/>
      <selection sqref="A1:A5"/>
      <selection pane="topRight" sqref="A1:A5"/>
      <selection pane="bottomLeft" sqref="A1:A5"/>
      <selection pane="bottomRight" activeCell="D396" sqref="D396"/>
    </sheetView>
  </sheetViews>
  <sheetFormatPr baseColWidth="10" defaultColWidth="11.42578125" defaultRowHeight="12.75"/>
  <cols>
    <col min="1" max="1" width="10.42578125" style="19" bestFit="1" customWidth="1"/>
    <col min="2" max="2" width="23.28515625" style="19" customWidth="1"/>
    <col min="3" max="3" width="19" style="19" bestFit="1" customWidth="1"/>
    <col min="4" max="4" width="23.28515625" style="19" customWidth="1"/>
    <col min="5" max="5" width="23.42578125" style="19" customWidth="1"/>
    <col min="6" max="6" width="11.42578125" style="1"/>
    <col min="7" max="7" width="12.28515625" style="1" bestFit="1" customWidth="1"/>
    <col min="8" max="16384" width="11.42578125" style="1"/>
  </cols>
  <sheetData>
    <row r="1" spans="1:6" ht="3.75" customHeight="1">
      <c r="A1" s="47"/>
      <c r="B1" s="574"/>
      <c r="C1" s="632"/>
      <c r="D1" s="632"/>
      <c r="E1" s="633"/>
    </row>
    <row r="2" spans="1:6">
      <c r="A2" s="47" t="s">
        <v>212</v>
      </c>
      <c r="B2" s="574" t="s">
        <v>253</v>
      </c>
      <c r="C2" s="632"/>
      <c r="D2" s="632"/>
      <c r="E2" s="633"/>
    </row>
    <row r="3" spans="1:6">
      <c r="A3" s="47" t="s">
        <v>211</v>
      </c>
      <c r="B3" s="574" t="s">
        <v>418</v>
      </c>
      <c r="C3" s="632"/>
      <c r="D3" s="632"/>
      <c r="E3" s="633"/>
    </row>
    <row r="4" spans="1:6" ht="3" customHeight="1">
      <c r="A4" s="224"/>
      <c r="B4" s="634"/>
      <c r="C4" s="635" t="s">
        <v>74</v>
      </c>
      <c r="D4" s="635"/>
      <c r="E4" s="636"/>
    </row>
    <row r="5" spans="1:6" s="19" customFormat="1" ht="22.5">
      <c r="A5" s="45" t="s">
        <v>213</v>
      </c>
      <c r="B5" s="127" t="s">
        <v>912</v>
      </c>
      <c r="C5" s="127"/>
      <c r="D5" s="127" t="s">
        <v>913</v>
      </c>
      <c r="E5" s="90"/>
    </row>
    <row r="6" spans="1:6" s="19" customFormat="1" ht="11.25">
      <c r="A6" s="224"/>
      <c r="B6" s="368"/>
      <c r="C6" s="369"/>
      <c r="D6" s="368"/>
      <c r="E6" s="170"/>
    </row>
    <row r="7" spans="1:6" s="19" customFormat="1" ht="22.5">
      <c r="A7" s="47" t="s">
        <v>210</v>
      </c>
      <c r="B7" s="1644" t="s">
        <v>227</v>
      </c>
      <c r="C7" s="106" t="s">
        <v>227</v>
      </c>
      <c r="D7" s="1644" t="s">
        <v>227</v>
      </c>
      <c r="E7" s="106" t="s">
        <v>227</v>
      </c>
      <c r="F7" s="46" t="s">
        <v>914</v>
      </c>
    </row>
    <row r="8" spans="1:6" s="19" customFormat="1" ht="13.5" customHeight="1">
      <c r="A8" s="225" t="s">
        <v>412</v>
      </c>
      <c r="B8" s="2033" t="s">
        <v>310</v>
      </c>
      <c r="C8" s="2029" t="s">
        <v>395</v>
      </c>
      <c r="D8" s="2033" t="s">
        <v>915</v>
      </c>
      <c r="E8" s="2038" t="s">
        <v>916</v>
      </c>
    </row>
    <row r="9" spans="1:6" ht="13.5" thickBot="1">
      <c r="A9" s="194"/>
      <c r="B9" s="2034" t="s">
        <v>966</v>
      </c>
      <c r="C9" s="2030" t="s">
        <v>965</v>
      </c>
      <c r="D9" s="2034" t="s">
        <v>966</v>
      </c>
      <c r="E9" s="2039" t="s">
        <v>965</v>
      </c>
    </row>
    <row r="10" spans="1:6">
      <c r="A10" s="85">
        <v>1992.01</v>
      </c>
      <c r="B10" s="2035">
        <v>139.17007952012293</v>
      </c>
      <c r="C10" s="2031"/>
      <c r="D10" s="2042"/>
      <c r="E10" s="2040"/>
    </row>
    <row r="11" spans="1:6">
      <c r="A11" s="85">
        <v>1992.02</v>
      </c>
      <c r="B11" s="2036">
        <v>143.75702166187693</v>
      </c>
      <c r="C11" s="2032"/>
      <c r="D11" s="2043"/>
      <c r="E11" s="2041"/>
    </row>
    <row r="12" spans="1:6">
      <c r="A12" s="85">
        <v>1992.03</v>
      </c>
      <c r="B12" s="2036">
        <v>171.88421062883032</v>
      </c>
      <c r="C12" s="2032"/>
      <c r="D12" s="2043"/>
      <c r="E12" s="2041"/>
    </row>
    <row r="13" spans="1:6">
      <c r="A13" s="85">
        <v>1992.04</v>
      </c>
      <c r="B13" s="2036">
        <v>171.07534478944879</v>
      </c>
      <c r="C13" s="2032"/>
      <c r="D13" s="2043"/>
      <c r="E13" s="2041"/>
    </row>
    <row r="14" spans="1:6">
      <c r="A14" s="85">
        <v>1992.05</v>
      </c>
      <c r="B14" s="2036">
        <v>185.37310758485609</v>
      </c>
      <c r="C14" s="2032"/>
      <c r="D14" s="2043"/>
      <c r="E14" s="2041"/>
    </row>
    <row r="15" spans="1:6">
      <c r="A15" s="85">
        <v>1992.06</v>
      </c>
      <c r="B15" s="2036">
        <v>229.97842765071454</v>
      </c>
      <c r="C15" s="2032"/>
      <c r="D15" s="2043"/>
      <c r="E15" s="2041"/>
    </row>
    <row r="16" spans="1:6">
      <c r="A16" s="85">
        <v>1992.07</v>
      </c>
      <c r="B16" s="2036">
        <v>192.74256780084758</v>
      </c>
      <c r="C16" s="2032"/>
      <c r="D16" s="2043"/>
      <c r="E16" s="2041"/>
    </row>
    <row r="17" spans="1:5">
      <c r="A17" s="85">
        <v>1992.08</v>
      </c>
      <c r="B17" s="2036">
        <v>191.99104502305352</v>
      </c>
      <c r="C17" s="2032"/>
      <c r="D17" s="2043"/>
      <c r="E17" s="2041"/>
    </row>
    <row r="18" spans="1:5">
      <c r="A18" s="85">
        <v>1992.09</v>
      </c>
      <c r="B18" s="2036">
        <v>200.73849115279333</v>
      </c>
      <c r="C18" s="2032"/>
      <c r="D18" s="2043"/>
      <c r="E18" s="2041"/>
    </row>
    <row r="19" spans="1:5">
      <c r="A19" s="85">
        <v>1992.1</v>
      </c>
      <c r="B19" s="2036">
        <v>201.99228334221726</v>
      </c>
      <c r="C19" s="2032"/>
      <c r="D19" s="2043"/>
      <c r="E19" s="2041"/>
    </row>
    <row r="20" spans="1:5">
      <c r="A20" s="85">
        <v>1992.11</v>
      </c>
      <c r="B20" s="2036">
        <v>215.03277744942824</v>
      </c>
      <c r="C20" s="2032"/>
      <c r="D20" s="2043"/>
      <c r="E20" s="2041"/>
    </row>
    <row r="21" spans="1:5">
      <c r="A21" s="85">
        <v>1992.12</v>
      </c>
      <c r="B21" s="2036">
        <v>464.34936594698848</v>
      </c>
      <c r="C21" s="2032"/>
      <c r="D21" s="2043"/>
      <c r="E21" s="2041"/>
    </row>
    <row r="22" spans="1:5">
      <c r="A22" s="85">
        <v>1993.01</v>
      </c>
      <c r="B22" s="2036">
        <v>167.47013329098451</v>
      </c>
      <c r="C22" s="2032"/>
      <c r="D22" s="2043"/>
      <c r="E22" s="2041"/>
    </row>
    <row r="23" spans="1:5">
      <c r="A23" s="85">
        <v>1993.02</v>
      </c>
      <c r="B23" s="2036">
        <v>172.98982412199032</v>
      </c>
      <c r="C23" s="2032"/>
      <c r="D23" s="2043"/>
      <c r="E23" s="2041"/>
    </row>
    <row r="24" spans="1:5">
      <c r="A24" s="85">
        <v>1993.03</v>
      </c>
      <c r="B24" s="2036">
        <v>206.83664020227639</v>
      </c>
      <c r="C24" s="2032"/>
      <c r="D24" s="2043"/>
      <c r="E24" s="2041"/>
    </row>
    <row r="25" spans="1:5">
      <c r="A25" s="85">
        <v>1993.04</v>
      </c>
      <c r="B25" s="2036">
        <v>205.8632925516691</v>
      </c>
      <c r="C25" s="2032"/>
      <c r="D25" s="2043"/>
      <c r="E25" s="2041"/>
    </row>
    <row r="26" spans="1:5">
      <c r="A26" s="85">
        <v>1993.05</v>
      </c>
      <c r="B26" s="2036">
        <v>223.06848672390862</v>
      </c>
      <c r="C26" s="2032"/>
      <c r="D26" s="2043"/>
      <c r="E26" s="2041"/>
    </row>
    <row r="27" spans="1:5">
      <c r="A27" s="85">
        <v>1993.06</v>
      </c>
      <c r="B27" s="2036">
        <v>276.74424032464026</v>
      </c>
      <c r="C27" s="2032"/>
      <c r="D27" s="2043"/>
      <c r="E27" s="2041"/>
    </row>
    <row r="28" spans="1:5">
      <c r="A28" s="85">
        <v>1993.07</v>
      </c>
      <c r="B28" s="2036">
        <v>231.93651704271187</v>
      </c>
      <c r="C28" s="2032"/>
      <c r="D28" s="2043"/>
      <c r="E28" s="2041"/>
    </row>
    <row r="29" spans="1:5">
      <c r="A29" s="85">
        <v>1993.08</v>
      </c>
      <c r="B29" s="2036">
        <v>231.0321730903166</v>
      </c>
      <c r="C29" s="2032"/>
      <c r="D29" s="2043"/>
      <c r="E29" s="2041"/>
    </row>
    <row r="30" spans="1:5">
      <c r="A30" s="85">
        <v>1993.09</v>
      </c>
      <c r="B30" s="2036">
        <v>241.55840095735911</v>
      </c>
      <c r="C30" s="2032"/>
      <c r="D30" s="2043"/>
      <c r="E30" s="2041"/>
    </row>
    <row r="31" spans="1:5">
      <c r="A31" s="85">
        <v>1993.1</v>
      </c>
      <c r="B31" s="2036">
        <v>243.06715014975762</v>
      </c>
      <c r="C31" s="2032"/>
      <c r="D31" s="2043"/>
      <c r="E31" s="2041"/>
    </row>
    <row r="32" spans="1:5">
      <c r="A32" s="85">
        <v>1993.11</v>
      </c>
      <c r="B32" s="2036">
        <v>258.7594116893448</v>
      </c>
      <c r="C32" s="2032"/>
      <c r="D32" s="2043"/>
      <c r="E32" s="2041"/>
    </row>
    <row r="33" spans="1:5">
      <c r="A33" s="85">
        <v>1993.12</v>
      </c>
      <c r="B33" s="2036">
        <v>558.77420259346843</v>
      </c>
      <c r="C33" s="2032"/>
      <c r="D33" s="2043"/>
      <c r="E33" s="2041"/>
    </row>
    <row r="34" spans="1:5">
      <c r="A34" s="85">
        <v>1994.01</v>
      </c>
      <c r="B34" s="2036">
        <v>180.76139345845672</v>
      </c>
      <c r="C34" s="2032"/>
      <c r="D34" s="2043"/>
      <c r="E34" s="2041"/>
    </row>
    <row r="35" spans="1:5">
      <c r="A35" s="85">
        <v>1994.02</v>
      </c>
      <c r="B35" s="2036">
        <v>186.71915432283049</v>
      </c>
      <c r="C35" s="2032"/>
      <c r="D35" s="2043"/>
      <c r="E35" s="2041"/>
    </row>
    <row r="36" spans="1:5">
      <c r="A36" s="85">
        <v>1994.03</v>
      </c>
      <c r="B36" s="2036">
        <v>223.25222155443083</v>
      </c>
      <c r="C36" s="2032"/>
      <c r="D36" s="2043"/>
      <c r="E36" s="2041"/>
    </row>
    <row r="37" spans="1:5">
      <c r="A37" s="85">
        <v>1994.04</v>
      </c>
      <c r="B37" s="2036">
        <v>222.20162420799187</v>
      </c>
      <c r="C37" s="2032"/>
      <c r="D37" s="2043"/>
      <c r="E37" s="2041"/>
    </row>
    <row r="38" spans="1:5">
      <c r="A38" s="85">
        <v>1994.05</v>
      </c>
      <c r="B38" s="2036">
        <v>240.77230790054949</v>
      </c>
      <c r="C38" s="2032"/>
      <c r="D38" s="2043"/>
      <c r="E38" s="2041"/>
    </row>
    <row r="39" spans="1:5">
      <c r="A39" s="85">
        <v>1994.06</v>
      </c>
      <c r="B39" s="2036">
        <v>298.70803545468368</v>
      </c>
      <c r="C39" s="2032"/>
      <c r="D39" s="2043"/>
      <c r="E39" s="2041"/>
    </row>
    <row r="40" spans="1:5">
      <c r="A40" s="85">
        <v>1994.07</v>
      </c>
      <c r="B40" s="2036">
        <v>250.34414907699056</v>
      </c>
      <c r="C40" s="2032"/>
      <c r="D40" s="2043"/>
      <c r="E40" s="2041"/>
    </row>
    <row r="41" spans="1:5">
      <c r="A41" s="85">
        <v>1994.08</v>
      </c>
      <c r="B41" s="2036">
        <v>249.36803190440398</v>
      </c>
      <c r="C41" s="2032"/>
      <c r="D41" s="2043"/>
      <c r="E41" s="2041"/>
    </row>
    <row r="42" spans="1:5">
      <c r="A42" s="85">
        <v>1994.09</v>
      </c>
      <c r="B42" s="2036">
        <v>260.72967340857463</v>
      </c>
      <c r="C42" s="2032"/>
      <c r="D42" s="2043"/>
      <c r="E42" s="2041"/>
    </row>
    <row r="43" spans="1:5">
      <c r="A43" s="85">
        <v>1994.1</v>
      </c>
      <c r="B43" s="2036">
        <v>262.35816441791422</v>
      </c>
      <c r="C43" s="2032"/>
      <c r="D43" s="2043"/>
      <c r="E43" s="2041"/>
    </row>
    <row r="44" spans="1:5">
      <c r="A44" s="85">
        <v>1994.11</v>
      </c>
      <c r="B44" s="2036">
        <v>279.29584164231653</v>
      </c>
      <c r="C44" s="2032"/>
      <c r="D44" s="2043"/>
      <c r="E44" s="2041"/>
    </row>
    <row r="45" spans="1:5">
      <c r="A45" s="85">
        <v>1994.12</v>
      </c>
      <c r="B45" s="2036">
        <v>603.12129395594638</v>
      </c>
      <c r="C45" s="2032"/>
      <c r="D45" s="2043"/>
      <c r="E45" s="2041"/>
    </row>
    <row r="46" spans="1:5">
      <c r="A46" s="85">
        <v>1995.01</v>
      </c>
      <c r="B46" s="2036">
        <v>196.52840698375147</v>
      </c>
      <c r="C46" s="2032"/>
      <c r="D46" s="2043"/>
      <c r="E46" s="2041"/>
    </row>
    <row r="47" spans="1:5">
      <c r="A47" s="85">
        <v>1995.02</v>
      </c>
      <c r="B47" s="2036">
        <v>203.00583686777483</v>
      </c>
      <c r="C47" s="2032"/>
      <c r="D47" s="2043"/>
      <c r="E47" s="2041"/>
    </row>
    <row r="48" spans="1:5">
      <c r="A48" s="85">
        <v>1995.03</v>
      </c>
      <c r="B48" s="2036">
        <v>242.72552129755209</v>
      </c>
      <c r="C48" s="2032"/>
      <c r="D48" s="2043"/>
      <c r="E48" s="2041"/>
    </row>
    <row r="49" spans="1:5">
      <c r="A49" s="85">
        <v>1995.04</v>
      </c>
      <c r="B49" s="2036">
        <v>241.58328501066234</v>
      </c>
      <c r="C49" s="2032"/>
      <c r="D49" s="2043"/>
      <c r="E49" s="2041"/>
    </row>
    <row r="50" spans="1:5">
      <c r="A50" s="85">
        <v>1995.05</v>
      </c>
      <c r="B50" s="2036">
        <v>261.77380696266454</v>
      </c>
      <c r="C50" s="2032"/>
      <c r="D50" s="2043"/>
      <c r="E50" s="2041"/>
    </row>
    <row r="51" spans="1:5">
      <c r="A51" s="85">
        <v>1995.06</v>
      </c>
      <c r="B51" s="2036">
        <v>324.76301071803067</v>
      </c>
      <c r="C51" s="2032"/>
      <c r="D51" s="2043"/>
      <c r="E51" s="2041"/>
    </row>
    <row r="52" spans="1:5">
      <c r="A52" s="85">
        <v>1995.07</v>
      </c>
      <c r="B52" s="2036">
        <v>272.18055733295182</v>
      </c>
      <c r="C52" s="2032"/>
      <c r="D52" s="2043"/>
      <c r="E52" s="2041"/>
    </row>
    <row r="53" spans="1:5">
      <c r="A53" s="85">
        <v>1995.08</v>
      </c>
      <c r="B53" s="2036">
        <v>271.11929779468647</v>
      </c>
      <c r="C53" s="2032"/>
      <c r="D53" s="2043"/>
      <c r="E53" s="2041"/>
    </row>
    <row r="54" spans="1:5">
      <c r="A54" s="85">
        <v>1995.09</v>
      </c>
      <c r="B54" s="2036">
        <v>283.47196482614697</v>
      </c>
      <c r="C54" s="2032"/>
      <c r="D54" s="2043"/>
      <c r="E54" s="2041"/>
    </row>
    <row r="55" spans="1:5">
      <c r="A55" s="85">
        <v>1995.1</v>
      </c>
      <c r="B55" s="2036">
        <v>285.24250187351947</v>
      </c>
      <c r="C55" s="2032"/>
      <c r="D55" s="2043"/>
      <c r="E55" s="2041"/>
    </row>
    <row r="56" spans="1:5">
      <c r="A56" s="85">
        <v>1995.11</v>
      </c>
      <c r="B56" s="2036">
        <v>303.65757745591577</v>
      </c>
      <c r="C56" s="2032"/>
      <c r="D56" s="2043"/>
      <c r="E56" s="2041"/>
    </row>
    <row r="57" spans="1:5">
      <c r="A57" s="85">
        <v>1995.12</v>
      </c>
      <c r="B57" s="2036">
        <v>655.72888575005447</v>
      </c>
      <c r="C57" s="2032"/>
      <c r="D57" s="2043"/>
      <c r="E57" s="2041"/>
    </row>
    <row r="58" spans="1:5">
      <c r="A58" s="85">
        <v>1996.01</v>
      </c>
      <c r="B58" s="2036">
        <v>185.86911522385921</v>
      </c>
      <c r="C58" s="2032"/>
      <c r="D58" s="2043"/>
      <c r="E58" s="2041"/>
    </row>
    <row r="59" spans="1:5">
      <c r="A59" s="85">
        <v>1996.02</v>
      </c>
      <c r="B59" s="2036">
        <v>191.99522279245892</v>
      </c>
      <c r="C59" s="2032"/>
      <c r="D59" s="2043"/>
      <c r="E59" s="2041"/>
    </row>
    <row r="60" spans="1:5">
      <c r="A60" s="85">
        <v>1996.03</v>
      </c>
      <c r="B60" s="2036">
        <v>229.56059420741161</v>
      </c>
      <c r="C60" s="2032"/>
      <c r="D60" s="2043"/>
      <c r="E60" s="2041"/>
    </row>
    <row r="61" spans="1:5">
      <c r="A61" s="85">
        <v>1996.04</v>
      </c>
      <c r="B61" s="2036">
        <v>228.48031043938443</v>
      </c>
      <c r="C61" s="2032"/>
      <c r="D61" s="2043"/>
      <c r="E61" s="2041"/>
    </row>
    <row r="62" spans="1:5">
      <c r="A62" s="85">
        <v>1996.05</v>
      </c>
      <c r="B62" s="2036">
        <v>247.57574050327756</v>
      </c>
      <c r="C62" s="2032"/>
      <c r="D62" s="2043"/>
      <c r="E62" s="2041"/>
    </row>
    <row r="63" spans="1:5">
      <c r="A63" s="85">
        <v>1996.06</v>
      </c>
      <c r="B63" s="2036">
        <v>307.14854094648916</v>
      </c>
      <c r="C63" s="2032"/>
      <c r="D63" s="2043"/>
      <c r="E63" s="2041"/>
    </row>
    <row r="64" spans="1:5">
      <c r="A64" s="85">
        <v>1996.07</v>
      </c>
      <c r="B64" s="2036">
        <v>257.41805039306763</v>
      </c>
      <c r="C64" s="2032"/>
      <c r="D64" s="2043"/>
      <c r="E64" s="2041"/>
    </row>
    <row r="65" spans="1:5">
      <c r="A65" s="85">
        <v>1996.08</v>
      </c>
      <c r="B65" s="2036">
        <v>256.4143513633565</v>
      </c>
      <c r="C65" s="2032"/>
      <c r="D65" s="2043"/>
      <c r="E65" s="2041"/>
    </row>
    <row r="66" spans="1:5">
      <c r="A66" s="85">
        <v>1996.09</v>
      </c>
      <c r="B66" s="2036">
        <v>268.09703544465737</v>
      </c>
      <c r="C66" s="2032"/>
      <c r="D66" s="2043"/>
      <c r="E66" s="2041"/>
    </row>
    <row r="67" spans="1:5">
      <c r="A67" s="85">
        <v>1996.1</v>
      </c>
      <c r="B67" s="2036">
        <v>269.77154224760221</v>
      </c>
      <c r="C67" s="2032"/>
      <c r="D67" s="2043"/>
      <c r="E67" s="2041"/>
    </row>
    <row r="68" spans="1:5">
      <c r="A68" s="85">
        <v>1996.11</v>
      </c>
      <c r="B68" s="2036">
        <v>287.18782245773735</v>
      </c>
      <c r="C68" s="2032"/>
      <c r="D68" s="2043"/>
      <c r="E68" s="2041"/>
    </row>
    <row r="69" spans="1:5">
      <c r="A69" s="85">
        <v>1996.12</v>
      </c>
      <c r="B69" s="2036">
        <v>620.16351575661236</v>
      </c>
      <c r="C69" s="2032"/>
      <c r="D69" s="2043"/>
      <c r="E69" s="2041"/>
    </row>
    <row r="70" spans="1:5">
      <c r="A70" s="85">
        <v>1997.01</v>
      </c>
      <c r="B70" s="2036">
        <v>192.88181739006887</v>
      </c>
      <c r="C70" s="2032"/>
      <c r="D70" s="2043"/>
      <c r="E70" s="2041"/>
    </row>
    <row r="71" spans="1:5">
      <c r="A71" s="85">
        <v>1997.02</v>
      </c>
      <c r="B71" s="2036">
        <v>199.23905839772871</v>
      </c>
      <c r="C71" s="2032"/>
      <c r="D71" s="2043"/>
      <c r="E71" s="2041"/>
    </row>
    <row r="72" spans="1:5">
      <c r="A72" s="85">
        <v>1997.03</v>
      </c>
      <c r="B72" s="2036">
        <v>238.22174307195434</v>
      </c>
      <c r="C72" s="2032"/>
      <c r="D72" s="2043"/>
      <c r="E72" s="2041"/>
    </row>
    <row r="73" spans="1:5">
      <c r="A73" s="85">
        <v>1997.04</v>
      </c>
      <c r="B73" s="2036">
        <v>237.10070100844035</v>
      </c>
      <c r="C73" s="2032"/>
      <c r="D73" s="2043"/>
      <c r="E73" s="2041"/>
    </row>
    <row r="74" spans="1:5">
      <c r="A74" s="85">
        <v>1997.05</v>
      </c>
      <c r="B74" s="2036">
        <v>256.91658731172805</v>
      </c>
      <c r="C74" s="2032"/>
      <c r="D74" s="2043"/>
      <c r="E74" s="2041"/>
    </row>
    <row r="75" spans="1:5">
      <c r="A75" s="85">
        <v>1997.06</v>
      </c>
      <c r="B75" s="2036">
        <v>318.73702478819354</v>
      </c>
      <c r="C75" s="2032"/>
      <c r="D75" s="2043"/>
      <c r="E75" s="2041"/>
    </row>
    <row r="76" spans="1:5">
      <c r="A76" s="85">
        <v>1997.07</v>
      </c>
      <c r="B76" s="2036">
        <v>267.13024016401891</v>
      </c>
      <c r="C76" s="2032"/>
      <c r="D76" s="2043"/>
      <c r="E76" s="2041"/>
    </row>
    <row r="77" spans="1:5">
      <c r="A77" s="85">
        <v>1997.08</v>
      </c>
      <c r="B77" s="2036">
        <v>266.08867232349758</v>
      </c>
      <c r="C77" s="2032"/>
      <c r="D77" s="2043"/>
      <c r="E77" s="2041"/>
    </row>
    <row r="78" spans="1:5">
      <c r="A78" s="85">
        <v>1997.09</v>
      </c>
      <c r="B78" s="2036">
        <v>278.21213530378554</v>
      </c>
      <c r="C78" s="2032"/>
      <c r="D78" s="2043"/>
      <c r="E78" s="2041"/>
    </row>
    <row r="79" spans="1:5">
      <c r="A79" s="85">
        <v>1997.1</v>
      </c>
      <c r="B79" s="2036">
        <v>279.94981999117988</v>
      </c>
      <c r="C79" s="2032"/>
      <c r="D79" s="2043"/>
      <c r="E79" s="2041"/>
    </row>
    <row r="80" spans="1:5">
      <c r="A80" s="85">
        <v>1997.11</v>
      </c>
      <c r="B80" s="2036">
        <v>298.02320337743885</v>
      </c>
      <c r="C80" s="2032"/>
      <c r="D80" s="2043"/>
      <c r="E80" s="2041"/>
    </row>
    <row r="81" spans="1:5">
      <c r="A81" s="85">
        <v>1997.12</v>
      </c>
      <c r="B81" s="2036">
        <v>643.56181958515685</v>
      </c>
      <c r="C81" s="2032"/>
      <c r="D81" s="2043"/>
      <c r="E81" s="2041"/>
    </row>
    <row r="82" spans="1:5">
      <c r="A82" s="85">
        <v>1998.01</v>
      </c>
      <c r="B82" s="2036">
        <v>219.6008039971737</v>
      </c>
      <c r="C82" s="2032"/>
      <c r="D82" s="2043"/>
      <c r="E82" s="2041"/>
    </row>
    <row r="83" spans="1:5">
      <c r="A83" s="85">
        <v>1998.02</v>
      </c>
      <c r="B83" s="2036">
        <v>226.83868289823485</v>
      </c>
      <c r="C83" s="2032"/>
      <c r="D83" s="2043"/>
      <c r="E83" s="2041"/>
    </row>
    <row r="84" spans="1:5">
      <c r="A84" s="85">
        <v>1998.03</v>
      </c>
      <c r="B84" s="2036">
        <v>271.22145060679452</v>
      </c>
      <c r="C84" s="2032"/>
      <c r="D84" s="2043"/>
      <c r="E84" s="2041"/>
    </row>
    <row r="85" spans="1:5">
      <c r="A85" s="85">
        <v>1998.04</v>
      </c>
      <c r="B85" s="2036">
        <v>269.94511600048753</v>
      </c>
      <c r="C85" s="2032"/>
      <c r="D85" s="2043"/>
      <c r="E85" s="2041"/>
    </row>
    <row r="86" spans="1:5">
      <c r="A86" s="85">
        <v>1998.05</v>
      </c>
      <c r="B86" s="2036">
        <v>292.50600132913547</v>
      </c>
      <c r="C86" s="2032"/>
      <c r="D86" s="2043"/>
      <c r="E86" s="2041"/>
    </row>
    <row r="87" spans="1:5">
      <c r="A87" s="85">
        <v>1998.06</v>
      </c>
      <c r="B87" s="2036">
        <v>362.89012543677063</v>
      </c>
      <c r="C87" s="2032"/>
      <c r="D87" s="2043"/>
      <c r="E87" s="2041"/>
    </row>
    <row r="88" spans="1:5">
      <c r="A88" s="85">
        <v>1998.07</v>
      </c>
      <c r="B88" s="2036">
        <v>304.13450218245953</v>
      </c>
      <c r="C88" s="2032"/>
      <c r="D88" s="2043"/>
      <c r="E88" s="2041"/>
    </row>
    <row r="89" spans="1:5">
      <c r="A89" s="85">
        <v>1998.08</v>
      </c>
      <c r="B89" s="2036">
        <v>302.94865097942193</v>
      </c>
      <c r="C89" s="2032"/>
      <c r="D89" s="2043"/>
      <c r="E89" s="2041"/>
    </row>
    <row r="90" spans="1:5">
      <c r="A90" s="85">
        <v>1998.09</v>
      </c>
      <c r="B90" s="2036">
        <v>316.75151873401774</v>
      </c>
      <c r="C90" s="2032"/>
      <c r="D90" s="2043"/>
      <c r="E90" s="2041"/>
    </row>
    <row r="91" spans="1:5">
      <c r="A91" s="85">
        <v>1998.1</v>
      </c>
      <c r="B91" s="2036">
        <v>318.72991648870942</v>
      </c>
      <c r="C91" s="2032"/>
      <c r="D91" s="2043"/>
      <c r="E91" s="2041"/>
    </row>
    <row r="92" spans="1:5">
      <c r="A92" s="85">
        <v>1998.11</v>
      </c>
      <c r="B92" s="2036">
        <v>339.30691838695049</v>
      </c>
      <c r="C92" s="2032"/>
      <c r="D92" s="2043"/>
      <c r="E92" s="2041"/>
    </row>
    <row r="93" spans="1:5">
      <c r="A93" s="85">
        <v>1998.12</v>
      </c>
      <c r="B93" s="2036">
        <v>732.71133025969277</v>
      </c>
      <c r="C93" s="2032"/>
      <c r="D93" s="2043"/>
      <c r="E93" s="2041"/>
    </row>
    <row r="94" spans="1:5">
      <c r="A94" s="85">
        <v>1999.01</v>
      </c>
      <c r="B94" s="2036">
        <v>205.70210249630486</v>
      </c>
      <c r="C94" s="2032"/>
      <c r="D94" s="2043"/>
      <c r="E94" s="2041"/>
    </row>
    <row r="95" spans="1:5">
      <c r="A95" s="85">
        <v>1999.02</v>
      </c>
      <c r="B95" s="2036">
        <v>212.4818905501823</v>
      </c>
      <c r="C95" s="2032"/>
      <c r="D95" s="2043"/>
      <c r="E95" s="2041"/>
    </row>
    <row r="96" spans="1:5">
      <c r="A96" s="85">
        <v>1999.03</v>
      </c>
      <c r="B96" s="2036">
        <v>254.05563921629977</v>
      </c>
      <c r="C96" s="2032"/>
      <c r="D96" s="2043"/>
      <c r="E96" s="2041"/>
    </row>
    <row r="97" spans="1:5">
      <c r="A97" s="85">
        <v>1999.04</v>
      </c>
      <c r="B97" s="2036">
        <v>252.86008479560871</v>
      </c>
      <c r="C97" s="2032"/>
      <c r="D97" s="2043"/>
      <c r="E97" s="2041"/>
    </row>
    <row r="98" spans="1:5">
      <c r="A98" s="85">
        <v>1999.05</v>
      </c>
      <c r="B98" s="2036">
        <v>273.99307457437408</v>
      </c>
      <c r="C98" s="2032"/>
      <c r="D98" s="2043"/>
      <c r="E98" s="2041"/>
    </row>
    <row r="99" spans="1:5">
      <c r="A99" s="85">
        <v>1999.06</v>
      </c>
      <c r="B99" s="2036">
        <v>339.92253406527715</v>
      </c>
      <c r="C99" s="2032"/>
      <c r="D99" s="2043"/>
      <c r="E99" s="2041"/>
    </row>
    <row r="100" spans="1:5">
      <c r="A100" s="85">
        <v>1999.07</v>
      </c>
      <c r="B100" s="2036">
        <v>284.8855987858957</v>
      </c>
      <c r="C100" s="2032"/>
      <c r="D100" s="2043"/>
      <c r="E100" s="2041"/>
    </row>
    <row r="101" spans="1:5">
      <c r="A101" s="85">
        <v>1999.08</v>
      </c>
      <c r="B101" s="2036">
        <v>283.77480100522934</v>
      </c>
      <c r="C101" s="2032"/>
      <c r="D101" s="2043"/>
      <c r="E101" s="2041"/>
    </row>
    <row r="102" spans="1:5">
      <c r="A102" s="85">
        <v>1999.09</v>
      </c>
      <c r="B102" s="2036">
        <v>296.70407478710194</v>
      </c>
      <c r="C102" s="2032"/>
      <c r="D102" s="2043"/>
      <c r="E102" s="2041"/>
    </row>
    <row r="103" spans="1:5">
      <c r="A103" s="85">
        <v>1999.1</v>
      </c>
      <c r="B103" s="2036">
        <v>298.55725824684595</v>
      </c>
      <c r="C103" s="2032"/>
      <c r="D103" s="2043"/>
      <c r="E103" s="2041"/>
    </row>
    <row r="104" spans="1:5">
      <c r="A104" s="85">
        <v>1999.11</v>
      </c>
      <c r="B104" s="2036">
        <v>317.83192608273026</v>
      </c>
      <c r="C104" s="2032"/>
      <c r="D104" s="2043"/>
      <c r="E104" s="2041"/>
    </row>
    <row r="105" spans="1:5">
      <c r="A105" s="85">
        <v>1999.12</v>
      </c>
      <c r="B105" s="2036">
        <v>686.33747424359603</v>
      </c>
      <c r="C105" s="2032"/>
      <c r="D105" s="2043"/>
      <c r="E105" s="2041"/>
    </row>
    <row r="106" spans="1:5">
      <c r="A106" s="85">
        <v>2000.01</v>
      </c>
      <c r="B106" s="2036">
        <v>208.53754988204912</v>
      </c>
      <c r="C106" s="2032"/>
      <c r="D106" s="2043"/>
      <c r="E106" s="2041"/>
    </row>
    <row r="107" spans="1:5">
      <c r="A107" s="85">
        <v>2000.02</v>
      </c>
      <c r="B107" s="2036">
        <v>215.4107921694029</v>
      </c>
      <c r="C107" s="2032"/>
      <c r="D107" s="2043"/>
      <c r="E107" s="2041"/>
    </row>
    <row r="108" spans="1:5">
      <c r="A108" s="85">
        <v>2000.03</v>
      </c>
      <c r="B108" s="2036">
        <v>257.55760341261799</v>
      </c>
      <c r="C108" s="2032"/>
      <c r="D108" s="2043"/>
      <c r="E108" s="2041"/>
    </row>
    <row r="109" spans="1:5">
      <c r="A109" s="85">
        <v>2000.04</v>
      </c>
      <c r="B109" s="2036">
        <v>256.3455691814849</v>
      </c>
      <c r="C109" s="2032"/>
      <c r="D109" s="2043"/>
      <c r="E109" s="2041"/>
    </row>
    <row r="110" spans="1:5">
      <c r="A110" s="85">
        <v>2000.05</v>
      </c>
      <c r="B110" s="2036">
        <v>277.76986118756821</v>
      </c>
      <c r="C110" s="2032"/>
      <c r="D110" s="2043"/>
      <c r="E110" s="2041"/>
    </row>
    <row r="111" spans="1:5">
      <c r="A111" s="85">
        <v>2000.06</v>
      </c>
      <c r="B111" s="2036">
        <v>344.60810824694238</v>
      </c>
      <c r="C111" s="2032"/>
      <c r="D111" s="2043"/>
      <c r="E111" s="2041"/>
    </row>
    <row r="112" spans="1:5">
      <c r="A112" s="85">
        <v>2000.07</v>
      </c>
      <c r="B112" s="2036">
        <v>288.812530579547</v>
      </c>
      <c r="C112" s="2032"/>
      <c r="D112" s="2043"/>
      <c r="E112" s="2041"/>
    </row>
    <row r="113" spans="1:5">
      <c r="A113" s="85">
        <v>2000.08</v>
      </c>
      <c r="B113" s="2036">
        <v>287.68642129440371</v>
      </c>
      <c r="C113" s="2032"/>
      <c r="D113" s="2043"/>
      <c r="E113" s="2041"/>
    </row>
    <row r="114" spans="1:5">
      <c r="A114" s="85">
        <v>2000.09</v>
      </c>
      <c r="B114" s="2036">
        <v>300.79391530397208</v>
      </c>
      <c r="C114" s="2032"/>
      <c r="D114" s="2043"/>
      <c r="E114" s="2041"/>
    </row>
    <row r="115" spans="1:5">
      <c r="A115" s="85">
        <v>2000.1</v>
      </c>
      <c r="B115" s="2036">
        <v>302.67264349141919</v>
      </c>
      <c r="C115" s="2032"/>
      <c r="D115" s="2043"/>
      <c r="E115" s="2041"/>
    </row>
    <row r="116" spans="1:5">
      <c r="A116" s="85">
        <v>2000.11</v>
      </c>
      <c r="B116" s="2036">
        <v>322.2129979968276</v>
      </c>
      <c r="C116" s="2032"/>
      <c r="D116" s="2043"/>
      <c r="E116" s="2041"/>
    </row>
    <row r="117" spans="1:5">
      <c r="A117" s="85">
        <v>2000.12</v>
      </c>
      <c r="B117" s="2036">
        <v>695.79811549842861</v>
      </c>
      <c r="C117" s="2032"/>
      <c r="D117" s="2043"/>
      <c r="E117" s="2041"/>
    </row>
    <row r="118" spans="1:5">
      <c r="A118" s="85">
        <v>2001.01</v>
      </c>
      <c r="B118" s="2036">
        <v>201.10873653393921</v>
      </c>
      <c r="C118" s="2032"/>
      <c r="D118" s="2043"/>
      <c r="E118" s="2041"/>
    </row>
    <row r="119" spans="1:5">
      <c r="A119" s="85">
        <v>2001.02</v>
      </c>
      <c r="B119" s="2036">
        <v>207.73713066767286</v>
      </c>
      <c r="C119" s="2032"/>
      <c r="D119" s="2043"/>
      <c r="E119" s="2041"/>
    </row>
    <row r="120" spans="1:5">
      <c r="A120" s="85">
        <v>2001.03</v>
      </c>
      <c r="B120" s="2036">
        <v>248.38252984327252</v>
      </c>
      <c r="C120" s="2032"/>
      <c r="D120" s="2043"/>
      <c r="E120" s="2041"/>
    </row>
    <row r="121" spans="1:5">
      <c r="A121" s="85">
        <v>2001.04</v>
      </c>
      <c r="B121" s="2036">
        <v>247.21367237373323</v>
      </c>
      <c r="C121" s="2032"/>
      <c r="D121" s="2043"/>
      <c r="E121" s="2041"/>
    </row>
    <row r="122" spans="1:5">
      <c r="A122" s="85">
        <v>2001.05</v>
      </c>
      <c r="B122" s="2036">
        <v>267.8747585853751</v>
      </c>
      <c r="C122" s="2032"/>
      <c r="D122" s="2043"/>
      <c r="E122" s="2041"/>
    </row>
    <row r="123" spans="1:5">
      <c r="A123" s="85">
        <v>2001.06</v>
      </c>
      <c r="B123" s="2036">
        <v>332.33200106212234</v>
      </c>
      <c r="C123" s="2032"/>
      <c r="D123" s="2043"/>
      <c r="E123" s="2041"/>
    </row>
    <row r="124" spans="1:5">
      <c r="A124" s="85">
        <v>2001.07</v>
      </c>
      <c r="B124" s="2036">
        <v>278.52405071832163</v>
      </c>
      <c r="C124" s="2032"/>
      <c r="D124" s="2043"/>
      <c r="E124" s="2041"/>
    </row>
    <row r="125" spans="1:5">
      <c r="A125" s="85">
        <v>2001.08</v>
      </c>
      <c r="B125" s="2036">
        <v>277.43805725737229</v>
      </c>
      <c r="C125" s="2032"/>
      <c r="D125" s="2043"/>
      <c r="E125" s="2041"/>
    </row>
    <row r="126" spans="1:5">
      <c r="A126" s="85">
        <v>2001.09</v>
      </c>
      <c r="B126" s="2036">
        <v>290.07861796637383</v>
      </c>
      <c r="C126" s="2032"/>
      <c r="D126" s="2043"/>
      <c r="E126" s="2041"/>
    </row>
    <row r="127" spans="1:5">
      <c r="A127" s="85">
        <v>2001.1</v>
      </c>
      <c r="B127" s="2036">
        <v>291.89041949699453</v>
      </c>
      <c r="C127" s="2032"/>
      <c r="D127" s="2043"/>
      <c r="E127" s="2041"/>
    </row>
    <row r="128" spans="1:5">
      <c r="A128" s="85">
        <v>2001.11</v>
      </c>
      <c r="B128" s="2036">
        <v>310.73468043815666</v>
      </c>
      <c r="C128" s="2032"/>
      <c r="D128" s="2043"/>
      <c r="E128" s="2041"/>
    </row>
    <row r="129" spans="1:5">
      <c r="A129" s="85">
        <v>2001.12</v>
      </c>
      <c r="B129" s="2036">
        <v>671.01143160898971</v>
      </c>
      <c r="C129" s="2032"/>
      <c r="D129" s="2043"/>
      <c r="E129" s="2041"/>
    </row>
    <row r="130" spans="1:5">
      <c r="A130" s="85">
        <v>2002.01</v>
      </c>
      <c r="B130" s="2036">
        <v>199.2809205984064</v>
      </c>
      <c r="C130" s="2032"/>
      <c r="D130" s="2043"/>
      <c r="E130" s="2041"/>
    </row>
    <row r="131" spans="1:5">
      <c r="A131" s="85">
        <v>2002.02</v>
      </c>
      <c r="B131" s="2036">
        <v>205.84907128059521</v>
      </c>
      <c r="C131" s="2032"/>
      <c r="D131" s="2043"/>
      <c r="E131" s="2041"/>
    </row>
    <row r="132" spans="1:5">
      <c r="A132" s="85">
        <v>2002.03</v>
      </c>
      <c r="B132" s="2036">
        <v>246.12505682653529</v>
      </c>
      <c r="C132" s="2032"/>
      <c r="D132" s="2043"/>
      <c r="E132" s="2041"/>
    </row>
    <row r="133" spans="1:5">
      <c r="A133" s="85">
        <v>2002.04</v>
      </c>
      <c r="B133" s="2036">
        <v>244.96682274584529</v>
      </c>
      <c r="C133" s="2032"/>
      <c r="D133" s="2043"/>
      <c r="E133" s="2041"/>
    </row>
    <row r="134" spans="1:5">
      <c r="A134" s="85">
        <v>2002.05</v>
      </c>
      <c r="B134" s="2036">
        <v>265.44012664989617</v>
      </c>
      <c r="C134" s="2032"/>
      <c r="D134" s="2043"/>
      <c r="E134" s="2041"/>
    </row>
    <row r="135" spans="1:5">
      <c r="A135" s="85">
        <v>2002.06</v>
      </c>
      <c r="B135" s="2036">
        <v>329.31153691969894</v>
      </c>
      <c r="C135" s="2032"/>
      <c r="D135" s="2043"/>
      <c r="E135" s="2041"/>
    </row>
    <row r="136" spans="1:5">
      <c r="A136" s="85">
        <v>2002.07</v>
      </c>
      <c r="B136" s="2036">
        <v>275.99263061640983</v>
      </c>
      <c r="C136" s="2032"/>
      <c r="D136" s="2043"/>
      <c r="E136" s="2041"/>
    </row>
    <row r="137" spans="1:5">
      <c r="A137" s="85">
        <v>2002.08</v>
      </c>
      <c r="B137" s="2036">
        <v>274.9165074186227</v>
      </c>
      <c r="C137" s="2032"/>
      <c r="D137" s="2043"/>
      <c r="E137" s="2041"/>
    </row>
    <row r="138" spans="1:5">
      <c r="A138" s="85">
        <v>2002.09</v>
      </c>
      <c r="B138" s="2036">
        <v>287.44218192876394</v>
      </c>
      <c r="C138" s="2032"/>
      <c r="D138" s="2043"/>
      <c r="E138" s="2041"/>
    </row>
    <row r="139" spans="1:5">
      <c r="A139" s="85">
        <v>2002.1</v>
      </c>
      <c r="B139" s="2036">
        <v>289.23751654816652</v>
      </c>
      <c r="C139" s="2032"/>
      <c r="D139" s="2043"/>
      <c r="E139" s="2041"/>
    </row>
    <row r="140" spans="1:5">
      <c r="A140" s="85">
        <v>2002.11</v>
      </c>
      <c r="B140" s="2036">
        <v>307.91050775219423</v>
      </c>
      <c r="C140" s="2032"/>
      <c r="D140" s="2043"/>
      <c r="E140" s="2041"/>
    </row>
    <row r="141" spans="1:5">
      <c r="A141" s="85">
        <v>2002.12</v>
      </c>
      <c r="B141" s="2036">
        <v>664.91281347455265</v>
      </c>
      <c r="C141" s="2032"/>
      <c r="D141" s="2043"/>
      <c r="E141" s="2041"/>
    </row>
    <row r="142" spans="1:5">
      <c r="A142" s="85">
        <v>2003.01</v>
      </c>
      <c r="B142" s="2037">
        <f>C142</f>
        <v>210.3</v>
      </c>
      <c r="C142" s="126">
        <v>210.3</v>
      </c>
      <c r="D142" s="2044">
        <v>2.2000000000000002</v>
      </c>
      <c r="E142" s="399">
        <v>2.2000000000000002</v>
      </c>
    </row>
    <row r="143" spans="1:5">
      <c r="A143" s="85">
        <v>2003.02</v>
      </c>
      <c r="B143" s="2037">
        <f>(C143-C142)</f>
        <v>237.5</v>
      </c>
      <c r="C143" s="457">
        <v>447.8</v>
      </c>
      <c r="D143" s="2037">
        <f>E143-E142</f>
        <v>4.3999999999999995</v>
      </c>
      <c r="E143" s="163">
        <v>6.6</v>
      </c>
    </row>
    <row r="144" spans="1:5">
      <c r="A144" s="85">
        <v>2003.03</v>
      </c>
      <c r="B144" s="2037">
        <f t="shared" ref="B144:B153" si="0">(C144-C143)</f>
        <v>247.09999999999997</v>
      </c>
      <c r="C144" s="457">
        <v>694.9</v>
      </c>
      <c r="D144" s="2037">
        <f t="shared" ref="D144:D153" si="1">E144-E143</f>
        <v>6</v>
      </c>
      <c r="E144" s="163">
        <v>12.6</v>
      </c>
    </row>
    <row r="145" spans="1:5">
      <c r="A145" s="85">
        <v>2003.04</v>
      </c>
      <c r="B145" s="2037">
        <f t="shared" si="0"/>
        <v>245.89999999999998</v>
      </c>
      <c r="C145" s="457">
        <v>940.8</v>
      </c>
      <c r="D145" s="2037">
        <f t="shared" si="1"/>
        <v>7.9</v>
      </c>
      <c r="E145" s="163">
        <v>20.5</v>
      </c>
    </row>
    <row r="146" spans="1:5">
      <c r="A146" s="85">
        <v>2003.05</v>
      </c>
      <c r="B146" s="2037">
        <f t="shared" si="0"/>
        <v>282.79999999999995</v>
      </c>
      <c r="C146" s="457">
        <v>1223.5999999999999</v>
      </c>
      <c r="D146" s="2037">
        <f t="shared" si="1"/>
        <v>11.899999999999999</v>
      </c>
      <c r="E146" s="163">
        <v>32.4</v>
      </c>
    </row>
    <row r="147" spans="1:5">
      <c r="A147" s="85">
        <v>2003.06</v>
      </c>
      <c r="B147" s="2037">
        <f t="shared" si="0"/>
        <v>350.30000000000018</v>
      </c>
      <c r="C147" s="457">
        <v>1573.9</v>
      </c>
      <c r="D147" s="2037">
        <f t="shared" si="1"/>
        <v>15.5</v>
      </c>
      <c r="E147" s="163">
        <v>47.9</v>
      </c>
    </row>
    <row r="148" spans="1:5">
      <c r="A148" s="85">
        <v>2003.07</v>
      </c>
      <c r="B148" s="2037">
        <f t="shared" si="0"/>
        <v>310.5</v>
      </c>
      <c r="C148" s="457">
        <v>1884.4</v>
      </c>
      <c r="D148" s="2037">
        <f t="shared" si="1"/>
        <v>20.300000000000004</v>
      </c>
      <c r="E148" s="163">
        <v>68.2</v>
      </c>
    </row>
    <row r="149" spans="1:5">
      <c r="A149" s="85">
        <v>2003.08</v>
      </c>
      <c r="B149" s="2037">
        <f t="shared" si="0"/>
        <v>264.69999999999982</v>
      </c>
      <c r="C149" s="457">
        <v>2149.1</v>
      </c>
      <c r="D149" s="2037">
        <f t="shared" si="1"/>
        <v>20.099999999999994</v>
      </c>
      <c r="E149" s="163">
        <v>88.3</v>
      </c>
    </row>
    <row r="150" spans="1:5">
      <c r="A150" s="85">
        <v>2003.09</v>
      </c>
      <c r="B150" s="2037">
        <f t="shared" si="0"/>
        <v>324.70000000000027</v>
      </c>
      <c r="C150" s="457">
        <v>2473.8000000000002</v>
      </c>
      <c r="D150" s="2037">
        <f t="shared" si="1"/>
        <v>19.700000000000003</v>
      </c>
      <c r="E150" s="163">
        <v>108</v>
      </c>
    </row>
    <row r="151" spans="1:5">
      <c r="A151" s="85">
        <v>2003.1</v>
      </c>
      <c r="B151" s="2037">
        <f t="shared" si="0"/>
        <v>320.79999999999973</v>
      </c>
      <c r="C151" s="457">
        <v>2794.6</v>
      </c>
      <c r="D151" s="2037">
        <f t="shared" si="1"/>
        <v>39</v>
      </c>
      <c r="E151" s="163">
        <v>147</v>
      </c>
    </row>
    <row r="152" spans="1:5">
      <c r="A152" s="85">
        <v>2003.11</v>
      </c>
      <c r="B152" s="2037">
        <f t="shared" si="0"/>
        <v>446.5</v>
      </c>
      <c r="C152" s="457">
        <v>3241.1</v>
      </c>
      <c r="D152" s="2037">
        <f t="shared" si="1"/>
        <v>29.800000000000011</v>
      </c>
      <c r="E152" s="163">
        <v>176.8</v>
      </c>
    </row>
    <row r="153" spans="1:5">
      <c r="A153" s="85">
        <v>2003.12</v>
      </c>
      <c r="B153" s="2037">
        <f t="shared" si="0"/>
        <v>465.93650797999999</v>
      </c>
      <c r="C153" s="457">
        <v>3707.0365079799999</v>
      </c>
      <c r="D153" s="2037">
        <f t="shared" si="1"/>
        <v>56.042606089999992</v>
      </c>
      <c r="E153" s="163">
        <v>232.84260609</v>
      </c>
    </row>
    <row r="154" spans="1:5">
      <c r="A154" s="85">
        <v>2004.01</v>
      </c>
      <c r="B154" s="2037">
        <f>C154</f>
        <v>226.6</v>
      </c>
      <c r="C154" s="457">
        <v>226.6</v>
      </c>
      <c r="D154" s="2037">
        <v>2.2999999999999998</v>
      </c>
      <c r="E154" s="163">
        <v>2.2999999999999998</v>
      </c>
    </row>
    <row r="155" spans="1:5">
      <c r="A155" s="85">
        <v>2004.02</v>
      </c>
      <c r="B155" s="2037">
        <f>(C155-C154)</f>
        <v>283.39999999999998</v>
      </c>
      <c r="C155" s="457">
        <v>510</v>
      </c>
      <c r="D155" s="2037">
        <f>E155-E154</f>
        <v>7.8</v>
      </c>
      <c r="E155" s="163">
        <v>10.1</v>
      </c>
    </row>
    <row r="156" spans="1:5">
      <c r="A156" s="85">
        <v>2004.03</v>
      </c>
      <c r="B156" s="2037">
        <f t="shared" ref="B156:B165" si="2">(C156-C155)</f>
        <v>309.29999999999995</v>
      </c>
      <c r="C156" s="457">
        <v>819.3</v>
      </c>
      <c r="D156" s="2037">
        <f>E156-E155</f>
        <v>23.6</v>
      </c>
      <c r="E156" s="163">
        <v>33.700000000000003</v>
      </c>
    </row>
    <row r="157" spans="1:5">
      <c r="A157" s="85">
        <v>2004.04</v>
      </c>
      <c r="B157" s="2037">
        <f t="shared" si="2"/>
        <v>295.70000000000005</v>
      </c>
      <c r="C157" s="457">
        <v>1115</v>
      </c>
      <c r="D157" s="2037">
        <f t="shared" ref="D157:D165" si="3">E157-E156</f>
        <v>20.5</v>
      </c>
      <c r="E157" s="163">
        <v>54.2</v>
      </c>
    </row>
    <row r="158" spans="1:5">
      <c r="A158" s="85">
        <v>2004.05</v>
      </c>
      <c r="B158" s="2037">
        <f t="shared" si="2"/>
        <v>323.09999999999991</v>
      </c>
      <c r="C158" s="457">
        <v>1438.1</v>
      </c>
      <c r="D158" s="2037">
        <f t="shared" si="3"/>
        <v>16.899999999999991</v>
      </c>
      <c r="E158" s="163">
        <v>71.099999999999994</v>
      </c>
    </row>
    <row r="159" spans="1:5">
      <c r="A159" s="85">
        <v>2004.06</v>
      </c>
      <c r="B159" s="2037">
        <f t="shared" si="2"/>
        <v>433.80000000000018</v>
      </c>
      <c r="C159" s="457">
        <v>1871.9</v>
      </c>
      <c r="D159" s="2037">
        <f t="shared" si="3"/>
        <v>26</v>
      </c>
      <c r="E159" s="163">
        <v>97.1</v>
      </c>
    </row>
    <row r="160" spans="1:5">
      <c r="A160" s="85">
        <v>2004.07</v>
      </c>
      <c r="B160" s="2037">
        <f t="shared" si="2"/>
        <v>348</v>
      </c>
      <c r="C160" s="457">
        <v>2219.9</v>
      </c>
      <c r="D160" s="2037">
        <f t="shared" si="3"/>
        <v>26.700000000000003</v>
      </c>
      <c r="E160" s="163">
        <v>123.8</v>
      </c>
    </row>
    <row r="161" spans="1:5">
      <c r="A161" s="85">
        <v>2004.08</v>
      </c>
      <c r="B161" s="2037">
        <f t="shared" si="2"/>
        <v>348.5</v>
      </c>
      <c r="C161" s="457">
        <v>2568.4</v>
      </c>
      <c r="D161" s="2037">
        <f t="shared" si="3"/>
        <v>29.000000000000014</v>
      </c>
      <c r="E161" s="163">
        <v>152.80000000000001</v>
      </c>
    </row>
    <row r="162" spans="1:5">
      <c r="A162" s="85">
        <v>2004.09</v>
      </c>
      <c r="B162" s="2037">
        <f t="shared" si="2"/>
        <v>327.59999999999991</v>
      </c>
      <c r="C162" s="457">
        <v>2896</v>
      </c>
      <c r="D162" s="2037">
        <f t="shared" si="3"/>
        <v>31.799999999999983</v>
      </c>
      <c r="E162" s="163">
        <v>184.6</v>
      </c>
    </row>
    <row r="163" spans="1:5">
      <c r="A163" s="85">
        <v>2004.1</v>
      </c>
      <c r="B163" s="2037">
        <f t="shared" si="2"/>
        <v>373.30000000000018</v>
      </c>
      <c r="C163" s="457">
        <v>3269.3</v>
      </c>
      <c r="D163" s="2037">
        <f t="shared" si="3"/>
        <v>27.700000000000017</v>
      </c>
      <c r="E163" s="163">
        <v>212.3</v>
      </c>
    </row>
    <row r="164" spans="1:5">
      <c r="A164" s="85">
        <v>2004.11</v>
      </c>
      <c r="B164" s="2037">
        <f t="shared" si="2"/>
        <v>361.5</v>
      </c>
      <c r="C164" s="457">
        <v>3630.8</v>
      </c>
      <c r="D164" s="2037">
        <f t="shared" si="3"/>
        <v>36.699999999999989</v>
      </c>
      <c r="E164" s="163">
        <v>249</v>
      </c>
    </row>
    <row r="165" spans="1:5">
      <c r="A165" s="85">
        <v>2004.12</v>
      </c>
      <c r="B165" s="2037">
        <f t="shared" si="2"/>
        <v>633.41581124000004</v>
      </c>
      <c r="C165" s="457">
        <v>4264.2158112400002</v>
      </c>
      <c r="D165" s="2037">
        <f t="shared" si="3"/>
        <v>125.41276249000003</v>
      </c>
      <c r="E165" s="163">
        <v>374.41276249000003</v>
      </c>
    </row>
    <row r="166" spans="1:5">
      <c r="A166" s="85">
        <v>2005.01</v>
      </c>
      <c r="B166" s="2037">
        <f>C166</f>
        <v>316.89999999999998</v>
      </c>
      <c r="C166" s="457">
        <v>316.89999999999998</v>
      </c>
      <c r="D166" s="2037">
        <f>E166</f>
        <v>8.5</v>
      </c>
      <c r="E166" s="163">
        <v>8.5</v>
      </c>
    </row>
    <row r="167" spans="1:5">
      <c r="A167" s="85">
        <v>2005.02</v>
      </c>
      <c r="B167" s="2037">
        <f>(C167-C166)</f>
        <v>350.80000000000007</v>
      </c>
      <c r="C167" s="457">
        <v>667.7</v>
      </c>
      <c r="D167" s="2037">
        <f>E167-E166</f>
        <v>16.600000000000001</v>
      </c>
      <c r="E167" s="163">
        <v>25.1</v>
      </c>
    </row>
    <row r="168" spans="1:5">
      <c r="A168" s="85">
        <v>2005.03</v>
      </c>
      <c r="B168" s="2037">
        <f t="shared" ref="B168:B177" si="4">(C168-C167)</f>
        <v>368.20000000000005</v>
      </c>
      <c r="C168" s="457">
        <v>1035.9000000000001</v>
      </c>
      <c r="D168" s="2037">
        <f t="shared" ref="D168:D177" si="5">E168-E167</f>
        <v>12.199999999999996</v>
      </c>
      <c r="E168" s="163">
        <v>37.299999999999997</v>
      </c>
    </row>
    <row r="169" spans="1:5">
      <c r="A169" s="85">
        <v>2005.04</v>
      </c>
      <c r="B169" s="2037">
        <f t="shared" si="4"/>
        <v>416.89999999999986</v>
      </c>
      <c r="C169" s="457">
        <v>1452.8</v>
      </c>
      <c r="D169" s="2037">
        <f t="shared" si="5"/>
        <v>56.900000000000006</v>
      </c>
      <c r="E169" s="163">
        <v>94.2</v>
      </c>
    </row>
    <row r="170" spans="1:5">
      <c r="A170" s="85">
        <v>2005.05</v>
      </c>
      <c r="B170" s="2037">
        <f t="shared" si="4"/>
        <v>447.40000000000009</v>
      </c>
      <c r="C170" s="457">
        <v>1900.2</v>
      </c>
      <c r="D170" s="2037">
        <f t="shared" si="5"/>
        <v>42.600000000000009</v>
      </c>
      <c r="E170" s="163">
        <v>136.80000000000001</v>
      </c>
    </row>
    <row r="171" spans="1:5">
      <c r="A171" s="85">
        <v>2005.06</v>
      </c>
      <c r="B171" s="2037">
        <f t="shared" si="4"/>
        <v>512.20000000000005</v>
      </c>
      <c r="C171" s="457">
        <v>2412.4</v>
      </c>
      <c r="D171" s="2037">
        <f t="shared" si="5"/>
        <v>39.299999999999983</v>
      </c>
      <c r="E171" s="163">
        <v>176.1</v>
      </c>
    </row>
    <row r="172" spans="1:5">
      <c r="A172" s="85">
        <v>2005.07</v>
      </c>
      <c r="B172" s="2037">
        <f t="shared" si="4"/>
        <v>458.19999999999982</v>
      </c>
      <c r="C172" s="457">
        <v>2870.6</v>
      </c>
      <c r="D172" s="2037">
        <f t="shared" si="5"/>
        <v>62.200000000000017</v>
      </c>
      <c r="E172" s="163">
        <v>238.3</v>
      </c>
    </row>
    <row r="173" spans="1:5">
      <c r="A173" s="85">
        <v>2005.08</v>
      </c>
      <c r="B173" s="2037">
        <f t="shared" si="4"/>
        <v>455.70000000000027</v>
      </c>
      <c r="C173" s="457">
        <v>3326.3</v>
      </c>
      <c r="D173" s="2037">
        <f t="shared" si="5"/>
        <v>55.5</v>
      </c>
      <c r="E173" s="163">
        <v>293.8</v>
      </c>
    </row>
    <row r="174" spans="1:5">
      <c r="A174" s="85">
        <v>2005.09</v>
      </c>
      <c r="B174" s="2037">
        <f t="shared" si="4"/>
        <v>441</v>
      </c>
      <c r="C174" s="457">
        <v>3767.3</v>
      </c>
      <c r="D174" s="2037">
        <f t="shared" si="5"/>
        <v>22</v>
      </c>
      <c r="E174" s="163">
        <v>315.8</v>
      </c>
    </row>
    <row r="175" spans="1:5">
      <c r="A175" s="85">
        <v>2005.1</v>
      </c>
      <c r="B175" s="2037">
        <f t="shared" si="4"/>
        <v>493.39999999999964</v>
      </c>
      <c r="C175" s="457">
        <v>4260.7</v>
      </c>
      <c r="D175" s="2037">
        <f t="shared" si="5"/>
        <v>96.300000000000011</v>
      </c>
      <c r="E175" s="163">
        <v>412.1</v>
      </c>
    </row>
    <row r="176" spans="1:5">
      <c r="A176" s="85">
        <v>2005.11</v>
      </c>
      <c r="B176" s="2037">
        <f t="shared" si="4"/>
        <v>494.5</v>
      </c>
      <c r="C176" s="457">
        <v>4755.2</v>
      </c>
      <c r="D176" s="2037">
        <f t="shared" si="5"/>
        <v>47.799999999999955</v>
      </c>
      <c r="E176" s="163">
        <v>459.9</v>
      </c>
    </row>
    <row r="177" spans="1:5">
      <c r="A177" s="85">
        <v>2005.12</v>
      </c>
      <c r="B177" s="2037">
        <f t="shared" si="4"/>
        <v>884.15865059000043</v>
      </c>
      <c r="C177" s="457">
        <v>5639.3586505900003</v>
      </c>
      <c r="D177" s="2037">
        <f t="shared" si="5"/>
        <v>295.74761725000008</v>
      </c>
      <c r="E177" s="163">
        <v>755.64761725000005</v>
      </c>
    </row>
    <row r="178" spans="1:5">
      <c r="A178" s="85">
        <v>2006.01</v>
      </c>
      <c r="B178" s="2037">
        <f>C178</f>
        <v>415</v>
      </c>
      <c r="C178" s="457">
        <v>415</v>
      </c>
      <c r="D178" s="2037">
        <f>E178</f>
        <v>31.4</v>
      </c>
      <c r="E178" s="163">
        <v>31.4</v>
      </c>
    </row>
    <row r="179" spans="1:5">
      <c r="A179" s="85">
        <v>2006.02</v>
      </c>
      <c r="B179" s="2037">
        <f>(C179-C178)</f>
        <v>437.4</v>
      </c>
      <c r="C179" s="457">
        <v>852.4</v>
      </c>
      <c r="D179" s="2037">
        <f>E179-E178</f>
        <v>19.100000000000001</v>
      </c>
      <c r="E179" s="163">
        <v>50.5</v>
      </c>
    </row>
    <row r="180" spans="1:5">
      <c r="A180" s="85">
        <v>2006.03</v>
      </c>
      <c r="B180" s="2037">
        <f t="shared" ref="B180:B189" si="6">(C180-C179)</f>
        <v>580.30000000000007</v>
      </c>
      <c r="C180" s="457">
        <v>1432.7</v>
      </c>
      <c r="D180" s="2037">
        <f t="shared" ref="D180:D189" si="7">E180-E179</f>
        <v>74</v>
      </c>
      <c r="E180" s="163">
        <v>124.5</v>
      </c>
    </row>
    <row r="181" spans="1:5">
      <c r="A181" s="85">
        <v>2006.04</v>
      </c>
      <c r="B181" s="2037">
        <f t="shared" si="6"/>
        <v>517.09999999999991</v>
      </c>
      <c r="C181" s="457">
        <v>1949.8</v>
      </c>
      <c r="D181" s="2037">
        <f t="shared" si="7"/>
        <v>73</v>
      </c>
      <c r="E181" s="163">
        <v>197.5</v>
      </c>
    </row>
    <row r="182" spans="1:5">
      <c r="A182" s="85">
        <v>2006.05</v>
      </c>
      <c r="B182" s="2037">
        <f t="shared" si="6"/>
        <v>601.29999999999995</v>
      </c>
      <c r="C182" s="457">
        <v>2551.1</v>
      </c>
      <c r="D182" s="2037">
        <f t="shared" si="7"/>
        <v>86.899999999999977</v>
      </c>
      <c r="E182" s="163">
        <v>284.39999999999998</v>
      </c>
    </row>
    <row r="183" spans="1:5">
      <c r="A183" s="85">
        <v>2006.06</v>
      </c>
      <c r="B183" s="2037">
        <f t="shared" si="6"/>
        <v>730.90000000000009</v>
      </c>
      <c r="C183" s="457">
        <v>3282</v>
      </c>
      <c r="D183" s="2037">
        <f t="shared" si="7"/>
        <v>108.60000000000002</v>
      </c>
      <c r="E183" s="163">
        <v>393</v>
      </c>
    </row>
    <row r="184" spans="1:5">
      <c r="A184" s="85">
        <v>2006.07</v>
      </c>
      <c r="B184" s="2037">
        <f t="shared" si="6"/>
        <v>589.30000000000018</v>
      </c>
      <c r="C184" s="457">
        <v>3871.3</v>
      </c>
      <c r="D184" s="2037">
        <f t="shared" si="7"/>
        <v>95.899999999999977</v>
      </c>
      <c r="E184" s="163">
        <v>488.9</v>
      </c>
    </row>
    <row r="185" spans="1:5">
      <c r="A185" s="85">
        <v>2006.08</v>
      </c>
      <c r="B185" s="2037">
        <f t="shared" si="6"/>
        <v>599.80000000000018</v>
      </c>
      <c r="C185" s="457">
        <v>4471.1000000000004</v>
      </c>
      <c r="D185" s="2037">
        <f t="shared" si="7"/>
        <v>110.70000000000005</v>
      </c>
      <c r="E185" s="163">
        <v>599.6</v>
      </c>
    </row>
    <row r="186" spans="1:5">
      <c r="A186" s="85">
        <v>2006.09</v>
      </c>
      <c r="B186" s="2037">
        <f t="shared" si="6"/>
        <v>622.59999999999945</v>
      </c>
      <c r="C186" s="457">
        <v>5093.7</v>
      </c>
      <c r="D186" s="2037">
        <f t="shared" si="7"/>
        <v>116.29999999999995</v>
      </c>
      <c r="E186" s="163">
        <v>715.9</v>
      </c>
    </row>
    <row r="187" spans="1:5">
      <c r="A187" s="85">
        <v>2006.1</v>
      </c>
      <c r="B187" s="2037">
        <f t="shared" si="6"/>
        <v>608.80000000000018</v>
      </c>
      <c r="C187" s="457">
        <v>5702.5</v>
      </c>
      <c r="D187" s="2037">
        <f t="shared" si="7"/>
        <v>99.800000000000068</v>
      </c>
      <c r="E187" s="163">
        <v>815.7</v>
      </c>
    </row>
    <row r="188" spans="1:5">
      <c r="A188" s="85">
        <v>2006.11</v>
      </c>
      <c r="B188" s="2037">
        <f t="shared" si="6"/>
        <v>601.60000000000036</v>
      </c>
      <c r="C188" s="457">
        <v>6304.1</v>
      </c>
      <c r="D188" s="2037">
        <f t="shared" si="7"/>
        <v>100.79999999999995</v>
      </c>
      <c r="E188" s="163">
        <v>916.5</v>
      </c>
    </row>
    <row r="189" spans="1:5">
      <c r="A189" s="85">
        <v>2006.12</v>
      </c>
      <c r="B189" s="2037">
        <f t="shared" si="6"/>
        <v>1116.7309847899996</v>
      </c>
      <c r="C189" s="457">
        <v>7420.83098479</v>
      </c>
      <c r="D189" s="2037">
        <f t="shared" si="7"/>
        <v>310.36418019000007</v>
      </c>
      <c r="E189" s="163">
        <v>1226.8641801900001</v>
      </c>
    </row>
    <row r="190" spans="1:5">
      <c r="A190" s="85">
        <v>2007.01</v>
      </c>
      <c r="B190" s="2037">
        <f>C190</f>
        <v>537.4</v>
      </c>
      <c r="C190" s="457">
        <v>537.4</v>
      </c>
      <c r="D190" s="2037">
        <f>E190</f>
        <v>39.4</v>
      </c>
      <c r="E190" s="163">
        <v>39.4</v>
      </c>
    </row>
    <row r="191" spans="1:5">
      <c r="A191" s="85">
        <v>2007.02</v>
      </c>
      <c r="B191" s="2037">
        <f>(C191-C190)</f>
        <v>553.30000000000007</v>
      </c>
      <c r="C191" s="457">
        <v>1090.7</v>
      </c>
      <c r="D191" s="2037">
        <f>E191-E190</f>
        <v>54.500000000000007</v>
      </c>
      <c r="E191" s="163">
        <v>93.9</v>
      </c>
    </row>
    <row r="192" spans="1:5">
      <c r="A192" s="85">
        <v>2007.03</v>
      </c>
      <c r="B192" s="2037">
        <f t="shared" ref="B192:B201" si="8">(C192-C191)</f>
        <v>737.89999999999986</v>
      </c>
      <c r="C192" s="457">
        <v>1828.6</v>
      </c>
      <c r="D192" s="2037">
        <f t="shared" ref="D192:D201" si="9">E192-E191</f>
        <v>73.900000000000006</v>
      </c>
      <c r="E192" s="163">
        <v>167.8</v>
      </c>
    </row>
    <row r="193" spans="1:5">
      <c r="A193" s="85">
        <v>2007.04</v>
      </c>
      <c r="B193" s="2037">
        <f t="shared" si="8"/>
        <v>706.59999999999991</v>
      </c>
      <c r="C193" s="457">
        <v>2535.1999999999998</v>
      </c>
      <c r="D193" s="2037">
        <f t="shared" si="9"/>
        <v>71</v>
      </c>
      <c r="E193" s="163">
        <v>238.8</v>
      </c>
    </row>
    <row r="194" spans="1:5">
      <c r="A194" s="85">
        <v>2007.05</v>
      </c>
      <c r="B194" s="2037">
        <f t="shared" si="8"/>
        <v>765.90000000000009</v>
      </c>
      <c r="C194" s="457">
        <v>3301.1</v>
      </c>
      <c r="D194" s="2037">
        <f t="shared" si="9"/>
        <v>67.099999999999966</v>
      </c>
      <c r="E194" s="163">
        <v>305.89999999999998</v>
      </c>
    </row>
    <row r="195" spans="1:5">
      <c r="A195" s="85">
        <v>2007.06</v>
      </c>
      <c r="B195" s="2037">
        <f t="shared" si="8"/>
        <v>943.59999999999991</v>
      </c>
      <c r="C195" s="457">
        <v>4244.7</v>
      </c>
      <c r="D195" s="2037">
        <f t="shared" si="9"/>
        <v>94.800000000000011</v>
      </c>
      <c r="E195" s="163">
        <v>400.7</v>
      </c>
    </row>
    <row r="196" spans="1:5">
      <c r="A196" s="85">
        <v>2007.07</v>
      </c>
      <c r="B196" s="2037">
        <f t="shared" si="8"/>
        <v>760.60000000000036</v>
      </c>
      <c r="C196" s="457">
        <v>5005.3</v>
      </c>
      <c r="D196" s="2037">
        <f t="shared" si="9"/>
        <v>86</v>
      </c>
      <c r="E196" s="163">
        <v>486.7</v>
      </c>
    </row>
    <row r="197" spans="1:5">
      <c r="A197" s="85">
        <v>2007.08</v>
      </c>
      <c r="B197" s="2037">
        <f t="shared" si="8"/>
        <v>796.80000000000018</v>
      </c>
      <c r="C197" s="457">
        <v>5802.1</v>
      </c>
      <c r="D197" s="2037">
        <f t="shared" si="9"/>
        <v>93.500000000000057</v>
      </c>
      <c r="E197" s="163">
        <v>580.20000000000005</v>
      </c>
    </row>
    <row r="198" spans="1:5">
      <c r="A198" s="85">
        <v>2007.09</v>
      </c>
      <c r="B198" s="2037">
        <f t="shared" si="8"/>
        <v>907.39999999999964</v>
      </c>
      <c r="C198" s="457">
        <v>6709.5</v>
      </c>
      <c r="D198" s="2037">
        <f t="shared" si="9"/>
        <v>110.39999999999998</v>
      </c>
      <c r="E198" s="163">
        <v>690.6</v>
      </c>
    </row>
    <row r="199" spans="1:5">
      <c r="A199" s="85">
        <v>2007.1</v>
      </c>
      <c r="B199" s="2037">
        <f t="shared" si="8"/>
        <v>858.10000000000036</v>
      </c>
      <c r="C199" s="457">
        <v>7567.6</v>
      </c>
      <c r="D199" s="2037">
        <f t="shared" si="9"/>
        <v>74.899999999999977</v>
      </c>
      <c r="E199" s="163">
        <v>765.5</v>
      </c>
    </row>
    <row r="200" spans="1:5">
      <c r="A200" s="85">
        <v>2007.11</v>
      </c>
      <c r="B200" s="2037">
        <f t="shared" si="8"/>
        <v>870.69999999999891</v>
      </c>
      <c r="C200" s="457">
        <v>8438.2999999999993</v>
      </c>
      <c r="D200" s="2037">
        <f t="shared" si="9"/>
        <v>124</v>
      </c>
      <c r="E200" s="163">
        <v>889.5</v>
      </c>
    </row>
    <row r="201" spans="1:5">
      <c r="A201" s="85">
        <v>2007.12</v>
      </c>
      <c r="B201" s="2037">
        <f t="shared" si="8"/>
        <v>1151.9010730400023</v>
      </c>
      <c r="C201" s="457">
        <v>9590.2010730400016</v>
      </c>
      <c r="D201" s="2037">
        <f t="shared" si="9"/>
        <v>156.76506651999989</v>
      </c>
      <c r="E201" s="163">
        <v>1046.2650665199999</v>
      </c>
    </row>
    <row r="202" spans="1:5">
      <c r="A202" s="85">
        <f t="shared" ref="A202:A233" si="10">A190+1</f>
        <v>2008.01</v>
      </c>
      <c r="B202" s="2037">
        <f>C202</f>
        <v>793.6</v>
      </c>
      <c r="C202" s="457">
        <v>793.6</v>
      </c>
      <c r="D202" s="2037">
        <f>E202</f>
        <v>18.100000000000001</v>
      </c>
      <c r="E202" s="163">
        <v>18.100000000000001</v>
      </c>
    </row>
    <row r="203" spans="1:5">
      <c r="A203" s="85">
        <f t="shared" si="10"/>
        <v>2008.02</v>
      </c>
      <c r="B203" s="2037">
        <f>(C203-C202)</f>
        <v>790.49999999999989</v>
      </c>
      <c r="C203" s="457">
        <v>1584.1</v>
      </c>
      <c r="D203" s="2037">
        <f>E203-E202</f>
        <v>44</v>
      </c>
      <c r="E203" s="163">
        <v>62.1</v>
      </c>
    </row>
    <row r="204" spans="1:5">
      <c r="A204" s="85">
        <f t="shared" si="10"/>
        <v>2008.03</v>
      </c>
      <c r="B204" s="2037">
        <f t="shared" ref="B204:B213" si="11">(C204-C203)</f>
        <v>938.90000000000009</v>
      </c>
      <c r="C204" s="457">
        <v>2523</v>
      </c>
      <c r="D204" s="2037">
        <f t="shared" ref="D204:D213" si="12">E204-E203</f>
        <v>62.199999999999996</v>
      </c>
      <c r="E204" s="163">
        <v>124.3</v>
      </c>
    </row>
    <row r="205" spans="1:5">
      <c r="A205" s="85">
        <f t="shared" si="10"/>
        <v>2008.04</v>
      </c>
      <c r="B205" s="2037">
        <f t="shared" si="11"/>
        <v>1028.8000000000002</v>
      </c>
      <c r="C205" s="457">
        <v>3551.8</v>
      </c>
      <c r="D205" s="2037">
        <f t="shared" si="12"/>
        <v>69.2</v>
      </c>
      <c r="E205" s="163">
        <v>193.5</v>
      </c>
    </row>
    <row r="206" spans="1:5">
      <c r="A206" s="85">
        <f t="shared" si="10"/>
        <v>2008.05</v>
      </c>
      <c r="B206" s="2037">
        <f t="shared" si="11"/>
        <v>1031.0999999999995</v>
      </c>
      <c r="C206" s="457">
        <v>4582.8999999999996</v>
      </c>
      <c r="D206" s="2037">
        <f t="shared" si="12"/>
        <v>74.800000000000011</v>
      </c>
      <c r="E206" s="163">
        <v>268.3</v>
      </c>
    </row>
    <row r="207" spans="1:5">
      <c r="A207" s="85">
        <f t="shared" si="10"/>
        <v>2008.06</v>
      </c>
      <c r="B207" s="2037">
        <f t="shared" si="11"/>
        <v>1240.2000000000007</v>
      </c>
      <c r="C207" s="457">
        <v>5823.1</v>
      </c>
      <c r="D207" s="2037">
        <f t="shared" si="12"/>
        <v>63.5</v>
      </c>
      <c r="E207" s="163">
        <v>331.8</v>
      </c>
    </row>
    <row r="208" spans="1:5">
      <c r="A208" s="85">
        <f t="shared" si="10"/>
        <v>2008.07</v>
      </c>
      <c r="B208" s="2037">
        <f t="shared" si="11"/>
        <v>1082.1999999999998</v>
      </c>
      <c r="C208" s="457">
        <v>6905.3</v>
      </c>
      <c r="D208" s="2037">
        <f t="shared" si="12"/>
        <v>98.099999999999966</v>
      </c>
      <c r="E208" s="163">
        <v>429.9</v>
      </c>
    </row>
    <row r="209" spans="1:5">
      <c r="A209" s="85">
        <f t="shared" si="10"/>
        <v>2008.08</v>
      </c>
      <c r="B209" s="2037">
        <f t="shared" si="11"/>
        <v>1186.3999999999996</v>
      </c>
      <c r="C209" s="457">
        <v>8091.7</v>
      </c>
      <c r="D209" s="2037">
        <f t="shared" si="12"/>
        <v>106.39999999999998</v>
      </c>
      <c r="E209" s="163">
        <v>536.29999999999995</v>
      </c>
    </row>
    <row r="210" spans="1:5">
      <c r="A210" s="85">
        <f t="shared" si="10"/>
        <v>2008.09</v>
      </c>
      <c r="B210" s="2037">
        <f t="shared" si="11"/>
        <v>1192.5999999999995</v>
      </c>
      <c r="C210" s="457">
        <v>9284.2999999999993</v>
      </c>
      <c r="D210" s="2037">
        <f t="shared" si="12"/>
        <v>94.700000000000045</v>
      </c>
      <c r="E210" s="163">
        <v>631</v>
      </c>
    </row>
    <row r="211" spans="1:5">
      <c r="A211" s="85">
        <f t="shared" si="10"/>
        <v>2008.1</v>
      </c>
      <c r="B211" s="2037">
        <f t="shared" si="11"/>
        <v>1158.6000000000004</v>
      </c>
      <c r="C211" s="457">
        <v>10442.9</v>
      </c>
      <c r="D211" s="2037">
        <f t="shared" si="12"/>
        <v>130.79999999999995</v>
      </c>
      <c r="E211" s="163">
        <v>761.8</v>
      </c>
    </row>
    <row r="212" spans="1:5">
      <c r="A212" s="85">
        <f t="shared" si="10"/>
        <v>2008.11</v>
      </c>
      <c r="B212" s="2037">
        <f t="shared" si="11"/>
        <v>1117.1000000000004</v>
      </c>
      <c r="C212" s="457">
        <v>11560</v>
      </c>
      <c r="D212" s="2037">
        <f t="shared" si="12"/>
        <v>116.5</v>
      </c>
      <c r="E212" s="163">
        <v>878.3</v>
      </c>
    </row>
    <row r="213" spans="1:5">
      <c r="A213" s="85">
        <f t="shared" si="10"/>
        <v>2008.12</v>
      </c>
      <c r="B213" s="2037">
        <f t="shared" si="11"/>
        <v>2032.2576414599989</v>
      </c>
      <c r="C213" s="457">
        <v>13592.257641459999</v>
      </c>
      <c r="D213" s="2037">
        <f t="shared" si="12"/>
        <v>400.7072400699999</v>
      </c>
      <c r="E213" s="163">
        <v>1279.0072400699999</v>
      </c>
    </row>
    <row r="214" spans="1:5">
      <c r="A214" s="85">
        <f t="shared" si="10"/>
        <v>2009.01</v>
      </c>
      <c r="B214" s="2037">
        <f>C214</f>
        <v>1113.9000000000001</v>
      </c>
      <c r="C214" s="457">
        <v>1113.9000000000001</v>
      </c>
      <c r="D214" s="2037">
        <f>E214</f>
        <v>16</v>
      </c>
      <c r="E214" s="163">
        <v>16</v>
      </c>
    </row>
    <row r="215" spans="1:5">
      <c r="A215" s="85">
        <f t="shared" si="10"/>
        <v>2009.02</v>
      </c>
      <c r="B215" s="2037">
        <f>(C215-C214)</f>
        <v>1087.2999999999997</v>
      </c>
      <c r="C215" s="457">
        <v>2201.1999999999998</v>
      </c>
      <c r="D215" s="2037">
        <f>E215-E214</f>
        <v>58.599999999999994</v>
      </c>
      <c r="E215" s="163">
        <v>74.599999999999994</v>
      </c>
    </row>
    <row r="216" spans="1:5">
      <c r="A216" s="85">
        <f t="shared" si="10"/>
        <v>2009.03</v>
      </c>
      <c r="B216" s="2037">
        <f t="shared" ref="B216:B225" si="13">(C216-C215)</f>
        <v>1272.3000000000002</v>
      </c>
      <c r="C216" s="457">
        <v>3473.5</v>
      </c>
      <c r="D216" s="2037">
        <f t="shared" ref="D216:D225" si="14">E216-E215</f>
        <v>89.4</v>
      </c>
      <c r="E216" s="163">
        <v>164</v>
      </c>
    </row>
    <row r="217" spans="1:5">
      <c r="A217" s="85">
        <f t="shared" si="10"/>
        <v>2009.04</v>
      </c>
      <c r="B217" s="2037">
        <f t="shared" si="13"/>
        <v>1246.6000000000004</v>
      </c>
      <c r="C217" s="457">
        <v>4720.1000000000004</v>
      </c>
      <c r="D217" s="2037">
        <f t="shared" si="14"/>
        <v>80.5</v>
      </c>
      <c r="E217" s="163">
        <v>244.5</v>
      </c>
    </row>
    <row r="218" spans="1:5">
      <c r="A218" s="85">
        <f t="shared" si="10"/>
        <v>2009.05</v>
      </c>
      <c r="B218" s="2037">
        <f t="shared" si="13"/>
        <v>1298.2999999999993</v>
      </c>
      <c r="C218" s="457">
        <v>6018.4</v>
      </c>
      <c r="D218" s="2037">
        <f t="shared" si="14"/>
        <v>101</v>
      </c>
      <c r="E218" s="163">
        <v>345.5</v>
      </c>
    </row>
    <row r="219" spans="1:5">
      <c r="A219" s="85">
        <f t="shared" si="10"/>
        <v>2009.06</v>
      </c>
      <c r="B219" s="2037">
        <f t="shared" si="13"/>
        <v>1704.9000000000005</v>
      </c>
      <c r="C219" s="457">
        <v>7723.3</v>
      </c>
      <c r="D219" s="2037">
        <f t="shared" si="14"/>
        <v>81.399999999999977</v>
      </c>
      <c r="E219" s="163">
        <v>426.9</v>
      </c>
    </row>
    <row r="220" spans="1:5">
      <c r="A220" s="85">
        <f t="shared" si="10"/>
        <v>2009.07</v>
      </c>
      <c r="B220" s="2037">
        <f t="shared" si="13"/>
        <v>1392.9999999999991</v>
      </c>
      <c r="C220" s="457">
        <v>9116.2999999999993</v>
      </c>
      <c r="D220" s="2037">
        <f t="shared" si="14"/>
        <v>135.10000000000002</v>
      </c>
      <c r="E220" s="163">
        <v>562</v>
      </c>
    </row>
    <row r="221" spans="1:5">
      <c r="A221" s="85">
        <f t="shared" si="10"/>
        <v>2009.08</v>
      </c>
      <c r="B221" s="2037">
        <f t="shared" si="13"/>
        <v>1328.6000000000004</v>
      </c>
      <c r="C221" s="457">
        <v>10444.9</v>
      </c>
      <c r="D221" s="2037">
        <f t="shared" si="14"/>
        <v>85.299999999999955</v>
      </c>
      <c r="E221" s="163">
        <v>647.29999999999995</v>
      </c>
    </row>
    <row r="222" spans="1:5">
      <c r="A222" s="85">
        <f t="shared" si="10"/>
        <v>2009.09</v>
      </c>
      <c r="B222" s="2037">
        <f t="shared" si="13"/>
        <v>1356.1000000000004</v>
      </c>
      <c r="C222" s="457">
        <v>11801</v>
      </c>
      <c r="D222" s="2037">
        <f t="shared" si="14"/>
        <v>107</v>
      </c>
      <c r="E222" s="163">
        <v>754.3</v>
      </c>
    </row>
    <row r="223" spans="1:5">
      <c r="A223" s="85">
        <f t="shared" si="10"/>
        <v>2009.1</v>
      </c>
      <c r="B223" s="2037">
        <f t="shared" si="13"/>
        <v>1297.8999999999996</v>
      </c>
      <c r="C223" s="457">
        <v>13098.9</v>
      </c>
      <c r="D223" s="2037">
        <f t="shared" si="14"/>
        <v>92.400000000000091</v>
      </c>
      <c r="E223" s="163">
        <v>846.7</v>
      </c>
    </row>
    <row r="224" spans="1:5">
      <c r="A224" s="85">
        <f t="shared" si="10"/>
        <v>2009.11</v>
      </c>
      <c r="B224" s="2037">
        <f t="shared" si="13"/>
        <v>1491.6000000000004</v>
      </c>
      <c r="C224" s="457">
        <v>14590.5</v>
      </c>
      <c r="D224" s="2037">
        <f t="shared" si="14"/>
        <v>87.699999999999932</v>
      </c>
      <c r="E224" s="163">
        <v>934.4</v>
      </c>
    </row>
    <row r="225" spans="1:5">
      <c r="A225" s="85">
        <f t="shared" si="10"/>
        <v>2009.12</v>
      </c>
      <c r="B225" s="2037">
        <f t="shared" si="13"/>
        <v>2103.0670855700009</v>
      </c>
      <c r="C225" s="457">
        <v>16693.567085570001</v>
      </c>
      <c r="D225" s="2037">
        <f t="shared" si="14"/>
        <v>286.00035252999999</v>
      </c>
      <c r="E225" s="163">
        <v>1220.40035253</v>
      </c>
    </row>
    <row r="226" spans="1:5">
      <c r="A226" s="85">
        <f t="shared" si="10"/>
        <v>2010.01</v>
      </c>
      <c r="B226" s="2037">
        <f>C226</f>
        <v>1214.9000000000001</v>
      </c>
      <c r="C226" s="457">
        <v>1214.9000000000001</v>
      </c>
      <c r="D226" s="2037">
        <f>E226</f>
        <v>17</v>
      </c>
      <c r="E226" s="163">
        <v>17</v>
      </c>
    </row>
    <row r="227" spans="1:5">
      <c r="A227" s="85">
        <f t="shared" si="10"/>
        <v>2010.02</v>
      </c>
      <c r="B227" s="2037">
        <f>(C227-C226)</f>
        <v>1328.2999999999997</v>
      </c>
      <c r="C227" s="457">
        <v>2543.1999999999998</v>
      </c>
      <c r="D227" s="2037">
        <f>E227-E226</f>
        <v>87.2</v>
      </c>
      <c r="E227" s="163">
        <v>104.2</v>
      </c>
    </row>
    <row r="228" spans="1:5">
      <c r="A228" s="85">
        <f t="shared" si="10"/>
        <v>2010.03</v>
      </c>
      <c r="B228" s="2037">
        <f t="shared" ref="B228:B237" si="15">(C228-C227)</f>
        <v>1344.1000000000004</v>
      </c>
      <c r="C228" s="457">
        <v>3887.3</v>
      </c>
      <c r="D228" s="2037">
        <f t="shared" ref="D228:D237" si="16">E228-E227</f>
        <v>78.2</v>
      </c>
      <c r="E228" s="163">
        <v>182.4</v>
      </c>
    </row>
    <row r="229" spans="1:5">
      <c r="A229" s="85">
        <f t="shared" si="10"/>
        <v>2010.04</v>
      </c>
      <c r="B229" s="2037">
        <f t="shared" si="15"/>
        <v>1668.8000000000002</v>
      </c>
      <c r="C229" s="457">
        <v>5556.1</v>
      </c>
      <c r="D229" s="2037">
        <f t="shared" si="16"/>
        <v>114.20000000000002</v>
      </c>
      <c r="E229" s="163">
        <v>296.60000000000002</v>
      </c>
    </row>
    <row r="230" spans="1:5">
      <c r="A230" s="85">
        <f t="shared" si="10"/>
        <v>2010.05</v>
      </c>
      <c r="B230" s="2037">
        <f t="shared" si="15"/>
        <v>1618</v>
      </c>
      <c r="C230" s="457">
        <v>7174.1</v>
      </c>
      <c r="D230" s="2037">
        <f t="shared" si="16"/>
        <v>112.09999999999997</v>
      </c>
      <c r="E230" s="163">
        <v>408.7</v>
      </c>
    </row>
    <row r="231" spans="1:5">
      <c r="A231" s="85">
        <f t="shared" si="10"/>
        <v>2010.06</v>
      </c>
      <c r="B231" s="2037">
        <f t="shared" si="15"/>
        <v>2087.3999999999996</v>
      </c>
      <c r="C231" s="457">
        <v>9261.5</v>
      </c>
      <c r="D231" s="2037">
        <f t="shared" si="16"/>
        <v>139.19999999999999</v>
      </c>
      <c r="E231" s="163">
        <v>547.9</v>
      </c>
    </row>
    <row r="232" spans="1:5">
      <c r="A232" s="85">
        <f t="shared" si="10"/>
        <v>2010.07</v>
      </c>
      <c r="B232" s="2037">
        <f t="shared" si="15"/>
        <v>2459.6000000000004</v>
      </c>
      <c r="C232" s="457">
        <v>11721.1</v>
      </c>
      <c r="D232" s="2037">
        <f t="shared" si="16"/>
        <v>149.39999999999998</v>
      </c>
      <c r="E232" s="163">
        <v>697.3</v>
      </c>
    </row>
    <row r="233" spans="1:5">
      <c r="A233" s="85">
        <f t="shared" si="10"/>
        <v>2010.08</v>
      </c>
      <c r="B233" s="2037">
        <f t="shared" si="15"/>
        <v>1077.6000000000004</v>
      </c>
      <c r="C233" s="457">
        <v>12798.7</v>
      </c>
      <c r="D233" s="2037">
        <f t="shared" si="16"/>
        <v>169.20000000000005</v>
      </c>
      <c r="E233" s="163">
        <v>866.5</v>
      </c>
    </row>
    <row r="234" spans="1:5">
      <c r="A234" s="85">
        <f t="shared" ref="A234:A265" si="17">A222+1</f>
        <v>2010.09</v>
      </c>
      <c r="B234" s="2037">
        <f t="shared" si="15"/>
        <v>1745.6999999999989</v>
      </c>
      <c r="C234" s="457">
        <v>14544.4</v>
      </c>
      <c r="D234" s="2037">
        <f t="shared" si="16"/>
        <v>136.70000000000005</v>
      </c>
      <c r="E234" s="163">
        <v>1003.2</v>
      </c>
    </row>
    <row r="235" spans="1:5">
      <c r="A235" s="85">
        <f t="shared" si="17"/>
        <v>2010.1</v>
      </c>
      <c r="B235" s="2037">
        <f t="shared" si="15"/>
        <v>1752.1000000000004</v>
      </c>
      <c r="C235" s="457">
        <v>16296.5</v>
      </c>
      <c r="D235" s="2037">
        <f t="shared" si="16"/>
        <v>100.70000000000005</v>
      </c>
      <c r="E235" s="163">
        <v>1103.9000000000001</v>
      </c>
    </row>
    <row r="236" spans="1:5">
      <c r="A236" s="85">
        <f t="shared" si="17"/>
        <v>2010.11</v>
      </c>
      <c r="B236" s="2037">
        <f t="shared" si="15"/>
        <v>1950.2999999999993</v>
      </c>
      <c r="C236" s="457">
        <v>18246.8</v>
      </c>
      <c r="D236" s="2037">
        <f t="shared" si="16"/>
        <v>171.19999999999982</v>
      </c>
      <c r="E236" s="163">
        <v>1275.0999999999999</v>
      </c>
    </row>
    <row r="237" spans="1:5">
      <c r="A237" s="85">
        <f t="shared" si="17"/>
        <v>2010.12</v>
      </c>
      <c r="B237" s="2037">
        <f t="shared" si="15"/>
        <v>2941.7310220400032</v>
      </c>
      <c r="C237" s="457">
        <v>21188.531022040002</v>
      </c>
      <c r="D237" s="2037">
        <f t="shared" si="16"/>
        <v>454.78106422000019</v>
      </c>
      <c r="E237" s="163">
        <v>1729.8810642200001</v>
      </c>
    </row>
    <row r="238" spans="1:5">
      <c r="A238" s="85">
        <f t="shared" si="17"/>
        <v>2011.01</v>
      </c>
      <c r="B238" s="2037">
        <f>C238</f>
        <v>1743.8</v>
      </c>
      <c r="C238" s="457">
        <v>1743.8</v>
      </c>
      <c r="D238" s="2037">
        <f>E238</f>
        <v>67</v>
      </c>
      <c r="E238" s="163">
        <v>67</v>
      </c>
    </row>
    <row r="239" spans="1:5">
      <c r="A239" s="85">
        <f t="shared" si="17"/>
        <v>2011.02</v>
      </c>
      <c r="B239" s="2037">
        <f>(C239-C238)</f>
        <v>1975.8</v>
      </c>
      <c r="C239" s="457">
        <v>3719.6</v>
      </c>
      <c r="D239" s="2037">
        <f>E239-E238</f>
        <v>78.699999999999989</v>
      </c>
      <c r="E239" s="163">
        <v>145.69999999999999</v>
      </c>
    </row>
    <row r="240" spans="1:5">
      <c r="A240" s="85">
        <f t="shared" si="17"/>
        <v>2011.03</v>
      </c>
      <c r="B240" s="2037">
        <f t="shared" ref="B240:B248" si="18">(C240-C239)</f>
        <v>2299.4</v>
      </c>
      <c r="C240" s="457">
        <v>6019</v>
      </c>
      <c r="D240" s="2037">
        <f t="shared" ref="D240:D249" si="19">E240-E239</f>
        <v>180.7</v>
      </c>
      <c r="E240" s="163">
        <v>326.39999999999998</v>
      </c>
    </row>
    <row r="241" spans="1:5">
      <c r="A241" s="85">
        <f t="shared" si="17"/>
        <v>2011.04</v>
      </c>
      <c r="B241" s="2037">
        <f t="shared" si="18"/>
        <v>2267.8999999999996</v>
      </c>
      <c r="C241" s="457">
        <v>8286.9</v>
      </c>
      <c r="D241" s="2037">
        <f t="shared" si="19"/>
        <v>195.80000000000007</v>
      </c>
      <c r="E241" s="163">
        <v>522.20000000000005</v>
      </c>
    </row>
    <row r="242" spans="1:5">
      <c r="A242" s="85">
        <f t="shared" si="17"/>
        <v>2011.05</v>
      </c>
      <c r="B242" s="2037">
        <f t="shared" si="18"/>
        <v>2419</v>
      </c>
      <c r="C242" s="457">
        <v>10705.9</v>
      </c>
      <c r="D242" s="2037">
        <f t="shared" si="19"/>
        <v>214.19999999999993</v>
      </c>
      <c r="E242" s="163">
        <v>736.4</v>
      </c>
    </row>
    <row r="243" spans="1:5">
      <c r="A243" s="85">
        <f t="shared" si="17"/>
        <v>2011.06</v>
      </c>
      <c r="B243" s="2037">
        <f t="shared" si="18"/>
        <v>3188</v>
      </c>
      <c r="C243" s="457">
        <v>13893.9</v>
      </c>
      <c r="D243" s="2037">
        <f t="shared" si="19"/>
        <v>215</v>
      </c>
      <c r="E243" s="163">
        <v>951.4</v>
      </c>
    </row>
    <row r="244" spans="1:5">
      <c r="A244" s="85">
        <f t="shared" si="17"/>
        <v>2011.07</v>
      </c>
      <c r="B244" s="2037">
        <f t="shared" si="18"/>
        <v>2443.2000000000007</v>
      </c>
      <c r="C244" s="457">
        <v>16337.1</v>
      </c>
      <c r="D244" s="2037">
        <f t="shared" si="19"/>
        <v>172.39999999999998</v>
      </c>
      <c r="E244" s="163">
        <v>1123.8</v>
      </c>
    </row>
    <row r="245" spans="1:5">
      <c r="A245" s="85">
        <f t="shared" si="17"/>
        <v>2011.08</v>
      </c>
      <c r="B245" s="2037">
        <f t="shared" si="18"/>
        <v>2476.4999999999982</v>
      </c>
      <c r="C245" s="457">
        <v>18813.599999999999</v>
      </c>
      <c r="D245" s="2037">
        <f t="shared" si="19"/>
        <v>210.60000000000014</v>
      </c>
      <c r="E245" s="163">
        <v>1334.4</v>
      </c>
    </row>
    <row r="246" spans="1:5">
      <c r="A246" s="85">
        <f t="shared" si="17"/>
        <v>2011.09</v>
      </c>
      <c r="B246" s="2037">
        <f t="shared" si="18"/>
        <v>1695.5</v>
      </c>
      <c r="C246" s="457">
        <v>20509.099999999999</v>
      </c>
      <c r="D246" s="2037">
        <f t="shared" si="19"/>
        <v>176.09999999999991</v>
      </c>
      <c r="E246" s="163">
        <v>1510.5</v>
      </c>
    </row>
    <row r="247" spans="1:5">
      <c r="A247" s="85">
        <f t="shared" si="17"/>
        <v>2011.1</v>
      </c>
      <c r="B247" s="2037">
        <f t="shared" si="18"/>
        <v>3191.2000000000007</v>
      </c>
      <c r="C247" s="457">
        <v>23700.3</v>
      </c>
      <c r="D247" s="2037">
        <f t="shared" si="19"/>
        <v>208.59999999999991</v>
      </c>
      <c r="E247" s="163">
        <v>1719.1</v>
      </c>
    </row>
    <row r="248" spans="1:5">
      <c r="A248" s="85">
        <f t="shared" si="17"/>
        <v>2011.11</v>
      </c>
      <c r="B248" s="2037">
        <f t="shared" si="18"/>
        <v>2678.6000000000022</v>
      </c>
      <c r="C248" s="457">
        <v>26378.9</v>
      </c>
      <c r="D248" s="2037">
        <f t="shared" si="19"/>
        <v>173</v>
      </c>
      <c r="E248" s="163">
        <v>1892.1</v>
      </c>
    </row>
    <row r="249" spans="1:5">
      <c r="A249" s="85">
        <f t="shared" si="17"/>
        <v>2011.12</v>
      </c>
      <c r="B249" s="2037">
        <f>(C249-C248)</f>
        <v>3948.0544749699984</v>
      </c>
      <c r="C249" s="457">
        <v>30326.95447497</v>
      </c>
      <c r="D249" s="2037">
        <f t="shared" si="19"/>
        <v>425.96129078000013</v>
      </c>
      <c r="E249" s="163">
        <v>2318.06129078</v>
      </c>
    </row>
    <row r="250" spans="1:5">
      <c r="A250" s="85">
        <f t="shared" si="17"/>
        <v>2012.01</v>
      </c>
      <c r="B250" s="2037">
        <f>C250</f>
        <v>2271.94</v>
      </c>
      <c r="C250" s="457">
        <v>2271.94</v>
      </c>
      <c r="D250" s="2037">
        <f>E250</f>
        <v>89.8</v>
      </c>
      <c r="E250" s="163">
        <v>89.8</v>
      </c>
    </row>
    <row r="251" spans="1:5">
      <c r="A251" s="85">
        <f t="shared" si="17"/>
        <v>2012.02</v>
      </c>
      <c r="B251" s="2037">
        <f>(C251-C250)</f>
        <v>2307.7999999999997</v>
      </c>
      <c r="C251" s="457">
        <v>4579.74</v>
      </c>
      <c r="D251" s="2037">
        <f>E251-E250</f>
        <v>83.95</v>
      </c>
      <c r="E251" s="163">
        <v>173.75</v>
      </c>
    </row>
    <row r="252" spans="1:5">
      <c r="A252" s="85">
        <f t="shared" si="17"/>
        <v>2012.03</v>
      </c>
      <c r="B252" s="2037">
        <f t="shared" ref="B252:B261" si="20">(C252-C251)</f>
        <v>2603.38</v>
      </c>
      <c r="C252" s="457">
        <v>7183.12</v>
      </c>
      <c r="D252" s="2037">
        <f t="shared" ref="D252:D261" si="21">E252-E251</f>
        <v>128.12</v>
      </c>
      <c r="E252" s="163">
        <v>301.87</v>
      </c>
    </row>
    <row r="253" spans="1:5">
      <c r="A253" s="85">
        <f t="shared" si="17"/>
        <v>2012.04</v>
      </c>
      <c r="B253" s="2037">
        <f>(C253-C252)</f>
        <v>2825.0199999999995</v>
      </c>
      <c r="C253" s="457">
        <v>10008.14</v>
      </c>
      <c r="D253" s="2037">
        <f t="shared" si="21"/>
        <v>117.46999999999997</v>
      </c>
      <c r="E253" s="163">
        <v>419.34</v>
      </c>
    </row>
    <row r="254" spans="1:5">
      <c r="A254" s="85">
        <f t="shared" si="17"/>
        <v>2012.05</v>
      </c>
      <c r="B254" s="2037">
        <f>(C254-C253)</f>
        <v>2880.9300000000003</v>
      </c>
      <c r="C254" s="457">
        <v>12889.07</v>
      </c>
      <c r="D254" s="2037">
        <f t="shared" si="21"/>
        <v>171.49000000000007</v>
      </c>
      <c r="E254" s="163">
        <v>590.83000000000004</v>
      </c>
    </row>
    <row r="255" spans="1:5">
      <c r="A255" s="85">
        <f t="shared" si="17"/>
        <v>2012.06</v>
      </c>
      <c r="B255" s="2037">
        <f t="shared" si="20"/>
        <v>3643.0699999999997</v>
      </c>
      <c r="C255" s="457">
        <v>16532.14</v>
      </c>
      <c r="D255" s="2037">
        <f t="shared" si="21"/>
        <v>173.33999999999992</v>
      </c>
      <c r="E255" s="163">
        <v>764.17</v>
      </c>
    </row>
    <row r="256" spans="1:5">
      <c r="A256" s="85">
        <f t="shared" si="17"/>
        <v>2012.07</v>
      </c>
      <c r="B256" s="2037">
        <f t="shared" si="20"/>
        <v>2959.4300000000003</v>
      </c>
      <c r="C256" s="457">
        <v>19491.57</v>
      </c>
      <c r="D256" s="2037">
        <f t="shared" si="21"/>
        <v>136.72000000000003</v>
      </c>
      <c r="E256" s="163">
        <v>900.89</v>
      </c>
    </row>
    <row r="257" spans="1:5">
      <c r="A257" s="85">
        <f t="shared" si="17"/>
        <v>2012.08</v>
      </c>
      <c r="B257" s="2037">
        <f t="shared" si="20"/>
        <v>2946.4399999999987</v>
      </c>
      <c r="C257" s="457">
        <v>22438.01</v>
      </c>
      <c r="D257" s="2037">
        <f t="shared" si="21"/>
        <v>148.84000000000003</v>
      </c>
      <c r="E257" s="163">
        <v>1049.73</v>
      </c>
    </row>
    <row r="258" spans="1:5">
      <c r="A258" s="85">
        <f t="shared" si="17"/>
        <v>2012.09</v>
      </c>
      <c r="B258" s="2037">
        <f t="shared" si="20"/>
        <v>3054.16</v>
      </c>
      <c r="C258" s="457">
        <v>25492.17</v>
      </c>
      <c r="D258" s="2037">
        <f t="shared" si="21"/>
        <v>120.48000000000002</v>
      </c>
      <c r="E258" s="163">
        <v>1170.21</v>
      </c>
    </row>
    <row r="259" spans="1:5">
      <c r="A259" s="85">
        <f t="shared" si="17"/>
        <v>2012.1</v>
      </c>
      <c r="B259" s="2037">
        <f t="shared" si="20"/>
        <v>3037.6200000000026</v>
      </c>
      <c r="C259" s="457">
        <v>28529.79</v>
      </c>
      <c r="D259" s="2037">
        <f t="shared" si="21"/>
        <v>174.75</v>
      </c>
      <c r="E259" s="163">
        <v>1344.96</v>
      </c>
    </row>
    <row r="260" spans="1:5">
      <c r="A260" s="85">
        <f t="shared" si="17"/>
        <v>2012.11</v>
      </c>
      <c r="B260" s="2037">
        <f t="shared" si="20"/>
        <v>3038.1800000000003</v>
      </c>
      <c r="C260" s="457">
        <v>31567.97</v>
      </c>
      <c r="D260" s="2037">
        <f t="shared" si="21"/>
        <v>93.139999999999873</v>
      </c>
      <c r="E260" s="163">
        <v>1438.1</v>
      </c>
    </row>
    <row r="261" spans="1:5">
      <c r="A261" s="85">
        <f t="shared" si="17"/>
        <v>2012.12</v>
      </c>
      <c r="B261" s="2037">
        <f t="shared" si="20"/>
        <v>4652.4327891799985</v>
      </c>
      <c r="C261" s="457">
        <v>36220.40278918</v>
      </c>
      <c r="D261" s="2037">
        <f t="shared" si="21"/>
        <v>222.80603122000002</v>
      </c>
      <c r="E261" s="163">
        <v>1660.9060312199999</v>
      </c>
    </row>
    <row r="262" spans="1:5">
      <c r="A262" s="85">
        <f t="shared" si="17"/>
        <v>2013.01</v>
      </c>
      <c r="B262" s="2037">
        <f>C262</f>
        <v>2867.3</v>
      </c>
      <c r="C262" s="457">
        <v>2867.3</v>
      </c>
      <c r="D262" s="2037">
        <f>E262</f>
        <v>90.04</v>
      </c>
      <c r="E262" s="163">
        <v>90.04</v>
      </c>
    </row>
    <row r="263" spans="1:5">
      <c r="A263" s="85">
        <f t="shared" si="17"/>
        <v>2013.02</v>
      </c>
      <c r="B263" s="2037">
        <f>(C263-C262)</f>
        <v>2838.42</v>
      </c>
      <c r="C263" s="457">
        <v>5705.72</v>
      </c>
      <c r="D263" s="2037">
        <f>E263-E262</f>
        <v>59.84999999999998</v>
      </c>
      <c r="E263" s="163">
        <v>149.88999999999999</v>
      </c>
    </row>
    <row r="264" spans="1:5">
      <c r="A264" s="85">
        <f t="shared" si="17"/>
        <v>2013.03</v>
      </c>
      <c r="B264" s="2037">
        <f t="shared" ref="B264:B273" si="22">(C264-C263)</f>
        <v>3387.12</v>
      </c>
      <c r="C264" s="457">
        <v>9092.84</v>
      </c>
      <c r="D264" s="2037">
        <f t="shared" ref="D264:D273" si="23">E264-E263</f>
        <v>141.42000000000002</v>
      </c>
      <c r="E264" s="163">
        <v>291.31</v>
      </c>
    </row>
    <row r="265" spans="1:5">
      <c r="A265" s="85">
        <f t="shared" si="17"/>
        <v>2013.04</v>
      </c>
      <c r="B265" s="2037">
        <f t="shared" si="22"/>
        <v>3499.74</v>
      </c>
      <c r="C265" s="457">
        <v>12592.58</v>
      </c>
      <c r="D265" s="2037">
        <f t="shared" si="23"/>
        <v>151.88</v>
      </c>
      <c r="E265" s="163">
        <v>443.19</v>
      </c>
    </row>
    <row r="266" spans="1:5">
      <c r="A266" s="85">
        <f t="shared" ref="A266:A329" si="24">A254+1</f>
        <v>2013.05</v>
      </c>
      <c r="B266" s="2037">
        <f t="shared" si="22"/>
        <v>3636.58</v>
      </c>
      <c r="C266" s="457">
        <v>16229.16</v>
      </c>
      <c r="D266" s="2037">
        <f t="shared" si="23"/>
        <v>245.98999999999995</v>
      </c>
      <c r="E266" s="163">
        <v>689.18</v>
      </c>
    </row>
    <row r="267" spans="1:5">
      <c r="A267" s="85">
        <f t="shared" si="24"/>
        <v>2013.06</v>
      </c>
      <c r="B267" s="2037">
        <f t="shared" si="22"/>
        <v>4594.93</v>
      </c>
      <c r="C267" s="457">
        <v>20824.09</v>
      </c>
      <c r="D267" s="2037">
        <f t="shared" si="23"/>
        <v>189.73000000000002</v>
      </c>
      <c r="E267" s="163">
        <v>878.91</v>
      </c>
    </row>
    <row r="268" spans="1:5">
      <c r="A268" s="85">
        <f t="shared" si="24"/>
        <v>2013.07</v>
      </c>
      <c r="B268" s="2037">
        <f t="shared" si="22"/>
        <v>3910.7999999999993</v>
      </c>
      <c r="C268" s="457">
        <v>24734.89</v>
      </c>
      <c r="D268" s="2037">
        <f t="shared" si="23"/>
        <v>229.65999999999997</v>
      </c>
      <c r="E268" s="163">
        <v>1108.57</v>
      </c>
    </row>
    <row r="269" spans="1:5">
      <c r="A269" s="85">
        <f t="shared" si="24"/>
        <v>2013.08</v>
      </c>
      <c r="B269" s="2037">
        <f t="shared" si="22"/>
        <v>4045.7799999999988</v>
      </c>
      <c r="C269" s="457">
        <v>28780.67</v>
      </c>
      <c r="D269" s="2037">
        <f t="shared" si="23"/>
        <v>305.75</v>
      </c>
      <c r="E269" s="163">
        <v>1414.32</v>
      </c>
    </row>
    <row r="270" spans="1:5">
      <c r="A270" s="85">
        <f t="shared" si="24"/>
        <v>2013.09</v>
      </c>
      <c r="B270" s="2037">
        <f t="shared" si="22"/>
        <v>4024.2200000000012</v>
      </c>
      <c r="C270" s="457">
        <v>32804.89</v>
      </c>
      <c r="D270" s="2037">
        <f t="shared" si="23"/>
        <v>230.06000000000017</v>
      </c>
      <c r="E270" s="163">
        <v>1644.38</v>
      </c>
    </row>
    <row r="271" spans="1:5">
      <c r="A271" s="85">
        <f t="shared" si="24"/>
        <v>2013.1</v>
      </c>
      <c r="B271" s="2037">
        <f t="shared" si="22"/>
        <v>4162.0200000000041</v>
      </c>
      <c r="C271" s="457">
        <v>36966.910000000003</v>
      </c>
      <c r="D271" s="2037">
        <f t="shared" si="23"/>
        <v>246.03999999999996</v>
      </c>
      <c r="E271" s="163">
        <v>1890.42</v>
      </c>
    </row>
    <row r="272" spans="1:5">
      <c r="A272" s="85">
        <f t="shared" si="24"/>
        <v>2013.11</v>
      </c>
      <c r="B272" s="2037">
        <f t="shared" si="22"/>
        <v>4053.8099999999977</v>
      </c>
      <c r="C272" s="457">
        <v>41020.720000000001</v>
      </c>
      <c r="D272" s="2037">
        <f t="shared" si="23"/>
        <v>229.05000000000018</v>
      </c>
      <c r="E272" s="163">
        <v>2119.4700000000003</v>
      </c>
    </row>
    <row r="273" spans="1:5">
      <c r="A273" s="85">
        <f t="shared" si="24"/>
        <v>2013.12</v>
      </c>
      <c r="B273" s="2037">
        <f t="shared" si="22"/>
        <v>6476.4723696900037</v>
      </c>
      <c r="C273" s="457">
        <v>47497.192369690005</v>
      </c>
      <c r="D273" s="2037">
        <f t="shared" si="23"/>
        <v>556.3636004</v>
      </c>
      <c r="E273" s="163">
        <v>2675.8336004000003</v>
      </c>
    </row>
    <row r="274" spans="1:5">
      <c r="A274" s="85">
        <f t="shared" si="24"/>
        <v>2014.01</v>
      </c>
      <c r="B274" s="2037">
        <f>C274</f>
        <v>3809.65</v>
      </c>
      <c r="C274" s="457">
        <v>3809.65</v>
      </c>
      <c r="D274" s="2037">
        <f>E274</f>
        <v>95.75</v>
      </c>
      <c r="E274" s="163">
        <v>95.75</v>
      </c>
    </row>
    <row r="275" spans="1:5">
      <c r="A275" s="85">
        <f t="shared" si="24"/>
        <v>2014.02</v>
      </c>
      <c r="B275" s="2037">
        <f t="shared" ref="B275:B285" si="25">(C275-C274)</f>
        <v>4138.6399999999994</v>
      </c>
      <c r="C275" s="457">
        <v>7948.29</v>
      </c>
      <c r="D275" s="2037">
        <f>E275-E274</f>
        <v>189.97000000000003</v>
      </c>
      <c r="E275" s="163">
        <v>285.72000000000003</v>
      </c>
    </row>
    <row r="276" spans="1:5">
      <c r="A276" s="85">
        <f t="shared" si="24"/>
        <v>2014.03</v>
      </c>
      <c r="B276" s="2037">
        <f t="shared" si="25"/>
        <v>4897.54</v>
      </c>
      <c r="C276" s="457">
        <v>12845.83</v>
      </c>
      <c r="D276" s="2037">
        <f t="shared" ref="D276:D285" si="26">E276-E275</f>
        <v>196.97500000000002</v>
      </c>
      <c r="E276" s="163">
        <v>482.69500000000005</v>
      </c>
    </row>
    <row r="277" spans="1:5">
      <c r="A277" s="85">
        <f t="shared" si="24"/>
        <v>2014.04</v>
      </c>
      <c r="B277" s="2037">
        <f t="shared" si="25"/>
        <v>4718.1999999999989</v>
      </c>
      <c r="C277" s="457">
        <v>17564.03</v>
      </c>
      <c r="D277" s="2037">
        <f t="shared" si="26"/>
        <v>288.18999999999994</v>
      </c>
      <c r="E277" s="163">
        <v>770.88499999999999</v>
      </c>
    </row>
    <row r="278" spans="1:5">
      <c r="A278" s="85">
        <f t="shared" si="24"/>
        <v>2014.05</v>
      </c>
      <c r="B278" s="2037">
        <f t="shared" si="25"/>
        <v>5185.260000000002</v>
      </c>
      <c r="C278" s="457">
        <v>22749.29</v>
      </c>
      <c r="D278" s="2037">
        <f t="shared" si="26"/>
        <v>338.09699999999998</v>
      </c>
      <c r="E278" s="163">
        <v>1108.982</v>
      </c>
    </row>
    <row r="279" spans="1:5">
      <c r="A279" s="85">
        <f t="shared" si="24"/>
        <v>2014.06</v>
      </c>
      <c r="B279" s="2037">
        <f t="shared" si="25"/>
        <v>6390.98</v>
      </c>
      <c r="C279" s="457">
        <v>29140.27</v>
      </c>
      <c r="D279" s="2037">
        <f t="shared" si="26"/>
        <v>365.45000000000005</v>
      </c>
      <c r="E279" s="163">
        <v>1474.432</v>
      </c>
    </row>
    <row r="280" spans="1:5">
      <c r="A280" s="85">
        <f t="shared" si="24"/>
        <v>2014.07</v>
      </c>
      <c r="B280" s="2037">
        <f t="shared" si="25"/>
        <v>5492.7199999999975</v>
      </c>
      <c r="C280" s="457">
        <v>34632.99</v>
      </c>
      <c r="D280" s="2037">
        <f t="shared" si="26"/>
        <v>439.23700000000008</v>
      </c>
      <c r="E280" s="163">
        <v>1913.6690000000001</v>
      </c>
    </row>
    <row r="281" spans="1:5">
      <c r="A281" s="85">
        <f t="shared" si="24"/>
        <v>2014.08</v>
      </c>
      <c r="B281" s="2037">
        <f t="shared" si="25"/>
        <v>5365.7700000000041</v>
      </c>
      <c r="C281" s="457">
        <v>39998.76</v>
      </c>
      <c r="D281" s="2037">
        <f t="shared" si="26"/>
        <v>351.8309999999999</v>
      </c>
      <c r="E281" s="163">
        <v>2265.5</v>
      </c>
    </row>
    <row r="282" spans="1:5">
      <c r="A282" s="85">
        <f t="shared" si="24"/>
        <v>2014.09</v>
      </c>
      <c r="B282" s="2037">
        <f t="shared" si="25"/>
        <v>5464.2599999999948</v>
      </c>
      <c r="C282" s="457">
        <v>45463.02</v>
      </c>
      <c r="D282" s="2037">
        <f t="shared" si="26"/>
        <v>417.20899999999983</v>
      </c>
      <c r="E282" s="163">
        <v>2682.7089999999998</v>
      </c>
    </row>
    <row r="283" spans="1:5">
      <c r="A283" s="85">
        <f t="shared" si="24"/>
        <v>2014.1</v>
      </c>
      <c r="B283" s="2037">
        <f t="shared" si="25"/>
        <v>5817.8800000000047</v>
      </c>
      <c r="C283" s="457">
        <v>51280.9</v>
      </c>
      <c r="D283" s="2037">
        <f t="shared" si="26"/>
        <v>482.79300000000012</v>
      </c>
      <c r="E283" s="163">
        <v>3165.502</v>
      </c>
    </row>
    <row r="284" spans="1:5">
      <c r="A284" s="85">
        <f t="shared" si="24"/>
        <v>2014.11</v>
      </c>
      <c r="B284" s="2037">
        <f t="shared" si="25"/>
        <v>5698.3899999999994</v>
      </c>
      <c r="C284" s="457">
        <v>56979.29</v>
      </c>
      <c r="D284" s="2037">
        <f t="shared" si="26"/>
        <v>356.82900000000018</v>
      </c>
      <c r="E284" s="163">
        <v>3522.3310000000001</v>
      </c>
    </row>
    <row r="285" spans="1:5">
      <c r="A285" s="85">
        <f t="shared" si="24"/>
        <v>2014.12</v>
      </c>
      <c r="B285" s="2037">
        <f t="shared" si="25"/>
        <v>8808.4075939999966</v>
      </c>
      <c r="C285" s="457">
        <v>65787.697593999997</v>
      </c>
      <c r="D285" s="2037">
        <f t="shared" si="26"/>
        <v>822.58662691999962</v>
      </c>
      <c r="E285" s="163">
        <v>4344.9176269199997</v>
      </c>
    </row>
    <row r="286" spans="1:5">
      <c r="A286" s="85">
        <f t="shared" si="24"/>
        <v>2015.01</v>
      </c>
      <c r="B286" s="2037">
        <f>C286</f>
        <v>5255.94</v>
      </c>
      <c r="C286" s="457">
        <v>5255.94</v>
      </c>
      <c r="D286" s="2037">
        <f>E286</f>
        <v>300.14999999999998</v>
      </c>
      <c r="E286" s="844">
        <v>300.14999999999998</v>
      </c>
    </row>
    <row r="287" spans="1:5">
      <c r="A287" s="85">
        <f t="shared" si="24"/>
        <v>2015.02</v>
      </c>
      <c r="B287" s="2037">
        <f>(C287-C286)</f>
        <v>5370.4900000000007</v>
      </c>
      <c r="C287" s="457">
        <v>10626.43</v>
      </c>
      <c r="D287" s="2037">
        <f>E287-E286</f>
        <v>287.99</v>
      </c>
      <c r="E287" s="844">
        <v>588.14</v>
      </c>
    </row>
    <row r="288" spans="1:5">
      <c r="A288" s="85">
        <f t="shared" si="24"/>
        <v>2015.03</v>
      </c>
      <c r="B288" s="2037">
        <f t="shared" ref="B288:B297" si="27">(C288-C287)</f>
        <v>6030.1699999999983</v>
      </c>
      <c r="C288" s="457">
        <v>16656.599999999999</v>
      </c>
      <c r="D288" s="2037">
        <f t="shared" ref="D288:D297" si="28">E288-E287</f>
        <v>637.94999999999993</v>
      </c>
      <c r="E288" s="844">
        <v>1226.0899999999999</v>
      </c>
    </row>
    <row r="289" spans="1:5">
      <c r="A289" s="85">
        <f t="shared" si="24"/>
        <v>2015.04</v>
      </c>
      <c r="B289" s="2037">
        <f t="shared" si="27"/>
        <v>7475.9700000000012</v>
      </c>
      <c r="C289" s="457">
        <v>24132.57</v>
      </c>
      <c r="D289" s="2037">
        <f t="shared" si="28"/>
        <v>551.98</v>
      </c>
      <c r="E289" s="844">
        <v>1778.07</v>
      </c>
    </row>
    <row r="290" spans="1:5">
      <c r="A290" s="85">
        <f t="shared" si="24"/>
        <v>2015.05</v>
      </c>
      <c r="B290" s="2037">
        <f>(C290-C289)</f>
        <v>7302.98</v>
      </c>
      <c r="C290" s="457">
        <v>31435.55</v>
      </c>
      <c r="D290" s="2037">
        <f t="shared" si="28"/>
        <v>638.04999999999995</v>
      </c>
      <c r="E290" s="844">
        <v>2416.12</v>
      </c>
    </row>
    <row r="291" spans="1:5">
      <c r="A291" s="85">
        <f t="shared" si="24"/>
        <v>2015.06</v>
      </c>
      <c r="B291" s="2037">
        <f t="shared" si="27"/>
        <v>8949.73</v>
      </c>
      <c r="C291" s="457">
        <v>40385.279999999999</v>
      </c>
      <c r="D291" s="2037">
        <f t="shared" si="28"/>
        <v>587.76000000000022</v>
      </c>
      <c r="E291" s="844">
        <v>3003.88</v>
      </c>
    </row>
    <row r="292" spans="1:5">
      <c r="A292" s="85">
        <f t="shared" si="24"/>
        <v>2015.07</v>
      </c>
      <c r="B292" s="2037">
        <f t="shared" si="27"/>
        <v>7733.7000000000044</v>
      </c>
      <c r="C292" s="457">
        <v>48118.98</v>
      </c>
      <c r="D292" s="2037">
        <f t="shared" si="28"/>
        <v>667.36999999999989</v>
      </c>
      <c r="E292" s="844">
        <v>3671.25</v>
      </c>
    </row>
    <row r="293" spans="1:5">
      <c r="A293" s="85">
        <f t="shared" si="24"/>
        <v>2015.08</v>
      </c>
      <c r="B293" s="2037">
        <f>(C293-C292)</f>
        <v>7446.0599999999977</v>
      </c>
      <c r="C293" s="457">
        <v>55565.04</v>
      </c>
      <c r="D293" s="2037">
        <f t="shared" si="28"/>
        <v>552.47000000000025</v>
      </c>
      <c r="E293" s="844">
        <v>4223.72</v>
      </c>
    </row>
    <row r="294" spans="1:5">
      <c r="A294" s="85">
        <f t="shared" si="24"/>
        <v>2015.09</v>
      </c>
      <c r="B294" s="2037">
        <f t="shared" si="27"/>
        <v>7791.5169999999998</v>
      </c>
      <c r="C294" s="457">
        <v>63356.557000000001</v>
      </c>
      <c r="D294" s="2037">
        <f t="shared" si="28"/>
        <v>685.18599999999969</v>
      </c>
      <c r="E294" s="844">
        <v>4908.9059999999999</v>
      </c>
    </row>
    <row r="295" spans="1:5">
      <c r="A295" s="85">
        <f t="shared" si="24"/>
        <v>2015.1</v>
      </c>
      <c r="B295" s="2037">
        <f t="shared" si="27"/>
        <v>7607.7509999999893</v>
      </c>
      <c r="C295" s="457">
        <v>70964.30799999999</v>
      </c>
      <c r="D295" s="2037">
        <f t="shared" si="28"/>
        <v>461.47199999999975</v>
      </c>
      <c r="E295" s="844">
        <v>5370.3779999999997</v>
      </c>
    </row>
    <row r="296" spans="1:5">
      <c r="A296" s="85">
        <f t="shared" si="24"/>
        <v>2015.11</v>
      </c>
      <c r="B296" s="2037">
        <f t="shared" si="27"/>
        <v>7545.9120000000112</v>
      </c>
      <c r="C296" s="457">
        <v>78510.22</v>
      </c>
      <c r="D296" s="2037">
        <f>E296-E295</f>
        <v>467.8720000000003</v>
      </c>
      <c r="E296" s="844">
        <v>5838.25</v>
      </c>
    </row>
    <row r="297" spans="1:5">
      <c r="A297" s="85">
        <f t="shared" si="24"/>
        <v>2015.12</v>
      </c>
      <c r="B297" s="2037">
        <f t="shared" si="27"/>
        <v>11917.869999999995</v>
      </c>
      <c r="C297" s="457">
        <v>90428.09</v>
      </c>
      <c r="D297" s="2037">
        <f t="shared" si="28"/>
        <v>1171.1400000000003</v>
      </c>
      <c r="E297" s="844">
        <v>7009.39</v>
      </c>
    </row>
    <row r="298" spans="1:5">
      <c r="A298" s="85">
        <f t="shared" si="24"/>
        <v>2016.01</v>
      </c>
      <c r="B298" s="2037">
        <f>C298</f>
        <v>7549.71</v>
      </c>
      <c r="C298" s="457">
        <v>7549.71</v>
      </c>
      <c r="D298" s="2037">
        <f>E298</f>
        <v>212.96900000000002</v>
      </c>
      <c r="E298" s="844">
        <v>212.96900000000002</v>
      </c>
    </row>
    <row r="299" spans="1:5">
      <c r="A299" s="85">
        <f t="shared" si="24"/>
        <v>2016.02</v>
      </c>
      <c r="B299" s="2037">
        <f>(C299-C298)</f>
        <v>7064.9880000000003</v>
      </c>
      <c r="C299" s="457">
        <v>14614.698</v>
      </c>
      <c r="D299" s="2037">
        <f>E299-E298</f>
        <v>348.76400000000001</v>
      </c>
      <c r="E299" s="844">
        <v>561.73300000000006</v>
      </c>
    </row>
    <row r="300" spans="1:5">
      <c r="A300" s="85">
        <f t="shared" si="24"/>
        <v>2016.03</v>
      </c>
      <c r="B300" s="2037">
        <f t="shared" ref="B300:B307" si="29">(C300-C299)</f>
        <v>9040.732</v>
      </c>
      <c r="C300" s="457">
        <v>23655.43</v>
      </c>
      <c r="D300" s="2037">
        <f t="shared" ref="D300:D309" si="30">E300-E299</f>
        <v>658.54699999999991</v>
      </c>
      <c r="E300" s="844">
        <v>1220.28</v>
      </c>
    </row>
    <row r="301" spans="1:5">
      <c r="A301" s="85">
        <f t="shared" si="24"/>
        <v>2016.04</v>
      </c>
      <c r="B301" s="2037">
        <f t="shared" si="29"/>
        <v>9210.9499999999971</v>
      </c>
      <c r="C301" s="457">
        <v>32866.379999999997</v>
      </c>
      <c r="D301" s="2037">
        <f t="shared" si="30"/>
        <v>565.51</v>
      </c>
      <c r="E301" s="844">
        <v>1785.79</v>
      </c>
    </row>
    <row r="302" spans="1:5">
      <c r="A302" s="85">
        <f t="shared" si="24"/>
        <v>2016.05</v>
      </c>
      <c r="B302" s="2037">
        <f t="shared" si="29"/>
        <v>9412.5</v>
      </c>
      <c r="C302" s="457">
        <v>42278.879999999997</v>
      </c>
      <c r="D302" s="2037">
        <f t="shared" si="30"/>
        <v>705.65999999999985</v>
      </c>
      <c r="E302" s="844">
        <v>2491.4499999999998</v>
      </c>
    </row>
    <row r="303" spans="1:5">
      <c r="A303" s="85">
        <f t="shared" si="24"/>
        <v>2016.06</v>
      </c>
      <c r="B303" s="2037">
        <f t="shared" si="29"/>
        <v>12223.170000000006</v>
      </c>
      <c r="C303" s="457">
        <v>54502.05</v>
      </c>
      <c r="D303" s="2037">
        <f t="shared" si="30"/>
        <v>846</v>
      </c>
      <c r="E303" s="844">
        <v>3337.45</v>
      </c>
    </row>
    <row r="304" spans="1:5">
      <c r="A304" s="85">
        <f t="shared" si="24"/>
        <v>2016.07</v>
      </c>
      <c r="B304" s="2037">
        <f t="shared" si="29"/>
        <v>10491.830000000002</v>
      </c>
      <c r="C304" s="457">
        <v>64993.880000000005</v>
      </c>
      <c r="D304" s="2037">
        <f t="shared" si="30"/>
        <v>916.19599999999991</v>
      </c>
      <c r="E304" s="844">
        <v>4253.6459999999997</v>
      </c>
    </row>
    <row r="305" spans="1:5">
      <c r="A305" s="85">
        <f t="shared" si="24"/>
        <v>2016.08</v>
      </c>
      <c r="B305" s="2037">
        <f t="shared" si="29"/>
        <v>10777.135000000009</v>
      </c>
      <c r="C305" s="457">
        <v>75771.015000000014</v>
      </c>
      <c r="D305" s="2037">
        <f t="shared" si="30"/>
        <v>924.71300000000065</v>
      </c>
      <c r="E305" s="844">
        <v>5178.3590000000004</v>
      </c>
    </row>
    <row r="306" spans="1:5">
      <c r="A306" s="85">
        <f t="shared" si="24"/>
        <v>2016.09</v>
      </c>
      <c r="B306" s="2037">
        <f t="shared" si="29"/>
        <v>10368.755999999994</v>
      </c>
      <c r="C306" s="457">
        <v>86139.771000000008</v>
      </c>
      <c r="D306" s="2037">
        <f t="shared" si="30"/>
        <v>970.26000000000022</v>
      </c>
      <c r="E306" s="844">
        <v>6148.6190000000006</v>
      </c>
    </row>
    <row r="307" spans="1:5">
      <c r="A307" s="85">
        <f t="shared" si="24"/>
        <v>2016.1</v>
      </c>
      <c r="B307" s="2037">
        <f t="shared" si="29"/>
        <v>10451.448999999993</v>
      </c>
      <c r="C307" s="457">
        <v>96591.22</v>
      </c>
      <c r="D307" s="2037">
        <f t="shared" si="30"/>
        <v>882.18099999999959</v>
      </c>
      <c r="E307" s="844">
        <v>7030.8</v>
      </c>
    </row>
    <row r="308" spans="1:5">
      <c r="A308" s="85">
        <f t="shared" si="24"/>
        <v>2016.11</v>
      </c>
      <c r="B308" s="2037">
        <f t="shared" ref="B308:B330" si="31">(C308-C307)</f>
        <v>11535.613000000012</v>
      </c>
      <c r="C308" s="457">
        <v>108126.83300000001</v>
      </c>
      <c r="D308" s="2037">
        <f t="shared" si="30"/>
        <v>1266.6559999999999</v>
      </c>
      <c r="E308" s="844">
        <v>8297.4560000000001</v>
      </c>
    </row>
    <row r="309" spans="1:5">
      <c r="A309" s="85">
        <f t="shared" si="24"/>
        <v>2016.12</v>
      </c>
      <c r="B309" s="2037">
        <f t="shared" si="31"/>
        <v>15985.57699999999</v>
      </c>
      <c r="C309" s="457">
        <v>124112.41</v>
      </c>
      <c r="D309" s="2037">
        <f t="shared" si="30"/>
        <v>2298.7839999999997</v>
      </c>
      <c r="E309" s="844">
        <v>10596.24</v>
      </c>
    </row>
    <row r="310" spans="1:5">
      <c r="A310" s="85">
        <f t="shared" si="24"/>
        <v>2017.01</v>
      </c>
      <c r="B310" s="2037">
        <f>C310</f>
        <v>10735.600175</v>
      </c>
      <c r="C310" s="457">
        <v>10735.600175</v>
      </c>
      <c r="D310" s="2037">
        <f>E310</f>
        <v>624.64</v>
      </c>
      <c r="E310" s="844">
        <v>624.64</v>
      </c>
    </row>
    <row r="311" spans="1:5">
      <c r="A311" s="85">
        <f t="shared" si="24"/>
        <v>2017.02</v>
      </c>
      <c r="B311" s="2037">
        <f>(C311-C310)</f>
        <v>10258.581229000003</v>
      </c>
      <c r="C311" s="457">
        <v>20994.181404000003</v>
      </c>
      <c r="D311" s="2037">
        <f>E311-E310</f>
        <v>798.30000000000007</v>
      </c>
      <c r="E311" s="844">
        <v>1422.94</v>
      </c>
    </row>
    <row r="312" spans="1:5">
      <c r="A312" s="85">
        <f t="shared" si="24"/>
        <v>2017.03</v>
      </c>
      <c r="B312" s="2037">
        <f>(C312-C311)</f>
        <v>11467.029264999997</v>
      </c>
      <c r="C312" s="457">
        <v>32461.210669</v>
      </c>
      <c r="D312" s="2037">
        <f t="shared" ref="D312:D321" si="32">E312-E311</f>
        <v>1259.3682849999996</v>
      </c>
      <c r="E312" s="844">
        <v>2682.3082849999996</v>
      </c>
    </row>
    <row r="313" spans="1:5">
      <c r="A313" s="85">
        <f t="shared" si="24"/>
        <v>2017.04</v>
      </c>
      <c r="B313" s="2037">
        <f>(C313-C312)</f>
        <v>12253.179330999999</v>
      </c>
      <c r="C313" s="457">
        <v>44714.39</v>
      </c>
      <c r="D313" s="2037">
        <f t="shared" si="32"/>
        <v>1235.4117150000002</v>
      </c>
      <c r="E313" s="844">
        <v>3917.72</v>
      </c>
    </row>
    <row r="314" spans="1:5">
      <c r="A314" s="85">
        <f t="shared" si="24"/>
        <v>2017.05</v>
      </c>
      <c r="B314" s="2037">
        <f t="shared" si="31"/>
        <v>14093.910000000003</v>
      </c>
      <c r="C314" s="457">
        <v>58808.3</v>
      </c>
      <c r="D314" s="2037">
        <f t="shared" si="32"/>
        <v>1572.2100000000005</v>
      </c>
      <c r="E314" s="844">
        <v>5489.93</v>
      </c>
    </row>
    <row r="315" spans="1:5">
      <c r="A315" s="85">
        <f t="shared" si="24"/>
        <v>2017.06</v>
      </c>
      <c r="B315" s="2037">
        <f t="shared" si="31"/>
        <v>16703.146519999995</v>
      </c>
      <c r="C315" s="457">
        <v>75511.446519999998</v>
      </c>
      <c r="D315" s="2037">
        <f t="shared" si="32"/>
        <v>1740.856628999999</v>
      </c>
      <c r="E315" s="844">
        <v>7230.7866289999993</v>
      </c>
    </row>
    <row r="316" spans="1:5">
      <c r="A316" s="85">
        <f t="shared" si="24"/>
        <v>2017.07</v>
      </c>
      <c r="B316" s="2037">
        <f t="shared" si="31"/>
        <v>13719.269656000019</v>
      </c>
      <c r="C316" s="457">
        <v>89230.716176000016</v>
      </c>
      <c r="D316" s="2037">
        <f t="shared" si="32"/>
        <v>1768.4519549999995</v>
      </c>
      <c r="E316" s="844">
        <v>8999.2385839999988</v>
      </c>
    </row>
    <row r="317" spans="1:5">
      <c r="A317" s="85">
        <f t="shared" si="24"/>
        <v>2017.08</v>
      </c>
      <c r="B317" s="2037">
        <f t="shared" si="31"/>
        <v>14284.213566999999</v>
      </c>
      <c r="C317" s="457">
        <v>103514.92974300002</v>
      </c>
      <c r="D317" s="2037">
        <f t="shared" si="32"/>
        <v>1778.3077110000013</v>
      </c>
      <c r="E317" s="844">
        <v>10777.546295</v>
      </c>
    </row>
    <row r="318" spans="1:5">
      <c r="A318" s="85">
        <f t="shared" si="24"/>
        <v>2017.09</v>
      </c>
      <c r="B318" s="2037">
        <f t="shared" si="31"/>
        <v>14553.372788999957</v>
      </c>
      <c r="C318" s="457">
        <v>118068.30253199997</v>
      </c>
      <c r="D318" s="2037">
        <f t="shared" si="32"/>
        <v>1899.4708810000011</v>
      </c>
      <c r="E318" s="844">
        <v>12677.017176000001</v>
      </c>
    </row>
    <row r="319" spans="1:5">
      <c r="A319" s="85">
        <f t="shared" si="24"/>
        <v>2017.1</v>
      </c>
      <c r="B319" s="2037">
        <f t="shared" si="31"/>
        <v>14659.732977000007</v>
      </c>
      <c r="C319" s="457">
        <v>132728.03550899998</v>
      </c>
      <c r="D319" s="2037">
        <f t="shared" si="32"/>
        <v>1626.4897859999983</v>
      </c>
      <c r="E319" s="844">
        <v>14303.506961999999</v>
      </c>
    </row>
    <row r="320" spans="1:5">
      <c r="A320" s="85">
        <f t="shared" si="24"/>
        <v>2017.11</v>
      </c>
      <c r="B320" s="2037">
        <f t="shared" si="31"/>
        <v>13703.004491000029</v>
      </c>
      <c r="C320" s="457">
        <v>146431.04000000001</v>
      </c>
      <c r="D320" s="2037">
        <f t="shared" si="32"/>
        <v>1663.3330380000007</v>
      </c>
      <c r="E320" s="844">
        <v>15966.84</v>
      </c>
    </row>
    <row r="321" spans="1:5">
      <c r="A321" s="85">
        <f t="shared" si="24"/>
        <v>2017.12</v>
      </c>
      <c r="B321" s="2037">
        <f t="shared" si="31"/>
        <v>21710.104500999994</v>
      </c>
      <c r="C321" s="457">
        <v>168141.144501</v>
      </c>
      <c r="D321" s="2037">
        <f t="shared" si="32"/>
        <v>3474.2190139999984</v>
      </c>
      <c r="E321" s="844">
        <v>19441.059013999999</v>
      </c>
    </row>
    <row r="322" spans="1:5">
      <c r="A322" s="85">
        <f t="shared" si="24"/>
        <v>2018.01</v>
      </c>
      <c r="B322" s="2037">
        <f>C322</f>
        <v>13142.64</v>
      </c>
      <c r="C322" s="457">
        <v>13142.64</v>
      </c>
      <c r="D322" s="2037">
        <f>E322</f>
        <v>615.47</v>
      </c>
      <c r="E322" s="844">
        <v>615.47</v>
      </c>
    </row>
    <row r="323" spans="1:5">
      <c r="A323" s="85">
        <f t="shared" si="24"/>
        <v>2018.02</v>
      </c>
      <c r="B323" s="2037">
        <f t="shared" si="31"/>
        <v>13770.760000000002</v>
      </c>
      <c r="C323" s="457">
        <v>26913.4</v>
      </c>
      <c r="D323" s="2037">
        <f>E323-E322</f>
        <v>1507.22</v>
      </c>
      <c r="E323" s="844">
        <v>2122.69</v>
      </c>
    </row>
    <row r="324" spans="1:5">
      <c r="A324" s="85">
        <f t="shared" si="24"/>
        <v>2018.03</v>
      </c>
      <c r="B324" s="2037">
        <f>(C324-C323)</f>
        <v>15256.470000000001</v>
      </c>
      <c r="C324" s="457">
        <v>42169.87</v>
      </c>
      <c r="D324" s="2037">
        <f t="shared" ref="D324:D333" si="33">E324-E323</f>
        <v>1933.52</v>
      </c>
      <c r="E324" s="844">
        <v>4056.21</v>
      </c>
    </row>
    <row r="325" spans="1:5">
      <c r="A325" s="85">
        <f t="shared" si="24"/>
        <v>2018.04</v>
      </c>
      <c r="B325" s="2037">
        <f t="shared" si="31"/>
        <v>14796.82</v>
      </c>
      <c r="C325" s="457">
        <v>56966.69</v>
      </c>
      <c r="D325" s="2037">
        <f t="shared" si="33"/>
        <v>1825.2200000000003</v>
      </c>
      <c r="E325" s="844">
        <v>5881.43</v>
      </c>
    </row>
    <row r="326" spans="1:5">
      <c r="A326" s="85">
        <f t="shared" si="24"/>
        <v>2018.05</v>
      </c>
      <c r="B326" s="2037">
        <f t="shared" si="31"/>
        <v>17430.839999999997</v>
      </c>
      <c r="C326" s="457">
        <v>74397.53</v>
      </c>
      <c r="D326" s="2037">
        <f t="shared" si="33"/>
        <v>1920.4799999999996</v>
      </c>
      <c r="E326" s="844">
        <v>7801.91</v>
      </c>
    </row>
    <row r="327" spans="1:5">
      <c r="A327" s="85">
        <f t="shared" si="24"/>
        <v>2018.06</v>
      </c>
      <c r="B327" s="2037">
        <f t="shared" si="31"/>
        <v>19688.009999999995</v>
      </c>
      <c r="C327" s="457">
        <v>94085.54</v>
      </c>
      <c r="D327" s="2037">
        <f t="shared" si="33"/>
        <v>1788</v>
      </c>
      <c r="E327" s="844">
        <v>9589.91</v>
      </c>
    </row>
    <row r="328" spans="1:5">
      <c r="A328" s="85">
        <f t="shared" si="24"/>
        <v>2018.07</v>
      </c>
      <c r="B328" s="2037">
        <f t="shared" si="31"/>
        <v>17413.330000000002</v>
      </c>
      <c r="C328" s="457">
        <v>111498.87</v>
      </c>
      <c r="D328" s="2037">
        <f t="shared" si="33"/>
        <v>2595.6900000000005</v>
      </c>
      <c r="E328" s="844">
        <v>12185.6</v>
      </c>
    </row>
    <row r="329" spans="1:5">
      <c r="A329" s="85">
        <f t="shared" si="24"/>
        <v>2018.08</v>
      </c>
      <c r="B329" s="2037">
        <f t="shared" si="31"/>
        <v>16981.270000000004</v>
      </c>
      <c r="C329" s="457">
        <v>128480.14</v>
      </c>
      <c r="D329" s="2037">
        <f>E329-E328</f>
        <v>1808.5699999999997</v>
      </c>
      <c r="E329" s="844">
        <v>13994.17</v>
      </c>
    </row>
    <row r="330" spans="1:5">
      <c r="A330" s="85">
        <f t="shared" ref="A330:A393" si="34">A318+1</f>
        <v>2018.09</v>
      </c>
      <c r="B330" s="2037">
        <f t="shared" si="31"/>
        <v>18329.150000000009</v>
      </c>
      <c r="C330" s="457">
        <v>146809.29</v>
      </c>
      <c r="D330" s="2037">
        <f t="shared" si="33"/>
        <v>2340.7999999999993</v>
      </c>
      <c r="E330" s="844">
        <v>16334.97</v>
      </c>
    </row>
    <row r="331" spans="1:5">
      <c r="A331" s="85">
        <f t="shared" si="34"/>
        <v>2018.1</v>
      </c>
      <c r="B331" s="2037">
        <f t="shared" ref="B331:B341" si="35">(C331-C330)</f>
        <v>17862.181815999997</v>
      </c>
      <c r="C331" s="457">
        <v>164671.471816</v>
      </c>
      <c r="D331" s="2037">
        <f t="shared" si="33"/>
        <v>2075.533214000001</v>
      </c>
      <c r="E331" s="844">
        <v>18410.503214</v>
      </c>
    </row>
    <row r="332" spans="1:5">
      <c r="A332" s="85">
        <f t="shared" si="34"/>
        <v>2018.11</v>
      </c>
      <c r="B332" s="2037">
        <f t="shared" si="35"/>
        <v>18617.098184000002</v>
      </c>
      <c r="C332" s="457">
        <v>183288.57</v>
      </c>
      <c r="D332" s="2037">
        <f t="shared" si="33"/>
        <v>1766.166785999998</v>
      </c>
      <c r="E332" s="844">
        <v>20176.669999999998</v>
      </c>
    </row>
    <row r="333" spans="1:5">
      <c r="A333" s="85">
        <f t="shared" si="34"/>
        <v>2018.12</v>
      </c>
      <c r="B333" s="2037">
        <f>(C333-C332)</f>
        <v>30552.398900999979</v>
      </c>
      <c r="C333" s="457">
        <v>213840.96890099999</v>
      </c>
      <c r="D333" s="2037">
        <f t="shared" si="33"/>
        <v>5431.3951370000032</v>
      </c>
      <c r="E333" s="844">
        <v>25608.065137000001</v>
      </c>
    </row>
    <row r="334" spans="1:5">
      <c r="A334" s="85">
        <f t="shared" si="34"/>
        <v>2019.01</v>
      </c>
      <c r="B334" s="2037">
        <f>C334</f>
        <v>21720.41</v>
      </c>
      <c r="C334" s="457">
        <v>21720.41</v>
      </c>
      <c r="D334" s="2037">
        <f>E334</f>
        <v>2152.7600000000002</v>
      </c>
      <c r="E334" s="844">
        <v>2152.7600000000002</v>
      </c>
    </row>
    <row r="335" spans="1:5">
      <c r="A335" s="85">
        <f t="shared" si="34"/>
        <v>2019.02</v>
      </c>
      <c r="B335" s="2037">
        <f t="shared" si="35"/>
        <v>20661.070000000003</v>
      </c>
      <c r="C335" s="457">
        <v>42381.48</v>
      </c>
      <c r="D335" s="2037">
        <f>E335-E334</f>
        <v>2043.2699999999995</v>
      </c>
      <c r="E335" s="844">
        <v>4196.03</v>
      </c>
    </row>
    <row r="336" spans="1:5">
      <c r="A336" s="85">
        <f t="shared" si="34"/>
        <v>2019.03</v>
      </c>
      <c r="B336" s="2037">
        <f t="shared" si="35"/>
        <v>20941.339999999997</v>
      </c>
      <c r="C336" s="457">
        <v>63322.82</v>
      </c>
      <c r="D336" s="2037">
        <f t="shared" ref="D336:D345" si="36">E336-E335</f>
        <v>2270.5100000000002</v>
      </c>
      <c r="E336" s="844">
        <v>6466.54</v>
      </c>
    </row>
    <row r="337" spans="1:5">
      <c r="A337" s="85">
        <f t="shared" si="34"/>
        <v>2019.04</v>
      </c>
      <c r="B337" s="2037">
        <f t="shared" si="35"/>
        <v>25295.030000000006</v>
      </c>
      <c r="C337" s="457">
        <v>88617.85</v>
      </c>
      <c r="D337" s="2037">
        <f>E337-E336</f>
        <v>2801.8399999999992</v>
      </c>
      <c r="E337" s="844">
        <v>9268.3799999999992</v>
      </c>
    </row>
    <row r="338" spans="1:5">
      <c r="A338" s="85">
        <f t="shared" si="34"/>
        <v>2019.05</v>
      </c>
      <c r="B338" s="2037">
        <f t="shared" si="35"/>
        <v>25935.78</v>
      </c>
      <c r="C338" s="457">
        <v>114553.63</v>
      </c>
      <c r="D338" s="2037">
        <f t="shared" si="36"/>
        <v>3456.83</v>
      </c>
      <c r="E338" s="844">
        <v>12725.21</v>
      </c>
    </row>
    <row r="339" spans="1:5">
      <c r="A339" s="85">
        <f t="shared" si="34"/>
        <v>2019.06</v>
      </c>
      <c r="B339" s="2037">
        <f t="shared" si="35"/>
        <v>31075.484333</v>
      </c>
      <c r="C339" s="457">
        <v>145629.114333</v>
      </c>
      <c r="D339" s="2037">
        <f t="shared" si="36"/>
        <v>2860.3336780000009</v>
      </c>
      <c r="E339" s="844">
        <v>15585.543678</v>
      </c>
    </row>
    <row r="340" spans="1:5">
      <c r="A340" s="85">
        <f t="shared" si="34"/>
        <v>2019.07</v>
      </c>
      <c r="B340" s="2037">
        <f t="shared" si="35"/>
        <v>25434.295270800008</v>
      </c>
      <c r="C340" s="457">
        <v>171063.40960380001</v>
      </c>
      <c r="D340" s="2037">
        <f t="shared" si="36"/>
        <v>3095.4609020000007</v>
      </c>
      <c r="E340" s="844">
        <v>18681.004580000001</v>
      </c>
    </row>
    <row r="341" spans="1:5">
      <c r="A341" s="85">
        <f t="shared" si="34"/>
        <v>2019.08</v>
      </c>
      <c r="B341" s="2037">
        <f t="shared" si="35"/>
        <v>25196.789570199966</v>
      </c>
      <c r="C341" s="457">
        <v>196260.19917399998</v>
      </c>
      <c r="D341" s="2037">
        <f t="shared" si="36"/>
        <v>2570.6730239999961</v>
      </c>
      <c r="E341" s="844">
        <v>21251.677603999997</v>
      </c>
    </row>
    <row r="342" spans="1:5">
      <c r="A342" s="85">
        <f t="shared" si="34"/>
        <v>2019.09</v>
      </c>
      <c r="B342" s="2037">
        <f t="shared" ref="B342:B357" si="37">(C342-C341)</f>
        <v>26566.502377000026</v>
      </c>
      <c r="C342" s="457">
        <v>222826.70155100001</v>
      </c>
      <c r="D342" s="2037">
        <f t="shared" si="36"/>
        <v>2942.6155740000031</v>
      </c>
      <c r="E342" s="844">
        <v>24194.293178</v>
      </c>
    </row>
    <row r="343" spans="1:5">
      <c r="A343" s="85">
        <f t="shared" si="34"/>
        <v>2019.1</v>
      </c>
      <c r="B343" s="2037">
        <f t="shared" si="37"/>
        <v>26162.206175369996</v>
      </c>
      <c r="C343" s="457">
        <v>248988.90772637</v>
      </c>
      <c r="D343" s="2037">
        <f t="shared" si="36"/>
        <v>2016.9665998900018</v>
      </c>
      <c r="E343" s="844">
        <v>26211.259777890002</v>
      </c>
    </row>
    <row r="344" spans="1:5">
      <c r="A344" s="85">
        <f t="shared" si="34"/>
        <v>2019.11</v>
      </c>
      <c r="B344" s="2037">
        <f t="shared" si="37"/>
        <v>27026.124670219986</v>
      </c>
      <c r="C344" s="457">
        <v>276015.03239658999</v>
      </c>
      <c r="D344" s="2037">
        <f t="shared" si="36"/>
        <v>2049.7220939099971</v>
      </c>
      <c r="E344" s="844">
        <v>28260.981871799999</v>
      </c>
    </row>
    <row r="345" spans="1:5">
      <c r="A345" s="85">
        <f t="shared" si="34"/>
        <v>2019.12</v>
      </c>
      <c r="B345" s="2037">
        <f t="shared" si="37"/>
        <v>42102.481071860006</v>
      </c>
      <c r="C345" s="457">
        <v>318117.51346844999</v>
      </c>
      <c r="D345" s="2037">
        <f t="shared" si="36"/>
        <v>5102.5390907599976</v>
      </c>
      <c r="E345" s="844">
        <v>33363.520962559996</v>
      </c>
    </row>
    <row r="346" spans="1:5">
      <c r="A346" s="85">
        <f t="shared" si="34"/>
        <v>2020.01</v>
      </c>
      <c r="B346" s="2037">
        <f>C346</f>
        <v>24186.799999999999</v>
      </c>
      <c r="C346" s="457">
        <v>24186.799999999999</v>
      </c>
      <c r="D346" s="2037">
        <f>E346</f>
        <v>287</v>
      </c>
      <c r="E346" s="844">
        <v>287</v>
      </c>
    </row>
    <row r="347" spans="1:5">
      <c r="A347" s="85">
        <f t="shared" si="34"/>
        <v>2020.02</v>
      </c>
      <c r="B347" s="2037">
        <f t="shared" si="37"/>
        <v>27446.710000000003</v>
      </c>
      <c r="C347" s="457">
        <v>51633.51</v>
      </c>
      <c r="D347" s="2037">
        <f>E347-E346</f>
        <v>849.23</v>
      </c>
      <c r="E347" s="844">
        <v>1136.23</v>
      </c>
    </row>
    <row r="348" spans="1:5">
      <c r="A348" s="85">
        <f t="shared" si="34"/>
        <v>2020.03</v>
      </c>
      <c r="B348" s="2037">
        <f t="shared" si="37"/>
        <v>27312.29</v>
      </c>
      <c r="C348" s="457">
        <v>78945.8</v>
      </c>
      <c r="D348" s="2037">
        <f t="shared" ref="D348:D357" si="38">E348-E347</f>
        <v>977.2199999999998</v>
      </c>
      <c r="E348" s="844">
        <v>2113.4499999999998</v>
      </c>
    </row>
    <row r="349" spans="1:5">
      <c r="A349" s="85">
        <f t="shared" si="34"/>
        <v>2020.04</v>
      </c>
      <c r="B349" s="2037">
        <f t="shared" si="37"/>
        <v>26245.239999999991</v>
      </c>
      <c r="C349" s="457">
        <v>105191.03999999999</v>
      </c>
      <c r="D349" s="2037">
        <f t="shared" si="38"/>
        <v>520.55000000000018</v>
      </c>
      <c r="E349" s="844">
        <v>2634</v>
      </c>
    </row>
    <row r="350" spans="1:5">
      <c r="A350" s="85">
        <f t="shared" si="34"/>
        <v>2020.05</v>
      </c>
      <c r="B350" s="2037">
        <f t="shared" si="37"/>
        <v>27786.069999999992</v>
      </c>
      <c r="C350" s="457">
        <v>132977.10999999999</v>
      </c>
      <c r="D350" s="2037">
        <f t="shared" si="38"/>
        <v>1017.5900000000001</v>
      </c>
      <c r="E350" s="844">
        <v>3651.59</v>
      </c>
    </row>
    <row r="351" spans="1:5">
      <c r="A351" s="85">
        <f t="shared" si="34"/>
        <v>2020.06</v>
      </c>
      <c r="B351" s="2037">
        <f t="shared" si="37"/>
        <v>38235.830000000016</v>
      </c>
      <c r="C351" s="457">
        <v>171212.94</v>
      </c>
      <c r="D351" s="2037">
        <f t="shared" si="38"/>
        <v>1271.29</v>
      </c>
      <c r="E351" s="844">
        <v>4922.88</v>
      </c>
    </row>
    <row r="352" spans="1:5">
      <c r="A352" s="85">
        <f t="shared" si="34"/>
        <v>2020.07</v>
      </c>
      <c r="B352" s="2037">
        <f t="shared" si="37"/>
        <v>28934.510000000009</v>
      </c>
      <c r="C352" s="457">
        <v>200147.45</v>
      </c>
      <c r="D352" s="2037">
        <f t="shared" si="38"/>
        <v>1248.1300000000001</v>
      </c>
      <c r="E352" s="844">
        <v>6171.01</v>
      </c>
    </row>
    <row r="353" spans="1:5">
      <c r="A353" s="85">
        <f t="shared" si="34"/>
        <v>2020.08</v>
      </c>
      <c r="B353" s="2037">
        <f t="shared" si="37"/>
        <v>30667.22</v>
      </c>
      <c r="C353" s="457">
        <v>230814.67</v>
      </c>
      <c r="D353" s="2037">
        <f t="shared" si="38"/>
        <v>1500.1999999999998</v>
      </c>
      <c r="E353" s="844">
        <v>7671.21</v>
      </c>
    </row>
    <row r="354" spans="1:5">
      <c r="A354" s="85">
        <f t="shared" si="34"/>
        <v>2020.09</v>
      </c>
      <c r="B354" s="2037">
        <f t="shared" si="37"/>
        <v>33368.22</v>
      </c>
      <c r="C354" s="457">
        <v>264182.89</v>
      </c>
      <c r="D354" s="2037">
        <f t="shared" si="38"/>
        <v>1914.9100000000008</v>
      </c>
      <c r="E354" s="844">
        <v>9586.1200000000008</v>
      </c>
    </row>
    <row r="355" spans="1:5">
      <c r="A355" s="85">
        <f t="shared" si="34"/>
        <v>2020.1</v>
      </c>
      <c r="B355" s="2037">
        <f t="shared" si="37"/>
        <v>33512.640000000014</v>
      </c>
      <c r="C355" s="457">
        <v>297695.53000000003</v>
      </c>
      <c r="D355" s="2037">
        <f t="shared" si="38"/>
        <v>2015.1299999999992</v>
      </c>
      <c r="E355" s="844">
        <v>11601.25</v>
      </c>
    </row>
    <row r="356" spans="1:5">
      <c r="A356" s="85">
        <f t="shared" si="34"/>
        <v>2020.11</v>
      </c>
      <c r="B356" s="2037">
        <f t="shared" si="37"/>
        <v>35812.159999999974</v>
      </c>
      <c r="C356" s="457">
        <v>333507.69</v>
      </c>
      <c r="D356" s="2037">
        <f t="shared" si="38"/>
        <v>2270.42</v>
      </c>
      <c r="E356" s="844">
        <v>13871.67</v>
      </c>
    </row>
    <row r="357" spans="1:5">
      <c r="A357" s="85">
        <f t="shared" si="34"/>
        <v>2020.12</v>
      </c>
      <c r="B357" s="2037">
        <f t="shared" si="37"/>
        <v>64681.989999999991</v>
      </c>
      <c r="C357" s="457">
        <v>398189.68</v>
      </c>
      <c r="D357" s="2037">
        <f t="shared" si="38"/>
        <v>8009.4800000000014</v>
      </c>
      <c r="E357" s="844">
        <v>21881.15</v>
      </c>
    </row>
    <row r="358" spans="1:5">
      <c r="A358" s="85">
        <f t="shared" si="34"/>
        <v>2021.01</v>
      </c>
      <c r="B358" s="2037">
        <f>C358</f>
        <v>34764.480000000003</v>
      </c>
      <c r="C358" s="457">
        <v>34764.480000000003</v>
      </c>
      <c r="D358" s="2037">
        <f>E358</f>
        <v>890.69</v>
      </c>
      <c r="E358" s="844">
        <v>890.69</v>
      </c>
    </row>
    <row r="359" spans="1:5">
      <c r="A359" s="85">
        <f t="shared" si="34"/>
        <v>2021.02</v>
      </c>
      <c r="B359" s="2037">
        <f>(C359-C358)</f>
        <v>36600.94999999999</v>
      </c>
      <c r="C359" s="457">
        <v>71365.429999999993</v>
      </c>
      <c r="D359" s="2037">
        <f t="shared" ref="D359:D417" si="39">E359-E358</f>
        <v>1164.19</v>
      </c>
      <c r="E359" s="844">
        <v>2054.88</v>
      </c>
    </row>
    <row r="360" spans="1:5">
      <c r="A360" s="85">
        <f t="shared" si="34"/>
        <v>2021.03</v>
      </c>
      <c r="B360" s="2037">
        <f t="shared" ref="B360:B417" si="40">(C360-C359)</f>
        <v>43484.3</v>
      </c>
      <c r="C360" s="457">
        <v>114849.73</v>
      </c>
      <c r="D360" s="2037">
        <f t="shared" si="39"/>
        <v>2783.74</v>
      </c>
      <c r="E360" s="844">
        <v>4838.62</v>
      </c>
    </row>
    <row r="361" spans="1:5">
      <c r="A361" s="85">
        <f t="shared" si="34"/>
        <v>2021.04</v>
      </c>
      <c r="B361" s="2037">
        <f t="shared" si="40"/>
        <v>44757.270000000004</v>
      </c>
      <c r="C361" s="457">
        <v>159607</v>
      </c>
      <c r="D361" s="2037">
        <f t="shared" si="39"/>
        <v>2656.09</v>
      </c>
      <c r="E361" s="844">
        <v>7494.71</v>
      </c>
    </row>
    <row r="362" spans="1:5">
      <c r="A362" s="85">
        <f t="shared" si="34"/>
        <v>2021.05</v>
      </c>
      <c r="B362" s="2037">
        <f t="shared" si="40"/>
        <v>44201.279999999999</v>
      </c>
      <c r="C362" s="457">
        <v>203808.28</v>
      </c>
      <c r="D362" s="2037">
        <f t="shared" si="39"/>
        <v>2649.4800000000005</v>
      </c>
      <c r="E362" s="844">
        <v>10144.19</v>
      </c>
    </row>
    <row r="363" spans="1:5">
      <c r="A363" s="85">
        <f t="shared" si="34"/>
        <v>2021.06</v>
      </c>
      <c r="B363" s="2037">
        <f t="shared" si="40"/>
        <v>65841.139999999985</v>
      </c>
      <c r="C363" s="457">
        <v>269649.42</v>
      </c>
      <c r="D363" s="2037">
        <f t="shared" si="39"/>
        <v>3578.9799999999996</v>
      </c>
      <c r="E363" s="844">
        <v>13723.17</v>
      </c>
    </row>
    <row r="364" spans="1:5">
      <c r="A364" s="85">
        <f t="shared" si="34"/>
        <v>2021.07</v>
      </c>
      <c r="B364" s="2037">
        <f t="shared" si="40"/>
        <v>51374.660000000033</v>
      </c>
      <c r="C364" s="457">
        <v>321024.08</v>
      </c>
      <c r="D364" s="2037">
        <f t="shared" si="39"/>
        <v>3584.6499999999996</v>
      </c>
      <c r="E364" s="844">
        <v>17307.82</v>
      </c>
    </row>
    <row r="365" spans="1:5">
      <c r="A365" s="85">
        <f t="shared" si="34"/>
        <v>2021.08</v>
      </c>
      <c r="B365" s="2037">
        <f t="shared" si="40"/>
        <v>55056.76999999996</v>
      </c>
      <c r="C365" s="457">
        <v>376080.85</v>
      </c>
      <c r="D365" s="2037">
        <f t="shared" si="39"/>
        <v>4267.68</v>
      </c>
      <c r="E365" s="844">
        <v>21575.5</v>
      </c>
    </row>
    <row r="366" spans="1:5">
      <c r="A366" s="85">
        <f t="shared" si="34"/>
        <v>2021.09</v>
      </c>
      <c r="B366" s="2037">
        <f t="shared" si="40"/>
        <v>60700.23000000004</v>
      </c>
      <c r="C366" s="457">
        <v>436781.08</v>
      </c>
      <c r="D366" s="2037">
        <f t="shared" si="39"/>
        <v>5871.1100000000006</v>
      </c>
      <c r="E366" s="844">
        <v>27446.61</v>
      </c>
    </row>
    <row r="367" spans="1:5">
      <c r="A367" s="85">
        <f t="shared" si="34"/>
        <v>2021.1</v>
      </c>
      <c r="B367" s="2037">
        <f t="shared" si="40"/>
        <v>58682.839999999967</v>
      </c>
      <c r="C367" s="457">
        <v>495463.92</v>
      </c>
      <c r="D367" s="2037">
        <f t="shared" si="39"/>
        <v>3971.0699999999997</v>
      </c>
      <c r="E367" s="844">
        <v>31417.68</v>
      </c>
    </row>
    <row r="368" spans="1:5">
      <c r="A368" s="85">
        <f t="shared" si="34"/>
        <v>2021.11</v>
      </c>
      <c r="B368" s="2037">
        <f t="shared" si="40"/>
        <v>66496.590000000026</v>
      </c>
      <c r="C368" s="457">
        <v>561960.51</v>
      </c>
      <c r="D368" s="2037">
        <f t="shared" si="39"/>
        <v>5533.4099999999962</v>
      </c>
      <c r="E368" s="844">
        <v>36951.089999999997</v>
      </c>
    </row>
    <row r="369" spans="1:5">
      <c r="A369" s="85">
        <f t="shared" si="34"/>
        <v>2021.12</v>
      </c>
      <c r="B369" s="2037">
        <f t="shared" si="40"/>
        <v>90958.699999999953</v>
      </c>
      <c r="C369" s="457">
        <v>652919.21</v>
      </c>
      <c r="D369" s="2037">
        <f t="shared" si="39"/>
        <v>8306.1200000000026</v>
      </c>
      <c r="E369" s="844">
        <v>45257.21</v>
      </c>
    </row>
    <row r="370" spans="1:5">
      <c r="A370" s="85">
        <f t="shared" si="34"/>
        <v>2022.01</v>
      </c>
      <c r="B370" s="2037">
        <f>C370</f>
        <v>56729.61</v>
      </c>
      <c r="C370" s="457">
        <v>56729.61</v>
      </c>
      <c r="D370" s="2037">
        <f>E370</f>
        <v>1659.06</v>
      </c>
      <c r="E370" s="844">
        <v>1659.06</v>
      </c>
    </row>
    <row r="371" spans="1:5">
      <c r="A371" s="85">
        <f t="shared" si="34"/>
        <v>2022.02</v>
      </c>
      <c r="B371" s="2037">
        <f>(C371-C370)</f>
        <v>63879.149999999994</v>
      </c>
      <c r="C371" s="457">
        <v>120608.76</v>
      </c>
      <c r="D371" s="2037">
        <f>E371-E370</f>
        <v>3882.9900000000002</v>
      </c>
      <c r="E371" s="844">
        <v>5542.05</v>
      </c>
    </row>
    <row r="372" spans="1:5">
      <c r="A372" s="85">
        <f t="shared" si="34"/>
        <v>2022.03</v>
      </c>
      <c r="B372" s="2037">
        <f>(C372-C371)</f>
        <v>76482.690000000017</v>
      </c>
      <c r="C372" s="457">
        <v>197091.45</v>
      </c>
      <c r="D372" s="2037">
        <f>E372-E371</f>
        <v>5738.56</v>
      </c>
      <c r="E372" s="844">
        <v>11280.61</v>
      </c>
    </row>
    <row r="373" spans="1:5">
      <c r="A373" s="85">
        <f t="shared" si="34"/>
        <v>2022.04</v>
      </c>
      <c r="B373" s="2037">
        <f>(C373-C372)</f>
        <v>78900.700000000012</v>
      </c>
      <c r="C373" s="457">
        <v>275992.15000000002</v>
      </c>
      <c r="D373" s="2037">
        <f t="shared" si="39"/>
        <v>5091.2099999999991</v>
      </c>
      <c r="E373" s="844">
        <v>16371.82</v>
      </c>
    </row>
    <row r="374" spans="1:5">
      <c r="A374" s="85">
        <f t="shared" si="34"/>
        <v>2022.05</v>
      </c>
      <c r="B374" s="2037">
        <f>(C374-C373)</f>
        <v>83225.299999999988</v>
      </c>
      <c r="C374" s="457">
        <v>359217.45</v>
      </c>
      <c r="D374" s="2037">
        <f t="shared" si="39"/>
        <v>6957.23</v>
      </c>
      <c r="E374" s="844">
        <v>23329.05</v>
      </c>
    </row>
    <row r="375" spans="1:5">
      <c r="A375" s="85">
        <f t="shared" si="34"/>
        <v>2022.06</v>
      </c>
      <c r="B375" s="2037">
        <f t="shared" si="40"/>
        <v>114054.96999999997</v>
      </c>
      <c r="C375" s="457">
        <v>473272.42</v>
      </c>
      <c r="D375" s="2037">
        <f t="shared" si="39"/>
        <v>7917.369999999999</v>
      </c>
      <c r="E375" s="844">
        <v>31246.42</v>
      </c>
    </row>
    <row r="376" spans="1:5">
      <c r="A376" s="85">
        <f t="shared" si="34"/>
        <v>2022.07</v>
      </c>
      <c r="B376" s="2037">
        <f t="shared" si="40"/>
        <v>89215.710000000021</v>
      </c>
      <c r="C376" s="457">
        <v>562488.13</v>
      </c>
      <c r="D376" s="2037">
        <f t="shared" si="39"/>
        <v>9489.4100000000035</v>
      </c>
      <c r="E376" s="844">
        <v>40735.83</v>
      </c>
    </row>
    <row r="377" spans="1:5">
      <c r="A377" s="85">
        <f t="shared" si="34"/>
        <v>2022.08</v>
      </c>
      <c r="B377" s="2037">
        <f t="shared" si="40"/>
        <v>95085.62</v>
      </c>
      <c r="C377" s="457">
        <v>657573.75</v>
      </c>
      <c r="D377" s="2037">
        <f t="shared" si="39"/>
        <v>5770.82</v>
      </c>
      <c r="E377" s="844">
        <v>46506.65</v>
      </c>
    </row>
    <row r="378" spans="1:5">
      <c r="A378" s="85">
        <f t="shared" si="34"/>
        <v>2022.09</v>
      </c>
      <c r="B378" s="2037">
        <f t="shared" si="40"/>
        <v>108727.37</v>
      </c>
      <c r="C378" s="457">
        <v>766301.12</v>
      </c>
      <c r="D378" s="2037">
        <f t="shared" si="39"/>
        <v>9769.9099999999962</v>
      </c>
      <c r="E378" s="844">
        <v>56276.56</v>
      </c>
    </row>
    <row r="379" spans="1:5">
      <c r="A379" s="85">
        <f t="shared" si="34"/>
        <v>2022.1</v>
      </c>
      <c r="B379" s="2037">
        <f t="shared" si="40"/>
        <v>123295.39000000001</v>
      </c>
      <c r="C379" s="457">
        <v>889596.51</v>
      </c>
      <c r="D379" s="2037">
        <f t="shared" si="39"/>
        <v>8493.82</v>
      </c>
      <c r="E379" s="844">
        <v>64770.38</v>
      </c>
    </row>
    <row r="380" spans="1:5">
      <c r="A380" s="85">
        <f t="shared" si="34"/>
        <v>2022.11</v>
      </c>
      <c r="B380" s="2037">
        <f>(C380-C379)</f>
        <v>139411.05000000005</v>
      </c>
      <c r="C380" s="457">
        <v>1029007.56</v>
      </c>
      <c r="D380" s="2037">
        <f t="shared" si="39"/>
        <v>12142.79</v>
      </c>
      <c r="E380" s="844">
        <v>76913.17</v>
      </c>
    </row>
    <row r="381" spans="1:5">
      <c r="A381" s="85">
        <f t="shared" si="34"/>
        <v>2022.12</v>
      </c>
      <c r="B381" s="2037">
        <f>(C381-C380)</f>
        <v>149194.40999999992</v>
      </c>
      <c r="C381" s="457">
        <v>1178201.97</v>
      </c>
      <c r="D381" s="2037">
        <f t="shared" si="39"/>
        <v>13838.949999999997</v>
      </c>
      <c r="E381" s="844">
        <v>90752.12</v>
      </c>
    </row>
    <row r="382" spans="1:5">
      <c r="A382" s="85">
        <f t="shared" si="34"/>
        <v>2023.01</v>
      </c>
      <c r="B382" s="2037">
        <f>C382</f>
        <v>138313.60000000001</v>
      </c>
      <c r="C382" s="457">
        <v>138313.60000000001</v>
      </c>
      <c r="D382" s="2037">
        <f>E382</f>
        <v>13511.67</v>
      </c>
      <c r="E382" s="844">
        <v>13511.67</v>
      </c>
    </row>
    <row r="383" spans="1:5">
      <c r="A383" s="85">
        <f t="shared" si="34"/>
        <v>2023.02</v>
      </c>
      <c r="B383" s="2037">
        <f t="shared" si="40"/>
        <v>130684.79000000001</v>
      </c>
      <c r="C383" s="457">
        <v>268998.39</v>
      </c>
      <c r="D383" s="2037">
        <f t="shared" si="39"/>
        <v>6843.9400000000005</v>
      </c>
      <c r="E383" s="844">
        <v>20355.61</v>
      </c>
    </row>
    <row r="384" spans="1:5">
      <c r="A384" s="85">
        <f t="shared" si="34"/>
        <v>2023.03</v>
      </c>
      <c r="B384" s="2037">
        <f t="shared" si="40"/>
        <v>168836.27999999997</v>
      </c>
      <c r="C384" s="457">
        <v>437834.67</v>
      </c>
      <c r="D384" s="2037">
        <f t="shared" si="39"/>
        <v>15333.479999999996</v>
      </c>
      <c r="E384" s="844">
        <v>35689.089999999997</v>
      </c>
    </row>
    <row r="385" spans="1:5">
      <c r="A385" s="85">
        <f t="shared" si="34"/>
        <v>2023.04</v>
      </c>
      <c r="B385" s="2037">
        <f t="shared" si="40"/>
        <v>158783.01000000007</v>
      </c>
      <c r="C385" s="457">
        <v>596617.68000000005</v>
      </c>
      <c r="D385" s="2037">
        <f t="shared" si="39"/>
        <v>12403.270000000004</v>
      </c>
      <c r="E385" s="844">
        <v>48092.36</v>
      </c>
    </row>
    <row r="386" spans="1:5">
      <c r="A386" s="85">
        <f t="shared" si="34"/>
        <v>2023.05</v>
      </c>
      <c r="B386" s="2037">
        <f t="shared" si="40"/>
        <v>176244.58999999997</v>
      </c>
      <c r="C386" s="457">
        <v>772862.27</v>
      </c>
      <c r="D386" s="2037">
        <f t="shared" si="39"/>
        <v>8760.1599999999962</v>
      </c>
      <c r="E386" s="844">
        <v>56852.52</v>
      </c>
    </row>
    <row r="387" spans="1:5">
      <c r="A387" s="85">
        <f t="shared" si="34"/>
        <v>2023.06</v>
      </c>
      <c r="B387" s="2037">
        <f t="shared" si="40"/>
        <v>233662.83999999997</v>
      </c>
      <c r="C387" s="457">
        <v>1006525.11</v>
      </c>
      <c r="D387" s="2037">
        <f t="shared" si="39"/>
        <v>12180.80000000001</v>
      </c>
      <c r="E387" s="844">
        <v>69033.320000000007</v>
      </c>
    </row>
    <row r="388" spans="1:5">
      <c r="A388" s="85">
        <f t="shared" si="34"/>
        <v>2023.07</v>
      </c>
      <c r="B388" s="2037">
        <f t="shared" si="40"/>
        <v>211097.4800000001</v>
      </c>
      <c r="C388" s="457">
        <v>1217622.5900000001</v>
      </c>
      <c r="D388" s="2037">
        <f t="shared" si="39"/>
        <v>10112.369999999995</v>
      </c>
      <c r="E388" s="844">
        <v>79145.69</v>
      </c>
    </row>
    <row r="389" spans="1:5">
      <c r="A389" s="85">
        <f t="shared" si="34"/>
        <v>2023.08</v>
      </c>
      <c r="B389" s="2037">
        <f t="shared" si="40"/>
        <v>244067.69999999995</v>
      </c>
      <c r="C389" s="457">
        <v>1461690.29</v>
      </c>
      <c r="D389" s="2037">
        <f t="shared" si="39"/>
        <v>14883.5</v>
      </c>
      <c r="E389" s="844">
        <v>94029.19</v>
      </c>
    </row>
    <row r="390" spans="1:5">
      <c r="A390" s="85">
        <f t="shared" si="34"/>
        <v>2023.09</v>
      </c>
      <c r="B390" s="2037">
        <f t="shared" si="40"/>
        <v>253970</v>
      </c>
      <c r="C390" s="457">
        <v>1715660.29</v>
      </c>
      <c r="D390" s="2037">
        <f t="shared" si="39"/>
        <v>10529.759999999995</v>
      </c>
      <c r="E390" s="844">
        <v>104558.95</v>
      </c>
    </row>
    <row r="391" spans="1:5">
      <c r="A391" s="85">
        <f t="shared" si="34"/>
        <v>2023.1</v>
      </c>
      <c r="B391" s="2037">
        <f t="shared" si="40"/>
        <v>280565.18999999994</v>
      </c>
      <c r="C391" s="457">
        <v>1996225.48</v>
      </c>
      <c r="D391" s="2037">
        <f t="shared" si="39"/>
        <v>14092.270000000004</v>
      </c>
      <c r="E391" s="844">
        <v>118651.22</v>
      </c>
    </row>
    <row r="392" spans="1:5">
      <c r="A392" s="85">
        <f t="shared" si="34"/>
        <v>2023.11</v>
      </c>
      <c r="B392" s="2037">
        <f t="shared" si="40"/>
        <v>295982.31999999983</v>
      </c>
      <c r="C392" s="457">
        <v>2292207.7999999998</v>
      </c>
      <c r="D392" s="2037">
        <f t="shared" si="39"/>
        <v>10152.899999999994</v>
      </c>
      <c r="E392" s="844">
        <v>128804.12</v>
      </c>
    </row>
    <row r="393" spans="1:5">
      <c r="A393" s="85">
        <f t="shared" si="34"/>
        <v>2023.12</v>
      </c>
      <c r="B393" s="2037">
        <f t="shared" si="40"/>
        <v>476502.41000000015</v>
      </c>
      <c r="C393" s="457">
        <v>2768710.21</v>
      </c>
      <c r="D393" s="2037">
        <f t="shared" si="39"/>
        <v>36367.739999999991</v>
      </c>
      <c r="E393" s="844">
        <v>165171.85999999999</v>
      </c>
    </row>
    <row r="394" spans="1:5">
      <c r="A394" s="85">
        <f t="shared" ref="A394:A457" si="41">A382+1</f>
        <v>2024.01</v>
      </c>
      <c r="B394" s="2037">
        <f>C394</f>
        <v>315504.78000000003</v>
      </c>
      <c r="C394" s="457">
        <v>315504.78000000003</v>
      </c>
      <c r="D394" s="2037">
        <f>E394</f>
        <v>3689.07</v>
      </c>
      <c r="E394" s="844">
        <v>3689.07</v>
      </c>
    </row>
    <row r="395" spans="1:5">
      <c r="A395" s="85">
        <f t="shared" si="41"/>
        <v>2024.02</v>
      </c>
      <c r="B395" s="2037">
        <f t="shared" si="40"/>
        <v>391212.53999999992</v>
      </c>
      <c r="C395" s="457">
        <v>706717.32</v>
      </c>
      <c r="D395" s="2037">
        <f t="shared" si="39"/>
        <v>9698.56</v>
      </c>
      <c r="E395" s="844">
        <v>13387.63</v>
      </c>
    </row>
    <row r="396" spans="1:5">
      <c r="A396" s="85">
        <f t="shared" si="41"/>
        <v>2024.03</v>
      </c>
      <c r="B396" s="2037">
        <f t="shared" si="40"/>
        <v>461541.20000000007</v>
      </c>
      <c r="C396" s="457">
        <v>1168258.52</v>
      </c>
      <c r="D396" s="2037">
        <f t="shared" si="39"/>
        <v>40014.670000000006</v>
      </c>
      <c r="E396" s="844">
        <v>53402.3</v>
      </c>
    </row>
    <row r="397" spans="1:5">
      <c r="A397" s="85">
        <f t="shared" si="41"/>
        <v>2024.04</v>
      </c>
      <c r="B397" s="2037" t="e">
        <f t="shared" si="40"/>
        <v>#N/A</v>
      </c>
      <c r="C397" s="457" t="e">
        <v>#N/A</v>
      </c>
      <c r="D397" s="2037" t="e">
        <f t="shared" si="39"/>
        <v>#N/A</v>
      </c>
      <c r="E397" s="844" t="e">
        <v>#N/A</v>
      </c>
    </row>
    <row r="398" spans="1:5">
      <c r="A398" s="85">
        <f t="shared" si="41"/>
        <v>2024.05</v>
      </c>
      <c r="B398" s="2037" t="e">
        <f t="shared" si="40"/>
        <v>#N/A</v>
      </c>
      <c r="C398" s="457" t="e">
        <v>#N/A</v>
      </c>
      <c r="D398" s="2037" t="e">
        <f t="shared" si="39"/>
        <v>#N/A</v>
      </c>
      <c r="E398" s="844" t="e">
        <v>#N/A</v>
      </c>
    </row>
    <row r="399" spans="1:5">
      <c r="A399" s="85">
        <f t="shared" si="41"/>
        <v>2024.06</v>
      </c>
      <c r="B399" s="2037" t="e">
        <f t="shared" si="40"/>
        <v>#N/A</v>
      </c>
      <c r="C399" s="457" t="e">
        <v>#N/A</v>
      </c>
      <c r="D399" s="2037" t="e">
        <f t="shared" si="39"/>
        <v>#N/A</v>
      </c>
      <c r="E399" s="844" t="e">
        <v>#N/A</v>
      </c>
    </row>
    <row r="400" spans="1:5">
      <c r="A400" s="85">
        <f t="shared" si="41"/>
        <v>2024.07</v>
      </c>
      <c r="B400" s="2037" t="e">
        <f t="shared" si="40"/>
        <v>#N/A</v>
      </c>
      <c r="C400" s="457" t="e">
        <v>#N/A</v>
      </c>
      <c r="D400" s="2037" t="e">
        <f t="shared" si="39"/>
        <v>#N/A</v>
      </c>
      <c r="E400" s="844" t="e">
        <v>#N/A</v>
      </c>
    </row>
    <row r="401" spans="1:5">
      <c r="A401" s="85">
        <f t="shared" si="41"/>
        <v>2024.08</v>
      </c>
      <c r="B401" s="2037" t="e">
        <f t="shared" si="40"/>
        <v>#N/A</v>
      </c>
      <c r="C401" s="457" t="e">
        <v>#N/A</v>
      </c>
      <c r="D401" s="2037" t="e">
        <f t="shared" si="39"/>
        <v>#N/A</v>
      </c>
      <c r="E401" s="844" t="e">
        <v>#N/A</v>
      </c>
    </row>
    <row r="402" spans="1:5">
      <c r="A402" s="85">
        <f t="shared" si="41"/>
        <v>2024.09</v>
      </c>
      <c r="B402" s="2037" t="e">
        <f t="shared" si="40"/>
        <v>#N/A</v>
      </c>
      <c r="C402" s="457" t="e">
        <v>#N/A</v>
      </c>
      <c r="D402" s="2037" t="e">
        <f t="shared" si="39"/>
        <v>#N/A</v>
      </c>
      <c r="E402" s="844" t="e">
        <v>#N/A</v>
      </c>
    </row>
    <row r="403" spans="1:5">
      <c r="A403" s="85">
        <f t="shared" si="41"/>
        <v>2024.1</v>
      </c>
      <c r="B403" s="2037" t="e">
        <f t="shared" si="40"/>
        <v>#N/A</v>
      </c>
      <c r="C403" s="457" t="e">
        <v>#N/A</v>
      </c>
      <c r="D403" s="2037" t="e">
        <f t="shared" si="39"/>
        <v>#N/A</v>
      </c>
      <c r="E403" s="844" t="e">
        <v>#N/A</v>
      </c>
    </row>
    <row r="404" spans="1:5">
      <c r="A404" s="85">
        <f t="shared" si="41"/>
        <v>2024.11</v>
      </c>
      <c r="B404" s="2037" t="e">
        <f t="shared" si="40"/>
        <v>#N/A</v>
      </c>
      <c r="C404" s="457" t="e">
        <v>#N/A</v>
      </c>
      <c r="D404" s="2037" t="e">
        <f t="shared" si="39"/>
        <v>#N/A</v>
      </c>
      <c r="E404" s="844" t="e">
        <v>#N/A</v>
      </c>
    </row>
    <row r="405" spans="1:5">
      <c r="A405" s="85">
        <f t="shared" si="41"/>
        <v>2024.12</v>
      </c>
      <c r="B405" s="2037" t="e">
        <f t="shared" si="40"/>
        <v>#N/A</v>
      </c>
      <c r="C405" s="457" t="e">
        <v>#N/A</v>
      </c>
      <c r="D405" s="2037" t="e">
        <f t="shared" si="39"/>
        <v>#N/A</v>
      </c>
      <c r="E405" s="844" t="e">
        <v>#N/A</v>
      </c>
    </row>
    <row r="406" spans="1:5">
      <c r="A406" s="85">
        <f t="shared" si="41"/>
        <v>2025.01</v>
      </c>
      <c r="B406" s="2037" t="e">
        <f t="shared" si="40"/>
        <v>#N/A</v>
      </c>
      <c r="C406" s="457" t="e">
        <v>#N/A</v>
      </c>
      <c r="D406" s="2037" t="e">
        <f t="shared" si="39"/>
        <v>#N/A</v>
      </c>
      <c r="E406" s="844" t="e">
        <v>#N/A</v>
      </c>
    </row>
    <row r="407" spans="1:5">
      <c r="A407" s="85">
        <f t="shared" si="41"/>
        <v>2025.02</v>
      </c>
      <c r="B407" s="2037" t="e">
        <f t="shared" si="40"/>
        <v>#N/A</v>
      </c>
      <c r="C407" s="457" t="e">
        <v>#N/A</v>
      </c>
      <c r="D407" s="2037" t="e">
        <f t="shared" si="39"/>
        <v>#N/A</v>
      </c>
      <c r="E407" s="844" t="e">
        <v>#N/A</v>
      </c>
    </row>
    <row r="408" spans="1:5">
      <c r="A408" s="85">
        <f t="shared" si="41"/>
        <v>2025.03</v>
      </c>
      <c r="B408" s="2037" t="e">
        <f t="shared" si="40"/>
        <v>#N/A</v>
      </c>
      <c r="C408" s="457" t="e">
        <v>#N/A</v>
      </c>
      <c r="D408" s="2037" t="e">
        <f t="shared" si="39"/>
        <v>#N/A</v>
      </c>
      <c r="E408" s="844" t="e">
        <v>#N/A</v>
      </c>
    </row>
    <row r="409" spans="1:5">
      <c r="A409" s="85">
        <f t="shared" si="41"/>
        <v>2025.04</v>
      </c>
      <c r="B409" s="2037" t="e">
        <f t="shared" si="40"/>
        <v>#N/A</v>
      </c>
      <c r="C409" s="457" t="e">
        <v>#N/A</v>
      </c>
      <c r="D409" s="2037" t="e">
        <f t="shared" si="39"/>
        <v>#N/A</v>
      </c>
      <c r="E409" s="844" t="e">
        <v>#N/A</v>
      </c>
    </row>
    <row r="410" spans="1:5">
      <c r="A410" s="85">
        <f t="shared" si="41"/>
        <v>2025.05</v>
      </c>
      <c r="B410" s="2037" t="e">
        <f t="shared" si="40"/>
        <v>#N/A</v>
      </c>
      <c r="C410" s="457" t="e">
        <v>#N/A</v>
      </c>
      <c r="D410" s="2037" t="e">
        <f t="shared" si="39"/>
        <v>#N/A</v>
      </c>
      <c r="E410" s="844" t="e">
        <v>#N/A</v>
      </c>
    </row>
    <row r="411" spans="1:5">
      <c r="A411" s="85">
        <f t="shared" si="41"/>
        <v>2025.06</v>
      </c>
      <c r="B411" s="2037" t="e">
        <f t="shared" si="40"/>
        <v>#N/A</v>
      </c>
      <c r="C411" s="457" t="e">
        <v>#N/A</v>
      </c>
      <c r="D411" s="2037" t="e">
        <f t="shared" si="39"/>
        <v>#N/A</v>
      </c>
      <c r="E411" s="844" t="e">
        <v>#N/A</v>
      </c>
    </row>
    <row r="412" spans="1:5">
      <c r="A412" s="85">
        <f t="shared" si="41"/>
        <v>2025.07</v>
      </c>
      <c r="B412" s="2037" t="e">
        <f t="shared" si="40"/>
        <v>#N/A</v>
      </c>
      <c r="C412" s="457" t="e">
        <v>#N/A</v>
      </c>
      <c r="D412" s="2037" t="e">
        <f t="shared" si="39"/>
        <v>#N/A</v>
      </c>
      <c r="E412" s="844" t="e">
        <v>#N/A</v>
      </c>
    </row>
    <row r="413" spans="1:5">
      <c r="A413" s="85">
        <f t="shared" si="41"/>
        <v>2025.08</v>
      </c>
      <c r="B413" s="2037" t="e">
        <f t="shared" si="40"/>
        <v>#N/A</v>
      </c>
      <c r="C413" s="457" t="e">
        <v>#N/A</v>
      </c>
      <c r="D413" s="2037" t="e">
        <f t="shared" si="39"/>
        <v>#N/A</v>
      </c>
      <c r="E413" s="844" t="e">
        <v>#N/A</v>
      </c>
    </row>
    <row r="414" spans="1:5">
      <c r="A414" s="85">
        <f t="shared" si="41"/>
        <v>2025.09</v>
      </c>
      <c r="B414" s="2037" t="e">
        <f t="shared" si="40"/>
        <v>#N/A</v>
      </c>
      <c r="C414" s="457" t="e">
        <v>#N/A</v>
      </c>
      <c r="D414" s="2037" t="e">
        <f t="shared" si="39"/>
        <v>#N/A</v>
      </c>
      <c r="E414" s="844" t="e">
        <v>#N/A</v>
      </c>
    </row>
    <row r="415" spans="1:5">
      <c r="A415" s="85">
        <f t="shared" si="41"/>
        <v>2025.1</v>
      </c>
      <c r="B415" s="2037" t="e">
        <f t="shared" si="40"/>
        <v>#N/A</v>
      </c>
      <c r="C415" s="457" t="e">
        <v>#N/A</v>
      </c>
      <c r="D415" s="2037" t="e">
        <f t="shared" si="39"/>
        <v>#N/A</v>
      </c>
      <c r="E415" s="844" t="e">
        <v>#N/A</v>
      </c>
    </row>
    <row r="416" spans="1:5">
      <c r="A416" s="85">
        <f t="shared" si="41"/>
        <v>2025.11</v>
      </c>
      <c r="B416" s="2037" t="e">
        <f t="shared" si="40"/>
        <v>#N/A</v>
      </c>
      <c r="C416" s="457" t="e">
        <v>#N/A</v>
      </c>
      <c r="D416" s="2037" t="e">
        <f t="shared" si="39"/>
        <v>#N/A</v>
      </c>
      <c r="E416" s="844" t="e">
        <v>#N/A</v>
      </c>
    </row>
    <row r="417" spans="1:5">
      <c r="A417" s="85">
        <f t="shared" si="41"/>
        <v>2025.12</v>
      </c>
      <c r="B417" s="2037" t="e">
        <f t="shared" si="40"/>
        <v>#N/A</v>
      </c>
      <c r="C417" s="457" t="e">
        <v>#N/A</v>
      </c>
      <c r="D417" s="2037" t="e">
        <f t="shared" si="39"/>
        <v>#N/A</v>
      </c>
      <c r="E417" s="844" t="e">
        <v>#N/A</v>
      </c>
    </row>
    <row r="418" spans="1:5">
      <c r="A418" s="2765">
        <f t="shared" si="41"/>
        <v>2026.01</v>
      </c>
      <c r="B418" s="2037" t="e">
        <f t="shared" ref="B418:B477" si="42">(C418-C417)</f>
        <v>#N/A</v>
      </c>
      <c r="C418" s="457" t="e">
        <v>#N/A</v>
      </c>
      <c r="D418" s="2037" t="e">
        <f t="shared" ref="D418:D477" si="43">E418-E417</f>
        <v>#N/A</v>
      </c>
      <c r="E418" s="844" t="e">
        <v>#N/A</v>
      </c>
    </row>
    <row r="419" spans="1:5">
      <c r="A419" s="2765">
        <f t="shared" si="41"/>
        <v>2026.02</v>
      </c>
      <c r="B419" s="2037" t="e">
        <f t="shared" si="42"/>
        <v>#N/A</v>
      </c>
      <c r="C419" s="457" t="e">
        <v>#N/A</v>
      </c>
      <c r="D419" s="2037" t="e">
        <f t="shared" si="43"/>
        <v>#N/A</v>
      </c>
      <c r="E419" s="844" t="e">
        <v>#N/A</v>
      </c>
    </row>
    <row r="420" spans="1:5">
      <c r="A420" s="2765">
        <f t="shared" si="41"/>
        <v>2026.03</v>
      </c>
      <c r="B420" s="2037" t="e">
        <f t="shared" si="42"/>
        <v>#N/A</v>
      </c>
      <c r="C420" s="457" t="e">
        <v>#N/A</v>
      </c>
      <c r="D420" s="2037" t="e">
        <f t="shared" si="43"/>
        <v>#N/A</v>
      </c>
      <c r="E420" s="844" t="e">
        <v>#N/A</v>
      </c>
    </row>
    <row r="421" spans="1:5">
      <c r="A421" s="2765">
        <f t="shared" si="41"/>
        <v>2026.04</v>
      </c>
      <c r="B421" s="2037" t="e">
        <f t="shared" si="42"/>
        <v>#N/A</v>
      </c>
      <c r="C421" s="457" t="e">
        <v>#N/A</v>
      </c>
      <c r="D421" s="2037" t="e">
        <f t="shared" si="43"/>
        <v>#N/A</v>
      </c>
      <c r="E421" s="844" t="e">
        <v>#N/A</v>
      </c>
    </row>
    <row r="422" spans="1:5">
      <c r="A422" s="2765">
        <f t="shared" si="41"/>
        <v>2026.05</v>
      </c>
      <c r="B422" s="2037" t="e">
        <f t="shared" si="42"/>
        <v>#N/A</v>
      </c>
      <c r="C422" s="457" t="e">
        <v>#N/A</v>
      </c>
      <c r="D422" s="2037" t="e">
        <f t="shared" si="43"/>
        <v>#N/A</v>
      </c>
      <c r="E422" s="844" t="e">
        <v>#N/A</v>
      </c>
    </row>
    <row r="423" spans="1:5">
      <c r="A423" s="2765">
        <f t="shared" si="41"/>
        <v>2026.06</v>
      </c>
      <c r="B423" s="2037" t="e">
        <f t="shared" si="42"/>
        <v>#N/A</v>
      </c>
      <c r="C423" s="457" t="e">
        <v>#N/A</v>
      </c>
      <c r="D423" s="2037" t="e">
        <f t="shared" si="43"/>
        <v>#N/A</v>
      </c>
      <c r="E423" s="844" t="e">
        <v>#N/A</v>
      </c>
    </row>
    <row r="424" spans="1:5">
      <c r="A424" s="2765">
        <f t="shared" si="41"/>
        <v>2026.07</v>
      </c>
      <c r="B424" s="2037" t="e">
        <f t="shared" si="42"/>
        <v>#N/A</v>
      </c>
      <c r="C424" s="457" t="e">
        <v>#N/A</v>
      </c>
      <c r="D424" s="2037" t="e">
        <f t="shared" si="43"/>
        <v>#N/A</v>
      </c>
      <c r="E424" s="844" t="e">
        <v>#N/A</v>
      </c>
    </row>
    <row r="425" spans="1:5">
      <c r="A425" s="2765">
        <f t="shared" si="41"/>
        <v>2026.08</v>
      </c>
      <c r="B425" s="2037" t="e">
        <f t="shared" si="42"/>
        <v>#N/A</v>
      </c>
      <c r="C425" s="457" t="e">
        <v>#N/A</v>
      </c>
      <c r="D425" s="2037" t="e">
        <f t="shared" si="43"/>
        <v>#N/A</v>
      </c>
      <c r="E425" s="844" t="e">
        <v>#N/A</v>
      </c>
    </row>
    <row r="426" spans="1:5">
      <c r="A426" s="2765">
        <f t="shared" si="41"/>
        <v>2026.09</v>
      </c>
      <c r="B426" s="2037" t="e">
        <f t="shared" si="42"/>
        <v>#N/A</v>
      </c>
      <c r="C426" s="457" t="e">
        <v>#N/A</v>
      </c>
      <c r="D426" s="2037" t="e">
        <f t="shared" si="43"/>
        <v>#N/A</v>
      </c>
      <c r="E426" s="844" t="e">
        <v>#N/A</v>
      </c>
    </row>
    <row r="427" spans="1:5">
      <c r="A427" s="2765">
        <f t="shared" si="41"/>
        <v>2026.1</v>
      </c>
      <c r="B427" s="2037" t="e">
        <f t="shared" si="42"/>
        <v>#N/A</v>
      </c>
      <c r="C427" s="457" t="e">
        <v>#N/A</v>
      </c>
      <c r="D427" s="2037" t="e">
        <f t="shared" si="43"/>
        <v>#N/A</v>
      </c>
      <c r="E427" s="844" t="e">
        <v>#N/A</v>
      </c>
    </row>
    <row r="428" spans="1:5">
      <c r="A428" s="2765">
        <f t="shared" si="41"/>
        <v>2026.11</v>
      </c>
      <c r="B428" s="2037" t="e">
        <f t="shared" si="42"/>
        <v>#N/A</v>
      </c>
      <c r="C428" s="457" t="e">
        <v>#N/A</v>
      </c>
      <c r="D428" s="2037" t="e">
        <f t="shared" si="43"/>
        <v>#N/A</v>
      </c>
      <c r="E428" s="844" t="e">
        <v>#N/A</v>
      </c>
    </row>
    <row r="429" spans="1:5">
      <c r="A429" s="2765">
        <f t="shared" si="41"/>
        <v>2026.12</v>
      </c>
      <c r="B429" s="2037" t="e">
        <f t="shared" si="42"/>
        <v>#N/A</v>
      </c>
      <c r="C429" s="457" t="e">
        <v>#N/A</v>
      </c>
      <c r="D429" s="2037" t="e">
        <f t="shared" si="43"/>
        <v>#N/A</v>
      </c>
      <c r="E429" s="844" t="e">
        <v>#N/A</v>
      </c>
    </row>
    <row r="430" spans="1:5">
      <c r="A430" s="2765">
        <f t="shared" si="41"/>
        <v>2027.01</v>
      </c>
      <c r="B430" s="2037" t="e">
        <f t="shared" si="42"/>
        <v>#N/A</v>
      </c>
      <c r="C430" s="457" t="e">
        <v>#N/A</v>
      </c>
      <c r="D430" s="2037" t="e">
        <f t="shared" si="43"/>
        <v>#N/A</v>
      </c>
      <c r="E430" s="844" t="e">
        <v>#N/A</v>
      </c>
    </row>
    <row r="431" spans="1:5">
      <c r="A431" s="2765">
        <f t="shared" si="41"/>
        <v>2027.02</v>
      </c>
      <c r="B431" s="2037" t="e">
        <f t="shared" si="42"/>
        <v>#N/A</v>
      </c>
      <c r="C431" s="457" t="e">
        <v>#N/A</v>
      </c>
      <c r="D431" s="2037" t="e">
        <f t="shared" si="43"/>
        <v>#N/A</v>
      </c>
      <c r="E431" s="844" t="e">
        <v>#N/A</v>
      </c>
    </row>
    <row r="432" spans="1:5">
      <c r="A432" s="2765">
        <f t="shared" si="41"/>
        <v>2027.03</v>
      </c>
      <c r="B432" s="2037" t="e">
        <f t="shared" si="42"/>
        <v>#N/A</v>
      </c>
      <c r="C432" s="457" t="e">
        <v>#N/A</v>
      </c>
      <c r="D432" s="2037" t="e">
        <f t="shared" si="43"/>
        <v>#N/A</v>
      </c>
      <c r="E432" s="844" t="e">
        <v>#N/A</v>
      </c>
    </row>
    <row r="433" spans="1:5">
      <c r="A433" s="2765">
        <f t="shared" si="41"/>
        <v>2027.04</v>
      </c>
      <c r="B433" s="2037" t="e">
        <f t="shared" si="42"/>
        <v>#N/A</v>
      </c>
      <c r="C433" s="457" t="e">
        <v>#N/A</v>
      </c>
      <c r="D433" s="2037" t="e">
        <f t="shared" si="43"/>
        <v>#N/A</v>
      </c>
      <c r="E433" s="844" t="e">
        <v>#N/A</v>
      </c>
    </row>
    <row r="434" spans="1:5">
      <c r="A434" s="2765">
        <f t="shared" si="41"/>
        <v>2027.05</v>
      </c>
      <c r="B434" s="2037" t="e">
        <f t="shared" si="42"/>
        <v>#N/A</v>
      </c>
      <c r="C434" s="457" t="e">
        <v>#N/A</v>
      </c>
      <c r="D434" s="2037" t="e">
        <f t="shared" si="43"/>
        <v>#N/A</v>
      </c>
      <c r="E434" s="844" t="e">
        <v>#N/A</v>
      </c>
    </row>
    <row r="435" spans="1:5">
      <c r="A435" s="2765">
        <f t="shared" si="41"/>
        <v>2027.06</v>
      </c>
      <c r="B435" s="2037" t="e">
        <f t="shared" si="42"/>
        <v>#N/A</v>
      </c>
      <c r="C435" s="457" t="e">
        <v>#N/A</v>
      </c>
      <c r="D435" s="2037" t="e">
        <f t="shared" si="43"/>
        <v>#N/A</v>
      </c>
      <c r="E435" s="844" t="e">
        <v>#N/A</v>
      </c>
    </row>
    <row r="436" spans="1:5">
      <c r="A436" s="2765">
        <f t="shared" si="41"/>
        <v>2027.07</v>
      </c>
      <c r="B436" s="2037" t="e">
        <f t="shared" si="42"/>
        <v>#N/A</v>
      </c>
      <c r="C436" s="457" t="e">
        <v>#N/A</v>
      </c>
      <c r="D436" s="2037" t="e">
        <f t="shared" si="43"/>
        <v>#N/A</v>
      </c>
      <c r="E436" s="844" t="e">
        <v>#N/A</v>
      </c>
    </row>
    <row r="437" spans="1:5">
      <c r="A437" s="2765">
        <f t="shared" si="41"/>
        <v>2027.08</v>
      </c>
      <c r="B437" s="2037" t="e">
        <f t="shared" si="42"/>
        <v>#N/A</v>
      </c>
      <c r="C437" s="457" t="e">
        <v>#N/A</v>
      </c>
      <c r="D437" s="2037" t="e">
        <f t="shared" si="43"/>
        <v>#N/A</v>
      </c>
      <c r="E437" s="844" t="e">
        <v>#N/A</v>
      </c>
    </row>
    <row r="438" spans="1:5">
      <c r="A438" s="2765">
        <f t="shared" si="41"/>
        <v>2027.09</v>
      </c>
      <c r="B438" s="2037" t="e">
        <f t="shared" si="42"/>
        <v>#N/A</v>
      </c>
      <c r="C438" s="457" t="e">
        <v>#N/A</v>
      </c>
      <c r="D438" s="2037" t="e">
        <f t="shared" si="43"/>
        <v>#N/A</v>
      </c>
      <c r="E438" s="844" t="e">
        <v>#N/A</v>
      </c>
    </row>
    <row r="439" spans="1:5">
      <c r="A439" s="2765">
        <f t="shared" si="41"/>
        <v>2027.1</v>
      </c>
      <c r="B439" s="2037" t="e">
        <f t="shared" si="42"/>
        <v>#N/A</v>
      </c>
      <c r="C439" s="457" t="e">
        <v>#N/A</v>
      </c>
      <c r="D439" s="2037" t="e">
        <f t="shared" si="43"/>
        <v>#N/A</v>
      </c>
      <c r="E439" s="844" t="e">
        <v>#N/A</v>
      </c>
    </row>
    <row r="440" spans="1:5">
      <c r="A440" s="2765">
        <f t="shared" si="41"/>
        <v>2027.11</v>
      </c>
      <c r="B440" s="2037" t="e">
        <f t="shared" si="42"/>
        <v>#N/A</v>
      </c>
      <c r="C440" s="457" t="e">
        <v>#N/A</v>
      </c>
      <c r="D440" s="2037" t="e">
        <f t="shared" si="43"/>
        <v>#N/A</v>
      </c>
      <c r="E440" s="844" t="e">
        <v>#N/A</v>
      </c>
    </row>
    <row r="441" spans="1:5">
      <c r="A441" s="2765">
        <f t="shared" si="41"/>
        <v>2027.12</v>
      </c>
      <c r="B441" s="2037" t="e">
        <f t="shared" si="42"/>
        <v>#N/A</v>
      </c>
      <c r="C441" s="457" t="e">
        <v>#N/A</v>
      </c>
      <c r="D441" s="2037" t="e">
        <f t="shared" si="43"/>
        <v>#N/A</v>
      </c>
      <c r="E441" s="844" t="e">
        <v>#N/A</v>
      </c>
    </row>
    <row r="442" spans="1:5">
      <c r="A442" s="2765">
        <f t="shared" si="41"/>
        <v>2028.01</v>
      </c>
      <c r="B442" s="2037" t="e">
        <f t="shared" si="42"/>
        <v>#N/A</v>
      </c>
      <c r="C442" s="457" t="e">
        <v>#N/A</v>
      </c>
      <c r="D442" s="2037" t="e">
        <f t="shared" si="43"/>
        <v>#N/A</v>
      </c>
      <c r="E442" s="844" t="e">
        <v>#N/A</v>
      </c>
    </row>
    <row r="443" spans="1:5">
      <c r="A443" s="2765">
        <f t="shared" si="41"/>
        <v>2028.02</v>
      </c>
      <c r="B443" s="2037" t="e">
        <f t="shared" si="42"/>
        <v>#N/A</v>
      </c>
      <c r="C443" s="457" t="e">
        <v>#N/A</v>
      </c>
      <c r="D443" s="2037" t="e">
        <f t="shared" si="43"/>
        <v>#N/A</v>
      </c>
      <c r="E443" s="844" t="e">
        <v>#N/A</v>
      </c>
    </row>
    <row r="444" spans="1:5">
      <c r="A444" s="2765">
        <f t="shared" si="41"/>
        <v>2028.03</v>
      </c>
      <c r="B444" s="2037" t="e">
        <f t="shared" si="42"/>
        <v>#N/A</v>
      </c>
      <c r="C444" s="457" t="e">
        <v>#N/A</v>
      </c>
      <c r="D444" s="2037" t="e">
        <f t="shared" si="43"/>
        <v>#N/A</v>
      </c>
      <c r="E444" s="844" t="e">
        <v>#N/A</v>
      </c>
    </row>
    <row r="445" spans="1:5">
      <c r="A445" s="2765">
        <f t="shared" si="41"/>
        <v>2028.04</v>
      </c>
      <c r="B445" s="2037" t="e">
        <f t="shared" si="42"/>
        <v>#N/A</v>
      </c>
      <c r="C445" s="457" t="e">
        <v>#N/A</v>
      </c>
      <c r="D445" s="2037" t="e">
        <f t="shared" si="43"/>
        <v>#N/A</v>
      </c>
      <c r="E445" s="844" t="e">
        <v>#N/A</v>
      </c>
    </row>
    <row r="446" spans="1:5">
      <c r="A446" s="2765">
        <f t="shared" si="41"/>
        <v>2028.05</v>
      </c>
      <c r="B446" s="2037" t="e">
        <f t="shared" si="42"/>
        <v>#N/A</v>
      </c>
      <c r="C446" s="457" t="e">
        <v>#N/A</v>
      </c>
      <c r="D446" s="2037" t="e">
        <f t="shared" si="43"/>
        <v>#N/A</v>
      </c>
      <c r="E446" s="844" t="e">
        <v>#N/A</v>
      </c>
    </row>
    <row r="447" spans="1:5">
      <c r="A447" s="2765">
        <f t="shared" si="41"/>
        <v>2028.06</v>
      </c>
      <c r="B447" s="2037" t="e">
        <f t="shared" si="42"/>
        <v>#N/A</v>
      </c>
      <c r="C447" s="457" t="e">
        <v>#N/A</v>
      </c>
      <c r="D447" s="2037" t="e">
        <f t="shared" si="43"/>
        <v>#N/A</v>
      </c>
      <c r="E447" s="844" t="e">
        <v>#N/A</v>
      </c>
    </row>
    <row r="448" spans="1:5">
      <c r="A448" s="2765">
        <f t="shared" si="41"/>
        <v>2028.07</v>
      </c>
      <c r="B448" s="2037" t="e">
        <f t="shared" si="42"/>
        <v>#N/A</v>
      </c>
      <c r="C448" s="457" t="e">
        <v>#N/A</v>
      </c>
      <c r="D448" s="2037" t="e">
        <f t="shared" si="43"/>
        <v>#N/A</v>
      </c>
      <c r="E448" s="844" t="e">
        <v>#N/A</v>
      </c>
    </row>
    <row r="449" spans="1:5">
      <c r="A449" s="2765">
        <f t="shared" si="41"/>
        <v>2028.08</v>
      </c>
      <c r="B449" s="2037" t="e">
        <f t="shared" si="42"/>
        <v>#N/A</v>
      </c>
      <c r="C449" s="457" t="e">
        <v>#N/A</v>
      </c>
      <c r="D449" s="2037" t="e">
        <f t="shared" si="43"/>
        <v>#N/A</v>
      </c>
      <c r="E449" s="844" t="e">
        <v>#N/A</v>
      </c>
    </row>
    <row r="450" spans="1:5">
      <c r="A450" s="2765">
        <f t="shared" si="41"/>
        <v>2028.09</v>
      </c>
      <c r="B450" s="2037" t="e">
        <f t="shared" si="42"/>
        <v>#N/A</v>
      </c>
      <c r="C450" s="457" t="e">
        <v>#N/A</v>
      </c>
      <c r="D450" s="2037" t="e">
        <f t="shared" si="43"/>
        <v>#N/A</v>
      </c>
      <c r="E450" s="844" t="e">
        <v>#N/A</v>
      </c>
    </row>
    <row r="451" spans="1:5">
      <c r="A451" s="2765">
        <f t="shared" si="41"/>
        <v>2028.1</v>
      </c>
      <c r="B451" s="2037" t="e">
        <f t="shared" si="42"/>
        <v>#N/A</v>
      </c>
      <c r="C451" s="457" t="e">
        <v>#N/A</v>
      </c>
      <c r="D451" s="2037" t="e">
        <f t="shared" si="43"/>
        <v>#N/A</v>
      </c>
      <c r="E451" s="844" t="e">
        <v>#N/A</v>
      </c>
    </row>
    <row r="452" spans="1:5">
      <c r="A452" s="2765">
        <f t="shared" si="41"/>
        <v>2028.11</v>
      </c>
      <c r="B452" s="2037" t="e">
        <f t="shared" si="42"/>
        <v>#N/A</v>
      </c>
      <c r="C452" s="457" t="e">
        <v>#N/A</v>
      </c>
      <c r="D452" s="2037" t="e">
        <f t="shared" si="43"/>
        <v>#N/A</v>
      </c>
      <c r="E452" s="844" t="e">
        <v>#N/A</v>
      </c>
    </row>
    <row r="453" spans="1:5">
      <c r="A453" s="2765">
        <f t="shared" si="41"/>
        <v>2028.12</v>
      </c>
      <c r="B453" s="2037" t="e">
        <f t="shared" si="42"/>
        <v>#N/A</v>
      </c>
      <c r="C453" s="457" t="e">
        <v>#N/A</v>
      </c>
      <c r="D453" s="2037" t="e">
        <f t="shared" si="43"/>
        <v>#N/A</v>
      </c>
      <c r="E453" s="844" t="e">
        <v>#N/A</v>
      </c>
    </row>
    <row r="454" spans="1:5">
      <c r="A454" s="2765">
        <f t="shared" si="41"/>
        <v>2029.01</v>
      </c>
      <c r="B454" s="2037" t="e">
        <f t="shared" si="42"/>
        <v>#N/A</v>
      </c>
      <c r="C454" s="457" t="e">
        <v>#N/A</v>
      </c>
      <c r="D454" s="2037" t="e">
        <f t="shared" si="43"/>
        <v>#N/A</v>
      </c>
      <c r="E454" s="844" t="e">
        <v>#N/A</v>
      </c>
    </row>
    <row r="455" spans="1:5">
      <c r="A455" s="2765">
        <f t="shared" si="41"/>
        <v>2029.02</v>
      </c>
      <c r="B455" s="2037" t="e">
        <f t="shared" si="42"/>
        <v>#N/A</v>
      </c>
      <c r="C455" s="457" t="e">
        <v>#N/A</v>
      </c>
      <c r="D455" s="2037" t="e">
        <f t="shared" si="43"/>
        <v>#N/A</v>
      </c>
      <c r="E455" s="844" t="e">
        <v>#N/A</v>
      </c>
    </row>
    <row r="456" spans="1:5">
      <c r="A456" s="2765">
        <f t="shared" si="41"/>
        <v>2029.03</v>
      </c>
      <c r="B456" s="2037" t="e">
        <f t="shared" si="42"/>
        <v>#N/A</v>
      </c>
      <c r="C456" s="457" t="e">
        <v>#N/A</v>
      </c>
      <c r="D456" s="2037" t="e">
        <f t="shared" si="43"/>
        <v>#N/A</v>
      </c>
      <c r="E456" s="844" t="e">
        <v>#N/A</v>
      </c>
    </row>
    <row r="457" spans="1:5">
      <c r="A457" s="2765">
        <f t="shared" si="41"/>
        <v>2029.04</v>
      </c>
      <c r="B457" s="2037" t="e">
        <f t="shared" si="42"/>
        <v>#N/A</v>
      </c>
      <c r="C457" s="457" t="e">
        <v>#N/A</v>
      </c>
      <c r="D457" s="2037" t="e">
        <f t="shared" si="43"/>
        <v>#N/A</v>
      </c>
      <c r="E457" s="844" t="e">
        <v>#N/A</v>
      </c>
    </row>
    <row r="458" spans="1:5">
      <c r="A458" s="2765">
        <f t="shared" ref="A458:A477" si="44">A446+1</f>
        <v>2029.05</v>
      </c>
      <c r="B458" s="2037" t="e">
        <f t="shared" si="42"/>
        <v>#N/A</v>
      </c>
      <c r="C458" s="457" t="e">
        <v>#N/A</v>
      </c>
      <c r="D458" s="2037" t="e">
        <f t="shared" si="43"/>
        <v>#N/A</v>
      </c>
      <c r="E458" s="844" t="e">
        <v>#N/A</v>
      </c>
    </row>
    <row r="459" spans="1:5">
      <c r="A459" s="2765">
        <f t="shared" si="44"/>
        <v>2029.06</v>
      </c>
      <c r="B459" s="2037" t="e">
        <f t="shared" si="42"/>
        <v>#N/A</v>
      </c>
      <c r="C459" s="457" t="e">
        <v>#N/A</v>
      </c>
      <c r="D459" s="2037" t="e">
        <f t="shared" si="43"/>
        <v>#N/A</v>
      </c>
      <c r="E459" s="844" t="e">
        <v>#N/A</v>
      </c>
    </row>
    <row r="460" spans="1:5">
      <c r="A460" s="2765">
        <f t="shared" si="44"/>
        <v>2029.07</v>
      </c>
      <c r="B460" s="2037" t="e">
        <f t="shared" si="42"/>
        <v>#N/A</v>
      </c>
      <c r="C460" s="457" t="e">
        <v>#N/A</v>
      </c>
      <c r="D460" s="2037" t="e">
        <f t="shared" si="43"/>
        <v>#N/A</v>
      </c>
      <c r="E460" s="844" t="e">
        <v>#N/A</v>
      </c>
    </row>
    <row r="461" spans="1:5">
      <c r="A461" s="2765">
        <f t="shared" si="44"/>
        <v>2029.08</v>
      </c>
      <c r="B461" s="2037" t="e">
        <f t="shared" si="42"/>
        <v>#N/A</v>
      </c>
      <c r="C461" s="457" t="e">
        <v>#N/A</v>
      </c>
      <c r="D461" s="2037" t="e">
        <f t="shared" si="43"/>
        <v>#N/A</v>
      </c>
      <c r="E461" s="844" t="e">
        <v>#N/A</v>
      </c>
    </row>
    <row r="462" spans="1:5">
      <c r="A462" s="2765">
        <f t="shared" si="44"/>
        <v>2029.09</v>
      </c>
      <c r="B462" s="2037" t="e">
        <f t="shared" si="42"/>
        <v>#N/A</v>
      </c>
      <c r="C462" s="457" t="e">
        <v>#N/A</v>
      </c>
      <c r="D462" s="2037" t="e">
        <f t="shared" si="43"/>
        <v>#N/A</v>
      </c>
      <c r="E462" s="844" t="e">
        <v>#N/A</v>
      </c>
    </row>
    <row r="463" spans="1:5">
      <c r="A463" s="2765">
        <f t="shared" si="44"/>
        <v>2029.1</v>
      </c>
      <c r="B463" s="2037" t="e">
        <f t="shared" si="42"/>
        <v>#N/A</v>
      </c>
      <c r="C463" s="457" t="e">
        <v>#N/A</v>
      </c>
      <c r="D463" s="2037" t="e">
        <f t="shared" si="43"/>
        <v>#N/A</v>
      </c>
      <c r="E463" s="844" t="e">
        <v>#N/A</v>
      </c>
    </row>
    <row r="464" spans="1:5">
      <c r="A464" s="2765">
        <f t="shared" si="44"/>
        <v>2029.11</v>
      </c>
      <c r="B464" s="2037" t="e">
        <f t="shared" si="42"/>
        <v>#N/A</v>
      </c>
      <c r="C464" s="457" t="e">
        <v>#N/A</v>
      </c>
      <c r="D464" s="2037" t="e">
        <f t="shared" si="43"/>
        <v>#N/A</v>
      </c>
      <c r="E464" s="844" t="e">
        <v>#N/A</v>
      </c>
    </row>
    <row r="465" spans="1:5">
      <c r="A465" s="2765">
        <f t="shared" si="44"/>
        <v>2029.12</v>
      </c>
      <c r="B465" s="2037" t="e">
        <f t="shared" si="42"/>
        <v>#N/A</v>
      </c>
      <c r="C465" s="457" t="e">
        <v>#N/A</v>
      </c>
      <c r="D465" s="2037" t="e">
        <f t="shared" si="43"/>
        <v>#N/A</v>
      </c>
      <c r="E465" s="844" t="e">
        <v>#N/A</v>
      </c>
    </row>
    <row r="466" spans="1:5">
      <c r="A466" s="2765">
        <f t="shared" si="44"/>
        <v>2030.01</v>
      </c>
      <c r="B466" s="2037" t="e">
        <f t="shared" si="42"/>
        <v>#N/A</v>
      </c>
      <c r="C466" s="457" t="e">
        <v>#N/A</v>
      </c>
      <c r="D466" s="2037" t="e">
        <f t="shared" si="43"/>
        <v>#N/A</v>
      </c>
      <c r="E466" s="844" t="e">
        <v>#N/A</v>
      </c>
    </row>
    <row r="467" spans="1:5">
      <c r="A467" s="2765">
        <f t="shared" si="44"/>
        <v>2030.02</v>
      </c>
      <c r="B467" s="2037" t="e">
        <f t="shared" si="42"/>
        <v>#N/A</v>
      </c>
      <c r="C467" s="457" t="e">
        <v>#N/A</v>
      </c>
      <c r="D467" s="2037" t="e">
        <f t="shared" si="43"/>
        <v>#N/A</v>
      </c>
      <c r="E467" s="844" t="e">
        <v>#N/A</v>
      </c>
    </row>
    <row r="468" spans="1:5">
      <c r="A468" s="2765">
        <f t="shared" si="44"/>
        <v>2030.03</v>
      </c>
      <c r="B468" s="2037" t="e">
        <f t="shared" si="42"/>
        <v>#N/A</v>
      </c>
      <c r="C468" s="457" t="e">
        <v>#N/A</v>
      </c>
      <c r="D468" s="2037" t="e">
        <f t="shared" si="43"/>
        <v>#N/A</v>
      </c>
      <c r="E468" s="844" t="e">
        <v>#N/A</v>
      </c>
    </row>
    <row r="469" spans="1:5">
      <c r="A469" s="2765">
        <f t="shared" si="44"/>
        <v>2030.04</v>
      </c>
      <c r="B469" s="2037" t="e">
        <f t="shared" si="42"/>
        <v>#N/A</v>
      </c>
      <c r="C469" s="457" t="e">
        <v>#N/A</v>
      </c>
      <c r="D469" s="2037" t="e">
        <f t="shared" si="43"/>
        <v>#N/A</v>
      </c>
      <c r="E469" s="844" t="e">
        <v>#N/A</v>
      </c>
    </row>
    <row r="470" spans="1:5">
      <c r="A470" s="2765">
        <f t="shared" si="44"/>
        <v>2030.05</v>
      </c>
      <c r="B470" s="2037" t="e">
        <f t="shared" si="42"/>
        <v>#N/A</v>
      </c>
      <c r="C470" s="457" t="e">
        <v>#N/A</v>
      </c>
      <c r="D470" s="2037" t="e">
        <f t="shared" si="43"/>
        <v>#N/A</v>
      </c>
      <c r="E470" s="844" t="e">
        <v>#N/A</v>
      </c>
    </row>
    <row r="471" spans="1:5">
      <c r="A471" s="2765">
        <f t="shared" si="44"/>
        <v>2030.06</v>
      </c>
      <c r="B471" s="2037" t="e">
        <f t="shared" si="42"/>
        <v>#N/A</v>
      </c>
      <c r="C471" s="457" t="e">
        <v>#N/A</v>
      </c>
      <c r="D471" s="2037" t="e">
        <f t="shared" si="43"/>
        <v>#N/A</v>
      </c>
      <c r="E471" s="844" t="e">
        <v>#N/A</v>
      </c>
    </row>
    <row r="472" spans="1:5">
      <c r="A472" s="2765">
        <f t="shared" si="44"/>
        <v>2030.07</v>
      </c>
      <c r="B472" s="2037" t="e">
        <f t="shared" si="42"/>
        <v>#N/A</v>
      </c>
      <c r="C472" s="457" t="e">
        <v>#N/A</v>
      </c>
      <c r="D472" s="2037" t="e">
        <f t="shared" si="43"/>
        <v>#N/A</v>
      </c>
      <c r="E472" s="844" t="e">
        <v>#N/A</v>
      </c>
    </row>
    <row r="473" spans="1:5">
      <c r="A473" s="2765">
        <f t="shared" si="44"/>
        <v>2030.08</v>
      </c>
      <c r="B473" s="2037" t="e">
        <f t="shared" si="42"/>
        <v>#N/A</v>
      </c>
      <c r="C473" s="457" t="e">
        <v>#N/A</v>
      </c>
      <c r="D473" s="2037" t="e">
        <f t="shared" si="43"/>
        <v>#N/A</v>
      </c>
      <c r="E473" s="844" t="e">
        <v>#N/A</v>
      </c>
    </row>
    <row r="474" spans="1:5">
      <c r="A474" s="2765">
        <f t="shared" si="44"/>
        <v>2030.09</v>
      </c>
      <c r="B474" s="2037" t="e">
        <f t="shared" si="42"/>
        <v>#N/A</v>
      </c>
      <c r="C474" s="457" t="e">
        <v>#N/A</v>
      </c>
      <c r="D474" s="2037" t="e">
        <f t="shared" si="43"/>
        <v>#N/A</v>
      </c>
      <c r="E474" s="844" t="e">
        <v>#N/A</v>
      </c>
    </row>
    <row r="475" spans="1:5">
      <c r="A475" s="2765">
        <f t="shared" si="44"/>
        <v>2030.1</v>
      </c>
      <c r="B475" s="2037" t="e">
        <f t="shared" si="42"/>
        <v>#N/A</v>
      </c>
      <c r="C475" s="457" t="e">
        <v>#N/A</v>
      </c>
      <c r="D475" s="2037" t="e">
        <f t="shared" si="43"/>
        <v>#N/A</v>
      </c>
      <c r="E475" s="844" t="e">
        <v>#N/A</v>
      </c>
    </row>
    <row r="476" spans="1:5">
      <c r="A476" s="2765">
        <f t="shared" si="44"/>
        <v>2030.11</v>
      </c>
      <c r="B476" s="2037" t="e">
        <f t="shared" si="42"/>
        <v>#N/A</v>
      </c>
      <c r="C476" s="457" t="e">
        <v>#N/A</v>
      </c>
      <c r="D476" s="2037" t="e">
        <f t="shared" si="43"/>
        <v>#N/A</v>
      </c>
      <c r="E476" s="844" t="e">
        <v>#N/A</v>
      </c>
    </row>
    <row r="477" spans="1:5">
      <c r="A477" s="2765">
        <f t="shared" si="44"/>
        <v>2030.12</v>
      </c>
      <c r="B477" s="2037" t="e">
        <f t="shared" si="42"/>
        <v>#N/A</v>
      </c>
      <c r="C477" s="457" t="e">
        <v>#N/A</v>
      </c>
      <c r="D477" s="2037" t="e">
        <f t="shared" si="43"/>
        <v>#N/A</v>
      </c>
      <c r="E477" s="844" t="e">
        <v>#N/A</v>
      </c>
    </row>
  </sheetData>
  <phoneticPr fontId="0" type="noConversion"/>
  <hyperlinks>
    <hyperlink ref="A5" location="INDICE!A13" display="VOLVER AL INDICE" xr:uid="{00000000-0004-0000-3000-000000000000}"/>
  </hyperlinks>
  <pageMargins left="0.75" right="0.75" top="1" bottom="1" header="0" footer="0"/>
  <pageSetup paperSize="9" orientation="portrait" horizontalDpi="300" verticalDpi="300" r:id="rId1"/>
  <headerFooter alignWithMargins="0"/>
  <ignoredErrors>
    <ignoredError sqref="D370"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autoPageBreaks="0" fitToPage="1"/>
  </sheetPr>
  <dimension ref="A1:O470"/>
  <sheetViews>
    <sheetView zoomScale="115" zoomScaleNormal="115" workbookViewId="0">
      <pane xSplit="1" ySplit="9" topLeftCell="B375" activePane="bottomRight" state="frozen"/>
      <selection activeCell="A5" sqref="A5"/>
      <selection pane="topRight" activeCell="A5" sqref="A5"/>
      <selection pane="bottomLeft" activeCell="A5" sqref="A5"/>
      <selection pane="bottomRight" activeCell="B384" sqref="B384"/>
    </sheetView>
  </sheetViews>
  <sheetFormatPr baseColWidth="10" defaultColWidth="11.42578125" defaultRowHeight="12.75"/>
  <cols>
    <col min="1" max="1" width="10.5703125" style="19" customWidth="1"/>
    <col min="2" max="2" width="14.5703125" style="19" bestFit="1" customWidth="1"/>
    <col min="3" max="4" width="15.5703125" style="19" customWidth="1"/>
    <col min="5" max="5" width="15.5703125" style="289" customWidth="1"/>
    <col min="6" max="7" width="15.5703125" style="19" customWidth="1"/>
    <col min="8" max="8" width="15.5703125" style="289" customWidth="1"/>
    <col min="9" max="9" width="3.42578125" style="1" customWidth="1"/>
    <col min="10" max="10" width="11.42578125" style="1"/>
    <col min="11" max="11" width="12.42578125" style="1" bestFit="1" customWidth="1"/>
    <col min="12" max="16384" width="11.42578125" style="1"/>
  </cols>
  <sheetData>
    <row r="1" spans="1:11" s="8" customFormat="1" ht="3" customHeight="1">
      <c r="A1" s="37"/>
      <c r="B1" s="168"/>
      <c r="C1" s="169"/>
      <c r="D1" s="169"/>
      <c r="E1" s="453"/>
      <c r="F1" s="368"/>
      <c r="G1" s="169"/>
      <c r="H1" s="285"/>
    </row>
    <row r="2" spans="1:11" s="8" customFormat="1" ht="41.25" customHeight="1">
      <c r="A2" s="121" t="s">
        <v>212</v>
      </c>
      <c r="B2" s="156" t="s">
        <v>315</v>
      </c>
      <c r="C2" s="94"/>
      <c r="D2" s="115"/>
      <c r="E2" s="454"/>
      <c r="F2" s="115" t="s">
        <v>69</v>
      </c>
      <c r="G2" s="115"/>
      <c r="H2" s="286"/>
    </row>
    <row r="3" spans="1:11" s="8" customFormat="1">
      <c r="A3" s="39" t="s">
        <v>330</v>
      </c>
      <c r="B3" s="156" t="s">
        <v>219</v>
      </c>
      <c r="C3" s="94"/>
      <c r="D3" s="115"/>
      <c r="E3" s="454"/>
      <c r="F3" s="115" t="s">
        <v>1316</v>
      </c>
      <c r="G3" s="115"/>
      <c r="H3" s="286"/>
    </row>
    <row r="4" spans="1:11" s="8" customFormat="1" ht="3" customHeight="1">
      <c r="A4" s="37"/>
      <c r="B4" s="168"/>
      <c r="C4" s="169"/>
      <c r="D4" s="169"/>
      <c r="E4" s="453"/>
      <c r="F4" s="368"/>
      <c r="G4" s="169"/>
      <c r="H4" s="285"/>
    </row>
    <row r="5" spans="1:11" s="8" customFormat="1" ht="22.5">
      <c r="A5" s="45" t="s">
        <v>213</v>
      </c>
      <c r="B5" s="80" t="s">
        <v>318</v>
      </c>
      <c r="C5" s="1339" t="s">
        <v>319</v>
      </c>
      <c r="D5" s="1339" t="s">
        <v>1436</v>
      </c>
      <c r="E5" s="1348" t="s">
        <v>320</v>
      </c>
      <c r="F5" s="104" t="s">
        <v>318</v>
      </c>
      <c r="G5" s="1339" t="s">
        <v>319</v>
      </c>
      <c r="H5" s="1331" t="s">
        <v>70</v>
      </c>
    </row>
    <row r="6" spans="1:11" s="8" customFormat="1" ht="3" customHeight="1">
      <c r="A6" s="37"/>
      <c r="B6" s="168"/>
      <c r="C6" s="1342"/>
      <c r="D6" s="1342"/>
      <c r="E6" s="453"/>
      <c r="F6" s="368"/>
      <c r="G6" s="1342"/>
      <c r="H6" s="285"/>
    </row>
    <row r="7" spans="1:11" s="8" customFormat="1" ht="22.5">
      <c r="A7" s="47" t="s">
        <v>210</v>
      </c>
      <c r="B7" s="80" t="s">
        <v>955</v>
      </c>
      <c r="C7" s="1339" t="s">
        <v>955</v>
      </c>
      <c r="D7" s="1339" t="s">
        <v>955</v>
      </c>
      <c r="E7" s="1348" t="s">
        <v>317</v>
      </c>
      <c r="F7" s="104" t="s">
        <v>316</v>
      </c>
      <c r="G7" s="1339" t="s">
        <v>316</v>
      </c>
      <c r="H7" s="1331" t="s">
        <v>317</v>
      </c>
    </row>
    <row r="8" spans="1:11" s="8" customFormat="1">
      <c r="A8" s="390" t="s">
        <v>412</v>
      </c>
      <c r="B8" s="2512" t="s">
        <v>415</v>
      </c>
      <c r="C8" s="1336" t="s">
        <v>1383</v>
      </c>
      <c r="D8" s="1336" t="s">
        <v>1384</v>
      </c>
      <c r="E8" s="2546" t="s">
        <v>1385</v>
      </c>
      <c r="F8" s="2512" t="s">
        <v>1386</v>
      </c>
      <c r="G8" s="1336" t="s">
        <v>1387</v>
      </c>
      <c r="H8" s="2513" t="s">
        <v>1388</v>
      </c>
    </row>
    <row r="9" spans="1:11" s="9" customFormat="1" ht="13.5" thickBot="1">
      <c r="A9" s="152"/>
      <c r="B9" s="307"/>
      <c r="C9" s="1337"/>
      <c r="D9" s="1337"/>
      <c r="E9" s="1349">
        <f>100/AVERAGE(D22:D33)</f>
        <v>1.1187370828391254</v>
      </c>
      <c r="F9" s="330"/>
      <c r="G9" s="1337"/>
      <c r="H9" s="1351">
        <f>100/AVERAGE(G22:G33)</f>
        <v>0.9399485820049871</v>
      </c>
    </row>
    <row r="10" spans="1:11" s="9" customFormat="1">
      <c r="A10" s="49">
        <v>1993.01</v>
      </c>
      <c r="B10" s="679"/>
      <c r="C10" s="1343">
        <v>82.993581575649372</v>
      </c>
      <c r="D10" s="1344">
        <v>81.718263802642298</v>
      </c>
      <c r="E10" s="678">
        <f>D10*$E$9</f>
        <v>91.421252061246136</v>
      </c>
      <c r="F10" s="541">
        <v>94.851038222698165</v>
      </c>
      <c r="G10" s="1352">
        <v>99.081758997546956</v>
      </c>
      <c r="H10" s="1340">
        <f>G10*$H$9</f>
        <v>93.131758872304133</v>
      </c>
      <c r="J10" s="923"/>
      <c r="K10" s="923"/>
    </row>
    <row r="11" spans="1:11" s="9" customFormat="1">
      <c r="A11" s="49">
        <v>1993.02</v>
      </c>
      <c r="B11" s="679"/>
      <c r="C11" s="1344">
        <v>80.786689292880126</v>
      </c>
      <c r="D11" s="1344">
        <v>82.115070532034082</v>
      </c>
      <c r="E11" s="678">
        <f t="shared" ref="E11:E73" si="0">D11*$E$9</f>
        <v>91.865174464136842</v>
      </c>
      <c r="F11" s="1350">
        <v>82.608051855394393</v>
      </c>
      <c r="G11" s="1347">
        <v>89.457588741485822</v>
      </c>
      <c r="H11" s="507">
        <f>G11*$H$9</f>
        <v>84.085533687144903</v>
      </c>
      <c r="J11" s="923"/>
      <c r="K11" s="923"/>
    </row>
    <row r="12" spans="1:11" s="9" customFormat="1">
      <c r="A12" s="49">
        <v>1993.03</v>
      </c>
      <c r="B12" s="679"/>
      <c r="C12" s="1344">
        <v>82.522558701424117</v>
      </c>
      <c r="D12" s="1344">
        <v>82.621778401840359</v>
      </c>
      <c r="E12" s="678">
        <f>D12*$E$9</f>
        <v>92.432047348255537</v>
      </c>
      <c r="F12" s="1350">
        <v>97.933247242811262</v>
      </c>
      <c r="G12" s="1347">
        <v>97.922428087599783</v>
      </c>
      <c r="H12" s="507">
        <f t="shared" ref="H12:H75" si="1">G12*$H$9</f>
        <v>92.042047427424734</v>
      </c>
      <c r="J12" s="923"/>
      <c r="K12" s="923"/>
    </row>
    <row r="13" spans="1:11" s="9" customFormat="1">
      <c r="A13" s="49">
        <v>1993.04</v>
      </c>
      <c r="B13" s="679"/>
      <c r="C13" s="1344">
        <v>83.624011158031152</v>
      </c>
      <c r="D13" s="1344">
        <v>83.202654372459975</v>
      </c>
      <c r="E13" s="678">
        <f t="shared" si="0"/>
        <v>93.081894837117872</v>
      </c>
      <c r="F13" s="1350">
        <v>100.28783177229261</v>
      </c>
      <c r="G13" s="1347">
        <v>98.691506758110833</v>
      </c>
      <c r="H13" s="507">
        <f t="shared" si="1"/>
        <v>92.764941833221883</v>
      </c>
      <c r="J13" s="923"/>
      <c r="K13" s="923"/>
    </row>
    <row r="14" spans="1:11" s="9" customFormat="1">
      <c r="A14" s="49">
        <v>1993.05</v>
      </c>
      <c r="B14" s="679"/>
      <c r="C14" s="1344">
        <v>84.655367787924689</v>
      </c>
      <c r="D14" s="1344">
        <v>83.831898518448355</v>
      </c>
      <c r="E14" s="678">
        <f t="shared" si="0"/>
        <v>93.785853597394521</v>
      </c>
      <c r="F14" s="1350">
        <v>100.35310762332527</v>
      </c>
      <c r="G14" s="1347">
        <v>98.37549299293461</v>
      </c>
      <c r="H14" s="507">
        <f t="shared" si="1"/>
        <v>92.467905142750425</v>
      </c>
      <c r="J14" s="923"/>
      <c r="K14" s="923"/>
    </row>
    <row r="15" spans="1:11" s="9" customFormat="1">
      <c r="A15" s="49">
        <v>1993.06</v>
      </c>
      <c r="B15" s="679"/>
      <c r="C15" s="1344">
        <v>84.647762729732094</v>
      </c>
      <c r="D15" s="1344">
        <v>84.467655598480022</v>
      </c>
      <c r="E15" s="678">
        <f t="shared" si="0"/>
        <v>94.497098618503458</v>
      </c>
      <c r="F15" s="1350">
        <v>102.10758147506452</v>
      </c>
      <c r="G15" s="1347">
        <v>101.21325897791075</v>
      </c>
      <c r="H15" s="507">
        <f t="shared" si="1"/>
        <v>95.135259256390739</v>
      </c>
      <c r="J15" s="923"/>
      <c r="K15" s="923"/>
    </row>
    <row r="16" spans="1:11" s="9" customFormat="1">
      <c r="A16" s="49">
        <v>1993.07</v>
      </c>
      <c r="B16" s="679"/>
      <c r="C16" s="1344">
        <v>85.178847080214837</v>
      </c>
      <c r="D16" s="1344">
        <v>85.055836188539033</v>
      </c>
      <c r="E16" s="678">
        <f t="shared" si="0"/>
        <v>95.155118056008675</v>
      </c>
      <c r="F16" s="1350">
        <v>103.88347279870972</v>
      </c>
      <c r="G16" s="1347">
        <v>101.06062119256565</v>
      </c>
      <c r="H16" s="507">
        <f t="shared" si="1"/>
        <v>94.991787586495235</v>
      </c>
      <c r="J16" s="923"/>
      <c r="K16" s="923"/>
    </row>
    <row r="17" spans="1:11" s="9" customFormat="1">
      <c r="A17" s="49">
        <v>1993.08</v>
      </c>
      <c r="B17" s="679"/>
      <c r="C17" s="1344">
        <v>86.081772394984711</v>
      </c>
      <c r="D17" s="1344">
        <v>85.557322689393146</v>
      </c>
      <c r="E17" s="678">
        <f t="shared" si="0"/>
        <v>95.71614960105741</v>
      </c>
      <c r="F17" s="1350">
        <v>101.74364889416979</v>
      </c>
      <c r="G17" s="1347">
        <v>101.40284586863937</v>
      </c>
      <c r="H17" s="507">
        <f t="shared" si="1"/>
        <v>95.313461185497843</v>
      </c>
      <c r="J17" s="923"/>
      <c r="K17" s="923"/>
    </row>
    <row r="18" spans="1:11" s="9" customFormat="1">
      <c r="A18" s="49">
        <v>1993.09</v>
      </c>
      <c r="B18" s="679"/>
      <c r="C18" s="1344">
        <v>86.718658390005174</v>
      </c>
      <c r="D18" s="1344">
        <v>85.976337073048057</v>
      </c>
      <c r="E18" s="678">
        <f t="shared" si="0"/>
        <v>96.184916530295141</v>
      </c>
      <c r="F18" s="1350">
        <v>103.07673394152368</v>
      </c>
      <c r="G18" s="1347">
        <v>102.16677650590168</v>
      </c>
      <c r="H18" s="507">
        <f t="shared" si="1"/>
        <v>96.031516704742714</v>
      </c>
      <c r="J18" s="923"/>
      <c r="K18" s="923"/>
    </row>
    <row r="19" spans="1:11" s="9" customFormat="1">
      <c r="A19" s="49">
        <v>1993.1</v>
      </c>
      <c r="B19" s="679"/>
      <c r="C19" s="1344">
        <v>86.264253564382329</v>
      </c>
      <c r="D19" s="1344">
        <v>86.336658247342001</v>
      </c>
      <c r="E19" s="678">
        <f t="shared" si="0"/>
        <v>96.588021189709906</v>
      </c>
      <c r="F19" s="1350">
        <v>103.29275057122796</v>
      </c>
      <c r="G19" s="1347">
        <v>102.32404530156424</v>
      </c>
      <c r="H19" s="507">
        <f>G19*$H$9</f>
        <v>96.179341286219369</v>
      </c>
      <c r="J19" s="923"/>
      <c r="K19" s="923"/>
    </row>
    <row r="20" spans="1:11" s="9" customFormat="1">
      <c r="A20" s="49">
        <v>1993.11</v>
      </c>
      <c r="B20" s="679"/>
      <c r="C20" s="1344">
        <v>86.64676713821261</v>
      </c>
      <c r="D20" s="1344">
        <v>86.677944581688152</v>
      </c>
      <c r="E20" s="678">
        <f t="shared" si="0"/>
        <v>96.969830867809179</v>
      </c>
      <c r="F20" s="1350">
        <v>104.53856708089914</v>
      </c>
      <c r="G20" s="1347">
        <v>103.20453028868417</v>
      </c>
      <c r="H20" s="507">
        <f t="shared" si="1"/>
        <v>97.00695190133942</v>
      </c>
      <c r="J20" s="923"/>
      <c r="K20" s="923"/>
    </row>
    <row r="21" spans="1:11" s="9" customFormat="1">
      <c r="A21" s="49">
        <v>1993.12</v>
      </c>
      <c r="B21" s="679"/>
      <c r="C21" s="1344">
        <v>86.633296824843654</v>
      </c>
      <c r="D21" s="1344">
        <v>87.037664953649767</v>
      </c>
      <c r="E21" s="678">
        <f t="shared" si="0"/>
        <v>97.372263387375327</v>
      </c>
      <c r="F21" s="1350">
        <v>105.32396852188333</v>
      </c>
      <c r="G21" s="1347">
        <v>104.46576076769247</v>
      </c>
      <c r="H21" s="507">
        <f t="shared" si="1"/>
        <v>98.192443701664757</v>
      </c>
      <c r="J21" s="923"/>
      <c r="K21" s="923"/>
    </row>
    <row r="22" spans="1:11">
      <c r="A22" s="49">
        <v>1994.01</v>
      </c>
      <c r="B22" s="679"/>
      <c r="C22" s="1344">
        <v>89.925506185270891</v>
      </c>
      <c r="D22" s="1344">
        <v>87.427885696804978</v>
      </c>
      <c r="E22" s="678">
        <f t="shared" si="0"/>
        <v>97.808817803236096</v>
      </c>
      <c r="F22" s="1350">
        <v>102.59241915420699</v>
      </c>
      <c r="G22" s="1347">
        <v>107.48823376456112</v>
      </c>
      <c r="H22" s="507">
        <f t="shared" si="1"/>
        <v>101.03341290921979</v>
      </c>
      <c r="J22" s="924"/>
      <c r="K22" s="923"/>
    </row>
    <row r="23" spans="1:11">
      <c r="A23" s="49">
        <v>1994.02</v>
      </c>
      <c r="B23" s="679"/>
      <c r="C23" s="1344">
        <v>86.41966445953544</v>
      </c>
      <c r="D23" s="1344">
        <v>87.841352271099097</v>
      </c>
      <c r="E23" s="678">
        <f t="shared" si="0"/>
        <v>98.271378192413394</v>
      </c>
      <c r="F23" s="1350">
        <v>91.320890535521144</v>
      </c>
      <c r="G23" s="1347">
        <v>98.846592446862857</v>
      </c>
      <c r="H23" s="507">
        <f t="shared" si="1"/>
        <v>92.910714406453607</v>
      </c>
      <c r="J23" s="924"/>
      <c r="K23" s="923"/>
    </row>
    <row r="24" spans="1:11">
      <c r="A24" s="49">
        <v>1994.03</v>
      </c>
      <c r="B24" s="679"/>
      <c r="C24" s="1344">
        <v>88.179346570737579</v>
      </c>
      <c r="D24" s="1344">
        <v>88.267748637566058</v>
      </c>
      <c r="E24" s="678">
        <f t="shared" si="0"/>
        <v>98.748403619567839</v>
      </c>
      <c r="F24" s="1350">
        <v>104.96222033665941</v>
      </c>
      <c r="G24" s="1347">
        <v>105.17133322619493</v>
      </c>
      <c r="H24" s="507">
        <f t="shared" si="1"/>
        <v>98.855645533535906</v>
      </c>
      <c r="J24" s="924"/>
      <c r="K24" s="923"/>
    </row>
    <row r="25" spans="1:11">
      <c r="A25" s="49">
        <v>1994.04</v>
      </c>
      <c r="B25" s="679"/>
      <c r="C25" s="1344">
        <v>89.897252811711553</v>
      </c>
      <c r="D25" s="1344">
        <v>88.695699172009952</v>
      </c>
      <c r="E25" s="678">
        <f t="shared" si="0"/>
        <v>99.22716775207104</v>
      </c>
      <c r="F25" s="1350">
        <v>109.00918664694312</v>
      </c>
      <c r="G25" s="1347">
        <v>107.08070020850815</v>
      </c>
      <c r="H25" s="507">
        <f t="shared" si="1"/>
        <v>100.65035232108836</v>
      </c>
      <c r="J25" s="924"/>
      <c r="K25" s="923"/>
    </row>
    <row r="26" spans="1:11">
      <c r="A26" s="49">
        <v>1994.05</v>
      </c>
      <c r="B26" s="679"/>
      <c r="C26" s="1344">
        <v>89.752047396292539</v>
      </c>
      <c r="D26" s="1344">
        <v>89.113862860704359</v>
      </c>
      <c r="E26" s="678">
        <f t="shared" si="0"/>
        <v>99.694982977310275</v>
      </c>
      <c r="F26" s="1350">
        <v>109.61050859038052</v>
      </c>
      <c r="G26" s="1347">
        <v>106.61699310921504</v>
      </c>
      <c r="H26" s="507">
        <f t="shared" si="1"/>
        <v>100.21449149064216</v>
      </c>
      <c r="J26" s="924"/>
      <c r="K26" s="923"/>
    </row>
    <row r="27" spans="1:11">
      <c r="A27" s="49">
        <v>1994.06</v>
      </c>
      <c r="B27" s="679"/>
      <c r="C27" s="1344">
        <v>89.415440808340705</v>
      </c>
      <c r="D27" s="1344">
        <v>89.513306681720479</v>
      </c>
      <c r="E27" s="678">
        <f t="shared" si="0"/>
        <v>100.14185559239196</v>
      </c>
      <c r="F27" s="1350">
        <v>106.28950494379687</v>
      </c>
      <c r="G27" s="1347">
        <v>105.43829679233971</v>
      </c>
      <c r="H27" s="507">
        <f t="shared" si="1"/>
        <v>99.106577558980689</v>
      </c>
      <c r="J27" s="924"/>
      <c r="K27" s="923"/>
    </row>
    <row r="28" spans="1:11">
      <c r="A28" s="49">
        <v>1994.07</v>
      </c>
      <c r="B28" s="679"/>
      <c r="C28" s="1344">
        <v>88.977818107262991</v>
      </c>
      <c r="D28" s="1344">
        <v>89.88244457348047</v>
      </c>
      <c r="E28" s="678">
        <f t="shared" si="0"/>
        <v>100.55482384058492</v>
      </c>
      <c r="F28" s="1350">
        <v>107.87429589886912</v>
      </c>
      <c r="G28" s="1347">
        <v>105.93872851482475</v>
      </c>
      <c r="H28" s="507">
        <f t="shared" si="1"/>
        <v>99.576957646920818</v>
      </c>
      <c r="J28" s="924"/>
      <c r="K28" s="923"/>
    </row>
    <row r="29" spans="1:11">
      <c r="A29" s="49">
        <v>1994.08</v>
      </c>
      <c r="B29" s="679"/>
      <c r="C29" s="1344">
        <v>89.770275148397971</v>
      </c>
      <c r="D29" s="1344">
        <v>90.196361495090599</v>
      </c>
      <c r="E29" s="678">
        <f t="shared" si="0"/>
        <v>100.90601434172088</v>
      </c>
      <c r="F29" s="1350">
        <v>108.77197462801324</v>
      </c>
      <c r="G29" s="1347">
        <v>107.39380654903589</v>
      </c>
      <c r="H29" s="507">
        <f t="shared" si="1"/>
        <v>100.94465618188418</v>
      </c>
      <c r="J29" s="924"/>
      <c r="K29" s="923"/>
    </row>
    <row r="30" spans="1:11">
      <c r="A30" s="49">
        <v>1994.09</v>
      </c>
      <c r="B30" s="679"/>
      <c r="C30" s="1344">
        <v>90.505343589044784</v>
      </c>
      <c r="D30" s="1344">
        <v>90.427792489533502</v>
      </c>
      <c r="E30" s="678">
        <f t="shared" si="0"/>
        <v>101.16492477732248</v>
      </c>
      <c r="F30" s="1350">
        <v>109.43373268617469</v>
      </c>
      <c r="G30" s="1347">
        <v>108.46129594279203</v>
      </c>
      <c r="H30" s="507">
        <f t="shared" si="1"/>
        <v>101.94804132385063</v>
      </c>
      <c r="J30" s="924"/>
      <c r="K30" s="923"/>
    </row>
    <row r="31" spans="1:11">
      <c r="A31" s="49">
        <v>1994.1</v>
      </c>
      <c r="B31" s="679"/>
      <c r="C31" s="1344">
        <v>90.361075646143675</v>
      </c>
      <c r="D31" s="1344">
        <v>90.539338386970783</v>
      </c>
      <c r="E31" s="678">
        <f t="shared" si="0"/>
        <v>101.28971530922414</v>
      </c>
      <c r="F31" s="1350">
        <v>108.12184425985082</v>
      </c>
      <c r="G31" s="1347">
        <v>107.18363544467687</v>
      </c>
      <c r="H31" s="507">
        <f t="shared" si="1"/>
        <v>100.74710615036349</v>
      </c>
      <c r="J31" s="924"/>
      <c r="K31" s="923"/>
    </row>
    <row r="32" spans="1:11">
      <c r="A32" s="49">
        <v>1994.11</v>
      </c>
      <c r="B32" s="679"/>
      <c r="C32" s="1344">
        <v>91.081119926412299</v>
      </c>
      <c r="D32" s="1344">
        <v>90.489275582320047</v>
      </c>
      <c r="E32" s="678">
        <f t="shared" si="0"/>
        <v>101.23370819319044</v>
      </c>
      <c r="F32" s="1350">
        <v>109.66924851177457</v>
      </c>
      <c r="G32" s="1347">
        <v>108.26457796168268</v>
      </c>
      <c r="H32" s="507">
        <f t="shared" si="1"/>
        <v>101.76313653645201</v>
      </c>
      <c r="J32" s="924"/>
      <c r="K32" s="923"/>
    </row>
    <row r="33" spans="1:11">
      <c r="A33" s="49">
        <v>1994.12</v>
      </c>
      <c r="B33" s="679"/>
      <c r="C33" s="1344">
        <v>91.808461527196513</v>
      </c>
      <c r="D33" s="1344">
        <v>90.243015226379285</v>
      </c>
      <c r="E33" s="678">
        <f t="shared" si="0"/>
        <v>100.95820760096633</v>
      </c>
      <c r="F33" s="1350">
        <v>108.93432762894489</v>
      </c>
      <c r="G33" s="1347">
        <v>108.78138432051558</v>
      </c>
      <c r="H33" s="507">
        <f t="shared" si="1"/>
        <v>102.24890794060816</v>
      </c>
      <c r="J33" s="924"/>
      <c r="K33" s="923"/>
    </row>
    <row r="34" spans="1:11">
      <c r="A34" s="49">
        <v>1995.01</v>
      </c>
      <c r="B34" s="679"/>
      <c r="C34" s="1344">
        <v>89.24399364975956</v>
      </c>
      <c r="D34" s="1344">
        <v>89.794278755025331</v>
      </c>
      <c r="E34" s="678">
        <f t="shared" si="0"/>
        <v>100.4561894700403</v>
      </c>
      <c r="F34" s="1350">
        <v>101.00853653191163</v>
      </c>
      <c r="G34" s="1347">
        <v>105.75923580931249</v>
      </c>
      <c r="H34" s="507">
        <f t="shared" si="1"/>
        <v>99.40824373289432</v>
      </c>
      <c r="J34" s="924"/>
      <c r="K34" s="923"/>
    </row>
    <row r="35" spans="1:11">
      <c r="A35" s="49">
        <v>1995.02</v>
      </c>
      <c r="B35" s="679"/>
      <c r="C35" s="1344">
        <v>90.43670348685626</v>
      </c>
      <c r="D35" s="1344">
        <v>89.180789594235875</v>
      </c>
      <c r="E35" s="678">
        <f t="shared" si="0"/>
        <v>99.769856395945283</v>
      </c>
      <c r="F35" s="1350">
        <v>98.963695689687768</v>
      </c>
      <c r="G35" s="1347">
        <v>107.24886408024646</v>
      </c>
      <c r="H35" s="507">
        <f t="shared" si="1"/>
        <v>100.80841771387325</v>
      </c>
      <c r="J35" s="924"/>
      <c r="K35" s="923"/>
    </row>
    <row r="36" spans="1:11">
      <c r="A36" s="49">
        <v>1995.03</v>
      </c>
      <c r="B36" s="679"/>
      <c r="C36" s="1344">
        <v>89.051149459170432</v>
      </c>
      <c r="D36" s="1344">
        <v>88.467272045962346</v>
      </c>
      <c r="E36" s="678">
        <f t="shared" si="0"/>
        <v>98.971617855435227</v>
      </c>
      <c r="F36" s="1350">
        <v>106.33810335883939</v>
      </c>
      <c r="G36" s="1347">
        <v>105.57329672051057</v>
      </c>
      <c r="H36" s="507">
        <f t="shared" si="1"/>
        <v>99.233470550035662</v>
      </c>
      <c r="J36" s="924"/>
      <c r="K36" s="923"/>
    </row>
    <row r="37" spans="1:11">
      <c r="A37" s="49">
        <v>1995.04</v>
      </c>
      <c r="B37" s="679"/>
      <c r="C37" s="1344">
        <v>85.275630767457827</v>
      </c>
      <c r="D37" s="1344">
        <v>87.736922859648629</v>
      </c>
      <c r="E37" s="678">
        <f t="shared" si="0"/>
        <v>98.15454913728469</v>
      </c>
      <c r="F37" s="1350">
        <v>103.6207508449742</v>
      </c>
      <c r="G37" s="1347">
        <v>103.23250752978058</v>
      </c>
      <c r="H37" s="507">
        <f t="shared" si="1"/>
        <v>97.033249069436408</v>
      </c>
      <c r="J37" s="924"/>
      <c r="K37" s="923"/>
    </row>
    <row r="38" spans="1:11">
      <c r="A38" s="49">
        <v>1995.05</v>
      </c>
      <c r="B38" s="679"/>
      <c r="C38" s="1344">
        <v>86.383778402520846</v>
      </c>
      <c r="D38" s="1344">
        <v>87.073464302655239</v>
      </c>
      <c r="E38" s="678">
        <f t="shared" si="0"/>
        <v>97.41231344664925</v>
      </c>
      <c r="F38" s="1350">
        <v>109.74967862895623</v>
      </c>
      <c r="G38" s="1347">
        <v>105.45706100277982</v>
      </c>
      <c r="H38" s="507">
        <f t="shared" si="1"/>
        <v>99.124214951976313</v>
      </c>
      <c r="J38" s="924"/>
      <c r="K38" s="923"/>
    </row>
    <row r="39" spans="1:11">
      <c r="A39" s="49">
        <v>1995.06</v>
      </c>
      <c r="B39" s="679"/>
      <c r="C39" s="1344">
        <v>86.945790593461155</v>
      </c>
      <c r="D39" s="1344">
        <v>86.549023190232532</v>
      </c>
      <c r="E39" s="678">
        <f t="shared" si="0"/>
        <v>96.825601726416565</v>
      </c>
      <c r="F39" s="1350">
        <v>101.82207780766292</v>
      </c>
      <c r="G39" s="1347">
        <v>100.72646571517544</v>
      </c>
      <c r="H39" s="507">
        <f t="shared" si="1"/>
        <v>94.677698619353095</v>
      </c>
      <c r="J39" s="924"/>
      <c r="K39" s="923"/>
    </row>
    <row r="40" spans="1:11">
      <c r="A40" s="49">
        <v>1995.07</v>
      </c>
      <c r="B40" s="679"/>
      <c r="C40" s="1344">
        <v>86.633622403640075</v>
      </c>
      <c r="D40" s="1344">
        <v>86.203196099001417</v>
      </c>
      <c r="E40" s="678">
        <f t="shared" si="0"/>
        <v>96.438712135205918</v>
      </c>
      <c r="F40" s="1350">
        <v>104.27749186380861</v>
      </c>
      <c r="G40" s="1347">
        <v>102.36176875699657</v>
      </c>
      <c r="H40" s="507">
        <f t="shared" si="1"/>
        <v>96.214799394661313</v>
      </c>
      <c r="J40" s="924"/>
      <c r="K40" s="923"/>
    </row>
    <row r="41" spans="1:11">
      <c r="A41" s="49">
        <v>1995.08</v>
      </c>
      <c r="B41" s="679"/>
      <c r="C41" s="1344">
        <v>85.471906585817109</v>
      </c>
      <c r="D41" s="1344">
        <v>86.048090936876022</v>
      </c>
      <c r="E41" s="678">
        <f t="shared" si="0"/>
        <v>96.265190238596475</v>
      </c>
      <c r="F41" s="1350">
        <v>102.2955495098345</v>
      </c>
      <c r="G41" s="1347">
        <v>100.8831527844163</v>
      </c>
      <c r="H41" s="507">
        <f t="shared" si="1"/>
        <v>94.824976407904558</v>
      </c>
      <c r="J41" s="924"/>
      <c r="K41" s="923"/>
    </row>
    <row r="42" spans="1:11">
      <c r="A42" s="49">
        <v>1995.09</v>
      </c>
      <c r="B42" s="679"/>
      <c r="C42" s="1344">
        <v>85.856912197179113</v>
      </c>
      <c r="D42" s="1344">
        <v>86.081085299087079</v>
      </c>
      <c r="E42" s="678">
        <f t="shared" si="0"/>
        <v>96.302102255126599</v>
      </c>
      <c r="F42" s="1350">
        <v>100.62237821165996</v>
      </c>
      <c r="G42" s="1347">
        <v>100.38273746933093</v>
      </c>
      <c r="H42" s="507">
        <f t="shared" si="1"/>
        <v>94.3546117420765</v>
      </c>
      <c r="J42" s="924"/>
      <c r="K42" s="923"/>
    </row>
    <row r="43" spans="1:11">
      <c r="A43" s="49">
        <v>1995.1</v>
      </c>
      <c r="B43" s="679"/>
      <c r="C43" s="1344">
        <v>86.521267545840161</v>
      </c>
      <c r="D43" s="1344">
        <v>86.289215550907727</v>
      </c>
      <c r="E43" s="678">
        <f t="shared" si="0"/>
        <v>96.534945285899013</v>
      </c>
      <c r="F43" s="1350">
        <v>102.57416842773334</v>
      </c>
      <c r="G43" s="1347">
        <v>101.1271636457106</v>
      </c>
      <c r="H43" s="507">
        <f t="shared" si="1"/>
        <v>95.054334070971962</v>
      </c>
      <c r="J43" s="924"/>
      <c r="K43" s="923"/>
    </row>
    <row r="44" spans="1:11">
      <c r="A44" s="49">
        <v>1995.11</v>
      </c>
      <c r="B44" s="679"/>
      <c r="C44" s="1344">
        <v>86.816251011561533</v>
      </c>
      <c r="D44" s="1344">
        <v>86.659347753262693</v>
      </c>
      <c r="E44" s="678">
        <f t="shared" si="0"/>
        <v>96.949025906226424</v>
      </c>
      <c r="F44" s="1350">
        <v>102.54289393679389</v>
      </c>
      <c r="G44" s="1347">
        <v>101.48373281471525</v>
      </c>
      <c r="H44" s="507">
        <f t="shared" si="1"/>
        <v>95.389490755764584</v>
      </c>
      <c r="J44" s="924"/>
      <c r="K44" s="923"/>
    </row>
    <row r="45" spans="1:11">
      <c r="A45" s="49">
        <v>1995.12</v>
      </c>
      <c r="B45" s="679"/>
      <c r="C45" s="1344">
        <v>86.839231528744307</v>
      </c>
      <c r="D45" s="1344">
        <v>87.174797765654816</v>
      </c>
      <c r="E45" s="678">
        <f t="shared" si="0"/>
        <v>97.525678949439381</v>
      </c>
      <c r="F45" s="1350">
        <v>100.97623373804365</v>
      </c>
      <c r="G45" s="1347">
        <v>102.31666047053203</v>
      </c>
      <c r="H45" s="507">
        <f t="shared" si="1"/>
        <v>96.172399924762303</v>
      </c>
      <c r="J45" s="924"/>
      <c r="K45" s="923"/>
    </row>
    <row r="46" spans="1:11">
      <c r="A46" s="49">
        <v>1996.01</v>
      </c>
      <c r="B46" s="679"/>
      <c r="C46" s="1344">
        <v>87.85749305505648</v>
      </c>
      <c r="D46" s="1344">
        <v>87.810341112217529</v>
      </c>
      <c r="E46" s="678">
        <f t="shared" si="0"/>
        <v>98.236684858990756</v>
      </c>
      <c r="F46" s="1350">
        <v>97.116494754494084</v>
      </c>
      <c r="G46" s="1347">
        <v>101.27631152711049</v>
      </c>
      <c r="H46" s="507">
        <f t="shared" si="1"/>
        <v>95.194525410602836</v>
      </c>
      <c r="J46" s="924"/>
      <c r="K46" s="923"/>
    </row>
    <row r="47" spans="1:11">
      <c r="A47" s="49">
        <v>1996.02</v>
      </c>
      <c r="B47" s="679"/>
      <c r="C47" s="1344">
        <v>90.056159032304251</v>
      </c>
      <c r="D47" s="1344">
        <v>88.533247941597438</v>
      </c>
      <c r="E47" s="678">
        <f t="shared" si="0"/>
        <v>99.045427536455719</v>
      </c>
      <c r="F47" s="1350">
        <v>95.810464800152047</v>
      </c>
      <c r="G47" s="1347">
        <v>104.01088925811943</v>
      </c>
      <c r="H47" s="507">
        <f t="shared" si="1"/>
        <v>97.764887871247112</v>
      </c>
      <c r="J47" s="924"/>
      <c r="K47" s="923"/>
    </row>
    <row r="48" spans="1:11">
      <c r="A48" s="49">
        <v>1996.03</v>
      </c>
      <c r="B48" s="679"/>
      <c r="C48" s="1344">
        <v>89.998750059329893</v>
      </c>
      <c r="D48" s="1344">
        <v>89.306052034049173</v>
      </c>
      <c r="E48" s="678">
        <f t="shared" si="0"/>
        <v>99.909992132451322</v>
      </c>
      <c r="F48" s="1350">
        <v>105.62517561907691</v>
      </c>
      <c r="G48" s="1347">
        <v>106.1747368340318</v>
      </c>
      <c r="H48" s="507">
        <f t="shared" si="1"/>
        <v>99.798793331900868</v>
      </c>
      <c r="J48" s="924"/>
      <c r="K48" s="923"/>
    </row>
    <row r="49" spans="1:11">
      <c r="A49" s="49">
        <v>1996.04</v>
      </c>
      <c r="B49" s="679"/>
      <c r="C49" s="1344">
        <v>90.001701079738112</v>
      </c>
      <c r="D49" s="1344">
        <v>90.097650937466938</v>
      </c>
      <c r="E49" s="678">
        <f t="shared" si="0"/>
        <v>100.79558318043955</v>
      </c>
      <c r="F49" s="1350">
        <v>107.47492978359185</v>
      </c>
      <c r="G49" s="1347">
        <v>105.37141062165009</v>
      </c>
      <c r="H49" s="507">
        <f t="shared" si="1"/>
        <v>99.043707997685232</v>
      </c>
      <c r="J49" s="924"/>
      <c r="K49" s="923"/>
    </row>
    <row r="50" spans="1:11">
      <c r="A50" s="49">
        <v>1996.05</v>
      </c>
      <c r="B50" s="679"/>
      <c r="C50" s="1344">
        <v>91.11249412929476</v>
      </c>
      <c r="D50" s="1344">
        <v>90.878139898860624</v>
      </c>
      <c r="E50" s="678">
        <f t="shared" si="0"/>
        <v>101.66874512429727</v>
      </c>
      <c r="F50" s="1350">
        <v>110.34215513144088</v>
      </c>
      <c r="G50" s="1347">
        <v>105.77683529326239</v>
      </c>
      <c r="H50" s="507">
        <f t="shared" si="1"/>
        <v>99.424786342877056</v>
      </c>
      <c r="J50" s="924"/>
      <c r="K50" s="923"/>
    </row>
    <row r="51" spans="1:11">
      <c r="A51" s="49">
        <v>1996.06</v>
      </c>
      <c r="B51" s="679"/>
      <c r="C51" s="1344">
        <v>91.755845260322005</v>
      </c>
      <c r="D51" s="1344">
        <v>91.629907058564157</v>
      </c>
      <c r="E51" s="678">
        <f t="shared" si="0"/>
        <v>102.50977492351825</v>
      </c>
      <c r="F51" s="1350">
        <v>107.69834171097111</v>
      </c>
      <c r="G51" s="1347">
        <v>107.6129910749752</v>
      </c>
      <c r="H51" s="507">
        <f t="shared" si="1"/>
        <v>101.15067836623827</v>
      </c>
      <c r="J51" s="924"/>
      <c r="K51" s="923"/>
    </row>
    <row r="52" spans="1:11">
      <c r="A52" s="49">
        <v>1996.07</v>
      </c>
      <c r="B52" s="679"/>
      <c r="C52" s="1344">
        <v>93.234782766212902</v>
      </c>
      <c r="D52" s="1344">
        <v>92.341791500277353</v>
      </c>
      <c r="E52" s="678">
        <f t="shared" si="0"/>
        <v>103.30618644715904</v>
      </c>
      <c r="F52" s="1350">
        <v>113.10896831576838</v>
      </c>
      <c r="G52" s="1347">
        <v>109.12515972759476</v>
      </c>
      <c r="H52" s="507">
        <f t="shared" si="1"/>
        <v>102.57203914702042</v>
      </c>
      <c r="J52" s="924"/>
      <c r="K52" s="923"/>
    </row>
    <row r="53" spans="1:11">
      <c r="A53" s="49">
        <v>1996.08</v>
      </c>
      <c r="B53" s="679"/>
      <c r="C53" s="1344">
        <v>93.793991823176256</v>
      </c>
      <c r="D53" s="1344">
        <v>93.021737664161748</v>
      </c>
      <c r="E53" s="678">
        <f t="shared" si="0"/>
        <v>104.06686743503072</v>
      </c>
      <c r="F53" s="1350">
        <v>110.09998622138392</v>
      </c>
      <c r="G53" s="1347">
        <v>108.78168599664464</v>
      </c>
      <c r="H53" s="507">
        <f t="shared" si="1"/>
        <v>102.24919150065789</v>
      </c>
      <c r="J53" s="924"/>
      <c r="K53" s="923"/>
    </row>
    <row r="54" spans="1:11">
      <c r="A54" s="49">
        <v>1996.09</v>
      </c>
      <c r="B54" s="679"/>
      <c r="C54" s="1344">
        <v>91.596792084184088</v>
      </c>
      <c r="D54" s="1344">
        <v>93.689559793227801</v>
      </c>
      <c r="E54" s="678">
        <f t="shared" si="0"/>
        <v>104.81398481555749</v>
      </c>
      <c r="F54" s="1350">
        <v>107.55813388920284</v>
      </c>
      <c r="G54" s="1347">
        <v>107.78647643347122</v>
      </c>
      <c r="H54" s="507">
        <f t="shared" si="1"/>
        <v>101.31374568295523</v>
      </c>
      <c r="J54" s="924"/>
      <c r="K54" s="923"/>
    </row>
    <row r="55" spans="1:11">
      <c r="A55" s="49">
        <v>1996.1</v>
      </c>
      <c r="B55" s="679"/>
      <c r="C55" s="1344">
        <v>94.452201502287537</v>
      </c>
      <c r="D55" s="1344">
        <v>94.358141628008866</v>
      </c>
      <c r="E55" s="678">
        <f t="shared" si="0"/>
        <v>105.56195210703969</v>
      </c>
      <c r="F55" s="1350">
        <v>113.4146614287848</v>
      </c>
      <c r="G55" s="1347">
        <v>110.45353128015911</v>
      </c>
      <c r="H55" s="507">
        <f t="shared" si="1"/>
        <v>103.82064010422904</v>
      </c>
      <c r="J55" s="924"/>
      <c r="K55" s="923"/>
    </row>
    <row r="56" spans="1:11">
      <c r="A56" s="49">
        <v>1996.11</v>
      </c>
      <c r="B56" s="679"/>
      <c r="C56" s="1344">
        <v>94.599112678458241</v>
      </c>
      <c r="D56" s="1344">
        <v>95.03167030361584</v>
      </c>
      <c r="E56" s="678">
        <f t="shared" si="0"/>
        <v>106.31545361279673</v>
      </c>
      <c r="F56" s="1350">
        <v>110.58349700438875</v>
      </c>
      <c r="G56" s="1347">
        <v>110.00744223763756</v>
      </c>
      <c r="H56" s="507">
        <f t="shared" si="1"/>
        <v>103.40133934126295</v>
      </c>
      <c r="J56" s="924"/>
      <c r="K56" s="923"/>
    </row>
    <row r="57" spans="1:11">
      <c r="A57" s="49">
        <v>1996.12</v>
      </c>
      <c r="B57" s="679"/>
      <c r="C57" s="1344">
        <v>94.797145080925333</v>
      </c>
      <c r="D57" s="1344">
        <v>95.696766494928397</v>
      </c>
      <c r="E57" s="678">
        <f t="shared" si="0"/>
        <v>107.05952138567315</v>
      </c>
      <c r="F57" s="1350">
        <v>109.48848842465803</v>
      </c>
      <c r="G57" s="1347">
        <v>111.02355798370701</v>
      </c>
      <c r="H57" s="507">
        <f t="shared" si="1"/>
        <v>104.35643589593387</v>
      </c>
      <c r="J57" s="924"/>
      <c r="K57" s="923"/>
    </row>
    <row r="58" spans="1:11">
      <c r="A58" s="49">
        <v>1997.01</v>
      </c>
      <c r="B58" s="679"/>
      <c r="C58" s="1344">
        <v>97.714343031300317</v>
      </c>
      <c r="D58" s="1344">
        <v>96.332025519441686</v>
      </c>
      <c r="E58" s="678">
        <f t="shared" si="0"/>
        <v>107.77020921360437</v>
      </c>
      <c r="F58" s="1350">
        <v>107.49695269742466</v>
      </c>
      <c r="G58" s="1347">
        <v>112.33113221942301</v>
      </c>
      <c r="H58" s="507">
        <f t="shared" si="1"/>
        <v>105.58548844466138</v>
      </c>
      <c r="J58" s="924"/>
      <c r="K58" s="923"/>
    </row>
    <row r="59" spans="1:11">
      <c r="A59" s="49">
        <v>1997.02</v>
      </c>
      <c r="B59" s="679"/>
      <c r="C59" s="1344">
        <v>97.642543664853591</v>
      </c>
      <c r="D59" s="1344">
        <v>96.926168112580143</v>
      </c>
      <c r="E59" s="678">
        <f t="shared" si="0"/>
        <v>108.43489856504257</v>
      </c>
      <c r="F59" s="1350">
        <v>103.05278312396416</v>
      </c>
      <c r="G59" s="1347">
        <v>112.65530040423668</v>
      </c>
      <c r="H59" s="507">
        <f t="shared" si="1"/>
        <v>105.89018987030812</v>
      </c>
      <c r="J59" s="924"/>
      <c r="K59" s="923"/>
    </row>
    <row r="60" spans="1:11">
      <c r="A60" s="49">
        <v>1997.03</v>
      </c>
      <c r="B60" s="679"/>
      <c r="C60" s="1344">
        <v>96.07287257219879</v>
      </c>
      <c r="D60" s="1344">
        <v>97.479342787477719</v>
      </c>
      <c r="E60" s="678">
        <f t="shared" si="0"/>
        <v>109.05375558713797</v>
      </c>
      <c r="F60" s="1350">
        <v>111.91848010479906</v>
      </c>
      <c r="G60" s="1347">
        <v>113.62488182250047</v>
      </c>
      <c r="H60" s="507">
        <f t="shared" si="1"/>
        <v>106.80154654954354</v>
      </c>
      <c r="J60" s="924"/>
      <c r="K60" s="923"/>
    </row>
    <row r="61" spans="1:11">
      <c r="A61" s="49">
        <v>1997.04</v>
      </c>
      <c r="B61" s="679"/>
      <c r="C61" s="1344">
        <v>99.100189174708888</v>
      </c>
      <c r="D61" s="1344">
        <v>98.008272786853851</v>
      </c>
      <c r="E61" s="678">
        <f t="shared" si="0"/>
        <v>109.64548919166612</v>
      </c>
      <c r="F61" s="1350">
        <v>117.96741262003802</v>
      </c>
      <c r="G61" s="1347">
        <v>114.49816530445771</v>
      </c>
      <c r="H61" s="507">
        <f t="shared" si="1"/>
        <v>107.62238812009764</v>
      </c>
      <c r="J61" s="924"/>
      <c r="K61" s="923"/>
    </row>
    <row r="62" spans="1:11">
      <c r="A62" s="49">
        <v>1997.05</v>
      </c>
      <c r="B62" s="679"/>
      <c r="C62" s="1344">
        <v>97.69245377559956</v>
      </c>
      <c r="D62" s="1344">
        <v>98.535277642803308</v>
      </c>
      <c r="E62" s="678">
        <f t="shared" si="0"/>
        <v>110.23506906685307</v>
      </c>
      <c r="F62" s="1350">
        <v>117.99913969614678</v>
      </c>
      <c r="G62" s="1347">
        <v>113.6331984343628</v>
      </c>
      <c r="H62" s="507">
        <f t="shared" si="1"/>
        <v>106.80936373707063</v>
      </c>
      <c r="J62" s="924"/>
      <c r="K62" s="923"/>
    </row>
    <row r="63" spans="1:11">
      <c r="A63" s="49">
        <v>1997.06</v>
      </c>
      <c r="B63" s="679"/>
      <c r="C63" s="1344">
        <v>97.336336579439802</v>
      </c>
      <c r="D63" s="1344">
        <v>99.081367045129824</v>
      </c>
      <c r="E63" s="678">
        <f t="shared" si="0"/>
        <v>110.84599953178119</v>
      </c>
      <c r="F63" s="1350">
        <v>115.23467151684983</v>
      </c>
      <c r="G63" s="1347">
        <v>114.08839456951114</v>
      </c>
      <c r="H63" s="507">
        <f t="shared" si="1"/>
        <v>107.23722469883747</v>
      </c>
      <c r="J63" s="924"/>
      <c r="K63" s="923"/>
    </row>
    <row r="64" spans="1:11">
      <c r="A64" s="49">
        <v>1997.07</v>
      </c>
      <c r="B64" s="679"/>
      <c r="C64" s="1344">
        <v>99.611246307457293</v>
      </c>
      <c r="D64" s="1344">
        <v>99.653857998389867</v>
      </c>
      <c r="E64" s="678">
        <f t="shared" si="0"/>
        <v>111.48646639078312</v>
      </c>
      <c r="F64" s="1350">
        <v>121.86860088746333</v>
      </c>
      <c r="G64" s="1347">
        <v>117.51180685269374</v>
      </c>
      <c r="H64" s="507">
        <f t="shared" si="1"/>
        <v>110.4550562200334</v>
      </c>
      <c r="J64" s="924"/>
      <c r="K64" s="923"/>
    </row>
    <row r="65" spans="1:11">
      <c r="A65" s="49">
        <v>1997.08</v>
      </c>
      <c r="B65" s="679"/>
      <c r="C65" s="1344">
        <v>100.12727340923571</v>
      </c>
      <c r="D65" s="1344">
        <v>100.23985138278667</v>
      </c>
      <c r="E65" s="678">
        <f t="shared" si="0"/>
        <v>112.14203892020623</v>
      </c>
      <c r="F65" s="1350">
        <v>117.689979147625</v>
      </c>
      <c r="G65" s="1347">
        <v>117.13853639999053</v>
      </c>
      <c r="H65" s="507">
        <f t="shared" si="1"/>
        <v>110.10420118731066</v>
      </c>
      <c r="J65" s="924"/>
      <c r="K65" s="923"/>
    </row>
    <row r="66" spans="1:11">
      <c r="A66" s="49">
        <v>1997.09</v>
      </c>
      <c r="B66" s="679"/>
      <c r="C66" s="1344">
        <v>101.87728748295893</v>
      </c>
      <c r="D66" s="1344">
        <v>100.81583140316685</v>
      </c>
      <c r="E66" s="678">
        <f t="shared" si="0"/>
        <v>112.78640912797998</v>
      </c>
      <c r="F66" s="1350">
        <v>121.09201421630651</v>
      </c>
      <c r="G66" s="1347">
        <v>119.8699105534378</v>
      </c>
      <c r="H66" s="507">
        <f t="shared" si="1"/>
        <v>112.6715524497685</v>
      </c>
      <c r="J66" s="924"/>
      <c r="K66" s="923"/>
    </row>
    <row r="67" spans="1:11">
      <c r="A67" s="49">
        <v>1997.1</v>
      </c>
      <c r="B67" s="679"/>
      <c r="C67" s="1344">
        <v>102.27779158620514</v>
      </c>
      <c r="D67" s="1344">
        <v>101.36100948728161</v>
      </c>
      <c r="E67" s="678">
        <f t="shared" si="0"/>
        <v>113.39632006743034</v>
      </c>
      <c r="F67" s="1350">
        <v>125.29961598901964</v>
      </c>
      <c r="G67" s="1347">
        <v>121.90324702611393</v>
      </c>
      <c r="H67" s="507">
        <f t="shared" si="1"/>
        <v>114.58278418399945</v>
      </c>
      <c r="J67" s="924"/>
      <c r="K67" s="923"/>
    </row>
    <row r="68" spans="1:11">
      <c r="A68" s="49">
        <v>1997.11</v>
      </c>
      <c r="B68" s="679"/>
      <c r="C68" s="1344">
        <v>101.94176941799388</v>
      </c>
      <c r="D68" s="1344">
        <v>101.86625655647165</v>
      </c>
      <c r="E68" s="678">
        <f t="shared" si="0"/>
        <v>113.96155869972904</v>
      </c>
      <c r="F68" s="1350">
        <v>118.40631245221184</v>
      </c>
      <c r="G68" s="1347">
        <v>118.98770236936009</v>
      </c>
      <c r="H68" s="507">
        <f t="shared" si="1"/>
        <v>111.84232211811147</v>
      </c>
      <c r="J68" s="924"/>
      <c r="K68" s="923"/>
    </row>
    <row r="69" spans="1:11">
      <c r="A69" s="49">
        <v>1997.12</v>
      </c>
      <c r="B69" s="679"/>
      <c r="C69" s="1344">
        <v>101.34800739571095</v>
      </c>
      <c r="D69" s="1344">
        <v>102.33720782175021</v>
      </c>
      <c r="E69" s="678">
        <f t="shared" si="0"/>
        <v>114.48842934440616</v>
      </c>
      <c r="F69" s="1350">
        <v>117.05742832124896</v>
      </c>
      <c r="G69" s="1347">
        <v>118.04591074219748</v>
      </c>
      <c r="H69" s="507">
        <f t="shared" si="1"/>
        <v>110.9570864136158</v>
      </c>
      <c r="J69" s="924"/>
      <c r="K69" s="923"/>
    </row>
    <row r="70" spans="1:11">
      <c r="A70" s="49">
        <v>1998.01</v>
      </c>
      <c r="B70" s="679"/>
      <c r="C70" s="1344">
        <v>102.2386889594523</v>
      </c>
      <c r="D70" s="1344">
        <v>102.78678837571584</v>
      </c>
      <c r="E70" s="678">
        <f t="shared" si="0"/>
        <v>114.99139178185087</v>
      </c>
      <c r="F70" s="1350">
        <v>112.27478604925581</v>
      </c>
      <c r="G70" s="1347">
        <v>118.11619304575348</v>
      </c>
      <c r="H70" s="507">
        <f t="shared" si="1"/>
        <v>111.0231481651833</v>
      </c>
      <c r="J70" s="924"/>
      <c r="K70" s="923"/>
    </row>
    <row r="71" spans="1:11">
      <c r="A71" s="49">
        <v>1998.02</v>
      </c>
      <c r="B71" s="679"/>
      <c r="C71" s="1344">
        <v>102.00887891354304</v>
      </c>
      <c r="D71" s="1344">
        <v>103.22015341337254</v>
      </c>
      <c r="E71" s="678">
        <f t="shared" si="0"/>
        <v>115.4762133198834</v>
      </c>
      <c r="F71" s="1350">
        <v>108.88928944151972</v>
      </c>
      <c r="G71" s="1347">
        <v>119.56363791699323</v>
      </c>
      <c r="H71" s="507">
        <f t="shared" si="1"/>
        <v>112.3836719194355</v>
      </c>
      <c r="J71" s="924"/>
      <c r="K71" s="923"/>
    </row>
    <row r="72" spans="1:11">
      <c r="A72" s="49">
        <v>1998.03</v>
      </c>
      <c r="B72" s="679"/>
      <c r="C72" s="1344">
        <v>103.60998383060416</v>
      </c>
      <c r="D72" s="1344">
        <v>103.62323677788153</v>
      </c>
      <c r="E72" s="678">
        <f t="shared" si="0"/>
        <v>115.92715762723516</v>
      </c>
      <c r="F72" s="1350">
        <v>122.11383703187406</v>
      </c>
      <c r="G72" s="1347">
        <v>122.51309846131656</v>
      </c>
      <c r="H72" s="507">
        <f t="shared" si="1"/>
        <v>115.15601317575187</v>
      </c>
      <c r="J72" s="924"/>
      <c r="K72" s="923"/>
    </row>
    <row r="73" spans="1:11">
      <c r="A73" s="49">
        <v>1998.04</v>
      </c>
      <c r="B73" s="679"/>
      <c r="C73" s="1344">
        <v>104.07695068590749</v>
      </c>
      <c r="D73" s="1344">
        <v>103.96576629052547</v>
      </c>
      <c r="E73" s="678">
        <f t="shared" si="0"/>
        <v>116.31035809499674</v>
      </c>
      <c r="F73" s="1350">
        <v>124.87091055133673</v>
      </c>
      <c r="G73" s="1347">
        <v>122.03839857757004</v>
      </c>
      <c r="H73" s="507">
        <f t="shared" si="1"/>
        <v>114.70981969314639</v>
      </c>
      <c r="J73" s="924"/>
      <c r="K73" s="923"/>
    </row>
    <row r="74" spans="1:11">
      <c r="A74" s="49">
        <v>1998.05</v>
      </c>
      <c r="B74" s="679"/>
      <c r="C74" s="1344">
        <v>104.42189068178641</v>
      </c>
      <c r="D74" s="1344">
        <v>104.19804872081659</v>
      </c>
      <c r="E74" s="678">
        <f t="shared" ref="E74:E137" si="2">D74*$E$9</f>
        <v>116.57022106345541</v>
      </c>
      <c r="F74" s="1350">
        <v>125.81617039719167</v>
      </c>
      <c r="G74" s="1347">
        <v>122.049181660652</v>
      </c>
      <c r="H74" s="507">
        <f t="shared" si="1"/>
        <v>114.71995523679892</v>
      </c>
      <c r="J74" s="924"/>
      <c r="K74" s="923"/>
    </row>
    <row r="75" spans="1:11">
      <c r="A75" s="49">
        <v>1998.06</v>
      </c>
      <c r="B75" s="679"/>
      <c r="C75" s="1344">
        <v>105.68566312080969</v>
      </c>
      <c r="D75" s="1344">
        <v>104.26135328889973</v>
      </c>
      <c r="E75" s="678">
        <f t="shared" si="2"/>
        <v>116.64104223128314</v>
      </c>
      <c r="F75" s="1350">
        <v>127.64759570674629</v>
      </c>
      <c r="G75" s="1347">
        <v>124.39953433420906</v>
      </c>
      <c r="H75" s="507">
        <f t="shared" si="1"/>
        <v>116.92916589952051</v>
      </c>
      <c r="J75" s="924"/>
      <c r="K75" s="923"/>
    </row>
    <row r="76" spans="1:11">
      <c r="A76" s="49">
        <v>1998.07</v>
      </c>
      <c r="B76" s="679"/>
      <c r="C76" s="1344">
        <v>104.42093485821741</v>
      </c>
      <c r="D76" s="1344">
        <v>104.11612088608391</v>
      </c>
      <c r="E76" s="678">
        <f t="shared" si="2"/>
        <v>116.47856535662325</v>
      </c>
      <c r="F76" s="1350">
        <v>126.46266710115609</v>
      </c>
      <c r="G76" s="1347">
        <v>122.04960092013559</v>
      </c>
      <c r="H76" s="507">
        <f t="shared" ref="H76:H139" si="3">G76*$H$9</f>
        <v>114.72034931915601</v>
      </c>
      <c r="J76" s="924"/>
      <c r="K76" s="923"/>
    </row>
    <row r="77" spans="1:11">
      <c r="A77" s="49">
        <v>1998.08</v>
      </c>
      <c r="B77" s="679"/>
      <c r="C77" s="1344">
        <v>104.0409155192895</v>
      </c>
      <c r="D77" s="1344">
        <v>103.75952072303834</v>
      </c>
      <c r="E77" s="678">
        <f t="shared" si="2"/>
        <v>116.07962353047769</v>
      </c>
      <c r="F77" s="1350">
        <v>123.13274506212628</v>
      </c>
      <c r="G77" s="1347">
        <v>122.48857419249407</v>
      </c>
      <c r="H77" s="507">
        <f t="shared" si="3"/>
        <v>115.13296162404745</v>
      </c>
      <c r="J77" s="924"/>
      <c r="K77" s="923"/>
    </row>
    <row r="78" spans="1:11">
      <c r="A78" s="49">
        <v>1998.09</v>
      </c>
      <c r="B78" s="679"/>
      <c r="C78" s="1344">
        <v>103.50386272547877</v>
      </c>
      <c r="D78" s="1344">
        <v>103.22666737890249</v>
      </c>
      <c r="E78" s="678">
        <f t="shared" si="2"/>
        <v>115.48350073467809</v>
      </c>
      <c r="F78" s="1350">
        <v>123.62460141132985</v>
      </c>
      <c r="G78" s="1347">
        <v>122.24904250726789</v>
      </c>
      <c r="H78" s="507">
        <f t="shared" si="3"/>
        <v>114.90781415617384</v>
      </c>
      <c r="J78" s="924"/>
      <c r="K78" s="923"/>
    </row>
    <row r="79" spans="1:11">
      <c r="A79" s="49">
        <v>1998.1</v>
      </c>
      <c r="B79" s="679"/>
      <c r="C79" s="1344">
        <v>102.8660598548163</v>
      </c>
      <c r="D79" s="1344">
        <v>102.5782900156821</v>
      </c>
      <c r="E79" s="678">
        <f t="shared" si="2"/>
        <v>114.75813693476998</v>
      </c>
      <c r="F79" s="1350">
        <v>122.13258485854952</v>
      </c>
      <c r="G79" s="1347">
        <v>119.68712643855133</v>
      </c>
      <c r="H79" s="507">
        <f t="shared" si="3"/>
        <v>112.49974478016793</v>
      </c>
      <c r="J79" s="924"/>
      <c r="K79" s="923"/>
    </row>
    <row r="80" spans="1:11">
      <c r="A80" s="49">
        <v>1998.11</v>
      </c>
      <c r="B80" s="679"/>
      <c r="C80" s="1344">
        <v>101.94323349027108</v>
      </c>
      <c r="D80" s="1344">
        <v>101.89031097066254</v>
      </c>
      <c r="E80" s="678">
        <f t="shared" si="2"/>
        <v>113.98846926489036</v>
      </c>
      <c r="F80" s="1350">
        <v>119.66985445337195</v>
      </c>
      <c r="G80" s="1347">
        <v>119.69919320424324</v>
      </c>
      <c r="H80" s="507">
        <f t="shared" si="3"/>
        <v>112.51108691946942</v>
      </c>
      <c r="J80" s="924"/>
      <c r="K80" s="923"/>
    </row>
    <row r="81" spans="1:11">
      <c r="A81" s="49">
        <v>1998.12</v>
      </c>
      <c r="B81" s="679"/>
      <c r="C81" s="1344">
        <v>99.847756706345535</v>
      </c>
      <c r="D81" s="1344">
        <v>101.21734462176052</v>
      </c>
      <c r="E81" s="678">
        <f t="shared" si="2"/>
        <v>113.23559685487081</v>
      </c>
      <c r="F81" s="1350">
        <v>114.66667916032286</v>
      </c>
      <c r="G81" s="1347">
        <v>115.60321208863459</v>
      </c>
      <c r="H81" s="507">
        <f t="shared" si="3"/>
        <v>108.66107527793386</v>
      </c>
      <c r="J81" s="924"/>
      <c r="K81" s="923"/>
    </row>
    <row r="82" spans="1:11">
      <c r="A82" s="49">
        <v>1999.01</v>
      </c>
      <c r="B82" s="679"/>
      <c r="C82" s="1344">
        <v>100.36135412251524</v>
      </c>
      <c r="D82" s="1344">
        <v>100.59846534007281</v>
      </c>
      <c r="E82" s="678">
        <f t="shared" si="2"/>
        <v>112.54323365264592</v>
      </c>
      <c r="F82" s="1350">
        <v>110.44956903151144</v>
      </c>
      <c r="G82" s="1347">
        <v>117.21408778770385</v>
      </c>
      <c r="H82" s="507">
        <f t="shared" si="3"/>
        <v>110.17521560706031</v>
      </c>
      <c r="J82" s="924"/>
      <c r="K82" s="923"/>
    </row>
    <row r="83" spans="1:11">
      <c r="A83" s="49">
        <v>1999.02</v>
      </c>
      <c r="B83" s="679"/>
      <c r="C83" s="1344">
        <v>100.82888797750543</v>
      </c>
      <c r="D83" s="1344">
        <v>100.0632610208781</v>
      </c>
      <c r="E83" s="678">
        <f t="shared" si="2"/>
        <v>111.94448073386714</v>
      </c>
      <c r="F83" s="1350">
        <v>105.44709632035689</v>
      </c>
      <c r="G83" s="1347">
        <v>116.05608381747166</v>
      </c>
      <c r="H83" s="507">
        <f t="shared" si="3"/>
        <v>109.08675141728442</v>
      </c>
      <c r="J83" s="924"/>
      <c r="K83" s="923"/>
    </row>
    <row r="84" spans="1:11">
      <c r="A84" s="49">
        <v>1999.03</v>
      </c>
      <c r="B84" s="679"/>
      <c r="C84" s="1344">
        <v>100.4443316683967</v>
      </c>
      <c r="D84" s="1344">
        <v>99.627771770332757</v>
      </c>
      <c r="E84" s="678">
        <f t="shared" si="2"/>
        <v>111.45728276010423</v>
      </c>
      <c r="F84" s="1350">
        <v>117.25879767548257</v>
      </c>
      <c r="G84" s="1347">
        <v>117.35919645471716</v>
      </c>
      <c r="H84" s="507">
        <f t="shared" si="3"/>
        <v>110.3116102928561</v>
      </c>
      <c r="J84" s="924"/>
      <c r="K84" s="923"/>
    </row>
    <row r="85" spans="1:11">
      <c r="A85" s="49">
        <v>1999.04</v>
      </c>
      <c r="B85" s="679"/>
      <c r="C85" s="1344">
        <v>99.001964625731944</v>
      </c>
      <c r="D85" s="1344">
        <v>99.296328495160637</v>
      </c>
      <c r="E85" s="678">
        <f t="shared" si="2"/>
        <v>111.08648487731153</v>
      </c>
      <c r="F85" s="1350">
        <v>118.63391999743946</v>
      </c>
      <c r="G85" s="1347">
        <v>115.29327100162583</v>
      </c>
      <c r="H85" s="507">
        <f t="shared" si="3"/>
        <v>108.3697465926949</v>
      </c>
      <c r="J85" s="924"/>
      <c r="K85" s="923"/>
    </row>
    <row r="86" spans="1:11">
      <c r="A86" s="49">
        <v>1999.05</v>
      </c>
      <c r="B86" s="679"/>
      <c r="C86" s="1344">
        <v>99.314618309676931</v>
      </c>
      <c r="D86" s="1344">
        <v>99.076006806108921</v>
      </c>
      <c r="E86" s="678">
        <f t="shared" si="2"/>
        <v>110.84000283361563</v>
      </c>
      <c r="F86" s="1350">
        <v>119.22334013112606</v>
      </c>
      <c r="G86" s="1347">
        <v>115.60045597296116</v>
      </c>
      <c r="H86" s="507">
        <f t="shared" si="3"/>
        <v>108.65848467091477</v>
      </c>
      <c r="J86" s="924"/>
      <c r="K86" s="923"/>
    </row>
    <row r="87" spans="1:11">
      <c r="A87" s="49">
        <v>1999.06</v>
      </c>
      <c r="B87" s="679"/>
      <c r="C87" s="1344">
        <v>99.065726081428124</v>
      </c>
      <c r="D87" s="1344">
        <v>98.978471855335897</v>
      </c>
      <c r="E87" s="678">
        <f t="shared" si="2"/>
        <v>110.73088686731296</v>
      </c>
      <c r="F87" s="1350">
        <v>119.7622720566247</v>
      </c>
      <c r="G87" s="1347">
        <v>116.29384521710742</v>
      </c>
      <c r="H87" s="507">
        <f t="shared" si="3"/>
        <v>109.31023490772756</v>
      </c>
      <c r="J87" s="924"/>
      <c r="K87" s="923"/>
    </row>
    <row r="88" spans="1:11">
      <c r="A88" s="49">
        <v>1999.07</v>
      </c>
      <c r="B88" s="679"/>
      <c r="C88" s="1344">
        <v>97.717966851031122</v>
      </c>
      <c r="D88" s="1344">
        <v>99.00529758063</v>
      </c>
      <c r="E88" s="678">
        <f t="shared" si="2"/>
        <v>110.76089780097352</v>
      </c>
      <c r="F88" s="1350">
        <v>118.38068922843648</v>
      </c>
      <c r="G88" s="1347">
        <v>115.1308902724805</v>
      </c>
      <c r="H88" s="507">
        <f t="shared" si="3"/>
        <v>108.21711705658981</v>
      </c>
      <c r="J88" s="924"/>
      <c r="K88" s="923"/>
    </row>
    <row r="89" spans="1:11">
      <c r="A89" s="49">
        <v>1999.08</v>
      </c>
      <c r="B89" s="679"/>
      <c r="C89" s="1344">
        <v>99.142174246218801</v>
      </c>
      <c r="D89" s="1344">
        <v>99.142885126126401</v>
      </c>
      <c r="E89" s="678">
        <f t="shared" si="2"/>
        <v>110.91482209025718</v>
      </c>
      <c r="F89" s="1350">
        <v>118.26163701313082</v>
      </c>
      <c r="G89" s="1347">
        <v>117.07907357816222</v>
      </c>
      <c r="H89" s="507">
        <f t="shared" si="3"/>
        <v>110.04830919225114</v>
      </c>
      <c r="J89" s="924"/>
      <c r="K89" s="923"/>
    </row>
    <row r="90" spans="1:11">
      <c r="A90" s="49">
        <v>1999.09</v>
      </c>
      <c r="B90" s="679"/>
      <c r="C90" s="1344">
        <v>99.303713781828748</v>
      </c>
      <c r="D90" s="1344">
        <v>99.365854566842899</v>
      </c>
      <c r="E90" s="678">
        <f t="shared" si="2"/>
        <v>111.16426627192661</v>
      </c>
      <c r="F90" s="1350">
        <v>118.57433163064742</v>
      </c>
      <c r="G90" s="1347">
        <v>117.55634949886405</v>
      </c>
      <c r="H90" s="507">
        <f t="shared" si="3"/>
        <v>110.49692401713995</v>
      </c>
      <c r="J90" s="924"/>
      <c r="K90" s="923"/>
    </row>
    <row r="91" spans="1:11">
      <c r="A91" s="49">
        <v>1999.1</v>
      </c>
      <c r="B91" s="679"/>
      <c r="C91" s="1344">
        <v>99.702813654356405</v>
      </c>
      <c r="D91" s="1344">
        <v>99.622652927017171</v>
      </c>
      <c r="E91" s="678">
        <f t="shared" si="2"/>
        <v>111.45155612026585</v>
      </c>
      <c r="F91" s="1350">
        <v>118.81812217430341</v>
      </c>
      <c r="G91" s="1347">
        <v>118.00423229713141</v>
      </c>
      <c r="H91" s="507">
        <f t="shared" si="3"/>
        <v>110.91791081827577</v>
      </c>
      <c r="J91" s="924"/>
      <c r="K91" s="923"/>
    </row>
    <row r="92" spans="1:11">
      <c r="A92" s="49">
        <v>1999.11</v>
      </c>
      <c r="B92" s="679"/>
      <c r="C92" s="1344">
        <v>100.0331399716214</v>
      </c>
      <c r="D92" s="1344">
        <v>99.852133142454306</v>
      </c>
      <c r="E92" s="678">
        <f t="shared" si="2"/>
        <v>111.70828414705329</v>
      </c>
      <c r="F92" s="1350">
        <v>120.49385107446183</v>
      </c>
      <c r="G92" s="1347">
        <v>119.34269542455644</v>
      </c>
      <c r="H92" s="507">
        <f t="shared" si="3"/>
        <v>112.17599733696488</v>
      </c>
      <c r="J92" s="924"/>
      <c r="K92" s="923"/>
    </row>
    <row r="93" spans="1:11">
      <c r="A93" s="49">
        <v>1999.12</v>
      </c>
      <c r="B93" s="679"/>
      <c r="C93" s="1344">
        <v>101.81366284194512</v>
      </c>
      <c r="D93" s="1344">
        <v>99.98678155532005</v>
      </c>
      <c r="E93" s="678">
        <f t="shared" si="2"/>
        <v>111.85892031967163</v>
      </c>
      <c r="F93" s="1350">
        <v>119.187323879796</v>
      </c>
      <c r="G93" s="1347">
        <v>119.79628826935728</v>
      </c>
      <c r="H93" s="507">
        <f t="shared" si="3"/>
        <v>112.60235128824304</v>
      </c>
      <c r="J93" s="924"/>
      <c r="K93" s="923"/>
    </row>
    <row r="94" spans="1:11">
      <c r="A94" s="49">
        <v>2000.01</v>
      </c>
      <c r="B94" s="679"/>
      <c r="C94" s="1344">
        <v>99.979196630423502</v>
      </c>
      <c r="D94" s="1344">
        <v>99.97812052053267</v>
      </c>
      <c r="E94" s="678">
        <f t="shared" si="2"/>
        <v>111.84923089887923</v>
      </c>
      <c r="F94" s="1350">
        <v>111.63562500816859</v>
      </c>
      <c r="G94" s="1347">
        <v>118.25973219175266</v>
      </c>
      <c r="H94" s="507">
        <f t="shared" si="3"/>
        <v>111.15806758192744</v>
      </c>
      <c r="J94" s="924"/>
      <c r="K94" s="923"/>
    </row>
    <row r="95" spans="1:11">
      <c r="A95" s="49">
        <v>2000.02</v>
      </c>
      <c r="B95" s="679"/>
      <c r="C95" s="1344">
        <v>100.49710469905895</v>
      </c>
      <c r="D95" s="1344">
        <v>99.811641843818862</v>
      </c>
      <c r="E95" s="678">
        <f t="shared" si="2"/>
        <v>111.6629850297375</v>
      </c>
      <c r="F95" s="1350">
        <v>107.09084402891513</v>
      </c>
      <c r="G95" s="1347">
        <v>117.56937548416853</v>
      </c>
      <c r="H95" s="507">
        <f t="shared" si="3"/>
        <v>110.5091677735561</v>
      </c>
      <c r="J95" s="924"/>
      <c r="K95" s="923"/>
    </row>
    <row r="96" spans="1:11">
      <c r="A96" s="49">
        <v>2000.03</v>
      </c>
      <c r="B96" s="679"/>
      <c r="C96" s="1344">
        <v>100.01936527659656</v>
      </c>
      <c r="D96" s="1344">
        <v>99.516898451721048</v>
      </c>
      <c r="E96" s="678">
        <f t="shared" si="2"/>
        <v>111.33324466707589</v>
      </c>
      <c r="F96" s="1350">
        <v>117.5227217459292</v>
      </c>
      <c r="G96" s="1347">
        <v>117.3519900039457</v>
      </c>
      <c r="H96" s="507">
        <f t="shared" si="3"/>
        <v>110.30483659967219</v>
      </c>
      <c r="J96" s="924"/>
      <c r="K96" s="923"/>
    </row>
    <row r="97" spans="1:11">
      <c r="A97" s="49">
        <v>2000.04</v>
      </c>
      <c r="B97" s="679"/>
      <c r="C97" s="1344">
        <v>99.276746093772758</v>
      </c>
      <c r="D97" s="1344">
        <v>99.154189487931575</v>
      </c>
      <c r="E97" s="678">
        <f t="shared" si="2"/>
        <v>110.92746869900644</v>
      </c>
      <c r="F97" s="1350">
        <v>117.12083622467287</v>
      </c>
      <c r="G97" s="1347">
        <v>115.65010233070869</v>
      </c>
      <c r="H97" s="507">
        <f t="shared" si="3"/>
        <v>108.70514969448129</v>
      </c>
      <c r="J97" s="924"/>
      <c r="K97" s="923"/>
    </row>
    <row r="98" spans="1:11">
      <c r="A98" s="49">
        <v>2000.05</v>
      </c>
      <c r="B98" s="679"/>
      <c r="C98" s="1344">
        <v>98.073893970903015</v>
      </c>
      <c r="D98" s="1344">
        <v>98.783757023423647</v>
      </c>
      <c r="E98" s="678">
        <f t="shared" si="2"/>
        <v>110.51305216427394</v>
      </c>
      <c r="F98" s="1350">
        <v>120.0797557064498</v>
      </c>
      <c r="G98" s="1347">
        <v>114.24647814478892</v>
      </c>
      <c r="H98" s="507">
        <f t="shared" si="3"/>
        <v>107.3858151312581</v>
      </c>
      <c r="J98" s="924"/>
      <c r="K98" s="923"/>
    </row>
    <row r="99" spans="1:11">
      <c r="A99" s="49">
        <v>2000.06</v>
      </c>
      <c r="B99" s="679"/>
      <c r="C99" s="1344">
        <v>98.038883038855857</v>
      </c>
      <c r="D99" s="1344">
        <v>98.451830647477905</v>
      </c>
      <c r="E99" s="678">
        <f t="shared" si="2"/>
        <v>110.14171381873103</v>
      </c>
      <c r="F99" s="1350">
        <v>118.31763415715153</v>
      </c>
      <c r="G99" s="1347">
        <v>114.39075166855122</v>
      </c>
      <c r="H99" s="507">
        <f t="shared" si="3"/>
        <v>107.52142482533932</v>
      </c>
      <c r="J99" s="924"/>
      <c r="K99" s="923"/>
    </row>
    <row r="100" spans="1:11">
      <c r="A100" s="49">
        <v>2000.07</v>
      </c>
      <c r="B100" s="679"/>
      <c r="C100" s="1344">
        <v>98.867225230096807</v>
      </c>
      <c r="D100" s="1344">
        <v>98.202402807026914</v>
      </c>
      <c r="E100" s="678">
        <f t="shared" si="2"/>
        <v>109.86266964412603</v>
      </c>
      <c r="F100" s="1350">
        <v>117.83064230446199</v>
      </c>
      <c r="G100" s="1347">
        <v>115.96672931063989</v>
      </c>
      <c r="H100" s="507">
        <f t="shared" si="3"/>
        <v>109.00276277529214</v>
      </c>
      <c r="J100" s="924"/>
      <c r="K100" s="923"/>
    </row>
    <row r="101" spans="1:11">
      <c r="A101" s="49">
        <v>2000.08</v>
      </c>
      <c r="B101" s="679"/>
      <c r="C101" s="1344">
        <v>98.050411946447454</v>
      </c>
      <c r="D101" s="1344">
        <v>98.064250626173731</v>
      </c>
      <c r="E101" s="678">
        <f t="shared" si="2"/>
        <v>109.70811367633048</v>
      </c>
      <c r="F101" s="1350">
        <v>119.30484965240606</v>
      </c>
      <c r="G101" s="1347">
        <v>117.05871571708536</v>
      </c>
      <c r="H101" s="507">
        <f t="shared" si="3"/>
        <v>110.02917384959929</v>
      </c>
      <c r="J101" s="924"/>
      <c r="K101" s="923"/>
    </row>
    <row r="102" spans="1:11">
      <c r="A102" s="49">
        <v>2000.09</v>
      </c>
      <c r="B102" s="679"/>
      <c r="C102" s="1344">
        <v>97.98077515851854</v>
      </c>
      <c r="D102" s="1344">
        <v>98.048492903666968</v>
      </c>
      <c r="E102" s="678">
        <f t="shared" si="2"/>
        <v>109.69048492782107</v>
      </c>
      <c r="F102" s="1350">
        <v>116.64662352328109</v>
      </c>
      <c r="G102" s="1347">
        <v>116.59535425699656</v>
      </c>
      <c r="H102" s="507">
        <f t="shared" si="3"/>
        <v>109.59363790223306</v>
      </c>
      <c r="J102" s="924"/>
      <c r="K102" s="923"/>
    </row>
    <row r="103" spans="1:11">
      <c r="A103" s="49">
        <v>2000.1</v>
      </c>
      <c r="B103" s="679"/>
      <c r="C103" s="1344">
        <v>97.979290473926724</v>
      </c>
      <c r="D103" s="1344">
        <v>98.139314718125306</v>
      </c>
      <c r="E103" s="678">
        <f t="shared" si="2"/>
        <v>109.79209065958635</v>
      </c>
      <c r="F103" s="1350">
        <v>116.6538482666423</v>
      </c>
      <c r="G103" s="1347">
        <v>115.99147235074508</v>
      </c>
      <c r="H103" s="507">
        <f t="shared" si="3"/>
        <v>109.02601996075352</v>
      </c>
      <c r="J103" s="924"/>
      <c r="K103" s="923"/>
    </row>
    <row r="104" spans="1:11">
      <c r="A104" s="49">
        <v>2000.11</v>
      </c>
      <c r="B104" s="679"/>
      <c r="C104" s="1344">
        <v>97.268072597742176</v>
      </c>
      <c r="D104" s="1344">
        <v>98.303494363494693</v>
      </c>
      <c r="E104" s="678">
        <f t="shared" si="2"/>
        <v>109.97576451710846</v>
      </c>
      <c r="F104" s="1350">
        <v>117.28100114015406</v>
      </c>
      <c r="G104" s="1347">
        <v>116.51192708409778</v>
      </c>
      <c r="H104" s="507">
        <f t="shared" si="3"/>
        <v>109.51522064936616</v>
      </c>
      <c r="J104" s="924"/>
      <c r="K104" s="923"/>
    </row>
    <row r="105" spans="1:11">
      <c r="A105" s="49">
        <v>2000.12</v>
      </c>
      <c r="B105" s="679"/>
      <c r="C105" s="1344">
        <v>101.25720308109246</v>
      </c>
      <c r="D105" s="1344">
        <v>98.478876794318822</v>
      </c>
      <c r="E105" s="678">
        <f t="shared" si="2"/>
        <v>110.17197134614989</v>
      </c>
      <c r="F105" s="1350">
        <v>116.66206695193461</v>
      </c>
      <c r="G105" s="1347">
        <v>119.05564813937234</v>
      </c>
      <c r="H105" s="507">
        <f t="shared" si="3"/>
        <v>111.90618764828771</v>
      </c>
      <c r="J105" s="924"/>
      <c r="K105" s="923"/>
    </row>
    <row r="106" spans="1:11">
      <c r="A106" s="49">
        <v>2001.01</v>
      </c>
      <c r="B106" s="679"/>
      <c r="C106" s="1344">
        <v>98.833349371313645</v>
      </c>
      <c r="D106" s="1344">
        <v>98.600564370864348</v>
      </c>
      <c r="E106" s="678">
        <f t="shared" si="2"/>
        <v>110.30810775055218</v>
      </c>
      <c r="F106" s="1350">
        <v>110.79129434531234</v>
      </c>
      <c r="G106" s="1347">
        <v>115.49975304224016</v>
      </c>
      <c r="H106" s="507">
        <f t="shared" si="3"/>
        <v>108.56382909397983</v>
      </c>
      <c r="J106" s="924"/>
      <c r="K106" s="923"/>
    </row>
    <row r="107" spans="1:11">
      <c r="A107" s="49">
        <v>2001.02</v>
      </c>
      <c r="B107" s="679"/>
      <c r="C107" s="1344">
        <v>98.657827564636349</v>
      </c>
      <c r="D107" s="1344">
        <v>98.592408193314341</v>
      </c>
      <c r="E107" s="678">
        <f t="shared" si="2"/>
        <v>110.29898313227278</v>
      </c>
      <c r="F107" s="1350">
        <v>103.65794457444555</v>
      </c>
      <c r="G107" s="1347">
        <v>114.0554716354946</v>
      </c>
      <c r="H107" s="507">
        <f t="shared" si="3"/>
        <v>107.20627883369318</v>
      </c>
      <c r="J107" s="924"/>
      <c r="K107" s="923"/>
    </row>
    <row r="108" spans="1:11">
      <c r="A108" s="49">
        <v>2001.03</v>
      </c>
      <c r="B108" s="679"/>
      <c r="C108" s="1344">
        <v>97.981417053022199</v>
      </c>
      <c r="D108" s="1344">
        <v>98.394669896187423</v>
      </c>
      <c r="E108" s="678">
        <f t="shared" si="2"/>
        <v>110.07776596657943</v>
      </c>
      <c r="F108" s="1350">
        <v>112.50760369725583</v>
      </c>
      <c r="G108" s="1347">
        <v>113.19800102725074</v>
      </c>
      <c r="H108" s="507">
        <f t="shared" si="3"/>
        <v>106.4003005513634</v>
      </c>
      <c r="J108" s="924"/>
      <c r="K108" s="923"/>
    </row>
    <row r="109" spans="1:11">
      <c r="A109" s="49">
        <v>2001.04</v>
      </c>
      <c r="B109" s="679"/>
      <c r="C109" s="1344">
        <v>98.373517325296064</v>
      </c>
      <c r="D109" s="1344">
        <v>97.964208097989697</v>
      </c>
      <c r="E109" s="678">
        <f t="shared" si="2"/>
        <v>109.59619239019003</v>
      </c>
      <c r="F109" s="1350">
        <v>117.85289630604433</v>
      </c>
      <c r="G109" s="1347">
        <v>115.29614591070619</v>
      </c>
      <c r="H109" s="507">
        <f t="shared" si="3"/>
        <v>108.37244885940838</v>
      </c>
      <c r="J109" s="924"/>
      <c r="K109" s="923"/>
    </row>
    <row r="110" spans="1:11">
      <c r="A110" s="49">
        <v>2001.05</v>
      </c>
      <c r="B110" s="679"/>
      <c r="C110" s="1344">
        <v>98.125277912884044</v>
      </c>
      <c r="D110" s="1344">
        <v>97.267328663181999</v>
      </c>
      <c r="E110" s="678">
        <f t="shared" si="2"/>
        <v>108.81656752420268</v>
      </c>
      <c r="F110" s="1350">
        <v>120.3642528198136</v>
      </c>
      <c r="G110" s="1347">
        <v>113.53173173550177</v>
      </c>
      <c r="H110" s="507">
        <f t="shared" si="3"/>
        <v>106.71399025735548</v>
      </c>
      <c r="J110" s="924"/>
      <c r="K110" s="923"/>
    </row>
    <row r="111" spans="1:11">
      <c r="A111" s="49">
        <v>2001.06</v>
      </c>
      <c r="B111" s="679"/>
      <c r="C111" s="1344">
        <v>97.656443816198362</v>
      </c>
      <c r="D111" s="1344">
        <v>96.281196811709208</v>
      </c>
      <c r="E111" s="678">
        <f t="shared" si="2"/>
        <v>107.71334525339127</v>
      </c>
      <c r="F111" s="1350">
        <v>117.51426241386294</v>
      </c>
      <c r="G111" s="1347">
        <v>113.42155732997114</v>
      </c>
      <c r="H111" s="507">
        <f t="shared" si="3"/>
        <v>106.61043198110372</v>
      </c>
      <c r="J111" s="924"/>
      <c r="K111" s="923"/>
    </row>
    <row r="112" spans="1:11">
      <c r="A112" s="49">
        <v>2001.07</v>
      </c>
      <c r="B112" s="679"/>
      <c r="C112" s="1344">
        <v>95.038569762097467</v>
      </c>
      <c r="D112" s="1344">
        <v>95.006957445459278</v>
      </c>
      <c r="E112" s="678">
        <f t="shared" si="2"/>
        <v>106.28780642195404</v>
      </c>
      <c r="F112" s="1350">
        <v>114.91393668017923</v>
      </c>
      <c r="G112" s="1347">
        <v>112.45560349915151</v>
      </c>
      <c r="H112" s="507">
        <f t="shared" si="3"/>
        <v>105.70248504754252</v>
      </c>
      <c r="J112" s="924"/>
      <c r="K112" s="923"/>
    </row>
    <row r="113" spans="1:11">
      <c r="A113" s="49">
        <v>2001.08</v>
      </c>
      <c r="B113" s="679"/>
      <c r="C113" s="1344">
        <v>93.778601598985276</v>
      </c>
      <c r="D113" s="1344">
        <v>93.489927309898547</v>
      </c>
      <c r="E113" s="678">
        <f t="shared" si="2"/>
        <v>104.59064855351778</v>
      </c>
      <c r="F113" s="1350">
        <v>112.45287090593874</v>
      </c>
      <c r="G113" s="1347">
        <v>110.47588059875255</v>
      </c>
      <c r="H113" s="507">
        <f t="shared" si="3"/>
        <v>103.84164731454973</v>
      </c>
      <c r="J113" s="924"/>
      <c r="K113" s="923"/>
    </row>
    <row r="114" spans="1:11">
      <c r="A114" s="49">
        <v>2001.09</v>
      </c>
      <c r="B114" s="679"/>
      <c r="C114" s="1344">
        <v>91.732162463961814</v>
      </c>
      <c r="D114" s="1344">
        <v>91.820411551582737</v>
      </c>
      <c r="E114" s="678">
        <f t="shared" si="2"/>
        <v>102.7228993643056</v>
      </c>
      <c r="F114" s="1350">
        <v>106.1892326087986</v>
      </c>
      <c r="G114" s="1347">
        <v>107.60873569362452</v>
      </c>
      <c r="H114" s="507">
        <f t="shared" si="3"/>
        <v>101.14667852657182</v>
      </c>
      <c r="J114" s="924"/>
      <c r="K114" s="923"/>
    </row>
    <row r="115" spans="1:11">
      <c r="A115" s="49">
        <v>2001.1</v>
      </c>
      <c r="B115" s="679"/>
      <c r="C115" s="1344">
        <v>89.825308386543853</v>
      </c>
      <c r="D115" s="1344">
        <v>90.109885980857527</v>
      </c>
      <c r="E115" s="678">
        <f t="shared" si="2"/>
        <v>100.80927097719075</v>
      </c>
      <c r="F115" s="1350">
        <v>107.26524070194895</v>
      </c>
      <c r="G115" s="1347">
        <v>106.13501167071593</v>
      </c>
      <c r="H115" s="507">
        <f t="shared" si="3"/>
        <v>99.761453720972185</v>
      </c>
      <c r="J115" s="924"/>
      <c r="K115" s="923"/>
    </row>
    <row r="116" spans="1:11">
      <c r="A116" s="49">
        <v>2001.11</v>
      </c>
      <c r="B116" s="679"/>
      <c r="C116" s="1344">
        <v>88.807870118854225</v>
      </c>
      <c r="D116" s="1344">
        <v>88.479339897846671</v>
      </c>
      <c r="E116" s="678">
        <f t="shared" si="2"/>
        <v>98.985118608848424</v>
      </c>
      <c r="F116" s="1350">
        <v>106.07481446271802</v>
      </c>
      <c r="G116" s="1347">
        <v>105.76435913749201</v>
      </c>
      <c r="H116" s="507">
        <f t="shared" si="3"/>
        <v>99.413059397951812</v>
      </c>
      <c r="J116" s="924"/>
      <c r="K116" s="923"/>
    </row>
    <row r="117" spans="1:11">
      <c r="A117" s="49">
        <v>2001.12</v>
      </c>
      <c r="B117" s="679"/>
      <c r="C117" s="1344">
        <v>86.132190458243883</v>
      </c>
      <c r="D117" s="1344">
        <v>87.023935994290113</v>
      </c>
      <c r="E117" s="678">
        <f t="shared" si="2"/>
        <v>97.356904291430894</v>
      </c>
      <c r="F117" s="1350">
        <v>96.960755870789498</v>
      </c>
      <c r="G117" s="1347">
        <v>99.574955936886866</v>
      </c>
      <c r="H117" s="507">
        <f t="shared" si="3"/>
        <v>93.595338636085884</v>
      </c>
      <c r="J117" s="924"/>
      <c r="K117" s="923"/>
    </row>
    <row r="118" spans="1:11">
      <c r="A118" s="49">
        <v>2002.01</v>
      </c>
      <c r="B118" s="679"/>
      <c r="C118" s="1344">
        <v>83.977127746895476</v>
      </c>
      <c r="D118" s="1344">
        <v>85.812401197839591</v>
      </c>
      <c r="E118" s="678">
        <f t="shared" si="2"/>
        <v>96.001515387491736</v>
      </c>
      <c r="F118" s="1350">
        <v>94.209668556685287</v>
      </c>
      <c r="G118" s="1347">
        <v>98.044583214546719</v>
      </c>
      <c r="H118" s="507">
        <f t="shared" si="3"/>
        <v>92.156866965783152</v>
      </c>
      <c r="J118" s="924"/>
      <c r="K118" s="923"/>
    </row>
    <row r="119" spans="1:11">
      <c r="A119" s="49">
        <v>2002.02</v>
      </c>
      <c r="B119" s="679"/>
      <c r="C119" s="1344">
        <v>83.992444818147604</v>
      </c>
      <c r="D119" s="1344">
        <v>84.87862286578661</v>
      </c>
      <c r="E119" s="678">
        <f t="shared" si="2"/>
        <v>94.956862940272401</v>
      </c>
      <c r="F119" s="1350">
        <v>89.627785245130795</v>
      </c>
      <c r="G119" s="1347">
        <v>98.570247912940275</v>
      </c>
      <c r="H119" s="507">
        <f t="shared" si="3"/>
        <v>92.650964753648253</v>
      </c>
      <c r="J119" s="924"/>
      <c r="K119" s="923"/>
    </row>
    <row r="120" spans="1:11">
      <c r="A120" s="49">
        <v>2002.03</v>
      </c>
      <c r="B120" s="679"/>
      <c r="C120" s="1344">
        <v>83.380757005181323</v>
      </c>
      <c r="D120" s="1344">
        <v>84.227322068838632</v>
      </c>
      <c r="E120" s="678">
        <f t="shared" si="2"/>
        <v>94.228228586644022</v>
      </c>
      <c r="F120" s="1350">
        <v>94.905223935756538</v>
      </c>
      <c r="G120" s="1347">
        <v>97.374625807555887</v>
      </c>
      <c r="H120" s="507">
        <f t="shared" si="3"/>
        <v>91.527141451078379</v>
      </c>
      <c r="J120" s="924"/>
      <c r="K120" s="923"/>
    </row>
    <row r="121" spans="1:11">
      <c r="A121" s="49">
        <v>2002.04</v>
      </c>
      <c r="B121" s="679"/>
      <c r="C121" s="1344">
        <v>83.282458498760946</v>
      </c>
      <c r="D121" s="1344">
        <v>83.83462513740588</v>
      </c>
      <c r="E121" s="678">
        <f t="shared" si="2"/>
        <v>93.788903967133066</v>
      </c>
      <c r="F121" s="1350">
        <v>104.12118264171747</v>
      </c>
      <c r="G121" s="1347">
        <v>99.768357215325025</v>
      </c>
      <c r="H121" s="507">
        <f t="shared" si="3"/>
        <v>93.77712589351178</v>
      </c>
      <c r="J121" s="924"/>
      <c r="K121" s="923"/>
    </row>
    <row r="122" spans="1:11">
      <c r="A122" s="49">
        <v>2002.05</v>
      </c>
      <c r="B122" s="679"/>
      <c r="C122" s="1344">
        <v>84.205772273502291</v>
      </c>
      <c r="D122" s="1344">
        <v>83.662619807852522</v>
      </c>
      <c r="E122" s="678">
        <f t="shared" si="2"/>
        <v>93.596475226515764</v>
      </c>
      <c r="F122" s="1350">
        <v>107.3491787046183</v>
      </c>
      <c r="G122" s="1347">
        <v>100.58814613990178</v>
      </c>
      <c r="H122" s="507">
        <f t="shared" si="3"/>
        <v>94.54768533071109</v>
      </c>
      <c r="J122" s="924"/>
      <c r="K122" s="923"/>
    </row>
    <row r="123" spans="1:11">
      <c r="A123" s="49">
        <v>2002.06</v>
      </c>
      <c r="B123" s="679"/>
      <c r="C123" s="1344">
        <v>84.280042452539107</v>
      </c>
      <c r="D123" s="1344">
        <v>83.662470359999318</v>
      </c>
      <c r="E123" s="678">
        <f t="shared" si="2"/>
        <v>93.596308033660435</v>
      </c>
      <c r="F123" s="1350">
        <v>103.60811161246993</v>
      </c>
      <c r="G123" s="1347">
        <v>100.58419940837597</v>
      </c>
      <c r="H123" s="507">
        <f t="shared" si="3"/>
        <v>94.543975606009852</v>
      </c>
      <c r="J123" s="924"/>
      <c r="K123" s="923"/>
    </row>
    <row r="124" spans="1:11">
      <c r="A124" s="49">
        <v>2002.07</v>
      </c>
      <c r="B124" s="679"/>
      <c r="C124" s="1344">
        <v>84.124887986598821</v>
      </c>
      <c r="D124" s="1344">
        <v>83.786951429543819</v>
      </c>
      <c r="E124" s="678">
        <f t="shared" si="2"/>
        <v>93.735569622271342</v>
      </c>
      <c r="F124" s="1350">
        <v>101.66184181203452</v>
      </c>
      <c r="G124" s="1347">
        <v>98.688955375297752</v>
      </c>
      <c r="H124" s="507">
        <f t="shared" si="3"/>
        <v>92.762543664564575</v>
      </c>
      <c r="J124" s="924"/>
      <c r="K124" s="923"/>
    </row>
    <row r="125" spans="1:11">
      <c r="A125" s="49">
        <v>2002.08</v>
      </c>
      <c r="B125" s="679"/>
      <c r="C125" s="1344">
        <v>84.109327541550158</v>
      </c>
      <c r="D125" s="1344">
        <v>84.010925101805981</v>
      </c>
      <c r="E125" s="678">
        <f t="shared" si="2"/>
        <v>93.986137275010677</v>
      </c>
      <c r="F125" s="1350">
        <v>99.274556114983895</v>
      </c>
      <c r="G125" s="1347">
        <v>98.208518571687165</v>
      </c>
      <c r="H125" s="507">
        <f t="shared" si="3"/>
        <v>92.310957772267798</v>
      </c>
      <c r="J125" s="924"/>
      <c r="K125" s="923"/>
    </row>
    <row r="126" spans="1:11">
      <c r="A126" s="49">
        <v>2002.09</v>
      </c>
      <c r="B126" s="679"/>
      <c r="C126" s="1344">
        <v>84.173301134343987</v>
      </c>
      <c r="D126" s="1344">
        <v>84.340234557641224</v>
      </c>
      <c r="E126" s="678">
        <f t="shared" si="2"/>
        <v>94.354547974983134</v>
      </c>
      <c r="F126" s="1350">
        <v>97.412862090223413</v>
      </c>
      <c r="G126" s="1347">
        <v>98.448439515472344</v>
      </c>
      <c r="H126" s="507">
        <f t="shared" si="3"/>
        <v>92.536471123171964</v>
      </c>
      <c r="J126" s="924"/>
      <c r="K126" s="923"/>
    </row>
    <row r="127" spans="1:11">
      <c r="A127" s="49">
        <v>2002.1</v>
      </c>
      <c r="B127" s="679"/>
      <c r="C127" s="1344">
        <v>84.235308781594327</v>
      </c>
      <c r="D127" s="1344">
        <v>84.791124308004697</v>
      </c>
      <c r="E127" s="678">
        <f t="shared" si="2"/>
        <v>94.858975058986829</v>
      </c>
      <c r="F127" s="1350">
        <v>100.21541285348962</v>
      </c>
      <c r="G127" s="1347">
        <v>99.233739847499905</v>
      </c>
      <c r="H127" s="507">
        <f t="shared" si="3"/>
        <v>93.274613056709313</v>
      </c>
      <c r="J127" s="924"/>
      <c r="K127" s="923"/>
    </row>
    <row r="128" spans="1:11">
      <c r="A128" s="49">
        <v>2002.11</v>
      </c>
      <c r="B128" s="679"/>
      <c r="C128" s="1344">
        <v>85.357137940359351</v>
      </c>
      <c r="D128" s="1344">
        <v>85.371918657379041</v>
      </c>
      <c r="E128" s="678">
        <f t="shared" si="2"/>
        <v>95.508731235135329</v>
      </c>
      <c r="F128" s="1350">
        <v>99.098474474568107</v>
      </c>
      <c r="G128" s="1347">
        <v>99.467651085446164</v>
      </c>
      <c r="H128" s="507">
        <f t="shared" si="3"/>
        <v>93.494477593131933</v>
      </c>
      <c r="J128" s="924"/>
      <c r="K128" s="923"/>
    </row>
    <row r="129" spans="1:11">
      <c r="A129" s="49">
        <v>2002.12</v>
      </c>
      <c r="B129" s="679"/>
      <c r="C129" s="1344">
        <v>86.177824933814392</v>
      </c>
      <c r="D129" s="1344">
        <v>86.064572632549414</v>
      </c>
      <c r="E129" s="678">
        <f t="shared" si="2"/>
        <v>96.283628922734366</v>
      </c>
      <c r="F129" s="1350">
        <v>97.384901635230008</v>
      </c>
      <c r="G129" s="1347">
        <v>99.937238031750994</v>
      </c>
      <c r="H129" s="507">
        <f t="shared" si="3"/>
        <v>93.935865177439211</v>
      </c>
      <c r="J129" s="924"/>
      <c r="K129" s="923"/>
    </row>
    <row r="130" spans="1:11">
      <c r="A130" s="49">
        <v>2003.01</v>
      </c>
      <c r="B130" s="679"/>
      <c r="C130" s="1344">
        <v>87.881710031815345</v>
      </c>
      <c r="D130" s="1344">
        <v>86.837505437304529</v>
      </c>
      <c r="E130" s="678">
        <f t="shared" si="2"/>
        <v>97.148337513956761</v>
      </c>
      <c r="F130" s="1350">
        <v>99.162645455890981</v>
      </c>
      <c r="G130" s="1347">
        <v>102.88797740609277</v>
      </c>
      <c r="H130" s="507">
        <f t="shared" si="3"/>
        <v>96.709408468218058</v>
      </c>
      <c r="J130" s="924"/>
      <c r="K130" s="923"/>
    </row>
    <row r="131" spans="1:11">
      <c r="A131" s="49">
        <v>2003.02</v>
      </c>
      <c r="B131" s="679"/>
      <c r="C131" s="1344">
        <v>88.635500851525691</v>
      </c>
      <c r="D131" s="1344">
        <v>87.653105729908432</v>
      </c>
      <c r="E131" s="678">
        <f>D131*$E$9</f>
        <v>98.060779806067188</v>
      </c>
      <c r="F131" s="1350">
        <v>94.312172875011171</v>
      </c>
      <c r="G131" s="1347">
        <v>103.55338048529916</v>
      </c>
      <c r="H131" s="507">
        <f t="shared" si="3"/>
        <v>97.334853148979846</v>
      </c>
      <c r="J131" s="924"/>
      <c r="K131" s="923"/>
    </row>
    <row r="132" spans="1:11">
      <c r="A132" s="49">
        <v>2003.03</v>
      </c>
      <c r="B132" s="679"/>
      <c r="C132" s="1344">
        <v>87.762355876751727</v>
      </c>
      <c r="D132" s="1344">
        <v>88.48505587264097</v>
      </c>
      <c r="E132" s="678">
        <f t="shared" si="2"/>
        <v>98.991513281815386</v>
      </c>
      <c r="F132" s="1350">
        <v>101.87599679617965</v>
      </c>
      <c r="G132" s="1347">
        <v>103.75396683161044</v>
      </c>
      <c r="H132" s="507">
        <f t="shared" si="3"/>
        <v>97.523394000764696</v>
      </c>
      <c r="J132" s="924"/>
      <c r="K132" s="923"/>
    </row>
    <row r="133" spans="1:11">
      <c r="A133" s="49">
        <v>2003.04</v>
      </c>
      <c r="B133" s="679"/>
      <c r="C133" s="1344">
        <v>90.284141801963997</v>
      </c>
      <c r="D133" s="1344">
        <v>89.318109142514118</v>
      </c>
      <c r="E133" s="678">
        <f t="shared" si="2"/>
        <v>99.923480866802862</v>
      </c>
      <c r="F133" s="1350">
        <v>110.84806484764944</v>
      </c>
      <c r="G133" s="1347">
        <v>107.04414607290398</v>
      </c>
      <c r="H133" s="507">
        <f t="shared" si="3"/>
        <v>100.61599331316081</v>
      </c>
      <c r="J133" s="924"/>
      <c r="K133" s="923"/>
    </row>
    <row r="134" spans="1:11">
      <c r="A134" s="49">
        <v>2003.05</v>
      </c>
      <c r="B134" s="679"/>
      <c r="C134" s="1344">
        <v>91.016112025066306</v>
      </c>
      <c r="D134" s="1344">
        <v>90.145820446755977</v>
      </c>
      <c r="E134" s="678">
        <f t="shared" si="2"/>
        <v>100.84947219674336</v>
      </c>
      <c r="F134" s="1350">
        <v>114.40653926642133</v>
      </c>
      <c r="G134" s="1347">
        <v>107.39451174431279</v>
      </c>
      <c r="H134" s="507">
        <f t="shared" si="3"/>
        <v>100.94531902918474</v>
      </c>
      <c r="J134" s="924"/>
      <c r="K134" s="923"/>
    </row>
    <row r="135" spans="1:11">
      <c r="A135" s="49">
        <v>2003.06</v>
      </c>
      <c r="B135" s="679"/>
      <c r="C135" s="1344">
        <v>91.460381031532165</v>
      </c>
      <c r="D135" s="1344">
        <v>90.96821969230551</v>
      </c>
      <c r="E135" s="678">
        <f t="shared" si="2"/>
        <v>101.76952072963856</v>
      </c>
      <c r="F135" s="1350">
        <v>111.89709186127824</v>
      </c>
      <c r="G135" s="1347">
        <v>108.07018493674875</v>
      </c>
      <c r="H135" s="507">
        <f t="shared" si="3"/>
        <v>101.58041708831369</v>
      </c>
      <c r="J135" s="924"/>
      <c r="K135" s="923"/>
    </row>
    <row r="136" spans="1:11">
      <c r="A136" s="49">
        <v>2003.07</v>
      </c>
      <c r="B136" s="679"/>
      <c r="C136" s="1344">
        <v>92.633938363262871</v>
      </c>
      <c r="D136" s="1344">
        <v>91.782441786425281</v>
      </c>
      <c r="E136" s="678">
        <f t="shared" si="2"/>
        <v>102.68042117999727</v>
      </c>
      <c r="F136" s="1350">
        <v>110.63079515068982</v>
      </c>
      <c r="G136" s="1347">
        <v>107.50627244112505</v>
      </c>
      <c r="H136" s="507">
        <f t="shared" si="3"/>
        <v>101.05036833767731</v>
      </c>
      <c r="J136" s="924"/>
      <c r="K136" s="923"/>
    </row>
    <row r="137" spans="1:11">
      <c r="A137" s="49">
        <v>2003.08</v>
      </c>
      <c r="B137" s="679"/>
      <c r="C137" s="1344">
        <v>92.319628070224795</v>
      </c>
      <c r="D137" s="1344">
        <v>92.582388640459996</v>
      </c>
      <c r="E137" s="678">
        <f t="shared" si="2"/>
        <v>103.5753513899064</v>
      </c>
      <c r="F137" s="1350">
        <v>107.67044320570943</v>
      </c>
      <c r="G137" s="1347">
        <v>107.62426736202839</v>
      </c>
      <c r="H137" s="507">
        <f t="shared" si="3"/>
        <v>101.1612774962642</v>
      </c>
      <c r="J137" s="924"/>
      <c r="K137" s="923"/>
    </row>
    <row r="138" spans="1:11">
      <c r="A138" s="49">
        <v>2003.09</v>
      </c>
      <c r="B138" s="679"/>
      <c r="C138" s="1344">
        <v>93.634822262332023</v>
      </c>
      <c r="D138" s="1344">
        <v>93.363787463001231</v>
      </c>
      <c r="E138" s="678">
        <f t="shared" ref="E138:E201" si="4">D138*$E$9</f>
        <v>104.44953122917011</v>
      </c>
      <c r="F138" s="1350">
        <v>108.60365937956736</v>
      </c>
      <c r="G138" s="1347">
        <v>108.59399271664769</v>
      </c>
      <c r="H138" s="507">
        <f t="shared" si="3"/>
        <v>102.0727694682729</v>
      </c>
      <c r="J138" s="924"/>
      <c r="K138" s="923"/>
    </row>
    <row r="139" spans="1:11">
      <c r="A139" s="49">
        <v>2003.1</v>
      </c>
      <c r="B139" s="679"/>
      <c r="C139" s="1344">
        <v>94.588822612016301</v>
      </c>
      <c r="D139" s="1344">
        <v>94.123157127855677</v>
      </c>
      <c r="E139" s="678">
        <f t="shared" si="4"/>
        <v>105.29906623282589</v>
      </c>
      <c r="F139" s="1350">
        <v>111.8703796379171</v>
      </c>
      <c r="G139" s="1347">
        <v>110.69883017843459</v>
      </c>
      <c r="H139" s="507">
        <f t="shared" si="3"/>
        <v>104.05120845583046</v>
      </c>
      <c r="J139" s="924"/>
      <c r="K139" s="923"/>
    </row>
    <row r="140" spans="1:11">
      <c r="A140" s="49">
        <v>2003.11</v>
      </c>
      <c r="B140" s="679"/>
      <c r="C140" s="1344">
        <v>94.90145151566314</v>
      </c>
      <c r="D140" s="1344">
        <v>94.860043890421622</v>
      </c>
      <c r="E140" s="678">
        <f t="shared" si="4"/>
        <v>106.12344877996169</v>
      </c>
      <c r="F140" s="1350">
        <v>109.75469561246986</v>
      </c>
      <c r="G140" s="1347">
        <v>111.22099443084142</v>
      </c>
      <c r="H140" s="507">
        <f t="shared" ref="H140:H203" si="5">G140*$H$9</f>
        <v>104.54201600445396</v>
      </c>
      <c r="J140" s="924"/>
      <c r="K140" s="923"/>
    </row>
    <row r="141" spans="1:11" ht="13.5" thickBot="1">
      <c r="A141" s="49">
        <v>2003.12</v>
      </c>
      <c r="B141" s="679"/>
      <c r="C141" s="1344">
        <v>95.546200670930105</v>
      </c>
      <c r="D141" s="1344">
        <v>95.557368351469975</v>
      </c>
      <c r="E141" s="678">
        <f t="shared" si="4"/>
        <v>106.90357151330728</v>
      </c>
      <c r="F141" s="1350">
        <v>108.76797601950953</v>
      </c>
      <c r="G141" s="1347">
        <v>110.79981921288146</v>
      </c>
      <c r="H141" s="507">
        <f t="shared" si="5"/>
        <v>104.14613295555685</v>
      </c>
      <c r="J141" s="924"/>
      <c r="K141" s="923"/>
    </row>
    <row r="142" spans="1:11">
      <c r="A142" s="49">
        <v>2004.01</v>
      </c>
      <c r="B142" s="680">
        <v>92.627506026910524</v>
      </c>
      <c r="C142" s="1345">
        <v>98.360661078926668</v>
      </c>
      <c r="D142" s="1345">
        <v>96.072836814913074</v>
      </c>
      <c r="E142" s="1340">
        <f t="shared" si="4"/>
        <v>107.48024519839518</v>
      </c>
      <c r="F142" s="1350">
        <v>109.81685563127817</v>
      </c>
      <c r="G142" s="1347">
        <v>114.22991350592984</v>
      </c>
      <c r="H142" s="507">
        <f t="shared" si="5"/>
        <v>107.37024522245108</v>
      </c>
      <c r="J142" s="924"/>
      <c r="K142" s="923"/>
    </row>
    <row r="143" spans="1:11">
      <c r="A143" s="49">
        <v>2004.02</v>
      </c>
      <c r="B143" s="1341">
        <v>90.186179316559588</v>
      </c>
      <c r="C143" s="1346">
        <v>98.194636647315164</v>
      </c>
      <c r="D143" s="1346">
        <v>96.66910033841863</v>
      </c>
      <c r="E143" s="518">
        <f t="shared" si="4"/>
        <v>108.14730731328517</v>
      </c>
      <c r="F143" s="1350">
        <v>104.67909042212302</v>
      </c>
      <c r="G143" s="1347">
        <v>115.75017367057559</v>
      </c>
      <c r="H143" s="507">
        <f t="shared" si="5"/>
        <v>108.79921160848852</v>
      </c>
      <c r="J143" s="924"/>
      <c r="K143" s="923"/>
    </row>
    <row r="144" spans="1:11">
      <c r="A144" s="49">
        <v>2004.03</v>
      </c>
      <c r="B144" s="1341">
        <v>101.88329804238073</v>
      </c>
      <c r="C144" s="1346">
        <v>97.734840723820383</v>
      </c>
      <c r="D144" s="1346">
        <v>97.334470372709731</v>
      </c>
      <c r="E144" s="518">
        <f t="shared" si="4"/>
        <v>108.89168144445657</v>
      </c>
      <c r="F144" s="1350">
        <v>115.3535632818045</v>
      </c>
      <c r="G144" s="1347">
        <v>115.71599262633728</v>
      </c>
      <c r="H144" s="507">
        <f t="shared" si="5"/>
        <v>108.76708318442527</v>
      </c>
      <c r="J144" s="924"/>
      <c r="K144" s="923"/>
    </row>
    <row r="145" spans="1:11">
      <c r="A145" s="49">
        <v>2004.04</v>
      </c>
      <c r="B145" s="1341">
        <v>102.5674302511826</v>
      </c>
      <c r="C145" s="1346">
        <v>95.505561287815638</v>
      </c>
      <c r="D145" s="1346">
        <v>98.028478628542032</v>
      </c>
      <c r="E145" s="518">
        <f t="shared" si="4"/>
        <v>109.66809421605267</v>
      </c>
      <c r="F145" s="1350">
        <v>116.61613350220657</v>
      </c>
      <c r="G145" s="1347">
        <v>112.81834686727906</v>
      </c>
      <c r="H145" s="507">
        <f t="shared" si="5"/>
        <v>106.04344516204573</v>
      </c>
      <c r="J145" s="924"/>
      <c r="K145" s="923"/>
    </row>
    <row r="146" spans="1:11">
      <c r="A146" s="49">
        <v>2004.05</v>
      </c>
      <c r="B146" s="1341">
        <v>109.87750394051662</v>
      </c>
      <c r="C146" s="1346">
        <v>96.690443534455468</v>
      </c>
      <c r="D146" s="1346">
        <v>98.748088143514892</v>
      </c>
      <c r="E146" s="518">
        <f t="shared" si="4"/>
        <v>110.47314806561668</v>
      </c>
      <c r="F146" s="1350">
        <v>121.58886350093648</v>
      </c>
      <c r="G146" s="1347">
        <v>115.36079226869789</v>
      </c>
      <c r="H146" s="507">
        <f t="shared" si="5"/>
        <v>108.43321311193446</v>
      </c>
      <c r="J146" s="924"/>
      <c r="K146" s="923"/>
    </row>
    <row r="147" spans="1:11">
      <c r="A147" s="49">
        <v>2004.06</v>
      </c>
      <c r="B147" s="1341">
        <v>105.66240620209851</v>
      </c>
      <c r="C147" s="1346">
        <v>98.554848427792038</v>
      </c>
      <c r="D147" s="1346">
        <v>99.492017010099843</v>
      </c>
      <c r="E147" s="518">
        <f t="shared" si="4"/>
        <v>111.30540887565975</v>
      </c>
      <c r="F147" s="1350">
        <v>120.91474465854576</v>
      </c>
      <c r="G147" s="1347">
        <v>115.71111053647853</v>
      </c>
      <c r="H147" s="507">
        <f t="shared" si="5"/>
        <v>108.76249427098531</v>
      </c>
      <c r="J147" s="924"/>
      <c r="K147" s="923"/>
    </row>
    <row r="148" spans="1:11">
      <c r="A148" s="49">
        <v>2004.07</v>
      </c>
      <c r="B148" s="1341">
        <v>101.1069972900212</v>
      </c>
      <c r="C148" s="1346">
        <v>100.8064146058713</v>
      </c>
      <c r="D148" s="1346">
        <v>100.26107395059928</v>
      </c>
      <c r="E148" s="518">
        <f t="shared" si="4"/>
        <v>112.16578139381127</v>
      </c>
      <c r="F148" s="1350">
        <v>119.07828400560459</v>
      </c>
      <c r="G148" s="1347">
        <v>116.38301730676444</v>
      </c>
      <c r="H148" s="507">
        <f t="shared" si="5"/>
        <v>109.39405208695511</v>
      </c>
      <c r="J148" s="924"/>
      <c r="K148" s="923"/>
    </row>
    <row r="149" spans="1:11">
      <c r="A149" s="49">
        <v>2004.08</v>
      </c>
      <c r="B149" s="1341">
        <v>98.355736942437574</v>
      </c>
      <c r="C149" s="1346">
        <v>102.18025550163182</v>
      </c>
      <c r="D149" s="1346">
        <v>101.05426455665614</v>
      </c>
      <c r="E149" s="518">
        <f t="shared" si="4"/>
        <v>113.05315313856671</v>
      </c>
      <c r="F149" s="1350">
        <v>118.29022447531626</v>
      </c>
      <c r="G149" s="1347">
        <v>117.6862030978871</v>
      </c>
      <c r="H149" s="507">
        <f t="shared" si="5"/>
        <v>110.61897972340991</v>
      </c>
      <c r="J149" s="924"/>
      <c r="K149" s="923"/>
    </row>
    <row r="150" spans="1:11">
      <c r="A150" s="49">
        <v>2004.09</v>
      </c>
      <c r="B150" s="1341">
        <v>98.086374534696375</v>
      </c>
      <c r="C150" s="1346">
        <v>102.44862636569987</v>
      </c>
      <c r="D150" s="1346">
        <v>101.86549235071747</v>
      </c>
      <c r="E150" s="518">
        <f t="shared" si="4"/>
        <v>113.96070375441292</v>
      </c>
      <c r="F150" s="1350">
        <v>118.36714364601441</v>
      </c>
      <c r="G150" s="1347">
        <v>118.03161213955767</v>
      </c>
      <c r="H150" s="507">
        <f t="shared" si="5"/>
        <v>110.94364646233986</v>
      </c>
      <c r="J150" s="924"/>
      <c r="K150" s="923"/>
    </row>
    <row r="151" spans="1:11">
      <c r="A151" s="49">
        <v>2004.1</v>
      </c>
      <c r="B151" s="1341">
        <v>97.835665980979897</v>
      </c>
      <c r="C151" s="1346">
        <v>103.12766992936069</v>
      </c>
      <c r="D151" s="1346">
        <v>102.68580792448904</v>
      </c>
      <c r="E151" s="518">
        <f t="shared" si="4"/>
        <v>114.87842120642162</v>
      </c>
      <c r="F151" s="1350">
        <v>119.1544695399046</v>
      </c>
      <c r="G151" s="1347">
        <v>119.58420715868513</v>
      </c>
      <c r="H151" s="507">
        <f t="shared" si="5"/>
        <v>112.40300594899672</v>
      </c>
      <c r="J151" s="924"/>
      <c r="K151" s="923"/>
    </row>
    <row r="152" spans="1:11">
      <c r="A152" s="49">
        <v>2004.11</v>
      </c>
      <c r="B152" s="1341">
        <v>100.13194668122139</v>
      </c>
      <c r="C152" s="1346">
        <v>103.60825736574307</v>
      </c>
      <c r="D152" s="1346">
        <v>103.49855547540903</v>
      </c>
      <c r="E152" s="518">
        <f t="shared" si="4"/>
        <v>115.7876720306225</v>
      </c>
      <c r="F152" s="1350">
        <v>120.33731343369942</v>
      </c>
      <c r="G152" s="1347">
        <v>120.10900641746763</v>
      </c>
      <c r="H152" s="507">
        <f t="shared" si="5"/>
        <v>112.89629026812659</v>
      </c>
      <c r="J152" s="924"/>
      <c r="K152" s="923"/>
    </row>
    <row r="153" spans="1:11">
      <c r="A153" s="49">
        <v>2004.12</v>
      </c>
      <c r="B153" s="1341">
        <v>101.67895479099535</v>
      </c>
      <c r="C153" s="1346">
        <v>102.78778453156806</v>
      </c>
      <c r="D153" s="1346">
        <v>104.28981443393091</v>
      </c>
      <c r="E153" s="518">
        <f t="shared" si="4"/>
        <v>116.67288276964959</v>
      </c>
      <c r="F153" s="1350">
        <v>118.73167507115377</v>
      </c>
      <c r="G153" s="1347">
        <v>120.86807031649278</v>
      </c>
      <c r="H153" s="507">
        <f t="shared" si="5"/>
        <v>113.60977130366646</v>
      </c>
      <c r="J153" s="924"/>
      <c r="K153" s="923"/>
    </row>
    <row r="154" spans="1:11">
      <c r="A154" s="49">
        <v>2005.01</v>
      </c>
      <c r="B154" s="1341">
        <v>98.473359529179007</v>
      </c>
      <c r="C154" s="1346">
        <v>105.62996934428337</v>
      </c>
      <c r="D154" s="1346">
        <v>105.04684492429516</v>
      </c>
      <c r="E154" s="518">
        <f t="shared" si="4"/>
        <v>117.51980085205996</v>
      </c>
      <c r="F154" s="1350">
        <v>118.03159581797222</v>
      </c>
      <c r="G154" s="1347">
        <v>124.17888604737956</v>
      </c>
      <c r="H154" s="507">
        <f t="shared" si="5"/>
        <v>116.72176785519329</v>
      </c>
      <c r="J154" s="924"/>
      <c r="K154" s="923"/>
    </row>
    <row r="155" spans="1:11">
      <c r="A155" s="49">
        <v>2005.02</v>
      </c>
      <c r="B155" s="1341">
        <v>96.118866133434054</v>
      </c>
      <c r="C155" s="1346">
        <v>106.02078221765315</v>
      </c>
      <c r="D155" s="1346">
        <v>105.76151572900622</v>
      </c>
      <c r="E155" s="518">
        <f t="shared" si="4"/>
        <v>118.31932958331269</v>
      </c>
      <c r="F155" s="1350">
        <v>111.2592673270002</v>
      </c>
      <c r="G155" s="1347">
        <v>122.34207715183517</v>
      </c>
      <c r="H155" s="507">
        <f t="shared" si="5"/>
        <v>114.9952619384122</v>
      </c>
      <c r="J155" s="924"/>
      <c r="K155" s="923"/>
    </row>
    <row r="156" spans="1:11">
      <c r="A156" s="49">
        <v>2005.03</v>
      </c>
      <c r="B156" s="1341">
        <v>110.65642586719524</v>
      </c>
      <c r="C156" s="1346">
        <v>106.75548646603302</v>
      </c>
      <c r="D156" s="1346">
        <v>106.43083292022989</v>
      </c>
      <c r="E156" s="518">
        <f t="shared" si="4"/>
        <v>119.06811954531635</v>
      </c>
      <c r="F156" s="1350">
        <v>122.72302043766146</v>
      </c>
      <c r="G156" s="1347">
        <v>124.13749228912594</v>
      </c>
      <c r="H156" s="507">
        <f t="shared" si="5"/>
        <v>116.68285985081896</v>
      </c>
      <c r="J156" s="924"/>
      <c r="K156" s="923"/>
    </row>
    <row r="157" spans="1:11">
      <c r="A157" s="49">
        <v>2005.04</v>
      </c>
      <c r="B157" s="1341">
        <v>116.54519048214907</v>
      </c>
      <c r="C157" s="1346">
        <v>108.49671726843222</v>
      </c>
      <c r="D157" s="1346">
        <v>107.05878594880866</v>
      </c>
      <c r="E157" s="518">
        <f t="shared" si="4"/>
        <v>119.77063388466856</v>
      </c>
      <c r="F157" s="1350">
        <v>129.0099432747445</v>
      </c>
      <c r="G157" s="1347">
        <v>124.50131085043795</v>
      </c>
      <c r="H157" s="507">
        <f t="shared" si="5"/>
        <v>117.02483059163126</v>
      </c>
      <c r="J157" s="924"/>
      <c r="K157" s="923"/>
    </row>
    <row r="158" spans="1:11">
      <c r="A158" s="49">
        <v>2005.05</v>
      </c>
      <c r="B158" s="1341">
        <v>126.66194335502726</v>
      </c>
      <c r="C158" s="1346">
        <v>109.00055224647669</v>
      </c>
      <c r="D158" s="1346">
        <v>107.65443865494611</v>
      </c>
      <c r="E158" s="518">
        <f t="shared" si="4"/>
        <v>120.43701265551799</v>
      </c>
      <c r="F158" s="1350">
        <v>134.84397513513838</v>
      </c>
      <c r="G158" s="1347">
        <v>127.26170747473716</v>
      </c>
      <c r="H158" s="507">
        <f t="shared" si="5"/>
        <v>119.61946148441267</v>
      </c>
      <c r="J158" s="924"/>
      <c r="K158" s="923"/>
    </row>
    <row r="159" spans="1:11">
      <c r="A159" s="49">
        <v>2005.06</v>
      </c>
      <c r="B159" s="1341">
        <v>116.50222321492875</v>
      </c>
      <c r="C159" s="1346">
        <v>108.47551268536216</v>
      </c>
      <c r="D159" s="1346">
        <v>108.22873337060835</v>
      </c>
      <c r="E159" s="518">
        <f t="shared" si="4"/>
        <v>121.0794974504079</v>
      </c>
      <c r="F159" s="1350">
        <v>132.73413534885702</v>
      </c>
      <c r="G159" s="1347">
        <v>127.14567676782154</v>
      </c>
      <c r="H159" s="507">
        <f t="shared" si="5"/>
        <v>119.51039858597829</v>
      </c>
      <c r="J159" s="924"/>
      <c r="K159" s="923"/>
    </row>
    <row r="160" spans="1:11">
      <c r="A160" s="49">
        <v>2005.07</v>
      </c>
      <c r="B160" s="1341">
        <v>107.58113926245956</v>
      </c>
      <c r="C160" s="1346">
        <v>109.08417093831864</v>
      </c>
      <c r="D160" s="1346">
        <v>108.79448165627268</v>
      </c>
      <c r="E160" s="518">
        <f t="shared" si="4"/>
        <v>121.71242103713324</v>
      </c>
      <c r="F160" s="1350">
        <v>127.78357565101183</v>
      </c>
      <c r="G160" s="1347">
        <v>126.06958063410823</v>
      </c>
      <c r="H160" s="507">
        <f t="shared" si="5"/>
        <v>118.49892355099341</v>
      </c>
      <c r="J160" s="924"/>
      <c r="K160" s="923"/>
    </row>
    <row r="161" spans="1:11">
      <c r="A161" s="49">
        <v>2005.08</v>
      </c>
      <c r="B161" s="1341">
        <v>105.82089279310111</v>
      </c>
      <c r="C161" s="1346">
        <v>109.39093771540284</v>
      </c>
      <c r="D161" s="1346">
        <v>109.36440071136768</v>
      </c>
      <c r="E161" s="518">
        <f t="shared" si="4"/>
        <v>122.35001061828466</v>
      </c>
      <c r="F161" s="1350">
        <v>129.2417460544174</v>
      </c>
      <c r="G161" s="1347">
        <v>127.15646883222809</v>
      </c>
      <c r="H161" s="507">
        <f t="shared" si="5"/>
        <v>119.52054257161413</v>
      </c>
      <c r="J161" s="924"/>
      <c r="K161" s="923"/>
    </row>
    <row r="162" spans="1:11">
      <c r="A162" s="49">
        <v>2005.09</v>
      </c>
      <c r="B162" s="1341">
        <v>104.89213472672316</v>
      </c>
      <c r="C162" s="1346">
        <v>109.35567479058037</v>
      </c>
      <c r="D162" s="1346">
        <v>109.95154034690066</v>
      </c>
      <c r="E162" s="518">
        <f t="shared" si="4"/>
        <v>123.00686550136004</v>
      </c>
      <c r="F162" s="1350">
        <v>128.52680527296226</v>
      </c>
      <c r="G162" s="1347">
        <v>127.588256676862</v>
      </c>
      <c r="H162" s="507">
        <f t="shared" si="5"/>
        <v>119.92640094390477</v>
      </c>
      <c r="J162" s="924"/>
      <c r="K162" s="923"/>
    </row>
    <row r="163" spans="1:11">
      <c r="A163" s="49">
        <v>2005.1</v>
      </c>
      <c r="B163" s="1341">
        <v>104.46066538498441</v>
      </c>
      <c r="C163" s="1346">
        <v>109.89567979565773</v>
      </c>
      <c r="D163" s="1346">
        <v>110.56568584022256</v>
      </c>
      <c r="E163" s="518">
        <f t="shared" si="4"/>
        <v>123.69393283899778</v>
      </c>
      <c r="F163" s="1350">
        <v>128.3650253626702</v>
      </c>
      <c r="G163" s="1347">
        <v>128.94527572682676</v>
      </c>
      <c r="H163" s="507">
        <f t="shared" si="5"/>
        <v>121.20192907567289</v>
      </c>
      <c r="J163" s="924"/>
      <c r="K163" s="923"/>
    </row>
    <row r="164" spans="1:11">
      <c r="A164" s="49">
        <v>2005.11</v>
      </c>
      <c r="B164" s="1341">
        <v>108.00375438454834</v>
      </c>
      <c r="C164" s="1346">
        <v>111.16742339425055</v>
      </c>
      <c r="D164" s="1346">
        <v>111.21598915101063</v>
      </c>
      <c r="E164" s="518">
        <f t="shared" si="4"/>
        <v>124.42145126786946</v>
      </c>
      <c r="F164" s="1350">
        <v>130.78840314665152</v>
      </c>
      <c r="G164" s="1347">
        <v>130.29831623241691</v>
      </c>
      <c r="H164" s="507">
        <f t="shared" si="5"/>
        <v>122.47371758029766</v>
      </c>
      <c r="J164" s="924"/>
      <c r="K164" s="923"/>
    </row>
    <row r="165" spans="1:11">
      <c r="A165" s="49">
        <v>2005.12</v>
      </c>
      <c r="B165" s="1341">
        <v>110.50332389924424</v>
      </c>
      <c r="C165" s="1346">
        <v>112.94701213205444</v>
      </c>
      <c r="D165" s="1346">
        <v>111.90856016694917</v>
      </c>
      <c r="E165" s="518">
        <f t="shared" si="4"/>
        <v>125.19625614589947</v>
      </c>
      <c r="F165" s="1350">
        <v>128.61954925575017</v>
      </c>
      <c r="G165" s="1347">
        <v>131.52728126467534</v>
      </c>
      <c r="H165" s="507">
        <f t="shared" si="5"/>
        <v>123.62888151970269</v>
      </c>
      <c r="J165" s="924"/>
      <c r="K165" s="923"/>
    </row>
    <row r="166" spans="1:11">
      <c r="A166" s="49">
        <v>2006.01</v>
      </c>
      <c r="B166" s="1341">
        <v>106.53094787692405</v>
      </c>
      <c r="C166" s="1346">
        <v>113.77144318762844</v>
      </c>
      <c r="D166" s="1346">
        <v>112.64363120753386</v>
      </c>
      <c r="E166" s="518">
        <f t="shared" si="4"/>
        <v>126.0186073775227</v>
      </c>
      <c r="F166" s="1350">
        <v>126.41972664790062</v>
      </c>
      <c r="G166" s="1347">
        <v>132.69723030664144</v>
      </c>
      <c r="H166" s="507">
        <f t="shared" si="5"/>
        <v>124.72857346271682</v>
      </c>
      <c r="J166" s="924"/>
      <c r="K166" s="923"/>
    </row>
    <row r="167" spans="1:11">
      <c r="A167" s="49">
        <v>2006.02</v>
      </c>
      <c r="B167" s="1341">
        <v>104.0901370432872</v>
      </c>
      <c r="C167" s="1346">
        <v>114.73374755352469</v>
      </c>
      <c r="D167" s="1346">
        <v>113.41864520707918</v>
      </c>
      <c r="E167" s="518">
        <f t="shared" si="4"/>
        <v>126.88564427853352</v>
      </c>
      <c r="F167" s="1350">
        <v>121.81184780628678</v>
      </c>
      <c r="G167" s="1347">
        <v>134.29506209132938</v>
      </c>
      <c r="H167" s="507">
        <f t="shared" si="5"/>
        <v>126.23045318301675</v>
      </c>
      <c r="J167" s="924"/>
      <c r="K167" s="923"/>
    </row>
    <row r="168" spans="1:11">
      <c r="A168" s="49">
        <v>2006.03</v>
      </c>
      <c r="B168" s="1341">
        <v>118.58827645043104</v>
      </c>
      <c r="C168" s="1346">
        <v>114.26219107032266</v>
      </c>
      <c r="D168" s="1346">
        <v>114.22896706419591</v>
      </c>
      <c r="E168" s="518">
        <f t="shared" si="4"/>
        <v>127.79218138912508</v>
      </c>
      <c r="F168" s="1350">
        <v>134.24828782891416</v>
      </c>
      <c r="G168" s="1347">
        <v>134.91656091276903</v>
      </c>
      <c r="H168" s="507">
        <f t="shared" si="5"/>
        <v>126.81463011894671</v>
      </c>
      <c r="J168" s="924"/>
      <c r="K168" s="923"/>
    </row>
    <row r="169" spans="1:11">
      <c r="A169" s="49">
        <v>2006.04</v>
      </c>
      <c r="B169" s="1341">
        <v>122.08710730131627</v>
      </c>
      <c r="C169" s="1346">
        <v>115.99924258591395</v>
      </c>
      <c r="D169" s="1346">
        <v>115.0689626971821</v>
      </c>
      <c r="E169" s="518">
        <f t="shared" si="4"/>
        <v>128.73191565316964</v>
      </c>
      <c r="F169" s="1350">
        <v>137.22617646283285</v>
      </c>
      <c r="G169" s="1347">
        <v>134.8944025129291</v>
      </c>
      <c r="H169" s="507">
        <f t="shared" si="5"/>
        <v>126.79380236243767</v>
      </c>
      <c r="J169" s="924"/>
      <c r="K169" s="923"/>
    </row>
    <row r="170" spans="1:11">
      <c r="A170" s="49">
        <v>2006.05</v>
      </c>
      <c r="B170" s="1341">
        <v>133.37101567477424</v>
      </c>
      <c r="C170" s="1346">
        <v>114.97140536029795</v>
      </c>
      <c r="D170" s="1346">
        <v>115.93442413229666</v>
      </c>
      <c r="E170" s="518">
        <f t="shared" si="4"/>
        <v>129.70013945439948</v>
      </c>
      <c r="F170" s="1350">
        <v>144.08010374070111</v>
      </c>
      <c r="G170" s="1347">
        <v>134.90298125111653</v>
      </c>
      <c r="H170" s="507">
        <f t="shared" si="5"/>
        <v>126.80186593523234</v>
      </c>
      <c r="J170" s="924"/>
      <c r="K170" s="923"/>
    </row>
    <row r="171" spans="1:11">
      <c r="A171" s="49">
        <v>2006.06</v>
      </c>
      <c r="B171" s="1341">
        <v>124.29274775102324</v>
      </c>
      <c r="C171" s="1346">
        <v>116.13973987764815</v>
      </c>
      <c r="D171" s="1346">
        <v>116.81855484949561</v>
      </c>
      <c r="E171" s="518">
        <f t="shared" si="4"/>
        <v>130.68924927380709</v>
      </c>
      <c r="F171" s="1350">
        <v>142.55231670039291</v>
      </c>
      <c r="G171" s="1347">
        <v>136.66226329708974</v>
      </c>
      <c r="H171" s="507">
        <f t="shared" si="5"/>
        <v>128.4555005996917</v>
      </c>
      <c r="J171" s="924"/>
      <c r="K171" s="923"/>
    </row>
    <row r="172" spans="1:11">
      <c r="A172" s="49">
        <v>2006.07</v>
      </c>
      <c r="B172" s="1341">
        <v>117.04563185352679</v>
      </c>
      <c r="C172" s="1346">
        <v>118.09690150951346</v>
      </c>
      <c r="D172" s="1346">
        <v>117.71350113432577</v>
      </c>
      <c r="E172" s="518">
        <f t="shared" si="4"/>
        <v>131.69045886979569</v>
      </c>
      <c r="F172" s="1350">
        <v>139.89564373659906</v>
      </c>
      <c r="G172" s="1347">
        <v>138.02962806816831</v>
      </c>
      <c r="H172" s="507">
        <f t="shared" si="5"/>
        <v>129.74075317735057</v>
      </c>
      <c r="J172" s="924"/>
      <c r="K172" s="923"/>
    </row>
    <row r="173" spans="1:11">
      <c r="A173" s="49">
        <v>2006.08</v>
      </c>
      <c r="B173" s="1341">
        <v>116.30360797574892</v>
      </c>
      <c r="C173" s="1346">
        <v>118.87287345463596</v>
      </c>
      <c r="D173" s="1346">
        <v>118.61502709223798</v>
      </c>
      <c r="E173" s="518">
        <f t="shared" si="4"/>
        <v>132.69902939005414</v>
      </c>
      <c r="F173" s="1350">
        <v>140.57128863942538</v>
      </c>
      <c r="G173" s="1347">
        <v>137.79996211035331</v>
      </c>
      <c r="H173" s="507">
        <f t="shared" si="5"/>
        <v>129.52487898596755</v>
      </c>
      <c r="J173" s="924"/>
      <c r="K173" s="923"/>
    </row>
    <row r="174" spans="1:11">
      <c r="A174" s="49">
        <v>2006.09</v>
      </c>
      <c r="B174" s="1341">
        <v>114.80248033323909</v>
      </c>
      <c r="C174" s="1346">
        <v>119.92338799015542</v>
      </c>
      <c r="D174" s="1346">
        <v>119.5210779473025</v>
      </c>
      <c r="E174" s="518">
        <f t="shared" si="4"/>
        <v>133.71266208055292</v>
      </c>
      <c r="F174" s="1350">
        <v>139.66031985883515</v>
      </c>
      <c r="G174" s="1347">
        <v>138.55864786155013</v>
      </c>
      <c r="H174" s="507">
        <f t="shared" si="5"/>
        <v>130.23800458199239</v>
      </c>
      <c r="J174" s="924"/>
      <c r="K174" s="923"/>
    </row>
    <row r="175" spans="1:11">
      <c r="A175" s="49">
        <v>2006.1</v>
      </c>
      <c r="B175" s="1341">
        <v>116.47750825324563</v>
      </c>
      <c r="C175" s="1346">
        <v>120.57760399011516</v>
      </c>
      <c r="D175" s="1346">
        <v>120.42972354854571</v>
      </c>
      <c r="E175" s="518">
        <f t="shared" si="4"/>
        <v>134.72919760982236</v>
      </c>
      <c r="F175" s="1350">
        <v>140.5219452083775</v>
      </c>
      <c r="G175" s="1347">
        <v>140.25739234531565</v>
      </c>
      <c r="H175" s="507">
        <f t="shared" si="5"/>
        <v>131.83473705069659</v>
      </c>
      <c r="J175" s="924"/>
      <c r="K175" s="923"/>
    </row>
    <row r="176" spans="1:11">
      <c r="A176" s="49">
        <v>2006.11</v>
      </c>
      <c r="B176" s="1341">
        <v>118.14078229406633</v>
      </c>
      <c r="C176" s="1346">
        <v>120.62368659704863</v>
      </c>
      <c r="D176" s="1346">
        <v>121.34218794967074</v>
      </c>
      <c r="E176" s="518">
        <f t="shared" si="4"/>
        <v>135.75000537213154</v>
      </c>
      <c r="F176" s="1350">
        <v>142.92761457410944</v>
      </c>
      <c r="G176" s="1347">
        <v>142.21561877462847</v>
      </c>
      <c r="H176" s="507">
        <f t="shared" si="5"/>
        <v>133.67536920617385</v>
      </c>
      <c r="J176" s="924"/>
      <c r="K176" s="923"/>
    </row>
    <row r="177" spans="1:11">
      <c r="A177" s="49">
        <v>2006.12</v>
      </c>
      <c r="B177" s="1341">
        <v>119.60317208093002</v>
      </c>
      <c r="C177" s="1346">
        <v>123.36119167013982</v>
      </c>
      <c r="D177" s="1346">
        <v>122.25682711596133</v>
      </c>
      <c r="E177" s="518">
        <f t="shared" si="4"/>
        <v>136.77324612487786</v>
      </c>
      <c r="F177" s="1350">
        <v>138.96187406665049</v>
      </c>
      <c r="G177" s="1347">
        <v>143.4844609536938</v>
      </c>
      <c r="H177" s="507">
        <f t="shared" si="5"/>
        <v>134.86801561317444</v>
      </c>
      <c r="J177" s="925"/>
      <c r="K177" s="923"/>
    </row>
    <row r="178" spans="1:11">
      <c r="A178" s="49">
        <v>2007.01</v>
      </c>
      <c r="B178" s="1341">
        <v>114.70176482722367</v>
      </c>
      <c r="C178" s="1346">
        <v>122.02396945879303</v>
      </c>
      <c r="D178" s="1346">
        <v>123.17184236558546</v>
      </c>
      <c r="E178" s="518">
        <f t="shared" si="4"/>
        <v>137.79690761599568</v>
      </c>
      <c r="F178" s="1350">
        <v>135.29425851866509</v>
      </c>
      <c r="G178" s="1347">
        <v>141.17801362749034</v>
      </c>
      <c r="H178" s="507">
        <f t="shared" si="5"/>
        <v>132.7000737194403</v>
      </c>
      <c r="J178" s="924"/>
      <c r="K178" s="923"/>
    </row>
    <row r="179" spans="1:11">
      <c r="A179" s="49">
        <v>2007.02</v>
      </c>
      <c r="B179" s="1341">
        <v>112.74324828605302</v>
      </c>
      <c r="C179" s="1346">
        <v>124.64108872656837</v>
      </c>
      <c r="D179" s="1346">
        <v>124.08807464499907</v>
      </c>
      <c r="E179" s="518">
        <f t="shared" si="4"/>
        <v>138.8219306434699</v>
      </c>
      <c r="F179" s="1350">
        <v>130.61486108628864</v>
      </c>
      <c r="G179" s="1347">
        <v>144.52112310505575</v>
      </c>
      <c r="H179" s="507">
        <f t="shared" si="5"/>
        <v>135.84242473236534</v>
      </c>
      <c r="J179" s="924"/>
      <c r="K179" s="923"/>
    </row>
    <row r="180" spans="1:11">
      <c r="A180" s="49">
        <v>2007.03</v>
      </c>
      <c r="B180" s="1341">
        <v>129.28276498944658</v>
      </c>
      <c r="C180" s="1346">
        <v>126.46436711633409</v>
      </c>
      <c r="D180" s="1346">
        <v>125.00872604191318</v>
      </c>
      <c r="E180" s="518">
        <f t="shared" si="4"/>
        <v>139.85189750156536</v>
      </c>
      <c r="F180" s="1350">
        <v>144.2585535765563</v>
      </c>
      <c r="G180" s="1347">
        <v>146.15202786934333</v>
      </c>
      <c r="H180" s="507">
        <f t="shared" si="5"/>
        <v>137.37539135294261</v>
      </c>
      <c r="J180" s="924"/>
      <c r="K180" s="923"/>
    </row>
    <row r="181" spans="1:11">
      <c r="A181" s="49">
        <v>2007.04</v>
      </c>
      <c r="B181" s="1341">
        <v>133.46308313008805</v>
      </c>
      <c r="C181" s="1346">
        <v>125.44840380895495</v>
      </c>
      <c r="D181" s="1346">
        <v>125.93343727188297</v>
      </c>
      <c r="E181" s="518">
        <f t="shared" si="4"/>
        <v>140.88640624545033</v>
      </c>
      <c r="F181" s="1350">
        <v>149.90771319883089</v>
      </c>
      <c r="G181" s="1347">
        <v>146.74520585467388</v>
      </c>
      <c r="H181" s="507">
        <f t="shared" si="5"/>
        <v>137.93294815913066</v>
      </c>
      <c r="J181" s="924"/>
      <c r="K181" s="923"/>
    </row>
    <row r="182" spans="1:11">
      <c r="A182" s="49">
        <v>2007.05</v>
      </c>
      <c r="B182" s="1341">
        <v>147.60791074167543</v>
      </c>
      <c r="C182" s="1346">
        <v>127.18173906081577</v>
      </c>
      <c r="D182" s="1346">
        <v>126.8586203962272</v>
      </c>
      <c r="E182" s="518">
        <f t="shared" si="4"/>
        <v>141.9214429150712</v>
      </c>
      <c r="F182" s="1350">
        <v>157.23565382195972</v>
      </c>
      <c r="G182" s="1347">
        <v>147.30276392892887</v>
      </c>
      <c r="H182" s="507">
        <f t="shared" si="5"/>
        <v>138.45702408041205</v>
      </c>
      <c r="J182" s="924"/>
      <c r="K182" s="923"/>
    </row>
    <row r="183" spans="1:11">
      <c r="A183" s="49">
        <v>2007.06</v>
      </c>
      <c r="B183" s="1341">
        <v>136.12098630494512</v>
      </c>
      <c r="C183" s="1346">
        <v>128.3544638682929</v>
      </c>
      <c r="D183" s="1346">
        <v>127.78171418837336</v>
      </c>
      <c r="E183" s="518">
        <f t="shared" si="4"/>
        <v>142.95414217128371</v>
      </c>
      <c r="F183" s="1350">
        <v>154.25439406948951</v>
      </c>
      <c r="G183" s="1347">
        <v>148.917899593789</v>
      </c>
      <c r="H183" s="507">
        <f t="shared" si="5"/>
        <v>139.97516855834303</v>
      </c>
      <c r="J183" s="924"/>
      <c r="K183" s="923"/>
    </row>
    <row r="184" spans="1:11">
      <c r="A184" s="49">
        <v>2007.07</v>
      </c>
      <c r="B184" s="1341">
        <v>127.38755189795539</v>
      </c>
      <c r="C184" s="1346">
        <v>127.76974118969321</v>
      </c>
      <c r="D184" s="1346">
        <v>128.69762066609292</v>
      </c>
      <c r="E184" s="518">
        <f t="shared" si="4"/>
        <v>143.97880071232115</v>
      </c>
      <c r="F184" s="1350">
        <v>149.30389042239716</v>
      </c>
      <c r="G184" s="1347">
        <v>146.24562082111223</v>
      </c>
      <c r="H184" s="507">
        <f t="shared" si="5"/>
        <v>137.46336391524346</v>
      </c>
      <c r="J184" s="924"/>
      <c r="K184" s="923"/>
    </row>
    <row r="185" spans="1:11">
      <c r="A185" s="49">
        <v>2007.08</v>
      </c>
      <c r="B185" s="1341">
        <v>126.59522767863001</v>
      </c>
      <c r="C185" s="1346">
        <v>128.76822918836956</v>
      </c>
      <c r="D185" s="1346">
        <v>129.59945806247916</v>
      </c>
      <c r="E185" s="518">
        <f t="shared" si="4"/>
        <v>144.9877196503495</v>
      </c>
      <c r="F185" s="1350">
        <v>153.03316647597615</v>
      </c>
      <c r="G185" s="1347">
        <v>149.40676353460546</v>
      </c>
      <c r="H185" s="507">
        <f t="shared" si="5"/>
        <v>140.43467552630682</v>
      </c>
      <c r="J185" s="924"/>
      <c r="K185" s="923"/>
    </row>
    <row r="186" spans="1:11">
      <c r="A186" s="49">
        <v>2007.09</v>
      </c>
      <c r="B186" s="1341">
        <v>123.5104632944452</v>
      </c>
      <c r="C186" s="1346">
        <v>129.65487399786952</v>
      </c>
      <c r="D186" s="1346">
        <v>130.47884403795678</v>
      </c>
      <c r="E186" s="518">
        <f t="shared" si="4"/>
        <v>145.97152135124497</v>
      </c>
      <c r="F186" s="1350">
        <v>151.55376024908887</v>
      </c>
      <c r="G186" s="1347">
        <v>150.87304307678477</v>
      </c>
      <c r="H186" s="507">
        <f t="shared" si="5"/>
        <v>141.81290290280117</v>
      </c>
      <c r="J186" s="924"/>
      <c r="K186" s="923"/>
    </row>
    <row r="187" spans="1:11">
      <c r="A187" s="49">
        <v>2007.1</v>
      </c>
      <c r="B187" s="1341">
        <v>128.41538266104467</v>
      </c>
      <c r="C187" s="1346">
        <v>131.2546785699281</v>
      </c>
      <c r="D187" s="1346">
        <v>131.32381130797316</v>
      </c>
      <c r="E187" s="518">
        <f t="shared" si="4"/>
        <v>146.91681756999765</v>
      </c>
      <c r="F187" s="1350">
        <v>155.06042309798488</v>
      </c>
      <c r="G187" s="1347">
        <v>153.11839874431939</v>
      </c>
      <c r="H187" s="507">
        <f t="shared" si="5"/>
        <v>143.9234217785972</v>
      </c>
      <c r="J187" s="924"/>
      <c r="K187" s="923"/>
    </row>
    <row r="188" spans="1:11">
      <c r="A188" s="49">
        <v>2007.11</v>
      </c>
      <c r="B188" s="1341">
        <v>129.73508945617357</v>
      </c>
      <c r="C188" s="1346">
        <v>132.64458857730853</v>
      </c>
      <c r="D188" s="1346">
        <v>132.11853091073027</v>
      </c>
      <c r="E188" s="518">
        <f t="shared" si="4"/>
        <v>147.8058998600612</v>
      </c>
      <c r="F188" s="1350">
        <v>156.59831285814724</v>
      </c>
      <c r="G188" s="1347">
        <v>155.66342551867533</v>
      </c>
      <c r="H188" s="507">
        <f t="shared" si="5"/>
        <v>146.31561608631779</v>
      </c>
      <c r="J188" s="924"/>
      <c r="K188" s="923"/>
    </row>
    <row r="189" spans="1:11">
      <c r="A189" s="49">
        <v>2007.12</v>
      </c>
      <c r="B189" s="1341">
        <v>128.89792837498598</v>
      </c>
      <c r="C189" s="1346">
        <v>134.25525803442557</v>
      </c>
      <c r="D189" s="1346">
        <v>132.84051207450977</v>
      </c>
      <c r="E189" s="518">
        <f t="shared" si="4"/>
        <v>148.61360696109267</v>
      </c>
      <c r="F189" s="1350">
        <v>151.71476507215644</v>
      </c>
      <c r="G189" s="1347">
        <v>157.09434638344817</v>
      </c>
      <c r="H189" s="507">
        <f t="shared" si="5"/>
        <v>147.66060812412238</v>
      </c>
      <c r="J189" s="925"/>
      <c r="K189" s="923"/>
    </row>
    <row r="190" spans="1:11">
      <c r="A190" s="49">
        <f t="shared" ref="A190:A253" si="6">A178+1</f>
        <v>2008.01</v>
      </c>
      <c r="B190" s="1341">
        <v>126.22689251081431</v>
      </c>
      <c r="C190" s="1346">
        <v>135.29573200683018</v>
      </c>
      <c r="D190" s="1346">
        <v>133.46215041084002</v>
      </c>
      <c r="E190" s="518">
        <f t="shared" si="4"/>
        <v>149.30905682005977</v>
      </c>
      <c r="F190" s="1350">
        <v>148.6416380514099</v>
      </c>
      <c r="G190" s="1347">
        <v>155.31948833668062</v>
      </c>
      <c r="H190" s="507">
        <f t="shared" si="5"/>
        <v>145.9923328198031</v>
      </c>
      <c r="J190" s="924"/>
      <c r="K190" s="923"/>
    </row>
    <row r="191" spans="1:11">
      <c r="A191" s="49">
        <f t="shared" si="6"/>
        <v>2008.02</v>
      </c>
      <c r="B191" s="1341">
        <v>122.8249045091645</v>
      </c>
      <c r="C191" s="1346">
        <v>133.73084949419643</v>
      </c>
      <c r="D191" s="1346">
        <v>133.95142439880092</v>
      </c>
      <c r="E191" s="518">
        <f t="shared" si="4"/>
        <v>149.8564257740602</v>
      </c>
      <c r="F191" s="1350">
        <v>139.71340680672256</v>
      </c>
      <c r="G191" s="1347">
        <v>154.80902924251382</v>
      </c>
      <c r="H191" s="507">
        <f t="shared" si="5"/>
        <v>145.51252751806945</v>
      </c>
      <c r="J191" s="924"/>
      <c r="K191" s="923"/>
    </row>
    <row r="192" spans="1:11">
      <c r="A192" s="49">
        <f t="shared" si="6"/>
        <v>2008.03</v>
      </c>
      <c r="B192" s="1341">
        <v>132.33412728743554</v>
      </c>
      <c r="C192" s="1346">
        <v>133.11606752453091</v>
      </c>
      <c r="D192" s="1346">
        <v>134.27440734489312</v>
      </c>
      <c r="E192" s="518">
        <f t="shared" si="4"/>
        <v>150.21775877297816</v>
      </c>
      <c r="F192" s="1350">
        <v>144.78593258162638</v>
      </c>
      <c r="G192" s="1347">
        <v>149.92901111335817</v>
      </c>
      <c r="H192" s="507">
        <f t="shared" si="5"/>
        <v>140.92556139741097</v>
      </c>
      <c r="J192" s="924"/>
      <c r="K192" s="923"/>
    </row>
    <row r="193" spans="1:11">
      <c r="A193" s="49">
        <f t="shared" si="6"/>
        <v>2008.04</v>
      </c>
      <c r="B193" s="1341">
        <v>145.28049855207212</v>
      </c>
      <c r="C193" s="1346">
        <v>136.06951310935554</v>
      </c>
      <c r="D193" s="1346">
        <v>134.39943550347118</v>
      </c>
      <c r="E193" s="518">
        <f t="shared" si="4"/>
        <v>150.35763241037853</v>
      </c>
      <c r="F193" s="1350">
        <v>160.4323578200908</v>
      </c>
      <c r="G193" s="1347">
        <v>154.23058633938064</v>
      </c>
      <c r="H193" s="507">
        <f t="shared" si="5"/>
        <v>144.96882093149856</v>
      </c>
      <c r="J193" s="924"/>
      <c r="K193" s="923"/>
    </row>
    <row r="194" spans="1:11">
      <c r="A194" s="49">
        <f t="shared" si="6"/>
        <v>2008.05</v>
      </c>
      <c r="B194" s="1341">
        <v>154.15616391286648</v>
      </c>
      <c r="C194" s="1346">
        <v>134.69868721543583</v>
      </c>
      <c r="D194" s="1346">
        <v>134.29720308206987</v>
      </c>
      <c r="E194" s="518">
        <f t="shared" si="4"/>
        <v>150.24326120948845</v>
      </c>
      <c r="F194" s="1350">
        <v>163.85589339868622</v>
      </c>
      <c r="G194" s="1347">
        <v>154.35108720661356</v>
      </c>
      <c r="H194" s="507">
        <f t="shared" si="5"/>
        <v>145.08208555078451</v>
      </c>
      <c r="J194" s="924"/>
      <c r="K194" s="923"/>
    </row>
    <row r="195" spans="1:11">
      <c r="A195" s="49">
        <f t="shared" si="6"/>
        <v>2008.06</v>
      </c>
      <c r="B195" s="1341">
        <v>140.50348421669764</v>
      </c>
      <c r="C195" s="1346">
        <v>133.05958330190614</v>
      </c>
      <c r="D195" s="1346">
        <v>133.94679643276467</v>
      </c>
      <c r="E195" s="518">
        <f t="shared" si="4"/>
        <v>149.85124829683733</v>
      </c>
      <c r="F195" s="1350">
        <v>155.15158678507618</v>
      </c>
      <c r="G195" s="1347">
        <v>150.81599420124886</v>
      </c>
      <c r="H195" s="507">
        <f t="shared" si="5"/>
        <v>141.75927989313621</v>
      </c>
      <c r="J195" s="924"/>
      <c r="K195" s="923"/>
    </row>
    <row r="196" spans="1:11">
      <c r="A196" s="49">
        <f t="shared" si="6"/>
        <v>2008.07</v>
      </c>
      <c r="B196" s="1341">
        <v>136.63868805371584</v>
      </c>
      <c r="C196" s="1346">
        <v>135.2418632020711</v>
      </c>
      <c r="D196" s="1346">
        <v>133.34452963776485</v>
      </c>
      <c r="E196" s="518">
        <f t="shared" si="4"/>
        <v>149.17747009950835</v>
      </c>
      <c r="F196" s="1350">
        <v>161.03061466908193</v>
      </c>
      <c r="G196" s="1347">
        <v>155.49439590817175</v>
      </c>
      <c r="H196" s="507">
        <f t="shared" si="5"/>
        <v>146.15673694360811</v>
      </c>
      <c r="J196" s="924"/>
      <c r="K196" s="923"/>
    </row>
    <row r="197" spans="1:11">
      <c r="A197" s="49">
        <f t="shared" si="6"/>
        <v>2008.08</v>
      </c>
      <c r="B197" s="1341">
        <v>131.34092143552698</v>
      </c>
      <c r="C197" s="1346">
        <v>135.59444404559821</v>
      </c>
      <c r="D197" s="1346">
        <v>132.50584824916547</v>
      </c>
      <c r="E197" s="518">
        <f t="shared" si="4"/>
        <v>148.2392061293952</v>
      </c>
      <c r="F197" s="1350">
        <v>155.9772920559526</v>
      </c>
      <c r="G197" s="1347">
        <v>153.68318519085005</v>
      </c>
      <c r="H197" s="507">
        <f t="shared" si="5"/>
        <v>144.45429199814933</v>
      </c>
      <c r="J197" s="924"/>
      <c r="K197" s="923"/>
    </row>
    <row r="198" spans="1:11">
      <c r="A198" s="49">
        <f t="shared" si="6"/>
        <v>2008.09</v>
      </c>
      <c r="B198" s="1341">
        <v>132.18593848988462</v>
      </c>
      <c r="C198" s="1346">
        <v>135.98795294729857</v>
      </c>
      <c r="D198" s="1346">
        <v>131.4640512394034</v>
      </c>
      <c r="E198" s="518">
        <f t="shared" si="4"/>
        <v>147.07370918178347</v>
      </c>
      <c r="F198" s="1350">
        <v>160.58978113039149</v>
      </c>
      <c r="G198" s="1347">
        <v>156.6259385785184</v>
      </c>
      <c r="H198" s="507">
        <f t="shared" si="5"/>
        <v>147.22032887207857</v>
      </c>
      <c r="J198" s="924"/>
      <c r="K198" s="923"/>
    </row>
    <row r="199" spans="1:11">
      <c r="A199" s="49">
        <f t="shared" si="6"/>
        <v>2008.1</v>
      </c>
      <c r="B199" s="1341">
        <v>130.39517884255912</v>
      </c>
      <c r="C199" s="1346">
        <v>132.48768021068852</v>
      </c>
      <c r="D199" s="1346">
        <v>130.27147810151627</v>
      </c>
      <c r="E199" s="518">
        <f t="shared" si="4"/>
        <v>145.73953338843131</v>
      </c>
      <c r="F199" s="1350">
        <v>154.15100564170871</v>
      </c>
      <c r="G199" s="1347">
        <v>152.02259437809357</v>
      </c>
      <c r="H199" s="507">
        <f t="shared" si="5"/>
        <v>142.89342201840839</v>
      </c>
      <c r="J199" s="924"/>
      <c r="K199" s="923"/>
    </row>
    <row r="200" spans="1:11">
      <c r="A200" s="49">
        <f t="shared" si="6"/>
        <v>2008.11</v>
      </c>
      <c r="B200" s="1341">
        <v>125.52756329262156</v>
      </c>
      <c r="C200" s="1346">
        <v>130.34467646873281</v>
      </c>
      <c r="D200" s="1346">
        <v>128.99649412296134</v>
      </c>
      <c r="E200" s="518">
        <f t="shared" si="4"/>
        <v>144.31316153159617</v>
      </c>
      <c r="F200" s="1350">
        <v>147.12515588118319</v>
      </c>
      <c r="G200" s="1347">
        <v>148.80130727360236</v>
      </c>
      <c r="H200" s="507">
        <f t="shared" si="5"/>
        <v>139.8655777723109</v>
      </c>
      <c r="J200" s="924"/>
      <c r="K200" s="923"/>
    </row>
    <row r="201" spans="1:11">
      <c r="A201" s="49">
        <f t="shared" si="6"/>
        <v>2008.12</v>
      </c>
      <c r="B201" s="1341">
        <v>123.46600579407662</v>
      </c>
      <c r="C201" s="1346">
        <v>125.25331732364447</v>
      </c>
      <c r="D201" s="1346">
        <v>127.71599678857798</v>
      </c>
      <c r="E201" s="518">
        <f t="shared" si="4"/>
        <v>142.88062167914484</v>
      </c>
      <c r="F201" s="1350">
        <v>143.2524957468502</v>
      </c>
      <c r="G201" s="1347">
        <v>146.86590482884216</v>
      </c>
      <c r="H201" s="507">
        <f t="shared" si="5"/>
        <v>138.04639898874959</v>
      </c>
      <c r="J201" s="925"/>
      <c r="K201" s="923"/>
    </row>
    <row r="202" spans="1:11">
      <c r="A202" s="49">
        <f t="shared" si="6"/>
        <v>2009.01</v>
      </c>
      <c r="B202" s="1341">
        <v>116.75841920206521</v>
      </c>
      <c r="C202" s="1346">
        <v>124.29378702566289</v>
      </c>
      <c r="D202" s="1346">
        <v>126.51783475366746</v>
      </c>
      <c r="E202" s="518">
        <f t="shared" ref="E202:E265" si="7">D202*$E$9</f>
        <v>141.54019337944047</v>
      </c>
      <c r="F202" s="1350">
        <v>138.70146205886041</v>
      </c>
      <c r="G202" s="1347">
        <v>145.9561700882854</v>
      </c>
      <c r="H202" s="507">
        <f t="shared" si="5"/>
        <v>137.19129510936258</v>
      </c>
      <c r="J202" s="924"/>
      <c r="K202" s="923"/>
    </row>
    <row r="203" spans="1:11">
      <c r="A203" s="49">
        <f t="shared" si="6"/>
        <v>2009.02</v>
      </c>
      <c r="B203" s="1341">
        <v>114.85886148592792</v>
      </c>
      <c r="C203" s="1346">
        <v>126.35321234298016</v>
      </c>
      <c r="D203" s="1346">
        <v>125.48803239398113</v>
      </c>
      <c r="E203" s="518">
        <f t="shared" si="7"/>
        <v>140.38811529166412</v>
      </c>
      <c r="F203" s="1350">
        <v>130.0216727412519</v>
      </c>
      <c r="G203" s="1347">
        <v>145.03974756762349</v>
      </c>
      <c r="H203" s="507">
        <f t="shared" si="5"/>
        <v>136.32990506054898</v>
      </c>
      <c r="J203" s="924"/>
      <c r="K203" s="923"/>
    </row>
    <row r="204" spans="1:11">
      <c r="A204" s="49">
        <f t="shared" si="6"/>
        <v>2009.03</v>
      </c>
      <c r="B204" s="1341">
        <v>126.16560261026108</v>
      </c>
      <c r="C204" s="1346">
        <v>123.56277797989812</v>
      </c>
      <c r="D204" s="1346">
        <v>124.69921593453336</v>
      </c>
      <c r="E204" s="518">
        <f t="shared" si="7"/>
        <v>139.50563706692603</v>
      </c>
      <c r="F204" s="1350">
        <v>142.64505074643321</v>
      </c>
      <c r="G204" s="1347">
        <v>145.71843340692618</v>
      </c>
      <c r="H204" s="507">
        <f t="shared" ref="H204:H267" si="8">G204*$H$9</f>
        <v>136.96783485282842</v>
      </c>
      <c r="J204" s="924"/>
      <c r="K204" s="923"/>
    </row>
    <row r="205" spans="1:11">
      <c r="A205" s="49">
        <f t="shared" si="6"/>
        <v>2009.04</v>
      </c>
      <c r="B205" s="1341">
        <v>127.99055887450351</v>
      </c>
      <c r="C205" s="1346">
        <v>121.63248680706484</v>
      </c>
      <c r="D205" s="1346">
        <v>124.20477593311166</v>
      </c>
      <c r="E205" s="518">
        <f t="shared" si="7"/>
        <v>138.95248870209656</v>
      </c>
      <c r="F205" s="1350">
        <v>148.73529744456442</v>
      </c>
      <c r="G205" s="1347">
        <v>144.17879747551862</v>
      </c>
      <c r="H205" s="507">
        <f t="shared" si="8"/>
        <v>135.52065624229795</v>
      </c>
      <c r="J205" s="924"/>
      <c r="K205" s="923"/>
    </row>
    <row r="206" spans="1:11">
      <c r="A206" s="49">
        <f t="shared" si="6"/>
        <v>2009.05</v>
      </c>
      <c r="B206" s="1341">
        <v>133.03567047814315</v>
      </c>
      <c r="C206" s="1346">
        <v>120.91305852966427</v>
      </c>
      <c r="D206" s="1346">
        <v>124.03469939051722</v>
      </c>
      <c r="E206" s="518">
        <f t="shared" si="7"/>
        <v>138.76221776697508</v>
      </c>
      <c r="F206" s="1350">
        <v>150.51533163411526</v>
      </c>
      <c r="G206" s="1347">
        <v>143.22627605057394</v>
      </c>
      <c r="H206" s="507">
        <f t="shared" si="8"/>
        <v>134.62533507959182</v>
      </c>
      <c r="J206" s="924"/>
      <c r="K206" s="923"/>
    </row>
    <row r="207" spans="1:11">
      <c r="A207" s="49">
        <f t="shared" si="6"/>
        <v>2009.06</v>
      </c>
      <c r="B207" s="1341">
        <v>129.31265804805898</v>
      </c>
      <c r="C207" s="1346">
        <v>122.43289920842393</v>
      </c>
      <c r="D207" s="1346">
        <v>124.19413927520861</v>
      </c>
      <c r="E207" s="518">
        <f t="shared" si="7"/>
        <v>138.94058907846295</v>
      </c>
      <c r="F207" s="1350">
        <v>150.59024081452321</v>
      </c>
      <c r="G207" s="1347">
        <v>144.87375446638362</v>
      </c>
      <c r="H207" s="507">
        <f t="shared" si="8"/>
        <v>136.17388008041596</v>
      </c>
      <c r="J207" s="924"/>
      <c r="K207" s="923"/>
    </row>
    <row r="208" spans="1:11">
      <c r="A208" s="49">
        <f t="shared" si="6"/>
        <v>2009.07</v>
      </c>
      <c r="B208" s="1341">
        <v>127.36305837501411</v>
      </c>
      <c r="C208" s="1346">
        <v>124.68128534432765</v>
      </c>
      <c r="D208" s="1346">
        <v>124.66520577572584</v>
      </c>
      <c r="E208" s="518">
        <f t="shared" si="7"/>
        <v>139.46758864107483</v>
      </c>
      <c r="F208" s="1350">
        <v>153.46279131458434</v>
      </c>
      <c r="G208" s="1347">
        <v>147.81341052850576</v>
      </c>
      <c r="H208" s="507">
        <f t="shared" si="8"/>
        <v>138.93700562759003</v>
      </c>
      <c r="J208" s="924"/>
      <c r="K208" s="923"/>
    </row>
    <row r="209" spans="1:11">
      <c r="A209" s="49">
        <f t="shared" si="6"/>
        <v>2009.08</v>
      </c>
      <c r="B209" s="1341">
        <v>124.00328620894652</v>
      </c>
      <c r="C209" s="1346">
        <v>126.74639372487783</v>
      </c>
      <c r="D209" s="1346">
        <v>125.41263878756732</v>
      </c>
      <c r="E209" s="518">
        <f t="shared" si="7"/>
        <v>140.30376966836002</v>
      </c>
      <c r="F209" s="1350">
        <v>150.66802195073348</v>
      </c>
      <c r="G209" s="1347">
        <v>148.20549858259832</v>
      </c>
      <c r="H209" s="507">
        <f t="shared" si="8"/>
        <v>139.30554823805542</v>
      </c>
      <c r="J209" s="924"/>
      <c r="K209" s="923"/>
    </row>
    <row r="210" spans="1:11">
      <c r="A210" s="49">
        <f t="shared" si="6"/>
        <v>2009.09</v>
      </c>
      <c r="B210" s="1341">
        <v>126.18512812472765</v>
      </c>
      <c r="C210" s="1346">
        <v>128.29032366017603</v>
      </c>
      <c r="D210" s="1346">
        <v>126.39045415628723</v>
      </c>
      <c r="E210" s="518">
        <f t="shared" si="7"/>
        <v>141.39768798151701</v>
      </c>
      <c r="F210" s="1350">
        <v>151.81494701715715</v>
      </c>
      <c r="G210" s="1347">
        <v>147.70731128633582</v>
      </c>
      <c r="H210" s="507">
        <f t="shared" si="8"/>
        <v>138.83727779536059</v>
      </c>
      <c r="J210" s="924"/>
      <c r="K210" s="923"/>
    </row>
    <row r="211" spans="1:11">
      <c r="A211" s="49">
        <f t="shared" si="6"/>
        <v>2009.1</v>
      </c>
      <c r="B211" s="1341">
        <v>127.07986188269525</v>
      </c>
      <c r="C211" s="1346">
        <v>129.29117886363821</v>
      </c>
      <c r="D211" s="1346">
        <v>127.54661149835808</v>
      </c>
      <c r="E211" s="518">
        <f t="shared" si="7"/>
        <v>142.69112407368837</v>
      </c>
      <c r="F211" s="1350">
        <v>149.7683078899237</v>
      </c>
      <c r="G211" s="1347">
        <v>148.67336593415561</v>
      </c>
      <c r="H211" s="507">
        <f t="shared" si="8"/>
        <v>139.74531949171813</v>
      </c>
      <c r="J211" s="924"/>
      <c r="K211" s="923"/>
    </row>
    <row r="212" spans="1:11">
      <c r="A212" s="49">
        <f t="shared" si="6"/>
        <v>2009.11</v>
      </c>
      <c r="B212" s="1341">
        <v>127.09219178029132</v>
      </c>
      <c r="C212" s="1346">
        <v>129.76715522525848</v>
      </c>
      <c r="D212" s="1346">
        <v>128.82732133585563</v>
      </c>
      <c r="E212" s="518">
        <f t="shared" si="7"/>
        <v>144.12390166125374</v>
      </c>
      <c r="F212" s="1350">
        <v>148.53695400289075</v>
      </c>
      <c r="G212" s="1347">
        <v>149.96368806254935</v>
      </c>
      <c r="H212" s="507">
        <f t="shared" si="8"/>
        <v>140.95815594663148</v>
      </c>
      <c r="J212" s="924"/>
      <c r="K212" s="923"/>
    </row>
    <row r="213" spans="1:11">
      <c r="A213" s="49">
        <f t="shared" si="6"/>
        <v>2009.12</v>
      </c>
      <c r="B213" s="1341">
        <v>126.28656380555832</v>
      </c>
      <c r="C213" s="1346">
        <v>128.16730211985205</v>
      </c>
      <c r="D213" s="1346">
        <v>130.18123557415035</v>
      </c>
      <c r="E213" s="518">
        <f t="shared" si="7"/>
        <v>145.63857572661794</v>
      </c>
      <c r="F213" s="1350">
        <v>145.86392823913701</v>
      </c>
      <c r="G213" s="1347">
        <v>149.97517397964671</v>
      </c>
      <c r="H213" s="507">
        <f t="shared" si="8"/>
        <v>140.96895211812017</v>
      </c>
      <c r="J213" s="925"/>
      <c r="K213" s="923"/>
    </row>
    <row r="214" spans="1:11">
      <c r="A214" s="49">
        <f t="shared" si="6"/>
        <v>2010.01</v>
      </c>
      <c r="B214" s="1341">
        <v>121.50567852923163</v>
      </c>
      <c r="C214" s="1346">
        <v>131.73317928346449</v>
      </c>
      <c r="D214" s="1346">
        <v>131.56164811839295</v>
      </c>
      <c r="E214" s="518">
        <f t="shared" si="7"/>
        <v>147.18289442947844</v>
      </c>
      <c r="F214" s="1350">
        <v>142.92864119315004</v>
      </c>
      <c r="G214" s="1347">
        <v>151.99104351291203</v>
      </c>
      <c r="H214" s="507">
        <f t="shared" si="8"/>
        <v>142.86376582741997</v>
      </c>
      <c r="J214" s="924"/>
      <c r="K214" s="923"/>
    </row>
    <row r="215" spans="1:11">
      <c r="A215" s="49">
        <f t="shared" si="6"/>
        <v>2010.02</v>
      </c>
      <c r="B215" s="1341">
        <v>119.82280209203972</v>
      </c>
      <c r="C215" s="1346">
        <v>133.38948764059197</v>
      </c>
      <c r="D215" s="1346">
        <v>132.92880932973605</v>
      </c>
      <c r="E215" s="518">
        <f t="shared" si="7"/>
        <v>148.71238837482724</v>
      </c>
      <c r="F215" s="1350">
        <v>136.95675203020971</v>
      </c>
      <c r="G215" s="1347">
        <v>153.10578878891783</v>
      </c>
      <c r="H215" s="507">
        <f t="shared" si="8"/>
        <v>143.91156906889836</v>
      </c>
      <c r="J215" s="924"/>
      <c r="K215" s="923"/>
    </row>
    <row r="216" spans="1:11">
      <c r="A216" s="49">
        <f t="shared" si="6"/>
        <v>2010.03</v>
      </c>
      <c r="B216" s="1341">
        <v>136.89550162046118</v>
      </c>
      <c r="C216" s="1346">
        <v>134.23045476101188</v>
      </c>
      <c r="D216" s="1346">
        <v>134.25305263645771</v>
      </c>
      <c r="E216" s="518">
        <f t="shared" si="7"/>
        <v>150.19386846875827</v>
      </c>
      <c r="F216" s="1350">
        <v>152.90706721727901</v>
      </c>
      <c r="G216" s="1347">
        <v>154.95716046904192</v>
      </c>
      <c r="H216" s="507">
        <f t="shared" si="8"/>
        <v>145.65176325439521</v>
      </c>
      <c r="J216" s="924"/>
      <c r="K216" s="923"/>
    </row>
    <row r="217" spans="1:11">
      <c r="A217" s="49">
        <f t="shared" si="6"/>
        <v>2010.04</v>
      </c>
      <c r="B217" s="1341">
        <v>145.77413149301782</v>
      </c>
      <c r="C217" s="1346">
        <v>136.94583085534387</v>
      </c>
      <c r="D217" s="1346">
        <v>135.51214116716108</v>
      </c>
      <c r="E217" s="518">
        <f t="shared" si="7"/>
        <v>151.60245749863353</v>
      </c>
      <c r="F217" s="1350">
        <v>164.12472396462405</v>
      </c>
      <c r="G217" s="1347">
        <v>158.07036722242088</v>
      </c>
      <c r="H217" s="507">
        <f t="shared" si="8"/>
        <v>148.5780175277221</v>
      </c>
      <c r="J217" s="924"/>
      <c r="K217" s="923"/>
    </row>
    <row r="218" spans="1:11">
      <c r="A218" s="49">
        <f t="shared" si="6"/>
        <v>2010.05</v>
      </c>
      <c r="B218" s="1341">
        <v>158.11063153043881</v>
      </c>
      <c r="C218" s="1346">
        <v>139.07170769615038</v>
      </c>
      <c r="D218" s="1346">
        <v>136.68924078203321</v>
      </c>
      <c r="E218" s="518">
        <f t="shared" si="7"/>
        <v>152.91932248798665</v>
      </c>
      <c r="F218" s="1350">
        <v>165.51462357594033</v>
      </c>
      <c r="G218" s="1347">
        <v>157.36415842698821</v>
      </c>
      <c r="H218" s="507">
        <f t="shared" si="8"/>
        <v>147.91421757185572</v>
      </c>
      <c r="J218" s="924"/>
      <c r="K218" s="923"/>
    </row>
    <row r="219" spans="1:11">
      <c r="A219" s="49">
        <f t="shared" si="6"/>
        <v>2010.06</v>
      </c>
      <c r="B219" s="1341">
        <v>149.86155200805445</v>
      </c>
      <c r="C219" s="1346">
        <v>140.5391358343694</v>
      </c>
      <c r="D219" s="1346">
        <v>137.77470874534407</v>
      </c>
      <c r="E219" s="518">
        <f t="shared" si="7"/>
        <v>154.13367575077638</v>
      </c>
      <c r="F219" s="1350">
        <v>165.9667108144809</v>
      </c>
      <c r="G219" s="1347">
        <v>159.17468000704685</v>
      </c>
      <c r="H219" s="507">
        <f t="shared" si="8"/>
        <v>149.61601476372124</v>
      </c>
      <c r="J219" s="924"/>
      <c r="K219" s="923"/>
    </row>
    <row r="220" spans="1:11">
      <c r="A220" s="49">
        <f t="shared" si="6"/>
        <v>2010.07</v>
      </c>
      <c r="B220" s="1341">
        <v>139.50568662872732</v>
      </c>
      <c r="C220" s="1346">
        <v>139.43484883646801</v>
      </c>
      <c r="D220" s="1346">
        <v>138.76563961847529</v>
      </c>
      <c r="E220" s="518">
        <f t="shared" si="7"/>
        <v>155.24226686507842</v>
      </c>
      <c r="F220" s="1350">
        <v>163.3139363424624</v>
      </c>
      <c r="G220" s="1347">
        <v>157.87021664704085</v>
      </c>
      <c r="H220" s="507">
        <f t="shared" si="8"/>
        <v>148.38988627820615</v>
      </c>
      <c r="J220" s="924"/>
      <c r="K220" s="923"/>
    </row>
    <row r="221" spans="1:11">
      <c r="A221" s="49">
        <f t="shared" si="6"/>
        <v>2010.08</v>
      </c>
      <c r="B221" s="1341">
        <v>137.24598068715568</v>
      </c>
      <c r="C221" s="1346">
        <v>140.04994688591253</v>
      </c>
      <c r="D221" s="1346">
        <v>139.66692143638281</v>
      </c>
      <c r="E221" s="518">
        <f t="shared" si="7"/>
        <v>156.25056425686023</v>
      </c>
      <c r="F221" s="1350">
        <v>164.98287379903334</v>
      </c>
      <c r="G221" s="1347">
        <v>161.18112549735483</v>
      </c>
      <c r="H221" s="507">
        <f t="shared" si="8"/>
        <v>151.50197035720655</v>
      </c>
      <c r="J221" s="924"/>
      <c r="K221" s="923"/>
    </row>
    <row r="222" spans="1:11">
      <c r="A222" s="49">
        <f t="shared" si="6"/>
        <v>2010.09</v>
      </c>
      <c r="B222" s="1341">
        <v>136.69642672162283</v>
      </c>
      <c r="C222" s="1346">
        <v>139.39550290960145</v>
      </c>
      <c r="D222" s="1346">
        <v>140.49212992372705</v>
      </c>
      <c r="E222" s="518">
        <f t="shared" si="7"/>
        <v>157.1737555927258</v>
      </c>
      <c r="F222" s="1350">
        <v>165.16515121670707</v>
      </c>
      <c r="G222" s="1347">
        <v>160.61976581694177</v>
      </c>
      <c r="H222" s="507">
        <f t="shared" si="8"/>
        <v>150.97432112160752</v>
      </c>
      <c r="J222" s="924"/>
      <c r="K222" s="923"/>
    </row>
    <row r="223" spans="1:11">
      <c r="A223" s="49">
        <f t="shared" si="6"/>
        <v>2010.1</v>
      </c>
      <c r="B223" s="1341">
        <v>135.13884450692316</v>
      </c>
      <c r="C223" s="1346">
        <v>140.00979999706453</v>
      </c>
      <c r="D223" s="1346">
        <v>141.25795627263676</v>
      </c>
      <c r="E223" s="518">
        <f t="shared" si="7"/>
        <v>158.0305139282664</v>
      </c>
      <c r="F223" s="1350">
        <v>159.43142639156713</v>
      </c>
      <c r="G223" s="1347">
        <v>160.04242700045609</v>
      </c>
      <c r="H223" s="507">
        <f t="shared" si="8"/>
        <v>150.43165231971537</v>
      </c>
      <c r="J223" s="924"/>
      <c r="K223" s="923"/>
    </row>
    <row r="224" spans="1:11">
      <c r="A224" s="49">
        <f t="shared" si="6"/>
        <v>2010.11</v>
      </c>
      <c r="B224" s="1341">
        <v>139.59882328372223</v>
      </c>
      <c r="C224" s="1346">
        <v>142.14472677282086</v>
      </c>
      <c r="D224" s="1346">
        <v>141.98058777333625</v>
      </c>
      <c r="E224" s="518">
        <f t="shared" si="7"/>
        <v>158.83894858532659</v>
      </c>
      <c r="F224" s="1350">
        <v>162.86524281261273</v>
      </c>
      <c r="G224" s="1347">
        <v>163.25542216623384</v>
      </c>
      <c r="H224" s="507">
        <f t="shared" si="8"/>
        <v>153.45170256977704</v>
      </c>
      <c r="J224" s="924"/>
      <c r="K224" s="923"/>
    </row>
    <row r="225" spans="1:11">
      <c r="A225" s="49">
        <f t="shared" si="6"/>
        <v>2010.12</v>
      </c>
      <c r="B225" s="1341">
        <v>138.47764951271685</v>
      </c>
      <c r="C225" s="1346">
        <v>141.68908709245426</v>
      </c>
      <c r="D225" s="1346">
        <v>142.67489315963707</v>
      </c>
      <c r="E225" s="518">
        <f t="shared" si="7"/>
        <v>159.61569376779627</v>
      </c>
      <c r="F225" s="1350">
        <v>158.62955922722685</v>
      </c>
      <c r="G225" s="1347">
        <v>163.50710997517558</v>
      </c>
      <c r="H225" s="507">
        <f t="shared" si="8"/>
        <v>153.68827616889976</v>
      </c>
      <c r="J225" s="925"/>
      <c r="K225" s="923"/>
    </row>
    <row r="226" spans="1:11">
      <c r="A226" s="49">
        <f t="shared" si="6"/>
        <v>2011.01</v>
      </c>
      <c r="B226" s="1341">
        <v>133.07691971855189</v>
      </c>
      <c r="C226" s="1346">
        <v>145.46670061385009</v>
      </c>
      <c r="D226" s="1346">
        <v>143.35590934464483</v>
      </c>
      <c r="E226" s="518">
        <f t="shared" si="7"/>
        <v>160.37757182797807</v>
      </c>
      <c r="F226" s="1350">
        <v>154.58413414063867</v>
      </c>
      <c r="G226" s="1347">
        <v>164.74160264302574</v>
      </c>
      <c r="H226" s="507">
        <f t="shared" si="8"/>
        <v>154.84863580154109</v>
      </c>
      <c r="J226" s="924"/>
      <c r="K226" s="923"/>
    </row>
    <row r="227" spans="1:11">
      <c r="A227" s="49">
        <f t="shared" si="6"/>
        <v>2011.02</v>
      </c>
      <c r="B227" s="1341">
        <v>129.50988684262188</v>
      </c>
      <c r="C227" s="1346">
        <v>143.85875586890018</v>
      </c>
      <c r="D227" s="1346">
        <v>144.02780625141671</v>
      </c>
      <c r="E227" s="518">
        <f t="shared" si="7"/>
        <v>161.12924781342869</v>
      </c>
      <c r="F227" s="1350">
        <v>145.20513671069861</v>
      </c>
      <c r="G227" s="1347">
        <v>162.56816824633688</v>
      </c>
      <c r="H227" s="507">
        <f t="shared" si="8"/>
        <v>152.80571922229251</v>
      </c>
      <c r="J227" s="924"/>
      <c r="K227" s="923"/>
    </row>
    <row r="228" spans="1:11">
      <c r="A228" s="49">
        <f t="shared" si="6"/>
        <v>2011.03</v>
      </c>
      <c r="B228" s="1341">
        <v>147.00183909502377</v>
      </c>
      <c r="C228" s="1346">
        <v>144.64217820116124</v>
      </c>
      <c r="D228" s="1346">
        <v>144.68312721657887</v>
      </c>
      <c r="E228" s="518">
        <f t="shared" si="7"/>
        <v>161.86237967831752</v>
      </c>
      <c r="F228" s="1350">
        <v>162.98076991754448</v>
      </c>
      <c r="G228" s="1347">
        <v>164.04392892934783</v>
      </c>
      <c r="H228" s="507">
        <f t="shared" si="8"/>
        <v>154.19285838366739</v>
      </c>
      <c r="J228" s="924"/>
      <c r="K228" s="923"/>
    </row>
    <row r="229" spans="1:11">
      <c r="A229" s="49">
        <f t="shared" si="6"/>
        <v>2011.04</v>
      </c>
      <c r="B229" s="1341">
        <v>151.03582303961804</v>
      </c>
      <c r="C229" s="1346">
        <v>144.87354812737365</v>
      </c>
      <c r="D229" s="1346">
        <v>145.30135721061086</v>
      </c>
      <c r="E229" s="518">
        <f t="shared" si="7"/>
        <v>162.55401649836452</v>
      </c>
      <c r="F229" s="1350">
        <v>169.3827784292059</v>
      </c>
      <c r="G229" s="1347">
        <v>164.62516782840504</v>
      </c>
      <c r="H229" s="507">
        <f t="shared" si="8"/>
        <v>154.73919306264233</v>
      </c>
      <c r="J229" s="924"/>
      <c r="K229" s="923"/>
    </row>
    <row r="230" spans="1:11">
      <c r="A230" s="49">
        <f t="shared" si="6"/>
        <v>2011.05</v>
      </c>
      <c r="B230" s="1341">
        <v>166.17834208101743</v>
      </c>
      <c r="C230" s="1346">
        <v>147.30968962778385</v>
      </c>
      <c r="D230" s="1346">
        <v>145.84993768394671</v>
      </c>
      <c r="E230" s="518">
        <f t="shared" si="7"/>
        <v>163.16773381680676</v>
      </c>
      <c r="F230" s="1350">
        <v>174.97035841880069</v>
      </c>
      <c r="G230" s="1347">
        <v>165.15736036831899</v>
      </c>
      <c r="H230" s="507">
        <f t="shared" si="8"/>
        <v>155.23942668588808</v>
      </c>
      <c r="J230" s="924"/>
      <c r="K230" s="923"/>
    </row>
    <row r="231" spans="1:11">
      <c r="A231" s="49">
        <f t="shared" si="6"/>
        <v>2011.06</v>
      </c>
      <c r="B231" s="1341">
        <v>156.69365851225533</v>
      </c>
      <c r="C231" s="1346">
        <v>146.95755514998643</v>
      </c>
      <c r="D231" s="1346">
        <v>146.2946420883913</v>
      </c>
      <c r="E231" s="518">
        <f t="shared" si="7"/>
        <v>163.66524112496083</v>
      </c>
      <c r="F231" s="1350">
        <v>173.22664531921072</v>
      </c>
      <c r="G231" s="1347">
        <v>165.87518954845069</v>
      </c>
      <c r="H231" s="507">
        <f t="shared" si="8"/>
        <v>155.91414920587468</v>
      </c>
      <c r="J231" s="924"/>
      <c r="K231" s="923"/>
    </row>
    <row r="232" spans="1:11">
      <c r="A232" s="49">
        <f t="shared" si="6"/>
        <v>2011.07</v>
      </c>
      <c r="B232" s="1341">
        <v>146.37808828046835</v>
      </c>
      <c r="C232" s="1346">
        <v>147.299338768768</v>
      </c>
      <c r="D232" s="1346">
        <v>146.60345565377099</v>
      </c>
      <c r="E232" s="518">
        <f t="shared" si="7"/>
        <v>164.01072231223486</v>
      </c>
      <c r="F232" s="1350">
        <v>171.8071366905412</v>
      </c>
      <c r="G232" s="1347">
        <v>167.49355423161668</v>
      </c>
      <c r="H232" s="507">
        <f t="shared" si="8"/>
        <v>157.43532879498352</v>
      </c>
      <c r="J232" s="924"/>
      <c r="K232" s="923"/>
    </row>
    <row r="233" spans="1:11">
      <c r="A233" s="49">
        <f t="shared" si="6"/>
        <v>2011.08</v>
      </c>
      <c r="B233" s="1341">
        <v>146.3985053847187</v>
      </c>
      <c r="C233" s="1346">
        <v>147.1100036079556</v>
      </c>
      <c r="D233" s="1346">
        <v>146.75140884998288</v>
      </c>
      <c r="E233" s="518">
        <f t="shared" si="7"/>
        <v>164.17624303936165</v>
      </c>
      <c r="F233" s="1350">
        <v>173.04065985509783</v>
      </c>
      <c r="G233" s="1347">
        <v>167.37213816370871</v>
      </c>
      <c r="H233" s="507">
        <f t="shared" si="8"/>
        <v>157.3212039341208</v>
      </c>
      <c r="J233" s="924"/>
      <c r="K233" s="923"/>
    </row>
    <row r="234" spans="1:11">
      <c r="A234" s="49">
        <f t="shared" si="6"/>
        <v>2011.09</v>
      </c>
      <c r="B234" s="1341">
        <v>147.17090682127099</v>
      </c>
      <c r="C234" s="1346">
        <v>148.43311306149425</v>
      </c>
      <c r="D234" s="1346">
        <v>146.7292263591572</v>
      </c>
      <c r="E234" s="518">
        <f t="shared" si="7"/>
        <v>164.15142666428522</v>
      </c>
      <c r="F234" s="1350">
        <v>174.5598700565055</v>
      </c>
      <c r="G234" s="1347">
        <v>169.54966339435265</v>
      </c>
      <c r="H234" s="507">
        <f t="shared" si="8"/>
        <v>159.36796568694464</v>
      </c>
      <c r="J234" s="924"/>
      <c r="K234" s="923"/>
    </row>
    <row r="235" spans="1:11">
      <c r="A235" s="49">
        <f t="shared" si="6"/>
        <v>2011.1</v>
      </c>
      <c r="B235" s="1341">
        <v>145.05000242779931</v>
      </c>
      <c r="C235" s="1346">
        <v>147.34194993683622</v>
      </c>
      <c r="D235" s="1346">
        <v>146.54544860346613</v>
      </c>
      <c r="E235" s="518">
        <f t="shared" si="7"/>
        <v>163.94582767399268</v>
      </c>
      <c r="F235" s="1350">
        <v>167.24624558125711</v>
      </c>
      <c r="G235" s="1347">
        <v>168.18036820951667</v>
      </c>
      <c r="H235" s="507">
        <f t="shared" si="8"/>
        <v>158.08089861961182</v>
      </c>
      <c r="J235" s="924"/>
      <c r="K235" s="923"/>
    </row>
    <row r="236" spans="1:11">
      <c r="A236" s="49">
        <f t="shared" si="6"/>
        <v>2011.11</v>
      </c>
      <c r="B236" s="1341">
        <v>146.36164512416551</v>
      </c>
      <c r="C236" s="1346">
        <v>147.28066435647631</v>
      </c>
      <c r="D236" s="1346">
        <v>146.22633870512948</v>
      </c>
      <c r="E236" s="518">
        <f t="shared" si="7"/>
        <v>163.58882759722246</v>
      </c>
      <c r="F236" s="1350">
        <v>167.7034066678186</v>
      </c>
      <c r="G236" s="1347">
        <v>168.58778399413299</v>
      </c>
      <c r="H236" s="507">
        <f t="shared" si="8"/>
        <v>158.46384850864837</v>
      </c>
      <c r="J236" s="924"/>
      <c r="K236" s="923"/>
    </row>
    <row r="237" spans="1:11">
      <c r="A237" s="49">
        <f t="shared" si="6"/>
        <v>2011.12</v>
      </c>
      <c r="B237" s="1341">
        <v>143.36165785374328</v>
      </c>
      <c r="C237" s="1346">
        <v>147.64377780887995</v>
      </c>
      <c r="D237" s="1346">
        <v>145.81136787588773</v>
      </c>
      <c r="E237" s="518">
        <f t="shared" si="7"/>
        <v>163.1245843422532</v>
      </c>
      <c r="F237" s="1350">
        <v>161.93698314622949</v>
      </c>
      <c r="G237" s="1347">
        <v>168.21035251370745</v>
      </c>
      <c r="H237" s="507">
        <f t="shared" si="8"/>
        <v>158.10908232381834</v>
      </c>
      <c r="J237" s="925"/>
      <c r="K237" s="923"/>
    </row>
    <row r="238" spans="1:11">
      <c r="A238" s="49">
        <f t="shared" si="6"/>
        <v>2012.01</v>
      </c>
      <c r="B238" s="1341">
        <v>136.19408129361287</v>
      </c>
      <c r="C238" s="1346">
        <v>147.6330442508073</v>
      </c>
      <c r="D238" s="1346">
        <v>145.35311201834125</v>
      </c>
      <c r="E238" s="518">
        <f t="shared" si="7"/>
        <v>162.61191652098771</v>
      </c>
      <c r="F238" s="1350">
        <v>158.30881315458717</v>
      </c>
      <c r="G238" s="1347">
        <v>168.06732752796179</v>
      </c>
      <c r="H238" s="507">
        <f t="shared" si="8"/>
        <v>157.97464619127541</v>
      </c>
      <c r="J238" s="924"/>
      <c r="K238" s="923"/>
    </row>
    <row r="239" spans="1:11">
      <c r="A239" s="49">
        <f t="shared" si="6"/>
        <v>2012.02</v>
      </c>
      <c r="B239" s="1341">
        <v>132.36052594074121</v>
      </c>
      <c r="C239" s="1346">
        <v>144.74098107984454</v>
      </c>
      <c r="D239" s="1346">
        <v>144.91003982527897</v>
      </c>
      <c r="E239" s="518">
        <f t="shared" si="7"/>
        <v>162.11623522823407</v>
      </c>
      <c r="F239" s="1350">
        <v>150.94885376724463</v>
      </c>
      <c r="G239" s="1347">
        <v>168.67804880814973</v>
      </c>
      <c r="H239" s="507">
        <f t="shared" si="8"/>
        <v>158.54869279258833</v>
      </c>
      <c r="J239" s="924"/>
      <c r="K239" s="923"/>
    </row>
    <row r="240" spans="1:11">
      <c r="A240" s="49">
        <f t="shared" si="6"/>
        <v>2012.03</v>
      </c>
      <c r="B240" s="1341">
        <v>147.44101624495764</v>
      </c>
      <c r="C240" s="1346">
        <v>145.58090088372558</v>
      </c>
      <c r="D240" s="1346">
        <v>144.53608545856784</v>
      </c>
      <c r="E240" s="518">
        <f t="shared" si="7"/>
        <v>161.69787861090472</v>
      </c>
      <c r="F240" s="1350">
        <v>169.18979309082803</v>
      </c>
      <c r="G240" s="1347">
        <v>170.62412542708918</v>
      </c>
      <c r="H240" s="507">
        <f t="shared" si="8"/>
        <v>160.37790475103355</v>
      </c>
      <c r="J240" s="924"/>
      <c r="K240" s="923"/>
    </row>
    <row r="241" spans="1:11">
      <c r="A241" s="49">
        <f t="shared" si="6"/>
        <v>2012.04</v>
      </c>
      <c r="B241" s="1341">
        <v>145.52027831854522</v>
      </c>
      <c r="C241" s="1346">
        <v>141.67772111521393</v>
      </c>
      <c r="D241" s="1346">
        <v>144.27484397385135</v>
      </c>
      <c r="E241" s="518">
        <f t="shared" si="7"/>
        <v>161.40561807437643</v>
      </c>
      <c r="F241" s="1350">
        <v>154.15126902698265</v>
      </c>
      <c r="G241" s="1347">
        <v>150.64874336801131</v>
      </c>
      <c r="H241" s="507">
        <f t="shared" si="8"/>
        <v>141.60207270959543</v>
      </c>
      <c r="J241" s="924"/>
      <c r="K241" s="923"/>
    </row>
    <row r="242" spans="1:11">
      <c r="A242" s="49">
        <f t="shared" si="6"/>
        <v>2012.05</v>
      </c>
      <c r="B242" s="1341">
        <v>157.40418371936033</v>
      </c>
      <c r="C242" s="1346">
        <v>140.35852306492839</v>
      </c>
      <c r="D242" s="1346">
        <v>144.15754990297353</v>
      </c>
      <c r="E242" s="518">
        <f t="shared" si="7"/>
        <v>161.27439684768825</v>
      </c>
      <c r="F242" s="1350">
        <v>171.47712108535649</v>
      </c>
      <c r="G242" s="1347">
        <v>159.90766895703786</v>
      </c>
      <c r="H242" s="507">
        <f t="shared" si="8"/>
        <v>150.30498668789062</v>
      </c>
      <c r="J242" s="924"/>
      <c r="K242" s="923"/>
    </row>
    <row r="243" spans="1:11">
      <c r="A243" s="49">
        <f t="shared" si="6"/>
        <v>2012.06</v>
      </c>
      <c r="B243" s="1341">
        <v>149.03310174150511</v>
      </c>
      <c r="C243" s="1346">
        <v>140.83772894609419</v>
      </c>
      <c r="D243" s="1346">
        <v>144.19943430697194</v>
      </c>
      <c r="E243" s="518">
        <f t="shared" si="7"/>
        <v>161.32125448363388</v>
      </c>
      <c r="F243" s="1350">
        <v>154.83720110920851</v>
      </c>
      <c r="G243" s="1347">
        <v>148.6624658504582</v>
      </c>
      <c r="H243" s="507">
        <f t="shared" si="8"/>
        <v>139.73507397350301</v>
      </c>
      <c r="J243" s="924"/>
      <c r="K243" s="923"/>
    </row>
    <row r="244" spans="1:11">
      <c r="A244" s="49">
        <f t="shared" si="6"/>
        <v>2012.07</v>
      </c>
      <c r="B244" s="1341">
        <v>146.86279961903688</v>
      </c>
      <c r="C244" s="1346">
        <v>144.87060060981474</v>
      </c>
      <c r="D244" s="1346">
        <v>144.39861143262343</v>
      </c>
      <c r="E244" s="518">
        <f t="shared" si="7"/>
        <v>161.54408132015351</v>
      </c>
      <c r="F244" s="1350">
        <v>171.62347232248413</v>
      </c>
      <c r="G244" s="1347">
        <v>166.54974052700032</v>
      </c>
      <c r="H244" s="507">
        <f t="shared" si="8"/>
        <v>156.54819244165247</v>
      </c>
      <c r="J244" s="924"/>
      <c r="K244" s="923"/>
    </row>
    <row r="245" spans="1:11">
      <c r="A245" s="49">
        <f t="shared" si="6"/>
        <v>2012.08</v>
      </c>
      <c r="B245" s="1341">
        <v>145.69325698881013</v>
      </c>
      <c r="C245" s="1346">
        <v>145.02880907620982</v>
      </c>
      <c r="D245" s="1346">
        <v>144.73809231551854</v>
      </c>
      <c r="E245" s="518">
        <f t="shared" si="7"/>
        <v>161.92387117276326</v>
      </c>
      <c r="F245" s="1350">
        <v>171.91683285091923</v>
      </c>
      <c r="G245" s="1347">
        <v>166.09327518873843</v>
      </c>
      <c r="H245" s="507">
        <f t="shared" si="8"/>
        <v>156.11913849421879</v>
      </c>
      <c r="J245" s="924"/>
      <c r="K245" s="923"/>
    </row>
    <row r="246" spans="1:11">
      <c r="A246" s="49">
        <f t="shared" si="6"/>
        <v>2012.09</v>
      </c>
      <c r="B246" s="1341">
        <v>142.47153651731426</v>
      </c>
      <c r="C246" s="1346">
        <v>146.2453914536685</v>
      </c>
      <c r="D246" s="1346">
        <v>145.18781386739073</v>
      </c>
      <c r="E246" s="518">
        <f t="shared" si="7"/>
        <v>162.42699134979463</v>
      </c>
      <c r="F246" s="1350">
        <v>169.18346103446967</v>
      </c>
      <c r="G246" s="1347">
        <v>166.92111825129868</v>
      </c>
      <c r="H246" s="507">
        <f t="shared" si="8"/>
        <v>156.89726840699495</v>
      </c>
      <c r="J246" s="924"/>
      <c r="K246" s="923"/>
    </row>
    <row r="247" spans="1:11">
      <c r="A247" s="49">
        <f t="shared" si="6"/>
        <v>2012.1</v>
      </c>
      <c r="B247" s="1341">
        <v>147.23130295530083</v>
      </c>
      <c r="C247" s="1346">
        <v>147.17551609235051</v>
      </c>
      <c r="D247" s="1346">
        <v>145.70811990277491</v>
      </c>
      <c r="E247" s="518">
        <f t="shared" si="7"/>
        <v>163.00907700600391</v>
      </c>
      <c r="F247" s="1350">
        <v>168.80732369008103</v>
      </c>
      <c r="G247" s="1347">
        <v>167.25140013471184</v>
      </c>
      <c r="H247" s="507">
        <f t="shared" si="8"/>
        <v>157.2077163949711</v>
      </c>
      <c r="J247" s="924"/>
      <c r="K247" s="923"/>
    </row>
    <row r="248" spans="1:11">
      <c r="A248" s="49">
        <f t="shared" si="6"/>
        <v>2012.11</v>
      </c>
      <c r="B248" s="1341">
        <v>146.37343184468628</v>
      </c>
      <c r="C248" s="1346">
        <v>146.99495397104016</v>
      </c>
      <c r="D248" s="1346">
        <v>146.25840903571029</v>
      </c>
      <c r="E248" s="518">
        <f t="shared" si="7"/>
        <v>163.6247058653021</v>
      </c>
      <c r="F248" s="1350">
        <v>165.82614074194692</v>
      </c>
      <c r="G248" s="1347">
        <v>167.11852178206499</v>
      </c>
      <c r="H248" s="507">
        <f t="shared" si="8"/>
        <v>157.08281757582154</v>
      </c>
      <c r="J248" s="924"/>
      <c r="K248" s="923"/>
    </row>
    <row r="249" spans="1:11">
      <c r="A249" s="49">
        <f t="shared" si="6"/>
        <v>2012.12</v>
      </c>
      <c r="B249" s="1341">
        <v>143.58505809958143</v>
      </c>
      <c r="C249" s="1346">
        <v>149.02640268848899</v>
      </c>
      <c r="D249" s="1346">
        <v>146.80172292022891</v>
      </c>
      <c r="E249" s="518">
        <f t="shared" si="7"/>
        <v>164.23253125553447</v>
      </c>
      <c r="F249" s="1350">
        <v>161.48272806255909</v>
      </c>
      <c r="G249" s="1347">
        <v>169.96921892059444</v>
      </c>
      <c r="H249" s="507">
        <f t="shared" si="8"/>
        <v>159.76232630890797</v>
      </c>
      <c r="J249" s="925"/>
      <c r="K249" s="923"/>
    </row>
    <row r="250" spans="1:11">
      <c r="A250" s="49">
        <f t="shared" si="6"/>
        <v>2013.01</v>
      </c>
      <c r="B250" s="1341">
        <v>136.51707182504433</v>
      </c>
      <c r="C250" s="1346">
        <v>145.79609649533745</v>
      </c>
      <c r="D250" s="1346">
        <v>147.30947968276621</v>
      </c>
      <c r="E250" s="518">
        <f t="shared" si="7"/>
        <v>164.8005775748473</v>
      </c>
      <c r="F250" s="1350">
        <v>159.12598237253414</v>
      </c>
      <c r="G250" s="1347">
        <v>167.18324031810394</v>
      </c>
      <c r="H250" s="507">
        <f t="shared" si="8"/>
        <v>157.14364967200078</v>
      </c>
      <c r="J250" s="924"/>
      <c r="K250" s="923"/>
    </row>
    <row r="251" spans="1:11">
      <c r="A251" s="49">
        <f t="shared" si="6"/>
        <v>2013.02</v>
      </c>
      <c r="B251" s="1341">
        <v>132.79532196495501</v>
      </c>
      <c r="C251" s="1346">
        <v>148.45612151792579</v>
      </c>
      <c r="D251" s="1346">
        <v>147.75829446669056</v>
      </c>
      <c r="E251" s="518">
        <f t="shared" si="7"/>
        <v>165.3026833169499</v>
      </c>
      <c r="F251" s="1350">
        <v>150.87040413681638</v>
      </c>
      <c r="G251" s="1347">
        <v>168.59631679716949</v>
      </c>
      <c r="H251" s="507">
        <f t="shared" si="8"/>
        <v>158.47186890476306</v>
      </c>
      <c r="J251" s="924"/>
      <c r="K251" s="923"/>
    </row>
    <row r="252" spans="1:11">
      <c r="A252" s="49">
        <f t="shared" si="6"/>
        <v>2013.03</v>
      </c>
      <c r="B252" s="1341">
        <v>149.40394566736484</v>
      </c>
      <c r="C252" s="1346">
        <v>148.54421272983669</v>
      </c>
      <c r="D252" s="1346">
        <v>148.1307920560358</v>
      </c>
      <c r="E252" s="518">
        <f t="shared" si="7"/>
        <v>165.71941018341857</v>
      </c>
      <c r="F252" s="1350">
        <v>169.88527985763693</v>
      </c>
      <c r="G252" s="1347">
        <v>174.11856512874184</v>
      </c>
      <c r="H252" s="507">
        <f t="shared" si="8"/>
        <v>163.66249839350388</v>
      </c>
      <c r="J252" s="924"/>
      <c r="K252" s="923"/>
    </row>
    <row r="253" spans="1:11">
      <c r="A253" s="49">
        <f t="shared" si="6"/>
        <v>2013.04</v>
      </c>
      <c r="B253" s="1341">
        <v>155.94159584157654</v>
      </c>
      <c r="C253" s="1346">
        <v>148.64246305641745</v>
      </c>
      <c r="D253" s="1346">
        <v>148.41429799092501</v>
      </c>
      <c r="E253" s="518">
        <f t="shared" si="7"/>
        <v>166.03657878598412</v>
      </c>
      <c r="F253" s="1350">
        <v>178.14334075854055</v>
      </c>
      <c r="G253" s="1347">
        <v>170.91692563151761</v>
      </c>
      <c r="H253" s="507">
        <f t="shared" si="8"/>
        <v>160.6531218879968</v>
      </c>
      <c r="J253" s="924"/>
      <c r="K253" s="923"/>
    </row>
    <row r="254" spans="1:11">
      <c r="A254" s="49">
        <f t="shared" ref="A254:A317" si="9">A242+1</f>
        <v>2013.05</v>
      </c>
      <c r="B254" s="1341">
        <v>167.97347912253019</v>
      </c>
      <c r="C254" s="1346">
        <v>148.28838298948202</v>
      </c>
      <c r="D254" s="1346">
        <v>148.60107899284193</v>
      </c>
      <c r="E254" s="518">
        <f t="shared" si="7"/>
        <v>166.24553761919842</v>
      </c>
      <c r="F254" s="1350">
        <v>184.13455559735408</v>
      </c>
      <c r="G254" s="1347">
        <v>171.79095555926204</v>
      </c>
      <c r="H254" s="507">
        <f t="shared" si="8"/>
        <v>161.47466507921013</v>
      </c>
      <c r="J254" s="924"/>
      <c r="K254" s="923"/>
    </row>
    <row r="255" spans="1:11">
      <c r="A255" s="49">
        <f t="shared" si="9"/>
        <v>2013.06</v>
      </c>
      <c r="B255" s="1341">
        <v>156.27186443024067</v>
      </c>
      <c r="C255" s="1346">
        <v>148.98926371059383</v>
      </c>
      <c r="D255" s="1346">
        <v>148.68505151193767</v>
      </c>
      <c r="E255" s="518">
        <f t="shared" si="7"/>
        <v>166.33948079025024</v>
      </c>
      <c r="F255" s="1350">
        <v>174.77943143869967</v>
      </c>
      <c r="G255" s="1347">
        <v>169.51840109405603</v>
      </c>
      <c r="H255" s="507">
        <f t="shared" si="8"/>
        <v>159.33858073211061</v>
      </c>
      <c r="J255" s="924"/>
      <c r="K255" s="923"/>
    </row>
    <row r="256" spans="1:11">
      <c r="A256" s="49">
        <f t="shared" si="9"/>
        <v>2013.07</v>
      </c>
      <c r="B256" s="1341">
        <v>150.73100129825897</v>
      </c>
      <c r="C256" s="1346">
        <v>148.16658159531065</v>
      </c>
      <c r="D256" s="1346">
        <v>148.66090161794565</v>
      </c>
      <c r="E256" s="518">
        <f t="shared" si="7"/>
        <v>166.31246340829475</v>
      </c>
      <c r="F256" s="1350">
        <v>178.44905219381036</v>
      </c>
      <c r="G256" s="1347">
        <v>171.84473313393829</v>
      </c>
      <c r="H256" s="507">
        <f t="shared" si="8"/>
        <v>161.52521323427072</v>
      </c>
      <c r="J256" s="924"/>
      <c r="K256" s="923"/>
    </row>
    <row r="257" spans="1:11">
      <c r="A257" s="49">
        <f t="shared" si="9"/>
        <v>2013.08</v>
      </c>
      <c r="B257" s="1341">
        <v>148.42144953050052</v>
      </c>
      <c r="C257" s="1346">
        <v>150.17895384604867</v>
      </c>
      <c r="D257" s="1346">
        <v>148.52789932416491</v>
      </c>
      <c r="E257" s="518">
        <f t="shared" si="7"/>
        <v>166.16366881013957</v>
      </c>
      <c r="F257" s="1350">
        <v>178.52876595502977</v>
      </c>
      <c r="G257" s="1347">
        <v>173.36121499591539</v>
      </c>
      <c r="H257" s="507">
        <f t="shared" si="8"/>
        <v>162.95062821007238</v>
      </c>
      <c r="J257" s="924"/>
      <c r="K257" s="923"/>
    </row>
    <row r="258" spans="1:11">
      <c r="A258" s="49">
        <f t="shared" si="9"/>
        <v>2013.09</v>
      </c>
      <c r="B258" s="1341">
        <v>147.0048441881334</v>
      </c>
      <c r="C258" s="1346">
        <v>150.21594861564364</v>
      </c>
      <c r="D258" s="1346">
        <v>148.29087470246799</v>
      </c>
      <c r="E258" s="518">
        <f t="shared" si="7"/>
        <v>165.8985005763013</v>
      </c>
      <c r="F258" s="1350">
        <v>177.38907617038601</v>
      </c>
      <c r="G258" s="1347">
        <v>174.40758454181031</v>
      </c>
      <c r="H258" s="507">
        <f t="shared" si="8"/>
        <v>163.93416178098951</v>
      </c>
      <c r="J258" s="924"/>
      <c r="K258" s="923"/>
    </row>
    <row r="259" spans="1:11">
      <c r="A259" s="49">
        <f t="shared" si="9"/>
        <v>2013.1</v>
      </c>
      <c r="B259" s="1341">
        <v>148.6939593959755</v>
      </c>
      <c r="C259" s="1346">
        <v>149.09164256943046</v>
      </c>
      <c r="D259" s="1346">
        <v>147.9575479385316</v>
      </c>
      <c r="E259" s="518">
        <f t="shared" si="7"/>
        <v>165.52559556478289</v>
      </c>
      <c r="F259" s="1350">
        <v>175.51819990197191</v>
      </c>
      <c r="G259" s="1347">
        <v>173.55227267782183</v>
      </c>
      <c r="H259" s="507">
        <f t="shared" si="8"/>
        <v>163.13021260726148</v>
      </c>
      <c r="J259" s="924"/>
      <c r="K259" s="923"/>
    </row>
    <row r="260" spans="1:11">
      <c r="A260" s="49">
        <f t="shared" si="9"/>
        <v>2013.11</v>
      </c>
      <c r="B260" s="1341">
        <v>145.69589762827002</v>
      </c>
      <c r="C260" s="1346">
        <v>148.24700606567043</v>
      </c>
      <c r="D260" s="1346">
        <v>147.53813110441448</v>
      </c>
      <c r="E260" s="518">
        <f t="shared" si="7"/>
        <v>165.05637839928909</v>
      </c>
      <c r="F260" s="1350">
        <v>169.38196331566459</v>
      </c>
      <c r="G260" s="1347">
        <v>171.72866349362147</v>
      </c>
      <c r="H260" s="507">
        <f t="shared" si="8"/>
        <v>161.41611374044109</v>
      </c>
      <c r="J260" s="924"/>
      <c r="K260" s="923"/>
    </row>
    <row r="261" spans="1:11">
      <c r="A261" s="49">
        <f t="shared" si="9"/>
        <v>2013.12</v>
      </c>
      <c r="B261" s="1341">
        <v>142.5768791271264</v>
      </c>
      <c r="C261" s="1346">
        <v>147.41063677577401</v>
      </c>
      <c r="D261" s="1346">
        <v>147.0487066204083</v>
      </c>
      <c r="E261" s="518">
        <f t="shared" si="7"/>
        <v>164.50884107978197</v>
      </c>
      <c r="F261" s="1350">
        <v>164.04183092520037</v>
      </c>
      <c r="G261" s="1347">
        <v>172.05413435414124</v>
      </c>
      <c r="H261" s="507">
        <f t="shared" si="8"/>
        <v>161.72203961427059</v>
      </c>
      <c r="J261" s="925"/>
      <c r="K261" s="923"/>
    </row>
    <row r="262" spans="1:11">
      <c r="A262" s="49">
        <f t="shared" si="9"/>
        <v>2014.01</v>
      </c>
      <c r="B262" s="1341">
        <v>137.96969739537636</v>
      </c>
      <c r="C262" s="1346">
        <v>145.51894595103826</v>
      </c>
      <c r="D262" s="1346">
        <v>146.51202819146215</v>
      </c>
      <c r="E262" s="518">
        <f t="shared" si="7"/>
        <v>163.90843901976007</v>
      </c>
      <c r="F262" s="1350">
        <v>162.75061549772713</v>
      </c>
      <c r="G262" s="1347">
        <v>170.40074411430246</v>
      </c>
      <c r="H262" s="507">
        <f t="shared" si="8"/>
        <v>160.16793780283325</v>
      </c>
      <c r="J262" s="924"/>
      <c r="K262" s="923"/>
    </row>
    <row r="263" spans="1:11">
      <c r="A263" s="49">
        <f t="shared" si="9"/>
        <v>2014.02</v>
      </c>
      <c r="B263" s="1341">
        <v>132.48630687243056</v>
      </c>
      <c r="C263" s="1346">
        <v>146.93766717459988</v>
      </c>
      <c r="D263" s="1346">
        <v>145.9535769421343</v>
      </c>
      <c r="E263" s="518">
        <f t="shared" si="7"/>
        <v>163.28367889817918</v>
      </c>
      <c r="F263" s="1350">
        <v>153.67157313436329</v>
      </c>
      <c r="G263" s="1347">
        <v>171.13800046953327</v>
      </c>
      <c r="H263" s="507">
        <f t="shared" si="8"/>
        <v>160.86092086850661</v>
      </c>
      <c r="J263" s="924"/>
      <c r="K263" s="923"/>
    </row>
    <row r="264" spans="1:11">
      <c r="A264" s="49">
        <f t="shared" si="9"/>
        <v>2014.03</v>
      </c>
      <c r="B264" s="1341">
        <v>144.53782808347017</v>
      </c>
      <c r="C264" s="1346">
        <v>145.50690730654404</v>
      </c>
      <c r="D264" s="1346">
        <v>145.40371495680253</v>
      </c>
      <c r="E264" s="518">
        <f t="shared" si="7"/>
        <v>162.66852790474496</v>
      </c>
      <c r="F264" s="1350">
        <v>163.94450815780496</v>
      </c>
      <c r="G264" s="1347">
        <v>166.78486146249762</v>
      </c>
      <c r="H264" s="507">
        <f t="shared" si="8"/>
        <v>156.76919403157285</v>
      </c>
      <c r="J264" s="924"/>
      <c r="K264" s="923"/>
    </row>
    <row r="265" spans="1:11">
      <c r="A265" s="49">
        <f t="shared" si="9"/>
        <v>2014.04</v>
      </c>
      <c r="B265" s="1341">
        <v>152.34143546147135</v>
      </c>
      <c r="C265" s="1346">
        <v>145.05512684076965</v>
      </c>
      <c r="D265" s="1346">
        <v>144.89786350276961</v>
      </c>
      <c r="E265" s="518">
        <f t="shared" si="7"/>
        <v>162.10261312471025</v>
      </c>
      <c r="F265" s="1350">
        <v>174.75102087237988</v>
      </c>
      <c r="G265" s="1347">
        <v>168.82532526256307</v>
      </c>
      <c r="H265" s="507">
        <f t="shared" si="8"/>
        <v>158.68712508707688</v>
      </c>
      <c r="J265" s="924"/>
      <c r="K265" s="923"/>
    </row>
    <row r="266" spans="1:11">
      <c r="A266" s="49">
        <f t="shared" si="9"/>
        <v>2014.05</v>
      </c>
      <c r="B266" s="1341">
        <v>164.20324390256107</v>
      </c>
      <c r="C266" s="1346">
        <v>145.25009514956005</v>
      </c>
      <c r="D266" s="1346">
        <v>144.46988036192863</v>
      </c>
      <c r="E266" s="518">
        <f t="shared" ref="E266:E329" si="10">D266*$E$9</f>
        <v>161.6238125142215</v>
      </c>
      <c r="F266" s="1350">
        <v>179.07761760316447</v>
      </c>
      <c r="G266" s="1347">
        <v>168.11845749638348</v>
      </c>
      <c r="H266" s="507">
        <f t="shared" si="8"/>
        <v>158.02270573259136</v>
      </c>
      <c r="J266" s="924"/>
      <c r="K266" s="923"/>
    </row>
    <row r="267" spans="1:11">
      <c r="A267" s="49">
        <f t="shared" si="9"/>
        <v>2014.06</v>
      </c>
      <c r="B267" s="1341">
        <v>153.80352402990053</v>
      </c>
      <c r="C267" s="1346">
        <v>144.58642732306043</v>
      </c>
      <c r="D267" s="1346">
        <v>144.15032400705721</v>
      </c>
      <c r="E267" s="518">
        <f t="shared" si="10"/>
        <v>161.26631296996993</v>
      </c>
      <c r="F267" s="1350">
        <v>173.93389388694666</v>
      </c>
      <c r="G267" s="1347">
        <v>167.80407849247044</v>
      </c>
      <c r="H267" s="507">
        <f t="shared" si="8"/>
        <v>157.72720563365115</v>
      </c>
      <c r="J267" s="924"/>
      <c r="K267" s="923"/>
    </row>
    <row r="268" spans="1:11">
      <c r="A268" s="49">
        <f t="shared" si="9"/>
        <v>2014.07</v>
      </c>
      <c r="B268" s="1341">
        <v>145.42281373408593</v>
      </c>
      <c r="C268" s="1346">
        <v>144.06996906320782</v>
      </c>
      <c r="D268" s="1346">
        <v>143.96549800811056</v>
      </c>
      <c r="E268" s="518">
        <f t="shared" si="10"/>
        <v>161.05954127107552</v>
      </c>
      <c r="F268" s="1350">
        <v>171.35334858030305</v>
      </c>
      <c r="G268" s="1347">
        <v>165.2053257022007</v>
      </c>
      <c r="H268" s="507">
        <f t="shared" ref="H268:H285" si="11">G268*$H$9</f>
        <v>155.28451163345559</v>
      </c>
      <c r="J268" s="924"/>
      <c r="K268" s="923"/>
    </row>
    <row r="269" spans="1:11">
      <c r="A269" s="49">
        <f t="shared" si="9"/>
        <v>2014.08</v>
      </c>
      <c r="B269" s="1341">
        <v>140.10530396605887</v>
      </c>
      <c r="C269" s="1346">
        <v>143.49158766550201</v>
      </c>
      <c r="D269" s="1346">
        <v>143.93379563598273</v>
      </c>
      <c r="E269" s="518">
        <f t="shared" si="10"/>
        <v>161.02407465176216</v>
      </c>
      <c r="F269" s="1350">
        <v>167.69845284641482</v>
      </c>
      <c r="G269" s="1347">
        <v>164.60033344430369</v>
      </c>
      <c r="H269" s="507">
        <f t="shared" si="11"/>
        <v>154.71585001852131</v>
      </c>
      <c r="J269" s="924"/>
      <c r="K269" s="923"/>
    </row>
    <row r="270" spans="1:11">
      <c r="A270" s="49">
        <f t="shared" si="9"/>
        <v>2014.09</v>
      </c>
      <c r="B270" s="1341">
        <v>141.71873319955728</v>
      </c>
      <c r="C270" s="1346">
        <v>143.52374750574947</v>
      </c>
      <c r="D270" s="1346">
        <v>144.06412432612458</v>
      </c>
      <c r="E270" s="518">
        <f t="shared" si="10"/>
        <v>161.1698781903817</v>
      </c>
      <c r="F270" s="1350">
        <v>170.87719700851773</v>
      </c>
      <c r="G270" s="1347">
        <v>166.88472770267029</v>
      </c>
      <c r="H270" s="507">
        <f t="shared" si="11"/>
        <v>156.86306316241334</v>
      </c>
      <c r="J270" s="924"/>
      <c r="K270" s="923"/>
    </row>
    <row r="271" spans="1:11">
      <c r="A271" s="49">
        <f t="shared" si="9"/>
        <v>2014.1</v>
      </c>
      <c r="B271" s="1341">
        <v>143.34939741761289</v>
      </c>
      <c r="C271" s="1346">
        <v>143.78929258787684</v>
      </c>
      <c r="D271" s="1346">
        <v>144.35419568318781</v>
      </c>
      <c r="E271" s="518">
        <f t="shared" si="10"/>
        <v>161.49439177419779</v>
      </c>
      <c r="F271" s="1350">
        <v>168.01549226918533</v>
      </c>
      <c r="G271" s="1347">
        <v>166.14669799341661</v>
      </c>
      <c r="H271" s="507">
        <f t="shared" si="11"/>
        <v>156.16935318372279</v>
      </c>
      <c r="J271" s="924"/>
      <c r="K271" s="923"/>
    </row>
    <row r="272" spans="1:11">
      <c r="A272" s="49">
        <f t="shared" si="9"/>
        <v>2014.11</v>
      </c>
      <c r="B272" s="319">
        <v>140.87759689826311</v>
      </c>
      <c r="C272" s="1347">
        <v>144.76140500153821</v>
      </c>
      <c r="D272" s="1347">
        <v>144.78874954901275</v>
      </c>
      <c r="E272" s="518">
        <f t="shared" si="10"/>
        <v>161.98054329838726</v>
      </c>
      <c r="F272" s="1350">
        <v>162.08730297537704</v>
      </c>
      <c r="G272" s="1347">
        <v>166.25154009270082</v>
      </c>
      <c r="H272" s="507">
        <f t="shared" si="11"/>
        <v>156.26789936627941</v>
      </c>
      <c r="J272" s="924"/>
      <c r="K272" s="923"/>
    </row>
    <row r="273" spans="1:11">
      <c r="A273" s="49">
        <f t="shared" si="9"/>
        <v>2014.12</v>
      </c>
      <c r="B273" s="319">
        <v>140.43593774912819</v>
      </c>
      <c r="C273" s="1347">
        <v>144.76064708928413</v>
      </c>
      <c r="D273" s="1347">
        <v>145.34253241040349</v>
      </c>
      <c r="E273" s="518">
        <f t="shared" si="10"/>
        <v>162.60008072126584</v>
      </c>
      <c r="F273" s="1350">
        <v>157.96127149666663</v>
      </c>
      <c r="G273" s="1347">
        <v>164.55297156003004</v>
      </c>
      <c r="H273" s="507">
        <f t="shared" si="11"/>
        <v>154.67133228255722</v>
      </c>
      <c r="J273" s="924"/>
      <c r="K273" s="923"/>
    </row>
    <row r="274" spans="1:11">
      <c r="A274" s="49">
        <f t="shared" si="9"/>
        <v>2015.01</v>
      </c>
      <c r="B274" s="319">
        <v>133.99818907035032</v>
      </c>
      <c r="C274" s="1347">
        <v>143.9805699502588</v>
      </c>
      <c r="D274" s="1347">
        <v>145.980848463477</v>
      </c>
      <c r="E274" s="518">
        <f t="shared" si="10"/>
        <v>163.31418856041068</v>
      </c>
      <c r="F274" s="1350">
        <v>158.62683421990027</v>
      </c>
      <c r="G274" s="1347">
        <v>166.28982247390701</v>
      </c>
      <c r="H274" s="507">
        <f t="shared" si="11"/>
        <v>156.30388283620994</v>
      </c>
      <c r="J274" s="924"/>
      <c r="K274" s="923"/>
    </row>
    <row r="275" spans="1:11">
      <c r="A275" s="49">
        <f t="shared" si="9"/>
        <v>2015.02</v>
      </c>
      <c r="B275" s="319">
        <v>132.62788695577399</v>
      </c>
      <c r="C275" s="1347">
        <v>147.85517985551888</v>
      </c>
      <c r="D275" s="1347">
        <v>146.65922987640445</v>
      </c>
      <c r="E275" s="518">
        <f t="shared" si="10"/>
        <v>164.07311900336143</v>
      </c>
      <c r="F275" s="1350">
        <v>150.80059413330952</v>
      </c>
      <c r="G275" s="1353">
        <v>167.42377965542923</v>
      </c>
      <c r="H275" s="507">
        <f t="shared" si="11"/>
        <v>157.36974428103611</v>
      </c>
      <c r="J275" s="924"/>
      <c r="K275" s="923"/>
    </row>
    <row r="276" spans="1:11">
      <c r="A276" s="49">
        <f t="shared" si="9"/>
        <v>2015.03</v>
      </c>
      <c r="B276" s="319">
        <v>149.4090129833281</v>
      </c>
      <c r="C276" s="1347">
        <v>147.67271534028484</v>
      </c>
      <c r="D276" s="1347">
        <v>147.32811859540473</v>
      </c>
      <c r="E276" s="518">
        <f t="shared" si="10"/>
        <v>164.82142961759979</v>
      </c>
      <c r="F276" s="1350">
        <v>166.47527860976342</v>
      </c>
      <c r="G276" s="1353">
        <v>168.74171715611357</v>
      </c>
      <c r="H276" s="507">
        <f t="shared" si="11"/>
        <v>158.60853776597554</v>
      </c>
      <c r="J276" s="924"/>
      <c r="K276" s="923"/>
    </row>
    <row r="277" spans="1:11">
      <c r="A277" s="49">
        <f t="shared" si="9"/>
        <v>2015.04</v>
      </c>
      <c r="B277" s="319">
        <v>157.4845995373143</v>
      </c>
      <c r="C277" s="1347">
        <v>149.81763545715447</v>
      </c>
      <c r="D277" s="1347">
        <v>147.93767084854204</v>
      </c>
      <c r="E277" s="518">
        <f t="shared" si="10"/>
        <v>165.50335832711264</v>
      </c>
      <c r="F277" s="1350">
        <v>179.58102945457799</v>
      </c>
      <c r="G277" s="1353">
        <v>173.06129235957403</v>
      </c>
      <c r="H277" s="507">
        <f t="shared" si="11"/>
        <v>162.66871635333212</v>
      </c>
      <c r="J277" s="924"/>
      <c r="K277" s="923"/>
    </row>
    <row r="278" spans="1:11">
      <c r="A278" s="49">
        <f t="shared" si="9"/>
        <v>2015.05</v>
      </c>
      <c r="B278" s="319">
        <v>168.88610058983411</v>
      </c>
      <c r="C278" s="1347">
        <v>150.0440847103535</v>
      </c>
      <c r="D278" s="1347">
        <v>148.44179769423803</v>
      </c>
      <c r="E278" s="518">
        <f t="shared" si="10"/>
        <v>166.06734372384747</v>
      </c>
      <c r="F278" s="1350">
        <v>178.88649292702556</v>
      </c>
      <c r="G278" s="1353">
        <v>169.77132476358648</v>
      </c>
      <c r="H278" s="507">
        <f t="shared" si="11"/>
        <v>159.57631597664127</v>
      </c>
      <c r="J278" s="925"/>
      <c r="K278" s="923"/>
    </row>
    <row r="279" spans="1:11">
      <c r="A279" s="49">
        <f t="shared" si="9"/>
        <v>2015.06</v>
      </c>
      <c r="B279" s="319">
        <v>162.93739000912225</v>
      </c>
      <c r="C279" s="1347">
        <v>151.034831603122</v>
      </c>
      <c r="D279" s="1347">
        <v>148.80376618595642</v>
      </c>
      <c r="E279" s="518">
        <f t="shared" si="10"/>
        <v>166.47229129835219</v>
      </c>
      <c r="F279" s="1350">
        <v>182.66817020454192</v>
      </c>
      <c r="G279" s="1353">
        <v>174.36177347123601</v>
      </c>
      <c r="H279" s="507">
        <f t="shared" si="11"/>
        <v>163.89110173016306</v>
      </c>
      <c r="J279" s="924"/>
      <c r="K279" s="923"/>
    </row>
    <row r="280" spans="1:11">
      <c r="A280" s="49">
        <f t="shared" si="9"/>
        <v>2015.07</v>
      </c>
      <c r="B280" s="319">
        <v>151.84479634306331</v>
      </c>
      <c r="C280" s="1347">
        <v>150.63740806281481</v>
      </c>
      <c r="D280" s="1347">
        <v>148.99993100780395</v>
      </c>
      <c r="E280" s="518">
        <f t="shared" si="10"/>
        <v>166.69174815890153</v>
      </c>
      <c r="F280" s="1350">
        <v>178.50733458510351</v>
      </c>
      <c r="G280" s="1353">
        <v>172.12281570326442</v>
      </c>
      <c r="H280" s="507">
        <f t="shared" si="11"/>
        <v>161.78659655098912</v>
      </c>
      <c r="J280" s="925"/>
      <c r="K280" s="923"/>
    </row>
    <row r="281" spans="1:11">
      <c r="A281" s="49">
        <f t="shared" si="9"/>
        <v>2015.08</v>
      </c>
      <c r="B281" s="319">
        <v>146.46506720486232</v>
      </c>
      <c r="C281" s="1347">
        <v>150.19625255391986</v>
      </c>
      <c r="D281" s="1347">
        <v>149.02192627242394</v>
      </c>
      <c r="E281" s="518">
        <f t="shared" si="10"/>
        <v>166.71635507707879</v>
      </c>
      <c r="F281" s="1350">
        <v>174.59370834417541</v>
      </c>
      <c r="G281" s="1353">
        <v>171.48599254633353</v>
      </c>
      <c r="H281" s="507">
        <f t="shared" si="11"/>
        <v>161.18801552764398</v>
      </c>
      <c r="J281" s="924"/>
      <c r="K281" s="923"/>
    </row>
    <row r="282" spans="1:11">
      <c r="A282" s="49">
        <f t="shared" si="9"/>
        <v>2015.09</v>
      </c>
      <c r="B282" s="319">
        <v>145.88232371860067</v>
      </c>
      <c r="C282" s="1347">
        <v>148.93661362784886</v>
      </c>
      <c r="D282" s="1347">
        <v>148.87428012816378</v>
      </c>
      <c r="E282" s="518">
        <f t="shared" si="10"/>
        <v>166.55117786035672</v>
      </c>
      <c r="F282" s="1350">
        <v>175.09904976720694</v>
      </c>
      <c r="G282" s="1353">
        <v>171.47187818859922</v>
      </c>
      <c r="H282" s="507">
        <f t="shared" si="11"/>
        <v>161.1747487571057</v>
      </c>
      <c r="J282" s="924"/>
      <c r="K282" s="923"/>
    </row>
    <row r="283" spans="1:11">
      <c r="A283" s="49">
        <f t="shared" si="9"/>
        <v>2015.1</v>
      </c>
      <c r="B283" s="319">
        <v>147.04587615341626</v>
      </c>
      <c r="C283" s="1347">
        <v>149.15976321967742</v>
      </c>
      <c r="D283" s="1347">
        <v>148.57532847594788</v>
      </c>
      <c r="E283" s="518">
        <f t="shared" si="10"/>
        <v>166.21672956104678</v>
      </c>
      <c r="F283" s="1350">
        <v>172.03860314588371</v>
      </c>
      <c r="G283" s="1353">
        <v>170.92520263884944</v>
      </c>
      <c r="H283" s="507">
        <f t="shared" si="11"/>
        <v>160.66090184930161</v>
      </c>
      <c r="J283" s="924"/>
      <c r="K283" s="923"/>
    </row>
    <row r="284" spans="1:11">
      <c r="A284" s="49">
        <f t="shared" si="9"/>
        <v>2015.11</v>
      </c>
      <c r="B284" s="319">
        <v>146.175581385648</v>
      </c>
      <c r="C284" s="1347">
        <v>148.39049370467944</v>
      </c>
      <c r="D284" s="1347">
        <v>148.15484968049154</v>
      </c>
      <c r="E284" s="518">
        <f t="shared" si="10"/>
        <v>165.74632434002223</v>
      </c>
      <c r="F284" s="1350">
        <v>166.02017739048361</v>
      </c>
      <c r="G284" s="1353">
        <v>169.59411257909176</v>
      </c>
      <c r="H284" s="507">
        <f t="shared" si="11"/>
        <v>159.40974563511145</v>
      </c>
      <c r="J284" s="924"/>
      <c r="K284" s="923"/>
    </row>
    <row r="285" spans="1:11">
      <c r="A285" s="49">
        <f t="shared" si="9"/>
        <v>2015.12</v>
      </c>
      <c r="B285" s="319">
        <v>141.9421187346255</v>
      </c>
      <c r="C285" s="1347">
        <v>146.97339454773137</v>
      </c>
      <c r="D285" s="1347">
        <v>147.64751760322713</v>
      </c>
      <c r="E285" s="518">
        <f t="shared" si="10"/>
        <v>165.17875313187275</v>
      </c>
      <c r="F285" s="1350">
        <v>161.72699770091648</v>
      </c>
      <c r="G285" s="1353">
        <v>168.35195169564179</v>
      </c>
      <c r="H285" s="507">
        <f t="shared" si="11"/>
        <v>158.24217827409058</v>
      </c>
      <c r="J285" s="924"/>
      <c r="K285" s="923"/>
    </row>
    <row r="286" spans="1:11">
      <c r="A286" s="49">
        <f t="shared" si="9"/>
        <v>2016.01</v>
      </c>
      <c r="B286" s="319">
        <v>134.74645041349706</v>
      </c>
      <c r="C286" s="1347">
        <v>147.94601722562612</v>
      </c>
      <c r="D286" s="1347">
        <v>147.0909698442554</v>
      </c>
      <c r="E286" s="518">
        <f t="shared" si="10"/>
        <v>164.55612251554004</v>
      </c>
      <c r="F286" s="1350">
        <v>162.14258739687918</v>
      </c>
      <c r="G286" s="1353">
        <v>170.77716466689606</v>
      </c>
      <c r="H286" s="507">
        <f t="shared" ref="H286:H299" si="12">G286*$H$9</f>
        <v>160.52175376748113</v>
      </c>
      <c r="J286" s="924"/>
      <c r="K286" s="923"/>
    </row>
    <row r="287" spans="1:11">
      <c r="A287" s="49">
        <f t="shared" si="9"/>
        <v>2016.02</v>
      </c>
      <c r="B287" s="319">
        <v>134.23236103862521</v>
      </c>
      <c r="C287" s="1347">
        <v>147.17032016332408</v>
      </c>
      <c r="D287" s="1347">
        <v>146.52404230880586</v>
      </c>
      <c r="E287" s="518">
        <f t="shared" si="10"/>
        <v>163.92187965835006</v>
      </c>
      <c r="F287" s="1350">
        <v>154.71303906213018</v>
      </c>
      <c r="G287" s="1353">
        <v>171.0016768876738</v>
      </c>
      <c r="H287" s="507">
        <f t="shared" si="12"/>
        <v>160.73278371104396</v>
      </c>
      <c r="J287" s="924"/>
      <c r="K287" s="923"/>
    </row>
    <row r="288" spans="1:11">
      <c r="A288" s="49">
        <f t="shared" si="9"/>
        <v>2016.03</v>
      </c>
      <c r="B288" s="319">
        <v>150.0878942366954</v>
      </c>
      <c r="C288" s="1347">
        <v>146.24071997492916</v>
      </c>
      <c r="D288" s="1347">
        <v>145.9861360593388</v>
      </c>
      <c r="E288" s="518">
        <f t="shared" si="10"/>
        <v>163.32010398998034</v>
      </c>
      <c r="F288" s="1350">
        <v>167.26595637098612</v>
      </c>
      <c r="G288" s="1353">
        <v>168.44706718000137</v>
      </c>
      <c r="H288" s="507">
        <f t="shared" si="12"/>
        <v>158.3315819387411</v>
      </c>
      <c r="J288" s="924"/>
      <c r="K288" s="923"/>
    </row>
    <row r="289" spans="1:11">
      <c r="A289" s="49">
        <f t="shared" si="9"/>
        <v>2016.04</v>
      </c>
      <c r="B289" s="319">
        <v>153.25067436662908</v>
      </c>
      <c r="C289" s="1347">
        <v>144.97533587039587</v>
      </c>
      <c r="D289" s="1347">
        <v>145.51072122181736</v>
      </c>
      <c r="E289" s="518">
        <f t="shared" si="10"/>
        <v>162.78823978151317</v>
      </c>
      <c r="F289" s="1350">
        <v>173.31974432932859</v>
      </c>
      <c r="G289" s="1353">
        <v>167.26780032227322</v>
      </c>
      <c r="H289" s="507">
        <f t="shared" si="12"/>
        <v>157.22313172801404</v>
      </c>
      <c r="J289" s="924"/>
      <c r="K289" s="923"/>
    </row>
    <row r="290" spans="1:11">
      <c r="A290" s="49">
        <f t="shared" si="9"/>
        <v>2016.05</v>
      </c>
      <c r="B290" s="319">
        <v>163.51360808690507</v>
      </c>
      <c r="C290" s="1347">
        <v>144.46000875681017</v>
      </c>
      <c r="D290" s="1347">
        <v>145.12427154500662</v>
      </c>
      <c r="E290" s="518">
        <f t="shared" si="10"/>
        <v>162.35590419741379</v>
      </c>
      <c r="F290" s="1350">
        <v>176.68548486978975</v>
      </c>
      <c r="G290" s="1353">
        <v>167.37208605005301</v>
      </c>
      <c r="H290" s="507">
        <f t="shared" si="12"/>
        <v>157.32115494996401</v>
      </c>
      <c r="J290" s="924"/>
      <c r="K290" s="923"/>
    </row>
    <row r="291" spans="1:11">
      <c r="A291" s="49">
        <f t="shared" si="9"/>
        <v>2016.06</v>
      </c>
      <c r="B291" s="319">
        <v>153.66209524099784</v>
      </c>
      <c r="C291" s="1347">
        <v>144.18435468185939</v>
      </c>
      <c r="D291" s="1347">
        <v>144.84694993933371</v>
      </c>
      <c r="E291" s="518">
        <f t="shared" si="10"/>
        <v>162.04565423327503</v>
      </c>
      <c r="F291" s="1350">
        <v>173.10823231201184</v>
      </c>
      <c r="G291" s="1353">
        <v>165.56242366504594</v>
      </c>
      <c r="H291" s="507">
        <f t="shared" si="12"/>
        <v>155.62016535726886</v>
      </c>
      <c r="J291" s="924"/>
      <c r="K291" s="923"/>
    </row>
    <row r="292" spans="1:11">
      <c r="A292" s="49">
        <f t="shared" si="9"/>
        <v>2016.07</v>
      </c>
      <c r="B292" s="319">
        <v>143.73110098180126</v>
      </c>
      <c r="C292" s="1347">
        <v>144.38026067332763</v>
      </c>
      <c r="D292" s="1347">
        <v>144.6911930963538</v>
      </c>
      <c r="E292" s="518">
        <f t="shared" si="10"/>
        <v>161.87140327712746</v>
      </c>
      <c r="F292" s="1350">
        <v>167.51384786099331</v>
      </c>
      <c r="G292" s="1353">
        <v>164.07583384977966</v>
      </c>
      <c r="H292" s="507">
        <f t="shared" si="12"/>
        <v>154.22284736838625</v>
      </c>
      <c r="J292" s="924"/>
      <c r="K292" s="923"/>
    </row>
    <row r="293" spans="1:11">
      <c r="A293" s="49">
        <f t="shared" si="9"/>
        <v>2016.08</v>
      </c>
      <c r="B293" s="319">
        <v>143.6741026486049</v>
      </c>
      <c r="C293" s="1347">
        <v>145.55154574354899</v>
      </c>
      <c r="D293" s="1347">
        <v>144.66457563273741</v>
      </c>
      <c r="E293" s="518">
        <f t="shared" si="10"/>
        <v>161.84162533352867</v>
      </c>
      <c r="F293" s="1350">
        <v>169.603144368594</v>
      </c>
      <c r="G293" s="1353">
        <v>164.10452262178316</v>
      </c>
      <c r="H293" s="507">
        <f t="shared" si="12"/>
        <v>154.24981333895042</v>
      </c>
      <c r="J293" s="924"/>
      <c r="K293" s="923"/>
    </row>
    <row r="294" spans="1:11">
      <c r="A294" s="49">
        <f t="shared" si="9"/>
        <v>2016.09</v>
      </c>
      <c r="B294" s="319">
        <v>142.00773744282046</v>
      </c>
      <c r="C294" s="1347">
        <v>144.93503396986233</v>
      </c>
      <c r="D294" s="1347">
        <v>144.77108043509818</v>
      </c>
      <c r="E294" s="518">
        <f t="shared" si="10"/>
        <v>161.96077620543014</v>
      </c>
      <c r="F294" s="1350">
        <v>167.07190703578993</v>
      </c>
      <c r="G294" s="1353">
        <v>164.17190598838275</v>
      </c>
      <c r="H294" s="507">
        <f t="shared" si="12"/>
        <v>154.31315023883641</v>
      </c>
      <c r="J294" s="924"/>
      <c r="K294" s="923"/>
    </row>
    <row r="295" spans="1:11">
      <c r="A295" s="49">
        <f t="shared" si="9"/>
        <v>2016.1</v>
      </c>
      <c r="B295" s="319">
        <v>141.13686329808141</v>
      </c>
      <c r="C295" s="1347">
        <v>144.95344522739825</v>
      </c>
      <c r="D295" s="1347">
        <v>145.00639523968979</v>
      </c>
      <c r="E295" s="518">
        <f t="shared" si="10"/>
        <v>162.22403160346781</v>
      </c>
      <c r="F295" s="1350">
        <v>164.4594860837534</v>
      </c>
      <c r="G295" s="1353">
        <v>165.18210345837548</v>
      </c>
      <c r="H295" s="507">
        <f t="shared" si="12"/>
        <v>155.26268391830112</v>
      </c>
      <c r="J295" s="924"/>
      <c r="K295" s="923"/>
    </row>
    <row r="296" spans="1:11">
      <c r="A296" s="49">
        <f t="shared" si="9"/>
        <v>2016.11</v>
      </c>
      <c r="B296" s="319">
        <v>144.93832064073018</v>
      </c>
      <c r="C296" s="1347">
        <v>145.73359812355213</v>
      </c>
      <c r="D296" s="1347">
        <v>145.35862988571148</v>
      </c>
      <c r="E296" s="518">
        <f t="shared" si="10"/>
        <v>162.61808956383297</v>
      </c>
      <c r="F296" s="1350">
        <v>164.4805097615419</v>
      </c>
      <c r="G296" s="1353">
        <v>166.22102859893053</v>
      </c>
      <c r="H296" s="507">
        <f t="shared" si="12"/>
        <v>156.23922013097516</v>
      </c>
      <c r="J296" s="924"/>
      <c r="K296" s="923"/>
    </row>
    <row r="297" spans="1:11">
      <c r="A297" s="49">
        <f t="shared" si="9"/>
        <v>2016.12</v>
      </c>
      <c r="B297" s="319">
        <v>142.59014516031914</v>
      </c>
      <c r="C297" s="1347">
        <v>147.04071309358241</v>
      </c>
      <c r="D297" s="1347">
        <v>145.81450424042424</v>
      </c>
      <c r="E297" s="518">
        <f t="shared" si="10"/>
        <v>163.1280931095655</v>
      </c>
      <c r="F297" s="1350">
        <v>161.68967641937229</v>
      </c>
      <c r="G297" s="1353">
        <v>168.90107268943041</v>
      </c>
      <c r="H297" s="507">
        <f t="shared" si="12"/>
        <v>158.75832377355135</v>
      </c>
      <c r="J297" s="924"/>
      <c r="K297" s="923"/>
    </row>
    <row r="298" spans="1:11">
      <c r="A298" s="49">
        <f t="shared" si="9"/>
        <v>2017.01</v>
      </c>
      <c r="B298" s="319">
        <v>136.6326594831618</v>
      </c>
      <c r="C298" s="1347">
        <v>147.26436412565565</v>
      </c>
      <c r="D298" s="1347">
        <v>146.35651799507153</v>
      </c>
      <c r="E298" s="518">
        <f t="shared" si="10"/>
        <v>163.73446399629827</v>
      </c>
      <c r="F298" s="1350">
        <v>163.36620556495805</v>
      </c>
      <c r="G298" s="1353">
        <v>170.82192922819902</v>
      </c>
      <c r="H298" s="507">
        <f t="shared" si="12"/>
        <v>160.56383015340194</v>
      </c>
      <c r="J298" s="924"/>
      <c r="K298" s="923"/>
    </row>
    <row r="299" spans="1:11">
      <c r="A299" s="49">
        <f t="shared" si="9"/>
        <v>2017.02</v>
      </c>
      <c r="B299" s="319">
        <v>132.15851633982248</v>
      </c>
      <c r="C299" s="1347">
        <v>146.93614051100593</v>
      </c>
      <c r="D299" s="1347">
        <v>146.96282305911214</v>
      </c>
      <c r="E299" s="518">
        <f t="shared" si="10"/>
        <v>164.41275995495366</v>
      </c>
      <c r="F299" s="1350">
        <v>150.8522453993678</v>
      </c>
      <c r="G299" s="1353">
        <v>166.57933759284526</v>
      </c>
      <c r="H299" s="507">
        <f t="shared" si="12"/>
        <v>156.57601216172495</v>
      </c>
      <c r="J299" s="924"/>
      <c r="K299" s="923"/>
    </row>
    <row r="300" spans="1:11">
      <c r="A300" s="49">
        <f t="shared" si="9"/>
        <v>2017.03</v>
      </c>
      <c r="B300" s="319">
        <v>152.62095855905704</v>
      </c>
      <c r="C300" s="1347">
        <v>147.90819766195702</v>
      </c>
      <c r="D300" s="1347">
        <v>147.61076402318034</v>
      </c>
      <c r="E300" s="518">
        <f t="shared" si="10"/>
        <v>165.13763553894731</v>
      </c>
      <c r="F300" s="1350">
        <v>172.38272908177822</v>
      </c>
      <c r="G300" s="1353">
        <v>171.95422946891406</v>
      </c>
      <c r="H300" s="507">
        <f t="shared" ref="H300:H328" si="13">G300*$H$9</f>
        <v>161.62813415906595</v>
      </c>
      <c r="J300" s="924"/>
      <c r="K300" s="923"/>
    </row>
    <row r="301" spans="1:11">
      <c r="A301" s="49">
        <f t="shared" si="9"/>
        <v>2017.04</v>
      </c>
      <c r="B301" s="319">
        <v>151.9463448044871</v>
      </c>
      <c r="C301" s="1347">
        <v>147.55572004506595</v>
      </c>
      <c r="D301" s="1347">
        <v>148.27582581382825</v>
      </c>
      <c r="E301" s="518">
        <f t="shared" si="10"/>
        <v>165.88166482652451</v>
      </c>
      <c r="F301" s="1350">
        <v>175.44626798302158</v>
      </c>
      <c r="G301" s="1353">
        <v>173.08307259728613</v>
      </c>
      <c r="H301" s="507">
        <f t="shared" si="13"/>
        <v>162.68918865688534</v>
      </c>
      <c r="J301" s="924"/>
      <c r="K301" s="923"/>
    </row>
    <row r="302" spans="1:11">
      <c r="A302" s="49">
        <f t="shared" si="9"/>
        <v>2017.05</v>
      </c>
      <c r="B302" s="319">
        <v>168.38920946936756</v>
      </c>
      <c r="C302" s="1347">
        <v>148.42903554116799</v>
      </c>
      <c r="D302" s="1347">
        <v>148.92955768875774</v>
      </c>
      <c r="E302" s="518">
        <f t="shared" si="10"/>
        <v>166.61301891724207</v>
      </c>
      <c r="F302" s="1350">
        <v>183.78650736303965</v>
      </c>
      <c r="G302" s="1353">
        <v>172.76267858262608</v>
      </c>
      <c r="H302" s="507">
        <f t="shared" si="13"/>
        <v>162.38803475712274</v>
      </c>
      <c r="J302" s="924"/>
      <c r="K302" s="923"/>
    </row>
    <row r="303" spans="1:11">
      <c r="A303" s="49">
        <f t="shared" si="9"/>
        <v>2017.06</v>
      </c>
      <c r="B303" s="319">
        <v>161.03568546945206</v>
      </c>
      <c r="C303" s="1347">
        <v>150.09560097270918</v>
      </c>
      <c r="D303" s="1347">
        <v>149.53942246050036</v>
      </c>
      <c r="E303" s="518">
        <f t="shared" si="10"/>
        <v>167.29529725290777</v>
      </c>
      <c r="F303" s="1350">
        <v>180.90096239211675</v>
      </c>
      <c r="G303" s="1353">
        <v>173.21805729922968</v>
      </c>
      <c r="H303" s="507">
        <f t="shared" si="13"/>
        <v>162.81606733606955</v>
      </c>
      <c r="J303" s="924"/>
      <c r="K303" s="923"/>
    </row>
    <row r="304" spans="1:11">
      <c r="A304" s="49">
        <f t="shared" si="9"/>
        <v>2017.07</v>
      </c>
      <c r="B304" s="319">
        <v>150.3060501239197</v>
      </c>
      <c r="C304" s="1347">
        <v>150.41042408420921</v>
      </c>
      <c r="D304" s="1347">
        <v>150.07056262990295</v>
      </c>
      <c r="E304" s="518">
        <f t="shared" si="10"/>
        <v>167.8895034566039</v>
      </c>
      <c r="F304" s="1350">
        <v>178.66684302950173</v>
      </c>
      <c r="G304" s="1353">
        <v>175.12789783063079</v>
      </c>
      <c r="H304" s="507">
        <f t="shared" si="13"/>
        <v>164.61121923541566</v>
      </c>
      <c r="J304" s="924"/>
      <c r="K304" s="923"/>
    </row>
    <row r="305" spans="1:12">
      <c r="A305" s="49">
        <f t="shared" si="9"/>
        <v>2017.08</v>
      </c>
      <c r="B305" s="319">
        <v>149.25534277384085</v>
      </c>
      <c r="C305" s="1347">
        <v>150.46107232690287</v>
      </c>
      <c r="D305" s="1347">
        <v>150.4880035837291</v>
      </c>
      <c r="E305" s="518">
        <f t="shared" si="10"/>
        <v>168.35651013154495</v>
      </c>
      <c r="F305" s="1350">
        <v>181.19630758079131</v>
      </c>
      <c r="G305" s="1353">
        <v>174.72838345106243</v>
      </c>
      <c r="H305" s="507">
        <f t="shared" si="13"/>
        <v>164.23569626084978</v>
      </c>
      <c r="J305" s="924"/>
      <c r="K305" s="923"/>
    </row>
    <row r="306" spans="1:12">
      <c r="A306" s="49">
        <f t="shared" si="9"/>
        <v>2017.09</v>
      </c>
      <c r="B306" s="319">
        <v>146.38655965775365</v>
      </c>
      <c r="C306" s="1347">
        <v>151.26983663109414</v>
      </c>
      <c r="D306" s="1347">
        <v>150.75938417169255</v>
      </c>
      <c r="E306" s="518">
        <f t="shared" si="10"/>
        <v>168.66011365886234</v>
      </c>
      <c r="F306" s="1350">
        <v>177.32600566345062</v>
      </c>
      <c r="G306" s="1353">
        <v>175.42295984023463</v>
      </c>
      <c r="H306" s="507">
        <f t="shared" si="13"/>
        <v>164.88856235294634</v>
      </c>
      <c r="J306" s="924"/>
      <c r="K306" s="923"/>
    </row>
    <row r="307" spans="1:12">
      <c r="A307" s="49">
        <f t="shared" si="9"/>
        <v>2017.1</v>
      </c>
      <c r="B307" s="319">
        <v>149.38594966601443</v>
      </c>
      <c r="C307" s="1347">
        <v>151.74688831144121</v>
      </c>
      <c r="D307" s="1347">
        <v>150.85936865092538</v>
      </c>
      <c r="E307" s="518">
        <f t="shared" si="10"/>
        <v>168.77197000348846</v>
      </c>
      <c r="F307" s="1350">
        <v>177.00200469546962</v>
      </c>
      <c r="G307" s="1353">
        <v>176.60648788326344</v>
      </c>
      <c r="H307" s="507">
        <f t="shared" si="13"/>
        <v>166.00101785875441</v>
      </c>
      <c r="J307" s="924"/>
      <c r="K307" s="923"/>
    </row>
    <row r="308" spans="1:12">
      <c r="A308" s="49">
        <f t="shared" si="9"/>
        <v>2017.11</v>
      </c>
      <c r="B308" s="319">
        <v>151.92604285202671</v>
      </c>
      <c r="C308" s="1347">
        <v>152.55318608116423</v>
      </c>
      <c r="D308" s="1347">
        <v>150.76638235823776</v>
      </c>
      <c r="E308" s="518">
        <f t="shared" si="10"/>
        <v>168.6679427896631</v>
      </c>
      <c r="F308" s="1350">
        <v>175.70063118460294</v>
      </c>
      <c r="G308" s="1353">
        <v>177.39140445254768</v>
      </c>
      <c r="H308" s="507">
        <f t="shared" si="13"/>
        <v>166.73879907504534</v>
      </c>
      <c r="J308" s="924"/>
      <c r="K308" s="923"/>
    </row>
    <row r="309" spans="1:12">
      <c r="A309" s="49">
        <f t="shared" si="9"/>
        <v>2017.12</v>
      </c>
      <c r="B309" s="319">
        <v>146.78338490922403</v>
      </c>
      <c r="C309" s="1347">
        <v>152.19623776281634</v>
      </c>
      <c r="D309" s="1347">
        <v>150.47126212982121</v>
      </c>
      <c r="E309" s="518">
        <f t="shared" si="10"/>
        <v>168.33778084623756</v>
      </c>
      <c r="F309" s="1350">
        <v>167.73649345003622</v>
      </c>
      <c r="G309" s="1353">
        <v>176.78157637228574</v>
      </c>
      <c r="H309" s="507">
        <f t="shared" si="13"/>
        <v>166.16559203573632</v>
      </c>
      <c r="J309" s="925"/>
      <c r="K309" s="923"/>
      <c r="L309" s="512"/>
    </row>
    <row r="310" spans="1:12" ht="14.25">
      <c r="A310" s="49">
        <f t="shared" si="9"/>
        <v>2018.01</v>
      </c>
      <c r="B310" s="319">
        <v>142.74091260617135</v>
      </c>
      <c r="C310" s="1347">
        <v>150.88945246661069</v>
      </c>
      <c r="D310" s="1347">
        <v>149.98177975534378</v>
      </c>
      <c r="E310" s="518">
        <f t="shared" si="10"/>
        <v>167.79017876251351</v>
      </c>
      <c r="F310" s="1350">
        <v>169.59183206235025</v>
      </c>
      <c r="G310" s="1353">
        <v>175.32512013265054</v>
      </c>
      <c r="H310" s="507">
        <f>G310*$H$9</f>
        <v>164.79659805853888</v>
      </c>
      <c r="J310" s="927"/>
      <c r="K310" s="928"/>
    </row>
    <row r="311" spans="1:12" ht="14.25">
      <c r="A311" s="49">
        <f t="shared" si="9"/>
        <v>2018.02</v>
      </c>
      <c r="B311" s="319">
        <v>138.81804035165689</v>
      </c>
      <c r="C311" s="1347">
        <v>151.88998158050904</v>
      </c>
      <c r="D311" s="1347">
        <v>149.32072916255891</v>
      </c>
      <c r="E311" s="518">
        <f t="shared" si="10"/>
        <v>167.05063695073227</v>
      </c>
      <c r="F311" s="1350">
        <v>159.70574761360294</v>
      </c>
      <c r="G311" s="1353">
        <v>175.71898829162046</v>
      </c>
      <c r="H311" s="507">
        <f t="shared" si="13"/>
        <v>165.16681387605959</v>
      </c>
      <c r="J311" s="927"/>
      <c r="K311" s="928"/>
    </row>
    <row r="312" spans="1:12" ht="14.25">
      <c r="A312" s="49">
        <f t="shared" si="9"/>
        <v>2018.03</v>
      </c>
      <c r="B312" s="319">
        <v>155.85731953577033</v>
      </c>
      <c r="C312" s="1347">
        <v>151.22251444127843</v>
      </c>
      <c r="D312" s="1347">
        <v>148.52435786360866</v>
      </c>
      <c r="E312" s="518">
        <f t="shared" si="10"/>
        <v>166.15970684688787</v>
      </c>
      <c r="F312" s="1350">
        <v>176.61958455926074</v>
      </c>
      <c r="G312" s="1353">
        <v>178.65409030700513</v>
      </c>
      <c r="H312" s="507">
        <f t="shared" si="13"/>
        <v>167.92565885346039</v>
      </c>
      <c r="J312" s="927"/>
      <c r="K312" s="928"/>
    </row>
    <row r="313" spans="1:12" ht="14.25">
      <c r="A313" s="49">
        <f t="shared" si="9"/>
        <v>2018.04</v>
      </c>
      <c r="B313" s="319">
        <v>151.52454398394588</v>
      </c>
      <c r="C313" s="1347">
        <v>146.71214733219225</v>
      </c>
      <c r="D313" s="1347">
        <v>147.63698092783241</v>
      </c>
      <c r="E313" s="518">
        <f t="shared" si="10"/>
        <v>165.16696536237882</v>
      </c>
      <c r="F313" s="1350">
        <v>173.9970493503431</v>
      </c>
      <c r="G313" s="1353">
        <v>170.21429411864273</v>
      </c>
      <c r="H313" s="507">
        <f>G313*$H$9</f>
        <v>159.99268439379804</v>
      </c>
      <c r="J313" s="927"/>
      <c r="K313" s="928"/>
    </row>
    <row r="314" spans="1:12" ht="14.25">
      <c r="A314" s="49">
        <f t="shared" si="9"/>
        <v>2018.05</v>
      </c>
      <c r="B314" s="319">
        <v>159.56669237791758</v>
      </c>
      <c r="C314" s="1347">
        <v>144.59985639559491</v>
      </c>
      <c r="D314" s="1347">
        <v>146.710988217688</v>
      </c>
      <c r="E314" s="518">
        <f t="shared" si="10"/>
        <v>164.13102297910157</v>
      </c>
      <c r="F314" s="1350">
        <v>178.25633117532331</v>
      </c>
      <c r="G314" s="1353">
        <v>167.70388145703413</v>
      </c>
      <c r="H314" s="507">
        <f t="shared" si="13"/>
        <v>157.63302557227169</v>
      </c>
      <c r="J314" s="927"/>
      <c r="K314" s="928"/>
    </row>
    <row r="315" spans="1:12" ht="14.25">
      <c r="A315" s="49">
        <f t="shared" si="9"/>
        <v>2018.06</v>
      </c>
      <c r="B315" s="319">
        <v>151.12576323345104</v>
      </c>
      <c r="C315" s="1347">
        <v>143.42380935071938</v>
      </c>
      <c r="D315" s="1347">
        <v>145.80064431597435</v>
      </c>
      <c r="E315" s="518">
        <f t="shared" si="10"/>
        <v>163.11258749811807</v>
      </c>
      <c r="F315" s="1350">
        <v>171.45969954572112</v>
      </c>
      <c r="G315" s="1353">
        <v>165.10829217786727</v>
      </c>
      <c r="H315" s="507">
        <f t="shared" si="13"/>
        <v>155.19330510985145</v>
      </c>
      <c r="J315" s="927"/>
      <c r="K315" s="928"/>
    </row>
    <row r="316" spans="1:12" ht="14.25">
      <c r="A316" s="49">
        <f t="shared" si="9"/>
        <v>2018.07</v>
      </c>
      <c r="B316" s="319">
        <v>145.96352442999188</v>
      </c>
      <c r="C316" s="1347">
        <v>143.89756751734555</v>
      </c>
      <c r="D316" s="1347">
        <v>144.95589097745682</v>
      </c>
      <c r="E316" s="518">
        <f t="shared" si="10"/>
        <v>162.16753061246635</v>
      </c>
      <c r="F316" s="1350">
        <v>174.32658370702748</v>
      </c>
      <c r="G316" s="1353">
        <v>169.99951058963336</v>
      </c>
      <c r="H316" s="507">
        <f t="shared" si="13"/>
        <v>159.79079892026766</v>
      </c>
      <c r="J316" s="927"/>
      <c r="K316" s="928"/>
    </row>
    <row r="317" spans="1:12" ht="14.25">
      <c r="A317" s="49">
        <f t="shared" si="9"/>
        <v>2018.08</v>
      </c>
      <c r="B317" s="319">
        <v>146.76596003413417</v>
      </c>
      <c r="C317" s="1347">
        <v>146.73643883476336</v>
      </c>
      <c r="D317" s="1347">
        <v>144.22101234337245</v>
      </c>
      <c r="E317" s="518">
        <f t="shared" si="10"/>
        <v>161.34539463312998</v>
      </c>
      <c r="F317" s="1350">
        <v>176.37633479480749</v>
      </c>
      <c r="G317" s="1353">
        <v>169.6045859026537</v>
      </c>
      <c r="H317" s="507">
        <f>G317*$H$9</f>
        <v>159.41959002074236</v>
      </c>
      <c r="J317" s="927"/>
      <c r="K317" s="928"/>
    </row>
    <row r="318" spans="1:12" ht="14.25">
      <c r="A318" s="49">
        <f t="shared" ref="A318:A381" si="14">A306+1</f>
        <v>2018.09</v>
      </c>
      <c r="B318" s="319">
        <v>137.74656971866543</v>
      </c>
      <c r="C318" s="1347">
        <v>143.28739963386664</v>
      </c>
      <c r="D318" s="1347">
        <v>143.62635527568119</v>
      </c>
      <c r="E318" s="518">
        <f t="shared" si="10"/>
        <v>160.68012971993141</v>
      </c>
      <c r="F318" s="1350">
        <v>167.53482986845583</v>
      </c>
      <c r="G318" s="1353">
        <v>167.74111135140689</v>
      </c>
      <c r="H318" s="507">
        <f t="shared" si="13"/>
        <v>157.66801975869555</v>
      </c>
      <c r="J318" s="927"/>
      <c r="K318" s="928"/>
    </row>
    <row r="319" spans="1:12" ht="14.25">
      <c r="A319" s="49">
        <f t="shared" si="14"/>
        <v>2018.1</v>
      </c>
      <c r="B319" s="319">
        <v>142.84327598462374</v>
      </c>
      <c r="C319" s="1347">
        <v>143.60925716316294</v>
      </c>
      <c r="D319" s="1347">
        <v>143.18529758915886</v>
      </c>
      <c r="E319" s="518">
        <f t="shared" si="10"/>
        <v>160.18670213034764</v>
      </c>
      <c r="F319" s="1350">
        <v>167.63457359091464</v>
      </c>
      <c r="G319" s="1354">
        <v>165.58099460700117</v>
      </c>
      <c r="H319" s="507">
        <f t="shared" si="13"/>
        <v>155.63762108782618</v>
      </c>
      <c r="J319" s="927"/>
      <c r="K319" s="928"/>
    </row>
    <row r="320" spans="1:12" ht="14.25">
      <c r="A320" s="49">
        <f t="shared" si="14"/>
        <v>2018.11</v>
      </c>
      <c r="B320" s="319">
        <v>140.59240732535912</v>
      </c>
      <c r="C320" s="1347">
        <v>141.62850219306941</v>
      </c>
      <c r="D320" s="1347">
        <v>142.89855605269904</v>
      </c>
      <c r="E320" s="518">
        <f t="shared" si="10"/>
        <v>159.86591374031977</v>
      </c>
      <c r="F320" s="1350">
        <v>162.60694245818701</v>
      </c>
      <c r="G320" s="1354">
        <v>164.05162002940028</v>
      </c>
      <c r="H320" s="507">
        <f t="shared" si="13"/>
        <v>154.20008762225572</v>
      </c>
      <c r="J320" s="927"/>
      <c r="K320" s="928"/>
    </row>
    <row r="321" spans="1:12" ht="14.25">
      <c r="A321" s="49">
        <f t="shared" si="14"/>
        <v>2018.12</v>
      </c>
      <c r="B321" s="319">
        <v>136.25161596897593</v>
      </c>
      <c r="C321" s="1347">
        <v>141.89969858999132</v>
      </c>
      <c r="D321" s="1347">
        <v>142.75387239352736</v>
      </c>
      <c r="E321" s="518">
        <f t="shared" si="10"/>
        <v>159.70405076552356</v>
      </c>
      <c r="F321" s="1350">
        <v>155.80000000000001</v>
      </c>
      <c r="G321" s="1354">
        <v>164.05</v>
      </c>
      <c r="H321" s="507">
        <f t="shared" si="13"/>
        <v>154.19856487791813</v>
      </c>
      <c r="J321" s="1011"/>
      <c r="K321" s="928"/>
      <c r="L321" s="926"/>
    </row>
    <row r="322" spans="1:12">
      <c r="A322" s="49">
        <f t="shared" si="14"/>
        <v>2019.01</v>
      </c>
      <c r="B322" s="319">
        <v>134.53623985644003</v>
      </c>
      <c r="C322" s="1347">
        <v>142.01071401366488</v>
      </c>
      <c r="D322" s="1347">
        <v>142.72451663103479</v>
      </c>
      <c r="E322" s="518">
        <f t="shared" si="10"/>
        <v>159.67120938542811</v>
      </c>
      <c r="F322" s="1350">
        <v>158.5</v>
      </c>
      <c r="G322" s="1347">
        <v>163.76</v>
      </c>
      <c r="H322" s="507">
        <f t="shared" si="13"/>
        <v>153.92597978913668</v>
      </c>
      <c r="J322" s="1010"/>
      <c r="K322" s="1010"/>
    </row>
    <row r="323" spans="1:12">
      <c r="A323" s="49">
        <f t="shared" si="14"/>
        <v>2019.02</v>
      </c>
      <c r="B323" s="319">
        <v>132.26788861262864</v>
      </c>
      <c r="C323" s="1347">
        <v>144.20910666912408</v>
      </c>
      <c r="D323" s="1347">
        <v>142.77503582790547</v>
      </c>
      <c r="E323" s="518">
        <f t="shared" si="10"/>
        <v>159.72772708436258</v>
      </c>
      <c r="F323" s="1350">
        <v>150.4</v>
      </c>
      <c r="G323" s="1347">
        <v>165.17</v>
      </c>
      <c r="H323" s="507">
        <f t="shared" si="13"/>
        <v>155.2513072897637</v>
      </c>
    </row>
    <row r="324" spans="1:12">
      <c r="A324" s="49">
        <f t="shared" si="14"/>
        <v>2019.03</v>
      </c>
      <c r="B324" s="319">
        <v>144.96325495611205</v>
      </c>
      <c r="C324" s="1347">
        <v>142.28804655642602</v>
      </c>
      <c r="D324" s="1347">
        <v>142.86664167193538</v>
      </c>
      <c r="E324" s="518">
        <f>D324*$E$9</f>
        <v>159.83020993908363</v>
      </c>
      <c r="F324" s="1350">
        <v>162.1</v>
      </c>
      <c r="G324" s="1347">
        <v>166.05</v>
      </c>
      <c r="H324" s="507">
        <f>G324*$H$9</f>
        <v>156.07846204192811</v>
      </c>
    </row>
    <row r="325" spans="1:12">
      <c r="A325" s="49">
        <f t="shared" si="14"/>
        <v>2019.04</v>
      </c>
      <c r="B325" s="319">
        <v>149.91622140467953</v>
      </c>
      <c r="C325" s="1347">
        <v>142.43364873517922</v>
      </c>
      <c r="D325" s="1347">
        <v>142.95581791857683</v>
      </c>
      <c r="E325" s="518">
        <f t="shared" si="10"/>
        <v>159.92997471310983</v>
      </c>
      <c r="F325" s="1350">
        <v>171.2</v>
      </c>
      <c r="G325" s="1347">
        <v>166.3</v>
      </c>
      <c r="H325" s="507">
        <f t="shared" si="13"/>
        <v>156.31344918742937</v>
      </c>
    </row>
    <row r="326" spans="1:12">
      <c r="A326" s="49">
        <f t="shared" si="14"/>
        <v>2019.05</v>
      </c>
      <c r="B326" s="319">
        <v>164.13569907640783</v>
      </c>
      <c r="C326" s="1347">
        <v>144.44738887720627</v>
      </c>
      <c r="D326" s="1347">
        <v>143.00341847325677</v>
      </c>
      <c r="E326" s="518">
        <f t="shared" si="10"/>
        <v>159.98322721879399</v>
      </c>
      <c r="F326" s="1350">
        <v>178.4</v>
      </c>
      <c r="G326" s="1347">
        <v>168.4</v>
      </c>
      <c r="H326" s="507">
        <f t="shared" si="13"/>
        <v>158.28734120963983</v>
      </c>
    </row>
    <row r="327" spans="1:12">
      <c r="A327" s="49">
        <f t="shared" si="14"/>
        <v>2019.06</v>
      </c>
      <c r="B327" s="319">
        <v>150.85897173948607</v>
      </c>
      <c r="C327" s="1347">
        <v>143.7283662484237</v>
      </c>
      <c r="D327" s="1347">
        <v>142.97552561315632</v>
      </c>
      <c r="E327" s="518">
        <f t="shared" si="10"/>
        <v>159.95202244185316</v>
      </c>
      <c r="F327" s="2282">
        <v>173.2</v>
      </c>
      <c r="G327" s="2283">
        <v>167.82</v>
      </c>
      <c r="H327" s="507">
        <f t="shared" si="13"/>
        <v>157.74217103207693</v>
      </c>
    </row>
    <row r="328" spans="1:12">
      <c r="A328" s="49">
        <f t="shared" si="14"/>
        <v>2019.07</v>
      </c>
      <c r="B328" s="319">
        <v>146.7770296348292</v>
      </c>
      <c r="C328" s="1347">
        <v>145.64214142248608</v>
      </c>
      <c r="D328" s="1347">
        <v>142.84304360867696</v>
      </c>
      <c r="E328" s="518">
        <f t="shared" si="10"/>
        <v>159.80380991063325</v>
      </c>
      <c r="F328" s="1595">
        <v>170.6</v>
      </c>
      <c r="G328" s="1347">
        <v>165.97</v>
      </c>
      <c r="H328" s="507">
        <f t="shared" si="13"/>
        <v>156.0032661553677</v>
      </c>
    </row>
    <row r="329" spans="1:12">
      <c r="A329" s="49">
        <f t="shared" si="14"/>
        <v>2019.08</v>
      </c>
      <c r="B329" s="319">
        <v>141.27693467863085</v>
      </c>
      <c r="C329" s="1347">
        <v>144.70915247484675</v>
      </c>
      <c r="D329" s="1347">
        <v>142.5886015734574</v>
      </c>
      <c r="E329" s="518">
        <f t="shared" si="10"/>
        <v>159.51915617040007</v>
      </c>
      <c r="F329" s="1595">
        <v>168.8</v>
      </c>
      <c r="G329" s="1347">
        <v>164.36</v>
      </c>
      <c r="H329" s="507">
        <f>G329*$H$9</f>
        <v>154.48994893833969</v>
      </c>
    </row>
    <row r="330" spans="1:12">
      <c r="A330" s="49">
        <f t="shared" si="14"/>
        <v>2019.09</v>
      </c>
      <c r="B330" s="319">
        <v>134.87706648738629</v>
      </c>
      <c r="C330" s="1347">
        <v>140.62047644449532</v>
      </c>
      <c r="D330" s="1347">
        <v>142.20659145306399</v>
      </c>
      <c r="E330" s="518">
        <f t="shared" ref="E330:E374" si="15">D330*$E$9</f>
        <v>159.09178728269612</v>
      </c>
      <c r="F330" s="1595">
        <v>163.5</v>
      </c>
      <c r="G330" s="1347">
        <v>162.37</v>
      </c>
      <c r="H330" s="507">
        <f t="shared" ref="H330:H393" si="16">G330*$H$9</f>
        <v>152.61945126014976</v>
      </c>
    </row>
    <row r="331" spans="1:12">
      <c r="A331" s="49">
        <f t="shared" si="14"/>
        <v>2019.1</v>
      </c>
      <c r="B331" s="319">
        <v>141.63933664075037</v>
      </c>
      <c r="C331" s="1347">
        <v>143.8213810728393</v>
      </c>
      <c r="D331" s="1347">
        <v>141.70247375396633</v>
      </c>
      <c r="E331" s="518">
        <f t="shared" si="15"/>
        <v>158.52781211860002</v>
      </c>
      <c r="F331" s="1595">
        <v>165</v>
      </c>
      <c r="G331" s="1347">
        <v>162.11000000000001</v>
      </c>
      <c r="H331" s="507">
        <f t="shared" si="16"/>
        <v>152.37506462882848</v>
      </c>
    </row>
    <row r="332" spans="1:12">
      <c r="A332" s="49">
        <f t="shared" si="14"/>
        <v>2019.11</v>
      </c>
      <c r="B332" s="319">
        <v>137.77182967933709</v>
      </c>
      <c r="C332" s="1347">
        <v>140.87674352953698</v>
      </c>
      <c r="D332" s="1347">
        <v>141.09262284355799</v>
      </c>
      <c r="E332" s="518">
        <f t="shared" si="15"/>
        <v>157.84554929012302</v>
      </c>
      <c r="F332" s="1595">
        <v>159.30000000000001</v>
      </c>
      <c r="G332" s="1347">
        <v>158.03</v>
      </c>
      <c r="H332" s="507">
        <f t="shared" si="16"/>
        <v>148.54007441424812</v>
      </c>
    </row>
    <row r="333" spans="1:12">
      <c r="A333" s="49">
        <f t="shared" si="14"/>
        <v>2019.12</v>
      </c>
      <c r="B333" s="319">
        <v>135.76515449389197</v>
      </c>
      <c r="C333" s="1347">
        <v>139.99846116582034</v>
      </c>
      <c r="D333" s="1347">
        <v>140.40603891611462</v>
      </c>
      <c r="E333" s="518">
        <f t="shared" si="15"/>
        <v>157.07744239001079</v>
      </c>
      <c r="F333" s="1595">
        <v>151.9</v>
      </c>
      <c r="G333" s="1347">
        <v>158.47999999999999</v>
      </c>
      <c r="H333" s="507">
        <f t="shared" si="16"/>
        <v>148.96305127615034</v>
      </c>
    </row>
    <row r="334" spans="1:12">
      <c r="A334" s="49">
        <f t="shared" si="14"/>
        <v>2020.01</v>
      </c>
      <c r="B334" s="319">
        <v>133.89108598206295</v>
      </c>
      <c r="C334" s="1347">
        <v>140.81870710370765</v>
      </c>
      <c r="D334" s="1347">
        <v>139.67328768476332</v>
      </c>
      <c r="E334" s="518">
        <f t="shared" si="15"/>
        <v>156.25768641500207</v>
      </c>
      <c r="F334" s="1595">
        <v>152.6</v>
      </c>
      <c r="G334" s="1347">
        <v>157.31</v>
      </c>
      <c r="H334" s="507">
        <f>G334*$H$9</f>
        <v>147.86331143520454</v>
      </c>
      <c r="J334" s="512"/>
    </row>
    <row r="335" spans="1:12">
      <c r="A335" s="49">
        <f t="shared" si="14"/>
        <v>2020.02</v>
      </c>
      <c r="B335" s="319">
        <v>128.97363870127904</v>
      </c>
      <c r="C335" s="1347">
        <v>139.19402473883881</v>
      </c>
      <c r="D335" s="1347">
        <v>138.93029195933681</v>
      </c>
      <c r="E335" s="518">
        <f t="shared" si="15"/>
        <v>155.42646954457646</v>
      </c>
      <c r="F335" s="1595">
        <v>145.1</v>
      </c>
      <c r="G335" s="1347">
        <v>159.30000000000001</v>
      </c>
      <c r="H335" s="507">
        <f t="shared" si="16"/>
        <v>149.73380911339444</v>
      </c>
      <c r="J335" s="512"/>
      <c r="K335" s="512"/>
    </row>
    <row r="336" spans="1:12">
      <c r="A336" s="49">
        <f t="shared" si="14"/>
        <v>2020.03</v>
      </c>
      <c r="B336" s="319">
        <v>128.21106089308449</v>
      </c>
      <c r="C336" s="1347">
        <v>125.47050102337064</v>
      </c>
      <c r="D336" s="1347">
        <v>138.21536828005381</v>
      </c>
      <c r="E336" s="518">
        <f t="shared" si="15"/>
        <v>154.62665791316277</v>
      </c>
      <c r="F336" s="1595">
        <v>146.5</v>
      </c>
      <c r="G336" s="1347">
        <v>148.47</v>
      </c>
      <c r="H336" s="507">
        <f t="shared" si="16"/>
        <v>139.55416597028042</v>
      </c>
      <c r="J336" s="512"/>
      <c r="K336" s="512"/>
    </row>
    <row r="337" spans="1:11">
      <c r="A337" s="49">
        <f t="shared" si="14"/>
        <v>2020.04</v>
      </c>
      <c r="B337" s="319">
        <v>113.29503493273303</v>
      </c>
      <c r="C337" s="1347">
        <v>106.07255894771183</v>
      </c>
      <c r="D337" s="1347">
        <v>137.56584647495447</v>
      </c>
      <c r="E337" s="518">
        <f t="shared" si="15"/>
        <v>153.90001378368555</v>
      </c>
      <c r="F337" s="1350">
        <v>133</v>
      </c>
      <c r="G337" s="1347">
        <v>130.41999999999999</v>
      </c>
      <c r="H337" s="507">
        <f t="shared" si="16"/>
        <v>122.5880940650904</v>
      </c>
      <c r="J337" s="512"/>
      <c r="K337" s="512"/>
    </row>
    <row r="338" spans="1:11">
      <c r="A338" s="49">
        <f t="shared" si="14"/>
        <v>2020.05</v>
      </c>
      <c r="B338" s="319">
        <v>131.02956940260768</v>
      </c>
      <c r="C338" s="1347">
        <v>117.54629999638699</v>
      </c>
      <c r="D338" s="1347">
        <v>137.01655044677756</v>
      </c>
      <c r="E338" s="518">
        <f t="shared" si="15"/>
        <v>153.2854959475078</v>
      </c>
      <c r="F338" s="1350">
        <v>145.5</v>
      </c>
      <c r="G338" s="1347">
        <v>140.04</v>
      </c>
      <c r="H338" s="507">
        <f t="shared" si="16"/>
        <v>131.63039942397839</v>
      </c>
    </row>
    <row r="339" spans="1:11">
      <c r="A339" s="49">
        <f t="shared" si="14"/>
        <v>2020.06</v>
      </c>
      <c r="B339" s="319">
        <v>132.52196457429679</v>
      </c>
      <c r="C339" s="1347">
        <v>124.82999331404045</v>
      </c>
      <c r="D339" s="1347">
        <v>136.59415542819158</v>
      </c>
      <c r="E339" s="518">
        <f t="shared" si="15"/>
        <v>152.81294697660914</v>
      </c>
      <c r="F339" s="1350">
        <v>154.30000000000001</v>
      </c>
      <c r="G339" s="1347">
        <v>147.04</v>
      </c>
      <c r="H339" s="507">
        <f t="shared" si="16"/>
        <v>138.21003949801329</v>
      </c>
    </row>
    <row r="340" spans="1:11">
      <c r="A340" s="49">
        <f t="shared" si="14"/>
        <v>2020.07</v>
      </c>
      <c r="B340" s="319">
        <v>127.46368726437693</v>
      </c>
      <c r="C340" s="1347">
        <v>126.40843420560749</v>
      </c>
      <c r="D340" s="1347">
        <v>136.31751808004185</v>
      </c>
      <c r="E340" s="518">
        <f t="shared" si="15"/>
        <v>152.50346251673577</v>
      </c>
      <c r="F340" s="1350">
        <v>151.1</v>
      </c>
      <c r="G340" s="1347">
        <v>147.99</v>
      </c>
      <c r="H340" s="507">
        <f t="shared" si="16"/>
        <v>139.10299065091806</v>
      </c>
    </row>
    <row r="341" spans="1:11">
      <c r="A341" s="49">
        <f t="shared" si="14"/>
        <v>2020.08</v>
      </c>
      <c r="B341" s="319">
        <v>125.18389283018553</v>
      </c>
      <c r="C341" s="1347">
        <v>129.00969240334334</v>
      </c>
      <c r="D341" s="1347">
        <v>136.19800734533027</v>
      </c>
      <c r="E341" s="518">
        <f t="shared" si="15"/>
        <v>152.36976142601657</v>
      </c>
      <c r="F341" s="1350">
        <v>152.6</v>
      </c>
      <c r="G341" s="1347">
        <v>150.83000000000001</v>
      </c>
      <c r="H341" s="507">
        <f t="shared" si="16"/>
        <v>141.77244462381222</v>
      </c>
    </row>
    <row r="342" spans="1:11">
      <c r="A342" s="49">
        <f t="shared" si="14"/>
        <v>2020.09</v>
      </c>
      <c r="B342" s="319">
        <v>127.17507922843011</v>
      </c>
      <c r="C342" s="1347">
        <v>131.05987408811933</v>
      </c>
      <c r="D342" s="1347">
        <v>136.23603235710621</v>
      </c>
      <c r="E342" s="518">
        <f t="shared" si="15"/>
        <v>152.4123014167657</v>
      </c>
      <c r="F342" s="1350">
        <v>154.9</v>
      </c>
      <c r="G342" s="1347">
        <v>152.85</v>
      </c>
      <c r="H342" s="507">
        <f t="shared" si="16"/>
        <v>143.67114075946228</v>
      </c>
    </row>
    <row r="343" spans="1:11">
      <c r="A343" s="49">
        <f t="shared" si="14"/>
        <v>2020.1</v>
      </c>
      <c r="B343" s="319">
        <v>131.34551188332574</v>
      </c>
      <c r="C343" s="1347">
        <v>133.33615192932689</v>
      </c>
      <c r="D343" s="1347">
        <v>136.42431673013778</v>
      </c>
      <c r="E343" s="518">
        <f t="shared" si="15"/>
        <v>152.62294212699524</v>
      </c>
      <c r="F343" s="1350">
        <v>157.6</v>
      </c>
      <c r="G343" s="1347">
        <v>155.88999999999999</v>
      </c>
      <c r="H343" s="507">
        <f t="shared" si="16"/>
        <v>146.52858444875741</v>
      </c>
    </row>
    <row r="344" spans="1:11">
      <c r="A344" s="49">
        <f t="shared" si="14"/>
        <v>2020.11</v>
      </c>
      <c r="B344" s="319">
        <v>132.06865946362606</v>
      </c>
      <c r="C344" s="1347">
        <v>134.63592296483458</v>
      </c>
      <c r="D344" s="1347">
        <v>136.75065238432623</v>
      </c>
      <c r="E344" s="518">
        <f t="shared" si="15"/>
        <v>152.98802592478842</v>
      </c>
      <c r="F344" s="1350">
        <v>161.1</v>
      </c>
      <c r="G344" s="1347">
        <v>160.44999999999999</v>
      </c>
      <c r="H344" s="507">
        <f t="shared" si="16"/>
        <v>150.81474998270016</v>
      </c>
    </row>
    <row r="345" spans="1:11">
      <c r="A345" s="49">
        <f t="shared" si="14"/>
        <v>2020.12</v>
      </c>
      <c r="B345" s="319">
        <v>133.85435139517816</v>
      </c>
      <c r="C345" s="1347">
        <v>136.63137579035393</v>
      </c>
      <c r="D345" s="1347">
        <v>137.19933941797663</v>
      </c>
      <c r="E345" s="518">
        <f t="shared" si="15"/>
        <v>153.48998874792221</v>
      </c>
      <c r="F345" s="1350">
        <v>151.9</v>
      </c>
      <c r="G345" s="1347">
        <v>156.57</v>
      </c>
      <c r="H345" s="507">
        <f t="shared" si="16"/>
        <v>147.16774948452081</v>
      </c>
    </row>
    <row r="346" spans="1:11" s="693" customFormat="1">
      <c r="A346" s="49">
        <f t="shared" si="14"/>
        <v>2021.01</v>
      </c>
      <c r="B346" s="319">
        <v>131.78733975131649</v>
      </c>
      <c r="C346" s="1347">
        <v>140.1524167907404</v>
      </c>
      <c r="D346" s="1347">
        <v>137.75372940732098</v>
      </c>
      <c r="E346" s="518">
        <f t="shared" si="15"/>
        <v>154.1102053873565</v>
      </c>
      <c r="F346" s="1350">
        <v>155.4</v>
      </c>
      <c r="G346" s="1347">
        <v>162.85</v>
      </c>
      <c r="H346" s="507">
        <f t="shared" si="16"/>
        <v>153.07062657951215</v>
      </c>
    </row>
    <row r="347" spans="1:11">
      <c r="A347" s="49">
        <f t="shared" si="14"/>
        <v>2021.02</v>
      </c>
      <c r="B347" s="319">
        <v>126.50509025273392</v>
      </c>
      <c r="C347" s="1347">
        <v>138.05646135840161</v>
      </c>
      <c r="D347" s="1347">
        <v>138.39773669127894</v>
      </c>
      <c r="E347" s="518">
        <f t="shared" si="15"/>
        <v>154.8306802175388</v>
      </c>
      <c r="F347" s="1350">
        <v>146.30000000000001</v>
      </c>
      <c r="G347" s="1347">
        <v>159.75</v>
      </c>
      <c r="H347" s="507">
        <f t="shared" si="16"/>
        <v>150.15678597529669</v>
      </c>
    </row>
    <row r="348" spans="1:11">
      <c r="A348" s="49">
        <f t="shared" si="14"/>
        <v>2021.03</v>
      </c>
      <c r="B348" s="319">
        <v>146.22281051147746</v>
      </c>
      <c r="C348" s="1347">
        <v>140.69499998098166</v>
      </c>
      <c r="D348" s="1347">
        <v>139.11683195781484</v>
      </c>
      <c r="E348" s="518">
        <f t="shared" si="15"/>
        <v>155.6351587583066</v>
      </c>
      <c r="F348" s="1350">
        <v>164</v>
      </c>
      <c r="G348" s="1347">
        <v>165.25</v>
      </c>
      <c r="H348" s="507">
        <f t="shared" si="16"/>
        <v>155.32650317632411</v>
      </c>
    </row>
    <row r="349" spans="1:11">
      <c r="A349" s="49">
        <f t="shared" si="14"/>
        <v>2021.04</v>
      </c>
      <c r="B349" s="319">
        <v>147.33268272241989</v>
      </c>
      <c r="C349" s="1347">
        <v>139.59603766224276</v>
      </c>
      <c r="D349" s="1347">
        <v>139.89888697667948</v>
      </c>
      <c r="E349" s="518">
        <f t="shared" si="15"/>
        <v>156.51007270873092</v>
      </c>
      <c r="F349" s="1350">
        <v>167.1</v>
      </c>
      <c r="G349" s="1347">
        <v>163.35</v>
      </c>
      <c r="H349" s="507">
        <f t="shared" si="16"/>
        <v>153.54060087051462</v>
      </c>
    </row>
    <row r="350" spans="1:11">
      <c r="A350" s="49">
        <f t="shared" si="14"/>
        <v>2021.05</v>
      </c>
      <c r="B350" s="319">
        <v>151.22120902864745</v>
      </c>
      <c r="C350" s="1347">
        <v>139.08944466865026</v>
      </c>
      <c r="D350" s="1347">
        <v>140.73308622162062</v>
      </c>
      <c r="E350" s="518">
        <f t="shared" si="15"/>
        <v>157.44332233852296</v>
      </c>
      <c r="F350" s="1350">
        <v>164.6</v>
      </c>
      <c r="G350" s="1347">
        <v>160.31</v>
      </c>
      <c r="H350" s="507">
        <f t="shared" si="16"/>
        <v>150.68315718121949</v>
      </c>
    </row>
    <row r="351" spans="1:11">
      <c r="A351" s="49">
        <f t="shared" si="14"/>
        <v>2021.06</v>
      </c>
      <c r="B351" s="319">
        <v>149.03147433601504</v>
      </c>
      <c r="C351" s="1347">
        <v>141.65153958220378</v>
      </c>
      <c r="D351" s="1347">
        <v>141.60769307431107</v>
      </c>
      <c r="E351" s="518">
        <f t="shared" si="15"/>
        <v>158.42177745753298</v>
      </c>
      <c r="F351" s="1350">
        <v>169.8</v>
      </c>
      <c r="G351" s="1347">
        <v>162.9</v>
      </c>
      <c r="H351" s="507">
        <f t="shared" si="16"/>
        <v>153.11762400861241</v>
      </c>
      <c r="J351"/>
    </row>
    <row r="352" spans="1:11">
      <c r="A352" s="49">
        <f t="shared" si="14"/>
        <v>2021.07</v>
      </c>
      <c r="B352" s="319">
        <v>142.61204346641841</v>
      </c>
      <c r="C352" s="1347">
        <v>141.96377472218168</v>
      </c>
      <c r="D352" s="1347">
        <v>142.51408512949428</v>
      </c>
      <c r="E352" s="518">
        <f t="shared" si="15"/>
        <v>159.4357918612572</v>
      </c>
      <c r="F352" s="1350">
        <v>162.1</v>
      </c>
      <c r="G352" s="1347">
        <v>159.74</v>
      </c>
      <c r="H352" s="507">
        <f t="shared" si="16"/>
        <v>150.14738648947665</v>
      </c>
    </row>
    <row r="353" spans="1:10">
      <c r="A353" s="49">
        <f t="shared" si="14"/>
        <v>2021.08</v>
      </c>
      <c r="B353" s="319">
        <v>141.16093085583523</v>
      </c>
      <c r="C353" s="1347">
        <v>143.68452485617593</v>
      </c>
      <c r="D353" s="1347">
        <v>143.44613169475528</v>
      </c>
      <c r="E353" s="518">
        <f t="shared" si="15"/>
        <v>160.47850691674753</v>
      </c>
      <c r="F353" s="1350">
        <v>165.1</v>
      </c>
      <c r="G353" s="1347">
        <v>162.53</v>
      </c>
      <c r="H353" s="507">
        <f t="shared" si="16"/>
        <v>152.76984303327055</v>
      </c>
    </row>
    <row r="354" spans="1:10">
      <c r="A354" s="49">
        <f t="shared" si="14"/>
        <v>2021.09</v>
      </c>
      <c r="B354" s="319">
        <v>141.481894314936</v>
      </c>
      <c r="C354" s="1347">
        <v>144.66659038717657</v>
      </c>
      <c r="D354" s="1347">
        <v>144.39157225932954</v>
      </c>
      <c r="E354" s="518">
        <f t="shared" si="15"/>
        <v>161.5362063359571</v>
      </c>
      <c r="F354" s="1350">
        <v>167.9</v>
      </c>
      <c r="G354" s="1347">
        <v>165.09</v>
      </c>
      <c r="H354" s="507">
        <f t="shared" si="16"/>
        <v>155.17611140320332</v>
      </c>
    </row>
    <row r="355" spans="1:10">
      <c r="A355" s="49">
        <f t="shared" si="14"/>
        <v>2021.1</v>
      </c>
      <c r="B355" s="319">
        <v>140.43307648738238</v>
      </c>
      <c r="C355" s="1347">
        <v>144.06854146684648</v>
      </c>
      <c r="D355" s="1347">
        <v>145.33568122785701</v>
      </c>
      <c r="E355" s="518">
        <f t="shared" si="15"/>
        <v>162.5924160492898</v>
      </c>
      <c r="F355" s="1350">
        <v>168.1</v>
      </c>
      <c r="G355" s="1347">
        <v>166.82</v>
      </c>
      <c r="H355" s="507">
        <f t="shared" si="16"/>
        <v>156.80222245007195</v>
      </c>
    </row>
    <row r="356" spans="1:10">
      <c r="A356" s="49">
        <f t="shared" si="14"/>
        <v>2021.11</v>
      </c>
      <c r="B356" s="319">
        <v>144.67045942874358</v>
      </c>
      <c r="C356" s="1347">
        <v>146.54999785420517</v>
      </c>
      <c r="D356" s="1347">
        <v>146.25997496845093</v>
      </c>
      <c r="E356" s="518">
        <f t="shared" si="15"/>
        <v>163.6264577323283</v>
      </c>
      <c r="F356" s="1350">
        <v>170.7</v>
      </c>
      <c r="G356" s="1347">
        <v>167.57</v>
      </c>
      <c r="H356" s="507">
        <f t="shared" si="16"/>
        <v>157.50718388657569</v>
      </c>
    </row>
    <row r="357" spans="1:10">
      <c r="A357" s="49">
        <f t="shared" si="14"/>
        <v>2021.12</v>
      </c>
      <c r="B357" s="319">
        <v>148.1492297603435</v>
      </c>
      <c r="C357" s="1347">
        <v>150.43391153605748</v>
      </c>
      <c r="D357" s="1347">
        <v>147.13957785201336</v>
      </c>
      <c r="E357" s="518">
        <f t="shared" si="15"/>
        <v>164.6105020963418</v>
      </c>
      <c r="F357" s="1350">
        <v>169.2</v>
      </c>
      <c r="G357" s="1347">
        <v>172.45</v>
      </c>
      <c r="H357" s="507">
        <f t="shared" si="16"/>
        <v>162.09413296676001</v>
      </c>
    </row>
    <row r="358" spans="1:10">
      <c r="A358" s="49">
        <f t="shared" si="14"/>
        <v>2022.01</v>
      </c>
      <c r="B358" s="319">
        <v>138.18771549784691</v>
      </c>
      <c r="C358" s="1347">
        <v>146.88653309231984</v>
      </c>
      <c r="D358" s="1347">
        <v>147.94758046375497</v>
      </c>
      <c r="E358" s="518">
        <f t="shared" si="15"/>
        <v>165.51444458112803</v>
      </c>
      <c r="F358" s="1350">
        <v>159.6</v>
      </c>
      <c r="G358" s="1347">
        <v>169.05</v>
      </c>
      <c r="H358" s="507">
        <f t="shared" si="16"/>
        <v>158.89830778794308</v>
      </c>
    </row>
    <row r="359" spans="1:10">
      <c r="A359" s="49">
        <f t="shared" si="14"/>
        <v>2022.02</v>
      </c>
      <c r="B359" s="319">
        <v>136.88138353776958</v>
      </c>
      <c r="C359" s="1347">
        <v>149.01044964078187</v>
      </c>
      <c r="D359" s="1347">
        <v>148.65883360206396</v>
      </c>
      <c r="E359" s="518">
        <f t="shared" si="15"/>
        <v>166.31014984224001</v>
      </c>
      <c r="F359" s="1350">
        <v>157.4</v>
      </c>
      <c r="G359" s="1347">
        <v>171.83</v>
      </c>
      <c r="H359" s="507">
        <f t="shared" si="16"/>
        <v>161.51136484591694</v>
      </c>
    </row>
    <row r="360" spans="1:10">
      <c r="A360" s="49">
        <f t="shared" si="14"/>
        <v>2022.03</v>
      </c>
      <c r="B360" s="319">
        <v>152.7784127744923</v>
      </c>
      <c r="C360" s="1347">
        <v>148.23144992469759</v>
      </c>
      <c r="D360" s="1347">
        <v>149.25147974174325</v>
      </c>
      <c r="E360" s="518">
        <f>D360*$E$9</f>
        <v>166.97316505570066</v>
      </c>
      <c r="F360" s="1350">
        <v>171.2</v>
      </c>
      <c r="G360" s="1347">
        <v>171.6</v>
      </c>
      <c r="H360" s="507">
        <f t="shared" si="16"/>
        <v>161.29517667205579</v>
      </c>
    </row>
    <row r="361" spans="1:10">
      <c r="A361" s="49">
        <f t="shared" si="14"/>
        <v>2022.04</v>
      </c>
      <c r="B361" s="319">
        <v>155.79989129633182</v>
      </c>
      <c r="C361" s="1347">
        <v>150.36248220298771</v>
      </c>
      <c r="D361" s="1347">
        <v>149.70930438294542</v>
      </c>
      <c r="E361" s="518">
        <f t="shared" si="15"/>
        <v>167.48535045925107</v>
      </c>
      <c r="F361" s="1350">
        <v>176.7</v>
      </c>
      <c r="G361" s="1347">
        <v>174.17</v>
      </c>
      <c r="H361" s="507">
        <f t="shared" si="16"/>
        <v>163.7108445278086</v>
      </c>
    </row>
    <row r="362" spans="1:10">
      <c r="A362" s="49">
        <f t="shared" si="14"/>
        <v>2022.05</v>
      </c>
      <c r="B362" s="319">
        <v>162.95425292397792</v>
      </c>
      <c r="C362" s="1347">
        <v>150.65507484485553</v>
      </c>
      <c r="D362" s="1347">
        <v>150.02280562287149</v>
      </c>
      <c r="E362" s="518">
        <f t="shared" si="15"/>
        <v>167.83607592187238</v>
      </c>
      <c r="F362" s="1350">
        <v>178.8</v>
      </c>
      <c r="G362" s="1347">
        <v>173.93</v>
      </c>
      <c r="H362" s="507">
        <f t="shared" si="16"/>
        <v>163.48525686812741</v>
      </c>
    </row>
    <row r="363" spans="1:10">
      <c r="A363" s="49">
        <f t="shared" si="14"/>
        <v>2022.06</v>
      </c>
      <c r="B363" s="319">
        <v>159.37537159224337</v>
      </c>
      <c r="C363" s="1347">
        <v>151.95799406897999</v>
      </c>
      <c r="D363" s="1347">
        <v>150.18911168267931</v>
      </c>
      <c r="E363" s="518">
        <f t="shared" si="15"/>
        <v>168.02212867808026</v>
      </c>
      <c r="F363" s="1350">
        <v>180.7</v>
      </c>
      <c r="G363" s="1347">
        <v>173.88</v>
      </c>
      <c r="H363" s="507">
        <f t="shared" si="16"/>
        <v>163.43825943902715</v>
      </c>
      <c r="J363" s="2683"/>
    </row>
    <row r="364" spans="1:10" ht="15.75">
      <c r="A364" s="49">
        <f t="shared" si="14"/>
        <v>2022.07</v>
      </c>
      <c r="B364" s="319">
        <v>151.24271713082896</v>
      </c>
      <c r="C364" s="1347">
        <v>151.77464039799887</v>
      </c>
      <c r="D364" s="1347">
        <v>150.21569995860258</v>
      </c>
      <c r="E364" s="518">
        <f t="shared" si="15"/>
        <v>168.0518739683244</v>
      </c>
      <c r="F364" s="1350">
        <v>173</v>
      </c>
      <c r="G364" s="1347">
        <v>171.81</v>
      </c>
      <c r="H364" s="507">
        <f t="shared" si="16"/>
        <v>161.49256587427683</v>
      </c>
      <c r="J364" s="2684"/>
    </row>
    <row r="365" spans="1:10">
      <c r="A365" s="49">
        <f t="shared" si="14"/>
        <v>2022.08</v>
      </c>
      <c r="B365" s="319">
        <v>150.22873607484834</v>
      </c>
      <c r="C365" s="1347">
        <v>150.80545088911038</v>
      </c>
      <c r="D365" s="1347">
        <v>150.11819750436391</v>
      </c>
      <c r="E365" s="518">
        <f t="shared" si="15"/>
        <v>167.94279435709976</v>
      </c>
      <c r="F365" s="1350">
        <v>177</v>
      </c>
      <c r="G365" s="1347">
        <v>172.25</v>
      </c>
      <c r="H365" s="507">
        <f t="shared" si="16"/>
        <v>161.90614325035904</v>
      </c>
    </row>
    <row r="366" spans="1:10">
      <c r="A366" s="49">
        <f t="shared" si="14"/>
        <v>2022.09</v>
      </c>
      <c r="B366" s="319">
        <v>148.1311179596857</v>
      </c>
      <c r="C366" s="1347">
        <v>150.24688540633781</v>
      </c>
      <c r="D366" s="1347">
        <v>149.91958941298432</v>
      </c>
      <c r="E366" s="518">
        <f t="shared" si="15"/>
        <v>167.72060412032152</v>
      </c>
      <c r="F366" s="1350">
        <v>174.5</v>
      </c>
      <c r="G366" s="1347">
        <v>171</v>
      </c>
      <c r="H366" s="507">
        <f t="shared" si="16"/>
        <v>160.7312075228528</v>
      </c>
    </row>
    <row r="367" spans="1:10">
      <c r="A367" s="49">
        <f t="shared" si="14"/>
        <v>2022.1</v>
      </c>
      <c r="B367" s="319">
        <v>146.28711775408183</v>
      </c>
      <c r="C367" s="1347">
        <v>149.11081122076465</v>
      </c>
      <c r="D367" s="1347">
        <v>149.64839940669501</v>
      </c>
      <c r="E367" s="518">
        <f t="shared" si="15"/>
        <v>167.41721380379028</v>
      </c>
      <c r="F367" s="1350">
        <v>170.8</v>
      </c>
      <c r="G367" s="1347">
        <v>169.64</v>
      </c>
      <c r="H367" s="507">
        <f>G367*$H$9</f>
        <v>159.452877451326</v>
      </c>
    </row>
    <row r="368" spans="1:10">
      <c r="A368" s="49">
        <f t="shared" si="14"/>
        <v>2022.11</v>
      </c>
      <c r="B368" s="319">
        <v>147.78905068803184</v>
      </c>
      <c r="C368" s="1347">
        <v>148.33820726621946</v>
      </c>
      <c r="D368" s="1347">
        <v>149.33437784167788</v>
      </c>
      <c r="E368" s="518">
        <f t="shared" si="15"/>
        <v>167.06590623419444</v>
      </c>
      <c r="F368" s="1350">
        <v>174.7</v>
      </c>
      <c r="G368" s="1347">
        <v>170.88</v>
      </c>
      <c r="H368" s="507">
        <f>G368*$H$9</f>
        <v>160.6184136930122</v>
      </c>
    </row>
    <row r="369" spans="1:8">
      <c r="A369" s="49">
        <f t="shared" si="14"/>
        <v>2022.12</v>
      </c>
      <c r="B369" s="319">
        <v>145.73654676043344</v>
      </c>
      <c r="C369" s="1347">
        <v>148.01233498262644</v>
      </c>
      <c r="D369" s="1347">
        <v>149.0039735175375</v>
      </c>
      <c r="E369" s="518">
        <f t="shared" si="15"/>
        <v>166.69627066444821</v>
      </c>
      <c r="F369" s="1350">
        <v>169.1</v>
      </c>
      <c r="G369" s="1347">
        <v>173.13</v>
      </c>
      <c r="H369" s="507">
        <f t="shared" si="16"/>
        <v>162.73329800252341</v>
      </c>
    </row>
    <row r="370" spans="1:8">
      <c r="A370" s="49">
        <f t="shared" si="14"/>
        <v>2023.01</v>
      </c>
      <c r="B370" s="319">
        <v>142.24514319833307</v>
      </c>
      <c r="C370" s="1347">
        <v>149.06289042021143</v>
      </c>
      <c r="D370" s="1347">
        <v>148.67726930432073</v>
      </c>
      <c r="E370" s="518">
        <f t="shared" si="15"/>
        <v>166.33077454600283</v>
      </c>
      <c r="F370" s="1350">
        <v>161.4</v>
      </c>
      <c r="G370" s="1347">
        <v>170.71</v>
      </c>
      <c r="H370" s="507">
        <f t="shared" si="16"/>
        <v>160.45862243407134</v>
      </c>
    </row>
    <row r="371" spans="1:8">
      <c r="A371" s="49">
        <f t="shared" si="14"/>
        <v>2023.02</v>
      </c>
      <c r="B371" s="319">
        <v>137.0606973657631</v>
      </c>
      <c r="C371" s="1347">
        <v>149.36177785347579</v>
      </c>
      <c r="D371" s="1347">
        <v>148.36456566925727</v>
      </c>
      <c r="E371" s="518">
        <f t="shared" si="15"/>
        <v>165.98094139351875</v>
      </c>
      <c r="F371" s="1350">
        <v>156.69999999999999</v>
      </c>
      <c r="G371" s="1347">
        <v>171.03</v>
      </c>
      <c r="H371" s="507">
        <f t="shared" si="16"/>
        <v>160.75940598031295</v>
      </c>
    </row>
    <row r="372" spans="1:8">
      <c r="A372" s="49">
        <f t="shared" si="14"/>
        <v>2023.03</v>
      </c>
      <c r="B372" s="319">
        <v>154.64469216214897</v>
      </c>
      <c r="C372" s="1347">
        <v>149.13982814352894</v>
      </c>
      <c r="D372" s="1347">
        <v>148.06545047886749</v>
      </c>
      <c r="E372" s="518">
        <f>D372*$E$9</f>
        <v>165.64631013798919</v>
      </c>
      <c r="F372" s="1350">
        <v>172.7</v>
      </c>
      <c r="G372" s="1347">
        <v>172.7</v>
      </c>
      <c r="H372" s="507">
        <f t="shared" si="16"/>
        <v>162.32912011226125</v>
      </c>
    </row>
    <row r="373" spans="1:8">
      <c r="A373" s="49">
        <f t="shared" si="14"/>
        <v>2023.04</v>
      </c>
      <c r="B373" s="319">
        <v>149.28098902277048</v>
      </c>
      <c r="C373" s="1347">
        <v>146.42756299223825</v>
      </c>
      <c r="D373" s="1347">
        <v>147.76967316445206</v>
      </c>
      <c r="E373" s="518">
        <f t="shared" si="15"/>
        <v>165.31541308809008</v>
      </c>
      <c r="F373" s="1350">
        <v>169.8</v>
      </c>
      <c r="G373" s="1347">
        <v>169.45</v>
      </c>
      <c r="H373" s="507">
        <f t="shared" si="16"/>
        <v>159.27428722074507</v>
      </c>
    </row>
    <row r="374" spans="1:8">
      <c r="A374" s="49">
        <f t="shared" si="14"/>
        <v>2023.05</v>
      </c>
      <c r="B374" s="319">
        <v>152.99397155229011</v>
      </c>
      <c r="C374" s="1347">
        <v>144.80155093753893</v>
      </c>
      <c r="D374" s="1347">
        <v>147.45983417702908</v>
      </c>
      <c r="E374" s="518">
        <f t="shared" si="15"/>
        <v>164.96878472315069</v>
      </c>
      <c r="F374" s="1350">
        <v>171.6</v>
      </c>
      <c r="G374" s="1347">
        <v>165.93</v>
      </c>
      <c r="H374" s="507">
        <f t="shared" si="16"/>
        <v>155.96566821208751</v>
      </c>
    </row>
    <row r="375" spans="1:8">
      <c r="A375" s="49">
        <f t="shared" si="14"/>
        <v>2023.06</v>
      </c>
      <c r="B375" s="319">
        <v>151.76563051773184</v>
      </c>
      <c r="C375" s="1347">
        <v>145.09173501259451</v>
      </c>
      <c r="D375" s="1347">
        <v>147.1166121206563</v>
      </c>
      <c r="E375" s="518">
        <f>D375*$E$9</f>
        <v>164.58480948103815</v>
      </c>
      <c r="F375" s="1350">
        <v>171.5</v>
      </c>
      <c r="G375" s="1347">
        <v>165.52</v>
      </c>
      <c r="H375" s="507">
        <f t="shared" si="16"/>
        <v>155.58028929346548</v>
      </c>
    </row>
    <row r="376" spans="1:8">
      <c r="A376" s="49">
        <f t="shared" si="14"/>
        <v>2023.07</v>
      </c>
      <c r="B376" s="319">
        <v>148.70673730820423</v>
      </c>
      <c r="C376" s="1347">
        <v>148.00217767262887</v>
      </c>
      <c r="D376" s="1347">
        <v>146.72318052875016</v>
      </c>
      <c r="E376" s="518">
        <f t="shared" ref="E376:E404" si="17">D376*$E$9</f>
        <v>164.14466296961231</v>
      </c>
      <c r="F376" s="1350">
        <v>171.2</v>
      </c>
      <c r="G376" s="1347">
        <v>170.12</v>
      </c>
      <c r="H376" s="507">
        <f t="shared" si="16"/>
        <v>159.90405277068842</v>
      </c>
    </row>
    <row r="377" spans="1:8">
      <c r="A377" s="49">
        <f t="shared" si="14"/>
        <v>2023.08</v>
      </c>
      <c r="B377" s="319">
        <v>150.26126596402696</v>
      </c>
      <c r="C377" s="1347">
        <v>149.06710083966527</v>
      </c>
      <c r="D377" s="1347">
        <v>146.26365044875089</v>
      </c>
      <c r="E377" s="518">
        <f t="shared" si="17"/>
        <v>163.63056962843712</v>
      </c>
      <c r="F377" s="1350">
        <v>174.2</v>
      </c>
      <c r="G377" s="1347">
        <v>169.32</v>
      </c>
      <c r="H377" s="507">
        <f t="shared" si="16"/>
        <v>159.1520939050844</v>
      </c>
    </row>
    <row r="378" spans="1:8">
      <c r="A378" s="49">
        <f t="shared" si="14"/>
        <v>2023.09</v>
      </c>
      <c r="B378" s="319">
        <v>147.14538687521764</v>
      </c>
      <c r="C378" s="1347">
        <v>148.97281329376557</v>
      </c>
      <c r="D378" s="1347">
        <v>145.73010900118427</v>
      </c>
      <c r="E378" s="518">
        <f t="shared" si="17"/>
        <v>163.03367702581266</v>
      </c>
      <c r="F378" s="1350">
        <v>173.6</v>
      </c>
      <c r="G378" s="1347">
        <v>170.33</v>
      </c>
      <c r="H378" s="507">
        <f t="shared" si="16"/>
        <v>160.10144197290947</v>
      </c>
    </row>
    <row r="379" spans="1:8">
      <c r="A379" s="49">
        <f t="shared" si="14"/>
        <v>2023.1</v>
      </c>
      <c r="B379" s="319">
        <v>147.7396282060102</v>
      </c>
      <c r="C379" s="1347">
        <v>148.65409012041829</v>
      </c>
      <c r="D379" s="1347">
        <v>145.12689403757517</v>
      </c>
      <c r="E379" s="518">
        <f t="shared" si="17"/>
        <v>162.3588380770997</v>
      </c>
      <c r="F379" s="1350">
        <v>171.5</v>
      </c>
      <c r="G379" s="1347">
        <v>168.96</v>
      </c>
      <c r="H379" s="507">
        <f t="shared" si="16"/>
        <v>158.81371241556263</v>
      </c>
    </row>
    <row r="380" spans="1:8">
      <c r="A380" s="49">
        <f t="shared" si="14"/>
        <v>2023.11</v>
      </c>
      <c r="B380" s="319">
        <v>146.49921844834748</v>
      </c>
      <c r="C380" s="1347">
        <v>146.50111430944793</v>
      </c>
      <c r="D380" s="1347">
        <v>144.4672206239072</v>
      </c>
      <c r="E380" s="518">
        <f t="shared" si="17"/>
        <v>161.62083696666627</v>
      </c>
      <c r="F380" s="1350">
        <v>171.8</v>
      </c>
      <c r="G380" s="1347">
        <v>167.63</v>
      </c>
      <c r="H380" s="507">
        <f t="shared" si="16"/>
        <v>157.56358080149599</v>
      </c>
    </row>
    <row r="381" spans="1:8">
      <c r="A381" s="49">
        <f t="shared" si="14"/>
        <v>2023.12</v>
      </c>
      <c r="B381" s="319">
        <v>139.2113680899331</v>
      </c>
      <c r="C381" s="1347">
        <v>142.47208702446457</v>
      </c>
      <c r="D381" s="1347">
        <v>143.770961726526</v>
      </c>
      <c r="E381" s="518">
        <f t="shared" si="17"/>
        <v>160.84190631890925</v>
      </c>
      <c r="F381" s="2907">
        <v>159.30000000000001</v>
      </c>
      <c r="G381" s="2908">
        <v>164.29</v>
      </c>
      <c r="H381" s="507">
        <f t="shared" si="16"/>
        <v>154.42415253759933</v>
      </c>
    </row>
    <row r="382" spans="1:8">
      <c r="A382" s="49">
        <f t="shared" ref="A382:A445" si="18">A370+1</f>
        <v>2024.01</v>
      </c>
      <c r="B382" s="319">
        <v>136.49835125708455</v>
      </c>
      <c r="C382" s="1347">
        <v>141.3376639600894</v>
      </c>
      <c r="D382" s="1347">
        <v>143.06501805476307</v>
      </c>
      <c r="E382" s="518">
        <f t="shared" si="17"/>
        <v>160.05214095491246</v>
      </c>
      <c r="F382" s="2907">
        <v>152.9</v>
      </c>
      <c r="G382" s="2908">
        <v>160.54</v>
      </c>
      <c r="H382" s="507">
        <f t="shared" si="16"/>
        <v>150.89934535508061</v>
      </c>
    </row>
    <row r="383" spans="1:8">
      <c r="A383" s="49">
        <f t="shared" si="18"/>
        <v>2024.02</v>
      </c>
      <c r="B383" s="319">
        <v>132.64136604498407</v>
      </c>
      <c r="C383" s="1347">
        <v>141.08488748553094</v>
      </c>
      <c r="D383" s="1347">
        <v>142.37820605541805</v>
      </c>
      <c r="E383" s="518">
        <f t="shared" si="17"/>
        <v>159.2837789023063</v>
      </c>
      <c r="F383" s="2907">
        <v>148.6</v>
      </c>
      <c r="G383" s="2908">
        <v>161.51</v>
      </c>
      <c r="H383" s="507">
        <f t="shared" si="16"/>
        <v>151.81109547962546</v>
      </c>
    </row>
    <row r="384" spans="1:8">
      <c r="A384" s="49">
        <f t="shared" si="18"/>
        <v>2024.03</v>
      </c>
      <c r="B384" s="319" t="e">
        <v>#N/A</v>
      </c>
      <c r="C384" s="1347" t="e">
        <v>#N/A</v>
      </c>
      <c r="D384" s="1347" t="e">
        <v>#N/A</v>
      </c>
      <c r="E384" s="518" t="e">
        <f t="shared" si="17"/>
        <v>#N/A</v>
      </c>
      <c r="F384" s="2907">
        <v>155.9</v>
      </c>
      <c r="G384" s="2908">
        <v>159.41</v>
      </c>
      <c r="H384" s="507">
        <f t="shared" si="16"/>
        <v>149.837203457415</v>
      </c>
    </row>
    <row r="385" spans="1:8">
      <c r="A385" s="49">
        <f t="shared" si="18"/>
        <v>2024.04</v>
      </c>
      <c r="B385" s="319" t="e">
        <v>#N/A</v>
      </c>
      <c r="C385" s="1347" t="e">
        <v>#N/A</v>
      </c>
      <c r="D385" s="1347" t="e">
        <v>#N/A</v>
      </c>
      <c r="E385" s="518" t="e">
        <f t="shared" si="17"/>
        <v>#N/A</v>
      </c>
      <c r="F385" s="1350" t="e">
        <v>#N/A</v>
      </c>
      <c r="G385" s="1347" t="e">
        <v>#N/A</v>
      </c>
      <c r="H385" s="507" t="e">
        <f t="shared" si="16"/>
        <v>#N/A</v>
      </c>
    </row>
    <row r="386" spans="1:8">
      <c r="A386" s="49">
        <f t="shared" si="18"/>
        <v>2024.05</v>
      </c>
      <c r="B386" s="319" t="e">
        <v>#N/A</v>
      </c>
      <c r="C386" s="1347" t="e">
        <v>#N/A</v>
      </c>
      <c r="D386" s="1347" t="e">
        <v>#N/A</v>
      </c>
      <c r="E386" s="518" t="e">
        <f t="shared" si="17"/>
        <v>#N/A</v>
      </c>
      <c r="F386" s="1350" t="e">
        <v>#N/A</v>
      </c>
      <c r="G386" s="1347" t="e">
        <v>#N/A</v>
      </c>
      <c r="H386" s="507" t="e">
        <f t="shared" si="16"/>
        <v>#N/A</v>
      </c>
    </row>
    <row r="387" spans="1:8">
      <c r="A387" s="49">
        <f t="shared" si="18"/>
        <v>2024.06</v>
      </c>
      <c r="B387" s="319" t="e">
        <v>#N/A</v>
      </c>
      <c r="C387" s="1347" t="e">
        <v>#N/A</v>
      </c>
      <c r="D387" s="1347" t="e">
        <v>#N/A</v>
      </c>
      <c r="E387" s="518" t="e">
        <f t="shared" si="17"/>
        <v>#N/A</v>
      </c>
      <c r="F387" s="1350" t="e">
        <v>#N/A</v>
      </c>
      <c r="G387" s="1347" t="e">
        <v>#N/A</v>
      </c>
      <c r="H387" s="507" t="e">
        <f t="shared" si="16"/>
        <v>#N/A</v>
      </c>
    </row>
    <row r="388" spans="1:8">
      <c r="A388" s="49">
        <f t="shared" si="18"/>
        <v>2024.07</v>
      </c>
      <c r="B388" s="319" t="e">
        <v>#N/A</v>
      </c>
      <c r="C388" s="1347" t="e">
        <v>#N/A</v>
      </c>
      <c r="D388" s="1347" t="e">
        <v>#N/A</v>
      </c>
      <c r="E388" s="518" t="e">
        <f t="shared" si="17"/>
        <v>#N/A</v>
      </c>
      <c r="F388" s="1350" t="e">
        <v>#N/A</v>
      </c>
      <c r="G388" s="1347" t="e">
        <v>#N/A</v>
      </c>
      <c r="H388" s="507" t="e">
        <f t="shared" si="16"/>
        <v>#N/A</v>
      </c>
    </row>
    <row r="389" spans="1:8">
      <c r="A389" s="49">
        <f t="shared" si="18"/>
        <v>2024.08</v>
      </c>
      <c r="B389" s="319" t="e">
        <v>#N/A</v>
      </c>
      <c r="C389" s="1347" t="e">
        <v>#N/A</v>
      </c>
      <c r="D389" s="1347" t="e">
        <v>#N/A</v>
      </c>
      <c r="E389" s="518" t="e">
        <f t="shared" si="17"/>
        <v>#N/A</v>
      </c>
      <c r="F389" s="1350" t="e">
        <v>#N/A</v>
      </c>
      <c r="G389" s="1347" t="e">
        <v>#N/A</v>
      </c>
      <c r="H389" s="507" t="e">
        <f t="shared" si="16"/>
        <v>#N/A</v>
      </c>
    </row>
    <row r="390" spans="1:8">
      <c r="A390" s="49">
        <f t="shared" si="18"/>
        <v>2024.09</v>
      </c>
      <c r="B390" s="319" t="e">
        <v>#N/A</v>
      </c>
      <c r="C390" s="1347" t="e">
        <v>#N/A</v>
      </c>
      <c r="D390" s="1347" t="e">
        <v>#N/A</v>
      </c>
      <c r="E390" s="518" t="e">
        <f t="shared" si="17"/>
        <v>#N/A</v>
      </c>
      <c r="F390" s="1350" t="e">
        <v>#N/A</v>
      </c>
      <c r="G390" s="1347" t="e">
        <v>#N/A</v>
      </c>
      <c r="H390" s="507" t="e">
        <f t="shared" si="16"/>
        <v>#N/A</v>
      </c>
    </row>
    <row r="391" spans="1:8">
      <c r="A391" s="49">
        <f t="shared" si="18"/>
        <v>2024.1</v>
      </c>
      <c r="B391" s="319" t="e">
        <v>#N/A</v>
      </c>
      <c r="C391" s="1347" t="e">
        <v>#N/A</v>
      </c>
      <c r="D391" s="1347" t="e">
        <v>#N/A</v>
      </c>
      <c r="E391" s="518" t="e">
        <f t="shared" si="17"/>
        <v>#N/A</v>
      </c>
      <c r="F391" s="1350" t="e">
        <v>#N/A</v>
      </c>
      <c r="G391" s="1347" t="e">
        <v>#N/A</v>
      </c>
      <c r="H391" s="507" t="e">
        <f t="shared" si="16"/>
        <v>#N/A</v>
      </c>
    </row>
    <row r="392" spans="1:8">
      <c r="A392" s="49">
        <f t="shared" si="18"/>
        <v>2024.11</v>
      </c>
      <c r="B392" s="319" t="e">
        <v>#N/A</v>
      </c>
      <c r="C392" s="1347" t="e">
        <v>#N/A</v>
      </c>
      <c r="D392" s="1347" t="e">
        <v>#N/A</v>
      </c>
      <c r="E392" s="518" t="e">
        <f t="shared" si="17"/>
        <v>#N/A</v>
      </c>
      <c r="F392" s="1350" t="e">
        <v>#N/A</v>
      </c>
      <c r="G392" s="1347" t="e">
        <v>#N/A</v>
      </c>
      <c r="H392" s="507" t="e">
        <f t="shared" si="16"/>
        <v>#N/A</v>
      </c>
    </row>
    <row r="393" spans="1:8">
      <c r="A393" s="49">
        <f t="shared" si="18"/>
        <v>2024.12</v>
      </c>
      <c r="B393" s="319" t="e">
        <v>#N/A</v>
      </c>
      <c r="C393" s="1347" t="e">
        <v>#N/A</v>
      </c>
      <c r="D393" s="1347" t="e">
        <v>#N/A</v>
      </c>
      <c r="E393" s="518" t="e">
        <f t="shared" si="17"/>
        <v>#N/A</v>
      </c>
      <c r="F393" s="1350" t="e">
        <v>#N/A</v>
      </c>
      <c r="G393" s="1347" t="e">
        <v>#N/A</v>
      </c>
      <c r="H393" s="507" t="e">
        <f t="shared" si="16"/>
        <v>#N/A</v>
      </c>
    </row>
    <row r="394" spans="1:8">
      <c r="A394" s="49">
        <f t="shared" si="18"/>
        <v>2025.01</v>
      </c>
      <c r="B394" s="319" t="e">
        <v>#N/A</v>
      </c>
      <c r="C394" s="1347" t="e">
        <v>#N/A</v>
      </c>
      <c r="D394" s="1347" t="e">
        <v>#N/A</v>
      </c>
      <c r="E394" s="518" t="e">
        <f t="shared" si="17"/>
        <v>#N/A</v>
      </c>
      <c r="F394" s="1350" t="e">
        <v>#N/A</v>
      </c>
      <c r="G394" s="1347" t="e">
        <v>#N/A</v>
      </c>
      <c r="H394" s="507" t="e">
        <f t="shared" ref="H394:H405" si="19">G394*$H$9</f>
        <v>#N/A</v>
      </c>
    </row>
    <row r="395" spans="1:8">
      <c r="A395" s="49">
        <f t="shared" si="18"/>
        <v>2025.02</v>
      </c>
      <c r="B395" s="319" t="e">
        <v>#N/A</v>
      </c>
      <c r="C395" s="1347" t="e">
        <v>#N/A</v>
      </c>
      <c r="D395" s="1347" t="e">
        <v>#N/A</v>
      </c>
      <c r="E395" s="518" t="e">
        <f t="shared" si="17"/>
        <v>#N/A</v>
      </c>
      <c r="F395" s="1350" t="e">
        <v>#N/A</v>
      </c>
      <c r="G395" s="1347" t="e">
        <v>#N/A</v>
      </c>
      <c r="H395" s="507" t="e">
        <f t="shared" si="19"/>
        <v>#N/A</v>
      </c>
    </row>
    <row r="396" spans="1:8">
      <c r="A396" s="49">
        <f t="shared" si="18"/>
        <v>2025.03</v>
      </c>
      <c r="B396" s="319" t="e">
        <v>#N/A</v>
      </c>
      <c r="C396" s="1347" t="e">
        <v>#N/A</v>
      </c>
      <c r="D396" s="1347" t="e">
        <v>#N/A</v>
      </c>
      <c r="E396" s="518" t="e">
        <f t="shared" si="17"/>
        <v>#N/A</v>
      </c>
      <c r="F396" s="1350" t="e">
        <v>#N/A</v>
      </c>
      <c r="G396" s="1347" t="e">
        <v>#N/A</v>
      </c>
      <c r="H396" s="507" t="e">
        <f t="shared" si="19"/>
        <v>#N/A</v>
      </c>
    </row>
    <row r="397" spans="1:8">
      <c r="A397" s="49">
        <f t="shared" si="18"/>
        <v>2025.04</v>
      </c>
      <c r="B397" s="319" t="e">
        <v>#N/A</v>
      </c>
      <c r="C397" s="1347" t="e">
        <v>#N/A</v>
      </c>
      <c r="D397" s="1347" t="e">
        <v>#N/A</v>
      </c>
      <c r="E397" s="518" t="e">
        <f t="shared" si="17"/>
        <v>#N/A</v>
      </c>
      <c r="F397" s="1350" t="e">
        <v>#N/A</v>
      </c>
      <c r="G397" s="1347" t="e">
        <v>#N/A</v>
      </c>
      <c r="H397" s="507" t="e">
        <f t="shared" si="19"/>
        <v>#N/A</v>
      </c>
    </row>
    <row r="398" spans="1:8">
      <c r="A398" s="49">
        <f t="shared" si="18"/>
        <v>2025.05</v>
      </c>
      <c r="B398" s="319" t="e">
        <v>#N/A</v>
      </c>
      <c r="C398" s="1347" t="e">
        <v>#N/A</v>
      </c>
      <c r="D398" s="1347" t="e">
        <v>#N/A</v>
      </c>
      <c r="E398" s="518" t="e">
        <f t="shared" si="17"/>
        <v>#N/A</v>
      </c>
      <c r="F398" s="1350" t="e">
        <v>#N/A</v>
      </c>
      <c r="G398" s="1347" t="e">
        <v>#N/A</v>
      </c>
      <c r="H398" s="507" t="e">
        <f t="shared" si="19"/>
        <v>#N/A</v>
      </c>
    </row>
    <row r="399" spans="1:8">
      <c r="A399" s="49">
        <f t="shared" si="18"/>
        <v>2025.06</v>
      </c>
      <c r="B399" s="319" t="e">
        <v>#N/A</v>
      </c>
      <c r="C399" s="1347" t="e">
        <v>#N/A</v>
      </c>
      <c r="D399" s="1347" t="e">
        <v>#N/A</v>
      </c>
      <c r="E399" s="518" t="e">
        <f t="shared" si="17"/>
        <v>#N/A</v>
      </c>
      <c r="F399" s="1350" t="e">
        <v>#N/A</v>
      </c>
      <c r="G399" s="1347" t="e">
        <v>#N/A</v>
      </c>
      <c r="H399" s="507" t="e">
        <f t="shared" si="19"/>
        <v>#N/A</v>
      </c>
    </row>
    <row r="400" spans="1:8">
      <c r="A400" s="49">
        <f t="shared" si="18"/>
        <v>2025.07</v>
      </c>
      <c r="B400" s="319" t="e">
        <v>#N/A</v>
      </c>
      <c r="C400" s="1347" t="e">
        <v>#N/A</v>
      </c>
      <c r="D400" s="1347" t="e">
        <v>#N/A</v>
      </c>
      <c r="E400" s="518" t="e">
        <f t="shared" si="17"/>
        <v>#N/A</v>
      </c>
      <c r="F400" s="1350" t="e">
        <v>#N/A</v>
      </c>
      <c r="G400" s="1347" t="e">
        <v>#N/A</v>
      </c>
      <c r="H400" s="507" t="e">
        <f t="shared" si="19"/>
        <v>#N/A</v>
      </c>
    </row>
    <row r="401" spans="1:8">
      <c r="A401" s="49">
        <f t="shared" si="18"/>
        <v>2025.08</v>
      </c>
      <c r="B401" s="319" t="e">
        <v>#N/A</v>
      </c>
      <c r="C401" s="1347" t="e">
        <v>#N/A</v>
      </c>
      <c r="D401" s="1347" t="e">
        <v>#N/A</v>
      </c>
      <c r="E401" s="518" t="e">
        <f t="shared" si="17"/>
        <v>#N/A</v>
      </c>
      <c r="F401" s="1350" t="e">
        <v>#N/A</v>
      </c>
      <c r="G401" s="1347" t="e">
        <v>#N/A</v>
      </c>
      <c r="H401" s="507" t="e">
        <f t="shared" si="19"/>
        <v>#N/A</v>
      </c>
    </row>
    <row r="402" spans="1:8">
      <c r="A402" s="49">
        <f t="shared" si="18"/>
        <v>2025.09</v>
      </c>
      <c r="B402" s="319" t="e">
        <v>#N/A</v>
      </c>
      <c r="C402" s="1347" t="e">
        <v>#N/A</v>
      </c>
      <c r="D402" s="1347" t="e">
        <v>#N/A</v>
      </c>
      <c r="E402" s="518" t="e">
        <f t="shared" si="17"/>
        <v>#N/A</v>
      </c>
      <c r="F402" s="1350" t="e">
        <v>#N/A</v>
      </c>
      <c r="G402" s="1347" t="e">
        <v>#N/A</v>
      </c>
      <c r="H402" s="507" t="e">
        <f t="shared" si="19"/>
        <v>#N/A</v>
      </c>
    </row>
    <row r="403" spans="1:8">
      <c r="A403" s="49">
        <f t="shared" si="18"/>
        <v>2025.1</v>
      </c>
      <c r="B403" s="319" t="e">
        <v>#N/A</v>
      </c>
      <c r="C403" s="1347" t="e">
        <v>#N/A</v>
      </c>
      <c r="D403" s="1347" t="e">
        <v>#N/A</v>
      </c>
      <c r="E403" s="518" t="e">
        <f t="shared" si="17"/>
        <v>#N/A</v>
      </c>
      <c r="F403" s="1350" t="e">
        <v>#N/A</v>
      </c>
      <c r="G403" s="1347" t="e">
        <v>#N/A</v>
      </c>
      <c r="H403" s="507" t="e">
        <f t="shared" si="19"/>
        <v>#N/A</v>
      </c>
    </row>
    <row r="404" spans="1:8">
      <c r="A404" s="49">
        <f t="shared" si="18"/>
        <v>2025.11</v>
      </c>
      <c r="B404" s="319" t="e">
        <v>#N/A</v>
      </c>
      <c r="C404" s="1347" t="e">
        <v>#N/A</v>
      </c>
      <c r="D404" s="1347" t="e">
        <v>#N/A</v>
      </c>
      <c r="E404" s="518" t="e">
        <f t="shared" si="17"/>
        <v>#N/A</v>
      </c>
      <c r="F404" s="1350" t="e">
        <v>#N/A</v>
      </c>
      <c r="G404" s="1347" t="e">
        <v>#N/A</v>
      </c>
      <c r="H404" s="507" t="e">
        <f t="shared" si="19"/>
        <v>#N/A</v>
      </c>
    </row>
    <row r="405" spans="1:8">
      <c r="A405" s="49">
        <f t="shared" si="18"/>
        <v>2025.12</v>
      </c>
      <c r="B405" s="319" t="e">
        <v>#N/A</v>
      </c>
      <c r="C405" s="1347" t="e">
        <v>#N/A</v>
      </c>
      <c r="D405" s="1347" t="e">
        <v>#N/A</v>
      </c>
      <c r="E405" s="518" t="e">
        <f>D405*$E$9</f>
        <v>#N/A</v>
      </c>
      <c r="F405" s="1350" t="e">
        <v>#N/A</v>
      </c>
      <c r="G405" s="1347" t="e">
        <v>#N/A</v>
      </c>
      <c r="H405" s="507" t="e">
        <f t="shared" si="19"/>
        <v>#N/A</v>
      </c>
    </row>
    <row r="406" spans="1:8">
      <c r="A406" s="49">
        <f t="shared" si="18"/>
        <v>2026.01</v>
      </c>
      <c r="B406" s="319" t="e">
        <v>#N/A</v>
      </c>
      <c r="C406" s="1347" t="e">
        <v>#N/A</v>
      </c>
      <c r="D406" s="1347" t="e">
        <v>#N/A</v>
      </c>
      <c r="E406" s="518" t="e">
        <f t="shared" ref="E406:E465" si="20">D406*$E$9</f>
        <v>#N/A</v>
      </c>
      <c r="F406" s="1350" t="e">
        <v>#N/A</v>
      </c>
      <c r="G406" s="1347" t="e">
        <v>#N/A</v>
      </c>
      <c r="H406" s="507" t="e">
        <f t="shared" ref="H406:H433" si="21">G406*$H$9</f>
        <v>#N/A</v>
      </c>
    </row>
    <row r="407" spans="1:8">
      <c r="A407" s="49">
        <f t="shared" si="18"/>
        <v>2026.02</v>
      </c>
      <c r="B407" s="319" t="e">
        <v>#N/A</v>
      </c>
      <c r="C407" s="1347" t="e">
        <v>#N/A</v>
      </c>
      <c r="D407" s="1347" t="e">
        <v>#N/A</v>
      </c>
      <c r="E407" s="518" t="e">
        <f t="shared" si="20"/>
        <v>#N/A</v>
      </c>
      <c r="F407" s="1350" t="e">
        <v>#N/A</v>
      </c>
      <c r="G407" s="1347" t="e">
        <v>#N/A</v>
      </c>
      <c r="H407" s="507" t="e">
        <f t="shared" si="21"/>
        <v>#N/A</v>
      </c>
    </row>
    <row r="408" spans="1:8">
      <c r="A408" s="49">
        <f t="shared" si="18"/>
        <v>2026.03</v>
      </c>
      <c r="B408" s="319" t="e">
        <v>#N/A</v>
      </c>
      <c r="C408" s="1347" t="e">
        <v>#N/A</v>
      </c>
      <c r="D408" s="1347" t="e">
        <v>#N/A</v>
      </c>
      <c r="E408" s="518" t="e">
        <f t="shared" si="20"/>
        <v>#N/A</v>
      </c>
      <c r="F408" s="1350" t="e">
        <v>#N/A</v>
      </c>
      <c r="G408" s="1347" t="e">
        <v>#N/A</v>
      </c>
      <c r="H408" s="507" t="e">
        <f t="shared" si="21"/>
        <v>#N/A</v>
      </c>
    </row>
    <row r="409" spans="1:8">
      <c r="A409" s="49">
        <f t="shared" si="18"/>
        <v>2026.04</v>
      </c>
      <c r="B409" s="319" t="e">
        <v>#N/A</v>
      </c>
      <c r="C409" s="1347" t="e">
        <v>#N/A</v>
      </c>
      <c r="D409" s="1347" t="e">
        <v>#N/A</v>
      </c>
      <c r="E409" s="518" t="e">
        <f t="shared" si="20"/>
        <v>#N/A</v>
      </c>
      <c r="F409" s="1350" t="e">
        <v>#N/A</v>
      </c>
      <c r="G409" s="1347" t="e">
        <v>#N/A</v>
      </c>
      <c r="H409" s="507" t="e">
        <f t="shared" si="21"/>
        <v>#N/A</v>
      </c>
    </row>
    <row r="410" spans="1:8">
      <c r="A410" s="49">
        <f t="shared" si="18"/>
        <v>2026.05</v>
      </c>
      <c r="B410" s="319" t="e">
        <v>#N/A</v>
      </c>
      <c r="C410" s="1347" t="e">
        <v>#N/A</v>
      </c>
      <c r="D410" s="1347" t="e">
        <v>#N/A</v>
      </c>
      <c r="E410" s="518" t="e">
        <f t="shared" si="20"/>
        <v>#N/A</v>
      </c>
      <c r="F410" s="1350" t="e">
        <v>#N/A</v>
      </c>
      <c r="G410" s="1347" t="e">
        <v>#N/A</v>
      </c>
      <c r="H410" s="507" t="e">
        <f t="shared" si="21"/>
        <v>#N/A</v>
      </c>
    </row>
    <row r="411" spans="1:8">
      <c r="A411" s="49">
        <f t="shared" si="18"/>
        <v>2026.06</v>
      </c>
      <c r="B411" s="319" t="e">
        <v>#N/A</v>
      </c>
      <c r="C411" s="1347" t="e">
        <v>#N/A</v>
      </c>
      <c r="D411" s="1347" t="e">
        <v>#N/A</v>
      </c>
      <c r="E411" s="518" t="e">
        <f t="shared" si="20"/>
        <v>#N/A</v>
      </c>
      <c r="F411" s="1350" t="e">
        <v>#N/A</v>
      </c>
      <c r="G411" s="1347" t="e">
        <v>#N/A</v>
      </c>
      <c r="H411" s="507" t="e">
        <f t="shared" si="21"/>
        <v>#N/A</v>
      </c>
    </row>
    <row r="412" spans="1:8">
      <c r="A412" s="49">
        <f t="shared" si="18"/>
        <v>2026.07</v>
      </c>
      <c r="B412" s="319" t="e">
        <v>#N/A</v>
      </c>
      <c r="C412" s="1347" t="e">
        <v>#N/A</v>
      </c>
      <c r="D412" s="1347" t="e">
        <v>#N/A</v>
      </c>
      <c r="E412" s="518" t="e">
        <f t="shared" si="20"/>
        <v>#N/A</v>
      </c>
      <c r="F412" s="1350" t="e">
        <v>#N/A</v>
      </c>
      <c r="G412" s="1347" t="e">
        <v>#N/A</v>
      </c>
      <c r="H412" s="507" t="e">
        <f t="shared" si="21"/>
        <v>#N/A</v>
      </c>
    </row>
    <row r="413" spans="1:8">
      <c r="A413" s="49">
        <f t="shared" si="18"/>
        <v>2026.08</v>
      </c>
      <c r="B413" s="319" t="e">
        <v>#N/A</v>
      </c>
      <c r="C413" s="1347" t="e">
        <v>#N/A</v>
      </c>
      <c r="D413" s="1347" t="e">
        <v>#N/A</v>
      </c>
      <c r="E413" s="518" t="e">
        <f t="shared" si="20"/>
        <v>#N/A</v>
      </c>
      <c r="F413" s="1350" t="e">
        <v>#N/A</v>
      </c>
      <c r="G413" s="1347" t="e">
        <v>#N/A</v>
      </c>
      <c r="H413" s="507" t="e">
        <f t="shared" si="21"/>
        <v>#N/A</v>
      </c>
    </row>
    <row r="414" spans="1:8">
      <c r="A414" s="49">
        <f t="shared" si="18"/>
        <v>2026.09</v>
      </c>
      <c r="B414" s="319" t="e">
        <v>#N/A</v>
      </c>
      <c r="C414" s="1347" t="e">
        <v>#N/A</v>
      </c>
      <c r="D414" s="1347" t="e">
        <v>#N/A</v>
      </c>
      <c r="E414" s="518" t="e">
        <f t="shared" si="20"/>
        <v>#N/A</v>
      </c>
      <c r="F414" s="1350" t="e">
        <v>#N/A</v>
      </c>
      <c r="G414" s="1347" t="e">
        <v>#N/A</v>
      </c>
      <c r="H414" s="507" t="e">
        <f t="shared" si="21"/>
        <v>#N/A</v>
      </c>
    </row>
    <row r="415" spans="1:8">
      <c r="A415" s="49">
        <f t="shared" si="18"/>
        <v>2026.1</v>
      </c>
      <c r="B415" s="319" t="e">
        <v>#N/A</v>
      </c>
      <c r="C415" s="1347" t="e">
        <v>#N/A</v>
      </c>
      <c r="D415" s="1347" t="e">
        <v>#N/A</v>
      </c>
      <c r="E415" s="518" t="e">
        <f t="shared" si="20"/>
        <v>#N/A</v>
      </c>
      <c r="F415" s="1350" t="e">
        <v>#N/A</v>
      </c>
      <c r="G415" s="1347" t="e">
        <v>#N/A</v>
      </c>
      <c r="H415" s="507" t="e">
        <f t="shared" si="21"/>
        <v>#N/A</v>
      </c>
    </row>
    <row r="416" spans="1:8">
      <c r="A416" s="49">
        <f t="shared" si="18"/>
        <v>2026.11</v>
      </c>
      <c r="B416" s="319" t="e">
        <v>#N/A</v>
      </c>
      <c r="C416" s="1347" t="e">
        <v>#N/A</v>
      </c>
      <c r="D416" s="1347" t="e">
        <v>#N/A</v>
      </c>
      <c r="E416" s="518" t="e">
        <f t="shared" si="20"/>
        <v>#N/A</v>
      </c>
      <c r="F416" s="1350" t="e">
        <v>#N/A</v>
      </c>
      <c r="G416" s="1347" t="e">
        <v>#N/A</v>
      </c>
      <c r="H416" s="507" t="e">
        <f t="shared" si="21"/>
        <v>#N/A</v>
      </c>
    </row>
    <row r="417" spans="1:8">
      <c r="A417" s="49">
        <f t="shared" si="18"/>
        <v>2026.12</v>
      </c>
      <c r="B417" s="319" t="e">
        <v>#N/A</v>
      </c>
      <c r="C417" s="1347" t="e">
        <v>#N/A</v>
      </c>
      <c r="D417" s="1347" t="e">
        <v>#N/A</v>
      </c>
      <c r="E417" s="518" t="e">
        <f t="shared" si="20"/>
        <v>#N/A</v>
      </c>
      <c r="F417" s="1350" t="e">
        <v>#N/A</v>
      </c>
      <c r="G417" s="1347" t="e">
        <v>#N/A</v>
      </c>
      <c r="H417" s="507" t="e">
        <f t="shared" si="21"/>
        <v>#N/A</v>
      </c>
    </row>
    <row r="418" spans="1:8">
      <c r="A418" s="49">
        <f t="shared" si="18"/>
        <v>2027.01</v>
      </c>
      <c r="B418" s="319" t="e">
        <v>#N/A</v>
      </c>
      <c r="C418" s="1347" t="e">
        <v>#N/A</v>
      </c>
      <c r="D418" s="1347" t="e">
        <v>#N/A</v>
      </c>
      <c r="E418" s="518" t="e">
        <f t="shared" si="20"/>
        <v>#N/A</v>
      </c>
      <c r="F418" s="1350" t="e">
        <v>#N/A</v>
      </c>
      <c r="G418" s="1347" t="e">
        <v>#N/A</v>
      </c>
      <c r="H418" s="507" t="e">
        <f t="shared" si="21"/>
        <v>#N/A</v>
      </c>
    </row>
    <row r="419" spans="1:8">
      <c r="A419" s="49">
        <f t="shared" si="18"/>
        <v>2027.02</v>
      </c>
      <c r="B419" s="319" t="e">
        <v>#N/A</v>
      </c>
      <c r="C419" s="1347" t="e">
        <v>#N/A</v>
      </c>
      <c r="D419" s="1347" t="e">
        <v>#N/A</v>
      </c>
      <c r="E419" s="518" t="e">
        <f t="shared" si="20"/>
        <v>#N/A</v>
      </c>
      <c r="F419" s="1350" t="e">
        <v>#N/A</v>
      </c>
      <c r="G419" s="1347" t="e">
        <v>#N/A</v>
      </c>
      <c r="H419" s="507" t="e">
        <f t="shared" si="21"/>
        <v>#N/A</v>
      </c>
    </row>
    <row r="420" spans="1:8">
      <c r="A420" s="49">
        <f t="shared" si="18"/>
        <v>2027.03</v>
      </c>
      <c r="B420" s="319" t="e">
        <v>#N/A</v>
      </c>
      <c r="C420" s="1347" t="e">
        <v>#N/A</v>
      </c>
      <c r="D420" s="1347" t="e">
        <v>#N/A</v>
      </c>
      <c r="E420" s="518" t="e">
        <f t="shared" si="20"/>
        <v>#N/A</v>
      </c>
      <c r="F420" s="1350" t="e">
        <v>#N/A</v>
      </c>
      <c r="G420" s="1347" t="e">
        <v>#N/A</v>
      </c>
      <c r="H420" s="507" t="e">
        <f t="shared" si="21"/>
        <v>#N/A</v>
      </c>
    </row>
    <row r="421" spans="1:8">
      <c r="A421" s="49">
        <f t="shared" si="18"/>
        <v>2027.04</v>
      </c>
      <c r="B421" s="319" t="e">
        <v>#N/A</v>
      </c>
      <c r="C421" s="1347" t="e">
        <v>#N/A</v>
      </c>
      <c r="D421" s="1347" t="e">
        <v>#N/A</v>
      </c>
      <c r="E421" s="518" t="e">
        <f t="shared" si="20"/>
        <v>#N/A</v>
      </c>
      <c r="F421" s="1350" t="e">
        <v>#N/A</v>
      </c>
      <c r="G421" s="1347" t="e">
        <v>#N/A</v>
      </c>
      <c r="H421" s="507" t="e">
        <f t="shared" si="21"/>
        <v>#N/A</v>
      </c>
    </row>
    <row r="422" spans="1:8">
      <c r="A422" s="49">
        <f t="shared" si="18"/>
        <v>2027.05</v>
      </c>
      <c r="B422" s="319" t="e">
        <v>#N/A</v>
      </c>
      <c r="C422" s="1347" t="e">
        <v>#N/A</v>
      </c>
      <c r="D422" s="1347" t="e">
        <v>#N/A</v>
      </c>
      <c r="E422" s="518" t="e">
        <f t="shared" si="20"/>
        <v>#N/A</v>
      </c>
      <c r="F422" s="1350" t="e">
        <v>#N/A</v>
      </c>
      <c r="G422" s="1347" t="e">
        <v>#N/A</v>
      </c>
      <c r="H422" s="507" t="e">
        <f t="shared" si="21"/>
        <v>#N/A</v>
      </c>
    </row>
    <row r="423" spans="1:8">
      <c r="A423" s="49">
        <f t="shared" si="18"/>
        <v>2027.06</v>
      </c>
      <c r="B423" s="319" t="e">
        <v>#N/A</v>
      </c>
      <c r="C423" s="1347" t="e">
        <v>#N/A</v>
      </c>
      <c r="D423" s="1347" t="e">
        <v>#N/A</v>
      </c>
      <c r="E423" s="518" t="e">
        <f t="shared" si="20"/>
        <v>#N/A</v>
      </c>
      <c r="F423" s="1350" t="e">
        <v>#N/A</v>
      </c>
      <c r="G423" s="1347" t="e">
        <v>#N/A</v>
      </c>
      <c r="H423" s="507" t="e">
        <f t="shared" si="21"/>
        <v>#N/A</v>
      </c>
    </row>
    <row r="424" spans="1:8">
      <c r="A424" s="49">
        <f t="shared" si="18"/>
        <v>2027.07</v>
      </c>
      <c r="B424" s="319" t="e">
        <v>#N/A</v>
      </c>
      <c r="C424" s="1347" t="e">
        <v>#N/A</v>
      </c>
      <c r="D424" s="1347" t="e">
        <v>#N/A</v>
      </c>
      <c r="E424" s="518" t="e">
        <f t="shared" si="20"/>
        <v>#N/A</v>
      </c>
      <c r="F424" s="1350" t="e">
        <v>#N/A</v>
      </c>
      <c r="G424" s="1347" t="e">
        <v>#N/A</v>
      </c>
      <c r="H424" s="507" t="e">
        <f t="shared" si="21"/>
        <v>#N/A</v>
      </c>
    </row>
    <row r="425" spans="1:8">
      <c r="A425" s="49">
        <f t="shared" si="18"/>
        <v>2027.08</v>
      </c>
      <c r="B425" s="319" t="e">
        <v>#N/A</v>
      </c>
      <c r="C425" s="1347" t="e">
        <v>#N/A</v>
      </c>
      <c r="D425" s="1347" t="e">
        <v>#N/A</v>
      </c>
      <c r="E425" s="518" t="e">
        <f t="shared" si="20"/>
        <v>#N/A</v>
      </c>
      <c r="F425" s="1350" t="e">
        <v>#N/A</v>
      </c>
      <c r="G425" s="1347" t="e">
        <v>#N/A</v>
      </c>
      <c r="H425" s="507" t="e">
        <f t="shared" si="21"/>
        <v>#N/A</v>
      </c>
    </row>
    <row r="426" spans="1:8">
      <c r="A426" s="49">
        <f t="shared" si="18"/>
        <v>2027.09</v>
      </c>
      <c r="B426" s="319" t="e">
        <v>#N/A</v>
      </c>
      <c r="C426" s="1347" t="e">
        <v>#N/A</v>
      </c>
      <c r="D426" s="1347" t="e">
        <v>#N/A</v>
      </c>
      <c r="E426" s="518" t="e">
        <f t="shared" si="20"/>
        <v>#N/A</v>
      </c>
      <c r="F426" s="1350" t="e">
        <v>#N/A</v>
      </c>
      <c r="G426" s="1347" t="e">
        <v>#N/A</v>
      </c>
      <c r="H426" s="507" t="e">
        <f t="shared" si="21"/>
        <v>#N/A</v>
      </c>
    </row>
    <row r="427" spans="1:8">
      <c r="A427" s="49">
        <f t="shared" si="18"/>
        <v>2027.1</v>
      </c>
      <c r="B427" s="319" t="e">
        <v>#N/A</v>
      </c>
      <c r="C427" s="1347" t="e">
        <v>#N/A</v>
      </c>
      <c r="D427" s="1347" t="e">
        <v>#N/A</v>
      </c>
      <c r="E427" s="518" t="e">
        <f t="shared" si="20"/>
        <v>#N/A</v>
      </c>
      <c r="F427" s="1350" t="e">
        <v>#N/A</v>
      </c>
      <c r="G427" s="1347" t="e">
        <v>#N/A</v>
      </c>
      <c r="H427" s="507" t="e">
        <f t="shared" si="21"/>
        <v>#N/A</v>
      </c>
    </row>
    <row r="428" spans="1:8">
      <c r="A428" s="49">
        <f t="shared" si="18"/>
        <v>2027.11</v>
      </c>
      <c r="B428" s="319" t="e">
        <v>#N/A</v>
      </c>
      <c r="C428" s="1347" t="e">
        <v>#N/A</v>
      </c>
      <c r="D428" s="1347" t="e">
        <v>#N/A</v>
      </c>
      <c r="E428" s="518" t="e">
        <f t="shared" si="20"/>
        <v>#N/A</v>
      </c>
      <c r="F428" s="1350" t="e">
        <v>#N/A</v>
      </c>
      <c r="G428" s="1347" t="e">
        <v>#N/A</v>
      </c>
      <c r="H428" s="507" t="e">
        <f t="shared" si="21"/>
        <v>#N/A</v>
      </c>
    </row>
    <row r="429" spans="1:8">
      <c r="A429" s="49">
        <f t="shared" si="18"/>
        <v>2027.12</v>
      </c>
      <c r="B429" s="319" t="e">
        <v>#N/A</v>
      </c>
      <c r="C429" s="1347" t="e">
        <v>#N/A</v>
      </c>
      <c r="D429" s="1347" t="e">
        <v>#N/A</v>
      </c>
      <c r="E429" s="518" t="e">
        <f t="shared" si="20"/>
        <v>#N/A</v>
      </c>
      <c r="F429" s="1350" t="e">
        <v>#N/A</v>
      </c>
      <c r="G429" s="1347" t="e">
        <v>#N/A</v>
      </c>
      <c r="H429" s="507" t="e">
        <f t="shared" si="21"/>
        <v>#N/A</v>
      </c>
    </row>
    <row r="430" spans="1:8">
      <c r="A430" s="49">
        <f t="shared" si="18"/>
        <v>2028.01</v>
      </c>
      <c r="B430" s="319" t="e">
        <v>#N/A</v>
      </c>
      <c r="C430" s="1347" t="e">
        <v>#N/A</v>
      </c>
      <c r="D430" s="1347" t="e">
        <v>#N/A</v>
      </c>
      <c r="E430" s="518" t="e">
        <f t="shared" si="20"/>
        <v>#N/A</v>
      </c>
      <c r="F430" s="1350" t="e">
        <v>#N/A</v>
      </c>
      <c r="G430" s="1347" t="e">
        <v>#N/A</v>
      </c>
      <c r="H430" s="507" t="e">
        <f t="shared" si="21"/>
        <v>#N/A</v>
      </c>
    </row>
    <row r="431" spans="1:8">
      <c r="A431" s="49">
        <f t="shared" si="18"/>
        <v>2028.02</v>
      </c>
      <c r="B431" s="319" t="e">
        <v>#N/A</v>
      </c>
      <c r="C431" s="1347" t="e">
        <v>#N/A</v>
      </c>
      <c r="D431" s="1347" t="e">
        <v>#N/A</v>
      </c>
      <c r="E431" s="518" t="e">
        <f t="shared" si="20"/>
        <v>#N/A</v>
      </c>
      <c r="F431" s="1350" t="e">
        <v>#N/A</v>
      </c>
      <c r="G431" s="1347" t="e">
        <v>#N/A</v>
      </c>
      <c r="H431" s="507" t="e">
        <f t="shared" si="21"/>
        <v>#N/A</v>
      </c>
    </row>
    <row r="432" spans="1:8">
      <c r="A432" s="49">
        <f t="shared" si="18"/>
        <v>2028.03</v>
      </c>
      <c r="B432" s="319" t="e">
        <v>#N/A</v>
      </c>
      <c r="C432" s="1347" t="e">
        <v>#N/A</v>
      </c>
      <c r="D432" s="1347" t="e">
        <v>#N/A</v>
      </c>
      <c r="E432" s="518" t="e">
        <f t="shared" si="20"/>
        <v>#N/A</v>
      </c>
      <c r="F432" s="1350" t="e">
        <v>#N/A</v>
      </c>
      <c r="G432" s="1347" t="e">
        <v>#N/A</v>
      </c>
      <c r="H432" s="507" t="e">
        <f t="shared" si="21"/>
        <v>#N/A</v>
      </c>
    </row>
    <row r="433" spans="1:8">
      <c r="A433" s="49">
        <f t="shared" si="18"/>
        <v>2028.04</v>
      </c>
      <c r="B433" s="319" t="e">
        <v>#N/A</v>
      </c>
      <c r="C433" s="1347" t="e">
        <v>#N/A</v>
      </c>
      <c r="D433" s="1347" t="e">
        <v>#N/A</v>
      </c>
      <c r="E433" s="518" t="e">
        <f>D433*$E$9</f>
        <v>#N/A</v>
      </c>
      <c r="F433" s="1350" t="e">
        <v>#N/A</v>
      </c>
      <c r="G433" s="1347" t="e">
        <v>#N/A</v>
      </c>
      <c r="H433" s="507" t="e">
        <f t="shared" si="21"/>
        <v>#N/A</v>
      </c>
    </row>
    <row r="434" spans="1:8">
      <c r="A434" s="49">
        <f t="shared" si="18"/>
        <v>2028.05</v>
      </c>
      <c r="B434" s="319" t="e">
        <v>#N/A</v>
      </c>
      <c r="C434" s="1347" t="e">
        <v>#N/A</v>
      </c>
      <c r="D434" s="1347" t="e">
        <v>#N/A</v>
      </c>
      <c r="E434" s="518" t="e">
        <f t="shared" si="20"/>
        <v>#N/A</v>
      </c>
      <c r="F434" s="1350" t="e">
        <v>#N/A</v>
      </c>
      <c r="G434" s="1347" t="e">
        <v>#N/A</v>
      </c>
      <c r="H434" s="507" t="e">
        <f t="shared" ref="H434:H465" si="22">G434*$H$9</f>
        <v>#N/A</v>
      </c>
    </row>
    <row r="435" spans="1:8">
      <c r="A435" s="49">
        <f t="shared" si="18"/>
        <v>2028.06</v>
      </c>
      <c r="B435" s="319" t="e">
        <v>#N/A</v>
      </c>
      <c r="C435" s="1347" t="e">
        <v>#N/A</v>
      </c>
      <c r="D435" s="1347" t="e">
        <v>#N/A</v>
      </c>
      <c r="E435" s="518" t="e">
        <f t="shared" si="20"/>
        <v>#N/A</v>
      </c>
      <c r="F435" s="1350" t="e">
        <v>#N/A</v>
      </c>
      <c r="G435" s="1347" t="e">
        <v>#N/A</v>
      </c>
      <c r="H435" s="507" t="e">
        <f t="shared" si="22"/>
        <v>#N/A</v>
      </c>
    </row>
    <row r="436" spans="1:8">
      <c r="A436" s="49">
        <f t="shared" si="18"/>
        <v>2028.07</v>
      </c>
      <c r="B436" s="319" t="e">
        <v>#N/A</v>
      </c>
      <c r="C436" s="1347" t="e">
        <v>#N/A</v>
      </c>
      <c r="D436" s="1347" t="e">
        <v>#N/A</v>
      </c>
      <c r="E436" s="518" t="e">
        <f t="shared" si="20"/>
        <v>#N/A</v>
      </c>
      <c r="F436" s="1350" t="e">
        <v>#N/A</v>
      </c>
      <c r="G436" s="1347" t="e">
        <v>#N/A</v>
      </c>
      <c r="H436" s="507" t="e">
        <f t="shared" si="22"/>
        <v>#N/A</v>
      </c>
    </row>
    <row r="437" spans="1:8">
      <c r="A437" s="49">
        <f t="shared" si="18"/>
        <v>2028.08</v>
      </c>
      <c r="B437" s="319" t="e">
        <v>#N/A</v>
      </c>
      <c r="C437" s="1347" t="e">
        <v>#N/A</v>
      </c>
      <c r="D437" s="1347" t="e">
        <v>#N/A</v>
      </c>
      <c r="E437" s="518" t="e">
        <f t="shared" si="20"/>
        <v>#N/A</v>
      </c>
      <c r="F437" s="1350" t="e">
        <v>#N/A</v>
      </c>
      <c r="G437" s="1347" t="e">
        <v>#N/A</v>
      </c>
      <c r="H437" s="507" t="e">
        <f t="shared" si="22"/>
        <v>#N/A</v>
      </c>
    </row>
    <row r="438" spans="1:8">
      <c r="A438" s="49">
        <f t="shared" si="18"/>
        <v>2028.09</v>
      </c>
      <c r="B438" s="319" t="e">
        <v>#N/A</v>
      </c>
      <c r="C438" s="1347" t="e">
        <v>#N/A</v>
      </c>
      <c r="D438" s="1347" t="e">
        <v>#N/A</v>
      </c>
      <c r="E438" s="518" t="e">
        <f t="shared" si="20"/>
        <v>#N/A</v>
      </c>
      <c r="F438" s="1350" t="e">
        <v>#N/A</v>
      </c>
      <c r="G438" s="1347" t="e">
        <v>#N/A</v>
      </c>
      <c r="H438" s="507" t="e">
        <f t="shared" si="22"/>
        <v>#N/A</v>
      </c>
    </row>
    <row r="439" spans="1:8">
      <c r="A439" s="49">
        <f t="shared" si="18"/>
        <v>2028.1</v>
      </c>
      <c r="B439" s="319" t="e">
        <v>#N/A</v>
      </c>
      <c r="C439" s="1347" t="e">
        <v>#N/A</v>
      </c>
      <c r="D439" s="1347" t="e">
        <v>#N/A</v>
      </c>
      <c r="E439" s="518" t="e">
        <f t="shared" si="20"/>
        <v>#N/A</v>
      </c>
      <c r="F439" s="1350" t="e">
        <v>#N/A</v>
      </c>
      <c r="G439" s="1347" t="e">
        <v>#N/A</v>
      </c>
      <c r="H439" s="507" t="e">
        <f t="shared" si="22"/>
        <v>#N/A</v>
      </c>
    </row>
    <row r="440" spans="1:8">
      <c r="A440" s="49">
        <f t="shared" si="18"/>
        <v>2028.11</v>
      </c>
      <c r="B440" s="319" t="e">
        <v>#N/A</v>
      </c>
      <c r="C440" s="1347" t="e">
        <v>#N/A</v>
      </c>
      <c r="D440" s="1347" t="e">
        <v>#N/A</v>
      </c>
      <c r="E440" s="518" t="e">
        <f t="shared" si="20"/>
        <v>#N/A</v>
      </c>
      <c r="F440" s="1350" t="e">
        <v>#N/A</v>
      </c>
      <c r="G440" s="1347" t="e">
        <v>#N/A</v>
      </c>
      <c r="H440" s="507" t="e">
        <f t="shared" si="22"/>
        <v>#N/A</v>
      </c>
    </row>
    <row r="441" spans="1:8">
      <c r="A441" s="49">
        <f t="shared" si="18"/>
        <v>2028.12</v>
      </c>
      <c r="B441" s="319" t="e">
        <v>#N/A</v>
      </c>
      <c r="C441" s="1347" t="e">
        <v>#N/A</v>
      </c>
      <c r="D441" s="1347" t="e">
        <v>#N/A</v>
      </c>
      <c r="E441" s="518" t="e">
        <f t="shared" si="20"/>
        <v>#N/A</v>
      </c>
      <c r="F441" s="1350" t="e">
        <v>#N/A</v>
      </c>
      <c r="G441" s="1347" t="e">
        <v>#N/A</v>
      </c>
      <c r="H441" s="507" t="e">
        <f t="shared" si="22"/>
        <v>#N/A</v>
      </c>
    </row>
    <row r="442" spans="1:8">
      <c r="A442" s="49">
        <f t="shared" si="18"/>
        <v>2029.01</v>
      </c>
      <c r="B442" s="319" t="e">
        <v>#N/A</v>
      </c>
      <c r="C442" s="1347" t="e">
        <v>#N/A</v>
      </c>
      <c r="D442" s="1347" t="e">
        <v>#N/A</v>
      </c>
      <c r="E442" s="518" t="e">
        <f t="shared" si="20"/>
        <v>#N/A</v>
      </c>
      <c r="F442" s="1350" t="e">
        <v>#N/A</v>
      </c>
      <c r="G442" s="1347" t="e">
        <v>#N/A</v>
      </c>
      <c r="H442" s="507" t="e">
        <f t="shared" si="22"/>
        <v>#N/A</v>
      </c>
    </row>
    <row r="443" spans="1:8">
      <c r="A443" s="49">
        <f t="shared" si="18"/>
        <v>2029.02</v>
      </c>
      <c r="B443" s="319" t="e">
        <v>#N/A</v>
      </c>
      <c r="C443" s="1347" t="e">
        <v>#N/A</v>
      </c>
      <c r="D443" s="1347" t="e">
        <v>#N/A</v>
      </c>
      <c r="E443" s="518" t="e">
        <f>D443*$E$9</f>
        <v>#N/A</v>
      </c>
      <c r="F443" s="1350" t="e">
        <v>#N/A</v>
      </c>
      <c r="G443" s="1347" t="e">
        <v>#N/A</v>
      </c>
      <c r="H443" s="507" t="e">
        <f t="shared" si="22"/>
        <v>#N/A</v>
      </c>
    </row>
    <row r="444" spans="1:8">
      <c r="A444" s="49">
        <f t="shared" si="18"/>
        <v>2029.03</v>
      </c>
      <c r="B444" s="319" t="e">
        <v>#N/A</v>
      </c>
      <c r="C444" s="1347" t="e">
        <v>#N/A</v>
      </c>
      <c r="D444" s="1347" t="e">
        <v>#N/A</v>
      </c>
      <c r="E444" s="518" t="e">
        <f t="shared" si="20"/>
        <v>#N/A</v>
      </c>
      <c r="F444" s="1350" t="e">
        <v>#N/A</v>
      </c>
      <c r="G444" s="1347" t="e">
        <v>#N/A</v>
      </c>
      <c r="H444" s="507" t="e">
        <f t="shared" si="22"/>
        <v>#N/A</v>
      </c>
    </row>
    <row r="445" spans="1:8">
      <c r="A445" s="49">
        <f t="shared" si="18"/>
        <v>2029.04</v>
      </c>
      <c r="B445" s="319" t="e">
        <v>#N/A</v>
      </c>
      <c r="C445" s="1347" t="e">
        <v>#N/A</v>
      </c>
      <c r="D445" s="1347" t="e">
        <v>#N/A</v>
      </c>
      <c r="E445" s="518" t="e">
        <f t="shared" si="20"/>
        <v>#N/A</v>
      </c>
      <c r="F445" s="1350" t="e">
        <v>#N/A</v>
      </c>
      <c r="G445" s="1347" t="e">
        <v>#N/A</v>
      </c>
      <c r="H445" s="507" t="e">
        <f t="shared" si="22"/>
        <v>#N/A</v>
      </c>
    </row>
    <row r="446" spans="1:8">
      <c r="A446" s="49">
        <f t="shared" ref="A446:A465" si="23">A434+1</f>
        <v>2029.05</v>
      </c>
      <c r="B446" s="319" t="e">
        <v>#N/A</v>
      </c>
      <c r="C446" s="1347" t="e">
        <v>#N/A</v>
      </c>
      <c r="D446" s="1347" t="e">
        <v>#N/A</v>
      </c>
      <c r="E446" s="518" t="e">
        <f t="shared" si="20"/>
        <v>#N/A</v>
      </c>
      <c r="F446" s="1350" t="e">
        <v>#N/A</v>
      </c>
      <c r="G446" s="1347" t="e">
        <v>#N/A</v>
      </c>
      <c r="H446" s="507" t="e">
        <f t="shared" si="22"/>
        <v>#N/A</v>
      </c>
    </row>
    <row r="447" spans="1:8">
      <c r="A447" s="49">
        <f t="shared" si="23"/>
        <v>2029.06</v>
      </c>
      <c r="B447" s="319" t="e">
        <v>#N/A</v>
      </c>
      <c r="C447" s="1347" t="e">
        <v>#N/A</v>
      </c>
      <c r="D447" s="1347" t="e">
        <v>#N/A</v>
      </c>
      <c r="E447" s="518" t="e">
        <f t="shared" si="20"/>
        <v>#N/A</v>
      </c>
      <c r="F447" s="1350" t="e">
        <v>#N/A</v>
      </c>
      <c r="G447" s="1347" t="e">
        <v>#N/A</v>
      </c>
      <c r="H447" s="507" t="e">
        <f t="shared" si="22"/>
        <v>#N/A</v>
      </c>
    </row>
    <row r="448" spans="1:8">
      <c r="A448" s="49">
        <f t="shared" si="23"/>
        <v>2029.07</v>
      </c>
      <c r="B448" s="319" t="e">
        <v>#N/A</v>
      </c>
      <c r="C448" s="1347" t="e">
        <v>#N/A</v>
      </c>
      <c r="D448" s="1347" t="e">
        <v>#N/A</v>
      </c>
      <c r="E448" s="518" t="e">
        <f t="shared" si="20"/>
        <v>#N/A</v>
      </c>
      <c r="F448" s="1350" t="e">
        <v>#N/A</v>
      </c>
      <c r="G448" s="1347" t="e">
        <v>#N/A</v>
      </c>
      <c r="H448" s="507" t="e">
        <f t="shared" si="22"/>
        <v>#N/A</v>
      </c>
    </row>
    <row r="449" spans="1:8">
      <c r="A449" s="49">
        <f t="shared" si="23"/>
        <v>2029.08</v>
      </c>
      <c r="B449" s="319" t="e">
        <v>#N/A</v>
      </c>
      <c r="C449" s="1347" t="e">
        <v>#N/A</v>
      </c>
      <c r="D449" s="1347" t="e">
        <v>#N/A</v>
      </c>
      <c r="E449" s="518" t="e">
        <f t="shared" si="20"/>
        <v>#N/A</v>
      </c>
      <c r="F449" s="1350" t="e">
        <v>#N/A</v>
      </c>
      <c r="G449" s="1347" t="e">
        <v>#N/A</v>
      </c>
      <c r="H449" s="507" t="e">
        <f t="shared" si="22"/>
        <v>#N/A</v>
      </c>
    </row>
    <row r="450" spans="1:8">
      <c r="A450" s="49">
        <f t="shared" si="23"/>
        <v>2029.09</v>
      </c>
      <c r="B450" s="319" t="e">
        <v>#N/A</v>
      </c>
      <c r="C450" s="1347" t="e">
        <v>#N/A</v>
      </c>
      <c r="D450" s="1347" t="e">
        <v>#N/A</v>
      </c>
      <c r="E450" s="518" t="e">
        <f t="shared" si="20"/>
        <v>#N/A</v>
      </c>
      <c r="F450" s="1350" t="e">
        <v>#N/A</v>
      </c>
      <c r="G450" s="1347" t="e">
        <v>#N/A</v>
      </c>
      <c r="H450" s="507" t="e">
        <f t="shared" si="22"/>
        <v>#N/A</v>
      </c>
    </row>
    <row r="451" spans="1:8">
      <c r="A451" s="49">
        <f t="shared" si="23"/>
        <v>2029.1</v>
      </c>
      <c r="B451" s="319" t="e">
        <v>#N/A</v>
      </c>
      <c r="C451" s="1347" t="e">
        <v>#N/A</v>
      </c>
      <c r="D451" s="1347" t="e">
        <v>#N/A</v>
      </c>
      <c r="E451" s="518" t="e">
        <f t="shared" si="20"/>
        <v>#N/A</v>
      </c>
      <c r="F451" s="1350" t="e">
        <v>#N/A</v>
      </c>
      <c r="G451" s="1347" t="e">
        <v>#N/A</v>
      </c>
      <c r="H451" s="507" t="e">
        <f t="shared" si="22"/>
        <v>#N/A</v>
      </c>
    </row>
    <row r="452" spans="1:8">
      <c r="A452" s="49">
        <f t="shared" si="23"/>
        <v>2029.11</v>
      </c>
      <c r="B452" s="319" t="e">
        <v>#N/A</v>
      </c>
      <c r="C452" s="1347" t="e">
        <v>#N/A</v>
      </c>
      <c r="D452" s="1347" t="e">
        <v>#N/A</v>
      </c>
      <c r="E452" s="518" t="e">
        <f t="shared" si="20"/>
        <v>#N/A</v>
      </c>
      <c r="F452" s="1350" t="e">
        <v>#N/A</v>
      </c>
      <c r="G452" s="1347" t="e">
        <v>#N/A</v>
      </c>
      <c r="H452" s="507" t="e">
        <f t="shared" si="22"/>
        <v>#N/A</v>
      </c>
    </row>
    <row r="453" spans="1:8">
      <c r="A453" s="49">
        <f t="shared" si="23"/>
        <v>2029.12</v>
      </c>
      <c r="B453" s="319" t="e">
        <v>#N/A</v>
      </c>
      <c r="C453" s="1347" t="e">
        <v>#N/A</v>
      </c>
      <c r="D453" s="1347" t="e">
        <v>#N/A</v>
      </c>
      <c r="E453" s="518" t="e">
        <f t="shared" si="20"/>
        <v>#N/A</v>
      </c>
      <c r="F453" s="1350" t="e">
        <v>#N/A</v>
      </c>
      <c r="G453" s="1347" t="e">
        <v>#N/A</v>
      </c>
      <c r="H453" s="507" t="e">
        <f t="shared" si="22"/>
        <v>#N/A</v>
      </c>
    </row>
    <row r="454" spans="1:8">
      <c r="A454" s="49">
        <f t="shared" si="23"/>
        <v>2030.01</v>
      </c>
      <c r="B454" s="319" t="e">
        <v>#N/A</v>
      </c>
      <c r="C454" s="1347" t="e">
        <v>#N/A</v>
      </c>
      <c r="D454" s="1347" t="e">
        <v>#N/A</v>
      </c>
      <c r="E454" s="518" t="e">
        <f t="shared" si="20"/>
        <v>#N/A</v>
      </c>
      <c r="F454" s="1350" t="e">
        <v>#N/A</v>
      </c>
      <c r="G454" s="1347" t="e">
        <v>#N/A</v>
      </c>
      <c r="H454" s="507" t="e">
        <f t="shared" si="22"/>
        <v>#N/A</v>
      </c>
    </row>
    <row r="455" spans="1:8">
      <c r="A455" s="49">
        <f t="shared" si="23"/>
        <v>2030.02</v>
      </c>
      <c r="B455" s="319" t="e">
        <v>#N/A</v>
      </c>
      <c r="C455" s="1347" t="e">
        <v>#N/A</v>
      </c>
      <c r="D455" s="1347" t="e">
        <v>#N/A</v>
      </c>
      <c r="E455" s="518" t="e">
        <f t="shared" si="20"/>
        <v>#N/A</v>
      </c>
      <c r="F455" s="1350" t="e">
        <v>#N/A</v>
      </c>
      <c r="G455" s="1347" t="e">
        <v>#N/A</v>
      </c>
      <c r="H455" s="507" t="e">
        <f t="shared" si="22"/>
        <v>#N/A</v>
      </c>
    </row>
    <row r="456" spans="1:8">
      <c r="A456" s="49">
        <f t="shared" si="23"/>
        <v>2030.03</v>
      </c>
      <c r="B456" s="319" t="e">
        <v>#N/A</v>
      </c>
      <c r="C456" s="1347" t="e">
        <v>#N/A</v>
      </c>
      <c r="D456" s="1347" t="e">
        <v>#N/A</v>
      </c>
      <c r="E456" s="518" t="e">
        <f t="shared" si="20"/>
        <v>#N/A</v>
      </c>
      <c r="F456" s="1350" t="e">
        <v>#N/A</v>
      </c>
      <c r="G456" s="1347" t="e">
        <v>#N/A</v>
      </c>
      <c r="H456" s="507" t="e">
        <f t="shared" si="22"/>
        <v>#N/A</v>
      </c>
    </row>
    <row r="457" spans="1:8">
      <c r="A457" s="49">
        <f t="shared" si="23"/>
        <v>2030.04</v>
      </c>
      <c r="B457" s="319" t="e">
        <v>#N/A</v>
      </c>
      <c r="C457" s="1347" t="e">
        <v>#N/A</v>
      </c>
      <c r="D457" s="1347" t="e">
        <v>#N/A</v>
      </c>
      <c r="E457" s="518" t="e">
        <f>D457*$E$9</f>
        <v>#N/A</v>
      </c>
      <c r="F457" s="1350" t="e">
        <v>#N/A</v>
      </c>
      <c r="G457" s="1347" t="e">
        <v>#N/A</v>
      </c>
      <c r="H457" s="507" t="e">
        <f t="shared" si="22"/>
        <v>#N/A</v>
      </c>
    </row>
    <row r="458" spans="1:8">
      <c r="A458" s="49">
        <f t="shared" si="23"/>
        <v>2030.05</v>
      </c>
      <c r="B458" s="319" t="e">
        <v>#N/A</v>
      </c>
      <c r="C458" s="1347" t="e">
        <v>#N/A</v>
      </c>
      <c r="D458" s="1347" t="e">
        <v>#N/A</v>
      </c>
      <c r="E458" s="518" t="e">
        <f t="shared" si="20"/>
        <v>#N/A</v>
      </c>
      <c r="F458" s="1350" t="e">
        <v>#N/A</v>
      </c>
      <c r="G458" s="1347" t="e">
        <v>#N/A</v>
      </c>
      <c r="H458" s="507" t="e">
        <f t="shared" si="22"/>
        <v>#N/A</v>
      </c>
    </row>
    <row r="459" spans="1:8">
      <c r="A459" s="49">
        <f t="shared" si="23"/>
        <v>2030.06</v>
      </c>
      <c r="B459" s="319" t="e">
        <v>#N/A</v>
      </c>
      <c r="C459" s="1347" t="e">
        <v>#N/A</v>
      </c>
      <c r="D459" s="1347" t="e">
        <v>#N/A</v>
      </c>
      <c r="E459" s="518" t="e">
        <f t="shared" si="20"/>
        <v>#N/A</v>
      </c>
      <c r="F459" s="1350" t="e">
        <v>#N/A</v>
      </c>
      <c r="G459" s="1347" t="e">
        <v>#N/A</v>
      </c>
      <c r="H459" s="507" t="e">
        <f t="shared" si="22"/>
        <v>#N/A</v>
      </c>
    </row>
    <row r="460" spans="1:8">
      <c r="A460" s="49">
        <f t="shared" si="23"/>
        <v>2030.07</v>
      </c>
      <c r="B460" s="319" t="e">
        <v>#N/A</v>
      </c>
      <c r="C460" s="1347" t="e">
        <v>#N/A</v>
      </c>
      <c r="D460" s="1347" t="e">
        <v>#N/A</v>
      </c>
      <c r="E460" s="518" t="e">
        <f t="shared" si="20"/>
        <v>#N/A</v>
      </c>
      <c r="F460" s="1350" t="e">
        <v>#N/A</v>
      </c>
      <c r="G460" s="1347" t="e">
        <v>#N/A</v>
      </c>
      <c r="H460" s="507" t="e">
        <f t="shared" si="22"/>
        <v>#N/A</v>
      </c>
    </row>
    <row r="461" spans="1:8">
      <c r="A461" s="49">
        <f t="shared" si="23"/>
        <v>2030.08</v>
      </c>
      <c r="B461" s="319" t="e">
        <v>#N/A</v>
      </c>
      <c r="C461" s="1347" t="e">
        <v>#N/A</v>
      </c>
      <c r="D461" s="1347" t="e">
        <v>#N/A</v>
      </c>
      <c r="E461" s="518" t="e">
        <f t="shared" si="20"/>
        <v>#N/A</v>
      </c>
      <c r="F461" s="1350" t="e">
        <v>#N/A</v>
      </c>
      <c r="G461" s="1347" t="e">
        <v>#N/A</v>
      </c>
      <c r="H461" s="507" t="e">
        <f t="shared" si="22"/>
        <v>#N/A</v>
      </c>
    </row>
    <row r="462" spans="1:8">
      <c r="A462" s="49">
        <f t="shared" si="23"/>
        <v>2030.09</v>
      </c>
      <c r="B462" s="319" t="e">
        <v>#N/A</v>
      </c>
      <c r="C462" s="1347" t="e">
        <v>#N/A</v>
      </c>
      <c r="D462" s="1347" t="e">
        <v>#N/A</v>
      </c>
      <c r="E462" s="518" t="e">
        <f t="shared" si="20"/>
        <v>#N/A</v>
      </c>
      <c r="F462" s="1350" t="e">
        <v>#N/A</v>
      </c>
      <c r="G462" s="1347" t="e">
        <v>#N/A</v>
      </c>
      <c r="H462" s="507" t="e">
        <f t="shared" si="22"/>
        <v>#N/A</v>
      </c>
    </row>
    <row r="463" spans="1:8">
      <c r="A463" s="49">
        <f t="shared" si="23"/>
        <v>2030.1</v>
      </c>
      <c r="B463" s="319" t="e">
        <v>#N/A</v>
      </c>
      <c r="C463" s="1347" t="e">
        <v>#N/A</v>
      </c>
      <c r="D463" s="1347" t="e">
        <v>#N/A</v>
      </c>
      <c r="E463" s="518" t="e">
        <f t="shared" si="20"/>
        <v>#N/A</v>
      </c>
      <c r="F463" s="1350" t="e">
        <v>#N/A</v>
      </c>
      <c r="G463" s="1347" t="e">
        <v>#N/A</v>
      </c>
      <c r="H463" s="507" t="e">
        <f t="shared" si="22"/>
        <v>#N/A</v>
      </c>
    </row>
    <row r="464" spans="1:8">
      <c r="A464" s="49">
        <f t="shared" si="23"/>
        <v>2030.11</v>
      </c>
      <c r="B464" s="319" t="e">
        <v>#N/A</v>
      </c>
      <c r="C464" s="1347" t="e">
        <v>#N/A</v>
      </c>
      <c r="D464" s="1347" t="e">
        <v>#N/A</v>
      </c>
      <c r="E464" s="518" t="e">
        <f t="shared" si="20"/>
        <v>#N/A</v>
      </c>
      <c r="F464" s="1350" t="e">
        <v>#N/A</v>
      </c>
      <c r="G464" s="1347" t="e">
        <v>#N/A</v>
      </c>
      <c r="H464" s="507" t="e">
        <f t="shared" si="22"/>
        <v>#N/A</v>
      </c>
    </row>
    <row r="465" spans="1:15">
      <c r="A465" s="49">
        <f t="shared" si="23"/>
        <v>2030.12</v>
      </c>
      <c r="B465" s="319" t="e">
        <v>#N/A</v>
      </c>
      <c r="C465" s="1347" t="e">
        <v>#N/A</v>
      </c>
      <c r="D465" s="1347" t="e">
        <v>#N/A</v>
      </c>
      <c r="E465" s="518" t="e">
        <f t="shared" si="20"/>
        <v>#N/A</v>
      </c>
      <c r="F465" s="1350" t="e">
        <v>#N/A</v>
      </c>
      <c r="G465" s="1347" t="e">
        <v>#N/A</v>
      </c>
      <c r="H465" s="507" t="e">
        <f t="shared" si="22"/>
        <v>#N/A</v>
      </c>
    </row>
    <row r="466" spans="1:15">
      <c r="H466" s="19"/>
    </row>
    <row r="467" spans="1:15">
      <c r="H467" s="19"/>
      <c r="I467" s="19"/>
      <c r="J467" s="19"/>
      <c r="K467" s="19"/>
      <c r="L467" s="289"/>
      <c r="M467" s="19"/>
      <c r="N467" s="19"/>
      <c r="O467" s="19"/>
    </row>
    <row r="468" spans="1:15">
      <c r="H468" s="19"/>
      <c r="I468" s="19"/>
      <c r="J468" s="19"/>
      <c r="K468" s="19"/>
      <c r="L468" s="289"/>
      <c r="M468" s="19"/>
      <c r="N468" s="19"/>
      <c r="O468" s="289"/>
    </row>
    <row r="469" spans="1:15">
      <c r="H469" s="19"/>
      <c r="I469" s="19"/>
      <c r="J469" s="19"/>
      <c r="K469" s="19"/>
      <c r="L469" s="289"/>
      <c r="M469" s="19"/>
      <c r="N469" s="19"/>
      <c r="O469" s="289"/>
    </row>
    <row r="470" spans="1:15">
      <c r="H470" s="19"/>
      <c r="I470" s="19"/>
      <c r="J470" s="19"/>
      <c r="K470" s="19"/>
      <c r="L470" s="289"/>
      <c r="M470" s="19"/>
      <c r="N470" s="19"/>
      <c r="O470" s="289"/>
    </row>
  </sheetData>
  <phoneticPr fontId="0" type="noConversion"/>
  <hyperlinks>
    <hyperlink ref="A5" location="INDICE!A13" display="VOLVER AL INDICE" xr:uid="{00000000-0004-0000-04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6">
    <pageSetUpPr autoPageBreaks="0"/>
  </sheetPr>
  <dimension ref="A1:G453"/>
  <sheetViews>
    <sheetView zoomScale="115" zoomScaleNormal="115" workbookViewId="0">
      <pane xSplit="1" ySplit="9" topLeftCell="B362" activePane="bottomRight" state="frozen"/>
      <selection sqref="A1:A5"/>
      <selection pane="topRight" sqref="A1:A5"/>
      <selection pane="bottomLeft" sqref="A1:A5"/>
      <selection pane="bottomRight" activeCell="A5" sqref="A5"/>
    </sheetView>
  </sheetViews>
  <sheetFormatPr baseColWidth="10" defaultColWidth="11.42578125" defaultRowHeight="12.75"/>
  <cols>
    <col min="1" max="1" width="10.42578125" style="19" bestFit="1" customWidth="1"/>
    <col min="2" max="2" width="27" style="19" customWidth="1"/>
    <col min="3" max="3" width="26.42578125" style="19" customWidth="1"/>
    <col min="4" max="16384" width="11.42578125" style="1"/>
  </cols>
  <sheetData>
    <row r="1" spans="1:4" ht="3.75" customHeight="1">
      <c r="A1" s="47"/>
      <c r="B1" s="259"/>
      <c r="C1" s="208"/>
      <c r="D1" s="10"/>
    </row>
    <row r="2" spans="1:4" ht="33.75">
      <c r="A2" s="47" t="s">
        <v>212</v>
      </c>
      <c r="B2" s="40" t="s">
        <v>268</v>
      </c>
      <c r="C2" s="41" t="s">
        <v>353</v>
      </c>
      <c r="D2" s="5" t="s">
        <v>74</v>
      </c>
    </row>
    <row r="3" spans="1:4">
      <c r="A3" s="47" t="s">
        <v>211</v>
      </c>
      <c r="B3" s="258" t="s">
        <v>267</v>
      </c>
      <c r="C3" s="415"/>
      <c r="D3" s="5" t="s">
        <v>74</v>
      </c>
    </row>
    <row r="4" spans="1:4" ht="3" customHeight="1">
      <c r="A4" s="224"/>
      <c r="B4" s="40"/>
      <c r="C4" s="129"/>
      <c r="D4" s="5" t="s">
        <v>74</v>
      </c>
    </row>
    <row r="5" spans="1:4" s="19" customFormat="1" ht="22.5">
      <c r="A5" s="45" t="s">
        <v>213</v>
      </c>
      <c r="B5" s="124" t="s">
        <v>117</v>
      </c>
      <c r="C5" s="90" t="s">
        <v>117</v>
      </c>
      <c r="D5" s="6" t="s">
        <v>74</v>
      </c>
    </row>
    <row r="6" spans="1:4" s="19" customFormat="1" ht="3" customHeight="1">
      <c r="A6" s="224"/>
      <c r="B6" s="269"/>
      <c r="C6" s="129"/>
      <c r="D6" s="346"/>
    </row>
    <row r="7" spans="1:4" s="19" customFormat="1" ht="22.5">
      <c r="A7" s="47" t="s">
        <v>210</v>
      </c>
      <c r="B7" s="124" t="s">
        <v>215</v>
      </c>
      <c r="C7" s="90" t="s">
        <v>215</v>
      </c>
      <c r="D7" s="6" t="s">
        <v>74</v>
      </c>
    </row>
    <row r="8" spans="1:4" s="19" customFormat="1" ht="13.5" customHeight="1">
      <c r="A8" s="225" t="s">
        <v>412</v>
      </c>
      <c r="B8" s="396" t="s">
        <v>308</v>
      </c>
      <c r="C8" s="395" t="s">
        <v>309</v>
      </c>
      <c r="D8" s="347" t="s">
        <v>74</v>
      </c>
    </row>
    <row r="9" spans="1:4" ht="13.5" thickBot="1">
      <c r="A9" s="194"/>
      <c r="B9" s="267"/>
      <c r="C9" s="161"/>
      <c r="D9" s="344" t="s">
        <v>74</v>
      </c>
    </row>
    <row r="10" spans="1:4">
      <c r="A10" s="85">
        <v>1994.01</v>
      </c>
      <c r="B10" s="274">
        <v>101502.326514179</v>
      </c>
      <c r="C10" s="416"/>
      <c r="D10" s="414"/>
    </row>
    <row r="11" spans="1:4">
      <c r="A11" s="85">
        <v>1994.02</v>
      </c>
      <c r="B11" s="108">
        <v>89826.435423328207</v>
      </c>
      <c r="C11" s="417"/>
      <c r="D11" s="414"/>
    </row>
    <row r="12" spans="1:4">
      <c r="A12" s="85">
        <v>1994.03</v>
      </c>
      <c r="B12" s="108">
        <v>95419.858465009893</v>
      </c>
      <c r="C12" s="417"/>
      <c r="D12" s="414"/>
    </row>
    <row r="13" spans="1:4">
      <c r="A13" s="85">
        <v>1994.04</v>
      </c>
      <c r="B13" s="108">
        <v>84582.241096539699</v>
      </c>
      <c r="C13" s="417"/>
      <c r="D13" s="414"/>
    </row>
    <row r="14" spans="1:4">
      <c r="A14" s="85">
        <v>1994.05</v>
      </c>
      <c r="B14" s="108">
        <v>97698.537419735207</v>
      </c>
      <c r="C14" s="417"/>
      <c r="D14" s="414"/>
    </row>
    <row r="15" spans="1:4">
      <c r="A15" s="85">
        <v>1994.06</v>
      </c>
      <c r="B15" s="108">
        <v>92990.988217492195</v>
      </c>
      <c r="C15" s="417"/>
      <c r="D15" s="414"/>
    </row>
    <row r="16" spans="1:4">
      <c r="A16" s="85">
        <v>1994.07</v>
      </c>
      <c r="B16" s="108">
        <v>90392.373347513494</v>
      </c>
      <c r="C16" s="417"/>
      <c r="D16" s="414"/>
    </row>
    <row r="17" spans="1:4">
      <c r="A17" s="85">
        <v>1994.08</v>
      </c>
      <c r="B17" s="108">
        <v>93247.387389744297</v>
      </c>
      <c r="C17" s="417"/>
      <c r="D17" s="414"/>
    </row>
    <row r="18" spans="1:4">
      <c r="A18" s="85">
        <v>1994.09</v>
      </c>
      <c r="B18" s="108">
        <v>85676.482979536799</v>
      </c>
      <c r="C18" s="417"/>
      <c r="D18" s="414"/>
    </row>
    <row r="19" spans="1:4">
      <c r="A19" s="85">
        <v>1994.1</v>
      </c>
      <c r="B19" s="108">
        <v>87042.299022756692</v>
      </c>
      <c r="C19" s="417"/>
      <c r="D19" s="414"/>
    </row>
    <row r="20" spans="1:4">
      <c r="A20" s="85">
        <v>1994.11</v>
      </c>
      <c r="B20" s="108">
        <v>83693.091995603099</v>
      </c>
      <c r="C20" s="417"/>
      <c r="D20" s="414"/>
    </row>
    <row r="21" spans="1:4">
      <c r="A21" s="85">
        <v>1994.12</v>
      </c>
      <c r="B21" s="108">
        <v>77341.213677086504</v>
      </c>
      <c r="C21" s="417"/>
      <c r="D21" s="414"/>
    </row>
    <row r="22" spans="1:4">
      <c r="A22" s="85">
        <v>1995.01</v>
      </c>
      <c r="B22" s="108">
        <v>98821.545516689599</v>
      </c>
      <c r="C22" s="417"/>
      <c r="D22" s="414"/>
    </row>
    <row r="23" spans="1:4">
      <c r="A23" s="85">
        <v>1995.02</v>
      </c>
      <c r="B23" s="108">
        <v>87454.026736504704</v>
      </c>
      <c r="C23" s="417"/>
      <c r="D23" s="414"/>
    </row>
    <row r="24" spans="1:4">
      <c r="A24" s="85">
        <v>1995.03</v>
      </c>
      <c r="B24" s="108">
        <v>92899.721714052299</v>
      </c>
      <c r="C24" s="417"/>
      <c r="D24" s="414"/>
    </row>
    <row r="25" spans="1:4">
      <c r="A25" s="85">
        <v>1995.04</v>
      </c>
      <c r="B25" s="108">
        <v>82348.336983760906</v>
      </c>
      <c r="C25" s="417"/>
      <c r="D25" s="414"/>
    </row>
    <row r="26" spans="1:4">
      <c r="A26" s="85">
        <v>1995.05</v>
      </c>
      <c r="B26" s="108">
        <v>95118.218410389993</v>
      </c>
      <c r="C26" s="417"/>
      <c r="D26" s="414"/>
    </row>
    <row r="27" spans="1:4">
      <c r="A27" s="85">
        <v>1995.06</v>
      </c>
      <c r="B27" s="108">
        <v>90535.000431671811</v>
      </c>
      <c r="C27" s="417"/>
      <c r="D27" s="414"/>
    </row>
    <row r="28" spans="1:4">
      <c r="A28" s="85">
        <v>1995.07</v>
      </c>
      <c r="B28" s="108">
        <v>88005.017657158009</v>
      </c>
      <c r="C28" s="417"/>
      <c r="D28" s="414"/>
    </row>
    <row r="29" spans="1:4">
      <c r="A29" s="85">
        <v>1995.08</v>
      </c>
      <c r="B29" s="108">
        <v>90784.627837676104</v>
      </c>
      <c r="C29" s="417"/>
      <c r="D29" s="414"/>
    </row>
    <row r="30" spans="1:4">
      <c r="A30" s="85">
        <v>1995.09</v>
      </c>
      <c r="B30" s="108">
        <v>83413.678811485006</v>
      </c>
      <c r="C30" s="417"/>
      <c r="D30" s="414"/>
    </row>
    <row r="31" spans="1:4">
      <c r="A31" s="85">
        <v>1995.1</v>
      </c>
      <c r="B31" s="108">
        <v>84743.422246120608</v>
      </c>
      <c r="C31" s="417"/>
      <c r="D31" s="414"/>
    </row>
    <row r="32" spans="1:4">
      <c r="A32" s="85">
        <v>1995.11</v>
      </c>
      <c r="B32" s="108">
        <v>81482.671226463499</v>
      </c>
      <c r="C32" s="417"/>
      <c r="D32" s="414"/>
    </row>
    <row r="33" spans="1:5">
      <c r="A33" s="85">
        <v>1995.12</v>
      </c>
      <c r="B33" s="108">
        <v>75298.552557202493</v>
      </c>
      <c r="C33" s="417"/>
      <c r="D33" s="414"/>
    </row>
    <row r="34" spans="1:5">
      <c r="A34" s="85">
        <v>1996.01</v>
      </c>
      <c r="B34" s="74">
        <v>92442.506955294797</v>
      </c>
      <c r="C34" s="132">
        <v>1681804.3830000001</v>
      </c>
      <c r="D34" s="512"/>
      <c r="E34" s="512"/>
    </row>
    <row r="35" spans="1:5">
      <c r="A35" s="85">
        <v>1996.02</v>
      </c>
      <c r="B35" s="74">
        <v>87390.448967887496</v>
      </c>
      <c r="C35" s="93">
        <v>1634886.1880000001</v>
      </c>
      <c r="D35" s="512"/>
      <c r="E35" s="512"/>
    </row>
    <row r="36" spans="1:5">
      <c r="A36" s="85">
        <v>1996.03</v>
      </c>
      <c r="B36" s="74">
        <v>100106.60416868031</v>
      </c>
      <c r="C36" s="93">
        <v>1705176.5359999998</v>
      </c>
      <c r="D36" s="512"/>
      <c r="E36" s="512"/>
    </row>
    <row r="37" spans="1:5">
      <c r="A37" s="85">
        <v>1996.04</v>
      </c>
      <c r="B37" s="74">
        <v>76400.409875402882</v>
      </c>
      <c r="C37" s="93">
        <v>1573778.32972</v>
      </c>
      <c r="D37" s="512"/>
      <c r="E37" s="512"/>
    </row>
    <row r="38" spans="1:5">
      <c r="A38" s="85">
        <v>1996.05</v>
      </c>
      <c r="B38" s="74">
        <v>99173.510537193477</v>
      </c>
      <c r="C38" s="93">
        <v>1685070.5119999996</v>
      </c>
      <c r="D38" s="512"/>
      <c r="E38" s="512"/>
    </row>
    <row r="39" spans="1:5">
      <c r="A39" s="85">
        <v>1996.06</v>
      </c>
      <c r="B39" s="74">
        <v>88592.521071340569</v>
      </c>
      <c r="C39" s="93">
        <v>1602537.1251700001</v>
      </c>
      <c r="D39" s="512"/>
      <c r="E39" s="512"/>
    </row>
    <row r="40" spans="1:5">
      <c r="A40" s="85">
        <v>1996.07</v>
      </c>
      <c r="B40" s="74">
        <v>80360.776777878928</v>
      </c>
      <c r="C40" s="93">
        <v>1700189.3160000001</v>
      </c>
      <c r="D40" s="512"/>
      <c r="E40" s="512"/>
    </row>
    <row r="41" spans="1:5">
      <c r="A41" s="85">
        <v>1996.08</v>
      </c>
      <c r="B41" s="74">
        <v>86336.211892516483</v>
      </c>
      <c r="C41" s="93">
        <v>1800893.997</v>
      </c>
      <c r="D41" s="512"/>
      <c r="E41" s="512"/>
    </row>
    <row r="42" spans="1:5">
      <c r="A42" s="85">
        <v>1996.09</v>
      </c>
      <c r="B42" s="74">
        <v>70195.117046728963</v>
      </c>
      <c r="C42" s="93">
        <v>1571447.1659999997</v>
      </c>
      <c r="D42" s="512"/>
      <c r="E42" s="512"/>
    </row>
    <row r="43" spans="1:5">
      <c r="A43" s="85">
        <v>1996.1</v>
      </c>
      <c r="B43" s="74">
        <v>83169.193089555483</v>
      </c>
      <c r="C43" s="93">
        <v>1781489.4750000001</v>
      </c>
      <c r="D43" s="512"/>
      <c r="E43" s="512"/>
    </row>
    <row r="44" spans="1:5">
      <c r="A44" s="85">
        <v>1996.11</v>
      </c>
      <c r="B44" s="74">
        <v>76911.572410581284</v>
      </c>
      <c r="C44" s="93">
        <v>1789509.2489999998</v>
      </c>
      <c r="D44" s="512"/>
      <c r="E44" s="512"/>
    </row>
    <row r="45" spans="1:5">
      <c r="A45" s="85">
        <v>1996.12</v>
      </c>
      <c r="B45" s="74">
        <v>65868.398626546696</v>
      </c>
      <c r="C45" s="93">
        <v>1624639.1150000002</v>
      </c>
      <c r="D45" s="512"/>
      <c r="E45" s="512"/>
    </row>
    <row r="46" spans="1:5">
      <c r="A46" s="85">
        <v>1997.01</v>
      </c>
      <c r="B46" s="74">
        <v>100054.61499338708</v>
      </c>
      <c r="C46" s="93">
        <v>1934474.0979999998</v>
      </c>
      <c r="D46" s="512"/>
      <c r="E46" s="512"/>
    </row>
    <row r="47" spans="1:5">
      <c r="A47" s="85">
        <v>1997.02</v>
      </c>
      <c r="B47" s="74">
        <v>83294.936162635582</v>
      </c>
      <c r="C47" s="93">
        <v>1702168.8709999998</v>
      </c>
      <c r="D47" s="512"/>
      <c r="E47" s="512"/>
    </row>
    <row r="48" spans="1:5">
      <c r="A48" s="85">
        <v>1997.03</v>
      </c>
      <c r="B48" s="74">
        <v>88229.606297174672</v>
      </c>
      <c r="C48" s="93">
        <v>1699710.2659999998</v>
      </c>
      <c r="D48" s="512"/>
      <c r="E48" s="512"/>
    </row>
    <row r="49" spans="1:5">
      <c r="A49" s="85">
        <v>1997.04</v>
      </c>
      <c r="B49" s="74">
        <v>83143.086816911615</v>
      </c>
      <c r="C49" s="93">
        <v>1808992.8230000001</v>
      </c>
      <c r="D49" s="512"/>
      <c r="E49" s="512"/>
    </row>
    <row r="50" spans="1:5">
      <c r="A50" s="85">
        <v>1997.05</v>
      </c>
      <c r="B50" s="74">
        <v>92596.317354727886</v>
      </c>
      <c r="C50" s="93">
        <v>1884623.2650000001</v>
      </c>
      <c r="D50" s="512"/>
      <c r="E50" s="512"/>
    </row>
    <row r="51" spans="1:5">
      <c r="A51" s="85">
        <v>1997.06</v>
      </c>
      <c r="B51" s="74">
        <v>83141.584989484749</v>
      </c>
      <c r="C51" s="93">
        <v>1774658</v>
      </c>
      <c r="D51" s="512"/>
      <c r="E51" s="512"/>
    </row>
    <row r="52" spans="1:5">
      <c r="A52" s="85">
        <v>1997.07</v>
      </c>
      <c r="B52" s="74">
        <v>77689.576499975825</v>
      </c>
      <c r="C52" s="93">
        <v>1829115.5153199998</v>
      </c>
      <c r="D52" s="512"/>
      <c r="E52" s="512"/>
    </row>
    <row r="53" spans="1:5">
      <c r="A53" s="85">
        <v>1997.08</v>
      </c>
      <c r="B53" s="74">
        <v>90006.659898069629</v>
      </c>
      <c r="C53" s="93">
        <v>1913992.1202200002</v>
      </c>
      <c r="D53" s="512"/>
      <c r="E53" s="512"/>
    </row>
    <row r="54" spans="1:5">
      <c r="A54" s="85">
        <v>1997.09</v>
      </c>
      <c r="B54" s="74">
        <v>87943.99994226612</v>
      </c>
      <c r="C54" s="93">
        <v>2036527.07593</v>
      </c>
      <c r="D54" s="512"/>
      <c r="E54" s="512"/>
    </row>
    <row r="55" spans="1:5">
      <c r="A55" s="85">
        <v>1997.1</v>
      </c>
      <c r="B55" s="74">
        <v>79438.776515631049</v>
      </c>
      <c r="C55" s="93">
        <v>1973309.7508799995</v>
      </c>
      <c r="D55" s="512"/>
      <c r="E55" s="512"/>
    </row>
    <row r="56" spans="1:5">
      <c r="A56" s="85">
        <v>1997.11</v>
      </c>
      <c r="B56" s="74">
        <v>82610.768334254259</v>
      </c>
      <c r="C56" s="93">
        <v>1873869.9154499993</v>
      </c>
      <c r="D56" s="512"/>
      <c r="E56" s="512"/>
    </row>
    <row r="57" spans="1:5">
      <c r="A57" s="85">
        <v>1997.12</v>
      </c>
      <c r="B57" s="74">
        <v>74712.241863817762</v>
      </c>
      <c r="C57" s="93">
        <v>1905676.5446000001</v>
      </c>
      <c r="D57" s="512"/>
      <c r="E57" s="512"/>
    </row>
    <row r="58" spans="1:5">
      <c r="A58" s="85">
        <v>1998.01</v>
      </c>
      <c r="B58" s="74">
        <v>91117</v>
      </c>
      <c r="C58" s="93">
        <v>2001649</v>
      </c>
      <c r="D58" s="512"/>
      <c r="E58" s="512"/>
    </row>
    <row r="59" spans="1:5">
      <c r="A59" s="85">
        <v>1998.02</v>
      </c>
      <c r="B59" s="74">
        <v>71040</v>
      </c>
      <c r="C59" s="93">
        <v>1792678</v>
      </c>
      <c r="D59" s="512"/>
      <c r="E59" s="512"/>
    </row>
    <row r="60" spans="1:5">
      <c r="A60" s="85">
        <v>1998.03</v>
      </c>
      <c r="B60" s="74">
        <v>74686</v>
      </c>
      <c r="C60" s="93">
        <v>1869131</v>
      </c>
      <c r="D60" s="512"/>
      <c r="E60" s="512"/>
    </row>
    <row r="61" spans="1:5">
      <c r="A61" s="85">
        <v>1998.04</v>
      </c>
      <c r="B61" s="74">
        <v>77125</v>
      </c>
      <c r="C61" s="93">
        <v>1913600</v>
      </c>
      <c r="D61" s="512"/>
      <c r="E61" s="512"/>
    </row>
    <row r="62" spans="1:5">
      <c r="A62" s="85">
        <v>1998.05</v>
      </c>
      <c r="B62" s="74">
        <v>77454</v>
      </c>
      <c r="C62" s="93">
        <v>1807181</v>
      </c>
      <c r="D62" s="512"/>
      <c r="E62" s="512"/>
    </row>
    <row r="63" spans="1:5">
      <c r="A63" s="85">
        <v>1998.06</v>
      </c>
      <c r="B63" s="74">
        <v>86020</v>
      </c>
      <c r="C63" s="93">
        <v>1922010</v>
      </c>
      <c r="D63" s="512"/>
      <c r="E63" s="512"/>
    </row>
    <row r="64" spans="1:5">
      <c r="A64" s="85">
        <v>1998.07</v>
      </c>
      <c r="B64" s="74">
        <v>82110</v>
      </c>
      <c r="C64" s="93">
        <v>2005247</v>
      </c>
      <c r="D64" s="512"/>
      <c r="E64" s="512"/>
    </row>
    <row r="65" spans="1:5">
      <c r="A65" s="85">
        <v>1998.08</v>
      </c>
      <c r="B65" s="74">
        <v>78710</v>
      </c>
      <c r="C65" s="93">
        <v>1908841</v>
      </c>
      <c r="D65" s="512"/>
      <c r="E65" s="512"/>
    </row>
    <row r="66" spans="1:5">
      <c r="A66" s="85">
        <v>1998.09</v>
      </c>
      <c r="B66" s="74">
        <v>79892</v>
      </c>
      <c r="C66" s="93">
        <v>1921579</v>
      </c>
      <c r="D66" s="512"/>
      <c r="E66" s="512"/>
    </row>
    <row r="67" spans="1:5">
      <c r="A67" s="85">
        <v>1998.1</v>
      </c>
      <c r="B67" s="74">
        <v>74688</v>
      </c>
      <c r="C67" s="93">
        <v>1846888</v>
      </c>
      <c r="D67" s="512"/>
      <c r="E67" s="512"/>
    </row>
    <row r="68" spans="1:5">
      <c r="A68" s="85">
        <v>1998.11</v>
      </c>
      <c r="B68" s="74">
        <v>67172</v>
      </c>
      <c r="C68" s="93">
        <v>1822638</v>
      </c>
      <c r="D68" s="512"/>
      <c r="E68" s="512"/>
    </row>
    <row r="69" spans="1:5">
      <c r="A69" s="85">
        <v>1998.12</v>
      </c>
      <c r="B69" s="74">
        <v>70827</v>
      </c>
      <c r="C69" s="93">
        <v>1778506</v>
      </c>
      <c r="D69" s="512"/>
      <c r="E69" s="512"/>
    </row>
    <row r="70" spans="1:5">
      <c r="A70" s="85">
        <v>1999.01</v>
      </c>
      <c r="B70" s="74">
        <v>84864</v>
      </c>
      <c r="C70" s="93">
        <v>1864139</v>
      </c>
      <c r="D70" s="512"/>
      <c r="E70" s="512"/>
    </row>
    <row r="71" spans="1:5">
      <c r="A71" s="85">
        <v>1999.02</v>
      </c>
      <c r="B71" s="74">
        <v>73241</v>
      </c>
      <c r="C71" s="93">
        <v>1650342</v>
      </c>
      <c r="D71" s="512"/>
      <c r="E71" s="512"/>
    </row>
    <row r="72" spans="1:5">
      <c r="A72" s="85">
        <v>1999.03</v>
      </c>
      <c r="B72" s="74">
        <v>70836</v>
      </c>
      <c r="C72" s="93">
        <v>1761852</v>
      </c>
      <c r="D72" s="512"/>
      <c r="E72" s="512"/>
    </row>
    <row r="73" spans="1:5">
      <c r="A73" s="85">
        <v>1999.04</v>
      </c>
      <c r="B73" s="74">
        <v>61831</v>
      </c>
      <c r="C73" s="93">
        <v>1780781</v>
      </c>
      <c r="D73" s="512"/>
      <c r="E73" s="512"/>
    </row>
    <row r="74" spans="1:5">
      <c r="A74" s="85">
        <v>1999.05</v>
      </c>
      <c r="B74" s="74">
        <v>70458</v>
      </c>
      <c r="C74" s="93">
        <v>1638032</v>
      </c>
      <c r="D74" s="512"/>
      <c r="E74" s="512"/>
    </row>
    <row r="75" spans="1:5">
      <c r="A75" s="85">
        <v>1999.06</v>
      </c>
      <c r="B75" s="74">
        <v>60314</v>
      </c>
      <c r="C75" s="93">
        <v>1660095</v>
      </c>
      <c r="D75" s="512"/>
      <c r="E75" s="512"/>
    </row>
    <row r="76" spans="1:5">
      <c r="A76" s="85">
        <v>1999.07</v>
      </c>
      <c r="B76" s="74">
        <v>72755</v>
      </c>
      <c r="C76" s="93">
        <v>1722734</v>
      </c>
      <c r="D76" s="512"/>
      <c r="E76" s="512"/>
    </row>
    <row r="77" spans="1:5">
      <c r="A77" s="85">
        <v>1999.08</v>
      </c>
      <c r="B77" s="74">
        <v>63340</v>
      </c>
      <c r="C77" s="93">
        <v>1715936</v>
      </c>
      <c r="D77" s="512"/>
      <c r="E77" s="512"/>
    </row>
    <row r="78" spans="1:5">
      <c r="A78" s="85">
        <v>1999.09</v>
      </c>
      <c r="B78" s="74">
        <v>59703</v>
      </c>
      <c r="C78" s="93">
        <v>1743672</v>
      </c>
      <c r="D78" s="512"/>
      <c r="E78" s="512"/>
    </row>
    <row r="79" spans="1:5">
      <c r="A79" s="85">
        <v>1999.1</v>
      </c>
      <c r="B79" s="74">
        <v>62265</v>
      </c>
      <c r="C79" s="93">
        <v>1739610</v>
      </c>
      <c r="D79" s="512"/>
      <c r="E79" s="512"/>
    </row>
    <row r="80" spans="1:5">
      <c r="A80" s="85">
        <v>1999.11</v>
      </c>
      <c r="B80" s="74">
        <v>62115</v>
      </c>
      <c r="C80" s="93">
        <v>1708376</v>
      </c>
      <c r="D80" s="512"/>
      <c r="E80" s="512"/>
    </row>
    <row r="81" spans="1:5">
      <c r="A81" s="85">
        <v>1999.12</v>
      </c>
      <c r="B81" s="74">
        <v>64503</v>
      </c>
      <c r="C81" s="93">
        <v>1753302</v>
      </c>
      <c r="D81" s="512"/>
      <c r="E81" s="512"/>
    </row>
    <row r="82" spans="1:5">
      <c r="A82" s="85">
        <v>2000.01</v>
      </c>
      <c r="B82" s="74">
        <v>69888</v>
      </c>
      <c r="C82" s="93">
        <v>1755562</v>
      </c>
      <c r="D82" s="512"/>
      <c r="E82" s="512"/>
    </row>
    <row r="83" spans="1:5">
      <c r="A83" s="85">
        <v>2000.02</v>
      </c>
      <c r="B83" s="74">
        <v>66743</v>
      </c>
      <c r="C83" s="93">
        <v>1550481</v>
      </c>
      <c r="D83" s="512"/>
      <c r="E83" s="512"/>
    </row>
    <row r="84" spans="1:5">
      <c r="A84" s="85">
        <v>2000.03</v>
      </c>
      <c r="B84" s="74">
        <v>71062</v>
      </c>
      <c r="C84" s="93">
        <v>1713715</v>
      </c>
      <c r="D84" s="512"/>
      <c r="E84" s="512"/>
    </row>
    <row r="85" spans="1:5">
      <c r="A85" s="85">
        <v>2000.04</v>
      </c>
      <c r="B85" s="74">
        <v>65530</v>
      </c>
      <c r="C85" s="93">
        <v>1680348</v>
      </c>
      <c r="D85" s="512"/>
      <c r="E85" s="512"/>
    </row>
    <row r="86" spans="1:5">
      <c r="A86" s="85">
        <v>2000.05</v>
      </c>
      <c r="B86" s="74">
        <v>60721</v>
      </c>
      <c r="C86" s="93">
        <v>1665493</v>
      </c>
      <c r="D86" s="512"/>
      <c r="E86" s="512"/>
    </row>
    <row r="87" spans="1:5">
      <c r="A87" s="85">
        <v>2000.06</v>
      </c>
      <c r="B87" s="74">
        <v>76385.926000000007</v>
      </c>
      <c r="C87" s="93">
        <v>1771128.797</v>
      </c>
      <c r="D87" s="512"/>
      <c r="E87" s="512"/>
    </row>
    <row r="88" spans="1:5">
      <c r="A88" s="85">
        <v>2000.07</v>
      </c>
      <c r="B88" s="74">
        <v>76501.849000000002</v>
      </c>
      <c r="C88" s="93">
        <v>1752142.19</v>
      </c>
      <c r="D88" s="512"/>
      <c r="E88" s="512"/>
    </row>
    <row r="89" spans="1:5">
      <c r="A89" s="85">
        <v>2000.08</v>
      </c>
      <c r="B89" s="74">
        <v>77832.728000000003</v>
      </c>
      <c r="C89" s="93">
        <v>1798108.9380000001</v>
      </c>
      <c r="D89" s="512"/>
      <c r="E89" s="512"/>
    </row>
    <row r="90" spans="1:5">
      <c r="A90" s="85">
        <v>2000.09</v>
      </c>
      <c r="B90" s="74">
        <v>71112.695000000007</v>
      </c>
      <c r="C90" s="93">
        <v>1727158.4879999999</v>
      </c>
      <c r="D90" s="512"/>
      <c r="E90" s="512"/>
    </row>
    <row r="91" spans="1:5">
      <c r="A91" s="85">
        <v>2000.1</v>
      </c>
      <c r="B91" s="74">
        <v>68664.298999999999</v>
      </c>
      <c r="C91" s="93">
        <v>1701493.4350000001</v>
      </c>
      <c r="D91" s="512"/>
      <c r="E91" s="512"/>
    </row>
    <row r="92" spans="1:5">
      <c r="A92" s="85">
        <v>2000.11</v>
      </c>
      <c r="B92" s="74">
        <v>58323.599000000002</v>
      </c>
      <c r="C92" s="93">
        <v>1641345.807</v>
      </c>
      <c r="D92" s="512"/>
      <c r="E92" s="512"/>
    </row>
    <row r="93" spans="1:5">
      <c r="A93" s="85">
        <v>2000.12</v>
      </c>
      <c r="B93" s="74">
        <v>62061.279000000002</v>
      </c>
      <c r="C93" s="93">
        <v>1718306.993</v>
      </c>
      <c r="D93" s="512"/>
      <c r="E93" s="512"/>
    </row>
    <row r="94" spans="1:5">
      <c r="A94" s="85">
        <v>2001.01</v>
      </c>
      <c r="B94" s="74">
        <v>70943.884000000005</v>
      </c>
      <c r="C94" s="93">
        <v>1753266.1629999999</v>
      </c>
      <c r="D94" s="512"/>
      <c r="E94" s="512"/>
    </row>
    <row r="95" spans="1:5">
      <c r="A95" s="85">
        <v>2001.02</v>
      </c>
      <c r="B95" s="74">
        <v>61198.245000000003</v>
      </c>
      <c r="C95" s="93">
        <v>1491999.4950000001</v>
      </c>
      <c r="D95" s="512"/>
      <c r="E95" s="512"/>
    </row>
    <row r="96" spans="1:5">
      <c r="A96" s="85">
        <v>2001.03</v>
      </c>
      <c r="B96" s="74">
        <v>69510.298999999999</v>
      </c>
      <c r="C96" s="93">
        <v>1597805.0690000001</v>
      </c>
      <c r="D96" s="512"/>
      <c r="E96" s="512"/>
    </row>
    <row r="97" spans="1:5">
      <c r="A97" s="85">
        <v>2001.04</v>
      </c>
      <c r="B97" s="74">
        <v>58606.982000000004</v>
      </c>
      <c r="C97" s="93">
        <v>1534756.0949999997</v>
      </c>
      <c r="D97" s="512"/>
      <c r="E97" s="512"/>
    </row>
    <row r="98" spans="1:5">
      <c r="A98" s="85">
        <v>2001.05</v>
      </c>
      <c r="B98" s="74">
        <v>62165.805999999997</v>
      </c>
      <c r="C98" s="93">
        <v>1569749.4079999998</v>
      </c>
      <c r="D98" s="512"/>
      <c r="E98" s="512"/>
    </row>
    <row r="99" spans="1:5">
      <c r="A99" s="85">
        <v>2001.06</v>
      </c>
      <c r="B99" s="74">
        <v>65290.398000000001</v>
      </c>
      <c r="C99" s="93">
        <v>1505731.4080000001</v>
      </c>
      <c r="D99" s="512"/>
      <c r="E99" s="512"/>
    </row>
    <row r="100" spans="1:5">
      <c r="A100" s="85">
        <v>2001.07</v>
      </c>
      <c r="B100" s="74">
        <v>56129.709000000003</v>
      </c>
      <c r="C100" s="93">
        <v>1449151.882</v>
      </c>
      <c r="D100" s="512"/>
      <c r="E100" s="512"/>
    </row>
    <row r="101" spans="1:5">
      <c r="A101" s="85">
        <v>2001.08</v>
      </c>
      <c r="B101" s="74">
        <v>54407.586000000003</v>
      </c>
      <c r="C101" s="93">
        <v>1460379.5359999998</v>
      </c>
      <c r="D101" s="512"/>
      <c r="E101" s="512"/>
    </row>
    <row r="102" spans="1:5">
      <c r="A102" s="85">
        <v>2001.09</v>
      </c>
      <c r="B102" s="74">
        <v>48067.95</v>
      </c>
      <c r="C102" s="93">
        <v>1291631.2220000001</v>
      </c>
      <c r="D102" s="512"/>
      <c r="E102" s="512"/>
    </row>
    <row r="103" spans="1:5">
      <c r="A103" s="85">
        <v>2001.1</v>
      </c>
      <c r="B103" s="74">
        <v>50836.838000000003</v>
      </c>
      <c r="C103" s="93">
        <v>1267669.3740000001</v>
      </c>
      <c r="D103" s="512"/>
      <c r="E103" s="512"/>
    </row>
    <row r="104" spans="1:5">
      <c r="A104" s="85">
        <v>2001.11</v>
      </c>
      <c r="B104" s="74">
        <v>47448.855000000003</v>
      </c>
      <c r="C104" s="93">
        <v>1230102.1129999999</v>
      </c>
      <c r="D104" s="512"/>
      <c r="E104" s="512"/>
    </row>
    <row r="105" spans="1:5">
      <c r="A105" s="85">
        <v>2001.12</v>
      </c>
      <c r="B105" s="74">
        <v>24154.411</v>
      </c>
      <c r="C105" s="93">
        <v>971871.87800000003</v>
      </c>
      <c r="D105" s="512"/>
      <c r="E105" s="512"/>
    </row>
    <row r="106" spans="1:5">
      <c r="A106" s="85">
        <v>2002.01</v>
      </c>
      <c r="B106" s="74">
        <v>45317.245999999999</v>
      </c>
      <c r="C106" s="93">
        <v>1081020.1540000001</v>
      </c>
      <c r="D106" s="512"/>
      <c r="E106" s="512"/>
    </row>
    <row r="107" spans="1:5">
      <c r="A107" s="85">
        <v>2002.02</v>
      </c>
      <c r="B107" s="74">
        <v>57593.883000000002</v>
      </c>
      <c r="C107" s="93">
        <v>1081019.0830000001</v>
      </c>
      <c r="D107" s="512"/>
      <c r="E107" s="512"/>
    </row>
    <row r="108" spans="1:5">
      <c r="A108" s="85">
        <v>2002.03</v>
      </c>
      <c r="B108" s="74">
        <v>48866.641000000003</v>
      </c>
      <c r="C108" s="93">
        <v>1074977.7590000001</v>
      </c>
      <c r="D108" s="512"/>
      <c r="E108" s="512"/>
    </row>
    <row r="109" spans="1:5">
      <c r="A109" s="85">
        <v>2002.04</v>
      </c>
      <c r="B109" s="74">
        <v>44121.593000000001</v>
      </c>
      <c r="C109" s="93">
        <v>1041022.9580000001</v>
      </c>
      <c r="D109" s="512"/>
      <c r="E109" s="512"/>
    </row>
    <row r="110" spans="1:5">
      <c r="A110" s="85">
        <v>2002.05</v>
      </c>
      <c r="B110" s="74">
        <v>83532.581000000006</v>
      </c>
      <c r="C110" s="93">
        <v>1687373.0449999999</v>
      </c>
      <c r="D110" s="512"/>
      <c r="E110" s="512"/>
    </row>
    <row r="111" spans="1:5">
      <c r="A111" s="85">
        <v>2002.06</v>
      </c>
      <c r="B111" s="74">
        <v>71281.23</v>
      </c>
      <c r="C111" s="93">
        <v>1587142.689</v>
      </c>
      <c r="D111" s="512"/>
      <c r="E111" s="512"/>
    </row>
    <row r="112" spans="1:5">
      <c r="A112" s="85">
        <v>2002.07</v>
      </c>
      <c r="B112" s="74">
        <v>79546.97</v>
      </c>
      <c r="C112" s="93">
        <v>1758151.892</v>
      </c>
      <c r="D112" s="512"/>
      <c r="E112" s="512"/>
    </row>
    <row r="113" spans="1:5">
      <c r="A113" s="85">
        <v>2002.08</v>
      </c>
      <c r="B113" s="74">
        <v>71058.316000000006</v>
      </c>
      <c r="C113" s="93">
        <v>1740259.774</v>
      </c>
      <c r="D113" s="512"/>
      <c r="E113" s="512"/>
    </row>
    <row r="114" spans="1:5">
      <c r="A114" s="85">
        <v>2002.09</v>
      </c>
      <c r="B114" s="74">
        <v>85165.362999999998</v>
      </c>
      <c r="C114" s="93">
        <v>1754739.33</v>
      </c>
      <c r="D114" s="512"/>
      <c r="E114" s="512"/>
    </row>
    <row r="115" spans="1:5">
      <c r="A115" s="85">
        <v>2002.1</v>
      </c>
      <c r="B115" s="74">
        <v>74005.45</v>
      </c>
      <c r="C115" s="93">
        <v>1776972.0589999999</v>
      </c>
      <c r="D115" s="512"/>
      <c r="E115" s="512"/>
    </row>
    <row r="116" spans="1:5">
      <c r="A116" s="85">
        <v>2002.11</v>
      </c>
      <c r="B116" s="74">
        <v>75149.376000000004</v>
      </c>
      <c r="C116" s="93">
        <v>1851190.1159999999</v>
      </c>
      <c r="D116" s="512"/>
      <c r="E116" s="512"/>
    </row>
    <row r="117" spans="1:5">
      <c r="A117" s="85">
        <v>2002.12</v>
      </c>
      <c r="B117" s="74">
        <v>72195.347999999998</v>
      </c>
      <c r="C117" s="93">
        <v>1718447.365</v>
      </c>
      <c r="D117" s="512"/>
      <c r="E117" s="512"/>
    </row>
    <row r="118" spans="1:5">
      <c r="A118" s="85">
        <v>2003.01</v>
      </c>
      <c r="B118" s="74">
        <v>84996.67</v>
      </c>
      <c r="C118" s="93">
        <v>1959983.0179999999</v>
      </c>
      <c r="D118" s="512"/>
      <c r="E118" s="512"/>
    </row>
    <row r="119" spans="1:5">
      <c r="A119" s="85">
        <v>2003.02</v>
      </c>
      <c r="B119" s="74">
        <v>72146.081000000006</v>
      </c>
      <c r="C119" s="93">
        <v>1703525.7990000001</v>
      </c>
      <c r="D119" s="512"/>
      <c r="E119" s="512"/>
    </row>
    <row r="120" spans="1:5">
      <c r="A120" s="85">
        <v>2003.03</v>
      </c>
      <c r="B120" s="74">
        <v>78260.941999999995</v>
      </c>
      <c r="C120" s="93">
        <v>1798045.9279999998</v>
      </c>
      <c r="D120" s="512"/>
      <c r="E120" s="512"/>
    </row>
    <row r="121" spans="1:5">
      <c r="A121" s="85">
        <v>2003.04</v>
      </c>
      <c r="B121" s="74">
        <v>66033.745999999999</v>
      </c>
      <c r="C121" s="93">
        <v>1998731.93</v>
      </c>
      <c r="D121" s="512"/>
      <c r="E121" s="512"/>
    </row>
    <row r="122" spans="1:5">
      <c r="A122" s="85">
        <v>2003.05</v>
      </c>
      <c r="B122" s="74">
        <v>74814.323999999993</v>
      </c>
      <c r="C122" s="93">
        <v>1891354.6459999997</v>
      </c>
      <c r="D122" s="512"/>
      <c r="E122" s="512"/>
    </row>
    <row r="123" spans="1:5">
      <c r="A123" s="85">
        <v>2003.06</v>
      </c>
      <c r="B123" s="74">
        <v>65043.860999999997</v>
      </c>
      <c r="C123" s="93">
        <v>1983170.9050000003</v>
      </c>
      <c r="D123" s="512"/>
      <c r="E123" s="512"/>
    </row>
    <row r="124" spans="1:5">
      <c r="A124" s="85">
        <v>2003.07</v>
      </c>
      <c r="B124" s="74">
        <v>82447.740000000005</v>
      </c>
      <c r="C124" s="93">
        <v>2180792.5499999998</v>
      </c>
      <c r="D124" s="512"/>
      <c r="E124" s="512"/>
    </row>
    <row r="125" spans="1:5">
      <c r="A125" s="85">
        <v>2003.08</v>
      </c>
      <c r="B125" s="74">
        <v>88420.088000000003</v>
      </c>
      <c r="C125" s="93">
        <v>2165557.9579999996</v>
      </c>
      <c r="D125" s="512"/>
      <c r="E125" s="512"/>
    </row>
    <row r="126" spans="1:5">
      <c r="A126" s="85">
        <v>2003.09</v>
      </c>
      <c r="B126" s="74">
        <v>69575.392999999996</v>
      </c>
      <c r="C126" s="93">
        <v>2400516.9730000002</v>
      </c>
      <c r="D126" s="512"/>
      <c r="E126" s="512"/>
    </row>
    <row r="127" spans="1:5">
      <c r="A127" s="85">
        <v>2003.1</v>
      </c>
      <c r="B127" s="74">
        <v>76432.356</v>
      </c>
      <c r="C127" s="93">
        <v>2413488.2050000001</v>
      </c>
      <c r="D127" s="512"/>
      <c r="E127" s="512"/>
    </row>
    <row r="128" spans="1:5">
      <c r="A128" s="85">
        <v>2003.11</v>
      </c>
      <c r="B128" s="74">
        <v>81328.652000000002</v>
      </c>
      <c r="C128" s="93">
        <v>2363176.2939999998</v>
      </c>
      <c r="D128" s="512"/>
      <c r="E128" s="512"/>
    </row>
    <row r="129" spans="1:5">
      <c r="A129" s="85">
        <v>2003.12</v>
      </c>
      <c r="B129" s="74">
        <v>80980.114000000001</v>
      </c>
      <c r="C129" s="93">
        <v>2429331.73</v>
      </c>
      <c r="D129" s="512"/>
      <c r="E129" s="512"/>
    </row>
    <row r="130" spans="1:5">
      <c r="A130" s="85">
        <v>2004.01</v>
      </c>
      <c r="B130" s="74">
        <v>116174.08</v>
      </c>
      <c r="C130" s="93">
        <v>2706482.35</v>
      </c>
      <c r="D130" s="512"/>
      <c r="E130" s="512"/>
    </row>
    <row r="131" spans="1:5">
      <c r="A131" s="85">
        <v>2004.02</v>
      </c>
      <c r="B131" s="74">
        <v>95753.668000000005</v>
      </c>
      <c r="C131" s="93">
        <v>2350249.7179999999</v>
      </c>
      <c r="D131" s="512"/>
      <c r="E131" s="512"/>
    </row>
    <row r="132" spans="1:5">
      <c r="A132" s="85">
        <v>2004.03</v>
      </c>
      <c r="B132" s="74">
        <v>83286.915999999997</v>
      </c>
      <c r="C132" s="93">
        <v>2488662.7400000002</v>
      </c>
      <c r="D132" s="512"/>
      <c r="E132" s="512"/>
    </row>
    <row r="133" spans="1:5">
      <c r="A133" s="85">
        <v>2004.04</v>
      </c>
      <c r="B133" s="74">
        <v>95793.668999999994</v>
      </c>
      <c r="C133" s="93">
        <v>2492794.3820000002</v>
      </c>
      <c r="D133" s="512"/>
      <c r="E133" s="512"/>
    </row>
    <row r="134" spans="1:5">
      <c r="A134" s="85">
        <v>2004.05</v>
      </c>
      <c r="B134" s="74">
        <v>103491.36199999999</v>
      </c>
      <c r="C134" s="93">
        <v>2667247.9010000001</v>
      </c>
      <c r="D134" s="512"/>
      <c r="E134" s="512"/>
    </row>
    <row r="135" spans="1:5">
      <c r="A135" s="85">
        <v>2004.06</v>
      </c>
      <c r="B135" s="74">
        <v>107494.236</v>
      </c>
      <c r="C135" s="93">
        <v>2994594.1289999997</v>
      </c>
      <c r="D135" s="512"/>
      <c r="E135" s="512"/>
    </row>
    <row r="136" spans="1:5">
      <c r="A136" s="85">
        <v>2004.07</v>
      </c>
      <c r="B136" s="74">
        <v>106827.31</v>
      </c>
      <c r="C136" s="93">
        <v>2906505.9110000003</v>
      </c>
      <c r="D136" s="512"/>
      <c r="E136" s="512"/>
    </row>
    <row r="137" spans="1:5">
      <c r="A137" s="85">
        <v>2004.08</v>
      </c>
      <c r="B137" s="74">
        <v>100006.193</v>
      </c>
      <c r="C137" s="93">
        <v>2998925.085</v>
      </c>
      <c r="D137" s="512"/>
      <c r="E137" s="512"/>
    </row>
    <row r="138" spans="1:5">
      <c r="A138" s="85">
        <v>2004.09</v>
      </c>
      <c r="B138" s="74">
        <v>105173.299</v>
      </c>
      <c r="C138" s="93">
        <v>2910187.7709999997</v>
      </c>
      <c r="D138" s="512"/>
      <c r="E138" s="512"/>
    </row>
    <row r="139" spans="1:5">
      <c r="A139" s="85">
        <v>2004.1</v>
      </c>
      <c r="B139" s="74">
        <v>88176.171000000002</v>
      </c>
      <c r="C139" s="93">
        <v>2768945.2609999999</v>
      </c>
      <c r="D139" s="512"/>
      <c r="E139" s="512"/>
    </row>
    <row r="140" spans="1:5">
      <c r="A140" s="85">
        <v>2004.11</v>
      </c>
      <c r="B140" s="74">
        <v>91634.456000000006</v>
      </c>
      <c r="C140" s="93">
        <v>2952060.9019999998</v>
      </c>
      <c r="D140" s="512"/>
      <c r="E140" s="512"/>
    </row>
    <row r="141" spans="1:5">
      <c r="A141" s="85">
        <v>2004.12</v>
      </c>
      <c r="B141" s="74">
        <v>88854.014999999999</v>
      </c>
      <c r="C141" s="93">
        <v>3010540.1269999999</v>
      </c>
      <c r="D141" s="512"/>
      <c r="E141" s="512"/>
    </row>
    <row r="142" spans="1:5">
      <c r="A142" s="85">
        <v>2005.01</v>
      </c>
      <c r="B142" s="74">
        <v>122565.317</v>
      </c>
      <c r="C142" s="93">
        <v>3187514.156</v>
      </c>
      <c r="D142" s="512"/>
      <c r="E142" s="512"/>
    </row>
    <row r="143" spans="1:5">
      <c r="A143" s="85">
        <v>2005.02</v>
      </c>
      <c r="B143" s="74">
        <v>89844.645999999993</v>
      </c>
      <c r="C143" s="93">
        <v>2742460.06</v>
      </c>
      <c r="D143" s="512"/>
      <c r="E143" s="512"/>
    </row>
    <row r="144" spans="1:5">
      <c r="A144" s="85">
        <v>2005.03</v>
      </c>
      <c r="B144" s="74">
        <v>89424.712</v>
      </c>
      <c r="C144" s="93">
        <v>2927573.0760000004</v>
      </c>
      <c r="D144" s="512"/>
      <c r="E144" s="512"/>
    </row>
    <row r="145" spans="1:5">
      <c r="A145" s="85">
        <v>2005.04</v>
      </c>
      <c r="B145" s="74">
        <v>108043.992</v>
      </c>
      <c r="C145" s="93">
        <v>3231142.7749999999</v>
      </c>
      <c r="D145" s="512"/>
      <c r="E145" s="512"/>
    </row>
    <row r="146" spans="1:5">
      <c r="A146" s="85">
        <v>2005.05</v>
      </c>
      <c r="B146" s="74">
        <v>121493.329</v>
      </c>
      <c r="C146" s="93">
        <v>3370670.5480000004</v>
      </c>
      <c r="D146" s="512"/>
      <c r="E146" s="512"/>
    </row>
    <row r="147" spans="1:5">
      <c r="A147" s="85">
        <v>2005.06</v>
      </c>
      <c r="B147" s="74">
        <v>106948.376</v>
      </c>
      <c r="C147" s="93">
        <v>3300920.102</v>
      </c>
      <c r="D147" s="512"/>
      <c r="E147" s="512"/>
    </row>
    <row r="148" spans="1:5">
      <c r="A148" s="85">
        <v>2005.07</v>
      </c>
      <c r="B148" s="74">
        <v>105927.893</v>
      </c>
      <c r="C148" s="93">
        <v>3210417.9</v>
      </c>
      <c r="D148" s="512"/>
      <c r="E148" s="512"/>
    </row>
    <row r="149" spans="1:5">
      <c r="A149" s="85">
        <v>2005.08</v>
      </c>
      <c r="B149" s="74">
        <v>118546.113</v>
      </c>
      <c r="C149" s="93">
        <v>3487163.7340000002</v>
      </c>
      <c r="D149" s="512"/>
      <c r="E149" s="512"/>
    </row>
    <row r="150" spans="1:5">
      <c r="A150" s="85">
        <v>2005.09</v>
      </c>
      <c r="B150" s="74">
        <v>138865.01300000001</v>
      </c>
      <c r="C150" s="93">
        <v>3602807.2989999996</v>
      </c>
      <c r="D150" s="512"/>
      <c r="E150" s="512"/>
    </row>
    <row r="151" spans="1:5">
      <c r="A151" s="85">
        <v>2005.1</v>
      </c>
      <c r="B151" s="74">
        <v>98074.982000000004</v>
      </c>
      <c r="C151" s="93">
        <v>3328225.5959999999</v>
      </c>
      <c r="D151" s="512"/>
      <c r="E151" s="512"/>
    </row>
    <row r="152" spans="1:5">
      <c r="A152" s="85">
        <v>2005.11</v>
      </c>
      <c r="B152" s="74">
        <v>108832.814</v>
      </c>
      <c r="C152" s="93">
        <v>3591547.5049999999</v>
      </c>
      <c r="D152" s="512"/>
      <c r="E152" s="512"/>
    </row>
    <row r="153" spans="1:5">
      <c r="A153" s="85">
        <v>2005.12</v>
      </c>
      <c r="B153" s="74">
        <v>127697.758</v>
      </c>
      <c r="C153" s="93">
        <v>3674502.7019999996</v>
      </c>
      <c r="D153" s="512"/>
      <c r="E153" s="512"/>
    </row>
    <row r="154" spans="1:5">
      <c r="A154" s="85">
        <v>2006.01</v>
      </c>
      <c r="B154" s="74">
        <v>141392.69899999999</v>
      </c>
      <c r="C154" s="93">
        <v>3873893.1359999999</v>
      </c>
      <c r="D154" s="512"/>
      <c r="E154" s="512"/>
    </row>
    <row r="155" spans="1:5">
      <c r="A155" s="85">
        <v>2006.02</v>
      </c>
      <c r="B155" s="74">
        <v>138860.902</v>
      </c>
      <c r="C155" s="93">
        <v>3524882.2759999996</v>
      </c>
      <c r="D155" s="512"/>
      <c r="E155" s="512"/>
    </row>
    <row r="156" spans="1:5">
      <c r="A156" s="85">
        <v>2006.03</v>
      </c>
      <c r="B156" s="74">
        <v>112870.27</v>
      </c>
      <c r="C156" s="93">
        <v>3802490.0210000002</v>
      </c>
      <c r="D156" s="512"/>
      <c r="E156" s="512"/>
    </row>
    <row r="157" spans="1:5">
      <c r="A157" s="85">
        <v>2006.04</v>
      </c>
      <c r="B157" s="74">
        <v>136261.83199999999</v>
      </c>
      <c r="C157" s="93">
        <v>3839123.8319999995</v>
      </c>
      <c r="D157" s="512"/>
      <c r="E157" s="512"/>
    </row>
    <row r="158" spans="1:5">
      <c r="A158" s="85">
        <v>2006.05</v>
      </c>
      <c r="B158" s="74">
        <v>131472.45800000001</v>
      </c>
      <c r="C158" s="93">
        <v>4019026.7479999997</v>
      </c>
      <c r="D158" s="512"/>
      <c r="E158" s="512"/>
    </row>
    <row r="159" spans="1:5">
      <c r="A159" s="85">
        <v>2006.06</v>
      </c>
      <c r="B159" s="74">
        <v>127661.95</v>
      </c>
      <c r="C159" s="93">
        <v>4044385.84</v>
      </c>
      <c r="D159" s="512"/>
      <c r="E159" s="512"/>
    </row>
    <row r="160" spans="1:5">
      <c r="A160" s="85">
        <v>2006.07</v>
      </c>
      <c r="B160" s="74">
        <v>143069.519</v>
      </c>
      <c r="C160" s="93">
        <v>4032546.7529999996</v>
      </c>
      <c r="D160" s="512"/>
      <c r="E160" s="512"/>
    </row>
    <row r="161" spans="1:5">
      <c r="A161" s="85">
        <v>2006.08</v>
      </c>
      <c r="B161" s="74">
        <v>145272.64300000001</v>
      </c>
      <c r="C161" s="93">
        <v>4475838.2539999997</v>
      </c>
      <c r="D161" s="512"/>
      <c r="E161" s="512"/>
    </row>
    <row r="162" spans="1:5">
      <c r="A162" s="85">
        <v>2006.09</v>
      </c>
      <c r="B162" s="74">
        <v>144895.30300000001</v>
      </c>
      <c r="C162" s="93">
        <v>4451242.05</v>
      </c>
      <c r="D162" s="512"/>
      <c r="E162" s="512"/>
    </row>
    <row r="163" spans="1:5">
      <c r="A163" s="85">
        <v>2006.1</v>
      </c>
      <c r="B163" s="74">
        <v>136087.209</v>
      </c>
      <c r="C163" s="93">
        <v>4597714.125</v>
      </c>
      <c r="D163" s="512"/>
      <c r="E163" s="512"/>
    </row>
    <row r="164" spans="1:5">
      <c r="A164" s="85">
        <v>2006.11</v>
      </c>
      <c r="B164" s="74">
        <v>160480.69399999999</v>
      </c>
      <c r="C164" s="93">
        <v>4692320.1689999998</v>
      </c>
      <c r="D164" s="512"/>
      <c r="E164" s="512"/>
    </row>
    <row r="165" spans="1:5">
      <c r="A165" s="85">
        <v>2006.12</v>
      </c>
      <c r="B165" s="74">
        <v>240419.15</v>
      </c>
      <c r="C165" s="93">
        <v>5014025.5530000003</v>
      </c>
      <c r="D165" s="512"/>
      <c r="E165" s="512"/>
    </row>
    <row r="166" spans="1:5">
      <c r="A166" s="85">
        <v>2007.01</v>
      </c>
      <c r="B166" s="74">
        <v>165747.712</v>
      </c>
      <c r="C166" s="93">
        <v>5072572.7060000002</v>
      </c>
      <c r="D166" s="512"/>
      <c r="E166" s="512"/>
    </row>
    <row r="167" spans="1:5">
      <c r="A167" s="85">
        <v>2007.02</v>
      </c>
      <c r="B167" s="74">
        <v>163902.527</v>
      </c>
      <c r="C167" s="93">
        <v>4619096.96</v>
      </c>
      <c r="D167" s="512"/>
      <c r="E167" s="512"/>
    </row>
    <row r="168" spans="1:5">
      <c r="A168" s="85">
        <v>2007.03</v>
      </c>
      <c r="B168" s="74">
        <v>161050.23499999999</v>
      </c>
      <c r="C168" s="93">
        <v>4905129.1119999997</v>
      </c>
      <c r="D168" s="512"/>
      <c r="E168" s="512"/>
    </row>
    <row r="169" spans="1:5">
      <c r="A169" s="85">
        <v>2007.04</v>
      </c>
      <c r="B169" s="74">
        <v>153167.14499999999</v>
      </c>
      <c r="C169" s="93">
        <v>4718833.8859999999</v>
      </c>
      <c r="D169" s="512"/>
      <c r="E169" s="512"/>
    </row>
    <row r="170" spans="1:5">
      <c r="A170" s="85">
        <v>2007.05</v>
      </c>
      <c r="B170" s="74">
        <v>186920.93100000001</v>
      </c>
      <c r="C170" s="93">
        <v>5272135.1140000001</v>
      </c>
      <c r="D170" s="512"/>
      <c r="E170" s="512"/>
    </row>
    <row r="171" spans="1:5">
      <c r="A171" s="85">
        <v>2007.06</v>
      </c>
      <c r="B171" s="74">
        <v>192051.79500000001</v>
      </c>
      <c r="C171" s="93">
        <v>5335845.8279999997</v>
      </c>
      <c r="D171" s="512"/>
      <c r="E171" s="512"/>
    </row>
    <row r="172" spans="1:5">
      <c r="A172" s="85">
        <v>2007.07</v>
      </c>
      <c r="B172" s="74">
        <v>209335.11499999999</v>
      </c>
      <c r="C172" s="93">
        <v>5905471.3010000009</v>
      </c>
      <c r="D172" s="512"/>
      <c r="E172" s="512"/>
    </row>
    <row r="173" spans="1:5">
      <c r="A173" s="85">
        <v>2007.08</v>
      </c>
      <c r="B173" s="74">
        <v>209864.361</v>
      </c>
      <c r="C173" s="93">
        <v>6264907.1239999998</v>
      </c>
      <c r="D173" s="512"/>
      <c r="E173" s="512"/>
    </row>
    <row r="174" spans="1:5">
      <c r="A174" s="85">
        <v>2007.09</v>
      </c>
      <c r="B174" s="74">
        <v>152642.117</v>
      </c>
      <c r="C174" s="93">
        <v>5403689.7929999996</v>
      </c>
      <c r="D174" s="512"/>
      <c r="E174" s="512"/>
    </row>
    <row r="175" spans="1:5">
      <c r="A175" s="85">
        <v>2007.1</v>
      </c>
      <c r="B175" s="74">
        <v>177383.80100000001</v>
      </c>
      <c r="C175" s="93">
        <v>6148738.4979999997</v>
      </c>
      <c r="D175" s="512"/>
      <c r="E175" s="512"/>
    </row>
    <row r="176" spans="1:5">
      <c r="A176" s="85">
        <v>2007.11</v>
      </c>
      <c r="B176" s="74">
        <v>212996.571</v>
      </c>
      <c r="C176" s="93">
        <v>6474203.0209999997</v>
      </c>
      <c r="D176" s="512"/>
      <c r="E176" s="512"/>
    </row>
    <row r="177" spans="1:5">
      <c r="A177" s="85">
        <v>2007.12</v>
      </c>
      <c r="B177" s="74">
        <v>305217.76899999997</v>
      </c>
      <c r="C177" s="93">
        <v>6538389.4130000006</v>
      </c>
      <c r="D177" s="512"/>
      <c r="E177" s="512"/>
    </row>
    <row r="178" spans="1:5">
      <c r="A178" s="85">
        <f t="shared" ref="A178:A209" si="0">A166+1</f>
        <v>2008.01</v>
      </c>
      <c r="B178" s="74">
        <v>268662.68</v>
      </c>
      <c r="C178" s="93">
        <v>7078351.102</v>
      </c>
      <c r="D178" s="512"/>
      <c r="E178" s="512"/>
    </row>
    <row r="179" spans="1:5">
      <c r="A179" s="85">
        <f t="shared" si="0"/>
        <v>2008.02</v>
      </c>
      <c r="B179" s="74">
        <v>235309.48</v>
      </c>
      <c r="C179" s="93">
        <v>6366205.6890000002</v>
      </c>
      <c r="D179" s="512"/>
      <c r="E179" s="512"/>
    </row>
    <row r="180" spans="1:5">
      <c r="A180" s="85">
        <f t="shared" si="0"/>
        <v>2008.03</v>
      </c>
      <c r="B180" s="74">
        <v>255120.334</v>
      </c>
      <c r="C180" s="93">
        <v>6230795.7139999997</v>
      </c>
      <c r="D180" s="512"/>
      <c r="E180" s="512"/>
    </row>
    <row r="181" spans="1:5">
      <c r="A181" s="85">
        <f t="shared" si="0"/>
        <v>2008.04</v>
      </c>
      <c r="B181" s="74">
        <v>227162.06599999999</v>
      </c>
      <c r="C181" s="93">
        <v>7056288.9740000004</v>
      </c>
      <c r="D181" s="512"/>
      <c r="E181" s="512"/>
    </row>
    <row r="182" spans="1:5">
      <c r="A182" s="85">
        <f t="shared" si="0"/>
        <v>2008.05</v>
      </c>
      <c r="B182" s="74">
        <v>259374.503</v>
      </c>
      <c r="C182" s="93">
        <v>7311320.6969999997</v>
      </c>
      <c r="D182" s="512"/>
      <c r="E182" s="512"/>
    </row>
    <row r="183" spans="1:5">
      <c r="A183" s="85">
        <f t="shared" si="0"/>
        <v>2008.06</v>
      </c>
      <c r="B183" s="74">
        <v>264937.09000000003</v>
      </c>
      <c r="C183" s="93">
        <v>7229561.1809999999</v>
      </c>
      <c r="D183" s="512"/>
      <c r="E183" s="512"/>
    </row>
    <row r="184" spans="1:5">
      <c r="A184" s="85">
        <f t="shared" si="0"/>
        <v>2008.07</v>
      </c>
      <c r="B184" s="74">
        <v>229211.98699999999</v>
      </c>
      <c r="C184" s="93">
        <v>7437815.2209999999</v>
      </c>
      <c r="D184" s="512"/>
      <c r="E184" s="512"/>
    </row>
    <row r="185" spans="1:5">
      <c r="A185" s="85">
        <f t="shared" si="0"/>
        <v>2008.08</v>
      </c>
      <c r="B185" s="74">
        <v>288439.815</v>
      </c>
      <c r="C185" s="93">
        <v>7587465.7089999998</v>
      </c>
      <c r="D185" s="512"/>
      <c r="E185" s="512"/>
    </row>
    <row r="186" spans="1:5">
      <c r="A186" s="85">
        <f t="shared" si="0"/>
        <v>2008.09</v>
      </c>
      <c r="B186" s="74">
        <v>271895.55626039952</v>
      </c>
      <c r="C186" s="93">
        <v>7695943.06996</v>
      </c>
      <c r="D186" s="512"/>
      <c r="E186" s="512"/>
    </row>
    <row r="187" spans="1:5">
      <c r="A187" s="85">
        <f t="shared" si="0"/>
        <v>2008.1</v>
      </c>
      <c r="B187" s="74">
        <v>296266.59208741988</v>
      </c>
      <c r="C187" s="93">
        <v>7659386.681309999</v>
      </c>
      <c r="D187" s="512"/>
      <c r="E187" s="512"/>
    </row>
    <row r="188" spans="1:5">
      <c r="A188" s="85">
        <f t="shared" si="0"/>
        <v>2008.11</v>
      </c>
      <c r="B188" s="74">
        <v>270966.64164470765</v>
      </c>
      <c r="C188" s="93">
        <v>7304315.2562800013</v>
      </c>
      <c r="D188" s="512"/>
      <c r="E188" s="512"/>
    </row>
    <row r="189" spans="1:5">
      <c r="A189" s="85">
        <f t="shared" si="0"/>
        <v>2008.12</v>
      </c>
      <c r="B189" s="74">
        <v>285622.49603268894</v>
      </c>
      <c r="C189" s="93">
        <v>7157560.7691400005</v>
      </c>
      <c r="D189" s="512"/>
      <c r="E189" s="512"/>
    </row>
    <row r="190" spans="1:5">
      <c r="A190" s="85">
        <f t="shared" si="0"/>
        <v>2009.01</v>
      </c>
      <c r="B190" s="74">
        <v>305077.89299999998</v>
      </c>
      <c r="C190" s="93">
        <v>7256199.3820000002</v>
      </c>
      <c r="D190" s="512"/>
      <c r="E190" s="512"/>
    </row>
    <row r="191" spans="1:5">
      <c r="A191" s="85">
        <f t="shared" si="0"/>
        <v>2009.02</v>
      </c>
      <c r="B191" s="74">
        <v>319765.40399999998</v>
      </c>
      <c r="C191" s="93">
        <v>6855113.4380000001</v>
      </c>
      <c r="D191" s="512"/>
      <c r="E191" s="512"/>
    </row>
    <row r="192" spans="1:5">
      <c r="A192" s="85">
        <f t="shared" si="0"/>
        <v>2009.03</v>
      </c>
      <c r="B192" s="74">
        <v>294141.06</v>
      </c>
      <c r="C192" s="93">
        <v>6818073.3849999998</v>
      </c>
      <c r="D192" s="512"/>
      <c r="E192" s="512"/>
    </row>
    <row r="193" spans="1:5">
      <c r="A193" s="85">
        <f t="shared" si="0"/>
        <v>2009.04</v>
      </c>
      <c r="B193" s="74">
        <v>306680.46600000001</v>
      </c>
      <c r="C193" s="93">
        <v>7038124.0970000001</v>
      </c>
      <c r="D193" s="512"/>
      <c r="E193" s="512"/>
    </row>
    <row r="194" spans="1:5">
      <c r="A194" s="85">
        <f t="shared" si="0"/>
        <v>2009.05</v>
      </c>
      <c r="B194" s="74">
        <v>352403.32799999998</v>
      </c>
      <c r="C194" s="93">
        <v>7101002.5980000002</v>
      </c>
      <c r="D194" s="512"/>
      <c r="E194" s="512"/>
    </row>
    <row r="195" spans="1:5">
      <c r="A195" s="85">
        <f t="shared" si="0"/>
        <v>2009.06</v>
      </c>
      <c r="B195" s="74">
        <v>366208.14261525025</v>
      </c>
      <c r="C195" s="93">
        <v>7750127.5775700007</v>
      </c>
      <c r="D195" s="512"/>
      <c r="E195" s="512"/>
    </row>
    <row r="196" spans="1:5">
      <c r="A196" s="85">
        <f t="shared" si="0"/>
        <v>2009.07</v>
      </c>
      <c r="B196" s="74">
        <v>353321.01469838823</v>
      </c>
      <c r="C196" s="93">
        <v>8145793.8440699996</v>
      </c>
      <c r="D196" s="512"/>
      <c r="E196" s="512"/>
    </row>
    <row r="197" spans="1:5">
      <c r="A197" s="85">
        <f t="shared" si="0"/>
        <v>2009.08</v>
      </c>
      <c r="B197" s="74">
        <v>305720.09827233508</v>
      </c>
      <c r="C197" s="93">
        <v>7790148.8728200011</v>
      </c>
      <c r="D197" s="512"/>
      <c r="E197" s="512"/>
    </row>
    <row r="198" spans="1:5">
      <c r="A198" s="85">
        <f t="shared" si="0"/>
        <v>2009.09</v>
      </c>
      <c r="B198" s="74">
        <v>328260.15532465768</v>
      </c>
      <c r="C198" s="93">
        <v>8203535.7506799996</v>
      </c>
      <c r="D198" s="512"/>
      <c r="E198" s="512"/>
    </row>
    <row r="199" spans="1:5">
      <c r="A199" s="85">
        <f t="shared" si="0"/>
        <v>2009.1</v>
      </c>
      <c r="B199" s="74">
        <v>348777.86854087346</v>
      </c>
      <c r="C199" s="93">
        <v>8033578.0747099994</v>
      </c>
      <c r="D199" s="512"/>
      <c r="E199" s="512"/>
    </row>
    <row r="200" spans="1:5">
      <c r="A200" s="85">
        <f t="shared" si="0"/>
        <v>2009.11</v>
      </c>
      <c r="B200" s="74">
        <v>269288.42029942095</v>
      </c>
      <c r="C200" s="93">
        <v>7787121.0458000023</v>
      </c>
      <c r="D200" s="512"/>
      <c r="E200" s="512"/>
    </row>
    <row r="201" spans="1:5">
      <c r="A201" s="85">
        <f t="shared" si="0"/>
        <v>2009.12</v>
      </c>
      <c r="B201" s="74">
        <v>320033</v>
      </c>
      <c r="C201" s="93">
        <v>8337915.409239999</v>
      </c>
      <c r="D201" s="512"/>
      <c r="E201" s="512"/>
    </row>
    <row r="202" spans="1:5">
      <c r="A202" s="85">
        <f t="shared" si="0"/>
        <v>2010.01</v>
      </c>
      <c r="B202" s="74">
        <v>353617.08670340932</v>
      </c>
      <c r="C202" s="93">
        <v>8672321.4771899991</v>
      </c>
      <c r="D202" s="512"/>
      <c r="E202" s="512"/>
    </row>
    <row r="203" spans="1:5">
      <c r="A203" s="85">
        <f t="shared" si="0"/>
        <v>2010.02</v>
      </c>
      <c r="B203" s="74">
        <v>356407.36543735384</v>
      </c>
      <c r="C203" s="93">
        <v>8439566.6124500018</v>
      </c>
      <c r="D203" s="512"/>
      <c r="E203" s="512"/>
    </row>
    <row r="204" spans="1:5">
      <c r="A204" s="85">
        <f t="shared" si="0"/>
        <v>2010.03</v>
      </c>
      <c r="B204" s="74">
        <v>304702.47214297287</v>
      </c>
      <c r="C204" s="93">
        <v>8799260.9700900018</v>
      </c>
      <c r="D204" s="512"/>
      <c r="E204" s="512"/>
    </row>
    <row r="205" spans="1:5">
      <c r="A205" s="85">
        <f t="shared" si="0"/>
        <v>2010.04</v>
      </c>
      <c r="B205" s="74">
        <v>378178.80230368045</v>
      </c>
      <c r="C205" s="93">
        <v>9102471.6975500006</v>
      </c>
      <c r="D205" s="512"/>
      <c r="E205" s="512"/>
    </row>
    <row r="206" spans="1:5">
      <c r="A206" s="85">
        <f t="shared" si="0"/>
        <v>2010.05</v>
      </c>
      <c r="B206" s="74">
        <v>348029.39651321527</v>
      </c>
      <c r="C206" s="93">
        <v>9273236.2382199969</v>
      </c>
      <c r="D206" s="512"/>
      <c r="E206" s="512"/>
    </row>
    <row r="207" spans="1:5">
      <c r="A207" s="85">
        <f t="shared" si="0"/>
        <v>2010.06</v>
      </c>
      <c r="B207" s="74">
        <v>398819.19938639342</v>
      </c>
      <c r="C207" s="93">
        <v>10153015.35231</v>
      </c>
      <c r="D207" s="512"/>
      <c r="E207" s="512"/>
    </row>
    <row r="208" spans="1:5">
      <c r="A208" s="85">
        <f t="shared" si="0"/>
        <v>2010.07</v>
      </c>
      <c r="B208" s="74">
        <v>456325.34790554637</v>
      </c>
      <c r="C208" s="93">
        <v>10480767.639310002</v>
      </c>
      <c r="D208" s="512"/>
      <c r="E208" s="512"/>
    </row>
    <row r="209" spans="1:5">
      <c r="A209" s="85">
        <f t="shared" si="0"/>
        <v>2010.08</v>
      </c>
      <c r="B209" s="74">
        <v>415599.31247855071</v>
      </c>
      <c r="C209" s="93">
        <v>10587782.008950001</v>
      </c>
      <c r="D209" s="512"/>
      <c r="E209" s="512"/>
    </row>
    <row r="210" spans="1:5">
      <c r="A210" s="85">
        <f t="shared" ref="A210:A241" si="1">A198+1</f>
        <v>2010.09</v>
      </c>
      <c r="B210" s="74">
        <v>516808.07456059934</v>
      </c>
      <c r="C210" s="93">
        <v>11023051.713760003</v>
      </c>
      <c r="D210" s="512"/>
      <c r="E210" s="512"/>
    </row>
    <row r="211" spans="1:5">
      <c r="A211" s="85">
        <f t="shared" si="1"/>
        <v>2010.1</v>
      </c>
      <c r="B211" s="74">
        <v>425214.16445190943</v>
      </c>
      <c r="C211" s="93">
        <v>10523142.935489997</v>
      </c>
      <c r="D211" s="512"/>
      <c r="E211" s="512"/>
    </row>
    <row r="212" spans="1:5">
      <c r="A212" s="85">
        <f t="shared" si="1"/>
        <v>2010.11</v>
      </c>
      <c r="B212" s="74">
        <v>367727.30071905721</v>
      </c>
      <c r="C212" s="93">
        <v>10984620.120829996</v>
      </c>
      <c r="D212" s="512"/>
      <c r="E212" s="512"/>
    </row>
    <row r="213" spans="1:5">
      <c r="A213" s="85">
        <f t="shared" si="1"/>
        <v>2010.12</v>
      </c>
      <c r="B213" s="74">
        <v>530947.03556530445</v>
      </c>
      <c r="C213" s="93">
        <v>12011750.396059997</v>
      </c>
      <c r="D213" s="512"/>
      <c r="E213" s="512"/>
    </row>
    <row r="214" spans="1:5">
      <c r="A214" s="85">
        <f t="shared" si="1"/>
        <v>2011.01</v>
      </c>
      <c r="B214" s="74">
        <v>526613.94122865156</v>
      </c>
      <c r="C214" s="93">
        <v>12337260.542970002</v>
      </c>
      <c r="D214" s="512"/>
      <c r="E214" s="512"/>
    </row>
    <row r="215" spans="1:5">
      <c r="A215" s="85">
        <f t="shared" si="1"/>
        <v>2011.02</v>
      </c>
      <c r="B215" s="74">
        <v>461355.37899474136</v>
      </c>
      <c r="C215" s="93">
        <v>11041598.515590001</v>
      </c>
      <c r="D215" s="512"/>
      <c r="E215" s="512"/>
    </row>
    <row r="216" spans="1:5">
      <c r="A216" s="85">
        <f t="shared" si="1"/>
        <v>2011.03</v>
      </c>
      <c r="B216" s="74">
        <v>478239.12480864464</v>
      </c>
      <c r="C216" s="93">
        <v>11938206.668679997</v>
      </c>
      <c r="D216" s="512"/>
      <c r="E216" s="512"/>
    </row>
    <row r="217" spans="1:5">
      <c r="A217" s="85">
        <f t="shared" si="1"/>
        <v>2011.04</v>
      </c>
      <c r="B217" s="74">
        <v>425018.03240006609</v>
      </c>
      <c r="C217" s="93">
        <v>11858092.23043</v>
      </c>
      <c r="D217" s="512"/>
      <c r="E217" s="512"/>
    </row>
    <row r="218" spans="1:5">
      <c r="A218" s="85">
        <f t="shared" si="1"/>
        <v>2011.05</v>
      </c>
      <c r="B218" s="74">
        <v>637905.35903075931</v>
      </c>
      <c r="C218" s="93">
        <v>13362289.419970002</v>
      </c>
      <c r="D218" s="512"/>
      <c r="E218" s="512"/>
    </row>
    <row r="219" spans="1:5">
      <c r="A219" s="85">
        <f t="shared" si="1"/>
        <v>2011.06</v>
      </c>
      <c r="B219" s="74">
        <v>511932.10050067253</v>
      </c>
      <c r="C219" s="93">
        <v>12550735.664889999</v>
      </c>
      <c r="D219" s="512"/>
      <c r="E219" s="512"/>
    </row>
    <row r="220" spans="1:5">
      <c r="A220" s="85">
        <f t="shared" si="1"/>
        <v>2011.07</v>
      </c>
      <c r="B220" s="74">
        <v>665070.2544692267</v>
      </c>
      <c r="C220" s="93">
        <v>13539158.240899999</v>
      </c>
      <c r="D220" s="512"/>
      <c r="E220" s="512"/>
    </row>
    <row r="221" spans="1:5">
      <c r="A221" s="85">
        <f t="shared" si="1"/>
        <v>2011.08</v>
      </c>
      <c r="B221" s="74">
        <v>476275.03685957484</v>
      </c>
      <c r="C221" s="93">
        <v>13869314.510959998</v>
      </c>
      <c r="D221" s="512"/>
      <c r="E221" s="512"/>
    </row>
    <row r="222" spans="1:5">
      <c r="A222" s="85">
        <f t="shared" si="1"/>
        <v>2011.09</v>
      </c>
      <c r="B222" s="74">
        <v>688221.04347957333</v>
      </c>
      <c r="C222" s="93">
        <v>14622532.241959997</v>
      </c>
      <c r="D222" s="512"/>
      <c r="E222" s="512"/>
    </row>
    <row r="223" spans="1:5">
      <c r="A223" s="85">
        <f t="shared" si="1"/>
        <v>2011.1</v>
      </c>
      <c r="B223" s="74">
        <v>579240.07668478834</v>
      </c>
      <c r="C223" s="93">
        <v>13638505.876140004</v>
      </c>
      <c r="D223" s="512"/>
      <c r="E223" s="512"/>
    </row>
    <row r="224" spans="1:5">
      <c r="A224" s="85">
        <f t="shared" si="1"/>
        <v>2011.11</v>
      </c>
      <c r="B224" s="74">
        <v>627084.93157096498</v>
      </c>
      <c r="C224" s="93">
        <v>15103992.758399999</v>
      </c>
      <c r="D224" s="512"/>
      <c r="E224" s="512"/>
    </row>
    <row r="225" spans="1:5">
      <c r="A225" s="85">
        <f t="shared" si="1"/>
        <v>2011.12</v>
      </c>
      <c r="B225" s="74">
        <v>563958.7032941496</v>
      </c>
      <c r="C225" s="93">
        <v>14204179.691590002</v>
      </c>
      <c r="D225" s="512"/>
      <c r="E225" s="512"/>
    </row>
    <row r="226" spans="1:5">
      <c r="A226" s="85">
        <f t="shared" si="1"/>
        <v>2012.01</v>
      </c>
      <c r="B226" s="74">
        <v>712290.52329397132</v>
      </c>
      <c r="C226" s="93">
        <v>15483217.502960002</v>
      </c>
      <c r="D226" s="512"/>
      <c r="E226" s="512"/>
    </row>
    <row r="227" spans="1:5">
      <c r="A227" s="85">
        <f t="shared" si="1"/>
        <v>2012.02</v>
      </c>
      <c r="B227" s="74">
        <v>652149.38854511536</v>
      </c>
      <c r="C227" s="93">
        <v>13881134.193549998</v>
      </c>
      <c r="D227" s="512"/>
      <c r="E227" s="512"/>
    </row>
    <row r="228" spans="1:5">
      <c r="A228" s="85">
        <f t="shared" si="1"/>
        <v>2012.03</v>
      </c>
      <c r="B228" s="74">
        <v>608351.6481087649</v>
      </c>
      <c r="C228" s="93">
        <v>13971798.31405</v>
      </c>
      <c r="D228" s="512"/>
      <c r="E228" s="512"/>
    </row>
    <row r="229" spans="1:5">
      <c r="A229" s="85">
        <f t="shared" si="1"/>
        <v>2012.04</v>
      </c>
      <c r="B229" s="74">
        <v>659931.94307542779</v>
      </c>
      <c r="C229" s="93">
        <v>14016190.505290002</v>
      </c>
      <c r="D229" s="512"/>
      <c r="E229" s="512"/>
    </row>
    <row r="230" spans="1:5">
      <c r="A230" s="85">
        <f t="shared" si="1"/>
        <v>2012.05</v>
      </c>
      <c r="B230" s="74">
        <v>742955.15124297573</v>
      </c>
      <c r="C230" s="93">
        <v>15799455.049350008</v>
      </c>
      <c r="D230" s="512"/>
      <c r="E230" s="512"/>
    </row>
    <row r="231" spans="1:5">
      <c r="A231" s="85">
        <f t="shared" si="1"/>
        <v>2012.06</v>
      </c>
      <c r="B231" s="74">
        <v>753664.12423823169</v>
      </c>
      <c r="C231" s="93">
        <v>15566930.27413</v>
      </c>
      <c r="D231" s="512"/>
      <c r="E231" s="512"/>
    </row>
    <row r="232" spans="1:5">
      <c r="A232" s="85">
        <f t="shared" si="1"/>
        <v>2012.07</v>
      </c>
      <c r="B232" s="74">
        <v>660441.80304936576</v>
      </c>
      <c r="C232" s="93">
        <v>16050791.315179996</v>
      </c>
      <c r="D232" s="512"/>
      <c r="E232" s="512"/>
    </row>
    <row r="233" spans="1:5">
      <c r="A233" s="85">
        <f t="shared" si="1"/>
        <v>2012.08</v>
      </c>
      <c r="B233" s="74">
        <v>726360.65429370117</v>
      </c>
      <c r="C233" s="93">
        <v>16913365.376869999</v>
      </c>
      <c r="D233" s="512"/>
      <c r="E233" s="512"/>
    </row>
    <row r="234" spans="1:5">
      <c r="A234" s="85">
        <f t="shared" si="1"/>
        <v>2012.09</v>
      </c>
      <c r="B234" s="74">
        <v>731974.50089665561</v>
      </c>
      <c r="C234" s="93">
        <v>16796656.162410002</v>
      </c>
      <c r="D234" s="512"/>
      <c r="E234" s="512"/>
    </row>
    <row r="235" spans="1:5">
      <c r="A235" s="85">
        <f t="shared" si="1"/>
        <v>2012.1</v>
      </c>
      <c r="B235" s="74">
        <v>654052.85250227503</v>
      </c>
      <c r="C235" s="93">
        <v>17558288.979480002</v>
      </c>
      <c r="D235" s="512"/>
      <c r="E235" s="512"/>
    </row>
    <row r="236" spans="1:5">
      <c r="A236" s="85">
        <f t="shared" si="1"/>
        <v>2012.11</v>
      </c>
      <c r="B236" s="74">
        <v>806816.43283936172</v>
      </c>
      <c r="C236" s="93">
        <v>18351709.746259995</v>
      </c>
      <c r="D236" s="512"/>
      <c r="E236" s="512"/>
    </row>
    <row r="237" spans="1:5">
      <c r="A237" s="85">
        <f t="shared" si="1"/>
        <v>2012.12</v>
      </c>
      <c r="B237" s="74">
        <v>777414.88557838683</v>
      </c>
      <c r="C237" s="93">
        <v>18677747.933599997</v>
      </c>
      <c r="D237" s="512"/>
      <c r="E237" s="512"/>
    </row>
    <row r="238" spans="1:5">
      <c r="A238" s="85">
        <f t="shared" si="1"/>
        <v>2013.01</v>
      </c>
      <c r="B238" s="74">
        <v>791114.02834099461</v>
      </c>
      <c r="C238" s="93">
        <v>19170968.226550005</v>
      </c>
      <c r="D238" s="512"/>
      <c r="E238" s="512"/>
    </row>
    <row r="239" spans="1:5">
      <c r="A239" s="85">
        <f t="shared" si="1"/>
        <v>2013.02</v>
      </c>
      <c r="B239" s="74">
        <v>790746.04570014158</v>
      </c>
      <c r="C239" s="93">
        <v>18591773.801009994</v>
      </c>
      <c r="D239" s="512"/>
      <c r="E239" s="512"/>
    </row>
    <row r="240" spans="1:5">
      <c r="A240" s="85">
        <f t="shared" si="1"/>
        <v>2013.03</v>
      </c>
      <c r="B240" s="74">
        <v>856454.48099339684</v>
      </c>
      <c r="C240" s="93">
        <v>18620205.241159998</v>
      </c>
      <c r="D240" s="512"/>
      <c r="E240" s="512"/>
    </row>
    <row r="241" spans="1:5">
      <c r="A241" s="85">
        <f t="shared" si="1"/>
        <v>2013.04</v>
      </c>
      <c r="B241" s="74">
        <v>675870.66886715079</v>
      </c>
      <c r="C241" s="93">
        <v>18881155.513529997</v>
      </c>
      <c r="D241" s="512"/>
      <c r="E241" s="512"/>
    </row>
    <row r="242" spans="1:5">
      <c r="A242" s="85">
        <f t="shared" ref="A242:A305" si="2">A230+1</f>
        <v>2013.05</v>
      </c>
      <c r="B242" s="74">
        <v>923648.56558830512</v>
      </c>
      <c r="C242" s="93">
        <v>20673850.166280009</v>
      </c>
      <c r="D242" s="512"/>
      <c r="E242" s="512"/>
    </row>
    <row r="243" spans="1:5">
      <c r="A243" s="85">
        <f t="shared" si="2"/>
        <v>2013.06</v>
      </c>
      <c r="B243" s="74">
        <v>879432.43312478799</v>
      </c>
      <c r="C243" s="93">
        <v>19989981.066889994</v>
      </c>
      <c r="D243" s="512"/>
      <c r="E243" s="512"/>
    </row>
    <row r="244" spans="1:5">
      <c r="A244" s="85">
        <f t="shared" si="2"/>
        <v>2013.07</v>
      </c>
      <c r="B244" s="74">
        <v>986853.26294556947</v>
      </c>
      <c r="C244" s="93">
        <v>21765773.478030004</v>
      </c>
      <c r="D244" s="512"/>
      <c r="E244" s="512"/>
    </row>
    <row r="245" spans="1:5">
      <c r="A245" s="85">
        <f t="shared" si="2"/>
        <v>2013.08</v>
      </c>
      <c r="B245" s="74">
        <v>984447.22981698101</v>
      </c>
      <c r="C245" s="93">
        <v>22521219.405159999</v>
      </c>
      <c r="D245" s="512"/>
      <c r="E245" s="512"/>
    </row>
    <row r="246" spans="1:5">
      <c r="A246" s="85">
        <f t="shared" si="2"/>
        <v>2013.09</v>
      </c>
      <c r="B246" s="74">
        <v>1003322.3977201461</v>
      </c>
      <c r="C246" s="93">
        <v>22307359.346119996</v>
      </c>
      <c r="D246" s="512"/>
      <c r="E246" s="512"/>
    </row>
    <row r="247" spans="1:5">
      <c r="A247" s="85">
        <f t="shared" si="2"/>
        <v>2013.1</v>
      </c>
      <c r="B247" s="74">
        <v>924108.85528680636</v>
      </c>
      <c r="C247" s="93">
        <v>23178258.397160016</v>
      </c>
      <c r="D247" s="512"/>
      <c r="E247" s="512"/>
    </row>
    <row r="248" spans="1:5">
      <c r="A248" s="85">
        <f t="shared" si="2"/>
        <v>2013.11</v>
      </c>
      <c r="B248" s="74">
        <v>1072668.6449811633</v>
      </c>
      <c r="C248" s="93">
        <v>23363035.748709988</v>
      </c>
      <c r="D248" s="512"/>
      <c r="E248" s="512"/>
    </row>
    <row r="249" spans="1:5">
      <c r="A249" s="85">
        <f t="shared" si="2"/>
        <v>2013.12</v>
      </c>
      <c r="B249" s="74">
        <v>883651.00703631947</v>
      </c>
      <c r="C249" s="93">
        <v>22679670.760849997</v>
      </c>
      <c r="D249" s="512"/>
      <c r="E249" s="512"/>
    </row>
    <row r="250" spans="1:5">
      <c r="A250" s="85">
        <f t="shared" si="2"/>
        <v>2014.01</v>
      </c>
      <c r="B250" s="74">
        <v>1183345.22317128</v>
      </c>
      <c r="C250" s="93">
        <v>27521455.082100023</v>
      </c>
      <c r="D250" s="512"/>
      <c r="E250" s="512"/>
    </row>
    <row r="251" spans="1:5">
      <c r="A251" s="85">
        <f t="shared" si="2"/>
        <v>2014.02</v>
      </c>
      <c r="B251" s="74">
        <v>1084650.1214769101</v>
      </c>
      <c r="C251" s="93">
        <v>25821979.758289997</v>
      </c>
      <c r="D251" s="512"/>
      <c r="E251" s="512"/>
    </row>
    <row r="252" spans="1:5">
      <c r="A252" s="85">
        <f t="shared" si="2"/>
        <v>2014.03</v>
      </c>
      <c r="B252" s="74">
        <v>1086284.2641266179</v>
      </c>
      <c r="C252" s="93">
        <v>25535161.399130002</v>
      </c>
      <c r="D252" s="512"/>
      <c r="E252" s="512"/>
    </row>
    <row r="253" spans="1:5">
      <c r="A253" s="85">
        <f t="shared" si="2"/>
        <v>2014.04</v>
      </c>
      <c r="B253" s="74">
        <v>1074961.3031645999</v>
      </c>
      <c r="C253" s="93">
        <v>27516350.326919992</v>
      </c>
      <c r="D253" s="512"/>
      <c r="E253" s="512"/>
    </row>
    <row r="254" spans="1:5">
      <c r="A254" s="85">
        <f t="shared" si="2"/>
        <v>2014.05</v>
      </c>
      <c r="B254" s="74">
        <v>1131228.7169237065</v>
      </c>
      <c r="C254" s="93">
        <v>25973889.012629997</v>
      </c>
      <c r="D254" s="512"/>
      <c r="E254" s="512"/>
    </row>
    <row r="255" spans="1:5">
      <c r="A255" s="85">
        <f t="shared" si="2"/>
        <v>2014.06</v>
      </c>
      <c r="B255" s="74">
        <v>1009582.5152862375</v>
      </c>
      <c r="C255" s="93">
        <v>25544295.391009983</v>
      </c>
      <c r="D255" s="512"/>
      <c r="E255" s="512"/>
    </row>
    <row r="256" spans="1:5">
      <c r="A256" s="85">
        <f t="shared" si="2"/>
        <v>2014.07</v>
      </c>
      <c r="B256" s="74">
        <v>1197475.0261068502</v>
      </c>
      <c r="C256" s="93">
        <v>28399698.135249998</v>
      </c>
      <c r="D256" s="512"/>
      <c r="E256" s="512"/>
    </row>
    <row r="257" spans="1:5">
      <c r="A257" s="85">
        <f t="shared" si="2"/>
        <v>2014.08</v>
      </c>
      <c r="B257" s="74">
        <v>1235753.1217445692</v>
      </c>
      <c r="C257" s="93">
        <v>28431303.250450011</v>
      </c>
      <c r="D257" s="512"/>
      <c r="E257" s="512"/>
    </row>
    <row r="258" spans="1:5">
      <c r="A258" s="85">
        <f t="shared" si="2"/>
        <v>2014.09</v>
      </c>
      <c r="B258" s="74">
        <v>1204225</v>
      </c>
      <c r="C258" s="93">
        <v>29956038</v>
      </c>
      <c r="D258" s="512"/>
      <c r="E258" s="512"/>
    </row>
    <row r="259" spans="1:5">
      <c r="A259" s="85">
        <f t="shared" si="2"/>
        <v>2014.1</v>
      </c>
      <c r="B259" s="74">
        <v>1209378</v>
      </c>
      <c r="C259" s="93">
        <v>30139781</v>
      </c>
      <c r="D259" s="512"/>
      <c r="E259" s="512"/>
    </row>
    <row r="260" spans="1:5">
      <c r="A260" s="85">
        <f t="shared" si="2"/>
        <v>2014.11</v>
      </c>
      <c r="B260" s="74">
        <v>1155366.3495061579</v>
      </c>
      <c r="C260" s="93">
        <v>30255623.018920004</v>
      </c>
      <c r="D260" s="512"/>
      <c r="E260" s="512"/>
    </row>
    <row r="261" spans="1:5">
      <c r="A261" s="85">
        <f t="shared" si="2"/>
        <v>2014.12</v>
      </c>
      <c r="B261" s="74">
        <v>1342615</v>
      </c>
      <c r="C261" s="93">
        <v>31130255</v>
      </c>
      <c r="D261" s="512"/>
      <c r="E261" s="512"/>
    </row>
    <row r="262" spans="1:5">
      <c r="A262" s="85">
        <f t="shared" si="2"/>
        <v>2015.01</v>
      </c>
      <c r="B262" s="74">
        <v>1596712</v>
      </c>
      <c r="C262" s="93">
        <v>35013637</v>
      </c>
      <c r="D262" s="512"/>
      <c r="E262" s="512"/>
    </row>
    <row r="263" spans="1:5">
      <c r="A263" s="85">
        <f t="shared" si="2"/>
        <v>2015.02</v>
      </c>
      <c r="B263" s="74">
        <v>1410713.9250275875</v>
      </c>
      <c r="C263" s="93">
        <v>31048172.527569979</v>
      </c>
      <c r="D263" s="512"/>
      <c r="E263" s="512"/>
    </row>
    <row r="264" spans="1:5">
      <c r="A264" s="85">
        <f t="shared" si="2"/>
        <v>2015.03</v>
      </c>
      <c r="B264" s="74">
        <v>1436140.8886259273</v>
      </c>
      <c r="C264" s="93">
        <v>33909006.200119987</v>
      </c>
      <c r="D264" s="512"/>
      <c r="E264" s="512"/>
    </row>
    <row r="265" spans="1:5">
      <c r="A265" s="85">
        <f t="shared" si="2"/>
        <v>2015.04</v>
      </c>
      <c r="B265" s="74">
        <v>1504868.4941285299</v>
      </c>
      <c r="C265" s="93">
        <v>33601669.528570011</v>
      </c>
      <c r="D265" s="512"/>
      <c r="E265" s="512"/>
    </row>
    <row r="266" spans="1:5">
      <c r="A266" s="85">
        <f t="shared" si="2"/>
        <v>2015.05</v>
      </c>
      <c r="B266" s="74">
        <v>1385917.3790078857</v>
      </c>
      <c r="C266" s="93">
        <v>33103205.727949992</v>
      </c>
      <c r="D266" s="512"/>
      <c r="E266" s="512"/>
    </row>
    <row r="267" spans="1:5">
      <c r="A267" s="85">
        <f t="shared" si="2"/>
        <v>2015.06</v>
      </c>
      <c r="B267" s="74">
        <v>1476159.3407018268</v>
      </c>
      <c r="C267" s="93">
        <v>34554052.08986</v>
      </c>
      <c r="D267" s="512"/>
      <c r="E267" s="512"/>
    </row>
    <row r="268" spans="1:5">
      <c r="A268" s="85">
        <f t="shared" si="2"/>
        <v>2015.07</v>
      </c>
      <c r="B268" s="74">
        <v>1483797.9346590568</v>
      </c>
      <c r="C268" s="93">
        <v>36418399.595909998</v>
      </c>
      <c r="D268" s="512"/>
      <c r="E268" s="512"/>
    </row>
    <row r="269" spans="1:5">
      <c r="A269" s="85">
        <f t="shared" si="2"/>
        <v>2015.08</v>
      </c>
      <c r="B269" s="74">
        <v>1862938.510850701</v>
      </c>
      <c r="C269" s="93">
        <v>39546152.747199997</v>
      </c>
      <c r="D269" s="512"/>
      <c r="E269" s="512"/>
    </row>
    <row r="270" spans="1:5">
      <c r="A270" s="85">
        <f t="shared" si="2"/>
        <v>2015.09</v>
      </c>
      <c r="B270" s="74">
        <v>1746233.2801121883</v>
      </c>
      <c r="C270" s="93">
        <v>38921755.438949987</v>
      </c>
      <c r="D270" s="512"/>
      <c r="E270" s="512"/>
    </row>
    <row r="271" spans="1:5">
      <c r="A271" s="85">
        <f t="shared" si="2"/>
        <v>2015.1</v>
      </c>
      <c r="B271" s="74">
        <v>1794266.8528832393</v>
      </c>
      <c r="C271" s="93">
        <v>39583541.375179999</v>
      </c>
      <c r="D271" s="512"/>
      <c r="E271" s="512"/>
    </row>
    <row r="272" spans="1:5">
      <c r="A272" s="85">
        <f t="shared" si="2"/>
        <v>2015.11</v>
      </c>
      <c r="B272" s="74">
        <v>1752459.2720913056</v>
      </c>
      <c r="C272" s="93">
        <v>39497824.544650011</v>
      </c>
      <c r="D272" s="512"/>
      <c r="E272" s="512"/>
    </row>
    <row r="273" spans="1:5">
      <c r="A273" s="85">
        <f t="shared" si="2"/>
        <v>2015.12</v>
      </c>
      <c r="B273" s="74">
        <v>1909608.4780226597</v>
      </c>
      <c r="C273" s="93">
        <v>43302224.641310006</v>
      </c>
      <c r="D273" s="512"/>
      <c r="E273" s="512"/>
    </row>
    <row r="274" spans="1:5">
      <c r="A274" s="85">
        <f t="shared" si="2"/>
        <v>2016.01</v>
      </c>
      <c r="B274" s="74">
        <v>1952491.5378782726</v>
      </c>
      <c r="C274" s="93">
        <v>45804223.762259997</v>
      </c>
      <c r="D274" s="512"/>
      <c r="E274" s="512"/>
    </row>
    <row r="275" spans="1:5">
      <c r="A275" s="85">
        <f t="shared" si="2"/>
        <v>2016.02</v>
      </c>
      <c r="B275" s="74">
        <v>1755558.6400742247</v>
      </c>
      <c r="C275" s="93">
        <v>41706760.194700003</v>
      </c>
      <c r="D275" s="512"/>
      <c r="E275" s="512"/>
    </row>
    <row r="276" spans="1:5">
      <c r="A276" s="85">
        <f t="shared" si="2"/>
        <v>2016.03</v>
      </c>
      <c r="B276" s="74">
        <v>1882216.5295963632</v>
      </c>
      <c r="C276" s="93">
        <v>45969824.433670007</v>
      </c>
      <c r="D276" s="512"/>
      <c r="E276" s="512"/>
    </row>
    <row r="277" spans="1:5">
      <c r="A277" s="85">
        <f t="shared" si="2"/>
        <v>2016.04</v>
      </c>
      <c r="B277" s="74">
        <v>2088757.4073039235</v>
      </c>
      <c r="C277" s="93">
        <v>48164144.067330003</v>
      </c>
      <c r="D277" s="512"/>
      <c r="E277" s="512"/>
    </row>
    <row r="278" spans="1:5">
      <c r="A278" s="85">
        <f t="shared" si="2"/>
        <v>2016.05</v>
      </c>
      <c r="B278" s="74">
        <v>1964449.3556033149</v>
      </c>
      <c r="C278" s="93">
        <v>45947683.453890026</v>
      </c>
      <c r="D278" s="512"/>
      <c r="E278" s="512"/>
    </row>
    <row r="279" spans="1:5">
      <c r="A279" s="85">
        <f t="shared" si="2"/>
        <v>2016.06</v>
      </c>
      <c r="B279" s="74">
        <v>2144603.9642165117</v>
      </c>
      <c r="C279" s="93">
        <v>48131748.99957002</v>
      </c>
      <c r="D279" s="512"/>
      <c r="E279" s="512"/>
    </row>
    <row r="280" spans="1:5">
      <c r="A280" s="85">
        <f t="shared" si="2"/>
        <v>2016.07</v>
      </c>
      <c r="B280" s="74">
        <v>2245806.3211617717</v>
      </c>
      <c r="C280" s="93">
        <v>48391607.947460033</v>
      </c>
      <c r="D280" s="512"/>
      <c r="E280" s="512"/>
    </row>
    <row r="281" spans="1:5">
      <c r="A281" s="85">
        <f t="shared" si="2"/>
        <v>2016.08</v>
      </c>
      <c r="B281" s="74">
        <v>2239866.7418558127</v>
      </c>
      <c r="C281" s="93">
        <v>51185588.771250017</v>
      </c>
      <c r="D281" s="512"/>
      <c r="E281" s="512"/>
    </row>
    <row r="282" spans="1:5">
      <c r="A282" s="85">
        <f t="shared" si="2"/>
        <v>2016.09</v>
      </c>
      <c r="B282" s="74">
        <v>2456597.0854229424</v>
      </c>
      <c r="C282" s="93">
        <v>54259674.233749993</v>
      </c>
      <c r="D282" s="512"/>
      <c r="E282" s="512"/>
    </row>
    <row r="283" spans="1:5">
      <c r="A283" s="85">
        <f t="shared" si="2"/>
        <v>2016.1</v>
      </c>
      <c r="B283" s="74">
        <v>2250939.0132525489</v>
      </c>
      <c r="C283" s="93">
        <v>49819415.454100005</v>
      </c>
      <c r="D283" s="512"/>
      <c r="E283" s="512"/>
    </row>
    <row r="284" spans="1:5">
      <c r="A284" s="85">
        <f t="shared" si="2"/>
        <v>2016.11</v>
      </c>
      <c r="B284" s="74">
        <v>2245783.9085090887</v>
      </c>
      <c r="C284" s="93">
        <v>53034705.938280001</v>
      </c>
      <c r="D284" s="512"/>
      <c r="E284" s="512"/>
    </row>
    <row r="285" spans="1:5">
      <c r="A285" s="85">
        <f t="shared" si="2"/>
        <v>2016.12</v>
      </c>
      <c r="B285" s="74">
        <v>2671712.5695256041</v>
      </c>
      <c r="C285" s="93">
        <v>56733559.089410007</v>
      </c>
      <c r="D285" s="512"/>
      <c r="E285" s="512"/>
    </row>
    <row r="286" spans="1:5">
      <c r="A286" s="85">
        <f t="shared" si="2"/>
        <v>2017.01</v>
      </c>
      <c r="B286" s="74">
        <v>2840657.346652267</v>
      </c>
      <c r="C286" s="93">
        <v>60306880.283729978</v>
      </c>
      <c r="D286" s="512"/>
      <c r="E286" s="512"/>
    </row>
    <row r="287" spans="1:5">
      <c r="A287" s="85">
        <f t="shared" si="2"/>
        <v>2017.02</v>
      </c>
      <c r="B287" s="74">
        <v>2541737.4531153012</v>
      </c>
      <c r="C287" s="93">
        <v>54796923.400220007</v>
      </c>
      <c r="D287" s="512"/>
      <c r="E287" s="512"/>
    </row>
    <row r="288" spans="1:5">
      <c r="A288" s="85">
        <f t="shared" si="2"/>
        <v>2017.03</v>
      </c>
      <c r="B288" s="74">
        <v>2168000.6516107651</v>
      </c>
      <c r="C288" s="93">
        <v>55805705.655850023</v>
      </c>
      <c r="D288" s="512"/>
      <c r="E288" s="512"/>
    </row>
    <row r="289" spans="1:6">
      <c r="A289" s="85">
        <f t="shared" si="2"/>
        <v>2017.04</v>
      </c>
      <c r="B289" s="74">
        <v>2931818.99564924</v>
      </c>
      <c r="C289" s="93">
        <v>61099746.823979989</v>
      </c>
      <c r="D289" s="512"/>
      <c r="E289" s="512"/>
    </row>
    <row r="290" spans="1:6">
      <c r="A290" s="85">
        <f t="shared" si="2"/>
        <v>2017.05</v>
      </c>
      <c r="B290" s="74">
        <v>2689033.2095434647</v>
      </c>
      <c r="C290" s="93">
        <v>61134883.937700003</v>
      </c>
      <c r="D290" s="512"/>
      <c r="E290" s="512"/>
    </row>
    <row r="291" spans="1:6">
      <c r="A291" s="85">
        <f t="shared" si="2"/>
        <v>2017.06</v>
      </c>
      <c r="B291" s="74">
        <v>2803745.3905092222</v>
      </c>
      <c r="C291" s="93">
        <v>63209041.701160014</v>
      </c>
      <c r="D291" s="512"/>
      <c r="E291" s="512"/>
    </row>
    <row r="292" spans="1:6">
      <c r="A292" s="85">
        <f t="shared" si="2"/>
        <v>2017.07</v>
      </c>
      <c r="B292" s="74">
        <v>2887459.1677492401</v>
      </c>
      <c r="C292" s="93">
        <v>65569982.520900033</v>
      </c>
      <c r="D292" s="512"/>
      <c r="E292" s="512"/>
    </row>
    <row r="293" spans="1:6">
      <c r="A293" s="85">
        <f t="shared" si="2"/>
        <v>2017.08</v>
      </c>
      <c r="B293" s="74">
        <v>2942408.6725843977</v>
      </c>
      <c r="C293" s="93">
        <v>71834068.013550013</v>
      </c>
      <c r="D293" s="512"/>
      <c r="E293" s="512"/>
    </row>
    <row r="294" spans="1:6">
      <c r="A294" s="85">
        <f t="shared" si="2"/>
        <v>2017.09</v>
      </c>
      <c r="B294" s="74">
        <v>3058064.9818491065</v>
      </c>
      <c r="C294" s="93">
        <v>70421049.339450002</v>
      </c>
      <c r="D294" s="512"/>
      <c r="E294" s="512"/>
    </row>
    <row r="295" spans="1:6">
      <c r="A295" s="85">
        <f t="shared" si="2"/>
        <v>2017.1</v>
      </c>
      <c r="B295" s="74">
        <v>2928124.3088689586</v>
      </c>
      <c r="C295" s="93">
        <v>71361998.186090037</v>
      </c>
      <c r="D295" s="512"/>
      <c r="E295" s="512"/>
    </row>
    <row r="296" spans="1:6">
      <c r="A296" s="85">
        <f t="shared" si="2"/>
        <v>2017.11</v>
      </c>
      <c r="B296" s="74">
        <v>3268769.3051175876</v>
      </c>
      <c r="C296" s="93">
        <v>76363736.207150042</v>
      </c>
      <c r="D296" s="512"/>
      <c r="E296" s="512"/>
    </row>
    <row r="297" spans="1:6">
      <c r="A297" s="85">
        <f t="shared" si="2"/>
        <v>2017.12</v>
      </c>
      <c r="B297" s="74">
        <v>3445467.4459292684</v>
      </c>
      <c r="C297" s="93">
        <v>73938270.801269978</v>
      </c>
      <c r="D297" s="512"/>
      <c r="E297" s="512"/>
    </row>
    <row r="298" spans="1:6">
      <c r="A298" s="85">
        <f t="shared" si="2"/>
        <v>2018.01</v>
      </c>
      <c r="B298" s="74">
        <v>3995300.3578029368</v>
      </c>
      <c r="C298" s="93">
        <v>86722325.981790036</v>
      </c>
      <c r="D298" s="512"/>
      <c r="E298" s="512"/>
      <c r="F298" s="414"/>
    </row>
    <row r="299" spans="1:6">
      <c r="A299" s="85">
        <f t="shared" si="2"/>
        <v>2018.02</v>
      </c>
      <c r="B299" s="74">
        <v>3712631.5206083064</v>
      </c>
      <c r="C299" s="93">
        <v>79205215.508919999</v>
      </c>
      <c r="D299" s="512"/>
      <c r="E299" s="512"/>
      <c r="F299" s="414"/>
    </row>
    <row r="300" spans="1:6">
      <c r="A300" s="85">
        <f t="shared" si="2"/>
        <v>2018.03</v>
      </c>
      <c r="B300" s="74">
        <v>4004638.249864338</v>
      </c>
      <c r="C300" s="93">
        <v>82164981.008299991</v>
      </c>
      <c r="D300" s="512"/>
      <c r="E300" s="512"/>
      <c r="F300" s="414"/>
    </row>
    <row r="301" spans="1:6">
      <c r="A301" s="85">
        <f t="shared" si="2"/>
        <v>2018.04</v>
      </c>
      <c r="B301" s="74">
        <v>3536929.1979365246</v>
      </c>
      <c r="C301" s="93">
        <v>84381470.512839988</v>
      </c>
      <c r="D301" s="512"/>
      <c r="E301" s="512"/>
      <c r="F301" s="414"/>
    </row>
    <row r="302" spans="1:6">
      <c r="A302" s="85">
        <f t="shared" si="2"/>
        <v>2018.05</v>
      </c>
      <c r="B302" s="74">
        <v>3729041.42853997</v>
      </c>
      <c r="C302" s="93">
        <v>88674238.896830007</v>
      </c>
      <c r="D302" s="512"/>
      <c r="E302" s="512"/>
      <c r="F302" s="414"/>
    </row>
    <row r="303" spans="1:6">
      <c r="A303" s="85">
        <f t="shared" si="2"/>
        <v>2018.06</v>
      </c>
      <c r="B303" s="74">
        <v>4127723.928457994</v>
      </c>
      <c r="C303" s="93">
        <v>93127480.642420009</v>
      </c>
      <c r="D303" s="512"/>
      <c r="E303" s="512"/>
      <c r="F303" s="414"/>
    </row>
    <row r="304" spans="1:6">
      <c r="A304" s="85">
        <f t="shared" si="2"/>
        <v>2018.07</v>
      </c>
      <c r="B304" s="74">
        <v>3760233.8393195486</v>
      </c>
      <c r="C304" s="93">
        <v>94304076.495229989</v>
      </c>
      <c r="D304" s="512"/>
      <c r="E304" s="512"/>
      <c r="F304" s="414"/>
    </row>
    <row r="305" spans="1:6">
      <c r="A305" s="85">
        <f t="shared" si="2"/>
        <v>2018.08</v>
      </c>
      <c r="B305" s="74">
        <v>3783891.2771547055</v>
      </c>
      <c r="C305" s="93">
        <v>100066100.89686996</v>
      </c>
      <c r="D305" s="512"/>
      <c r="E305" s="512"/>
      <c r="F305" s="414"/>
    </row>
    <row r="306" spans="1:6">
      <c r="A306" s="85">
        <f t="shared" ref="A306:A369" si="3">A294+1</f>
        <v>2018.09</v>
      </c>
      <c r="B306" s="74">
        <v>3881393.0712391445</v>
      </c>
      <c r="C306" s="93">
        <v>105070008.35066997</v>
      </c>
      <c r="D306" s="512"/>
      <c r="E306" s="512"/>
      <c r="F306" s="414"/>
    </row>
    <row r="307" spans="1:6">
      <c r="A307" s="85">
        <f t="shared" si="3"/>
        <v>2018.1</v>
      </c>
      <c r="B307" s="74">
        <v>4242505.6821978567</v>
      </c>
      <c r="C307" s="93">
        <v>113262412.26611003</v>
      </c>
      <c r="D307" s="512"/>
      <c r="E307" s="512"/>
      <c r="F307" s="414"/>
    </row>
    <row r="308" spans="1:6">
      <c r="A308" s="85">
        <f t="shared" si="3"/>
        <v>2018.11</v>
      </c>
      <c r="B308" s="74">
        <v>4426409.093512292</v>
      </c>
      <c r="C308" s="93">
        <v>99292039.965099975</v>
      </c>
      <c r="D308" s="512"/>
      <c r="E308" s="512"/>
    </row>
    <row r="309" spans="1:6">
      <c r="A309" s="85">
        <f t="shared" si="3"/>
        <v>2018.12</v>
      </c>
      <c r="B309" s="74">
        <v>4826470.0430500293</v>
      </c>
      <c r="C309" s="93">
        <v>101709939.24901995</v>
      </c>
      <c r="D309" s="512"/>
      <c r="E309" s="512"/>
    </row>
    <row r="310" spans="1:6">
      <c r="A310" s="85">
        <f t="shared" si="3"/>
        <v>2019.01</v>
      </c>
      <c r="B310" s="74">
        <v>5697074.7607128695</v>
      </c>
      <c r="C310" s="93">
        <v>117242433.45116006</v>
      </c>
      <c r="D310" s="512"/>
      <c r="E310" s="512"/>
    </row>
    <row r="311" spans="1:6">
      <c r="A311" s="85">
        <f t="shared" si="3"/>
        <v>2019.02</v>
      </c>
      <c r="B311" s="74">
        <v>5062660.3900669077</v>
      </c>
      <c r="C311" s="93">
        <v>105831778.59849997</v>
      </c>
      <c r="D311" s="512"/>
      <c r="E311" s="512"/>
    </row>
    <row r="312" spans="1:6">
      <c r="A312" s="85">
        <f t="shared" si="3"/>
        <v>2019.03</v>
      </c>
      <c r="B312" s="74">
        <v>5485310.6206486225</v>
      </c>
      <c r="C312" s="93">
        <v>108896949.98287997</v>
      </c>
      <c r="D312" s="512"/>
      <c r="E312" s="512"/>
    </row>
    <row r="313" spans="1:6">
      <c r="A313" s="85">
        <f t="shared" si="3"/>
        <v>2019.04</v>
      </c>
      <c r="B313" s="74">
        <v>5992958.5154703232</v>
      </c>
      <c r="C313" s="93">
        <v>120500063.04147001</v>
      </c>
      <c r="D313" s="512"/>
      <c r="E313" s="512"/>
    </row>
    <row r="314" spans="1:6">
      <c r="A314" s="85">
        <f t="shared" si="3"/>
        <v>2019.05</v>
      </c>
      <c r="B314" s="74">
        <v>5996761.5631110901</v>
      </c>
      <c r="C314" s="93">
        <v>131473438.82780004</v>
      </c>
      <c r="D314" s="512"/>
      <c r="E314" s="512"/>
    </row>
    <row r="315" spans="1:6">
      <c r="A315" s="85">
        <f t="shared" si="3"/>
        <v>2019.06</v>
      </c>
      <c r="B315" s="74">
        <v>4928337.6428525094</v>
      </c>
      <c r="C315" s="93">
        <v>129908147.49959004</v>
      </c>
      <c r="D315" s="512"/>
      <c r="E315" s="512"/>
    </row>
    <row r="316" spans="1:6">
      <c r="A316" s="85">
        <f t="shared" si="3"/>
        <v>2019.07</v>
      </c>
      <c r="B316" s="74">
        <v>4726160.1696465025</v>
      </c>
      <c r="C316" s="93">
        <v>135164455.26111996</v>
      </c>
      <c r="D316" s="512"/>
      <c r="E316" s="512"/>
    </row>
    <row r="317" spans="1:6">
      <c r="A317" s="85">
        <f t="shared" si="3"/>
        <v>2019.08</v>
      </c>
      <c r="B317" s="74">
        <v>4770336.7448024014</v>
      </c>
      <c r="C317" s="93">
        <v>146244871.50939006</v>
      </c>
      <c r="D317" s="512"/>
      <c r="E317" s="512"/>
    </row>
    <row r="318" spans="1:6">
      <c r="A318" s="85">
        <f t="shared" si="3"/>
        <v>2019.09</v>
      </c>
      <c r="B318" s="74">
        <v>4455664.2280919841</v>
      </c>
      <c r="C318" s="93">
        <v>142020069.07955003</v>
      </c>
      <c r="D318" s="512"/>
      <c r="E318" s="512"/>
    </row>
    <row r="319" spans="1:6">
      <c r="A319" s="85">
        <f t="shared" si="3"/>
        <v>2019.1</v>
      </c>
      <c r="B319" s="74">
        <v>4571147.46660899</v>
      </c>
      <c r="C319" s="93">
        <v>150650959.29567009</v>
      </c>
      <c r="D319" s="512"/>
      <c r="E319" s="512"/>
    </row>
    <row r="320" spans="1:6">
      <c r="A320" s="85">
        <f t="shared" si="3"/>
        <v>2019.11</v>
      </c>
      <c r="B320" s="74">
        <v>5317637.2257117853</v>
      </c>
      <c r="C320" s="93">
        <v>148741877.97114998</v>
      </c>
      <c r="D320" s="512"/>
      <c r="E320" s="512"/>
    </row>
    <row r="321" spans="1:5">
      <c r="A321" s="85">
        <f t="shared" si="3"/>
        <v>2019.12</v>
      </c>
      <c r="B321" s="74">
        <v>4055030.4010797921</v>
      </c>
      <c r="C321" s="93">
        <v>141621857.84172988</v>
      </c>
      <c r="D321" s="512"/>
      <c r="E321" s="512"/>
    </row>
    <row r="322" spans="1:5">
      <c r="A322" s="85">
        <f t="shared" si="3"/>
        <v>2020.01</v>
      </c>
      <c r="B322" s="74">
        <v>6132817.0810474502</v>
      </c>
      <c r="C322" s="93">
        <v>172578561.11151001</v>
      </c>
      <c r="D322" s="512"/>
      <c r="E322" s="512"/>
    </row>
    <row r="323" spans="1:5">
      <c r="A323" s="85">
        <f t="shared" si="3"/>
        <v>2020.02</v>
      </c>
      <c r="B323" s="74">
        <v>5000187.236482705</v>
      </c>
      <c r="C323" s="93">
        <v>146187328.63857007</v>
      </c>
      <c r="D323" s="512"/>
      <c r="E323" s="512"/>
    </row>
    <row r="324" spans="1:5">
      <c r="A324" s="85">
        <f t="shared" si="3"/>
        <v>2020.03</v>
      </c>
      <c r="B324" s="74">
        <v>4451048.5862721344</v>
      </c>
      <c r="C324" s="93">
        <v>143160775.87969005</v>
      </c>
      <c r="D324" s="512"/>
      <c r="E324" s="512"/>
    </row>
    <row r="325" spans="1:5">
      <c r="A325" s="85">
        <f t="shared" si="3"/>
        <v>2020.04</v>
      </c>
      <c r="B325" s="74">
        <v>4355459.4389209356</v>
      </c>
      <c r="C325" s="93">
        <v>128527223.7046001</v>
      </c>
      <c r="D325" s="512"/>
      <c r="E325" s="512"/>
    </row>
    <row r="326" spans="1:5">
      <c r="A326" s="85">
        <f t="shared" si="3"/>
        <v>2020.05</v>
      </c>
      <c r="B326" s="74">
        <v>4621673.5050042579</v>
      </c>
      <c r="C326" s="93">
        <v>134165877.03122</v>
      </c>
      <c r="D326" s="512"/>
      <c r="E326" s="512"/>
    </row>
    <row r="327" spans="1:5">
      <c r="A327" s="85">
        <f t="shared" si="3"/>
        <v>2020.06</v>
      </c>
      <c r="B327" s="74">
        <v>5507823.0351317767</v>
      </c>
      <c r="C327" s="93">
        <v>143809983.25011</v>
      </c>
      <c r="D327" s="512"/>
      <c r="E327" s="512"/>
    </row>
    <row r="328" spans="1:5">
      <c r="A328" s="85">
        <f t="shared" si="3"/>
        <v>2020.07</v>
      </c>
      <c r="B328" s="74">
        <v>4079872.8565926859</v>
      </c>
      <c r="C328" s="93">
        <v>147234895.77259997</v>
      </c>
      <c r="D328" s="512"/>
      <c r="E328" s="512"/>
    </row>
    <row r="329" spans="1:5">
      <c r="A329" s="85">
        <f t="shared" si="3"/>
        <v>2020.08</v>
      </c>
      <c r="B329" s="74">
        <v>5500774.3505221484</v>
      </c>
      <c r="C329" s="93">
        <v>163276708.91206998</v>
      </c>
      <c r="D329" s="512"/>
      <c r="E329" s="512"/>
    </row>
    <row r="330" spans="1:5">
      <c r="A330" s="85">
        <f t="shared" si="3"/>
        <v>2020.09</v>
      </c>
      <c r="B330" s="74">
        <v>5183255.8208788047</v>
      </c>
      <c r="C330" s="93">
        <v>175809169.13049003</v>
      </c>
      <c r="D330" s="512"/>
      <c r="E330" s="512"/>
    </row>
    <row r="331" spans="1:5">
      <c r="A331" s="85">
        <f t="shared" si="3"/>
        <v>2020.1</v>
      </c>
      <c r="B331" s="74">
        <v>5680773.7497521657</v>
      </c>
      <c r="C331" s="93">
        <v>191755738.45756003</v>
      </c>
      <c r="D331" s="512"/>
      <c r="E331" s="512"/>
    </row>
    <row r="332" spans="1:5">
      <c r="A332" s="85">
        <f t="shared" si="3"/>
        <v>2020.11</v>
      </c>
      <c r="B332" s="2569">
        <v>6032109.9484681729</v>
      </c>
      <c r="C332" s="2570">
        <v>194969680.72033998</v>
      </c>
      <c r="D332" s="512"/>
      <c r="E332" s="512"/>
    </row>
    <row r="333" spans="1:5">
      <c r="A333" s="85">
        <f t="shared" si="3"/>
        <v>2020.12</v>
      </c>
      <c r="B333" s="2569">
        <v>5992847.5870268345</v>
      </c>
      <c r="C333" s="2570">
        <v>210084850.81001997</v>
      </c>
      <c r="D333" s="512"/>
      <c r="E333" s="512"/>
    </row>
    <row r="334" spans="1:5">
      <c r="A334" s="85">
        <f t="shared" si="3"/>
        <v>2021.01</v>
      </c>
      <c r="B334" s="74">
        <v>8225192.8263453832</v>
      </c>
      <c r="C334" s="93">
        <v>240331605.17126992</v>
      </c>
      <c r="D334" s="512"/>
      <c r="E334" s="512"/>
    </row>
    <row r="335" spans="1:5">
      <c r="A335" s="85">
        <f t="shared" si="3"/>
        <v>2021.02</v>
      </c>
      <c r="B335" s="74">
        <v>6673030.3342328677</v>
      </c>
      <c r="C335" s="93">
        <v>215643376.50199008</v>
      </c>
      <c r="D335" s="512"/>
      <c r="E335" s="512"/>
    </row>
    <row r="336" spans="1:5">
      <c r="A336" s="85">
        <f t="shared" si="3"/>
        <v>2021.03</v>
      </c>
      <c r="B336" s="74">
        <v>7175667.0007483382</v>
      </c>
      <c r="C336" s="93">
        <v>250590150.44751015</v>
      </c>
      <c r="D336" s="512"/>
      <c r="E336" s="512"/>
    </row>
    <row r="337" spans="1:7">
      <c r="A337" s="85">
        <f t="shared" si="3"/>
        <v>2021.04</v>
      </c>
      <c r="B337" s="74">
        <v>8058468.3506312901</v>
      </c>
      <c r="C337" s="93">
        <v>252298331.02387002</v>
      </c>
      <c r="D337" s="512"/>
      <c r="E337" s="512"/>
    </row>
    <row r="338" spans="1:7">
      <c r="A338" s="85">
        <f t="shared" si="3"/>
        <v>2021.05</v>
      </c>
      <c r="B338" s="74">
        <v>7525060.9006018005</v>
      </c>
      <c r="C338" s="93">
        <v>242393841.17235002</v>
      </c>
      <c r="D338" s="512"/>
      <c r="E338" s="512"/>
    </row>
    <row r="339" spans="1:7">
      <c r="A339" s="85">
        <f t="shared" si="3"/>
        <v>2021.06</v>
      </c>
      <c r="B339" s="74">
        <v>7312631.9111868264</v>
      </c>
      <c r="C339" s="93">
        <v>264725497.82702011</v>
      </c>
      <c r="D339" s="512"/>
      <c r="E339" s="512"/>
    </row>
    <row r="340" spans="1:7">
      <c r="A340" s="85">
        <f t="shared" si="3"/>
        <v>2021.07</v>
      </c>
      <c r="B340" s="74">
        <v>7754570.2380068433</v>
      </c>
      <c r="C340" s="93">
        <v>273528160.72521007</v>
      </c>
      <c r="D340" s="512"/>
      <c r="E340" s="512"/>
    </row>
    <row r="341" spans="1:7">
      <c r="A341" s="85">
        <f t="shared" si="3"/>
        <v>2021.08</v>
      </c>
      <c r="B341" s="74">
        <v>8512087.4925274104</v>
      </c>
      <c r="C341" s="93">
        <v>283858709.76090997</v>
      </c>
      <c r="D341" s="512"/>
      <c r="E341" s="512"/>
    </row>
    <row r="342" spans="1:7">
      <c r="A342" s="85">
        <f t="shared" si="3"/>
        <v>2021.09</v>
      </c>
      <c r="B342" s="74">
        <v>9025720.7312490866</v>
      </c>
      <c r="C342" s="93">
        <v>310774648.87630022</v>
      </c>
      <c r="D342" s="512"/>
      <c r="E342" s="512"/>
    </row>
    <row r="343" spans="1:7">
      <c r="A343" s="85">
        <f t="shared" si="3"/>
        <v>2021.1</v>
      </c>
      <c r="B343" s="74">
        <v>8532998.4819051344</v>
      </c>
      <c r="C343" s="93">
        <v>295669262.75247014</v>
      </c>
      <c r="D343" s="512"/>
      <c r="E343" s="512"/>
    </row>
    <row r="344" spans="1:7">
      <c r="A344" s="85">
        <f t="shared" si="3"/>
        <v>2021.11</v>
      </c>
      <c r="B344" s="74">
        <v>8481577.3777925987</v>
      </c>
      <c r="C344" s="93">
        <v>319196210.68517011</v>
      </c>
      <c r="D344" s="512"/>
      <c r="E344" s="512"/>
    </row>
    <row r="345" spans="1:7">
      <c r="A345" s="85">
        <f t="shared" si="3"/>
        <v>2021.12</v>
      </c>
      <c r="B345" s="74">
        <v>9451286.774998121</v>
      </c>
      <c r="C345" s="93">
        <v>356998415.63072985</v>
      </c>
      <c r="D345" s="512"/>
      <c r="E345" s="512"/>
    </row>
    <row r="346" spans="1:7">
      <c r="A346" s="85">
        <f t="shared" si="3"/>
        <v>2022.01</v>
      </c>
      <c r="B346" s="74">
        <v>11694202.317274114</v>
      </c>
      <c r="C346" s="93">
        <v>360213571.52697998</v>
      </c>
      <c r="D346" s="512"/>
      <c r="E346" s="512"/>
    </row>
    <row r="347" spans="1:7">
      <c r="A347" s="85">
        <f t="shared" si="3"/>
        <v>2022.02</v>
      </c>
      <c r="B347" s="74">
        <v>10582252.037603714</v>
      </c>
      <c r="C347" s="93">
        <v>344725231.35604012</v>
      </c>
      <c r="D347" s="512"/>
      <c r="E347" s="512"/>
    </row>
    <row r="348" spans="1:7">
      <c r="A348" s="85">
        <f t="shared" si="3"/>
        <v>2022.03</v>
      </c>
      <c r="B348" s="74">
        <v>11957343.743706303</v>
      </c>
      <c r="C348" s="93">
        <v>393314164.98055005</v>
      </c>
      <c r="D348" s="512"/>
      <c r="E348" s="512"/>
      <c r="F348" s="35"/>
      <c r="G348" s="35"/>
    </row>
    <row r="349" spans="1:7">
      <c r="A349" s="85">
        <f t="shared" si="3"/>
        <v>2022.04</v>
      </c>
      <c r="B349" s="74">
        <v>13990354.818309119</v>
      </c>
      <c r="C349" s="93">
        <v>430495165.64349997</v>
      </c>
      <c r="D349" s="512"/>
      <c r="E349" s="512"/>
      <c r="F349" s="35"/>
      <c r="G349" s="35"/>
    </row>
    <row r="350" spans="1:7">
      <c r="A350" s="85">
        <f t="shared" si="3"/>
        <v>2022.05</v>
      </c>
      <c r="B350" s="74">
        <v>13300523.586166717</v>
      </c>
      <c r="C350" s="93">
        <v>422164371.60333991</v>
      </c>
      <c r="D350" s="512"/>
      <c r="E350" s="512"/>
      <c r="F350" s="35"/>
      <c r="G350" s="35"/>
    </row>
    <row r="351" spans="1:7">
      <c r="A351" s="85">
        <f t="shared" si="3"/>
        <v>2022.06</v>
      </c>
      <c r="B351" s="74">
        <v>15046629.519501658</v>
      </c>
      <c r="C351" s="93">
        <v>467773316.30771005</v>
      </c>
      <c r="D351" s="512"/>
      <c r="E351" s="512"/>
      <c r="F351" s="35"/>
      <c r="G351" s="35"/>
    </row>
    <row r="352" spans="1:7">
      <c r="A352" s="85">
        <f t="shared" si="3"/>
        <v>2022.07</v>
      </c>
      <c r="B352" s="74">
        <v>16444256.898102744</v>
      </c>
      <c r="C352" s="93">
        <v>498455634.3886199</v>
      </c>
      <c r="D352" s="512"/>
      <c r="E352" s="512"/>
      <c r="F352" s="35"/>
      <c r="G352" s="35"/>
    </row>
    <row r="353" spans="1:7">
      <c r="A353" s="85">
        <f t="shared" si="3"/>
        <v>2022.08</v>
      </c>
      <c r="B353" s="74">
        <v>15797290.006663993</v>
      </c>
      <c r="C353" s="93">
        <v>526606303.34205019</v>
      </c>
      <c r="D353" s="512"/>
      <c r="E353" s="512"/>
      <c r="F353" s="35"/>
      <c r="G353" s="35"/>
    </row>
    <row r="354" spans="1:7">
      <c r="A354" s="85">
        <f t="shared" si="3"/>
        <v>2022.09</v>
      </c>
      <c r="B354" s="74">
        <v>17256325.738441672</v>
      </c>
      <c r="C354" s="93">
        <v>577215806.78640985</v>
      </c>
      <c r="D354" s="512"/>
      <c r="E354" s="512"/>
      <c r="F354" s="35"/>
      <c r="G354" s="35"/>
    </row>
    <row r="355" spans="1:7">
      <c r="A355" s="85">
        <f t="shared" si="3"/>
        <v>2022.1</v>
      </c>
      <c r="B355" s="74">
        <v>19682221.186875854</v>
      </c>
      <c r="C355" s="93">
        <v>611050607.39254022</v>
      </c>
      <c r="D355" s="512"/>
      <c r="E355" s="512"/>
      <c r="F355" s="35"/>
      <c r="G355" s="35"/>
    </row>
    <row r="356" spans="1:7">
      <c r="A356" s="85">
        <f t="shared" si="3"/>
        <v>2022.11</v>
      </c>
      <c r="B356" s="74">
        <v>21966469.139622636</v>
      </c>
      <c r="C356" s="93">
        <v>620189719.52856004</v>
      </c>
      <c r="D356" s="512"/>
      <c r="E356" s="512"/>
      <c r="F356" s="35"/>
      <c r="G356" s="35"/>
    </row>
    <row r="357" spans="1:7">
      <c r="A357" s="85">
        <f t="shared" si="3"/>
        <v>2022.12</v>
      </c>
      <c r="B357" s="74">
        <v>25377605.605375387</v>
      </c>
      <c r="C357" s="93">
        <v>672835712.24432039</v>
      </c>
      <c r="D357" s="512"/>
      <c r="E357" s="512"/>
      <c r="F357" s="35"/>
      <c r="G357" s="35"/>
    </row>
    <row r="358" spans="1:7">
      <c r="A358" s="85">
        <f t="shared" si="3"/>
        <v>2023.01</v>
      </c>
      <c r="B358" s="74">
        <v>30608339.534620419</v>
      </c>
      <c r="C358" s="93">
        <v>749871100.35302997</v>
      </c>
      <c r="D358" s="512"/>
      <c r="E358" s="512"/>
      <c r="F358" s="35"/>
      <c r="G358" s="35"/>
    </row>
    <row r="359" spans="1:7">
      <c r="A359" s="85">
        <f t="shared" si="3"/>
        <v>2023.02</v>
      </c>
      <c r="B359" s="74">
        <v>29764458.707368139</v>
      </c>
      <c r="C359" s="93">
        <v>702567039.34895992</v>
      </c>
      <c r="D359" s="512"/>
      <c r="E359" s="512"/>
      <c r="F359" s="35"/>
      <c r="G359" s="35"/>
    </row>
    <row r="360" spans="1:7">
      <c r="A360" s="85">
        <f t="shared" si="3"/>
        <v>2023.03</v>
      </c>
      <c r="B360" s="74">
        <v>34236746.93272128</v>
      </c>
      <c r="C360" s="93">
        <v>859637475.62596965</v>
      </c>
      <c r="D360" s="512"/>
      <c r="E360" s="512"/>
      <c r="F360" s="35"/>
      <c r="G360" s="35"/>
    </row>
    <row r="361" spans="1:7">
      <c r="A361" s="85">
        <f t="shared" si="3"/>
        <v>2023.04</v>
      </c>
      <c r="B361" s="74">
        <v>34310969.142374411</v>
      </c>
      <c r="C361" s="93">
        <v>939091023.01429999</v>
      </c>
      <c r="D361" s="512"/>
      <c r="E361" s="512"/>
      <c r="F361" s="35"/>
      <c r="G361" s="35"/>
    </row>
    <row r="362" spans="1:7">
      <c r="A362" s="85">
        <f t="shared" si="3"/>
        <v>2023.05</v>
      </c>
      <c r="B362" s="74">
        <v>32295860.884981275</v>
      </c>
      <c r="C362" s="93">
        <v>1034321561.5014801</v>
      </c>
      <c r="D362" s="512"/>
      <c r="E362" s="512"/>
    </row>
    <row r="363" spans="1:7">
      <c r="A363" s="85">
        <f t="shared" si="3"/>
        <v>2023.06</v>
      </c>
      <c r="B363" s="74">
        <v>41554828.0656638</v>
      </c>
      <c r="C363" s="93">
        <v>1170173566.9061394</v>
      </c>
      <c r="E363" s="512"/>
    </row>
    <row r="364" spans="1:7">
      <c r="A364" s="85">
        <f t="shared" si="3"/>
        <v>2023.07</v>
      </c>
      <c r="B364" s="74">
        <v>39172807.256702051</v>
      </c>
      <c r="C364" s="93">
        <v>1195300976.3478498</v>
      </c>
      <c r="E364" s="512"/>
    </row>
    <row r="365" spans="1:7">
      <c r="A365" s="85">
        <f t="shared" si="3"/>
        <v>2023.08</v>
      </c>
      <c r="B365" s="74">
        <v>40404446.8526465</v>
      </c>
      <c r="C365" s="93">
        <v>1396544966.7014799</v>
      </c>
      <c r="E365" s="512"/>
    </row>
    <row r="366" spans="1:7">
      <c r="A366" s="85">
        <f t="shared" si="3"/>
        <v>2023.09</v>
      </c>
      <c r="B366" s="74">
        <v>48622757.9932907</v>
      </c>
      <c r="C366" s="93">
        <v>1628390418.5153701</v>
      </c>
      <c r="E366" s="512"/>
    </row>
    <row r="367" spans="1:7">
      <c r="A367" s="85">
        <f t="shared" si="3"/>
        <v>2023.1</v>
      </c>
      <c r="B367" s="74">
        <v>41205584.553429402</v>
      </c>
      <c r="C367" s="93">
        <v>1538544212.5231304</v>
      </c>
      <c r="E367" s="512"/>
    </row>
    <row r="368" spans="1:7">
      <c r="A368" s="85">
        <f t="shared" si="3"/>
        <v>2023.11</v>
      </c>
      <c r="B368" s="74">
        <v>46251965.790678225</v>
      </c>
      <c r="C368" s="93">
        <v>1675739934.7130604</v>
      </c>
      <c r="E368" s="512"/>
    </row>
    <row r="369" spans="1:5">
      <c r="A369" s="85">
        <f t="shared" si="3"/>
        <v>2023.12</v>
      </c>
      <c r="B369" s="74">
        <v>63724020.919121496</v>
      </c>
      <c r="C369" s="93">
        <v>2097128037.9071383</v>
      </c>
      <c r="E369" s="512"/>
    </row>
    <row r="370" spans="1:5">
      <c r="A370" s="85">
        <f t="shared" ref="A370:A433" si="4">A358+1</f>
        <v>2024.01</v>
      </c>
      <c r="B370" s="74">
        <v>74679578.483714566</v>
      </c>
      <c r="C370" s="93">
        <v>2875797258.0764503</v>
      </c>
    </row>
    <row r="371" spans="1:5">
      <c r="A371" s="85">
        <f t="shared" si="4"/>
        <v>2024.02</v>
      </c>
      <c r="B371" s="74">
        <v>88518578.543651849</v>
      </c>
      <c r="C371" s="93">
        <v>2693177702.3151379</v>
      </c>
    </row>
    <row r="372" spans="1:5">
      <c r="A372" s="85">
        <f t="shared" si="4"/>
        <v>2024.03</v>
      </c>
      <c r="B372" s="74">
        <v>82536931.66475004</v>
      </c>
      <c r="C372" s="93">
        <v>2834322110.6570697</v>
      </c>
    </row>
    <row r="373" spans="1:5">
      <c r="A373" s="85">
        <f t="shared" si="4"/>
        <v>2024.04</v>
      </c>
      <c r="B373" s="74" t="e">
        <v>#N/A</v>
      </c>
      <c r="C373" s="93" t="e">
        <v>#N/A</v>
      </c>
    </row>
    <row r="374" spans="1:5">
      <c r="A374" s="85">
        <f t="shared" si="4"/>
        <v>2024.05</v>
      </c>
      <c r="B374" s="74" t="e">
        <v>#N/A</v>
      </c>
      <c r="C374" s="93" t="e">
        <v>#N/A</v>
      </c>
    </row>
    <row r="375" spans="1:5">
      <c r="A375" s="85">
        <f t="shared" si="4"/>
        <v>2024.06</v>
      </c>
      <c r="B375" s="74" t="e">
        <v>#N/A</v>
      </c>
      <c r="C375" s="93" t="e">
        <v>#N/A</v>
      </c>
    </row>
    <row r="376" spans="1:5">
      <c r="A376" s="85">
        <f t="shared" si="4"/>
        <v>2024.07</v>
      </c>
      <c r="B376" s="74" t="e">
        <v>#N/A</v>
      </c>
      <c r="C376" s="93" t="e">
        <v>#N/A</v>
      </c>
    </row>
    <row r="377" spans="1:5">
      <c r="A377" s="85">
        <f t="shared" si="4"/>
        <v>2024.08</v>
      </c>
      <c r="B377" s="74" t="e">
        <v>#N/A</v>
      </c>
      <c r="C377" s="93" t="e">
        <v>#N/A</v>
      </c>
    </row>
    <row r="378" spans="1:5">
      <c r="A378" s="85">
        <f t="shared" si="4"/>
        <v>2024.09</v>
      </c>
      <c r="B378" s="74" t="e">
        <v>#N/A</v>
      </c>
      <c r="C378" s="93" t="e">
        <v>#N/A</v>
      </c>
    </row>
    <row r="379" spans="1:5">
      <c r="A379" s="85">
        <f t="shared" si="4"/>
        <v>2024.1</v>
      </c>
      <c r="B379" s="74" t="e">
        <v>#N/A</v>
      </c>
      <c r="C379" s="93" t="e">
        <v>#N/A</v>
      </c>
    </row>
    <row r="380" spans="1:5">
      <c r="A380" s="85">
        <f t="shared" si="4"/>
        <v>2024.11</v>
      </c>
      <c r="B380" s="74" t="e">
        <v>#N/A</v>
      </c>
      <c r="C380" s="93" t="e">
        <v>#N/A</v>
      </c>
    </row>
    <row r="381" spans="1:5">
      <c r="A381" s="85">
        <f t="shared" si="4"/>
        <v>2024.12</v>
      </c>
      <c r="B381" s="74" t="e">
        <v>#N/A</v>
      </c>
      <c r="C381" s="93" t="e">
        <v>#N/A</v>
      </c>
    </row>
    <row r="382" spans="1:5">
      <c r="A382" s="85">
        <f t="shared" si="4"/>
        <v>2025.01</v>
      </c>
      <c r="B382" s="74" t="e">
        <v>#N/A</v>
      </c>
      <c r="C382" s="93" t="e">
        <v>#N/A</v>
      </c>
    </row>
    <row r="383" spans="1:5">
      <c r="A383" s="85">
        <f t="shared" si="4"/>
        <v>2025.02</v>
      </c>
      <c r="B383" s="74" t="e">
        <v>#N/A</v>
      </c>
      <c r="C383" s="93" t="e">
        <v>#N/A</v>
      </c>
    </row>
    <row r="384" spans="1:5">
      <c r="A384" s="85">
        <f t="shared" si="4"/>
        <v>2025.03</v>
      </c>
      <c r="B384" s="74" t="e">
        <v>#N/A</v>
      </c>
      <c r="C384" s="93" t="e">
        <v>#N/A</v>
      </c>
    </row>
    <row r="385" spans="1:3">
      <c r="A385" s="85">
        <f t="shared" si="4"/>
        <v>2025.04</v>
      </c>
      <c r="B385" s="74" t="e">
        <v>#N/A</v>
      </c>
      <c r="C385" s="93" t="e">
        <v>#N/A</v>
      </c>
    </row>
    <row r="386" spans="1:3">
      <c r="A386" s="85">
        <f t="shared" si="4"/>
        <v>2025.05</v>
      </c>
      <c r="B386" s="74" t="e">
        <v>#N/A</v>
      </c>
      <c r="C386" s="93" t="e">
        <v>#N/A</v>
      </c>
    </row>
    <row r="387" spans="1:3">
      <c r="A387" s="85">
        <f t="shared" si="4"/>
        <v>2025.06</v>
      </c>
      <c r="B387" s="74" t="e">
        <v>#N/A</v>
      </c>
      <c r="C387" s="93" t="e">
        <v>#N/A</v>
      </c>
    </row>
    <row r="388" spans="1:3">
      <c r="A388" s="85">
        <f t="shared" si="4"/>
        <v>2025.07</v>
      </c>
      <c r="B388" s="74" t="e">
        <v>#N/A</v>
      </c>
      <c r="C388" s="93" t="e">
        <v>#N/A</v>
      </c>
    </row>
    <row r="389" spans="1:3">
      <c r="A389" s="85">
        <f t="shared" si="4"/>
        <v>2025.08</v>
      </c>
      <c r="B389" s="74" t="e">
        <v>#N/A</v>
      </c>
      <c r="C389" s="93" t="e">
        <v>#N/A</v>
      </c>
    </row>
    <row r="390" spans="1:3">
      <c r="A390" s="85">
        <f t="shared" si="4"/>
        <v>2025.09</v>
      </c>
      <c r="B390" s="74" t="e">
        <v>#N/A</v>
      </c>
      <c r="C390" s="93" t="e">
        <v>#N/A</v>
      </c>
    </row>
    <row r="391" spans="1:3">
      <c r="A391" s="85">
        <f t="shared" si="4"/>
        <v>2025.1</v>
      </c>
      <c r="B391" s="74" t="e">
        <v>#N/A</v>
      </c>
      <c r="C391" s="93" t="e">
        <v>#N/A</v>
      </c>
    </row>
    <row r="392" spans="1:3">
      <c r="A392" s="85">
        <f t="shared" si="4"/>
        <v>2025.11</v>
      </c>
      <c r="B392" s="74" t="e">
        <v>#N/A</v>
      </c>
      <c r="C392" s="93" t="e">
        <v>#N/A</v>
      </c>
    </row>
    <row r="393" spans="1:3">
      <c r="A393" s="85">
        <f t="shared" si="4"/>
        <v>2025.12</v>
      </c>
      <c r="B393" s="74" t="e">
        <v>#N/A</v>
      </c>
      <c r="C393" s="93" t="e">
        <v>#N/A</v>
      </c>
    </row>
    <row r="394" spans="1:3">
      <c r="A394" s="2765">
        <f t="shared" si="4"/>
        <v>2026.01</v>
      </c>
      <c r="B394" s="74" t="e">
        <v>#N/A</v>
      </c>
      <c r="C394" s="93" t="e">
        <v>#N/A</v>
      </c>
    </row>
    <row r="395" spans="1:3">
      <c r="A395" s="2765">
        <f t="shared" si="4"/>
        <v>2026.02</v>
      </c>
      <c r="B395" s="74" t="e">
        <v>#N/A</v>
      </c>
      <c r="C395" s="93" t="e">
        <v>#N/A</v>
      </c>
    </row>
    <row r="396" spans="1:3">
      <c r="A396" s="2765">
        <f t="shared" si="4"/>
        <v>2026.03</v>
      </c>
      <c r="B396" s="74" t="e">
        <v>#N/A</v>
      </c>
      <c r="C396" s="93" t="e">
        <v>#N/A</v>
      </c>
    </row>
    <row r="397" spans="1:3">
      <c r="A397" s="2765">
        <f t="shared" si="4"/>
        <v>2026.04</v>
      </c>
      <c r="B397" s="74" t="e">
        <v>#N/A</v>
      </c>
      <c r="C397" s="93" t="e">
        <v>#N/A</v>
      </c>
    </row>
    <row r="398" spans="1:3">
      <c r="A398" s="2765">
        <f t="shared" si="4"/>
        <v>2026.05</v>
      </c>
      <c r="B398" s="74" t="e">
        <v>#N/A</v>
      </c>
      <c r="C398" s="93" t="e">
        <v>#N/A</v>
      </c>
    </row>
    <row r="399" spans="1:3">
      <c r="A399" s="2765">
        <f t="shared" si="4"/>
        <v>2026.06</v>
      </c>
      <c r="B399" s="74" t="e">
        <v>#N/A</v>
      </c>
      <c r="C399" s="93" t="e">
        <v>#N/A</v>
      </c>
    </row>
    <row r="400" spans="1:3">
      <c r="A400" s="2765">
        <f t="shared" si="4"/>
        <v>2026.07</v>
      </c>
      <c r="B400" s="74" t="e">
        <v>#N/A</v>
      </c>
      <c r="C400" s="93" t="e">
        <v>#N/A</v>
      </c>
    </row>
    <row r="401" spans="1:3">
      <c r="A401" s="2765">
        <f t="shared" si="4"/>
        <v>2026.08</v>
      </c>
      <c r="B401" s="74" t="e">
        <v>#N/A</v>
      </c>
      <c r="C401" s="93" t="e">
        <v>#N/A</v>
      </c>
    </row>
    <row r="402" spans="1:3">
      <c r="A402" s="2765">
        <f t="shared" si="4"/>
        <v>2026.09</v>
      </c>
      <c r="B402" s="74" t="e">
        <v>#N/A</v>
      </c>
      <c r="C402" s="93" t="e">
        <v>#N/A</v>
      </c>
    </row>
    <row r="403" spans="1:3">
      <c r="A403" s="2765">
        <f t="shared" si="4"/>
        <v>2026.1</v>
      </c>
      <c r="B403" s="74" t="e">
        <v>#N/A</v>
      </c>
      <c r="C403" s="93" t="e">
        <v>#N/A</v>
      </c>
    </row>
    <row r="404" spans="1:3">
      <c r="A404" s="2765">
        <f t="shared" si="4"/>
        <v>2026.11</v>
      </c>
      <c r="B404" s="74" t="e">
        <v>#N/A</v>
      </c>
      <c r="C404" s="93" t="e">
        <v>#N/A</v>
      </c>
    </row>
    <row r="405" spans="1:3">
      <c r="A405" s="2765">
        <f t="shared" si="4"/>
        <v>2026.12</v>
      </c>
      <c r="B405" s="74" t="e">
        <v>#N/A</v>
      </c>
      <c r="C405" s="93" t="e">
        <v>#N/A</v>
      </c>
    </row>
    <row r="406" spans="1:3">
      <c r="A406" s="2765">
        <f t="shared" si="4"/>
        <v>2027.01</v>
      </c>
      <c r="B406" s="74" t="e">
        <v>#N/A</v>
      </c>
      <c r="C406" s="93" t="e">
        <v>#N/A</v>
      </c>
    </row>
    <row r="407" spans="1:3">
      <c r="A407" s="2765">
        <f t="shared" si="4"/>
        <v>2027.02</v>
      </c>
      <c r="B407" s="74" t="e">
        <v>#N/A</v>
      </c>
      <c r="C407" s="93" t="e">
        <v>#N/A</v>
      </c>
    </row>
    <row r="408" spans="1:3">
      <c r="A408" s="2765">
        <f t="shared" si="4"/>
        <v>2027.03</v>
      </c>
      <c r="B408" s="74" t="e">
        <v>#N/A</v>
      </c>
      <c r="C408" s="93" t="e">
        <v>#N/A</v>
      </c>
    </row>
    <row r="409" spans="1:3">
      <c r="A409" s="2765">
        <f t="shared" si="4"/>
        <v>2027.04</v>
      </c>
      <c r="B409" s="74" t="e">
        <v>#N/A</v>
      </c>
      <c r="C409" s="93" t="e">
        <v>#N/A</v>
      </c>
    </row>
    <row r="410" spans="1:3">
      <c r="A410" s="2765">
        <f t="shared" si="4"/>
        <v>2027.05</v>
      </c>
      <c r="B410" s="74" t="e">
        <v>#N/A</v>
      </c>
      <c r="C410" s="93" t="e">
        <v>#N/A</v>
      </c>
    </row>
    <row r="411" spans="1:3">
      <c r="A411" s="2765">
        <f t="shared" si="4"/>
        <v>2027.06</v>
      </c>
      <c r="B411" s="74" t="e">
        <v>#N/A</v>
      </c>
      <c r="C411" s="93" t="e">
        <v>#N/A</v>
      </c>
    </row>
    <row r="412" spans="1:3">
      <c r="A412" s="2765">
        <f t="shared" si="4"/>
        <v>2027.07</v>
      </c>
      <c r="B412" s="74" t="e">
        <v>#N/A</v>
      </c>
      <c r="C412" s="93" t="e">
        <v>#N/A</v>
      </c>
    </row>
    <row r="413" spans="1:3">
      <c r="A413" s="2765">
        <f t="shared" si="4"/>
        <v>2027.08</v>
      </c>
      <c r="B413" s="74" t="e">
        <v>#N/A</v>
      </c>
      <c r="C413" s="93" t="e">
        <v>#N/A</v>
      </c>
    </row>
    <row r="414" spans="1:3">
      <c r="A414" s="2765">
        <f t="shared" si="4"/>
        <v>2027.09</v>
      </c>
      <c r="B414" s="74" t="e">
        <v>#N/A</v>
      </c>
      <c r="C414" s="93" t="e">
        <v>#N/A</v>
      </c>
    </row>
    <row r="415" spans="1:3">
      <c r="A415" s="2765">
        <f t="shared" si="4"/>
        <v>2027.1</v>
      </c>
      <c r="B415" s="74" t="e">
        <v>#N/A</v>
      </c>
      <c r="C415" s="93" t="e">
        <v>#N/A</v>
      </c>
    </row>
    <row r="416" spans="1:3">
      <c r="A416" s="2765">
        <f t="shared" si="4"/>
        <v>2027.11</v>
      </c>
      <c r="B416" s="74" t="e">
        <v>#N/A</v>
      </c>
      <c r="C416" s="93" t="e">
        <v>#N/A</v>
      </c>
    </row>
    <row r="417" spans="1:3">
      <c r="A417" s="2765">
        <f t="shared" si="4"/>
        <v>2027.12</v>
      </c>
      <c r="B417" s="74" t="e">
        <v>#N/A</v>
      </c>
      <c r="C417" s="93" t="e">
        <v>#N/A</v>
      </c>
    </row>
    <row r="418" spans="1:3">
      <c r="A418" s="2765">
        <f t="shared" si="4"/>
        <v>2028.01</v>
      </c>
      <c r="B418" s="74" t="e">
        <v>#N/A</v>
      </c>
      <c r="C418" s="93" t="e">
        <v>#N/A</v>
      </c>
    </row>
    <row r="419" spans="1:3">
      <c r="A419" s="2765">
        <f t="shared" si="4"/>
        <v>2028.02</v>
      </c>
      <c r="B419" s="74" t="e">
        <v>#N/A</v>
      </c>
      <c r="C419" s="93" t="e">
        <v>#N/A</v>
      </c>
    </row>
    <row r="420" spans="1:3">
      <c r="A420" s="2765">
        <f t="shared" si="4"/>
        <v>2028.03</v>
      </c>
      <c r="B420" s="74" t="e">
        <v>#N/A</v>
      </c>
      <c r="C420" s="93" t="e">
        <v>#N/A</v>
      </c>
    </row>
    <row r="421" spans="1:3">
      <c r="A421" s="2765">
        <f t="shared" si="4"/>
        <v>2028.04</v>
      </c>
      <c r="B421" s="74" t="e">
        <v>#N/A</v>
      </c>
      <c r="C421" s="93" t="e">
        <v>#N/A</v>
      </c>
    </row>
    <row r="422" spans="1:3">
      <c r="A422" s="2765">
        <f t="shared" si="4"/>
        <v>2028.05</v>
      </c>
      <c r="B422" s="74" t="e">
        <v>#N/A</v>
      </c>
      <c r="C422" s="93" t="e">
        <v>#N/A</v>
      </c>
    </row>
    <row r="423" spans="1:3">
      <c r="A423" s="2765">
        <f t="shared" si="4"/>
        <v>2028.06</v>
      </c>
      <c r="B423" s="74" t="e">
        <v>#N/A</v>
      </c>
      <c r="C423" s="93" t="e">
        <v>#N/A</v>
      </c>
    </row>
    <row r="424" spans="1:3">
      <c r="A424" s="2765">
        <f t="shared" si="4"/>
        <v>2028.07</v>
      </c>
      <c r="B424" s="74" t="e">
        <v>#N/A</v>
      </c>
      <c r="C424" s="93" t="e">
        <v>#N/A</v>
      </c>
    </row>
    <row r="425" spans="1:3">
      <c r="A425" s="2765">
        <f t="shared" si="4"/>
        <v>2028.08</v>
      </c>
      <c r="B425" s="74" t="e">
        <v>#N/A</v>
      </c>
      <c r="C425" s="93" t="e">
        <v>#N/A</v>
      </c>
    </row>
    <row r="426" spans="1:3">
      <c r="A426" s="2765">
        <f t="shared" si="4"/>
        <v>2028.09</v>
      </c>
      <c r="B426" s="74" t="e">
        <v>#N/A</v>
      </c>
      <c r="C426" s="93" t="e">
        <v>#N/A</v>
      </c>
    </row>
    <row r="427" spans="1:3">
      <c r="A427" s="2765">
        <f t="shared" si="4"/>
        <v>2028.1</v>
      </c>
      <c r="B427" s="74" t="e">
        <v>#N/A</v>
      </c>
      <c r="C427" s="93" t="e">
        <v>#N/A</v>
      </c>
    </row>
    <row r="428" spans="1:3">
      <c r="A428" s="2765">
        <f t="shared" si="4"/>
        <v>2028.11</v>
      </c>
      <c r="B428" s="74" t="e">
        <v>#N/A</v>
      </c>
      <c r="C428" s="93" t="e">
        <v>#N/A</v>
      </c>
    </row>
    <row r="429" spans="1:3">
      <c r="A429" s="2765">
        <f t="shared" si="4"/>
        <v>2028.12</v>
      </c>
      <c r="B429" s="74" t="e">
        <v>#N/A</v>
      </c>
      <c r="C429" s="93" t="e">
        <v>#N/A</v>
      </c>
    </row>
    <row r="430" spans="1:3">
      <c r="A430" s="2765">
        <f t="shared" si="4"/>
        <v>2029.01</v>
      </c>
      <c r="B430" s="74" t="e">
        <v>#N/A</v>
      </c>
      <c r="C430" s="93" t="e">
        <v>#N/A</v>
      </c>
    </row>
    <row r="431" spans="1:3">
      <c r="A431" s="2765">
        <f t="shared" si="4"/>
        <v>2029.02</v>
      </c>
      <c r="B431" s="74" t="e">
        <v>#N/A</v>
      </c>
      <c r="C431" s="93" t="e">
        <v>#N/A</v>
      </c>
    </row>
    <row r="432" spans="1:3">
      <c r="A432" s="2765">
        <f t="shared" si="4"/>
        <v>2029.03</v>
      </c>
      <c r="B432" s="74" t="e">
        <v>#N/A</v>
      </c>
      <c r="C432" s="93" t="e">
        <v>#N/A</v>
      </c>
    </row>
    <row r="433" spans="1:3">
      <c r="A433" s="2765">
        <f t="shared" si="4"/>
        <v>2029.04</v>
      </c>
      <c r="B433" s="74" t="e">
        <v>#N/A</v>
      </c>
      <c r="C433" s="93" t="e">
        <v>#N/A</v>
      </c>
    </row>
    <row r="434" spans="1:3">
      <c r="A434" s="2765">
        <f t="shared" ref="A434:A453" si="5">A422+1</f>
        <v>2029.05</v>
      </c>
      <c r="B434" s="74" t="e">
        <v>#N/A</v>
      </c>
      <c r="C434" s="93" t="e">
        <v>#N/A</v>
      </c>
    </row>
    <row r="435" spans="1:3">
      <c r="A435" s="2765">
        <f t="shared" si="5"/>
        <v>2029.06</v>
      </c>
      <c r="B435" s="74" t="e">
        <v>#N/A</v>
      </c>
      <c r="C435" s="93" t="e">
        <v>#N/A</v>
      </c>
    </row>
    <row r="436" spans="1:3">
      <c r="A436" s="2765">
        <f t="shared" si="5"/>
        <v>2029.07</v>
      </c>
      <c r="B436" s="74" t="e">
        <v>#N/A</v>
      </c>
      <c r="C436" s="93" t="e">
        <v>#N/A</v>
      </c>
    </row>
    <row r="437" spans="1:3">
      <c r="A437" s="2765">
        <f t="shared" si="5"/>
        <v>2029.08</v>
      </c>
      <c r="B437" s="74" t="e">
        <v>#N/A</v>
      </c>
      <c r="C437" s="93" t="e">
        <v>#N/A</v>
      </c>
    </row>
    <row r="438" spans="1:3">
      <c r="A438" s="2765">
        <f t="shared" si="5"/>
        <v>2029.09</v>
      </c>
      <c r="B438" s="74" t="e">
        <v>#N/A</v>
      </c>
      <c r="C438" s="93" t="e">
        <v>#N/A</v>
      </c>
    </row>
    <row r="439" spans="1:3">
      <c r="A439" s="2765">
        <f t="shared" si="5"/>
        <v>2029.1</v>
      </c>
      <c r="B439" s="74" t="e">
        <v>#N/A</v>
      </c>
      <c r="C439" s="93" t="e">
        <v>#N/A</v>
      </c>
    </row>
    <row r="440" spans="1:3">
      <c r="A440" s="2765">
        <f t="shared" si="5"/>
        <v>2029.11</v>
      </c>
      <c r="B440" s="74" t="e">
        <v>#N/A</v>
      </c>
      <c r="C440" s="93" t="e">
        <v>#N/A</v>
      </c>
    </row>
    <row r="441" spans="1:3">
      <c r="A441" s="2765">
        <f t="shared" si="5"/>
        <v>2029.12</v>
      </c>
      <c r="B441" s="74" t="e">
        <v>#N/A</v>
      </c>
      <c r="C441" s="93" t="e">
        <v>#N/A</v>
      </c>
    </row>
    <row r="442" spans="1:3">
      <c r="A442" s="2765">
        <f t="shared" si="5"/>
        <v>2030.01</v>
      </c>
      <c r="B442" s="74" t="e">
        <v>#N/A</v>
      </c>
      <c r="C442" s="93" t="e">
        <v>#N/A</v>
      </c>
    </row>
    <row r="443" spans="1:3">
      <c r="A443" s="2765">
        <f t="shared" si="5"/>
        <v>2030.02</v>
      </c>
      <c r="B443" s="74" t="e">
        <v>#N/A</v>
      </c>
      <c r="C443" s="93" t="e">
        <v>#N/A</v>
      </c>
    </row>
    <row r="444" spans="1:3">
      <c r="A444" s="2765">
        <f t="shared" si="5"/>
        <v>2030.03</v>
      </c>
      <c r="B444" s="74" t="e">
        <v>#N/A</v>
      </c>
      <c r="C444" s="93" t="e">
        <v>#N/A</v>
      </c>
    </row>
    <row r="445" spans="1:3">
      <c r="A445" s="2765">
        <f t="shared" si="5"/>
        <v>2030.04</v>
      </c>
      <c r="B445" s="74" t="e">
        <v>#N/A</v>
      </c>
      <c r="C445" s="93" t="e">
        <v>#N/A</v>
      </c>
    </row>
    <row r="446" spans="1:3">
      <c r="A446" s="2765">
        <f t="shared" si="5"/>
        <v>2030.05</v>
      </c>
      <c r="B446" s="74" t="e">
        <v>#N/A</v>
      </c>
      <c r="C446" s="93" t="e">
        <v>#N/A</v>
      </c>
    </row>
    <row r="447" spans="1:3">
      <c r="A447" s="2765">
        <f t="shared" si="5"/>
        <v>2030.06</v>
      </c>
      <c r="B447" s="74" t="e">
        <v>#N/A</v>
      </c>
      <c r="C447" s="93" t="e">
        <v>#N/A</v>
      </c>
    </row>
    <row r="448" spans="1:3">
      <c r="A448" s="2765">
        <f t="shared" si="5"/>
        <v>2030.07</v>
      </c>
      <c r="B448" s="74" t="e">
        <v>#N/A</v>
      </c>
      <c r="C448" s="93" t="e">
        <v>#N/A</v>
      </c>
    </row>
    <row r="449" spans="1:3">
      <c r="A449" s="2765">
        <f t="shared" si="5"/>
        <v>2030.08</v>
      </c>
      <c r="B449" s="74" t="e">
        <v>#N/A</v>
      </c>
      <c r="C449" s="93" t="e">
        <v>#N/A</v>
      </c>
    </row>
    <row r="450" spans="1:3">
      <c r="A450" s="2765">
        <f t="shared" si="5"/>
        <v>2030.09</v>
      </c>
      <c r="B450" s="74" t="e">
        <v>#N/A</v>
      </c>
      <c r="C450" s="93" t="e">
        <v>#N/A</v>
      </c>
    </row>
    <row r="451" spans="1:3">
      <c r="A451" s="2765">
        <f t="shared" si="5"/>
        <v>2030.1</v>
      </c>
      <c r="B451" s="74" t="e">
        <v>#N/A</v>
      </c>
      <c r="C451" s="93" t="e">
        <v>#N/A</v>
      </c>
    </row>
    <row r="452" spans="1:3">
      <c r="A452" s="2765">
        <f t="shared" si="5"/>
        <v>2030.11</v>
      </c>
      <c r="B452" s="74" t="e">
        <v>#N/A</v>
      </c>
      <c r="C452" s="93" t="e">
        <v>#N/A</v>
      </c>
    </row>
    <row r="453" spans="1:3">
      <c r="A453" s="2765">
        <f t="shared" si="5"/>
        <v>2030.12</v>
      </c>
      <c r="B453" s="74" t="e">
        <v>#N/A</v>
      </c>
      <c r="C453" s="93" t="e">
        <v>#N/A</v>
      </c>
    </row>
  </sheetData>
  <phoneticPr fontId="0" type="noConversion"/>
  <hyperlinks>
    <hyperlink ref="A5" location="INDICE!A13" display="VOLVER AL INDICE" xr:uid="{00000000-0004-0000-3100-000000000000}"/>
  </hyperlinks>
  <pageMargins left="0.75" right="0.75" top="1" bottom="1" header="0" footer="0"/>
  <pageSetup paperSize="9"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autoPageBreaks="0"/>
  </sheetPr>
  <dimension ref="A1:L477"/>
  <sheetViews>
    <sheetView zoomScale="115" zoomScaleNormal="115" workbookViewId="0">
      <pane xSplit="1" ySplit="9" topLeftCell="B379" activePane="bottomRight" state="frozen"/>
      <selection activeCell="A5" sqref="A5"/>
      <selection pane="topRight" activeCell="A5" sqref="A5"/>
      <selection pane="bottomLeft" activeCell="A5" sqref="A5"/>
      <selection pane="bottomRight" activeCell="A5" sqref="A5"/>
    </sheetView>
  </sheetViews>
  <sheetFormatPr baseColWidth="10" defaultColWidth="19.5703125" defaultRowHeight="12.75"/>
  <cols>
    <col min="1" max="1" width="9" style="19" customWidth="1"/>
    <col min="2" max="11" width="13" style="19" bestFit="1" customWidth="1"/>
    <col min="12" max="12" width="9.42578125" style="19" bestFit="1" customWidth="1"/>
    <col min="13" max="16384" width="19.5703125" style="1"/>
  </cols>
  <sheetData>
    <row r="1" spans="1:12" ht="3" customHeight="1">
      <c r="A1" s="37"/>
      <c r="B1" s="212" t="s">
        <v>74</v>
      </c>
      <c r="C1" s="205"/>
      <c r="D1" s="205"/>
      <c r="E1" s="205"/>
      <c r="F1" s="205"/>
      <c r="G1" s="205"/>
      <c r="H1" s="205"/>
      <c r="I1" s="207"/>
      <c r="L1" s="20"/>
    </row>
    <row r="2" spans="1:12">
      <c r="A2" s="195" t="s">
        <v>212</v>
      </c>
      <c r="B2" s="211" t="s">
        <v>75</v>
      </c>
      <c r="C2" s="94"/>
      <c r="D2" s="94"/>
      <c r="E2" s="94"/>
      <c r="F2" s="94"/>
      <c r="G2" s="94"/>
      <c r="H2" s="115"/>
      <c r="I2" s="213"/>
      <c r="J2" s="214"/>
      <c r="K2" s="214"/>
      <c r="L2" s="708"/>
    </row>
    <row r="3" spans="1:12">
      <c r="A3" s="195" t="s">
        <v>211</v>
      </c>
      <c r="B3" s="94" t="s">
        <v>248</v>
      </c>
      <c r="C3" s="94"/>
      <c r="D3" s="94"/>
      <c r="E3" s="94"/>
      <c r="F3" s="94"/>
      <c r="G3" s="94"/>
      <c r="H3" s="115"/>
      <c r="I3" s="213"/>
      <c r="J3" s="214"/>
      <c r="K3" s="214"/>
      <c r="L3" s="708"/>
    </row>
    <row r="4" spans="1:12" ht="33.75">
      <c r="A4" s="196"/>
      <c r="B4" s="1851" t="s">
        <v>78</v>
      </c>
      <c r="C4" s="2045" t="s">
        <v>723</v>
      </c>
      <c r="D4" s="1854" t="s">
        <v>720</v>
      </c>
      <c r="E4" s="1362" t="s">
        <v>724</v>
      </c>
      <c r="F4" s="1379" t="s">
        <v>725</v>
      </c>
      <c r="G4" s="1362" t="s">
        <v>726</v>
      </c>
      <c r="H4" s="1379" t="s">
        <v>727</v>
      </c>
      <c r="I4" s="1373" t="s">
        <v>728</v>
      </c>
      <c r="J4" s="1379" t="s">
        <v>729</v>
      </c>
      <c r="K4" s="1527" t="s">
        <v>730</v>
      </c>
      <c r="L4" s="112" t="s">
        <v>76</v>
      </c>
    </row>
    <row r="5" spans="1:12" ht="22.5">
      <c r="A5" s="45" t="s">
        <v>213</v>
      </c>
      <c r="B5" s="1645"/>
      <c r="C5" s="2046"/>
      <c r="D5" s="95"/>
      <c r="E5" s="1635"/>
      <c r="F5" s="95"/>
      <c r="G5" s="1635"/>
      <c r="H5" s="95"/>
      <c r="I5" s="1635"/>
      <c r="J5" s="95"/>
      <c r="K5" s="1666"/>
      <c r="L5" s="44"/>
    </row>
    <row r="6" spans="1:12">
      <c r="A6" s="210" t="s">
        <v>721</v>
      </c>
      <c r="B6" s="2059"/>
      <c r="C6" s="2047">
        <v>0.32550000000000001</v>
      </c>
      <c r="D6" s="1855">
        <v>8.4199999999999997E-2</v>
      </c>
      <c r="E6" s="1862">
        <v>0.1018</v>
      </c>
      <c r="F6" s="1855">
        <v>7.51E-2</v>
      </c>
      <c r="G6" s="1862">
        <v>5.9700000000000003E-2</v>
      </c>
      <c r="H6" s="1855">
        <v>0.19270000000000001</v>
      </c>
      <c r="I6" s="1862">
        <v>8.72E-2</v>
      </c>
      <c r="J6" s="1855">
        <v>2.52E-2</v>
      </c>
      <c r="K6" s="1873">
        <v>4.8599999999999997E-2</v>
      </c>
      <c r="L6" s="709">
        <v>1.5E-3</v>
      </c>
    </row>
    <row r="7" spans="1:12" ht="22.5">
      <c r="A7" s="197" t="s">
        <v>210</v>
      </c>
      <c r="B7" s="2060" t="s">
        <v>961</v>
      </c>
      <c r="C7" s="2048" t="s">
        <v>961</v>
      </c>
      <c r="D7" s="276" t="s">
        <v>961</v>
      </c>
      <c r="E7" s="1863" t="s">
        <v>961</v>
      </c>
      <c r="F7" s="276" t="s">
        <v>961</v>
      </c>
      <c r="G7" s="1863" t="s">
        <v>961</v>
      </c>
      <c r="H7" s="276" t="s">
        <v>961</v>
      </c>
      <c r="I7" s="1863" t="s">
        <v>961</v>
      </c>
      <c r="J7" s="276" t="s">
        <v>961</v>
      </c>
      <c r="K7" s="1874" t="s">
        <v>961</v>
      </c>
      <c r="L7" s="112" t="s">
        <v>76</v>
      </c>
    </row>
    <row r="8" spans="1:12" ht="14.25" customHeight="1">
      <c r="A8" s="225" t="s">
        <v>412</v>
      </c>
      <c r="B8" s="1588" t="s">
        <v>1048</v>
      </c>
      <c r="C8" s="1842" t="s">
        <v>1047</v>
      </c>
      <c r="D8" s="397" t="s">
        <v>1049</v>
      </c>
      <c r="E8" s="1290" t="s">
        <v>1050</v>
      </c>
      <c r="F8" s="397" t="s">
        <v>1051</v>
      </c>
      <c r="G8" s="1290" t="s">
        <v>1052</v>
      </c>
      <c r="H8" s="397" t="s">
        <v>676</v>
      </c>
      <c r="I8" s="1290" t="s">
        <v>677</v>
      </c>
      <c r="J8" s="397" t="s">
        <v>678</v>
      </c>
      <c r="K8" s="1495" t="s">
        <v>679</v>
      </c>
      <c r="L8" s="395" t="s">
        <v>680</v>
      </c>
    </row>
    <row r="9" spans="1:12" ht="23.25" thickBot="1">
      <c r="A9" s="194" t="s">
        <v>217</v>
      </c>
      <c r="B9" s="2061" t="s">
        <v>77</v>
      </c>
      <c r="C9" s="2049" t="s">
        <v>160</v>
      </c>
      <c r="D9" s="464"/>
      <c r="E9" s="1337"/>
      <c r="F9" s="464"/>
      <c r="G9" s="1571"/>
      <c r="H9" s="464"/>
      <c r="I9" s="1571"/>
      <c r="J9" s="308"/>
      <c r="K9" s="1875"/>
      <c r="L9" s="161" t="str">
        <f>"Dif. "&amp;B9</f>
        <v>Dif. SFE-IPC</v>
      </c>
    </row>
    <row r="10" spans="1:12">
      <c r="A10" s="209">
        <v>1992.01</v>
      </c>
      <c r="B10" s="2062">
        <v>9.9714277414267869</v>
      </c>
      <c r="C10" s="2050"/>
      <c r="D10" s="1856"/>
      <c r="E10" s="1864"/>
      <c r="F10" s="1856"/>
      <c r="G10" s="1864"/>
      <c r="H10" s="1856"/>
      <c r="I10" s="1864"/>
      <c r="J10" s="1856"/>
      <c r="K10" s="1876"/>
      <c r="L10" s="710"/>
    </row>
    <row r="11" spans="1:12">
      <c r="A11" s="209">
        <v>1992.02</v>
      </c>
      <c r="B11" s="2062">
        <v>10.1011547039456</v>
      </c>
      <c r="C11" s="2051"/>
      <c r="D11" s="1857"/>
      <c r="E11" s="1865"/>
      <c r="F11" s="1857"/>
      <c r="G11" s="1865"/>
      <c r="H11" s="1857"/>
      <c r="I11" s="1865"/>
      <c r="J11" s="1857"/>
      <c r="K11" s="1491"/>
      <c r="L11" s="711"/>
    </row>
    <row r="12" spans="1:12">
      <c r="A12" s="209">
        <v>1992.03</v>
      </c>
      <c r="B12" s="2062">
        <v>10.385911404266654</v>
      </c>
      <c r="C12" s="2051"/>
      <c r="D12" s="1857"/>
      <c r="E12" s="1865"/>
      <c r="F12" s="1857"/>
      <c r="G12" s="1865"/>
      <c r="H12" s="1857"/>
      <c r="I12" s="1865"/>
      <c r="J12" s="1857"/>
      <c r="K12" s="1491"/>
      <c r="L12" s="711"/>
    </row>
    <row r="13" spans="1:12">
      <c r="A13" s="209">
        <v>1992.04</v>
      </c>
      <c r="B13" s="2062">
        <v>10.61082683295481</v>
      </c>
      <c r="C13" s="2051"/>
      <c r="D13" s="1857"/>
      <c r="E13" s="1865"/>
      <c r="F13" s="1857"/>
      <c r="G13" s="1865"/>
      <c r="H13" s="1857"/>
      <c r="I13" s="1865"/>
      <c r="J13" s="1857"/>
      <c r="K13" s="1491"/>
      <c r="L13" s="711"/>
    </row>
    <row r="14" spans="1:12">
      <c r="A14" s="209">
        <v>1992.05</v>
      </c>
      <c r="B14" s="2062">
        <v>10.522842128143735</v>
      </c>
      <c r="C14" s="2051"/>
      <c r="D14" s="1857"/>
      <c r="E14" s="1865"/>
      <c r="F14" s="1857"/>
      <c r="G14" s="1865"/>
      <c r="H14" s="1857"/>
      <c r="I14" s="1865"/>
      <c r="J14" s="1857"/>
      <c r="K14" s="1491"/>
      <c r="L14" s="711"/>
    </row>
    <row r="15" spans="1:12">
      <c r="A15" s="209">
        <v>1992.06</v>
      </c>
      <c r="B15" s="2062">
        <v>10.520247126782898</v>
      </c>
      <c r="C15" s="2051"/>
      <c r="D15" s="1857"/>
      <c r="E15" s="1865"/>
      <c r="F15" s="1857"/>
      <c r="G15" s="1865"/>
      <c r="H15" s="1857"/>
      <c r="I15" s="1865"/>
      <c r="J15" s="1857"/>
      <c r="K15" s="1491"/>
      <c r="L15" s="711"/>
    </row>
    <row r="16" spans="1:12">
      <c r="A16" s="209">
        <v>1992.07</v>
      </c>
      <c r="B16" s="2062">
        <v>10.56891805333407</v>
      </c>
      <c r="C16" s="2051"/>
      <c r="D16" s="1857"/>
      <c r="E16" s="1865"/>
      <c r="F16" s="1857"/>
      <c r="G16" s="1865"/>
      <c r="H16" s="1857"/>
      <c r="I16" s="1865"/>
      <c r="J16" s="1857"/>
      <c r="K16" s="1491"/>
      <c r="L16" s="711"/>
    </row>
    <row r="17" spans="1:12">
      <c r="A17" s="209">
        <v>1992.08</v>
      </c>
      <c r="B17" s="2062">
        <v>10.737066917064899</v>
      </c>
      <c r="C17" s="2051"/>
      <c r="D17" s="1857"/>
      <c r="E17" s="1865"/>
      <c r="F17" s="1857"/>
      <c r="G17" s="1865"/>
      <c r="H17" s="1857"/>
      <c r="I17" s="1865"/>
      <c r="J17" s="1857"/>
      <c r="K17" s="1491"/>
      <c r="L17" s="711"/>
    </row>
    <row r="18" spans="1:12">
      <c r="A18" s="209">
        <v>1992.09</v>
      </c>
      <c r="B18" s="2062">
        <v>10.857684180997014</v>
      </c>
      <c r="C18" s="2051"/>
      <c r="D18" s="1857"/>
      <c r="E18" s="1865"/>
      <c r="F18" s="1857"/>
      <c r="G18" s="1865"/>
      <c r="H18" s="1857"/>
      <c r="I18" s="1865"/>
      <c r="J18" s="1857"/>
      <c r="K18" s="1491"/>
      <c r="L18" s="711"/>
    </row>
    <row r="19" spans="1:12">
      <c r="A19" s="209">
        <v>1992.1</v>
      </c>
      <c r="B19" s="2062">
        <v>10.984584424180683</v>
      </c>
      <c r="C19" s="2051"/>
      <c r="D19" s="1857"/>
      <c r="E19" s="1865"/>
      <c r="F19" s="1857"/>
      <c r="G19" s="1865"/>
      <c r="H19" s="1857"/>
      <c r="I19" s="1865"/>
      <c r="J19" s="1857"/>
      <c r="K19" s="1491"/>
      <c r="L19" s="711"/>
    </row>
    <row r="20" spans="1:12">
      <c r="A20" s="209">
        <v>1992.11</v>
      </c>
      <c r="B20" s="2062">
        <v>11.084130273152716</v>
      </c>
      <c r="C20" s="2051"/>
      <c r="D20" s="1857"/>
      <c r="E20" s="1865"/>
      <c r="F20" s="1857"/>
      <c r="G20" s="1865"/>
      <c r="H20" s="1857"/>
      <c r="I20" s="1865"/>
      <c r="J20" s="1857"/>
      <c r="K20" s="1491"/>
      <c r="L20" s="711"/>
    </row>
    <row r="21" spans="1:12">
      <c r="A21" s="209">
        <v>1992.12</v>
      </c>
      <c r="B21" s="2062">
        <v>11.066841596855951</v>
      </c>
      <c r="C21" s="2051"/>
      <c r="D21" s="1857"/>
      <c r="E21" s="1865"/>
      <c r="F21" s="1857"/>
      <c r="G21" s="1865"/>
      <c r="H21" s="1857"/>
      <c r="I21" s="1865"/>
      <c r="J21" s="1857"/>
      <c r="K21" s="1491"/>
      <c r="L21" s="711"/>
    </row>
    <row r="22" spans="1:12">
      <c r="A22" s="209">
        <v>1993.01</v>
      </c>
      <c r="B22" s="2062">
        <v>11.098906710789104</v>
      </c>
      <c r="C22" s="2051"/>
      <c r="D22" s="1857"/>
      <c r="E22" s="1865"/>
      <c r="F22" s="1857"/>
      <c r="G22" s="1865"/>
      <c r="H22" s="1857"/>
      <c r="I22" s="1865"/>
      <c r="J22" s="1857"/>
      <c r="K22" s="1491"/>
      <c r="L22" s="711"/>
    </row>
    <row r="23" spans="1:12">
      <c r="A23" s="209">
        <v>1993.02</v>
      </c>
      <c r="B23" s="2062">
        <v>11.256117595482541</v>
      </c>
      <c r="C23" s="2051"/>
      <c r="D23" s="1857"/>
      <c r="E23" s="1865"/>
      <c r="F23" s="1857"/>
      <c r="G23" s="1865"/>
      <c r="H23" s="1857"/>
      <c r="I23" s="1865"/>
      <c r="J23" s="1857"/>
      <c r="K23" s="1491"/>
      <c r="L23" s="711"/>
    </row>
    <row r="24" spans="1:12">
      <c r="A24" s="209">
        <v>1993.03</v>
      </c>
      <c r="B24" s="2062">
        <v>11.372121619754706</v>
      </c>
      <c r="C24" s="2051"/>
      <c r="D24" s="1857"/>
      <c r="E24" s="1865"/>
      <c r="F24" s="1857"/>
      <c r="G24" s="1865"/>
      <c r="H24" s="1857"/>
      <c r="I24" s="1865"/>
      <c r="J24" s="1857"/>
      <c r="K24" s="1491"/>
      <c r="L24" s="711"/>
    </row>
    <row r="25" spans="1:12">
      <c r="A25" s="209">
        <v>1993.04</v>
      </c>
      <c r="B25" s="2062">
        <v>11.53507917195342</v>
      </c>
      <c r="C25" s="2051"/>
      <c r="D25" s="1857"/>
      <c r="E25" s="1865"/>
      <c r="F25" s="1857"/>
      <c r="G25" s="1865"/>
      <c r="H25" s="1857"/>
      <c r="I25" s="1865"/>
      <c r="J25" s="1857"/>
      <c r="K25" s="1491"/>
      <c r="L25" s="711"/>
    </row>
    <row r="26" spans="1:12">
      <c r="A26" s="209">
        <v>1993.05</v>
      </c>
      <c r="B26" s="2062">
        <v>11.837458260597751</v>
      </c>
      <c r="C26" s="2051"/>
      <c r="D26" s="1857"/>
      <c r="E26" s="1865"/>
      <c r="F26" s="1857"/>
      <c r="G26" s="1865"/>
      <c r="H26" s="1857"/>
      <c r="I26" s="1865"/>
      <c r="J26" s="1857"/>
      <c r="K26" s="1491"/>
      <c r="L26" s="711"/>
    </row>
    <row r="27" spans="1:12">
      <c r="A27" s="209">
        <v>1993.06</v>
      </c>
      <c r="B27" s="2062">
        <v>11.871382742845226</v>
      </c>
      <c r="C27" s="2051"/>
      <c r="D27" s="1857"/>
      <c r="E27" s="1865"/>
      <c r="F27" s="1857"/>
      <c r="G27" s="1865"/>
      <c r="H27" s="1857"/>
      <c r="I27" s="1865"/>
      <c r="J27" s="1857"/>
      <c r="K27" s="1491"/>
      <c r="L27" s="711"/>
    </row>
    <row r="28" spans="1:12">
      <c r="A28" s="209">
        <v>1993.07</v>
      </c>
      <c r="B28" s="2062">
        <v>11.99541196847724</v>
      </c>
      <c r="C28" s="2051"/>
      <c r="D28" s="1857"/>
      <c r="E28" s="1865"/>
      <c r="F28" s="1857"/>
      <c r="G28" s="1865"/>
      <c r="H28" s="1857"/>
      <c r="I28" s="1865"/>
      <c r="J28" s="1857"/>
      <c r="K28" s="1491"/>
      <c r="L28" s="711"/>
    </row>
    <row r="29" spans="1:12">
      <c r="A29" s="209">
        <v>1993.08</v>
      </c>
      <c r="B29" s="2062">
        <v>11.987504245103889</v>
      </c>
      <c r="C29" s="2051"/>
      <c r="D29" s="1857"/>
      <c r="E29" s="1865"/>
      <c r="F29" s="1857"/>
      <c r="G29" s="1865"/>
      <c r="H29" s="1857"/>
      <c r="I29" s="1865"/>
      <c r="J29" s="1857"/>
      <c r="K29" s="1491"/>
      <c r="L29" s="711"/>
    </row>
    <row r="30" spans="1:12">
      <c r="A30" s="209">
        <v>1993.09</v>
      </c>
      <c r="B30" s="2062">
        <v>11.997071750666672</v>
      </c>
      <c r="C30" s="2051"/>
      <c r="D30" s="1857"/>
      <c r="E30" s="1865"/>
      <c r="F30" s="1857"/>
      <c r="G30" s="1865"/>
      <c r="H30" s="1857"/>
      <c r="I30" s="1865"/>
      <c r="J30" s="1857"/>
      <c r="K30" s="1491"/>
      <c r="L30" s="711"/>
    </row>
    <row r="31" spans="1:12">
      <c r="A31" s="209">
        <v>1993.1</v>
      </c>
      <c r="B31" s="2062">
        <v>12.159354918214202</v>
      </c>
      <c r="C31" s="2051"/>
      <c r="D31" s="1857"/>
      <c r="E31" s="1865"/>
      <c r="F31" s="1857"/>
      <c r="G31" s="1865"/>
      <c r="H31" s="1857"/>
      <c r="I31" s="1865"/>
      <c r="J31" s="1857"/>
      <c r="K31" s="1491"/>
      <c r="L31" s="711"/>
    </row>
    <row r="32" spans="1:12">
      <c r="A32" s="209">
        <v>1993.11</v>
      </c>
      <c r="B32" s="2062">
        <v>12.037735304470463</v>
      </c>
      <c r="C32" s="2051"/>
      <c r="D32" s="1857"/>
      <c r="E32" s="1865"/>
      <c r="F32" s="1857"/>
      <c r="G32" s="1865"/>
      <c r="H32" s="1857"/>
      <c r="I32" s="1865"/>
      <c r="J32" s="1857"/>
      <c r="K32" s="1491"/>
      <c r="L32" s="711"/>
    </row>
    <row r="33" spans="1:12">
      <c r="A33" s="209">
        <v>1993.12</v>
      </c>
      <c r="B33" s="2062">
        <v>11.925633608950507</v>
      </c>
      <c r="C33" s="2051"/>
      <c r="D33" s="1857"/>
      <c r="E33" s="1865"/>
      <c r="F33" s="1857"/>
      <c r="G33" s="1865"/>
      <c r="H33" s="1857"/>
      <c r="I33" s="1865"/>
      <c r="J33" s="1857"/>
      <c r="K33" s="1491"/>
      <c r="L33" s="711"/>
    </row>
    <row r="34" spans="1:12">
      <c r="A34" s="209">
        <v>1994.01</v>
      </c>
      <c r="B34" s="2062">
        <v>11.952600055742399</v>
      </c>
      <c r="C34" s="2051"/>
      <c r="D34" s="1857"/>
      <c r="E34" s="1865"/>
      <c r="F34" s="1857"/>
      <c r="G34" s="1865"/>
      <c r="H34" s="1857"/>
      <c r="I34" s="1865"/>
      <c r="J34" s="1857"/>
      <c r="K34" s="1491"/>
      <c r="L34" s="711"/>
    </row>
    <row r="35" spans="1:12">
      <c r="A35" s="209">
        <v>1994.02</v>
      </c>
      <c r="B35" s="2062">
        <v>11.8608765730113</v>
      </c>
      <c r="C35" s="2051"/>
      <c r="D35" s="1857"/>
      <c r="E35" s="1865"/>
      <c r="F35" s="1857"/>
      <c r="G35" s="1865"/>
      <c r="H35" s="1857"/>
      <c r="I35" s="1865"/>
      <c r="J35" s="1857"/>
      <c r="K35" s="1491"/>
      <c r="L35" s="711"/>
    </row>
    <row r="36" spans="1:12">
      <c r="A36" s="209">
        <v>1994.03</v>
      </c>
      <c r="B36" s="2062">
        <v>11.882266482681931</v>
      </c>
      <c r="C36" s="2051"/>
      <c r="D36" s="1857"/>
      <c r="E36" s="1865"/>
      <c r="F36" s="1857"/>
      <c r="G36" s="1865"/>
      <c r="H36" s="1857"/>
      <c r="I36" s="1865"/>
      <c r="J36" s="1857"/>
      <c r="K36" s="1491"/>
      <c r="L36" s="711"/>
    </row>
    <row r="37" spans="1:12">
      <c r="A37" s="209">
        <v>1994.04</v>
      </c>
      <c r="B37" s="2062">
        <v>11.953503366490779</v>
      </c>
      <c r="C37" s="2051"/>
      <c r="D37" s="1857"/>
      <c r="E37" s="1865"/>
      <c r="F37" s="1857"/>
      <c r="G37" s="1865"/>
      <c r="H37" s="1857"/>
      <c r="I37" s="1865"/>
      <c r="J37" s="1857"/>
      <c r="K37" s="1491"/>
      <c r="L37" s="711"/>
    </row>
    <row r="38" spans="1:12">
      <c r="A38" s="209">
        <v>1994.05</v>
      </c>
      <c r="B38" s="2062">
        <v>11.89657560128239</v>
      </c>
      <c r="C38" s="2051"/>
      <c r="D38" s="1857"/>
      <c r="E38" s="1865"/>
      <c r="F38" s="1857"/>
      <c r="G38" s="1865"/>
      <c r="H38" s="1857"/>
      <c r="I38" s="1865"/>
      <c r="J38" s="1857"/>
      <c r="K38" s="1491"/>
      <c r="L38" s="711"/>
    </row>
    <row r="39" spans="1:12">
      <c r="A39" s="209">
        <v>1994.06</v>
      </c>
      <c r="B39" s="2062">
        <v>11.856353206935266</v>
      </c>
      <c r="C39" s="2051"/>
      <c r="D39" s="1857"/>
      <c r="E39" s="1865"/>
      <c r="F39" s="1857"/>
      <c r="G39" s="1865"/>
      <c r="H39" s="1857"/>
      <c r="I39" s="1865"/>
      <c r="J39" s="1857"/>
      <c r="K39" s="1491"/>
      <c r="L39" s="711"/>
    </row>
    <row r="40" spans="1:12">
      <c r="A40" s="209">
        <v>1994.07</v>
      </c>
      <c r="B40" s="2062">
        <v>11.900464794956441</v>
      </c>
      <c r="C40" s="2051"/>
      <c r="D40" s="1857"/>
      <c r="E40" s="1865"/>
      <c r="F40" s="1857"/>
      <c r="G40" s="1865"/>
      <c r="H40" s="1857"/>
      <c r="I40" s="1865"/>
      <c r="J40" s="1857"/>
      <c r="K40" s="1491"/>
      <c r="L40" s="711"/>
    </row>
    <row r="41" spans="1:12">
      <c r="A41" s="209">
        <v>1994.08</v>
      </c>
      <c r="B41" s="2062">
        <v>11.973210772628649</v>
      </c>
      <c r="C41" s="2051"/>
      <c r="D41" s="1857"/>
      <c r="E41" s="1865"/>
      <c r="F41" s="1857"/>
      <c r="G41" s="1865"/>
      <c r="H41" s="1857"/>
      <c r="I41" s="1865"/>
      <c r="J41" s="1857"/>
      <c r="K41" s="1491"/>
      <c r="L41" s="711"/>
    </row>
    <row r="42" spans="1:12">
      <c r="A42" s="209">
        <v>1994.09</v>
      </c>
      <c r="B42" s="2062">
        <v>12.103580885925002</v>
      </c>
      <c r="C42" s="2051"/>
      <c r="D42" s="1857"/>
      <c r="E42" s="1865"/>
      <c r="F42" s="1857"/>
      <c r="G42" s="1865"/>
      <c r="H42" s="1857"/>
      <c r="I42" s="1865"/>
      <c r="J42" s="1857"/>
      <c r="K42" s="1491"/>
      <c r="L42" s="711"/>
    </row>
    <row r="43" spans="1:12">
      <c r="A43" s="209">
        <v>1994.1</v>
      </c>
      <c r="B43" s="2062">
        <v>12.145362991928693</v>
      </c>
      <c r="C43" s="2051"/>
      <c r="D43" s="1857"/>
      <c r="E43" s="1865"/>
      <c r="F43" s="1857"/>
      <c r="G43" s="1865"/>
      <c r="H43" s="1857"/>
      <c r="I43" s="1865"/>
      <c r="J43" s="1857"/>
      <c r="K43" s="1491"/>
      <c r="L43" s="711"/>
    </row>
    <row r="44" spans="1:12">
      <c r="A44" s="209">
        <v>1994.11</v>
      </c>
      <c r="B44" s="2062">
        <v>12.202337103133791</v>
      </c>
      <c r="C44" s="2051"/>
      <c r="D44" s="1857"/>
      <c r="E44" s="1865"/>
      <c r="F44" s="1857"/>
      <c r="G44" s="1865"/>
      <c r="H44" s="1857"/>
      <c r="I44" s="1865"/>
      <c r="J44" s="1857"/>
      <c r="K44" s="1491"/>
      <c r="L44" s="711"/>
    </row>
    <row r="45" spans="1:12">
      <c r="A45" s="209">
        <v>1994.12</v>
      </c>
      <c r="B45" s="2062">
        <v>12.257710206170039</v>
      </c>
      <c r="C45" s="2051"/>
      <c r="D45" s="1857"/>
      <c r="E45" s="1865"/>
      <c r="F45" s="1857"/>
      <c r="G45" s="1865"/>
      <c r="H45" s="1857"/>
      <c r="I45" s="1865"/>
      <c r="J45" s="1857"/>
      <c r="K45" s="1491"/>
      <c r="L45" s="711"/>
    </row>
    <row r="46" spans="1:12">
      <c r="A46" s="209">
        <v>1995.01</v>
      </c>
      <c r="B46" s="2062">
        <v>12.288721345726465</v>
      </c>
      <c r="C46" s="2051"/>
      <c r="D46" s="1857"/>
      <c r="E46" s="1865"/>
      <c r="F46" s="1857"/>
      <c r="G46" s="1865"/>
      <c r="H46" s="1857"/>
      <c r="I46" s="1865"/>
      <c r="J46" s="1857"/>
      <c r="K46" s="1491"/>
      <c r="L46" s="711"/>
    </row>
    <row r="47" spans="1:12">
      <c r="A47" s="209">
        <v>1995.02</v>
      </c>
      <c r="B47" s="2062">
        <v>12.296405245389741</v>
      </c>
      <c r="C47" s="2051"/>
      <c r="D47" s="1857"/>
      <c r="E47" s="1865"/>
      <c r="F47" s="1857"/>
      <c r="G47" s="1865"/>
      <c r="H47" s="1857"/>
      <c r="I47" s="1865"/>
      <c r="J47" s="1857"/>
      <c r="K47" s="1491"/>
      <c r="L47" s="711"/>
    </row>
    <row r="48" spans="1:12">
      <c r="A48" s="209">
        <v>1995.03</v>
      </c>
      <c r="B48" s="2062">
        <v>12.309002802649951</v>
      </c>
      <c r="C48" s="2051"/>
      <c r="D48" s="1857"/>
      <c r="E48" s="1865"/>
      <c r="F48" s="1857"/>
      <c r="G48" s="1865"/>
      <c r="H48" s="1857"/>
      <c r="I48" s="1865"/>
      <c r="J48" s="1857"/>
      <c r="K48" s="1491"/>
      <c r="L48" s="711"/>
    </row>
    <row r="49" spans="1:12">
      <c r="A49" s="209">
        <v>1995.04</v>
      </c>
      <c r="B49" s="2062">
        <v>12.370353487904975</v>
      </c>
      <c r="C49" s="2051"/>
      <c r="D49" s="1857"/>
      <c r="E49" s="1865"/>
      <c r="F49" s="1857"/>
      <c r="G49" s="1865"/>
      <c r="H49" s="1857"/>
      <c r="I49" s="1865"/>
      <c r="J49" s="1857"/>
      <c r="K49" s="1491"/>
      <c r="L49" s="711"/>
    </row>
    <row r="50" spans="1:12">
      <c r="A50" s="209">
        <v>1995.05</v>
      </c>
      <c r="B50" s="2062">
        <v>12.50244617070163</v>
      </c>
      <c r="C50" s="2051"/>
      <c r="D50" s="1857"/>
      <c r="E50" s="1865"/>
      <c r="F50" s="1857"/>
      <c r="G50" s="1865"/>
      <c r="H50" s="1857"/>
      <c r="I50" s="1865"/>
      <c r="J50" s="1857"/>
      <c r="K50" s="1491"/>
      <c r="L50" s="711"/>
    </row>
    <row r="51" spans="1:12">
      <c r="A51" s="209">
        <v>1995.06</v>
      </c>
      <c r="B51" s="2062">
        <v>12.638755891864669</v>
      </c>
      <c r="C51" s="2051"/>
      <c r="D51" s="1857"/>
      <c r="E51" s="1865"/>
      <c r="F51" s="1857"/>
      <c r="G51" s="1865"/>
      <c r="H51" s="1857"/>
      <c r="I51" s="1865"/>
      <c r="J51" s="1857"/>
      <c r="K51" s="1491"/>
      <c r="L51" s="711"/>
    </row>
    <row r="52" spans="1:12">
      <c r="A52" s="209">
        <v>1995.07</v>
      </c>
      <c r="B52" s="2062">
        <v>12.810406635992894</v>
      </c>
      <c r="C52" s="2051"/>
      <c r="D52" s="1857"/>
      <c r="E52" s="1865"/>
      <c r="F52" s="1857"/>
      <c r="G52" s="1865"/>
      <c r="H52" s="1857"/>
      <c r="I52" s="1865"/>
      <c r="J52" s="1857"/>
      <c r="K52" s="1491"/>
      <c r="L52" s="711"/>
    </row>
    <row r="53" spans="1:12">
      <c r="A53" s="209">
        <v>1995.08</v>
      </c>
      <c r="B53" s="2062">
        <v>12.938028100706038</v>
      </c>
      <c r="C53" s="2051"/>
      <c r="D53" s="1857"/>
      <c r="E53" s="1865"/>
      <c r="F53" s="1857"/>
      <c r="G53" s="1865"/>
      <c r="H53" s="1857"/>
      <c r="I53" s="1865"/>
      <c r="J53" s="1857"/>
      <c r="K53" s="1491"/>
      <c r="L53" s="711"/>
    </row>
    <row r="54" spans="1:12">
      <c r="A54" s="209">
        <v>1995.09</v>
      </c>
      <c r="B54" s="2062">
        <v>13.007596431136729</v>
      </c>
      <c r="C54" s="2051"/>
      <c r="D54" s="1857"/>
      <c r="E54" s="1865"/>
      <c r="F54" s="1857"/>
      <c r="G54" s="1865"/>
      <c r="H54" s="1857"/>
      <c r="I54" s="1865"/>
      <c r="J54" s="1857"/>
      <c r="K54" s="1491"/>
      <c r="L54" s="711"/>
    </row>
    <row r="55" spans="1:12">
      <c r="A55" s="209">
        <v>1995.1</v>
      </c>
      <c r="B55" s="2062">
        <v>12.869131331546573</v>
      </c>
      <c r="C55" s="2051"/>
      <c r="D55" s="1857"/>
      <c r="E55" s="1865"/>
      <c r="F55" s="1857"/>
      <c r="G55" s="1865"/>
      <c r="H55" s="1857"/>
      <c r="I55" s="1865"/>
      <c r="J55" s="1857"/>
      <c r="K55" s="1491"/>
      <c r="L55" s="711"/>
    </row>
    <row r="56" spans="1:12">
      <c r="A56" s="209">
        <v>1995.11</v>
      </c>
      <c r="B56" s="2062">
        <v>12.854394445496826</v>
      </c>
      <c r="C56" s="2051"/>
      <c r="D56" s="1857"/>
      <c r="E56" s="1865"/>
      <c r="F56" s="1857"/>
      <c r="G56" s="1865"/>
      <c r="H56" s="1857"/>
      <c r="I56" s="1865"/>
      <c r="J56" s="1857"/>
      <c r="K56" s="1491"/>
      <c r="L56" s="711"/>
    </row>
    <row r="57" spans="1:12">
      <c r="A57" s="209">
        <v>1995.12</v>
      </c>
      <c r="B57" s="2062">
        <v>12.830542866107619</v>
      </c>
      <c r="C57" s="2051"/>
      <c r="D57" s="1857"/>
      <c r="E57" s="1865"/>
      <c r="F57" s="1857"/>
      <c r="G57" s="1865"/>
      <c r="H57" s="1857"/>
      <c r="I57" s="1865"/>
      <c r="J57" s="1857"/>
      <c r="K57" s="1491"/>
      <c r="L57" s="711"/>
    </row>
    <row r="58" spans="1:12">
      <c r="A58" s="209">
        <v>1996.01</v>
      </c>
      <c r="B58" s="2062">
        <v>12.770381512986109</v>
      </c>
      <c r="C58" s="2051"/>
      <c r="D58" s="1857"/>
      <c r="E58" s="1865"/>
      <c r="F58" s="1857"/>
      <c r="G58" s="1865"/>
      <c r="H58" s="1857"/>
      <c r="I58" s="1865"/>
      <c r="J58" s="1857"/>
      <c r="K58" s="1491"/>
      <c r="L58" s="711"/>
    </row>
    <row r="59" spans="1:12">
      <c r="A59" s="209">
        <v>1996.02</v>
      </c>
      <c r="B59" s="2062">
        <v>12.78529429711082</v>
      </c>
      <c r="C59" s="2051"/>
      <c r="D59" s="1857"/>
      <c r="E59" s="1865"/>
      <c r="F59" s="1857"/>
      <c r="G59" s="1865"/>
      <c r="H59" s="1857"/>
      <c r="I59" s="1865"/>
      <c r="J59" s="1857"/>
      <c r="K59" s="1491"/>
      <c r="L59" s="711"/>
    </row>
    <row r="60" spans="1:12">
      <c r="A60" s="209">
        <v>1996.03</v>
      </c>
      <c r="B60" s="2062">
        <v>12.726513174771123</v>
      </c>
      <c r="C60" s="2051"/>
      <c r="D60" s="1857"/>
      <c r="E60" s="1865"/>
      <c r="F60" s="1857"/>
      <c r="G60" s="1865"/>
      <c r="H60" s="1857"/>
      <c r="I60" s="1865"/>
      <c r="J60" s="1857"/>
      <c r="K60" s="1491"/>
      <c r="L60" s="711"/>
    </row>
    <row r="61" spans="1:12">
      <c r="A61" s="209">
        <v>1996.04</v>
      </c>
      <c r="B61" s="2062">
        <v>12.696945459688575</v>
      </c>
      <c r="C61" s="2051"/>
      <c r="D61" s="1857"/>
      <c r="E61" s="1865"/>
      <c r="F61" s="1857"/>
      <c r="G61" s="1865"/>
      <c r="H61" s="1857"/>
      <c r="I61" s="1865"/>
      <c r="J61" s="1857"/>
      <c r="K61" s="1491"/>
      <c r="L61" s="711"/>
    </row>
    <row r="62" spans="1:12">
      <c r="A62" s="209">
        <v>1996.05</v>
      </c>
      <c r="B62" s="2062">
        <v>12.701955036229</v>
      </c>
      <c r="C62" s="2051"/>
      <c r="D62" s="1857"/>
      <c r="E62" s="1865"/>
      <c r="F62" s="1857"/>
      <c r="G62" s="1865"/>
      <c r="H62" s="1857"/>
      <c r="I62" s="1865"/>
      <c r="J62" s="1857"/>
      <c r="K62" s="1491"/>
      <c r="L62" s="711"/>
    </row>
    <row r="63" spans="1:12">
      <c r="A63" s="209">
        <v>1996.06</v>
      </c>
      <c r="B63" s="2062">
        <v>12.7205629089078</v>
      </c>
      <c r="C63" s="2051"/>
      <c r="D63" s="1857"/>
      <c r="E63" s="1865"/>
      <c r="F63" s="1857"/>
      <c r="G63" s="1865"/>
      <c r="H63" s="1857"/>
      <c r="I63" s="1865"/>
      <c r="J63" s="1857"/>
      <c r="K63" s="1491"/>
      <c r="L63" s="711"/>
    </row>
    <row r="64" spans="1:12">
      <c r="A64" s="209">
        <v>1996.07</v>
      </c>
      <c r="B64" s="2062">
        <v>12.707111934690101</v>
      </c>
      <c r="C64" s="2051"/>
      <c r="D64" s="1857"/>
      <c r="E64" s="1865"/>
      <c r="F64" s="1857"/>
      <c r="G64" s="1865"/>
      <c r="H64" s="1857"/>
      <c r="I64" s="1865"/>
      <c r="J64" s="1857"/>
      <c r="K64" s="1491"/>
      <c r="L64" s="711"/>
    </row>
    <row r="65" spans="1:12">
      <c r="A65" s="209">
        <v>1996.08</v>
      </c>
      <c r="B65" s="2062">
        <v>12.70234372238431</v>
      </c>
      <c r="C65" s="2051"/>
      <c r="D65" s="1857"/>
      <c r="E65" s="1865"/>
      <c r="F65" s="1857"/>
      <c r="G65" s="1865"/>
      <c r="H65" s="1857"/>
      <c r="I65" s="1865"/>
      <c r="J65" s="1857"/>
      <c r="K65" s="1491"/>
      <c r="L65" s="711"/>
    </row>
    <row r="66" spans="1:12">
      <c r="A66" s="209">
        <v>1996.09</v>
      </c>
      <c r="B66" s="2062">
        <v>12.738447495326998</v>
      </c>
      <c r="C66" s="2051"/>
      <c r="D66" s="1857"/>
      <c r="E66" s="1865"/>
      <c r="F66" s="1857"/>
      <c r="G66" s="1865"/>
      <c r="H66" s="1857"/>
      <c r="I66" s="1865"/>
      <c r="J66" s="1857"/>
      <c r="K66" s="1491"/>
      <c r="L66" s="711"/>
    </row>
    <row r="67" spans="1:12">
      <c r="A67" s="209">
        <v>1996.1</v>
      </c>
      <c r="B67" s="2062">
        <v>12.732039869152228</v>
      </c>
      <c r="C67" s="2051"/>
      <c r="D67" s="1857"/>
      <c r="E67" s="1865"/>
      <c r="F67" s="1857"/>
      <c r="G67" s="1865"/>
      <c r="H67" s="1857"/>
      <c r="I67" s="1865"/>
      <c r="J67" s="1857"/>
      <c r="K67" s="1491"/>
      <c r="L67" s="711"/>
    </row>
    <row r="68" spans="1:12">
      <c r="A68" s="209">
        <v>1996.11</v>
      </c>
      <c r="B68" s="2062">
        <v>12.69211040112094</v>
      </c>
      <c r="C68" s="2051"/>
      <c r="D68" s="1857"/>
      <c r="E68" s="1865"/>
      <c r="F68" s="1857"/>
      <c r="G68" s="1865"/>
      <c r="H68" s="1857"/>
      <c r="I68" s="1865"/>
      <c r="J68" s="1857"/>
      <c r="K68" s="1491"/>
      <c r="L68" s="711"/>
    </row>
    <row r="69" spans="1:12">
      <c r="A69" s="209">
        <v>1996.12</v>
      </c>
      <c r="B69" s="2062">
        <v>12.580711815359379</v>
      </c>
      <c r="C69" s="2051"/>
      <c r="D69" s="1857"/>
      <c r="E69" s="1865"/>
      <c r="F69" s="1857"/>
      <c r="G69" s="1865"/>
      <c r="H69" s="1857"/>
      <c r="I69" s="1865"/>
      <c r="J69" s="1857"/>
      <c r="K69" s="1491"/>
      <c r="L69" s="711"/>
    </row>
    <row r="70" spans="1:12">
      <c r="A70" s="209">
        <v>1997.01</v>
      </c>
      <c r="B70" s="2062">
        <v>12.406581351219151</v>
      </c>
      <c r="C70" s="2051"/>
      <c r="D70" s="1857"/>
      <c r="E70" s="1865"/>
      <c r="F70" s="1857"/>
      <c r="G70" s="1865"/>
      <c r="H70" s="1857"/>
      <c r="I70" s="1865"/>
      <c r="J70" s="1857"/>
      <c r="K70" s="1491"/>
      <c r="L70" s="711"/>
    </row>
    <row r="71" spans="1:12">
      <c r="A71" s="209">
        <v>1997.02</v>
      </c>
      <c r="B71" s="2062">
        <v>12.273733321295737</v>
      </c>
      <c r="C71" s="2051"/>
      <c r="D71" s="1857"/>
      <c r="E71" s="1865"/>
      <c r="F71" s="1857"/>
      <c r="G71" s="1865"/>
      <c r="H71" s="1857"/>
      <c r="I71" s="1865"/>
      <c r="J71" s="1857"/>
      <c r="K71" s="1491"/>
      <c r="L71" s="711"/>
    </row>
    <row r="72" spans="1:12">
      <c r="A72" s="209">
        <v>1997.03</v>
      </c>
      <c r="B72" s="2062">
        <v>12.137522059591822</v>
      </c>
      <c r="C72" s="2051"/>
      <c r="D72" s="1857"/>
      <c r="E72" s="1865"/>
      <c r="F72" s="1857"/>
      <c r="G72" s="1865"/>
      <c r="H72" s="1857"/>
      <c r="I72" s="1865"/>
      <c r="J72" s="1857"/>
      <c r="K72" s="1491"/>
      <c r="L72" s="711"/>
    </row>
    <row r="73" spans="1:12">
      <c r="A73" s="209">
        <v>1997.04</v>
      </c>
      <c r="B73" s="2062">
        <v>12.153440629380551</v>
      </c>
      <c r="C73" s="2051"/>
      <c r="D73" s="1857"/>
      <c r="E73" s="1865"/>
      <c r="F73" s="1857"/>
      <c r="G73" s="1865"/>
      <c r="H73" s="1857"/>
      <c r="I73" s="1865"/>
      <c r="J73" s="1857"/>
      <c r="K73" s="1491"/>
      <c r="L73" s="711"/>
    </row>
    <row r="74" spans="1:12">
      <c r="A74" s="209">
        <v>1997.05</v>
      </c>
      <c r="B74" s="2062">
        <v>12.119294789034143</v>
      </c>
      <c r="C74" s="2051"/>
      <c r="D74" s="1857"/>
      <c r="E74" s="1865"/>
      <c r="F74" s="1857"/>
      <c r="G74" s="1865"/>
      <c r="H74" s="1857"/>
      <c r="I74" s="1865"/>
      <c r="J74" s="1857"/>
      <c r="K74" s="1491"/>
      <c r="L74" s="711"/>
    </row>
    <row r="75" spans="1:12">
      <c r="A75" s="209">
        <v>1997.06</v>
      </c>
      <c r="B75" s="2062">
        <v>12.001508922643634</v>
      </c>
      <c r="C75" s="2051"/>
      <c r="D75" s="1857"/>
      <c r="E75" s="1865"/>
      <c r="F75" s="1857"/>
      <c r="G75" s="1865"/>
      <c r="H75" s="1857"/>
      <c r="I75" s="1865"/>
      <c r="J75" s="1857"/>
      <c r="K75" s="1491"/>
      <c r="L75" s="711"/>
    </row>
    <row r="76" spans="1:12">
      <c r="A76" s="209">
        <v>1997.07</v>
      </c>
      <c r="B76" s="2062">
        <v>12.060631057480418</v>
      </c>
      <c r="C76" s="2051"/>
      <c r="D76" s="1857"/>
      <c r="E76" s="1865"/>
      <c r="F76" s="1857"/>
      <c r="G76" s="1865"/>
      <c r="H76" s="1857"/>
      <c r="I76" s="1865"/>
      <c r="J76" s="1857"/>
      <c r="K76" s="1491"/>
      <c r="L76" s="711"/>
    </row>
    <row r="77" spans="1:12">
      <c r="A77" s="209">
        <v>1997.08</v>
      </c>
      <c r="B77" s="2062">
        <v>12.103780717487322</v>
      </c>
      <c r="C77" s="2051"/>
      <c r="D77" s="1857"/>
      <c r="E77" s="1865"/>
      <c r="F77" s="1857"/>
      <c r="G77" s="1865"/>
      <c r="H77" s="1857"/>
      <c r="I77" s="1865"/>
      <c r="J77" s="1857"/>
      <c r="K77" s="1491"/>
      <c r="L77" s="711"/>
    </row>
    <row r="78" spans="1:12">
      <c r="A78" s="209">
        <v>1997.09</v>
      </c>
      <c r="B78" s="2062">
        <v>12.089592256068086</v>
      </c>
      <c r="C78" s="2051"/>
      <c r="D78" s="1857"/>
      <c r="E78" s="1865"/>
      <c r="F78" s="1857"/>
      <c r="G78" s="1865"/>
      <c r="H78" s="1857"/>
      <c r="I78" s="1865"/>
      <c r="J78" s="1857"/>
      <c r="K78" s="1491"/>
      <c r="L78" s="711"/>
    </row>
    <row r="79" spans="1:12">
      <c r="A79" s="209">
        <v>1997.1</v>
      </c>
      <c r="B79" s="2062">
        <v>11.919727429893957</v>
      </c>
      <c r="C79" s="2051"/>
      <c r="D79" s="1857"/>
      <c r="E79" s="1865"/>
      <c r="F79" s="1857"/>
      <c r="G79" s="1865"/>
      <c r="H79" s="1857"/>
      <c r="I79" s="1865"/>
      <c r="J79" s="1857"/>
      <c r="K79" s="1491"/>
      <c r="L79" s="711"/>
    </row>
    <row r="80" spans="1:12">
      <c r="A80" s="209">
        <v>1997.11</v>
      </c>
      <c r="B80" s="2062">
        <v>11.870223788812076</v>
      </c>
      <c r="C80" s="2051"/>
      <c r="D80" s="1857"/>
      <c r="E80" s="1865"/>
      <c r="F80" s="1857"/>
      <c r="G80" s="1865"/>
      <c r="H80" s="1857"/>
      <c r="I80" s="1865"/>
      <c r="J80" s="1857"/>
      <c r="K80" s="1491"/>
      <c r="L80" s="711"/>
    </row>
    <row r="81" spans="1:12">
      <c r="A81" s="209">
        <v>1997.12</v>
      </c>
      <c r="B81" s="2062">
        <v>11.760614153080356</v>
      </c>
      <c r="C81" s="2051"/>
      <c r="D81" s="1857"/>
      <c r="E81" s="1865"/>
      <c r="F81" s="1857"/>
      <c r="G81" s="1865"/>
      <c r="H81" s="1857"/>
      <c r="I81" s="1865"/>
      <c r="J81" s="1857"/>
      <c r="K81" s="1491"/>
      <c r="L81" s="711"/>
    </row>
    <row r="82" spans="1:12">
      <c r="A82" s="209">
        <v>1998.01</v>
      </c>
      <c r="B82" s="2062">
        <v>11.779205830479173</v>
      </c>
      <c r="C82" s="2051"/>
      <c r="D82" s="1857"/>
      <c r="E82" s="1865"/>
      <c r="F82" s="1857"/>
      <c r="G82" s="1865"/>
      <c r="H82" s="1857"/>
      <c r="I82" s="1865"/>
      <c r="J82" s="1857"/>
      <c r="K82" s="1491"/>
      <c r="L82" s="711"/>
    </row>
    <row r="83" spans="1:12">
      <c r="A83" s="209">
        <v>1998.02</v>
      </c>
      <c r="B83" s="2062">
        <v>11.751331444031718</v>
      </c>
      <c r="C83" s="2051"/>
      <c r="D83" s="1857"/>
      <c r="E83" s="1865"/>
      <c r="F83" s="1857"/>
      <c r="G83" s="1865"/>
      <c r="H83" s="1857"/>
      <c r="I83" s="1865"/>
      <c r="J83" s="1857"/>
      <c r="K83" s="1491"/>
      <c r="L83" s="711"/>
    </row>
    <row r="84" spans="1:12">
      <c r="A84" s="209">
        <v>1998.03</v>
      </c>
      <c r="B84" s="2062">
        <v>11.699719085909846</v>
      </c>
      <c r="C84" s="2051"/>
      <c r="D84" s="1857"/>
      <c r="E84" s="1865"/>
      <c r="F84" s="1857"/>
      <c r="G84" s="1865"/>
      <c r="H84" s="1857"/>
      <c r="I84" s="1865"/>
      <c r="J84" s="1857"/>
      <c r="K84" s="1491"/>
      <c r="L84" s="711"/>
    </row>
    <row r="85" spans="1:12">
      <c r="A85" s="209">
        <v>1998.04</v>
      </c>
      <c r="B85" s="2062">
        <v>11.673914166619159</v>
      </c>
      <c r="C85" s="2051"/>
      <c r="D85" s="1857"/>
      <c r="E85" s="1865"/>
      <c r="F85" s="1857"/>
      <c r="G85" s="1865"/>
      <c r="H85" s="1857"/>
      <c r="I85" s="1865"/>
      <c r="J85" s="1857"/>
      <c r="K85" s="1491"/>
      <c r="L85" s="711"/>
    </row>
    <row r="86" spans="1:12">
      <c r="A86" s="209">
        <v>1998.05</v>
      </c>
      <c r="B86" s="2062">
        <v>11.678696191491497</v>
      </c>
      <c r="C86" s="2051"/>
      <c r="D86" s="1857"/>
      <c r="E86" s="1865"/>
      <c r="F86" s="1857"/>
      <c r="G86" s="1865"/>
      <c r="H86" s="1857"/>
      <c r="I86" s="1865"/>
      <c r="J86" s="1857"/>
      <c r="K86" s="1491"/>
      <c r="L86" s="711"/>
    </row>
    <row r="87" spans="1:12">
      <c r="A87" s="209">
        <v>1998.06</v>
      </c>
      <c r="B87" s="2062">
        <v>11.679340484677287</v>
      </c>
      <c r="C87" s="2051"/>
      <c r="D87" s="1857"/>
      <c r="E87" s="1865"/>
      <c r="F87" s="1857"/>
      <c r="G87" s="1865"/>
      <c r="H87" s="1857"/>
      <c r="I87" s="1865"/>
      <c r="J87" s="1857"/>
      <c r="K87" s="1491"/>
      <c r="L87" s="711"/>
    </row>
    <row r="88" spans="1:12">
      <c r="A88" s="209">
        <v>1998.07</v>
      </c>
      <c r="B88" s="2062">
        <v>11.633284424681397</v>
      </c>
      <c r="C88" s="2051"/>
      <c r="D88" s="1857"/>
      <c r="E88" s="1865"/>
      <c r="F88" s="1857"/>
      <c r="G88" s="1865"/>
      <c r="H88" s="1857"/>
      <c r="I88" s="1865"/>
      <c r="J88" s="1857"/>
      <c r="K88" s="1491"/>
      <c r="L88" s="711"/>
    </row>
    <row r="89" spans="1:12">
      <c r="A89" s="209">
        <v>1998.08</v>
      </c>
      <c r="B89" s="2062">
        <v>11.556879838632145</v>
      </c>
      <c r="C89" s="2051"/>
      <c r="D89" s="1857"/>
      <c r="E89" s="1865"/>
      <c r="F89" s="1857"/>
      <c r="G89" s="1865"/>
      <c r="H89" s="1857"/>
      <c r="I89" s="1865"/>
      <c r="J89" s="1857"/>
      <c r="K89" s="1491"/>
      <c r="L89" s="711"/>
    </row>
    <row r="90" spans="1:12">
      <c r="A90" s="209">
        <v>1998.09</v>
      </c>
      <c r="B90" s="2062">
        <v>11.525583552386609</v>
      </c>
      <c r="C90" s="2051"/>
      <c r="D90" s="1857"/>
      <c r="E90" s="1865"/>
      <c r="F90" s="1857"/>
      <c r="G90" s="1865"/>
      <c r="H90" s="1857"/>
      <c r="I90" s="1865"/>
      <c r="J90" s="1857"/>
      <c r="K90" s="1491"/>
      <c r="L90" s="711"/>
    </row>
    <row r="91" spans="1:12">
      <c r="A91" s="209">
        <v>1998.1</v>
      </c>
      <c r="B91" s="2062">
        <v>11.508302603015931</v>
      </c>
      <c r="C91" s="2051"/>
      <c r="D91" s="1857"/>
      <c r="E91" s="1865"/>
      <c r="F91" s="1857"/>
      <c r="G91" s="1865"/>
      <c r="H91" s="1857"/>
      <c r="I91" s="1865"/>
      <c r="J91" s="1857"/>
      <c r="K91" s="1491"/>
      <c r="L91" s="711"/>
    </row>
    <row r="92" spans="1:12">
      <c r="A92" s="209">
        <v>1998.11</v>
      </c>
      <c r="B92" s="2062">
        <v>11.536757829266573</v>
      </c>
      <c r="C92" s="2051"/>
      <c r="D92" s="1857"/>
      <c r="E92" s="1865"/>
      <c r="F92" s="1857"/>
      <c r="G92" s="1865"/>
      <c r="H92" s="1857"/>
      <c r="I92" s="1865"/>
      <c r="J92" s="1857"/>
      <c r="K92" s="1491"/>
      <c r="L92" s="711"/>
    </row>
    <row r="93" spans="1:12">
      <c r="A93" s="209">
        <v>1998.12</v>
      </c>
      <c r="B93" s="2062">
        <v>11.474267417737712</v>
      </c>
      <c r="C93" s="2051"/>
      <c r="D93" s="1857"/>
      <c r="E93" s="1865"/>
      <c r="F93" s="1857"/>
      <c r="G93" s="1865"/>
      <c r="H93" s="1857"/>
      <c r="I93" s="1865"/>
      <c r="J93" s="1857"/>
      <c r="K93" s="1491"/>
      <c r="L93" s="711"/>
    </row>
    <row r="94" spans="1:12">
      <c r="A94" s="209">
        <v>1999.01</v>
      </c>
      <c r="B94" s="2062">
        <v>11.348669190527209</v>
      </c>
      <c r="C94" s="2051"/>
      <c r="D94" s="1857"/>
      <c r="E94" s="1865"/>
      <c r="F94" s="1857"/>
      <c r="G94" s="1865"/>
      <c r="H94" s="1857"/>
      <c r="I94" s="1865"/>
      <c r="J94" s="1857"/>
      <c r="K94" s="1491"/>
      <c r="L94" s="711"/>
    </row>
    <row r="95" spans="1:12">
      <c r="A95" s="209">
        <v>1999.02</v>
      </c>
      <c r="B95" s="2062">
        <v>11.252080971343243</v>
      </c>
      <c r="C95" s="2051"/>
      <c r="D95" s="1857"/>
      <c r="E95" s="1865"/>
      <c r="F95" s="1857"/>
      <c r="G95" s="1865"/>
      <c r="H95" s="1857"/>
      <c r="I95" s="1865"/>
      <c r="J95" s="1857"/>
      <c r="K95" s="1491"/>
      <c r="L95" s="711"/>
    </row>
    <row r="96" spans="1:12">
      <c r="A96" s="209">
        <v>1999.03</v>
      </c>
      <c r="B96" s="2062">
        <v>11.204331315120381</v>
      </c>
      <c r="C96" s="2051"/>
      <c r="D96" s="1857"/>
      <c r="E96" s="1865"/>
      <c r="F96" s="1857"/>
      <c r="G96" s="1865"/>
      <c r="H96" s="1857"/>
      <c r="I96" s="1865"/>
      <c r="J96" s="1857"/>
      <c r="K96" s="1491"/>
      <c r="L96" s="711"/>
    </row>
    <row r="97" spans="1:12">
      <c r="A97" s="209">
        <v>1999.04</v>
      </c>
      <c r="B97" s="2062">
        <v>11.241457976968611</v>
      </c>
      <c r="C97" s="2051"/>
      <c r="D97" s="1857"/>
      <c r="E97" s="1865"/>
      <c r="F97" s="1857"/>
      <c r="G97" s="1865"/>
      <c r="H97" s="1857"/>
      <c r="I97" s="1865"/>
      <c r="J97" s="1857"/>
      <c r="K97" s="1491"/>
      <c r="L97" s="711"/>
    </row>
    <row r="98" spans="1:12">
      <c r="A98" s="209">
        <v>1999.05</v>
      </c>
      <c r="B98" s="2062">
        <v>11.190345368272263</v>
      </c>
      <c r="C98" s="2051"/>
      <c r="D98" s="1857"/>
      <c r="E98" s="1865"/>
      <c r="F98" s="1857"/>
      <c r="G98" s="1865"/>
      <c r="H98" s="1857"/>
      <c r="I98" s="1865"/>
      <c r="J98" s="1857"/>
      <c r="K98" s="1491"/>
      <c r="L98" s="711"/>
    </row>
    <row r="99" spans="1:12">
      <c r="A99" s="209">
        <v>1999.06</v>
      </c>
      <c r="B99" s="2062">
        <v>11.133367099889341</v>
      </c>
      <c r="C99" s="2051"/>
      <c r="D99" s="1857"/>
      <c r="E99" s="1865"/>
      <c r="F99" s="1857"/>
      <c r="G99" s="1865"/>
      <c r="H99" s="1857"/>
      <c r="I99" s="1865"/>
      <c r="J99" s="1857"/>
      <c r="K99" s="1491"/>
      <c r="L99" s="711"/>
    </row>
    <row r="100" spans="1:12">
      <c r="A100" s="209">
        <v>1999.07</v>
      </c>
      <c r="B100" s="2062">
        <v>11.134658050243694</v>
      </c>
      <c r="C100" s="2051"/>
      <c r="D100" s="1857"/>
      <c r="E100" s="1865"/>
      <c r="F100" s="1857"/>
      <c r="G100" s="1865"/>
      <c r="H100" s="1857"/>
      <c r="I100" s="1865"/>
      <c r="J100" s="1857"/>
      <c r="K100" s="1491"/>
      <c r="L100" s="711"/>
    </row>
    <row r="101" spans="1:12">
      <c r="A101" s="209">
        <v>1999.08</v>
      </c>
      <c r="B101" s="2062">
        <v>11.094555450580176</v>
      </c>
      <c r="C101" s="2051"/>
      <c r="D101" s="1857"/>
      <c r="E101" s="1865"/>
      <c r="F101" s="1857"/>
      <c r="G101" s="1865"/>
      <c r="H101" s="1857"/>
      <c r="I101" s="1865"/>
      <c r="J101" s="1857"/>
      <c r="K101" s="1491"/>
      <c r="L101" s="711"/>
    </row>
    <row r="102" spans="1:12">
      <c r="A102" s="209">
        <v>1999.09</v>
      </c>
      <c r="B102" s="2062">
        <v>11.036141439056282</v>
      </c>
      <c r="C102" s="2051"/>
      <c r="D102" s="1857"/>
      <c r="E102" s="1865"/>
      <c r="F102" s="1857"/>
      <c r="G102" s="1865"/>
      <c r="H102" s="1857"/>
      <c r="I102" s="1865"/>
      <c r="J102" s="1857"/>
      <c r="K102" s="1491"/>
      <c r="L102" s="711"/>
    </row>
    <row r="103" spans="1:12">
      <c r="A103" s="209">
        <v>1999.1</v>
      </c>
      <c r="B103" s="2062">
        <v>10.872974198387267</v>
      </c>
      <c r="C103" s="2051"/>
      <c r="D103" s="1857"/>
      <c r="E103" s="1865"/>
      <c r="F103" s="1857"/>
      <c r="G103" s="1865"/>
      <c r="H103" s="1857"/>
      <c r="I103" s="1865"/>
      <c r="J103" s="1857"/>
      <c r="K103" s="1491"/>
      <c r="L103" s="711"/>
    </row>
    <row r="104" spans="1:12">
      <c r="A104" s="209">
        <v>1999.11</v>
      </c>
      <c r="B104" s="2062">
        <v>10.850860386665181</v>
      </c>
      <c r="C104" s="2051"/>
      <c r="D104" s="1857"/>
      <c r="E104" s="1865"/>
      <c r="F104" s="1857"/>
      <c r="G104" s="1865"/>
      <c r="H104" s="1857"/>
      <c r="I104" s="1865"/>
      <c r="J104" s="1857"/>
      <c r="K104" s="1491"/>
      <c r="L104" s="711"/>
    </row>
    <row r="105" spans="1:12">
      <c r="A105" s="209">
        <v>1999.12</v>
      </c>
      <c r="B105" s="2062">
        <v>10.749077257250727</v>
      </c>
      <c r="C105" s="2051"/>
      <c r="D105" s="1857"/>
      <c r="E105" s="1865"/>
      <c r="F105" s="1857"/>
      <c r="G105" s="1865"/>
      <c r="H105" s="1857"/>
      <c r="I105" s="1865"/>
      <c r="J105" s="1857"/>
      <c r="K105" s="1491"/>
      <c r="L105" s="711"/>
    </row>
    <row r="106" spans="1:12">
      <c r="A106" s="209">
        <v>2000.01</v>
      </c>
      <c r="B106" s="2062">
        <v>10.688332600214917</v>
      </c>
      <c r="C106" s="2051"/>
      <c r="D106" s="1857"/>
      <c r="E106" s="1865"/>
      <c r="F106" s="1857"/>
      <c r="G106" s="1865"/>
      <c r="H106" s="1857"/>
      <c r="I106" s="1865"/>
      <c r="J106" s="1857"/>
      <c r="K106" s="1491"/>
      <c r="L106" s="711"/>
    </row>
    <row r="107" spans="1:12">
      <c r="A107" s="209">
        <v>2000.02</v>
      </c>
      <c r="B107" s="2062">
        <v>10.713920153757694</v>
      </c>
      <c r="C107" s="2051"/>
      <c r="D107" s="1857"/>
      <c r="E107" s="1865"/>
      <c r="F107" s="1857"/>
      <c r="G107" s="1865"/>
      <c r="H107" s="1857"/>
      <c r="I107" s="1865"/>
      <c r="J107" s="1857"/>
      <c r="K107" s="1491"/>
      <c r="L107" s="711"/>
    </row>
    <row r="108" spans="1:12">
      <c r="A108" s="209">
        <v>2000.03</v>
      </c>
      <c r="B108" s="2062">
        <v>10.838571871696409</v>
      </c>
      <c r="C108" s="2051"/>
      <c r="D108" s="1857"/>
      <c r="E108" s="1865"/>
      <c r="F108" s="1857"/>
      <c r="G108" s="1865"/>
      <c r="H108" s="1857"/>
      <c r="I108" s="1865"/>
      <c r="J108" s="1857"/>
      <c r="K108" s="1491"/>
      <c r="L108" s="711"/>
    </row>
    <row r="109" spans="1:12">
      <c r="A109" s="209">
        <v>2000.04</v>
      </c>
      <c r="B109" s="2062">
        <v>10.700488173195421</v>
      </c>
      <c r="C109" s="2051"/>
      <c r="D109" s="1857"/>
      <c r="E109" s="1865"/>
      <c r="F109" s="1857"/>
      <c r="G109" s="1865"/>
      <c r="H109" s="1857"/>
      <c r="I109" s="1865"/>
      <c r="J109" s="1857"/>
      <c r="K109" s="1491"/>
      <c r="L109" s="711"/>
    </row>
    <row r="110" spans="1:12">
      <c r="A110" s="209">
        <v>2000.05</v>
      </c>
      <c r="B110" s="2062">
        <v>10.564897487822407</v>
      </c>
      <c r="C110" s="2051"/>
      <c r="D110" s="1857"/>
      <c r="E110" s="1865"/>
      <c r="F110" s="1857"/>
      <c r="G110" s="1865"/>
      <c r="H110" s="1857"/>
      <c r="I110" s="1865"/>
      <c r="J110" s="1857"/>
      <c r="K110" s="1491"/>
      <c r="L110" s="711"/>
    </row>
    <row r="111" spans="1:12">
      <c r="A111" s="209">
        <v>2000.06</v>
      </c>
      <c r="B111" s="2062">
        <v>10.595294665851672</v>
      </c>
      <c r="C111" s="2051"/>
      <c r="D111" s="1857"/>
      <c r="E111" s="1865"/>
      <c r="F111" s="1857"/>
      <c r="G111" s="1865"/>
      <c r="H111" s="1857"/>
      <c r="I111" s="1865"/>
      <c r="J111" s="1857"/>
      <c r="K111" s="1491"/>
      <c r="L111" s="711"/>
    </row>
    <row r="112" spans="1:12">
      <c r="A112" s="209">
        <v>2000.07</v>
      </c>
      <c r="B112" s="2062">
        <v>10.52234604967092</v>
      </c>
      <c r="C112" s="2051"/>
      <c r="D112" s="1857"/>
      <c r="E112" s="1865"/>
      <c r="F112" s="1857"/>
      <c r="G112" s="1865"/>
      <c r="H112" s="1857"/>
      <c r="I112" s="1865"/>
      <c r="J112" s="1857"/>
      <c r="K112" s="1491"/>
      <c r="L112" s="711"/>
    </row>
    <row r="113" spans="1:12">
      <c r="A113" s="209">
        <v>2000.08</v>
      </c>
      <c r="B113" s="2062">
        <v>10.54944268865037</v>
      </c>
      <c r="C113" s="2051"/>
      <c r="D113" s="1857"/>
      <c r="E113" s="1865"/>
      <c r="F113" s="1857"/>
      <c r="G113" s="1865"/>
      <c r="H113" s="1857"/>
      <c r="I113" s="1865"/>
      <c r="J113" s="1857"/>
      <c r="K113" s="1491"/>
      <c r="L113" s="711"/>
    </row>
    <row r="114" spans="1:12">
      <c r="A114" s="209">
        <v>2000.09</v>
      </c>
      <c r="B114" s="2062">
        <v>10.53271376632549</v>
      </c>
      <c r="C114" s="2051"/>
      <c r="D114" s="1857"/>
      <c r="E114" s="1865"/>
      <c r="F114" s="1857"/>
      <c r="G114" s="1865"/>
      <c r="H114" s="1857"/>
      <c r="I114" s="1865"/>
      <c r="J114" s="1857"/>
      <c r="K114" s="1491"/>
      <c r="L114" s="711"/>
    </row>
    <row r="115" spans="1:12">
      <c r="A115" s="209">
        <v>2000.1</v>
      </c>
      <c r="B115" s="2062">
        <v>10.510130724820421</v>
      </c>
      <c r="C115" s="2051"/>
      <c r="D115" s="1857"/>
      <c r="E115" s="1865"/>
      <c r="F115" s="1857"/>
      <c r="G115" s="1865"/>
      <c r="H115" s="1857"/>
      <c r="I115" s="1865"/>
      <c r="J115" s="1857"/>
      <c r="K115" s="1491"/>
      <c r="L115" s="711"/>
    </row>
    <row r="116" spans="1:12">
      <c r="A116" s="209">
        <v>2000.11</v>
      </c>
      <c r="B116" s="2062">
        <v>10.431758882474554</v>
      </c>
      <c r="C116" s="2051"/>
      <c r="D116" s="1857"/>
      <c r="E116" s="1865"/>
      <c r="F116" s="1857"/>
      <c r="G116" s="1865"/>
      <c r="H116" s="1857"/>
      <c r="I116" s="1865"/>
      <c r="J116" s="1857"/>
      <c r="K116" s="1491"/>
      <c r="L116" s="711"/>
    </row>
    <row r="117" spans="1:12">
      <c r="A117" s="209">
        <v>2000.12</v>
      </c>
      <c r="B117" s="2062">
        <v>10.307124893640184</v>
      </c>
      <c r="C117" s="2051"/>
      <c r="D117" s="1857"/>
      <c r="E117" s="1865"/>
      <c r="F117" s="1857"/>
      <c r="G117" s="1865"/>
      <c r="H117" s="1857"/>
      <c r="I117" s="1865"/>
      <c r="J117" s="1857"/>
      <c r="K117" s="1491"/>
      <c r="L117" s="711"/>
    </row>
    <row r="118" spans="1:12">
      <c r="A118" s="209">
        <v>2001.01</v>
      </c>
      <c r="B118" s="2062">
        <v>10.257665199451367</v>
      </c>
      <c r="C118" s="2051"/>
      <c r="D118" s="1857"/>
      <c r="E118" s="1865"/>
      <c r="F118" s="1857"/>
      <c r="G118" s="1865"/>
      <c r="H118" s="1857"/>
      <c r="I118" s="1865"/>
      <c r="J118" s="1857"/>
      <c r="K118" s="1491"/>
      <c r="L118" s="711"/>
    </row>
    <row r="119" spans="1:12">
      <c r="A119" s="209">
        <v>2001.02</v>
      </c>
      <c r="B119" s="2062">
        <v>10.25811818550426</v>
      </c>
      <c r="C119" s="2051"/>
      <c r="D119" s="1857"/>
      <c r="E119" s="1865"/>
      <c r="F119" s="1857"/>
      <c r="G119" s="1865"/>
      <c r="H119" s="1857"/>
      <c r="I119" s="1865"/>
      <c r="J119" s="1857"/>
      <c r="K119" s="1491"/>
      <c r="L119" s="711"/>
    </row>
    <row r="120" spans="1:12">
      <c r="A120" s="209">
        <v>2001.03</v>
      </c>
      <c r="B120" s="2062">
        <v>10.33654206620948</v>
      </c>
      <c r="C120" s="2051"/>
      <c r="D120" s="1857"/>
      <c r="E120" s="1865"/>
      <c r="F120" s="1857"/>
      <c r="G120" s="1865"/>
      <c r="H120" s="1857"/>
      <c r="I120" s="1865"/>
      <c r="J120" s="1857"/>
      <c r="K120" s="1491"/>
      <c r="L120" s="711"/>
    </row>
    <row r="121" spans="1:12">
      <c r="A121" s="209">
        <v>2001.04</v>
      </c>
      <c r="B121" s="2062">
        <v>10.377743120499458</v>
      </c>
      <c r="C121" s="2051"/>
      <c r="D121" s="1857"/>
      <c r="E121" s="1865"/>
      <c r="F121" s="1857"/>
      <c r="G121" s="1865"/>
      <c r="H121" s="1857"/>
      <c r="I121" s="1865"/>
      <c r="J121" s="1857"/>
      <c r="K121" s="1491"/>
      <c r="L121" s="711"/>
    </row>
    <row r="122" spans="1:12">
      <c r="A122" s="209">
        <v>2001.05</v>
      </c>
      <c r="B122" s="2062">
        <v>10.343274999253543</v>
      </c>
      <c r="C122" s="2051"/>
      <c r="D122" s="1857"/>
      <c r="E122" s="1865"/>
      <c r="F122" s="1857"/>
      <c r="G122" s="1865"/>
      <c r="H122" s="1857"/>
      <c r="I122" s="1865"/>
      <c r="J122" s="1857"/>
      <c r="K122" s="1491"/>
      <c r="L122" s="711"/>
    </row>
    <row r="123" spans="1:12">
      <c r="A123" s="209">
        <v>2001.06</v>
      </c>
      <c r="B123" s="2062">
        <v>10.234360691938173</v>
      </c>
      <c r="C123" s="2051"/>
      <c r="D123" s="1857"/>
      <c r="E123" s="1865"/>
      <c r="F123" s="1857"/>
      <c r="G123" s="1865"/>
      <c r="H123" s="1857"/>
      <c r="I123" s="1865"/>
      <c r="J123" s="1857"/>
      <c r="K123" s="1491"/>
      <c r="L123" s="711"/>
    </row>
    <row r="124" spans="1:12">
      <c r="A124" s="209">
        <v>2001.07</v>
      </c>
      <c r="B124" s="2062">
        <v>10.210183497528773</v>
      </c>
      <c r="C124" s="2051"/>
      <c r="D124" s="1857"/>
      <c r="E124" s="1865"/>
      <c r="F124" s="1857"/>
      <c r="G124" s="1865"/>
      <c r="H124" s="1857"/>
      <c r="I124" s="1865"/>
      <c r="J124" s="1857"/>
      <c r="K124" s="1491"/>
      <c r="L124" s="711"/>
    </row>
    <row r="125" spans="1:12">
      <c r="A125" s="209">
        <v>2001.08</v>
      </c>
      <c r="B125" s="2062">
        <v>10.20172629796258</v>
      </c>
      <c r="C125" s="2051"/>
      <c r="D125" s="1857"/>
      <c r="E125" s="1865"/>
      <c r="F125" s="1857"/>
      <c r="G125" s="1865"/>
      <c r="H125" s="1857"/>
      <c r="I125" s="1865"/>
      <c r="J125" s="1857"/>
      <c r="K125" s="1491"/>
      <c r="L125" s="711"/>
    </row>
    <row r="126" spans="1:12">
      <c r="A126" s="209">
        <v>2001.09</v>
      </c>
      <c r="B126" s="2062">
        <v>10.242924504364204</v>
      </c>
      <c r="C126" s="2052"/>
      <c r="D126" s="1858"/>
      <c r="E126" s="1866"/>
      <c r="F126" s="1858"/>
      <c r="G126" s="1866"/>
      <c r="H126" s="1858"/>
      <c r="I126" s="1866"/>
      <c r="J126" s="1858"/>
      <c r="K126" s="1877"/>
      <c r="L126" s="713"/>
    </row>
    <row r="127" spans="1:12">
      <c r="A127" s="209">
        <v>2001.1</v>
      </c>
      <c r="B127" s="2062">
        <v>10.198397224469424</v>
      </c>
      <c r="C127" s="2052"/>
      <c r="D127" s="1858"/>
      <c r="E127" s="1866"/>
      <c r="F127" s="1858"/>
      <c r="G127" s="1866"/>
      <c r="H127" s="1858"/>
      <c r="I127" s="1866"/>
      <c r="J127" s="1858"/>
      <c r="K127" s="1877"/>
      <c r="L127" s="713"/>
    </row>
    <row r="128" spans="1:12">
      <c r="A128" s="209">
        <v>2001.11</v>
      </c>
      <c r="B128" s="2062">
        <v>10.248588781031389</v>
      </c>
      <c r="C128" s="2052"/>
      <c r="D128" s="1858"/>
      <c r="E128" s="1866"/>
      <c r="F128" s="1858"/>
      <c r="G128" s="1866"/>
      <c r="H128" s="1858"/>
      <c r="I128" s="1866"/>
      <c r="J128" s="1858"/>
      <c r="K128" s="1877"/>
      <c r="L128" s="713"/>
    </row>
    <row r="129" spans="1:12">
      <c r="A129" s="209">
        <v>2001.12</v>
      </c>
      <c r="B129" s="2062">
        <v>10.22379364870889</v>
      </c>
      <c r="C129" s="2052"/>
      <c r="D129" s="1858"/>
      <c r="E129" s="1866"/>
      <c r="F129" s="1858"/>
      <c r="G129" s="1866"/>
      <c r="H129" s="1858"/>
      <c r="I129" s="1866"/>
      <c r="J129" s="1858"/>
      <c r="K129" s="1877"/>
      <c r="L129" s="713"/>
    </row>
    <row r="130" spans="1:12">
      <c r="A130" s="209">
        <v>2002.01</v>
      </c>
      <c r="B130" s="2062">
        <v>10.806141486390064</v>
      </c>
      <c r="C130" s="2052"/>
      <c r="D130" s="1858"/>
      <c r="E130" s="1866"/>
      <c r="F130" s="1858"/>
      <c r="G130" s="1866"/>
      <c r="H130" s="1858"/>
      <c r="I130" s="1866"/>
      <c r="J130" s="1858"/>
      <c r="K130" s="1877"/>
      <c r="L130" s="713"/>
    </row>
    <row r="131" spans="1:12">
      <c r="A131" s="209">
        <v>2002.02</v>
      </c>
      <c r="B131" s="2062">
        <v>11.384849288703805</v>
      </c>
      <c r="C131" s="2052"/>
      <c r="D131" s="1858"/>
      <c r="E131" s="1866"/>
      <c r="F131" s="1858"/>
      <c r="G131" s="1866"/>
      <c r="H131" s="1858"/>
      <c r="I131" s="1866"/>
      <c r="J131" s="1858"/>
      <c r="K131" s="1877"/>
      <c r="L131" s="713"/>
    </row>
    <row r="132" spans="1:12">
      <c r="A132" s="209">
        <v>2002.03</v>
      </c>
      <c r="B132" s="2062">
        <v>12.52752998806621</v>
      </c>
      <c r="C132" s="2052"/>
      <c r="D132" s="1858"/>
      <c r="E132" s="1866"/>
      <c r="F132" s="1858"/>
      <c r="G132" s="1866"/>
      <c r="H132" s="1858"/>
      <c r="I132" s="1866"/>
      <c r="J132" s="1858"/>
      <c r="K132" s="1877"/>
      <c r="L132" s="713"/>
    </row>
    <row r="133" spans="1:12">
      <c r="A133" s="209">
        <v>2002.04</v>
      </c>
      <c r="B133" s="2062">
        <v>14.60459469592492</v>
      </c>
      <c r="C133" s="2052"/>
      <c r="D133" s="1858"/>
      <c r="E133" s="1866"/>
      <c r="F133" s="1858"/>
      <c r="G133" s="1866"/>
      <c r="H133" s="1858"/>
      <c r="I133" s="1866"/>
      <c r="J133" s="1858"/>
      <c r="K133" s="1877"/>
      <c r="L133" s="713"/>
    </row>
    <row r="134" spans="1:12">
      <c r="A134" s="209">
        <v>2002.05</v>
      </c>
      <c r="B134" s="2062">
        <v>15.711973924706044</v>
      </c>
      <c r="C134" s="2052"/>
      <c r="D134" s="1858"/>
      <c r="E134" s="1866"/>
      <c r="F134" s="1858"/>
      <c r="G134" s="1866"/>
      <c r="H134" s="1858"/>
      <c r="I134" s="1866"/>
      <c r="J134" s="1858"/>
      <c r="K134" s="1877"/>
      <c r="L134" s="713"/>
    </row>
    <row r="135" spans="1:12">
      <c r="A135" s="209">
        <v>2002.06</v>
      </c>
      <c r="B135" s="2062">
        <v>16.780136502816131</v>
      </c>
      <c r="C135" s="2052"/>
      <c r="D135" s="1858"/>
      <c r="E135" s="1866"/>
      <c r="F135" s="1858"/>
      <c r="G135" s="1866"/>
      <c r="H135" s="1858"/>
      <c r="I135" s="1866"/>
      <c r="J135" s="1858"/>
      <c r="K135" s="1877"/>
      <c r="L135" s="713"/>
    </row>
    <row r="136" spans="1:12">
      <c r="A136" s="209">
        <v>2002.07</v>
      </c>
      <c r="B136" s="2062">
        <v>17.643613394902555</v>
      </c>
      <c r="C136" s="2052"/>
      <c r="D136" s="1858"/>
      <c r="E136" s="1866"/>
      <c r="F136" s="1858"/>
      <c r="G136" s="1866"/>
      <c r="H136" s="1858"/>
      <c r="I136" s="1866"/>
      <c r="J136" s="1858"/>
      <c r="K136" s="1877"/>
      <c r="L136" s="713"/>
    </row>
    <row r="137" spans="1:12">
      <c r="A137" s="209">
        <v>2002.08</v>
      </c>
      <c r="B137" s="2062">
        <v>18.319342434223842</v>
      </c>
      <c r="C137" s="2052"/>
      <c r="D137" s="1858"/>
      <c r="E137" s="1866"/>
      <c r="F137" s="1858"/>
      <c r="G137" s="1866"/>
      <c r="H137" s="1858"/>
      <c r="I137" s="1866"/>
      <c r="J137" s="1858"/>
      <c r="K137" s="1877"/>
      <c r="L137" s="713"/>
    </row>
    <row r="138" spans="1:12">
      <c r="A138" s="209">
        <v>2002.09</v>
      </c>
      <c r="B138" s="2062">
        <v>18.577661167473249</v>
      </c>
      <c r="C138" s="2052"/>
      <c r="D138" s="1858"/>
      <c r="E138" s="1866"/>
      <c r="F138" s="1858"/>
      <c r="G138" s="1866"/>
      <c r="H138" s="1858"/>
      <c r="I138" s="1866"/>
      <c r="J138" s="1858"/>
      <c r="K138" s="1877"/>
      <c r="L138" s="713"/>
    </row>
    <row r="139" spans="1:12">
      <c r="A139" s="209">
        <v>2002.1</v>
      </c>
      <c r="B139" s="2062">
        <v>18.81512152552564</v>
      </c>
      <c r="C139" s="2052"/>
      <c r="D139" s="1858"/>
      <c r="E139" s="1866"/>
      <c r="F139" s="1858"/>
      <c r="G139" s="1866"/>
      <c r="H139" s="1858"/>
      <c r="I139" s="1866"/>
      <c r="J139" s="1858"/>
      <c r="K139" s="1877"/>
      <c r="L139" s="713"/>
    </row>
    <row r="140" spans="1:12">
      <c r="A140" s="209">
        <v>2002.11</v>
      </c>
      <c r="B140" s="2062">
        <v>18.78764085658257</v>
      </c>
      <c r="C140" s="2052"/>
      <c r="D140" s="1858"/>
      <c r="E140" s="1866"/>
      <c r="F140" s="1858"/>
      <c r="G140" s="1866"/>
      <c r="H140" s="1858"/>
      <c r="I140" s="1866"/>
      <c r="J140" s="1858"/>
      <c r="K140" s="1877"/>
      <c r="L140" s="713"/>
    </row>
    <row r="141" spans="1:12">
      <c r="A141" s="209">
        <v>2002.12</v>
      </c>
      <c r="B141" s="2062">
        <v>18.898856162877212</v>
      </c>
      <c r="C141" s="2052"/>
      <c r="D141" s="1858"/>
      <c r="E141" s="1866"/>
      <c r="F141" s="1858"/>
      <c r="G141" s="1866"/>
      <c r="H141" s="1858"/>
      <c r="I141" s="1866"/>
      <c r="J141" s="1858"/>
      <c r="K141" s="1877"/>
      <c r="L141" s="713"/>
    </row>
    <row r="142" spans="1:12">
      <c r="A142" s="209">
        <v>2003.01</v>
      </c>
      <c r="B142" s="2062">
        <v>19.397058395074893</v>
      </c>
      <c r="C142" s="2052"/>
      <c r="D142" s="1858"/>
      <c r="E142" s="1866"/>
      <c r="F142" s="1858"/>
      <c r="G142" s="1866"/>
      <c r="H142" s="1858"/>
      <c r="I142" s="1866"/>
      <c r="J142" s="1858"/>
      <c r="K142" s="1877"/>
      <c r="L142" s="713"/>
    </row>
    <row r="143" spans="1:12">
      <c r="A143" s="209">
        <v>2003.02</v>
      </c>
      <c r="B143" s="2062">
        <v>19.719181510814295</v>
      </c>
      <c r="C143" s="2052"/>
      <c r="D143" s="1858"/>
      <c r="E143" s="1866"/>
      <c r="F143" s="1858"/>
      <c r="G143" s="1866"/>
      <c r="H143" s="1858"/>
      <c r="I143" s="1866"/>
      <c r="J143" s="1858"/>
      <c r="K143" s="1877"/>
      <c r="L143" s="713"/>
    </row>
    <row r="144" spans="1:12">
      <c r="A144" s="209">
        <v>2003.03</v>
      </c>
      <c r="B144" s="2062">
        <v>19.890623544215448</v>
      </c>
      <c r="C144" s="2052"/>
      <c r="D144" s="1858"/>
      <c r="E144" s="1866"/>
      <c r="F144" s="1858"/>
      <c r="G144" s="1866"/>
      <c r="H144" s="1858"/>
      <c r="I144" s="1866"/>
      <c r="J144" s="1858"/>
      <c r="K144" s="1877"/>
      <c r="L144" s="713"/>
    </row>
    <row r="145" spans="1:12">
      <c r="A145" s="209">
        <v>2003.04</v>
      </c>
      <c r="B145" s="2062">
        <v>19.696456540245084</v>
      </c>
      <c r="C145" s="2052"/>
      <c r="D145" s="1858"/>
      <c r="E145" s="1866"/>
      <c r="F145" s="1858"/>
      <c r="G145" s="1866"/>
      <c r="H145" s="1858"/>
      <c r="I145" s="1866"/>
      <c r="J145" s="1858"/>
      <c r="K145" s="1877"/>
      <c r="L145" s="713"/>
    </row>
    <row r="146" spans="1:12">
      <c r="A146" s="209">
        <v>2003.05</v>
      </c>
      <c r="B146" s="2062">
        <v>19.615957830262218</v>
      </c>
      <c r="C146" s="2052"/>
      <c r="D146" s="1858"/>
      <c r="E146" s="1866"/>
      <c r="F146" s="1858"/>
      <c r="G146" s="1866"/>
      <c r="H146" s="1858"/>
      <c r="I146" s="1866"/>
      <c r="J146" s="1858"/>
      <c r="K146" s="1877"/>
      <c r="L146" s="713"/>
    </row>
    <row r="147" spans="1:12">
      <c r="A147" s="209">
        <v>2003.06</v>
      </c>
      <c r="B147" s="2062">
        <v>19.450655770860099</v>
      </c>
      <c r="C147" s="2052"/>
      <c r="D147" s="1858"/>
      <c r="E147" s="1866"/>
      <c r="F147" s="1858"/>
      <c r="G147" s="1866"/>
      <c r="H147" s="1858"/>
      <c r="I147" s="1866"/>
      <c r="J147" s="1858"/>
      <c r="K147" s="1877"/>
      <c r="L147" s="713"/>
    </row>
    <row r="148" spans="1:12">
      <c r="A148" s="209">
        <v>2003.07</v>
      </c>
      <c r="B148" s="2062">
        <v>19.252432020473293</v>
      </c>
      <c r="C148" s="2052"/>
      <c r="D148" s="1858"/>
      <c r="E148" s="1866"/>
      <c r="F148" s="1858"/>
      <c r="G148" s="1866"/>
      <c r="H148" s="1858"/>
      <c r="I148" s="1866"/>
      <c r="J148" s="1858"/>
      <c r="K148" s="1877"/>
      <c r="L148" s="713"/>
    </row>
    <row r="149" spans="1:12">
      <c r="A149" s="209">
        <v>2003.08</v>
      </c>
      <c r="B149" s="2062">
        <v>19.098570482827249</v>
      </c>
      <c r="C149" s="2052"/>
      <c r="D149" s="1858"/>
      <c r="E149" s="1866"/>
      <c r="F149" s="1858"/>
      <c r="G149" s="1866"/>
      <c r="H149" s="1858"/>
      <c r="I149" s="1866"/>
      <c r="J149" s="1858"/>
      <c r="K149" s="1877"/>
      <c r="L149" s="713"/>
    </row>
    <row r="150" spans="1:12">
      <c r="A150" s="209">
        <v>2003.09</v>
      </c>
      <c r="B150" s="2062">
        <v>19.020012628413841</v>
      </c>
      <c r="C150" s="2052"/>
      <c r="D150" s="1858"/>
      <c r="E150" s="1866"/>
      <c r="F150" s="1858"/>
      <c r="G150" s="1866"/>
      <c r="H150" s="1858"/>
      <c r="I150" s="1866"/>
      <c r="J150" s="1858"/>
      <c r="K150" s="1877"/>
      <c r="L150" s="713"/>
    </row>
    <row r="151" spans="1:12">
      <c r="A151" s="209">
        <v>2003.1</v>
      </c>
      <c r="B151" s="2062">
        <v>19.086612522098349</v>
      </c>
      <c r="C151" s="2052"/>
      <c r="D151" s="1858"/>
      <c r="E151" s="1866"/>
      <c r="F151" s="1858"/>
      <c r="G151" s="1866"/>
      <c r="H151" s="1858"/>
      <c r="I151" s="1866"/>
      <c r="J151" s="1858"/>
      <c r="K151" s="1877"/>
      <c r="L151" s="713"/>
    </row>
    <row r="152" spans="1:12">
      <c r="A152" s="209">
        <v>2003.11</v>
      </c>
      <c r="B152" s="2062">
        <v>19.225894699916218</v>
      </c>
      <c r="C152" s="2052"/>
      <c r="D152" s="1858"/>
      <c r="E152" s="1866"/>
      <c r="F152" s="1858"/>
      <c r="G152" s="1866"/>
      <c r="H152" s="1858"/>
      <c r="I152" s="1866"/>
      <c r="J152" s="1858"/>
      <c r="K152" s="1877"/>
      <c r="L152" s="713"/>
    </row>
    <row r="153" spans="1:12">
      <c r="A153" s="209">
        <v>2003.12</v>
      </c>
      <c r="B153" s="2062">
        <v>19.471699771918196</v>
      </c>
      <c r="C153" s="2052"/>
      <c r="D153" s="1858"/>
      <c r="E153" s="1866"/>
      <c r="F153" s="1858"/>
      <c r="G153" s="1866"/>
      <c r="H153" s="1858"/>
      <c r="I153" s="1866"/>
      <c r="J153" s="1858"/>
      <c r="K153" s="1877"/>
      <c r="L153" s="713"/>
    </row>
    <row r="154" spans="1:12">
      <c r="A154" s="209">
        <v>2004.01</v>
      </c>
      <c r="B154" s="2062">
        <v>19.492646058850863</v>
      </c>
      <c r="C154" s="2052"/>
      <c r="D154" s="1858"/>
      <c r="E154" s="1866"/>
      <c r="F154" s="1858"/>
      <c r="G154" s="1866"/>
      <c r="H154" s="1858"/>
      <c r="I154" s="1866"/>
      <c r="J154" s="1858"/>
      <c r="K154" s="1877"/>
      <c r="L154" s="713"/>
    </row>
    <row r="155" spans="1:12">
      <c r="A155" s="209">
        <v>2004.02</v>
      </c>
      <c r="B155" s="2062">
        <v>19.686204026685076</v>
      </c>
      <c r="C155" s="2052"/>
      <c r="D155" s="1858"/>
      <c r="E155" s="1866"/>
      <c r="F155" s="1858"/>
      <c r="G155" s="1866"/>
      <c r="H155" s="1858"/>
      <c r="I155" s="1866"/>
      <c r="J155" s="1858"/>
      <c r="K155" s="1877"/>
      <c r="L155" s="713"/>
    </row>
    <row r="156" spans="1:12">
      <c r="A156" s="209">
        <v>2004.03</v>
      </c>
      <c r="B156" s="2062">
        <v>19.856469407130298</v>
      </c>
      <c r="C156" s="2052"/>
      <c r="D156" s="1858"/>
      <c r="E156" s="1866"/>
      <c r="F156" s="1858"/>
      <c r="G156" s="1866"/>
      <c r="H156" s="1858"/>
      <c r="I156" s="1866"/>
      <c r="J156" s="1858"/>
      <c r="K156" s="1877"/>
      <c r="L156" s="713"/>
    </row>
    <row r="157" spans="1:12">
      <c r="A157" s="209">
        <v>2004.04</v>
      </c>
      <c r="B157" s="2062">
        <v>19.929153512275327</v>
      </c>
      <c r="C157" s="2052"/>
      <c r="D157" s="1858"/>
      <c r="E157" s="1866"/>
      <c r="F157" s="1858"/>
      <c r="G157" s="1866"/>
      <c r="H157" s="1858"/>
      <c r="I157" s="1866"/>
      <c r="J157" s="1858"/>
      <c r="K157" s="1877"/>
      <c r="L157" s="713"/>
    </row>
    <row r="158" spans="1:12">
      <c r="A158" s="209">
        <v>2004.05</v>
      </c>
      <c r="B158" s="2062">
        <v>20.02016992419026</v>
      </c>
      <c r="C158" s="2052"/>
      <c r="D158" s="1858"/>
      <c r="E158" s="1866"/>
      <c r="F158" s="1858"/>
      <c r="G158" s="1866"/>
      <c r="H158" s="1858"/>
      <c r="I158" s="1866"/>
      <c r="J158" s="1858"/>
      <c r="K158" s="1877"/>
      <c r="L158" s="713"/>
    </row>
    <row r="159" spans="1:12">
      <c r="A159" s="209">
        <v>2004.06</v>
      </c>
      <c r="B159" s="2062">
        <v>20.14610730226385</v>
      </c>
      <c r="C159" s="2052"/>
      <c r="D159" s="1858"/>
      <c r="E159" s="1866"/>
      <c r="F159" s="1858"/>
      <c r="G159" s="1866"/>
      <c r="H159" s="1858"/>
      <c r="I159" s="1866"/>
      <c r="J159" s="1858"/>
      <c r="K159" s="1877"/>
      <c r="L159" s="713"/>
    </row>
    <row r="160" spans="1:12">
      <c r="A160" s="209">
        <v>2004.07</v>
      </c>
      <c r="B160" s="2062">
        <v>20.245417675280859</v>
      </c>
      <c r="C160" s="2052"/>
      <c r="D160" s="1858"/>
      <c r="E160" s="1866"/>
      <c r="F160" s="1858"/>
      <c r="G160" s="1866"/>
      <c r="H160" s="1858"/>
      <c r="I160" s="1866"/>
      <c r="J160" s="1858"/>
      <c r="K160" s="1877"/>
      <c r="L160" s="713"/>
    </row>
    <row r="161" spans="1:12">
      <c r="A161" s="209">
        <v>2004.08</v>
      </c>
      <c r="B161" s="2062">
        <v>20.565933582209777</v>
      </c>
      <c r="C161" s="2052"/>
      <c r="D161" s="1858"/>
      <c r="E161" s="1866"/>
      <c r="F161" s="1858"/>
      <c r="G161" s="1866"/>
      <c r="H161" s="1858"/>
      <c r="I161" s="1866"/>
      <c r="J161" s="1858"/>
      <c r="K161" s="1877"/>
      <c r="L161" s="713"/>
    </row>
    <row r="162" spans="1:12">
      <c r="A162" s="209">
        <v>2004.09</v>
      </c>
      <c r="B162" s="2062">
        <v>20.669869434893201</v>
      </c>
      <c r="C162" s="2052"/>
      <c r="D162" s="1858"/>
      <c r="E162" s="1866"/>
      <c r="F162" s="1858"/>
      <c r="G162" s="1866"/>
      <c r="H162" s="1858"/>
      <c r="I162" s="1866"/>
      <c r="J162" s="1858"/>
      <c r="K162" s="1877"/>
      <c r="L162" s="713"/>
    </row>
    <row r="163" spans="1:12">
      <c r="A163" s="209">
        <v>2004.1</v>
      </c>
      <c r="B163" s="2062">
        <v>20.556058689557101</v>
      </c>
      <c r="C163" s="2052"/>
      <c r="D163" s="1858"/>
      <c r="E163" s="1866"/>
      <c r="F163" s="1858"/>
      <c r="G163" s="1866"/>
      <c r="H163" s="1858"/>
      <c r="I163" s="1866"/>
      <c r="J163" s="1858"/>
      <c r="K163" s="1877"/>
      <c r="L163" s="713"/>
    </row>
    <row r="164" spans="1:12">
      <c r="A164" s="209">
        <v>2004.11</v>
      </c>
      <c r="B164" s="2062">
        <v>20.391921665006649</v>
      </c>
      <c r="C164" s="2052"/>
      <c r="D164" s="1858"/>
      <c r="E164" s="1866"/>
      <c r="F164" s="1858"/>
      <c r="G164" s="1866"/>
      <c r="H164" s="1858"/>
      <c r="I164" s="1866"/>
      <c r="J164" s="1858"/>
      <c r="K164" s="1877"/>
      <c r="L164" s="713"/>
    </row>
    <row r="165" spans="1:12">
      <c r="A165" s="209">
        <v>2004.12</v>
      </c>
      <c r="B165" s="2062">
        <v>20.426251425069367</v>
      </c>
      <c r="C165" s="2052"/>
      <c r="D165" s="1858"/>
      <c r="E165" s="1866"/>
      <c r="F165" s="1858"/>
      <c r="G165" s="1866"/>
      <c r="H165" s="1858"/>
      <c r="I165" s="1866"/>
      <c r="J165" s="1858"/>
      <c r="K165" s="1877"/>
      <c r="L165" s="713"/>
    </row>
    <row r="166" spans="1:12">
      <c r="A166" s="209">
        <v>2005.01</v>
      </c>
      <c r="B166" s="2062">
        <v>20.497117584640222</v>
      </c>
      <c r="C166" s="2052"/>
      <c r="D166" s="1858"/>
      <c r="E166" s="1866"/>
      <c r="F166" s="1858"/>
      <c r="G166" s="1866"/>
      <c r="H166" s="1858"/>
      <c r="I166" s="1866"/>
      <c r="J166" s="1858"/>
      <c r="K166" s="1877"/>
      <c r="L166" s="713"/>
    </row>
    <row r="167" spans="1:12">
      <c r="A167" s="209">
        <v>2005.02</v>
      </c>
      <c r="B167" s="2062">
        <v>20.914463134190665</v>
      </c>
      <c r="C167" s="2052"/>
      <c r="D167" s="1858"/>
      <c r="E167" s="1866"/>
      <c r="F167" s="1858"/>
      <c r="G167" s="1866"/>
      <c r="H167" s="1858"/>
      <c r="I167" s="1866"/>
      <c r="J167" s="1858"/>
      <c r="K167" s="1877"/>
      <c r="L167" s="713"/>
    </row>
    <row r="168" spans="1:12">
      <c r="A168" s="209">
        <v>2005.03</v>
      </c>
      <c r="B168" s="2062">
        <v>21.487103597799955</v>
      </c>
      <c r="C168" s="2052"/>
      <c r="D168" s="1858"/>
      <c r="E168" s="1866"/>
      <c r="F168" s="1858"/>
      <c r="G168" s="1866"/>
      <c r="H168" s="1858"/>
      <c r="I168" s="1866"/>
      <c r="J168" s="1858"/>
      <c r="K168" s="1877"/>
      <c r="L168" s="713"/>
    </row>
    <row r="169" spans="1:12">
      <c r="A169" s="209">
        <v>2005.04</v>
      </c>
      <c r="B169" s="2062">
        <v>21.552195897890812</v>
      </c>
      <c r="C169" s="2052"/>
      <c r="D169" s="1858"/>
      <c r="E169" s="1866"/>
      <c r="F169" s="1858"/>
      <c r="G169" s="1866"/>
      <c r="H169" s="1858"/>
      <c r="I169" s="1866"/>
      <c r="J169" s="1858"/>
      <c r="K169" s="1877"/>
      <c r="L169" s="713"/>
    </row>
    <row r="170" spans="1:12">
      <c r="A170" s="209">
        <v>2005.05</v>
      </c>
      <c r="B170" s="2062">
        <v>21.447195572610667</v>
      </c>
      <c r="C170" s="2052"/>
      <c r="D170" s="1858"/>
      <c r="E170" s="1866"/>
      <c r="F170" s="1858"/>
      <c r="G170" s="1866"/>
      <c r="H170" s="1858"/>
      <c r="I170" s="1866"/>
      <c r="J170" s="1858"/>
      <c r="K170" s="1877"/>
      <c r="L170" s="713"/>
    </row>
    <row r="171" spans="1:12">
      <c r="A171" s="209">
        <v>2005.06</v>
      </c>
      <c r="B171" s="2062">
        <v>21.560438426808055</v>
      </c>
      <c r="C171" s="2052"/>
      <c r="D171" s="1858"/>
      <c r="E171" s="1866"/>
      <c r="F171" s="1858"/>
      <c r="G171" s="1866"/>
      <c r="H171" s="1858"/>
      <c r="I171" s="1866"/>
      <c r="J171" s="1858"/>
      <c r="K171" s="1877"/>
      <c r="L171" s="713"/>
    </row>
    <row r="172" spans="1:12">
      <c r="A172" s="209">
        <v>2005.07</v>
      </c>
      <c r="B172" s="2062">
        <v>21.856117073290431</v>
      </c>
      <c r="C172" s="2052"/>
      <c r="D172" s="1858"/>
      <c r="E172" s="1866"/>
      <c r="F172" s="1858"/>
      <c r="G172" s="1866"/>
      <c r="H172" s="1858"/>
      <c r="I172" s="1866"/>
      <c r="J172" s="1858"/>
      <c r="K172" s="1877"/>
      <c r="L172" s="713"/>
    </row>
    <row r="173" spans="1:12">
      <c r="A173" s="209">
        <v>2005.08</v>
      </c>
      <c r="B173" s="2062">
        <v>22.138620647499852</v>
      </c>
      <c r="C173" s="2052"/>
      <c r="D173" s="1858"/>
      <c r="E173" s="1866"/>
      <c r="F173" s="1858"/>
      <c r="G173" s="1866"/>
      <c r="H173" s="1858"/>
      <c r="I173" s="1866"/>
      <c r="J173" s="1858"/>
      <c r="K173" s="1877"/>
      <c r="L173" s="713"/>
    </row>
    <row r="174" spans="1:12">
      <c r="A174" s="209">
        <v>2005.09</v>
      </c>
      <c r="B174" s="2062">
        <v>22.360793097572273</v>
      </c>
      <c r="C174" s="2052"/>
      <c r="D174" s="1858"/>
      <c r="E174" s="1866"/>
      <c r="F174" s="1858"/>
      <c r="G174" s="1866"/>
      <c r="H174" s="1858"/>
      <c r="I174" s="1866"/>
      <c r="J174" s="1858"/>
      <c r="K174" s="1877"/>
      <c r="L174" s="713"/>
    </row>
    <row r="175" spans="1:12">
      <c r="A175" s="209">
        <v>2005.1</v>
      </c>
      <c r="B175" s="2062">
        <v>22.448949856335187</v>
      </c>
      <c r="C175" s="2052"/>
      <c r="D175" s="1858"/>
      <c r="E175" s="1866"/>
      <c r="F175" s="1858"/>
      <c r="G175" s="1866"/>
      <c r="H175" s="1858"/>
      <c r="I175" s="1866"/>
      <c r="J175" s="1858"/>
      <c r="K175" s="1877"/>
      <c r="L175" s="713"/>
    </row>
    <row r="176" spans="1:12">
      <c r="A176" s="209">
        <v>2005.11</v>
      </c>
      <c r="B176" s="2062">
        <v>22.71038650477341</v>
      </c>
      <c r="C176" s="2052"/>
      <c r="D176" s="1858"/>
      <c r="E176" s="1866"/>
      <c r="F176" s="1858"/>
      <c r="G176" s="1866"/>
      <c r="H176" s="1858"/>
      <c r="I176" s="1866"/>
      <c r="J176" s="1858"/>
      <c r="K176" s="1877"/>
      <c r="L176" s="713"/>
    </row>
    <row r="177" spans="1:12">
      <c r="A177" s="209">
        <v>2005.12</v>
      </c>
      <c r="B177" s="2062">
        <v>22.88147372323666</v>
      </c>
      <c r="C177" s="2052"/>
      <c r="D177" s="1858"/>
      <c r="E177" s="1866"/>
      <c r="F177" s="1858"/>
      <c r="G177" s="1866"/>
      <c r="H177" s="1858"/>
      <c r="I177" s="1866"/>
      <c r="J177" s="1858"/>
      <c r="K177" s="1877"/>
      <c r="L177" s="713"/>
    </row>
    <row r="178" spans="1:12">
      <c r="A178" s="209">
        <v>2006.01</v>
      </c>
      <c r="B178" s="2062">
        <v>23.417803318194487</v>
      </c>
      <c r="C178" s="2052"/>
      <c r="D178" s="1858"/>
      <c r="E178" s="1866"/>
      <c r="F178" s="1858"/>
      <c r="G178" s="1866"/>
      <c r="H178" s="1858"/>
      <c r="I178" s="1866"/>
      <c r="J178" s="1858"/>
      <c r="K178" s="1877"/>
      <c r="L178" s="713"/>
    </row>
    <row r="179" spans="1:12">
      <c r="A179" s="209">
        <v>2006.02</v>
      </c>
      <c r="B179" s="2062">
        <v>23.452405227546606</v>
      </c>
      <c r="C179" s="2052"/>
      <c r="D179" s="1858"/>
      <c r="E179" s="1866"/>
      <c r="F179" s="1858"/>
      <c r="G179" s="1866"/>
      <c r="H179" s="1858"/>
      <c r="I179" s="1866"/>
      <c r="J179" s="1858"/>
      <c r="K179" s="1877"/>
      <c r="L179" s="713"/>
    </row>
    <row r="180" spans="1:12">
      <c r="A180" s="209">
        <v>2006.03</v>
      </c>
      <c r="B180" s="2062">
        <v>23.654249698767295</v>
      </c>
      <c r="C180" s="2052"/>
      <c r="D180" s="1858"/>
      <c r="E180" s="1866"/>
      <c r="F180" s="1858"/>
      <c r="G180" s="1866"/>
      <c r="H180" s="1858"/>
      <c r="I180" s="1866"/>
      <c r="J180" s="1858"/>
      <c r="K180" s="1877"/>
      <c r="L180" s="713"/>
    </row>
    <row r="181" spans="1:12">
      <c r="A181" s="209">
        <v>2006.04</v>
      </c>
      <c r="B181" s="2062">
        <v>23.904152377421479</v>
      </c>
      <c r="C181" s="2052"/>
      <c r="D181" s="1858"/>
      <c r="E181" s="1866"/>
      <c r="F181" s="1858"/>
      <c r="G181" s="1866"/>
      <c r="H181" s="1858"/>
      <c r="I181" s="1866"/>
      <c r="J181" s="1858"/>
      <c r="K181" s="1877"/>
      <c r="L181" s="713"/>
    </row>
    <row r="182" spans="1:12">
      <c r="A182" s="209">
        <v>2006.05</v>
      </c>
      <c r="B182" s="2062">
        <v>24.002191120585813</v>
      </c>
      <c r="C182" s="2052"/>
      <c r="D182" s="1858"/>
      <c r="E182" s="1866"/>
      <c r="F182" s="1858"/>
      <c r="G182" s="1866"/>
      <c r="H182" s="1858"/>
      <c r="I182" s="1866"/>
      <c r="J182" s="1858"/>
      <c r="K182" s="1877"/>
      <c r="L182" s="713"/>
    </row>
    <row r="183" spans="1:12">
      <c r="A183" s="209">
        <v>2006.06</v>
      </c>
      <c r="B183" s="2062">
        <v>24.050249328019309</v>
      </c>
      <c r="C183" s="2052"/>
      <c r="D183" s="1858"/>
      <c r="E183" s="1866"/>
      <c r="F183" s="1858"/>
      <c r="G183" s="1866"/>
      <c r="H183" s="1858"/>
      <c r="I183" s="1866"/>
      <c r="J183" s="1858"/>
      <c r="K183" s="1877"/>
      <c r="L183" s="713"/>
    </row>
    <row r="184" spans="1:12">
      <c r="A184" s="209">
        <v>2006.07</v>
      </c>
      <c r="B184" s="2062">
        <v>24.125220131615563</v>
      </c>
      <c r="C184" s="2052"/>
      <c r="D184" s="1858"/>
      <c r="E184" s="1866"/>
      <c r="F184" s="1858"/>
      <c r="G184" s="1866"/>
      <c r="H184" s="1858"/>
      <c r="I184" s="1866"/>
      <c r="J184" s="1858"/>
      <c r="K184" s="1877"/>
      <c r="L184" s="713"/>
    </row>
    <row r="185" spans="1:12">
      <c r="A185" s="209">
        <v>2006.08</v>
      </c>
      <c r="B185" s="2062">
        <v>24.265550097321377</v>
      </c>
      <c r="C185" s="2052"/>
      <c r="D185" s="1858"/>
      <c r="E185" s="1866"/>
      <c r="F185" s="1858"/>
      <c r="G185" s="1866"/>
      <c r="H185" s="1858"/>
      <c r="I185" s="1866"/>
      <c r="J185" s="1858"/>
      <c r="K185" s="1877"/>
      <c r="L185" s="713"/>
    </row>
    <row r="186" spans="1:12">
      <c r="A186" s="209">
        <v>2006.09</v>
      </c>
      <c r="B186" s="2062">
        <v>24.434714987487286</v>
      </c>
      <c r="C186" s="2052"/>
      <c r="D186" s="1858"/>
      <c r="E186" s="1866"/>
      <c r="F186" s="1858"/>
      <c r="G186" s="1866"/>
      <c r="H186" s="1858"/>
      <c r="I186" s="1866"/>
      <c r="J186" s="1858"/>
      <c r="K186" s="1877"/>
      <c r="L186" s="713"/>
    </row>
    <row r="187" spans="1:12">
      <c r="A187" s="209">
        <v>2006.1</v>
      </c>
      <c r="B187" s="2062">
        <v>24.790345722495164</v>
      </c>
      <c r="C187" s="2052"/>
      <c r="D187" s="1858"/>
      <c r="E187" s="1866"/>
      <c r="F187" s="1858"/>
      <c r="G187" s="1866"/>
      <c r="H187" s="1858"/>
      <c r="I187" s="1866"/>
      <c r="J187" s="1858"/>
      <c r="K187" s="1877"/>
      <c r="L187" s="713"/>
    </row>
    <row r="188" spans="1:12">
      <c r="A188" s="209">
        <v>2006.11</v>
      </c>
      <c r="B188" s="2062">
        <v>25.042170729446688</v>
      </c>
      <c r="C188" s="2052"/>
      <c r="D188" s="1858"/>
      <c r="E188" s="1866"/>
      <c r="F188" s="1858"/>
      <c r="G188" s="1866"/>
      <c r="H188" s="1858"/>
      <c r="I188" s="1866"/>
      <c r="J188" s="1858"/>
      <c r="K188" s="1877"/>
      <c r="L188" s="713"/>
    </row>
    <row r="189" spans="1:12">
      <c r="A189" s="209">
        <v>2006.12</v>
      </c>
      <c r="B189" s="2062">
        <v>25.342053943831708</v>
      </c>
      <c r="C189" s="2052"/>
      <c r="D189" s="1858"/>
      <c r="E189" s="1866"/>
      <c r="F189" s="1858"/>
      <c r="G189" s="1866"/>
      <c r="H189" s="1858"/>
      <c r="I189" s="1866"/>
      <c r="J189" s="1858"/>
      <c r="K189" s="1877"/>
      <c r="L189" s="713"/>
    </row>
    <row r="190" spans="1:12">
      <c r="A190" s="209">
        <v>2007.01</v>
      </c>
      <c r="B190" s="2062">
        <v>25.665005097784807</v>
      </c>
      <c r="C190" s="2052"/>
      <c r="D190" s="1858"/>
      <c r="E190" s="1866"/>
      <c r="F190" s="1858"/>
      <c r="G190" s="1866"/>
      <c r="H190" s="1858"/>
      <c r="I190" s="1866"/>
      <c r="J190" s="1858"/>
      <c r="K190" s="1877"/>
      <c r="L190" s="713"/>
    </row>
    <row r="191" spans="1:12">
      <c r="A191" s="209">
        <v>2007.02</v>
      </c>
      <c r="B191" s="2062">
        <v>25.884150523681555</v>
      </c>
      <c r="C191" s="2052"/>
      <c r="D191" s="1858"/>
      <c r="E191" s="1866"/>
      <c r="F191" s="1858"/>
      <c r="G191" s="1866"/>
      <c r="H191" s="1858"/>
      <c r="I191" s="1866"/>
      <c r="J191" s="1858"/>
      <c r="K191" s="1877"/>
      <c r="L191" s="713"/>
    </row>
    <row r="192" spans="1:12">
      <c r="A192" s="209">
        <v>2007.03</v>
      </c>
      <c r="B192" s="2062">
        <v>26.24170358698677</v>
      </c>
      <c r="C192" s="2052"/>
      <c r="D192" s="1858"/>
      <c r="E192" s="1866"/>
      <c r="F192" s="1858"/>
      <c r="G192" s="1866"/>
      <c r="H192" s="1858"/>
      <c r="I192" s="1866"/>
      <c r="J192" s="1858"/>
      <c r="K192" s="1877"/>
      <c r="L192" s="713"/>
    </row>
    <row r="193" spans="1:12">
      <c r="A193" s="209">
        <v>2007.04</v>
      </c>
      <c r="B193" s="2062">
        <v>26.699217721753659</v>
      </c>
      <c r="C193" s="2052"/>
      <c r="D193" s="1858"/>
      <c r="E193" s="1866"/>
      <c r="F193" s="1858"/>
      <c r="G193" s="1866"/>
      <c r="H193" s="1858"/>
      <c r="I193" s="1866"/>
      <c r="J193" s="1858"/>
      <c r="K193" s="1877"/>
      <c r="L193" s="713"/>
    </row>
    <row r="194" spans="1:12">
      <c r="A194" s="209">
        <v>2007.05</v>
      </c>
      <c r="B194" s="2062">
        <v>26.893372879784991</v>
      </c>
      <c r="C194" s="2052"/>
      <c r="D194" s="1858"/>
      <c r="E194" s="1866"/>
      <c r="F194" s="1858"/>
      <c r="G194" s="1866"/>
      <c r="H194" s="1858"/>
      <c r="I194" s="1866"/>
      <c r="J194" s="1858"/>
      <c r="K194" s="1877"/>
      <c r="L194" s="713"/>
    </row>
    <row r="195" spans="1:12">
      <c r="A195" s="209">
        <v>2007.06</v>
      </c>
      <c r="B195" s="2062">
        <v>27.120207618871099</v>
      </c>
      <c r="C195" s="2052"/>
      <c r="D195" s="1858"/>
      <c r="E195" s="1866"/>
      <c r="F195" s="1858"/>
      <c r="G195" s="1866"/>
      <c r="H195" s="1858"/>
      <c r="I195" s="1866"/>
      <c r="J195" s="1858"/>
      <c r="K195" s="1877"/>
      <c r="L195" s="713"/>
    </row>
    <row r="196" spans="1:12">
      <c r="A196" s="209">
        <v>2007.07</v>
      </c>
      <c r="B196" s="2062">
        <v>27.379721939011983</v>
      </c>
      <c r="C196" s="2052"/>
      <c r="D196" s="1858"/>
      <c r="E196" s="1866"/>
      <c r="F196" s="1858"/>
      <c r="G196" s="1866"/>
      <c r="H196" s="1858"/>
      <c r="I196" s="1866"/>
      <c r="J196" s="1858"/>
      <c r="K196" s="1877"/>
      <c r="L196" s="713"/>
    </row>
    <row r="197" spans="1:12">
      <c r="A197" s="209">
        <v>2007.08</v>
      </c>
      <c r="B197" s="2062">
        <v>27.677682825099662</v>
      </c>
      <c r="C197" s="2052"/>
      <c r="D197" s="1858"/>
      <c r="E197" s="1866"/>
      <c r="F197" s="1858"/>
      <c r="G197" s="1866"/>
      <c r="H197" s="1858"/>
      <c r="I197" s="1866"/>
      <c r="J197" s="1858"/>
      <c r="K197" s="1877"/>
      <c r="L197" s="713"/>
    </row>
    <row r="198" spans="1:12">
      <c r="A198" s="209">
        <v>2007.09</v>
      </c>
      <c r="B198" s="2062">
        <v>27.958342756511289</v>
      </c>
      <c r="C198" s="2052"/>
      <c r="D198" s="1858"/>
      <c r="E198" s="1866"/>
      <c r="F198" s="1858"/>
      <c r="G198" s="1866"/>
      <c r="H198" s="1858"/>
      <c r="I198" s="1866"/>
      <c r="J198" s="1858"/>
      <c r="K198" s="1877"/>
      <c r="L198" s="713"/>
    </row>
    <row r="199" spans="1:12">
      <c r="A199" s="209">
        <v>2007.1</v>
      </c>
      <c r="B199" s="2062">
        <v>28.227468718138873</v>
      </c>
      <c r="C199" s="2052"/>
      <c r="D199" s="1858"/>
      <c r="E199" s="1866"/>
      <c r="F199" s="1858"/>
      <c r="G199" s="1866"/>
      <c r="H199" s="1858"/>
      <c r="I199" s="1866"/>
      <c r="J199" s="1858"/>
      <c r="K199" s="1877"/>
      <c r="L199" s="713"/>
    </row>
    <row r="200" spans="1:12">
      <c r="A200" s="209">
        <v>2007.11</v>
      </c>
      <c r="B200" s="2062">
        <v>28.089061080730399</v>
      </c>
      <c r="C200" s="2052"/>
      <c r="D200" s="1858"/>
      <c r="E200" s="1866"/>
      <c r="F200" s="1858"/>
      <c r="G200" s="1866"/>
      <c r="H200" s="1858"/>
      <c r="I200" s="1866"/>
      <c r="J200" s="1858"/>
      <c r="K200" s="1877"/>
      <c r="L200" s="713"/>
    </row>
    <row r="201" spans="1:12">
      <c r="A201" s="209">
        <v>2007.12</v>
      </c>
      <c r="B201" s="2062">
        <v>28.506206321253149</v>
      </c>
      <c r="C201" s="2052"/>
      <c r="D201" s="1858"/>
      <c r="E201" s="1866"/>
      <c r="F201" s="1858"/>
      <c r="G201" s="1866"/>
      <c r="H201" s="1858"/>
      <c r="I201" s="1866"/>
      <c r="J201" s="1858"/>
      <c r="K201" s="1877"/>
      <c r="L201" s="713"/>
    </row>
    <row r="202" spans="1:12">
      <c r="A202" s="209">
        <v>2008.01</v>
      </c>
      <c r="B202" s="2062">
        <v>28.890671980721123</v>
      </c>
      <c r="C202" s="2052"/>
      <c r="D202" s="1858"/>
      <c r="E202" s="1866"/>
      <c r="F202" s="1858"/>
      <c r="G202" s="1866"/>
      <c r="H202" s="1858"/>
      <c r="I202" s="1866"/>
      <c r="J202" s="1858"/>
      <c r="K202" s="1877"/>
      <c r="L202" s="713"/>
    </row>
    <row r="203" spans="1:12">
      <c r="A203" s="209">
        <v>2008.02</v>
      </c>
      <c r="B203" s="2062">
        <v>29.284749281675804</v>
      </c>
      <c r="C203" s="2052"/>
      <c r="D203" s="1858"/>
      <c r="E203" s="1866"/>
      <c r="F203" s="1858"/>
      <c r="G203" s="1866"/>
      <c r="H203" s="1858"/>
      <c r="I203" s="1866"/>
      <c r="J203" s="1858"/>
      <c r="K203" s="1877"/>
      <c r="L203" s="713"/>
    </row>
    <row r="204" spans="1:12">
      <c r="A204" s="209">
        <v>2008.03</v>
      </c>
      <c r="B204" s="2062">
        <v>30.528495690054708</v>
      </c>
      <c r="C204" s="2052"/>
      <c r="D204" s="1858"/>
      <c r="E204" s="1866"/>
      <c r="F204" s="1858"/>
      <c r="G204" s="1866"/>
      <c r="H204" s="1858"/>
      <c r="I204" s="1866"/>
      <c r="J204" s="1858"/>
      <c r="K204" s="1877"/>
      <c r="L204" s="713"/>
    </row>
    <row r="205" spans="1:12">
      <c r="A205" s="209">
        <v>2008.04</v>
      </c>
      <c r="B205" s="2062">
        <v>31.58385392529431</v>
      </c>
      <c r="C205" s="2052"/>
      <c r="D205" s="1858"/>
      <c r="E205" s="1866"/>
      <c r="F205" s="1858"/>
      <c r="G205" s="1866"/>
      <c r="H205" s="1858"/>
      <c r="I205" s="1866"/>
      <c r="J205" s="1858"/>
      <c r="K205" s="1877"/>
      <c r="L205" s="713"/>
    </row>
    <row r="206" spans="1:12">
      <c r="A206" s="209">
        <v>2008.05</v>
      </c>
      <c r="B206" s="2062">
        <v>32.129795161738834</v>
      </c>
      <c r="C206" s="2052"/>
      <c r="D206" s="1858"/>
      <c r="E206" s="1866"/>
      <c r="F206" s="1858"/>
      <c r="G206" s="1866"/>
      <c r="H206" s="1858"/>
      <c r="I206" s="1866"/>
      <c r="J206" s="1858"/>
      <c r="K206" s="1877"/>
      <c r="L206" s="713"/>
    </row>
    <row r="207" spans="1:12">
      <c r="A207" s="209">
        <v>2008.06</v>
      </c>
      <c r="B207" s="2062">
        <v>32.83144499026789</v>
      </c>
      <c r="C207" s="2052"/>
      <c r="D207" s="1858"/>
      <c r="E207" s="1866"/>
      <c r="F207" s="1858"/>
      <c r="G207" s="1866"/>
      <c r="H207" s="1858"/>
      <c r="I207" s="1866"/>
      <c r="J207" s="1858"/>
      <c r="K207" s="1877"/>
      <c r="L207" s="713"/>
    </row>
    <row r="208" spans="1:12">
      <c r="A208" s="209">
        <v>2008.07</v>
      </c>
      <c r="B208" s="2062">
        <v>33.325483362684245</v>
      </c>
      <c r="C208" s="2052"/>
      <c r="D208" s="1858"/>
      <c r="E208" s="1866"/>
      <c r="F208" s="1858"/>
      <c r="G208" s="1866"/>
      <c r="H208" s="1858"/>
      <c r="I208" s="1866"/>
      <c r="J208" s="1858"/>
      <c r="K208" s="1877"/>
      <c r="L208" s="713"/>
    </row>
    <row r="209" spans="1:12">
      <c r="A209" s="209">
        <v>2008.08</v>
      </c>
      <c r="B209" s="2062">
        <v>33.650356844934684</v>
      </c>
      <c r="C209" s="2052"/>
      <c r="D209" s="1858"/>
      <c r="E209" s="1866"/>
      <c r="F209" s="1858"/>
      <c r="G209" s="1866"/>
      <c r="H209" s="1858"/>
      <c r="I209" s="1866"/>
      <c r="J209" s="1858"/>
      <c r="K209" s="1877"/>
      <c r="L209" s="713"/>
    </row>
    <row r="210" spans="1:12">
      <c r="A210" s="209">
        <v>2008.09</v>
      </c>
      <c r="B210" s="2062">
        <v>34.223210677541971</v>
      </c>
      <c r="C210" s="2052"/>
      <c r="D210" s="1858"/>
      <c r="E210" s="1866"/>
      <c r="F210" s="1858"/>
      <c r="G210" s="1866"/>
      <c r="H210" s="1858"/>
      <c r="I210" s="1866"/>
      <c r="J210" s="1858"/>
      <c r="K210" s="1877"/>
      <c r="L210" s="713"/>
    </row>
    <row r="211" spans="1:12">
      <c r="A211" s="209">
        <v>2008.1</v>
      </c>
      <c r="B211" s="2062">
        <v>34.455812401520099</v>
      </c>
      <c r="C211" s="2052"/>
      <c r="D211" s="1858"/>
      <c r="E211" s="1866"/>
      <c r="F211" s="1858"/>
      <c r="G211" s="1866"/>
      <c r="H211" s="1858"/>
      <c r="I211" s="1866"/>
      <c r="J211" s="1858"/>
      <c r="K211" s="1877"/>
      <c r="L211" s="713"/>
    </row>
    <row r="212" spans="1:12">
      <c r="A212" s="209">
        <v>2008.11</v>
      </c>
      <c r="B212" s="2062">
        <v>34.755695615905118</v>
      </c>
      <c r="C212" s="2052"/>
      <c r="D212" s="1858"/>
      <c r="E212" s="1866"/>
      <c r="F212" s="1858"/>
      <c r="G212" s="1866"/>
      <c r="H212" s="1858"/>
      <c r="I212" s="1866"/>
      <c r="J212" s="1858"/>
      <c r="K212" s="1877"/>
      <c r="L212" s="713"/>
    </row>
    <row r="213" spans="1:12">
      <c r="A213" s="209">
        <v>2008.12</v>
      </c>
      <c r="B213" s="2062">
        <v>34.919093521179008</v>
      </c>
      <c r="C213" s="2052"/>
      <c r="D213" s="1858"/>
      <c r="E213" s="1866"/>
      <c r="F213" s="1858"/>
      <c r="G213" s="1866"/>
      <c r="H213" s="1858"/>
      <c r="I213" s="1866"/>
      <c r="J213" s="1858"/>
      <c r="K213" s="1877"/>
      <c r="L213" s="713"/>
    </row>
    <row r="214" spans="1:12">
      <c r="A214" s="209">
        <f t="shared" ref="A214:A277" si="0">A202+1</f>
        <v>2009.01</v>
      </c>
      <c r="B214" s="2062">
        <v>35.193986467698615</v>
      </c>
      <c r="C214" s="2052"/>
      <c r="D214" s="1858"/>
      <c r="E214" s="1866"/>
      <c r="F214" s="1858"/>
      <c r="G214" s="1866"/>
      <c r="H214" s="1858"/>
      <c r="I214" s="1866"/>
      <c r="J214" s="1858"/>
      <c r="K214" s="1877"/>
      <c r="L214" s="713"/>
    </row>
    <row r="215" spans="1:12">
      <c r="A215" s="209">
        <f t="shared" si="0"/>
        <v>2009.02</v>
      </c>
      <c r="B215" s="2062">
        <v>35.313170822133685</v>
      </c>
      <c r="C215" s="2052"/>
      <c r="D215" s="1858"/>
      <c r="E215" s="1866"/>
      <c r="F215" s="1858"/>
      <c r="G215" s="1866"/>
      <c r="H215" s="1858"/>
      <c r="I215" s="1866"/>
      <c r="J215" s="1858"/>
      <c r="K215" s="1877"/>
      <c r="L215" s="713"/>
    </row>
    <row r="216" spans="1:12">
      <c r="A216" s="209">
        <f t="shared" si="0"/>
        <v>2009.03</v>
      </c>
      <c r="B216" s="2062">
        <v>35.891791639632991</v>
      </c>
      <c r="C216" s="2052"/>
      <c r="D216" s="1858"/>
      <c r="E216" s="1866"/>
      <c r="F216" s="1858"/>
      <c r="G216" s="1866"/>
      <c r="H216" s="1858"/>
      <c r="I216" s="1866"/>
      <c r="J216" s="1858"/>
      <c r="K216" s="1877"/>
      <c r="L216" s="713"/>
    </row>
    <row r="217" spans="1:12">
      <c r="A217" s="209">
        <f t="shared" si="0"/>
        <v>2009.04</v>
      </c>
      <c r="B217" s="2062">
        <v>36.48963574010569</v>
      </c>
      <c r="C217" s="2052"/>
      <c r="D217" s="1858"/>
      <c r="E217" s="1866"/>
      <c r="F217" s="1858"/>
      <c r="G217" s="1866"/>
      <c r="H217" s="1858"/>
      <c r="I217" s="1866"/>
      <c r="J217" s="1858"/>
      <c r="K217" s="1877"/>
      <c r="L217" s="713"/>
    </row>
    <row r="218" spans="1:12">
      <c r="A218" s="209">
        <f t="shared" si="0"/>
        <v>2009.05</v>
      </c>
      <c r="B218" s="2062">
        <v>36.691480211326379</v>
      </c>
      <c r="C218" s="2052"/>
      <c r="D218" s="1858"/>
      <c r="E218" s="1866"/>
      <c r="F218" s="1858"/>
      <c r="G218" s="1866"/>
      <c r="H218" s="1858"/>
      <c r="I218" s="1866"/>
      <c r="J218" s="1858"/>
      <c r="K218" s="1877"/>
      <c r="L218" s="713"/>
    </row>
    <row r="219" spans="1:12">
      <c r="A219" s="209">
        <f t="shared" si="0"/>
        <v>2009.06</v>
      </c>
      <c r="B219" s="2062">
        <v>36.829887848734849</v>
      </c>
      <c r="C219" s="2052"/>
      <c r="D219" s="1858"/>
      <c r="E219" s="1866"/>
      <c r="F219" s="1858"/>
      <c r="G219" s="1866"/>
      <c r="H219" s="1858"/>
      <c r="I219" s="1866"/>
      <c r="J219" s="1858"/>
      <c r="K219" s="1877"/>
      <c r="L219" s="713"/>
    </row>
    <row r="220" spans="1:12">
      <c r="A220" s="209">
        <f t="shared" si="0"/>
        <v>2009.07</v>
      </c>
      <c r="B220" s="2062">
        <v>37.106703123551789</v>
      </c>
      <c r="C220" s="2052"/>
      <c r="D220" s="1858"/>
      <c r="E220" s="1866"/>
      <c r="F220" s="1858"/>
      <c r="G220" s="1866"/>
      <c r="H220" s="1858"/>
      <c r="I220" s="1866"/>
      <c r="J220" s="1858"/>
      <c r="K220" s="1877"/>
      <c r="L220" s="713"/>
    </row>
    <row r="221" spans="1:12">
      <c r="A221" s="209">
        <f t="shared" si="0"/>
        <v>2009.08</v>
      </c>
      <c r="B221" s="2062">
        <v>37.654566688293656</v>
      </c>
      <c r="C221" s="2052"/>
      <c r="D221" s="1858"/>
      <c r="E221" s="1866"/>
      <c r="F221" s="1858"/>
      <c r="G221" s="1866"/>
      <c r="H221" s="1858"/>
      <c r="I221" s="1866"/>
      <c r="J221" s="1858"/>
      <c r="K221" s="1877"/>
      <c r="L221" s="713"/>
    </row>
    <row r="222" spans="1:12">
      <c r="A222" s="209">
        <f t="shared" si="0"/>
        <v>2009.09</v>
      </c>
      <c r="B222" s="2062">
        <v>37.962139215868035</v>
      </c>
      <c r="C222" s="2052"/>
      <c r="D222" s="1858"/>
      <c r="E222" s="1866"/>
      <c r="F222" s="1858"/>
      <c r="G222" s="1866"/>
      <c r="H222" s="1858"/>
      <c r="I222" s="1866"/>
      <c r="J222" s="1858"/>
      <c r="K222" s="1877"/>
      <c r="L222" s="713"/>
    </row>
    <row r="223" spans="1:12">
      <c r="A223" s="209">
        <f t="shared" si="0"/>
        <v>2009.1</v>
      </c>
      <c r="B223" s="2062">
        <v>38.502313467420542</v>
      </c>
      <c r="C223" s="2052"/>
      <c r="D223" s="1858"/>
      <c r="E223" s="1866"/>
      <c r="F223" s="1858"/>
      <c r="G223" s="1866"/>
      <c r="H223" s="1858"/>
      <c r="I223" s="1866"/>
      <c r="J223" s="1858"/>
      <c r="K223" s="1877"/>
      <c r="L223" s="713"/>
    </row>
    <row r="224" spans="1:12">
      <c r="A224" s="209">
        <f t="shared" si="0"/>
        <v>2009.11</v>
      </c>
      <c r="B224" s="2062">
        <v>39.02903142089167</v>
      </c>
      <c r="C224" s="2052"/>
      <c r="D224" s="1858"/>
      <c r="E224" s="1866"/>
      <c r="F224" s="1858"/>
      <c r="G224" s="1866"/>
      <c r="H224" s="1858"/>
      <c r="I224" s="1866"/>
      <c r="J224" s="1858"/>
      <c r="K224" s="1877"/>
      <c r="L224" s="713"/>
    </row>
    <row r="225" spans="1:12">
      <c r="A225" s="209">
        <f t="shared" si="0"/>
        <v>2009.12</v>
      </c>
      <c r="B225" s="2062">
        <v>39.903690796181316</v>
      </c>
      <c r="C225" s="2052"/>
      <c r="D225" s="1858"/>
      <c r="E225" s="1866"/>
      <c r="F225" s="1858"/>
      <c r="G225" s="1866"/>
      <c r="H225" s="1858"/>
      <c r="I225" s="1866"/>
      <c r="J225" s="1858"/>
      <c r="K225" s="1877"/>
      <c r="L225" s="713"/>
    </row>
    <row r="226" spans="1:12">
      <c r="A226" s="209">
        <f t="shared" si="0"/>
        <v>2010.01</v>
      </c>
      <c r="B226" s="2062">
        <v>40.880233571229972</v>
      </c>
      <c r="C226" s="2052"/>
      <c r="D226" s="1858"/>
      <c r="E226" s="1866"/>
      <c r="F226" s="1858"/>
      <c r="G226" s="1866"/>
      <c r="H226" s="1858"/>
      <c r="I226" s="1866"/>
      <c r="J226" s="1858"/>
      <c r="K226" s="1877"/>
      <c r="L226" s="713"/>
    </row>
    <row r="227" spans="1:12">
      <c r="A227" s="209">
        <f t="shared" si="0"/>
        <v>2010.02</v>
      </c>
      <c r="B227" s="2062">
        <v>42.346970062100304</v>
      </c>
      <c r="C227" s="2052"/>
      <c r="D227" s="1858"/>
      <c r="E227" s="1866"/>
      <c r="F227" s="1858"/>
      <c r="G227" s="1866"/>
      <c r="H227" s="1858"/>
      <c r="I227" s="1866"/>
      <c r="J227" s="1858"/>
      <c r="K227" s="1877"/>
      <c r="L227" s="713"/>
    </row>
    <row r="228" spans="1:12">
      <c r="A228" s="209">
        <f t="shared" si="0"/>
        <v>2010.03</v>
      </c>
      <c r="B228" s="2062">
        <v>43.306211882472908</v>
      </c>
      <c r="C228" s="2052"/>
      <c r="D228" s="1858"/>
      <c r="E228" s="1866"/>
      <c r="F228" s="1858"/>
      <c r="G228" s="1866"/>
      <c r="H228" s="1858"/>
      <c r="I228" s="1866"/>
      <c r="J228" s="1858"/>
      <c r="K228" s="1877"/>
      <c r="L228" s="713"/>
    </row>
    <row r="229" spans="1:12">
      <c r="A229" s="209">
        <f t="shared" si="0"/>
        <v>2010.04</v>
      </c>
      <c r="B229" s="2062">
        <v>44.223162480304033</v>
      </c>
      <c r="C229" s="2052"/>
      <c r="D229" s="1858"/>
      <c r="E229" s="1866"/>
      <c r="F229" s="1858"/>
      <c r="G229" s="1866"/>
      <c r="H229" s="1858"/>
      <c r="I229" s="1866"/>
      <c r="J229" s="1858"/>
      <c r="K229" s="1877"/>
      <c r="L229" s="713"/>
    </row>
    <row r="230" spans="1:12">
      <c r="A230" s="209">
        <f t="shared" si="0"/>
        <v>2010.05</v>
      </c>
      <c r="B230" s="2062">
        <v>44.92865696542777</v>
      </c>
      <c r="C230" s="2052"/>
      <c r="D230" s="1858"/>
      <c r="E230" s="1866"/>
      <c r="F230" s="1858"/>
      <c r="G230" s="1866"/>
      <c r="H230" s="1858"/>
      <c r="I230" s="1866"/>
      <c r="J230" s="1858"/>
      <c r="K230" s="1877"/>
      <c r="L230" s="713"/>
    </row>
    <row r="231" spans="1:12">
      <c r="A231" s="209">
        <f t="shared" si="0"/>
        <v>2010.06</v>
      </c>
      <c r="B231" s="2062">
        <v>45.376559458707966</v>
      </c>
      <c r="C231" s="2052"/>
      <c r="D231" s="1858"/>
      <c r="E231" s="1866"/>
      <c r="F231" s="1858"/>
      <c r="G231" s="1866"/>
      <c r="H231" s="1858"/>
      <c r="I231" s="1866"/>
      <c r="J231" s="1858"/>
      <c r="K231" s="1877"/>
      <c r="L231" s="713"/>
    </row>
    <row r="232" spans="1:12">
      <c r="A232" s="209">
        <f t="shared" si="0"/>
        <v>2010.07</v>
      </c>
      <c r="B232" s="2062">
        <v>45.926345351747173</v>
      </c>
      <c r="C232" s="2052"/>
      <c r="D232" s="1858"/>
      <c r="E232" s="1866"/>
      <c r="F232" s="1858"/>
      <c r="G232" s="1866"/>
      <c r="H232" s="1858"/>
      <c r="I232" s="1866"/>
      <c r="J232" s="1858"/>
      <c r="K232" s="1877"/>
      <c r="L232" s="713"/>
    </row>
    <row r="233" spans="1:12">
      <c r="A233" s="209">
        <f t="shared" si="0"/>
        <v>2010.08</v>
      </c>
      <c r="B233" s="2062">
        <v>46.47420891648904</v>
      </c>
      <c r="C233" s="2052"/>
      <c r="D233" s="1858"/>
      <c r="E233" s="1866"/>
      <c r="F233" s="1858"/>
      <c r="G233" s="1866"/>
      <c r="H233" s="1858"/>
      <c r="I233" s="1866"/>
      <c r="J233" s="1858"/>
      <c r="K233" s="1877"/>
      <c r="L233" s="713"/>
    </row>
    <row r="234" spans="1:12">
      <c r="A234" s="209">
        <f t="shared" si="0"/>
        <v>2010.09</v>
      </c>
      <c r="B234" s="2062">
        <v>46.895198813606477</v>
      </c>
      <c r="C234" s="2052"/>
      <c r="D234" s="1858"/>
      <c r="E234" s="1866"/>
      <c r="F234" s="1858"/>
      <c r="G234" s="1866"/>
      <c r="H234" s="1858"/>
      <c r="I234" s="1866"/>
      <c r="J234" s="1858"/>
      <c r="K234" s="1877"/>
      <c r="L234" s="713"/>
    </row>
    <row r="235" spans="1:12">
      <c r="A235" s="209">
        <f t="shared" si="0"/>
        <v>2010.1</v>
      </c>
      <c r="B235" s="2062">
        <v>48.246595606636411</v>
      </c>
      <c r="C235" s="2052"/>
      <c r="D235" s="1858"/>
      <c r="E235" s="1866"/>
      <c r="F235" s="1858"/>
      <c r="G235" s="1866"/>
      <c r="H235" s="1858"/>
      <c r="I235" s="1866"/>
      <c r="J235" s="1858"/>
      <c r="K235" s="1877"/>
      <c r="L235" s="713"/>
    </row>
    <row r="236" spans="1:12">
      <c r="A236" s="209">
        <f t="shared" si="0"/>
        <v>2010.11</v>
      </c>
      <c r="B236" s="2062">
        <v>49.251973306145167</v>
      </c>
      <c r="C236" s="2052"/>
      <c r="D236" s="1858"/>
      <c r="E236" s="1866"/>
      <c r="F236" s="1858"/>
      <c r="G236" s="1866"/>
      <c r="H236" s="1858"/>
      <c r="I236" s="1866"/>
      <c r="J236" s="1858"/>
      <c r="K236" s="1877"/>
      <c r="L236" s="713"/>
    </row>
    <row r="237" spans="1:12">
      <c r="A237" s="209">
        <f t="shared" si="0"/>
        <v>2010.12</v>
      </c>
      <c r="B237" s="2062">
        <v>50.12855500973216</v>
      </c>
      <c r="C237" s="2052"/>
      <c r="D237" s="1858"/>
      <c r="E237" s="1866"/>
      <c r="F237" s="1858"/>
      <c r="G237" s="1866"/>
      <c r="H237" s="1858"/>
      <c r="I237" s="1866"/>
      <c r="J237" s="1858"/>
      <c r="K237" s="1877"/>
      <c r="L237" s="713"/>
    </row>
    <row r="238" spans="1:12">
      <c r="A238" s="209">
        <f t="shared" si="0"/>
        <v>2011.01</v>
      </c>
      <c r="B238" s="2062">
        <v>50.655272963203288</v>
      </c>
      <c r="C238" s="2052"/>
      <c r="D238" s="1858"/>
      <c r="E238" s="1866"/>
      <c r="F238" s="1858"/>
      <c r="G238" s="1866"/>
      <c r="H238" s="1858"/>
      <c r="I238" s="1866"/>
      <c r="J238" s="1858"/>
      <c r="K238" s="1877"/>
      <c r="L238" s="713"/>
    </row>
    <row r="239" spans="1:12">
      <c r="A239" s="209">
        <f t="shared" si="0"/>
        <v>2011.02</v>
      </c>
      <c r="B239" s="2062">
        <v>51.333854852164272</v>
      </c>
      <c r="C239" s="2052"/>
      <c r="D239" s="1858"/>
      <c r="E239" s="1866"/>
      <c r="F239" s="1858"/>
      <c r="G239" s="1866"/>
      <c r="H239" s="1858"/>
      <c r="I239" s="1866"/>
      <c r="J239" s="1858"/>
      <c r="K239" s="1877"/>
      <c r="L239" s="713"/>
    </row>
    <row r="240" spans="1:12">
      <c r="A240" s="209">
        <f t="shared" si="0"/>
        <v>2011.03</v>
      </c>
      <c r="B240" s="2062">
        <v>52.714086569654306</v>
      </c>
      <c r="C240" s="2052"/>
      <c r="D240" s="1858"/>
      <c r="E240" s="1866"/>
      <c r="F240" s="1858"/>
      <c r="G240" s="1866"/>
      <c r="H240" s="1858"/>
      <c r="I240" s="1866"/>
      <c r="J240" s="1858"/>
      <c r="K240" s="1877"/>
      <c r="L240" s="713"/>
    </row>
    <row r="241" spans="1:12">
      <c r="A241" s="209">
        <f t="shared" si="0"/>
        <v>2011.04</v>
      </c>
      <c r="B241" s="2062">
        <v>53.857871906571532</v>
      </c>
      <c r="C241" s="2052"/>
      <c r="D241" s="1858"/>
      <c r="E241" s="1866"/>
      <c r="F241" s="1858"/>
      <c r="G241" s="1866"/>
      <c r="H241" s="1858"/>
      <c r="I241" s="1866"/>
      <c r="J241" s="1858"/>
      <c r="K241" s="1877"/>
      <c r="L241" s="713"/>
    </row>
    <row r="242" spans="1:12">
      <c r="A242" s="209">
        <f t="shared" si="0"/>
        <v>2011.05</v>
      </c>
      <c r="B242" s="2062">
        <v>54.47686161831497</v>
      </c>
      <c r="C242" s="2052"/>
      <c r="D242" s="1858"/>
      <c r="E242" s="1866"/>
      <c r="F242" s="1858"/>
      <c r="G242" s="1866"/>
      <c r="H242" s="1858"/>
      <c r="I242" s="1866"/>
      <c r="J242" s="1858"/>
      <c r="K242" s="1877"/>
      <c r="L242" s="713"/>
    </row>
    <row r="243" spans="1:12">
      <c r="A243" s="209">
        <f t="shared" si="0"/>
        <v>2011.06</v>
      </c>
      <c r="B243" s="2062">
        <v>55.141987209194575</v>
      </c>
      <c r="C243" s="2052"/>
      <c r="D243" s="1858"/>
      <c r="E243" s="1866"/>
      <c r="F243" s="1858"/>
      <c r="G243" s="1866"/>
      <c r="H243" s="1858"/>
      <c r="I243" s="1866"/>
      <c r="J243" s="1858"/>
      <c r="K243" s="1877"/>
      <c r="L243" s="713"/>
    </row>
    <row r="244" spans="1:12">
      <c r="A244" s="209">
        <f t="shared" si="0"/>
        <v>2011.07</v>
      </c>
      <c r="B244" s="2062">
        <v>55.991656316618794</v>
      </c>
      <c r="C244" s="2052"/>
      <c r="D244" s="1858"/>
      <c r="E244" s="1866"/>
      <c r="F244" s="1858"/>
      <c r="G244" s="1866"/>
      <c r="H244" s="1858"/>
      <c r="I244" s="1866"/>
      <c r="J244" s="1858"/>
      <c r="K244" s="1877"/>
      <c r="L244" s="713"/>
    </row>
    <row r="245" spans="1:12">
      <c r="A245" s="209">
        <f t="shared" si="0"/>
        <v>2011.08</v>
      </c>
      <c r="B245" s="2062">
        <v>57.004723329316917</v>
      </c>
      <c r="C245" s="2052"/>
      <c r="D245" s="1858"/>
      <c r="E245" s="1866"/>
      <c r="F245" s="1858"/>
      <c r="G245" s="1866"/>
      <c r="H245" s="1858"/>
      <c r="I245" s="1866"/>
      <c r="J245" s="1858"/>
      <c r="K245" s="1877"/>
      <c r="L245" s="713"/>
    </row>
    <row r="246" spans="1:12">
      <c r="A246" s="209">
        <f t="shared" si="0"/>
        <v>2011.09</v>
      </c>
      <c r="B246" s="2062">
        <v>58.067770877745865</v>
      </c>
      <c r="C246" s="2052"/>
      <c r="D246" s="1858"/>
      <c r="E246" s="1866"/>
      <c r="F246" s="1858"/>
      <c r="G246" s="1866"/>
      <c r="H246" s="1858"/>
      <c r="I246" s="1866"/>
      <c r="J246" s="1858"/>
      <c r="K246" s="1877"/>
      <c r="L246" s="713"/>
    </row>
    <row r="247" spans="1:12">
      <c r="A247" s="209">
        <f t="shared" si="0"/>
        <v>2011.1</v>
      </c>
      <c r="B247" s="2062">
        <v>58.477226805079255</v>
      </c>
      <c r="C247" s="2052"/>
      <c r="D247" s="1858"/>
      <c r="E247" s="1866"/>
      <c r="F247" s="1858"/>
      <c r="G247" s="1866"/>
      <c r="H247" s="1858"/>
      <c r="I247" s="1866"/>
      <c r="J247" s="1858"/>
      <c r="K247" s="1877"/>
      <c r="L247" s="713"/>
    </row>
    <row r="248" spans="1:12">
      <c r="A248" s="209">
        <f t="shared" si="0"/>
        <v>2011.11</v>
      </c>
      <c r="B248" s="2062">
        <v>59.53450736861619</v>
      </c>
      <c r="C248" s="2052"/>
      <c r="D248" s="1858"/>
      <c r="E248" s="1866"/>
      <c r="F248" s="1858"/>
      <c r="G248" s="1866"/>
      <c r="H248" s="1858"/>
      <c r="I248" s="1866"/>
      <c r="J248" s="1858"/>
      <c r="K248" s="1877"/>
      <c r="L248" s="713"/>
    </row>
    <row r="249" spans="1:12">
      <c r="A249" s="209">
        <f t="shared" si="0"/>
        <v>2011.12</v>
      </c>
      <c r="B249" s="2062">
        <v>60.68021503383077</v>
      </c>
      <c r="C249" s="2052"/>
      <c r="D249" s="1858"/>
      <c r="E249" s="1866"/>
      <c r="F249" s="1858"/>
      <c r="G249" s="1866"/>
      <c r="H249" s="1858"/>
      <c r="I249" s="1866"/>
      <c r="J249" s="1858"/>
      <c r="K249" s="1877"/>
      <c r="L249" s="713"/>
    </row>
    <row r="250" spans="1:12">
      <c r="A250" s="209">
        <f t="shared" si="0"/>
        <v>2012.01</v>
      </c>
      <c r="B250" s="2062">
        <v>61.364563907683767</v>
      </c>
      <c r="C250" s="2052"/>
      <c r="D250" s="1858"/>
      <c r="E250" s="1866"/>
      <c r="F250" s="1858"/>
      <c r="G250" s="1866"/>
      <c r="H250" s="1858"/>
      <c r="I250" s="1866"/>
      <c r="J250" s="1858"/>
      <c r="K250" s="1877"/>
      <c r="L250" s="713"/>
    </row>
    <row r="251" spans="1:12">
      <c r="A251" s="209">
        <f t="shared" si="0"/>
        <v>2012.02</v>
      </c>
      <c r="B251" s="2062">
        <v>61.910505144128287</v>
      </c>
      <c r="C251" s="2052"/>
      <c r="D251" s="1858"/>
      <c r="E251" s="1866"/>
      <c r="F251" s="1858"/>
      <c r="G251" s="1866"/>
      <c r="H251" s="1858"/>
      <c r="I251" s="1866"/>
      <c r="J251" s="1858"/>
      <c r="K251" s="1877"/>
      <c r="L251" s="713"/>
    </row>
    <row r="252" spans="1:12">
      <c r="A252" s="209">
        <f t="shared" si="0"/>
        <v>2012.03</v>
      </c>
      <c r="B252" s="2062">
        <v>64.082736120122362</v>
      </c>
      <c r="C252" s="2052"/>
      <c r="D252" s="1858"/>
      <c r="E252" s="1866"/>
      <c r="F252" s="1858"/>
      <c r="G252" s="1866"/>
      <c r="H252" s="1858"/>
      <c r="I252" s="1866"/>
      <c r="J252" s="1858"/>
      <c r="K252" s="1877"/>
      <c r="L252" s="713"/>
    </row>
    <row r="253" spans="1:12">
      <c r="A253" s="209">
        <f t="shared" si="0"/>
        <v>2012.04</v>
      </c>
      <c r="B253" s="2062">
        <v>65.974307164704797</v>
      </c>
      <c r="C253" s="2052"/>
      <c r="D253" s="1858"/>
      <c r="E253" s="1866"/>
      <c r="F253" s="1858"/>
      <c r="G253" s="1866"/>
      <c r="H253" s="1858"/>
      <c r="I253" s="1866"/>
      <c r="J253" s="1858"/>
      <c r="K253" s="1877"/>
      <c r="L253" s="713"/>
    </row>
    <row r="254" spans="1:12">
      <c r="A254" s="209">
        <f t="shared" si="0"/>
        <v>2012.05</v>
      </c>
      <c r="B254" s="2062">
        <v>66.549083325609416</v>
      </c>
      <c r="C254" s="2052"/>
      <c r="D254" s="1858"/>
      <c r="E254" s="1866"/>
      <c r="F254" s="1858"/>
      <c r="G254" s="1866"/>
      <c r="H254" s="1858"/>
      <c r="I254" s="1866"/>
      <c r="J254" s="1858"/>
      <c r="K254" s="1877"/>
      <c r="L254" s="713"/>
    </row>
    <row r="255" spans="1:12">
      <c r="A255" s="209">
        <f t="shared" si="0"/>
        <v>2012.06</v>
      </c>
      <c r="B255" s="2062">
        <v>67.168073037352855</v>
      </c>
      <c r="C255" s="2052"/>
      <c r="D255" s="1858"/>
      <c r="E255" s="1866"/>
      <c r="F255" s="1858"/>
      <c r="G255" s="1866"/>
      <c r="H255" s="1858"/>
      <c r="I255" s="1866"/>
      <c r="J255" s="1858"/>
      <c r="K255" s="1877"/>
      <c r="L255" s="713"/>
    </row>
    <row r="256" spans="1:12">
      <c r="A256" s="209">
        <f t="shared" si="0"/>
        <v>2012.07</v>
      </c>
      <c r="B256" s="2062">
        <v>67.719781258689395</v>
      </c>
      <c r="C256" s="2052"/>
      <c r="D256" s="1858"/>
      <c r="E256" s="1866"/>
      <c r="F256" s="1858"/>
      <c r="G256" s="1866"/>
      <c r="H256" s="1858"/>
      <c r="I256" s="1866"/>
      <c r="J256" s="1858"/>
      <c r="K256" s="1877"/>
      <c r="L256" s="713"/>
    </row>
    <row r="257" spans="1:12">
      <c r="A257" s="209">
        <f t="shared" si="0"/>
        <v>2012.08</v>
      </c>
      <c r="B257" s="2062">
        <v>68.419508758921125</v>
      </c>
      <c r="C257" s="2052"/>
      <c r="D257" s="1858"/>
      <c r="E257" s="1866"/>
      <c r="F257" s="1858"/>
      <c r="G257" s="1866"/>
      <c r="H257" s="1858"/>
      <c r="I257" s="1866"/>
      <c r="J257" s="1858"/>
      <c r="K257" s="1877"/>
      <c r="L257" s="713"/>
    </row>
    <row r="258" spans="1:12">
      <c r="A258" s="209">
        <f t="shared" si="0"/>
        <v>2012.09</v>
      </c>
      <c r="B258" s="2062">
        <v>69.336459356752243</v>
      </c>
      <c r="C258" s="2052"/>
      <c r="D258" s="1858"/>
      <c r="E258" s="1866"/>
      <c r="F258" s="1858"/>
      <c r="G258" s="1866"/>
      <c r="H258" s="1858"/>
      <c r="I258" s="1866"/>
      <c r="J258" s="1858"/>
      <c r="K258" s="1877"/>
      <c r="L258" s="713"/>
    </row>
    <row r="259" spans="1:12">
      <c r="A259" s="209">
        <f t="shared" si="0"/>
        <v>2012.1</v>
      </c>
      <c r="B259" s="2062">
        <v>70.05925479655204</v>
      </c>
      <c r="C259" s="2052"/>
      <c r="D259" s="1858"/>
      <c r="E259" s="1866"/>
      <c r="F259" s="1858"/>
      <c r="G259" s="1866"/>
      <c r="H259" s="1858"/>
      <c r="I259" s="1866"/>
      <c r="J259" s="1858"/>
      <c r="K259" s="1877"/>
      <c r="L259" s="713"/>
    </row>
    <row r="260" spans="1:12">
      <c r="A260" s="209">
        <f t="shared" si="0"/>
        <v>2012.11</v>
      </c>
      <c r="B260" s="2062">
        <v>70.807040504217255</v>
      </c>
      <c r="C260" s="2052"/>
      <c r="D260" s="1858"/>
      <c r="E260" s="1866"/>
      <c r="F260" s="1858"/>
      <c r="G260" s="1866"/>
      <c r="H260" s="1858"/>
      <c r="I260" s="1866"/>
      <c r="J260" s="1858"/>
      <c r="K260" s="1877"/>
      <c r="L260" s="713"/>
    </row>
    <row r="261" spans="1:12">
      <c r="A261" s="209">
        <f t="shared" si="0"/>
        <v>2012.12</v>
      </c>
      <c r="B261" s="2062">
        <v>71.449098155528787</v>
      </c>
      <c r="C261" s="2052"/>
      <c r="D261" s="1858"/>
      <c r="E261" s="1866"/>
      <c r="F261" s="1858"/>
      <c r="G261" s="1866"/>
      <c r="H261" s="1858"/>
      <c r="I261" s="1866"/>
      <c r="J261" s="1858"/>
      <c r="K261" s="1877"/>
      <c r="L261" s="713"/>
    </row>
    <row r="262" spans="1:12">
      <c r="A262" s="209">
        <f t="shared" si="0"/>
        <v>2013.01</v>
      </c>
      <c r="B262" s="2062">
        <v>72.296844934655667</v>
      </c>
      <c r="C262" s="2052"/>
      <c r="D262" s="1858"/>
      <c r="E262" s="1866"/>
      <c r="F262" s="1858"/>
      <c r="G262" s="1866"/>
      <c r="H262" s="1858"/>
      <c r="I262" s="1866"/>
      <c r="J262" s="1858"/>
      <c r="K262" s="1877"/>
      <c r="L262" s="713"/>
    </row>
    <row r="263" spans="1:12">
      <c r="A263" s="209">
        <f t="shared" si="0"/>
        <v>2013.02</v>
      </c>
      <c r="B263" s="2062">
        <v>72.913912318101779</v>
      </c>
      <c r="C263" s="2052"/>
      <c r="D263" s="1858"/>
      <c r="E263" s="1866"/>
      <c r="F263" s="1858"/>
      <c r="G263" s="1866"/>
      <c r="H263" s="1858"/>
      <c r="I263" s="1866"/>
      <c r="J263" s="1858"/>
      <c r="K263" s="1877"/>
      <c r="L263" s="713"/>
    </row>
    <row r="264" spans="1:12">
      <c r="A264" s="209">
        <f t="shared" si="0"/>
        <v>2013.03</v>
      </c>
      <c r="B264" s="2062">
        <v>73.778960051904718</v>
      </c>
      <c r="C264" s="2052"/>
      <c r="D264" s="1858"/>
      <c r="E264" s="1866"/>
      <c r="F264" s="1858"/>
      <c r="G264" s="1866"/>
      <c r="H264" s="1858"/>
      <c r="I264" s="1866"/>
      <c r="J264" s="1858"/>
      <c r="K264" s="1877"/>
      <c r="L264" s="713"/>
    </row>
    <row r="265" spans="1:12">
      <c r="A265" s="209">
        <f t="shared" si="0"/>
        <v>2013.04</v>
      </c>
      <c r="B265" s="2062">
        <v>74.569036982111413</v>
      </c>
      <c r="C265" s="2052"/>
      <c r="D265" s="1858"/>
      <c r="E265" s="1866"/>
      <c r="F265" s="1858"/>
      <c r="G265" s="1866"/>
      <c r="H265" s="1858"/>
      <c r="I265" s="1866"/>
      <c r="J265" s="1858"/>
      <c r="K265" s="1877"/>
      <c r="L265" s="713"/>
    </row>
    <row r="266" spans="1:12">
      <c r="A266" s="209">
        <f t="shared" si="0"/>
        <v>2013.05</v>
      </c>
      <c r="B266" s="2062">
        <v>75.143813143016033</v>
      </c>
      <c r="C266" s="2052"/>
      <c r="D266" s="1858"/>
      <c r="E266" s="1866"/>
      <c r="F266" s="1858"/>
      <c r="G266" s="1866"/>
      <c r="H266" s="1858"/>
      <c r="I266" s="1866"/>
      <c r="J266" s="1858"/>
      <c r="K266" s="1877"/>
      <c r="L266" s="713"/>
    </row>
    <row r="267" spans="1:12">
      <c r="A267" s="209">
        <f t="shared" si="0"/>
        <v>2013.06</v>
      </c>
      <c r="B267" s="2062">
        <v>76.072297710631204</v>
      </c>
      <c r="C267" s="2052"/>
      <c r="D267" s="1858"/>
      <c r="E267" s="1866"/>
      <c r="F267" s="1858"/>
      <c r="G267" s="1866"/>
      <c r="H267" s="1858"/>
      <c r="I267" s="1866"/>
      <c r="J267" s="1858"/>
      <c r="K267" s="1877"/>
      <c r="L267" s="713"/>
    </row>
    <row r="268" spans="1:12">
      <c r="A268" s="209">
        <f t="shared" si="0"/>
        <v>2013.07</v>
      </c>
      <c r="B268" s="2062">
        <v>76.941190101028823</v>
      </c>
      <c r="C268" s="2052"/>
      <c r="D268" s="1858"/>
      <c r="E268" s="1866"/>
      <c r="F268" s="1858"/>
      <c r="G268" s="1866"/>
      <c r="H268" s="1858"/>
      <c r="I268" s="1866"/>
      <c r="J268" s="1858"/>
      <c r="K268" s="1877"/>
      <c r="L268" s="713"/>
    </row>
    <row r="269" spans="1:12">
      <c r="A269" s="209">
        <f t="shared" si="0"/>
        <v>2013.08</v>
      </c>
      <c r="B269" s="2062">
        <v>77.936956159050879</v>
      </c>
      <c r="C269" s="2052"/>
      <c r="D269" s="1858"/>
      <c r="E269" s="1866"/>
      <c r="F269" s="1858"/>
      <c r="G269" s="1866"/>
      <c r="H269" s="1858"/>
      <c r="I269" s="1866"/>
      <c r="J269" s="1858"/>
      <c r="K269" s="1877"/>
      <c r="L269" s="713"/>
    </row>
    <row r="270" spans="1:12">
      <c r="A270" s="209">
        <f t="shared" si="0"/>
        <v>2013.09</v>
      </c>
      <c r="B270" s="2062">
        <v>78.882741681342111</v>
      </c>
      <c r="C270" s="2052"/>
      <c r="D270" s="1858"/>
      <c r="E270" s="1866"/>
      <c r="F270" s="1858"/>
      <c r="G270" s="1866"/>
      <c r="H270" s="1858"/>
      <c r="I270" s="1866"/>
      <c r="J270" s="1858"/>
      <c r="K270" s="1877"/>
      <c r="L270" s="713"/>
    </row>
    <row r="271" spans="1:12">
      <c r="A271" s="209">
        <f t="shared" si="0"/>
        <v>2013.1</v>
      </c>
      <c r="B271" s="2062">
        <v>79.980391139123185</v>
      </c>
      <c r="C271" s="2052"/>
      <c r="D271" s="1858"/>
      <c r="E271" s="1866"/>
      <c r="F271" s="1858"/>
      <c r="G271" s="1866"/>
      <c r="H271" s="1858"/>
      <c r="I271" s="1866"/>
      <c r="J271" s="1858"/>
      <c r="K271" s="1877"/>
      <c r="L271" s="713"/>
    </row>
    <row r="272" spans="1:12">
      <c r="A272" s="209">
        <f t="shared" si="0"/>
        <v>2013.11</v>
      </c>
      <c r="B272" s="2062">
        <v>81.487496524237642</v>
      </c>
      <c r="C272" s="2052"/>
      <c r="D272" s="1858"/>
      <c r="E272" s="1866"/>
      <c r="F272" s="1858"/>
      <c r="G272" s="1866"/>
      <c r="H272" s="1858"/>
      <c r="I272" s="1866"/>
      <c r="J272" s="1858"/>
      <c r="K272" s="1877"/>
      <c r="L272" s="713"/>
    </row>
    <row r="273" spans="1:12">
      <c r="A273" s="209">
        <f t="shared" si="0"/>
        <v>2013.12</v>
      </c>
      <c r="B273" s="2063">
        <v>82.96</v>
      </c>
      <c r="C273" s="2052"/>
      <c r="D273" s="1858"/>
      <c r="E273" s="1866"/>
      <c r="F273" s="1858"/>
      <c r="G273" s="1866"/>
      <c r="H273" s="1858"/>
      <c r="I273" s="1866"/>
      <c r="J273" s="1858"/>
      <c r="K273" s="1877"/>
      <c r="L273" s="713"/>
    </row>
    <row r="274" spans="1:12">
      <c r="A274" s="209">
        <f t="shared" si="0"/>
        <v>2014.01</v>
      </c>
      <c r="B274" s="2055">
        <v>85.24</v>
      </c>
      <c r="C274" s="2052"/>
      <c r="D274" s="1858"/>
      <c r="E274" s="1866"/>
      <c r="F274" s="1858"/>
      <c r="G274" s="1866"/>
      <c r="H274" s="1858"/>
      <c r="I274" s="1866"/>
      <c r="J274" s="1858"/>
      <c r="K274" s="1877"/>
      <c r="L274" s="713"/>
    </row>
    <row r="275" spans="1:12">
      <c r="A275" s="209">
        <f t="shared" si="0"/>
        <v>2014.02</v>
      </c>
      <c r="B275" s="2055">
        <v>90.29</v>
      </c>
      <c r="C275" s="2052"/>
      <c r="D275" s="1858"/>
      <c r="E275" s="1866"/>
      <c r="F275" s="1858"/>
      <c r="G275" s="1866"/>
      <c r="H275" s="1858"/>
      <c r="I275" s="1866"/>
      <c r="J275" s="1858"/>
      <c r="K275" s="1877"/>
      <c r="L275" s="713"/>
    </row>
    <row r="276" spans="1:12">
      <c r="A276" s="209">
        <f t="shared" si="0"/>
        <v>2014.03</v>
      </c>
      <c r="B276" s="2055">
        <v>93.38</v>
      </c>
      <c r="C276" s="2052"/>
      <c r="D276" s="1858"/>
      <c r="E276" s="1866"/>
      <c r="F276" s="1858"/>
      <c r="G276" s="1866"/>
      <c r="H276" s="1858"/>
      <c r="I276" s="1866"/>
      <c r="J276" s="1858"/>
      <c r="K276" s="1877"/>
      <c r="L276" s="713"/>
    </row>
    <row r="277" spans="1:12">
      <c r="A277" s="209">
        <f t="shared" si="0"/>
        <v>2014.04</v>
      </c>
      <c r="B277" s="2055">
        <v>95.22</v>
      </c>
      <c r="C277" s="2052"/>
      <c r="D277" s="1858"/>
      <c r="E277" s="1866"/>
      <c r="F277" s="1858"/>
      <c r="G277" s="1866"/>
      <c r="H277" s="1858"/>
      <c r="I277" s="1866"/>
      <c r="J277" s="1858"/>
      <c r="K277" s="1877"/>
      <c r="L277" s="713"/>
    </row>
    <row r="278" spans="1:12">
      <c r="A278" s="209">
        <f t="shared" ref="A278:A341" si="1">A266+1</f>
        <v>2014.05</v>
      </c>
      <c r="B278" s="2055">
        <v>96.98</v>
      </c>
      <c r="C278" s="2052"/>
      <c r="D278" s="1858"/>
      <c r="E278" s="1866"/>
      <c r="F278" s="1858"/>
      <c r="G278" s="1866"/>
      <c r="H278" s="1858"/>
      <c r="I278" s="1866"/>
      <c r="J278" s="1858"/>
      <c r="K278" s="1877"/>
      <c r="L278" s="713"/>
    </row>
    <row r="279" spans="1:12">
      <c r="A279" s="209">
        <f t="shared" si="1"/>
        <v>2014.06</v>
      </c>
      <c r="B279" s="2055">
        <v>99.06</v>
      </c>
      <c r="C279" s="2052"/>
      <c r="D279" s="1858"/>
      <c r="E279" s="1866"/>
      <c r="F279" s="1858"/>
      <c r="G279" s="1866"/>
      <c r="H279" s="1858"/>
      <c r="I279" s="1866"/>
      <c r="J279" s="1858"/>
      <c r="K279" s="1877"/>
      <c r="L279" s="713"/>
    </row>
    <row r="280" spans="1:12">
      <c r="A280" s="209">
        <f t="shared" si="1"/>
        <v>2014.07</v>
      </c>
      <c r="B280" s="2055">
        <v>100.69</v>
      </c>
      <c r="C280" s="2052"/>
      <c r="D280" s="1858"/>
      <c r="E280" s="1866"/>
      <c r="F280" s="1858"/>
      <c r="G280" s="1866"/>
      <c r="H280" s="1858"/>
      <c r="I280" s="1866"/>
      <c r="J280" s="1858"/>
      <c r="K280" s="1877"/>
      <c r="L280" s="713"/>
    </row>
    <row r="281" spans="1:12">
      <c r="A281" s="209">
        <f t="shared" si="1"/>
        <v>2014.08</v>
      </c>
      <c r="B281" s="2055">
        <v>102.79</v>
      </c>
      <c r="C281" s="2052"/>
      <c r="D281" s="1858"/>
      <c r="E281" s="1866"/>
      <c r="F281" s="1858"/>
      <c r="G281" s="1866"/>
      <c r="H281" s="1858"/>
      <c r="I281" s="1866"/>
      <c r="J281" s="1858"/>
      <c r="K281" s="1877"/>
      <c r="L281" s="713"/>
    </row>
    <row r="282" spans="1:12">
      <c r="A282" s="209">
        <f t="shared" si="1"/>
        <v>2014.09</v>
      </c>
      <c r="B282" s="2055">
        <v>105.74</v>
      </c>
      <c r="C282" s="2052"/>
      <c r="D282" s="1858"/>
      <c r="E282" s="1866"/>
      <c r="F282" s="1858"/>
      <c r="G282" s="1866"/>
      <c r="H282" s="1858"/>
      <c r="I282" s="1866"/>
      <c r="J282" s="1858"/>
      <c r="K282" s="1877"/>
      <c r="L282" s="713"/>
    </row>
    <row r="283" spans="1:12">
      <c r="A283" s="209">
        <f t="shared" si="1"/>
        <v>2014.1</v>
      </c>
      <c r="B283" s="2055">
        <v>108.08</v>
      </c>
      <c r="C283" s="2052"/>
      <c r="D283" s="1858"/>
      <c r="E283" s="1866"/>
      <c r="F283" s="1858"/>
      <c r="G283" s="1866"/>
      <c r="H283" s="1858"/>
      <c r="I283" s="1866"/>
      <c r="J283" s="1858"/>
      <c r="K283" s="1877"/>
      <c r="L283" s="713"/>
    </row>
    <row r="284" spans="1:12">
      <c r="A284" s="209">
        <f t="shared" si="1"/>
        <v>2014.11</v>
      </c>
      <c r="B284" s="2055">
        <v>110.39</v>
      </c>
      <c r="C284" s="2052"/>
      <c r="D284" s="1858"/>
      <c r="E284" s="1866"/>
      <c r="F284" s="1858"/>
      <c r="G284" s="1866"/>
      <c r="H284" s="1858"/>
      <c r="I284" s="1866"/>
      <c r="J284" s="1858"/>
      <c r="K284" s="1877"/>
      <c r="L284" s="713"/>
    </row>
    <row r="285" spans="1:12">
      <c r="A285" s="209">
        <f t="shared" si="1"/>
        <v>2014.12</v>
      </c>
      <c r="B285" s="2055">
        <v>112.15</v>
      </c>
      <c r="C285" s="2052"/>
      <c r="D285" s="1858"/>
      <c r="E285" s="1866"/>
      <c r="F285" s="1858"/>
      <c r="G285" s="1866"/>
      <c r="H285" s="1858"/>
      <c r="I285" s="1866"/>
      <c r="J285" s="1858"/>
      <c r="K285" s="1877"/>
      <c r="L285" s="713"/>
    </row>
    <row r="286" spans="1:12">
      <c r="A286" s="209">
        <f t="shared" si="1"/>
        <v>2015.01</v>
      </c>
      <c r="B286" s="2055">
        <v>113.47</v>
      </c>
      <c r="C286" s="2052"/>
      <c r="D286" s="1858"/>
      <c r="E286" s="1866"/>
      <c r="F286" s="1858"/>
      <c r="G286" s="1866"/>
      <c r="H286" s="1858"/>
      <c r="I286" s="1866"/>
      <c r="J286" s="1858"/>
      <c r="K286" s="1877"/>
      <c r="L286" s="713"/>
    </row>
    <row r="287" spans="1:12">
      <c r="A287" s="209">
        <f t="shared" si="1"/>
        <v>2015.02</v>
      </c>
      <c r="B287" s="2055">
        <v>115.42</v>
      </c>
      <c r="C287" s="2052"/>
      <c r="D287" s="1858"/>
      <c r="E287" s="1866"/>
      <c r="F287" s="1858"/>
      <c r="G287" s="1866"/>
      <c r="H287" s="1858"/>
      <c r="I287" s="1866"/>
      <c r="J287" s="1858"/>
      <c r="K287" s="1877"/>
      <c r="L287" s="713"/>
    </row>
    <row r="288" spans="1:12">
      <c r="A288" s="209">
        <f t="shared" si="1"/>
        <v>2015.03</v>
      </c>
      <c r="B288" s="2055">
        <v>117.34</v>
      </c>
      <c r="C288" s="2052"/>
      <c r="D288" s="1858"/>
      <c r="E288" s="1866"/>
      <c r="F288" s="1858"/>
      <c r="G288" s="1866"/>
      <c r="H288" s="1858"/>
      <c r="I288" s="1866"/>
      <c r="J288" s="1858"/>
      <c r="K288" s="1877"/>
      <c r="L288" s="713"/>
    </row>
    <row r="289" spans="1:12">
      <c r="A289" s="209">
        <f t="shared" si="1"/>
        <v>2015.04</v>
      </c>
      <c r="B289" s="2055">
        <v>120.17</v>
      </c>
      <c r="C289" s="2052"/>
      <c r="D289" s="1858"/>
      <c r="E289" s="1866"/>
      <c r="F289" s="1858"/>
      <c r="G289" s="1866"/>
      <c r="H289" s="1858"/>
      <c r="I289" s="1866"/>
      <c r="J289" s="1858"/>
      <c r="K289" s="1877"/>
      <c r="L289" s="713"/>
    </row>
    <row r="290" spans="1:12">
      <c r="A290" s="209">
        <f t="shared" si="1"/>
        <v>2015.05</v>
      </c>
      <c r="B290" s="2055">
        <v>122.29</v>
      </c>
      <c r="C290" s="2052"/>
      <c r="D290" s="1858"/>
      <c r="E290" s="1866"/>
      <c r="F290" s="1858"/>
      <c r="G290" s="1866"/>
      <c r="H290" s="1858"/>
      <c r="I290" s="1866"/>
      <c r="J290" s="1858"/>
      <c r="K290" s="1877"/>
      <c r="L290" s="713"/>
    </row>
    <row r="291" spans="1:12">
      <c r="A291" s="209">
        <f t="shared" si="1"/>
        <v>2015.06</v>
      </c>
      <c r="B291" s="2055">
        <v>123.72</v>
      </c>
      <c r="C291" s="2052"/>
      <c r="D291" s="1858"/>
      <c r="E291" s="1866"/>
      <c r="F291" s="1858"/>
      <c r="G291" s="1866"/>
      <c r="H291" s="1858"/>
      <c r="I291" s="1866"/>
      <c r="J291" s="1858"/>
      <c r="K291" s="1877"/>
      <c r="L291" s="713"/>
    </row>
    <row r="292" spans="1:12">
      <c r="A292" s="209">
        <f t="shared" si="1"/>
        <v>2015.07</v>
      </c>
      <c r="B292" s="2055">
        <v>126.38</v>
      </c>
      <c r="C292" s="2052"/>
      <c r="D292" s="1858"/>
      <c r="E292" s="1866"/>
      <c r="F292" s="1858"/>
      <c r="G292" s="1866"/>
      <c r="H292" s="1858"/>
      <c r="I292" s="1866"/>
      <c r="J292" s="1858"/>
      <c r="K292" s="1877"/>
      <c r="L292" s="713"/>
    </row>
    <row r="293" spans="1:12">
      <c r="A293" s="209">
        <f t="shared" si="1"/>
        <v>2015.08</v>
      </c>
      <c r="B293" s="2055">
        <v>129.51</v>
      </c>
      <c r="C293" s="2052"/>
      <c r="D293" s="1858"/>
      <c r="E293" s="1866"/>
      <c r="F293" s="1858"/>
      <c r="G293" s="1866"/>
      <c r="H293" s="1858"/>
      <c r="I293" s="1866"/>
      <c r="J293" s="1858"/>
      <c r="K293" s="1877"/>
      <c r="L293" s="713"/>
    </row>
    <row r="294" spans="1:12">
      <c r="A294" s="209">
        <f t="shared" si="1"/>
        <v>2015.09</v>
      </c>
      <c r="B294" s="2055">
        <v>131.77000000000001</v>
      </c>
      <c r="C294" s="2052"/>
      <c r="D294" s="1858"/>
      <c r="E294" s="1866"/>
      <c r="F294" s="1858"/>
      <c r="G294" s="1866"/>
      <c r="H294" s="1858"/>
      <c r="I294" s="1866"/>
      <c r="J294" s="1858"/>
      <c r="K294" s="1877"/>
      <c r="L294" s="713"/>
    </row>
    <row r="295" spans="1:12">
      <c r="A295" s="209">
        <f t="shared" si="1"/>
        <v>2015.1</v>
      </c>
      <c r="B295" s="2064">
        <v>133.87</v>
      </c>
      <c r="C295" s="2052"/>
      <c r="D295" s="1858"/>
      <c r="E295" s="1866"/>
      <c r="F295" s="1858"/>
      <c r="G295" s="1866"/>
      <c r="H295" s="1858"/>
      <c r="I295" s="1866"/>
      <c r="J295" s="1858"/>
      <c r="K295" s="1877"/>
      <c r="L295" s="713"/>
    </row>
    <row r="296" spans="1:12">
      <c r="A296" s="209">
        <f t="shared" si="1"/>
        <v>2015.11</v>
      </c>
      <c r="B296" s="2055">
        <v>136.29</v>
      </c>
      <c r="C296" s="2053">
        <f>C308/(1+0.385)</f>
        <v>132.56317689530687</v>
      </c>
      <c r="D296" s="1859">
        <f>D308/(1+0.302)</f>
        <v>141.62826420890937</v>
      </c>
      <c r="E296" s="1867">
        <f>E308/(1+0.413)</f>
        <v>129.59660297239915</v>
      </c>
      <c r="F296" s="1859">
        <f>F308/(1+0.295)</f>
        <v>138.16988416988417</v>
      </c>
      <c r="G296" s="1867">
        <f>G308/(1+0.476)</f>
        <v>143.8821138211382</v>
      </c>
      <c r="H296" s="1859">
        <f>H308/(1+0.435)</f>
        <v>132.94773519163763</v>
      </c>
      <c r="I296" s="1867">
        <f>I308/(1+0.308)</f>
        <v>143.13455657492355</v>
      </c>
      <c r="J296" s="1859">
        <f>J308/(1+0.343)</f>
        <v>150.83395383469843</v>
      </c>
      <c r="K296" s="1878">
        <f>K308/(1+0.477)</f>
        <v>145.89031821259309</v>
      </c>
      <c r="L296" s="843">
        <f t="shared" ref="L296:L302" si="2">(C296*C$6+D296*D$6+E296*E$6+F296*F$6+G296*G$6+H296*H$6+I296*I$6+J296*J$6+K296*K$6)/B296-1</f>
        <v>-4.7460847302538411E-4</v>
      </c>
    </row>
    <row r="297" spans="1:12">
      <c r="A297" s="209">
        <f t="shared" si="1"/>
        <v>2015.12</v>
      </c>
      <c r="B297" s="2055">
        <v>144.36000000000001</v>
      </c>
      <c r="C297" s="2054">
        <f>C309/(1+0.285)</f>
        <v>146.00778210116732</v>
      </c>
      <c r="D297" s="1860">
        <f>D309/(1+0.261)</f>
        <v>146.25693893735129</v>
      </c>
      <c r="E297" s="1868">
        <f>E309/(1+0.336)</f>
        <v>140.62874251497004</v>
      </c>
      <c r="F297" s="1860">
        <f>F309/(1+0.238)</f>
        <v>147.77867528271403</v>
      </c>
      <c r="G297" s="1868">
        <f>G309/(1+0.362)</f>
        <v>157.09985315712186</v>
      </c>
      <c r="H297" s="1860">
        <f>H309/(1+0.345)</f>
        <v>142.52044609665427</v>
      </c>
      <c r="I297" s="1868">
        <f>I309/(1+0.262)</f>
        <v>152.71790808240885</v>
      </c>
      <c r="J297" s="1860">
        <f>J309/(1+0.349)</f>
        <v>150.51148999258709</v>
      </c>
      <c r="K297" s="1879">
        <f>K309/(1+0.431)</f>
        <v>153.22152341020265</v>
      </c>
      <c r="L297" s="712">
        <f t="shared" si="2"/>
        <v>1.588778193995033E-2</v>
      </c>
    </row>
    <row r="298" spans="1:12">
      <c r="A298" s="209">
        <f t="shared" si="1"/>
        <v>2016.01</v>
      </c>
      <c r="B298" s="2055">
        <v>149.93</v>
      </c>
      <c r="C298" s="2054">
        <f>C310/(1+0.286)</f>
        <v>148.37480559875584</v>
      </c>
      <c r="D298" s="1860">
        <f>D310/(1+0.223)</f>
        <v>151.10384300899426</v>
      </c>
      <c r="E298" s="1868">
        <f>E310/(1+0.427)</f>
        <v>139.60756832515767</v>
      </c>
      <c r="F298" s="1860">
        <f>F310/(1+0.202)</f>
        <v>153.41098169717139</v>
      </c>
      <c r="G298" s="1868">
        <f>G310/(1+0.357)</f>
        <v>160.44952100221076</v>
      </c>
      <c r="H298" s="1860">
        <f>H310/(1+0.329)</f>
        <v>146.41083521444696</v>
      </c>
      <c r="I298" s="1868">
        <f>I310/(1+0.252)</f>
        <v>158.77795527156547</v>
      </c>
      <c r="J298" s="1860">
        <f>J310/(1+0.387)</f>
        <v>151.32660418168709</v>
      </c>
      <c r="K298" s="1879">
        <f>K310/(1+0.407)</f>
        <v>158.10234541577825</v>
      </c>
      <c r="L298" s="712">
        <f t="shared" si="2"/>
        <v>-2.8677084884454196E-4</v>
      </c>
    </row>
    <row r="299" spans="1:12">
      <c r="A299" s="209">
        <f t="shared" si="1"/>
        <v>2016.02</v>
      </c>
      <c r="B299" s="2055">
        <v>154.84</v>
      </c>
      <c r="C299" s="2054">
        <f>C311/(1+0.267)</f>
        <v>152.42304656669299</v>
      </c>
      <c r="D299" s="1860">
        <f>D311/(1+0.211)</f>
        <v>150.60280759702724</v>
      </c>
      <c r="E299" s="1868">
        <f>E311/(1+0.425)</f>
        <v>157.19298245614036</v>
      </c>
      <c r="F299" s="1860">
        <f>F311/(1+0.172)</f>
        <v>159.21501706484642</v>
      </c>
      <c r="G299" s="1868">
        <f>G311/(1+0.367)</f>
        <v>164.19166057059252</v>
      </c>
      <c r="H299" s="1860">
        <f>H311/(1+0.343)</f>
        <v>148.89054355919583</v>
      </c>
      <c r="I299" s="1868">
        <f>I311/(1+0.255)</f>
        <v>161.49003984063745</v>
      </c>
      <c r="J299" s="1860">
        <f>J311/(1+0.367)</f>
        <v>155.04023408924652</v>
      </c>
      <c r="K299" s="1879">
        <f>K311/(1+0.372)</f>
        <v>165.24052478134112</v>
      </c>
      <c r="L299" s="712">
        <f t="shared" si="2"/>
        <v>-4.7251220498234492E-4</v>
      </c>
    </row>
    <row r="300" spans="1:12">
      <c r="A300" s="209">
        <f t="shared" si="1"/>
        <v>2016.03</v>
      </c>
      <c r="B300" s="2055">
        <v>158.72</v>
      </c>
      <c r="C300" s="2054">
        <f>C312/(1+0.271)</f>
        <v>156.42800944138475</v>
      </c>
      <c r="D300" s="1860">
        <f>D312/(1+0.199)</f>
        <v>154.67889908256882</v>
      </c>
      <c r="E300" s="1868">
        <f>E312/(1+0.534)</f>
        <v>159.3024771838331</v>
      </c>
      <c r="F300" s="1860">
        <f>F312/(1+0.133)</f>
        <v>163.75992939099734</v>
      </c>
      <c r="G300" s="1868">
        <f>G312/(1+0.386)</f>
        <v>168.19624819624818</v>
      </c>
      <c r="H300" s="1860">
        <f>H312/(1+0.329)</f>
        <v>153.28066215199399</v>
      </c>
      <c r="I300" s="1868">
        <f>I312/(1+0.244)</f>
        <v>161.92926045016077</v>
      </c>
      <c r="J300" s="1860">
        <f>J312/(1+0.278)</f>
        <v>173.34115805946792</v>
      </c>
      <c r="K300" s="1879">
        <f>K312/(1+0.374)</f>
        <v>167.72925764192138</v>
      </c>
      <c r="L300" s="712">
        <f t="shared" si="2"/>
        <v>-2.8217313346512451E-4</v>
      </c>
    </row>
    <row r="301" spans="1:12">
      <c r="A301" s="209">
        <f t="shared" si="1"/>
        <v>2016.04</v>
      </c>
      <c r="B301" s="2055">
        <v>165.74</v>
      </c>
      <c r="C301" s="2054">
        <f>C313/(1+0.276)</f>
        <v>159.08307210031347</v>
      </c>
      <c r="D301" s="1860">
        <f>D313/(1+0.146)</f>
        <v>169.52006980802796</v>
      </c>
      <c r="E301" s="1868">
        <f>E313/(1+0.385)</f>
        <v>185.09747292418774</v>
      </c>
      <c r="F301" s="1860">
        <f>F313/(1+0.111)</f>
        <v>168.28082808280828</v>
      </c>
      <c r="G301" s="1868">
        <f>G313/(1+0.388)</f>
        <v>170.18731988472624</v>
      </c>
      <c r="H301" s="1860">
        <f>H313/(1+0.306)</f>
        <v>159.15007656967839</v>
      </c>
      <c r="I301" s="1868">
        <f>I313/(1+0.255)</f>
        <v>162.9163346613546</v>
      </c>
      <c r="J301" s="1860">
        <f>J313/(1+0.253)</f>
        <v>180.03990422984836</v>
      </c>
      <c r="K301" s="1879">
        <f>K313/(1+0.335)</f>
        <v>175.4307116104869</v>
      </c>
      <c r="L301" s="712">
        <f t="shared" si="2"/>
        <v>-6.4204124160527343E-4</v>
      </c>
    </row>
    <row r="302" spans="1:12">
      <c r="A302" s="209">
        <f t="shared" si="1"/>
        <v>2016.05</v>
      </c>
      <c r="B302" s="2055">
        <v>171.96</v>
      </c>
      <c r="C302" s="2054">
        <f>C314/(1+0.241)</f>
        <v>165.18936341659949</v>
      </c>
      <c r="D302" s="1860">
        <f>D314/(1+0.158)</f>
        <v>172.81519861830745</v>
      </c>
      <c r="E302" s="1868">
        <f>E314/(1+0.388)</f>
        <v>184.94956772334294</v>
      </c>
      <c r="F302" s="1860">
        <f>F314/(1+0.094)</f>
        <v>172.21206581352834</v>
      </c>
      <c r="G302" s="1868">
        <f>G314/(1+0.365)</f>
        <v>176.35164835164835</v>
      </c>
      <c r="H302" s="1860">
        <f>H314/(1+0.282)</f>
        <v>170.05460218408734</v>
      </c>
      <c r="I302" s="1868">
        <f>I314/(1+0.271)</f>
        <v>162.39968528717546</v>
      </c>
      <c r="J302" s="1860">
        <f>J314/(1+0.301)</f>
        <v>181.29131437355883</v>
      </c>
      <c r="K302" s="1879">
        <f>K314/(1+0.181)</f>
        <v>200.22861981371719</v>
      </c>
      <c r="L302" s="712">
        <f t="shared" si="2"/>
        <v>-6.9906081492210337E-4</v>
      </c>
    </row>
    <row r="303" spans="1:12">
      <c r="A303" s="209">
        <f t="shared" si="1"/>
        <v>2016.06</v>
      </c>
      <c r="B303" s="2055">
        <v>177.22</v>
      </c>
      <c r="C303" s="2054">
        <f>C315/(1+0.215)</f>
        <v>169.75308641975309</v>
      </c>
      <c r="D303" s="1860">
        <f>D315/(1+0.148)</f>
        <v>176.08885017421605</v>
      </c>
      <c r="E303" s="1868">
        <f>E315/(1+0.401)</f>
        <v>187.88722341184868</v>
      </c>
      <c r="F303" s="1860">
        <f>F315/(1+0.114)</f>
        <v>171.02333931777378</v>
      </c>
      <c r="G303" s="1868">
        <f>G315/(1+0.262)</f>
        <v>192.24247226624408</v>
      </c>
      <c r="H303" s="1860">
        <f>H315/(1+0.223)</f>
        <v>180.52330335241209</v>
      </c>
      <c r="I303" s="1868">
        <f>I315/(1+0.278)</f>
        <v>164.81220657276995</v>
      </c>
      <c r="J303" s="1860">
        <f>J315/(1+0.307)</f>
        <v>187.04667176740628</v>
      </c>
      <c r="K303" s="1879">
        <f>K315/(1+0.193)</f>
        <v>200.70410729253982</v>
      </c>
      <c r="L303" s="712">
        <f t="shared" ref="L303:L308" si="3">(C303*C$6+D303*D$6+E303*E$6+F303*F$6+G303*G$6+H303*H$6+I303*I$6+J303*J$6+K303*K$6)/B303-1</f>
        <v>-3.6553861417554234E-4</v>
      </c>
    </row>
    <row r="304" spans="1:12">
      <c r="A304" s="209">
        <f t="shared" si="1"/>
        <v>2016.07</v>
      </c>
      <c r="B304" s="2055">
        <v>180.85</v>
      </c>
      <c r="C304" s="2054">
        <f>C316/(1+0.197)</f>
        <v>174.47786131996656</v>
      </c>
      <c r="D304" s="1860">
        <f>D316/(1+0.135)</f>
        <v>175.66519823788545</v>
      </c>
      <c r="E304" s="1868">
        <f>E316/(1+0.391)</f>
        <v>192.65995686556434</v>
      </c>
      <c r="F304" s="1860">
        <f>F316/(1+0.104)</f>
        <v>175.32608695652172</v>
      </c>
      <c r="G304" s="1868">
        <f>G316/(1+0.29)</f>
        <v>194.62015503875969</v>
      </c>
      <c r="H304" s="1860">
        <f>H316/(1+0.271)</f>
        <v>180.40912667191191</v>
      </c>
      <c r="I304" s="1868">
        <f>I316/(1+0.243)</f>
        <v>176.38777152051489</v>
      </c>
      <c r="J304" s="1860">
        <f>J316/(1+0.3)</f>
        <v>190.37692307692308</v>
      </c>
      <c r="K304" s="1879">
        <f>K316/(1+0.192)</f>
        <v>203.3053691275168</v>
      </c>
      <c r="L304" s="712">
        <f t="shared" si="3"/>
        <v>-2.4251405117836633E-4</v>
      </c>
    </row>
    <row r="305" spans="1:12">
      <c r="A305" s="209">
        <f t="shared" si="1"/>
        <v>2016.08</v>
      </c>
      <c r="B305" s="2056">
        <v>181.5</v>
      </c>
      <c r="C305" s="2054">
        <f>C317/(1+0.209)</f>
        <v>175.66583953680725</v>
      </c>
      <c r="D305" s="1860">
        <f>D317/(1+0.16)</f>
        <v>167.37068965517244</v>
      </c>
      <c r="E305" s="1868">
        <f>E317/(1+0.466)</f>
        <v>187.31241473397</v>
      </c>
      <c r="F305" s="1860">
        <f>F317/(1+0.12)</f>
        <v>175.66071428571428</v>
      </c>
      <c r="G305" s="1868">
        <f>G317/(1+0.332)</f>
        <v>196.41141141141139</v>
      </c>
      <c r="H305" s="1860">
        <f>H317/(1+0.28)</f>
        <v>181.3125</v>
      </c>
      <c r="I305" s="1868">
        <f>I317/(1+0.215)</f>
        <v>179.62139917695472</v>
      </c>
      <c r="J305" s="1860">
        <f>J317/(1+0.283)</f>
        <v>196.76539360872954</v>
      </c>
      <c r="K305" s="1879">
        <f>K317/(1+0.201)</f>
        <v>206.35303913405497</v>
      </c>
      <c r="L305" s="712">
        <f t="shared" si="3"/>
        <v>-3.5962647861247365E-3</v>
      </c>
    </row>
    <row r="306" spans="1:12">
      <c r="A306" s="209">
        <f t="shared" si="1"/>
        <v>2016.09</v>
      </c>
      <c r="B306" s="2055">
        <v>182.75</v>
      </c>
      <c r="C306" s="2054">
        <f>C318/(1+0.202)</f>
        <v>178.91846921797006</v>
      </c>
      <c r="D306" s="1860">
        <f>D318/(1+0.131)</f>
        <v>173.71352785145888</v>
      </c>
      <c r="E306" s="1868">
        <f>E318/(1+0.561)</f>
        <v>178.35361947469573</v>
      </c>
      <c r="F306" s="1860">
        <f>F318/(1+0.115)</f>
        <v>178.97757847533632</v>
      </c>
      <c r="G306" s="1868">
        <f>G318/(1+0.343)</f>
        <v>199.49367088607596</v>
      </c>
      <c r="H306" s="1860">
        <f>H318/(1+0.309)</f>
        <v>181.45148968678382</v>
      </c>
      <c r="I306" s="1868">
        <f>I318/(1+0.192)</f>
        <v>184.86577181208057</v>
      </c>
      <c r="J306" s="1860">
        <f>J318/(1+0.303)</f>
        <v>197.36761320030701</v>
      </c>
      <c r="K306" s="1879">
        <f>K318/(1+0.191)</f>
        <v>209.87405541561714</v>
      </c>
      <c r="L306" s="712">
        <f t="shared" si="3"/>
        <v>-6.4805557337321851E-4</v>
      </c>
    </row>
    <row r="307" spans="1:12">
      <c r="A307" s="209">
        <f t="shared" si="1"/>
        <v>2016.1</v>
      </c>
      <c r="B307" s="2064">
        <v>187.34</v>
      </c>
      <c r="C307" s="2055">
        <v>181.66</v>
      </c>
      <c r="D307" s="707">
        <v>184.65</v>
      </c>
      <c r="E307" s="1869">
        <v>179.64</v>
      </c>
      <c r="F307" s="707">
        <v>178.88</v>
      </c>
      <c r="G307" s="1869">
        <v>210.77</v>
      </c>
      <c r="H307" s="707">
        <v>188.48</v>
      </c>
      <c r="I307" s="1869">
        <v>189.87</v>
      </c>
      <c r="J307" s="707">
        <v>202.76</v>
      </c>
      <c r="K307" s="1880">
        <v>211.8</v>
      </c>
      <c r="L307" s="712">
        <f t="shared" si="3"/>
        <v>-4.1709725632532724E-4</v>
      </c>
    </row>
    <row r="308" spans="1:12">
      <c r="A308" s="209">
        <f t="shared" si="1"/>
        <v>2016.11</v>
      </c>
      <c r="B308" s="2064">
        <v>188.79</v>
      </c>
      <c r="C308" s="2056">
        <v>183.6</v>
      </c>
      <c r="D308" s="1850">
        <v>184.4</v>
      </c>
      <c r="E308" s="1870">
        <v>183.12</v>
      </c>
      <c r="F308" s="1850">
        <v>178.93</v>
      </c>
      <c r="G308" s="1870">
        <v>212.37</v>
      </c>
      <c r="H308" s="1850">
        <v>190.78</v>
      </c>
      <c r="I308" s="1870">
        <v>187.22</v>
      </c>
      <c r="J308" s="1850">
        <v>202.57</v>
      </c>
      <c r="K308" s="1881">
        <v>215.48</v>
      </c>
      <c r="L308" s="712">
        <f t="shared" si="3"/>
        <v>-4.1310450765419393E-4</v>
      </c>
    </row>
    <row r="309" spans="1:12">
      <c r="A309" s="209">
        <f t="shared" si="1"/>
        <v>2016.12</v>
      </c>
      <c r="B309" s="2064">
        <v>191.84</v>
      </c>
      <c r="C309" s="2056">
        <v>187.62</v>
      </c>
      <c r="D309" s="1850">
        <v>184.43</v>
      </c>
      <c r="E309" s="1870">
        <v>187.88</v>
      </c>
      <c r="F309" s="1850">
        <v>182.95</v>
      </c>
      <c r="G309" s="1870">
        <v>213.97</v>
      </c>
      <c r="H309" s="1850">
        <v>191.69</v>
      </c>
      <c r="I309" s="1870">
        <v>192.73</v>
      </c>
      <c r="J309" s="1850">
        <v>203.04</v>
      </c>
      <c r="K309" s="1881">
        <v>219.26</v>
      </c>
      <c r="L309" s="712">
        <f t="shared" ref="L309:L357" si="4">(C309*C$6+D309*D$6+E309*E$6+F309*F$6+G309*G$6+H309*H$6+I309*I$6+J309*J$6+K309*K$6)/B309-1</f>
        <v>-4.3569120100084291E-4</v>
      </c>
    </row>
    <row r="310" spans="1:12">
      <c r="A310" s="209">
        <f t="shared" si="1"/>
        <v>2017.01</v>
      </c>
      <c r="B310" s="2064">
        <v>195.82</v>
      </c>
      <c r="C310" s="2056">
        <v>190.81</v>
      </c>
      <c r="D310" s="1850">
        <v>184.8</v>
      </c>
      <c r="E310" s="1870">
        <v>199.22</v>
      </c>
      <c r="F310" s="1850">
        <v>184.4</v>
      </c>
      <c r="G310" s="1870">
        <v>217.73</v>
      </c>
      <c r="H310" s="1850">
        <v>194.58</v>
      </c>
      <c r="I310" s="1870">
        <v>198.79</v>
      </c>
      <c r="J310" s="1850">
        <v>209.89</v>
      </c>
      <c r="K310" s="1881">
        <v>222.45</v>
      </c>
      <c r="L310" s="712">
        <f t="shared" si="4"/>
        <v>-4.7653967929728314E-4</v>
      </c>
    </row>
    <row r="311" spans="1:12">
      <c r="A311" s="209">
        <f t="shared" si="1"/>
        <v>2017.02</v>
      </c>
      <c r="B311" s="1852">
        <v>201.09</v>
      </c>
      <c r="C311" s="2056">
        <v>193.12</v>
      </c>
      <c r="D311" s="1861">
        <v>182.38</v>
      </c>
      <c r="E311" s="1871">
        <v>224</v>
      </c>
      <c r="F311" s="1861">
        <v>186.6</v>
      </c>
      <c r="G311" s="1871">
        <v>224.45</v>
      </c>
      <c r="H311" s="1861">
        <v>199.96</v>
      </c>
      <c r="I311" s="1871">
        <v>202.67</v>
      </c>
      <c r="J311" s="1861">
        <v>211.94</v>
      </c>
      <c r="K311" s="1880">
        <v>226.71</v>
      </c>
      <c r="L311" s="712">
        <f>(C311*C$6+D311*D$6+E311*E$6+F311*F$6+G311*G$6+H311*H$6+I311*I$6+J311*J$6+K311*K$6)/B311-1</f>
        <v>-4.5954050425167647E-4</v>
      </c>
    </row>
    <row r="312" spans="1:12">
      <c r="A312" s="209">
        <f t="shared" si="1"/>
        <v>2017.03</v>
      </c>
      <c r="B312" s="1852">
        <v>206.76</v>
      </c>
      <c r="C312" s="2056">
        <v>198.82</v>
      </c>
      <c r="D312" s="1861">
        <v>185.46</v>
      </c>
      <c r="E312" s="1871">
        <v>244.37</v>
      </c>
      <c r="F312" s="1861">
        <v>185.54</v>
      </c>
      <c r="G312" s="1871">
        <v>233.12</v>
      </c>
      <c r="H312" s="1861">
        <v>203.71</v>
      </c>
      <c r="I312" s="1871">
        <v>201.44</v>
      </c>
      <c r="J312" s="1861">
        <v>221.53</v>
      </c>
      <c r="K312" s="1880">
        <v>230.46</v>
      </c>
      <c r="L312" s="712">
        <f>(C312*C$6+D312*D$6+E312*E$6+F312*F$6+G312*G$6+H312*H$6+I312*I$6+J312*J$6+K312*K$6)/B312-1</f>
        <v>-4.6806442251878799E-4</v>
      </c>
    </row>
    <row r="313" spans="1:12">
      <c r="A313" s="209">
        <f t="shared" si="1"/>
        <v>2017.04</v>
      </c>
      <c r="B313" s="1852">
        <v>211.72</v>
      </c>
      <c r="C313" s="2056">
        <v>202.99</v>
      </c>
      <c r="D313" s="1861">
        <v>194.27</v>
      </c>
      <c r="E313" s="1871">
        <v>256.36</v>
      </c>
      <c r="F313" s="1861">
        <v>186.96</v>
      </c>
      <c r="G313" s="1871">
        <v>236.22</v>
      </c>
      <c r="H313" s="1861">
        <v>207.85</v>
      </c>
      <c r="I313" s="1871">
        <v>204.46</v>
      </c>
      <c r="J313" s="1861">
        <v>225.59</v>
      </c>
      <c r="K313" s="1880">
        <v>234.2</v>
      </c>
      <c r="L313" s="712">
        <f t="shared" si="4"/>
        <v>-4.7302097109402919E-4</v>
      </c>
    </row>
    <row r="314" spans="1:12">
      <c r="A314" s="209">
        <f t="shared" si="1"/>
        <v>2017.05</v>
      </c>
      <c r="B314" s="1852">
        <v>215.74</v>
      </c>
      <c r="C314" s="2056">
        <v>205</v>
      </c>
      <c r="D314" s="1861">
        <v>200.12</v>
      </c>
      <c r="E314" s="1871">
        <v>256.70999999999998</v>
      </c>
      <c r="F314" s="1861">
        <v>188.4</v>
      </c>
      <c r="G314" s="1871">
        <v>240.72</v>
      </c>
      <c r="H314" s="1861">
        <v>218.01</v>
      </c>
      <c r="I314" s="1871">
        <v>206.41</v>
      </c>
      <c r="J314" s="1861">
        <v>235.86</v>
      </c>
      <c r="K314" s="1880">
        <v>236.47</v>
      </c>
      <c r="L314" s="712">
        <f t="shared" si="4"/>
        <v>-2.9619449337170423E-4</v>
      </c>
    </row>
    <row r="315" spans="1:12">
      <c r="A315" s="209">
        <f t="shared" si="1"/>
        <v>2017.06</v>
      </c>
      <c r="B315" s="1852">
        <v>218.52</v>
      </c>
      <c r="C315" s="2056">
        <v>206.25</v>
      </c>
      <c r="D315" s="1861">
        <v>202.15</v>
      </c>
      <c r="E315" s="1871">
        <v>263.23</v>
      </c>
      <c r="F315" s="1861">
        <v>190.52</v>
      </c>
      <c r="G315" s="1871">
        <v>242.61</v>
      </c>
      <c r="H315" s="1861">
        <v>220.78</v>
      </c>
      <c r="I315" s="1871">
        <v>210.63</v>
      </c>
      <c r="J315" s="1861">
        <v>244.47</v>
      </c>
      <c r="K315" s="1880">
        <v>239.44</v>
      </c>
      <c r="L315" s="712">
        <f t="shared" si="4"/>
        <v>-3.0771554091157949E-4</v>
      </c>
    </row>
    <row r="316" spans="1:12">
      <c r="A316" s="209">
        <f t="shared" si="1"/>
        <v>2017.07</v>
      </c>
      <c r="B316" s="1852">
        <v>222.94</v>
      </c>
      <c r="C316" s="2056">
        <v>208.85</v>
      </c>
      <c r="D316" s="1861">
        <v>199.38</v>
      </c>
      <c r="E316" s="1871">
        <v>267.99</v>
      </c>
      <c r="F316" s="1861">
        <v>193.56</v>
      </c>
      <c r="G316" s="1871">
        <v>251.06</v>
      </c>
      <c r="H316" s="1861">
        <v>229.3</v>
      </c>
      <c r="I316" s="1871">
        <v>219.25</v>
      </c>
      <c r="J316" s="1861">
        <v>247.49</v>
      </c>
      <c r="K316" s="1880">
        <v>242.34</v>
      </c>
      <c r="L316" s="712">
        <f t="shared" si="4"/>
        <v>-2.078003050146604E-4</v>
      </c>
    </row>
    <row r="317" spans="1:12">
      <c r="A317" s="209">
        <f t="shared" si="1"/>
        <v>2017.08</v>
      </c>
      <c r="B317" s="1852">
        <v>226.03</v>
      </c>
      <c r="C317" s="2056">
        <v>212.38</v>
      </c>
      <c r="D317" s="1861">
        <v>194.15</v>
      </c>
      <c r="E317" s="1871">
        <v>274.60000000000002</v>
      </c>
      <c r="F317" s="1861">
        <v>196.74</v>
      </c>
      <c r="G317" s="1871">
        <v>261.62</v>
      </c>
      <c r="H317" s="1861">
        <v>232.08</v>
      </c>
      <c r="I317" s="1871">
        <v>218.24</v>
      </c>
      <c r="J317" s="1861">
        <v>252.45</v>
      </c>
      <c r="K317" s="1880">
        <v>247.83</v>
      </c>
      <c r="L317" s="712">
        <f t="shared" si="4"/>
        <v>-2.0391098526750806E-4</v>
      </c>
    </row>
    <row r="318" spans="1:12">
      <c r="A318" s="209">
        <f t="shared" si="1"/>
        <v>2017.09</v>
      </c>
      <c r="B318" s="1852">
        <v>229.52</v>
      </c>
      <c r="C318" s="2056">
        <v>215.06</v>
      </c>
      <c r="D318" s="1861">
        <v>196.47</v>
      </c>
      <c r="E318" s="1871">
        <v>278.41000000000003</v>
      </c>
      <c r="F318" s="1861">
        <v>199.56</v>
      </c>
      <c r="G318" s="1871">
        <v>267.92</v>
      </c>
      <c r="H318" s="1861">
        <v>237.52</v>
      </c>
      <c r="I318" s="1871">
        <v>220.36</v>
      </c>
      <c r="J318" s="1861">
        <v>257.17</v>
      </c>
      <c r="K318" s="1880">
        <v>249.96</v>
      </c>
      <c r="L318" s="712">
        <f t="shared" si="4"/>
        <v>-1.6138898570938753E-4</v>
      </c>
    </row>
    <row r="319" spans="1:12">
      <c r="A319" s="209">
        <f t="shared" si="1"/>
        <v>2017.1</v>
      </c>
      <c r="B319" s="1852">
        <v>232.41</v>
      </c>
      <c r="C319" s="2056">
        <v>218.04</v>
      </c>
      <c r="D319" s="1861">
        <v>201.18</v>
      </c>
      <c r="E319" s="1871">
        <v>281.12</v>
      </c>
      <c r="F319" s="1861">
        <v>201.33</v>
      </c>
      <c r="G319" s="1871">
        <v>270.89</v>
      </c>
      <c r="H319" s="1861">
        <v>240.6</v>
      </c>
      <c r="I319" s="1871">
        <v>221.62</v>
      </c>
      <c r="J319" s="1861">
        <v>258.32</v>
      </c>
      <c r="K319" s="1880">
        <v>254.16</v>
      </c>
      <c r="L319" s="712">
        <f t="shared" si="4"/>
        <v>-1.6293619035334661E-4</v>
      </c>
    </row>
    <row r="320" spans="1:12">
      <c r="A320" s="209">
        <f t="shared" si="1"/>
        <v>2017.11</v>
      </c>
      <c r="B320" s="1852">
        <v>235.93</v>
      </c>
      <c r="C320" s="2056">
        <v>221.34</v>
      </c>
      <c r="D320" s="1861">
        <v>204.08</v>
      </c>
      <c r="E320" s="1871">
        <v>283.94</v>
      </c>
      <c r="F320" s="1861">
        <v>202.71</v>
      </c>
      <c r="G320" s="1871">
        <v>272.70999999999998</v>
      </c>
      <c r="H320" s="1861">
        <v>247.84</v>
      </c>
      <c r="I320" s="1871">
        <v>223.1</v>
      </c>
      <c r="J320" s="1861">
        <v>260.43</v>
      </c>
      <c r="K320" s="1880">
        <v>257.08</v>
      </c>
      <c r="L320" s="712">
        <f t="shared" si="4"/>
        <v>-8.8509303607042789E-5</v>
      </c>
    </row>
    <row r="321" spans="1:12">
      <c r="A321" s="209">
        <f t="shared" si="1"/>
        <v>2017.12</v>
      </c>
      <c r="B321" s="1852">
        <v>241.85</v>
      </c>
      <c r="C321" s="2056">
        <v>223.32</v>
      </c>
      <c r="D321" s="1861">
        <v>205.11</v>
      </c>
      <c r="E321" s="1871">
        <v>308.14</v>
      </c>
      <c r="F321" s="1861">
        <v>204.55</v>
      </c>
      <c r="G321" s="1871">
        <v>279.61</v>
      </c>
      <c r="H321" s="1861">
        <v>256.42</v>
      </c>
      <c r="I321" s="1871">
        <v>228</v>
      </c>
      <c r="J321" s="1861">
        <v>260.62</v>
      </c>
      <c r="K321" s="1880">
        <v>259.38</v>
      </c>
      <c r="L321" s="712">
        <f>(C321*C$6+D321*D$6+E321*E$6+F321*F$6+G321*G$6+H321*H$6+I321*I$6+J321*J$6+K321*K$6)/B321-1</f>
        <v>5.0527186272741886E-6</v>
      </c>
    </row>
    <row r="322" spans="1:12">
      <c r="A322" s="209">
        <f t="shared" si="1"/>
        <v>2018.01</v>
      </c>
      <c r="B322" s="1852">
        <v>246.14</v>
      </c>
      <c r="C322" s="2056">
        <v>228.27</v>
      </c>
      <c r="D322" s="1861">
        <v>207.05</v>
      </c>
      <c r="E322" s="1871">
        <v>311.05</v>
      </c>
      <c r="F322" s="1861">
        <v>206.25</v>
      </c>
      <c r="G322" s="1871">
        <v>283.68</v>
      </c>
      <c r="H322" s="1861">
        <v>260.06</v>
      </c>
      <c r="I322" s="1871">
        <v>234.09</v>
      </c>
      <c r="J322" s="1861">
        <v>262.43</v>
      </c>
      <c r="K322" s="1880">
        <v>270.69</v>
      </c>
      <c r="L322" s="712">
        <f t="shared" si="4"/>
        <v>-7.9483220931098053E-5</v>
      </c>
    </row>
    <row r="323" spans="1:12">
      <c r="A323" s="209">
        <f t="shared" si="1"/>
        <v>2018.02</v>
      </c>
      <c r="B323" s="1853">
        <v>253.15</v>
      </c>
      <c r="C323" s="2057">
        <v>232.78</v>
      </c>
      <c r="D323" s="1850">
        <v>204.73</v>
      </c>
      <c r="E323" s="1870">
        <v>331.31</v>
      </c>
      <c r="F323" s="1850">
        <v>208.33</v>
      </c>
      <c r="G323" s="1870">
        <v>289.45</v>
      </c>
      <c r="H323" s="1850">
        <v>274.23</v>
      </c>
      <c r="I323" s="1870">
        <v>236.43</v>
      </c>
      <c r="J323" s="1850">
        <v>263.86</v>
      </c>
      <c r="K323" s="1881">
        <v>275.63</v>
      </c>
      <c r="L323" s="712">
        <f t="shared" si="4"/>
        <v>6.7031404305639697E-5</v>
      </c>
    </row>
    <row r="324" spans="1:12">
      <c r="A324" s="209">
        <f t="shared" si="1"/>
        <v>2018.03</v>
      </c>
      <c r="B324" s="1853">
        <v>258.49</v>
      </c>
      <c r="C324" s="2057">
        <v>239.25</v>
      </c>
      <c r="D324" s="1850">
        <v>207.47</v>
      </c>
      <c r="E324" s="1870">
        <v>335.59</v>
      </c>
      <c r="F324" s="1850">
        <v>212.04</v>
      </c>
      <c r="G324" s="1870">
        <v>294.20999999999998</v>
      </c>
      <c r="H324" s="1850">
        <v>280.14999999999998</v>
      </c>
      <c r="I324" s="1870">
        <v>239.24</v>
      </c>
      <c r="J324" s="1850">
        <v>281.97000000000003</v>
      </c>
      <c r="K324" s="1881">
        <v>279.27999999999997</v>
      </c>
      <c r="L324" s="712">
        <f t="shared" si="4"/>
        <v>1.2277844404051663E-4</v>
      </c>
    </row>
    <row r="325" spans="1:12">
      <c r="A325" s="209">
        <f t="shared" si="1"/>
        <v>2018.04</v>
      </c>
      <c r="B325" s="1853">
        <v>265.58999999999997</v>
      </c>
      <c r="C325" s="2057">
        <v>243.41</v>
      </c>
      <c r="D325" s="1850">
        <v>215.69</v>
      </c>
      <c r="E325" s="1870">
        <v>355.31</v>
      </c>
      <c r="F325" s="1850">
        <v>217.18</v>
      </c>
      <c r="G325" s="1870">
        <v>299.27</v>
      </c>
      <c r="H325" s="1850">
        <v>290.33</v>
      </c>
      <c r="I325" s="1870">
        <v>240.23</v>
      </c>
      <c r="J325" s="1850">
        <v>285.41000000000003</v>
      </c>
      <c r="K325" s="1881">
        <v>284.07</v>
      </c>
      <c r="L325" s="712">
        <f>(C325*C$6+D325*D$6+E325*E$6+F325*F$6+G325*G$6+H325*H$6+I325*I$6+J325*J$6+K325*K$6)/B325-1</f>
        <v>1.5448247298488482E-4</v>
      </c>
    </row>
    <row r="326" spans="1:12">
      <c r="A326" s="209">
        <f t="shared" si="1"/>
        <v>2018.05</v>
      </c>
      <c r="B326" s="1853">
        <v>272.76</v>
      </c>
      <c r="C326" s="2057">
        <v>251.24</v>
      </c>
      <c r="D326" s="1850">
        <v>221.81</v>
      </c>
      <c r="E326" s="1870">
        <v>362.58</v>
      </c>
      <c r="F326" s="1850">
        <v>223.13</v>
      </c>
      <c r="G326" s="1870">
        <v>303.68</v>
      </c>
      <c r="H326" s="1850">
        <v>295.56</v>
      </c>
      <c r="I326" s="1870">
        <v>253.12</v>
      </c>
      <c r="J326" s="1850">
        <v>292.87</v>
      </c>
      <c r="K326" s="1881">
        <v>290.8</v>
      </c>
      <c r="L326" s="712">
        <f>(C326*C$6+D326*D$6+E326*E$6+F326*F$6+G326*G$6+H326*H$6+I326*I$6+J326*J$6+K326*K$6)/B326-1</f>
        <v>1.1770420882828425E-4</v>
      </c>
    </row>
    <row r="327" spans="1:12">
      <c r="A327" s="209">
        <f t="shared" si="1"/>
        <v>2018.06</v>
      </c>
      <c r="B327" s="1853">
        <v>282.82</v>
      </c>
      <c r="C327" s="2057">
        <v>263.64</v>
      </c>
      <c r="D327" s="1850">
        <v>227.76</v>
      </c>
      <c r="E327" s="1870">
        <v>368.14</v>
      </c>
      <c r="F327" s="1850">
        <v>234.52</v>
      </c>
      <c r="G327" s="1870">
        <v>316.31</v>
      </c>
      <c r="H327" s="1850">
        <v>305.23</v>
      </c>
      <c r="I327" s="1870">
        <v>260.76</v>
      </c>
      <c r="J327" s="1850">
        <v>308.83</v>
      </c>
      <c r="K327" s="1881">
        <v>299.64</v>
      </c>
      <c r="L327" s="712">
        <f>(C327*C$6+D327*D$6+E327*E$6+F327*F$6+G327*G$6+H327*H$6+I327*I$6+J327*J$6+K327*K$6)/B327-1</f>
        <v>1.6312849162014587E-4</v>
      </c>
    </row>
    <row r="328" spans="1:12">
      <c r="A328" s="209">
        <f t="shared" si="1"/>
        <v>2018.07</v>
      </c>
      <c r="B328" s="1853">
        <v>292.44</v>
      </c>
      <c r="C328" s="2057">
        <v>272.73</v>
      </c>
      <c r="D328" s="1850">
        <v>230.1</v>
      </c>
      <c r="E328" s="1870">
        <v>372.64</v>
      </c>
      <c r="F328" s="1850">
        <v>244.82</v>
      </c>
      <c r="G328" s="1870">
        <v>325.38</v>
      </c>
      <c r="H328" s="1850">
        <v>319.49</v>
      </c>
      <c r="I328" s="1870">
        <v>274.98</v>
      </c>
      <c r="J328" s="1850">
        <v>313.5</v>
      </c>
      <c r="K328" s="1881">
        <v>312.02</v>
      </c>
      <c r="L328" s="712">
        <f>(C328*C$6+D328*D$6+E328*E$6+F328*F$6+G328*G$6+H328*H$6+I328*I$6+J328*J$6+K328*K$6)/B328-1</f>
        <v>2.1305566953899735E-4</v>
      </c>
    </row>
    <row r="329" spans="1:12">
      <c r="A329" s="209">
        <f t="shared" si="1"/>
        <v>2018.08</v>
      </c>
      <c r="B329" s="1853">
        <v>303.97000000000003</v>
      </c>
      <c r="C329" s="2057">
        <v>282.06</v>
      </c>
      <c r="D329" s="1850">
        <v>231.26</v>
      </c>
      <c r="E329" s="1870">
        <v>389.79</v>
      </c>
      <c r="F329" s="1850">
        <v>253.47</v>
      </c>
      <c r="G329" s="1870">
        <v>338.6</v>
      </c>
      <c r="H329" s="1850">
        <v>339.1</v>
      </c>
      <c r="I329" s="1870">
        <v>280.87</v>
      </c>
      <c r="J329" s="1850">
        <v>318.88</v>
      </c>
      <c r="K329" s="1881">
        <v>328.48</v>
      </c>
      <c r="L329" s="712">
        <f t="shared" si="4"/>
        <v>2.6186465769639788E-4</v>
      </c>
    </row>
    <row r="330" spans="1:12">
      <c r="A330" s="209">
        <f t="shared" si="1"/>
        <v>2018.09</v>
      </c>
      <c r="B330" s="1853">
        <v>323.05</v>
      </c>
      <c r="C330" s="2057">
        <v>299.24</v>
      </c>
      <c r="D330" s="1850">
        <v>240.05</v>
      </c>
      <c r="E330" s="1870">
        <v>400.15</v>
      </c>
      <c r="F330" s="1850">
        <v>281.16000000000003</v>
      </c>
      <c r="G330" s="1870">
        <v>352.96</v>
      </c>
      <c r="H330" s="1850">
        <v>360.73</v>
      </c>
      <c r="I330" s="1870">
        <v>303.2</v>
      </c>
      <c r="J330" s="1850">
        <v>332.04</v>
      </c>
      <c r="K330" s="1881">
        <v>374.38</v>
      </c>
      <c r="L330" s="712">
        <f>(C330*C$6+D330*D$6+E330*E$6+F330*F$6+G330*G$6+H330*H$6+I330*I$6+J330*J$6+K330*K$6)/B330-1</f>
        <v>2.8323788885398216E-6</v>
      </c>
    </row>
    <row r="331" spans="1:12">
      <c r="A331" s="209">
        <f t="shared" si="1"/>
        <v>2018.1</v>
      </c>
      <c r="B331" s="1853">
        <v>341.07</v>
      </c>
      <c r="C331" s="2057">
        <v>315.72000000000003</v>
      </c>
      <c r="D331" s="1850">
        <v>256.73</v>
      </c>
      <c r="E331" s="1870">
        <v>416.88</v>
      </c>
      <c r="F331" s="1850">
        <v>301.62</v>
      </c>
      <c r="G331" s="1870">
        <v>376.01</v>
      </c>
      <c r="H331" s="1850">
        <v>381.99</v>
      </c>
      <c r="I331" s="1870">
        <v>319.8</v>
      </c>
      <c r="J331" s="1850">
        <v>341.83</v>
      </c>
      <c r="K331" s="1881">
        <v>392.2</v>
      </c>
      <c r="L331" s="712">
        <f>(C331*C$6+D331*D$6+E331*E$6+F331*F$6+G331*G$6+H331*H$6+I331*I$6+J331*J$6+K331*K$6)/B331-1</f>
        <v>6.5787081830803729E-5</v>
      </c>
    </row>
    <row r="332" spans="1:12">
      <c r="A332" s="209">
        <f t="shared" si="1"/>
        <v>2018.11</v>
      </c>
      <c r="B332" s="1853">
        <v>351.87</v>
      </c>
      <c r="C332" s="2057">
        <v>327.23</v>
      </c>
      <c r="D332" s="1850">
        <v>265.45</v>
      </c>
      <c r="E332" s="1870">
        <v>420.69</v>
      </c>
      <c r="F332" s="1850">
        <v>313.36</v>
      </c>
      <c r="G332" s="1870">
        <v>387.09</v>
      </c>
      <c r="H332" s="1850">
        <v>398.19</v>
      </c>
      <c r="I332" s="1870">
        <v>325.3</v>
      </c>
      <c r="J332" s="1850">
        <v>347.47</v>
      </c>
      <c r="K332" s="1881">
        <v>405.78</v>
      </c>
      <c r="L332" s="712">
        <f t="shared" si="4"/>
        <v>1.0694574700886861E-4</v>
      </c>
    </row>
    <row r="333" spans="1:12">
      <c r="A333" s="209">
        <f t="shared" si="1"/>
        <v>2018.12</v>
      </c>
      <c r="B333" s="1853">
        <v>361.06</v>
      </c>
      <c r="C333" s="2057">
        <v>334.09</v>
      </c>
      <c r="D333" s="1850">
        <v>273.66000000000003</v>
      </c>
      <c r="E333" s="1870">
        <v>429.73</v>
      </c>
      <c r="F333" s="1850">
        <v>321.08</v>
      </c>
      <c r="G333" s="1870">
        <v>403.82</v>
      </c>
      <c r="H333" s="1850">
        <v>407.93</v>
      </c>
      <c r="I333" s="1870">
        <v>338.65</v>
      </c>
      <c r="J333" s="1850">
        <v>351.15</v>
      </c>
      <c r="K333" s="1881">
        <v>418.55</v>
      </c>
      <c r="L333" s="712">
        <f t="shared" si="4"/>
        <v>6.9362432836728161E-5</v>
      </c>
    </row>
    <row r="334" spans="1:12">
      <c r="A334" s="209">
        <f t="shared" si="1"/>
        <v>2019.01</v>
      </c>
      <c r="B334" s="1853">
        <v>373.42</v>
      </c>
      <c r="C334" s="2057">
        <v>344.45</v>
      </c>
      <c r="D334" s="1850">
        <v>273.87</v>
      </c>
      <c r="E334" s="1870">
        <v>459.92</v>
      </c>
      <c r="F334" s="1850">
        <v>333.71</v>
      </c>
      <c r="G334" s="1870">
        <v>415.68</v>
      </c>
      <c r="H334" s="1850">
        <v>419.89</v>
      </c>
      <c r="I334" s="1870">
        <v>353.01</v>
      </c>
      <c r="J334" s="1850">
        <v>352.77</v>
      </c>
      <c r="K334" s="1881">
        <v>431.86</v>
      </c>
      <c r="L334" s="712">
        <f t="shared" si="4"/>
        <v>7.8670130148283945E-5</v>
      </c>
    </row>
    <row r="335" spans="1:12">
      <c r="A335" s="209">
        <f t="shared" si="1"/>
        <v>2019.02</v>
      </c>
      <c r="B335" s="1853">
        <v>387.85</v>
      </c>
      <c r="C335" s="2057">
        <v>362.04</v>
      </c>
      <c r="D335" s="1850">
        <v>276.2</v>
      </c>
      <c r="E335" s="1870">
        <v>486.02</v>
      </c>
      <c r="F335" s="1850">
        <v>344.95</v>
      </c>
      <c r="G335" s="1870">
        <v>427.06</v>
      </c>
      <c r="H335" s="1850">
        <v>437.46</v>
      </c>
      <c r="I335" s="1870">
        <v>357.11</v>
      </c>
      <c r="J335" s="1850">
        <v>354.45</v>
      </c>
      <c r="K335" s="1881">
        <v>443.76</v>
      </c>
      <c r="L335" s="712">
        <f t="shared" si="4"/>
        <v>1.6896480598149743E-4</v>
      </c>
    </row>
    <row r="336" spans="1:12">
      <c r="A336" s="209">
        <f t="shared" si="1"/>
        <v>2019.03</v>
      </c>
      <c r="B336" s="1853">
        <v>402.8</v>
      </c>
      <c r="C336" s="2057">
        <v>382.49</v>
      </c>
      <c r="D336" s="1850">
        <v>290.66000000000003</v>
      </c>
      <c r="E336" s="1870">
        <v>501.37</v>
      </c>
      <c r="F336" s="1850">
        <v>354.19</v>
      </c>
      <c r="G336" s="1870">
        <v>437.69</v>
      </c>
      <c r="H336" s="1850">
        <v>447.71</v>
      </c>
      <c r="I336" s="1870">
        <v>366.1</v>
      </c>
      <c r="J336" s="1850">
        <v>380.51</v>
      </c>
      <c r="K336" s="1881">
        <v>459.11</v>
      </c>
      <c r="L336" s="712">
        <f t="shared" si="4"/>
        <v>1.0558589870912627E-4</v>
      </c>
    </row>
    <row r="337" spans="1:12">
      <c r="A337" s="209">
        <f t="shared" si="1"/>
        <v>2019.04</v>
      </c>
      <c r="B337" s="1853">
        <v>416.66</v>
      </c>
      <c r="C337" s="2057">
        <v>397.43</v>
      </c>
      <c r="D337" s="1850">
        <v>310.74</v>
      </c>
      <c r="E337" s="1870">
        <v>518.11</v>
      </c>
      <c r="F337" s="1850">
        <v>367.06</v>
      </c>
      <c r="G337" s="1870">
        <v>453.1</v>
      </c>
      <c r="H337" s="1850">
        <v>459.12</v>
      </c>
      <c r="I337" s="1870">
        <v>374.65</v>
      </c>
      <c r="J337" s="1850">
        <v>388.02</v>
      </c>
      <c r="K337" s="1881">
        <v>471.19</v>
      </c>
      <c r="L337" s="712">
        <f t="shared" si="4"/>
        <v>1.1397542360680468E-4</v>
      </c>
    </row>
    <row r="338" spans="1:12">
      <c r="A338" s="209">
        <f t="shared" si="1"/>
        <v>2019.05</v>
      </c>
      <c r="B338" s="1853">
        <v>430.02</v>
      </c>
      <c r="C338" s="2057">
        <v>404.23</v>
      </c>
      <c r="D338" s="1850">
        <v>324.94</v>
      </c>
      <c r="E338" s="1870">
        <v>532.87</v>
      </c>
      <c r="F338" s="1850">
        <v>379.92</v>
      </c>
      <c r="G338" s="1870">
        <v>476.59</v>
      </c>
      <c r="H338" s="1850">
        <v>479.56</v>
      </c>
      <c r="I338" s="1870">
        <v>384.74</v>
      </c>
      <c r="J338" s="1850">
        <v>410.12</v>
      </c>
      <c r="K338" s="1881">
        <v>486.02</v>
      </c>
      <c r="L338" s="712">
        <f t="shared" si="4"/>
        <v>1.47737314543539E-4</v>
      </c>
    </row>
    <row r="339" spans="1:12">
      <c r="A339" s="209">
        <f t="shared" si="1"/>
        <v>2019.06</v>
      </c>
      <c r="B339" s="1853">
        <v>441.97</v>
      </c>
      <c r="C339" s="2057">
        <v>412.09</v>
      </c>
      <c r="D339" s="1850">
        <v>332.93</v>
      </c>
      <c r="E339" s="1870">
        <v>543.88</v>
      </c>
      <c r="F339" s="1850">
        <v>392.55</v>
      </c>
      <c r="G339" s="1870">
        <v>494.31</v>
      </c>
      <c r="H339" s="1850">
        <v>494.16</v>
      </c>
      <c r="I339" s="1870">
        <v>407.12</v>
      </c>
      <c r="J339" s="1850">
        <v>418.99</v>
      </c>
      <c r="K339" s="1881">
        <v>498.63</v>
      </c>
      <c r="L339" s="712">
        <f t="shared" si="4"/>
        <v>1.6575559427067788E-4</v>
      </c>
    </row>
    <row r="340" spans="1:12">
      <c r="A340" s="209">
        <f t="shared" si="1"/>
        <v>2019.07</v>
      </c>
      <c r="B340" s="1853">
        <v>452.05</v>
      </c>
      <c r="C340" s="2057">
        <v>420.41</v>
      </c>
      <c r="D340" s="1850">
        <v>340.28</v>
      </c>
      <c r="E340" s="1870">
        <v>551.1</v>
      </c>
      <c r="F340" s="1850">
        <v>402.85</v>
      </c>
      <c r="G340" s="1870">
        <v>515.64</v>
      </c>
      <c r="H340" s="1850">
        <v>504.43</v>
      </c>
      <c r="I340" s="1870">
        <v>420.7</v>
      </c>
      <c r="J340" s="1850">
        <v>435.62</v>
      </c>
      <c r="K340" s="1881">
        <v>506.89</v>
      </c>
      <c r="L340" s="712">
        <f t="shared" si="4"/>
        <v>1.9009622829324613E-4</v>
      </c>
    </row>
    <row r="341" spans="1:12">
      <c r="A341" s="209">
        <f t="shared" si="1"/>
        <v>2019.08</v>
      </c>
      <c r="B341" s="1853">
        <v>468.85</v>
      </c>
      <c r="C341" s="2057">
        <v>439.99</v>
      </c>
      <c r="D341" s="1850">
        <v>348.98</v>
      </c>
      <c r="E341" s="1870">
        <v>558.80999999999995</v>
      </c>
      <c r="F341" s="1850">
        <v>426.69</v>
      </c>
      <c r="G341" s="1870">
        <v>534.41999999999996</v>
      </c>
      <c r="H341" s="1850">
        <v>524.19000000000005</v>
      </c>
      <c r="I341" s="1870">
        <v>431.43</v>
      </c>
      <c r="J341" s="1850">
        <v>444.52</v>
      </c>
      <c r="K341" s="1881">
        <v>528.20000000000005</v>
      </c>
      <c r="L341" s="712">
        <f t="shared" si="4"/>
        <v>1.9525434573952616E-4</v>
      </c>
    </row>
    <row r="342" spans="1:12">
      <c r="A342" s="209">
        <f t="shared" ref="A342:A405" si="5">A330+1</f>
        <v>2019.09</v>
      </c>
      <c r="B342" s="1853">
        <v>495.63</v>
      </c>
      <c r="C342" s="2057">
        <v>465.47</v>
      </c>
      <c r="D342" s="1850">
        <v>371.89</v>
      </c>
      <c r="E342" s="1870">
        <v>568.13</v>
      </c>
      <c r="F342" s="1850">
        <v>466.3</v>
      </c>
      <c r="G342" s="1870">
        <v>580.91</v>
      </c>
      <c r="H342" s="1850">
        <v>550.27</v>
      </c>
      <c r="I342" s="1870">
        <v>461.53</v>
      </c>
      <c r="J342" s="1850">
        <v>457.53</v>
      </c>
      <c r="K342" s="1881">
        <v>566.35</v>
      </c>
      <c r="L342" s="712">
        <f t="shared" si="4"/>
        <v>1.3220547585901521E-4</v>
      </c>
    </row>
    <row r="343" spans="1:12">
      <c r="A343" s="209">
        <f t="shared" si="5"/>
        <v>2019.1</v>
      </c>
      <c r="B343" s="1853">
        <v>511.1</v>
      </c>
      <c r="C343" s="2057">
        <v>476.06</v>
      </c>
      <c r="D343" s="1850">
        <v>393.19</v>
      </c>
      <c r="E343" s="1870">
        <v>576.04999999999995</v>
      </c>
      <c r="F343" s="1850">
        <v>481.72</v>
      </c>
      <c r="G343" s="1870">
        <v>605.49</v>
      </c>
      <c r="H343" s="1850">
        <v>569.44000000000005</v>
      </c>
      <c r="I343" s="1870">
        <v>479.84</v>
      </c>
      <c r="J343" s="1850">
        <v>472.44</v>
      </c>
      <c r="K343" s="1881">
        <v>589.5</v>
      </c>
      <c r="L343" s="712">
        <f t="shared" si="4"/>
        <v>1.159596947759578E-4</v>
      </c>
    </row>
    <row r="344" spans="1:12">
      <c r="A344" s="209">
        <f t="shared" si="5"/>
        <v>2019.11</v>
      </c>
      <c r="B344" s="1853">
        <v>532.26</v>
      </c>
      <c r="C344" s="2057">
        <v>500.27</v>
      </c>
      <c r="D344" s="2057">
        <v>410.73</v>
      </c>
      <c r="E344" s="2057">
        <v>586.66</v>
      </c>
      <c r="F344" s="2057">
        <v>505.52</v>
      </c>
      <c r="G344" s="2057">
        <v>636.64</v>
      </c>
      <c r="H344" s="2057">
        <v>592.57000000000005</v>
      </c>
      <c r="I344" s="2057">
        <v>492.77</v>
      </c>
      <c r="J344" s="2057">
        <v>479.94</v>
      </c>
      <c r="K344" s="2057">
        <v>616.38</v>
      </c>
      <c r="L344" s="712">
        <f t="shared" si="4"/>
        <v>1.1956186825989867E-4</v>
      </c>
    </row>
    <row r="345" spans="1:12">
      <c r="A345" s="209">
        <f t="shared" si="5"/>
        <v>2019.12</v>
      </c>
      <c r="B345" s="2057">
        <v>552.72</v>
      </c>
      <c r="C345" s="2057">
        <v>517.02</v>
      </c>
      <c r="D345" s="2057">
        <v>424.19</v>
      </c>
      <c r="E345" s="2057">
        <v>593.64</v>
      </c>
      <c r="F345" s="2057">
        <v>516.95000000000005</v>
      </c>
      <c r="G345" s="2057">
        <v>675.44</v>
      </c>
      <c r="H345" s="2057">
        <v>626.02</v>
      </c>
      <c r="I345" s="2057">
        <v>523.87</v>
      </c>
      <c r="J345" s="2057">
        <v>483.54</v>
      </c>
      <c r="K345" s="2057">
        <v>633.5</v>
      </c>
      <c r="L345" s="712">
        <f t="shared" si="4"/>
        <v>2.8024858879716064E-4</v>
      </c>
    </row>
    <row r="346" spans="1:12">
      <c r="A346" s="209">
        <f t="shared" si="5"/>
        <v>2020.01</v>
      </c>
      <c r="B346" s="2057">
        <v>568.46</v>
      </c>
      <c r="C346" s="2057">
        <v>540.5</v>
      </c>
      <c r="D346" s="2057">
        <v>432.15</v>
      </c>
      <c r="E346" s="2057">
        <v>598.74</v>
      </c>
      <c r="F346" s="2057">
        <v>529.59</v>
      </c>
      <c r="G346" s="2057">
        <v>676.84</v>
      </c>
      <c r="H346" s="2057">
        <v>641.79999999999995</v>
      </c>
      <c r="I346" s="2057">
        <v>543.79</v>
      </c>
      <c r="J346" s="2057">
        <v>488.13</v>
      </c>
      <c r="K346" s="2057">
        <v>653.62</v>
      </c>
      <c r="L346" s="712">
        <f>(C346*C$6+D346*D$6+E346*E$6+F346*F$6+G346*G$6+H346*H$6+I346*I$6+J346*J$6+K346*K$6)/B346-1</f>
        <v>2.6602575379097715E-4</v>
      </c>
    </row>
    <row r="347" spans="1:12">
      <c r="A347" s="209">
        <f t="shared" si="5"/>
        <v>2020.02</v>
      </c>
      <c r="B347" s="2057">
        <v>578.71</v>
      </c>
      <c r="C347" s="2057">
        <v>553.86</v>
      </c>
      <c r="D347" s="2057">
        <v>436.34</v>
      </c>
      <c r="E347" s="2057">
        <v>603.6</v>
      </c>
      <c r="F347" s="2057">
        <v>540.16999999999996</v>
      </c>
      <c r="G347" s="2057">
        <v>681.54</v>
      </c>
      <c r="H347" s="2057">
        <v>652.94000000000005</v>
      </c>
      <c r="I347" s="2057">
        <v>556.5</v>
      </c>
      <c r="J347" s="2057">
        <v>497.29</v>
      </c>
      <c r="K347" s="2057">
        <v>664</v>
      </c>
      <c r="L347" s="712">
        <f t="shared" si="4"/>
        <v>2.8146912961579673E-4</v>
      </c>
    </row>
    <row r="348" spans="1:12">
      <c r="A348" s="209">
        <f t="shared" si="5"/>
        <v>2020.03</v>
      </c>
      <c r="B348" s="2057">
        <v>592.48</v>
      </c>
      <c r="C348" s="2057">
        <v>575.19000000000005</v>
      </c>
      <c r="D348" s="2057">
        <v>444.78</v>
      </c>
      <c r="E348" s="2057">
        <v>610.37</v>
      </c>
      <c r="F348" s="2057">
        <v>545.89</v>
      </c>
      <c r="G348" s="2057">
        <v>700.05</v>
      </c>
      <c r="H348" s="2057">
        <v>659.79</v>
      </c>
      <c r="I348" s="2057">
        <v>563.1</v>
      </c>
      <c r="J348" s="2057">
        <v>549.47</v>
      </c>
      <c r="K348" s="2057">
        <v>677.71</v>
      </c>
      <c r="L348" s="712">
        <f t="shared" si="4"/>
        <v>2.481332703212491E-4</v>
      </c>
    </row>
    <row r="349" spans="1:12">
      <c r="A349" s="209">
        <f t="shared" si="5"/>
        <v>2020.04</v>
      </c>
      <c r="B349" s="2057">
        <v>604.75</v>
      </c>
      <c r="C349" s="2057">
        <v>591.95000000000005</v>
      </c>
      <c r="D349" s="2057">
        <v>453.93</v>
      </c>
      <c r="E349" s="2057">
        <v>612.25</v>
      </c>
      <c r="F349" s="2057">
        <v>547.84</v>
      </c>
      <c r="G349" s="2057">
        <v>708.34</v>
      </c>
      <c r="H349" s="2057">
        <v>675.84</v>
      </c>
      <c r="I349" s="2057">
        <v>579.79</v>
      </c>
      <c r="J349" s="2057">
        <v>546.72</v>
      </c>
      <c r="K349" s="2057">
        <v>693.13</v>
      </c>
      <c r="L349" s="712">
        <f t="shared" si="4"/>
        <v>2.7098966515071155E-4</v>
      </c>
    </row>
    <row r="350" spans="1:12">
      <c r="A350" s="209">
        <f t="shared" si="5"/>
        <v>2020.05</v>
      </c>
      <c r="B350" s="2057">
        <v>614.51</v>
      </c>
      <c r="C350" s="2057">
        <v>595.88</v>
      </c>
      <c r="D350" s="2057">
        <v>492.35</v>
      </c>
      <c r="E350" s="2057">
        <v>619.16999999999996</v>
      </c>
      <c r="F350" s="2057">
        <v>567.57000000000005</v>
      </c>
      <c r="G350" s="2057">
        <v>714.52</v>
      </c>
      <c r="H350" s="2057">
        <v>686.61</v>
      </c>
      <c r="I350" s="2057">
        <v>587.48</v>
      </c>
      <c r="J350" s="2057">
        <v>540.53</v>
      </c>
      <c r="K350" s="2057">
        <v>695.33</v>
      </c>
      <c r="L350" s="712">
        <f t="shared" si="4"/>
        <v>2.7674732713878214E-4</v>
      </c>
    </row>
    <row r="351" spans="1:12">
      <c r="A351" s="209">
        <f t="shared" si="5"/>
        <v>2020.06</v>
      </c>
      <c r="B351" s="2057">
        <v>625.88</v>
      </c>
      <c r="C351" s="2057">
        <v>598.27</v>
      </c>
      <c r="D351" s="2057">
        <v>518.04</v>
      </c>
      <c r="E351" s="2057">
        <v>626.4</v>
      </c>
      <c r="F351" s="2057">
        <v>590.53</v>
      </c>
      <c r="G351" s="2057">
        <v>732.44</v>
      </c>
      <c r="H351" s="2057">
        <v>696.01</v>
      </c>
      <c r="I351" s="2057">
        <v>613.62</v>
      </c>
      <c r="J351" s="2057">
        <v>543.55999999999995</v>
      </c>
      <c r="K351" s="2057">
        <v>709.66</v>
      </c>
      <c r="L351" s="712">
        <f t="shared" si="4"/>
        <v>2.1541349779496954E-4</v>
      </c>
    </row>
    <row r="352" spans="1:12">
      <c r="A352" s="209">
        <f t="shared" si="5"/>
        <v>2020.07</v>
      </c>
      <c r="B352" s="2057">
        <v>641.44000000000005</v>
      </c>
      <c r="C352" s="2057">
        <v>610.22</v>
      </c>
      <c r="D352" s="2057">
        <v>542.24</v>
      </c>
      <c r="E352" s="2057">
        <v>633.67999999999995</v>
      </c>
      <c r="F352" s="2057">
        <v>617.03</v>
      </c>
      <c r="G352" s="2057">
        <v>751.85</v>
      </c>
      <c r="H352" s="2057">
        <v>699.46</v>
      </c>
      <c r="I352" s="2057">
        <v>665.85</v>
      </c>
      <c r="J352" s="2057">
        <v>544.23</v>
      </c>
      <c r="K352" s="2057">
        <v>719.1</v>
      </c>
      <c r="L352" s="712">
        <f t="shared" si="4"/>
        <v>1.358786480418761E-4</v>
      </c>
    </row>
    <row r="353" spans="1:12">
      <c r="A353" s="209">
        <f t="shared" si="5"/>
        <v>2020.08</v>
      </c>
      <c r="B353" s="2057">
        <v>659.44</v>
      </c>
      <c r="C353" s="2057">
        <v>629.70000000000005</v>
      </c>
      <c r="D353" s="2057">
        <v>547.85</v>
      </c>
      <c r="E353" s="2057">
        <v>647.30999999999995</v>
      </c>
      <c r="F353" s="2057">
        <v>644.39</v>
      </c>
      <c r="G353" s="2057">
        <v>775.86</v>
      </c>
      <c r="H353" s="2057">
        <v>711.71</v>
      </c>
      <c r="I353" s="2057">
        <v>700.01</v>
      </c>
      <c r="J353" s="2057">
        <v>554.11</v>
      </c>
      <c r="K353" s="2057">
        <v>733.95</v>
      </c>
      <c r="L353" s="712">
        <f t="shared" si="4"/>
        <v>1.303226980469141E-4</v>
      </c>
    </row>
    <row r="354" spans="1:12">
      <c r="A354" s="209">
        <f t="shared" si="5"/>
        <v>2020.09</v>
      </c>
      <c r="B354" s="2057">
        <v>677.39</v>
      </c>
      <c r="C354" s="2057">
        <v>648.34</v>
      </c>
      <c r="D354" s="2057">
        <v>559.6</v>
      </c>
      <c r="E354" s="2057">
        <v>658.95</v>
      </c>
      <c r="F354" s="2057">
        <v>662.01</v>
      </c>
      <c r="G354" s="2057">
        <v>806.74</v>
      </c>
      <c r="H354" s="2057">
        <v>737.6</v>
      </c>
      <c r="I354" s="2057">
        <v>706.42</v>
      </c>
      <c r="J354" s="2057">
        <v>557.75</v>
      </c>
      <c r="K354" s="2057">
        <v>753.5</v>
      </c>
      <c r="L354" s="712">
        <f t="shared" si="4"/>
        <v>1.9807348794653734E-4</v>
      </c>
    </row>
    <row r="355" spans="1:12">
      <c r="A355" s="209">
        <f t="shared" si="5"/>
        <v>2020.1</v>
      </c>
      <c r="B355" s="2057">
        <v>702.55</v>
      </c>
      <c r="C355" s="2057">
        <v>671.76</v>
      </c>
      <c r="D355" s="2057">
        <v>599.62</v>
      </c>
      <c r="E355" s="2057">
        <v>676.94</v>
      </c>
      <c r="F355" s="2057">
        <v>683.12</v>
      </c>
      <c r="G355" s="2057">
        <v>840.03</v>
      </c>
      <c r="H355" s="2057">
        <v>766.41</v>
      </c>
      <c r="I355" s="2057">
        <v>733.68</v>
      </c>
      <c r="J355" s="2057">
        <v>566.49</v>
      </c>
      <c r="K355" s="2057">
        <v>767.39</v>
      </c>
      <c r="L355" s="712">
        <f t="shared" si="4"/>
        <v>2.7796455768269723E-4</v>
      </c>
    </row>
    <row r="356" spans="1:12">
      <c r="A356" s="209">
        <f t="shared" si="5"/>
        <v>2020.11</v>
      </c>
      <c r="B356" s="2057">
        <v>728.13</v>
      </c>
      <c r="C356" s="2057">
        <v>695.92</v>
      </c>
      <c r="D356" s="2057">
        <v>628.45000000000005</v>
      </c>
      <c r="E356" s="2057">
        <v>699.63</v>
      </c>
      <c r="F356" s="2057">
        <v>709.78</v>
      </c>
      <c r="G356" s="2057">
        <v>862.92</v>
      </c>
      <c r="H356" s="2057">
        <v>790.83</v>
      </c>
      <c r="I356" s="2057">
        <v>779.42</v>
      </c>
      <c r="J356" s="2057">
        <v>574.80999999999995</v>
      </c>
      <c r="K356" s="2057">
        <v>782.53</v>
      </c>
      <c r="L356" s="712">
        <f t="shared" si="4"/>
        <v>3.0917693269061353E-4</v>
      </c>
    </row>
    <row r="357" spans="1:12">
      <c r="A357" s="209">
        <f t="shared" si="5"/>
        <v>2020.12</v>
      </c>
      <c r="B357" s="2057">
        <v>755.18</v>
      </c>
      <c r="C357" s="2057">
        <v>734.23</v>
      </c>
      <c r="D357" s="2057">
        <v>645.54999999999995</v>
      </c>
      <c r="E357" s="2057">
        <v>715.64</v>
      </c>
      <c r="F357" s="2057">
        <v>730.12</v>
      </c>
      <c r="G357" s="2057">
        <v>907.87</v>
      </c>
      <c r="H357" s="2057">
        <v>814.37</v>
      </c>
      <c r="I357" s="2057">
        <v>798.61</v>
      </c>
      <c r="J357" s="2057">
        <v>585.45000000000005</v>
      </c>
      <c r="K357" s="2057">
        <v>800.8</v>
      </c>
      <c r="L357" s="712">
        <f t="shared" si="4"/>
        <v>3.8572128499159142E-4</v>
      </c>
    </row>
    <row r="358" spans="1:12">
      <c r="A358" s="209">
        <f t="shared" si="5"/>
        <v>2021.01</v>
      </c>
      <c r="B358" s="2057">
        <v>791.8</v>
      </c>
      <c r="C358" s="2057">
        <v>771.61</v>
      </c>
      <c r="D358" s="2057">
        <v>654.02</v>
      </c>
      <c r="E358" s="2057">
        <v>736.11</v>
      </c>
      <c r="F358" s="2057">
        <v>755.51</v>
      </c>
      <c r="G358" s="2057">
        <v>927.55</v>
      </c>
      <c r="H358" s="2057">
        <v>880.87</v>
      </c>
      <c r="I358" s="2057">
        <v>850.58</v>
      </c>
      <c r="J358" s="2057">
        <v>590.63</v>
      </c>
      <c r="K358" s="2057">
        <v>827.19</v>
      </c>
      <c r="L358" s="712">
        <f t="shared" ref="L358:L417" si="6">(C358*C$6+D358*D$6+E358*E$6+F358*F$6+G358*G$6+H358*H$6+I358*I$6+J358*J$6+K358*K$6)/B358-1</f>
        <v>6.019297802475343E-4</v>
      </c>
    </row>
    <row r="359" spans="1:12">
      <c r="A359" s="209">
        <f t="shared" si="5"/>
        <v>2021.02</v>
      </c>
      <c r="B359" s="2057">
        <v>821.11</v>
      </c>
      <c r="C359" s="2057">
        <v>801.56</v>
      </c>
      <c r="D359" s="2057">
        <v>674.74</v>
      </c>
      <c r="E359" s="2057">
        <v>750.84</v>
      </c>
      <c r="F359" s="2057">
        <v>773.13</v>
      </c>
      <c r="G359" s="2057">
        <v>960.31</v>
      </c>
      <c r="H359" s="2057">
        <v>932.01</v>
      </c>
      <c r="I359" s="2057">
        <v>871.51</v>
      </c>
      <c r="J359" s="2057">
        <v>600.04999999999995</v>
      </c>
      <c r="K359" s="2057">
        <v>852.99</v>
      </c>
      <c r="L359" s="712">
        <f t="shared" si="6"/>
        <v>7.4234024673924814E-4</v>
      </c>
    </row>
    <row r="360" spans="1:12">
      <c r="A360" s="209">
        <f t="shared" si="5"/>
        <v>2021.03</v>
      </c>
      <c r="B360" s="2057">
        <v>856.2</v>
      </c>
      <c r="C360" s="2057">
        <v>849.89</v>
      </c>
      <c r="D360" s="2057">
        <v>715.1</v>
      </c>
      <c r="E360" s="2057">
        <v>766.09</v>
      </c>
      <c r="F360" s="2057">
        <v>801.34</v>
      </c>
      <c r="G360" s="2057">
        <v>997.86</v>
      </c>
      <c r="H360" s="2057">
        <v>952.69</v>
      </c>
      <c r="I360" s="2057">
        <v>893.7</v>
      </c>
      <c r="J360" s="2057">
        <v>690.61</v>
      </c>
      <c r="K360" s="2057">
        <v>889.81</v>
      </c>
      <c r="L360" s="712">
        <f t="shared" si="6"/>
        <v>6.4657089465081086E-4</v>
      </c>
    </row>
    <row r="361" spans="1:12">
      <c r="A361" s="209">
        <f t="shared" si="5"/>
        <v>2021.04</v>
      </c>
      <c r="B361" s="2057">
        <v>893.23</v>
      </c>
      <c r="C361" s="2057">
        <v>887.8</v>
      </c>
      <c r="D361" s="2057">
        <v>789.53</v>
      </c>
      <c r="E361" s="2057">
        <v>787.04</v>
      </c>
      <c r="F361" s="2057">
        <v>838.99</v>
      </c>
      <c r="G361" s="2057">
        <v>1032.01</v>
      </c>
      <c r="H361" s="2057">
        <v>994.12</v>
      </c>
      <c r="I361" s="2057">
        <v>902.66</v>
      </c>
      <c r="J361" s="2057">
        <v>743.27</v>
      </c>
      <c r="K361" s="2057">
        <v>917.98</v>
      </c>
      <c r="L361" s="712">
        <f t="shared" si="6"/>
        <v>6.6080628729459079E-4</v>
      </c>
    </row>
    <row r="362" spans="1:12">
      <c r="A362" s="209">
        <f t="shared" si="5"/>
        <v>2021.05</v>
      </c>
      <c r="B362" s="2057">
        <v>925.21</v>
      </c>
      <c r="C362" s="2057">
        <v>917.94</v>
      </c>
      <c r="D362" s="2057">
        <v>810.85</v>
      </c>
      <c r="E362" s="2057">
        <v>822.08</v>
      </c>
      <c r="F362" s="2057">
        <v>860.13</v>
      </c>
      <c r="G362" s="2057">
        <v>1076.3800000000001</v>
      </c>
      <c r="H362" s="2057">
        <v>1041.4000000000001</v>
      </c>
      <c r="I362" s="2057">
        <v>929.25</v>
      </c>
      <c r="J362" s="2057">
        <v>759.01</v>
      </c>
      <c r="K362" s="2057">
        <v>936.09</v>
      </c>
      <c r="L362" s="712">
        <f t="shared" si="6"/>
        <v>7.8451270522394978E-4</v>
      </c>
    </row>
    <row r="363" spans="1:12">
      <c r="A363" s="209">
        <f t="shared" si="5"/>
        <v>2021.06</v>
      </c>
      <c r="B363" s="2057">
        <v>954.95</v>
      </c>
      <c r="C363" s="2057">
        <v>947.79</v>
      </c>
      <c r="D363" s="2057">
        <v>840.67</v>
      </c>
      <c r="E363" s="2057">
        <v>839.81</v>
      </c>
      <c r="F363" s="2057">
        <v>890.01</v>
      </c>
      <c r="G363" s="2057">
        <v>1110.6099999999999</v>
      </c>
      <c r="H363" s="2057">
        <v>1079.22</v>
      </c>
      <c r="I363" s="2057">
        <v>951.16</v>
      </c>
      <c r="J363" s="2057">
        <v>773.99</v>
      </c>
      <c r="K363" s="2057">
        <v>974.32</v>
      </c>
      <c r="L363" s="712">
        <f t="shared" si="6"/>
        <v>7.741044033717781E-4</v>
      </c>
    </row>
    <row r="364" spans="1:12">
      <c r="A364" s="209">
        <f t="shared" si="5"/>
        <v>2021.07</v>
      </c>
      <c r="B364" s="2057">
        <v>983.49</v>
      </c>
      <c r="C364" s="2057">
        <v>977.21</v>
      </c>
      <c r="D364" s="2057">
        <v>863.86</v>
      </c>
      <c r="E364" s="2057">
        <v>872.85</v>
      </c>
      <c r="F364" s="2057">
        <v>918.96</v>
      </c>
      <c r="G364" s="2057">
        <v>1140.76</v>
      </c>
      <c r="H364" s="2057">
        <v>1100.6600000000001</v>
      </c>
      <c r="I364" s="2057">
        <v>991.31</v>
      </c>
      <c r="J364" s="2057">
        <v>812.03</v>
      </c>
      <c r="K364" s="2057">
        <v>996.43</v>
      </c>
      <c r="L364" s="712">
        <f t="shared" si="6"/>
        <v>7.4361000111844433E-4</v>
      </c>
    </row>
    <row r="365" spans="1:12">
      <c r="A365" s="209">
        <f t="shared" si="5"/>
        <v>2021.08</v>
      </c>
      <c r="B365" s="2057">
        <v>1010.55</v>
      </c>
      <c r="C365" s="2057">
        <v>996.37</v>
      </c>
      <c r="D365" s="2057">
        <v>900.19</v>
      </c>
      <c r="E365" s="2057">
        <v>871.14</v>
      </c>
      <c r="F365" s="2057">
        <v>947.96</v>
      </c>
      <c r="G365" s="2057">
        <v>1195.47</v>
      </c>
      <c r="H365" s="2057">
        <v>1126.56</v>
      </c>
      <c r="I365" s="2057">
        <v>1044.0999999999999</v>
      </c>
      <c r="J365" s="2057">
        <v>873.13</v>
      </c>
      <c r="K365" s="2057">
        <v>1024.0999999999999</v>
      </c>
      <c r="L365" s="712">
        <f t="shared" si="6"/>
        <v>7.0813715303552627E-4</v>
      </c>
    </row>
    <row r="366" spans="1:12">
      <c r="A366" s="209">
        <f t="shared" si="5"/>
        <v>2021.09</v>
      </c>
      <c r="B366" s="2057">
        <v>1041.01</v>
      </c>
      <c r="C366" s="2057">
        <v>1024.79</v>
      </c>
      <c r="D366" s="2057">
        <v>934.41</v>
      </c>
      <c r="E366" s="2057">
        <v>881.89</v>
      </c>
      <c r="F366" s="2057">
        <v>978.03</v>
      </c>
      <c r="G366" s="2057">
        <v>1246.54</v>
      </c>
      <c r="H366" s="2057">
        <v>1164.5999999999999</v>
      </c>
      <c r="I366" s="2057">
        <v>1062.5899999999999</v>
      </c>
      <c r="J366" s="2057">
        <v>920.13</v>
      </c>
      <c r="K366" s="2057">
        <v>1061.58</v>
      </c>
      <c r="L366" s="712">
        <f t="shared" si="6"/>
        <v>7.0863104100826746E-4</v>
      </c>
    </row>
    <row r="367" spans="1:12">
      <c r="A367" s="209">
        <f t="shared" si="5"/>
        <v>2021.1</v>
      </c>
      <c r="B367" s="2057">
        <v>1073.9100000000001</v>
      </c>
      <c r="C367" s="2057">
        <v>1058.4000000000001</v>
      </c>
      <c r="D367" s="2057">
        <v>978.56</v>
      </c>
      <c r="E367" s="2057">
        <v>903.42</v>
      </c>
      <c r="F367" s="2057">
        <v>1010.7</v>
      </c>
      <c r="G367" s="2057">
        <v>1305.1500000000001</v>
      </c>
      <c r="H367" s="2057">
        <v>1194.58</v>
      </c>
      <c r="I367" s="2057">
        <v>1087.23</v>
      </c>
      <c r="J367" s="2057">
        <v>962.88</v>
      </c>
      <c r="K367" s="2057">
        <v>1084.79</v>
      </c>
      <c r="L367" s="712">
        <f t="shared" si="6"/>
        <v>7.1749494836614858E-4</v>
      </c>
    </row>
    <row r="368" spans="1:12">
      <c r="A368" s="209">
        <f t="shared" si="5"/>
        <v>2021.11</v>
      </c>
      <c r="B368" s="2057">
        <v>1104.28</v>
      </c>
      <c r="C368" s="2057">
        <v>1087.6400000000001</v>
      </c>
      <c r="D368" s="2057">
        <v>1028.8399999999999</v>
      </c>
      <c r="E368" s="2057">
        <v>933.26</v>
      </c>
      <c r="F368" s="2057">
        <v>1044.69</v>
      </c>
      <c r="G368" s="2057">
        <v>1334.92</v>
      </c>
      <c r="H368" s="2057">
        <v>1228.3800000000001</v>
      </c>
      <c r="I368" s="2057">
        <v>1100.45</v>
      </c>
      <c r="J368" s="2057">
        <v>983.38</v>
      </c>
      <c r="K368" s="2057">
        <v>1107.48</v>
      </c>
      <c r="L368" s="712">
        <f t="shared" si="6"/>
        <v>7.2873637121007029E-4</v>
      </c>
    </row>
    <row r="369" spans="1:12">
      <c r="A369" s="209">
        <f t="shared" si="5"/>
        <v>2021.12</v>
      </c>
      <c r="B369" s="2057">
        <v>1138.2</v>
      </c>
      <c r="C369" s="2057">
        <v>1127.3</v>
      </c>
      <c r="D369" s="2057">
        <v>1078.1199999999999</v>
      </c>
      <c r="E369" s="2057">
        <v>946.37</v>
      </c>
      <c r="F369" s="2057">
        <v>1072.47</v>
      </c>
      <c r="G369" s="2057">
        <v>1348.7</v>
      </c>
      <c r="H369" s="2057">
        <v>1257.3699999999999</v>
      </c>
      <c r="I369" s="2057">
        <v>1143.1500000000001</v>
      </c>
      <c r="J369" s="2057">
        <v>1005</v>
      </c>
      <c r="K369" s="2057">
        <v>1162.3599999999999</v>
      </c>
      <c r="L369" s="712">
        <f t="shared" si="6"/>
        <v>6.2272184150424792E-4</v>
      </c>
    </row>
    <row r="370" spans="1:12">
      <c r="A370" s="209">
        <f t="shared" si="5"/>
        <v>2022.01</v>
      </c>
      <c r="B370" s="2057">
        <v>1184.1400000000001</v>
      </c>
      <c r="C370" s="2057">
        <v>1176.75</v>
      </c>
      <c r="D370" s="2057">
        <v>1114.75</v>
      </c>
      <c r="E370" s="2057">
        <v>965.09</v>
      </c>
      <c r="F370" s="2057">
        <v>1113.26</v>
      </c>
      <c r="G370" s="2057">
        <v>1406.55</v>
      </c>
      <c r="H370" s="2057">
        <v>1334.98</v>
      </c>
      <c r="I370" s="2057">
        <v>1169.1099999999999</v>
      </c>
      <c r="J370" s="2057">
        <v>1011.64</v>
      </c>
      <c r="K370" s="2057">
        <v>1187.31</v>
      </c>
      <c r="L370" s="712">
        <f t="shared" si="6"/>
        <v>8.1977637779306889E-4</v>
      </c>
    </row>
    <row r="371" spans="1:12">
      <c r="A371" s="209">
        <f t="shared" si="5"/>
        <v>2022.02</v>
      </c>
      <c r="B371" s="2057">
        <v>1242.28</v>
      </c>
      <c r="C371" s="2057">
        <v>1269.05</v>
      </c>
      <c r="D371" s="2057">
        <v>1164.2</v>
      </c>
      <c r="E371" s="2057">
        <v>1035.18</v>
      </c>
      <c r="F371" s="2057">
        <v>1162.9000000000001</v>
      </c>
      <c r="G371" s="2057">
        <v>1440.58</v>
      </c>
      <c r="H371" s="2057">
        <v>1365.83</v>
      </c>
      <c r="I371" s="2057">
        <v>1204.9000000000001</v>
      </c>
      <c r="J371" s="2057">
        <v>1025.92</v>
      </c>
      <c r="K371" s="2057">
        <v>1220.98</v>
      </c>
      <c r="L371" s="712">
        <f>(C371*C$6+D371*D$6+E371*E$6+F371*F$6+G371*G$6+H371*H$6+I371*I$6+J371*J$6+K371*K$6)/B371-1</f>
        <v>8.0069549537942208E-4</v>
      </c>
    </row>
    <row r="372" spans="1:12">
      <c r="A372" s="209">
        <f t="shared" si="5"/>
        <v>2022.03</v>
      </c>
      <c r="B372" s="2057">
        <v>1317.15</v>
      </c>
      <c r="C372" s="2057">
        <v>1365.21</v>
      </c>
      <c r="D372" s="2057">
        <v>1247.33</v>
      </c>
      <c r="E372" s="2057">
        <v>1130.01</v>
      </c>
      <c r="F372" s="2057">
        <v>1221.83</v>
      </c>
      <c r="G372" s="2057">
        <v>1493.58</v>
      </c>
      <c r="H372" s="2057">
        <v>1415.26</v>
      </c>
      <c r="I372" s="2057">
        <v>1229.75</v>
      </c>
      <c r="J372" s="2057">
        <v>1176.99</v>
      </c>
      <c r="K372" s="2057">
        <v>1297.24</v>
      </c>
      <c r="L372" s="712">
        <f t="shared" si="6"/>
        <v>6.6281896519004846E-4</v>
      </c>
    </row>
    <row r="373" spans="1:12">
      <c r="A373" s="209">
        <f t="shared" si="5"/>
        <v>2022.04</v>
      </c>
      <c r="B373" s="2057">
        <v>1395.48</v>
      </c>
      <c r="C373" s="2057">
        <v>1456.73</v>
      </c>
      <c r="D373" s="2057">
        <v>1357.12</v>
      </c>
      <c r="E373" s="2057">
        <v>1171.58</v>
      </c>
      <c r="F373" s="2057">
        <v>1280.18</v>
      </c>
      <c r="G373" s="2057">
        <v>1582.26</v>
      </c>
      <c r="H373" s="2057">
        <v>1494.16</v>
      </c>
      <c r="I373" s="2057">
        <v>1301.52</v>
      </c>
      <c r="J373" s="2057">
        <v>1247.83</v>
      </c>
      <c r="K373" s="2057">
        <v>1344.45</v>
      </c>
      <c r="L373" s="712">
        <f t="shared" si="6"/>
        <v>7.3606572648832191E-4</v>
      </c>
    </row>
    <row r="374" spans="1:12">
      <c r="A374" s="209">
        <f t="shared" si="5"/>
        <v>2022.05</v>
      </c>
      <c r="B374" s="2057">
        <v>1468.73</v>
      </c>
      <c r="C374" s="2057">
        <v>1523.77</v>
      </c>
      <c r="D374" s="2057">
        <v>1446.93</v>
      </c>
      <c r="E374" s="2057">
        <v>1217.6300000000001</v>
      </c>
      <c r="F374" s="2057">
        <v>1354.31</v>
      </c>
      <c r="G374" s="2057">
        <v>1680.07</v>
      </c>
      <c r="H374" s="2057">
        <v>1587.64</v>
      </c>
      <c r="I374" s="2057">
        <v>1367.12</v>
      </c>
      <c r="J374" s="2057">
        <v>1304.82</v>
      </c>
      <c r="K374" s="2057">
        <v>1401.16</v>
      </c>
      <c r="L374" s="712">
        <f t="shared" si="6"/>
        <v>8.0420975945227902E-4</v>
      </c>
    </row>
    <row r="375" spans="1:12">
      <c r="A375" s="209">
        <f t="shared" si="5"/>
        <v>2022.06</v>
      </c>
      <c r="B375" s="2057">
        <v>1543.16</v>
      </c>
      <c r="C375" s="2057">
        <v>1602.79</v>
      </c>
      <c r="D375" s="2057">
        <v>1542.25</v>
      </c>
      <c r="E375" s="2057">
        <v>1296.97</v>
      </c>
      <c r="F375" s="2057">
        <v>1432.81</v>
      </c>
      <c r="G375" s="2057">
        <v>1801.95</v>
      </c>
      <c r="H375" s="2057">
        <v>1635.87</v>
      </c>
      <c r="I375" s="2057">
        <v>1425.07</v>
      </c>
      <c r="J375" s="2057">
        <v>1345.64</v>
      </c>
      <c r="K375" s="2057">
        <v>1482.53</v>
      </c>
      <c r="L375" s="712">
        <f t="shared" si="6"/>
        <v>6.9787060317794136E-4</v>
      </c>
    </row>
    <row r="376" spans="1:12">
      <c r="A376" s="209">
        <f t="shared" si="5"/>
        <v>2022.07</v>
      </c>
      <c r="B376" s="2057">
        <v>1655.37</v>
      </c>
      <c r="C376" s="2057">
        <v>1703.56</v>
      </c>
      <c r="D376" s="2057">
        <v>1678.83</v>
      </c>
      <c r="E376" s="2057">
        <v>1356.26</v>
      </c>
      <c r="F376" s="2057">
        <v>1604.87</v>
      </c>
      <c r="G376" s="2057">
        <v>1924.01</v>
      </c>
      <c r="H376" s="2057">
        <v>1732.68</v>
      </c>
      <c r="I376" s="2057">
        <v>1606.35</v>
      </c>
      <c r="J376" s="2057">
        <v>1425.76</v>
      </c>
      <c r="K376" s="2057">
        <v>1587.77</v>
      </c>
      <c r="L376" s="712">
        <f>(C376*C$6+D376*D$6+E376*E$6+F376*F$6+G376*G$6+H376*H$6+I376*I$6+J376*J$6+K376*K$6)/B376-1</f>
        <v>6.092885578452556E-4</v>
      </c>
    </row>
    <row r="377" spans="1:12">
      <c r="A377" s="209">
        <f t="shared" si="5"/>
        <v>2022.08</v>
      </c>
      <c r="B377" s="2057">
        <v>1765.53</v>
      </c>
      <c r="C377" s="2057">
        <v>1824.49</v>
      </c>
      <c r="D377" s="2057">
        <v>1848.74</v>
      </c>
      <c r="E377" s="2057">
        <v>1410.45</v>
      </c>
      <c r="F377" s="2057">
        <v>1738.6</v>
      </c>
      <c r="G377" s="2057">
        <v>2043.96</v>
      </c>
      <c r="H377" s="2057">
        <v>1816.23</v>
      </c>
      <c r="I377" s="2057">
        <v>1686.93</v>
      </c>
      <c r="J377" s="2057">
        <v>1549.09</v>
      </c>
      <c r="K377" s="2057">
        <v>1737.46</v>
      </c>
      <c r="L377" s="712">
        <f t="shared" si="6"/>
        <v>4.2362689957142763E-4</v>
      </c>
    </row>
    <row r="378" spans="1:12">
      <c r="A378" s="209">
        <f t="shared" si="5"/>
        <v>2022.09</v>
      </c>
      <c r="B378" s="2057">
        <v>1873.76</v>
      </c>
      <c r="C378" s="2057">
        <v>1939.96</v>
      </c>
      <c r="D378" s="2057">
        <v>1966.68</v>
      </c>
      <c r="E378" s="2057">
        <v>1483.01</v>
      </c>
      <c r="F378" s="2057">
        <v>1852.11</v>
      </c>
      <c r="G378" s="2057">
        <v>2125.04</v>
      </c>
      <c r="H378" s="2057">
        <v>1934.87</v>
      </c>
      <c r="I378" s="2057">
        <v>1783.13</v>
      </c>
      <c r="J378" s="2057">
        <v>1644.72</v>
      </c>
      <c r="K378" s="2057">
        <v>1866.68</v>
      </c>
      <c r="L378" s="712">
        <f t="shared" si="6"/>
        <v>3.875523012553117E-4</v>
      </c>
    </row>
    <row r="379" spans="1:12">
      <c r="A379" s="209">
        <f t="shared" si="5"/>
        <v>2022.1</v>
      </c>
      <c r="B379" s="2057">
        <v>1981.79</v>
      </c>
      <c r="C379" s="2057">
        <v>2053.12</v>
      </c>
      <c r="D379" s="2057">
        <v>2105.2199999999998</v>
      </c>
      <c r="E379" s="2057">
        <v>1555.94</v>
      </c>
      <c r="F379" s="2057">
        <v>1944.65</v>
      </c>
      <c r="G379" s="2057">
        <v>2272.86</v>
      </c>
      <c r="H379" s="2057">
        <v>2039.6</v>
      </c>
      <c r="I379" s="2057">
        <v>1883.62</v>
      </c>
      <c r="J379" s="2057">
        <v>1766.6</v>
      </c>
      <c r="K379" s="2057">
        <v>1957.1</v>
      </c>
      <c r="L379" s="712">
        <f t="shared" si="6"/>
        <v>4.0554095035294502E-4</v>
      </c>
    </row>
    <row r="380" spans="1:12">
      <c r="A380" s="209">
        <f t="shared" si="5"/>
        <v>2022.11</v>
      </c>
      <c r="B380" s="2057">
        <v>2079.1799999999998</v>
      </c>
      <c r="C380" s="2057">
        <v>2136.23</v>
      </c>
      <c r="D380" s="2057">
        <v>2244.2800000000002</v>
      </c>
      <c r="E380" s="2057">
        <v>1637.05</v>
      </c>
      <c r="F380" s="2057">
        <v>2044.28</v>
      </c>
      <c r="G380" s="2057">
        <v>2370.06</v>
      </c>
      <c r="H380" s="2057">
        <v>2154.5500000000002</v>
      </c>
      <c r="I380" s="2057">
        <v>1956.04</v>
      </c>
      <c r="J380" s="2057">
        <v>1904.54</v>
      </c>
      <c r="K380" s="2057">
        <v>2062.9499999999998</v>
      </c>
      <c r="L380" s="712">
        <f t="shared" si="6"/>
        <v>3.8630229224967394E-4</v>
      </c>
    </row>
    <row r="381" spans="1:12">
      <c r="A381" s="209">
        <f t="shared" si="5"/>
        <v>2022.12</v>
      </c>
      <c r="B381" s="2057">
        <v>2192.67</v>
      </c>
      <c r="C381" s="2057">
        <v>2245.91</v>
      </c>
      <c r="D381" s="2057">
        <v>2378.4299999999998</v>
      </c>
      <c r="E381" s="2057">
        <v>1697.05</v>
      </c>
      <c r="F381" s="2057">
        <v>2173.7199999999998</v>
      </c>
      <c r="G381" s="2057">
        <v>2520.04</v>
      </c>
      <c r="H381" s="2057">
        <v>2281.87</v>
      </c>
      <c r="I381" s="2057">
        <v>2073.3000000000002</v>
      </c>
      <c r="J381" s="2057">
        <v>1969.67</v>
      </c>
      <c r="K381" s="2057">
        <v>2174.2600000000002</v>
      </c>
      <c r="L381" s="712">
        <f t="shared" si="6"/>
        <v>4.1173090341906082E-4</v>
      </c>
    </row>
    <row r="382" spans="1:12">
      <c r="A382" s="209">
        <f t="shared" si="5"/>
        <v>2023.01</v>
      </c>
      <c r="B382" s="2057">
        <v>2317.64</v>
      </c>
      <c r="C382" s="2057">
        <v>2398.88</v>
      </c>
      <c r="D382" s="2057">
        <v>2443.54</v>
      </c>
      <c r="E382" s="2057">
        <v>1769.34</v>
      </c>
      <c r="F382" s="2057">
        <v>2284.79</v>
      </c>
      <c r="G382" s="2057">
        <v>2681.06</v>
      </c>
      <c r="H382" s="2057">
        <v>2415.25</v>
      </c>
      <c r="I382" s="2057">
        <v>2196.5100000000002</v>
      </c>
      <c r="J382" s="2057">
        <v>2014</v>
      </c>
      <c r="K382" s="2057">
        <v>2317.04</v>
      </c>
      <c r="L382" s="712">
        <f t="shared" si="6"/>
        <v>4.4123418650010571E-4</v>
      </c>
    </row>
    <row r="383" spans="1:12">
      <c r="A383" s="209">
        <f t="shared" si="5"/>
        <v>2023.02</v>
      </c>
      <c r="B383" s="2057">
        <v>2467.56</v>
      </c>
      <c r="C383" s="2057">
        <v>2607.73</v>
      </c>
      <c r="D383" s="2057">
        <v>2546.27</v>
      </c>
      <c r="E383" s="2057">
        <v>1896.86</v>
      </c>
      <c r="F383" s="2057">
        <v>2409.61</v>
      </c>
      <c r="G383" s="2057">
        <v>2859.25</v>
      </c>
      <c r="H383" s="2057">
        <v>2545.38</v>
      </c>
      <c r="I383" s="2057">
        <v>2267.6</v>
      </c>
      <c r="J383" s="2057">
        <v>2108.88</v>
      </c>
      <c r="K383" s="2057">
        <v>2456.33</v>
      </c>
      <c r="L383" s="712">
        <f>(C383*C$6+D383*D$6+E383*E$6+F383*F$6+G383*G$6+H383*H$6+I383*I$6+J383*J$6+K383*K$6)/B383-1</f>
        <v>4.7098875002005158E-4</v>
      </c>
    </row>
    <row r="384" spans="1:12">
      <c r="A384" s="209">
        <f t="shared" si="5"/>
        <v>2023.03</v>
      </c>
      <c r="B384" s="2057">
        <v>2658.86</v>
      </c>
      <c r="C384" s="2057">
        <v>2853.14</v>
      </c>
      <c r="D384" s="2057">
        <v>2695.31</v>
      </c>
      <c r="E384" s="2057">
        <v>2142.4299999999998</v>
      </c>
      <c r="F384" s="2057">
        <v>2563.2199999999998</v>
      </c>
      <c r="G384" s="2057">
        <v>3025.86</v>
      </c>
      <c r="H384" s="2057">
        <v>2667.91</v>
      </c>
      <c r="I384" s="2057">
        <v>2368.7800000000002</v>
      </c>
      <c r="J384" s="2057">
        <v>2498.1</v>
      </c>
      <c r="K384" s="2057">
        <v>2658.98</v>
      </c>
      <c r="L384" s="712">
        <f t="shared" si="6"/>
        <v>3.2556471570499568E-4</v>
      </c>
    </row>
    <row r="385" spans="1:12">
      <c r="A385" s="209">
        <f t="shared" si="5"/>
        <v>2023.04</v>
      </c>
      <c r="B385" s="2057">
        <v>2884.85</v>
      </c>
      <c r="C385" s="2057">
        <v>3128.18</v>
      </c>
      <c r="D385" s="2057">
        <v>2958.59</v>
      </c>
      <c r="E385" s="2057">
        <v>2391.98</v>
      </c>
      <c r="F385" s="2057">
        <v>2752.38</v>
      </c>
      <c r="G385" s="2057">
        <v>3183.57</v>
      </c>
      <c r="H385" s="2057">
        <v>2847.4</v>
      </c>
      <c r="I385" s="2057">
        <v>2576.56</v>
      </c>
      <c r="J385" s="2057">
        <v>2718.52</v>
      </c>
      <c r="K385" s="2057">
        <v>2805.11</v>
      </c>
      <c r="L385" s="712">
        <f t="shared" si="6"/>
        <v>3.3185815553671283E-4</v>
      </c>
    </row>
    <row r="386" spans="1:12">
      <c r="A386" s="209">
        <f t="shared" si="5"/>
        <v>2023.05</v>
      </c>
      <c r="B386" s="2057">
        <v>3093.98</v>
      </c>
      <c r="C386" s="2057">
        <v>3317.21</v>
      </c>
      <c r="D386" s="2057">
        <v>3206.4</v>
      </c>
      <c r="E386" s="2057">
        <v>2620.94</v>
      </c>
      <c r="F386" s="2057">
        <v>3003.6</v>
      </c>
      <c r="G386" s="2057">
        <v>3445.7</v>
      </c>
      <c r="H386" s="2057">
        <v>3034.3</v>
      </c>
      <c r="I386" s="2057">
        <v>2783.53</v>
      </c>
      <c r="J386" s="2057">
        <v>2865.66</v>
      </c>
      <c r="K386" s="2057">
        <v>3030.85</v>
      </c>
      <c r="L386" s="712">
        <f t="shared" si="6"/>
        <v>2.5483196400766239E-4</v>
      </c>
    </row>
    <row r="387" spans="1:12">
      <c r="A387" s="209">
        <f t="shared" si="5"/>
        <v>2023.06</v>
      </c>
      <c r="B387" s="2057">
        <v>3269.51</v>
      </c>
      <c r="C387" s="2057">
        <v>3480.32</v>
      </c>
      <c r="D387" s="2057">
        <v>3388.48</v>
      </c>
      <c r="E387" s="2057">
        <v>2741.15</v>
      </c>
      <c r="F387" s="2057">
        <v>3251.17</v>
      </c>
      <c r="G387" s="2057">
        <v>3687.87</v>
      </c>
      <c r="H387" s="2057">
        <v>3224.59</v>
      </c>
      <c r="I387" s="2057">
        <v>2934.67</v>
      </c>
      <c r="J387" s="2057">
        <v>3028.55</v>
      </c>
      <c r="K387" s="2057">
        <v>3195.39</v>
      </c>
      <c r="L387" s="712">
        <f t="shared" si="6"/>
        <v>2.8110726072116954E-4</v>
      </c>
    </row>
    <row r="388" spans="1:12">
      <c r="A388" s="209">
        <f t="shared" si="5"/>
        <v>2023.07</v>
      </c>
      <c r="B388" s="2057">
        <v>3495.51</v>
      </c>
      <c r="C388" s="2057">
        <v>3696.78</v>
      </c>
      <c r="D388" s="2057">
        <v>3476.35</v>
      </c>
      <c r="E388" s="2057">
        <v>2846.6</v>
      </c>
      <c r="F388" s="2057">
        <v>3466.6</v>
      </c>
      <c r="G388" s="2057">
        <v>4010.74</v>
      </c>
      <c r="H388" s="2057">
        <v>3509.78</v>
      </c>
      <c r="I388" s="2057">
        <v>3262.71</v>
      </c>
      <c r="J388" s="2057">
        <v>3335.76</v>
      </c>
      <c r="K388" s="2057">
        <v>3422.14</v>
      </c>
      <c r="L388" s="712">
        <f t="shared" si="6"/>
        <v>3.6828731715821128E-4</v>
      </c>
    </row>
    <row r="389" spans="1:12">
      <c r="A389" s="209">
        <f t="shared" si="5"/>
        <v>2023.08</v>
      </c>
      <c r="B389" s="2057">
        <v>3931.68</v>
      </c>
      <c r="C389" s="2057">
        <v>4265.6000000000004</v>
      </c>
      <c r="D389" s="2057">
        <v>3765.94</v>
      </c>
      <c r="E389" s="2057">
        <v>3012.67</v>
      </c>
      <c r="F389" s="2057">
        <v>3946.52</v>
      </c>
      <c r="G389" s="2057">
        <v>4543.88</v>
      </c>
      <c r="H389" s="2057">
        <v>3927.23</v>
      </c>
      <c r="I389" s="2057">
        <v>3724.08</v>
      </c>
      <c r="J389" s="2057">
        <v>3672.84</v>
      </c>
      <c r="K389" s="2057">
        <v>3702.3</v>
      </c>
      <c r="L389" s="712">
        <f t="shared" si="6"/>
        <v>5.6270779921074876E-4</v>
      </c>
    </row>
    <row r="390" spans="1:12">
      <c r="A390" s="209">
        <f t="shared" si="5"/>
        <v>2023.09</v>
      </c>
      <c r="B390" s="2057">
        <v>4424.3100000000004</v>
      </c>
      <c r="C390" s="2057">
        <v>4871.3999999999996</v>
      </c>
      <c r="D390" s="2057">
        <v>4274.8999999999996</v>
      </c>
      <c r="E390" s="2057">
        <v>3170.63</v>
      </c>
      <c r="F390" s="2057">
        <v>4526.62</v>
      </c>
      <c r="G390" s="2057">
        <v>5018.1000000000004</v>
      </c>
      <c r="H390" s="2057">
        <v>4419.51</v>
      </c>
      <c r="I390" s="2057">
        <v>4139.76</v>
      </c>
      <c r="J390" s="2057">
        <v>4230.83</v>
      </c>
      <c r="K390" s="2057">
        <v>4113.55</v>
      </c>
      <c r="L390" s="712">
        <f t="shared" si="6"/>
        <v>6.191340570618209E-4</v>
      </c>
    </row>
    <row r="391" spans="1:12">
      <c r="A391" s="209">
        <f t="shared" si="5"/>
        <v>2023.1</v>
      </c>
      <c r="B391" s="2057">
        <v>4807.5</v>
      </c>
      <c r="C391" s="2057">
        <v>5231.09</v>
      </c>
      <c r="D391" s="2057">
        <v>4815.4399999999996</v>
      </c>
      <c r="E391" s="2057">
        <v>3420.95</v>
      </c>
      <c r="F391" s="2057">
        <v>4960.16</v>
      </c>
      <c r="G391" s="2057">
        <v>5345.32</v>
      </c>
      <c r="H391" s="2057">
        <v>4818.32</v>
      </c>
      <c r="I391" s="2057">
        <v>4570.2</v>
      </c>
      <c r="J391" s="2057">
        <v>4637.55</v>
      </c>
      <c r="K391" s="2057">
        <v>4490.6400000000003</v>
      </c>
      <c r="L391" s="712">
        <f t="shared" si="6"/>
        <v>5.5730442017676296E-4</v>
      </c>
    </row>
    <row r="392" spans="1:12">
      <c r="A392" s="209">
        <f t="shared" si="5"/>
        <v>2023.11</v>
      </c>
      <c r="B392" s="2057">
        <v>5407.62</v>
      </c>
      <c r="C392" s="2057">
        <v>5939.08</v>
      </c>
      <c r="D392" s="2057">
        <v>5316.24</v>
      </c>
      <c r="E392" s="2057">
        <v>3687.22</v>
      </c>
      <c r="F392" s="2057">
        <v>5582.47</v>
      </c>
      <c r="G392" s="2057">
        <v>6098.36</v>
      </c>
      <c r="H392" s="2057">
        <v>5474.3</v>
      </c>
      <c r="I392" s="2057">
        <v>5132.5200000000004</v>
      </c>
      <c r="J392" s="2057">
        <v>5070.76</v>
      </c>
      <c r="K392" s="2057">
        <v>4973.88</v>
      </c>
      <c r="L392" s="712">
        <f t="shared" si="6"/>
        <v>7.0633790835894494E-4</v>
      </c>
    </row>
    <row r="393" spans="1:12">
      <c r="A393" s="209">
        <f t="shared" si="5"/>
        <v>2023.12</v>
      </c>
      <c r="B393" s="2057">
        <v>6915.57</v>
      </c>
      <c r="C393" s="2057">
        <v>7773.05</v>
      </c>
      <c r="D393" s="2057">
        <v>6266.38</v>
      </c>
      <c r="E393" s="2057">
        <v>4145.53</v>
      </c>
      <c r="F393" s="2057">
        <v>8085.58</v>
      </c>
      <c r="G393" s="2057">
        <v>7819.55</v>
      </c>
      <c r="H393" s="2057">
        <v>6925</v>
      </c>
      <c r="I393" s="2057">
        <v>6341.14</v>
      </c>
      <c r="J393" s="2057">
        <v>5564.08</v>
      </c>
      <c r="K393" s="2057">
        <v>6944.53</v>
      </c>
      <c r="L393" s="712">
        <f t="shared" si="6"/>
        <v>4.8730618011250115E-4</v>
      </c>
    </row>
    <row r="394" spans="1:12">
      <c r="A394" s="209">
        <f t="shared" si="5"/>
        <v>2024.01</v>
      </c>
      <c r="B394" s="2057">
        <v>8345.61</v>
      </c>
      <c r="C394" s="2057">
        <v>9099.18</v>
      </c>
      <c r="D394" s="2057">
        <v>6966.72</v>
      </c>
      <c r="E394" s="2057">
        <v>4813.7</v>
      </c>
      <c r="F394" s="2057">
        <v>9804.4</v>
      </c>
      <c r="G394" s="2057">
        <v>9335.84</v>
      </c>
      <c r="H394" s="2057">
        <v>8832.75</v>
      </c>
      <c r="I394" s="2057">
        <v>7772.71</v>
      </c>
      <c r="J394" s="2057">
        <v>6076.09</v>
      </c>
      <c r="K394" s="2057">
        <v>9904.4599999999991</v>
      </c>
      <c r="L394" s="712">
        <f>(C394*C$6+D394*D$6+E394*E$6+F394*F$6+G394*G$6+H394*H$6+I394*I$6+J394*J$6+K394*K$6)/B394-1</f>
        <v>9.4795107846934457E-5</v>
      </c>
    </row>
    <row r="395" spans="1:12">
      <c r="A395" s="209">
        <f t="shared" si="5"/>
        <v>2024.02</v>
      </c>
      <c r="B395" s="2057">
        <v>9373.4699999999993</v>
      </c>
      <c r="C395" s="2057">
        <v>10103.23</v>
      </c>
      <c r="D395" s="2057">
        <v>7490.21</v>
      </c>
      <c r="E395" s="2057">
        <v>5357.6</v>
      </c>
      <c r="F395" s="2057">
        <v>10636.82</v>
      </c>
      <c r="G395" s="2057">
        <v>11006.92</v>
      </c>
      <c r="H395" s="2057">
        <v>10370.59</v>
      </c>
      <c r="I395" s="2057">
        <v>8499.27</v>
      </c>
      <c r="J395" s="2057">
        <v>6677.98</v>
      </c>
      <c r="K395" s="2057">
        <v>11273.52</v>
      </c>
      <c r="L395" s="712">
        <f t="shared" si="6"/>
        <v>3.0684879772380214E-4</v>
      </c>
    </row>
    <row r="396" spans="1:12">
      <c r="A396" s="209">
        <f t="shared" si="5"/>
        <v>2024.03</v>
      </c>
      <c r="B396" s="2057">
        <v>10535.81</v>
      </c>
      <c r="C396" s="2057">
        <v>11119.19</v>
      </c>
      <c r="D396" s="2057">
        <v>8147.94</v>
      </c>
      <c r="E396" s="2057">
        <v>7154.38</v>
      </c>
      <c r="F396" s="2057">
        <v>11327.32</v>
      </c>
      <c r="G396" s="2057">
        <v>12326.85</v>
      </c>
      <c r="H396" s="2057">
        <v>11884.33</v>
      </c>
      <c r="I396" s="2057">
        <v>9373.59</v>
      </c>
      <c r="J396" s="2057">
        <v>8472.9699999999993</v>
      </c>
      <c r="K396" s="2057">
        <v>12330.5</v>
      </c>
      <c r="L396" s="712">
        <f t="shared" si="6"/>
        <v>4.4818927068734915E-4</v>
      </c>
    </row>
    <row r="397" spans="1:12">
      <c r="A397" s="209">
        <f t="shared" si="5"/>
        <v>2024.04</v>
      </c>
      <c r="B397" s="2057" t="e">
        <v>#N/A</v>
      </c>
      <c r="C397" s="2057" t="e">
        <v>#N/A</v>
      </c>
      <c r="D397" s="2057" t="e">
        <v>#N/A</v>
      </c>
      <c r="E397" s="2057" t="e">
        <v>#N/A</v>
      </c>
      <c r="F397" s="2057" t="e">
        <v>#N/A</v>
      </c>
      <c r="G397" s="2057" t="e">
        <v>#N/A</v>
      </c>
      <c r="H397" s="2057" t="e">
        <v>#N/A</v>
      </c>
      <c r="I397" s="2057" t="e">
        <v>#N/A</v>
      </c>
      <c r="J397" s="2057" t="e">
        <v>#N/A</v>
      </c>
      <c r="K397" s="2057" t="e">
        <v>#N/A</v>
      </c>
      <c r="L397" s="712" t="e">
        <f t="shared" si="6"/>
        <v>#N/A</v>
      </c>
    </row>
    <row r="398" spans="1:12">
      <c r="A398" s="209">
        <f t="shared" si="5"/>
        <v>2024.05</v>
      </c>
      <c r="B398" s="2057" t="e">
        <v>#N/A</v>
      </c>
      <c r="C398" s="2057" t="e">
        <v>#N/A</v>
      </c>
      <c r="D398" s="2057" t="e">
        <v>#N/A</v>
      </c>
      <c r="E398" s="2057" t="e">
        <v>#N/A</v>
      </c>
      <c r="F398" s="2057" t="e">
        <v>#N/A</v>
      </c>
      <c r="G398" s="2057" t="e">
        <v>#N/A</v>
      </c>
      <c r="H398" s="2057" t="e">
        <v>#N/A</v>
      </c>
      <c r="I398" s="2057" t="e">
        <v>#N/A</v>
      </c>
      <c r="J398" s="2057" t="e">
        <v>#N/A</v>
      </c>
      <c r="K398" s="2057" t="e">
        <v>#N/A</v>
      </c>
      <c r="L398" s="712" t="e">
        <f t="shared" si="6"/>
        <v>#N/A</v>
      </c>
    </row>
    <row r="399" spans="1:12">
      <c r="A399" s="209">
        <f t="shared" si="5"/>
        <v>2024.06</v>
      </c>
      <c r="B399" s="2057" t="e">
        <v>#N/A</v>
      </c>
      <c r="C399" s="2057" t="e">
        <v>#N/A</v>
      </c>
      <c r="D399" s="2057" t="e">
        <v>#N/A</v>
      </c>
      <c r="E399" s="2057" t="e">
        <v>#N/A</v>
      </c>
      <c r="F399" s="2057" t="e">
        <v>#N/A</v>
      </c>
      <c r="G399" s="2057" t="e">
        <v>#N/A</v>
      </c>
      <c r="H399" s="2057" t="e">
        <v>#N/A</v>
      </c>
      <c r="I399" s="2057" t="e">
        <v>#N/A</v>
      </c>
      <c r="J399" s="2057" t="e">
        <v>#N/A</v>
      </c>
      <c r="K399" s="2057" t="e">
        <v>#N/A</v>
      </c>
      <c r="L399" s="712" t="e">
        <f t="shared" si="6"/>
        <v>#N/A</v>
      </c>
    </row>
    <row r="400" spans="1:12">
      <c r="A400" s="209">
        <f t="shared" si="5"/>
        <v>2024.07</v>
      </c>
      <c r="B400" s="2057" t="e">
        <v>#N/A</v>
      </c>
      <c r="C400" s="2057" t="e">
        <v>#N/A</v>
      </c>
      <c r="D400" s="2057" t="e">
        <v>#N/A</v>
      </c>
      <c r="E400" s="2057" t="e">
        <v>#N/A</v>
      </c>
      <c r="F400" s="2057" t="e">
        <v>#N/A</v>
      </c>
      <c r="G400" s="2057" t="e">
        <v>#N/A</v>
      </c>
      <c r="H400" s="2057" t="e">
        <v>#N/A</v>
      </c>
      <c r="I400" s="2057" t="e">
        <v>#N/A</v>
      </c>
      <c r="J400" s="2057" t="e">
        <v>#N/A</v>
      </c>
      <c r="K400" s="2057" t="e">
        <v>#N/A</v>
      </c>
      <c r="L400" s="712" t="e">
        <f t="shared" si="6"/>
        <v>#N/A</v>
      </c>
    </row>
    <row r="401" spans="1:12">
      <c r="A401" s="209">
        <f t="shared" si="5"/>
        <v>2024.08</v>
      </c>
      <c r="B401" s="2057" t="e">
        <v>#N/A</v>
      </c>
      <c r="C401" s="2057" t="e">
        <v>#N/A</v>
      </c>
      <c r="D401" s="2057" t="e">
        <v>#N/A</v>
      </c>
      <c r="E401" s="2057" t="e">
        <v>#N/A</v>
      </c>
      <c r="F401" s="2057" t="e">
        <v>#N/A</v>
      </c>
      <c r="G401" s="2057" t="e">
        <v>#N/A</v>
      </c>
      <c r="H401" s="2057" t="e">
        <v>#N/A</v>
      </c>
      <c r="I401" s="2057" t="e">
        <v>#N/A</v>
      </c>
      <c r="J401" s="2057" t="e">
        <v>#N/A</v>
      </c>
      <c r="K401" s="2057" t="e">
        <v>#N/A</v>
      </c>
      <c r="L401" s="712" t="e">
        <f t="shared" si="6"/>
        <v>#N/A</v>
      </c>
    </row>
    <row r="402" spans="1:12">
      <c r="A402" s="209">
        <f t="shared" si="5"/>
        <v>2024.09</v>
      </c>
      <c r="B402" s="2057" t="e">
        <v>#N/A</v>
      </c>
      <c r="C402" s="2057" t="e">
        <v>#N/A</v>
      </c>
      <c r="D402" s="2057" t="e">
        <v>#N/A</v>
      </c>
      <c r="E402" s="2057" t="e">
        <v>#N/A</v>
      </c>
      <c r="F402" s="2057" t="e">
        <v>#N/A</v>
      </c>
      <c r="G402" s="2057" t="e">
        <v>#N/A</v>
      </c>
      <c r="H402" s="2057" t="e">
        <v>#N/A</v>
      </c>
      <c r="I402" s="2057" t="e">
        <v>#N/A</v>
      </c>
      <c r="J402" s="2057" t="e">
        <v>#N/A</v>
      </c>
      <c r="K402" s="2057" t="e">
        <v>#N/A</v>
      </c>
      <c r="L402" s="712" t="e">
        <f t="shared" si="6"/>
        <v>#N/A</v>
      </c>
    </row>
    <row r="403" spans="1:12">
      <c r="A403" s="209">
        <f t="shared" si="5"/>
        <v>2024.1</v>
      </c>
      <c r="B403" s="2057" t="e">
        <v>#N/A</v>
      </c>
      <c r="C403" s="2057" t="e">
        <v>#N/A</v>
      </c>
      <c r="D403" s="2057" t="e">
        <v>#N/A</v>
      </c>
      <c r="E403" s="2057" t="e">
        <v>#N/A</v>
      </c>
      <c r="F403" s="2057" t="e">
        <v>#N/A</v>
      </c>
      <c r="G403" s="2057" t="e">
        <v>#N/A</v>
      </c>
      <c r="H403" s="2057" t="e">
        <v>#N/A</v>
      </c>
      <c r="I403" s="2057" t="e">
        <v>#N/A</v>
      </c>
      <c r="J403" s="2057" t="e">
        <v>#N/A</v>
      </c>
      <c r="K403" s="2057" t="e">
        <v>#N/A</v>
      </c>
      <c r="L403" s="712" t="e">
        <f t="shared" si="6"/>
        <v>#N/A</v>
      </c>
    </row>
    <row r="404" spans="1:12">
      <c r="A404" s="209">
        <f t="shared" si="5"/>
        <v>2024.11</v>
      </c>
      <c r="B404" s="2057" t="e">
        <v>#N/A</v>
      </c>
      <c r="C404" s="2057" t="e">
        <v>#N/A</v>
      </c>
      <c r="D404" s="2057" t="e">
        <v>#N/A</v>
      </c>
      <c r="E404" s="2057" t="e">
        <v>#N/A</v>
      </c>
      <c r="F404" s="2057" t="e">
        <v>#N/A</v>
      </c>
      <c r="G404" s="2057" t="e">
        <v>#N/A</v>
      </c>
      <c r="H404" s="2057" t="e">
        <v>#N/A</v>
      </c>
      <c r="I404" s="2057" t="e">
        <v>#N/A</v>
      </c>
      <c r="J404" s="2057" t="e">
        <v>#N/A</v>
      </c>
      <c r="K404" s="2057" t="e">
        <v>#N/A</v>
      </c>
      <c r="L404" s="712" t="e">
        <f t="shared" si="6"/>
        <v>#N/A</v>
      </c>
    </row>
    <row r="405" spans="1:12">
      <c r="A405" s="209">
        <f t="shared" si="5"/>
        <v>2024.12</v>
      </c>
      <c r="B405" s="2057" t="e">
        <v>#N/A</v>
      </c>
      <c r="C405" s="2057" t="e">
        <v>#N/A</v>
      </c>
      <c r="D405" s="2057" t="e">
        <v>#N/A</v>
      </c>
      <c r="E405" s="2057" t="e">
        <v>#N/A</v>
      </c>
      <c r="F405" s="2057" t="e">
        <v>#N/A</v>
      </c>
      <c r="G405" s="2057" t="e">
        <v>#N/A</v>
      </c>
      <c r="H405" s="2057" t="e">
        <v>#N/A</v>
      </c>
      <c r="I405" s="2057" t="e">
        <v>#N/A</v>
      </c>
      <c r="J405" s="2057" t="e">
        <v>#N/A</v>
      </c>
      <c r="K405" s="2057" t="e">
        <v>#N/A</v>
      </c>
      <c r="L405" s="712" t="e">
        <f t="shared" si="6"/>
        <v>#N/A</v>
      </c>
    </row>
    <row r="406" spans="1:12">
      <c r="A406" s="209">
        <f t="shared" ref="A406:A469" si="7">A394+1</f>
        <v>2025.01</v>
      </c>
      <c r="B406" s="2057" t="e">
        <v>#N/A</v>
      </c>
      <c r="C406" s="2057" t="e">
        <v>#N/A</v>
      </c>
      <c r="D406" s="2057" t="e">
        <v>#N/A</v>
      </c>
      <c r="E406" s="2057" t="e">
        <v>#N/A</v>
      </c>
      <c r="F406" s="2057" t="e">
        <v>#N/A</v>
      </c>
      <c r="G406" s="2057" t="e">
        <v>#N/A</v>
      </c>
      <c r="H406" s="2057" t="e">
        <v>#N/A</v>
      </c>
      <c r="I406" s="2057" t="e">
        <v>#N/A</v>
      </c>
      <c r="J406" s="2057" t="e">
        <v>#N/A</v>
      </c>
      <c r="K406" s="2057" t="e">
        <v>#N/A</v>
      </c>
      <c r="L406" s="712" t="e">
        <f t="shared" si="6"/>
        <v>#N/A</v>
      </c>
    </row>
    <row r="407" spans="1:12">
      <c r="A407" s="209">
        <f t="shared" si="7"/>
        <v>2025.02</v>
      </c>
      <c r="B407" s="2057" t="e">
        <v>#N/A</v>
      </c>
      <c r="C407" s="2057" t="e">
        <v>#N/A</v>
      </c>
      <c r="D407" s="2057" t="e">
        <v>#N/A</v>
      </c>
      <c r="E407" s="2057" t="e">
        <v>#N/A</v>
      </c>
      <c r="F407" s="2057" t="e">
        <v>#N/A</v>
      </c>
      <c r="G407" s="2057" t="e">
        <v>#N/A</v>
      </c>
      <c r="H407" s="2057" t="e">
        <v>#N/A</v>
      </c>
      <c r="I407" s="2057" t="e">
        <v>#N/A</v>
      </c>
      <c r="J407" s="2057" t="e">
        <v>#N/A</v>
      </c>
      <c r="K407" s="2057" t="e">
        <v>#N/A</v>
      </c>
      <c r="L407" s="712" t="e">
        <f t="shared" si="6"/>
        <v>#N/A</v>
      </c>
    </row>
    <row r="408" spans="1:12">
      <c r="A408" s="209">
        <f t="shared" si="7"/>
        <v>2025.03</v>
      </c>
      <c r="B408" s="2057" t="e">
        <v>#N/A</v>
      </c>
      <c r="C408" s="2057" t="e">
        <v>#N/A</v>
      </c>
      <c r="D408" s="2057" t="e">
        <v>#N/A</v>
      </c>
      <c r="E408" s="2057" t="e">
        <v>#N/A</v>
      </c>
      <c r="F408" s="2057" t="e">
        <v>#N/A</v>
      </c>
      <c r="G408" s="2057" t="e">
        <v>#N/A</v>
      </c>
      <c r="H408" s="2057" t="e">
        <v>#N/A</v>
      </c>
      <c r="I408" s="2057" t="e">
        <v>#N/A</v>
      </c>
      <c r="J408" s="2057" t="e">
        <v>#N/A</v>
      </c>
      <c r="K408" s="2057" t="e">
        <v>#N/A</v>
      </c>
      <c r="L408" s="712" t="e">
        <f t="shared" si="6"/>
        <v>#N/A</v>
      </c>
    </row>
    <row r="409" spans="1:12">
      <c r="A409" s="209">
        <f t="shared" si="7"/>
        <v>2025.04</v>
      </c>
      <c r="B409" s="2057" t="e">
        <v>#N/A</v>
      </c>
      <c r="C409" s="2057" t="e">
        <v>#N/A</v>
      </c>
      <c r="D409" s="2057" t="e">
        <v>#N/A</v>
      </c>
      <c r="E409" s="2057" t="e">
        <v>#N/A</v>
      </c>
      <c r="F409" s="2057" t="e">
        <v>#N/A</v>
      </c>
      <c r="G409" s="2057" t="e">
        <v>#N/A</v>
      </c>
      <c r="H409" s="2057" t="e">
        <v>#N/A</v>
      </c>
      <c r="I409" s="2057" t="e">
        <v>#N/A</v>
      </c>
      <c r="J409" s="2057" t="e">
        <v>#N/A</v>
      </c>
      <c r="K409" s="2057" t="e">
        <v>#N/A</v>
      </c>
      <c r="L409" s="712" t="e">
        <f t="shared" si="6"/>
        <v>#N/A</v>
      </c>
    </row>
    <row r="410" spans="1:12">
      <c r="A410" s="209">
        <f t="shared" si="7"/>
        <v>2025.05</v>
      </c>
      <c r="B410" s="2057" t="e">
        <v>#N/A</v>
      </c>
      <c r="C410" s="2057" t="e">
        <v>#N/A</v>
      </c>
      <c r="D410" s="2057" t="e">
        <v>#N/A</v>
      </c>
      <c r="E410" s="2057" t="e">
        <v>#N/A</v>
      </c>
      <c r="F410" s="2057" t="e">
        <v>#N/A</v>
      </c>
      <c r="G410" s="2057" t="e">
        <v>#N/A</v>
      </c>
      <c r="H410" s="2057" t="e">
        <v>#N/A</v>
      </c>
      <c r="I410" s="2057" t="e">
        <v>#N/A</v>
      </c>
      <c r="J410" s="2057" t="e">
        <v>#N/A</v>
      </c>
      <c r="K410" s="2057" t="e">
        <v>#N/A</v>
      </c>
      <c r="L410" s="712" t="e">
        <f t="shared" si="6"/>
        <v>#N/A</v>
      </c>
    </row>
    <row r="411" spans="1:12">
      <c r="A411" s="209">
        <f t="shared" si="7"/>
        <v>2025.06</v>
      </c>
      <c r="B411" s="2057" t="e">
        <v>#N/A</v>
      </c>
      <c r="C411" s="2057" t="e">
        <v>#N/A</v>
      </c>
      <c r="D411" s="2057" t="e">
        <v>#N/A</v>
      </c>
      <c r="E411" s="2057" t="e">
        <v>#N/A</v>
      </c>
      <c r="F411" s="2057" t="e">
        <v>#N/A</v>
      </c>
      <c r="G411" s="2057" t="e">
        <v>#N/A</v>
      </c>
      <c r="H411" s="2057" t="e">
        <v>#N/A</v>
      </c>
      <c r="I411" s="2057" t="e">
        <v>#N/A</v>
      </c>
      <c r="J411" s="2057" t="e">
        <v>#N/A</v>
      </c>
      <c r="K411" s="2057" t="e">
        <v>#N/A</v>
      </c>
      <c r="L411" s="712" t="e">
        <f t="shared" si="6"/>
        <v>#N/A</v>
      </c>
    </row>
    <row r="412" spans="1:12">
      <c r="A412" s="209">
        <f t="shared" si="7"/>
        <v>2025.07</v>
      </c>
      <c r="B412" s="2057" t="e">
        <v>#N/A</v>
      </c>
      <c r="C412" s="2057" t="e">
        <v>#N/A</v>
      </c>
      <c r="D412" s="2057" t="e">
        <v>#N/A</v>
      </c>
      <c r="E412" s="2057" t="e">
        <v>#N/A</v>
      </c>
      <c r="F412" s="2057" t="e">
        <v>#N/A</v>
      </c>
      <c r="G412" s="2057" t="e">
        <v>#N/A</v>
      </c>
      <c r="H412" s="2057" t="e">
        <v>#N/A</v>
      </c>
      <c r="I412" s="2057" t="e">
        <v>#N/A</v>
      </c>
      <c r="J412" s="2057" t="e">
        <v>#N/A</v>
      </c>
      <c r="K412" s="2057" t="e">
        <v>#N/A</v>
      </c>
      <c r="L412" s="712" t="e">
        <f t="shared" si="6"/>
        <v>#N/A</v>
      </c>
    </row>
    <row r="413" spans="1:12">
      <c r="A413" s="209">
        <f t="shared" si="7"/>
        <v>2025.08</v>
      </c>
      <c r="B413" s="2057" t="e">
        <v>#N/A</v>
      </c>
      <c r="C413" s="2057" t="e">
        <v>#N/A</v>
      </c>
      <c r="D413" s="2057" t="e">
        <v>#N/A</v>
      </c>
      <c r="E413" s="2057" t="e">
        <v>#N/A</v>
      </c>
      <c r="F413" s="2057" t="e">
        <v>#N/A</v>
      </c>
      <c r="G413" s="2057" t="e">
        <v>#N/A</v>
      </c>
      <c r="H413" s="2057" t="e">
        <v>#N/A</v>
      </c>
      <c r="I413" s="2057" t="e">
        <v>#N/A</v>
      </c>
      <c r="J413" s="2057" t="e">
        <v>#N/A</v>
      </c>
      <c r="K413" s="2057" t="e">
        <v>#N/A</v>
      </c>
      <c r="L413" s="712" t="e">
        <f t="shared" si="6"/>
        <v>#N/A</v>
      </c>
    </row>
    <row r="414" spans="1:12">
      <c r="A414" s="209">
        <f t="shared" si="7"/>
        <v>2025.09</v>
      </c>
      <c r="B414" s="2057" t="e">
        <v>#N/A</v>
      </c>
      <c r="C414" s="2057" t="e">
        <v>#N/A</v>
      </c>
      <c r="D414" s="2057" t="e">
        <v>#N/A</v>
      </c>
      <c r="E414" s="2057" t="e">
        <v>#N/A</v>
      </c>
      <c r="F414" s="2057" t="e">
        <v>#N/A</v>
      </c>
      <c r="G414" s="2057" t="e">
        <v>#N/A</v>
      </c>
      <c r="H414" s="2057" t="e">
        <v>#N/A</v>
      </c>
      <c r="I414" s="2057" t="e">
        <v>#N/A</v>
      </c>
      <c r="J414" s="2057" t="e">
        <v>#N/A</v>
      </c>
      <c r="K414" s="2057" t="e">
        <v>#N/A</v>
      </c>
      <c r="L414" s="712" t="e">
        <f t="shared" si="6"/>
        <v>#N/A</v>
      </c>
    </row>
    <row r="415" spans="1:12">
      <c r="A415" s="209">
        <f t="shared" si="7"/>
        <v>2025.1</v>
      </c>
      <c r="B415" s="2057" t="e">
        <v>#N/A</v>
      </c>
      <c r="C415" s="2057" t="e">
        <v>#N/A</v>
      </c>
      <c r="D415" s="2057" t="e">
        <v>#N/A</v>
      </c>
      <c r="E415" s="2057" t="e">
        <v>#N/A</v>
      </c>
      <c r="F415" s="2057" t="e">
        <v>#N/A</v>
      </c>
      <c r="G415" s="2057" t="e">
        <v>#N/A</v>
      </c>
      <c r="H415" s="2057" t="e">
        <v>#N/A</v>
      </c>
      <c r="I415" s="2057" t="e">
        <v>#N/A</v>
      </c>
      <c r="J415" s="2057" t="e">
        <v>#N/A</v>
      </c>
      <c r="K415" s="2057" t="e">
        <v>#N/A</v>
      </c>
      <c r="L415" s="712" t="e">
        <f t="shared" si="6"/>
        <v>#N/A</v>
      </c>
    </row>
    <row r="416" spans="1:12">
      <c r="A416" s="209">
        <f t="shared" si="7"/>
        <v>2025.11</v>
      </c>
      <c r="B416" s="2057" t="e">
        <v>#N/A</v>
      </c>
      <c r="C416" s="2057" t="e">
        <v>#N/A</v>
      </c>
      <c r="D416" s="2057" t="e">
        <v>#N/A</v>
      </c>
      <c r="E416" s="2057" t="e">
        <v>#N/A</v>
      </c>
      <c r="F416" s="2057" t="e">
        <v>#N/A</v>
      </c>
      <c r="G416" s="2057" t="e">
        <v>#N/A</v>
      </c>
      <c r="H416" s="2057" t="e">
        <v>#N/A</v>
      </c>
      <c r="I416" s="2057" t="e">
        <v>#N/A</v>
      </c>
      <c r="J416" s="2057" t="e">
        <v>#N/A</v>
      </c>
      <c r="K416" s="2057" t="e">
        <v>#N/A</v>
      </c>
      <c r="L416" s="712" t="e">
        <f t="shared" si="6"/>
        <v>#N/A</v>
      </c>
    </row>
    <row r="417" spans="1:12">
      <c r="A417" s="209">
        <f t="shared" si="7"/>
        <v>2025.12</v>
      </c>
      <c r="B417" s="2057" t="e">
        <v>#N/A</v>
      </c>
      <c r="C417" s="2057" t="e">
        <v>#N/A</v>
      </c>
      <c r="D417" s="2057" t="e">
        <v>#N/A</v>
      </c>
      <c r="E417" s="2057" t="e">
        <v>#N/A</v>
      </c>
      <c r="F417" s="2057" t="e">
        <v>#N/A</v>
      </c>
      <c r="G417" s="2057" t="e">
        <v>#N/A</v>
      </c>
      <c r="H417" s="2057" t="e">
        <v>#N/A</v>
      </c>
      <c r="I417" s="2057" t="e">
        <v>#N/A</v>
      </c>
      <c r="J417" s="2057" t="e">
        <v>#N/A</v>
      </c>
      <c r="K417" s="2057" t="e">
        <v>#N/A</v>
      </c>
      <c r="L417" s="712" t="e">
        <f t="shared" si="6"/>
        <v>#N/A</v>
      </c>
    </row>
    <row r="418" spans="1:12">
      <c r="A418" s="2765">
        <f t="shared" si="7"/>
        <v>2026.01</v>
      </c>
      <c r="B418" s="2057" t="e">
        <v>#N/A</v>
      </c>
      <c r="C418" s="2057" t="e">
        <v>#N/A</v>
      </c>
      <c r="D418" s="2057" t="e">
        <v>#N/A</v>
      </c>
      <c r="E418" s="2057" t="e">
        <v>#N/A</v>
      </c>
      <c r="F418" s="2057" t="e">
        <v>#N/A</v>
      </c>
      <c r="G418" s="2057" t="e">
        <v>#N/A</v>
      </c>
      <c r="H418" s="2057" t="e">
        <v>#N/A</v>
      </c>
      <c r="I418" s="2057" t="e">
        <v>#N/A</v>
      </c>
      <c r="J418" s="2057" t="e">
        <v>#N/A</v>
      </c>
      <c r="K418" s="2057" t="e">
        <v>#N/A</v>
      </c>
      <c r="L418" s="712" t="e">
        <f t="shared" ref="L418:L477" si="8">(C418*C$6+D418*D$6+E418*E$6+F418*F$6+G418*G$6+H418*H$6+I418*I$6+J418*J$6+K418*K$6)/B418-1</f>
        <v>#N/A</v>
      </c>
    </row>
    <row r="419" spans="1:12">
      <c r="A419" s="2765">
        <f t="shared" si="7"/>
        <v>2026.02</v>
      </c>
      <c r="B419" s="2057" t="e">
        <v>#N/A</v>
      </c>
      <c r="C419" s="2057" t="e">
        <v>#N/A</v>
      </c>
      <c r="D419" s="2057" t="e">
        <v>#N/A</v>
      </c>
      <c r="E419" s="2057" t="e">
        <v>#N/A</v>
      </c>
      <c r="F419" s="2057" t="e">
        <v>#N/A</v>
      </c>
      <c r="G419" s="2057" t="e">
        <v>#N/A</v>
      </c>
      <c r="H419" s="2057" t="e">
        <v>#N/A</v>
      </c>
      <c r="I419" s="2057" t="e">
        <v>#N/A</v>
      </c>
      <c r="J419" s="2057" t="e">
        <v>#N/A</v>
      </c>
      <c r="K419" s="2057" t="e">
        <v>#N/A</v>
      </c>
      <c r="L419" s="712" t="e">
        <f t="shared" si="8"/>
        <v>#N/A</v>
      </c>
    </row>
    <row r="420" spans="1:12">
      <c r="A420" s="2765">
        <f t="shared" si="7"/>
        <v>2026.03</v>
      </c>
      <c r="B420" s="2057" t="e">
        <v>#N/A</v>
      </c>
      <c r="C420" s="2057" t="e">
        <v>#N/A</v>
      </c>
      <c r="D420" s="2057" t="e">
        <v>#N/A</v>
      </c>
      <c r="E420" s="2057" t="e">
        <v>#N/A</v>
      </c>
      <c r="F420" s="2057" t="e">
        <v>#N/A</v>
      </c>
      <c r="G420" s="2057" t="e">
        <v>#N/A</v>
      </c>
      <c r="H420" s="2057" t="e">
        <v>#N/A</v>
      </c>
      <c r="I420" s="2057" t="e">
        <v>#N/A</v>
      </c>
      <c r="J420" s="2057" t="e">
        <v>#N/A</v>
      </c>
      <c r="K420" s="2057" t="e">
        <v>#N/A</v>
      </c>
      <c r="L420" s="712" t="e">
        <f t="shared" si="8"/>
        <v>#N/A</v>
      </c>
    </row>
    <row r="421" spans="1:12">
      <c r="A421" s="2765">
        <f t="shared" si="7"/>
        <v>2026.04</v>
      </c>
      <c r="B421" s="2057" t="e">
        <v>#N/A</v>
      </c>
      <c r="C421" s="2057" t="e">
        <v>#N/A</v>
      </c>
      <c r="D421" s="2057" t="e">
        <v>#N/A</v>
      </c>
      <c r="E421" s="2057" t="e">
        <v>#N/A</v>
      </c>
      <c r="F421" s="2057" t="e">
        <v>#N/A</v>
      </c>
      <c r="G421" s="2057" t="e">
        <v>#N/A</v>
      </c>
      <c r="H421" s="2057" t="e">
        <v>#N/A</v>
      </c>
      <c r="I421" s="2057" t="e">
        <v>#N/A</v>
      </c>
      <c r="J421" s="2057" t="e">
        <v>#N/A</v>
      </c>
      <c r="K421" s="2057" t="e">
        <v>#N/A</v>
      </c>
      <c r="L421" s="712" t="e">
        <f t="shared" si="8"/>
        <v>#N/A</v>
      </c>
    </row>
    <row r="422" spans="1:12">
      <c r="A422" s="2765">
        <f t="shared" si="7"/>
        <v>2026.05</v>
      </c>
      <c r="B422" s="2057" t="e">
        <v>#N/A</v>
      </c>
      <c r="C422" s="2057" t="e">
        <v>#N/A</v>
      </c>
      <c r="D422" s="2057" t="e">
        <v>#N/A</v>
      </c>
      <c r="E422" s="2057" t="e">
        <v>#N/A</v>
      </c>
      <c r="F422" s="2057" t="e">
        <v>#N/A</v>
      </c>
      <c r="G422" s="2057" t="e">
        <v>#N/A</v>
      </c>
      <c r="H422" s="2057" t="e">
        <v>#N/A</v>
      </c>
      <c r="I422" s="2057" t="e">
        <v>#N/A</v>
      </c>
      <c r="J422" s="2057" t="e">
        <v>#N/A</v>
      </c>
      <c r="K422" s="2057" t="e">
        <v>#N/A</v>
      </c>
      <c r="L422" s="712" t="e">
        <f t="shared" si="8"/>
        <v>#N/A</v>
      </c>
    </row>
    <row r="423" spans="1:12">
      <c r="A423" s="2765">
        <f t="shared" si="7"/>
        <v>2026.06</v>
      </c>
      <c r="B423" s="2057" t="e">
        <v>#N/A</v>
      </c>
      <c r="C423" s="2057" t="e">
        <v>#N/A</v>
      </c>
      <c r="D423" s="2057" t="e">
        <v>#N/A</v>
      </c>
      <c r="E423" s="2057" t="e">
        <v>#N/A</v>
      </c>
      <c r="F423" s="2057" t="e">
        <v>#N/A</v>
      </c>
      <c r="G423" s="2057" t="e">
        <v>#N/A</v>
      </c>
      <c r="H423" s="2057" t="e">
        <v>#N/A</v>
      </c>
      <c r="I423" s="2057" t="e">
        <v>#N/A</v>
      </c>
      <c r="J423" s="2057" t="e">
        <v>#N/A</v>
      </c>
      <c r="K423" s="2057" t="e">
        <v>#N/A</v>
      </c>
      <c r="L423" s="712" t="e">
        <f t="shared" si="8"/>
        <v>#N/A</v>
      </c>
    </row>
    <row r="424" spans="1:12">
      <c r="A424" s="2765">
        <f t="shared" si="7"/>
        <v>2026.07</v>
      </c>
      <c r="B424" s="2057" t="e">
        <v>#N/A</v>
      </c>
      <c r="C424" s="2057" t="e">
        <v>#N/A</v>
      </c>
      <c r="D424" s="2057" t="e">
        <v>#N/A</v>
      </c>
      <c r="E424" s="2057" t="e">
        <v>#N/A</v>
      </c>
      <c r="F424" s="2057" t="e">
        <v>#N/A</v>
      </c>
      <c r="G424" s="2057" t="e">
        <v>#N/A</v>
      </c>
      <c r="H424" s="2057" t="e">
        <v>#N/A</v>
      </c>
      <c r="I424" s="2057" t="e">
        <v>#N/A</v>
      </c>
      <c r="J424" s="2057" t="e">
        <v>#N/A</v>
      </c>
      <c r="K424" s="2057" t="e">
        <v>#N/A</v>
      </c>
      <c r="L424" s="712" t="e">
        <f t="shared" si="8"/>
        <v>#N/A</v>
      </c>
    </row>
    <row r="425" spans="1:12">
      <c r="A425" s="2765">
        <f t="shared" si="7"/>
        <v>2026.08</v>
      </c>
      <c r="B425" s="2057" t="e">
        <v>#N/A</v>
      </c>
      <c r="C425" s="2057" t="e">
        <v>#N/A</v>
      </c>
      <c r="D425" s="2057" t="e">
        <v>#N/A</v>
      </c>
      <c r="E425" s="2057" t="e">
        <v>#N/A</v>
      </c>
      <c r="F425" s="2057" t="e">
        <v>#N/A</v>
      </c>
      <c r="G425" s="2057" t="e">
        <v>#N/A</v>
      </c>
      <c r="H425" s="2057" t="e">
        <v>#N/A</v>
      </c>
      <c r="I425" s="2057" t="e">
        <v>#N/A</v>
      </c>
      <c r="J425" s="2057" t="e">
        <v>#N/A</v>
      </c>
      <c r="K425" s="2057" t="e">
        <v>#N/A</v>
      </c>
      <c r="L425" s="712" t="e">
        <f t="shared" si="8"/>
        <v>#N/A</v>
      </c>
    </row>
    <row r="426" spans="1:12">
      <c r="A426" s="2765">
        <f t="shared" si="7"/>
        <v>2026.09</v>
      </c>
      <c r="B426" s="2057" t="e">
        <v>#N/A</v>
      </c>
      <c r="C426" s="2057" t="e">
        <v>#N/A</v>
      </c>
      <c r="D426" s="2057" t="e">
        <v>#N/A</v>
      </c>
      <c r="E426" s="2057" t="e">
        <v>#N/A</v>
      </c>
      <c r="F426" s="2057" t="e">
        <v>#N/A</v>
      </c>
      <c r="G426" s="2057" t="e">
        <v>#N/A</v>
      </c>
      <c r="H426" s="2057" t="e">
        <v>#N/A</v>
      </c>
      <c r="I426" s="2057" t="e">
        <v>#N/A</v>
      </c>
      <c r="J426" s="2057" t="e">
        <v>#N/A</v>
      </c>
      <c r="K426" s="2057" t="e">
        <v>#N/A</v>
      </c>
      <c r="L426" s="712" t="e">
        <f t="shared" si="8"/>
        <v>#N/A</v>
      </c>
    </row>
    <row r="427" spans="1:12">
      <c r="A427" s="2765">
        <f t="shared" si="7"/>
        <v>2026.1</v>
      </c>
      <c r="B427" s="2057" t="e">
        <v>#N/A</v>
      </c>
      <c r="C427" s="2057" t="e">
        <v>#N/A</v>
      </c>
      <c r="D427" s="2057" t="e">
        <v>#N/A</v>
      </c>
      <c r="E427" s="2057" t="e">
        <v>#N/A</v>
      </c>
      <c r="F427" s="2057" t="e">
        <v>#N/A</v>
      </c>
      <c r="G427" s="2057" t="e">
        <v>#N/A</v>
      </c>
      <c r="H427" s="2057" t="e">
        <v>#N/A</v>
      </c>
      <c r="I427" s="2057" t="e">
        <v>#N/A</v>
      </c>
      <c r="J427" s="2057" t="e">
        <v>#N/A</v>
      </c>
      <c r="K427" s="2057" t="e">
        <v>#N/A</v>
      </c>
      <c r="L427" s="712" t="e">
        <f t="shared" si="8"/>
        <v>#N/A</v>
      </c>
    </row>
    <row r="428" spans="1:12">
      <c r="A428" s="2765">
        <f t="shared" si="7"/>
        <v>2026.11</v>
      </c>
      <c r="B428" s="2057" t="e">
        <v>#N/A</v>
      </c>
      <c r="C428" s="2057" t="e">
        <v>#N/A</v>
      </c>
      <c r="D428" s="2057" t="e">
        <v>#N/A</v>
      </c>
      <c r="E428" s="2057" t="e">
        <v>#N/A</v>
      </c>
      <c r="F428" s="2057" t="e">
        <v>#N/A</v>
      </c>
      <c r="G428" s="2057" t="e">
        <v>#N/A</v>
      </c>
      <c r="H428" s="2057" t="e">
        <v>#N/A</v>
      </c>
      <c r="I428" s="2057" t="e">
        <v>#N/A</v>
      </c>
      <c r="J428" s="2057" t="e">
        <v>#N/A</v>
      </c>
      <c r="K428" s="2057" t="e">
        <v>#N/A</v>
      </c>
      <c r="L428" s="712" t="e">
        <f t="shared" si="8"/>
        <v>#N/A</v>
      </c>
    </row>
    <row r="429" spans="1:12">
      <c r="A429" s="2765">
        <f t="shared" si="7"/>
        <v>2026.12</v>
      </c>
      <c r="B429" s="2057" t="e">
        <v>#N/A</v>
      </c>
      <c r="C429" s="2057" t="e">
        <v>#N/A</v>
      </c>
      <c r="D429" s="2057" t="e">
        <v>#N/A</v>
      </c>
      <c r="E429" s="2057" t="e">
        <v>#N/A</v>
      </c>
      <c r="F429" s="2057" t="e">
        <v>#N/A</v>
      </c>
      <c r="G429" s="2057" t="e">
        <v>#N/A</v>
      </c>
      <c r="H429" s="2057" t="e">
        <v>#N/A</v>
      </c>
      <c r="I429" s="2057" t="e">
        <v>#N/A</v>
      </c>
      <c r="J429" s="2057" t="e">
        <v>#N/A</v>
      </c>
      <c r="K429" s="2057" t="e">
        <v>#N/A</v>
      </c>
      <c r="L429" s="712" t="e">
        <f t="shared" si="8"/>
        <v>#N/A</v>
      </c>
    </row>
    <row r="430" spans="1:12">
      <c r="A430" s="2765">
        <f t="shared" si="7"/>
        <v>2027.01</v>
      </c>
      <c r="B430" s="2057" t="e">
        <v>#N/A</v>
      </c>
      <c r="C430" s="2057" t="e">
        <v>#N/A</v>
      </c>
      <c r="D430" s="2057" t="e">
        <v>#N/A</v>
      </c>
      <c r="E430" s="2057" t="e">
        <v>#N/A</v>
      </c>
      <c r="F430" s="2057" t="e">
        <v>#N/A</v>
      </c>
      <c r="G430" s="2057" t="e">
        <v>#N/A</v>
      </c>
      <c r="H430" s="2057" t="e">
        <v>#N/A</v>
      </c>
      <c r="I430" s="2057" t="e">
        <v>#N/A</v>
      </c>
      <c r="J430" s="2057" t="e">
        <v>#N/A</v>
      </c>
      <c r="K430" s="2057" t="e">
        <v>#N/A</v>
      </c>
      <c r="L430" s="712" t="e">
        <f t="shared" si="8"/>
        <v>#N/A</v>
      </c>
    </row>
    <row r="431" spans="1:12">
      <c r="A431" s="2765">
        <f t="shared" si="7"/>
        <v>2027.02</v>
      </c>
      <c r="B431" s="2057" t="e">
        <v>#N/A</v>
      </c>
      <c r="C431" s="2057" t="e">
        <v>#N/A</v>
      </c>
      <c r="D431" s="2057" t="e">
        <v>#N/A</v>
      </c>
      <c r="E431" s="2057" t="e">
        <v>#N/A</v>
      </c>
      <c r="F431" s="2057" t="e">
        <v>#N/A</v>
      </c>
      <c r="G431" s="2057" t="e">
        <v>#N/A</v>
      </c>
      <c r="H431" s="2057" t="e">
        <v>#N/A</v>
      </c>
      <c r="I431" s="2057" t="e">
        <v>#N/A</v>
      </c>
      <c r="J431" s="2057" t="e">
        <v>#N/A</v>
      </c>
      <c r="K431" s="2057" t="e">
        <v>#N/A</v>
      </c>
      <c r="L431" s="712" t="e">
        <f t="shared" si="8"/>
        <v>#N/A</v>
      </c>
    </row>
    <row r="432" spans="1:12">
      <c r="A432" s="2765">
        <f t="shared" si="7"/>
        <v>2027.03</v>
      </c>
      <c r="B432" s="2057" t="e">
        <v>#N/A</v>
      </c>
      <c r="C432" s="2057" t="e">
        <v>#N/A</v>
      </c>
      <c r="D432" s="2057" t="e">
        <v>#N/A</v>
      </c>
      <c r="E432" s="2057" t="e">
        <v>#N/A</v>
      </c>
      <c r="F432" s="2057" t="e">
        <v>#N/A</v>
      </c>
      <c r="G432" s="2057" t="e">
        <v>#N/A</v>
      </c>
      <c r="H432" s="2057" t="e">
        <v>#N/A</v>
      </c>
      <c r="I432" s="2057" t="e">
        <v>#N/A</v>
      </c>
      <c r="J432" s="2057" t="e">
        <v>#N/A</v>
      </c>
      <c r="K432" s="2057" t="e">
        <v>#N/A</v>
      </c>
      <c r="L432" s="712" t="e">
        <f t="shared" si="8"/>
        <v>#N/A</v>
      </c>
    </row>
    <row r="433" spans="1:12">
      <c r="A433" s="2765">
        <f t="shared" si="7"/>
        <v>2027.04</v>
      </c>
      <c r="B433" s="2057" t="e">
        <v>#N/A</v>
      </c>
      <c r="C433" s="2057" t="e">
        <v>#N/A</v>
      </c>
      <c r="D433" s="2057" t="e">
        <v>#N/A</v>
      </c>
      <c r="E433" s="2057" t="e">
        <v>#N/A</v>
      </c>
      <c r="F433" s="2057" t="e">
        <v>#N/A</v>
      </c>
      <c r="G433" s="2057" t="e">
        <v>#N/A</v>
      </c>
      <c r="H433" s="2057" t="e">
        <v>#N/A</v>
      </c>
      <c r="I433" s="2057" t="e">
        <v>#N/A</v>
      </c>
      <c r="J433" s="2057" t="e">
        <v>#N/A</v>
      </c>
      <c r="K433" s="2057" t="e">
        <v>#N/A</v>
      </c>
      <c r="L433" s="712" t="e">
        <f t="shared" si="8"/>
        <v>#N/A</v>
      </c>
    </row>
    <row r="434" spans="1:12">
      <c r="A434" s="2765">
        <f t="shared" si="7"/>
        <v>2027.05</v>
      </c>
      <c r="B434" s="2057" t="e">
        <v>#N/A</v>
      </c>
      <c r="C434" s="2057" t="e">
        <v>#N/A</v>
      </c>
      <c r="D434" s="2057" t="e">
        <v>#N/A</v>
      </c>
      <c r="E434" s="2057" t="e">
        <v>#N/A</v>
      </c>
      <c r="F434" s="2057" t="e">
        <v>#N/A</v>
      </c>
      <c r="G434" s="2057" t="e">
        <v>#N/A</v>
      </c>
      <c r="H434" s="2057" t="e">
        <v>#N/A</v>
      </c>
      <c r="I434" s="2057" t="e">
        <v>#N/A</v>
      </c>
      <c r="J434" s="2057" t="e">
        <v>#N/A</v>
      </c>
      <c r="K434" s="2057" t="e">
        <v>#N/A</v>
      </c>
      <c r="L434" s="712" t="e">
        <f t="shared" si="8"/>
        <v>#N/A</v>
      </c>
    </row>
    <row r="435" spans="1:12">
      <c r="A435" s="2765">
        <f t="shared" si="7"/>
        <v>2027.06</v>
      </c>
      <c r="B435" s="2057" t="e">
        <v>#N/A</v>
      </c>
      <c r="C435" s="2057" t="e">
        <v>#N/A</v>
      </c>
      <c r="D435" s="2057" t="e">
        <v>#N/A</v>
      </c>
      <c r="E435" s="2057" t="e">
        <v>#N/A</v>
      </c>
      <c r="F435" s="2057" t="e">
        <v>#N/A</v>
      </c>
      <c r="G435" s="2057" t="e">
        <v>#N/A</v>
      </c>
      <c r="H435" s="2057" t="e">
        <v>#N/A</v>
      </c>
      <c r="I435" s="2057" t="e">
        <v>#N/A</v>
      </c>
      <c r="J435" s="2057" t="e">
        <v>#N/A</v>
      </c>
      <c r="K435" s="2057" t="e">
        <v>#N/A</v>
      </c>
      <c r="L435" s="712" t="e">
        <f t="shared" si="8"/>
        <v>#N/A</v>
      </c>
    </row>
    <row r="436" spans="1:12">
      <c r="A436" s="2765">
        <f t="shared" si="7"/>
        <v>2027.07</v>
      </c>
      <c r="B436" s="2057" t="e">
        <v>#N/A</v>
      </c>
      <c r="C436" s="2057" t="e">
        <v>#N/A</v>
      </c>
      <c r="D436" s="2057" t="e">
        <v>#N/A</v>
      </c>
      <c r="E436" s="2057" t="e">
        <v>#N/A</v>
      </c>
      <c r="F436" s="2057" t="e">
        <v>#N/A</v>
      </c>
      <c r="G436" s="2057" t="e">
        <v>#N/A</v>
      </c>
      <c r="H436" s="2057" t="e">
        <v>#N/A</v>
      </c>
      <c r="I436" s="2057" t="e">
        <v>#N/A</v>
      </c>
      <c r="J436" s="2057" t="e">
        <v>#N/A</v>
      </c>
      <c r="K436" s="2057" t="e">
        <v>#N/A</v>
      </c>
      <c r="L436" s="712" t="e">
        <f t="shared" si="8"/>
        <v>#N/A</v>
      </c>
    </row>
    <row r="437" spans="1:12">
      <c r="A437" s="2765">
        <f t="shared" si="7"/>
        <v>2027.08</v>
      </c>
      <c r="B437" s="2057" t="e">
        <v>#N/A</v>
      </c>
      <c r="C437" s="2057" t="e">
        <v>#N/A</v>
      </c>
      <c r="D437" s="2057" t="e">
        <v>#N/A</v>
      </c>
      <c r="E437" s="2057" t="e">
        <v>#N/A</v>
      </c>
      <c r="F437" s="2057" t="e">
        <v>#N/A</v>
      </c>
      <c r="G437" s="2057" t="e">
        <v>#N/A</v>
      </c>
      <c r="H437" s="2057" t="e">
        <v>#N/A</v>
      </c>
      <c r="I437" s="2057" t="e">
        <v>#N/A</v>
      </c>
      <c r="J437" s="2057" t="e">
        <v>#N/A</v>
      </c>
      <c r="K437" s="2057" t="e">
        <v>#N/A</v>
      </c>
      <c r="L437" s="712" t="e">
        <f t="shared" si="8"/>
        <v>#N/A</v>
      </c>
    </row>
    <row r="438" spans="1:12">
      <c r="A438" s="2765">
        <f t="shared" si="7"/>
        <v>2027.09</v>
      </c>
      <c r="B438" s="2057" t="e">
        <v>#N/A</v>
      </c>
      <c r="C438" s="2057" t="e">
        <v>#N/A</v>
      </c>
      <c r="D438" s="2057" t="e">
        <v>#N/A</v>
      </c>
      <c r="E438" s="2057" t="e">
        <v>#N/A</v>
      </c>
      <c r="F438" s="2057" t="e">
        <v>#N/A</v>
      </c>
      <c r="G438" s="2057" t="e">
        <v>#N/A</v>
      </c>
      <c r="H438" s="2057" t="e">
        <v>#N/A</v>
      </c>
      <c r="I438" s="2057" t="e">
        <v>#N/A</v>
      </c>
      <c r="J438" s="2057" t="e">
        <v>#N/A</v>
      </c>
      <c r="K438" s="2057" t="e">
        <v>#N/A</v>
      </c>
      <c r="L438" s="712" t="e">
        <f t="shared" si="8"/>
        <v>#N/A</v>
      </c>
    </row>
    <row r="439" spans="1:12">
      <c r="A439" s="2765">
        <f t="shared" si="7"/>
        <v>2027.1</v>
      </c>
      <c r="B439" s="2057" t="e">
        <v>#N/A</v>
      </c>
      <c r="C439" s="2057" t="e">
        <v>#N/A</v>
      </c>
      <c r="D439" s="2057" t="e">
        <v>#N/A</v>
      </c>
      <c r="E439" s="2057" t="e">
        <v>#N/A</v>
      </c>
      <c r="F439" s="2057" t="e">
        <v>#N/A</v>
      </c>
      <c r="G439" s="2057" t="e">
        <v>#N/A</v>
      </c>
      <c r="H439" s="2057" t="e">
        <v>#N/A</v>
      </c>
      <c r="I439" s="2057" t="e">
        <v>#N/A</v>
      </c>
      <c r="J439" s="2057" t="e">
        <v>#N/A</v>
      </c>
      <c r="K439" s="2057" t="e">
        <v>#N/A</v>
      </c>
      <c r="L439" s="712" t="e">
        <f t="shared" si="8"/>
        <v>#N/A</v>
      </c>
    </row>
    <row r="440" spans="1:12">
      <c r="A440" s="2765">
        <f t="shared" si="7"/>
        <v>2027.11</v>
      </c>
      <c r="B440" s="2057" t="e">
        <v>#N/A</v>
      </c>
      <c r="C440" s="2057" t="e">
        <v>#N/A</v>
      </c>
      <c r="D440" s="2057" t="e">
        <v>#N/A</v>
      </c>
      <c r="E440" s="2057" t="e">
        <v>#N/A</v>
      </c>
      <c r="F440" s="2057" t="e">
        <v>#N/A</v>
      </c>
      <c r="G440" s="2057" t="e">
        <v>#N/A</v>
      </c>
      <c r="H440" s="2057" t="e">
        <v>#N/A</v>
      </c>
      <c r="I440" s="2057" t="e">
        <v>#N/A</v>
      </c>
      <c r="J440" s="2057" t="e">
        <v>#N/A</v>
      </c>
      <c r="K440" s="2057" t="e">
        <v>#N/A</v>
      </c>
      <c r="L440" s="712" t="e">
        <f t="shared" si="8"/>
        <v>#N/A</v>
      </c>
    </row>
    <row r="441" spans="1:12">
      <c r="A441" s="2765">
        <f t="shared" si="7"/>
        <v>2027.12</v>
      </c>
      <c r="B441" s="2057" t="e">
        <v>#N/A</v>
      </c>
      <c r="C441" s="2057" t="e">
        <v>#N/A</v>
      </c>
      <c r="D441" s="2057" t="e">
        <v>#N/A</v>
      </c>
      <c r="E441" s="2057" t="e">
        <v>#N/A</v>
      </c>
      <c r="F441" s="2057" t="e">
        <v>#N/A</v>
      </c>
      <c r="G441" s="2057" t="e">
        <v>#N/A</v>
      </c>
      <c r="H441" s="2057" t="e">
        <v>#N/A</v>
      </c>
      <c r="I441" s="2057" t="e">
        <v>#N/A</v>
      </c>
      <c r="J441" s="2057" t="e">
        <v>#N/A</v>
      </c>
      <c r="K441" s="2057" t="e">
        <v>#N/A</v>
      </c>
      <c r="L441" s="712" t="e">
        <f t="shared" si="8"/>
        <v>#N/A</v>
      </c>
    </row>
    <row r="442" spans="1:12">
      <c r="A442" s="2765">
        <f t="shared" si="7"/>
        <v>2028.01</v>
      </c>
      <c r="B442" s="2057" t="e">
        <v>#N/A</v>
      </c>
      <c r="C442" s="2057" t="e">
        <v>#N/A</v>
      </c>
      <c r="D442" s="2057" t="e">
        <v>#N/A</v>
      </c>
      <c r="E442" s="2057" t="e">
        <v>#N/A</v>
      </c>
      <c r="F442" s="2057" t="e">
        <v>#N/A</v>
      </c>
      <c r="G442" s="2057" t="e">
        <v>#N/A</v>
      </c>
      <c r="H442" s="2057" t="e">
        <v>#N/A</v>
      </c>
      <c r="I442" s="2057" t="e">
        <v>#N/A</v>
      </c>
      <c r="J442" s="2057" t="e">
        <v>#N/A</v>
      </c>
      <c r="K442" s="2057" t="e">
        <v>#N/A</v>
      </c>
      <c r="L442" s="712" t="e">
        <f t="shared" si="8"/>
        <v>#N/A</v>
      </c>
    </row>
    <row r="443" spans="1:12">
      <c r="A443" s="2765">
        <f t="shared" si="7"/>
        <v>2028.02</v>
      </c>
      <c r="B443" s="2057" t="e">
        <v>#N/A</v>
      </c>
      <c r="C443" s="2057" t="e">
        <v>#N/A</v>
      </c>
      <c r="D443" s="2057" t="e">
        <v>#N/A</v>
      </c>
      <c r="E443" s="2057" t="e">
        <v>#N/A</v>
      </c>
      <c r="F443" s="2057" t="e">
        <v>#N/A</v>
      </c>
      <c r="G443" s="2057" t="e">
        <v>#N/A</v>
      </c>
      <c r="H443" s="2057" t="e">
        <v>#N/A</v>
      </c>
      <c r="I443" s="2057" t="e">
        <v>#N/A</v>
      </c>
      <c r="J443" s="2057" t="e">
        <v>#N/A</v>
      </c>
      <c r="K443" s="2057" t="e">
        <v>#N/A</v>
      </c>
      <c r="L443" s="712" t="e">
        <f t="shared" si="8"/>
        <v>#N/A</v>
      </c>
    </row>
    <row r="444" spans="1:12">
      <c r="A444" s="2765">
        <f t="shared" si="7"/>
        <v>2028.03</v>
      </c>
      <c r="B444" s="2057" t="e">
        <v>#N/A</v>
      </c>
      <c r="C444" s="2057" t="e">
        <v>#N/A</v>
      </c>
      <c r="D444" s="2057" t="e">
        <v>#N/A</v>
      </c>
      <c r="E444" s="2057" t="e">
        <v>#N/A</v>
      </c>
      <c r="F444" s="2057" t="e">
        <v>#N/A</v>
      </c>
      <c r="G444" s="2057" t="e">
        <v>#N/A</v>
      </c>
      <c r="H444" s="2057" t="e">
        <v>#N/A</v>
      </c>
      <c r="I444" s="2057" t="e">
        <v>#N/A</v>
      </c>
      <c r="J444" s="2057" t="e">
        <v>#N/A</v>
      </c>
      <c r="K444" s="2057" t="e">
        <v>#N/A</v>
      </c>
      <c r="L444" s="712" t="e">
        <f t="shared" si="8"/>
        <v>#N/A</v>
      </c>
    </row>
    <row r="445" spans="1:12">
      <c r="A445" s="2765">
        <f t="shared" si="7"/>
        <v>2028.04</v>
      </c>
      <c r="B445" s="2057" t="e">
        <v>#N/A</v>
      </c>
      <c r="C445" s="2057" t="e">
        <v>#N/A</v>
      </c>
      <c r="D445" s="2057" t="e">
        <v>#N/A</v>
      </c>
      <c r="E445" s="2057" t="e">
        <v>#N/A</v>
      </c>
      <c r="F445" s="2057" t="e">
        <v>#N/A</v>
      </c>
      <c r="G445" s="2057" t="e">
        <v>#N/A</v>
      </c>
      <c r="H445" s="2057" t="e">
        <v>#N/A</v>
      </c>
      <c r="I445" s="2057" t="e">
        <v>#N/A</v>
      </c>
      <c r="J445" s="2057" t="e">
        <v>#N/A</v>
      </c>
      <c r="K445" s="2057" t="e">
        <v>#N/A</v>
      </c>
      <c r="L445" s="712" t="e">
        <f t="shared" si="8"/>
        <v>#N/A</v>
      </c>
    </row>
    <row r="446" spans="1:12">
      <c r="A446" s="2765">
        <f t="shared" si="7"/>
        <v>2028.05</v>
      </c>
      <c r="B446" s="2057" t="e">
        <v>#N/A</v>
      </c>
      <c r="C446" s="2057" t="e">
        <v>#N/A</v>
      </c>
      <c r="D446" s="2057" t="e">
        <v>#N/A</v>
      </c>
      <c r="E446" s="2057" t="e">
        <v>#N/A</v>
      </c>
      <c r="F446" s="2057" t="e">
        <v>#N/A</v>
      </c>
      <c r="G446" s="2057" t="e">
        <v>#N/A</v>
      </c>
      <c r="H446" s="2057" t="e">
        <v>#N/A</v>
      </c>
      <c r="I446" s="2057" t="e">
        <v>#N/A</v>
      </c>
      <c r="J446" s="2057" t="e">
        <v>#N/A</v>
      </c>
      <c r="K446" s="2057" t="e">
        <v>#N/A</v>
      </c>
      <c r="L446" s="712" t="e">
        <f t="shared" si="8"/>
        <v>#N/A</v>
      </c>
    </row>
    <row r="447" spans="1:12">
      <c r="A447" s="2765">
        <f t="shared" si="7"/>
        <v>2028.06</v>
      </c>
      <c r="B447" s="2057" t="e">
        <v>#N/A</v>
      </c>
      <c r="C447" s="2057" t="e">
        <v>#N/A</v>
      </c>
      <c r="D447" s="2057" t="e">
        <v>#N/A</v>
      </c>
      <c r="E447" s="2057" t="e">
        <v>#N/A</v>
      </c>
      <c r="F447" s="2057" t="e">
        <v>#N/A</v>
      </c>
      <c r="G447" s="2057" t="e">
        <v>#N/A</v>
      </c>
      <c r="H447" s="2057" t="e">
        <v>#N/A</v>
      </c>
      <c r="I447" s="2057" t="e">
        <v>#N/A</v>
      </c>
      <c r="J447" s="2057" t="e">
        <v>#N/A</v>
      </c>
      <c r="K447" s="2057" t="e">
        <v>#N/A</v>
      </c>
      <c r="L447" s="712" t="e">
        <f t="shared" si="8"/>
        <v>#N/A</v>
      </c>
    </row>
    <row r="448" spans="1:12">
      <c r="A448" s="2765">
        <f t="shared" si="7"/>
        <v>2028.07</v>
      </c>
      <c r="B448" s="2057" t="e">
        <v>#N/A</v>
      </c>
      <c r="C448" s="2057" t="e">
        <v>#N/A</v>
      </c>
      <c r="D448" s="2057" t="e">
        <v>#N/A</v>
      </c>
      <c r="E448" s="2057" t="e">
        <v>#N/A</v>
      </c>
      <c r="F448" s="2057" t="e">
        <v>#N/A</v>
      </c>
      <c r="G448" s="2057" t="e">
        <v>#N/A</v>
      </c>
      <c r="H448" s="2057" t="e">
        <v>#N/A</v>
      </c>
      <c r="I448" s="2057" t="e">
        <v>#N/A</v>
      </c>
      <c r="J448" s="2057" t="e">
        <v>#N/A</v>
      </c>
      <c r="K448" s="2057" t="e">
        <v>#N/A</v>
      </c>
      <c r="L448" s="712" t="e">
        <f t="shared" si="8"/>
        <v>#N/A</v>
      </c>
    </row>
    <row r="449" spans="1:12">
      <c r="A449" s="2765">
        <f t="shared" si="7"/>
        <v>2028.08</v>
      </c>
      <c r="B449" s="2057" t="e">
        <v>#N/A</v>
      </c>
      <c r="C449" s="2057" t="e">
        <v>#N/A</v>
      </c>
      <c r="D449" s="2057" t="e">
        <v>#N/A</v>
      </c>
      <c r="E449" s="2057" t="e">
        <v>#N/A</v>
      </c>
      <c r="F449" s="2057" t="e">
        <v>#N/A</v>
      </c>
      <c r="G449" s="2057" t="e">
        <v>#N/A</v>
      </c>
      <c r="H449" s="2057" t="e">
        <v>#N/A</v>
      </c>
      <c r="I449" s="2057" t="e">
        <v>#N/A</v>
      </c>
      <c r="J449" s="2057" t="e">
        <v>#N/A</v>
      </c>
      <c r="K449" s="2057" t="e">
        <v>#N/A</v>
      </c>
      <c r="L449" s="712" t="e">
        <f t="shared" si="8"/>
        <v>#N/A</v>
      </c>
    </row>
    <row r="450" spans="1:12">
      <c r="A450" s="2765">
        <f t="shared" si="7"/>
        <v>2028.09</v>
      </c>
      <c r="B450" s="2057" t="e">
        <v>#N/A</v>
      </c>
      <c r="C450" s="2057" t="e">
        <v>#N/A</v>
      </c>
      <c r="D450" s="2057" t="e">
        <v>#N/A</v>
      </c>
      <c r="E450" s="2057" t="e">
        <v>#N/A</v>
      </c>
      <c r="F450" s="2057" t="e">
        <v>#N/A</v>
      </c>
      <c r="G450" s="2057" t="e">
        <v>#N/A</v>
      </c>
      <c r="H450" s="2057" t="e">
        <v>#N/A</v>
      </c>
      <c r="I450" s="2057" t="e">
        <v>#N/A</v>
      </c>
      <c r="J450" s="2057" t="e">
        <v>#N/A</v>
      </c>
      <c r="K450" s="2057" t="e">
        <v>#N/A</v>
      </c>
      <c r="L450" s="712" t="e">
        <f t="shared" si="8"/>
        <v>#N/A</v>
      </c>
    </row>
    <row r="451" spans="1:12">
      <c r="A451" s="2765">
        <f t="shared" si="7"/>
        <v>2028.1</v>
      </c>
      <c r="B451" s="2057" t="e">
        <v>#N/A</v>
      </c>
      <c r="C451" s="2057" t="e">
        <v>#N/A</v>
      </c>
      <c r="D451" s="2057" t="e">
        <v>#N/A</v>
      </c>
      <c r="E451" s="2057" t="e">
        <v>#N/A</v>
      </c>
      <c r="F451" s="2057" t="e">
        <v>#N/A</v>
      </c>
      <c r="G451" s="2057" t="e">
        <v>#N/A</v>
      </c>
      <c r="H451" s="2057" t="e">
        <v>#N/A</v>
      </c>
      <c r="I451" s="2057" t="e">
        <v>#N/A</v>
      </c>
      <c r="J451" s="2057" t="e">
        <v>#N/A</v>
      </c>
      <c r="K451" s="2057" t="e">
        <v>#N/A</v>
      </c>
      <c r="L451" s="712" t="e">
        <f t="shared" si="8"/>
        <v>#N/A</v>
      </c>
    </row>
    <row r="452" spans="1:12">
      <c r="A452" s="2765">
        <f t="shared" si="7"/>
        <v>2028.11</v>
      </c>
      <c r="B452" s="2057" t="e">
        <v>#N/A</v>
      </c>
      <c r="C452" s="2057" t="e">
        <v>#N/A</v>
      </c>
      <c r="D452" s="2057" t="e">
        <v>#N/A</v>
      </c>
      <c r="E452" s="2057" t="e">
        <v>#N/A</v>
      </c>
      <c r="F452" s="2057" t="e">
        <v>#N/A</v>
      </c>
      <c r="G452" s="2057" t="e">
        <v>#N/A</v>
      </c>
      <c r="H452" s="2057" t="e">
        <v>#N/A</v>
      </c>
      <c r="I452" s="2057" t="e">
        <v>#N/A</v>
      </c>
      <c r="J452" s="2057" t="e">
        <v>#N/A</v>
      </c>
      <c r="K452" s="2057" t="e">
        <v>#N/A</v>
      </c>
      <c r="L452" s="712" t="e">
        <f t="shared" si="8"/>
        <v>#N/A</v>
      </c>
    </row>
    <row r="453" spans="1:12">
      <c r="A453" s="2765">
        <f t="shared" si="7"/>
        <v>2028.12</v>
      </c>
      <c r="B453" s="2057" t="e">
        <v>#N/A</v>
      </c>
      <c r="C453" s="2057" t="e">
        <v>#N/A</v>
      </c>
      <c r="D453" s="2057" t="e">
        <v>#N/A</v>
      </c>
      <c r="E453" s="2057" t="e">
        <v>#N/A</v>
      </c>
      <c r="F453" s="2057" t="e">
        <v>#N/A</v>
      </c>
      <c r="G453" s="2057" t="e">
        <v>#N/A</v>
      </c>
      <c r="H453" s="2057" t="e">
        <v>#N/A</v>
      </c>
      <c r="I453" s="2057" t="e">
        <v>#N/A</v>
      </c>
      <c r="J453" s="2057" t="e">
        <v>#N/A</v>
      </c>
      <c r="K453" s="2057" t="e">
        <v>#N/A</v>
      </c>
      <c r="L453" s="712" t="e">
        <f t="shared" si="8"/>
        <v>#N/A</v>
      </c>
    </row>
    <row r="454" spans="1:12">
      <c r="A454" s="2765">
        <f t="shared" si="7"/>
        <v>2029.01</v>
      </c>
      <c r="B454" s="2057" t="e">
        <v>#N/A</v>
      </c>
      <c r="C454" s="2057" t="e">
        <v>#N/A</v>
      </c>
      <c r="D454" s="2057" t="e">
        <v>#N/A</v>
      </c>
      <c r="E454" s="2057" t="e">
        <v>#N/A</v>
      </c>
      <c r="F454" s="2057" t="e">
        <v>#N/A</v>
      </c>
      <c r="G454" s="2057" t="e">
        <v>#N/A</v>
      </c>
      <c r="H454" s="2057" t="e">
        <v>#N/A</v>
      </c>
      <c r="I454" s="2057" t="e">
        <v>#N/A</v>
      </c>
      <c r="J454" s="2057" t="e">
        <v>#N/A</v>
      </c>
      <c r="K454" s="2057" t="e">
        <v>#N/A</v>
      </c>
      <c r="L454" s="712" t="e">
        <f t="shared" si="8"/>
        <v>#N/A</v>
      </c>
    </row>
    <row r="455" spans="1:12">
      <c r="A455" s="2765">
        <f t="shared" si="7"/>
        <v>2029.02</v>
      </c>
      <c r="B455" s="2057" t="e">
        <v>#N/A</v>
      </c>
      <c r="C455" s="2057" t="e">
        <v>#N/A</v>
      </c>
      <c r="D455" s="2057" t="e">
        <v>#N/A</v>
      </c>
      <c r="E455" s="2057" t="e">
        <v>#N/A</v>
      </c>
      <c r="F455" s="2057" t="e">
        <v>#N/A</v>
      </c>
      <c r="G455" s="2057" t="e">
        <v>#N/A</v>
      </c>
      <c r="H455" s="2057" t="e">
        <v>#N/A</v>
      </c>
      <c r="I455" s="2057" t="e">
        <v>#N/A</v>
      </c>
      <c r="J455" s="2057" t="e">
        <v>#N/A</v>
      </c>
      <c r="K455" s="2057" t="e">
        <v>#N/A</v>
      </c>
      <c r="L455" s="712" t="e">
        <f t="shared" si="8"/>
        <v>#N/A</v>
      </c>
    </row>
    <row r="456" spans="1:12">
      <c r="A456" s="2765">
        <f t="shared" si="7"/>
        <v>2029.03</v>
      </c>
      <c r="B456" s="2057" t="e">
        <v>#N/A</v>
      </c>
      <c r="C456" s="2057" t="e">
        <v>#N/A</v>
      </c>
      <c r="D456" s="2057" t="e">
        <v>#N/A</v>
      </c>
      <c r="E456" s="2057" t="e">
        <v>#N/A</v>
      </c>
      <c r="F456" s="2057" t="e">
        <v>#N/A</v>
      </c>
      <c r="G456" s="2057" t="e">
        <v>#N/A</v>
      </c>
      <c r="H456" s="2057" t="e">
        <v>#N/A</v>
      </c>
      <c r="I456" s="2057" t="e">
        <v>#N/A</v>
      </c>
      <c r="J456" s="2057" t="e">
        <v>#N/A</v>
      </c>
      <c r="K456" s="2057" t="e">
        <v>#N/A</v>
      </c>
      <c r="L456" s="712" t="e">
        <f t="shared" si="8"/>
        <v>#N/A</v>
      </c>
    </row>
    <row r="457" spans="1:12">
      <c r="A457" s="2765">
        <f t="shared" si="7"/>
        <v>2029.04</v>
      </c>
      <c r="B457" s="2057" t="e">
        <v>#N/A</v>
      </c>
      <c r="C457" s="2057" t="e">
        <v>#N/A</v>
      </c>
      <c r="D457" s="2057" t="e">
        <v>#N/A</v>
      </c>
      <c r="E457" s="2057" t="e">
        <v>#N/A</v>
      </c>
      <c r="F457" s="2057" t="e">
        <v>#N/A</v>
      </c>
      <c r="G457" s="2057" t="e">
        <v>#N/A</v>
      </c>
      <c r="H457" s="2057" t="e">
        <v>#N/A</v>
      </c>
      <c r="I457" s="2057" t="e">
        <v>#N/A</v>
      </c>
      <c r="J457" s="2057" t="e">
        <v>#N/A</v>
      </c>
      <c r="K457" s="2057" t="e">
        <v>#N/A</v>
      </c>
      <c r="L457" s="712" t="e">
        <f t="shared" si="8"/>
        <v>#N/A</v>
      </c>
    </row>
    <row r="458" spans="1:12">
      <c r="A458" s="2765">
        <f t="shared" si="7"/>
        <v>2029.05</v>
      </c>
      <c r="B458" s="2057" t="e">
        <v>#N/A</v>
      </c>
      <c r="C458" s="2057" t="e">
        <v>#N/A</v>
      </c>
      <c r="D458" s="2057" t="e">
        <v>#N/A</v>
      </c>
      <c r="E458" s="2057" t="e">
        <v>#N/A</v>
      </c>
      <c r="F458" s="2057" t="e">
        <v>#N/A</v>
      </c>
      <c r="G458" s="2057" t="e">
        <v>#N/A</v>
      </c>
      <c r="H458" s="2057" t="e">
        <v>#N/A</v>
      </c>
      <c r="I458" s="2057" t="e">
        <v>#N/A</v>
      </c>
      <c r="J458" s="2057" t="e">
        <v>#N/A</v>
      </c>
      <c r="K458" s="2057" t="e">
        <v>#N/A</v>
      </c>
      <c r="L458" s="712" t="e">
        <f t="shared" si="8"/>
        <v>#N/A</v>
      </c>
    </row>
    <row r="459" spans="1:12">
      <c r="A459" s="2765">
        <f t="shared" si="7"/>
        <v>2029.06</v>
      </c>
      <c r="B459" s="2057" t="e">
        <v>#N/A</v>
      </c>
      <c r="C459" s="2057" t="e">
        <v>#N/A</v>
      </c>
      <c r="D459" s="2057" t="e">
        <v>#N/A</v>
      </c>
      <c r="E459" s="2057" t="e">
        <v>#N/A</v>
      </c>
      <c r="F459" s="2057" t="e">
        <v>#N/A</v>
      </c>
      <c r="G459" s="2057" t="e">
        <v>#N/A</v>
      </c>
      <c r="H459" s="2057" t="e">
        <v>#N/A</v>
      </c>
      <c r="I459" s="2057" t="e">
        <v>#N/A</v>
      </c>
      <c r="J459" s="2057" t="e">
        <v>#N/A</v>
      </c>
      <c r="K459" s="2057" t="e">
        <v>#N/A</v>
      </c>
      <c r="L459" s="712" t="e">
        <f t="shared" si="8"/>
        <v>#N/A</v>
      </c>
    </row>
    <row r="460" spans="1:12">
      <c r="A460" s="2765">
        <f t="shared" si="7"/>
        <v>2029.07</v>
      </c>
      <c r="B460" s="2057" t="e">
        <v>#N/A</v>
      </c>
      <c r="C460" s="2057" t="e">
        <v>#N/A</v>
      </c>
      <c r="D460" s="2057" t="e">
        <v>#N/A</v>
      </c>
      <c r="E460" s="2057" t="e">
        <v>#N/A</v>
      </c>
      <c r="F460" s="2057" t="e">
        <v>#N/A</v>
      </c>
      <c r="G460" s="2057" t="e">
        <v>#N/A</v>
      </c>
      <c r="H460" s="2057" t="e">
        <v>#N/A</v>
      </c>
      <c r="I460" s="2057" t="e">
        <v>#N/A</v>
      </c>
      <c r="J460" s="2057" t="e">
        <v>#N/A</v>
      </c>
      <c r="K460" s="2057" t="e">
        <v>#N/A</v>
      </c>
      <c r="L460" s="712" t="e">
        <f t="shared" si="8"/>
        <v>#N/A</v>
      </c>
    </row>
    <row r="461" spans="1:12">
      <c r="A461" s="2765">
        <f t="shared" si="7"/>
        <v>2029.08</v>
      </c>
      <c r="B461" s="2057" t="e">
        <v>#N/A</v>
      </c>
      <c r="C461" s="2057" t="e">
        <v>#N/A</v>
      </c>
      <c r="D461" s="2057" t="e">
        <v>#N/A</v>
      </c>
      <c r="E461" s="2057" t="e">
        <v>#N/A</v>
      </c>
      <c r="F461" s="2057" t="e">
        <v>#N/A</v>
      </c>
      <c r="G461" s="2057" t="e">
        <v>#N/A</v>
      </c>
      <c r="H461" s="2057" t="e">
        <v>#N/A</v>
      </c>
      <c r="I461" s="2057" t="e">
        <v>#N/A</v>
      </c>
      <c r="J461" s="2057" t="e">
        <v>#N/A</v>
      </c>
      <c r="K461" s="2057" t="e">
        <v>#N/A</v>
      </c>
      <c r="L461" s="712" t="e">
        <f t="shared" si="8"/>
        <v>#N/A</v>
      </c>
    </row>
    <row r="462" spans="1:12">
      <c r="A462" s="2765">
        <f t="shared" si="7"/>
        <v>2029.09</v>
      </c>
      <c r="B462" s="2057" t="e">
        <v>#N/A</v>
      </c>
      <c r="C462" s="2057" t="e">
        <v>#N/A</v>
      </c>
      <c r="D462" s="2057" t="e">
        <v>#N/A</v>
      </c>
      <c r="E462" s="2057" t="e">
        <v>#N/A</v>
      </c>
      <c r="F462" s="2057" t="e">
        <v>#N/A</v>
      </c>
      <c r="G462" s="2057" t="e">
        <v>#N/A</v>
      </c>
      <c r="H462" s="2057" t="e">
        <v>#N/A</v>
      </c>
      <c r="I462" s="2057" t="e">
        <v>#N/A</v>
      </c>
      <c r="J462" s="2057" t="e">
        <v>#N/A</v>
      </c>
      <c r="K462" s="2057" t="e">
        <v>#N/A</v>
      </c>
      <c r="L462" s="712" t="e">
        <f t="shared" si="8"/>
        <v>#N/A</v>
      </c>
    </row>
    <row r="463" spans="1:12">
      <c r="A463" s="2765">
        <f t="shared" si="7"/>
        <v>2029.1</v>
      </c>
      <c r="B463" s="2057" t="e">
        <v>#N/A</v>
      </c>
      <c r="C463" s="2057" t="e">
        <v>#N/A</v>
      </c>
      <c r="D463" s="2057" t="e">
        <v>#N/A</v>
      </c>
      <c r="E463" s="2057" t="e">
        <v>#N/A</v>
      </c>
      <c r="F463" s="2057" t="e">
        <v>#N/A</v>
      </c>
      <c r="G463" s="2057" t="e">
        <v>#N/A</v>
      </c>
      <c r="H463" s="2057" t="e">
        <v>#N/A</v>
      </c>
      <c r="I463" s="2057" t="e">
        <v>#N/A</v>
      </c>
      <c r="J463" s="2057" t="e">
        <v>#N/A</v>
      </c>
      <c r="K463" s="2057" t="e">
        <v>#N/A</v>
      </c>
      <c r="L463" s="712" t="e">
        <f t="shared" si="8"/>
        <v>#N/A</v>
      </c>
    </row>
    <row r="464" spans="1:12">
      <c r="A464" s="2765">
        <f t="shared" si="7"/>
        <v>2029.11</v>
      </c>
      <c r="B464" s="2057" t="e">
        <v>#N/A</v>
      </c>
      <c r="C464" s="2057" t="e">
        <v>#N/A</v>
      </c>
      <c r="D464" s="2057" t="e">
        <v>#N/A</v>
      </c>
      <c r="E464" s="2057" t="e">
        <v>#N/A</v>
      </c>
      <c r="F464" s="2057" t="e">
        <v>#N/A</v>
      </c>
      <c r="G464" s="2057" t="e">
        <v>#N/A</v>
      </c>
      <c r="H464" s="2057" t="e">
        <v>#N/A</v>
      </c>
      <c r="I464" s="2057" t="e">
        <v>#N/A</v>
      </c>
      <c r="J464" s="2057" t="e">
        <v>#N/A</v>
      </c>
      <c r="K464" s="2057" t="e">
        <v>#N/A</v>
      </c>
      <c r="L464" s="712" t="e">
        <f t="shared" si="8"/>
        <v>#N/A</v>
      </c>
    </row>
    <row r="465" spans="1:12">
      <c r="A465" s="2765">
        <f t="shared" si="7"/>
        <v>2029.12</v>
      </c>
      <c r="B465" s="2057" t="e">
        <v>#N/A</v>
      </c>
      <c r="C465" s="2057" t="e">
        <v>#N/A</v>
      </c>
      <c r="D465" s="2057" t="e">
        <v>#N/A</v>
      </c>
      <c r="E465" s="2057" t="e">
        <v>#N/A</v>
      </c>
      <c r="F465" s="2057" t="e">
        <v>#N/A</v>
      </c>
      <c r="G465" s="2057" t="e">
        <v>#N/A</v>
      </c>
      <c r="H465" s="2057" t="e">
        <v>#N/A</v>
      </c>
      <c r="I465" s="2057" t="e">
        <v>#N/A</v>
      </c>
      <c r="J465" s="2057" t="e">
        <v>#N/A</v>
      </c>
      <c r="K465" s="2057" t="e">
        <v>#N/A</v>
      </c>
      <c r="L465" s="712" t="e">
        <f t="shared" si="8"/>
        <v>#N/A</v>
      </c>
    </row>
    <row r="466" spans="1:12">
      <c r="A466" s="2765">
        <f t="shared" si="7"/>
        <v>2030.01</v>
      </c>
      <c r="B466" s="2057" t="e">
        <v>#N/A</v>
      </c>
      <c r="C466" s="2057" t="e">
        <v>#N/A</v>
      </c>
      <c r="D466" s="2057" t="e">
        <v>#N/A</v>
      </c>
      <c r="E466" s="2057" t="e">
        <v>#N/A</v>
      </c>
      <c r="F466" s="2057" t="e">
        <v>#N/A</v>
      </c>
      <c r="G466" s="2057" t="e">
        <v>#N/A</v>
      </c>
      <c r="H466" s="2057" t="e">
        <v>#N/A</v>
      </c>
      <c r="I466" s="2057" t="e">
        <v>#N/A</v>
      </c>
      <c r="J466" s="2057" t="e">
        <v>#N/A</v>
      </c>
      <c r="K466" s="2057" t="e">
        <v>#N/A</v>
      </c>
      <c r="L466" s="712" t="e">
        <f t="shared" si="8"/>
        <v>#N/A</v>
      </c>
    </row>
    <row r="467" spans="1:12">
      <c r="A467" s="2765">
        <f t="shared" si="7"/>
        <v>2030.02</v>
      </c>
      <c r="B467" s="2057" t="e">
        <v>#N/A</v>
      </c>
      <c r="C467" s="2057" t="e">
        <v>#N/A</v>
      </c>
      <c r="D467" s="2057" t="e">
        <v>#N/A</v>
      </c>
      <c r="E467" s="2057" t="e">
        <v>#N/A</v>
      </c>
      <c r="F467" s="2057" t="e">
        <v>#N/A</v>
      </c>
      <c r="G467" s="2057" t="e">
        <v>#N/A</v>
      </c>
      <c r="H467" s="2057" t="e">
        <v>#N/A</v>
      </c>
      <c r="I467" s="2057" t="e">
        <v>#N/A</v>
      </c>
      <c r="J467" s="2057" t="e">
        <v>#N/A</v>
      </c>
      <c r="K467" s="2057" t="e">
        <v>#N/A</v>
      </c>
      <c r="L467" s="712" t="e">
        <f t="shared" si="8"/>
        <v>#N/A</v>
      </c>
    </row>
    <row r="468" spans="1:12">
      <c r="A468" s="2765">
        <f t="shared" si="7"/>
        <v>2030.03</v>
      </c>
      <c r="B468" s="2057" t="e">
        <v>#N/A</v>
      </c>
      <c r="C468" s="2057" t="e">
        <v>#N/A</v>
      </c>
      <c r="D468" s="2057" t="e">
        <v>#N/A</v>
      </c>
      <c r="E468" s="2057" t="e">
        <v>#N/A</v>
      </c>
      <c r="F468" s="2057" t="e">
        <v>#N/A</v>
      </c>
      <c r="G468" s="2057" t="e">
        <v>#N/A</v>
      </c>
      <c r="H468" s="2057" t="e">
        <v>#N/A</v>
      </c>
      <c r="I468" s="2057" t="e">
        <v>#N/A</v>
      </c>
      <c r="J468" s="2057" t="e">
        <v>#N/A</v>
      </c>
      <c r="K468" s="2057" t="e">
        <v>#N/A</v>
      </c>
      <c r="L468" s="712" t="e">
        <f t="shared" si="8"/>
        <v>#N/A</v>
      </c>
    </row>
    <row r="469" spans="1:12">
      <c r="A469" s="2765">
        <f t="shared" si="7"/>
        <v>2030.04</v>
      </c>
      <c r="B469" s="2057" t="e">
        <v>#N/A</v>
      </c>
      <c r="C469" s="2057" t="e">
        <v>#N/A</v>
      </c>
      <c r="D469" s="2057" t="e">
        <v>#N/A</v>
      </c>
      <c r="E469" s="2057" t="e">
        <v>#N/A</v>
      </c>
      <c r="F469" s="2057" t="e">
        <v>#N/A</v>
      </c>
      <c r="G469" s="2057" t="e">
        <v>#N/A</v>
      </c>
      <c r="H469" s="2057" t="e">
        <v>#N/A</v>
      </c>
      <c r="I469" s="2057" t="e">
        <v>#N/A</v>
      </c>
      <c r="J469" s="2057" t="e">
        <v>#N/A</v>
      </c>
      <c r="K469" s="2057" t="e">
        <v>#N/A</v>
      </c>
      <c r="L469" s="712" t="e">
        <f t="shared" si="8"/>
        <v>#N/A</v>
      </c>
    </row>
    <row r="470" spans="1:12">
      <c r="A470" s="2765">
        <f t="shared" ref="A470:A477" si="9">A458+1</f>
        <v>2030.05</v>
      </c>
      <c r="B470" s="2057" t="e">
        <v>#N/A</v>
      </c>
      <c r="C470" s="2057" t="e">
        <v>#N/A</v>
      </c>
      <c r="D470" s="2057" t="e">
        <v>#N/A</v>
      </c>
      <c r="E470" s="2057" t="e">
        <v>#N/A</v>
      </c>
      <c r="F470" s="2057" t="e">
        <v>#N/A</v>
      </c>
      <c r="G470" s="2057" t="e">
        <v>#N/A</v>
      </c>
      <c r="H470" s="2057" t="e">
        <v>#N/A</v>
      </c>
      <c r="I470" s="2057" t="e">
        <v>#N/A</v>
      </c>
      <c r="J470" s="2057" t="e">
        <v>#N/A</v>
      </c>
      <c r="K470" s="2057" t="e">
        <v>#N/A</v>
      </c>
      <c r="L470" s="712" t="e">
        <f t="shared" si="8"/>
        <v>#N/A</v>
      </c>
    </row>
    <row r="471" spans="1:12">
      <c r="A471" s="2765">
        <f t="shared" si="9"/>
        <v>2030.06</v>
      </c>
      <c r="B471" s="2057" t="e">
        <v>#N/A</v>
      </c>
      <c r="C471" s="2057" t="e">
        <v>#N/A</v>
      </c>
      <c r="D471" s="2057" t="e">
        <v>#N/A</v>
      </c>
      <c r="E471" s="2057" t="e">
        <v>#N/A</v>
      </c>
      <c r="F471" s="2057" t="e">
        <v>#N/A</v>
      </c>
      <c r="G471" s="2057" t="e">
        <v>#N/A</v>
      </c>
      <c r="H471" s="2057" t="e">
        <v>#N/A</v>
      </c>
      <c r="I471" s="2057" t="e">
        <v>#N/A</v>
      </c>
      <c r="J471" s="2057" t="e">
        <v>#N/A</v>
      </c>
      <c r="K471" s="2057" t="e">
        <v>#N/A</v>
      </c>
      <c r="L471" s="712" t="e">
        <f t="shared" si="8"/>
        <v>#N/A</v>
      </c>
    </row>
    <row r="472" spans="1:12">
      <c r="A472" s="2765">
        <f t="shared" si="9"/>
        <v>2030.07</v>
      </c>
      <c r="B472" s="2057" t="e">
        <v>#N/A</v>
      </c>
      <c r="C472" s="2057" t="e">
        <v>#N/A</v>
      </c>
      <c r="D472" s="2057" t="e">
        <v>#N/A</v>
      </c>
      <c r="E472" s="2057" t="e">
        <v>#N/A</v>
      </c>
      <c r="F472" s="2057" t="e">
        <v>#N/A</v>
      </c>
      <c r="G472" s="2057" t="e">
        <v>#N/A</v>
      </c>
      <c r="H472" s="2057" t="e">
        <v>#N/A</v>
      </c>
      <c r="I472" s="2057" t="e">
        <v>#N/A</v>
      </c>
      <c r="J472" s="2057" t="e">
        <v>#N/A</v>
      </c>
      <c r="K472" s="2057" t="e">
        <v>#N/A</v>
      </c>
      <c r="L472" s="712" t="e">
        <f t="shared" si="8"/>
        <v>#N/A</v>
      </c>
    </row>
    <row r="473" spans="1:12">
      <c r="A473" s="2765">
        <f t="shared" si="9"/>
        <v>2030.08</v>
      </c>
      <c r="B473" s="2057" t="e">
        <v>#N/A</v>
      </c>
      <c r="C473" s="2057" t="e">
        <v>#N/A</v>
      </c>
      <c r="D473" s="2057" t="e">
        <v>#N/A</v>
      </c>
      <c r="E473" s="2057" t="e">
        <v>#N/A</v>
      </c>
      <c r="F473" s="2057" t="e">
        <v>#N/A</v>
      </c>
      <c r="G473" s="2057" t="e">
        <v>#N/A</v>
      </c>
      <c r="H473" s="2057" t="e">
        <v>#N/A</v>
      </c>
      <c r="I473" s="2057" t="e">
        <v>#N/A</v>
      </c>
      <c r="J473" s="2057" t="e">
        <v>#N/A</v>
      </c>
      <c r="K473" s="2057" t="e">
        <v>#N/A</v>
      </c>
      <c r="L473" s="712" t="e">
        <f t="shared" si="8"/>
        <v>#N/A</v>
      </c>
    </row>
    <row r="474" spans="1:12">
      <c r="A474" s="2765">
        <f t="shared" si="9"/>
        <v>2030.09</v>
      </c>
      <c r="B474" s="2057" t="e">
        <v>#N/A</v>
      </c>
      <c r="C474" s="2057" t="e">
        <v>#N/A</v>
      </c>
      <c r="D474" s="2057" t="e">
        <v>#N/A</v>
      </c>
      <c r="E474" s="2057" t="e">
        <v>#N/A</v>
      </c>
      <c r="F474" s="2057" t="e">
        <v>#N/A</v>
      </c>
      <c r="G474" s="2057" t="e">
        <v>#N/A</v>
      </c>
      <c r="H474" s="2057" t="e">
        <v>#N/A</v>
      </c>
      <c r="I474" s="2057" t="e">
        <v>#N/A</v>
      </c>
      <c r="J474" s="2057" t="e">
        <v>#N/A</v>
      </c>
      <c r="K474" s="2057" t="e">
        <v>#N/A</v>
      </c>
      <c r="L474" s="712" t="e">
        <f t="shared" si="8"/>
        <v>#N/A</v>
      </c>
    </row>
    <row r="475" spans="1:12">
      <c r="A475" s="2765">
        <f t="shared" si="9"/>
        <v>2030.1</v>
      </c>
      <c r="B475" s="2057" t="e">
        <v>#N/A</v>
      </c>
      <c r="C475" s="2057" t="e">
        <v>#N/A</v>
      </c>
      <c r="D475" s="2057" t="e">
        <v>#N/A</v>
      </c>
      <c r="E475" s="2057" t="e">
        <v>#N/A</v>
      </c>
      <c r="F475" s="2057" t="e">
        <v>#N/A</v>
      </c>
      <c r="G475" s="2057" t="e">
        <v>#N/A</v>
      </c>
      <c r="H475" s="2057" t="e">
        <v>#N/A</v>
      </c>
      <c r="I475" s="2057" t="e">
        <v>#N/A</v>
      </c>
      <c r="J475" s="2057" t="e">
        <v>#N/A</v>
      </c>
      <c r="K475" s="2057" t="e">
        <v>#N/A</v>
      </c>
      <c r="L475" s="712" t="e">
        <f t="shared" si="8"/>
        <v>#N/A</v>
      </c>
    </row>
    <row r="476" spans="1:12">
      <c r="A476" s="2765">
        <f t="shared" si="9"/>
        <v>2030.11</v>
      </c>
      <c r="B476" s="2057" t="e">
        <v>#N/A</v>
      </c>
      <c r="C476" s="2057" t="e">
        <v>#N/A</v>
      </c>
      <c r="D476" s="2057" t="e">
        <v>#N/A</v>
      </c>
      <c r="E476" s="2057" t="e">
        <v>#N/A</v>
      </c>
      <c r="F476" s="2057" t="e">
        <v>#N/A</v>
      </c>
      <c r="G476" s="2057" t="e">
        <v>#N/A</v>
      </c>
      <c r="H476" s="2057" t="e">
        <v>#N/A</v>
      </c>
      <c r="I476" s="2057" t="e">
        <v>#N/A</v>
      </c>
      <c r="J476" s="2057" t="e">
        <v>#N/A</v>
      </c>
      <c r="K476" s="2057" t="e">
        <v>#N/A</v>
      </c>
      <c r="L476" s="712" t="e">
        <f t="shared" si="8"/>
        <v>#N/A</v>
      </c>
    </row>
    <row r="477" spans="1:12">
      <c r="A477" s="2765">
        <f t="shared" si="9"/>
        <v>2030.12</v>
      </c>
      <c r="B477" s="1675" t="e">
        <v>#N/A</v>
      </c>
      <c r="C477" s="2058" t="e">
        <v>#N/A</v>
      </c>
      <c r="D477" s="73" t="e">
        <v>#N/A</v>
      </c>
      <c r="E477" s="1365" t="e">
        <v>#N/A</v>
      </c>
      <c r="F477" s="73" t="e">
        <v>#N/A</v>
      </c>
      <c r="G477" s="1365" t="e">
        <v>#N/A</v>
      </c>
      <c r="H477" s="73" t="e">
        <v>#N/A</v>
      </c>
      <c r="I477" s="1365" t="e">
        <v>#N/A</v>
      </c>
      <c r="J477" s="73" t="e">
        <v>#N/A</v>
      </c>
      <c r="K477" s="1531" t="e">
        <v>#N/A</v>
      </c>
      <c r="L477" s="712" t="e">
        <f t="shared" si="8"/>
        <v>#N/A</v>
      </c>
    </row>
  </sheetData>
  <conditionalFormatting sqref="L10:L477">
    <cfRule type="cellIs" dxfId="1" priority="1" stopIfTrue="1" operator="lessThan">
      <formula>-$L$8</formula>
    </cfRule>
    <cfRule type="cellIs" dxfId="0" priority="2" stopIfTrue="1" operator="greaterThan">
      <formula>$L$8</formula>
    </cfRule>
  </conditionalFormatting>
  <hyperlinks>
    <hyperlink ref="A1:A3" location="Indice!A1" display="ÍNDICE" xr:uid="{00000000-0004-0000-3200-000000000000}"/>
    <hyperlink ref="A5" location="INDICE!A13" display="VOLVER AL INDICE" xr:uid="{00000000-0004-0000-3200-000001000000}"/>
  </hyperlinks>
  <printOptions horizontalCentered="1" gridLines="1"/>
  <pageMargins left="0" right="0" top="0.19685039370078741" bottom="0.19685039370078741" header="0" footer="0"/>
  <pageSetup paperSize="9" scale="110" orientation="landscape" horizontalDpi="300"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453"/>
  <sheetViews>
    <sheetView zoomScale="115" zoomScaleNormal="115" workbookViewId="0">
      <pane xSplit="1" ySplit="9" topLeftCell="B364"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3.42578125" style="2639" customWidth="1"/>
    <col min="2" max="9" width="13.7109375" style="2640" customWidth="1"/>
    <col min="10" max="11" width="13.7109375" style="2618" customWidth="1"/>
    <col min="12" max="13" width="13.7109375" style="2640" customWidth="1"/>
    <col min="14" max="15" width="13.7109375" style="2618" customWidth="1"/>
    <col min="16" max="16384" width="11.42578125" style="2643"/>
  </cols>
  <sheetData>
    <row r="1" spans="1:15" s="2641" customFormat="1" ht="3.75" customHeight="1">
      <c r="A1" s="37"/>
      <c r="B1" s="557"/>
      <c r="C1" s="556"/>
      <c r="D1" s="556"/>
      <c r="E1" s="556"/>
      <c r="F1" s="556"/>
      <c r="G1" s="556"/>
      <c r="H1" s="556"/>
      <c r="I1" s="556"/>
      <c r="J1" s="550"/>
      <c r="K1" s="550"/>
      <c r="L1" s="556"/>
      <c r="M1" s="556"/>
      <c r="N1" s="550"/>
      <c r="O1" s="2594"/>
    </row>
    <row r="2" spans="1:15" s="2641" customFormat="1" ht="26.25" customHeight="1">
      <c r="A2" s="121" t="s">
        <v>212</v>
      </c>
      <c r="B2" s="555" t="s">
        <v>350</v>
      </c>
      <c r="C2" s="555"/>
      <c r="D2" s="555"/>
      <c r="E2" s="555"/>
      <c r="F2" s="555"/>
      <c r="G2" s="555"/>
      <c r="H2" s="555"/>
      <c r="I2" s="555"/>
      <c r="J2" s="555"/>
      <c r="K2" s="555"/>
      <c r="L2" s="555"/>
      <c r="M2" s="555"/>
      <c r="N2" s="555"/>
      <c r="O2" s="560"/>
    </row>
    <row r="3" spans="1:15" s="2641" customFormat="1" ht="31.35" customHeight="1">
      <c r="A3" s="121" t="s">
        <v>330</v>
      </c>
      <c r="B3" s="554" t="s">
        <v>351</v>
      </c>
      <c r="C3" s="554"/>
      <c r="D3" s="554"/>
      <c r="E3" s="554"/>
      <c r="F3" s="554"/>
      <c r="G3" s="554"/>
      <c r="H3" s="554"/>
      <c r="I3" s="554"/>
      <c r="J3" s="2595"/>
      <c r="K3" s="2595"/>
      <c r="L3" s="554"/>
      <c r="M3" s="554"/>
      <c r="N3" s="2595"/>
      <c r="O3" s="2596"/>
    </row>
    <row r="4" spans="1:15" s="2641" customFormat="1" ht="12.75" customHeight="1">
      <c r="A4" s="171"/>
      <c r="B4" s="551"/>
      <c r="C4" s="551" t="s">
        <v>842</v>
      </c>
      <c r="D4" s="551"/>
      <c r="E4" s="551"/>
      <c r="F4" s="551"/>
      <c r="G4" s="551"/>
      <c r="H4" s="551"/>
      <c r="I4" s="551"/>
      <c r="J4" s="551"/>
      <c r="K4" s="551"/>
      <c r="L4" s="551"/>
      <c r="M4" s="551"/>
      <c r="N4" s="551"/>
      <c r="O4" s="561"/>
    </row>
    <row r="5" spans="1:15" s="2641" customFormat="1" ht="33" customHeight="1">
      <c r="A5" s="45" t="s">
        <v>213</v>
      </c>
      <c r="B5" s="553" t="s">
        <v>241</v>
      </c>
      <c r="C5" s="552" t="s">
        <v>818</v>
      </c>
      <c r="D5" s="1431" t="s">
        <v>819</v>
      </c>
      <c r="E5" s="748" t="s">
        <v>820</v>
      </c>
      <c r="F5" s="1431" t="s">
        <v>1067</v>
      </c>
      <c r="G5" s="748" t="s">
        <v>754</v>
      </c>
      <c r="H5" s="1431" t="s">
        <v>821</v>
      </c>
      <c r="I5" s="748" t="s">
        <v>822</v>
      </c>
      <c r="J5" s="1431" t="s">
        <v>1437</v>
      </c>
      <c r="K5" s="1431" t="s">
        <v>824</v>
      </c>
      <c r="L5" s="1431" t="s">
        <v>729</v>
      </c>
      <c r="M5" s="748" t="s">
        <v>99</v>
      </c>
      <c r="N5" s="748" t="s">
        <v>1438</v>
      </c>
      <c r="O5" s="2645" t="s">
        <v>1439</v>
      </c>
    </row>
    <row r="6" spans="1:15" s="2641" customFormat="1" ht="20.100000000000001" customHeight="1">
      <c r="A6" s="47" t="s">
        <v>841</v>
      </c>
      <c r="B6" s="551"/>
      <c r="C6" s="2597">
        <v>0.17130000000000001</v>
      </c>
      <c r="D6" s="2598">
        <v>1.6E-2</v>
      </c>
      <c r="E6" s="2599">
        <v>5.3100000000000001E-2</v>
      </c>
      <c r="F6" s="2598">
        <v>0.17430000000000001</v>
      </c>
      <c r="G6" s="2599">
        <v>5.91E-2</v>
      </c>
      <c r="H6" s="2598">
        <v>8.6999999999999994E-2</v>
      </c>
      <c r="I6" s="2599">
        <v>0.1144</v>
      </c>
      <c r="J6" s="2600">
        <v>7.3200000000000001E-2</v>
      </c>
      <c r="K6" s="2600">
        <v>6.1199999999999997E-2</v>
      </c>
      <c r="L6" s="2598">
        <v>4.7300000000000002E-2</v>
      </c>
      <c r="M6" s="2599">
        <v>9.5799999999999996E-2</v>
      </c>
      <c r="N6" s="2600">
        <v>7.6E-3</v>
      </c>
      <c r="O6" s="2601">
        <v>3.9800000000000002E-2</v>
      </c>
    </row>
    <row r="7" spans="1:15" s="2641" customFormat="1" ht="30" customHeight="1">
      <c r="A7" s="47" t="s">
        <v>210</v>
      </c>
      <c r="B7" s="2602" t="s">
        <v>1440</v>
      </c>
      <c r="C7" s="2603" t="s">
        <v>1440</v>
      </c>
      <c r="D7" s="2604" t="s">
        <v>1440</v>
      </c>
      <c r="E7" s="2604" t="s">
        <v>1440</v>
      </c>
      <c r="F7" s="2604" t="s">
        <v>1440</v>
      </c>
      <c r="G7" s="2604" t="s">
        <v>1440</v>
      </c>
      <c r="H7" s="2604" t="s">
        <v>1440</v>
      </c>
      <c r="I7" s="2604" t="s">
        <v>1440</v>
      </c>
      <c r="J7" s="2604" t="s">
        <v>1440</v>
      </c>
      <c r="K7" s="2604" t="s">
        <v>1440</v>
      </c>
      <c r="L7" s="2604" t="s">
        <v>1440</v>
      </c>
      <c r="M7" s="2604" t="s">
        <v>1440</v>
      </c>
      <c r="N7" s="2604" t="s">
        <v>1440</v>
      </c>
      <c r="O7" s="2605" t="s">
        <v>1440</v>
      </c>
    </row>
    <row r="8" spans="1:15" s="2641" customFormat="1" ht="14.25" customHeight="1">
      <c r="A8" s="390" t="s">
        <v>412</v>
      </c>
      <c r="B8" s="2606" t="s">
        <v>682</v>
      </c>
      <c r="C8" s="2606" t="s">
        <v>683</v>
      </c>
      <c r="D8" s="2607" t="s">
        <v>817</v>
      </c>
      <c r="E8" s="2608" t="s">
        <v>816</v>
      </c>
      <c r="F8" s="2607" t="s">
        <v>815</v>
      </c>
      <c r="G8" s="2608" t="s">
        <v>814</v>
      </c>
      <c r="H8" s="2607" t="s">
        <v>813</v>
      </c>
      <c r="I8" s="2608" t="s">
        <v>812</v>
      </c>
      <c r="J8" s="2607" t="s">
        <v>811</v>
      </c>
      <c r="K8" s="2608" t="s">
        <v>810</v>
      </c>
      <c r="L8" s="2607" t="s">
        <v>809</v>
      </c>
      <c r="M8" s="2608" t="s">
        <v>808</v>
      </c>
      <c r="N8" s="2607" t="s">
        <v>807</v>
      </c>
      <c r="O8" s="2609" t="s">
        <v>1441</v>
      </c>
    </row>
    <row r="9" spans="1:15" s="2642" customFormat="1" ht="13.5" thickBot="1">
      <c r="A9" s="152"/>
      <c r="B9" s="549"/>
      <c r="C9" s="549"/>
      <c r="D9" s="1416"/>
      <c r="E9" s="586"/>
      <c r="F9" s="1416"/>
      <c r="G9" s="586"/>
      <c r="H9" s="1416"/>
      <c r="I9" s="586"/>
      <c r="J9" s="2610"/>
      <c r="K9" s="2610"/>
      <c r="L9" s="1416"/>
      <c r="M9" s="586"/>
      <c r="N9" s="2610"/>
      <c r="O9" s="2611"/>
    </row>
    <row r="10" spans="1:15">
      <c r="A10" s="2765">
        <v>1994.01</v>
      </c>
      <c r="B10" s="2612"/>
      <c r="C10" s="2613"/>
      <c r="D10" s="2614"/>
      <c r="E10" s="2615"/>
      <c r="F10" s="2614"/>
      <c r="G10" s="2615"/>
      <c r="H10" s="2614"/>
      <c r="I10" s="2615"/>
      <c r="J10" s="2616"/>
      <c r="K10" s="2616"/>
      <c r="L10" s="2614"/>
      <c r="M10" s="2615"/>
      <c r="N10" s="2616"/>
      <c r="O10" s="2617"/>
    </row>
    <row r="11" spans="1:15">
      <c r="A11" s="2765">
        <v>1994.02</v>
      </c>
      <c r="B11" s="2619"/>
      <c r="C11" s="2619"/>
      <c r="D11" s="2620"/>
      <c r="E11" s="2621"/>
      <c r="F11" s="2620"/>
      <c r="G11" s="2621"/>
      <c r="H11" s="2620"/>
      <c r="I11" s="2621"/>
      <c r="J11" s="2620"/>
      <c r="K11" s="2621"/>
      <c r="L11" s="2620"/>
      <c r="M11" s="2621"/>
      <c r="N11" s="2616"/>
      <c r="O11" s="2622"/>
    </row>
    <row r="12" spans="1:15">
      <c r="A12" s="2765">
        <v>1994.03</v>
      </c>
      <c r="B12" s="2619"/>
      <c r="C12" s="2619"/>
      <c r="D12" s="2620"/>
      <c r="E12" s="2621"/>
      <c r="F12" s="2620"/>
      <c r="G12" s="2621"/>
      <c r="H12" s="2620"/>
      <c r="I12" s="2621"/>
      <c r="J12" s="2620"/>
      <c r="K12" s="2621"/>
      <c r="L12" s="2620"/>
      <c r="M12" s="2621"/>
      <c r="N12" s="2623"/>
      <c r="O12" s="2624"/>
    </row>
    <row r="13" spans="1:15">
      <c r="A13" s="2765">
        <v>1994.04</v>
      </c>
      <c r="B13" s="2619"/>
      <c r="C13" s="2619"/>
      <c r="D13" s="2620"/>
      <c r="E13" s="2621"/>
      <c r="F13" s="2620"/>
      <c r="G13" s="2621"/>
      <c r="H13" s="2620"/>
      <c r="I13" s="2621"/>
      <c r="J13" s="2620"/>
      <c r="K13" s="2621"/>
      <c r="L13" s="2620"/>
      <c r="M13" s="2621"/>
      <c r="N13" s="2623"/>
      <c r="O13" s="2624"/>
    </row>
    <row r="14" spans="1:15">
      <c r="A14" s="2765">
        <v>1994.05</v>
      </c>
      <c r="B14" s="2619"/>
      <c r="C14" s="2619"/>
      <c r="D14" s="2620"/>
      <c r="E14" s="2621"/>
      <c r="F14" s="2620"/>
      <c r="G14" s="2621"/>
      <c r="H14" s="2620"/>
      <c r="I14" s="2621"/>
      <c r="J14" s="2620"/>
      <c r="K14" s="2621"/>
      <c r="L14" s="2620"/>
      <c r="M14" s="2621"/>
      <c r="N14" s="2623"/>
      <c r="O14" s="2624"/>
    </row>
    <row r="15" spans="1:15">
      <c r="A15" s="2765">
        <v>1994.06</v>
      </c>
      <c r="B15" s="2619"/>
      <c r="C15" s="2619"/>
      <c r="D15" s="2620"/>
      <c r="E15" s="2621"/>
      <c r="F15" s="2620"/>
      <c r="G15" s="2621"/>
      <c r="H15" s="2620"/>
      <c r="I15" s="2621"/>
      <c r="J15" s="2620"/>
      <c r="K15" s="2621"/>
      <c r="L15" s="2620"/>
      <c r="M15" s="2621"/>
      <c r="N15" s="2623"/>
      <c r="O15" s="2622"/>
    </row>
    <row r="16" spans="1:15">
      <c r="A16" s="2765">
        <v>1994.07</v>
      </c>
      <c r="B16" s="2619"/>
      <c r="C16" s="2619"/>
      <c r="D16" s="2620"/>
      <c r="E16" s="2621"/>
      <c r="F16" s="2620"/>
      <c r="G16" s="2621"/>
      <c r="H16" s="2620"/>
      <c r="I16" s="2621"/>
      <c r="J16" s="2620"/>
      <c r="K16" s="2621"/>
      <c r="L16" s="2620"/>
      <c r="M16" s="2621"/>
      <c r="N16" s="2623"/>
      <c r="O16" s="2622"/>
    </row>
    <row r="17" spans="1:15">
      <c r="A17" s="2765">
        <v>1994.08</v>
      </c>
      <c r="B17" s="2619"/>
      <c r="C17" s="2619"/>
      <c r="D17" s="2620"/>
      <c r="E17" s="2621"/>
      <c r="F17" s="2620"/>
      <c r="G17" s="2621"/>
      <c r="H17" s="2620"/>
      <c r="I17" s="2621"/>
      <c r="J17" s="2620"/>
      <c r="K17" s="2621"/>
      <c r="L17" s="2620"/>
      <c r="M17" s="2621"/>
      <c r="N17" s="2623"/>
      <c r="O17" s="2624"/>
    </row>
    <row r="18" spans="1:15">
      <c r="A18" s="2765">
        <v>1994.09</v>
      </c>
      <c r="B18" s="2619"/>
      <c r="C18" s="2619"/>
      <c r="D18" s="2620"/>
      <c r="E18" s="2621"/>
      <c r="F18" s="2620"/>
      <c r="G18" s="2621"/>
      <c r="H18" s="2620"/>
      <c r="I18" s="2621"/>
      <c r="J18" s="2620"/>
      <c r="K18" s="2621"/>
      <c r="L18" s="2620"/>
      <c r="M18" s="2621"/>
      <c r="N18" s="2623"/>
      <c r="O18" s="2624"/>
    </row>
    <row r="19" spans="1:15">
      <c r="A19" s="2765">
        <v>1994.1</v>
      </c>
      <c r="B19" s="2619"/>
      <c r="C19" s="2619"/>
      <c r="D19" s="2620"/>
      <c r="E19" s="2621"/>
      <c r="F19" s="2620"/>
      <c r="G19" s="2621"/>
      <c r="H19" s="2620"/>
      <c r="I19" s="2621"/>
      <c r="J19" s="2620"/>
      <c r="K19" s="2621"/>
      <c r="L19" s="2620"/>
      <c r="M19" s="2621"/>
      <c r="N19" s="2623"/>
      <c r="O19" s="2624"/>
    </row>
    <row r="20" spans="1:15">
      <c r="A20" s="2765">
        <v>1994.11</v>
      </c>
      <c r="B20" s="2619"/>
      <c r="C20" s="2619"/>
      <c r="D20" s="2620"/>
      <c r="E20" s="2621"/>
      <c r="F20" s="2620"/>
      <c r="G20" s="2621"/>
      <c r="H20" s="2620"/>
      <c r="I20" s="2621"/>
      <c r="J20" s="2620"/>
      <c r="K20" s="2621"/>
      <c r="L20" s="2620"/>
      <c r="M20" s="2621"/>
      <c r="N20" s="2623"/>
      <c r="O20" s="2624"/>
    </row>
    <row r="21" spans="1:15">
      <c r="A21" s="2765">
        <v>1994.12</v>
      </c>
      <c r="B21" s="2619"/>
      <c r="C21" s="2619"/>
      <c r="D21" s="2620"/>
      <c r="E21" s="2621"/>
      <c r="F21" s="2620"/>
      <c r="G21" s="2621"/>
      <c r="H21" s="2620"/>
      <c r="I21" s="2621"/>
      <c r="J21" s="2620"/>
      <c r="K21" s="2621"/>
      <c r="L21" s="2620"/>
      <c r="M21" s="2621"/>
      <c r="N21" s="2623"/>
      <c r="O21" s="2624"/>
    </row>
    <row r="22" spans="1:15">
      <c r="A22" s="2765">
        <v>1995.01</v>
      </c>
      <c r="B22" s="2619"/>
      <c r="C22" s="2619"/>
      <c r="D22" s="2620"/>
      <c r="E22" s="2621"/>
      <c r="F22" s="2620"/>
      <c r="G22" s="2621"/>
      <c r="H22" s="2620"/>
      <c r="I22" s="2621"/>
      <c r="J22" s="2620"/>
      <c r="K22" s="2621"/>
      <c r="L22" s="2620"/>
      <c r="M22" s="2621"/>
      <c r="N22" s="2623"/>
      <c r="O22" s="2624"/>
    </row>
    <row r="23" spans="1:15">
      <c r="A23" s="2765">
        <v>1995.02</v>
      </c>
      <c r="B23" s="2619"/>
      <c r="C23" s="2619"/>
      <c r="D23" s="2620"/>
      <c r="E23" s="2621"/>
      <c r="F23" s="2620"/>
      <c r="G23" s="2621"/>
      <c r="H23" s="2620"/>
      <c r="I23" s="2621"/>
      <c r="J23" s="2620"/>
      <c r="K23" s="2621"/>
      <c r="L23" s="2620"/>
      <c r="M23" s="2621"/>
      <c r="N23" s="2623"/>
      <c r="O23" s="2624"/>
    </row>
    <row r="24" spans="1:15">
      <c r="A24" s="2765">
        <v>1995.03</v>
      </c>
      <c r="B24" s="2619"/>
      <c r="C24" s="2619"/>
      <c r="D24" s="2620"/>
      <c r="E24" s="2621"/>
      <c r="F24" s="2620"/>
      <c r="G24" s="2621"/>
      <c r="H24" s="2620"/>
      <c r="I24" s="2621"/>
      <c r="J24" s="2620"/>
      <c r="K24" s="2620"/>
      <c r="L24" s="2620"/>
      <c r="M24" s="2621"/>
      <c r="N24" s="2620"/>
      <c r="O24" s="2624"/>
    </row>
    <row r="25" spans="1:15">
      <c r="A25" s="2765">
        <v>1995.04</v>
      </c>
      <c r="B25" s="2619"/>
      <c r="C25" s="2619"/>
      <c r="D25" s="2620"/>
      <c r="E25" s="2621"/>
      <c r="F25" s="2620"/>
      <c r="G25" s="2621"/>
      <c r="H25" s="2620"/>
      <c r="I25" s="2621"/>
      <c r="J25" s="2620"/>
      <c r="K25" s="2620"/>
      <c r="L25" s="2620"/>
      <c r="M25" s="2621"/>
      <c r="N25" s="2620"/>
      <c r="O25" s="2624"/>
    </row>
    <row r="26" spans="1:15">
      <c r="A26" s="2765">
        <v>1995.05</v>
      </c>
      <c r="B26" s="2619"/>
      <c r="C26" s="2619"/>
      <c r="D26" s="2620"/>
      <c r="E26" s="2621"/>
      <c r="F26" s="2620"/>
      <c r="G26" s="2621"/>
      <c r="H26" s="2620"/>
      <c r="I26" s="2621"/>
      <c r="J26" s="2620"/>
      <c r="K26" s="2620"/>
      <c r="L26" s="2620"/>
      <c r="M26" s="2621"/>
      <c r="N26" s="2620"/>
      <c r="O26" s="2624"/>
    </row>
    <row r="27" spans="1:15">
      <c r="A27" s="2765">
        <v>1995.06</v>
      </c>
      <c r="B27" s="2619"/>
      <c r="C27" s="2619"/>
      <c r="D27" s="2620"/>
      <c r="E27" s="2621"/>
      <c r="F27" s="2620"/>
      <c r="G27" s="2621"/>
      <c r="H27" s="2620"/>
      <c r="I27" s="2621"/>
      <c r="J27" s="2620"/>
      <c r="K27" s="2620"/>
      <c r="L27" s="2620"/>
      <c r="M27" s="2621"/>
      <c r="N27" s="2620"/>
      <c r="O27" s="2625"/>
    </row>
    <row r="28" spans="1:15">
      <c r="A28" s="2765">
        <v>1995.07</v>
      </c>
      <c r="B28" s="2619"/>
      <c r="C28" s="2619"/>
      <c r="D28" s="2620"/>
      <c r="E28" s="2621"/>
      <c r="F28" s="2620"/>
      <c r="G28" s="2621"/>
      <c r="H28" s="2620"/>
      <c r="I28" s="2621"/>
      <c r="J28" s="2620"/>
      <c r="K28" s="2620"/>
      <c r="L28" s="2620"/>
      <c r="M28" s="2621"/>
      <c r="N28" s="2620"/>
      <c r="O28" s="2625"/>
    </row>
    <row r="29" spans="1:15">
      <c r="A29" s="2765">
        <v>1995.08</v>
      </c>
      <c r="B29" s="2619"/>
      <c r="C29" s="2619"/>
      <c r="D29" s="2620"/>
      <c r="E29" s="2621"/>
      <c r="F29" s="2620"/>
      <c r="G29" s="2621"/>
      <c r="H29" s="2620"/>
      <c r="I29" s="2621"/>
      <c r="J29" s="2620"/>
      <c r="K29" s="2620"/>
      <c r="L29" s="2620"/>
      <c r="M29" s="2621"/>
      <c r="N29" s="2620"/>
      <c r="O29" s="2625"/>
    </row>
    <row r="30" spans="1:15">
      <c r="A30" s="2765">
        <v>1995.09</v>
      </c>
      <c r="B30" s="2619"/>
      <c r="C30" s="2619"/>
      <c r="D30" s="2620"/>
      <c r="E30" s="2621"/>
      <c r="F30" s="2620"/>
      <c r="G30" s="2621"/>
      <c r="H30" s="2620"/>
      <c r="I30" s="2621"/>
      <c r="J30" s="2620"/>
      <c r="K30" s="2620"/>
      <c r="L30" s="2620"/>
      <c r="M30" s="2621"/>
      <c r="N30" s="2620"/>
      <c r="O30" s="2625"/>
    </row>
    <row r="31" spans="1:15">
      <c r="A31" s="2765">
        <v>1995.1</v>
      </c>
      <c r="B31" s="2619"/>
      <c r="C31" s="2619"/>
      <c r="D31" s="2620"/>
      <c r="E31" s="2621"/>
      <c r="F31" s="2620"/>
      <c r="G31" s="2621"/>
      <c r="H31" s="2620"/>
      <c r="I31" s="2621"/>
      <c r="J31" s="2620"/>
      <c r="K31" s="2620"/>
      <c r="L31" s="2620"/>
      <c r="M31" s="2621"/>
      <c r="N31" s="2620"/>
      <c r="O31" s="2625"/>
    </row>
    <row r="32" spans="1:15">
      <c r="A32" s="2765">
        <v>1995.11</v>
      </c>
      <c r="B32" s="2619"/>
      <c r="C32" s="2619"/>
      <c r="D32" s="2620"/>
      <c r="E32" s="2621"/>
      <c r="F32" s="2620"/>
      <c r="G32" s="2621"/>
      <c r="H32" s="2620"/>
      <c r="I32" s="2621"/>
      <c r="J32" s="2620"/>
      <c r="K32" s="2620"/>
      <c r="L32" s="2620"/>
      <c r="M32" s="2621"/>
      <c r="N32" s="2620"/>
      <c r="O32" s="2625"/>
    </row>
    <row r="33" spans="1:15">
      <c r="A33" s="2765">
        <v>1995.12</v>
      </c>
      <c r="B33" s="2619"/>
      <c r="C33" s="2619"/>
      <c r="D33" s="2620"/>
      <c r="E33" s="2621"/>
      <c r="F33" s="2620"/>
      <c r="G33" s="2621"/>
      <c r="H33" s="2620"/>
      <c r="I33" s="2621"/>
      <c r="J33" s="2620"/>
      <c r="K33" s="2620"/>
      <c r="L33" s="2620"/>
      <c r="M33" s="2621"/>
      <c r="N33" s="2620"/>
      <c r="O33" s="2625"/>
    </row>
    <row r="34" spans="1:15">
      <c r="A34" s="2765">
        <v>1996.01</v>
      </c>
      <c r="B34" s="2619"/>
      <c r="C34" s="2619"/>
      <c r="D34" s="2620"/>
      <c r="E34" s="2621"/>
      <c r="F34" s="2620"/>
      <c r="G34" s="2621"/>
      <c r="H34" s="2620"/>
      <c r="I34" s="2621"/>
      <c r="J34" s="2620"/>
      <c r="K34" s="2620"/>
      <c r="L34" s="2620"/>
      <c r="M34" s="2621"/>
      <c r="N34" s="2620"/>
      <c r="O34" s="2625"/>
    </row>
    <row r="35" spans="1:15">
      <c r="A35" s="2765">
        <v>1996.02</v>
      </c>
      <c r="B35" s="2619"/>
      <c r="C35" s="2619"/>
      <c r="D35" s="2620"/>
      <c r="E35" s="2621"/>
      <c r="F35" s="2620"/>
      <c r="G35" s="2621"/>
      <c r="H35" s="2620"/>
      <c r="I35" s="2621"/>
      <c r="J35" s="2620"/>
      <c r="K35" s="2620"/>
      <c r="L35" s="2620"/>
      <c r="M35" s="2621"/>
      <c r="N35" s="2620"/>
      <c r="O35" s="2625"/>
    </row>
    <row r="36" spans="1:15">
      <c r="A36" s="2765">
        <v>1996.03</v>
      </c>
      <c r="B36" s="2619"/>
      <c r="C36" s="2619"/>
      <c r="D36" s="2620"/>
      <c r="E36" s="2621"/>
      <c r="F36" s="2620"/>
      <c r="G36" s="2621"/>
      <c r="H36" s="2620"/>
      <c r="I36" s="2621"/>
      <c r="J36" s="2620"/>
      <c r="K36" s="2620"/>
      <c r="L36" s="2620"/>
      <c r="M36" s="2621"/>
      <c r="N36" s="2620"/>
      <c r="O36" s="2625"/>
    </row>
    <row r="37" spans="1:15">
      <c r="A37" s="2765">
        <v>1996.04</v>
      </c>
      <c r="B37" s="2619"/>
      <c r="C37" s="2619"/>
      <c r="D37" s="2620"/>
      <c r="E37" s="2621"/>
      <c r="F37" s="2620"/>
      <c r="G37" s="2621"/>
      <c r="H37" s="2620"/>
      <c r="I37" s="2621"/>
      <c r="J37" s="2620"/>
      <c r="K37" s="2620"/>
      <c r="L37" s="2620"/>
      <c r="M37" s="2621"/>
      <c r="N37" s="2620"/>
      <c r="O37" s="2625"/>
    </row>
    <row r="38" spans="1:15">
      <c r="A38" s="2765">
        <v>1996.05</v>
      </c>
      <c r="B38" s="2619"/>
      <c r="C38" s="2619"/>
      <c r="D38" s="2620"/>
      <c r="E38" s="2621"/>
      <c r="F38" s="2620"/>
      <c r="G38" s="2621"/>
      <c r="H38" s="2620"/>
      <c r="I38" s="2621"/>
      <c r="J38" s="2620"/>
      <c r="K38" s="2620"/>
      <c r="L38" s="2620"/>
      <c r="M38" s="2621"/>
      <c r="N38" s="2620"/>
      <c r="O38" s="2625"/>
    </row>
    <row r="39" spans="1:15">
      <c r="A39" s="2765">
        <v>1996.06</v>
      </c>
      <c r="B39" s="2619"/>
      <c r="C39" s="2619"/>
      <c r="D39" s="2620"/>
      <c r="E39" s="2621"/>
      <c r="F39" s="2620"/>
      <c r="G39" s="2621"/>
      <c r="H39" s="2620"/>
      <c r="I39" s="2621"/>
      <c r="J39" s="2620"/>
      <c r="K39" s="2620"/>
      <c r="L39" s="2620"/>
      <c r="M39" s="2621"/>
      <c r="N39" s="2620"/>
      <c r="O39" s="2625"/>
    </row>
    <row r="40" spans="1:15">
      <c r="A40" s="2765">
        <v>1996.07</v>
      </c>
      <c r="B40" s="2619"/>
      <c r="C40" s="2619"/>
      <c r="D40" s="2620"/>
      <c r="E40" s="2621"/>
      <c r="F40" s="2620"/>
      <c r="G40" s="2621"/>
      <c r="H40" s="2620"/>
      <c r="I40" s="2621"/>
      <c r="J40" s="2620"/>
      <c r="K40" s="2620"/>
      <c r="L40" s="2620"/>
      <c r="M40" s="2621"/>
      <c r="N40" s="2620"/>
      <c r="O40" s="2625"/>
    </row>
    <row r="41" spans="1:15">
      <c r="A41" s="2765">
        <v>1996.08</v>
      </c>
      <c r="B41" s="2619"/>
      <c r="C41" s="2619"/>
      <c r="D41" s="2620"/>
      <c r="E41" s="2621"/>
      <c r="F41" s="2620"/>
      <c r="G41" s="2621"/>
      <c r="H41" s="2620"/>
      <c r="I41" s="2621"/>
      <c r="J41" s="2620"/>
      <c r="K41" s="2620"/>
      <c r="L41" s="2620"/>
      <c r="M41" s="2621"/>
      <c r="N41" s="2620"/>
      <c r="O41" s="2625"/>
    </row>
    <row r="42" spans="1:15">
      <c r="A42" s="2765">
        <v>1996.09</v>
      </c>
      <c r="B42" s="2619"/>
      <c r="C42" s="2619"/>
      <c r="D42" s="2620"/>
      <c r="E42" s="2621"/>
      <c r="F42" s="2620"/>
      <c r="G42" s="2621"/>
      <c r="H42" s="2620"/>
      <c r="I42" s="2621"/>
      <c r="J42" s="2620"/>
      <c r="K42" s="2620"/>
      <c r="L42" s="2620"/>
      <c r="M42" s="2621"/>
      <c r="N42" s="2620"/>
      <c r="O42" s="2625"/>
    </row>
    <row r="43" spans="1:15">
      <c r="A43" s="2765">
        <v>1996.1</v>
      </c>
      <c r="B43" s="2619"/>
      <c r="C43" s="2619"/>
      <c r="D43" s="2620"/>
      <c r="E43" s="2621"/>
      <c r="F43" s="2620"/>
      <c r="G43" s="2621"/>
      <c r="H43" s="2620"/>
      <c r="I43" s="2621"/>
      <c r="J43" s="2620"/>
      <c r="K43" s="2620"/>
      <c r="L43" s="2620"/>
      <c r="M43" s="2621"/>
      <c r="N43" s="2620"/>
      <c r="O43" s="2625"/>
    </row>
    <row r="44" spans="1:15">
      <c r="A44" s="2765">
        <v>1996.11</v>
      </c>
      <c r="B44" s="2619"/>
      <c r="C44" s="2619"/>
      <c r="D44" s="2620"/>
      <c r="E44" s="2621"/>
      <c r="F44" s="2620"/>
      <c r="G44" s="2621"/>
      <c r="H44" s="2620"/>
      <c r="I44" s="2621"/>
      <c r="J44" s="2620"/>
      <c r="K44" s="2620"/>
      <c r="L44" s="2620"/>
      <c r="M44" s="2621"/>
      <c r="N44" s="2620"/>
      <c r="O44" s="2625"/>
    </row>
    <row r="45" spans="1:15">
      <c r="A45" s="2765">
        <v>1996.12</v>
      </c>
      <c r="B45" s="2619"/>
      <c r="C45" s="2619"/>
      <c r="D45" s="2620"/>
      <c r="E45" s="2621"/>
      <c r="F45" s="2620"/>
      <c r="G45" s="2621"/>
      <c r="H45" s="2620"/>
      <c r="I45" s="2621"/>
      <c r="J45" s="2620"/>
      <c r="K45" s="2620"/>
      <c r="L45" s="2620"/>
      <c r="M45" s="2621"/>
      <c r="N45" s="2620"/>
      <c r="O45" s="2625"/>
    </row>
    <row r="46" spans="1:15">
      <c r="A46" s="2765">
        <v>1997.01</v>
      </c>
      <c r="B46" s="2619"/>
      <c r="C46" s="2619"/>
      <c r="D46" s="2620"/>
      <c r="E46" s="2621"/>
      <c r="F46" s="2620"/>
      <c r="G46" s="2621"/>
      <c r="H46" s="2620"/>
      <c r="I46" s="2621"/>
      <c r="J46" s="2620"/>
      <c r="K46" s="2620"/>
      <c r="L46" s="2620"/>
      <c r="M46" s="2621"/>
      <c r="N46" s="2620"/>
      <c r="O46" s="2625"/>
    </row>
    <row r="47" spans="1:15">
      <c r="A47" s="2765">
        <v>1997.02</v>
      </c>
      <c r="B47" s="2619"/>
      <c r="C47" s="2619"/>
      <c r="D47" s="2620"/>
      <c r="E47" s="2621"/>
      <c r="F47" s="2620"/>
      <c r="G47" s="2621"/>
      <c r="H47" s="2620"/>
      <c r="I47" s="2621"/>
      <c r="J47" s="2620"/>
      <c r="K47" s="2620"/>
      <c r="L47" s="2620"/>
      <c r="M47" s="2621"/>
      <c r="N47" s="2620"/>
      <c r="O47" s="2625"/>
    </row>
    <row r="48" spans="1:15">
      <c r="A48" s="2765">
        <v>1997.03</v>
      </c>
      <c r="B48" s="2619"/>
      <c r="C48" s="2619"/>
      <c r="D48" s="2620"/>
      <c r="E48" s="2621"/>
      <c r="F48" s="2620"/>
      <c r="G48" s="2621"/>
      <c r="H48" s="2620"/>
      <c r="I48" s="2621"/>
      <c r="J48" s="2620"/>
      <c r="K48" s="2620"/>
      <c r="L48" s="2620"/>
      <c r="M48" s="2621"/>
      <c r="N48" s="2620"/>
      <c r="O48" s="2625"/>
    </row>
    <row r="49" spans="1:15">
      <c r="A49" s="2765">
        <v>1997.04</v>
      </c>
      <c r="B49" s="2619"/>
      <c r="C49" s="2619"/>
      <c r="D49" s="2620"/>
      <c r="E49" s="2621"/>
      <c r="F49" s="2620"/>
      <c r="G49" s="2621"/>
      <c r="H49" s="2620"/>
      <c r="I49" s="2621"/>
      <c r="J49" s="2620"/>
      <c r="K49" s="2620"/>
      <c r="L49" s="2620"/>
      <c r="M49" s="2621"/>
      <c r="N49" s="2620"/>
      <c r="O49" s="2625"/>
    </row>
    <row r="50" spans="1:15">
      <c r="A50" s="2765">
        <v>1997.05</v>
      </c>
      <c r="B50" s="2619"/>
      <c r="C50" s="2619"/>
      <c r="D50" s="2620"/>
      <c r="E50" s="2621"/>
      <c r="F50" s="2620"/>
      <c r="G50" s="2621"/>
      <c r="H50" s="2620"/>
      <c r="I50" s="2621"/>
      <c r="J50" s="2620"/>
      <c r="K50" s="2620"/>
      <c r="L50" s="2620"/>
      <c r="M50" s="2621"/>
      <c r="N50" s="2620"/>
      <c r="O50" s="2625"/>
    </row>
    <row r="51" spans="1:15">
      <c r="A51" s="2765">
        <v>1997.06</v>
      </c>
      <c r="B51" s="2619"/>
      <c r="C51" s="2619"/>
      <c r="D51" s="2620"/>
      <c r="E51" s="2621"/>
      <c r="F51" s="2620"/>
      <c r="G51" s="2621"/>
      <c r="H51" s="2620"/>
      <c r="I51" s="2621"/>
      <c r="J51" s="2620"/>
      <c r="K51" s="2620"/>
      <c r="L51" s="2620"/>
      <c r="M51" s="2621"/>
      <c r="N51" s="2620"/>
      <c r="O51" s="2625"/>
    </row>
    <row r="52" spans="1:15">
      <c r="A52" s="2765">
        <v>1997.07</v>
      </c>
      <c r="B52" s="2619"/>
      <c r="C52" s="2619"/>
      <c r="D52" s="2620"/>
      <c r="E52" s="2621"/>
      <c r="F52" s="2620"/>
      <c r="G52" s="2621"/>
      <c r="H52" s="2620"/>
      <c r="I52" s="2621"/>
      <c r="J52" s="2620"/>
      <c r="K52" s="2620"/>
      <c r="L52" s="2620"/>
      <c r="M52" s="2621"/>
      <c r="N52" s="2620"/>
      <c r="O52" s="2625"/>
    </row>
    <row r="53" spans="1:15">
      <c r="A53" s="2765">
        <v>1997.08</v>
      </c>
      <c r="B53" s="2619"/>
      <c r="C53" s="2619"/>
      <c r="D53" s="2620"/>
      <c r="E53" s="2621"/>
      <c r="F53" s="2620"/>
      <c r="G53" s="2621"/>
      <c r="H53" s="2620"/>
      <c r="I53" s="2621"/>
      <c r="J53" s="2620"/>
      <c r="K53" s="2620"/>
      <c r="L53" s="2620"/>
      <c r="M53" s="2621"/>
      <c r="N53" s="2620"/>
      <c r="O53" s="2625"/>
    </row>
    <row r="54" spans="1:15">
      <c r="A54" s="2765">
        <v>1997.09</v>
      </c>
      <c r="B54" s="2619"/>
      <c r="C54" s="2619"/>
      <c r="D54" s="2620"/>
      <c r="E54" s="2621"/>
      <c r="F54" s="2620"/>
      <c r="G54" s="2621"/>
      <c r="H54" s="2620"/>
      <c r="I54" s="2621"/>
      <c r="J54" s="2620"/>
      <c r="K54" s="2620"/>
      <c r="L54" s="2620"/>
      <c r="M54" s="2621"/>
      <c r="N54" s="2620"/>
      <c r="O54" s="2625"/>
    </row>
    <row r="55" spans="1:15">
      <c r="A55" s="2765">
        <v>1997.1</v>
      </c>
      <c r="B55" s="2619"/>
      <c r="C55" s="2619"/>
      <c r="D55" s="2620"/>
      <c r="E55" s="2621"/>
      <c r="F55" s="2620"/>
      <c r="G55" s="2621"/>
      <c r="H55" s="2620"/>
      <c r="I55" s="2621"/>
      <c r="J55" s="2620"/>
      <c r="K55" s="2620"/>
      <c r="L55" s="2620"/>
      <c r="M55" s="2621"/>
      <c r="N55" s="2620"/>
      <c r="O55" s="2625"/>
    </row>
    <row r="56" spans="1:15">
      <c r="A56" s="2765">
        <v>1997.11</v>
      </c>
      <c r="B56" s="2619"/>
      <c r="C56" s="2619"/>
      <c r="D56" s="2620"/>
      <c r="E56" s="2621"/>
      <c r="F56" s="2620"/>
      <c r="G56" s="2621"/>
      <c r="H56" s="2620"/>
      <c r="I56" s="2621"/>
      <c r="J56" s="2620"/>
      <c r="K56" s="2620"/>
      <c r="L56" s="2620"/>
      <c r="M56" s="2621"/>
      <c r="N56" s="2620"/>
      <c r="O56" s="2625"/>
    </row>
    <row r="57" spans="1:15">
      <c r="A57" s="2765">
        <v>1997.12</v>
      </c>
      <c r="B57" s="2619"/>
      <c r="C57" s="2619"/>
      <c r="D57" s="2620"/>
      <c r="E57" s="2621"/>
      <c r="F57" s="2620"/>
      <c r="G57" s="2621"/>
      <c r="H57" s="2620"/>
      <c r="I57" s="2621"/>
      <c r="J57" s="2620"/>
      <c r="K57" s="2620"/>
      <c r="L57" s="2620"/>
      <c r="M57" s="2621"/>
      <c r="N57" s="2620"/>
      <c r="O57" s="2625"/>
    </row>
    <row r="58" spans="1:15">
      <c r="A58" s="2765">
        <v>1998.01</v>
      </c>
      <c r="B58" s="2619"/>
      <c r="C58" s="2619"/>
      <c r="D58" s="2620"/>
      <c r="E58" s="2621"/>
      <c r="F58" s="2620"/>
      <c r="G58" s="2621"/>
      <c r="H58" s="2620"/>
      <c r="I58" s="2621"/>
      <c r="J58" s="2620"/>
      <c r="K58" s="2620"/>
      <c r="L58" s="2620"/>
      <c r="M58" s="2621"/>
      <c r="N58" s="2620"/>
      <c r="O58" s="2625"/>
    </row>
    <row r="59" spans="1:15">
      <c r="A59" s="2765">
        <v>1998.02</v>
      </c>
      <c r="B59" s="2619"/>
      <c r="C59" s="2619"/>
      <c r="D59" s="2620"/>
      <c r="E59" s="2621"/>
      <c r="F59" s="2620"/>
      <c r="G59" s="2621"/>
      <c r="H59" s="2620"/>
      <c r="I59" s="2621"/>
      <c r="J59" s="2620"/>
      <c r="K59" s="2620"/>
      <c r="L59" s="2620"/>
      <c r="M59" s="2621"/>
      <c r="N59" s="2620"/>
      <c r="O59" s="2625"/>
    </row>
    <row r="60" spans="1:15">
      <c r="A60" s="2765">
        <v>1998.03</v>
      </c>
      <c r="B60" s="2619"/>
      <c r="C60" s="2619"/>
      <c r="D60" s="2620"/>
      <c r="E60" s="2621"/>
      <c r="F60" s="2620"/>
      <c r="G60" s="2621"/>
      <c r="H60" s="2620"/>
      <c r="I60" s="2621"/>
      <c r="J60" s="2620"/>
      <c r="K60" s="2620"/>
      <c r="L60" s="2620"/>
      <c r="M60" s="2621"/>
      <c r="N60" s="2620"/>
      <c r="O60" s="2625"/>
    </row>
    <row r="61" spans="1:15">
      <c r="A61" s="2765">
        <v>1998.04</v>
      </c>
      <c r="B61" s="2619"/>
      <c r="C61" s="2619"/>
      <c r="D61" s="2620"/>
      <c r="E61" s="2621"/>
      <c r="F61" s="2620"/>
      <c r="G61" s="2621"/>
      <c r="H61" s="2620"/>
      <c r="I61" s="2621"/>
      <c r="J61" s="2620"/>
      <c r="K61" s="2620"/>
      <c r="L61" s="2620"/>
      <c r="M61" s="2621"/>
      <c r="N61" s="2620"/>
      <c r="O61" s="2625"/>
    </row>
    <row r="62" spans="1:15">
      <c r="A62" s="2765">
        <v>1998.05</v>
      </c>
      <c r="B62" s="2619"/>
      <c r="C62" s="2619"/>
      <c r="D62" s="2620"/>
      <c r="E62" s="2621"/>
      <c r="F62" s="2620"/>
      <c r="G62" s="2621"/>
      <c r="H62" s="2620"/>
      <c r="I62" s="2621"/>
      <c r="J62" s="2620"/>
      <c r="K62" s="2620"/>
      <c r="L62" s="2620"/>
      <c r="M62" s="2621"/>
      <c r="N62" s="2620"/>
      <c r="O62" s="2625"/>
    </row>
    <row r="63" spans="1:15">
      <c r="A63" s="2765">
        <v>1998.06</v>
      </c>
      <c r="B63" s="2619"/>
      <c r="C63" s="2619"/>
      <c r="D63" s="2620"/>
      <c r="E63" s="2621"/>
      <c r="F63" s="2620"/>
      <c r="G63" s="2621"/>
      <c r="H63" s="2620"/>
      <c r="I63" s="2621"/>
      <c r="J63" s="2620"/>
      <c r="K63" s="2620"/>
      <c r="L63" s="2620"/>
      <c r="M63" s="2621"/>
      <c r="N63" s="2620"/>
      <c r="O63" s="2625"/>
    </row>
    <row r="64" spans="1:15">
      <c r="A64" s="2765">
        <v>1998.07</v>
      </c>
      <c r="B64" s="2619"/>
      <c r="C64" s="2619"/>
      <c r="D64" s="2620"/>
      <c r="E64" s="2621"/>
      <c r="F64" s="2620"/>
      <c r="G64" s="2621"/>
      <c r="H64" s="2620"/>
      <c r="I64" s="2621"/>
      <c r="J64" s="2620"/>
      <c r="K64" s="2620"/>
      <c r="L64" s="2620"/>
      <c r="M64" s="2621"/>
      <c r="N64" s="2620"/>
      <c r="O64" s="2625"/>
    </row>
    <row r="65" spans="1:15">
      <c r="A65" s="2765">
        <v>1998.08</v>
      </c>
      <c r="B65" s="2619"/>
      <c r="C65" s="2619"/>
      <c r="D65" s="2620"/>
      <c r="E65" s="2621"/>
      <c r="F65" s="2620"/>
      <c r="G65" s="2621"/>
      <c r="H65" s="2620"/>
      <c r="I65" s="2621"/>
      <c r="J65" s="2620"/>
      <c r="K65" s="2620"/>
      <c r="L65" s="2620"/>
      <c r="M65" s="2621"/>
      <c r="N65" s="2620"/>
      <c r="O65" s="2625"/>
    </row>
    <row r="66" spans="1:15">
      <c r="A66" s="2765">
        <v>1998.09</v>
      </c>
      <c r="B66" s="2619"/>
      <c r="C66" s="2619"/>
      <c r="D66" s="2620"/>
      <c r="E66" s="2621"/>
      <c r="F66" s="2620"/>
      <c r="G66" s="2621"/>
      <c r="H66" s="2620"/>
      <c r="I66" s="2621"/>
      <c r="J66" s="2620"/>
      <c r="K66" s="2620"/>
      <c r="L66" s="2620"/>
      <c r="M66" s="2621"/>
      <c r="N66" s="2620"/>
      <c r="O66" s="2625"/>
    </row>
    <row r="67" spans="1:15">
      <c r="A67" s="2765">
        <v>1998.1</v>
      </c>
      <c r="B67" s="2619"/>
      <c r="C67" s="2619"/>
      <c r="D67" s="2620"/>
      <c r="E67" s="2621"/>
      <c r="F67" s="2620"/>
      <c r="G67" s="2621"/>
      <c r="H67" s="2620"/>
      <c r="I67" s="2621"/>
      <c r="J67" s="2620"/>
      <c r="K67" s="2620"/>
      <c r="L67" s="2620"/>
      <c r="M67" s="2621"/>
      <c r="N67" s="2620"/>
      <c r="O67" s="2625"/>
    </row>
    <row r="68" spans="1:15">
      <c r="A68" s="2765">
        <v>1998.11</v>
      </c>
      <c r="B68" s="2619"/>
      <c r="C68" s="2619"/>
      <c r="D68" s="2620"/>
      <c r="E68" s="2621"/>
      <c r="F68" s="2620"/>
      <c r="G68" s="2621"/>
      <c r="H68" s="2620"/>
      <c r="I68" s="2621"/>
      <c r="J68" s="2620"/>
      <c r="K68" s="2620"/>
      <c r="L68" s="2620"/>
      <c r="M68" s="2621"/>
      <c r="N68" s="2620"/>
      <c r="O68" s="2625"/>
    </row>
    <row r="69" spans="1:15">
      <c r="A69" s="2765">
        <v>1998.12</v>
      </c>
      <c r="B69" s="2619"/>
      <c r="C69" s="2619"/>
      <c r="D69" s="2620"/>
      <c r="E69" s="2621"/>
      <c r="F69" s="2620"/>
      <c r="G69" s="2621"/>
      <c r="H69" s="2620"/>
      <c r="I69" s="2621"/>
      <c r="J69" s="2620"/>
      <c r="K69" s="2620"/>
      <c r="L69" s="2620"/>
      <c r="M69" s="2621"/>
      <c r="N69" s="2620"/>
      <c r="O69" s="2625"/>
    </row>
    <row r="70" spans="1:15">
      <c r="A70" s="2765">
        <v>1999.01</v>
      </c>
      <c r="B70" s="2619"/>
      <c r="C70" s="2619"/>
      <c r="D70" s="2620"/>
      <c r="E70" s="2621"/>
      <c r="F70" s="2620"/>
      <c r="G70" s="2621"/>
      <c r="H70" s="2620"/>
      <c r="I70" s="2621"/>
      <c r="J70" s="2620"/>
      <c r="K70" s="2620"/>
      <c r="L70" s="2620"/>
      <c r="M70" s="2621"/>
      <c r="N70" s="2620"/>
      <c r="O70" s="2625"/>
    </row>
    <row r="71" spans="1:15">
      <c r="A71" s="2765">
        <v>1999.02</v>
      </c>
      <c r="B71" s="2619"/>
      <c r="C71" s="2619"/>
      <c r="D71" s="2620"/>
      <c r="E71" s="2621"/>
      <c r="F71" s="2620"/>
      <c r="G71" s="2621"/>
      <c r="H71" s="2620"/>
      <c r="I71" s="2621"/>
      <c r="J71" s="2620"/>
      <c r="K71" s="2620"/>
      <c r="L71" s="2620"/>
      <c r="M71" s="2621"/>
      <c r="N71" s="2620"/>
      <c r="O71" s="2625"/>
    </row>
    <row r="72" spans="1:15">
      <c r="A72" s="2765">
        <v>1999.03</v>
      </c>
      <c r="B72" s="2619"/>
      <c r="C72" s="2619"/>
      <c r="D72" s="2620"/>
      <c r="E72" s="2621"/>
      <c r="F72" s="2620"/>
      <c r="G72" s="2621"/>
      <c r="H72" s="2620"/>
      <c r="I72" s="2621"/>
      <c r="J72" s="2620"/>
      <c r="K72" s="2620"/>
      <c r="L72" s="2620"/>
      <c r="M72" s="2621"/>
      <c r="N72" s="2620"/>
      <c r="O72" s="2625"/>
    </row>
    <row r="73" spans="1:15">
      <c r="A73" s="2765">
        <v>1999.04</v>
      </c>
      <c r="B73" s="2619"/>
      <c r="C73" s="2619"/>
      <c r="D73" s="2620"/>
      <c r="E73" s="2621"/>
      <c r="F73" s="2620"/>
      <c r="G73" s="2621"/>
      <c r="H73" s="2620"/>
      <c r="I73" s="2621"/>
      <c r="J73" s="2620"/>
      <c r="K73" s="2620"/>
      <c r="L73" s="2620"/>
      <c r="M73" s="2621"/>
      <c r="N73" s="2620"/>
      <c r="O73" s="2625"/>
    </row>
    <row r="74" spans="1:15">
      <c r="A74" s="2765">
        <v>1999.05</v>
      </c>
      <c r="B74" s="2619"/>
      <c r="C74" s="2619"/>
      <c r="D74" s="2620"/>
      <c r="E74" s="2621"/>
      <c r="F74" s="2620"/>
      <c r="G74" s="2621"/>
      <c r="H74" s="2620"/>
      <c r="I74" s="2621"/>
      <c r="J74" s="2620"/>
      <c r="K74" s="2620"/>
      <c r="L74" s="2620"/>
      <c r="M74" s="2621"/>
      <c r="N74" s="2620"/>
      <c r="O74" s="2625"/>
    </row>
    <row r="75" spans="1:15">
      <c r="A75" s="2765">
        <v>1999.06</v>
      </c>
      <c r="B75" s="2619"/>
      <c r="C75" s="2619"/>
      <c r="D75" s="2620"/>
      <c r="E75" s="2621"/>
      <c r="F75" s="2620"/>
      <c r="G75" s="2621"/>
      <c r="H75" s="2620"/>
      <c r="I75" s="2621"/>
      <c r="J75" s="2620"/>
      <c r="K75" s="2620"/>
      <c r="L75" s="2620"/>
      <c r="M75" s="2621"/>
      <c r="N75" s="2620"/>
      <c r="O75" s="2625"/>
    </row>
    <row r="76" spans="1:15">
      <c r="A76" s="2765">
        <v>1999.07</v>
      </c>
      <c r="B76" s="2619"/>
      <c r="C76" s="2619"/>
      <c r="D76" s="2620"/>
      <c r="E76" s="2621"/>
      <c r="F76" s="2620"/>
      <c r="G76" s="2621"/>
      <c r="H76" s="2620"/>
      <c r="I76" s="2621"/>
      <c r="J76" s="2620"/>
      <c r="K76" s="2620"/>
      <c r="L76" s="2620"/>
      <c r="M76" s="2621"/>
      <c r="N76" s="2620"/>
      <c r="O76" s="2625"/>
    </row>
    <row r="77" spans="1:15">
      <c r="A77" s="2765">
        <v>1999.08</v>
      </c>
      <c r="B77" s="2619"/>
      <c r="C77" s="2619"/>
      <c r="D77" s="2620"/>
      <c r="E77" s="2621"/>
      <c r="F77" s="2620"/>
      <c r="G77" s="2621"/>
      <c r="H77" s="2620"/>
      <c r="I77" s="2621"/>
      <c r="J77" s="2620"/>
      <c r="K77" s="2620"/>
      <c r="L77" s="2620"/>
      <c r="M77" s="2621"/>
      <c r="N77" s="2620"/>
      <c r="O77" s="2625"/>
    </row>
    <row r="78" spans="1:15">
      <c r="A78" s="2765">
        <v>1999.09</v>
      </c>
      <c r="B78" s="2619"/>
      <c r="C78" s="2619"/>
      <c r="D78" s="2620"/>
      <c r="E78" s="2621"/>
      <c r="F78" s="2620"/>
      <c r="G78" s="2621"/>
      <c r="H78" s="2620"/>
      <c r="I78" s="2621"/>
      <c r="J78" s="2620"/>
      <c r="K78" s="2620"/>
      <c r="L78" s="2620"/>
      <c r="M78" s="2621"/>
      <c r="N78" s="2620"/>
      <c r="O78" s="2625"/>
    </row>
    <row r="79" spans="1:15">
      <c r="A79" s="2765">
        <v>1999.1</v>
      </c>
      <c r="B79" s="2619"/>
      <c r="C79" s="2619"/>
      <c r="D79" s="2620"/>
      <c r="E79" s="2621"/>
      <c r="F79" s="2620"/>
      <c r="G79" s="2621"/>
      <c r="H79" s="2620"/>
      <c r="I79" s="2621"/>
      <c r="J79" s="2620"/>
      <c r="K79" s="2620"/>
      <c r="L79" s="2620"/>
      <c r="M79" s="2621"/>
      <c r="N79" s="2620"/>
      <c r="O79" s="2625"/>
    </row>
    <row r="80" spans="1:15">
      <c r="A80" s="2765">
        <v>1999.11</v>
      </c>
      <c r="B80" s="2619"/>
      <c r="C80" s="2619"/>
      <c r="D80" s="2620"/>
      <c r="E80" s="2621"/>
      <c r="F80" s="2620"/>
      <c r="G80" s="2621"/>
      <c r="H80" s="2620"/>
      <c r="I80" s="2621"/>
      <c r="J80" s="2620"/>
      <c r="K80" s="2620"/>
      <c r="L80" s="2620"/>
      <c r="M80" s="2621"/>
      <c r="N80" s="2620"/>
      <c r="O80" s="2625"/>
    </row>
    <row r="81" spans="1:15">
      <c r="A81" s="2765">
        <v>1999.12</v>
      </c>
      <c r="B81" s="2619"/>
      <c r="C81" s="2619"/>
      <c r="D81" s="2620"/>
      <c r="E81" s="2621"/>
      <c r="F81" s="2620"/>
      <c r="G81" s="2621"/>
      <c r="H81" s="2620"/>
      <c r="I81" s="2621"/>
      <c r="J81" s="2620"/>
      <c r="K81" s="2620"/>
      <c r="L81" s="2620"/>
      <c r="M81" s="2621"/>
      <c r="N81" s="2620"/>
      <c r="O81" s="2625"/>
    </row>
    <row r="82" spans="1:15">
      <c r="A82" s="2765">
        <v>2000.01</v>
      </c>
      <c r="B82" s="2619"/>
      <c r="C82" s="2619"/>
      <c r="D82" s="2620"/>
      <c r="E82" s="2621"/>
      <c r="F82" s="2620"/>
      <c r="G82" s="2621"/>
      <c r="H82" s="2620"/>
      <c r="I82" s="2621"/>
      <c r="J82" s="2620"/>
      <c r="K82" s="2620"/>
      <c r="L82" s="2620"/>
      <c r="M82" s="2621"/>
      <c r="N82" s="2620"/>
      <c r="O82" s="2625"/>
    </row>
    <row r="83" spans="1:15">
      <c r="A83" s="2765">
        <v>2000.02</v>
      </c>
      <c r="B83" s="2619"/>
      <c r="C83" s="2619"/>
      <c r="D83" s="2620"/>
      <c r="E83" s="2621"/>
      <c r="F83" s="2620"/>
      <c r="G83" s="2621"/>
      <c r="H83" s="2620"/>
      <c r="I83" s="2621"/>
      <c r="J83" s="2620"/>
      <c r="K83" s="2620"/>
      <c r="L83" s="2620"/>
      <c r="M83" s="2621"/>
      <c r="N83" s="2620"/>
      <c r="O83" s="2625"/>
    </row>
    <row r="84" spans="1:15">
      <c r="A84" s="2765">
        <v>2000.03</v>
      </c>
      <c r="B84" s="2619"/>
      <c r="C84" s="2619"/>
      <c r="D84" s="2620"/>
      <c r="E84" s="2621"/>
      <c r="F84" s="2620"/>
      <c r="G84" s="2621"/>
      <c r="H84" s="2620"/>
      <c r="I84" s="2621"/>
      <c r="J84" s="2620"/>
      <c r="K84" s="2620"/>
      <c r="L84" s="2620"/>
      <c r="M84" s="2621"/>
      <c r="N84" s="2620"/>
      <c r="O84" s="2625"/>
    </row>
    <row r="85" spans="1:15">
      <c r="A85" s="2765">
        <v>2000.04</v>
      </c>
      <c r="B85" s="2619"/>
      <c r="C85" s="2619"/>
      <c r="D85" s="2620"/>
      <c r="E85" s="2621"/>
      <c r="F85" s="2620"/>
      <c r="G85" s="2621"/>
      <c r="H85" s="2620"/>
      <c r="I85" s="2621"/>
      <c r="J85" s="2620"/>
      <c r="K85" s="2620"/>
      <c r="L85" s="2620"/>
      <c r="M85" s="2621"/>
      <c r="N85" s="2620"/>
      <c r="O85" s="2625"/>
    </row>
    <row r="86" spans="1:15">
      <c r="A86" s="2765">
        <v>2000.05</v>
      </c>
      <c r="B86" s="2619"/>
      <c r="C86" s="2619"/>
      <c r="D86" s="2620"/>
      <c r="E86" s="2621"/>
      <c r="F86" s="2620"/>
      <c r="G86" s="2621"/>
      <c r="H86" s="2620"/>
      <c r="I86" s="2621"/>
      <c r="J86" s="2620"/>
      <c r="K86" s="2620"/>
      <c r="L86" s="2620"/>
      <c r="M86" s="2621"/>
      <c r="N86" s="2620"/>
      <c r="O86" s="2625"/>
    </row>
    <row r="87" spans="1:15">
      <c r="A87" s="2765">
        <v>2000.06</v>
      </c>
      <c r="B87" s="2619"/>
      <c r="C87" s="2619"/>
      <c r="D87" s="2620"/>
      <c r="E87" s="2621"/>
      <c r="F87" s="2620"/>
      <c r="G87" s="2621"/>
      <c r="H87" s="2620"/>
      <c r="I87" s="2621"/>
      <c r="J87" s="2620"/>
      <c r="K87" s="2620"/>
      <c r="L87" s="2620"/>
      <c r="M87" s="2621"/>
      <c r="N87" s="2620"/>
      <c r="O87" s="2625"/>
    </row>
    <row r="88" spans="1:15">
      <c r="A88" s="2765">
        <v>2000.07</v>
      </c>
      <c r="B88" s="2619"/>
      <c r="C88" s="2619"/>
      <c r="D88" s="2620"/>
      <c r="E88" s="2621"/>
      <c r="F88" s="2620"/>
      <c r="G88" s="2621"/>
      <c r="H88" s="2620"/>
      <c r="I88" s="2621"/>
      <c r="J88" s="2620"/>
      <c r="K88" s="2620"/>
      <c r="L88" s="2620"/>
      <c r="M88" s="2621"/>
      <c r="N88" s="2620"/>
      <c r="O88" s="2625"/>
    </row>
    <row r="89" spans="1:15">
      <c r="A89" s="2765">
        <v>2000.08</v>
      </c>
      <c r="B89" s="2619"/>
      <c r="C89" s="2619"/>
      <c r="D89" s="2620"/>
      <c r="E89" s="2621"/>
      <c r="F89" s="2620"/>
      <c r="G89" s="2621"/>
      <c r="H89" s="2620"/>
      <c r="I89" s="2621"/>
      <c r="J89" s="2620"/>
      <c r="K89" s="2620"/>
      <c r="L89" s="2620"/>
      <c r="M89" s="2621"/>
      <c r="N89" s="2620"/>
      <c r="O89" s="2625"/>
    </row>
    <row r="90" spans="1:15">
      <c r="A90" s="2765">
        <v>2000.09</v>
      </c>
      <c r="B90" s="2619"/>
      <c r="C90" s="2619"/>
      <c r="D90" s="2620"/>
      <c r="E90" s="2621"/>
      <c r="F90" s="2620"/>
      <c r="G90" s="2621"/>
      <c r="H90" s="2620"/>
      <c r="I90" s="2621"/>
      <c r="J90" s="2620"/>
      <c r="K90" s="2620"/>
      <c r="L90" s="2620"/>
      <c r="M90" s="2621"/>
      <c r="N90" s="2620"/>
      <c r="O90" s="2625"/>
    </row>
    <row r="91" spans="1:15">
      <c r="A91" s="2765">
        <v>2000.1</v>
      </c>
      <c r="B91" s="2619"/>
      <c r="C91" s="2619"/>
      <c r="D91" s="2620"/>
      <c r="E91" s="2621"/>
      <c r="F91" s="2620"/>
      <c r="G91" s="2621"/>
      <c r="H91" s="2620"/>
      <c r="I91" s="2621"/>
      <c r="J91" s="2620"/>
      <c r="K91" s="2620"/>
      <c r="L91" s="2620"/>
      <c r="M91" s="2621"/>
      <c r="N91" s="2620"/>
      <c r="O91" s="2625"/>
    </row>
    <row r="92" spans="1:15">
      <c r="A92" s="2765">
        <v>2000.11</v>
      </c>
      <c r="B92" s="2619"/>
      <c r="C92" s="2619"/>
      <c r="D92" s="2620"/>
      <c r="E92" s="2621"/>
      <c r="F92" s="2620"/>
      <c r="G92" s="2621"/>
      <c r="H92" s="2620"/>
      <c r="I92" s="2621"/>
      <c r="J92" s="2620"/>
      <c r="K92" s="2620"/>
      <c r="L92" s="2620"/>
      <c r="M92" s="2621"/>
      <c r="N92" s="2620"/>
      <c r="O92" s="2625"/>
    </row>
    <row r="93" spans="1:15">
      <c r="A93" s="2765">
        <v>2000.12</v>
      </c>
      <c r="B93" s="2619"/>
      <c r="C93" s="2619"/>
      <c r="D93" s="2620"/>
      <c r="E93" s="2621"/>
      <c r="F93" s="2620"/>
      <c r="G93" s="2621"/>
      <c r="H93" s="2620"/>
      <c r="I93" s="2621"/>
      <c r="J93" s="2620"/>
      <c r="K93" s="2620"/>
      <c r="L93" s="2620"/>
      <c r="M93" s="2621"/>
      <c r="N93" s="2620"/>
      <c r="O93" s="2625"/>
    </row>
    <row r="94" spans="1:15">
      <c r="A94" s="2765">
        <v>2001.01</v>
      </c>
      <c r="B94" s="2619"/>
      <c r="C94" s="2619"/>
      <c r="D94" s="2620"/>
      <c r="E94" s="2621"/>
      <c r="F94" s="2620"/>
      <c r="G94" s="2621"/>
      <c r="H94" s="2620"/>
      <c r="I94" s="2621"/>
      <c r="J94" s="2620"/>
      <c r="K94" s="2620"/>
      <c r="L94" s="2620"/>
      <c r="M94" s="2621"/>
      <c r="N94" s="2620"/>
      <c r="O94" s="2625"/>
    </row>
    <row r="95" spans="1:15">
      <c r="A95" s="2765">
        <v>2001.02</v>
      </c>
      <c r="B95" s="2619"/>
      <c r="C95" s="2619"/>
      <c r="D95" s="2620"/>
      <c r="E95" s="2621"/>
      <c r="F95" s="2620"/>
      <c r="G95" s="2621"/>
      <c r="H95" s="2620"/>
      <c r="I95" s="2621"/>
      <c r="J95" s="2620"/>
      <c r="K95" s="2620"/>
      <c r="L95" s="2620"/>
      <c r="M95" s="2621"/>
      <c r="N95" s="2620"/>
      <c r="O95" s="2625"/>
    </row>
    <row r="96" spans="1:15">
      <c r="A96" s="2765">
        <v>2001.03</v>
      </c>
      <c r="B96" s="2619"/>
      <c r="C96" s="2619"/>
      <c r="D96" s="2620"/>
      <c r="E96" s="2621"/>
      <c r="F96" s="2620"/>
      <c r="G96" s="2621"/>
      <c r="H96" s="2620"/>
      <c r="I96" s="2621"/>
      <c r="J96" s="2620"/>
      <c r="K96" s="2620"/>
      <c r="L96" s="2620"/>
      <c r="M96" s="2621"/>
      <c r="N96" s="2620"/>
      <c r="O96" s="2625"/>
    </row>
    <row r="97" spans="1:15">
      <c r="A97" s="2765">
        <v>2001.04</v>
      </c>
      <c r="B97" s="2619"/>
      <c r="C97" s="2619"/>
      <c r="D97" s="2620"/>
      <c r="E97" s="2621"/>
      <c r="F97" s="2620"/>
      <c r="G97" s="2621"/>
      <c r="H97" s="2620"/>
      <c r="I97" s="2621"/>
      <c r="J97" s="2620"/>
      <c r="K97" s="2620"/>
      <c r="L97" s="2620"/>
      <c r="M97" s="2621"/>
      <c r="N97" s="2620"/>
      <c r="O97" s="2625"/>
    </row>
    <row r="98" spans="1:15">
      <c r="A98" s="2765">
        <v>2001.05</v>
      </c>
      <c r="B98" s="2619"/>
      <c r="C98" s="2619"/>
      <c r="D98" s="2620"/>
      <c r="E98" s="2621"/>
      <c r="F98" s="2620"/>
      <c r="G98" s="2621"/>
      <c r="H98" s="2620"/>
      <c r="I98" s="2621"/>
      <c r="J98" s="2620"/>
      <c r="K98" s="2620"/>
      <c r="L98" s="2620"/>
      <c r="M98" s="2621"/>
      <c r="N98" s="2620"/>
      <c r="O98" s="2625"/>
    </row>
    <row r="99" spans="1:15">
      <c r="A99" s="2765">
        <v>2001.06</v>
      </c>
      <c r="B99" s="2619"/>
      <c r="C99" s="2619"/>
      <c r="D99" s="2620"/>
      <c r="E99" s="2621"/>
      <c r="F99" s="2620"/>
      <c r="G99" s="2621"/>
      <c r="H99" s="2620"/>
      <c r="I99" s="2621"/>
      <c r="J99" s="2620"/>
      <c r="K99" s="2620"/>
      <c r="L99" s="2620"/>
      <c r="M99" s="2621"/>
      <c r="N99" s="2620"/>
      <c r="O99" s="2625"/>
    </row>
    <row r="100" spans="1:15">
      <c r="A100" s="2765">
        <v>2001.07</v>
      </c>
      <c r="B100" s="2619"/>
      <c r="C100" s="2619"/>
      <c r="D100" s="2620"/>
      <c r="E100" s="2621"/>
      <c r="F100" s="2620"/>
      <c r="G100" s="2621"/>
      <c r="H100" s="2620"/>
      <c r="I100" s="2621"/>
      <c r="J100" s="2620"/>
      <c r="K100" s="2620"/>
      <c r="L100" s="2620"/>
      <c r="M100" s="2621"/>
      <c r="N100" s="2620"/>
      <c r="O100" s="2625"/>
    </row>
    <row r="101" spans="1:15">
      <c r="A101" s="2765">
        <v>2001.08</v>
      </c>
      <c r="B101" s="2619"/>
      <c r="C101" s="2619"/>
      <c r="D101" s="2620"/>
      <c r="E101" s="2621"/>
      <c r="F101" s="2620"/>
      <c r="G101" s="2621"/>
      <c r="H101" s="2620"/>
      <c r="I101" s="2621"/>
      <c r="J101" s="2620"/>
      <c r="K101" s="2620"/>
      <c r="L101" s="2620"/>
      <c r="M101" s="2621"/>
      <c r="N101" s="2620"/>
      <c r="O101" s="2625"/>
    </row>
    <row r="102" spans="1:15">
      <c r="A102" s="2765">
        <v>2001.09</v>
      </c>
      <c r="B102" s="2619"/>
      <c r="C102" s="2619"/>
      <c r="D102" s="2620"/>
      <c r="E102" s="2621"/>
      <c r="F102" s="2620"/>
      <c r="G102" s="2621"/>
      <c r="H102" s="2620"/>
      <c r="I102" s="2621"/>
      <c r="J102" s="2620"/>
      <c r="K102" s="2620"/>
      <c r="L102" s="2620"/>
      <c r="M102" s="2621"/>
      <c r="N102" s="2620"/>
      <c r="O102" s="2625"/>
    </row>
    <row r="103" spans="1:15">
      <c r="A103" s="2765">
        <v>2001.1</v>
      </c>
      <c r="B103" s="2619"/>
      <c r="C103" s="2619"/>
      <c r="D103" s="2620"/>
      <c r="E103" s="2621"/>
      <c r="F103" s="2620"/>
      <c r="G103" s="2621"/>
      <c r="H103" s="2620"/>
      <c r="I103" s="2621"/>
      <c r="J103" s="2620"/>
      <c r="K103" s="2620"/>
      <c r="L103" s="2620"/>
      <c r="M103" s="2621"/>
      <c r="N103" s="2620"/>
      <c r="O103" s="2625"/>
    </row>
    <row r="104" spans="1:15">
      <c r="A104" s="2765">
        <v>2001.11</v>
      </c>
      <c r="B104" s="2619"/>
      <c r="C104" s="2619"/>
      <c r="D104" s="2620"/>
      <c r="E104" s="2621"/>
      <c r="F104" s="2620"/>
      <c r="G104" s="2621"/>
      <c r="H104" s="2620"/>
      <c r="I104" s="2621"/>
      <c r="J104" s="2620"/>
      <c r="K104" s="2620"/>
      <c r="L104" s="2620"/>
      <c r="M104" s="2621"/>
      <c r="N104" s="2620"/>
      <c r="O104" s="2625"/>
    </row>
    <row r="105" spans="1:15">
      <c r="A105" s="2765">
        <v>2001.12</v>
      </c>
      <c r="B105" s="2619"/>
      <c r="C105" s="2619"/>
      <c r="D105" s="2620"/>
      <c r="E105" s="2621"/>
      <c r="F105" s="2620"/>
      <c r="G105" s="2621"/>
      <c r="H105" s="2620"/>
      <c r="I105" s="2621"/>
      <c r="J105" s="2620"/>
      <c r="K105" s="2620"/>
      <c r="L105" s="2620"/>
      <c r="M105" s="2621"/>
      <c r="N105" s="2620"/>
      <c r="O105" s="2625"/>
    </row>
    <row r="106" spans="1:15">
      <c r="A106" s="2765">
        <v>2002.01</v>
      </c>
      <c r="B106" s="2619"/>
      <c r="C106" s="2619"/>
      <c r="D106" s="2620"/>
      <c r="E106" s="2621"/>
      <c r="F106" s="2620"/>
      <c r="G106" s="2621"/>
      <c r="H106" s="2620"/>
      <c r="I106" s="2621"/>
      <c r="J106" s="2620"/>
      <c r="K106" s="2620"/>
      <c r="L106" s="2620"/>
      <c r="M106" s="2621"/>
      <c r="N106" s="2620"/>
      <c r="O106" s="2625"/>
    </row>
    <row r="107" spans="1:15">
      <c r="A107" s="2765">
        <v>2002.02</v>
      </c>
      <c r="B107" s="2619"/>
      <c r="C107" s="2619"/>
      <c r="D107" s="2620"/>
      <c r="E107" s="2621"/>
      <c r="F107" s="2620"/>
      <c r="G107" s="2621"/>
      <c r="H107" s="2620"/>
      <c r="I107" s="2621"/>
      <c r="J107" s="2620"/>
      <c r="K107" s="2620"/>
      <c r="L107" s="2620"/>
      <c r="M107" s="2621"/>
      <c r="N107" s="2620"/>
      <c r="O107" s="2625"/>
    </row>
    <row r="108" spans="1:15">
      <c r="A108" s="2765">
        <v>2002.03</v>
      </c>
      <c r="B108" s="2619"/>
      <c r="C108" s="2619"/>
      <c r="D108" s="2620"/>
      <c r="E108" s="2621"/>
      <c r="F108" s="2620"/>
      <c r="G108" s="2621"/>
      <c r="H108" s="2620"/>
      <c r="I108" s="2621"/>
      <c r="J108" s="2620"/>
      <c r="K108" s="2620"/>
      <c r="L108" s="2620"/>
      <c r="M108" s="2621"/>
      <c r="N108" s="2620"/>
      <c r="O108" s="2625"/>
    </row>
    <row r="109" spans="1:15">
      <c r="A109" s="2765">
        <v>2002.04</v>
      </c>
      <c r="B109" s="2619"/>
      <c r="C109" s="2619"/>
      <c r="D109" s="2620"/>
      <c r="E109" s="2621"/>
      <c r="F109" s="2620"/>
      <c r="G109" s="2621"/>
      <c r="H109" s="2620"/>
      <c r="I109" s="2621"/>
      <c r="J109" s="2620"/>
      <c r="K109" s="2620"/>
      <c r="L109" s="2620"/>
      <c r="M109" s="2621"/>
      <c r="N109" s="2620"/>
      <c r="O109" s="2625"/>
    </row>
    <row r="110" spans="1:15">
      <c r="A110" s="2765">
        <v>2002.05</v>
      </c>
      <c r="B110" s="2619"/>
      <c r="C110" s="2619"/>
      <c r="D110" s="2620"/>
      <c r="E110" s="2621"/>
      <c r="F110" s="2620"/>
      <c r="G110" s="2621"/>
      <c r="H110" s="2620"/>
      <c r="I110" s="2621"/>
      <c r="J110" s="2620"/>
      <c r="K110" s="2620"/>
      <c r="L110" s="2620"/>
      <c r="M110" s="2621"/>
      <c r="N110" s="2620"/>
      <c r="O110" s="2625"/>
    </row>
    <row r="111" spans="1:15">
      <c r="A111" s="2765">
        <v>2002.06</v>
      </c>
      <c r="B111" s="2619"/>
      <c r="C111" s="2619"/>
      <c r="D111" s="2620"/>
      <c r="E111" s="2621"/>
      <c r="F111" s="2620"/>
      <c r="G111" s="2621"/>
      <c r="H111" s="2620"/>
      <c r="I111" s="2621"/>
      <c r="J111" s="2620"/>
      <c r="K111" s="2620"/>
      <c r="L111" s="2620"/>
      <c r="M111" s="2621"/>
      <c r="N111" s="2620"/>
      <c r="O111" s="2625"/>
    </row>
    <row r="112" spans="1:15">
      <c r="A112" s="2765">
        <v>2002.07</v>
      </c>
      <c r="B112" s="2619"/>
      <c r="C112" s="2619"/>
      <c r="D112" s="2620"/>
      <c r="E112" s="2621"/>
      <c r="F112" s="2620"/>
      <c r="G112" s="2621"/>
      <c r="H112" s="2620"/>
      <c r="I112" s="2621"/>
      <c r="J112" s="2620"/>
      <c r="K112" s="2620"/>
      <c r="L112" s="2620"/>
      <c r="M112" s="2621"/>
      <c r="N112" s="2620"/>
      <c r="O112" s="2625"/>
    </row>
    <row r="113" spans="1:15">
      <c r="A113" s="2765">
        <v>2002.08</v>
      </c>
      <c r="B113" s="2619"/>
      <c r="C113" s="2619"/>
      <c r="D113" s="2620"/>
      <c r="E113" s="2621"/>
      <c r="F113" s="2620"/>
      <c r="G113" s="2621"/>
      <c r="H113" s="2620"/>
      <c r="I113" s="2621"/>
      <c r="J113" s="2620"/>
      <c r="K113" s="2620"/>
      <c r="L113" s="2620"/>
      <c r="M113" s="2621"/>
      <c r="N113" s="2620"/>
      <c r="O113" s="2625"/>
    </row>
    <row r="114" spans="1:15">
      <c r="A114" s="2765">
        <v>2002.09</v>
      </c>
      <c r="B114" s="2619"/>
      <c r="C114" s="2619"/>
      <c r="D114" s="2620"/>
      <c r="E114" s="2621"/>
      <c r="F114" s="2620"/>
      <c r="G114" s="2621"/>
      <c r="H114" s="2620"/>
      <c r="I114" s="2621"/>
      <c r="J114" s="2620"/>
      <c r="K114" s="2620"/>
      <c r="L114" s="2620"/>
      <c r="M114" s="2621"/>
      <c r="N114" s="2620"/>
      <c r="O114" s="2625"/>
    </row>
    <row r="115" spans="1:15">
      <c r="A115" s="2765">
        <v>2002.1</v>
      </c>
      <c r="B115" s="2619"/>
      <c r="C115" s="2619"/>
      <c r="D115" s="2620"/>
      <c r="E115" s="2621"/>
      <c r="F115" s="2620"/>
      <c r="G115" s="2621"/>
      <c r="H115" s="2620"/>
      <c r="I115" s="2621"/>
      <c r="J115" s="2620"/>
      <c r="K115" s="2620"/>
      <c r="L115" s="2620"/>
      <c r="M115" s="2621"/>
      <c r="N115" s="2620"/>
      <c r="O115" s="2625"/>
    </row>
    <row r="116" spans="1:15">
      <c r="A116" s="2765">
        <v>2002.11</v>
      </c>
      <c r="B116" s="2619"/>
      <c r="C116" s="2619"/>
      <c r="D116" s="2620"/>
      <c r="E116" s="2621"/>
      <c r="F116" s="2620"/>
      <c r="G116" s="2621"/>
      <c r="H116" s="2620"/>
      <c r="I116" s="2621"/>
      <c r="J116" s="2620"/>
      <c r="K116" s="2620"/>
      <c r="L116" s="2620"/>
      <c r="M116" s="2621"/>
      <c r="N116" s="2620"/>
      <c r="O116" s="2625"/>
    </row>
    <row r="117" spans="1:15">
      <c r="A117" s="2765">
        <v>2002.12</v>
      </c>
      <c r="B117" s="2619"/>
      <c r="C117" s="2619"/>
      <c r="D117" s="2620"/>
      <c r="E117" s="2621"/>
      <c r="F117" s="2620"/>
      <c r="G117" s="2621"/>
      <c r="H117" s="2620"/>
      <c r="I117" s="2621"/>
      <c r="J117" s="2620"/>
      <c r="K117" s="2620"/>
      <c r="L117" s="2620"/>
      <c r="M117" s="2621"/>
      <c r="N117" s="2620"/>
      <c r="O117" s="2625"/>
    </row>
    <row r="118" spans="1:15">
      <c r="A118" s="2765">
        <v>2003.01</v>
      </c>
      <c r="B118" s="2619"/>
      <c r="C118" s="2619"/>
      <c r="D118" s="2620"/>
      <c r="E118" s="2621"/>
      <c r="F118" s="2620"/>
      <c r="G118" s="2621"/>
      <c r="H118" s="2620"/>
      <c r="I118" s="2621"/>
      <c r="J118" s="2620"/>
      <c r="K118" s="2620"/>
      <c r="L118" s="2620"/>
      <c r="M118" s="2621"/>
      <c r="N118" s="2620"/>
      <c r="O118" s="2625"/>
    </row>
    <row r="119" spans="1:15">
      <c r="A119" s="2765">
        <v>2003.02</v>
      </c>
      <c r="B119" s="2619"/>
      <c r="C119" s="2619"/>
      <c r="D119" s="2620"/>
      <c r="E119" s="2621"/>
      <c r="F119" s="2620"/>
      <c r="G119" s="2621"/>
      <c r="H119" s="2620"/>
      <c r="I119" s="2621"/>
      <c r="J119" s="2620"/>
      <c r="K119" s="2620"/>
      <c r="L119" s="2620"/>
      <c r="M119" s="2621"/>
      <c r="N119" s="2620"/>
      <c r="O119" s="2625"/>
    </row>
    <row r="120" spans="1:15">
      <c r="A120" s="2765">
        <v>2003.03</v>
      </c>
      <c r="B120" s="2619"/>
      <c r="C120" s="2619"/>
      <c r="D120" s="2620"/>
      <c r="E120" s="2621"/>
      <c r="F120" s="2620"/>
      <c r="G120" s="2621"/>
      <c r="H120" s="2620"/>
      <c r="I120" s="2621"/>
      <c r="J120" s="2620"/>
      <c r="K120" s="2620"/>
      <c r="L120" s="2620"/>
      <c r="M120" s="2621"/>
      <c r="N120" s="2620"/>
      <c r="O120" s="2625"/>
    </row>
    <row r="121" spans="1:15">
      <c r="A121" s="2765">
        <v>2003.04</v>
      </c>
      <c r="B121" s="2619"/>
      <c r="C121" s="2619"/>
      <c r="D121" s="2620"/>
      <c r="E121" s="2621"/>
      <c r="F121" s="2620"/>
      <c r="G121" s="2621"/>
      <c r="H121" s="2620"/>
      <c r="I121" s="2621"/>
      <c r="J121" s="2620"/>
      <c r="K121" s="2620"/>
      <c r="L121" s="2620"/>
      <c r="M121" s="2621"/>
      <c r="N121" s="2620"/>
      <c r="O121" s="2625"/>
    </row>
    <row r="122" spans="1:15">
      <c r="A122" s="2765">
        <v>2003.05</v>
      </c>
      <c r="B122" s="2619"/>
      <c r="C122" s="2619"/>
      <c r="D122" s="2620"/>
      <c r="E122" s="2621"/>
      <c r="F122" s="2620"/>
      <c r="G122" s="2621"/>
      <c r="H122" s="2620"/>
      <c r="I122" s="2621"/>
      <c r="J122" s="2620"/>
      <c r="K122" s="2620"/>
      <c r="L122" s="2620"/>
      <c r="M122" s="2621"/>
      <c r="N122" s="2620"/>
      <c r="O122" s="2625"/>
    </row>
    <row r="123" spans="1:15">
      <c r="A123" s="2765">
        <v>2003.06</v>
      </c>
      <c r="B123" s="2619"/>
      <c r="C123" s="2619"/>
      <c r="D123" s="2620"/>
      <c r="E123" s="2621"/>
      <c r="F123" s="2620"/>
      <c r="G123" s="2621"/>
      <c r="H123" s="2620"/>
      <c r="I123" s="2621"/>
      <c r="J123" s="2620"/>
      <c r="K123" s="2620"/>
      <c r="L123" s="2620"/>
      <c r="M123" s="2621"/>
      <c r="N123" s="2620"/>
      <c r="O123" s="2625"/>
    </row>
    <row r="124" spans="1:15">
      <c r="A124" s="2765">
        <v>2003.07</v>
      </c>
      <c r="B124" s="2619"/>
      <c r="C124" s="2619"/>
      <c r="D124" s="2620"/>
      <c r="E124" s="2621"/>
      <c r="F124" s="2620"/>
      <c r="G124" s="2621"/>
      <c r="H124" s="2620"/>
      <c r="I124" s="2621"/>
      <c r="J124" s="2620"/>
      <c r="K124" s="2620"/>
      <c r="L124" s="2620"/>
      <c r="M124" s="2621"/>
      <c r="N124" s="2620"/>
      <c r="O124" s="2625"/>
    </row>
    <row r="125" spans="1:15">
      <c r="A125" s="2765">
        <v>2003.08</v>
      </c>
      <c r="B125" s="2619"/>
      <c r="C125" s="2619"/>
      <c r="D125" s="2620"/>
      <c r="E125" s="2621"/>
      <c r="F125" s="2620"/>
      <c r="G125" s="2621"/>
      <c r="H125" s="2620"/>
      <c r="I125" s="2621"/>
      <c r="J125" s="2620"/>
      <c r="K125" s="2620"/>
      <c r="L125" s="2620"/>
      <c r="M125" s="2621"/>
      <c r="N125" s="2620"/>
      <c r="O125" s="2625"/>
    </row>
    <row r="126" spans="1:15">
      <c r="A126" s="2765">
        <v>2003.09</v>
      </c>
      <c r="B126" s="2619"/>
      <c r="C126" s="2619"/>
      <c r="D126" s="2620"/>
      <c r="E126" s="2621"/>
      <c r="F126" s="2620"/>
      <c r="G126" s="2621"/>
      <c r="H126" s="2620"/>
      <c r="I126" s="2621"/>
      <c r="J126" s="2620"/>
      <c r="K126" s="2620"/>
      <c r="L126" s="2620"/>
      <c r="M126" s="2621"/>
      <c r="N126" s="2620"/>
      <c r="O126" s="2625"/>
    </row>
    <row r="127" spans="1:15">
      <c r="A127" s="2765">
        <v>2003.1</v>
      </c>
      <c r="B127" s="2619"/>
      <c r="C127" s="2619"/>
      <c r="D127" s="2620"/>
      <c r="E127" s="2621"/>
      <c r="F127" s="2620"/>
      <c r="G127" s="2621"/>
      <c r="H127" s="2620"/>
      <c r="I127" s="2621"/>
      <c r="J127" s="2620"/>
      <c r="K127" s="2620"/>
      <c r="L127" s="2620"/>
      <c r="M127" s="2621"/>
      <c r="N127" s="2620"/>
      <c r="O127" s="2625"/>
    </row>
    <row r="128" spans="1:15">
      <c r="A128" s="2765">
        <v>2003.11</v>
      </c>
      <c r="B128" s="2619"/>
      <c r="C128" s="2619"/>
      <c r="D128" s="2620"/>
      <c r="E128" s="2621"/>
      <c r="F128" s="2620"/>
      <c r="G128" s="2621"/>
      <c r="H128" s="2620"/>
      <c r="I128" s="2621"/>
      <c r="J128" s="2620"/>
      <c r="K128" s="2620"/>
      <c r="L128" s="2620"/>
      <c r="M128" s="2621"/>
      <c r="N128" s="2620"/>
      <c r="O128" s="2625"/>
    </row>
    <row r="129" spans="1:15">
      <c r="A129" s="2765">
        <v>2003.12</v>
      </c>
      <c r="B129" s="2619"/>
      <c r="C129" s="2619"/>
      <c r="D129" s="2620"/>
      <c r="E129" s="2621"/>
      <c r="F129" s="2620"/>
      <c r="G129" s="2621"/>
      <c r="H129" s="2620"/>
      <c r="I129" s="2621"/>
      <c r="J129" s="2620"/>
      <c r="K129" s="2620"/>
      <c r="L129" s="2620"/>
      <c r="M129" s="2621"/>
      <c r="N129" s="2620"/>
      <c r="O129" s="2625"/>
    </row>
    <row r="130" spans="1:15">
      <c r="A130" s="2765">
        <v>2004.01</v>
      </c>
      <c r="B130" s="2619"/>
      <c r="C130" s="2619"/>
      <c r="D130" s="2620"/>
      <c r="E130" s="2621"/>
      <c r="F130" s="2620"/>
      <c r="G130" s="2621"/>
      <c r="H130" s="2620"/>
      <c r="I130" s="2621"/>
      <c r="J130" s="2620"/>
      <c r="K130" s="2620"/>
      <c r="L130" s="2620"/>
      <c r="M130" s="2621"/>
      <c r="N130" s="2620"/>
      <c r="O130" s="2625"/>
    </row>
    <row r="131" spans="1:15">
      <c r="A131" s="2765">
        <v>2004.02</v>
      </c>
      <c r="B131" s="2619"/>
      <c r="C131" s="2619"/>
      <c r="D131" s="2620"/>
      <c r="E131" s="2621"/>
      <c r="F131" s="2620"/>
      <c r="G131" s="2621"/>
      <c r="H131" s="2620"/>
      <c r="I131" s="2621"/>
      <c r="J131" s="2620"/>
      <c r="K131" s="2620"/>
      <c r="L131" s="2620"/>
      <c r="M131" s="2621"/>
      <c r="N131" s="2620"/>
      <c r="O131" s="2625"/>
    </row>
    <row r="132" spans="1:15">
      <c r="A132" s="2765">
        <v>2004.03</v>
      </c>
      <c r="B132" s="2619"/>
      <c r="C132" s="2619"/>
      <c r="D132" s="2620"/>
      <c r="E132" s="2621"/>
      <c r="F132" s="2620"/>
      <c r="G132" s="2621"/>
      <c r="H132" s="2620"/>
      <c r="I132" s="2621"/>
      <c r="J132" s="2620"/>
      <c r="K132" s="2620"/>
      <c r="L132" s="2620"/>
      <c r="M132" s="2621"/>
      <c r="N132" s="2620"/>
      <c r="O132" s="2625"/>
    </row>
    <row r="133" spans="1:15">
      <c r="A133" s="2765">
        <v>2004.04</v>
      </c>
      <c r="B133" s="2619"/>
      <c r="C133" s="2619"/>
      <c r="D133" s="2620"/>
      <c r="E133" s="2621"/>
      <c r="F133" s="2620"/>
      <c r="G133" s="2621"/>
      <c r="H133" s="2620"/>
      <c r="I133" s="2621"/>
      <c r="J133" s="2620"/>
      <c r="K133" s="2620"/>
      <c r="L133" s="2620"/>
      <c r="M133" s="2621"/>
      <c r="N133" s="2620"/>
      <c r="O133" s="2625"/>
    </row>
    <row r="134" spans="1:15">
      <c r="A134" s="2765">
        <v>2004.05</v>
      </c>
      <c r="B134" s="2619"/>
      <c r="C134" s="2619"/>
      <c r="D134" s="2620"/>
      <c r="E134" s="2621"/>
      <c r="F134" s="2620"/>
      <c r="G134" s="2621"/>
      <c r="H134" s="2620"/>
      <c r="I134" s="2621"/>
      <c r="J134" s="2620"/>
      <c r="K134" s="2620"/>
      <c r="L134" s="2620"/>
      <c r="M134" s="2621"/>
      <c r="N134" s="2620"/>
      <c r="O134" s="2625"/>
    </row>
    <row r="135" spans="1:15">
      <c r="A135" s="2765">
        <v>2004.06</v>
      </c>
      <c r="B135" s="2619"/>
      <c r="C135" s="2619"/>
      <c r="D135" s="2620"/>
      <c r="E135" s="2621"/>
      <c r="F135" s="2620"/>
      <c r="G135" s="2621"/>
      <c r="H135" s="2620"/>
      <c r="I135" s="2621"/>
      <c r="J135" s="2620"/>
      <c r="K135" s="2620"/>
      <c r="L135" s="2620"/>
      <c r="M135" s="2621"/>
      <c r="N135" s="2620"/>
      <c r="O135" s="2625"/>
    </row>
    <row r="136" spans="1:15">
      <c r="A136" s="2765">
        <v>2004.07</v>
      </c>
      <c r="B136" s="2619"/>
      <c r="C136" s="2619"/>
      <c r="D136" s="2620"/>
      <c r="E136" s="2621"/>
      <c r="F136" s="2620"/>
      <c r="G136" s="2621"/>
      <c r="H136" s="2620"/>
      <c r="I136" s="2621"/>
      <c r="J136" s="2620"/>
      <c r="K136" s="2620"/>
      <c r="L136" s="2620"/>
      <c r="M136" s="2621"/>
      <c r="N136" s="2620"/>
      <c r="O136" s="2625"/>
    </row>
    <row r="137" spans="1:15">
      <c r="A137" s="2765">
        <v>2004.08</v>
      </c>
      <c r="B137" s="2619"/>
      <c r="C137" s="2619"/>
      <c r="D137" s="2620"/>
      <c r="E137" s="2621"/>
      <c r="F137" s="2620"/>
      <c r="G137" s="2621"/>
      <c r="H137" s="2620"/>
      <c r="I137" s="2621"/>
      <c r="J137" s="2620"/>
      <c r="K137" s="2620"/>
      <c r="L137" s="2620"/>
      <c r="M137" s="2621"/>
      <c r="N137" s="2620"/>
      <c r="O137" s="2625"/>
    </row>
    <row r="138" spans="1:15">
      <c r="A138" s="2765">
        <v>2004.09</v>
      </c>
      <c r="B138" s="2619"/>
      <c r="C138" s="2619"/>
      <c r="D138" s="2620"/>
      <c r="E138" s="2621"/>
      <c r="F138" s="2620"/>
      <c r="G138" s="2621"/>
      <c r="H138" s="2620"/>
      <c r="I138" s="2621"/>
      <c r="J138" s="2620"/>
      <c r="K138" s="2620"/>
      <c r="L138" s="2620"/>
      <c r="M138" s="2621"/>
      <c r="N138" s="2620"/>
      <c r="O138" s="2625"/>
    </row>
    <row r="139" spans="1:15">
      <c r="A139" s="2765">
        <v>2004.1</v>
      </c>
      <c r="B139" s="2619"/>
      <c r="C139" s="2619"/>
      <c r="D139" s="2620"/>
      <c r="E139" s="2621"/>
      <c r="F139" s="2620"/>
      <c r="G139" s="2621"/>
      <c r="H139" s="2620"/>
      <c r="I139" s="2621"/>
      <c r="J139" s="2620"/>
      <c r="K139" s="2620"/>
      <c r="L139" s="2620"/>
      <c r="M139" s="2621"/>
      <c r="N139" s="2620"/>
      <c r="O139" s="2625"/>
    </row>
    <row r="140" spans="1:15">
      <c r="A140" s="2765">
        <v>2004.11</v>
      </c>
      <c r="B140" s="2619"/>
      <c r="C140" s="2619"/>
      <c r="D140" s="2620"/>
      <c r="E140" s="2621"/>
      <c r="F140" s="2620"/>
      <c r="G140" s="2621"/>
      <c r="H140" s="2620"/>
      <c r="I140" s="2621"/>
      <c r="J140" s="2620"/>
      <c r="K140" s="2620"/>
      <c r="L140" s="2620"/>
      <c r="M140" s="2621"/>
      <c r="N140" s="2620"/>
      <c r="O140" s="2625"/>
    </row>
    <row r="141" spans="1:15">
      <c r="A141" s="2765">
        <v>2004.12</v>
      </c>
      <c r="B141" s="2619"/>
      <c r="C141" s="2619"/>
      <c r="D141" s="2620"/>
      <c r="E141" s="2621"/>
      <c r="F141" s="2620"/>
      <c r="G141" s="2621"/>
      <c r="H141" s="2620"/>
      <c r="I141" s="2621"/>
      <c r="J141" s="2620"/>
      <c r="K141" s="2620"/>
      <c r="L141" s="2620"/>
      <c r="M141" s="2621"/>
      <c r="N141" s="2620"/>
      <c r="O141" s="2625"/>
    </row>
    <row r="142" spans="1:15">
      <c r="A142" s="2765">
        <v>2005.01</v>
      </c>
      <c r="B142" s="2619"/>
      <c r="C142" s="2619"/>
      <c r="D142" s="2620"/>
      <c r="E142" s="2621"/>
      <c r="F142" s="2620"/>
      <c r="G142" s="2621"/>
      <c r="H142" s="2620"/>
      <c r="I142" s="2621"/>
      <c r="J142" s="2620"/>
      <c r="K142" s="2620"/>
      <c r="L142" s="2620"/>
      <c r="M142" s="2621"/>
      <c r="N142" s="2620"/>
      <c r="O142" s="2625"/>
    </row>
    <row r="143" spans="1:15">
      <c r="A143" s="2765">
        <v>2005.02</v>
      </c>
      <c r="B143" s="2619"/>
      <c r="C143" s="2619"/>
      <c r="D143" s="2620"/>
      <c r="E143" s="2621"/>
      <c r="F143" s="2620"/>
      <c r="G143" s="2621"/>
      <c r="H143" s="2620"/>
      <c r="I143" s="2621"/>
      <c r="J143" s="2620"/>
      <c r="K143" s="2620"/>
      <c r="L143" s="2620"/>
      <c r="M143" s="2621"/>
      <c r="N143" s="2620"/>
      <c r="O143" s="2625"/>
    </row>
    <row r="144" spans="1:15">
      <c r="A144" s="2765">
        <v>2005.03</v>
      </c>
      <c r="B144" s="2619"/>
      <c r="C144" s="2619"/>
      <c r="D144" s="2620"/>
      <c r="E144" s="2621"/>
      <c r="F144" s="2620"/>
      <c r="G144" s="2621"/>
      <c r="H144" s="2620"/>
      <c r="I144" s="2621"/>
      <c r="J144" s="2620"/>
      <c r="K144" s="2620"/>
      <c r="L144" s="2620"/>
      <c r="M144" s="2621"/>
      <c r="N144" s="2620"/>
      <c r="O144" s="2625"/>
    </row>
    <row r="145" spans="1:15">
      <c r="A145" s="2765">
        <v>2005.04</v>
      </c>
      <c r="B145" s="2619"/>
      <c r="C145" s="2619"/>
      <c r="D145" s="2620"/>
      <c r="E145" s="2621"/>
      <c r="F145" s="2620"/>
      <c r="G145" s="2621"/>
      <c r="H145" s="2620"/>
      <c r="I145" s="2621"/>
      <c r="J145" s="2620"/>
      <c r="K145" s="2620"/>
      <c r="L145" s="2620"/>
      <c r="M145" s="2621"/>
      <c r="N145" s="2620"/>
      <c r="O145" s="2625"/>
    </row>
    <row r="146" spans="1:15">
      <c r="A146" s="2765">
        <v>2005.05</v>
      </c>
      <c r="B146" s="2619"/>
      <c r="C146" s="2619"/>
      <c r="D146" s="2620"/>
      <c r="E146" s="2621"/>
      <c r="F146" s="2620"/>
      <c r="G146" s="2621"/>
      <c r="H146" s="2620"/>
      <c r="I146" s="2621"/>
      <c r="J146" s="2620"/>
      <c r="K146" s="2620"/>
      <c r="L146" s="2620"/>
      <c r="M146" s="2621"/>
      <c r="N146" s="2620"/>
      <c r="O146" s="2625"/>
    </row>
    <row r="147" spans="1:15">
      <c r="A147" s="2765">
        <v>2005.06</v>
      </c>
      <c r="B147" s="2619"/>
      <c r="C147" s="2619"/>
      <c r="D147" s="2620"/>
      <c r="E147" s="2621"/>
      <c r="F147" s="2620"/>
      <c r="G147" s="2621"/>
      <c r="H147" s="2620"/>
      <c r="I147" s="2621"/>
      <c r="J147" s="2620"/>
      <c r="K147" s="2620"/>
      <c r="L147" s="2620"/>
      <c r="M147" s="2621"/>
      <c r="N147" s="2620"/>
      <c r="O147" s="2625"/>
    </row>
    <row r="148" spans="1:15">
      <c r="A148" s="2765">
        <v>2005.07</v>
      </c>
      <c r="B148" s="2619"/>
      <c r="C148" s="2619"/>
      <c r="D148" s="2620"/>
      <c r="E148" s="2621"/>
      <c r="F148" s="2620"/>
      <c r="G148" s="2621"/>
      <c r="H148" s="2620"/>
      <c r="I148" s="2621"/>
      <c r="J148" s="2620"/>
      <c r="K148" s="2620"/>
      <c r="L148" s="2620"/>
      <c r="M148" s="2621"/>
      <c r="N148" s="2620"/>
      <c r="O148" s="2625"/>
    </row>
    <row r="149" spans="1:15">
      <c r="A149" s="2765">
        <v>2005.08</v>
      </c>
      <c r="B149" s="2619"/>
      <c r="C149" s="2619"/>
      <c r="D149" s="2620"/>
      <c r="E149" s="2621"/>
      <c r="F149" s="2620"/>
      <c r="G149" s="2621"/>
      <c r="H149" s="2620"/>
      <c r="I149" s="2621"/>
      <c r="J149" s="2620"/>
      <c r="K149" s="2620"/>
      <c r="L149" s="2620"/>
      <c r="M149" s="2621"/>
      <c r="N149" s="2620"/>
      <c r="O149" s="2625"/>
    </row>
    <row r="150" spans="1:15">
      <c r="A150" s="2765">
        <v>2005.09</v>
      </c>
      <c r="B150" s="2619"/>
      <c r="C150" s="2619"/>
      <c r="D150" s="2620"/>
      <c r="E150" s="2621"/>
      <c r="F150" s="2620"/>
      <c r="G150" s="2621"/>
      <c r="H150" s="2620"/>
      <c r="I150" s="2621"/>
      <c r="J150" s="2620"/>
      <c r="K150" s="2620"/>
      <c r="L150" s="2620"/>
      <c r="M150" s="2621"/>
      <c r="N150" s="2620"/>
      <c r="O150" s="2625"/>
    </row>
    <row r="151" spans="1:15">
      <c r="A151" s="2765">
        <v>2005.1</v>
      </c>
      <c r="B151" s="2619"/>
      <c r="C151" s="2619"/>
      <c r="D151" s="2620"/>
      <c r="E151" s="2621"/>
      <c r="F151" s="2620"/>
      <c r="G151" s="2621"/>
      <c r="H151" s="2620"/>
      <c r="I151" s="2621"/>
      <c r="J151" s="2620"/>
      <c r="K151" s="2620"/>
      <c r="L151" s="2620"/>
      <c r="M151" s="2621"/>
      <c r="N151" s="2620"/>
      <c r="O151" s="2625"/>
    </row>
    <row r="152" spans="1:15">
      <c r="A152" s="2765">
        <v>2005.11</v>
      </c>
      <c r="B152" s="2619"/>
      <c r="C152" s="2619"/>
      <c r="D152" s="2620"/>
      <c r="E152" s="2621"/>
      <c r="F152" s="2620"/>
      <c r="G152" s="2621"/>
      <c r="H152" s="2620"/>
      <c r="I152" s="2621"/>
      <c r="J152" s="2620"/>
      <c r="K152" s="2620"/>
      <c r="L152" s="2620"/>
      <c r="M152" s="2621"/>
      <c r="N152" s="2620"/>
      <c r="O152" s="2625"/>
    </row>
    <row r="153" spans="1:15">
      <c r="A153" s="2765">
        <v>2005.12</v>
      </c>
      <c r="B153" s="2619"/>
      <c r="C153" s="2619"/>
      <c r="D153" s="2620"/>
      <c r="E153" s="2621"/>
      <c r="F153" s="2620"/>
      <c r="G153" s="2621"/>
      <c r="H153" s="2620"/>
      <c r="I153" s="2621"/>
      <c r="J153" s="2620"/>
      <c r="K153" s="2620"/>
      <c r="L153" s="2620"/>
      <c r="M153" s="2621"/>
      <c r="N153" s="2620"/>
      <c r="O153" s="2625"/>
    </row>
    <row r="154" spans="1:15">
      <c r="A154" s="2765">
        <v>2006.01</v>
      </c>
      <c r="B154" s="2619"/>
      <c r="C154" s="2619"/>
      <c r="D154" s="2620"/>
      <c r="E154" s="2621"/>
      <c r="F154" s="2620"/>
      <c r="G154" s="2621"/>
      <c r="H154" s="2620"/>
      <c r="I154" s="2621"/>
      <c r="J154" s="2620"/>
      <c r="K154" s="2620"/>
      <c r="L154" s="2620"/>
      <c r="M154" s="2621"/>
      <c r="N154" s="2620"/>
      <c r="O154" s="2625"/>
    </row>
    <row r="155" spans="1:15">
      <c r="A155" s="2765">
        <v>2006.02</v>
      </c>
      <c r="B155" s="2619"/>
      <c r="C155" s="2619"/>
      <c r="D155" s="2620"/>
      <c r="E155" s="2621"/>
      <c r="F155" s="2620"/>
      <c r="G155" s="2621"/>
      <c r="H155" s="2620"/>
      <c r="I155" s="2621"/>
      <c r="J155" s="2620"/>
      <c r="K155" s="2620"/>
      <c r="L155" s="2620"/>
      <c r="M155" s="2621"/>
      <c r="N155" s="2620"/>
      <c r="O155" s="2625"/>
    </row>
    <row r="156" spans="1:15">
      <c r="A156" s="2765">
        <v>2006.03</v>
      </c>
      <c r="B156" s="2619"/>
      <c r="C156" s="2619"/>
      <c r="D156" s="2620"/>
      <c r="E156" s="2621"/>
      <c r="F156" s="2620"/>
      <c r="G156" s="2621"/>
      <c r="H156" s="2620"/>
      <c r="I156" s="2621"/>
      <c r="J156" s="2620"/>
      <c r="K156" s="2620"/>
      <c r="L156" s="2620"/>
      <c r="M156" s="2621"/>
      <c r="N156" s="2620"/>
      <c r="O156" s="2625"/>
    </row>
    <row r="157" spans="1:15">
      <c r="A157" s="2765">
        <v>2006.04</v>
      </c>
      <c r="B157" s="2619"/>
      <c r="C157" s="2619"/>
      <c r="D157" s="2620"/>
      <c r="E157" s="2621"/>
      <c r="F157" s="2620"/>
      <c r="G157" s="2621"/>
      <c r="H157" s="2620"/>
      <c r="I157" s="2621"/>
      <c r="J157" s="2620"/>
      <c r="K157" s="2620"/>
      <c r="L157" s="2620"/>
      <c r="M157" s="2621"/>
      <c r="N157" s="2620"/>
      <c r="O157" s="2625"/>
    </row>
    <row r="158" spans="1:15">
      <c r="A158" s="2765">
        <v>2006.05</v>
      </c>
      <c r="B158" s="2619"/>
      <c r="C158" s="2619"/>
      <c r="D158" s="2620"/>
      <c r="E158" s="2621"/>
      <c r="F158" s="2620"/>
      <c r="G158" s="2621"/>
      <c r="H158" s="2620"/>
      <c r="I158" s="2621"/>
      <c r="J158" s="2620"/>
      <c r="K158" s="2620"/>
      <c r="L158" s="2620"/>
      <c r="M158" s="2621"/>
      <c r="N158" s="2620"/>
      <c r="O158" s="2625"/>
    </row>
    <row r="159" spans="1:15">
      <c r="A159" s="2765">
        <v>2006.06</v>
      </c>
      <c r="B159" s="2619"/>
      <c r="C159" s="2619"/>
      <c r="D159" s="2620"/>
      <c r="E159" s="2621"/>
      <c r="F159" s="2620"/>
      <c r="G159" s="2621"/>
      <c r="H159" s="2620"/>
      <c r="I159" s="2621"/>
      <c r="J159" s="2620"/>
      <c r="K159" s="2620"/>
      <c r="L159" s="2620"/>
      <c r="M159" s="2621"/>
      <c r="N159" s="2620"/>
      <c r="O159" s="2625"/>
    </row>
    <row r="160" spans="1:15">
      <c r="A160" s="2765">
        <v>2006.07</v>
      </c>
      <c r="B160" s="2619"/>
      <c r="C160" s="2619"/>
      <c r="D160" s="2620"/>
      <c r="E160" s="2621"/>
      <c r="F160" s="2620"/>
      <c r="G160" s="2621"/>
      <c r="H160" s="2620"/>
      <c r="I160" s="2621"/>
      <c r="J160" s="2620"/>
      <c r="K160" s="2620"/>
      <c r="L160" s="2620"/>
      <c r="M160" s="2621"/>
      <c r="N160" s="2620"/>
      <c r="O160" s="2625"/>
    </row>
    <row r="161" spans="1:15">
      <c r="A161" s="2765">
        <v>2006.08</v>
      </c>
      <c r="B161" s="2619"/>
      <c r="C161" s="2619"/>
      <c r="D161" s="2620"/>
      <c r="E161" s="2621"/>
      <c r="F161" s="2620"/>
      <c r="G161" s="2621"/>
      <c r="H161" s="2620"/>
      <c r="I161" s="2621"/>
      <c r="J161" s="2620"/>
      <c r="K161" s="2620"/>
      <c r="L161" s="2620"/>
      <c r="M161" s="2621"/>
      <c r="N161" s="2620"/>
      <c r="O161" s="2625"/>
    </row>
    <row r="162" spans="1:15">
      <c r="A162" s="2765">
        <v>2006.09</v>
      </c>
      <c r="B162" s="2619"/>
      <c r="C162" s="2619"/>
      <c r="D162" s="2620"/>
      <c r="E162" s="2621"/>
      <c r="F162" s="2620"/>
      <c r="G162" s="2621"/>
      <c r="H162" s="2620"/>
      <c r="I162" s="2621"/>
      <c r="J162" s="2620"/>
      <c r="K162" s="2620"/>
      <c r="L162" s="2620"/>
      <c r="M162" s="2621"/>
      <c r="N162" s="2620"/>
      <c r="O162" s="2625"/>
    </row>
    <row r="163" spans="1:15">
      <c r="A163" s="2765">
        <v>2006.1</v>
      </c>
      <c r="B163" s="2619"/>
      <c r="C163" s="2619"/>
      <c r="D163" s="2620"/>
      <c r="E163" s="2621"/>
      <c r="F163" s="2620"/>
      <c r="G163" s="2621"/>
      <c r="H163" s="2620"/>
      <c r="I163" s="2621"/>
      <c r="J163" s="2620"/>
      <c r="K163" s="2620"/>
      <c r="L163" s="2620"/>
      <c r="M163" s="2621"/>
      <c r="N163" s="2620"/>
      <c r="O163" s="2625"/>
    </row>
    <row r="164" spans="1:15">
      <c r="A164" s="2765">
        <v>2006.11</v>
      </c>
      <c r="B164" s="2619"/>
      <c r="C164" s="2619"/>
      <c r="D164" s="2620"/>
      <c r="E164" s="2621"/>
      <c r="F164" s="2620"/>
      <c r="G164" s="2621"/>
      <c r="H164" s="2620"/>
      <c r="I164" s="2621"/>
      <c r="J164" s="2620"/>
      <c r="K164" s="2620"/>
      <c r="L164" s="2620"/>
      <c r="M164" s="2621"/>
      <c r="N164" s="2620"/>
      <c r="O164" s="2625"/>
    </row>
    <row r="165" spans="1:15">
      <c r="A165" s="2765">
        <v>2006.12</v>
      </c>
      <c r="B165" s="2619"/>
      <c r="C165" s="2619"/>
      <c r="D165" s="2620"/>
      <c r="E165" s="2621"/>
      <c r="F165" s="2620"/>
      <c r="G165" s="2621"/>
      <c r="H165" s="2620"/>
      <c r="I165" s="2621"/>
      <c r="J165" s="2620"/>
      <c r="K165" s="2620"/>
      <c r="L165" s="2620"/>
      <c r="M165" s="2621"/>
      <c r="N165" s="2620"/>
      <c r="O165" s="2625"/>
    </row>
    <row r="166" spans="1:15">
      <c r="A166" s="2765">
        <v>2007.01</v>
      </c>
      <c r="B166" s="2619"/>
      <c r="C166" s="2619"/>
      <c r="D166" s="2620"/>
      <c r="E166" s="2621"/>
      <c r="F166" s="2620"/>
      <c r="G166" s="2621"/>
      <c r="H166" s="2620"/>
      <c r="I166" s="2621"/>
      <c r="J166" s="2620"/>
      <c r="K166" s="2620"/>
      <c r="L166" s="2620"/>
      <c r="M166" s="2621"/>
      <c r="N166" s="2620"/>
      <c r="O166" s="2625"/>
    </row>
    <row r="167" spans="1:15">
      <c r="A167" s="2765">
        <v>2007.02</v>
      </c>
      <c r="B167" s="2619"/>
      <c r="C167" s="2619"/>
      <c r="D167" s="2620"/>
      <c r="E167" s="2621"/>
      <c r="F167" s="2620"/>
      <c r="G167" s="2621"/>
      <c r="H167" s="2620"/>
      <c r="I167" s="2621"/>
      <c r="J167" s="2620"/>
      <c r="K167" s="2620"/>
      <c r="L167" s="2620"/>
      <c r="M167" s="2621"/>
      <c r="N167" s="2620"/>
      <c r="O167" s="2625"/>
    </row>
    <row r="168" spans="1:15">
      <c r="A168" s="2765">
        <v>2007.03</v>
      </c>
      <c r="B168" s="2619"/>
      <c r="C168" s="2619"/>
      <c r="D168" s="2620"/>
      <c r="E168" s="2621"/>
      <c r="F168" s="2620"/>
      <c r="G168" s="2621"/>
      <c r="H168" s="2620"/>
      <c r="I168" s="2621"/>
      <c r="J168" s="2620"/>
      <c r="K168" s="2620"/>
      <c r="L168" s="2620"/>
      <c r="M168" s="2621"/>
      <c r="N168" s="2620"/>
      <c r="O168" s="2625"/>
    </row>
    <row r="169" spans="1:15">
      <c r="A169" s="2765">
        <v>2007.04</v>
      </c>
      <c r="B169" s="2619"/>
      <c r="C169" s="2619"/>
      <c r="D169" s="2620"/>
      <c r="E169" s="2621"/>
      <c r="F169" s="2620"/>
      <c r="G169" s="2621"/>
      <c r="H169" s="2620"/>
      <c r="I169" s="2621"/>
      <c r="J169" s="2620"/>
      <c r="K169" s="2620"/>
      <c r="L169" s="2620"/>
      <c r="M169" s="2621"/>
      <c r="N169" s="2620"/>
      <c r="O169" s="2625"/>
    </row>
    <row r="170" spans="1:15">
      <c r="A170" s="2765">
        <v>2007.05</v>
      </c>
      <c r="B170" s="2619"/>
      <c r="C170" s="2619"/>
      <c r="D170" s="2620"/>
      <c r="E170" s="2621"/>
      <c r="F170" s="2620"/>
      <c r="G170" s="2621"/>
      <c r="H170" s="2620"/>
      <c r="I170" s="2621"/>
      <c r="J170" s="2620"/>
      <c r="K170" s="2620"/>
      <c r="L170" s="2620"/>
      <c r="M170" s="2621"/>
      <c r="N170" s="2620"/>
      <c r="O170" s="2625"/>
    </row>
    <row r="171" spans="1:15">
      <c r="A171" s="2765">
        <v>2007.06</v>
      </c>
      <c r="B171" s="2619"/>
      <c r="C171" s="2619"/>
      <c r="D171" s="2620"/>
      <c r="E171" s="2621"/>
      <c r="F171" s="2620"/>
      <c r="G171" s="2621"/>
      <c r="H171" s="2620"/>
      <c r="I171" s="2621"/>
      <c r="J171" s="2620"/>
      <c r="K171" s="2620"/>
      <c r="L171" s="2620"/>
      <c r="M171" s="2621"/>
      <c r="N171" s="2620"/>
      <c r="O171" s="2625"/>
    </row>
    <row r="172" spans="1:15">
      <c r="A172" s="2765">
        <v>2007.07</v>
      </c>
      <c r="B172" s="2619"/>
      <c r="C172" s="2619"/>
      <c r="D172" s="2620"/>
      <c r="E172" s="2621"/>
      <c r="F172" s="2620"/>
      <c r="G172" s="2621"/>
      <c r="H172" s="2620"/>
      <c r="I172" s="2621"/>
      <c r="J172" s="2620"/>
      <c r="K172" s="2620"/>
      <c r="L172" s="2620"/>
      <c r="M172" s="2621"/>
      <c r="N172" s="2620"/>
      <c r="O172" s="2625"/>
    </row>
    <row r="173" spans="1:15">
      <c r="A173" s="2765">
        <v>2007.08</v>
      </c>
      <c r="B173" s="2619"/>
      <c r="C173" s="2619"/>
      <c r="D173" s="2620"/>
      <c r="E173" s="2621"/>
      <c r="F173" s="2620"/>
      <c r="G173" s="2621"/>
      <c r="H173" s="2620"/>
      <c r="I173" s="2621"/>
      <c r="J173" s="2620"/>
      <c r="K173" s="2620"/>
      <c r="L173" s="2620"/>
      <c r="M173" s="2621"/>
      <c r="N173" s="2620"/>
      <c r="O173" s="2625"/>
    </row>
    <row r="174" spans="1:15">
      <c r="A174" s="2765">
        <v>2007.09</v>
      </c>
      <c r="B174" s="2619"/>
      <c r="C174" s="2619"/>
      <c r="D174" s="2620"/>
      <c r="E174" s="2621"/>
      <c r="F174" s="2620"/>
      <c r="G174" s="2621"/>
      <c r="H174" s="2620"/>
      <c r="I174" s="2621"/>
      <c r="J174" s="2620"/>
      <c r="K174" s="2620"/>
      <c r="L174" s="2620"/>
      <c r="M174" s="2621"/>
      <c r="N174" s="2620"/>
      <c r="O174" s="2625"/>
    </row>
    <row r="175" spans="1:15">
      <c r="A175" s="2765">
        <v>2007.1</v>
      </c>
      <c r="B175" s="2619"/>
      <c r="C175" s="2619"/>
      <c r="D175" s="2620"/>
      <c r="E175" s="2621"/>
      <c r="F175" s="2620"/>
      <c r="G175" s="2621"/>
      <c r="H175" s="2620"/>
      <c r="I175" s="2621"/>
      <c r="J175" s="2620"/>
      <c r="K175" s="2620"/>
      <c r="L175" s="2620"/>
      <c r="M175" s="2621"/>
      <c r="N175" s="2620"/>
      <c r="O175" s="2625"/>
    </row>
    <row r="176" spans="1:15">
      <c r="A176" s="2765">
        <v>2007.11</v>
      </c>
      <c r="B176" s="2619"/>
      <c r="C176" s="2619"/>
      <c r="D176" s="2620"/>
      <c r="E176" s="2621"/>
      <c r="F176" s="2620"/>
      <c r="G176" s="2621"/>
      <c r="H176" s="2620"/>
      <c r="I176" s="2621"/>
      <c r="J176" s="2620"/>
      <c r="K176" s="2620"/>
      <c r="L176" s="2620"/>
      <c r="M176" s="2621"/>
      <c r="N176" s="2620"/>
      <c r="O176" s="2625"/>
    </row>
    <row r="177" spans="1:15">
      <c r="A177" s="2765">
        <v>2007.12</v>
      </c>
      <c r="B177" s="2619"/>
      <c r="C177" s="2619"/>
      <c r="D177" s="2620"/>
      <c r="E177" s="2621"/>
      <c r="F177" s="2620"/>
      <c r="G177" s="2621"/>
      <c r="H177" s="2620"/>
      <c r="I177" s="2621"/>
      <c r="J177" s="2620"/>
      <c r="K177" s="2620"/>
      <c r="L177" s="2620"/>
      <c r="M177" s="2621"/>
      <c r="N177" s="2620"/>
      <c r="O177" s="2625"/>
    </row>
    <row r="178" spans="1:15">
      <c r="A178" s="2765">
        <f t="shared" ref="A178:A241" si="0">A166+1</f>
        <v>2008.01</v>
      </c>
      <c r="B178" s="2619"/>
      <c r="C178" s="2619"/>
      <c r="D178" s="2620"/>
      <c r="E178" s="2621"/>
      <c r="F178" s="2620"/>
      <c r="G178" s="2621"/>
      <c r="H178" s="2620"/>
      <c r="I178" s="2621"/>
      <c r="J178" s="2620"/>
      <c r="K178" s="2620"/>
      <c r="L178" s="2620"/>
      <c r="M178" s="2621"/>
      <c r="N178" s="2620"/>
      <c r="O178" s="2625"/>
    </row>
    <row r="179" spans="1:15">
      <c r="A179" s="2765">
        <f t="shared" si="0"/>
        <v>2008.02</v>
      </c>
      <c r="B179" s="2619"/>
      <c r="C179" s="2619"/>
      <c r="D179" s="2620"/>
      <c r="E179" s="2621"/>
      <c r="F179" s="2620"/>
      <c r="G179" s="2621"/>
      <c r="H179" s="2620"/>
      <c r="I179" s="2621"/>
      <c r="J179" s="2620"/>
      <c r="K179" s="2620"/>
      <c r="L179" s="2620"/>
      <c r="M179" s="2621"/>
      <c r="N179" s="2620"/>
      <c r="O179" s="2625"/>
    </row>
    <row r="180" spans="1:15">
      <c r="A180" s="2765">
        <f t="shared" si="0"/>
        <v>2008.03</v>
      </c>
      <c r="B180" s="2619"/>
      <c r="C180" s="2619"/>
      <c r="D180" s="2620"/>
      <c r="E180" s="2621"/>
      <c r="F180" s="2620"/>
      <c r="G180" s="2621"/>
      <c r="H180" s="2620"/>
      <c r="I180" s="2621"/>
      <c r="J180" s="2620"/>
      <c r="K180" s="2620"/>
      <c r="L180" s="2620"/>
      <c r="M180" s="2621"/>
      <c r="N180" s="2620"/>
      <c r="O180" s="2625"/>
    </row>
    <row r="181" spans="1:15">
      <c r="A181" s="2765">
        <f t="shared" si="0"/>
        <v>2008.04</v>
      </c>
      <c r="B181" s="2619"/>
      <c r="C181" s="2619"/>
      <c r="D181" s="2620"/>
      <c r="E181" s="2621"/>
      <c r="F181" s="2620"/>
      <c r="G181" s="2621"/>
      <c r="H181" s="2620"/>
      <c r="I181" s="2621"/>
      <c r="J181" s="2620"/>
      <c r="K181" s="2620"/>
      <c r="L181" s="2620"/>
      <c r="M181" s="2621"/>
      <c r="N181" s="2620"/>
      <c r="O181" s="2625"/>
    </row>
    <row r="182" spans="1:15">
      <c r="A182" s="2765">
        <f t="shared" si="0"/>
        <v>2008.05</v>
      </c>
      <c r="B182" s="2619"/>
      <c r="C182" s="2619"/>
      <c r="D182" s="2620"/>
      <c r="E182" s="2621"/>
      <c r="F182" s="2620"/>
      <c r="G182" s="2621"/>
      <c r="H182" s="2620"/>
      <c r="I182" s="2621"/>
      <c r="J182" s="2620"/>
      <c r="K182" s="2620"/>
      <c r="L182" s="2620"/>
      <c r="M182" s="2621"/>
      <c r="N182" s="2620"/>
      <c r="O182" s="2625"/>
    </row>
    <row r="183" spans="1:15">
      <c r="A183" s="2765">
        <f t="shared" si="0"/>
        <v>2008.06</v>
      </c>
      <c r="B183" s="2619"/>
      <c r="C183" s="2619"/>
      <c r="D183" s="2620"/>
      <c r="E183" s="2621"/>
      <c r="F183" s="2620"/>
      <c r="G183" s="2621"/>
      <c r="H183" s="2620"/>
      <c r="I183" s="2621"/>
      <c r="J183" s="2620"/>
      <c r="K183" s="2620"/>
      <c r="L183" s="2620"/>
      <c r="M183" s="2621"/>
      <c r="N183" s="2620"/>
      <c r="O183" s="2625"/>
    </row>
    <row r="184" spans="1:15">
      <c r="A184" s="2765">
        <f t="shared" si="0"/>
        <v>2008.07</v>
      </c>
      <c r="B184" s="2619"/>
      <c r="C184" s="2619"/>
      <c r="D184" s="2620"/>
      <c r="E184" s="2621"/>
      <c r="F184" s="2620"/>
      <c r="G184" s="2621"/>
      <c r="H184" s="2620"/>
      <c r="I184" s="2621"/>
      <c r="J184" s="2620"/>
      <c r="K184" s="2620"/>
      <c r="L184" s="2620"/>
      <c r="M184" s="2621"/>
      <c r="N184" s="2620"/>
      <c r="O184" s="2625"/>
    </row>
    <row r="185" spans="1:15">
      <c r="A185" s="2765">
        <f t="shared" si="0"/>
        <v>2008.08</v>
      </c>
      <c r="B185" s="2619"/>
      <c r="C185" s="2619"/>
      <c r="D185" s="2620"/>
      <c r="E185" s="2621"/>
      <c r="F185" s="2620"/>
      <c r="G185" s="2621"/>
      <c r="H185" s="2620"/>
      <c r="I185" s="2621"/>
      <c r="J185" s="2620"/>
      <c r="K185" s="2620"/>
      <c r="L185" s="2620"/>
      <c r="M185" s="2621"/>
      <c r="N185" s="2620"/>
      <c r="O185" s="2625"/>
    </row>
    <row r="186" spans="1:15">
      <c r="A186" s="2765">
        <f t="shared" si="0"/>
        <v>2008.09</v>
      </c>
      <c r="B186" s="2619"/>
      <c r="C186" s="2619"/>
      <c r="D186" s="2620"/>
      <c r="E186" s="2621"/>
      <c r="F186" s="2620"/>
      <c r="G186" s="2621"/>
      <c r="H186" s="2620"/>
      <c r="I186" s="2621"/>
      <c r="J186" s="2620"/>
      <c r="K186" s="2620"/>
      <c r="L186" s="2620"/>
      <c r="M186" s="2621"/>
      <c r="N186" s="2620"/>
      <c r="O186" s="2625"/>
    </row>
    <row r="187" spans="1:15">
      <c r="A187" s="2765">
        <f t="shared" si="0"/>
        <v>2008.1</v>
      </c>
      <c r="B187" s="2619"/>
      <c r="C187" s="2619"/>
      <c r="D187" s="2620"/>
      <c r="E187" s="2621"/>
      <c r="F187" s="2620"/>
      <c r="G187" s="2621"/>
      <c r="H187" s="2620"/>
      <c r="I187" s="2621"/>
      <c r="J187" s="2620"/>
      <c r="K187" s="2620"/>
      <c r="L187" s="2620"/>
      <c r="M187" s="2621"/>
      <c r="N187" s="2620"/>
      <c r="O187" s="2625"/>
    </row>
    <row r="188" spans="1:15">
      <c r="A188" s="2765">
        <f t="shared" si="0"/>
        <v>2008.11</v>
      </c>
      <c r="B188" s="2619"/>
      <c r="C188" s="2619"/>
      <c r="D188" s="2620"/>
      <c r="E188" s="2621"/>
      <c r="F188" s="2620"/>
      <c r="G188" s="2621"/>
      <c r="H188" s="2620"/>
      <c r="I188" s="2621"/>
      <c r="J188" s="2620"/>
      <c r="K188" s="2620"/>
      <c r="L188" s="2620"/>
      <c r="M188" s="2621"/>
      <c r="N188" s="2620"/>
      <c r="O188" s="2625"/>
    </row>
    <row r="189" spans="1:15">
      <c r="A189" s="2765">
        <f t="shared" si="0"/>
        <v>2008.12</v>
      </c>
      <c r="B189" s="2619"/>
      <c r="C189" s="2619"/>
      <c r="D189" s="2620"/>
      <c r="E189" s="2621"/>
      <c r="F189" s="2620"/>
      <c r="G189" s="2621"/>
      <c r="H189" s="2620"/>
      <c r="I189" s="2621"/>
      <c r="J189" s="2620"/>
      <c r="K189" s="2620"/>
      <c r="L189" s="2620"/>
      <c r="M189" s="2621"/>
      <c r="N189" s="2620"/>
      <c r="O189" s="2625"/>
    </row>
    <row r="190" spans="1:15">
      <c r="A190" s="2765">
        <f t="shared" si="0"/>
        <v>2009.01</v>
      </c>
      <c r="B190" s="2619"/>
      <c r="C190" s="2619"/>
      <c r="D190" s="2620"/>
      <c r="E190" s="2621"/>
      <c r="F190" s="2620"/>
      <c r="G190" s="2621"/>
      <c r="H190" s="2620"/>
      <c r="I190" s="2621"/>
      <c r="J190" s="2620"/>
      <c r="K190" s="2620"/>
      <c r="L190" s="2620"/>
      <c r="M190" s="2621"/>
      <c r="N190" s="2620"/>
      <c r="O190" s="2625"/>
    </row>
    <row r="191" spans="1:15">
      <c r="A191" s="2765">
        <f t="shared" si="0"/>
        <v>2009.02</v>
      </c>
      <c r="B191" s="2619"/>
      <c r="C191" s="2619"/>
      <c r="D191" s="2620"/>
      <c r="E191" s="2621"/>
      <c r="F191" s="2620"/>
      <c r="G191" s="2621"/>
      <c r="H191" s="2620"/>
      <c r="I191" s="2621"/>
      <c r="J191" s="2620"/>
      <c r="K191" s="2620"/>
      <c r="L191" s="2620"/>
      <c r="M191" s="2621"/>
      <c r="N191" s="2620"/>
      <c r="O191" s="2625"/>
    </row>
    <row r="192" spans="1:15">
      <c r="A192" s="2765">
        <f t="shared" si="0"/>
        <v>2009.03</v>
      </c>
      <c r="B192" s="2619"/>
      <c r="C192" s="2619"/>
      <c r="D192" s="2620"/>
      <c r="E192" s="2621"/>
      <c r="F192" s="2620"/>
      <c r="G192" s="2621"/>
      <c r="H192" s="2620"/>
      <c r="I192" s="2621"/>
      <c r="J192" s="2620"/>
      <c r="K192" s="2620"/>
      <c r="L192" s="2620"/>
      <c r="M192" s="2621"/>
      <c r="N192" s="2620"/>
      <c r="O192" s="2625"/>
    </row>
    <row r="193" spans="1:15">
      <c r="A193" s="2765">
        <f t="shared" si="0"/>
        <v>2009.04</v>
      </c>
      <c r="B193" s="2619"/>
      <c r="C193" s="2619"/>
      <c r="D193" s="2620"/>
      <c r="E193" s="2621"/>
      <c r="F193" s="2620"/>
      <c r="G193" s="2621"/>
      <c r="H193" s="2620"/>
      <c r="I193" s="2621"/>
      <c r="J193" s="2620"/>
      <c r="K193" s="2620"/>
      <c r="L193" s="2620"/>
      <c r="M193" s="2621"/>
      <c r="N193" s="2620"/>
      <c r="O193" s="2625"/>
    </row>
    <row r="194" spans="1:15">
      <c r="A194" s="2765">
        <f t="shared" si="0"/>
        <v>2009.05</v>
      </c>
      <c r="B194" s="2619"/>
      <c r="C194" s="2619"/>
      <c r="D194" s="2620"/>
      <c r="E194" s="2621"/>
      <c r="F194" s="2620"/>
      <c r="G194" s="2621"/>
      <c r="H194" s="2620"/>
      <c r="I194" s="2621"/>
      <c r="J194" s="2620"/>
      <c r="K194" s="2620"/>
      <c r="L194" s="2620"/>
      <c r="M194" s="2621"/>
      <c r="N194" s="2620"/>
      <c r="O194" s="2625"/>
    </row>
    <row r="195" spans="1:15">
      <c r="A195" s="2765">
        <f t="shared" si="0"/>
        <v>2009.06</v>
      </c>
      <c r="B195" s="2619"/>
      <c r="C195" s="2619"/>
      <c r="D195" s="2620"/>
      <c r="E195" s="2621"/>
      <c r="F195" s="2620"/>
      <c r="G195" s="2621"/>
      <c r="H195" s="2620"/>
      <c r="I195" s="2621"/>
      <c r="J195" s="2620"/>
      <c r="K195" s="2620"/>
      <c r="L195" s="2620"/>
      <c r="M195" s="2621"/>
      <c r="N195" s="2620"/>
      <c r="O195" s="2625"/>
    </row>
    <row r="196" spans="1:15">
      <c r="A196" s="2765">
        <f t="shared" si="0"/>
        <v>2009.07</v>
      </c>
      <c r="B196" s="2619"/>
      <c r="C196" s="2619"/>
      <c r="D196" s="2620"/>
      <c r="E196" s="2621"/>
      <c r="F196" s="2620"/>
      <c r="G196" s="2621"/>
      <c r="H196" s="2620"/>
      <c r="I196" s="2621"/>
      <c r="J196" s="2620"/>
      <c r="K196" s="2620"/>
      <c r="L196" s="2620"/>
      <c r="M196" s="2621"/>
      <c r="N196" s="2620"/>
      <c r="O196" s="2625"/>
    </row>
    <row r="197" spans="1:15">
      <c r="A197" s="2765">
        <f t="shared" si="0"/>
        <v>2009.08</v>
      </c>
      <c r="B197" s="2619"/>
      <c r="C197" s="2619"/>
      <c r="D197" s="2620"/>
      <c r="E197" s="2621"/>
      <c r="F197" s="2620"/>
      <c r="G197" s="2621"/>
      <c r="H197" s="2620"/>
      <c r="I197" s="2621"/>
      <c r="J197" s="2620"/>
      <c r="K197" s="2620"/>
      <c r="L197" s="2620"/>
      <c r="M197" s="2621"/>
      <c r="N197" s="2620"/>
      <c r="O197" s="2625"/>
    </row>
    <row r="198" spans="1:15">
      <c r="A198" s="2765">
        <f t="shared" si="0"/>
        <v>2009.09</v>
      </c>
      <c r="B198" s="2619"/>
      <c r="C198" s="2619"/>
      <c r="D198" s="2620"/>
      <c r="E198" s="2621"/>
      <c r="F198" s="2620"/>
      <c r="G198" s="2621"/>
      <c r="H198" s="2620"/>
      <c r="I198" s="2621"/>
      <c r="J198" s="2620"/>
      <c r="K198" s="2620"/>
      <c r="L198" s="2620"/>
      <c r="M198" s="2621"/>
      <c r="N198" s="2620"/>
      <c r="O198" s="2625"/>
    </row>
    <row r="199" spans="1:15">
      <c r="A199" s="2765">
        <f t="shared" si="0"/>
        <v>2009.1</v>
      </c>
      <c r="B199" s="2619"/>
      <c r="C199" s="2619"/>
      <c r="D199" s="2620"/>
      <c r="E199" s="2621"/>
      <c r="F199" s="2620"/>
      <c r="G199" s="2621"/>
      <c r="H199" s="2620"/>
      <c r="I199" s="2621"/>
      <c r="J199" s="2620"/>
      <c r="K199" s="2620"/>
      <c r="L199" s="2620"/>
      <c r="M199" s="2621"/>
      <c r="N199" s="2620"/>
      <c r="O199" s="2625"/>
    </row>
    <row r="200" spans="1:15">
      <c r="A200" s="2765">
        <f t="shared" si="0"/>
        <v>2009.11</v>
      </c>
      <c r="B200" s="2619"/>
      <c r="C200" s="2619"/>
      <c r="D200" s="2620"/>
      <c r="E200" s="2621"/>
      <c r="F200" s="2620"/>
      <c r="G200" s="2621"/>
      <c r="H200" s="2620"/>
      <c r="I200" s="2621"/>
      <c r="J200" s="2620"/>
      <c r="K200" s="2620"/>
      <c r="L200" s="2620"/>
      <c r="M200" s="2621"/>
      <c r="N200" s="2620"/>
      <c r="O200" s="2625"/>
    </row>
    <row r="201" spans="1:15">
      <c r="A201" s="2765">
        <f t="shared" si="0"/>
        <v>2009.12</v>
      </c>
      <c r="B201" s="2619"/>
      <c r="C201" s="2619"/>
      <c r="D201" s="2620"/>
      <c r="E201" s="2621"/>
      <c r="F201" s="2620"/>
      <c r="G201" s="2621"/>
      <c r="H201" s="2620"/>
      <c r="I201" s="2621"/>
      <c r="J201" s="2620"/>
      <c r="K201" s="2620"/>
      <c r="L201" s="2620"/>
      <c r="M201" s="2621"/>
      <c r="N201" s="2620"/>
      <c r="O201" s="2625"/>
    </row>
    <row r="202" spans="1:15">
      <c r="A202" s="2765">
        <f t="shared" si="0"/>
        <v>2010.01</v>
      </c>
      <c r="B202" s="2619"/>
      <c r="C202" s="2619"/>
      <c r="D202" s="2620"/>
      <c r="E202" s="2621"/>
      <c r="F202" s="2620"/>
      <c r="G202" s="2621"/>
      <c r="H202" s="2620"/>
      <c r="I202" s="2621"/>
      <c r="J202" s="2620"/>
      <c r="K202" s="2620"/>
      <c r="L202" s="2620"/>
      <c r="M202" s="2621"/>
      <c r="N202" s="2620"/>
      <c r="O202" s="2625"/>
    </row>
    <row r="203" spans="1:15">
      <c r="A203" s="2765">
        <f t="shared" si="0"/>
        <v>2010.02</v>
      </c>
      <c r="B203" s="2619"/>
      <c r="C203" s="2619"/>
      <c r="D203" s="2620"/>
      <c r="E203" s="2621"/>
      <c r="F203" s="2620"/>
      <c r="G203" s="2621"/>
      <c r="H203" s="2620"/>
      <c r="I203" s="2621"/>
      <c r="J203" s="2620"/>
      <c r="K203" s="2620"/>
      <c r="L203" s="2620"/>
      <c r="M203" s="2621"/>
      <c r="N203" s="2620"/>
      <c r="O203" s="2625"/>
    </row>
    <row r="204" spans="1:15">
      <c r="A204" s="2765">
        <f t="shared" si="0"/>
        <v>2010.03</v>
      </c>
      <c r="B204" s="2619"/>
      <c r="C204" s="2619"/>
      <c r="D204" s="2620"/>
      <c r="E204" s="2621"/>
      <c r="F204" s="2620"/>
      <c r="G204" s="2621"/>
      <c r="H204" s="2620"/>
      <c r="I204" s="2621"/>
      <c r="J204" s="2620"/>
      <c r="K204" s="2620"/>
      <c r="L204" s="2620"/>
      <c r="M204" s="2621"/>
      <c r="N204" s="2620"/>
      <c r="O204" s="2625"/>
    </row>
    <row r="205" spans="1:15">
      <c r="A205" s="2765">
        <f t="shared" si="0"/>
        <v>2010.04</v>
      </c>
      <c r="B205" s="2619"/>
      <c r="C205" s="2619"/>
      <c r="D205" s="2620"/>
      <c r="E205" s="2621"/>
      <c r="F205" s="2620"/>
      <c r="G205" s="2621"/>
      <c r="H205" s="2620"/>
      <c r="I205" s="2621"/>
      <c r="J205" s="2620"/>
      <c r="K205" s="2620"/>
      <c r="L205" s="2620"/>
      <c r="M205" s="2621"/>
      <c r="N205" s="2620"/>
      <c r="O205" s="2625"/>
    </row>
    <row r="206" spans="1:15">
      <c r="A206" s="2765">
        <f t="shared" si="0"/>
        <v>2010.05</v>
      </c>
      <c r="B206" s="2619"/>
      <c r="C206" s="2619"/>
      <c r="D206" s="2620"/>
      <c r="E206" s="2621"/>
      <c r="F206" s="2620"/>
      <c r="G206" s="2621"/>
      <c r="H206" s="2620"/>
      <c r="I206" s="2621"/>
      <c r="J206" s="2620"/>
      <c r="K206" s="2620"/>
      <c r="L206" s="2620"/>
      <c r="M206" s="2621"/>
      <c r="N206" s="2620"/>
      <c r="O206" s="2625"/>
    </row>
    <row r="207" spans="1:15">
      <c r="A207" s="2765">
        <f t="shared" si="0"/>
        <v>2010.06</v>
      </c>
      <c r="B207" s="2619"/>
      <c r="C207" s="2619"/>
      <c r="D207" s="2620"/>
      <c r="E207" s="2621"/>
      <c r="F207" s="2620"/>
      <c r="G207" s="2621"/>
      <c r="H207" s="2620"/>
      <c r="I207" s="2621"/>
      <c r="J207" s="2620"/>
      <c r="K207" s="2620"/>
      <c r="L207" s="2620"/>
      <c r="M207" s="2621"/>
      <c r="N207" s="2620"/>
      <c r="O207" s="2625"/>
    </row>
    <row r="208" spans="1:15">
      <c r="A208" s="2765">
        <f t="shared" si="0"/>
        <v>2010.07</v>
      </c>
      <c r="B208" s="2619"/>
      <c r="C208" s="2619"/>
      <c r="D208" s="2620"/>
      <c r="E208" s="2621"/>
      <c r="F208" s="2620"/>
      <c r="G208" s="2621"/>
      <c r="H208" s="2620"/>
      <c r="I208" s="2621"/>
      <c r="J208" s="2620"/>
      <c r="K208" s="2620"/>
      <c r="L208" s="2620"/>
      <c r="M208" s="2621"/>
      <c r="N208" s="2620"/>
      <c r="O208" s="2625"/>
    </row>
    <row r="209" spans="1:15">
      <c r="A209" s="2765">
        <f t="shared" si="0"/>
        <v>2010.08</v>
      </c>
      <c r="B209" s="2619"/>
      <c r="C209" s="2619"/>
      <c r="D209" s="2620"/>
      <c r="E209" s="2621"/>
      <c r="F209" s="2620"/>
      <c r="G209" s="2621"/>
      <c r="H209" s="2620"/>
      <c r="I209" s="2621"/>
      <c r="J209" s="2620"/>
      <c r="K209" s="2620"/>
      <c r="L209" s="2620"/>
      <c r="M209" s="2621"/>
      <c r="N209" s="2620"/>
      <c r="O209" s="2625"/>
    </row>
    <row r="210" spans="1:15">
      <c r="A210" s="2765">
        <f t="shared" si="0"/>
        <v>2010.09</v>
      </c>
      <c r="B210" s="2619"/>
      <c r="C210" s="2619"/>
      <c r="D210" s="2620"/>
      <c r="E210" s="2621"/>
      <c r="F210" s="2620"/>
      <c r="G210" s="2621"/>
      <c r="H210" s="2620"/>
      <c r="I210" s="2621"/>
      <c r="J210" s="2620"/>
      <c r="K210" s="2620"/>
      <c r="L210" s="2620"/>
      <c r="M210" s="2621"/>
      <c r="N210" s="2620"/>
      <c r="O210" s="2625"/>
    </row>
    <row r="211" spans="1:15">
      <c r="A211" s="2765">
        <f t="shared" si="0"/>
        <v>2010.1</v>
      </c>
      <c r="B211" s="2619"/>
      <c r="C211" s="2619"/>
      <c r="D211" s="2620"/>
      <c r="E211" s="2621"/>
      <c r="F211" s="2620"/>
      <c r="G211" s="2621"/>
      <c r="H211" s="2620"/>
      <c r="I211" s="2621"/>
      <c r="J211" s="2620"/>
      <c r="K211" s="2620"/>
      <c r="L211" s="2620"/>
      <c r="M211" s="2621"/>
      <c r="N211" s="2620"/>
      <c r="O211" s="2625"/>
    </row>
    <row r="212" spans="1:15">
      <c r="A212" s="2765">
        <f t="shared" si="0"/>
        <v>2010.11</v>
      </c>
      <c r="B212" s="2619"/>
      <c r="C212" s="2619"/>
      <c r="D212" s="2620"/>
      <c r="E212" s="2621"/>
      <c r="F212" s="2620"/>
      <c r="G212" s="2621"/>
      <c r="H212" s="2620"/>
      <c r="I212" s="2621"/>
      <c r="J212" s="2620"/>
      <c r="K212" s="2620"/>
      <c r="L212" s="2620"/>
      <c r="M212" s="2621"/>
      <c r="N212" s="2620"/>
      <c r="O212" s="2625"/>
    </row>
    <row r="213" spans="1:15">
      <c r="A213" s="2765">
        <f t="shared" si="0"/>
        <v>2010.12</v>
      </c>
      <c r="B213" s="2619"/>
      <c r="C213" s="2619"/>
      <c r="D213" s="2620"/>
      <c r="E213" s="2621"/>
      <c r="F213" s="2620"/>
      <c r="G213" s="2621"/>
      <c r="H213" s="2620"/>
      <c r="I213" s="2621"/>
      <c r="J213" s="2620"/>
      <c r="K213" s="2620"/>
      <c r="L213" s="2620"/>
      <c r="M213" s="2621"/>
      <c r="N213" s="2620"/>
      <c r="O213" s="2625"/>
    </row>
    <row r="214" spans="1:15">
      <c r="A214" s="2765">
        <f t="shared" si="0"/>
        <v>2011.01</v>
      </c>
      <c r="B214" s="2619"/>
      <c r="C214" s="2619"/>
      <c r="D214" s="2620"/>
      <c r="E214" s="2621"/>
      <c r="F214" s="2620"/>
      <c r="G214" s="2621"/>
      <c r="H214" s="2620"/>
      <c r="I214" s="2621"/>
      <c r="J214" s="2620"/>
      <c r="K214" s="2620"/>
      <c r="L214" s="2620"/>
      <c r="M214" s="2621"/>
      <c r="N214" s="2620"/>
      <c r="O214" s="2625"/>
    </row>
    <row r="215" spans="1:15">
      <c r="A215" s="2765">
        <f t="shared" si="0"/>
        <v>2011.02</v>
      </c>
      <c r="B215" s="2619"/>
      <c r="C215" s="2619"/>
      <c r="D215" s="2620"/>
      <c r="E215" s="2621"/>
      <c r="F215" s="2620"/>
      <c r="G215" s="2621"/>
      <c r="H215" s="2620"/>
      <c r="I215" s="2621"/>
      <c r="J215" s="2620"/>
      <c r="K215" s="2620"/>
      <c r="L215" s="2620"/>
      <c r="M215" s="2621"/>
      <c r="N215" s="2620"/>
      <c r="O215" s="2625"/>
    </row>
    <row r="216" spans="1:15">
      <c r="A216" s="2765">
        <f t="shared" si="0"/>
        <v>2011.03</v>
      </c>
      <c r="B216" s="2619"/>
      <c r="C216" s="2619"/>
      <c r="D216" s="2620"/>
      <c r="E216" s="2621"/>
      <c r="F216" s="2620"/>
      <c r="G216" s="2621"/>
      <c r="H216" s="2620"/>
      <c r="I216" s="2621"/>
      <c r="J216" s="2620"/>
      <c r="K216" s="2620"/>
      <c r="L216" s="2620"/>
      <c r="M216" s="2621"/>
      <c r="N216" s="2620"/>
      <c r="O216" s="2625"/>
    </row>
    <row r="217" spans="1:15">
      <c r="A217" s="2765">
        <f t="shared" si="0"/>
        <v>2011.04</v>
      </c>
      <c r="B217" s="2619"/>
      <c r="C217" s="2619"/>
      <c r="D217" s="2620"/>
      <c r="E217" s="2621"/>
      <c r="F217" s="2620"/>
      <c r="G217" s="2621"/>
      <c r="H217" s="2620"/>
      <c r="I217" s="2621"/>
      <c r="J217" s="2620"/>
      <c r="K217" s="2620"/>
      <c r="L217" s="2620"/>
      <c r="M217" s="2621"/>
      <c r="N217" s="2620"/>
      <c r="O217" s="2625"/>
    </row>
    <row r="218" spans="1:15">
      <c r="A218" s="2765">
        <f t="shared" si="0"/>
        <v>2011.05</v>
      </c>
      <c r="B218" s="2619"/>
      <c r="C218" s="2619"/>
      <c r="D218" s="2620"/>
      <c r="E218" s="2621"/>
      <c r="F218" s="2620"/>
      <c r="G218" s="2621"/>
      <c r="H218" s="2620"/>
      <c r="I218" s="2621"/>
      <c r="J218" s="2620"/>
      <c r="K218" s="2620"/>
      <c r="L218" s="2620"/>
      <c r="M218" s="2621"/>
      <c r="N218" s="2620"/>
      <c r="O218" s="2625"/>
    </row>
    <row r="219" spans="1:15">
      <c r="A219" s="2765">
        <f t="shared" si="0"/>
        <v>2011.06</v>
      </c>
      <c r="B219" s="2619"/>
      <c r="C219" s="2619"/>
      <c r="D219" s="2620"/>
      <c r="E219" s="2621"/>
      <c r="F219" s="2620"/>
      <c r="G219" s="2621"/>
      <c r="H219" s="2620"/>
      <c r="I219" s="2621"/>
      <c r="J219" s="2620"/>
      <c r="K219" s="2620"/>
      <c r="L219" s="2620"/>
      <c r="M219" s="2621"/>
      <c r="N219" s="2620"/>
      <c r="O219" s="2625"/>
    </row>
    <row r="220" spans="1:15">
      <c r="A220" s="2765">
        <f t="shared" si="0"/>
        <v>2011.07</v>
      </c>
      <c r="B220" s="2619"/>
      <c r="C220" s="2619"/>
      <c r="D220" s="2620"/>
      <c r="E220" s="2621"/>
      <c r="F220" s="2620"/>
      <c r="G220" s="2621"/>
      <c r="H220" s="2620"/>
      <c r="I220" s="2621"/>
      <c r="J220" s="2620"/>
      <c r="K220" s="2620"/>
      <c r="L220" s="2620"/>
      <c r="M220" s="2621"/>
      <c r="N220" s="2620"/>
      <c r="O220" s="2625"/>
    </row>
    <row r="221" spans="1:15">
      <c r="A221" s="2765">
        <f t="shared" si="0"/>
        <v>2011.08</v>
      </c>
      <c r="B221" s="2619"/>
      <c r="C221" s="2619"/>
      <c r="D221" s="2620"/>
      <c r="E221" s="2621"/>
      <c r="F221" s="2620"/>
      <c r="G221" s="2621"/>
      <c r="H221" s="2620"/>
      <c r="I221" s="2621"/>
      <c r="J221" s="2620"/>
      <c r="K221" s="2620"/>
      <c r="L221" s="2620"/>
      <c r="M221" s="2621"/>
      <c r="N221" s="2620"/>
      <c r="O221" s="2625"/>
    </row>
    <row r="222" spans="1:15">
      <c r="A222" s="2765">
        <f t="shared" si="0"/>
        <v>2011.09</v>
      </c>
      <c r="B222" s="2619"/>
      <c r="C222" s="2619"/>
      <c r="D222" s="2620"/>
      <c r="E222" s="2621"/>
      <c r="F222" s="2620"/>
      <c r="G222" s="2621"/>
      <c r="H222" s="2620"/>
      <c r="I222" s="2621"/>
      <c r="J222" s="2620"/>
      <c r="K222" s="2620"/>
      <c r="L222" s="2620"/>
      <c r="M222" s="2621"/>
      <c r="N222" s="2620"/>
      <c r="O222" s="2625"/>
    </row>
    <row r="223" spans="1:15">
      <c r="A223" s="2765">
        <f t="shared" si="0"/>
        <v>2011.1</v>
      </c>
      <c r="B223" s="2619"/>
      <c r="C223" s="2619"/>
      <c r="D223" s="2620"/>
      <c r="E223" s="2621"/>
      <c r="F223" s="2620"/>
      <c r="G223" s="2621"/>
      <c r="H223" s="2620"/>
      <c r="I223" s="2621"/>
      <c r="J223" s="2620"/>
      <c r="K223" s="2620"/>
      <c r="L223" s="2620"/>
      <c r="M223" s="2621"/>
      <c r="N223" s="2620"/>
      <c r="O223" s="2625"/>
    </row>
    <row r="224" spans="1:15">
      <c r="A224" s="2765">
        <f t="shared" si="0"/>
        <v>2011.11</v>
      </c>
      <c r="B224" s="2619"/>
      <c r="C224" s="2619"/>
      <c r="D224" s="2620"/>
      <c r="E224" s="2621"/>
      <c r="F224" s="2620"/>
      <c r="G224" s="2621"/>
      <c r="H224" s="2620"/>
      <c r="I224" s="2621"/>
      <c r="J224" s="2620"/>
      <c r="K224" s="2620"/>
      <c r="L224" s="2620"/>
      <c r="M224" s="2621"/>
      <c r="N224" s="2620"/>
      <c r="O224" s="2625"/>
    </row>
    <row r="225" spans="1:15">
      <c r="A225" s="2765">
        <f t="shared" si="0"/>
        <v>2011.12</v>
      </c>
      <c r="B225" s="2619"/>
      <c r="C225" s="2619"/>
      <c r="D225" s="2620"/>
      <c r="E225" s="2621"/>
      <c r="F225" s="2620"/>
      <c r="G225" s="2621"/>
      <c r="H225" s="2620"/>
      <c r="I225" s="2621"/>
      <c r="J225" s="2620"/>
      <c r="K225" s="2620"/>
      <c r="L225" s="2620"/>
      <c r="M225" s="2621"/>
      <c r="N225" s="2620"/>
      <c r="O225" s="2625"/>
    </row>
    <row r="226" spans="1:15">
      <c r="A226" s="2765">
        <f t="shared" si="0"/>
        <v>2012.01</v>
      </c>
      <c r="B226" s="2619"/>
      <c r="C226" s="2619"/>
      <c r="D226" s="2620"/>
      <c r="E226" s="2621"/>
      <c r="F226" s="2620"/>
      <c r="G226" s="2621"/>
      <c r="H226" s="2620"/>
      <c r="I226" s="2621"/>
      <c r="J226" s="2620"/>
      <c r="K226" s="2620"/>
      <c r="L226" s="2620"/>
      <c r="M226" s="2621"/>
      <c r="N226" s="2620"/>
      <c r="O226" s="2625"/>
    </row>
    <row r="227" spans="1:15">
      <c r="A227" s="2765">
        <f t="shared" si="0"/>
        <v>2012.02</v>
      </c>
      <c r="B227" s="2619"/>
      <c r="C227" s="2619"/>
      <c r="D227" s="2620"/>
      <c r="E227" s="2621"/>
      <c r="F227" s="2620"/>
      <c r="G227" s="2621"/>
      <c r="H227" s="2620"/>
      <c r="I227" s="2621"/>
      <c r="J227" s="2620"/>
      <c r="K227" s="2620"/>
      <c r="L227" s="2620"/>
      <c r="M227" s="2621"/>
      <c r="N227" s="2620"/>
      <c r="O227" s="2625"/>
    </row>
    <row r="228" spans="1:15">
      <c r="A228" s="2765">
        <f t="shared" si="0"/>
        <v>2012.03</v>
      </c>
      <c r="B228" s="2619"/>
      <c r="C228" s="2619"/>
      <c r="D228" s="2620"/>
      <c r="E228" s="2621"/>
      <c r="F228" s="2620"/>
      <c r="G228" s="2621"/>
      <c r="H228" s="2620"/>
      <c r="I228" s="2621"/>
      <c r="J228" s="2620"/>
      <c r="K228" s="2620"/>
      <c r="L228" s="2620"/>
      <c r="M228" s="2621"/>
      <c r="N228" s="2620"/>
      <c r="O228" s="2625"/>
    </row>
    <row r="229" spans="1:15">
      <c r="A229" s="2765">
        <f t="shared" si="0"/>
        <v>2012.04</v>
      </c>
      <c r="B229" s="2619"/>
      <c r="C229" s="2619"/>
      <c r="D229" s="2620"/>
      <c r="E229" s="2621"/>
      <c r="F229" s="2620"/>
      <c r="G229" s="2621"/>
      <c r="H229" s="2620"/>
      <c r="I229" s="2621"/>
      <c r="J229" s="2620"/>
      <c r="K229" s="2620"/>
      <c r="L229" s="2620"/>
      <c r="M229" s="2621"/>
      <c r="N229" s="2620"/>
      <c r="O229" s="2625"/>
    </row>
    <row r="230" spans="1:15">
      <c r="A230" s="2765">
        <f t="shared" si="0"/>
        <v>2012.05</v>
      </c>
      <c r="B230" s="2619"/>
      <c r="C230" s="2619"/>
      <c r="D230" s="2620"/>
      <c r="E230" s="2621"/>
      <c r="F230" s="2620"/>
      <c r="G230" s="2621"/>
      <c r="H230" s="2620"/>
      <c r="I230" s="2621"/>
      <c r="J230" s="2620"/>
      <c r="K230" s="2620"/>
      <c r="L230" s="2620"/>
      <c r="M230" s="2621"/>
      <c r="N230" s="2620"/>
      <c r="O230" s="2625"/>
    </row>
    <row r="231" spans="1:15">
      <c r="A231" s="2765">
        <f t="shared" si="0"/>
        <v>2012.06</v>
      </c>
      <c r="B231" s="2619"/>
      <c r="C231" s="2619"/>
      <c r="D231" s="2620"/>
      <c r="E231" s="2621"/>
      <c r="F231" s="2620"/>
      <c r="G231" s="2621"/>
      <c r="H231" s="2620"/>
      <c r="I231" s="2621"/>
      <c r="J231" s="2620"/>
      <c r="K231" s="2620"/>
      <c r="L231" s="2620"/>
      <c r="M231" s="2621"/>
      <c r="N231" s="2620"/>
      <c r="O231" s="2625"/>
    </row>
    <row r="232" spans="1:15">
      <c r="A232" s="2765">
        <f t="shared" si="0"/>
        <v>2012.07</v>
      </c>
      <c r="B232" s="2626">
        <v>6.4363876898803767</v>
      </c>
      <c r="C232" s="2619"/>
      <c r="D232" s="2620"/>
      <c r="E232" s="2621"/>
      <c r="F232" s="2620"/>
      <c r="G232" s="2621"/>
      <c r="H232" s="2620"/>
      <c r="I232" s="2621"/>
      <c r="J232" s="2620"/>
      <c r="K232" s="2620"/>
      <c r="L232" s="2620"/>
      <c r="M232" s="2621"/>
      <c r="N232" s="2620"/>
      <c r="O232" s="2625"/>
    </row>
    <row r="233" spans="1:15">
      <c r="A233" s="2765">
        <f t="shared" si="0"/>
        <v>2012.08</v>
      </c>
      <c r="B233" s="2627">
        <v>6.5850926262096632</v>
      </c>
      <c r="C233" s="2619"/>
      <c r="D233" s="2620"/>
      <c r="E233" s="2621"/>
      <c r="F233" s="2620"/>
      <c r="G233" s="2621"/>
      <c r="H233" s="2620"/>
      <c r="I233" s="2621"/>
      <c r="J233" s="2620"/>
      <c r="K233" s="2620"/>
      <c r="L233" s="2620"/>
      <c r="M233" s="2621"/>
      <c r="N233" s="2620"/>
      <c r="O233" s="2625"/>
    </row>
    <row r="234" spans="1:15">
      <c r="A234" s="2765">
        <f t="shared" si="0"/>
        <v>2012.09</v>
      </c>
      <c r="B234" s="2627">
        <v>6.6836528747069801</v>
      </c>
      <c r="C234" s="2619"/>
      <c r="D234" s="2620"/>
      <c r="E234" s="2621"/>
      <c r="F234" s="2620"/>
      <c r="G234" s="2621"/>
      <c r="H234" s="2620"/>
      <c r="I234" s="2621"/>
      <c r="J234" s="2620"/>
      <c r="K234" s="2620"/>
      <c r="L234" s="2620"/>
      <c r="M234" s="2621"/>
      <c r="N234" s="2620"/>
      <c r="O234" s="2625"/>
    </row>
    <row r="235" spans="1:15">
      <c r="A235" s="2765">
        <f t="shared" si="0"/>
        <v>2012.1</v>
      </c>
      <c r="B235" s="2627">
        <v>6.7822131232042988</v>
      </c>
      <c r="C235" s="2619"/>
      <c r="D235" s="2620"/>
      <c r="E235" s="2621"/>
      <c r="F235" s="2620"/>
      <c r="G235" s="2621"/>
      <c r="H235" s="2620"/>
      <c r="I235" s="2621"/>
      <c r="J235" s="2620"/>
      <c r="K235" s="2620"/>
      <c r="L235" s="2620"/>
      <c r="M235" s="2621"/>
      <c r="N235" s="2620"/>
      <c r="O235" s="2625"/>
    </row>
    <row r="236" spans="1:15">
      <c r="A236" s="2765">
        <f t="shared" si="0"/>
        <v>2012.11</v>
      </c>
      <c r="B236" s="2627">
        <v>6.9228487994226935</v>
      </c>
      <c r="C236" s="2619"/>
      <c r="D236" s="2620"/>
      <c r="E236" s="2621"/>
      <c r="F236" s="2620"/>
      <c r="G236" s="2621"/>
      <c r="H236" s="2620"/>
      <c r="I236" s="2621"/>
      <c r="J236" s="2620"/>
      <c r="K236" s="2620"/>
      <c r="L236" s="2620"/>
      <c r="M236" s="2621"/>
      <c r="N236" s="2620"/>
      <c r="O236" s="2625"/>
    </row>
    <row r="237" spans="1:15">
      <c r="A237" s="2765">
        <f t="shared" si="0"/>
        <v>2012.12</v>
      </c>
      <c r="B237" s="2627">
        <v>7.0594498455856423</v>
      </c>
      <c r="C237" s="2619"/>
      <c r="D237" s="2620"/>
      <c r="E237" s="2621"/>
      <c r="F237" s="2620"/>
      <c r="G237" s="2621"/>
      <c r="H237" s="2620"/>
      <c r="I237" s="2621"/>
      <c r="J237" s="2620"/>
      <c r="K237" s="2620"/>
      <c r="L237" s="2620"/>
      <c r="M237" s="2621"/>
      <c r="N237" s="2620"/>
      <c r="O237" s="2625"/>
    </row>
    <row r="238" spans="1:15">
      <c r="A238" s="2765">
        <f t="shared" si="0"/>
        <v>2013.01</v>
      </c>
      <c r="B238" s="2627">
        <v>7.2214114235256792</v>
      </c>
      <c r="C238" s="2619"/>
      <c r="D238" s="2620"/>
      <c r="E238" s="2621"/>
      <c r="F238" s="2620"/>
      <c r="G238" s="2621"/>
      <c r="H238" s="2620"/>
      <c r="I238" s="2621"/>
      <c r="J238" s="2620"/>
      <c r="K238" s="2620"/>
      <c r="L238" s="2620"/>
      <c r="M238" s="2621"/>
      <c r="N238" s="2620"/>
      <c r="O238" s="2625"/>
    </row>
    <row r="239" spans="1:15">
      <c r="A239" s="2765">
        <f t="shared" si="0"/>
        <v>2013.02</v>
      </c>
      <c r="B239" s="2627">
        <v>7.3003748974679734</v>
      </c>
      <c r="C239" s="2619"/>
      <c r="D239" s="2620"/>
      <c r="E239" s="2621"/>
      <c r="F239" s="2620"/>
      <c r="G239" s="2621"/>
      <c r="H239" s="2620"/>
      <c r="I239" s="2621"/>
      <c r="J239" s="2620"/>
      <c r="K239" s="2620"/>
      <c r="L239" s="2620"/>
      <c r="M239" s="2621"/>
      <c r="N239" s="2620"/>
      <c r="O239" s="2625"/>
    </row>
    <row r="240" spans="1:15">
      <c r="A240" s="2765">
        <f t="shared" si="0"/>
        <v>2013.03</v>
      </c>
      <c r="B240" s="2627">
        <v>7.4133445390204544</v>
      </c>
      <c r="C240" s="2619"/>
      <c r="D240" s="2620"/>
      <c r="E240" s="2621"/>
      <c r="F240" s="2620"/>
      <c r="G240" s="2621"/>
      <c r="H240" s="2620"/>
      <c r="I240" s="2621"/>
      <c r="J240" s="2620"/>
      <c r="K240" s="2620"/>
      <c r="L240" s="2620"/>
      <c r="M240" s="2621"/>
      <c r="N240" s="2620"/>
      <c r="O240" s="2625"/>
    </row>
    <row r="241" spans="1:15">
      <c r="A241" s="2765">
        <f t="shared" si="0"/>
        <v>2013.04</v>
      </c>
      <c r="B241" s="2627">
        <v>7.56204947534974</v>
      </c>
      <c r="C241" s="2619"/>
      <c r="D241" s="2620"/>
      <c r="E241" s="2621"/>
      <c r="F241" s="2620"/>
      <c r="G241" s="2621"/>
      <c r="H241" s="2620"/>
      <c r="I241" s="2621"/>
      <c r="J241" s="2620"/>
      <c r="K241" s="2620"/>
      <c r="L241" s="2620"/>
      <c r="M241" s="2621"/>
      <c r="N241" s="2620"/>
      <c r="O241" s="2625"/>
    </row>
    <row r="242" spans="1:15">
      <c r="A242" s="2765">
        <f t="shared" ref="A242:A305" si="1">A230+1</f>
        <v>2013.05</v>
      </c>
      <c r="B242" s="2627">
        <v>7.6750191169022202</v>
      </c>
      <c r="C242" s="2619"/>
      <c r="D242" s="2620"/>
      <c r="E242" s="2621"/>
      <c r="F242" s="2620"/>
      <c r="G242" s="2621"/>
      <c r="H242" s="2620"/>
      <c r="I242" s="2621"/>
      <c r="J242" s="2620"/>
      <c r="K242" s="2620"/>
      <c r="L242" s="2620"/>
      <c r="M242" s="2621"/>
      <c r="N242" s="2620"/>
      <c r="O242" s="2625"/>
    </row>
    <row r="243" spans="1:15">
      <c r="A243" s="2765">
        <f t="shared" si="1"/>
        <v>2013.06</v>
      </c>
      <c r="B243" s="2627">
        <v>7.8196894231760599</v>
      </c>
      <c r="C243" s="2619"/>
      <c r="D243" s="2620"/>
      <c r="E243" s="2621"/>
      <c r="F243" s="2620"/>
      <c r="G243" s="2621"/>
      <c r="H243" s="2620"/>
      <c r="I243" s="2621"/>
      <c r="J243" s="2620"/>
      <c r="K243" s="2620"/>
      <c r="L243" s="2620"/>
      <c r="M243" s="2621"/>
      <c r="N243" s="2620"/>
      <c r="O243" s="2625"/>
    </row>
    <row r="244" spans="1:15">
      <c r="A244" s="2765">
        <f t="shared" si="1"/>
        <v>2013.07</v>
      </c>
      <c r="B244" s="2627">
        <v>8.0116225386708368</v>
      </c>
      <c r="C244" s="2619"/>
      <c r="D244" s="2620"/>
      <c r="E244" s="2621"/>
      <c r="F244" s="2620"/>
      <c r="G244" s="2621"/>
      <c r="H244" s="2620"/>
      <c r="I244" s="2621"/>
      <c r="J244" s="2620"/>
      <c r="K244" s="2620"/>
      <c r="L244" s="2620"/>
      <c r="M244" s="2621"/>
      <c r="N244" s="2620"/>
      <c r="O244" s="2625"/>
    </row>
    <row r="245" spans="1:15">
      <c r="A245" s="2765">
        <f t="shared" si="1"/>
        <v>2013.08</v>
      </c>
      <c r="B245" s="2627">
        <v>8.1781951223885248</v>
      </c>
      <c r="C245" s="2626">
        <v>7.9689543614280423</v>
      </c>
      <c r="D245" s="2628">
        <v>6.144814069520641</v>
      </c>
      <c r="E245" s="2628">
        <v>7.2294783198657706</v>
      </c>
      <c r="F245" s="2628">
        <v>7.6697924609330466</v>
      </c>
      <c r="G245" s="2628">
        <v>9.4130757800891551</v>
      </c>
      <c r="H245" s="2628">
        <v>8.529432977556505</v>
      </c>
      <c r="I245" s="2628">
        <v>8.0867075941584776</v>
      </c>
      <c r="J245" s="2620"/>
      <c r="K245" s="2620"/>
      <c r="L245" s="2628">
        <v>9.7588850664669788</v>
      </c>
      <c r="M245" s="2628">
        <v>9.219724460261995</v>
      </c>
      <c r="N245" s="2620"/>
      <c r="O245" s="2625"/>
    </row>
    <row r="246" spans="1:15">
      <c r="A246" s="2765">
        <f t="shared" si="1"/>
        <v>2013.09</v>
      </c>
      <c r="B246" s="2627">
        <v>8.3528369662171045</v>
      </c>
      <c r="C246" s="2627">
        <v>8.1357073978652892</v>
      </c>
      <c r="D246" s="2629">
        <v>6.144814069520641</v>
      </c>
      <c r="E246" s="2629">
        <v>7.5850780224824996</v>
      </c>
      <c r="F246" s="2629">
        <v>7.7532717201728287</v>
      </c>
      <c r="G246" s="2629">
        <v>9.524238484398218</v>
      </c>
      <c r="H246" s="2629">
        <v>8.9094572191308057</v>
      </c>
      <c r="I246" s="2629">
        <v>8.1504217194892679</v>
      </c>
      <c r="J246" s="2620"/>
      <c r="K246" s="2620"/>
      <c r="L246" s="2629">
        <v>9.6962821285197123</v>
      </c>
      <c r="M246" s="2629">
        <v>9.5074330553352109</v>
      </c>
      <c r="N246" s="2620"/>
      <c r="O246" s="2625"/>
    </row>
    <row r="247" spans="1:15">
      <c r="A247" s="2765">
        <f t="shared" si="1"/>
        <v>2013.1</v>
      </c>
      <c r="B247" s="2627">
        <v>8.5367008216009914</v>
      </c>
      <c r="C247" s="2627">
        <v>8.3587666543982291</v>
      </c>
      <c r="D247" s="2629">
        <v>6.3917986603081935</v>
      </c>
      <c r="E247" s="2629">
        <v>7.9412022084364207</v>
      </c>
      <c r="F247" s="2629">
        <v>7.8080211044794394</v>
      </c>
      <c r="G247" s="2629">
        <v>9.5996471025260046</v>
      </c>
      <c r="H247" s="2629">
        <v>9.1524128881030933</v>
      </c>
      <c r="I247" s="2629">
        <v>8.2634450374673669</v>
      </c>
      <c r="J247" s="2620"/>
      <c r="K247" s="2620"/>
      <c r="L247" s="2629">
        <v>9.7908386493775605</v>
      </c>
      <c r="M247" s="2629">
        <v>9.8808949681624298</v>
      </c>
      <c r="N247" s="2620"/>
      <c r="O247" s="2625"/>
    </row>
    <row r="248" spans="1:15">
      <c r="A248" s="2765">
        <f t="shared" si="1"/>
        <v>2013.11</v>
      </c>
      <c r="B248" s="2627">
        <v>8.7395850758176898</v>
      </c>
      <c r="C248" s="2627">
        <v>8.6175587044534367</v>
      </c>
      <c r="D248" s="2629">
        <v>6.4495939576040007</v>
      </c>
      <c r="E248" s="2629">
        <v>8.1693524601152951</v>
      </c>
      <c r="F248" s="2629">
        <v>7.9717271842873254</v>
      </c>
      <c r="G248" s="2629">
        <v>9.7758172362555751</v>
      </c>
      <c r="H248" s="2629">
        <v>9.1751493811887368</v>
      </c>
      <c r="I248" s="2629">
        <v>8.6292749240405939</v>
      </c>
      <c r="J248" s="2620"/>
      <c r="K248" s="2620"/>
      <c r="L248" s="2629">
        <v>9.8664838660638416</v>
      </c>
      <c r="M248" s="2629">
        <v>10.229500846858054</v>
      </c>
      <c r="N248" s="2620"/>
      <c r="O248" s="2625"/>
    </row>
    <row r="249" spans="1:15">
      <c r="A249" s="2765">
        <f t="shared" si="1"/>
        <v>2013.12</v>
      </c>
      <c r="B249" s="2627">
        <v>8.9372819485345314</v>
      </c>
      <c r="C249" s="2627">
        <v>8.9624343025395596</v>
      </c>
      <c r="D249" s="2629">
        <v>6.5272563883452417</v>
      </c>
      <c r="E249" s="2629">
        <v>8.2653329108215807</v>
      </c>
      <c r="F249" s="2629">
        <v>8.0627954670943609</v>
      </c>
      <c r="G249" s="2629">
        <v>10.047548291233287</v>
      </c>
      <c r="H249" s="2629">
        <v>9.3511947990804209</v>
      </c>
      <c r="I249" s="2629">
        <v>8.952665662784792</v>
      </c>
      <c r="J249" s="2620"/>
      <c r="K249" s="2620"/>
      <c r="L249" s="2629">
        <v>9.863223296379088</v>
      </c>
      <c r="M249" s="2629">
        <v>10.349431211543001</v>
      </c>
      <c r="N249" s="2620"/>
      <c r="O249" s="2625"/>
    </row>
    <row r="250" spans="1:15">
      <c r="A250" s="2765">
        <f t="shared" si="1"/>
        <v>2014.01</v>
      </c>
      <c r="B250" s="2627">
        <v>9.3661054858561918</v>
      </c>
      <c r="C250" s="2627">
        <v>9.2997302171512644</v>
      </c>
      <c r="D250" s="2629">
        <v>6.5778272734790741</v>
      </c>
      <c r="E250" s="2629">
        <v>8.1620096933945963</v>
      </c>
      <c r="F250" s="2629">
        <v>8.2313802049097671</v>
      </c>
      <c r="G250" s="2629">
        <v>10.261422734026748</v>
      </c>
      <c r="H250" s="2629">
        <v>9.78968430858923</v>
      </c>
      <c r="I250" s="2629">
        <v>10.179301084370628</v>
      </c>
      <c r="J250" s="2620"/>
      <c r="K250" s="2620"/>
      <c r="L250" s="2629">
        <v>9.9114797277134397</v>
      </c>
      <c r="M250" s="2629">
        <v>10.778197800313018</v>
      </c>
      <c r="N250" s="2620"/>
      <c r="O250" s="2625"/>
    </row>
    <row r="251" spans="1:15">
      <c r="A251" s="2765">
        <f t="shared" si="1"/>
        <v>2014.02</v>
      </c>
      <c r="B251" s="2627">
        <v>9.775908624345039</v>
      </c>
      <c r="C251" s="2627">
        <v>9.9142259845417673</v>
      </c>
      <c r="D251" s="2629">
        <v>6.9557543347024398</v>
      </c>
      <c r="E251" s="2629">
        <v>8.4258248120025829</v>
      </c>
      <c r="F251" s="2629">
        <v>8.3961704309415452</v>
      </c>
      <c r="G251" s="2629">
        <v>10.945950965824668</v>
      </c>
      <c r="H251" s="2629">
        <v>10.200890026395268</v>
      </c>
      <c r="I251" s="2629">
        <v>10.542748616692357</v>
      </c>
      <c r="J251" s="2620"/>
      <c r="K251" s="2620"/>
      <c r="L251" s="2629">
        <v>10.082333579194518</v>
      </c>
      <c r="M251" s="2629">
        <v>11.179622751538284</v>
      </c>
      <c r="N251" s="2620"/>
      <c r="O251" s="2625"/>
    </row>
    <row r="252" spans="1:15">
      <c r="A252" s="2765">
        <f t="shared" si="1"/>
        <v>2014.03</v>
      </c>
      <c r="B252" s="2627">
        <v>10.1326851963909</v>
      </c>
      <c r="C252" s="2627">
        <v>10.226617224880377</v>
      </c>
      <c r="D252" s="2629">
        <v>7.1196581856272685</v>
      </c>
      <c r="E252" s="2629">
        <v>8.7950610813863257</v>
      </c>
      <c r="F252" s="2629">
        <v>8.5338570013759938</v>
      </c>
      <c r="G252" s="2629">
        <v>11.482262258543837</v>
      </c>
      <c r="H252" s="2629">
        <v>10.488019453362515</v>
      </c>
      <c r="I252" s="2629">
        <v>10.98708538639057</v>
      </c>
      <c r="J252" s="2620"/>
      <c r="K252" s="2620"/>
      <c r="L252" s="2629">
        <v>11.313524692157408</v>
      </c>
      <c r="M252" s="2629">
        <v>11.757525545097876</v>
      </c>
      <c r="N252" s="2620"/>
      <c r="O252" s="2625"/>
    </row>
    <row r="253" spans="1:15">
      <c r="A253" s="2765">
        <f t="shared" si="1"/>
        <v>2014.04</v>
      </c>
      <c r="B253" s="2627">
        <v>10.449115467882271</v>
      </c>
      <c r="C253" s="2627">
        <v>10.393911667280083</v>
      </c>
      <c r="D253" s="2629">
        <v>7.1986751936488798</v>
      </c>
      <c r="E253" s="2629">
        <v>9.7837121719947824</v>
      </c>
      <c r="F253" s="2629">
        <v>9.0585837737403434</v>
      </c>
      <c r="G253" s="2629">
        <v>11.717589153046067</v>
      </c>
      <c r="H253" s="2629">
        <v>10.539988580415413</v>
      </c>
      <c r="I253" s="2629">
        <v>11.330587627304398</v>
      </c>
      <c r="J253" s="2620"/>
      <c r="K253" s="2620"/>
      <c r="L253" s="2629">
        <v>11.411993896636961</v>
      </c>
      <c r="M253" s="2629">
        <v>12.033427523958585</v>
      </c>
      <c r="N253" s="2620"/>
      <c r="O253" s="2625"/>
    </row>
    <row r="254" spans="1:15">
      <c r="A254" s="2765">
        <f t="shared" si="1"/>
        <v>2014.05</v>
      </c>
      <c r="B254" s="2627">
        <v>10.709637294319624</v>
      </c>
      <c r="C254" s="2627">
        <v>10.52655612808244</v>
      </c>
      <c r="D254" s="2629">
        <v>8.1640372687929119</v>
      </c>
      <c r="E254" s="2629">
        <v>10.024450023766285</v>
      </c>
      <c r="F254" s="2629">
        <v>9.6478172464263423</v>
      </c>
      <c r="G254" s="2629">
        <v>12.017923476968802</v>
      </c>
      <c r="H254" s="2629">
        <v>10.667962555783168</v>
      </c>
      <c r="I254" s="2629">
        <v>11.469650631287257</v>
      </c>
      <c r="J254" s="2620"/>
      <c r="K254" s="2620"/>
      <c r="L254" s="2629">
        <v>12.113668492795895</v>
      </c>
      <c r="M254" s="2629">
        <v>12.286959072100855</v>
      </c>
      <c r="N254" s="2620"/>
      <c r="O254" s="2625"/>
    </row>
    <row r="255" spans="1:15">
      <c r="A255" s="2765">
        <f t="shared" si="1"/>
        <v>2014.06</v>
      </c>
      <c r="B255" s="2627">
        <v>10.959784357757259</v>
      </c>
      <c r="C255" s="2627">
        <v>10.71388259109311</v>
      </c>
      <c r="D255" s="2629">
        <v>8.236281390412671</v>
      </c>
      <c r="E255" s="2629">
        <v>10.295083425757777</v>
      </c>
      <c r="F255" s="2629">
        <v>10.177422676798214</v>
      </c>
      <c r="G255" s="2629">
        <v>12.171991084695399</v>
      </c>
      <c r="H255" s="2629">
        <v>11.01680532112573</v>
      </c>
      <c r="I255" s="2629">
        <v>11.763289643681334</v>
      </c>
      <c r="J255" s="2620"/>
      <c r="K255" s="2620"/>
      <c r="L255" s="2629">
        <v>12.199747532473387</v>
      </c>
      <c r="M255" s="2629">
        <v>12.311815106232451</v>
      </c>
      <c r="N255" s="2620"/>
      <c r="O255" s="2625"/>
    </row>
    <row r="256" spans="1:15">
      <c r="A256" s="2765">
        <f t="shared" si="1"/>
        <v>2014.07</v>
      </c>
      <c r="B256" s="2627">
        <v>11.203591288250623</v>
      </c>
      <c r="C256" s="2627">
        <v>10.886591093117403</v>
      </c>
      <c r="D256" s="2629">
        <v>8.3324563773189748</v>
      </c>
      <c r="E256" s="2629">
        <v>10.333895192710047</v>
      </c>
      <c r="F256" s="2629">
        <v>10.438701916756495</v>
      </c>
      <c r="G256" s="2629">
        <v>12.49767830609213</v>
      </c>
      <c r="H256" s="2629">
        <v>11.107101679380134</v>
      </c>
      <c r="I256" s="2629">
        <v>12.21205870035908</v>
      </c>
      <c r="J256" s="2620"/>
      <c r="K256" s="2620"/>
      <c r="L256" s="2629">
        <v>12.465157904812315</v>
      </c>
      <c r="M256" s="2629">
        <v>12.472757927234531</v>
      </c>
      <c r="N256" s="2620"/>
      <c r="O256" s="2625"/>
    </row>
    <row r="257" spans="1:15">
      <c r="A257" s="2765">
        <f t="shared" si="1"/>
        <v>2014.08</v>
      </c>
      <c r="B257" s="2627">
        <v>11.458349357465911</v>
      </c>
      <c r="C257" s="2627">
        <v>11.131847994111146</v>
      </c>
      <c r="D257" s="2629">
        <v>8.6837434186950553</v>
      </c>
      <c r="E257" s="2629">
        <v>10.351727626174602</v>
      </c>
      <c r="F257" s="2629">
        <v>11.21440853995214</v>
      </c>
      <c r="G257" s="2629">
        <v>12.740806092124821</v>
      </c>
      <c r="H257" s="2629">
        <v>11.194799581281899</v>
      </c>
      <c r="I257" s="2629">
        <v>12.377715426219137</v>
      </c>
      <c r="J257" s="2620"/>
      <c r="K257" s="2620"/>
      <c r="L257" s="2629">
        <v>13.056625245626584</v>
      </c>
      <c r="M257" s="2629">
        <v>12.512527581845083</v>
      </c>
      <c r="N257" s="2620"/>
      <c r="O257" s="2625"/>
    </row>
    <row r="258" spans="1:15">
      <c r="A258" s="2765">
        <f t="shared" si="1"/>
        <v>2014.09</v>
      </c>
      <c r="B258" s="2627">
        <v>11.715989305292233</v>
      </c>
      <c r="C258" s="2627">
        <v>11.378729112992263</v>
      </c>
      <c r="D258" s="2629">
        <v>9.1235295090553397</v>
      </c>
      <c r="E258" s="2629">
        <v>10.822189179636558</v>
      </c>
      <c r="F258" s="2629">
        <v>11.351553037274643</v>
      </c>
      <c r="G258" s="2629">
        <v>13.310271173848445</v>
      </c>
      <c r="H258" s="2629">
        <v>11.344860435647135</v>
      </c>
      <c r="I258" s="2629">
        <v>12.732298384581799</v>
      </c>
      <c r="J258" s="2620"/>
      <c r="K258" s="2620"/>
      <c r="L258" s="2629">
        <v>13.145312741051878</v>
      </c>
      <c r="M258" s="2629">
        <v>12.68030581223335</v>
      </c>
      <c r="N258" s="2620"/>
      <c r="O258" s="2625"/>
    </row>
    <row r="259" spans="1:15">
      <c r="A259" s="2765">
        <f t="shared" si="1"/>
        <v>2014.1</v>
      </c>
      <c r="B259" s="2627">
        <v>11.941928588397193</v>
      </c>
      <c r="C259" s="2627">
        <v>11.642393816709598</v>
      </c>
      <c r="D259" s="2629">
        <v>9.3086550707059708</v>
      </c>
      <c r="E259" s="2629">
        <v>11.183033715625214</v>
      </c>
      <c r="F259" s="2629">
        <v>11.515801190194477</v>
      </c>
      <c r="G259" s="2629">
        <v>13.58915304606241</v>
      </c>
      <c r="H259" s="2629">
        <v>11.819078720004809</v>
      </c>
      <c r="I259" s="2629">
        <v>12.858064527626057</v>
      </c>
      <c r="J259" s="2620"/>
      <c r="K259" s="2620"/>
      <c r="L259" s="2629">
        <v>13.281604553874569</v>
      </c>
      <c r="M259" s="2629">
        <v>12.713240057457712</v>
      </c>
      <c r="N259" s="2620"/>
      <c r="O259" s="2625"/>
    </row>
    <row r="260" spans="1:15">
      <c r="A260" s="2765">
        <f t="shared" si="1"/>
        <v>2014.11</v>
      </c>
      <c r="B260" s="2627">
        <v>12.159798611391263</v>
      </c>
      <c r="C260" s="2627">
        <v>11.830803091645191</v>
      </c>
      <c r="D260" s="2629">
        <v>9.402120903051534</v>
      </c>
      <c r="E260" s="2629">
        <v>11.654019752424363</v>
      </c>
      <c r="F260" s="2629">
        <v>11.771117625921345</v>
      </c>
      <c r="G260" s="2629">
        <v>13.760122585438337</v>
      </c>
      <c r="H260" s="2629">
        <v>11.928863500904052</v>
      </c>
      <c r="I260" s="2629">
        <v>12.982168563052989</v>
      </c>
      <c r="J260" s="2620"/>
      <c r="K260" s="2620"/>
      <c r="L260" s="2629">
        <v>13.493541583383541</v>
      </c>
      <c r="M260" s="2629">
        <v>12.748659906095236</v>
      </c>
      <c r="N260" s="2620"/>
      <c r="O260" s="2625"/>
    </row>
    <row r="261" spans="1:15">
      <c r="A261" s="2765">
        <f t="shared" si="1"/>
        <v>2014.12</v>
      </c>
      <c r="B261" s="2627">
        <v>12.336745958108668</v>
      </c>
      <c r="C261" s="2627">
        <v>11.9731928597718</v>
      </c>
      <c r="D261" s="2629">
        <v>9.691548915290694</v>
      </c>
      <c r="E261" s="2629">
        <v>11.802973020187121</v>
      </c>
      <c r="F261" s="2629">
        <v>11.87085907851953</v>
      </c>
      <c r="G261" s="2629">
        <v>13.868034918276377</v>
      </c>
      <c r="H261" s="2629">
        <v>12.186110679815886</v>
      </c>
      <c r="I261" s="2629">
        <v>13.102948383245272</v>
      </c>
      <c r="J261" s="2620"/>
      <c r="K261" s="2620"/>
      <c r="L261" s="2629">
        <v>13.607661522349911</v>
      </c>
      <c r="M261" s="2629">
        <v>13.004677057650667</v>
      </c>
      <c r="N261" s="2620"/>
      <c r="O261" s="2625"/>
    </row>
    <row r="262" spans="1:15">
      <c r="A262" s="2765">
        <f t="shared" si="1"/>
        <v>2015.01</v>
      </c>
      <c r="B262" s="2627">
        <v>12.578247385713206</v>
      </c>
      <c r="C262" s="2627">
        <v>12.236316157526677</v>
      </c>
      <c r="D262" s="2629">
        <v>10.059542409791343</v>
      </c>
      <c r="E262" s="2629">
        <v>11.708041536155221</v>
      </c>
      <c r="F262" s="2629">
        <v>11.976021262237177</v>
      </c>
      <c r="G262" s="2629">
        <v>13.966846210995545</v>
      </c>
      <c r="H262" s="2629">
        <v>12.389439889410342</v>
      </c>
      <c r="I262" s="2629">
        <v>13.138960714953981</v>
      </c>
      <c r="J262" s="2620"/>
      <c r="K262" s="2620"/>
      <c r="L262" s="2629">
        <v>13.761560411470274</v>
      </c>
      <c r="M262" s="2629">
        <v>13.524789571854299</v>
      </c>
      <c r="N262" s="2620"/>
      <c r="O262" s="2625"/>
    </row>
    <row r="263" spans="1:15">
      <c r="A263" s="2765">
        <f t="shared" si="1"/>
        <v>2015.02</v>
      </c>
      <c r="B263" s="2627">
        <v>12.760958489652678</v>
      </c>
      <c r="C263" s="2627">
        <v>12.36950202429149</v>
      </c>
      <c r="D263" s="2629">
        <v>10.37696501915816</v>
      </c>
      <c r="E263" s="2629">
        <v>11.631466968925071</v>
      </c>
      <c r="F263" s="2629">
        <v>12.163578558970714</v>
      </c>
      <c r="G263" s="2629">
        <v>14.215824665676081</v>
      </c>
      <c r="H263" s="2629">
        <v>12.592119484916637</v>
      </c>
      <c r="I263" s="2629">
        <v>13.284672149406139</v>
      </c>
      <c r="J263" s="2620"/>
      <c r="K263" s="2620"/>
      <c r="L263" s="2629">
        <v>14.002842568142027</v>
      </c>
      <c r="M263" s="2629">
        <v>13.817469373753834</v>
      </c>
      <c r="N263" s="2620"/>
      <c r="O263" s="2625"/>
    </row>
    <row r="264" spans="1:15">
      <c r="A264" s="2765">
        <f t="shared" si="1"/>
        <v>2015.03</v>
      </c>
      <c r="B264" s="2627">
        <v>12.973064755424684</v>
      </c>
      <c r="C264" s="2627">
        <v>12.544917556128077</v>
      </c>
      <c r="D264" s="2629">
        <v>10.553511591366446</v>
      </c>
      <c r="E264" s="2629">
        <v>11.869582404010609</v>
      </c>
      <c r="F264" s="2629">
        <v>12.302349275629053</v>
      </c>
      <c r="G264" s="2629">
        <v>14.325687221396734</v>
      </c>
      <c r="H264" s="2629">
        <v>12.972143726490938</v>
      </c>
      <c r="I264" s="2629">
        <v>13.435923942582711</v>
      </c>
      <c r="J264" s="2620"/>
      <c r="K264" s="2620"/>
      <c r="L264" s="2629">
        <v>15.134260248751465</v>
      </c>
      <c r="M264" s="2629">
        <v>14.033716870698711</v>
      </c>
      <c r="N264" s="2620"/>
      <c r="O264" s="2625"/>
    </row>
    <row r="265" spans="1:15">
      <c r="A265" s="2765">
        <f t="shared" si="1"/>
        <v>2015.04</v>
      </c>
      <c r="B265" s="2627">
        <v>13.280273015360764</v>
      </c>
      <c r="C265" s="2627">
        <v>12.776639308060355</v>
      </c>
      <c r="D265" s="2629">
        <v>11.049286875982045</v>
      </c>
      <c r="E265" s="2629">
        <v>12.834631744445391</v>
      </c>
      <c r="F265" s="2629">
        <v>12.455755966309955</v>
      </c>
      <c r="G265" s="2629">
        <v>15.025167161961368</v>
      </c>
      <c r="H265" s="2629">
        <v>13.076731594684892</v>
      </c>
      <c r="I265" s="2629">
        <v>13.606566991294745</v>
      </c>
      <c r="J265" s="2620"/>
      <c r="K265" s="2620"/>
      <c r="L265" s="2629">
        <v>15.811154515306274</v>
      </c>
      <c r="M265" s="2629">
        <v>14.158618442209978</v>
      </c>
      <c r="N265" s="2620"/>
      <c r="O265" s="2625"/>
    </row>
    <row r="266" spans="1:15">
      <c r="A266" s="2765">
        <f t="shared" si="1"/>
        <v>2015.05</v>
      </c>
      <c r="B266" s="2627">
        <v>13.574224633686097</v>
      </c>
      <c r="C266" s="2627">
        <v>13.022979020979015</v>
      </c>
      <c r="D266" s="2629">
        <v>11.1445588113681</v>
      </c>
      <c r="E266" s="2629">
        <v>12.989878812254462</v>
      </c>
      <c r="F266" s="2629">
        <v>12.875862628068601</v>
      </c>
      <c r="G266" s="2629">
        <v>15.350204309063896</v>
      </c>
      <c r="H266" s="2629">
        <v>13.259273153458187</v>
      </c>
      <c r="I266" s="2629">
        <v>14.007134927070064</v>
      </c>
      <c r="J266" s="2620"/>
      <c r="K266" s="2620"/>
      <c r="L266" s="2629">
        <v>16.294370942586731</v>
      </c>
      <c r="M266" s="2629">
        <v>14.326396672598248</v>
      </c>
      <c r="N266" s="2620"/>
      <c r="O266" s="2625"/>
    </row>
    <row r="267" spans="1:15">
      <c r="A267" s="2765">
        <f t="shared" si="1"/>
        <v>2015.06</v>
      </c>
      <c r="B267" s="2627">
        <v>13.757512113347774</v>
      </c>
      <c r="C267" s="2627">
        <v>13.072788369525206</v>
      </c>
      <c r="D267" s="2629">
        <v>11.87693359428841</v>
      </c>
      <c r="E267" s="2629">
        <v>13.286211897768403</v>
      </c>
      <c r="F267" s="2629">
        <v>13.084018703056113</v>
      </c>
      <c r="G267" s="2629">
        <v>15.449665676077268</v>
      </c>
      <c r="H267" s="2629">
        <v>13.522366859163471</v>
      </c>
      <c r="I267" s="2629">
        <v>14.18885869323093</v>
      </c>
      <c r="J267" s="2620"/>
      <c r="K267" s="2620"/>
      <c r="L267" s="2629">
        <v>16.536957327132388</v>
      </c>
      <c r="M267" s="2629">
        <v>14.374244538301568</v>
      </c>
      <c r="N267" s="2620"/>
      <c r="O267" s="2625"/>
    </row>
    <row r="268" spans="1:15">
      <c r="A268" s="2765">
        <f t="shared" si="1"/>
        <v>2015.07</v>
      </c>
      <c r="B268" s="2627">
        <v>14.038207090062357</v>
      </c>
      <c r="C268" s="2627">
        <v>13.372185866764807</v>
      </c>
      <c r="D268" s="2629">
        <v>11.978075364556069</v>
      </c>
      <c r="E268" s="2629">
        <v>13.429395848822043</v>
      </c>
      <c r="F268" s="2629">
        <v>13.513340607717854</v>
      </c>
      <c r="G268" s="2629">
        <v>15.515973254086186</v>
      </c>
      <c r="H268" s="2629">
        <v>13.66853002899974</v>
      </c>
      <c r="I268" s="2629">
        <v>14.43928290757456</v>
      </c>
      <c r="J268" s="2620"/>
      <c r="K268" s="2620"/>
      <c r="L268" s="2629">
        <v>16.794542332227909</v>
      </c>
      <c r="M268" s="2629">
        <v>14.589249233539867</v>
      </c>
      <c r="N268" s="2620"/>
      <c r="O268" s="2625"/>
    </row>
    <row r="269" spans="1:15">
      <c r="A269" s="2765">
        <f t="shared" si="1"/>
        <v>2015.08</v>
      </c>
      <c r="B269" s="2627">
        <v>14.295270662166473</v>
      </c>
      <c r="C269" s="2627">
        <v>13.725182554287811</v>
      </c>
      <c r="D269" s="2629">
        <v>12.105405628910898</v>
      </c>
      <c r="E269" s="2629">
        <v>13.397926848590473</v>
      </c>
      <c r="F269" s="2629">
        <v>13.653737543712035</v>
      </c>
      <c r="G269" s="2629">
        <v>15.917069093610703</v>
      </c>
      <c r="H269" s="2629">
        <v>14.115464521654644</v>
      </c>
      <c r="I269" s="2629">
        <v>14.583332234409394</v>
      </c>
      <c r="J269" s="2620"/>
      <c r="K269" s="2620"/>
      <c r="L269" s="2629">
        <v>17.978781241730346</v>
      </c>
      <c r="M269" s="2629">
        <v>14.74273524430247</v>
      </c>
      <c r="N269" s="2620"/>
      <c r="O269" s="2625"/>
    </row>
    <row r="270" spans="1:15">
      <c r="A270" s="2765">
        <f t="shared" si="1"/>
        <v>2015.09</v>
      </c>
      <c r="B270" s="2627">
        <v>14.532161083993358</v>
      </c>
      <c r="C270" s="2627">
        <v>13.970439455281557</v>
      </c>
      <c r="D270" s="2629">
        <v>12.564155801196366</v>
      </c>
      <c r="E270" s="2629">
        <v>13.85370286861103</v>
      </c>
      <c r="F270" s="2629">
        <v>13.916643003006159</v>
      </c>
      <c r="G270" s="2629">
        <v>16.084138187221402</v>
      </c>
      <c r="H270" s="2629">
        <v>14.310348748103001</v>
      </c>
      <c r="I270" s="2629">
        <v>14.769488287549787</v>
      </c>
      <c r="J270" s="2620"/>
      <c r="K270" s="2620"/>
      <c r="L270" s="2629">
        <v>18.09681386431842</v>
      </c>
      <c r="M270" s="2629">
        <v>14.944690521621682</v>
      </c>
      <c r="N270" s="2620"/>
      <c r="O270" s="2625"/>
    </row>
    <row r="271" spans="1:15">
      <c r="A271" s="2765">
        <f t="shared" si="1"/>
        <v>2015.1</v>
      </c>
      <c r="B271" s="2627">
        <v>14.779426268819964</v>
      </c>
      <c r="C271" s="2627">
        <v>14.059230033124766</v>
      </c>
      <c r="D271" s="2629">
        <v>12.742056950685022</v>
      </c>
      <c r="E271" s="2629">
        <v>14.317870622026673</v>
      </c>
      <c r="F271" s="2629">
        <v>14.239176504614411</v>
      </c>
      <c r="G271" s="2629">
        <v>16.466381872213972</v>
      </c>
      <c r="H271" s="2629">
        <v>14.877461847067726</v>
      </c>
      <c r="I271" s="2629">
        <v>14.905781112170438</v>
      </c>
      <c r="J271" s="2620"/>
      <c r="K271" s="2620"/>
      <c r="L271" s="2629">
        <v>18.186153473680662</v>
      </c>
      <c r="M271" s="2629">
        <v>15.095690928971125</v>
      </c>
      <c r="N271" s="2620"/>
      <c r="O271" s="2625"/>
    </row>
    <row r="272" spans="1:15">
      <c r="A272" s="2765">
        <f t="shared" si="1"/>
        <v>2015.11</v>
      </c>
      <c r="B272" s="2627">
        <v>15.06819050564544</v>
      </c>
      <c r="C272" s="2627">
        <v>14.326684578579313</v>
      </c>
      <c r="D272" s="2629">
        <v>12.92537640929516</v>
      </c>
      <c r="E272" s="2629">
        <v>14.715428991618825</v>
      </c>
      <c r="F272" s="2629">
        <v>14.433238678691309</v>
      </c>
      <c r="G272" s="2629">
        <v>17.088502971768207</v>
      </c>
      <c r="H272" s="2629">
        <v>15.267230299964444</v>
      </c>
      <c r="I272" s="2629">
        <v>15.110220349101411</v>
      </c>
      <c r="J272" s="2620"/>
      <c r="K272" s="2620"/>
      <c r="L272" s="2629">
        <v>18.200499980293579</v>
      </c>
      <c r="M272" s="2629">
        <v>15.220592500482391</v>
      </c>
      <c r="N272" s="2620"/>
      <c r="O272" s="2625"/>
    </row>
    <row r="273" spans="1:15">
      <c r="A273" s="2765">
        <f t="shared" si="1"/>
        <v>2015.12</v>
      </c>
      <c r="B273" s="2627">
        <v>15.658399245184933</v>
      </c>
      <c r="C273" s="2627">
        <v>15.030512329775485</v>
      </c>
      <c r="D273" s="2629">
        <v>13.09740772390221</v>
      </c>
      <c r="E273" s="2629">
        <v>15.251450962229884</v>
      </c>
      <c r="F273" s="2629">
        <v>14.563336225558507</v>
      </c>
      <c r="G273" s="2629">
        <v>17.9238484398217</v>
      </c>
      <c r="H273" s="2629">
        <v>16.292321331082814</v>
      </c>
      <c r="I273" s="2629">
        <v>15.56674590799334</v>
      </c>
      <c r="J273" s="2620"/>
      <c r="K273" s="2620"/>
      <c r="L273" s="2629">
        <v>18.200499980293579</v>
      </c>
      <c r="M273" s="2629">
        <v>15.97062333040328</v>
      </c>
      <c r="N273" s="2620"/>
      <c r="O273" s="2625"/>
    </row>
    <row r="274" spans="1:15">
      <c r="A274" s="2765">
        <f t="shared" si="1"/>
        <v>2016.01</v>
      </c>
      <c r="B274" s="2627">
        <v>16.306245556945079</v>
      </c>
      <c r="C274" s="2627">
        <v>15.734881486934116</v>
      </c>
      <c r="D274" s="2629">
        <v>13.247765802023334</v>
      </c>
      <c r="E274" s="2629">
        <v>15.612819981555731</v>
      </c>
      <c r="F274" s="2629">
        <v>14.859850217793317</v>
      </c>
      <c r="G274" s="2629">
        <v>18.699387072808324</v>
      </c>
      <c r="H274" s="2629">
        <v>16.567757704463162</v>
      </c>
      <c r="I274" s="2629">
        <v>16.227156667943795</v>
      </c>
      <c r="J274" s="2620"/>
      <c r="K274" s="2620"/>
      <c r="L274" s="2629">
        <v>18.233757791078062</v>
      </c>
      <c r="M274" s="2629">
        <v>17.563273717385247</v>
      </c>
      <c r="N274" s="2620"/>
      <c r="O274" s="2625"/>
    </row>
    <row r="275" spans="1:15">
      <c r="A275" s="2765">
        <f t="shared" si="1"/>
        <v>2016.02</v>
      </c>
      <c r="B275" s="2627">
        <v>16.953515492983016</v>
      </c>
      <c r="C275" s="2627">
        <v>16.325555391976444</v>
      </c>
      <c r="D275" s="2629">
        <v>13.74715329271992</v>
      </c>
      <c r="E275" s="2629">
        <v>15.697261798843774</v>
      </c>
      <c r="F275" s="2629">
        <v>16.638392098090254</v>
      </c>
      <c r="G275" s="2629">
        <v>19.543833580980689</v>
      </c>
      <c r="H275" s="2629">
        <v>17.1296738907226</v>
      </c>
      <c r="I275" s="2629">
        <v>16.540186935873336</v>
      </c>
      <c r="J275" s="2620"/>
      <c r="K275" s="2620"/>
      <c r="L275" s="2629">
        <v>18.304838210205684</v>
      </c>
      <c r="M275" s="2629">
        <v>18.089600240121779</v>
      </c>
      <c r="N275" s="2620"/>
      <c r="O275" s="2625"/>
    </row>
    <row r="276" spans="1:15">
      <c r="A276" s="2765">
        <f t="shared" si="1"/>
        <v>2016.03</v>
      </c>
      <c r="B276" s="2627">
        <v>17.516058197856594</v>
      </c>
      <c r="C276" s="2627">
        <v>16.905942583732056</v>
      </c>
      <c r="D276" s="2629">
        <v>14.139529178267237</v>
      </c>
      <c r="E276" s="2629">
        <v>16.15146436885275</v>
      </c>
      <c r="F276" s="2629">
        <v>17.375069457225738</v>
      </c>
      <c r="G276" s="2629">
        <v>19.991084695393763</v>
      </c>
      <c r="H276" s="2629">
        <v>17.536981923999669</v>
      </c>
      <c r="I276" s="2629">
        <v>17.245474601491566</v>
      </c>
      <c r="J276" s="2620"/>
      <c r="K276" s="2620"/>
      <c r="L276" s="2629">
        <v>20.139886828784906</v>
      </c>
      <c r="M276" s="2629">
        <v>18.538873057050363</v>
      </c>
      <c r="N276" s="2620"/>
      <c r="O276" s="2625"/>
    </row>
    <row r="277" spans="1:15">
      <c r="A277" s="2765">
        <f t="shared" si="1"/>
        <v>2016.04</v>
      </c>
      <c r="B277" s="2627">
        <v>18.662469509325394</v>
      </c>
      <c r="C277" s="2627">
        <v>17.205340080971659</v>
      </c>
      <c r="D277" s="2629">
        <v>14.399608016098371</v>
      </c>
      <c r="E277" s="2629">
        <v>17.488372395357239</v>
      </c>
      <c r="F277" s="2629">
        <v>21.130551976792081</v>
      </c>
      <c r="G277" s="2629">
        <v>20.548198365527494</v>
      </c>
      <c r="H277" s="2629">
        <v>17.945589185453063</v>
      </c>
      <c r="I277" s="2629">
        <v>19.576857552726075</v>
      </c>
      <c r="J277" s="2620"/>
      <c r="K277" s="2620"/>
      <c r="L277" s="2629">
        <v>21.418682259145196</v>
      </c>
      <c r="M277" s="2629">
        <v>18.757606157408404</v>
      </c>
      <c r="N277" s="2620"/>
      <c r="O277" s="2625"/>
    </row>
    <row r="278" spans="1:15">
      <c r="A278" s="2765">
        <f t="shared" si="1"/>
        <v>2016.05</v>
      </c>
      <c r="B278" s="2627">
        <v>19.601961936522045</v>
      </c>
      <c r="C278" s="2627">
        <v>17.866938167096063</v>
      </c>
      <c r="D278" s="2629">
        <v>19.329366265126684</v>
      </c>
      <c r="E278" s="2629">
        <v>18.219502167404023</v>
      </c>
      <c r="F278" s="2629">
        <v>22.984442019649595</v>
      </c>
      <c r="G278" s="2629">
        <v>21.195022288261523</v>
      </c>
      <c r="H278" s="2629">
        <v>18.360042973699908</v>
      </c>
      <c r="I278" s="2629">
        <v>20.590743199294312</v>
      </c>
      <c r="J278" s="2620"/>
      <c r="K278" s="2620"/>
      <c r="L278" s="2629">
        <v>23.022230430106926</v>
      </c>
      <c r="M278" s="2629">
        <v>19.25845524516005</v>
      </c>
      <c r="N278" s="2620"/>
      <c r="O278" s="2625"/>
    </row>
    <row r="279" spans="1:15">
      <c r="A279" s="2765">
        <f t="shared" si="1"/>
        <v>2016.06</v>
      </c>
      <c r="B279" s="2627">
        <v>20.233669728060409</v>
      </c>
      <c r="C279" s="2627">
        <v>18.395891792418105</v>
      </c>
      <c r="D279" s="2629">
        <v>19.933507732171922</v>
      </c>
      <c r="E279" s="2629">
        <v>18.498002819453408</v>
      </c>
      <c r="F279" s="2629">
        <v>23.956921182481874</v>
      </c>
      <c r="G279" s="2629">
        <v>21.729383358098072</v>
      </c>
      <c r="H279" s="2629">
        <v>19.966538613722552</v>
      </c>
      <c r="I279" s="2629">
        <v>20.720387593445661</v>
      </c>
      <c r="J279" s="2620"/>
      <c r="K279" s="2620"/>
      <c r="L279" s="2629">
        <v>23.127220773955983</v>
      </c>
      <c r="M279" s="2629">
        <v>19.833872435306478</v>
      </c>
      <c r="N279" s="2620"/>
      <c r="O279" s="2625"/>
    </row>
    <row r="280" spans="1:15">
      <c r="A280" s="2765">
        <f t="shared" si="1"/>
        <v>2016.07</v>
      </c>
      <c r="B280" s="2627">
        <v>20.669986149770754</v>
      </c>
      <c r="C280" s="2627">
        <v>18.949208686050788</v>
      </c>
      <c r="D280" s="2629">
        <v>20.267636794663304</v>
      </c>
      <c r="E280" s="2629">
        <v>18.319154001470658</v>
      </c>
      <c r="F280" s="2629">
        <v>24.238799200694132</v>
      </c>
      <c r="G280" s="2629">
        <v>22.036218424962858</v>
      </c>
      <c r="H280" s="2629">
        <v>22.020618360488257</v>
      </c>
      <c r="I280" s="2629">
        <v>20.853356202831659</v>
      </c>
      <c r="J280" s="2620"/>
      <c r="K280" s="2620"/>
      <c r="L280" s="2629">
        <v>24.216251048663629</v>
      </c>
      <c r="M280" s="2629">
        <v>20.774673327187362</v>
      </c>
      <c r="N280" s="2620"/>
      <c r="O280" s="2625"/>
    </row>
    <row r="281" spans="1:15">
      <c r="A281" s="2765">
        <f t="shared" si="1"/>
        <v>2016.08</v>
      </c>
      <c r="B281" s="2627">
        <v>20.513211953330575</v>
      </c>
      <c r="C281" s="2627">
        <v>19.125165623849831</v>
      </c>
      <c r="D281" s="2629">
        <v>20.617117732998889</v>
      </c>
      <c r="E281" s="2629">
        <v>18.468631752570612</v>
      </c>
      <c r="F281" s="2629">
        <v>21.93824091359258</v>
      </c>
      <c r="G281" s="2629">
        <v>22.223439821693912</v>
      </c>
      <c r="H281" s="2629">
        <v>20.926668236024799</v>
      </c>
      <c r="I281" s="2629">
        <v>21.006270103625557</v>
      </c>
      <c r="J281" s="2620"/>
      <c r="K281" s="2620"/>
      <c r="L281" s="2629">
        <v>23.710210633589895</v>
      </c>
      <c r="M281" s="2629">
        <v>20.871611860300582</v>
      </c>
      <c r="N281" s="2620"/>
      <c r="O281" s="2625"/>
    </row>
    <row r="282" spans="1:15">
      <c r="A282" s="2765">
        <f t="shared" si="1"/>
        <v>2016.09</v>
      </c>
      <c r="B282" s="2627">
        <v>20.788719548545298</v>
      </c>
      <c r="C282" s="2627">
        <v>19.505232609495764</v>
      </c>
      <c r="D282" s="2629">
        <v>21.425800369380067</v>
      </c>
      <c r="E282" s="2629">
        <v>18.978954039659222</v>
      </c>
      <c r="F282" s="2629">
        <v>22.113872601863292</v>
      </c>
      <c r="G282" s="2629">
        <v>22.513372956909365</v>
      </c>
      <c r="H282" s="2629">
        <v>21.161828535939151</v>
      </c>
      <c r="I282" s="2629">
        <v>21.119293421603654</v>
      </c>
      <c r="J282" s="2620"/>
      <c r="K282" s="2620"/>
      <c r="L282" s="2629">
        <v>23.899323675305599</v>
      </c>
      <c r="M282" s="2629">
        <v>21.065488926527028</v>
      </c>
      <c r="N282" s="2620"/>
      <c r="O282" s="2625"/>
    </row>
    <row r="283" spans="1:15">
      <c r="A283" s="2765">
        <f t="shared" si="1"/>
        <v>2016.1</v>
      </c>
      <c r="B283" s="2627">
        <v>21.391608553973334</v>
      </c>
      <c r="C283" s="2627">
        <v>19.865808980493192</v>
      </c>
      <c r="D283" s="2629">
        <v>21.823143038288741</v>
      </c>
      <c r="E283" s="2629">
        <v>19.863757429503501</v>
      </c>
      <c r="F283" s="2629">
        <v>24.007333981892913</v>
      </c>
      <c r="G283" s="2629">
        <v>22.721396731054977</v>
      </c>
      <c r="H283" s="2629">
        <v>22.175226513470619</v>
      </c>
      <c r="I283" s="2629">
        <v>21.319854407427535</v>
      </c>
      <c r="J283" s="2620"/>
      <c r="K283" s="2620"/>
      <c r="L283" s="2629">
        <v>24.032354918443534</v>
      </c>
      <c r="M283" s="2629">
        <v>21.355061724160112</v>
      </c>
      <c r="N283" s="2620"/>
      <c r="O283" s="2625"/>
    </row>
    <row r="284" spans="1:15">
      <c r="A284" s="2765">
        <f t="shared" si="1"/>
        <v>2016.11</v>
      </c>
      <c r="B284" s="2627">
        <v>21.815244709795138</v>
      </c>
      <c r="C284" s="2627">
        <v>20.067211998527785</v>
      </c>
      <c r="D284" s="2629">
        <v>22.746061691981165</v>
      </c>
      <c r="E284" s="2629">
        <v>20.420234250265079</v>
      </c>
      <c r="F284" s="2629">
        <v>24.731543659453628</v>
      </c>
      <c r="G284" s="2629">
        <v>23.087388558692421</v>
      </c>
      <c r="H284" s="2629">
        <v>22.302550874750214</v>
      </c>
      <c r="I284" s="2629">
        <v>21.893835571277098</v>
      </c>
      <c r="J284" s="2620"/>
      <c r="K284" s="2620"/>
      <c r="L284" s="2629">
        <v>24.103435337571163</v>
      </c>
      <c r="M284" s="2629">
        <v>21.710503012241926</v>
      </c>
      <c r="N284" s="2620"/>
      <c r="O284" s="2625"/>
    </row>
    <row r="285" spans="1:15">
      <c r="A285" s="2765">
        <f t="shared" si="1"/>
        <v>2016.12</v>
      </c>
      <c r="B285" s="2627">
        <v>22.08614129923221</v>
      </c>
      <c r="C285" s="2627">
        <v>20.13218071402282</v>
      </c>
      <c r="D285" s="2629">
        <v>23.093285001516133</v>
      </c>
      <c r="E285" s="2629">
        <v>20.649433468618341</v>
      </c>
      <c r="F285" s="2629">
        <v>24.938073515105302</v>
      </c>
      <c r="G285" s="2629">
        <v>23.307763744427934</v>
      </c>
      <c r="H285" s="2629">
        <v>22.445465974145677</v>
      </c>
      <c r="I285" s="2629">
        <v>22.116003956126203</v>
      </c>
      <c r="J285" s="2620"/>
      <c r="K285" s="2620"/>
      <c r="L285" s="2629">
        <v>24.109304363003716</v>
      </c>
      <c r="M285" s="2629">
        <v>22.351167291983796</v>
      </c>
      <c r="N285" s="2620"/>
      <c r="O285" s="2625"/>
    </row>
    <row r="286" spans="1:15">
      <c r="A286" s="2765">
        <f t="shared" si="1"/>
        <v>2017.01</v>
      </c>
      <c r="B286" s="2627">
        <v>22.50343732210974</v>
      </c>
      <c r="C286" s="2627">
        <v>20.46622819285977</v>
      </c>
      <c r="D286" s="2629">
        <v>23.342075695344178</v>
      </c>
      <c r="E286" s="2629">
        <v>20.383520416661582</v>
      </c>
      <c r="F286" s="2629">
        <v>25.545737473597491</v>
      </c>
      <c r="G286" s="2629">
        <v>23.924684249628527</v>
      </c>
      <c r="H286" s="2629">
        <v>22.671531676825772</v>
      </c>
      <c r="I286" s="2629">
        <v>22.436790726269923</v>
      </c>
      <c r="J286" s="2620"/>
      <c r="K286" s="2620"/>
      <c r="L286" s="2629">
        <v>24.109304363003716</v>
      </c>
      <c r="M286" s="2629">
        <v>23.122325750916545</v>
      </c>
      <c r="N286" s="2620"/>
      <c r="O286" s="2625"/>
    </row>
    <row r="287" spans="1:15">
      <c r="A287" s="2765">
        <f t="shared" si="1"/>
        <v>2017.02</v>
      </c>
      <c r="B287" s="2627">
        <v>22.988169304485435</v>
      </c>
      <c r="C287" s="2627">
        <v>20.911263894000733</v>
      </c>
      <c r="D287" s="2629">
        <v>24.230678391267215</v>
      </c>
      <c r="E287" s="2629">
        <v>20.207294015364795</v>
      </c>
      <c r="F287" s="2629">
        <v>26.861348916291995</v>
      </c>
      <c r="G287" s="2629">
        <v>24.122306835066865</v>
      </c>
      <c r="H287" s="2629">
        <v>23.561502977606608</v>
      </c>
      <c r="I287" s="2629">
        <v>22.71990305708761</v>
      </c>
      <c r="J287" s="2620"/>
      <c r="K287" s="2620"/>
      <c r="L287" s="2629">
        <v>24.109304363003716</v>
      </c>
      <c r="M287" s="2629">
        <v>23.314338614583118</v>
      </c>
      <c r="N287" s="2620"/>
      <c r="O287" s="2625"/>
    </row>
    <row r="288" spans="1:15">
      <c r="A288" s="2765">
        <f t="shared" si="1"/>
        <v>2017.03</v>
      </c>
      <c r="B288" s="2627">
        <v>23.652154136467363</v>
      </c>
      <c r="C288" s="2627">
        <v>21.414230033124763</v>
      </c>
      <c r="D288" s="2629">
        <v>24.780185241337506</v>
      </c>
      <c r="E288" s="2629">
        <v>20.63632138518852</v>
      </c>
      <c r="F288" s="2629">
        <v>28.813354192411854</v>
      </c>
      <c r="G288" s="2629">
        <v>24.656667904903422</v>
      </c>
      <c r="H288" s="2629">
        <v>23.751190291349676</v>
      </c>
      <c r="I288" s="2629">
        <v>22.889992069927203</v>
      </c>
      <c r="J288" s="2620"/>
      <c r="K288" s="2620"/>
      <c r="L288" s="2629">
        <v>27.727884599143056</v>
      </c>
      <c r="M288" s="2629">
        <v>23.585269386617508</v>
      </c>
      <c r="N288" s="2620"/>
      <c r="O288" s="2625"/>
    </row>
    <row r="289" spans="1:15">
      <c r="A289" s="2765">
        <f t="shared" si="1"/>
        <v>2017.04</v>
      </c>
      <c r="B289" s="2627">
        <v>24.152448263342635</v>
      </c>
      <c r="C289" s="2627">
        <v>21.741239234449758</v>
      </c>
      <c r="D289" s="2629">
        <v>25.410063676709782</v>
      </c>
      <c r="E289" s="2629">
        <v>21.559936541985067</v>
      </c>
      <c r="F289" s="2629">
        <v>29.982063821768818</v>
      </c>
      <c r="G289" s="2629">
        <v>25.177377414561668</v>
      </c>
      <c r="H289" s="2629">
        <v>24.032473191523476</v>
      </c>
      <c r="I289" s="2629">
        <v>23.002461352032864</v>
      </c>
      <c r="J289" s="2620"/>
      <c r="K289" s="2620"/>
      <c r="L289" s="2629">
        <v>28.016118959275257</v>
      </c>
      <c r="M289" s="2629">
        <v>26.696623459039948</v>
      </c>
      <c r="N289" s="2620"/>
      <c r="O289" s="2625"/>
    </row>
    <row r="290" spans="1:15">
      <c r="A290" s="2765">
        <f t="shared" si="1"/>
        <v>2017.05</v>
      </c>
      <c r="B290" s="2627">
        <v>24.589341060775183</v>
      </c>
      <c r="C290" s="2627">
        <v>22.081783584836213</v>
      </c>
      <c r="D290" s="2629">
        <v>26.091416048736139</v>
      </c>
      <c r="E290" s="2629">
        <v>22.274282847241683</v>
      </c>
      <c r="F290" s="2629">
        <v>30.627672898097266</v>
      </c>
      <c r="G290" s="2629">
        <v>25.736441307578009</v>
      </c>
      <c r="H290" s="2629">
        <v>24.409898976745129</v>
      </c>
      <c r="I290" s="2629">
        <v>23.159807539806295</v>
      </c>
      <c r="J290" s="2620"/>
      <c r="K290" s="2620"/>
      <c r="L290" s="2629">
        <v>28.267182825001274</v>
      </c>
      <c r="M290" s="2629">
        <v>24.222205261239633</v>
      </c>
      <c r="N290" s="2620"/>
      <c r="O290" s="2625"/>
    </row>
    <row r="291" spans="1:15">
      <c r="A291" s="2765">
        <f t="shared" si="1"/>
        <v>2017.06</v>
      </c>
      <c r="B291" s="2627">
        <v>24.965138031653844</v>
      </c>
      <c r="C291" s="2627">
        <v>22.331371733529629</v>
      </c>
      <c r="D291" s="2629">
        <v>26.395744411059376</v>
      </c>
      <c r="E291" s="2629">
        <v>22.48040479875846</v>
      </c>
      <c r="F291" s="2629">
        <v>31.519925240361445</v>
      </c>
      <c r="G291" s="2629">
        <v>25.868406389301636</v>
      </c>
      <c r="H291" s="2629">
        <v>24.731457950384922</v>
      </c>
      <c r="I291" s="2629">
        <v>23.297762472044269</v>
      </c>
      <c r="J291" s="2620"/>
      <c r="K291" s="2620"/>
      <c r="L291" s="2629">
        <v>29.090150613433035</v>
      </c>
      <c r="M291" s="2629">
        <v>24.711247732778773</v>
      </c>
      <c r="N291" s="2620"/>
      <c r="O291" s="2625"/>
    </row>
    <row r="292" spans="1:15">
      <c r="A292" s="2765">
        <f t="shared" si="1"/>
        <v>2017.07</v>
      </c>
      <c r="B292" s="2627">
        <v>25.405489083419635</v>
      </c>
      <c r="C292" s="2627">
        <v>22.60803018034597</v>
      </c>
      <c r="D292" s="2629">
        <v>27.105542905973504</v>
      </c>
      <c r="E292" s="2629">
        <v>22.185120679918906</v>
      </c>
      <c r="F292" s="2629">
        <v>31.722118511117543</v>
      </c>
      <c r="G292" s="2629">
        <v>26.664097325408619</v>
      </c>
      <c r="H292" s="2629">
        <v>25.567511281848383</v>
      </c>
      <c r="I292" s="2629">
        <v>24.011360675749124</v>
      </c>
      <c r="J292" s="2620"/>
      <c r="K292" s="2620"/>
      <c r="L292" s="2629">
        <v>29.093411183117791</v>
      </c>
      <c r="M292" s="2629">
        <v>25.517204639495748</v>
      </c>
      <c r="N292" s="2620"/>
      <c r="O292" s="2625"/>
    </row>
    <row r="293" spans="1:15">
      <c r="A293" s="2765">
        <f t="shared" si="1"/>
        <v>2017.08</v>
      </c>
      <c r="B293" s="2627">
        <v>25.818174100519514</v>
      </c>
      <c r="C293" s="2627">
        <v>23.12074162679426</v>
      </c>
      <c r="D293" s="2629">
        <v>27.439671968464893</v>
      </c>
      <c r="E293" s="2629">
        <v>22.008894278622119</v>
      </c>
      <c r="F293" s="2629">
        <v>32.476684282947268</v>
      </c>
      <c r="G293" s="2629">
        <v>26.891623328380383</v>
      </c>
      <c r="H293" s="2629">
        <v>26.357442013052403</v>
      </c>
      <c r="I293" s="2629">
        <v>24.45403533783001</v>
      </c>
      <c r="J293" s="2620"/>
      <c r="K293" s="2620"/>
      <c r="L293" s="2629">
        <v>29.707702511725337</v>
      </c>
      <c r="M293" s="2629">
        <v>25.705489098042584</v>
      </c>
      <c r="N293" s="2620"/>
      <c r="O293" s="2625"/>
    </row>
    <row r="294" spans="1:15">
      <c r="A294" s="2765">
        <f t="shared" si="1"/>
        <v>2017.09</v>
      </c>
      <c r="B294" s="2627">
        <v>26.227400863286153</v>
      </c>
      <c r="C294" s="2627">
        <v>23.523547662863454</v>
      </c>
      <c r="D294" s="2629">
        <v>27.655501281803922</v>
      </c>
      <c r="E294" s="2629">
        <v>22.779360300958363</v>
      </c>
      <c r="F294" s="2629">
        <v>33.084348241439457</v>
      </c>
      <c r="G294" s="2629">
        <v>27.185456909361065</v>
      </c>
      <c r="H294" s="2629">
        <v>27.077864036823172</v>
      </c>
      <c r="I294" s="2629">
        <v>24.503344530477317</v>
      </c>
      <c r="J294" s="2620"/>
      <c r="K294" s="2620"/>
      <c r="L294" s="2629">
        <v>29.752046259437986</v>
      </c>
      <c r="M294" s="2629">
        <v>25.957156443624989</v>
      </c>
      <c r="N294" s="2620"/>
      <c r="O294" s="2625"/>
    </row>
    <row r="295" spans="1:15">
      <c r="A295" s="2765">
        <f t="shared" si="1"/>
        <v>2017.1</v>
      </c>
      <c r="B295" s="2627">
        <v>26.629711117386311</v>
      </c>
      <c r="C295" s="2627">
        <v>23.886289657710709</v>
      </c>
      <c r="D295" s="2629">
        <v>28.454250351462381</v>
      </c>
      <c r="E295" s="2629">
        <v>23.469580372704112</v>
      </c>
      <c r="F295" s="2629">
        <v>33.351048212517199</v>
      </c>
      <c r="G295" s="2629">
        <v>27.427284546805346</v>
      </c>
      <c r="H295" s="2629">
        <v>27.270799421007048</v>
      </c>
      <c r="I295" s="2629">
        <v>24.762633318780018</v>
      </c>
      <c r="J295" s="2620"/>
      <c r="K295" s="2620"/>
      <c r="L295" s="2629">
        <v>30.656528289988586</v>
      </c>
      <c r="M295" s="2629">
        <v>26.247350642111364</v>
      </c>
      <c r="N295" s="2620"/>
      <c r="O295" s="2625"/>
    </row>
    <row r="296" spans="1:15">
      <c r="A296" s="2765">
        <f t="shared" si="1"/>
        <v>2017.11</v>
      </c>
      <c r="B296" s="2627">
        <v>26.966314539154926</v>
      </c>
      <c r="C296" s="2627">
        <v>24.234413691571586</v>
      </c>
      <c r="D296" s="2629">
        <v>28.696719684648698</v>
      </c>
      <c r="E296" s="2629">
        <v>23.792662108414884</v>
      </c>
      <c r="F296" s="2629">
        <v>33.630215865169717</v>
      </c>
      <c r="G296" s="2629">
        <v>27.716567607726592</v>
      </c>
      <c r="H296" s="2629">
        <v>27.479325543306793</v>
      </c>
      <c r="I296" s="2629">
        <v>25.211956411330206</v>
      </c>
      <c r="J296" s="2620"/>
      <c r="K296" s="2620"/>
      <c r="L296" s="2629">
        <v>30.645442353060425</v>
      </c>
      <c r="M296" s="2629">
        <v>26.709051476105749</v>
      </c>
      <c r="N296" s="2620"/>
      <c r="O296" s="2625"/>
    </row>
    <row r="297" spans="1:15">
      <c r="A297" s="2765">
        <f t="shared" si="1"/>
        <v>2017.12</v>
      </c>
      <c r="B297" s="2627">
        <v>27.856238654241817</v>
      </c>
      <c r="C297" s="2627">
        <v>24.347026131762973</v>
      </c>
      <c r="D297" s="2629">
        <v>28.965377511922178</v>
      </c>
      <c r="E297" s="2629">
        <v>23.958923326305005</v>
      </c>
      <c r="F297" s="2629">
        <v>37.578134339477117</v>
      </c>
      <c r="G297" s="2629">
        <v>28.250928677563145</v>
      </c>
      <c r="H297" s="2629">
        <v>28.445301692402495</v>
      </c>
      <c r="I297" s="2629">
        <v>25.756019638067915</v>
      </c>
      <c r="J297" s="2620"/>
      <c r="K297" s="2620"/>
      <c r="L297" s="2629">
        <v>30.663701543295044</v>
      </c>
      <c r="M297" s="2629">
        <v>27.418069849709507</v>
      </c>
      <c r="N297" s="2620"/>
      <c r="O297" s="2625"/>
    </row>
    <row r="298" spans="1:15">
      <c r="A298" s="2765">
        <f t="shared" si="1"/>
        <v>2018.01</v>
      </c>
      <c r="B298" s="2627">
        <v>28.306388093285118</v>
      </c>
      <c r="C298" s="2627">
        <v>24.787730585204265</v>
      </c>
      <c r="D298" s="2629">
        <v>29.610607823138647</v>
      </c>
      <c r="E298" s="2629">
        <v>23.355767488533267</v>
      </c>
      <c r="F298" s="2629">
        <v>38.427020832785558</v>
      </c>
      <c r="G298" s="2629">
        <v>28.527860326894498</v>
      </c>
      <c r="H298" s="2629">
        <v>28.628492865263951</v>
      </c>
      <c r="I298" s="2629">
        <v>26.121129278006972</v>
      </c>
      <c r="J298" s="2620"/>
      <c r="K298" s="2620"/>
      <c r="L298" s="2629">
        <v>30.663701543295044</v>
      </c>
      <c r="M298" s="2629">
        <v>28.379376969748954</v>
      </c>
      <c r="N298" s="2620"/>
      <c r="O298" s="2625"/>
    </row>
    <row r="299" spans="1:15">
      <c r="A299" s="2765">
        <f t="shared" si="1"/>
        <v>2018.02</v>
      </c>
      <c r="B299" s="2627">
        <v>29.040114387654036</v>
      </c>
      <c r="C299" s="2627">
        <v>25.278244387191751</v>
      </c>
      <c r="D299" s="2629">
        <v>30.185400115775856</v>
      </c>
      <c r="E299" s="2629">
        <v>22.978663969091631</v>
      </c>
      <c r="F299" s="2629">
        <v>39.906880428399894</v>
      </c>
      <c r="G299" s="2629">
        <v>29.454216196136695</v>
      </c>
      <c r="H299" s="2629">
        <v>29.36580485532691</v>
      </c>
      <c r="I299" s="2629">
        <v>27.52505617877414</v>
      </c>
      <c r="J299" s="2620"/>
      <c r="K299" s="2620"/>
      <c r="L299" s="2629">
        <v>31.266906934974426</v>
      </c>
      <c r="M299" s="2629">
        <v>28.872769247261122</v>
      </c>
      <c r="N299" s="2620"/>
      <c r="O299" s="2625"/>
    </row>
    <row r="300" spans="1:15">
      <c r="A300" s="2765">
        <f t="shared" si="1"/>
        <v>2018.03</v>
      </c>
      <c r="B300" s="2627">
        <v>29.659141913303856</v>
      </c>
      <c r="C300" s="2627">
        <v>25.877580787633416</v>
      </c>
      <c r="D300" s="2629">
        <v>30.49740441602119</v>
      </c>
      <c r="E300" s="2629">
        <v>23.991965776548152</v>
      </c>
      <c r="F300" s="2629">
        <v>40.660904127117675</v>
      </c>
      <c r="G300" s="2629">
        <v>29.931370728083206</v>
      </c>
      <c r="H300" s="2629">
        <v>29.61590627926897</v>
      </c>
      <c r="I300" s="2629">
        <v>28.137819853694616</v>
      </c>
      <c r="J300" s="2620"/>
      <c r="K300" s="2620"/>
      <c r="L300" s="2629">
        <v>34.627250052081294</v>
      </c>
      <c r="M300" s="2629">
        <v>29.108901571511279</v>
      </c>
      <c r="N300" s="2620"/>
      <c r="O300" s="2625"/>
    </row>
    <row r="301" spans="1:15">
      <c r="A301" s="2765">
        <f t="shared" si="1"/>
        <v>2018.04</v>
      </c>
      <c r="B301" s="2627">
        <v>30.559440791390461</v>
      </c>
      <c r="C301" s="2627">
        <v>26.271724328303272</v>
      </c>
      <c r="D301" s="2629">
        <v>30.844176199796035</v>
      </c>
      <c r="E301" s="2629">
        <v>25.269082702612661</v>
      </c>
      <c r="F301" s="2629">
        <v>43.290500793170843</v>
      </c>
      <c r="G301" s="2629">
        <v>30.277860326894494</v>
      </c>
      <c r="H301" s="2629">
        <v>29.886795354032191</v>
      </c>
      <c r="I301" s="2629">
        <v>29.657540251802089</v>
      </c>
      <c r="J301" s="2620"/>
      <c r="K301" s="2620"/>
      <c r="L301" s="2629">
        <v>35.070035415270809</v>
      </c>
      <c r="M301" s="2629">
        <v>29.558795789293157</v>
      </c>
      <c r="N301" s="2620"/>
      <c r="O301" s="2625"/>
    </row>
    <row r="302" spans="1:15">
      <c r="A302" s="2765">
        <f t="shared" si="1"/>
        <v>2018.05</v>
      </c>
      <c r="B302" s="2627">
        <v>31.270112056871113</v>
      </c>
      <c r="C302" s="2627">
        <v>27.11415200588884</v>
      </c>
      <c r="D302" s="2629">
        <v>31.29615348567965</v>
      </c>
      <c r="E302" s="2629">
        <v>26.003883858019794</v>
      </c>
      <c r="F302" s="2629">
        <v>44.257559224883657</v>
      </c>
      <c r="G302" s="2629">
        <v>31.293276374442783</v>
      </c>
      <c r="H302" s="2629">
        <v>30.169377482382313</v>
      </c>
      <c r="I302" s="2629">
        <v>30.030406393955328</v>
      </c>
      <c r="J302" s="2620"/>
      <c r="K302" s="2620"/>
      <c r="L302" s="2629">
        <v>35.178286328804631</v>
      </c>
      <c r="M302" s="2629">
        <v>30.149126599918546</v>
      </c>
      <c r="N302" s="2620"/>
      <c r="O302" s="2625"/>
    </row>
    <row r="303" spans="1:15">
      <c r="A303" s="2765">
        <f t="shared" si="1"/>
        <v>2018.06</v>
      </c>
      <c r="B303" s="2627">
        <v>32.413641489728882</v>
      </c>
      <c r="C303" s="2627">
        <v>28.337188075082803</v>
      </c>
      <c r="D303" s="2629">
        <v>31.579260137277082</v>
      </c>
      <c r="E303" s="2629">
        <v>26.778545747053581</v>
      </c>
      <c r="F303" s="2629">
        <v>45.158484736938973</v>
      </c>
      <c r="G303" s="2629">
        <v>32.328844725111431</v>
      </c>
      <c r="H303" s="2629">
        <v>31.814849967694624</v>
      </c>
      <c r="I303" s="2629">
        <v>31.823820513048986</v>
      </c>
      <c r="J303" s="2620"/>
      <c r="K303" s="2620"/>
      <c r="L303" s="2629">
        <v>35.497822157910463</v>
      </c>
      <c r="M303" s="2629">
        <v>30.897914628132852</v>
      </c>
      <c r="N303" s="2620"/>
      <c r="O303" s="2625"/>
    </row>
    <row r="304" spans="1:15">
      <c r="A304" s="2765">
        <f t="shared" si="1"/>
        <v>2018.07</v>
      </c>
      <c r="B304" s="2627">
        <v>33.285697957427367</v>
      </c>
      <c r="C304" s="2627">
        <v>29.429203901361792</v>
      </c>
      <c r="D304" s="2629">
        <v>32.413679741985298</v>
      </c>
      <c r="E304" s="2629">
        <v>26.679942879661333</v>
      </c>
      <c r="F304" s="2629">
        <v>45.652313341922358</v>
      </c>
      <c r="G304" s="2629">
        <v>33.163540118870714</v>
      </c>
      <c r="H304" s="2629">
        <v>32.209815333296632</v>
      </c>
      <c r="I304" s="2629">
        <v>33.025524320374949</v>
      </c>
      <c r="J304" s="2620"/>
      <c r="K304" s="2620"/>
      <c r="L304" s="2629">
        <v>36.683365295286798</v>
      </c>
      <c r="M304" s="2629">
        <v>32.264375104517306</v>
      </c>
      <c r="N304" s="2620"/>
      <c r="O304" s="2625"/>
    </row>
    <row r="305" spans="1:15">
      <c r="A305" s="2765">
        <f t="shared" si="1"/>
        <v>2018.08</v>
      </c>
      <c r="B305" s="2627">
        <v>34.501274355560952</v>
      </c>
      <c r="C305" s="2627">
        <v>30.575360323886631</v>
      </c>
      <c r="D305" s="2629">
        <v>33.079228712407328</v>
      </c>
      <c r="E305" s="2629">
        <v>26.780119197065165</v>
      </c>
      <c r="F305" s="2629">
        <v>48.022256987353082</v>
      </c>
      <c r="G305" s="2629">
        <v>34.297919762258537</v>
      </c>
      <c r="H305" s="2629">
        <v>33.823456728289038</v>
      </c>
      <c r="I305" s="2629">
        <v>34.61449920253763</v>
      </c>
      <c r="J305" s="2620"/>
      <c r="K305" s="2620"/>
      <c r="L305" s="2629">
        <v>37.001596896518727</v>
      </c>
      <c r="M305" s="2629">
        <v>32.563268914949738</v>
      </c>
      <c r="N305" s="2620"/>
      <c r="O305" s="2625"/>
    </row>
    <row r="306" spans="1:15">
      <c r="A306" s="2765">
        <f t="shared" ref="A306:A369" si="2">A294+1</f>
        <v>2018.09</v>
      </c>
      <c r="B306" s="2627">
        <v>36.57565057978227</v>
      </c>
      <c r="C306" s="2627">
        <v>32.501682738314308</v>
      </c>
      <c r="D306" s="2629">
        <v>34.810830002480934</v>
      </c>
      <c r="E306" s="2629">
        <v>29.16389596460651</v>
      </c>
      <c r="F306" s="2629">
        <v>49.532472677236434</v>
      </c>
      <c r="G306" s="2629">
        <v>37.202451708766702</v>
      </c>
      <c r="H306" s="2629">
        <v>35.267548846271382</v>
      </c>
      <c r="I306" s="2629">
        <v>37.845082374744955</v>
      </c>
      <c r="J306" s="2620"/>
      <c r="K306" s="2620"/>
      <c r="L306" s="2629">
        <v>37.741094101020806</v>
      </c>
      <c r="M306" s="2629">
        <v>34.296355894775225</v>
      </c>
      <c r="N306" s="2620"/>
      <c r="O306" s="2625"/>
    </row>
    <row r="307" spans="1:15">
      <c r="A307" s="2765">
        <f t="shared" si="2"/>
        <v>2018.1</v>
      </c>
      <c r="B307" s="2627">
        <v>38.502474619118708</v>
      </c>
      <c r="C307" s="2627">
        <v>34.690587044534396</v>
      </c>
      <c r="D307" s="2629">
        <v>35.606418391818536</v>
      </c>
      <c r="E307" s="2629">
        <v>31.342599747305474</v>
      </c>
      <c r="F307" s="2629">
        <v>52.330112007993058</v>
      </c>
      <c r="G307" s="2629">
        <v>39.22288261515601</v>
      </c>
      <c r="H307" s="2629">
        <v>37.460646007903584</v>
      </c>
      <c r="I307" s="2629">
        <v>40.067320259108456</v>
      </c>
      <c r="J307" s="2620"/>
      <c r="K307" s="2620"/>
      <c r="L307" s="2629">
        <v>39.172484192627557</v>
      </c>
      <c r="M307" s="2629">
        <v>35.513680166370108</v>
      </c>
      <c r="N307" s="2620"/>
      <c r="O307" s="2625"/>
    </row>
    <row r="308" spans="1:15">
      <c r="A308" s="2765">
        <f t="shared" si="2"/>
        <v>2018.11</v>
      </c>
      <c r="B308" s="2627">
        <v>39.577415341033891</v>
      </c>
      <c r="C308" s="2627">
        <v>35.98563010673535</v>
      </c>
      <c r="D308" s="2629">
        <v>38.061363949609976</v>
      </c>
      <c r="E308" s="2629">
        <v>32.728809207506082</v>
      </c>
      <c r="F308" s="2629">
        <v>53.452203349722609</v>
      </c>
      <c r="G308" s="2629">
        <v>40.354661961367007</v>
      </c>
      <c r="H308" s="2629">
        <v>38.358412677742358</v>
      </c>
      <c r="I308" s="2629">
        <v>40.960980121356847</v>
      </c>
      <c r="J308" s="2620"/>
      <c r="K308" s="2620"/>
      <c r="L308" s="2629">
        <v>39.448328387957694</v>
      </c>
      <c r="M308" s="2629">
        <v>36.440188838625318</v>
      </c>
      <c r="N308" s="2620"/>
      <c r="O308" s="2625"/>
    </row>
    <row r="309" spans="1:15">
      <c r="A309" s="2765">
        <f t="shared" si="2"/>
        <v>2018.12</v>
      </c>
      <c r="B309" s="2627">
        <v>40.519789646841573</v>
      </c>
      <c r="C309" s="2627">
        <v>36.678629738682353</v>
      </c>
      <c r="D309" s="2629">
        <v>38.72917054883262</v>
      </c>
      <c r="E309" s="2629">
        <v>33.247523227989774</v>
      </c>
      <c r="F309" s="2629">
        <v>54.543396524071206</v>
      </c>
      <c r="G309" s="2629">
        <v>40.902674591381874</v>
      </c>
      <c r="H309" s="2629">
        <v>40.547612154845588</v>
      </c>
      <c r="I309" s="2629">
        <v>41.712252764387735</v>
      </c>
      <c r="J309" s="2620"/>
      <c r="K309" s="2620"/>
      <c r="L309" s="2629">
        <v>39.526582060391775</v>
      </c>
      <c r="M309" s="2629">
        <v>37.929686683961172</v>
      </c>
      <c r="N309" s="2620"/>
      <c r="O309" s="2625"/>
    </row>
    <row r="310" spans="1:15">
      <c r="A310" s="2765">
        <f t="shared" si="2"/>
        <v>2019.01</v>
      </c>
      <c r="B310" s="2627">
        <v>42.066782085243915</v>
      </c>
      <c r="C310" s="2627">
        <v>38.012112624217863</v>
      </c>
      <c r="D310" s="2629">
        <v>40.287385947018798</v>
      </c>
      <c r="E310" s="2629">
        <v>32.849440375060432</v>
      </c>
      <c r="F310" s="2629">
        <v>56.603274349468442</v>
      </c>
      <c r="G310" s="2629">
        <v>41.756872213967306</v>
      </c>
      <c r="H310" s="2629">
        <v>41.072500338079841</v>
      </c>
      <c r="I310" s="2629">
        <v>43.803738182855</v>
      </c>
      <c r="J310" s="2620"/>
      <c r="K310" s="2620"/>
      <c r="L310" s="2629">
        <v>40.044360526330621</v>
      </c>
      <c r="M310" s="2629">
        <v>39.824337885642024</v>
      </c>
      <c r="N310" s="2620"/>
      <c r="O310" s="2625"/>
    </row>
    <row r="311" spans="1:15">
      <c r="A311" s="2765">
        <f t="shared" si="2"/>
        <v>2019.02</v>
      </c>
      <c r="B311" s="2627">
        <v>43.484089986149783</v>
      </c>
      <c r="C311" s="2627">
        <v>39.665566433566404</v>
      </c>
      <c r="D311" s="2629">
        <v>41.038273286104172</v>
      </c>
      <c r="E311" s="2629">
        <v>32.794369624655182</v>
      </c>
      <c r="F311" s="2629">
        <v>60.339784310116656</v>
      </c>
      <c r="G311" s="2629">
        <v>42.273031203566113</v>
      </c>
      <c r="H311" s="2629">
        <v>42.717972823392159</v>
      </c>
      <c r="I311" s="2629">
        <v>45.297418894957715</v>
      </c>
      <c r="J311" s="2620"/>
      <c r="K311" s="2620"/>
      <c r="L311" s="2629">
        <v>40.412804900707755</v>
      </c>
      <c r="M311" s="2629">
        <v>40.98076487361449</v>
      </c>
      <c r="N311" s="2620"/>
      <c r="O311" s="2625"/>
    </row>
    <row r="312" spans="1:15">
      <c r="A312" s="2765">
        <f t="shared" si="2"/>
        <v>2019.03</v>
      </c>
      <c r="B312" s="2627">
        <v>45.217251782824832</v>
      </c>
      <c r="C312" s="2627">
        <v>41.557780272359189</v>
      </c>
      <c r="D312" s="2629">
        <v>42.713433856162339</v>
      </c>
      <c r="E312" s="2629">
        <v>34.65838340503845</v>
      </c>
      <c r="F312" s="2629">
        <v>63.116282789507352</v>
      </c>
      <c r="G312" s="2629">
        <v>42.987462852897465</v>
      </c>
      <c r="H312" s="2629">
        <v>43.473474007923635</v>
      </c>
      <c r="I312" s="2629">
        <v>47.4276868244959</v>
      </c>
      <c r="J312" s="2620"/>
      <c r="K312" s="2620"/>
      <c r="L312" s="2629">
        <v>46.567456237648308</v>
      </c>
      <c r="M312" s="2629">
        <v>41.950150204746706</v>
      </c>
      <c r="N312" s="2620"/>
      <c r="O312" s="2625"/>
    </row>
    <row r="313" spans="1:15">
      <c r="A313" s="2765">
        <f t="shared" si="2"/>
        <v>2019.04</v>
      </c>
      <c r="B313" s="2627">
        <v>46.889317752945985</v>
      </c>
      <c r="C313" s="2627">
        <v>42.849033492822933</v>
      </c>
      <c r="D313" s="2629">
        <v>43.039886980731623</v>
      </c>
      <c r="E313" s="2629">
        <v>37.138665106623286</v>
      </c>
      <c r="F313" s="2629">
        <v>66.003906256847117</v>
      </c>
      <c r="G313" s="2629">
        <v>44.764765973254079</v>
      </c>
      <c r="H313" s="2629">
        <v>44.621342101704464</v>
      </c>
      <c r="I313" s="2629">
        <v>49.269302064491974</v>
      </c>
      <c r="J313" s="2620"/>
      <c r="K313" s="2620"/>
      <c r="L313" s="2629">
        <v>48.035364709724298</v>
      </c>
      <c r="M313" s="2629">
        <v>43.451454666295064</v>
      </c>
      <c r="N313" s="2620"/>
      <c r="O313" s="2625"/>
    </row>
    <row r="314" spans="1:15">
      <c r="A314" s="2765">
        <f t="shared" si="2"/>
        <v>2019.05</v>
      </c>
      <c r="B314" s="2627">
        <v>48.361381347461474</v>
      </c>
      <c r="C314" s="2627">
        <v>44.163567169672397</v>
      </c>
      <c r="D314" s="2629">
        <v>44.220175317694434</v>
      </c>
      <c r="E314" s="2629">
        <v>38.040776446594926</v>
      </c>
      <c r="F314" s="2629">
        <v>68.926764476463418</v>
      </c>
      <c r="G314" s="2629">
        <v>46.005757800891523</v>
      </c>
      <c r="H314" s="2629">
        <v>46.81703771968931</v>
      </c>
      <c r="I314" s="2629">
        <v>50.152435245163979</v>
      </c>
      <c r="J314" s="2620"/>
      <c r="K314" s="2620"/>
      <c r="L314" s="2629">
        <v>50.758592510430354</v>
      </c>
      <c r="M314" s="2629">
        <v>44.275432197757446</v>
      </c>
      <c r="N314" s="2620"/>
      <c r="O314" s="2625"/>
    </row>
    <row r="315" spans="1:15">
      <c r="A315" s="2765">
        <f t="shared" si="2"/>
        <v>2019.06</v>
      </c>
      <c r="B315" s="2627">
        <v>49.697996647258428</v>
      </c>
      <c r="C315" s="2627">
        <v>45.474852410747118</v>
      </c>
      <c r="D315" s="2629">
        <v>45.564819031342196</v>
      </c>
      <c r="E315" s="2629">
        <v>38.781871402048374</v>
      </c>
      <c r="F315" s="2629">
        <v>71.214855081990194</v>
      </c>
      <c r="G315" s="2629">
        <v>46.817700594353639</v>
      </c>
      <c r="H315" s="2629">
        <v>48.253984082701869</v>
      </c>
      <c r="I315" s="2629">
        <v>50.880992417424757</v>
      </c>
      <c r="J315" s="2620"/>
      <c r="K315" s="2620"/>
      <c r="L315" s="2629">
        <v>51.303107647784174</v>
      </c>
      <c r="M315" s="2629">
        <v>45.281480179233775</v>
      </c>
      <c r="N315" s="2620"/>
      <c r="O315" s="2625"/>
    </row>
    <row r="316" spans="1:15">
      <c r="A316" s="2765">
        <f t="shared" si="2"/>
        <v>2019.07</v>
      </c>
      <c r="B316" s="2627">
        <v>50.795416022339673</v>
      </c>
      <c r="C316" s="2627">
        <v>46.657283032756688</v>
      </c>
      <c r="D316" s="2629">
        <v>45.806836838768383</v>
      </c>
      <c r="E316" s="2629">
        <v>38.624001917553336</v>
      </c>
      <c r="F316" s="2629">
        <v>71.852875134751386</v>
      </c>
      <c r="G316" s="2629">
        <v>48.09314635958394</v>
      </c>
      <c r="H316" s="2629">
        <v>50.227511682535592</v>
      </c>
      <c r="I316" s="2629">
        <v>52.261095775676928</v>
      </c>
      <c r="J316" s="2620"/>
      <c r="K316" s="2620"/>
      <c r="L316" s="2629">
        <v>51.942179305995836</v>
      </c>
      <c r="M316" s="2629">
        <v>47.287362133653517</v>
      </c>
      <c r="N316" s="2620"/>
      <c r="O316" s="2625"/>
    </row>
    <row r="317" spans="1:15">
      <c r="A317" s="2765">
        <f t="shared" si="2"/>
        <v>2019.08</v>
      </c>
      <c r="B317" s="2627">
        <v>52.519355807459419</v>
      </c>
      <c r="C317" s="2627">
        <v>48.301532940743442</v>
      </c>
      <c r="D317" s="2629">
        <v>48.043695454420167</v>
      </c>
      <c r="E317" s="2629">
        <v>39.536602924268834</v>
      </c>
      <c r="F317" s="2629">
        <v>73.38260545666482</v>
      </c>
      <c r="G317" s="2629">
        <v>50.647938335809798</v>
      </c>
      <c r="H317" s="2629">
        <v>53.211838803548126</v>
      </c>
      <c r="I317" s="2629">
        <v>53.442300255722557</v>
      </c>
      <c r="J317" s="2620"/>
      <c r="K317" s="2620"/>
      <c r="L317" s="2629">
        <v>52.652331383335131</v>
      </c>
      <c r="M317" s="2629">
        <v>48.392212850802927</v>
      </c>
      <c r="N317" s="2620"/>
      <c r="O317" s="2625"/>
    </row>
    <row r="318" spans="1:15">
      <c r="A318" s="2765">
        <f t="shared" si="2"/>
        <v>2019.09</v>
      </c>
      <c r="B318" s="2627">
        <v>55.159732990887555</v>
      </c>
      <c r="C318" s="2627">
        <v>51.042129922708838</v>
      </c>
      <c r="D318" s="2629">
        <v>51.24365851641538</v>
      </c>
      <c r="E318" s="2629">
        <v>43.624950537686829</v>
      </c>
      <c r="F318" s="2629">
        <v>74.468919973005882</v>
      </c>
      <c r="G318" s="2629">
        <v>54.299405646359574</v>
      </c>
      <c r="H318" s="2629">
        <v>56.626860065011535</v>
      </c>
      <c r="I318" s="2629">
        <v>55.132109666669621</v>
      </c>
      <c r="J318" s="2620"/>
      <c r="K318" s="2620"/>
      <c r="L318" s="2629">
        <v>53.457692095469227</v>
      </c>
      <c r="M318" s="2629">
        <v>51.413463799498338</v>
      </c>
      <c r="N318" s="2620"/>
      <c r="O318" s="2625"/>
    </row>
    <row r="319" spans="1:15">
      <c r="A319" s="2765">
        <f t="shared" si="2"/>
        <v>2019.1</v>
      </c>
      <c r="B319" s="2627">
        <v>56.684823151846047</v>
      </c>
      <c r="C319" s="2627">
        <v>52.588926757453038</v>
      </c>
      <c r="D319" s="2629">
        <v>54.7226644981669</v>
      </c>
      <c r="E319" s="2629">
        <v>46.290899340637914</v>
      </c>
      <c r="F319" s="2629">
        <v>75.129707096468849</v>
      </c>
      <c r="G319" s="2629">
        <v>55.453287518573539</v>
      </c>
      <c r="H319" s="2629">
        <v>59.088897459142466</v>
      </c>
      <c r="I319" s="2629">
        <v>56.37702827204604</v>
      </c>
      <c r="J319" s="2620"/>
      <c r="K319" s="2620"/>
      <c r="L319" s="2629">
        <v>54.5369406611226</v>
      </c>
      <c r="M319" s="2629">
        <v>52.500915292755629</v>
      </c>
      <c r="N319" s="2620"/>
      <c r="O319" s="2625"/>
    </row>
    <row r="320" spans="1:15">
      <c r="A320" s="2765">
        <f t="shared" si="2"/>
        <v>2019.11</v>
      </c>
      <c r="B320" s="2627">
        <v>58.954590745895381</v>
      </c>
      <c r="C320" s="2627">
        <v>55.173598822230367</v>
      </c>
      <c r="D320" s="2629">
        <v>57.928948920803833</v>
      </c>
      <c r="E320" s="2629">
        <v>48.569779440740696</v>
      </c>
      <c r="F320" s="2629">
        <v>75.629498505683657</v>
      </c>
      <c r="G320" s="2629">
        <v>58.096489598811281</v>
      </c>
      <c r="H320" s="2629">
        <v>61.732826797958531</v>
      </c>
      <c r="I320" s="2629">
        <v>58.489567053666093</v>
      </c>
      <c r="J320" s="2620"/>
      <c r="K320" s="2620"/>
      <c r="L320" s="2629">
        <v>58.148347643955489</v>
      </c>
      <c r="M320" s="2629">
        <v>54.668982869884033</v>
      </c>
      <c r="N320" s="2620"/>
      <c r="O320" s="2625"/>
    </row>
    <row r="321" spans="1:15">
      <c r="A321" s="2765">
        <f t="shared" si="2"/>
        <v>2019.12</v>
      </c>
      <c r="B321" s="2627">
        <v>61.009370195561679</v>
      </c>
      <c r="C321" s="2627">
        <v>57.208743835112223</v>
      </c>
      <c r="D321" s="2629">
        <v>60.219539101910328</v>
      </c>
      <c r="E321" s="2629">
        <v>49.542171547896174</v>
      </c>
      <c r="F321" s="2629">
        <v>77.274148327329769</v>
      </c>
      <c r="G321" s="2629">
        <v>59.136608469539368</v>
      </c>
      <c r="H321" s="2629">
        <v>65.606475605663746</v>
      </c>
      <c r="I321" s="2629">
        <v>60.699616148835872</v>
      </c>
      <c r="J321" s="2620"/>
      <c r="K321" s="2620"/>
      <c r="L321" s="2629">
        <v>58.829806708068958</v>
      </c>
      <c r="M321" s="2629">
        <v>57.249660613596909</v>
      </c>
      <c r="N321" s="2620"/>
      <c r="O321" s="2625"/>
    </row>
    <row r="322" spans="1:15">
      <c r="A322" s="2765">
        <f t="shared" si="2"/>
        <v>2020.01</v>
      </c>
      <c r="B322" s="2627">
        <v>62.495266807410118</v>
      </c>
      <c r="C322" s="2627">
        <v>59.94555097534041</v>
      </c>
      <c r="D322" s="2629">
        <v>62.785559996692143</v>
      </c>
      <c r="E322" s="2629">
        <v>48.990415077169331</v>
      </c>
      <c r="F322" s="2629">
        <v>78.031424464719237</v>
      </c>
      <c r="G322" s="2629">
        <v>61.678398959881115</v>
      </c>
      <c r="H322" s="2629">
        <v>65.494741982500017</v>
      </c>
      <c r="I322" s="2629">
        <v>62.245930268820558</v>
      </c>
      <c r="J322" s="2620"/>
      <c r="K322" s="2620"/>
      <c r="L322" s="2629">
        <v>58.827198252321153</v>
      </c>
      <c r="M322" s="2629">
        <v>59.541386960529998</v>
      </c>
      <c r="N322" s="2620"/>
      <c r="O322" s="2625"/>
    </row>
    <row r="323" spans="1:15">
      <c r="A323" s="2765">
        <f t="shared" si="2"/>
        <v>2020.02</v>
      </c>
      <c r="B323" s="2627">
        <v>63.649747378989808</v>
      </c>
      <c r="C323" s="2627">
        <v>61.187536253220436</v>
      </c>
      <c r="D323" s="2629">
        <v>63.685902362378393</v>
      </c>
      <c r="E323" s="2629">
        <v>48.976778510402312</v>
      </c>
      <c r="F323" s="2629">
        <v>79.51128406033358</v>
      </c>
      <c r="G323" s="2629">
        <v>62.84593239227339</v>
      </c>
      <c r="H323" s="2629">
        <v>65.895553874895469</v>
      </c>
      <c r="I323" s="2629">
        <v>63.184467036736734</v>
      </c>
      <c r="J323" s="2620"/>
      <c r="K323" s="2620"/>
      <c r="L323" s="2629">
        <v>60.143164177087627</v>
      </c>
      <c r="M323" s="2629">
        <v>61.369548270908844</v>
      </c>
      <c r="N323" s="2620"/>
      <c r="O323" s="2625"/>
    </row>
    <row r="324" spans="1:15">
      <c r="A324" s="2765">
        <f t="shared" si="2"/>
        <v>2020.03</v>
      </c>
      <c r="B324" s="2627">
        <v>65.397318568720024</v>
      </c>
      <c r="C324" s="2627">
        <v>63.405676481413295</v>
      </c>
      <c r="D324" s="2629">
        <v>65.387702952283846</v>
      </c>
      <c r="E324" s="2629">
        <v>50.887471307795735</v>
      </c>
      <c r="F324" s="2629">
        <v>80.198632766281932</v>
      </c>
      <c r="G324" s="2629">
        <v>63.892552005943529</v>
      </c>
      <c r="H324" s="2629">
        <v>66.999248210681344</v>
      </c>
      <c r="I324" s="2629">
        <v>64.509720843617174</v>
      </c>
      <c r="J324" s="2620"/>
      <c r="K324" s="2620"/>
      <c r="L324" s="2629">
        <v>66.355853654416791</v>
      </c>
      <c r="M324" s="2629">
        <v>62.937964024612512</v>
      </c>
      <c r="N324" s="2620"/>
      <c r="O324" s="2625"/>
    </row>
    <row r="325" spans="1:15">
      <c r="A325" s="2765">
        <f t="shared" si="2"/>
        <v>2020.04</v>
      </c>
      <c r="B325" s="2627">
        <v>66.683789180684997</v>
      </c>
      <c r="C325" s="2627">
        <v>64.509603238866362</v>
      </c>
      <c r="D325" s="2629">
        <v>66.780208396504705</v>
      </c>
      <c r="E325" s="2629">
        <v>55.235962656461375</v>
      </c>
      <c r="F325" s="2629">
        <v>81.6557252911945</v>
      </c>
      <c r="G325" s="2629">
        <v>65.095189450222875</v>
      </c>
      <c r="H325" s="2629">
        <v>68.016543872741778</v>
      </c>
      <c r="I325" s="2629">
        <v>65.219994832087394</v>
      </c>
      <c r="J325" s="2620"/>
      <c r="K325" s="2620"/>
      <c r="L325" s="2629">
        <v>70.677412714588968</v>
      </c>
      <c r="M325" s="2629">
        <v>63.579249705207665</v>
      </c>
      <c r="N325" s="2620"/>
      <c r="O325" s="2625"/>
    </row>
    <row r="326" spans="1:15">
      <c r="A326" s="2765">
        <f t="shared" si="2"/>
        <v>2020.05</v>
      </c>
      <c r="B326" s="2627">
        <v>67.324142608056448</v>
      </c>
      <c r="C326" s="2627">
        <v>64.947600662495361</v>
      </c>
      <c r="D326" s="2629">
        <v>67.328812195054752</v>
      </c>
      <c r="E326" s="2629">
        <v>57.134067853762161</v>
      </c>
      <c r="F326" s="2629">
        <v>82.127328898588075</v>
      </c>
      <c r="G326" s="2629">
        <v>66.13075780089153</v>
      </c>
      <c r="H326" s="2629">
        <v>68.114635600054115</v>
      </c>
      <c r="I326" s="2629">
        <v>65.454906042002662</v>
      </c>
      <c r="J326" s="2620"/>
      <c r="K326" s="2620"/>
      <c r="L326" s="2629">
        <v>70.987166834640533</v>
      </c>
      <c r="M326" s="2629">
        <v>64.359107776086475</v>
      </c>
      <c r="N326" s="2620"/>
      <c r="O326" s="2625"/>
    </row>
    <row r="327" spans="1:15">
      <c r="A327" s="2765">
        <f t="shared" si="2"/>
        <v>2020.06</v>
      </c>
      <c r="B327" s="2627">
        <v>68.278044428308249</v>
      </c>
      <c r="C327" s="2627">
        <v>65.728849466323126</v>
      </c>
      <c r="D327" s="2629">
        <v>71.165426578824068</v>
      </c>
      <c r="E327" s="2629">
        <v>58.907870500148277</v>
      </c>
      <c r="F327" s="2629">
        <v>82.899241010000097</v>
      </c>
      <c r="G327" s="2629">
        <v>67.985419762258545</v>
      </c>
      <c r="H327" s="2629">
        <v>69.068269081474753</v>
      </c>
      <c r="I327" s="2629">
        <v>65.146862096925091</v>
      </c>
      <c r="J327" s="2620"/>
      <c r="K327" s="2620"/>
      <c r="L327" s="2629">
        <v>70.878915921106724</v>
      </c>
      <c r="M327" s="2629">
        <v>64.915261539780914</v>
      </c>
      <c r="N327" s="2620"/>
      <c r="O327" s="2625"/>
    </row>
    <row r="328" spans="1:15">
      <c r="A328" s="2765">
        <f t="shared" si="2"/>
        <v>2020.07</v>
      </c>
      <c r="B328" s="2627">
        <v>69.379498433444951</v>
      </c>
      <c r="C328" s="2627">
        <v>66.709877070298106</v>
      </c>
      <c r="D328" s="2629">
        <v>72.7611186151005</v>
      </c>
      <c r="E328" s="2629">
        <v>60.173448792794531</v>
      </c>
      <c r="F328" s="2629">
        <v>83.679826291203256</v>
      </c>
      <c r="G328" s="2629">
        <v>69.74322065378901</v>
      </c>
      <c r="H328" s="2629">
        <v>69.955641925902952</v>
      </c>
      <c r="I328" s="2629">
        <v>66.029441241724655</v>
      </c>
      <c r="J328" s="2620"/>
      <c r="K328" s="2620"/>
      <c r="L328" s="2629">
        <v>71.171062964860639</v>
      </c>
      <c r="M328" s="2629">
        <v>65.515534764058927</v>
      </c>
      <c r="N328" s="2620"/>
      <c r="O328" s="2625"/>
    </row>
    <row r="329" spans="1:15">
      <c r="A329" s="2765">
        <f t="shared" si="2"/>
        <v>2020.08</v>
      </c>
      <c r="B329" s="2627">
        <v>71.051564403566104</v>
      </c>
      <c r="C329" s="2627">
        <v>68.864672800883312</v>
      </c>
      <c r="D329" s="2629">
        <v>73.978883590153572</v>
      </c>
      <c r="E329" s="2629">
        <v>61.284304500968915</v>
      </c>
      <c r="F329" s="2629">
        <v>85.568409013225349</v>
      </c>
      <c r="G329" s="2629">
        <v>72.167997771173859</v>
      </c>
      <c r="H329" s="2629">
        <v>71.013213661429376</v>
      </c>
      <c r="I329" s="2629">
        <v>67.416747066318578</v>
      </c>
      <c r="J329" s="2620"/>
      <c r="K329" s="2620"/>
      <c r="L329" s="2629">
        <v>71.965337740066559</v>
      </c>
      <c r="M329" s="2629">
        <v>66.824826361940723</v>
      </c>
      <c r="N329" s="2620"/>
      <c r="O329" s="2625"/>
    </row>
    <row r="330" spans="1:15">
      <c r="A330" s="2765">
        <f t="shared" si="2"/>
        <v>2020.09</v>
      </c>
      <c r="B330" s="2627">
        <v>72.644090524022758</v>
      </c>
      <c r="C330" s="2627">
        <v>70.51812661023186</v>
      </c>
      <c r="D330" s="2629">
        <v>76.876775918626151</v>
      </c>
      <c r="E330" s="2629">
        <v>64.246586389433944</v>
      </c>
      <c r="F330" s="2629">
        <v>86.352246733100202</v>
      </c>
      <c r="G330" s="2629">
        <v>73.894595096582478</v>
      </c>
      <c r="H330" s="2629">
        <v>72.641146566361328</v>
      </c>
      <c r="I330" s="2629">
        <v>69.351440332884849</v>
      </c>
      <c r="J330" s="2620"/>
      <c r="K330" s="2620"/>
      <c r="L330" s="2629">
        <v>71.988161727859847</v>
      </c>
      <c r="M330" s="2629">
        <v>68.991029736509248</v>
      </c>
      <c r="N330" s="2620"/>
      <c r="O330" s="2625"/>
    </row>
    <row r="331" spans="1:15">
      <c r="A331" s="2765">
        <f t="shared" si="2"/>
        <v>2020.1</v>
      </c>
      <c r="B331" s="2627">
        <v>74.444688280195976</v>
      </c>
      <c r="C331" s="2627">
        <v>73.322609495767381</v>
      </c>
      <c r="D331" s="2629">
        <v>77.669203627642887</v>
      </c>
      <c r="E331" s="2629">
        <v>69.019909241225761</v>
      </c>
      <c r="F331" s="2629">
        <v>87.429346006538168</v>
      </c>
      <c r="G331" s="2629">
        <v>76.167254829123337</v>
      </c>
      <c r="H331" s="2629">
        <v>74.176834270774393</v>
      </c>
      <c r="I331" s="2629">
        <v>70.625722839500668</v>
      </c>
      <c r="J331" s="2620"/>
      <c r="K331" s="2620"/>
      <c r="L331" s="2629">
        <v>71.802961369765839</v>
      </c>
      <c r="M331" s="2629">
        <v>70.0070201316382</v>
      </c>
      <c r="N331" s="2620"/>
      <c r="O331" s="2625"/>
    </row>
    <row r="332" spans="1:15">
      <c r="A332" s="2765">
        <f t="shared" si="2"/>
        <v>2020.11</v>
      </c>
      <c r="B332" s="2627">
        <v>76.715608625689725</v>
      </c>
      <c r="C332" s="2627">
        <v>75.501768494663224</v>
      </c>
      <c r="D332" s="2629">
        <v>79.858200512721581</v>
      </c>
      <c r="E332" s="2629">
        <v>71.467148492567432</v>
      </c>
      <c r="F332" s="2629">
        <v>88.879391580995431</v>
      </c>
      <c r="G332" s="2629">
        <v>79.318164933135222</v>
      </c>
      <c r="H332" s="2629">
        <v>75.969769154099296</v>
      </c>
      <c r="I332" s="2629">
        <v>72.938822606944598</v>
      </c>
      <c r="J332" s="2620"/>
      <c r="K332" s="2620"/>
      <c r="L332" s="2629">
        <v>72.97285377265537</v>
      </c>
      <c r="M332" s="2629">
        <v>72.97855901207042</v>
      </c>
      <c r="N332" s="2620"/>
      <c r="O332" s="2625"/>
    </row>
    <row r="333" spans="1:15">
      <c r="A333" s="2765">
        <f t="shared" si="2"/>
        <v>2020.12</v>
      </c>
      <c r="B333" s="2627">
        <v>79.598639988166809</v>
      </c>
      <c r="C333" s="2627">
        <v>77.913732057416254</v>
      </c>
      <c r="D333" s="2629">
        <v>83.530007994045832</v>
      </c>
      <c r="E333" s="2629">
        <v>74.367541347243701</v>
      </c>
      <c r="F333" s="2629">
        <v>91.292159002269955</v>
      </c>
      <c r="G333" s="2629">
        <v>80.979754829123337</v>
      </c>
      <c r="H333" s="2629">
        <v>80.789256074167227</v>
      </c>
      <c r="I333" s="2629">
        <v>76.547812280029575</v>
      </c>
      <c r="J333" s="2620"/>
      <c r="K333" s="2620"/>
      <c r="L333" s="2629">
        <v>74.099706655706143</v>
      </c>
      <c r="M333" s="2629">
        <v>77.227076646013344</v>
      </c>
      <c r="N333" s="2620"/>
      <c r="O333" s="2625"/>
    </row>
    <row r="334" spans="1:15">
      <c r="A334" s="2765">
        <f t="shared" si="2"/>
        <v>2021.01</v>
      </c>
      <c r="B334" s="2627">
        <v>82.651702188694813</v>
      </c>
      <c r="C334" s="2627">
        <v>81.181117040853877</v>
      </c>
      <c r="D334" s="2629">
        <v>86.940382060258585</v>
      </c>
      <c r="E334" s="2629">
        <v>76.484880579491104</v>
      </c>
      <c r="F334" s="2629">
        <v>92.735699699383872</v>
      </c>
      <c r="G334" s="2629">
        <v>83.2654160475483</v>
      </c>
      <c r="H334" s="2629">
        <v>82.449669683507253</v>
      </c>
      <c r="I334" s="2629">
        <v>79.776733344619572</v>
      </c>
      <c r="J334" s="2620"/>
      <c r="K334" s="2620"/>
      <c r="L334" s="2629">
        <v>74.099706655706143</v>
      </c>
      <c r="M334" s="2629">
        <v>82.94955710395989</v>
      </c>
      <c r="N334" s="2620"/>
      <c r="O334" s="2625"/>
    </row>
    <row r="335" spans="1:15">
      <c r="A335" s="2765">
        <f t="shared" si="2"/>
        <v>2021.02</v>
      </c>
      <c r="B335" s="2627">
        <v>85.007349765352899</v>
      </c>
      <c r="C335" s="2627">
        <v>84.71270813397129</v>
      </c>
      <c r="D335" s="2629">
        <v>89.843241172092519</v>
      </c>
      <c r="E335" s="2629">
        <v>78.248718042470557</v>
      </c>
      <c r="F335" s="2629">
        <v>94.26271965573757</v>
      </c>
      <c r="G335" s="2629">
        <v>86.361719910846972</v>
      </c>
      <c r="H335" s="2629">
        <v>84.176993543927864</v>
      </c>
      <c r="I335" s="2629">
        <v>82.309231317550413</v>
      </c>
      <c r="J335" s="2620"/>
      <c r="K335" s="2620"/>
      <c r="L335" s="2629">
        <v>76.325371522518822</v>
      </c>
      <c r="M335" s="2629">
        <v>84.914426602062491</v>
      </c>
      <c r="N335" s="2620"/>
      <c r="O335" s="2625"/>
    </row>
    <row r="336" spans="1:15">
      <c r="A336" s="2765">
        <f t="shared" si="2"/>
        <v>2021.03</v>
      </c>
      <c r="B336" s="2627">
        <v>88.312864532207385</v>
      </c>
      <c r="C336" s="2627">
        <v>87.594612072138389</v>
      </c>
      <c r="D336" s="2629">
        <v>94.802800121288996</v>
      </c>
      <c r="E336" s="2629">
        <v>83.0414467777385</v>
      </c>
      <c r="F336" s="2629">
        <v>96.432638322859987</v>
      </c>
      <c r="G336" s="2629">
        <v>88.072715453194661</v>
      </c>
      <c r="H336" s="2629">
        <v>87.76935945145928</v>
      </c>
      <c r="I336" s="2629">
        <v>85.962543860430713</v>
      </c>
      <c r="J336" s="2620"/>
      <c r="K336" s="2620"/>
      <c r="L336" s="2629">
        <v>90.109103807845401</v>
      </c>
      <c r="M336" s="2629">
        <v>87.65231876165771</v>
      </c>
      <c r="N336" s="2620"/>
      <c r="O336" s="2625"/>
    </row>
    <row r="337" spans="1:15">
      <c r="A337" s="2765">
        <f t="shared" si="2"/>
        <v>2021.04</v>
      </c>
      <c r="B337" s="2627">
        <v>91.867373611055086</v>
      </c>
      <c r="C337" s="2627">
        <v>91.552289657710702</v>
      </c>
      <c r="D337" s="2629">
        <v>97.659152079830207</v>
      </c>
      <c r="E337" s="2629">
        <v>89.787875944049702</v>
      </c>
      <c r="F337" s="2629">
        <v>98.408494815905499</v>
      </c>
      <c r="G337" s="2629">
        <v>91.863948736998537</v>
      </c>
      <c r="H337" s="2629">
        <v>91.442277505922689</v>
      </c>
      <c r="I337" s="2629">
        <v>90.428072992310504</v>
      </c>
      <c r="J337" s="2620"/>
      <c r="K337" s="2620"/>
      <c r="L337" s="2629">
        <v>94.800411470268628</v>
      </c>
      <c r="M337" s="2629">
        <v>91.295591964496296</v>
      </c>
      <c r="N337" s="2620"/>
      <c r="O337" s="2625"/>
    </row>
    <row r="338" spans="1:15">
      <c r="A338" s="2765">
        <f t="shared" si="2"/>
        <v>2021.05</v>
      </c>
      <c r="B338" s="2627">
        <v>95.178652135131614</v>
      </c>
      <c r="C338" s="2627">
        <v>94.67782627898417</v>
      </c>
      <c r="D338" s="2629">
        <v>99.423263224632692</v>
      </c>
      <c r="E338" s="2629">
        <v>92.397705029921156</v>
      </c>
      <c r="F338" s="2629">
        <v>101.77205847553441</v>
      </c>
      <c r="G338" s="2629">
        <v>94.738577265973277</v>
      </c>
      <c r="H338" s="2629">
        <v>95.811581862894897</v>
      </c>
      <c r="I338" s="2629">
        <v>95.388356158280686</v>
      </c>
      <c r="J338" s="2620"/>
      <c r="K338" s="2620"/>
      <c r="L338" s="2629">
        <v>95.560124206816184</v>
      </c>
      <c r="M338" s="2629">
        <v>93.735833115365665</v>
      </c>
      <c r="N338" s="2620"/>
      <c r="O338" s="2625"/>
    </row>
    <row r="339" spans="1:15">
      <c r="A339" s="2765">
        <f t="shared" si="2"/>
        <v>2021.06</v>
      </c>
      <c r="B339" s="2627">
        <v>98.233443462826258</v>
      </c>
      <c r="C339" s="2627">
        <v>98.219162679425835</v>
      </c>
      <c r="D339" s="2629">
        <v>104.72191801968189</v>
      </c>
      <c r="E339" s="2629">
        <v>95.052115199453993</v>
      </c>
      <c r="F339" s="2629">
        <v>104.43255330896852</v>
      </c>
      <c r="G339" s="2629">
        <v>98.377693164933149</v>
      </c>
      <c r="H339" s="2629">
        <v>98.421081655038407</v>
      </c>
      <c r="I339" s="2629">
        <v>98.334164892052982</v>
      </c>
      <c r="J339" s="2620"/>
      <c r="K339" s="2620"/>
      <c r="L339" s="2629">
        <v>97.082810249596022</v>
      </c>
      <c r="M339" s="2629">
        <v>97.083319512038258</v>
      </c>
      <c r="N339" s="2620"/>
      <c r="O339" s="2625"/>
    </row>
    <row r="340" spans="1:15">
      <c r="A340" s="2765">
        <f t="shared" si="2"/>
        <v>2021.07</v>
      </c>
      <c r="B340" s="2627">
        <v>101.12800233974748</v>
      </c>
      <c r="C340" s="2627">
        <v>101.89422635259477</v>
      </c>
      <c r="D340" s="2629">
        <v>106.87659894699122</v>
      </c>
      <c r="E340" s="2629">
        <v>97.061410864239676</v>
      </c>
      <c r="F340" s="2629">
        <v>106.15363543939911</v>
      </c>
      <c r="G340" s="2629">
        <v>101.59361069836554</v>
      </c>
      <c r="H340" s="2629">
        <v>100.15360242816432</v>
      </c>
      <c r="I340" s="2629">
        <v>100.19904963869162</v>
      </c>
      <c r="J340" s="2620"/>
      <c r="K340" s="2620"/>
      <c r="L340" s="2629">
        <v>100.74443000557413</v>
      </c>
      <c r="M340" s="2629">
        <v>101.97747263254938</v>
      </c>
      <c r="N340" s="2620"/>
      <c r="O340" s="2625"/>
    </row>
    <row r="341" spans="1:15">
      <c r="A341" s="2765">
        <f t="shared" si="2"/>
        <v>2021.08</v>
      </c>
      <c r="B341" s="2627">
        <v>104.07731691027831</v>
      </c>
      <c r="C341" s="2627">
        <v>103.92287449392711</v>
      </c>
      <c r="D341" s="2629">
        <v>108.94368387683657</v>
      </c>
      <c r="E341" s="2629">
        <v>98.543600775146558</v>
      </c>
      <c r="F341" s="2629">
        <v>109.18599242762863</v>
      </c>
      <c r="G341" s="2629">
        <v>106.92812035661218</v>
      </c>
      <c r="H341" s="2629">
        <v>105.49862714555465</v>
      </c>
      <c r="I341" s="2629">
        <v>102.54483752260961</v>
      </c>
      <c r="J341" s="2620"/>
      <c r="K341" s="2620"/>
      <c r="L341" s="2629">
        <v>103.91305162521749</v>
      </c>
      <c r="M341" s="2629">
        <v>105.96127350299082</v>
      </c>
      <c r="N341" s="2620"/>
      <c r="O341" s="2625"/>
    </row>
    <row r="342" spans="1:15">
      <c r="A342" s="2765">
        <f t="shared" si="2"/>
        <v>2021.09</v>
      </c>
      <c r="B342" s="2627">
        <v>107.60127807584904</v>
      </c>
      <c r="C342" s="2627">
        <v>107.14748840633048</v>
      </c>
      <c r="D342" s="2629">
        <v>114.56834027069495</v>
      </c>
      <c r="E342" s="2629">
        <v>104.7828545543923</v>
      </c>
      <c r="F342" s="2629">
        <v>112.32513781891164</v>
      </c>
      <c r="G342" s="2629">
        <v>112.94520802377416</v>
      </c>
      <c r="H342" s="2629">
        <v>111.21263266502052</v>
      </c>
      <c r="I342" s="2629">
        <v>103.61301868467716</v>
      </c>
      <c r="J342" s="2620"/>
      <c r="K342" s="2620"/>
      <c r="L342" s="2629">
        <v>104.88861407489571</v>
      </c>
      <c r="M342" s="2629">
        <v>109.09934781210472</v>
      </c>
      <c r="N342" s="2620"/>
      <c r="O342" s="2625"/>
    </row>
    <row r="343" spans="1:15">
      <c r="A343" s="2765">
        <f t="shared" si="2"/>
        <v>2021.1</v>
      </c>
      <c r="B343" s="2627">
        <v>111.57365955329648</v>
      </c>
      <c r="C343" s="2627">
        <v>111.08621678321676</v>
      </c>
      <c r="D343" s="2629">
        <v>117.58995065744136</v>
      </c>
      <c r="E343" s="2629">
        <v>112.5362917281137</v>
      </c>
      <c r="F343" s="2629">
        <v>113.8434846054742</v>
      </c>
      <c r="G343" s="2629">
        <v>116.092867756315</v>
      </c>
      <c r="H343" s="2629">
        <v>117.16374732666522</v>
      </c>
      <c r="I343" s="2629">
        <v>106.40369737416579</v>
      </c>
      <c r="J343" s="2620"/>
      <c r="K343" s="2620"/>
      <c r="L343" s="2629">
        <v>107.58314886237592</v>
      </c>
      <c r="M343" s="2629">
        <v>115.06914580966063</v>
      </c>
      <c r="N343" s="2620"/>
      <c r="O343" s="2625"/>
    </row>
    <row r="344" spans="1:15">
      <c r="A344" s="2765">
        <f t="shared" si="2"/>
        <v>2021.11</v>
      </c>
      <c r="B344" s="2627">
        <v>114.37311643605362</v>
      </c>
      <c r="C344" s="2627">
        <v>113.3086882591093</v>
      </c>
      <c r="D344" s="2629">
        <v>118.6266538026849</v>
      </c>
      <c r="E344" s="2629">
        <v>116.27375998894971</v>
      </c>
      <c r="F344" s="2629">
        <v>117.16747692793099</v>
      </c>
      <c r="G344" s="2629">
        <v>119.02600297176821</v>
      </c>
      <c r="H344" s="2629">
        <v>119.44973930290448</v>
      </c>
      <c r="I344" s="2629">
        <v>109.40657180279959</v>
      </c>
      <c r="J344" s="2620"/>
      <c r="K344" s="2620"/>
      <c r="L344" s="2629">
        <v>107.63597009126892</v>
      </c>
      <c r="M344" s="2629">
        <v>120.91093523143881</v>
      </c>
      <c r="N344" s="2620"/>
      <c r="O344" s="2625"/>
    </row>
    <row r="345" spans="1:15">
      <c r="A345" s="2765">
        <f t="shared" si="2"/>
        <v>2021.12</v>
      </c>
      <c r="B345" s="2627">
        <v>118.76509943926743</v>
      </c>
      <c r="C345" s="2627">
        <v>117.49104931910195</v>
      </c>
      <c r="D345" s="2629">
        <v>124.54254431182294</v>
      </c>
      <c r="E345" s="2629">
        <v>122.02996461464086</v>
      </c>
      <c r="F345" s="2629">
        <v>118.90753161727973</v>
      </c>
      <c r="G345" s="2629">
        <v>124.91307578008916</v>
      </c>
      <c r="H345" s="2629">
        <v>120.44299924370294</v>
      </c>
      <c r="I345" s="2629">
        <v>116.35861393019752</v>
      </c>
      <c r="J345" s="2620"/>
      <c r="K345" s="2620"/>
      <c r="L345" s="2629">
        <v>107.63597009126892</v>
      </c>
      <c r="M345" s="2629">
        <v>130.07349081319813</v>
      </c>
      <c r="N345" s="2620"/>
      <c r="O345" s="2625"/>
    </row>
    <row r="346" spans="1:15">
      <c r="A346" s="2765">
        <f t="shared" si="2"/>
        <v>2022.01</v>
      </c>
      <c r="B346" s="2627">
        <v>123.54671243069284</v>
      </c>
      <c r="C346" s="2627">
        <v>123.27272359219727</v>
      </c>
      <c r="D346" s="2629">
        <v>127.40205695068502</v>
      </c>
      <c r="E346" s="2629">
        <v>125.25134127167912</v>
      </c>
      <c r="F346" s="2629">
        <v>120.54676070780637</v>
      </c>
      <c r="G346" s="2629">
        <v>128.51448736998515</v>
      </c>
      <c r="H346" s="2629">
        <v>126.80661885133003</v>
      </c>
      <c r="I346" s="2629">
        <v>120.17481301957568</v>
      </c>
      <c r="J346" s="2620"/>
      <c r="K346" s="2620"/>
      <c r="L346" s="2629">
        <v>107.64966448394487</v>
      </c>
      <c r="M346" s="2629">
        <v>138.3045665158759</v>
      </c>
      <c r="N346" s="2630"/>
      <c r="O346" s="2625"/>
    </row>
    <row r="347" spans="1:15">
      <c r="A347" s="2765">
        <f t="shared" si="2"/>
        <v>2022.02</v>
      </c>
      <c r="B347" s="2631">
        <v>128.59</v>
      </c>
      <c r="C347" s="2632">
        <v>132.38999999999999</v>
      </c>
      <c r="D347" s="2633">
        <v>131.04</v>
      </c>
      <c r="E347" s="2633">
        <v>129.1</v>
      </c>
      <c r="F347" s="2633">
        <v>123.7</v>
      </c>
      <c r="G347" s="2633">
        <v>136.5</v>
      </c>
      <c r="H347" s="2633">
        <v>129.69999999999999</v>
      </c>
      <c r="I347" s="2633">
        <v>124.36</v>
      </c>
      <c r="J347" s="2634">
        <v>120.24</v>
      </c>
      <c r="K347" s="2634">
        <v>126.49</v>
      </c>
      <c r="L347" s="2633">
        <v>115.82</v>
      </c>
      <c r="M347" s="2634">
        <v>144.91999999999999</v>
      </c>
      <c r="N347" s="2633">
        <v>124.59</v>
      </c>
      <c r="O347" s="2644">
        <v>125.08</v>
      </c>
    </row>
    <row r="348" spans="1:15">
      <c r="A348" s="2765">
        <f t="shared" si="2"/>
        <v>2022.03</v>
      </c>
      <c r="B348" s="2635">
        <v>136.12</v>
      </c>
      <c r="C348" s="2635">
        <v>139.94999999999999</v>
      </c>
      <c r="D348" s="2636">
        <v>137.36000000000001</v>
      </c>
      <c r="E348" s="2637">
        <v>141.34</v>
      </c>
      <c r="F348" s="2636">
        <v>131.69</v>
      </c>
      <c r="G348" s="2637">
        <v>146.38</v>
      </c>
      <c r="H348" s="2636">
        <v>136.97</v>
      </c>
      <c r="I348" s="2637">
        <v>129.03</v>
      </c>
      <c r="J348" s="2636">
        <v>123.98</v>
      </c>
      <c r="K348" s="2636">
        <v>129.37</v>
      </c>
      <c r="L348" s="2636">
        <v>141.33000000000001</v>
      </c>
      <c r="M348" s="2637">
        <v>149.29</v>
      </c>
      <c r="N348" s="2636">
        <v>133.22999999999999</v>
      </c>
      <c r="O348" s="2638">
        <v>130.32</v>
      </c>
    </row>
    <row r="349" spans="1:15">
      <c r="A349" s="2765">
        <f t="shared" si="2"/>
        <v>2022.04</v>
      </c>
      <c r="B349" s="2635">
        <v>143.28</v>
      </c>
      <c r="C349" s="2635">
        <v>148.57</v>
      </c>
      <c r="D349" s="2636">
        <v>142.52000000000001</v>
      </c>
      <c r="E349" s="2637">
        <v>153.09</v>
      </c>
      <c r="F349" s="2636">
        <v>136.81</v>
      </c>
      <c r="G349" s="2637">
        <v>150.43</v>
      </c>
      <c r="H349" s="2636">
        <v>144.07</v>
      </c>
      <c r="I349" s="2637">
        <v>139.06</v>
      </c>
      <c r="J349" s="2636">
        <v>128.66999999999999</v>
      </c>
      <c r="K349" s="2636">
        <v>136.54</v>
      </c>
      <c r="L349" s="2636">
        <v>149.01</v>
      </c>
      <c r="M349" s="2637">
        <v>155.9</v>
      </c>
      <c r="N349" s="2636">
        <v>138.13</v>
      </c>
      <c r="O349" s="2638">
        <v>137</v>
      </c>
    </row>
    <row r="350" spans="1:15">
      <c r="A350" s="2765">
        <f t="shared" si="2"/>
        <v>2022.05</v>
      </c>
      <c r="B350" s="2635">
        <v>151.18</v>
      </c>
      <c r="C350" s="2635">
        <v>155.91</v>
      </c>
      <c r="D350" s="2636">
        <v>149.34</v>
      </c>
      <c r="E350" s="2637">
        <v>161.15</v>
      </c>
      <c r="F350" s="2636">
        <v>145.72999999999999</v>
      </c>
      <c r="G350" s="2637">
        <v>161.29</v>
      </c>
      <c r="H350" s="2636">
        <v>154.41</v>
      </c>
      <c r="I350" s="2637">
        <v>145.28</v>
      </c>
      <c r="J350" s="2636">
        <v>137.25</v>
      </c>
      <c r="K350" s="2636">
        <v>140.94999999999999</v>
      </c>
      <c r="L350" s="2636">
        <v>151.66</v>
      </c>
      <c r="M350" s="2637">
        <v>165.01</v>
      </c>
      <c r="N350" s="2636">
        <v>141.6</v>
      </c>
      <c r="O350" s="2638">
        <v>146.33000000000001</v>
      </c>
    </row>
    <row r="351" spans="1:15">
      <c r="A351" s="2765">
        <f t="shared" si="2"/>
        <v>2022.06</v>
      </c>
      <c r="B351" s="2635">
        <v>158.91999999999999</v>
      </c>
      <c r="C351" s="2635">
        <v>164.46</v>
      </c>
      <c r="D351" s="2636">
        <v>158.35</v>
      </c>
      <c r="E351" s="2637">
        <v>170.09</v>
      </c>
      <c r="F351" s="2636">
        <v>153.59</v>
      </c>
      <c r="G351" s="2637">
        <v>173.77</v>
      </c>
      <c r="H351" s="2636">
        <v>167.06</v>
      </c>
      <c r="I351" s="2637">
        <v>151.29</v>
      </c>
      <c r="J351" s="2636">
        <v>139.07</v>
      </c>
      <c r="K351" s="2636">
        <v>145.5</v>
      </c>
      <c r="L351" s="2636">
        <v>154.99</v>
      </c>
      <c r="M351" s="2637">
        <v>174.13</v>
      </c>
      <c r="N351" s="2636">
        <v>145.44</v>
      </c>
      <c r="O351" s="2638">
        <v>153.72999999999999</v>
      </c>
    </row>
    <row r="352" spans="1:15">
      <c r="A352" s="2765">
        <f t="shared" si="2"/>
        <v>2022.07</v>
      </c>
      <c r="B352" s="2635">
        <v>171.1</v>
      </c>
      <c r="C352" s="2635">
        <v>177.07</v>
      </c>
      <c r="D352" s="2636">
        <v>171.24</v>
      </c>
      <c r="E352" s="2637">
        <v>186.13</v>
      </c>
      <c r="F352" s="2636">
        <v>164.49</v>
      </c>
      <c r="G352" s="2637">
        <v>184.34</v>
      </c>
      <c r="H352" s="2636">
        <v>175.63</v>
      </c>
      <c r="I352" s="2637">
        <v>156.04</v>
      </c>
      <c r="J352" s="2636">
        <v>149.71</v>
      </c>
      <c r="K352" s="2636">
        <v>164.8</v>
      </c>
      <c r="L352" s="2636">
        <v>163.33000000000001</v>
      </c>
      <c r="M352" s="2637">
        <v>195.6</v>
      </c>
      <c r="N352" s="2636">
        <v>151.63999999999999</v>
      </c>
      <c r="O352" s="2638">
        <v>167.64</v>
      </c>
    </row>
    <row r="353" spans="1:15">
      <c r="A353" s="2765">
        <f t="shared" si="2"/>
        <v>2022.08</v>
      </c>
      <c r="B353" s="2635">
        <v>181.72</v>
      </c>
      <c r="C353" s="2635">
        <v>189.56</v>
      </c>
      <c r="D353" s="2636">
        <v>182.64</v>
      </c>
      <c r="E353" s="2637">
        <v>203.04</v>
      </c>
      <c r="F353" s="2636">
        <v>171.37</v>
      </c>
      <c r="G353" s="2637">
        <v>199.56</v>
      </c>
      <c r="H353" s="2636">
        <v>191.38</v>
      </c>
      <c r="I353" s="2637">
        <v>164.04</v>
      </c>
      <c r="J353" s="2636">
        <v>155.88</v>
      </c>
      <c r="K353" s="2636">
        <v>173.15</v>
      </c>
      <c r="L353" s="2636">
        <v>175.81</v>
      </c>
      <c r="M353" s="2637">
        <v>206.39</v>
      </c>
      <c r="N353" s="2636">
        <v>162.59</v>
      </c>
      <c r="O353" s="2638">
        <v>179.65</v>
      </c>
    </row>
    <row r="354" spans="1:15">
      <c r="A354" s="2765">
        <f t="shared" si="2"/>
        <v>2022.09</v>
      </c>
      <c r="B354" s="2635">
        <v>191.95</v>
      </c>
      <c r="C354" s="2635">
        <v>202.96</v>
      </c>
      <c r="D354" s="2636">
        <v>200.88</v>
      </c>
      <c r="E354" s="2637">
        <v>222.01</v>
      </c>
      <c r="F354" s="2636">
        <v>181.6</v>
      </c>
      <c r="G354" s="2637">
        <v>210.95</v>
      </c>
      <c r="H354" s="2636">
        <v>194.23</v>
      </c>
      <c r="I354" s="2637">
        <v>178.52</v>
      </c>
      <c r="J354" s="2636">
        <v>160.61000000000001</v>
      </c>
      <c r="K354" s="2636">
        <v>182.47</v>
      </c>
      <c r="L354" s="2636">
        <v>177.4</v>
      </c>
      <c r="M354" s="2637">
        <v>214.75</v>
      </c>
      <c r="N354" s="2636">
        <v>171.52</v>
      </c>
      <c r="O354" s="2638">
        <v>190.22</v>
      </c>
    </row>
    <row r="355" spans="1:15">
      <c r="A355" s="2765">
        <f t="shared" si="2"/>
        <v>2022.1</v>
      </c>
      <c r="B355" s="2635">
        <v>205.31</v>
      </c>
      <c r="C355" s="2635">
        <v>217.09</v>
      </c>
      <c r="D355" s="2636">
        <v>213.76</v>
      </c>
      <c r="E355" s="2637">
        <v>235.49</v>
      </c>
      <c r="F355" s="2637">
        <v>192.12</v>
      </c>
      <c r="G355" s="2636">
        <v>224.84</v>
      </c>
      <c r="H355" s="2637">
        <v>211.48</v>
      </c>
      <c r="I355" s="2636">
        <v>185.72</v>
      </c>
      <c r="J355" s="2636">
        <v>172.6</v>
      </c>
      <c r="K355" s="2636">
        <v>193.86</v>
      </c>
      <c r="L355" s="2636">
        <v>201.25</v>
      </c>
      <c r="M355" s="2637">
        <v>234.68</v>
      </c>
      <c r="N355" s="2636">
        <v>179.09</v>
      </c>
      <c r="O355" s="2638">
        <v>199.59</v>
      </c>
    </row>
    <row r="356" spans="1:15">
      <c r="A356" s="2765">
        <f t="shared" si="2"/>
        <v>2022.11</v>
      </c>
      <c r="B356" s="2635">
        <v>217.2</v>
      </c>
      <c r="C356" s="2635">
        <v>226.29</v>
      </c>
      <c r="D356" s="2636">
        <v>227.63</v>
      </c>
      <c r="E356" s="2637">
        <v>243.88</v>
      </c>
      <c r="F356" s="2637">
        <v>215.95</v>
      </c>
      <c r="G356" s="2636">
        <v>237.31</v>
      </c>
      <c r="H356" s="2637">
        <v>215.49</v>
      </c>
      <c r="I356" s="2636">
        <v>196.26</v>
      </c>
      <c r="J356" s="2636">
        <v>179.11</v>
      </c>
      <c r="K356" s="2636">
        <v>207.63</v>
      </c>
      <c r="L356" s="2636">
        <v>203.51</v>
      </c>
      <c r="M356" s="2637">
        <v>248.5</v>
      </c>
      <c r="N356" s="2636">
        <v>193.62</v>
      </c>
      <c r="O356" s="2638">
        <v>208.14</v>
      </c>
    </row>
    <row r="357" spans="1:15">
      <c r="A357" s="2765">
        <f t="shared" si="2"/>
        <v>2022.12</v>
      </c>
      <c r="B357" s="2635">
        <v>229.69</v>
      </c>
      <c r="C357" s="2635">
        <v>236.84</v>
      </c>
      <c r="D357" s="2636">
        <v>244.51</v>
      </c>
      <c r="E357" s="2637">
        <v>259.99</v>
      </c>
      <c r="F357" s="2636">
        <v>229.62</v>
      </c>
      <c r="G357" s="2637">
        <v>253.1</v>
      </c>
      <c r="H357" s="2636">
        <v>228.99</v>
      </c>
      <c r="I357" s="2637">
        <v>203.27</v>
      </c>
      <c r="J357" s="2636">
        <v>182.67</v>
      </c>
      <c r="K357" s="2636">
        <v>215.39</v>
      </c>
      <c r="L357" s="2636">
        <v>221.04</v>
      </c>
      <c r="M357" s="2637">
        <v>270.81</v>
      </c>
      <c r="N357" s="2636">
        <v>207</v>
      </c>
      <c r="O357" s="2638">
        <v>219.84</v>
      </c>
    </row>
    <row r="358" spans="1:15">
      <c r="A358" s="2765">
        <f t="shared" si="2"/>
        <v>2023.01</v>
      </c>
      <c r="B358" s="2635">
        <v>246.41</v>
      </c>
      <c r="C358" s="2635">
        <v>251.38</v>
      </c>
      <c r="D358" s="2636">
        <v>259.81</v>
      </c>
      <c r="E358" s="2637">
        <v>266</v>
      </c>
      <c r="F358" s="2636">
        <v>243.45</v>
      </c>
      <c r="G358" s="2637">
        <v>265.87</v>
      </c>
      <c r="H358" s="2636">
        <v>242.21</v>
      </c>
      <c r="I358" s="2637">
        <v>225.89</v>
      </c>
      <c r="J358" s="2636">
        <v>204.85</v>
      </c>
      <c r="K358" s="2636">
        <v>237.47</v>
      </c>
      <c r="L358" s="2636">
        <v>222.32</v>
      </c>
      <c r="M358" s="2637">
        <v>302.17</v>
      </c>
      <c r="N358" s="2636">
        <v>226</v>
      </c>
      <c r="O358" s="2638">
        <v>234.24</v>
      </c>
    </row>
    <row r="359" spans="1:15">
      <c r="A359" s="2765">
        <f t="shared" si="2"/>
        <v>2023.02</v>
      </c>
      <c r="B359" s="2635">
        <v>261.19</v>
      </c>
      <c r="C359" s="2635">
        <v>270.64</v>
      </c>
      <c r="D359" s="2636">
        <v>274.63</v>
      </c>
      <c r="E359" s="2637">
        <v>276.66000000000003</v>
      </c>
      <c r="F359" s="2636">
        <v>264.18</v>
      </c>
      <c r="G359" s="2637">
        <v>278.52999999999997</v>
      </c>
      <c r="H359" s="2636">
        <v>258.76</v>
      </c>
      <c r="I359" s="2637">
        <v>229.58</v>
      </c>
      <c r="J359" s="2636">
        <v>210.69</v>
      </c>
      <c r="K359" s="2636">
        <v>258.08999999999997</v>
      </c>
      <c r="L359" s="2636">
        <v>231.22</v>
      </c>
      <c r="M359" s="2637">
        <v>319.93</v>
      </c>
      <c r="N359" s="2636">
        <v>249.43</v>
      </c>
      <c r="O359" s="2638">
        <v>246.04</v>
      </c>
    </row>
    <row r="360" spans="1:15">
      <c r="A360" s="2765">
        <f t="shared" si="2"/>
        <v>2023.03</v>
      </c>
      <c r="B360" s="2635">
        <v>279.75</v>
      </c>
      <c r="C360" s="2635">
        <v>295.31</v>
      </c>
      <c r="D360" s="2636">
        <v>296.56</v>
      </c>
      <c r="E360" s="2637">
        <v>304.64999999999998</v>
      </c>
      <c r="F360" s="2636">
        <v>280.94</v>
      </c>
      <c r="G360" s="2637">
        <v>293.57</v>
      </c>
      <c r="H360" s="2636">
        <v>276.52</v>
      </c>
      <c r="I360" s="2637">
        <v>243.98</v>
      </c>
      <c r="J360" s="2636">
        <v>218.61</v>
      </c>
      <c r="K360" s="2636">
        <v>262.56</v>
      </c>
      <c r="L360" s="2636">
        <v>284.86</v>
      </c>
      <c r="M360" s="2637">
        <v>332.78</v>
      </c>
      <c r="N360" s="2636">
        <v>272.72000000000003</v>
      </c>
      <c r="O360" s="2638">
        <v>263.64</v>
      </c>
    </row>
    <row r="361" spans="1:15">
      <c r="A361" s="2765">
        <f t="shared" si="2"/>
        <v>2023.04</v>
      </c>
      <c r="B361" s="2635">
        <v>301.45999999999998</v>
      </c>
      <c r="C361" s="2635">
        <v>326.08999999999997</v>
      </c>
      <c r="D361" s="2636">
        <v>311.39</v>
      </c>
      <c r="E361" s="2637">
        <v>333.33</v>
      </c>
      <c r="F361" s="2636">
        <v>299.04000000000002</v>
      </c>
      <c r="G361" s="2637">
        <v>320.86</v>
      </c>
      <c r="H361" s="2636">
        <v>287.5</v>
      </c>
      <c r="I361" s="2637">
        <v>263.8</v>
      </c>
      <c r="J361" s="2636">
        <v>238.38</v>
      </c>
      <c r="K361" s="2636">
        <v>281.16000000000003</v>
      </c>
      <c r="L361" s="2636">
        <v>299.39999999999998</v>
      </c>
      <c r="M361" s="2637">
        <v>359.92</v>
      </c>
      <c r="N361" s="2636">
        <v>289.18</v>
      </c>
      <c r="O361" s="2638">
        <v>281.10000000000002</v>
      </c>
    </row>
    <row r="362" spans="1:15">
      <c r="A362" s="2765">
        <f t="shared" si="2"/>
        <v>2023.05</v>
      </c>
      <c r="B362" s="2635">
        <v>324.2</v>
      </c>
      <c r="C362" s="2635">
        <v>347.65</v>
      </c>
      <c r="D362" s="2636">
        <v>338.11</v>
      </c>
      <c r="E362" s="2637">
        <v>359.82</v>
      </c>
      <c r="F362" s="2636">
        <v>336.28</v>
      </c>
      <c r="G362" s="2637">
        <v>344.36</v>
      </c>
      <c r="H362" s="2636">
        <v>305.2</v>
      </c>
      <c r="I362" s="2637">
        <v>283.82</v>
      </c>
      <c r="J362" s="2636">
        <v>249.97</v>
      </c>
      <c r="K362" s="2636">
        <v>298.60000000000002</v>
      </c>
      <c r="L362" s="2636">
        <v>306.94</v>
      </c>
      <c r="M362" s="2637">
        <v>383.52</v>
      </c>
      <c r="N362" s="2636">
        <v>305.92</v>
      </c>
      <c r="O362" s="2638">
        <v>302.04000000000002</v>
      </c>
    </row>
    <row r="363" spans="1:15">
      <c r="A363" s="2765">
        <f t="shared" si="2"/>
        <v>2023.06</v>
      </c>
      <c r="B363" s="2635">
        <v>347.38</v>
      </c>
      <c r="C363" s="2782">
        <v>367.66</v>
      </c>
      <c r="D363" s="2636">
        <v>352.11</v>
      </c>
      <c r="E363" s="2637">
        <v>374.43</v>
      </c>
      <c r="F363" s="2636">
        <v>370.6</v>
      </c>
      <c r="G363" s="2637">
        <v>366.32</v>
      </c>
      <c r="H363" s="2636">
        <v>325.77999999999997</v>
      </c>
      <c r="I363" s="2637">
        <v>298.83</v>
      </c>
      <c r="J363" s="2636">
        <v>269.64999999999998</v>
      </c>
      <c r="K363" s="2636">
        <v>319.2</v>
      </c>
      <c r="L363" s="2636">
        <v>334.86</v>
      </c>
      <c r="M363" s="2637">
        <v>414.06</v>
      </c>
      <c r="N363" s="2636">
        <v>331.66</v>
      </c>
      <c r="O363" s="2638">
        <v>322.86</v>
      </c>
    </row>
    <row r="364" spans="1:15">
      <c r="A364" s="2765">
        <f t="shared" si="2"/>
        <v>2023.07</v>
      </c>
      <c r="B364" s="2635">
        <v>372.82</v>
      </c>
      <c r="C364" s="2782">
        <v>388.18</v>
      </c>
      <c r="D364" s="2636">
        <v>377.74</v>
      </c>
      <c r="E364" s="2637">
        <v>387.67</v>
      </c>
      <c r="F364" s="2636">
        <v>396.18</v>
      </c>
      <c r="G364" s="2637">
        <v>385.85</v>
      </c>
      <c r="H364" s="2636">
        <v>351.74</v>
      </c>
      <c r="I364" s="2637">
        <v>315.27</v>
      </c>
      <c r="J364" s="2636">
        <v>287.54000000000002</v>
      </c>
      <c r="K364" s="2636">
        <v>355.86</v>
      </c>
      <c r="L364" s="2636">
        <v>371.58</v>
      </c>
      <c r="M364" s="2637">
        <v>465.2</v>
      </c>
      <c r="N364" s="2636">
        <v>349.79</v>
      </c>
      <c r="O364" s="2638">
        <v>341.35</v>
      </c>
    </row>
    <row r="365" spans="1:15">
      <c r="A365" s="2765">
        <f t="shared" si="2"/>
        <v>2023.08</v>
      </c>
      <c r="B365" s="2635">
        <v>413.08</v>
      </c>
      <c r="C365" s="2782">
        <v>436.53</v>
      </c>
      <c r="D365" s="2636">
        <v>402.96</v>
      </c>
      <c r="E365" s="2637">
        <v>425.97</v>
      </c>
      <c r="F365" s="2636">
        <v>450.99</v>
      </c>
      <c r="G365" s="2637">
        <v>433.16</v>
      </c>
      <c r="H365" s="2636">
        <v>389.89</v>
      </c>
      <c r="I365" s="2637">
        <v>344.18</v>
      </c>
      <c r="J365" s="2636">
        <v>317.23</v>
      </c>
      <c r="K365" s="2636">
        <v>383.7</v>
      </c>
      <c r="L365" s="2636">
        <v>403.21</v>
      </c>
      <c r="M365" s="2637">
        <v>503.62</v>
      </c>
      <c r="N365" s="2636">
        <v>367.32</v>
      </c>
      <c r="O365" s="2638">
        <v>375.99</v>
      </c>
    </row>
    <row r="366" spans="1:15">
      <c r="A366" s="2765">
        <f t="shared" si="2"/>
        <v>2023.09</v>
      </c>
      <c r="B366" s="2635">
        <v>462.47</v>
      </c>
      <c r="C366" s="2782">
        <v>498.14</v>
      </c>
      <c r="D366" s="2636">
        <v>447.87</v>
      </c>
      <c r="E366" s="2637">
        <v>491.64</v>
      </c>
      <c r="F366" s="2636">
        <v>494.1</v>
      </c>
      <c r="G366" s="2637">
        <v>478.57</v>
      </c>
      <c r="H366" s="2636">
        <v>423.81</v>
      </c>
      <c r="I366" s="2637">
        <v>387.7</v>
      </c>
      <c r="J366" s="2636">
        <v>356.02</v>
      </c>
      <c r="K366" s="2636">
        <v>440.35</v>
      </c>
      <c r="L366" s="2636">
        <v>438.08</v>
      </c>
      <c r="M366" s="2637">
        <v>573.11</v>
      </c>
      <c r="N366" s="2636">
        <v>421.63</v>
      </c>
      <c r="O366" s="2638">
        <v>413.13</v>
      </c>
    </row>
    <row r="367" spans="1:15">
      <c r="A367" s="2765">
        <f t="shared" si="2"/>
        <v>2023.1</v>
      </c>
      <c r="B367" s="2635">
        <v>505.82</v>
      </c>
      <c r="C367" s="2782">
        <v>542.75</v>
      </c>
      <c r="D367" s="2636">
        <v>488.64</v>
      </c>
      <c r="E367" s="2637">
        <v>547.45000000000005</v>
      </c>
      <c r="F367" s="2636">
        <v>553.32000000000005</v>
      </c>
      <c r="G367" s="2637">
        <v>529.88</v>
      </c>
      <c r="H367" s="2636">
        <v>449.03</v>
      </c>
      <c r="I367" s="2637">
        <v>408.16</v>
      </c>
      <c r="J367" s="2636">
        <v>383.51</v>
      </c>
      <c r="K367" s="2636">
        <v>481.67</v>
      </c>
      <c r="L367" s="2636">
        <v>504.74</v>
      </c>
      <c r="M367" s="2637">
        <v>620.76</v>
      </c>
      <c r="N367" s="2636">
        <v>468.81</v>
      </c>
      <c r="O367" s="2638">
        <v>453.3</v>
      </c>
    </row>
    <row r="368" spans="1:15">
      <c r="A368" s="2765">
        <f t="shared" si="2"/>
        <v>2023.11</v>
      </c>
      <c r="B368" s="2635">
        <v>565.99</v>
      </c>
      <c r="C368" s="2782">
        <v>619.9</v>
      </c>
      <c r="D368" s="2636">
        <v>549.41</v>
      </c>
      <c r="E368" s="2637">
        <v>601.19000000000005</v>
      </c>
      <c r="F368" s="2636">
        <v>608.83000000000004</v>
      </c>
      <c r="G368" s="2637">
        <v>595.02</v>
      </c>
      <c r="H368" s="2636">
        <v>507.49</v>
      </c>
      <c r="I368" s="2637">
        <v>451.77</v>
      </c>
      <c r="J368" s="2636">
        <v>439.18</v>
      </c>
      <c r="K368" s="2636">
        <v>545.94000000000005</v>
      </c>
      <c r="L368" s="2636">
        <v>547.38</v>
      </c>
      <c r="M368" s="2637">
        <v>697.54</v>
      </c>
      <c r="N368" s="2636">
        <v>516.88</v>
      </c>
      <c r="O368" s="2638">
        <v>498.27</v>
      </c>
    </row>
    <row r="369" spans="1:15">
      <c r="A369" s="2765">
        <f t="shared" si="2"/>
        <v>2023.12</v>
      </c>
      <c r="B369" s="2635">
        <v>685.4</v>
      </c>
      <c r="C369" s="2782">
        <v>808.44</v>
      </c>
      <c r="D369" s="2636">
        <v>677.16</v>
      </c>
      <c r="E369" s="2637">
        <v>698.41</v>
      </c>
      <c r="F369" s="2636">
        <v>679.67</v>
      </c>
      <c r="G369" s="2637">
        <v>725.22</v>
      </c>
      <c r="H369" s="2636">
        <v>606.13</v>
      </c>
      <c r="I369" s="2637">
        <v>589.04</v>
      </c>
      <c r="J369" s="2636">
        <v>536.78</v>
      </c>
      <c r="K369" s="2636">
        <v>632.39</v>
      </c>
      <c r="L369" s="2636">
        <v>634.46</v>
      </c>
      <c r="M369" s="2637">
        <v>835.44</v>
      </c>
      <c r="N369" s="2636">
        <v>581.16</v>
      </c>
      <c r="O369" s="2638">
        <v>632.42999999999995</v>
      </c>
    </row>
    <row r="370" spans="1:15">
      <c r="A370" s="2765">
        <f t="shared" ref="A370:A393" si="3">A358+1</f>
        <v>2024.01</v>
      </c>
      <c r="B370" s="2635">
        <v>834.2</v>
      </c>
      <c r="C370" s="2782">
        <v>1013.41</v>
      </c>
      <c r="D370" s="2636">
        <v>831.04</v>
      </c>
      <c r="E370" s="2637">
        <v>772.56</v>
      </c>
      <c r="F370" s="2636">
        <v>747.54</v>
      </c>
      <c r="G370" s="2637">
        <v>871.91</v>
      </c>
      <c r="H370" s="2636">
        <v>789.71</v>
      </c>
      <c r="I370" s="2637">
        <v>787.26</v>
      </c>
      <c r="J370" s="2636">
        <v>626.28</v>
      </c>
      <c r="K370" s="2636">
        <v>825.58</v>
      </c>
      <c r="L370" s="2636">
        <v>643.97</v>
      </c>
      <c r="M370" s="2637">
        <v>1036.67</v>
      </c>
      <c r="N370" s="2636">
        <v>721.69</v>
      </c>
      <c r="O370" s="2638">
        <v>857.98</v>
      </c>
    </row>
    <row r="371" spans="1:15">
      <c r="A371" s="2765">
        <f t="shared" si="3"/>
        <v>2024.02</v>
      </c>
      <c r="B371" s="2635">
        <v>951.99</v>
      </c>
      <c r="C371" s="2782">
        <v>1161.94</v>
      </c>
      <c r="D371" s="2636">
        <v>1008.2</v>
      </c>
      <c r="E371" s="2637">
        <v>848.47</v>
      </c>
      <c r="F371" s="2636">
        <v>846.22</v>
      </c>
      <c r="G371" s="2637">
        <v>937.2</v>
      </c>
      <c r="H371" s="2636">
        <v>956.24</v>
      </c>
      <c r="I371" s="2637">
        <v>952.97</v>
      </c>
      <c r="J371" s="2636">
        <v>747.85</v>
      </c>
      <c r="K371" s="2636">
        <v>903.43</v>
      </c>
      <c r="L371" s="2636">
        <v>704.55</v>
      </c>
      <c r="M371" s="2637">
        <v>1119.3399999999999</v>
      </c>
      <c r="N371" s="2636">
        <v>938.23</v>
      </c>
      <c r="O371" s="2638">
        <v>981.07</v>
      </c>
    </row>
    <row r="372" spans="1:15">
      <c r="A372" s="2765">
        <f t="shared" si="3"/>
        <v>2024.03</v>
      </c>
      <c r="B372" s="2635">
        <v>1077.95</v>
      </c>
      <c r="C372" s="2782">
        <v>1290.1400000000001</v>
      </c>
      <c r="D372" s="2636">
        <v>1140.57</v>
      </c>
      <c r="E372" s="2637">
        <v>946.25</v>
      </c>
      <c r="F372" s="2636">
        <v>997.95</v>
      </c>
      <c r="G372" s="2637">
        <v>1018.01</v>
      </c>
      <c r="H372" s="2636">
        <v>1118.08</v>
      </c>
      <c r="I372" s="2637">
        <v>1033.81</v>
      </c>
      <c r="J372" s="2636">
        <v>931.42</v>
      </c>
      <c r="K372" s="2636">
        <v>957.98</v>
      </c>
      <c r="L372" s="2636">
        <v>963.53</v>
      </c>
      <c r="M372" s="2637">
        <v>1204.5</v>
      </c>
      <c r="N372" s="2636">
        <v>1078.8599999999999</v>
      </c>
      <c r="O372" s="2638">
        <v>1079.24</v>
      </c>
    </row>
    <row r="373" spans="1:15">
      <c r="A373" s="2765">
        <f t="shared" si="3"/>
        <v>2024.04</v>
      </c>
      <c r="B373" s="2635">
        <v>1183.17</v>
      </c>
      <c r="C373" s="2782">
        <v>1356.48</v>
      </c>
      <c r="D373" s="2636">
        <v>1207.2</v>
      </c>
      <c r="E373" s="2637">
        <v>1004.62</v>
      </c>
      <c r="F373" s="2636">
        <v>1226.76</v>
      </c>
      <c r="G373" s="2637">
        <v>1088.33</v>
      </c>
      <c r="H373" s="2636">
        <v>1263.6099999999999</v>
      </c>
      <c r="I373" s="2637">
        <v>1079.18</v>
      </c>
      <c r="J373" s="2636">
        <v>1040.49</v>
      </c>
      <c r="K373" s="2636">
        <v>992.27</v>
      </c>
      <c r="L373" s="2636">
        <v>1109.0899999999999</v>
      </c>
      <c r="M373" s="2637">
        <v>1278.48</v>
      </c>
      <c r="N373" s="2636">
        <v>1205.24</v>
      </c>
      <c r="O373" s="2638">
        <v>1149.54</v>
      </c>
    </row>
    <row r="374" spans="1:15">
      <c r="A374" s="2765">
        <f t="shared" si="3"/>
        <v>2024.05</v>
      </c>
      <c r="B374" s="2635" t="e">
        <v>#N/A</v>
      </c>
      <c r="C374" s="2782" t="e">
        <v>#N/A</v>
      </c>
      <c r="D374" s="2636" t="e">
        <v>#N/A</v>
      </c>
      <c r="E374" s="2637" t="e">
        <v>#N/A</v>
      </c>
      <c r="F374" s="2636" t="e">
        <v>#N/A</v>
      </c>
      <c r="G374" s="2637" t="e">
        <v>#N/A</v>
      </c>
      <c r="H374" s="2636" t="e">
        <v>#N/A</v>
      </c>
      <c r="I374" s="2637" t="e">
        <v>#N/A</v>
      </c>
      <c r="J374" s="2636" t="e">
        <v>#N/A</v>
      </c>
      <c r="K374" s="2636" t="e">
        <v>#N/A</v>
      </c>
      <c r="L374" s="2636" t="e">
        <v>#N/A</v>
      </c>
      <c r="M374" s="2637" t="e">
        <v>#N/A</v>
      </c>
      <c r="N374" s="2636" t="e">
        <v>#N/A</v>
      </c>
      <c r="O374" s="2638" t="e">
        <v>#N/A</v>
      </c>
    </row>
    <row r="375" spans="1:15">
      <c r="A375" s="2765">
        <f t="shared" si="3"/>
        <v>2024.06</v>
      </c>
      <c r="B375" s="2635" t="e">
        <v>#N/A</v>
      </c>
      <c r="C375" s="2635" t="e">
        <v>#N/A</v>
      </c>
      <c r="D375" s="2636" t="e">
        <v>#N/A</v>
      </c>
      <c r="E375" s="2637" t="e">
        <v>#N/A</v>
      </c>
      <c r="F375" s="2636" t="e">
        <v>#N/A</v>
      </c>
      <c r="G375" s="2637" t="e">
        <v>#N/A</v>
      </c>
      <c r="H375" s="2636" t="e">
        <v>#N/A</v>
      </c>
      <c r="I375" s="2637" t="e">
        <v>#N/A</v>
      </c>
      <c r="J375" s="2636" t="e">
        <v>#N/A</v>
      </c>
      <c r="K375" s="2636" t="e">
        <v>#N/A</v>
      </c>
      <c r="L375" s="2636" t="e">
        <v>#N/A</v>
      </c>
      <c r="M375" s="2637" t="e">
        <v>#N/A</v>
      </c>
      <c r="N375" s="2636" t="e">
        <v>#N/A</v>
      </c>
      <c r="O375" s="2638" t="e">
        <v>#N/A</v>
      </c>
    </row>
    <row r="376" spans="1:15">
      <c r="A376" s="2765">
        <f t="shared" si="3"/>
        <v>2024.07</v>
      </c>
      <c r="B376" s="2635" t="e">
        <v>#N/A</v>
      </c>
      <c r="C376" s="2635" t="e">
        <v>#N/A</v>
      </c>
      <c r="D376" s="2636" t="e">
        <v>#N/A</v>
      </c>
      <c r="E376" s="2637" t="e">
        <v>#N/A</v>
      </c>
      <c r="F376" s="2636" t="e">
        <v>#N/A</v>
      </c>
      <c r="G376" s="2637" t="e">
        <v>#N/A</v>
      </c>
      <c r="H376" s="2636" t="e">
        <v>#N/A</v>
      </c>
      <c r="I376" s="2637" t="e">
        <v>#N/A</v>
      </c>
      <c r="J376" s="2636" t="e">
        <v>#N/A</v>
      </c>
      <c r="K376" s="2636" t="e">
        <v>#N/A</v>
      </c>
      <c r="L376" s="2636" t="e">
        <v>#N/A</v>
      </c>
      <c r="M376" s="2637" t="e">
        <v>#N/A</v>
      </c>
      <c r="N376" s="2636" t="e">
        <v>#N/A</v>
      </c>
      <c r="O376" s="2638" t="e">
        <v>#N/A</v>
      </c>
    </row>
    <row r="377" spans="1:15">
      <c r="A377" s="2765">
        <f t="shared" si="3"/>
        <v>2024.08</v>
      </c>
      <c r="B377" s="2635" t="e">
        <v>#N/A</v>
      </c>
      <c r="C377" s="2635" t="e">
        <v>#N/A</v>
      </c>
      <c r="D377" s="2636" t="e">
        <v>#N/A</v>
      </c>
      <c r="E377" s="2637" t="e">
        <v>#N/A</v>
      </c>
      <c r="F377" s="2636" t="e">
        <v>#N/A</v>
      </c>
      <c r="G377" s="2637" t="e">
        <v>#N/A</v>
      </c>
      <c r="H377" s="2636" t="e">
        <v>#N/A</v>
      </c>
      <c r="I377" s="2637" t="e">
        <v>#N/A</v>
      </c>
      <c r="J377" s="2636" t="e">
        <v>#N/A</v>
      </c>
      <c r="K377" s="2636" t="e">
        <v>#N/A</v>
      </c>
      <c r="L377" s="2636" t="e">
        <v>#N/A</v>
      </c>
      <c r="M377" s="2637" t="e">
        <v>#N/A</v>
      </c>
      <c r="N377" s="2636" t="e">
        <v>#N/A</v>
      </c>
      <c r="O377" s="2638" t="e">
        <v>#N/A</v>
      </c>
    </row>
    <row r="378" spans="1:15">
      <c r="A378" s="2765">
        <f t="shared" si="3"/>
        <v>2024.09</v>
      </c>
      <c r="B378" s="2635" t="e">
        <v>#N/A</v>
      </c>
      <c r="C378" s="2635" t="e">
        <v>#N/A</v>
      </c>
      <c r="D378" s="2636" t="e">
        <v>#N/A</v>
      </c>
      <c r="E378" s="2637" t="e">
        <v>#N/A</v>
      </c>
      <c r="F378" s="2636" t="e">
        <v>#N/A</v>
      </c>
      <c r="G378" s="2637" t="e">
        <v>#N/A</v>
      </c>
      <c r="H378" s="2636" t="e">
        <v>#N/A</v>
      </c>
      <c r="I378" s="2637" t="e">
        <v>#N/A</v>
      </c>
      <c r="J378" s="2636" t="e">
        <v>#N/A</v>
      </c>
      <c r="K378" s="2636" t="e">
        <v>#N/A</v>
      </c>
      <c r="L378" s="2636" t="e">
        <v>#N/A</v>
      </c>
      <c r="M378" s="2637" t="e">
        <v>#N/A</v>
      </c>
      <c r="N378" s="2636" t="e">
        <v>#N/A</v>
      </c>
      <c r="O378" s="2638" t="e">
        <v>#N/A</v>
      </c>
    </row>
    <row r="379" spans="1:15">
      <c r="A379" s="2765">
        <f t="shared" si="3"/>
        <v>2024.1</v>
      </c>
      <c r="B379" s="2635" t="e">
        <v>#N/A</v>
      </c>
      <c r="C379" s="2635" t="e">
        <v>#N/A</v>
      </c>
      <c r="D379" s="2636" t="e">
        <v>#N/A</v>
      </c>
      <c r="E379" s="2637" t="e">
        <v>#N/A</v>
      </c>
      <c r="F379" s="2636" t="e">
        <v>#N/A</v>
      </c>
      <c r="G379" s="2637" t="e">
        <v>#N/A</v>
      </c>
      <c r="H379" s="2636" t="e">
        <v>#N/A</v>
      </c>
      <c r="I379" s="2637" t="e">
        <v>#N/A</v>
      </c>
      <c r="J379" s="2636" t="e">
        <v>#N/A</v>
      </c>
      <c r="K379" s="2636" t="e">
        <v>#N/A</v>
      </c>
      <c r="L379" s="2636" t="e">
        <v>#N/A</v>
      </c>
      <c r="M379" s="2637" t="e">
        <v>#N/A</v>
      </c>
      <c r="N379" s="2636" t="e">
        <v>#N/A</v>
      </c>
      <c r="O379" s="2638" t="e">
        <v>#N/A</v>
      </c>
    </row>
    <row r="380" spans="1:15">
      <c r="A380" s="2765">
        <f t="shared" si="3"/>
        <v>2024.11</v>
      </c>
      <c r="B380" s="2635" t="e">
        <v>#N/A</v>
      </c>
      <c r="C380" s="2635" t="e">
        <v>#N/A</v>
      </c>
      <c r="D380" s="2636" t="e">
        <v>#N/A</v>
      </c>
      <c r="E380" s="2637" t="e">
        <v>#N/A</v>
      </c>
      <c r="F380" s="2636" t="e">
        <v>#N/A</v>
      </c>
      <c r="G380" s="2637" t="e">
        <v>#N/A</v>
      </c>
      <c r="H380" s="2636" t="e">
        <v>#N/A</v>
      </c>
      <c r="I380" s="2637" t="e">
        <v>#N/A</v>
      </c>
      <c r="J380" s="2636" t="e">
        <v>#N/A</v>
      </c>
      <c r="K380" s="2636" t="e">
        <v>#N/A</v>
      </c>
      <c r="L380" s="2636" t="e">
        <v>#N/A</v>
      </c>
      <c r="M380" s="2637" t="e">
        <v>#N/A</v>
      </c>
      <c r="N380" s="2636" t="e">
        <v>#N/A</v>
      </c>
      <c r="O380" s="2638" t="e">
        <v>#N/A</v>
      </c>
    </row>
    <row r="381" spans="1:15">
      <c r="A381" s="2765">
        <f t="shared" si="3"/>
        <v>2024.12</v>
      </c>
      <c r="B381" s="2635" t="e">
        <v>#N/A</v>
      </c>
      <c r="C381" s="2635" t="e">
        <v>#N/A</v>
      </c>
      <c r="D381" s="2636" t="e">
        <v>#N/A</v>
      </c>
      <c r="E381" s="2637" t="e">
        <v>#N/A</v>
      </c>
      <c r="F381" s="2636" t="e">
        <v>#N/A</v>
      </c>
      <c r="G381" s="2637" t="e">
        <v>#N/A</v>
      </c>
      <c r="H381" s="2636" t="e">
        <v>#N/A</v>
      </c>
      <c r="I381" s="2637" t="e">
        <v>#N/A</v>
      </c>
      <c r="J381" s="2636" t="e">
        <v>#N/A</v>
      </c>
      <c r="K381" s="2636" t="e">
        <v>#N/A</v>
      </c>
      <c r="L381" s="2636" t="e">
        <v>#N/A</v>
      </c>
      <c r="M381" s="2637" t="e">
        <v>#N/A</v>
      </c>
      <c r="N381" s="2636" t="e">
        <v>#N/A</v>
      </c>
      <c r="O381" s="2638" t="e">
        <v>#N/A</v>
      </c>
    </row>
    <row r="382" spans="1:15">
      <c r="A382" s="2765">
        <f t="shared" si="3"/>
        <v>2025.01</v>
      </c>
      <c r="B382" s="2635" t="e">
        <v>#N/A</v>
      </c>
      <c r="C382" s="2635" t="e">
        <v>#N/A</v>
      </c>
      <c r="D382" s="2636" t="e">
        <v>#N/A</v>
      </c>
      <c r="E382" s="2637" t="e">
        <v>#N/A</v>
      </c>
      <c r="F382" s="2636" t="e">
        <v>#N/A</v>
      </c>
      <c r="G382" s="2637" t="e">
        <v>#N/A</v>
      </c>
      <c r="H382" s="2636" t="e">
        <v>#N/A</v>
      </c>
      <c r="I382" s="2637" t="e">
        <v>#N/A</v>
      </c>
      <c r="J382" s="2636" t="e">
        <v>#N/A</v>
      </c>
      <c r="K382" s="2636" t="e">
        <v>#N/A</v>
      </c>
      <c r="L382" s="2636" t="e">
        <v>#N/A</v>
      </c>
      <c r="M382" s="2637" t="e">
        <v>#N/A</v>
      </c>
      <c r="N382" s="2636" t="e">
        <v>#N/A</v>
      </c>
      <c r="O382" s="2638" t="e">
        <v>#N/A</v>
      </c>
    </row>
    <row r="383" spans="1:15">
      <c r="A383" s="2765">
        <f t="shared" si="3"/>
        <v>2025.02</v>
      </c>
      <c r="B383" s="2635" t="e">
        <v>#N/A</v>
      </c>
      <c r="C383" s="2635" t="e">
        <v>#N/A</v>
      </c>
      <c r="D383" s="2636" t="e">
        <v>#N/A</v>
      </c>
      <c r="E383" s="2637" t="e">
        <v>#N/A</v>
      </c>
      <c r="F383" s="2636" t="e">
        <v>#N/A</v>
      </c>
      <c r="G383" s="2637" t="e">
        <v>#N/A</v>
      </c>
      <c r="H383" s="2636" t="e">
        <v>#N/A</v>
      </c>
      <c r="I383" s="2637" t="e">
        <v>#N/A</v>
      </c>
      <c r="J383" s="2636" t="e">
        <v>#N/A</v>
      </c>
      <c r="K383" s="2636" t="e">
        <v>#N/A</v>
      </c>
      <c r="L383" s="2636" t="e">
        <v>#N/A</v>
      </c>
      <c r="M383" s="2637" t="e">
        <v>#N/A</v>
      </c>
      <c r="N383" s="2636" t="e">
        <v>#N/A</v>
      </c>
      <c r="O383" s="2638" t="e">
        <v>#N/A</v>
      </c>
    </row>
    <row r="384" spans="1:15">
      <c r="A384" s="2765">
        <f t="shared" si="3"/>
        <v>2025.03</v>
      </c>
      <c r="B384" s="2635" t="e">
        <v>#N/A</v>
      </c>
      <c r="C384" s="2635" t="e">
        <v>#N/A</v>
      </c>
      <c r="D384" s="2636" t="e">
        <v>#N/A</v>
      </c>
      <c r="E384" s="2637" t="e">
        <v>#N/A</v>
      </c>
      <c r="F384" s="2636" t="e">
        <v>#N/A</v>
      </c>
      <c r="G384" s="2637" t="e">
        <v>#N/A</v>
      </c>
      <c r="H384" s="2636" t="e">
        <v>#N/A</v>
      </c>
      <c r="I384" s="2637" t="e">
        <v>#N/A</v>
      </c>
      <c r="J384" s="2636" t="e">
        <v>#N/A</v>
      </c>
      <c r="K384" s="2636" t="e">
        <v>#N/A</v>
      </c>
      <c r="L384" s="2636" t="e">
        <v>#N/A</v>
      </c>
      <c r="M384" s="2637" t="e">
        <v>#N/A</v>
      </c>
      <c r="N384" s="2636" t="e">
        <v>#N/A</v>
      </c>
      <c r="O384" s="2638" t="e">
        <v>#N/A</v>
      </c>
    </row>
    <row r="385" spans="1:15">
      <c r="A385" s="2765">
        <f t="shared" si="3"/>
        <v>2025.04</v>
      </c>
      <c r="B385" s="2635" t="e">
        <v>#N/A</v>
      </c>
      <c r="C385" s="2635" t="e">
        <v>#N/A</v>
      </c>
      <c r="D385" s="2636" t="e">
        <v>#N/A</v>
      </c>
      <c r="E385" s="2637" t="e">
        <v>#N/A</v>
      </c>
      <c r="F385" s="2636" t="e">
        <v>#N/A</v>
      </c>
      <c r="G385" s="2637" t="e">
        <v>#N/A</v>
      </c>
      <c r="H385" s="2636" t="e">
        <v>#N/A</v>
      </c>
      <c r="I385" s="2637" t="e">
        <v>#N/A</v>
      </c>
      <c r="J385" s="2636" t="e">
        <v>#N/A</v>
      </c>
      <c r="K385" s="2636" t="e">
        <v>#N/A</v>
      </c>
      <c r="L385" s="2636" t="e">
        <v>#N/A</v>
      </c>
      <c r="M385" s="2637" t="e">
        <v>#N/A</v>
      </c>
      <c r="N385" s="2636" t="e">
        <v>#N/A</v>
      </c>
      <c r="O385" s="2638" t="e">
        <v>#N/A</v>
      </c>
    </row>
    <row r="386" spans="1:15">
      <c r="A386" s="2765">
        <f t="shared" si="3"/>
        <v>2025.05</v>
      </c>
      <c r="B386" s="2635" t="e">
        <v>#N/A</v>
      </c>
      <c r="C386" s="2635" t="e">
        <v>#N/A</v>
      </c>
      <c r="D386" s="2636" t="e">
        <v>#N/A</v>
      </c>
      <c r="E386" s="2637" t="e">
        <v>#N/A</v>
      </c>
      <c r="F386" s="2636" t="e">
        <v>#N/A</v>
      </c>
      <c r="G386" s="2637" t="e">
        <v>#N/A</v>
      </c>
      <c r="H386" s="2636" t="e">
        <v>#N/A</v>
      </c>
      <c r="I386" s="2637" t="e">
        <v>#N/A</v>
      </c>
      <c r="J386" s="2636" t="e">
        <v>#N/A</v>
      </c>
      <c r="K386" s="2636" t="e">
        <v>#N/A</v>
      </c>
      <c r="L386" s="2636" t="e">
        <v>#N/A</v>
      </c>
      <c r="M386" s="2637" t="e">
        <v>#N/A</v>
      </c>
      <c r="N386" s="2636" t="e">
        <v>#N/A</v>
      </c>
      <c r="O386" s="2638" t="e">
        <v>#N/A</v>
      </c>
    </row>
    <row r="387" spans="1:15">
      <c r="A387" s="2765">
        <f t="shared" si="3"/>
        <v>2025.06</v>
      </c>
      <c r="B387" s="2635" t="e">
        <v>#N/A</v>
      </c>
      <c r="C387" s="2635" t="e">
        <v>#N/A</v>
      </c>
      <c r="D387" s="2636" t="e">
        <v>#N/A</v>
      </c>
      <c r="E387" s="2637" t="e">
        <v>#N/A</v>
      </c>
      <c r="F387" s="2636" t="e">
        <v>#N/A</v>
      </c>
      <c r="G387" s="2637" t="e">
        <v>#N/A</v>
      </c>
      <c r="H387" s="2636" t="e">
        <v>#N/A</v>
      </c>
      <c r="I387" s="2637" t="e">
        <v>#N/A</v>
      </c>
      <c r="J387" s="2636" t="e">
        <v>#N/A</v>
      </c>
      <c r="K387" s="2636" t="e">
        <v>#N/A</v>
      </c>
      <c r="L387" s="2636" t="e">
        <v>#N/A</v>
      </c>
      <c r="M387" s="2637" t="e">
        <v>#N/A</v>
      </c>
      <c r="N387" s="2636" t="e">
        <v>#N/A</v>
      </c>
      <c r="O387" s="2638" t="e">
        <v>#N/A</v>
      </c>
    </row>
    <row r="388" spans="1:15">
      <c r="A388" s="2765">
        <f t="shared" si="3"/>
        <v>2025.07</v>
      </c>
      <c r="B388" s="2635" t="e">
        <v>#N/A</v>
      </c>
      <c r="C388" s="2635" t="e">
        <v>#N/A</v>
      </c>
      <c r="D388" s="2636" t="e">
        <v>#N/A</v>
      </c>
      <c r="E388" s="2637" t="e">
        <v>#N/A</v>
      </c>
      <c r="F388" s="2636" t="e">
        <v>#N/A</v>
      </c>
      <c r="G388" s="2637" t="e">
        <v>#N/A</v>
      </c>
      <c r="H388" s="2636" t="e">
        <v>#N/A</v>
      </c>
      <c r="I388" s="2637" t="e">
        <v>#N/A</v>
      </c>
      <c r="J388" s="2636" t="e">
        <v>#N/A</v>
      </c>
      <c r="K388" s="2636" t="e">
        <v>#N/A</v>
      </c>
      <c r="L388" s="2636" t="e">
        <v>#N/A</v>
      </c>
      <c r="M388" s="2637" t="e">
        <v>#N/A</v>
      </c>
      <c r="N388" s="2636" t="e">
        <v>#N/A</v>
      </c>
      <c r="O388" s="2638" t="e">
        <v>#N/A</v>
      </c>
    </row>
    <row r="389" spans="1:15">
      <c r="A389" s="2765">
        <f t="shared" si="3"/>
        <v>2025.08</v>
      </c>
      <c r="B389" s="2635" t="e">
        <v>#N/A</v>
      </c>
      <c r="C389" s="2635" t="e">
        <v>#N/A</v>
      </c>
      <c r="D389" s="2636" t="e">
        <v>#N/A</v>
      </c>
      <c r="E389" s="2637" t="e">
        <v>#N/A</v>
      </c>
      <c r="F389" s="2636" t="e">
        <v>#N/A</v>
      </c>
      <c r="G389" s="2637" t="e">
        <v>#N/A</v>
      </c>
      <c r="H389" s="2636" t="e">
        <v>#N/A</v>
      </c>
      <c r="I389" s="2637" t="e">
        <v>#N/A</v>
      </c>
      <c r="J389" s="2636" t="e">
        <v>#N/A</v>
      </c>
      <c r="K389" s="2636" t="e">
        <v>#N/A</v>
      </c>
      <c r="L389" s="2636" t="e">
        <v>#N/A</v>
      </c>
      <c r="M389" s="2637" t="e">
        <v>#N/A</v>
      </c>
      <c r="N389" s="2636" t="e">
        <v>#N/A</v>
      </c>
      <c r="O389" s="2638" t="e">
        <v>#N/A</v>
      </c>
    </row>
    <row r="390" spans="1:15">
      <c r="A390" s="2765">
        <f t="shared" si="3"/>
        <v>2025.09</v>
      </c>
      <c r="B390" s="2635" t="e">
        <v>#N/A</v>
      </c>
      <c r="C390" s="2635" t="e">
        <v>#N/A</v>
      </c>
      <c r="D390" s="2636" t="e">
        <v>#N/A</v>
      </c>
      <c r="E390" s="2637" t="e">
        <v>#N/A</v>
      </c>
      <c r="F390" s="2636" t="e">
        <v>#N/A</v>
      </c>
      <c r="G390" s="2637" t="e">
        <v>#N/A</v>
      </c>
      <c r="H390" s="2636" t="e">
        <v>#N/A</v>
      </c>
      <c r="I390" s="2637" t="e">
        <v>#N/A</v>
      </c>
      <c r="J390" s="2636" t="e">
        <v>#N/A</v>
      </c>
      <c r="K390" s="2636" t="e">
        <v>#N/A</v>
      </c>
      <c r="L390" s="2636" t="e">
        <v>#N/A</v>
      </c>
      <c r="M390" s="2637" t="e">
        <v>#N/A</v>
      </c>
      <c r="N390" s="2636" t="e">
        <v>#N/A</v>
      </c>
      <c r="O390" s="2638" t="e">
        <v>#N/A</v>
      </c>
    </row>
    <row r="391" spans="1:15">
      <c r="A391" s="2765">
        <f t="shared" si="3"/>
        <v>2025.1</v>
      </c>
      <c r="B391" s="2635" t="e">
        <v>#N/A</v>
      </c>
      <c r="C391" s="2635" t="e">
        <v>#N/A</v>
      </c>
      <c r="D391" s="2636" t="e">
        <v>#N/A</v>
      </c>
      <c r="E391" s="2637" t="e">
        <v>#N/A</v>
      </c>
      <c r="F391" s="2636" t="e">
        <v>#N/A</v>
      </c>
      <c r="G391" s="2637" t="e">
        <v>#N/A</v>
      </c>
      <c r="H391" s="2636" t="e">
        <v>#N/A</v>
      </c>
      <c r="I391" s="2637" t="e">
        <v>#N/A</v>
      </c>
      <c r="J391" s="2636" t="e">
        <v>#N/A</v>
      </c>
      <c r="K391" s="2636" t="e">
        <v>#N/A</v>
      </c>
      <c r="L391" s="2636" t="e">
        <v>#N/A</v>
      </c>
      <c r="M391" s="2637" t="e">
        <v>#N/A</v>
      </c>
      <c r="N391" s="2636" t="e">
        <v>#N/A</v>
      </c>
      <c r="O391" s="2638" t="e">
        <v>#N/A</v>
      </c>
    </row>
    <row r="392" spans="1:15">
      <c r="A392" s="2765">
        <f t="shared" si="3"/>
        <v>2025.11</v>
      </c>
      <c r="B392" s="2635" t="e">
        <v>#N/A</v>
      </c>
      <c r="C392" s="2635" t="e">
        <v>#N/A</v>
      </c>
      <c r="D392" s="2636" t="e">
        <v>#N/A</v>
      </c>
      <c r="E392" s="2637" t="e">
        <v>#N/A</v>
      </c>
      <c r="F392" s="2636" t="e">
        <v>#N/A</v>
      </c>
      <c r="G392" s="2637" t="e">
        <v>#N/A</v>
      </c>
      <c r="H392" s="2636" t="e">
        <v>#N/A</v>
      </c>
      <c r="I392" s="2637" t="e">
        <v>#N/A</v>
      </c>
      <c r="J392" s="2636" t="e">
        <v>#N/A</v>
      </c>
      <c r="K392" s="2636" t="e">
        <v>#N/A</v>
      </c>
      <c r="L392" s="2636" t="e">
        <v>#N/A</v>
      </c>
      <c r="M392" s="2637" t="e">
        <v>#N/A</v>
      </c>
      <c r="N392" s="2636" t="e">
        <v>#N/A</v>
      </c>
      <c r="O392" s="2638" t="e">
        <v>#N/A</v>
      </c>
    </row>
    <row r="393" spans="1:15">
      <c r="A393" s="2765">
        <f t="shared" si="3"/>
        <v>2025.12</v>
      </c>
      <c r="B393" s="2635" t="e">
        <v>#N/A</v>
      </c>
      <c r="C393" s="2635" t="e">
        <v>#N/A</v>
      </c>
      <c r="D393" s="2636" t="e">
        <v>#N/A</v>
      </c>
      <c r="E393" s="2637" t="e">
        <v>#N/A</v>
      </c>
      <c r="F393" s="2636" t="e">
        <v>#N/A</v>
      </c>
      <c r="G393" s="2637" t="e">
        <v>#N/A</v>
      </c>
      <c r="H393" s="2636" t="e">
        <v>#N/A</v>
      </c>
      <c r="I393" s="2637" t="e">
        <v>#N/A</v>
      </c>
      <c r="J393" s="2636" t="e">
        <v>#N/A</v>
      </c>
      <c r="K393" s="2636" t="e">
        <v>#N/A</v>
      </c>
      <c r="L393" s="2636" t="e">
        <v>#N/A</v>
      </c>
      <c r="M393" s="2637" t="e">
        <v>#N/A</v>
      </c>
      <c r="N393" s="2636" t="e">
        <v>#N/A</v>
      </c>
      <c r="O393" s="2638" t="e">
        <v>#N/A</v>
      </c>
    </row>
    <row r="394" spans="1:15">
      <c r="A394" s="2765">
        <v>2026.01</v>
      </c>
      <c r="B394" s="2635" t="e">
        <v>#N/A</v>
      </c>
      <c r="C394" s="2635" t="e">
        <v>#N/A</v>
      </c>
      <c r="D394" s="2636" t="e">
        <v>#N/A</v>
      </c>
      <c r="E394" s="2637" t="e">
        <v>#N/A</v>
      </c>
      <c r="F394" s="2636" t="e">
        <v>#N/A</v>
      </c>
      <c r="G394" s="2637" t="e">
        <v>#N/A</v>
      </c>
      <c r="H394" s="2636" t="e">
        <v>#N/A</v>
      </c>
      <c r="I394" s="2637" t="e">
        <v>#N/A</v>
      </c>
      <c r="J394" s="2636" t="e">
        <v>#N/A</v>
      </c>
      <c r="K394" s="2636" t="e">
        <v>#N/A</v>
      </c>
      <c r="L394" s="2636" t="e">
        <v>#N/A</v>
      </c>
      <c r="M394" s="2637" t="e">
        <v>#N/A</v>
      </c>
      <c r="N394" s="2636" t="e">
        <v>#N/A</v>
      </c>
      <c r="O394" s="2638" t="e">
        <v>#N/A</v>
      </c>
    </row>
    <row r="395" spans="1:15">
      <c r="A395" s="2765">
        <v>2026.02</v>
      </c>
      <c r="B395" s="2635" t="e">
        <v>#N/A</v>
      </c>
      <c r="C395" s="2635" t="e">
        <v>#N/A</v>
      </c>
      <c r="D395" s="2636" t="e">
        <v>#N/A</v>
      </c>
      <c r="E395" s="2637" t="e">
        <v>#N/A</v>
      </c>
      <c r="F395" s="2636" t="e">
        <v>#N/A</v>
      </c>
      <c r="G395" s="2637" t="e">
        <v>#N/A</v>
      </c>
      <c r="H395" s="2636" t="e">
        <v>#N/A</v>
      </c>
      <c r="I395" s="2637" t="e">
        <v>#N/A</v>
      </c>
      <c r="J395" s="2636" t="e">
        <v>#N/A</v>
      </c>
      <c r="K395" s="2636" t="e">
        <v>#N/A</v>
      </c>
      <c r="L395" s="2636" t="e">
        <v>#N/A</v>
      </c>
      <c r="M395" s="2637" t="e">
        <v>#N/A</v>
      </c>
      <c r="N395" s="2636" t="e">
        <v>#N/A</v>
      </c>
      <c r="O395" s="2638" t="e">
        <v>#N/A</v>
      </c>
    </row>
    <row r="396" spans="1:15">
      <c r="A396" s="2765">
        <v>2026.03</v>
      </c>
      <c r="B396" s="2635" t="e">
        <v>#N/A</v>
      </c>
      <c r="C396" s="2635" t="e">
        <v>#N/A</v>
      </c>
      <c r="D396" s="2636" t="e">
        <v>#N/A</v>
      </c>
      <c r="E396" s="2637" t="e">
        <v>#N/A</v>
      </c>
      <c r="F396" s="2636" t="e">
        <v>#N/A</v>
      </c>
      <c r="G396" s="2637" t="e">
        <v>#N/A</v>
      </c>
      <c r="H396" s="2636" t="e">
        <v>#N/A</v>
      </c>
      <c r="I396" s="2637" t="e">
        <v>#N/A</v>
      </c>
      <c r="J396" s="2636" t="e">
        <v>#N/A</v>
      </c>
      <c r="K396" s="2636" t="e">
        <v>#N/A</v>
      </c>
      <c r="L396" s="2636" t="e">
        <v>#N/A</v>
      </c>
      <c r="M396" s="2637" t="e">
        <v>#N/A</v>
      </c>
      <c r="N396" s="2636" t="e">
        <v>#N/A</v>
      </c>
      <c r="O396" s="2638" t="e">
        <v>#N/A</v>
      </c>
    </row>
    <row r="397" spans="1:15">
      <c r="A397" s="2765">
        <v>2026.04</v>
      </c>
      <c r="B397" s="2635" t="e">
        <v>#N/A</v>
      </c>
      <c r="C397" s="2635" t="e">
        <v>#N/A</v>
      </c>
      <c r="D397" s="2636" t="e">
        <v>#N/A</v>
      </c>
      <c r="E397" s="2637" t="e">
        <v>#N/A</v>
      </c>
      <c r="F397" s="2636" t="e">
        <v>#N/A</v>
      </c>
      <c r="G397" s="2637" t="e">
        <v>#N/A</v>
      </c>
      <c r="H397" s="2636" t="e">
        <v>#N/A</v>
      </c>
      <c r="I397" s="2637" t="e">
        <v>#N/A</v>
      </c>
      <c r="J397" s="2636" t="e">
        <v>#N/A</v>
      </c>
      <c r="K397" s="2636" t="e">
        <v>#N/A</v>
      </c>
      <c r="L397" s="2636" t="e">
        <v>#N/A</v>
      </c>
      <c r="M397" s="2637" t="e">
        <v>#N/A</v>
      </c>
      <c r="N397" s="2636" t="e">
        <v>#N/A</v>
      </c>
      <c r="O397" s="2638" t="e">
        <v>#N/A</v>
      </c>
    </row>
    <row r="398" spans="1:15">
      <c r="A398" s="2765">
        <v>2026.05</v>
      </c>
      <c r="B398" s="2635" t="e">
        <v>#N/A</v>
      </c>
      <c r="C398" s="2635" t="e">
        <v>#N/A</v>
      </c>
      <c r="D398" s="2636" t="e">
        <v>#N/A</v>
      </c>
      <c r="E398" s="2637" t="e">
        <v>#N/A</v>
      </c>
      <c r="F398" s="2636" t="e">
        <v>#N/A</v>
      </c>
      <c r="G398" s="2637" t="e">
        <v>#N/A</v>
      </c>
      <c r="H398" s="2636" t="e">
        <v>#N/A</v>
      </c>
      <c r="I398" s="2637" t="e">
        <v>#N/A</v>
      </c>
      <c r="J398" s="2636" t="e">
        <v>#N/A</v>
      </c>
      <c r="K398" s="2636" t="e">
        <v>#N/A</v>
      </c>
      <c r="L398" s="2636" t="e">
        <v>#N/A</v>
      </c>
      <c r="M398" s="2637" t="e">
        <v>#N/A</v>
      </c>
      <c r="N398" s="2636" t="e">
        <v>#N/A</v>
      </c>
      <c r="O398" s="2638" t="e">
        <v>#N/A</v>
      </c>
    </row>
    <row r="399" spans="1:15">
      <c r="A399" s="2765">
        <v>2026.06</v>
      </c>
      <c r="B399" s="2635" t="e">
        <v>#N/A</v>
      </c>
      <c r="C399" s="2635" t="e">
        <v>#N/A</v>
      </c>
      <c r="D399" s="2636" t="e">
        <v>#N/A</v>
      </c>
      <c r="E399" s="2637" t="e">
        <v>#N/A</v>
      </c>
      <c r="F399" s="2636" t="e">
        <v>#N/A</v>
      </c>
      <c r="G399" s="2637" t="e">
        <v>#N/A</v>
      </c>
      <c r="H399" s="2636" t="e">
        <v>#N/A</v>
      </c>
      <c r="I399" s="2637" t="e">
        <v>#N/A</v>
      </c>
      <c r="J399" s="2636" t="e">
        <v>#N/A</v>
      </c>
      <c r="K399" s="2636" t="e">
        <v>#N/A</v>
      </c>
      <c r="L399" s="2636" t="e">
        <v>#N/A</v>
      </c>
      <c r="M399" s="2637" t="e">
        <v>#N/A</v>
      </c>
      <c r="N399" s="2636" t="e">
        <v>#N/A</v>
      </c>
      <c r="O399" s="2638" t="e">
        <v>#N/A</v>
      </c>
    </row>
    <row r="400" spans="1:15">
      <c r="A400" s="2765">
        <v>2026.07</v>
      </c>
      <c r="B400" s="2635" t="e">
        <v>#N/A</v>
      </c>
      <c r="C400" s="2635" t="e">
        <v>#N/A</v>
      </c>
      <c r="D400" s="2636" t="e">
        <v>#N/A</v>
      </c>
      <c r="E400" s="2637" t="e">
        <v>#N/A</v>
      </c>
      <c r="F400" s="2636" t="e">
        <v>#N/A</v>
      </c>
      <c r="G400" s="2637" t="e">
        <v>#N/A</v>
      </c>
      <c r="H400" s="2636" t="e">
        <v>#N/A</v>
      </c>
      <c r="I400" s="2637" t="e">
        <v>#N/A</v>
      </c>
      <c r="J400" s="2636" t="e">
        <v>#N/A</v>
      </c>
      <c r="K400" s="2636" t="e">
        <v>#N/A</v>
      </c>
      <c r="L400" s="2636" t="e">
        <v>#N/A</v>
      </c>
      <c r="M400" s="2637" t="e">
        <v>#N/A</v>
      </c>
      <c r="N400" s="2636" t="e">
        <v>#N/A</v>
      </c>
      <c r="O400" s="2638" t="e">
        <v>#N/A</v>
      </c>
    </row>
    <row r="401" spans="1:15">
      <c r="A401" s="2765">
        <v>2026.08</v>
      </c>
      <c r="B401" s="2635" t="e">
        <v>#N/A</v>
      </c>
      <c r="C401" s="2635" t="e">
        <v>#N/A</v>
      </c>
      <c r="D401" s="2636" t="e">
        <v>#N/A</v>
      </c>
      <c r="E401" s="2637" t="e">
        <v>#N/A</v>
      </c>
      <c r="F401" s="2636" t="e">
        <v>#N/A</v>
      </c>
      <c r="G401" s="2637" t="e">
        <v>#N/A</v>
      </c>
      <c r="H401" s="2636" t="e">
        <v>#N/A</v>
      </c>
      <c r="I401" s="2637" t="e">
        <v>#N/A</v>
      </c>
      <c r="J401" s="2636" t="e">
        <v>#N/A</v>
      </c>
      <c r="K401" s="2636" t="e">
        <v>#N/A</v>
      </c>
      <c r="L401" s="2636" t="e">
        <v>#N/A</v>
      </c>
      <c r="M401" s="2637" t="e">
        <v>#N/A</v>
      </c>
      <c r="N401" s="2636" t="e">
        <v>#N/A</v>
      </c>
      <c r="O401" s="2638" t="e">
        <v>#N/A</v>
      </c>
    </row>
    <row r="402" spans="1:15">
      <c r="A402" s="2765">
        <v>2026.09</v>
      </c>
      <c r="B402" s="2635" t="e">
        <v>#N/A</v>
      </c>
      <c r="C402" s="2635" t="e">
        <v>#N/A</v>
      </c>
      <c r="D402" s="2636" t="e">
        <v>#N/A</v>
      </c>
      <c r="E402" s="2637" t="e">
        <v>#N/A</v>
      </c>
      <c r="F402" s="2636" t="e">
        <v>#N/A</v>
      </c>
      <c r="G402" s="2637" t="e">
        <v>#N/A</v>
      </c>
      <c r="H402" s="2636" t="e">
        <v>#N/A</v>
      </c>
      <c r="I402" s="2637" t="e">
        <v>#N/A</v>
      </c>
      <c r="J402" s="2636" t="e">
        <v>#N/A</v>
      </c>
      <c r="K402" s="2636" t="e">
        <v>#N/A</v>
      </c>
      <c r="L402" s="2636" t="e">
        <v>#N/A</v>
      </c>
      <c r="M402" s="2637" t="e">
        <v>#N/A</v>
      </c>
      <c r="N402" s="2636" t="e">
        <v>#N/A</v>
      </c>
      <c r="O402" s="2638" t="e">
        <v>#N/A</v>
      </c>
    </row>
    <row r="403" spans="1:15">
      <c r="A403" s="2765">
        <v>2026.1</v>
      </c>
      <c r="B403" s="2635" t="e">
        <v>#N/A</v>
      </c>
      <c r="C403" s="2635" t="e">
        <v>#N/A</v>
      </c>
      <c r="D403" s="2636" t="e">
        <v>#N/A</v>
      </c>
      <c r="E403" s="2637" t="e">
        <v>#N/A</v>
      </c>
      <c r="F403" s="2636" t="e">
        <v>#N/A</v>
      </c>
      <c r="G403" s="2637" t="e">
        <v>#N/A</v>
      </c>
      <c r="H403" s="2636" t="e">
        <v>#N/A</v>
      </c>
      <c r="I403" s="2637" t="e">
        <v>#N/A</v>
      </c>
      <c r="J403" s="2636" t="e">
        <v>#N/A</v>
      </c>
      <c r="K403" s="2636" t="e">
        <v>#N/A</v>
      </c>
      <c r="L403" s="2636" t="e">
        <v>#N/A</v>
      </c>
      <c r="M403" s="2637" t="e">
        <v>#N/A</v>
      </c>
      <c r="N403" s="2636" t="e">
        <v>#N/A</v>
      </c>
      <c r="O403" s="2638" t="e">
        <v>#N/A</v>
      </c>
    </row>
    <row r="404" spans="1:15">
      <c r="A404" s="2765">
        <v>2026.11</v>
      </c>
      <c r="B404" s="2635" t="e">
        <v>#N/A</v>
      </c>
      <c r="C404" s="2635" t="e">
        <v>#N/A</v>
      </c>
      <c r="D404" s="2636" t="e">
        <v>#N/A</v>
      </c>
      <c r="E404" s="2637" t="e">
        <v>#N/A</v>
      </c>
      <c r="F404" s="2636" t="e">
        <v>#N/A</v>
      </c>
      <c r="G404" s="2637" t="e">
        <v>#N/A</v>
      </c>
      <c r="H404" s="2636" t="e">
        <v>#N/A</v>
      </c>
      <c r="I404" s="2637" t="e">
        <v>#N/A</v>
      </c>
      <c r="J404" s="2636" t="e">
        <v>#N/A</v>
      </c>
      <c r="K404" s="2636" t="e">
        <v>#N/A</v>
      </c>
      <c r="L404" s="2636" t="e">
        <v>#N/A</v>
      </c>
      <c r="M404" s="2637" t="e">
        <v>#N/A</v>
      </c>
      <c r="N404" s="2636" t="e">
        <v>#N/A</v>
      </c>
      <c r="O404" s="2638" t="e">
        <v>#N/A</v>
      </c>
    </row>
    <row r="405" spans="1:15">
      <c r="A405" s="2765">
        <v>2026.12</v>
      </c>
      <c r="B405" s="2635" t="e">
        <v>#N/A</v>
      </c>
      <c r="C405" s="2635" t="e">
        <v>#N/A</v>
      </c>
      <c r="D405" s="2636" t="e">
        <v>#N/A</v>
      </c>
      <c r="E405" s="2637" t="e">
        <v>#N/A</v>
      </c>
      <c r="F405" s="2636" t="e">
        <v>#N/A</v>
      </c>
      <c r="G405" s="2637" t="e">
        <v>#N/A</v>
      </c>
      <c r="H405" s="2636" t="e">
        <v>#N/A</v>
      </c>
      <c r="I405" s="2637" t="e">
        <v>#N/A</v>
      </c>
      <c r="J405" s="2636" t="e">
        <v>#N/A</v>
      </c>
      <c r="K405" s="2636" t="e">
        <v>#N/A</v>
      </c>
      <c r="L405" s="2636" t="e">
        <v>#N/A</v>
      </c>
      <c r="M405" s="2637" t="e">
        <v>#N/A</v>
      </c>
      <c r="N405" s="2636" t="e">
        <v>#N/A</v>
      </c>
      <c r="O405" s="2638" t="e">
        <v>#N/A</v>
      </c>
    </row>
    <row r="406" spans="1:15">
      <c r="A406" s="2765">
        <v>2027.01</v>
      </c>
      <c r="B406" s="2635" t="e">
        <v>#N/A</v>
      </c>
      <c r="C406" s="2635" t="e">
        <v>#N/A</v>
      </c>
      <c r="D406" s="2636" t="e">
        <v>#N/A</v>
      </c>
      <c r="E406" s="2637" t="e">
        <v>#N/A</v>
      </c>
      <c r="F406" s="2636" t="e">
        <v>#N/A</v>
      </c>
      <c r="G406" s="2637" t="e">
        <v>#N/A</v>
      </c>
      <c r="H406" s="2636" t="e">
        <v>#N/A</v>
      </c>
      <c r="I406" s="2637" t="e">
        <v>#N/A</v>
      </c>
      <c r="J406" s="2636" t="e">
        <v>#N/A</v>
      </c>
      <c r="K406" s="2636" t="e">
        <v>#N/A</v>
      </c>
      <c r="L406" s="2636" t="e">
        <v>#N/A</v>
      </c>
      <c r="M406" s="2637" t="e">
        <v>#N/A</v>
      </c>
      <c r="N406" s="2636" t="e">
        <v>#N/A</v>
      </c>
      <c r="O406" s="2638" t="e">
        <v>#N/A</v>
      </c>
    </row>
    <row r="407" spans="1:15">
      <c r="A407" s="2765">
        <v>2027.02</v>
      </c>
      <c r="B407" s="2635" t="e">
        <v>#N/A</v>
      </c>
      <c r="C407" s="2635" t="e">
        <v>#N/A</v>
      </c>
      <c r="D407" s="2636" t="e">
        <v>#N/A</v>
      </c>
      <c r="E407" s="2637" t="e">
        <v>#N/A</v>
      </c>
      <c r="F407" s="2636" t="e">
        <v>#N/A</v>
      </c>
      <c r="G407" s="2637" t="e">
        <v>#N/A</v>
      </c>
      <c r="H407" s="2636" t="e">
        <v>#N/A</v>
      </c>
      <c r="I407" s="2637" t="e">
        <v>#N/A</v>
      </c>
      <c r="J407" s="2636" t="e">
        <v>#N/A</v>
      </c>
      <c r="K407" s="2636" t="e">
        <v>#N/A</v>
      </c>
      <c r="L407" s="2636" t="e">
        <v>#N/A</v>
      </c>
      <c r="M407" s="2637" t="e">
        <v>#N/A</v>
      </c>
      <c r="N407" s="2636" t="e">
        <v>#N/A</v>
      </c>
      <c r="O407" s="2638" t="e">
        <v>#N/A</v>
      </c>
    </row>
    <row r="408" spans="1:15">
      <c r="A408" s="2765">
        <v>2027.03</v>
      </c>
      <c r="B408" s="2635" t="e">
        <v>#N/A</v>
      </c>
      <c r="C408" s="2635" t="e">
        <v>#N/A</v>
      </c>
      <c r="D408" s="2636" t="e">
        <v>#N/A</v>
      </c>
      <c r="E408" s="2637" t="e">
        <v>#N/A</v>
      </c>
      <c r="F408" s="2636" t="e">
        <v>#N/A</v>
      </c>
      <c r="G408" s="2637" t="e">
        <v>#N/A</v>
      </c>
      <c r="H408" s="2636" t="e">
        <v>#N/A</v>
      </c>
      <c r="I408" s="2637" t="e">
        <v>#N/A</v>
      </c>
      <c r="J408" s="2636" t="e">
        <v>#N/A</v>
      </c>
      <c r="K408" s="2636" t="e">
        <v>#N/A</v>
      </c>
      <c r="L408" s="2636" t="e">
        <v>#N/A</v>
      </c>
      <c r="M408" s="2637" t="e">
        <v>#N/A</v>
      </c>
      <c r="N408" s="2636" t="e">
        <v>#N/A</v>
      </c>
      <c r="O408" s="2638" t="e">
        <v>#N/A</v>
      </c>
    </row>
    <row r="409" spans="1:15">
      <c r="A409" s="2765">
        <v>2027.04</v>
      </c>
      <c r="B409" s="2635" t="e">
        <v>#N/A</v>
      </c>
      <c r="C409" s="2635" t="e">
        <v>#N/A</v>
      </c>
      <c r="D409" s="2636" t="e">
        <v>#N/A</v>
      </c>
      <c r="E409" s="2637" t="e">
        <v>#N/A</v>
      </c>
      <c r="F409" s="2636" t="e">
        <v>#N/A</v>
      </c>
      <c r="G409" s="2637" t="e">
        <v>#N/A</v>
      </c>
      <c r="H409" s="2636" t="e">
        <v>#N/A</v>
      </c>
      <c r="I409" s="2637" t="e">
        <v>#N/A</v>
      </c>
      <c r="J409" s="2636" t="e">
        <v>#N/A</v>
      </c>
      <c r="K409" s="2636" t="e">
        <v>#N/A</v>
      </c>
      <c r="L409" s="2636" t="e">
        <v>#N/A</v>
      </c>
      <c r="M409" s="2637" t="e">
        <v>#N/A</v>
      </c>
      <c r="N409" s="2636" t="e">
        <v>#N/A</v>
      </c>
      <c r="O409" s="2638" t="e">
        <v>#N/A</v>
      </c>
    </row>
    <row r="410" spans="1:15">
      <c r="A410" s="2765">
        <v>2027.05</v>
      </c>
      <c r="B410" s="2635" t="e">
        <v>#N/A</v>
      </c>
      <c r="C410" s="2635" t="e">
        <v>#N/A</v>
      </c>
      <c r="D410" s="2636" t="e">
        <v>#N/A</v>
      </c>
      <c r="E410" s="2637" t="e">
        <v>#N/A</v>
      </c>
      <c r="F410" s="2636" t="e">
        <v>#N/A</v>
      </c>
      <c r="G410" s="2637" t="e">
        <v>#N/A</v>
      </c>
      <c r="H410" s="2636" t="e">
        <v>#N/A</v>
      </c>
      <c r="I410" s="2637" t="e">
        <v>#N/A</v>
      </c>
      <c r="J410" s="2636" t="e">
        <v>#N/A</v>
      </c>
      <c r="K410" s="2636" t="e">
        <v>#N/A</v>
      </c>
      <c r="L410" s="2636" t="e">
        <v>#N/A</v>
      </c>
      <c r="M410" s="2637" t="e">
        <v>#N/A</v>
      </c>
      <c r="N410" s="2636" t="e">
        <v>#N/A</v>
      </c>
      <c r="O410" s="2638" t="e">
        <v>#N/A</v>
      </c>
    </row>
    <row r="411" spans="1:15">
      <c r="A411" s="2765">
        <v>2027.06</v>
      </c>
      <c r="B411" s="2635" t="e">
        <v>#N/A</v>
      </c>
      <c r="C411" s="2635" t="e">
        <v>#N/A</v>
      </c>
      <c r="D411" s="2636" t="e">
        <v>#N/A</v>
      </c>
      <c r="E411" s="2637" t="e">
        <v>#N/A</v>
      </c>
      <c r="F411" s="2636" t="e">
        <v>#N/A</v>
      </c>
      <c r="G411" s="2637" t="e">
        <v>#N/A</v>
      </c>
      <c r="H411" s="2636" t="e">
        <v>#N/A</v>
      </c>
      <c r="I411" s="2637" t="e">
        <v>#N/A</v>
      </c>
      <c r="J411" s="2636" t="e">
        <v>#N/A</v>
      </c>
      <c r="K411" s="2636" t="e">
        <v>#N/A</v>
      </c>
      <c r="L411" s="2636" t="e">
        <v>#N/A</v>
      </c>
      <c r="M411" s="2637" t="e">
        <v>#N/A</v>
      </c>
      <c r="N411" s="2636" t="e">
        <v>#N/A</v>
      </c>
      <c r="O411" s="2638" t="e">
        <v>#N/A</v>
      </c>
    </row>
    <row r="412" spans="1:15">
      <c r="A412" s="2765">
        <v>2027.07</v>
      </c>
      <c r="B412" s="2635" t="e">
        <v>#N/A</v>
      </c>
      <c r="C412" s="2635" t="e">
        <v>#N/A</v>
      </c>
      <c r="D412" s="2636" t="e">
        <v>#N/A</v>
      </c>
      <c r="E412" s="2637" t="e">
        <v>#N/A</v>
      </c>
      <c r="F412" s="2636" t="e">
        <v>#N/A</v>
      </c>
      <c r="G412" s="2637" t="e">
        <v>#N/A</v>
      </c>
      <c r="H412" s="2636" t="e">
        <v>#N/A</v>
      </c>
      <c r="I412" s="2637" t="e">
        <v>#N/A</v>
      </c>
      <c r="J412" s="2636" t="e">
        <v>#N/A</v>
      </c>
      <c r="K412" s="2636" t="e">
        <v>#N/A</v>
      </c>
      <c r="L412" s="2636" t="e">
        <v>#N/A</v>
      </c>
      <c r="M412" s="2637" t="e">
        <v>#N/A</v>
      </c>
      <c r="N412" s="2636" t="e">
        <v>#N/A</v>
      </c>
      <c r="O412" s="2638" t="e">
        <v>#N/A</v>
      </c>
    </row>
    <row r="413" spans="1:15">
      <c r="A413" s="2765">
        <v>2027.08</v>
      </c>
      <c r="B413" s="2635" t="e">
        <v>#N/A</v>
      </c>
      <c r="C413" s="2635" t="e">
        <v>#N/A</v>
      </c>
      <c r="D413" s="2636" t="e">
        <v>#N/A</v>
      </c>
      <c r="E413" s="2637" t="e">
        <v>#N/A</v>
      </c>
      <c r="F413" s="2636" t="e">
        <v>#N/A</v>
      </c>
      <c r="G413" s="2637" t="e">
        <v>#N/A</v>
      </c>
      <c r="H413" s="2636" t="e">
        <v>#N/A</v>
      </c>
      <c r="I413" s="2637" t="e">
        <v>#N/A</v>
      </c>
      <c r="J413" s="2636" t="e">
        <v>#N/A</v>
      </c>
      <c r="K413" s="2636" t="e">
        <v>#N/A</v>
      </c>
      <c r="L413" s="2636" t="e">
        <v>#N/A</v>
      </c>
      <c r="M413" s="2637" t="e">
        <v>#N/A</v>
      </c>
      <c r="N413" s="2636" t="e">
        <v>#N/A</v>
      </c>
      <c r="O413" s="2638" t="e">
        <v>#N/A</v>
      </c>
    </row>
    <row r="414" spans="1:15">
      <c r="A414" s="2765">
        <v>2027.09</v>
      </c>
      <c r="B414" s="2635" t="e">
        <v>#N/A</v>
      </c>
      <c r="C414" s="2635" t="e">
        <v>#N/A</v>
      </c>
      <c r="D414" s="2636" t="e">
        <v>#N/A</v>
      </c>
      <c r="E414" s="2637" t="e">
        <v>#N/A</v>
      </c>
      <c r="F414" s="2636" t="e">
        <v>#N/A</v>
      </c>
      <c r="G414" s="2637" t="e">
        <v>#N/A</v>
      </c>
      <c r="H414" s="2636" t="e">
        <v>#N/A</v>
      </c>
      <c r="I414" s="2637" t="e">
        <v>#N/A</v>
      </c>
      <c r="J414" s="2636" t="e">
        <v>#N/A</v>
      </c>
      <c r="K414" s="2636" t="e">
        <v>#N/A</v>
      </c>
      <c r="L414" s="2636" t="e">
        <v>#N/A</v>
      </c>
      <c r="M414" s="2637" t="e">
        <v>#N/A</v>
      </c>
      <c r="N414" s="2636" t="e">
        <v>#N/A</v>
      </c>
      <c r="O414" s="2638" t="e">
        <v>#N/A</v>
      </c>
    </row>
    <row r="415" spans="1:15">
      <c r="A415" s="2765">
        <v>2027.1</v>
      </c>
      <c r="B415" s="2635" t="e">
        <v>#N/A</v>
      </c>
      <c r="C415" s="2635" t="e">
        <v>#N/A</v>
      </c>
      <c r="D415" s="2636" t="e">
        <v>#N/A</v>
      </c>
      <c r="E415" s="2637" t="e">
        <v>#N/A</v>
      </c>
      <c r="F415" s="2636" t="e">
        <v>#N/A</v>
      </c>
      <c r="G415" s="2637" t="e">
        <v>#N/A</v>
      </c>
      <c r="H415" s="2636" t="e">
        <v>#N/A</v>
      </c>
      <c r="I415" s="2637" t="e">
        <v>#N/A</v>
      </c>
      <c r="J415" s="2636" t="e">
        <v>#N/A</v>
      </c>
      <c r="K415" s="2636" t="e">
        <v>#N/A</v>
      </c>
      <c r="L415" s="2636" t="e">
        <v>#N/A</v>
      </c>
      <c r="M415" s="2637" t="e">
        <v>#N/A</v>
      </c>
      <c r="N415" s="2636" t="e">
        <v>#N/A</v>
      </c>
      <c r="O415" s="2638" t="e">
        <v>#N/A</v>
      </c>
    </row>
    <row r="416" spans="1:15">
      <c r="A416" s="2765">
        <v>2027.11</v>
      </c>
      <c r="B416" s="2635" t="e">
        <v>#N/A</v>
      </c>
      <c r="C416" s="2635" t="e">
        <v>#N/A</v>
      </c>
      <c r="D416" s="2636" t="e">
        <v>#N/A</v>
      </c>
      <c r="E416" s="2637" t="e">
        <v>#N/A</v>
      </c>
      <c r="F416" s="2636" t="e">
        <v>#N/A</v>
      </c>
      <c r="G416" s="2637" t="e">
        <v>#N/A</v>
      </c>
      <c r="H416" s="2636" t="e">
        <v>#N/A</v>
      </c>
      <c r="I416" s="2637" t="e">
        <v>#N/A</v>
      </c>
      <c r="J416" s="2636" t="e">
        <v>#N/A</v>
      </c>
      <c r="K416" s="2636" t="e">
        <v>#N/A</v>
      </c>
      <c r="L416" s="2636" t="e">
        <v>#N/A</v>
      </c>
      <c r="M416" s="2637" t="e">
        <v>#N/A</v>
      </c>
      <c r="N416" s="2636" t="e">
        <v>#N/A</v>
      </c>
      <c r="O416" s="2638" t="e">
        <v>#N/A</v>
      </c>
    </row>
    <row r="417" spans="1:15">
      <c r="A417" s="2765">
        <v>2027.12</v>
      </c>
      <c r="B417" s="2635" t="e">
        <v>#N/A</v>
      </c>
      <c r="C417" s="2635" t="e">
        <v>#N/A</v>
      </c>
      <c r="D417" s="2636" t="e">
        <v>#N/A</v>
      </c>
      <c r="E417" s="2637" t="e">
        <v>#N/A</v>
      </c>
      <c r="F417" s="2636" t="e">
        <v>#N/A</v>
      </c>
      <c r="G417" s="2637" t="e">
        <v>#N/A</v>
      </c>
      <c r="H417" s="2636" t="e">
        <v>#N/A</v>
      </c>
      <c r="I417" s="2637" t="e">
        <v>#N/A</v>
      </c>
      <c r="J417" s="2636" t="e">
        <v>#N/A</v>
      </c>
      <c r="K417" s="2636" t="e">
        <v>#N/A</v>
      </c>
      <c r="L417" s="2636" t="e">
        <v>#N/A</v>
      </c>
      <c r="M417" s="2637" t="e">
        <v>#N/A</v>
      </c>
      <c r="N417" s="2636" t="e">
        <v>#N/A</v>
      </c>
      <c r="O417" s="2638" t="e">
        <v>#N/A</v>
      </c>
    </row>
    <row r="418" spans="1:15">
      <c r="A418" s="2765">
        <v>2028.01</v>
      </c>
      <c r="B418" s="2635" t="e">
        <v>#N/A</v>
      </c>
      <c r="C418" s="2635" t="e">
        <v>#N/A</v>
      </c>
      <c r="D418" s="2636" t="e">
        <v>#N/A</v>
      </c>
      <c r="E418" s="2637" t="e">
        <v>#N/A</v>
      </c>
      <c r="F418" s="2636" t="e">
        <v>#N/A</v>
      </c>
      <c r="G418" s="2637" t="e">
        <v>#N/A</v>
      </c>
      <c r="H418" s="2636" t="e">
        <v>#N/A</v>
      </c>
      <c r="I418" s="2637" t="e">
        <v>#N/A</v>
      </c>
      <c r="J418" s="2636" t="e">
        <v>#N/A</v>
      </c>
      <c r="K418" s="2636" t="e">
        <v>#N/A</v>
      </c>
      <c r="L418" s="2636" t="e">
        <v>#N/A</v>
      </c>
      <c r="M418" s="2637" t="e">
        <v>#N/A</v>
      </c>
      <c r="N418" s="2636" t="e">
        <v>#N/A</v>
      </c>
      <c r="O418" s="2638" t="e">
        <v>#N/A</v>
      </c>
    </row>
    <row r="419" spans="1:15">
      <c r="A419" s="2765">
        <v>2028.02</v>
      </c>
      <c r="B419" s="2635" t="e">
        <v>#N/A</v>
      </c>
      <c r="C419" s="2635" t="e">
        <v>#N/A</v>
      </c>
      <c r="D419" s="2636" t="e">
        <v>#N/A</v>
      </c>
      <c r="E419" s="2637" t="e">
        <v>#N/A</v>
      </c>
      <c r="F419" s="2636" t="e">
        <v>#N/A</v>
      </c>
      <c r="G419" s="2637" t="e">
        <v>#N/A</v>
      </c>
      <c r="H419" s="2636" t="e">
        <v>#N/A</v>
      </c>
      <c r="I419" s="2637" t="e">
        <v>#N/A</v>
      </c>
      <c r="J419" s="2636" t="e">
        <v>#N/A</v>
      </c>
      <c r="K419" s="2636" t="e">
        <v>#N/A</v>
      </c>
      <c r="L419" s="2636" t="e">
        <v>#N/A</v>
      </c>
      <c r="M419" s="2637" t="e">
        <v>#N/A</v>
      </c>
      <c r="N419" s="2636" t="e">
        <v>#N/A</v>
      </c>
      <c r="O419" s="2638" t="e">
        <v>#N/A</v>
      </c>
    </row>
    <row r="420" spans="1:15">
      <c r="A420" s="2765">
        <v>2028.03</v>
      </c>
      <c r="B420" s="2635" t="e">
        <v>#N/A</v>
      </c>
      <c r="C420" s="2635" t="e">
        <v>#N/A</v>
      </c>
      <c r="D420" s="2636" t="e">
        <v>#N/A</v>
      </c>
      <c r="E420" s="2637" t="e">
        <v>#N/A</v>
      </c>
      <c r="F420" s="2636" t="e">
        <v>#N/A</v>
      </c>
      <c r="G420" s="2637" t="e">
        <v>#N/A</v>
      </c>
      <c r="H420" s="2636" t="e">
        <v>#N/A</v>
      </c>
      <c r="I420" s="2637" t="e">
        <v>#N/A</v>
      </c>
      <c r="J420" s="2636" t="e">
        <v>#N/A</v>
      </c>
      <c r="K420" s="2636" t="e">
        <v>#N/A</v>
      </c>
      <c r="L420" s="2636" t="e">
        <v>#N/A</v>
      </c>
      <c r="M420" s="2637" t="e">
        <v>#N/A</v>
      </c>
      <c r="N420" s="2636" t="e">
        <v>#N/A</v>
      </c>
      <c r="O420" s="2638" t="e">
        <v>#N/A</v>
      </c>
    </row>
    <row r="421" spans="1:15">
      <c r="A421" s="2765">
        <v>2028.04</v>
      </c>
      <c r="B421" s="2635" t="e">
        <v>#N/A</v>
      </c>
      <c r="C421" s="2635" t="e">
        <v>#N/A</v>
      </c>
      <c r="D421" s="2636" t="e">
        <v>#N/A</v>
      </c>
      <c r="E421" s="2637" t="e">
        <v>#N/A</v>
      </c>
      <c r="F421" s="2636" t="e">
        <v>#N/A</v>
      </c>
      <c r="G421" s="2637" t="e">
        <v>#N/A</v>
      </c>
      <c r="H421" s="2636" t="e">
        <v>#N/A</v>
      </c>
      <c r="I421" s="2637" t="e">
        <v>#N/A</v>
      </c>
      <c r="J421" s="2636" t="e">
        <v>#N/A</v>
      </c>
      <c r="K421" s="2636" t="e">
        <v>#N/A</v>
      </c>
      <c r="L421" s="2636" t="e">
        <v>#N/A</v>
      </c>
      <c r="M421" s="2637" t="e">
        <v>#N/A</v>
      </c>
      <c r="N421" s="2636" t="e">
        <v>#N/A</v>
      </c>
      <c r="O421" s="2638" t="e">
        <v>#N/A</v>
      </c>
    </row>
    <row r="422" spans="1:15">
      <c r="A422" s="2765">
        <v>2028.05</v>
      </c>
      <c r="B422" s="2635" t="e">
        <v>#N/A</v>
      </c>
      <c r="C422" s="2635" t="e">
        <v>#N/A</v>
      </c>
      <c r="D422" s="2636" t="e">
        <v>#N/A</v>
      </c>
      <c r="E422" s="2637" t="e">
        <v>#N/A</v>
      </c>
      <c r="F422" s="2636" t="e">
        <v>#N/A</v>
      </c>
      <c r="G422" s="2637" t="e">
        <v>#N/A</v>
      </c>
      <c r="H422" s="2636" t="e">
        <v>#N/A</v>
      </c>
      <c r="I422" s="2637" t="e">
        <v>#N/A</v>
      </c>
      <c r="J422" s="2636" t="e">
        <v>#N/A</v>
      </c>
      <c r="K422" s="2636" t="e">
        <v>#N/A</v>
      </c>
      <c r="L422" s="2636" t="e">
        <v>#N/A</v>
      </c>
      <c r="M422" s="2637" t="e">
        <v>#N/A</v>
      </c>
      <c r="N422" s="2636" t="e">
        <v>#N/A</v>
      </c>
      <c r="O422" s="2638" t="e">
        <v>#N/A</v>
      </c>
    </row>
    <row r="423" spans="1:15">
      <c r="A423" s="2765">
        <v>2028.06</v>
      </c>
      <c r="B423" s="2635" t="e">
        <v>#N/A</v>
      </c>
      <c r="C423" s="2635" t="e">
        <v>#N/A</v>
      </c>
      <c r="D423" s="2636" t="e">
        <v>#N/A</v>
      </c>
      <c r="E423" s="2637" t="e">
        <v>#N/A</v>
      </c>
      <c r="F423" s="2636" t="e">
        <v>#N/A</v>
      </c>
      <c r="G423" s="2637" t="e">
        <v>#N/A</v>
      </c>
      <c r="H423" s="2636" t="e">
        <v>#N/A</v>
      </c>
      <c r="I423" s="2637" t="e">
        <v>#N/A</v>
      </c>
      <c r="J423" s="2636" t="e">
        <v>#N/A</v>
      </c>
      <c r="K423" s="2636" t="e">
        <v>#N/A</v>
      </c>
      <c r="L423" s="2636" t="e">
        <v>#N/A</v>
      </c>
      <c r="M423" s="2637" t="e">
        <v>#N/A</v>
      </c>
      <c r="N423" s="2636" t="e">
        <v>#N/A</v>
      </c>
      <c r="O423" s="2638" t="e">
        <v>#N/A</v>
      </c>
    </row>
    <row r="424" spans="1:15">
      <c r="A424" s="2765">
        <v>2028.07</v>
      </c>
      <c r="B424" s="2635" t="e">
        <v>#N/A</v>
      </c>
      <c r="C424" s="2635" t="e">
        <v>#N/A</v>
      </c>
      <c r="D424" s="2636" t="e">
        <v>#N/A</v>
      </c>
      <c r="E424" s="2637" t="e">
        <v>#N/A</v>
      </c>
      <c r="F424" s="2636" t="e">
        <v>#N/A</v>
      </c>
      <c r="G424" s="2637" t="e">
        <v>#N/A</v>
      </c>
      <c r="H424" s="2636" t="e">
        <v>#N/A</v>
      </c>
      <c r="I424" s="2637" t="e">
        <v>#N/A</v>
      </c>
      <c r="J424" s="2636" t="e">
        <v>#N/A</v>
      </c>
      <c r="K424" s="2636" t="e">
        <v>#N/A</v>
      </c>
      <c r="L424" s="2636" t="e">
        <v>#N/A</v>
      </c>
      <c r="M424" s="2637" t="e">
        <v>#N/A</v>
      </c>
      <c r="N424" s="2636" t="e">
        <v>#N/A</v>
      </c>
      <c r="O424" s="2638" t="e">
        <v>#N/A</v>
      </c>
    </row>
    <row r="425" spans="1:15">
      <c r="A425" s="2765">
        <v>2028.08</v>
      </c>
      <c r="B425" s="2635" t="e">
        <v>#N/A</v>
      </c>
      <c r="C425" s="2635" t="e">
        <v>#N/A</v>
      </c>
      <c r="D425" s="2636" t="e">
        <v>#N/A</v>
      </c>
      <c r="E425" s="2637" t="e">
        <v>#N/A</v>
      </c>
      <c r="F425" s="2636" t="e">
        <v>#N/A</v>
      </c>
      <c r="G425" s="2637" t="e">
        <v>#N/A</v>
      </c>
      <c r="H425" s="2636" t="e">
        <v>#N/A</v>
      </c>
      <c r="I425" s="2637" t="e">
        <v>#N/A</v>
      </c>
      <c r="J425" s="2636" t="e">
        <v>#N/A</v>
      </c>
      <c r="K425" s="2636" t="e">
        <v>#N/A</v>
      </c>
      <c r="L425" s="2636" t="e">
        <v>#N/A</v>
      </c>
      <c r="M425" s="2637" t="e">
        <v>#N/A</v>
      </c>
      <c r="N425" s="2636" t="e">
        <v>#N/A</v>
      </c>
      <c r="O425" s="2638" t="e">
        <v>#N/A</v>
      </c>
    </row>
    <row r="426" spans="1:15">
      <c r="A426" s="2765">
        <v>2028.09</v>
      </c>
      <c r="B426" s="2635" t="e">
        <v>#N/A</v>
      </c>
      <c r="C426" s="2635" t="e">
        <v>#N/A</v>
      </c>
      <c r="D426" s="2636" t="e">
        <v>#N/A</v>
      </c>
      <c r="E426" s="2637" t="e">
        <v>#N/A</v>
      </c>
      <c r="F426" s="2636" t="e">
        <v>#N/A</v>
      </c>
      <c r="G426" s="2637" t="e">
        <v>#N/A</v>
      </c>
      <c r="H426" s="2636" t="e">
        <v>#N/A</v>
      </c>
      <c r="I426" s="2637" t="e">
        <v>#N/A</v>
      </c>
      <c r="J426" s="2636" t="e">
        <v>#N/A</v>
      </c>
      <c r="K426" s="2636" t="e">
        <v>#N/A</v>
      </c>
      <c r="L426" s="2636" t="e">
        <v>#N/A</v>
      </c>
      <c r="M426" s="2637" t="e">
        <v>#N/A</v>
      </c>
      <c r="N426" s="2636" t="e">
        <v>#N/A</v>
      </c>
      <c r="O426" s="2638" t="e">
        <v>#N/A</v>
      </c>
    </row>
    <row r="427" spans="1:15">
      <c r="A427" s="2765">
        <v>2028.1</v>
      </c>
      <c r="B427" s="2635" t="e">
        <v>#N/A</v>
      </c>
      <c r="C427" s="2635" t="e">
        <v>#N/A</v>
      </c>
      <c r="D427" s="2636" t="e">
        <v>#N/A</v>
      </c>
      <c r="E427" s="2637" t="e">
        <v>#N/A</v>
      </c>
      <c r="F427" s="2636" t="e">
        <v>#N/A</v>
      </c>
      <c r="G427" s="2637" t="e">
        <v>#N/A</v>
      </c>
      <c r="H427" s="2636" t="e">
        <v>#N/A</v>
      </c>
      <c r="I427" s="2637" t="e">
        <v>#N/A</v>
      </c>
      <c r="J427" s="2636" t="e">
        <v>#N/A</v>
      </c>
      <c r="K427" s="2636" t="e">
        <v>#N/A</v>
      </c>
      <c r="L427" s="2636" t="e">
        <v>#N/A</v>
      </c>
      <c r="M427" s="2637" t="e">
        <v>#N/A</v>
      </c>
      <c r="N427" s="2636" t="e">
        <v>#N/A</v>
      </c>
      <c r="O427" s="2638" t="e">
        <v>#N/A</v>
      </c>
    </row>
    <row r="428" spans="1:15">
      <c r="A428" s="2765">
        <v>2028.11</v>
      </c>
      <c r="B428" s="2635" t="e">
        <v>#N/A</v>
      </c>
      <c r="C428" s="2635" t="e">
        <v>#N/A</v>
      </c>
      <c r="D428" s="2636" t="e">
        <v>#N/A</v>
      </c>
      <c r="E428" s="2637" t="e">
        <v>#N/A</v>
      </c>
      <c r="F428" s="2636" t="e">
        <v>#N/A</v>
      </c>
      <c r="G428" s="2637" t="e">
        <v>#N/A</v>
      </c>
      <c r="H428" s="2636" t="e">
        <v>#N/A</v>
      </c>
      <c r="I428" s="2637" t="e">
        <v>#N/A</v>
      </c>
      <c r="J428" s="2636" t="e">
        <v>#N/A</v>
      </c>
      <c r="K428" s="2636" t="e">
        <v>#N/A</v>
      </c>
      <c r="L428" s="2636" t="e">
        <v>#N/A</v>
      </c>
      <c r="M428" s="2637" t="e">
        <v>#N/A</v>
      </c>
      <c r="N428" s="2636" t="e">
        <v>#N/A</v>
      </c>
      <c r="O428" s="2638" t="e">
        <v>#N/A</v>
      </c>
    </row>
    <row r="429" spans="1:15">
      <c r="A429" s="2765">
        <v>2028.12</v>
      </c>
      <c r="B429" s="2635" t="e">
        <v>#N/A</v>
      </c>
      <c r="C429" s="2635" t="e">
        <v>#N/A</v>
      </c>
      <c r="D429" s="2636" t="e">
        <v>#N/A</v>
      </c>
      <c r="E429" s="2637" t="e">
        <v>#N/A</v>
      </c>
      <c r="F429" s="2636" t="e">
        <v>#N/A</v>
      </c>
      <c r="G429" s="2637" t="e">
        <v>#N/A</v>
      </c>
      <c r="H429" s="2636" t="e">
        <v>#N/A</v>
      </c>
      <c r="I429" s="2637" t="e">
        <v>#N/A</v>
      </c>
      <c r="J429" s="2636" t="e">
        <v>#N/A</v>
      </c>
      <c r="K429" s="2636" t="e">
        <v>#N/A</v>
      </c>
      <c r="L429" s="2636" t="e">
        <v>#N/A</v>
      </c>
      <c r="M429" s="2637" t="e">
        <v>#N/A</v>
      </c>
      <c r="N429" s="2636" t="e">
        <v>#N/A</v>
      </c>
      <c r="O429" s="2638" t="e">
        <v>#N/A</v>
      </c>
    </row>
    <row r="430" spans="1:15">
      <c r="A430" s="2765">
        <v>2029.01</v>
      </c>
      <c r="B430" s="2635" t="e">
        <v>#N/A</v>
      </c>
      <c r="C430" s="2635" t="e">
        <v>#N/A</v>
      </c>
      <c r="D430" s="2636" t="e">
        <v>#N/A</v>
      </c>
      <c r="E430" s="2637" t="e">
        <v>#N/A</v>
      </c>
      <c r="F430" s="2636" t="e">
        <v>#N/A</v>
      </c>
      <c r="G430" s="2637" t="e">
        <v>#N/A</v>
      </c>
      <c r="H430" s="2636" t="e">
        <v>#N/A</v>
      </c>
      <c r="I430" s="2637" t="e">
        <v>#N/A</v>
      </c>
      <c r="J430" s="2636" t="e">
        <v>#N/A</v>
      </c>
      <c r="K430" s="2636" t="e">
        <v>#N/A</v>
      </c>
      <c r="L430" s="2636" t="e">
        <v>#N/A</v>
      </c>
      <c r="M430" s="2637" t="e">
        <v>#N/A</v>
      </c>
      <c r="N430" s="2636" t="e">
        <v>#N/A</v>
      </c>
      <c r="O430" s="2638" t="e">
        <v>#N/A</v>
      </c>
    </row>
    <row r="431" spans="1:15">
      <c r="A431" s="2765">
        <v>2029.02</v>
      </c>
      <c r="B431" s="2635" t="e">
        <v>#N/A</v>
      </c>
      <c r="C431" s="2635" t="e">
        <v>#N/A</v>
      </c>
      <c r="D431" s="2636" t="e">
        <v>#N/A</v>
      </c>
      <c r="E431" s="2637" t="e">
        <v>#N/A</v>
      </c>
      <c r="F431" s="2636" t="e">
        <v>#N/A</v>
      </c>
      <c r="G431" s="2637" t="e">
        <v>#N/A</v>
      </c>
      <c r="H431" s="2636" t="e">
        <v>#N/A</v>
      </c>
      <c r="I431" s="2637" t="e">
        <v>#N/A</v>
      </c>
      <c r="J431" s="2636" t="e">
        <v>#N/A</v>
      </c>
      <c r="K431" s="2636" t="e">
        <v>#N/A</v>
      </c>
      <c r="L431" s="2636" t="e">
        <v>#N/A</v>
      </c>
      <c r="M431" s="2637" t="e">
        <v>#N/A</v>
      </c>
      <c r="N431" s="2636" t="e">
        <v>#N/A</v>
      </c>
      <c r="O431" s="2638" t="e">
        <v>#N/A</v>
      </c>
    </row>
    <row r="432" spans="1:15">
      <c r="A432" s="2765">
        <v>2029.03</v>
      </c>
      <c r="B432" s="2635" t="e">
        <v>#N/A</v>
      </c>
      <c r="C432" s="2635" t="e">
        <v>#N/A</v>
      </c>
      <c r="D432" s="2636" t="e">
        <v>#N/A</v>
      </c>
      <c r="E432" s="2637" t="e">
        <v>#N/A</v>
      </c>
      <c r="F432" s="2636" t="e">
        <v>#N/A</v>
      </c>
      <c r="G432" s="2637" t="e">
        <v>#N/A</v>
      </c>
      <c r="H432" s="2636" t="e">
        <v>#N/A</v>
      </c>
      <c r="I432" s="2637" t="e">
        <v>#N/A</v>
      </c>
      <c r="J432" s="2636" t="e">
        <v>#N/A</v>
      </c>
      <c r="K432" s="2636" t="e">
        <v>#N/A</v>
      </c>
      <c r="L432" s="2636" t="e">
        <v>#N/A</v>
      </c>
      <c r="M432" s="2637" t="e">
        <v>#N/A</v>
      </c>
      <c r="N432" s="2636" t="e">
        <v>#N/A</v>
      </c>
      <c r="O432" s="2638" t="e">
        <v>#N/A</v>
      </c>
    </row>
    <row r="433" spans="1:15">
      <c r="A433" s="2765">
        <v>2029.04</v>
      </c>
      <c r="B433" s="2635" t="e">
        <v>#N/A</v>
      </c>
      <c r="C433" s="2635" t="e">
        <v>#N/A</v>
      </c>
      <c r="D433" s="2636" t="e">
        <v>#N/A</v>
      </c>
      <c r="E433" s="2637" t="e">
        <v>#N/A</v>
      </c>
      <c r="F433" s="2636" t="e">
        <v>#N/A</v>
      </c>
      <c r="G433" s="2637" t="e">
        <v>#N/A</v>
      </c>
      <c r="H433" s="2636" t="e">
        <v>#N/A</v>
      </c>
      <c r="I433" s="2637" t="e">
        <v>#N/A</v>
      </c>
      <c r="J433" s="2636" t="e">
        <v>#N/A</v>
      </c>
      <c r="K433" s="2636" t="e">
        <v>#N/A</v>
      </c>
      <c r="L433" s="2636" t="e">
        <v>#N/A</v>
      </c>
      <c r="M433" s="2637" t="e">
        <v>#N/A</v>
      </c>
      <c r="N433" s="2636" t="e">
        <v>#N/A</v>
      </c>
      <c r="O433" s="2638" t="e">
        <v>#N/A</v>
      </c>
    </row>
    <row r="434" spans="1:15">
      <c r="A434" s="2765">
        <v>2029.05</v>
      </c>
      <c r="B434" s="2635" t="e">
        <v>#N/A</v>
      </c>
      <c r="C434" s="2635" t="e">
        <v>#N/A</v>
      </c>
      <c r="D434" s="2636" t="e">
        <v>#N/A</v>
      </c>
      <c r="E434" s="2637" t="e">
        <v>#N/A</v>
      </c>
      <c r="F434" s="2636" t="e">
        <v>#N/A</v>
      </c>
      <c r="G434" s="2637" t="e">
        <v>#N/A</v>
      </c>
      <c r="H434" s="2636" t="e">
        <v>#N/A</v>
      </c>
      <c r="I434" s="2637" t="e">
        <v>#N/A</v>
      </c>
      <c r="J434" s="2636" t="e">
        <v>#N/A</v>
      </c>
      <c r="K434" s="2636" t="e">
        <v>#N/A</v>
      </c>
      <c r="L434" s="2636" t="e">
        <v>#N/A</v>
      </c>
      <c r="M434" s="2637" t="e">
        <v>#N/A</v>
      </c>
      <c r="N434" s="2636" t="e">
        <v>#N/A</v>
      </c>
      <c r="O434" s="2638" t="e">
        <v>#N/A</v>
      </c>
    </row>
    <row r="435" spans="1:15">
      <c r="A435" s="2765">
        <v>2029.06</v>
      </c>
      <c r="B435" s="2635" t="e">
        <v>#N/A</v>
      </c>
      <c r="C435" s="2635" t="e">
        <v>#N/A</v>
      </c>
      <c r="D435" s="2636" t="e">
        <v>#N/A</v>
      </c>
      <c r="E435" s="2637" t="e">
        <v>#N/A</v>
      </c>
      <c r="F435" s="2636" t="e">
        <v>#N/A</v>
      </c>
      <c r="G435" s="2637" t="e">
        <v>#N/A</v>
      </c>
      <c r="H435" s="2636" t="e">
        <v>#N/A</v>
      </c>
      <c r="I435" s="2637" t="e">
        <v>#N/A</v>
      </c>
      <c r="J435" s="2636" t="e">
        <v>#N/A</v>
      </c>
      <c r="K435" s="2636" t="e">
        <v>#N/A</v>
      </c>
      <c r="L435" s="2636" t="e">
        <v>#N/A</v>
      </c>
      <c r="M435" s="2637" t="e">
        <v>#N/A</v>
      </c>
      <c r="N435" s="2636" t="e">
        <v>#N/A</v>
      </c>
      <c r="O435" s="2638" t="e">
        <v>#N/A</v>
      </c>
    </row>
    <row r="436" spans="1:15">
      <c r="A436" s="2765">
        <v>2029.07</v>
      </c>
      <c r="B436" s="2635" t="e">
        <v>#N/A</v>
      </c>
      <c r="C436" s="2635" t="e">
        <v>#N/A</v>
      </c>
      <c r="D436" s="2636" t="e">
        <v>#N/A</v>
      </c>
      <c r="E436" s="2637" t="e">
        <v>#N/A</v>
      </c>
      <c r="F436" s="2636" t="e">
        <v>#N/A</v>
      </c>
      <c r="G436" s="2637" t="e">
        <v>#N/A</v>
      </c>
      <c r="H436" s="2636" t="e">
        <v>#N/A</v>
      </c>
      <c r="I436" s="2637" t="e">
        <v>#N/A</v>
      </c>
      <c r="J436" s="2636" t="e">
        <v>#N/A</v>
      </c>
      <c r="K436" s="2636" t="e">
        <v>#N/A</v>
      </c>
      <c r="L436" s="2636" t="e">
        <v>#N/A</v>
      </c>
      <c r="M436" s="2637" t="e">
        <v>#N/A</v>
      </c>
      <c r="N436" s="2636" t="e">
        <v>#N/A</v>
      </c>
      <c r="O436" s="2638" t="e">
        <v>#N/A</v>
      </c>
    </row>
    <row r="437" spans="1:15">
      <c r="A437" s="2765">
        <v>2029.08</v>
      </c>
      <c r="B437" s="2635" t="e">
        <v>#N/A</v>
      </c>
      <c r="C437" s="2635" t="e">
        <v>#N/A</v>
      </c>
      <c r="D437" s="2636" t="e">
        <v>#N/A</v>
      </c>
      <c r="E437" s="2637" t="e">
        <v>#N/A</v>
      </c>
      <c r="F437" s="2636" t="e">
        <v>#N/A</v>
      </c>
      <c r="G437" s="2637" t="e">
        <v>#N/A</v>
      </c>
      <c r="H437" s="2636" t="e">
        <v>#N/A</v>
      </c>
      <c r="I437" s="2637" t="e">
        <v>#N/A</v>
      </c>
      <c r="J437" s="2636" t="e">
        <v>#N/A</v>
      </c>
      <c r="K437" s="2636" t="e">
        <v>#N/A</v>
      </c>
      <c r="L437" s="2636" t="e">
        <v>#N/A</v>
      </c>
      <c r="M437" s="2637" t="e">
        <v>#N/A</v>
      </c>
      <c r="N437" s="2636" t="e">
        <v>#N/A</v>
      </c>
      <c r="O437" s="2638" t="e">
        <v>#N/A</v>
      </c>
    </row>
    <row r="438" spans="1:15">
      <c r="A438" s="2765">
        <v>2029.09</v>
      </c>
      <c r="B438" s="2635" t="e">
        <v>#N/A</v>
      </c>
      <c r="C438" s="2635" t="e">
        <v>#N/A</v>
      </c>
      <c r="D438" s="2636" t="e">
        <v>#N/A</v>
      </c>
      <c r="E438" s="2637" t="e">
        <v>#N/A</v>
      </c>
      <c r="F438" s="2636" t="e">
        <v>#N/A</v>
      </c>
      <c r="G438" s="2637" t="e">
        <v>#N/A</v>
      </c>
      <c r="H438" s="2636" t="e">
        <v>#N/A</v>
      </c>
      <c r="I438" s="2637" t="e">
        <v>#N/A</v>
      </c>
      <c r="J438" s="2636" t="e">
        <v>#N/A</v>
      </c>
      <c r="K438" s="2636" t="e">
        <v>#N/A</v>
      </c>
      <c r="L438" s="2636" t="e">
        <v>#N/A</v>
      </c>
      <c r="M438" s="2637" t="e">
        <v>#N/A</v>
      </c>
      <c r="N438" s="2636" t="e">
        <v>#N/A</v>
      </c>
      <c r="O438" s="2638" t="e">
        <v>#N/A</v>
      </c>
    </row>
    <row r="439" spans="1:15">
      <c r="A439" s="2765">
        <v>2029.1</v>
      </c>
      <c r="B439" s="2635" t="e">
        <v>#N/A</v>
      </c>
      <c r="C439" s="2635" t="e">
        <v>#N/A</v>
      </c>
      <c r="D439" s="2636" t="e">
        <v>#N/A</v>
      </c>
      <c r="E439" s="2637" t="e">
        <v>#N/A</v>
      </c>
      <c r="F439" s="2636" t="e">
        <v>#N/A</v>
      </c>
      <c r="G439" s="2637" t="e">
        <v>#N/A</v>
      </c>
      <c r="H439" s="2636" t="e">
        <v>#N/A</v>
      </c>
      <c r="I439" s="2637" t="e">
        <v>#N/A</v>
      </c>
      <c r="J439" s="2636" t="e">
        <v>#N/A</v>
      </c>
      <c r="K439" s="2636" t="e">
        <v>#N/A</v>
      </c>
      <c r="L439" s="2636" t="e">
        <v>#N/A</v>
      </c>
      <c r="M439" s="2637" t="e">
        <v>#N/A</v>
      </c>
      <c r="N439" s="2636" t="e">
        <v>#N/A</v>
      </c>
      <c r="O439" s="2638" t="e">
        <v>#N/A</v>
      </c>
    </row>
    <row r="440" spans="1:15">
      <c r="A440" s="2765">
        <v>2029.11</v>
      </c>
      <c r="B440" s="2635" t="e">
        <v>#N/A</v>
      </c>
      <c r="C440" s="2635" t="e">
        <v>#N/A</v>
      </c>
      <c r="D440" s="2636" t="e">
        <v>#N/A</v>
      </c>
      <c r="E440" s="2637" t="e">
        <v>#N/A</v>
      </c>
      <c r="F440" s="2636" t="e">
        <v>#N/A</v>
      </c>
      <c r="G440" s="2637" t="e">
        <v>#N/A</v>
      </c>
      <c r="H440" s="2636" t="e">
        <v>#N/A</v>
      </c>
      <c r="I440" s="2637" t="e">
        <v>#N/A</v>
      </c>
      <c r="J440" s="2636" t="e">
        <v>#N/A</v>
      </c>
      <c r="K440" s="2636" t="e">
        <v>#N/A</v>
      </c>
      <c r="L440" s="2636" t="e">
        <v>#N/A</v>
      </c>
      <c r="M440" s="2637" t="e">
        <v>#N/A</v>
      </c>
      <c r="N440" s="2636" t="e">
        <v>#N/A</v>
      </c>
      <c r="O440" s="2638" t="e">
        <v>#N/A</v>
      </c>
    </row>
    <row r="441" spans="1:15">
      <c r="A441" s="2765">
        <v>2029.12</v>
      </c>
      <c r="B441" s="2635" t="e">
        <v>#N/A</v>
      </c>
      <c r="C441" s="2635" t="e">
        <v>#N/A</v>
      </c>
      <c r="D441" s="2636" t="e">
        <v>#N/A</v>
      </c>
      <c r="E441" s="2637" t="e">
        <v>#N/A</v>
      </c>
      <c r="F441" s="2636" t="e">
        <v>#N/A</v>
      </c>
      <c r="G441" s="2637" t="e">
        <v>#N/A</v>
      </c>
      <c r="H441" s="2636" t="e">
        <v>#N/A</v>
      </c>
      <c r="I441" s="2637" t="e">
        <v>#N/A</v>
      </c>
      <c r="J441" s="2636" t="e">
        <v>#N/A</v>
      </c>
      <c r="K441" s="2636" t="e">
        <v>#N/A</v>
      </c>
      <c r="L441" s="2636" t="e">
        <v>#N/A</v>
      </c>
      <c r="M441" s="2637" t="e">
        <v>#N/A</v>
      </c>
      <c r="N441" s="2636" t="e">
        <v>#N/A</v>
      </c>
      <c r="O441" s="2638" t="e">
        <v>#N/A</v>
      </c>
    </row>
    <row r="442" spans="1:15">
      <c r="A442" s="2765">
        <v>2030.01</v>
      </c>
      <c r="B442" s="2635" t="e">
        <v>#N/A</v>
      </c>
      <c r="C442" s="2635" t="e">
        <v>#N/A</v>
      </c>
      <c r="D442" s="2636" t="e">
        <v>#N/A</v>
      </c>
      <c r="E442" s="2637" t="e">
        <v>#N/A</v>
      </c>
      <c r="F442" s="2636" t="e">
        <v>#N/A</v>
      </c>
      <c r="G442" s="2637" t="e">
        <v>#N/A</v>
      </c>
      <c r="H442" s="2636" t="e">
        <v>#N/A</v>
      </c>
      <c r="I442" s="2637" t="e">
        <v>#N/A</v>
      </c>
      <c r="J442" s="2636" t="e">
        <v>#N/A</v>
      </c>
      <c r="K442" s="2636" t="e">
        <v>#N/A</v>
      </c>
      <c r="L442" s="2636" t="e">
        <v>#N/A</v>
      </c>
      <c r="M442" s="2637" t="e">
        <v>#N/A</v>
      </c>
      <c r="N442" s="2636" t="e">
        <v>#N/A</v>
      </c>
      <c r="O442" s="2638" t="e">
        <v>#N/A</v>
      </c>
    </row>
    <row r="443" spans="1:15">
      <c r="A443" s="2765">
        <v>2030.02</v>
      </c>
      <c r="B443" s="2635" t="e">
        <v>#N/A</v>
      </c>
      <c r="C443" s="2635" t="e">
        <v>#N/A</v>
      </c>
      <c r="D443" s="2636" t="e">
        <v>#N/A</v>
      </c>
      <c r="E443" s="2637" t="e">
        <v>#N/A</v>
      </c>
      <c r="F443" s="2636" t="e">
        <v>#N/A</v>
      </c>
      <c r="G443" s="2637" t="e">
        <v>#N/A</v>
      </c>
      <c r="H443" s="2636" t="e">
        <v>#N/A</v>
      </c>
      <c r="I443" s="2637" t="e">
        <v>#N/A</v>
      </c>
      <c r="J443" s="2636" t="e">
        <v>#N/A</v>
      </c>
      <c r="K443" s="2636" t="e">
        <v>#N/A</v>
      </c>
      <c r="L443" s="2636" t="e">
        <v>#N/A</v>
      </c>
      <c r="M443" s="2637" t="e">
        <v>#N/A</v>
      </c>
      <c r="N443" s="2636" t="e">
        <v>#N/A</v>
      </c>
      <c r="O443" s="2638" t="e">
        <v>#N/A</v>
      </c>
    </row>
    <row r="444" spans="1:15">
      <c r="A444" s="2765">
        <v>2030.03</v>
      </c>
      <c r="B444" s="2635" t="e">
        <v>#N/A</v>
      </c>
      <c r="C444" s="2635" t="e">
        <v>#N/A</v>
      </c>
      <c r="D444" s="2636" t="e">
        <v>#N/A</v>
      </c>
      <c r="E444" s="2637" t="e">
        <v>#N/A</v>
      </c>
      <c r="F444" s="2636" t="e">
        <v>#N/A</v>
      </c>
      <c r="G444" s="2637" t="e">
        <v>#N/A</v>
      </c>
      <c r="H444" s="2636" t="e">
        <v>#N/A</v>
      </c>
      <c r="I444" s="2637" t="e">
        <v>#N/A</v>
      </c>
      <c r="J444" s="2636" t="e">
        <v>#N/A</v>
      </c>
      <c r="K444" s="2636" t="e">
        <v>#N/A</v>
      </c>
      <c r="L444" s="2636" t="e">
        <v>#N/A</v>
      </c>
      <c r="M444" s="2637" t="e">
        <v>#N/A</v>
      </c>
      <c r="N444" s="2636" t="e">
        <v>#N/A</v>
      </c>
      <c r="O444" s="2638" t="e">
        <v>#N/A</v>
      </c>
    </row>
    <row r="445" spans="1:15">
      <c r="A445" s="2765">
        <v>2030.04</v>
      </c>
      <c r="B445" s="2635" t="e">
        <v>#N/A</v>
      </c>
      <c r="C445" s="2635" t="e">
        <v>#N/A</v>
      </c>
      <c r="D445" s="2636" t="e">
        <v>#N/A</v>
      </c>
      <c r="E445" s="2637" t="e">
        <v>#N/A</v>
      </c>
      <c r="F445" s="2636" t="e">
        <v>#N/A</v>
      </c>
      <c r="G445" s="2637" t="e">
        <v>#N/A</v>
      </c>
      <c r="H445" s="2636" t="e">
        <v>#N/A</v>
      </c>
      <c r="I445" s="2637" t="e">
        <v>#N/A</v>
      </c>
      <c r="J445" s="2636" t="e">
        <v>#N/A</v>
      </c>
      <c r="K445" s="2636" t="e">
        <v>#N/A</v>
      </c>
      <c r="L445" s="2636" t="e">
        <v>#N/A</v>
      </c>
      <c r="M445" s="2637" t="e">
        <v>#N/A</v>
      </c>
      <c r="N445" s="2636" t="e">
        <v>#N/A</v>
      </c>
      <c r="O445" s="2638" t="e">
        <v>#N/A</v>
      </c>
    </row>
    <row r="446" spans="1:15">
      <c r="A446" s="2765">
        <v>2030.05</v>
      </c>
      <c r="B446" s="2635" t="e">
        <v>#N/A</v>
      </c>
      <c r="C446" s="2635" t="e">
        <v>#N/A</v>
      </c>
      <c r="D446" s="2636" t="e">
        <v>#N/A</v>
      </c>
      <c r="E446" s="2637" t="e">
        <v>#N/A</v>
      </c>
      <c r="F446" s="2636" t="e">
        <v>#N/A</v>
      </c>
      <c r="G446" s="2637" t="e">
        <v>#N/A</v>
      </c>
      <c r="H446" s="2636" t="e">
        <v>#N/A</v>
      </c>
      <c r="I446" s="2637" t="e">
        <v>#N/A</v>
      </c>
      <c r="J446" s="2636" t="e">
        <v>#N/A</v>
      </c>
      <c r="K446" s="2636" t="e">
        <v>#N/A</v>
      </c>
      <c r="L446" s="2636" t="e">
        <v>#N/A</v>
      </c>
      <c r="M446" s="2637" t="e">
        <v>#N/A</v>
      </c>
      <c r="N446" s="2636" t="e">
        <v>#N/A</v>
      </c>
      <c r="O446" s="2638" t="e">
        <v>#N/A</v>
      </c>
    </row>
    <row r="447" spans="1:15">
      <c r="A447" s="2765">
        <v>2030.06</v>
      </c>
      <c r="B447" s="2635" t="e">
        <v>#N/A</v>
      </c>
      <c r="C447" s="2635" t="e">
        <v>#N/A</v>
      </c>
      <c r="D447" s="2636" t="e">
        <v>#N/A</v>
      </c>
      <c r="E447" s="2637" t="e">
        <v>#N/A</v>
      </c>
      <c r="F447" s="2636" t="e">
        <v>#N/A</v>
      </c>
      <c r="G447" s="2637" t="e">
        <v>#N/A</v>
      </c>
      <c r="H447" s="2636" t="e">
        <v>#N/A</v>
      </c>
      <c r="I447" s="2637" t="e">
        <v>#N/A</v>
      </c>
      <c r="J447" s="2636" t="e">
        <v>#N/A</v>
      </c>
      <c r="K447" s="2636" t="e">
        <v>#N/A</v>
      </c>
      <c r="L447" s="2636" t="e">
        <v>#N/A</v>
      </c>
      <c r="M447" s="2637" t="e">
        <v>#N/A</v>
      </c>
      <c r="N447" s="2636" t="e">
        <v>#N/A</v>
      </c>
      <c r="O447" s="2638" t="e">
        <v>#N/A</v>
      </c>
    </row>
    <row r="448" spans="1:15">
      <c r="A448" s="2765">
        <v>2030.07</v>
      </c>
      <c r="B448" s="2635" t="e">
        <v>#N/A</v>
      </c>
      <c r="C448" s="2635" t="e">
        <v>#N/A</v>
      </c>
      <c r="D448" s="2636" t="e">
        <v>#N/A</v>
      </c>
      <c r="E448" s="2637" t="e">
        <v>#N/A</v>
      </c>
      <c r="F448" s="2636" t="e">
        <v>#N/A</v>
      </c>
      <c r="G448" s="2637" t="e">
        <v>#N/A</v>
      </c>
      <c r="H448" s="2636" t="e">
        <v>#N/A</v>
      </c>
      <c r="I448" s="2637" t="e">
        <v>#N/A</v>
      </c>
      <c r="J448" s="2636" t="e">
        <v>#N/A</v>
      </c>
      <c r="K448" s="2636" t="e">
        <v>#N/A</v>
      </c>
      <c r="L448" s="2636" t="e">
        <v>#N/A</v>
      </c>
      <c r="M448" s="2637" t="e">
        <v>#N/A</v>
      </c>
      <c r="N448" s="2636" t="e">
        <v>#N/A</v>
      </c>
      <c r="O448" s="2638" t="e">
        <v>#N/A</v>
      </c>
    </row>
    <row r="449" spans="1:15">
      <c r="A449" s="2765">
        <v>2030.08</v>
      </c>
      <c r="B449" s="2635" t="e">
        <v>#N/A</v>
      </c>
      <c r="C449" s="2635" t="e">
        <v>#N/A</v>
      </c>
      <c r="D449" s="2636" t="e">
        <v>#N/A</v>
      </c>
      <c r="E449" s="2637" t="e">
        <v>#N/A</v>
      </c>
      <c r="F449" s="2636" t="e">
        <v>#N/A</v>
      </c>
      <c r="G449" s="2637" t="e">
        <v>#N/A</v>
      </c>
      <c r="H449" s="2636" t="e">
        <v>#N/A</v>
      </c>
      <c r="I449" s="2637" t="e">
        <v>#N/A</v>
      </c>
      <c r="J449" s="2636" t="e">
        <v>#N/A</v>
      </c>
      <c r="K449" s="2636" t="e">
        <v>#N/A</v>
      </c>
      <c r="L449" s="2636" t="e">
        <v>#N/A</v>
      </c>
      <c r="M449" s="2637" t="e">
        <v>#N/A</v>
      </c>
      <c r="N449" s="2636" t="e">
        <v>#N/A</v>
      </c>
      <c r="O449" s="2638" t="e">
        <v>#N/A</v>
      </c>
    </row>
    <row r="450" spans="1:15">
      <c r="A450" s="2765">
        <v>2030.09</v>
      </c>
      <c r="B450" s="2635" t="e">
        <v>#N/A</v>
      </c>
      <c r="C450" s="2635" t="e">
        <v>#N/A</v>
      </c>
      <c r="D450" s="2636" t="e">
        <v>#N/A</v>
      </c>
      <c r="E450" s="2637" t="e">
        <v>#N/A</v>
      </c>
      <c r="F450" s="2636" t="e">
        <v>#N/A</v>
      </c>
      <c r="G450" s="2637" t="e">
        <v>#N/A</v>
      </c>
      <c r="H450" s="2636" t="e">
        <v>#N/A</v>
      </c>
      <c r="I450" s="2637" t="e">
        <v>#N/A</v>
      </c>
      <c r="J450" s="2636" t="e">
        <v>#N/A</v>
      </c>
      <c r="K450" s="2636" t="e">
        <v>#N/A</v>
      </c>
      <c r="L450" s="2636" t="e">
        <v>#N/A</v>
      </c>
      <c r="M450" s="2637" t="e">
        <v>#N/A</v>
      </c>
      <c r="N450" s="2636" t="e">
        <v>#N/A</v>
      </c>
      <c r="O450" s="2638" t="e">
        <v>#N/A</v>
      </c>
    </row>
    <row r="451" spans="1:15">
      <c r="A451" s="2765">
        <v>2030.1</v>
      </c>
      <c r="B451" s="2635" t="e">
        <v>#N/A</v>
      </c>
      <c r="C451" s="2635" t="e">
        <v>#N/A</v>
      </c>
      <c r="D451" s="2636" t="e">
        <v>#N/A</v>
      </c>
      <c r="E451" s="2637" t="e">
        <v>#N/A</v>
      </c>
      <c r="F451" s="2636" t="e">
        <v>#N/A</v>
      </c>
      <c r="G451" s="2637" t="e">
        <v>#N/A</v>
      </c>
      <c r="H451" s="2636" t="e">
        <v>#N/A</v>
      </c>
      <c r="I451" s="2637" t="e">
        <v>#N/A</v>
      </c>
      <c r="J451" s="2636" t="e">
        <v>#N/A</v>
      </c>
      <c r="K451" s="2636" t="e">
        <v>#N/A</v>
      </c>
      <c r="L451" s="2636" t="e">
        <v>#N/A</v>
      </c>
      <c r="M451" s="2637" t="e">
        <v>#N/A</v>
      </c>
      <c r="N451" s="2636" t="e">
        <v>#N/A</v>
      </c>
      <c r="O451" s="2638" t="e">
        <v>#N/A</v>
      </c>
    </row>
    <row r="452" spans="1:15">
      <c r="A452" s="2765">
        <v>2030.11</v>
      </c>
      <c r="B452" s="2635" t="e">
        <v>#N/A</v>
      </c>
      <c r="C452" s="2635" t="e">
        <v>#N/A</v>
      </c>
      <c r="D452" s="2636" t="e">
        <v>#N/A</v>
      </c>
      <c r="E452" s="2637" t="e">
        <v>#N/A</v>
      </c>
      <c r="F452" s="2636" t="e">
        <v>#N/A</v>
      </c>
      <c r="G452" s="2637" t="e">
        <v>#N/A</v>
      </c>
      <c r="H452" s="2636" t="e">
        <v>#N/A</v>
      </c>
      <c r="I452" s="2637" t="e">
        <v>#N/A</v>
      </c>
      <c r="J452" s="2636" t="e">
        <v>#N/A</v>
      </c>
      <c r="K452" s="2636" t="e">
        <v>#N/A</v>
      </c>
      <c r="L452" s="2636" t="e">
        <v>#N/A</v>
      </c>
      <c r="M452" s="2637" t="e">
        <v>#N/A</v>
      </c>
      <c r="N452" s="2636" t="e">
        <v>#N/A</v>
      </c>
      <c r="O452" s="2638" t="e">
        <v>#N/A</v>
      </c>
    </row>
    <row r="453" spans="1:15">
      <c r="A453" s="2765">
        <v>2030.12</v>
      </c>
      <c r="B453" s="2635" t="e">
        <v>#N/A</v>
      </c>
      <c r="C453" s="2635" t="e">
        <v>#N/A</v>
      </c>
      <c r="D453" s="2636" t="e">
        <v>#N/A</v>
      </c>
      <c r="E453" s="2637" t="e">
        <v>#N/A</v>
      </c>
      <c r="F453" s="2636" t="e">
        <v>#N/A</v>
      </c>
      <c r="G453" s="2637" t="e">
        <v>#N/A</v>
      </c>
      <c r="H453" s="2636" t="e">
        <v>#N/A</v>
      </c>
      <c r="I453" s="2637" t="e">
        <v>#N/A</v>
      </c>
      <c r="J453" s="2636" t="e">
        <v>#N/A</v>
      </c>
      <c r="K453" s="2636" t="e">
        <v>#N/A</v>
      </c>
      <c r="L453" s="2636" t="e">
        <v>#N/A</v>
      </c>
      <c r="M453" s="2637" t="e">
        <v>#N/A</v>
      </c>
      <c r="N453" s="2636" t="e">
        <v>#N/A</v>
      </c>
      <c r="O453" s="2638" t="e">
        <v>#N/A</v>
      </c>
    </row>
  </sheetData>
  <hyperlinks>
    <hyperlink ref="A5" location="INDICE!A13" display="VOLVER AL INDICE" xr:uid="{00000000-0004-0000-3300-000000000000}"/>
  </hyperlinks>
  <pageMargins left="0.7" right="0.7" top="0.75" bottom="0.75" header="0.3" footer="0.3"/>
  <pageSetup paperSize="9" orientation="portrait" horizontalDpi="4294967295" verticalDpi="4294967295"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autoPageBreaks="0"/>
  </sheetPr>
  <dimension ref="A1:Z189"/>
  <sheetViews>
    <sheetView zoomScale="115" zoomScaleNormal="115" workbookViewId="0">
      <pane xSplit="1" ySplit="9" topLeftCell="B106"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7109375" style="547" bestFit="1" customWidth="1"/>
    <col min="2" max="8" width="13" style="546" customWidth="1"/>
    <col min="9" max="9" width="13" style="546" bestFit="1" customWidth="1"/>
    <col min="10" max="10" width="13" style="546" customWidth="1"/>
    <col min="11" max="11" width="13" style="546" bestFit="1" customWidth="1"/>
    <col min="12" max="13" width="13" style="547" bestFit="1" customWidth="1"/>
    <col min="14" max="14" width="13" style="546" bestFit="1" customWidth="1"/>
    <col min="15" max="15" width="13" style="546" customWidth="1"/>
    <col min="16" max="18" width="13" style="546" bestFit="1" customWidth="1"/>
    <col min="19" max="19" width="13" style="546" customWidth="1"/>
    <col min="20" max="20" width="13" style="546" bestFit="1" customWidth="1"/>
    <col min="21" max="21" width="13" style="546" customWidth="1"/>
    <col min="22" max="22" width="13.28515625" style="546" customWidth="1"/>
    <col min="23" max="25" width="13" style="546" customWidth="1"/>
    <col min="26" max="16384" width="11.42578125" style="545"/>
  </cols>
  <sheetData>
    <row r="1" spans="1:25" s="550" customFormat="1" ht="3.75" customHeight="1">
      <c r="A1" s="37"/>
      <c r="B1" s="556"/>
      <c r="C1" s="556"/>
      <c r="D1" s="556"/>
      <c r="E1" s="732"/>
      <c r="F1" s="732"/>
      <c r="G1" s="732"/>
      <c r="H1" s="732"/>
      <c r="I1" s="732"/>
      <c r="J1" s="732"/>
      <c r="K1" s="732"/>
      <c r="L1" s="753"/>
      <c r="M1" s="753"/>
      <c r="N1" s="732"/>
      <c r="O1" s="732"/>
      <c r="P1" s="732"/>
      <c r="Q1" s="732"/>
      <c r="R1" s="732"/>
      <c r="S1" s="732"/>
      <c r="T1" s="732"/>
      <c r="U1" s="732"/>
      <c r="V1" s="732"/>
      <c r="W1" s="732"/>
      <c r="X1" s="556"/>
      <c r="Y1" s="559"/>
    </row>
    <row r="2" spans="1:25" s="550" customFormat="1" ht="40.35" customHeight="1">
      <c r="A2" s="121" t="s">
        <v>212</v>
      </c>
      <c r="B2" s="555" t="s">
        <v>977</v>
      </c>
      <c r="C2" s="467"/>
      <c r="D2" s="467"/>
      <c r="E2" s="467"/>
      <c r="F2" s="467"/>
      <c r="G2" s="467"/>
      <c r="H2" s="467"/>
      <c r="I2" s="467"/>
      <c r="J2" s="467"/>
      <c r="K2" s="467"/>
      <c r="L2" s="467"/>
      <c r="M2" s="467"/>
      <c r="N2" s="467"/>
      <c r="O2" s="467"/>
      <c r="P2" s="467"/>
      <c r="Q2" s="467"/>
      <c r="R2" s="467"/>
      <c r="S2" s="467"/>
      <c r="T2" s="467"/>
      <c r="U2" s="733"/>
      <c r="V2" s="467"/>
      <c r="W2" s="733"/>
      <c r="X2" s="467"/>
      <c r="Y2" s="754"/>
    </row>
    <row r="3" spans="1:25" s="550" customFormat="1">
      <c r="A3" s="121" t="s">
        <v>211</v>
      </c>
      <c r="B3" s="555" t="s">
        <v>219</v>
      </c>
      <c r="C3" s="467"/>
      <c r="D3" s="467"/>
      <c r="E3" s="467"/>
      <c r="F3" s="467"/>
      <c r="G3" s="467"/>
      <c r="H3" s="467"/>
      <c r="I3" s="467"/>
      <c r="J3" s="467"/>
      <c r="K3" s="467"/>
      <c r="L3" s="467"/>
      <c r="M3" s="467"/>
      <c r="N3" s="467"/>
      <c r="O3" s="467"/>
      <c r="P3" s="467"/>
      <c r="Q3" s="467"/>
      <c r="R3" s="467"/>
      <c r="S3" s="467"/>
      <c r="T3" s="467"/>
      <c r="U3" s="733"/>
      <c r="V3" s="467"/>
      <c r="W3" s="733"/>
      <c r="X3" s="467"/>
      <c r="Y3" s="754"/>
    </row>
    <row r="4" spans="1:25" s="550" customFormat="1">
      <c r="A4" s="171"/>
      <c r="B4" s="2065" t="s">
        <v>978</v>
      </c>
      <c r="C4" s="734"/>
      <c r="D4" s="467"/>
      <c r="E4" s="734"/>
      <c r="F4" s="734"/>
      <c r="G4" s="734"/>
      <c r="H4" s="734"/>
      <c r="I4" s="555" t="s">
        <v>979</v>
      </c>
      <c r="J4" s="734"/>
      <c r="K4" s="734"/>
      <c r="L4" s="735"/>
      <c r="M4" s="735"/>
      <c r="N4" s="735"/>
      <c r="O4" s="735"/>
      <c r="P4" s="735"/>
      <c r="Q4" s="735"/>
      <c r="R4" s="735"/>
      <c r="S4" s="735"/>
      <c r="T4" s="735"/>
      <c r="U4" s="736"/>
      <c r="V4" s="737"/>
      <c r="W4" s="736"/>
      <c r="X4" s="735"/>
      <c r="Y4" s="740"/>
    </row>
    <row r="5" spans="1:25" s="550" customFormat="1" ht="56.25">
      <c r="A5" s="45" t="s">
        <v>213</v>
      </c>
      <c r="B5" s="748" t="s">
        <v>996</v>
      </c>
      <c r="C5" s="1431" t="s">
        <v>789</v>
      </c>
      <c r="D5" s="748" t="s">
        <v>980</v>
      </c>
      <c r="E5" s="1431" t="s">
        <v>981</v>
      </c>
      <c r="F5" s="748" t="s">
        <v>982</v>
      </c>
      <c r="G5" s="1431" t="s">
        <v>983</v>
      </c>
      <c r="H5" s="748" t="s">
        <v>984</v>
      </c>
      <c r="I5" s="552" t="s">
        <v>985</v>
      </c>
      <c r="J5" s="1431" t="s">
        <v>986</v>
      </c>
      <c r="K5" s="748" t="s">
        <v>820</v>
      </c>
      <c r="L5" s="2090" t="s">
        <v>987</v>
      </c>
      <c r="M5" s="739" t="s">
        <v>243</v>
      </c>
      <c r="N5" s="2090" t="s">
        <v>821</v>
      </c>
      <c r="O5" s="739" t="s">
        <v>822</v>
      </c>
      <c r="P5" s="2090" t="s">
        <v>823</v>
      </c>
      <c r="Q5" s="739" t="s">
        <v>824</v>
      </c>
      <c r="R5" s="2090" t="s">
        <v>729</v>
      </c>
      <c r="S5" s="739" t="s">
        <v>99</v>
      </c>
      <c r="T5" s="2093" t="s">
        <v>244</v>
      </c>
      <c r="U5" s="2102" t="s">
        <v>949</v>
      </c>
      <c r="V5" s="2110" t="s">
        <v>950</v>
      </c>
      <c r="W5" s="738" t="s">
        <v>951</v>
      </c>
      <c r="X5" s="2090" t="s">
        <v>952</v>
      </c>
      <c r="Y5" s="2114" t="s">
        <v>953</v>
      </c>
    </row>
    <row r="6" spans="1:25" s="550" customFormat="1" ht="3.75" customHeight="1">
      <c r="A6" s="171"/>
      <c r="B6" s="551"/>
      <c r="C6" s="2073"/>
      <c r="D6" s="734"/>
      <c r="E6" s="2073"/>
      <c r="F6" s="734"/>
      <c r="G6" s="2073"/>
      <c r="H6" s="734"/>
      <c r="I6" s="551"/>
      <c r="J6" s="2073"/>
      <c r="K6" s="734"/>
      <c r="L6" s="2091"/>
      <c r="M6" s="735"/>
      <c r="N6" s="2091"/>
      <c r="O6" s="735"/>
      <c r="P6" s="2091"/>
      <c r="Q6" s="735"/>
      <c r="R6" s="2091"/>
      <c r="S6" s="735"/>
      <c r="T6" s="2094"/>
      <c r="U6" s="2103"/>
      <c r="V6" s="2111"/>
      <c r="W6" s="752"/>
      <c r="X6" s="2091"/>
      <c r="Y6" s="740"/>
    </row>
    <row r="7" spans="1:25" s="550" customFormat="1" ht="22.5">
      <c r="A7" s="47" t="s">
        <v>210</v>
      </c>
      <c r="B7" s="743" t="s">
        <v>304</v>
      </c>
      <c r="C7" s="2074"/>
      <c r="D7" s="741"/>
      <c r="E7" s="2074"/>
      <c r="F7" s="741"/>
      <c r="G7" s="2074"/>
      <c r="H7" s="741"/>
      <c r="I7" s="747" t="s">
        <v>304</v>
      </c>
      <c r="J7" s="2074"/>
      <c r="K7" s="741"/>
      <c r="L7" s="2074"/>
      <c r="M7" s="741"/>
      <c r="N7" s="2074"/>
      <c r="O7" s="741"/>
      <c r="P7" s="2074"/>
      <c r="Q7" s="741"/>
      <c r="R7" s="2074"/>
      <c r="S7" s="741"/>
      <c r="T7" s="2095"/>
      <c r="U7" s="2104" t="s">
        <v>304</v>
      </c>
      <c r="V7" s="2095"/>
      <c r="W7" s="747" t="s">
        <v>304</v>
      </c>
      <c r="X7" s="2074"/>
      <c r="Y7" s="742"/>
    </row>
    <row r="8" spans="1:25" s="550" customFormat="1">
      <c r="A8" s="390" t="s">
        <v>412</v>
      </c>
      <c r="B8" s="744" t="s">
        <v>684</v>
      </c>
      <c r="C8" s="2075" t="s">
        <v>685</v>
      </c>
      <c r="D8" s="744" t="s">
        <v>686</v>
      </c>
      <c r="E8" s="2075" t="s">
        <v>687</v>
      </c>
      <c r="F8" s="744" t="s">
        <v>688</v>
      </c>
      <c r="G8" s="2075" t="s">
        <v>689</v>
      </c>
      <c r="H8" s="744" t="s">
        <v>690</v>
      </c>
      <c r="I8" s="749" t="s">
        <v>691</v>
      </c>
      <c r="J8" s="2075" t="s">
        <v>692</v>
      </c>
      <c r="K8" s="744" t="s">
        <v>693</v>
      </c>
      <c r="L8" s="2075" t="s">
        <v>694</v>
      </c>
      <c r="M8" s="744" t="s">
        <v>938</v>
      </c>
      <c r="N8" s="2075" t="s">
        <v>945</v>
      </c>
      <c r="O8" s="744" t="s">
        <v>946</v>
      </c>
      <c r="P8" s="2075" t="s">
        <v>947</v>
      </c>
      <c r="Q8" s="744" t="s">
        <v>948</v>
      </c>
      <c r="R8" s="2075" t="s">
        <v>988</v>
      </c>
      <c r="S8" s="744" t="s">
        <v>989</v>
      </c>
      <c r="T8" s="2096" t="s">
        <v>990</v>
      </c>
      <c r="U8" s="1936" t="s">
        <v>991</v>
      </c>
      <c r="V8" s="2096" t="s">
        <v>992</v>
      </c>
      <c r="W8" s="749" t="s">
        <v>993</v>
      </c>
      <c r="X8" s="2075" t="s">
        <v>994</v>
      </c>
      <c r="Y8" s="913" t="s">
        <v>995</v>
      </c>
    </row>
    <row r="9" spans="1:25" s="548" customFormat="1" ht="13.5" thickBot="1">
      <c r="A9" s="152" t="s">
        <v>217</v>
      </c>
      <c r="B9" s="586"/>
      <c r="C9" s="1416"/>
      <c r="D9" s="586"/>
      <c r="E9" s="1416"/>
      <c r="F9" s="586"/>
      <c r="G9" s="1416"/>
      <c r="H9" s="586"/>
      <c r="I9" s="549"/>
      <c r="J9" s="1416"/>
      <c r="K9" s="586"/>
      <c r="L9" s="2092"/>
      <c r="M9" s="750"/>
      <c r="N9" s="2092"/>
      <c r="O9" s="585"/>
      <c r="P9" s="2092"/>
      <c r="Q9" s="585"/>
      <c r="R9" s="2092"/>
      <c r="S9" s="585"/>
      <c r="T9" s="2097"/>
      <c r="U9" s="2105"/>
      <c r="V9" s="2112"/>
      <c r="W9" s="751"/>
      <c r="X9" s="2092"/>
      <c r="Y9" s="692"/>
    </row>
    <row r="10" spans="1:25">
      <c r="A10" s="745">
        <v>2016.01</v>
      </c>
      <c r="B10" s="2066"/>
      <c r="C10" s="2076"/>
      <c r="D10" s="2080"/>
      <c r="E10" s="2076"/>
      <c r="F10" s="2080"/>
      <c r="G10" s="2076"/>
      <c r="H10" s="2070"/>
      <c r="I10" s="2084"/>
      <c r="J10" s="2076"/>
      <c r="K10" s="2080"/>
      <c r="L10" s="2076"/>
      <c r="M10" s="2080"/>
      <c r="N10" s="2076"/>
      <c r="O10" s="2080"/>
      <c r="P10" s="2076"/>
      <c r="Q10" s="2080"/>
      <c r="R10" s="2076"/>
      <c r="S10" s="2080"/>
      <c r="T10" s="2098"/>
      <c r="U10" s="2106"/>
      <c r="V10" s="2098"/>
      <c r="W10" s="2084"/>
      <c r="X10" s="2076"/>
      <c r="Y10" s="2115"/>
    </row>
    <row r="11" spans="1:25">
      <c r="A11" s="745">
        <v>2016.02</v>
      </c>
      <c r="B11" s="2067"/>
      <c r="C11" s="2077"/>
      <c r="D11" s="2081"/>
      <c r="E11" s="2077"/>
      <c r="F11" s="2081"/>
      <c r="G11" s="2077"/>
      <c r="H11" s="2071"/>
      <c r="I11" s="2085"/>
      <c r="J11" s="2077"/>
      <c r="K11" s="2081"/>
      <c r="L11" s="2077"/>
      <c r="M11" s="2081"/>
      <c r="N11" s="2077"/>
      <c r="O11" s="2081"/>
      <c r="P11" s="2077"/>
      <c r="Q11" s="2081"/>
      <c r="R11" s="2077"/>
      <c r="S11" s="2081"/>
      <c r="T11" s="2099"/>
      <c r="U11" s="2107"/>
      <c r="V11" s="2099"/>
      <c r="W11" s="2085"/>
      <c r="X11" s="2077"/>
      <c r="Y11" s="2116"/>
    </row>
    <row r="12" spans="1:25">
      <c r="A12" s="745">
        <v>2016.03</v>
      </c>
      <c r="B12" s="2067"/>
      <c r="C12" s="2077"/>
      <c r="D12" s="2081"/>
      <c r="E12" s="2077"/>
      <c r="F12" s="2081"/>
      <c r="G12" s="2077"/>
      <c r="H12" s="2071"/>
      <c r="I12" s="2085"/>
      <c r="J12" s="2077"/>
      <c r="K12" s="2081"/>
      <c r="L12" s="2077"/>
      <c r="M12" s="2081"/>
      <c r="N12" s="2077"/>
      <c r="O12" s="2081"/>
      <c r="P12" s="2077"/>
      <c r="Q12" s="2081"/>
      <c r="R12" s="2077"/>
      <c r="S12" s="2081"/>
      <c r="T12" s="2099"/>
      <c r="U12" s="2107"/>
      <c r="V12" s="2099"/>
      <c r="W12" s="2085"/>
      <c r="X12" s="2077"/>
      <c r="Y12" s="2116"/>
    </row>
    <row r="13" spans="1:25">
      <c r="A13" s="745">
        <v>2016.04</v>
      </c>
      <c r="B13" s="2067"/>
      <c r="C13" s="2077"/>
      <c r="D13" s="2081"/>
      <c r="E13" s="2077"/>
      <c r="F13" s="2081"/>
      <c r="G13" s="2077"/>
      <c r="H13" s="2071"/>
      <c r="I13" s="2085"/>
      <c r="J13" s="2077"/>
      <c r="K13" s="2081"/>
      <c r="L13" s="2077"/>
      <c r="M13" s="2081"/>
      <c r="N13" s="2077"/>
      <c r="O13" s="2081"/>
      <c r="P13" s="2077"/>
      <c r="Q13" s="2081"/>
      <c r="R13" s="2077"/>
      <c r="S13" s="2081"/>
      <c r="T13" s="2099"/>
      <c r="U13" s="2107"/>
      <c r="V13" s="2099"/>
      <c r="W13" s="2085"/>
      <c r="X13" s="2077"/>
      <c r="Y13" s="2116"/>
    </row>
    <row r="14" spans="1:25">
      <c r="A14" s="745">
        <v>2016.05</v>
      </c>
      <c r="B14" s="2067"/>
      <c r="C14" s="2078">
        <v>4.2000000000000003E-2</v>
      </c>
      <c r="D14" s="2081"/>
      <c r="E14" s="2077"/>
      <c r="F14" s="2081"/>
      <c r="G14" s="2077"/>
      <c r="H14" s="2071"/>
      <c r="I14" s="2085"/>
      <c r="J14" s="2077"/>
      <c r="K14" s="2081"/>
      <c r="L14" s="2077"/>
      <c r="M14" s="2081"/>
      <c r="N14" s="2077"/>
      <c r="O14" s="2081"/>
      <c r="P14" s="2077"/>
      <c r="Q14" s="2081"/>
      <c r="R14" s="2077"/>
      <c r="S14" s="2081"/>
      <c r="T14" s="2099"/>
      <c r="U14" s="2107"/>
      <c r="V14" s="2099"/>
      <c r="W14" s="2085"/>
      <c r="X14" s="2077"/>
      <c r="Y14" s="2116"/>
    </row>
    <row r="15" spans="1:25">
      <c r="A15" s="745">
        <v>2016.06</v>
      </c>
      <c r="B15" s="2067"/>
      <c r="C15" s="2079">
        <v>3.1E-2</v>
      </c>
      <c r="D15" s="2081"/>
      <c r="E15" s="2077"/>
      <c r="F15" s="2081"/>
      <c r="G15" s="2077"/>
      <c r="H15" s="2071"/>
      <c r="I15" s="2085"/>
      <c r="J15" s="2077"/>
      <c r="K15" s="2081"/>
      <c r="L15" s="2077"/>
      <c r="M15" s="2081"/>
      <c r="N15" s="2077"/>
      <c r="O15" s="2081"/>
      <c r="P15" s="2077"/>
      <c r="Q15" s="2081"/>
      <c r="R15" s="2077"/>
      <c r="S15" s="2081"/>
      <c r="T15" s="2099"/>
      <c r="U15" s="2107"/>
      <c r="V15" s="2099"/>
      <c r="W15" s="2085"/>
      <c r="X15" s="2077"/>
      <c r="Y15" s="2116"/>
    </row>
    <row r="16" spans="1:25">
      <c r="A16" s="745">
        <f t="shared" ref="A16:A21" si="0">A15+0.01</f>
        <v>2016.07</v>
      </c>
      <c r="B16" s="2067"/>
      <c r="C16" s="2079">
        <v>0.02</v>
      </c>
      <c r="D16" s="2081"/>
      <c r="E16" s="2077"/>
      <c r="F16" s="2081"/>
      <c r="G16" s="2077"/>
      <c r="H16" s="2071"/>
      <c r="I16" s="2085"/>
      <c r="J16" s="2077"/>
      <c r="K16" s="2081"/>
      <c r="L16" s="2077"/>
      <c r="M16" s="2081"/>
      <c r="N16" s="2077"/>
      <c r="O16" s="2081"/>
      <c r="P16" s="2077"/>
      <c r="Q16" s="2081"/>
      <c r="R16" s="2077"/>
      <c r="S16" s="2081"/>
      <c r="T16" s="2099"/>
      <c r="U16" s="2107"/>
      <c r="V16" s="2099"/>
      <c r="W16" s="2085"/>
      <c r="X16" s="2077"/>
      <c r="Y16" s="2116"/>
    </row>
    <row r="17" spans="1:25">
      <c r="A17" s="745">
        <f t="shared" si="0"/>
        <v>2016.08</v>
      </c>
      <c r="B17" s="2067"/>
      <c r="C17" s="2079">
        <v>2E-3</v>
      </c>
      <c r="D17" s="2081"/>
      <c r="E17" s="2077"/>
      <c r="F17" s="2081"/>
      <c r="G17" s="2077"/>
      <c r="H17" s="2071"/>
      <c r="I17" s="2085"/>
      <c r="J17" s="2077"/>
      <c r="K17" s="2081"/>
      <c r="L17" s="2077"/>
      <c r="M17" s="2081"/>
      <c r="N17" s="2077"/>
      <c r="O17" s="2081"/>
      <c r="P17" s="2077"/>
      <c r="Q17" s="2081"/>
      <c r="R17" s="2077"/>
      <c r="S17" s="2081"/>
      <c r="T17" s="2099"/>
      <c r="U17" s="2107"/>
      <c r="V17" s="2099"/>
      <c r="W17" s="2085"/>
      <c r="X17" s="2077"/>
      <c r="Y17" s="2116"/>
    </row>
    <row r="18" spans="1:25">
      <c r="A18" s="745">
        <f t="shared" si="0"/>
        <v>2016.09</v>
      </c>
      <c r="B18" s="2067"/>
      <c r="C18" s="2079">
        <v>1.0999999999999999E-2</v>
      </c>
      <c r="D18" s="2081"/>
      <c r="E18" s="2077"/>
      <c r="F18" s="2081"/>
      <c r="G18" s="2077"/>
      <c r="H18" s="2071"/>
      <c r="I18" s="2085"/>
      <c r="J18" s="2077"/>
      <c r="K18" s="2081"/>
      <c r="L18" s="2077"/>
      <c r="M18" s="2081"/>
      <c r="N18" s="2077"/>
      <c r="O18" s="2081"/>
      <c r="P18" s="2077"/>
      <c r="Q18" s="2081"/>
      <c r="R18" s="2077"/>
      <c r="S18" s="2081"/>
      <c r="T18" s="2099"/>
      <c r="U18" s="2107"/>
      <c r="V18" s="2099"/>
      <c r="W18" s="2085"/>
      <c r="X18" s="2077"/>
      <c r="Y18" s="2116"/>
    </row>
    <row r="19" spans="1:25">
      <c r="A19" s="745">
        <f t="shared" si="0"/>
        <v>2016.1</v>
      </c>
      <c r="B19" s="2067"/>
      <c r="C19" s="2079">
        <v>2.4E-2</v>
      </c>
      <c r="D19" s="2081"/>
      <c r="E19" s="2077"/>
      <c r="F19" s="2081"/>
      <c r="G19" s="2077"/>
      <c r="H19" s="2071"/>
      <c r="I19" s="2085"/>
      <c r="J19" s="2077"/>
      <c r="K19" s="2081"/>
      <c r="L19" s="2077"/>
      <c r="M19" s="2081"/>
      <c r="N19" s="2077"/>
      <c r="O19" s="2081"/>
      <c r="P19" s="2077"/>
      <c r="Q19" s="2081"/>
      <c r="R19" s="2077"/>
      <c r="S19" s="2081"/>
      <c r="T19" s="2099"/>
      <c r="U19" s="2107"/>
      <c r="V19" s="2099"/>
      <c r="W19" s="2085"/>
      <c r="X19" s="2077"/>
      <c r="Y19" s="2116"/>
    </row>
    <row r="20" spans="1:25">
      <c r="A20" s="745">
        <f t="shared" si="0"/>
        <v>2016.11</v>
      </c>
      <c r="B20" s="2067"/>
      <c r="C20" s="2079">
        <v>1.6E-2</v>
      </c>
      <c r="D20" s="2081"/>
      <c r="E20" s="2077"/>
      <c r="F20" s="2081"/>
      <c r="G20" s="2077"/>
      <c r="H20" s="2071"/>
      <c r="I20" s="2085"/>
      <c r="J20" s="2077"/>
      <c r="K20" s="2081"/>
      <c r="L20" s="2077"/>
      <c r="M20" s="2081"/>
      <c r="N20" s="2077"/>
      <c r="O20" s="2081"/>
      <c r="P20" s="2077"/>
      <c r="Q20" s="2081"/>
      <c r="R20" s="2077"/>
      <c r="S20" s="2081"/>
      <c r="T20" s="2099"/>
      <c r="U20" s="2107"/>
      <c r="V20" s="2099"/>
      <c r="W20" s="2085"/>
      <c r="X20" s="2077"/>
      <c r="Y20" s="2116"/>
    </row>
    <row r="21" spans="1:25">
      <c r="A21" s="745">
        <f t="shared" si="0"/>
        <v>2016.12</v>
      </c>
      <c r="B21" s="2067"/>
      <c r="C21" s="2079">
        <v>1.2E-2</v>
      </c>
      <c r="D21" s="2081"/>
      <c r="E21" s="2077"/>
      <c r="F21" s="2081"/>
      <c r="G21" s="2077"/>
      <c r="H21" s="2071"/>
      <c r="I21" s="2085"/>
      <c r="J21" s="2077"/>
      <c r="K21" s="2081"/>
      <c r="L21" s="2077"/>
      <c r="M21" s="2081"/>
      <c r="N21" s="2077"/>
      <c r="O21" s="2081"/>
      <c r="P21" s="2077"/>
      <c r="Q21" s="2081"/>
      <c r="R21" s="2077"/>
      <c r="S21" s="2081"/>
      <c r="T21" s="2099"/>
      <c r="U21" s="2107"/>
      <c r="V21" s="2099"/>
      <c r="W21" s="2085"/>
      <c r="X21" s="2077"/>
      <c r="Y21" s="2116"/>
    </row>
    <row r="22" spans="1:25">
      <c r="A22" s="745">
        <f>A10+1</f>
        <v>2017.01</v>
      </c>
      <c r="B22" s="2068">
        <v>1.6E-2</v>
      </c>
      <c r="C22" s="2079">
        <v>1.3000000000000001E-2</v>
      </c>
      <c r="D22" s="2072">
        <v>1.8000000000000002E-2</v>
      </c>
      <c r="E22" s="2078">
        <v>1.7000000000000001E-2</v>
      </c>
      <c r="F22" s="2072">
        <v>1.6E-2</v>
      </c>
      <c r="G22" s="2078">
        <v>1.7000000000000001E-2</v>
      </c>
      <c r="H22" s="2083">
        <v>2.6000000000000002E-2</v>
      </c>
      <c r="I22" s="2086">
        <v>1.3000000000000001E-2</v>
      </c>
      <c r="J22" s="2088">
        <v>9.0000000000000011E-3</v>
      </c>
      <c r="K22" s="2089">
        <v>-0.01</v>
      </c>
      <c r="L22" s="2088">
        <v>1.4999999999999999E-2</v>
      </c>
      <c r="M22" s="2089">
        <v>9.0000000000000011E-3</v>
      </c>
      <c r="N22" s="2088">
        <v>2.4E-2</v>
      </c>
      <c r="O22" s="2089">
        <v>2.1000000000000001E-2</v>
      </c>
      <c r="P22" s="2088">
        <v>3.1E-2</v>
      </c>
      <c r="Q22" s="2089">
        <v>3.2000000000000001E-2</v>
      </c>
      <c r="R22" s="2088">
        <v>8.0000000000000002E-3</v>
      </c>
      <c r="S22" s="2089">
        <v>3.1E-2</v>
      </c>
      <c r="T22" s="2100">
        <v>1.9E-2</v>
      </c>
      <c r="U22" s="2108">
        <v>1.2E-2</v>
      </c>
      <c r="V22" s="2100">
        <v>2.4E-2</v>
      </c>
      <c r="W22" s="2113">
        <v>1.7000000000000001E-2</v>
      </c>
      <c r="X22" s="2088">
        <v>1.4999999999999999E-2</v>
      </c>
      <c r="Y22" s="1160">
        <v>1.8000000000000002E-2</v>
      </c>
    </row>
    <row r="23" spans="1:25">
      <c r="A23" s="745">
        <f t="shared" ref="A23:A86" si="1">A11+1</f>
        <v>2017.02</v>
      </c>
      <c r="B23" s="2069">
        <v>2.1000000000000001E-2</v>
      </c>
      <c r="C23" s="2079">
        <v>2.5000000000000001E-2</v>
      </c>
      <c r="D23" s="2082">
        <v>1.7000000000000001E-2</v>
      </c>
      <c r="E23" s="2079">
        <v>1.8000000000000002E-2</v>
      </c>
      <c r="F23" s="2082">
        <v>2.1000000000000001E-2</v>
      </c>
      <c r="G23" s="2079">
        <v>1.4999999999999999E-2</v>
      </c>
      <c r="H23" s="1015">
        <v>1.7000000000000001E-2</v>
      </c>
      <c r="I23" s="2087">
        <v>1.8000000000000002E-2</v>
      </c>
      <c r="J23" s="2079">
        <v>4.2999999999999997E-2</v>
      </c>
      <c r="K23" s="2082">
        <v>-2E-3</v>
      </c>
      <c r="L23" s="2079">
        <v>5.4000000000000006E-2</v>
      </c>
      <c r="M23" s="2082">
        <v>4.0000000000000001E-3</v>
      </c>
      <c r="N23" s="2079">
        <v>2.7000000000000003E-2</v>
      </c>
      <c r="O23" s="2082">
        <v>1.9E-2</v>
      </c>
      <c r="P23" s="2079">
        <v>4.0999999999999995E-2</v>
      </c>
      <c r="Q23" s="2082">
        <v>6.0000000000000001E-3</v>
      </c>
      <c r="R23" s="2079">
        <v>3.2000000000000001E-2</v>
      </c>
      <c r="S23" s="2082">
        <v>1.7000000000000001E-2</v>
      </c>
      <c r="T23" s="2101">
        <v>1.8000000000000002E-2</v>
      </c>
      <c r="U23" s="2109">
        <v>1.4999999999999999E-2</v>
      </c>
      <c r="V23" s="2101">
        <v>0.03</v>
      </c>
      <c r="W23" s="2087">
        <v>6.0000000000000001E-3</v>
      </c>
      <c r="X23" s="2079">
        <v>1.7000000000000001E-2</v>
      </c>
      <c r="Y23" s="1523">
        <v>0.04</v>
      </c>
    </row>
    <row r="24" spans="1:25">
      <c r="A24" s="745">
        <f t="shared" si="1"/>
        <v>2017.03</v>
      </c>
      <c r="B24" s="2069">
        <v>2.4E-2</v>
      </c>
      <c r="C24" s="2079">
        <v>2.4E-2</v>
      </c>
      <c r="D24" s="2082">
        <v>2.2000000000000002E-2</v>
      </c>
      <c r="E24" s="2079">
        <v>2.4E-2</v>
      </c>
      <c r="F24" s="2082">
        <v>3.2000000000000001E-2</v>
      </c>
      <c r="G24" s="2079">
        <v>2.6000000000000002E-2</v>
      </c>
      <c r="H24" s="1015">
        <v>2.1000000000000001E-2</v>
      </c>
      <c r="I24" s="2087">
        <v>2.7999999999999997E-2</v>
      </c>
      <c r="J24" s="2079">
        <v>1.9E-2</v>
      </c>
      <c r="K24" s="2082">
        <v>3.4000000000000002E-2</v>
      </c>
      <c r="L24" s="2079">
        <v>3.6000000000000004E-2</v>
      </c>
      <c r="M24" s="2082">
        <v>8.0000000000000002E-3</v>
      </c>
      <c r="N24" s="2079">
        <v>0.02</v>
      </c>
      <c r="O24" s="2082">
        <v>1.2E-2</v>
      </c>
      <c r="P24" s="2079">
        <v>3.2000000000000001E-2</v>
      </c>
      <c r="Q24" s="2082">
        <v>1.7000000000000001E-2</v>
      </c>
      <c r="R24" s="2079">
        <v>0.109</v>
      </c>
      <c r="S24" s="2082">
        <v>0.01</v>
      </c>
      <c r="T24" s="2101">
        <v>1.8000000000000002E-2</v>
      </c>
      <c r="U24" s="2109">
        <v>2.2000000000000002E-2</v>
      </c>
      <c r="V24" s="2101">
        <v>2.8999999999999998E-2</v>
      </c>
      <c r="W24" s="2087">
        <v>2.4E-2</v>
      </c>
      <c r="X24" s="2079">
        <v>1.9E-2</v>
      </c>
      <c r="Y24" s="1523">
        <v>3.7999999999999999E-2</v>
      </c>
    </row>
    <row r="25" spans="1:25">
      <c r="A25" s="745">
        <f t="shared" si="1"/>
        <v>2017.04</v>
      </c>
      <c r="B25" s="2069">
        <v>2.7000000000000003E-2</v>
      </c>
      <c r="C25" s="2079">
        <v>2.6000000000000002E-2</v>
      </c>
      <c r="D25" s="2082">
        <v>2.7000000000000003E-2</v>
      </c>
      <c r="E25" s="2079">
        <v>2.2000000000000002E-2</v>
      </c>
      <c r="F25" s="2082">
        <v>2.7000000000000003E-2</v>
      </c>
      <c r="G25" s="2079">
        <v>3.3000000000000002E-2</v>
      </c>
      <c r="H25" s="1015">
        <v>0.02</v>
      </c>
      <c r="I25" s="2087">
        <v>2.2000000000000002E-2</v>
      </c>
      <c r="J25" s="2079">
        <v>2.4E-2</v>
      </c>
      <c r="K25" s="2082">
        <v>4.4999999999999998E-2</v>
      </c>
      <c r="L25" s="2079">
        <v>5.9000000000000004E-2</v>
      </c>
      <c r="M25" s="2082">
        <v>1.1000000000000001E-2</v>
      </c>
      <c r="N25" s="2079">
        <v>1.8000000000000002E-2</v>
      </c>
      <c r="O25" s="2082">
        <v>6.0000000000000001E-3</v>
      </c>
      <c r="P25" s="2079">
        <v>6.8000000000000005E-2</v>
      </c>
      <c r="Q25" s="2082">
        <v>2.6000000000000002E-2</v>
      </c>
      <c r="R25" s="2079">
        <v>2.8999999999999998E-2</v>
      </c>
      <c r="S25" s="2082">
        <v>1.9E-2</v>
      </c>
      <c r="T25" s="2101">
        <v>1.8000000000000002E-2</v>
      </c>
      <c r="U25" s="2109">
        <v>2.4E-2</v>
      </c>
      <c r="V25" s="2101">
        <v>3.2000000000000001E-2</v>
      </c>
      <c r="W25" s="2087">
        <v>3.2000000000000001E-2</v>
      </c>
      <c r="X25" s="2079">
        <v>2.1000000000000001E-2</v>
      </c>
      <c r="Y25" s="1523">
        <v>4.0999999999999995E-2</v>
      </c>
    </row>
    <row r="26" spans="1:25">
      <c r="A26" s="745">
        <f t="shared" si="1"/>
        <v>2017.05</v>
      </c>
      <c r="B26" s="2069">
        <v>1.3999999999999999E-2</v>
      </c>
      <c r="C26" s="2079">
        <v>1.3000000000000001E-2</v>
      </c>
      <c r="D26" s="2082">
        <v>1.4999999999999999E-2</v>
      </c>
      <c r="E26" s="2079">
        <v>1.9E-2</v>
      </c>
      <c r="F26" s="2082">
        <v>1.4999999999999999E-2</v>
      </c>
      <c r="G26" s="2079">
        <v>1.7000000000000001E-2</v>
      </c>
      <c r="H26" s="1015">
        <v>1.7000000000000001E-2</v>
      </c>
      <c r="I26" s="2087">
        <v>1.3000000000000001E-2</v>
      </c>
      <c r="J26" s="2079">
        <v>1.7000000000000001E-2</v>
      </c>
      <c r="K26" s="2082">
        <v>1.7000000000000001E-2</v>
      </c>
      <c r="L26" s="2079">
        <v>1.8000000000000002E-2</v>
      </c>
      <c r="M26" s="2082">
        <v>2.7999999999999997E-2</v>
      </c>
      <c r="N26" s="2079">
        <v>1.4999999999999999E-2</v>
      </c>
      <c r="O26" s="2082">
        <v>9.0000000000000011E-3</v>
      </c>
      <c r="P26" s="2079">
        <v>3.0000000000000001E-3</v>
      </c>
      <c r="Q26" s="2082">
        <v>6.9999999999999993E-3</v>
      </c>
      <c r="R26" s="2079">
        <v>1.7000000000000001E-2</v>
      </c>
      <c r="S26" s="2082">
        <v>1.4999999999999999E-2</v>
      </c>
      <c r="T26" s="2101">
        <v>1.3000000000000001E-2</v>
      </c>
      <c r="U26" s="2109">
        <v>1.3999999999999999E-2</v>
      </c>
      <c r="V26" s="2101">
        <v>1.4999999999999999E-2</v>
      </c>
      <c r="W26" s="2087">
        <v>8.0000000000000002E-3</v>
      </c>
      <c r="X26" s="2079">
        <v>1.7000000000000001E-2</v>
      </c>
      <c r="Y26" s="1523">
        <v>0.01</v>
      </c>
    </row>
    <row r="27" spans="1:25">
      <c r="A27" s="745">
        <f t="shared" si="1"/>
        <v>2017.06</v>
      </c>
      <c r="B27" s="2069">
        <v>1.2E-2</v>
      </c>
      <c r="C27" s="2079">
        <v>1.3999999999999999E-2</v>
      </c>
      <c r="D27" s="2082">
        <v>0.01</v>
      </c>
      <c r="E27" s="2079">
        <v>1.3999999999999999E-2</v>
      </c>
      <c r="F27" s="2082">
        <v>9.0000000000000011E-3</v>
      </c>
      <c r="G27" s="2079">
        <v>0.01</v>
      </c>
      <c r="H27" s="1015">
        <v>1.1000000000000001E-2</v>
      </c>
      <c r="I27" s="2087">
        <v>8.9999999999999993E-3</v>
      </c>
      <c r="J27" s="2079">
        <v>7.0000000000000001E-3</v>
      </c>
      <c r="K27" s="2082">
        <v>8.9999999999999993E-3</v>
      </c>
      <c r="L27" s="2079">
        <v>1.7999999999999999E-2</v>
      </c>
      <c r="M27" s="2082">
        <v>1.2999999999999999E-2</v>
      </c>
      <c r="N27" s="2079">
        <v>1.4999999999999999E-2</v>
      </c>
      <c r="O27" s="2082">
        <v>7.0000000000000001E-3</v>
      </c>
      <c r="P27" s="2079">
        <v>1.2E-2</v>
      </c>
      <c r="Q27" s="2082">
        <v>2.3E-2</v>
      </c>
      <c r="R27" s="2079">
        <v>0.01</v>
      </c>
      <c r="S27" s="2082">
        <v>1.2999999999999999E-2</v>
      </c>
      <c r="T27" s="2101">
        <v>1.2999999999999999E-2</v>
      </c>
      <c r="U27" s="2109">
        <v>0.01</v>
      </c>
      <c r="V27" s="2101">
        <v>1.4999999999999999E-2</v>
      </c>
      <c r="W27" s="2087">
        <v>1.2999999999999999E-2</v>
      </c>
      <c r="X27" s="2079">
        <v>8.9999999999999993E-3</v>
      </c>
      <c r="Y27" s="1523">
        <v>8.9999999999999993E-3</v>
      </c>
    </row>
    <row r="28" spans="1:25">
      <c r="A28" s="745">
        <f t="shared" si="1"/>
        <v>2017.07</v>
      </c>
      <c r="B28" s="2069">
        <v>1.7000000000000001E-2</v>
      </c>
      <c r="C28" s="2079">
        <v>1.7000000000000001E-2</v>
      </c>
      <c r="D28" s="2082">
        <v>0.02</v>
      </c>
      <c r="E28" s="2079">
        <v>1.3000000000000001E-2</v>
      </c>
      <c r="F28" s="2082">
        <v>1.3999999999999999E-2</v>
      </c>
      <c r="G28" s="2079">
        <v>1.3999999999999999E-2</v>
      </c>
      <c r="H28" s="1015">
        <v>1.4999999999999999E-2</v>
      </c>
      <c r="I28" s="2087">
        <v>1.0999999999999999E-2</v>
      </c>
      <c r="J28" s="2079">
        <v>0.03</v>
      </c>
      <c r="K28" s="2082">
        <v>-1.2E-2</v>
      </c>
      <c r="L28" s="2079">
        <v>0.02</v>
      </c>
      <c r="M28" s="2082">
        <v>2.4E-2</v>
      </c>
      <c r="N28" s="2079">
        <v>3.3000000000000002E-2</v>
      </c>
      <c r="O28" s="2082">
        <v>2.1999999999999999E-2</v>
      </c>
      <c r="P28" s="2079">
        <v>8.9999999999999993E-3</v>
      </c>
      <c r="Q28" s="2082">
        <v>3.5999999999999997E-2</v>
      </c>
      <c r="R28" s="2079">
        <v>8.0000000000000002E-3</v>
      </c>
      <c r="S28" s="2082">
        <v>2.5999999999999999E-2</v>
      </c>
      <c r="T28" s="2101">
        <v>1.2999999999999999E-2</v>
      </c>
      <c r="U28" s="2109">
        <v>1.2E-2</v>
      </c>
      <c r="V28" s="2101">
        <v>2.7E-2</v>
      </c>
      <c r="W28" s="2087">
        <v>1.7999999999999999E-2</v>
      </c>
      <c r="X28" s="2079">
        <v>2.3E-2</v>
      </c>
      <c r="Y28" s="1523">
        <v>5.0000000000000001E-3</v>
      </c>
    </row>
    <row r="29" spans="1:25">
      <c r="A29" s="745">
        <f t="shared" si="1"/>
        <v>2017.08</v>
      </c>
      <c r="B29" s="2069">
        <v>1.3999999999999999E-2</v>
      </c>
      <c r="C29" s="2079">
        <v>1.4999999999999999E-2</v>
      </c>
      <c r="D29" s="2082">
        <v>1.3000000000000001E-2</v>
      </c>
      <c r="E29" s="2079">
        <v>1.2E-2</v>
      </c>
      <c r="F29" s="2082">
        <v>1.3000000000000001E-2</v>
      </c>
      <c r="G29" s="2079">
        <v>1.3999999999999999E-2</v>
      </c>
      <c r="H29" s="1015">
        <v>1.7000000000000001E-2</v>
      </c>
      <c r="I29" s="2087">
        <v>2.1000000000000001E-2</v>
      </c>
      <c r="J29" s="2079">
        <v>1.2999999999999999E-2</v>
      </c>
      <c r="K29" s="2082">
        <v>-6.0000000000000001E-3</v>
      </c>
      <c r="L29" s="2079">
        <v>2.1999999999999999E-2</v>
      </c>
      <c r="M29" s="2082">
        <v>0.01</v>
      </c>
      <c r="N29" s="2079">
        <v>2.5000000000000001E-2</v>
      </c>
      <c r="O29" s="2082">
        <v>1.0999999999999999E-2</v>
      </c>
      <c r="P29" s="2079">
        <v>1.4999999999999999E-2</v>
      </c>
      <c r="Q29" s="2082">
        <v>7.0000000000000001E-3</v>
      </c>
      <c r="R29" s="2079">
        <v>0.02</v>
      </c>
      <c r="S29" s="2082">
        <v>7.0000000000000001E-3</v>
      </c>
      <c r="T29" s="2101">
        <v>1.6E-2</v>
      </c>
      <c r="U29" s="2109">
        <v>1.2999999999999999E-2</v>
      </c>
      <c r="V29" s="2101">
        <v>1.6E-2</v>
      </c>
      <c r="W29" s="2087">
        <v>1.4E-2</v>
      </c>
      <c r="X29" s="2079">
        <v>1.4999999999999999E-2</v>
      </c>
      <c r="Y29" s="1523">
        <v>1.0999999999999999E-2</v>
      </c>
    </row>
    <row r="30" spans="1:25">
      <c r="A30" s="745">
        <f t="shared" si="1"/>
        <v>2017.09</v>
      </c>
      <c r="B30" s="2069">
        <v>1.9E-2</v>
      </c>
      <c r="C30" s="2079">
        <v>0.02</v>
      </c>
      <c r="D30" s="2082">
        <v>1.9E-2</v>
      </c>
      <c r="E30" s="2079">
        <v>1.3000000000000001E-2</v>
      </c>
      <c r="F30" s="2082">
        <v>1.8000000000000002E-2</v>
      </c>
      <c r="G30" s="2079">
        <v>1.7000000000000001E-2</v>
      </c>
      <c r="H30" s="1015">
        <v>1.3000000000000001E-2</v>
      </c>
      <c r="I30" s="2087">
        <v>1.7999999999999999E-2</v>
      </c>
      <c r="J30" s="2079">
        <v>7.0000000000000001E-3</v>
      </c>
      <c r="K30" s="2082">
        <v>3.7999999999999999E-2</v>
      </c>
      <c r="L30" s="2079">
        <v>0.02</v>
      </c>
      <c r="M30" s="2082">
        <v>0.01</v>
      </c>
      <c r="N30" s="2079">
        <v>2.4E-2</v>
      </c>
      <c r="O30" s="2082">
        <v>8.0000000000000002E-3</v>
      </c>
      <c r="P30" s="2079">
        <v>1.0999999999999999E-2</v>
      </c>
      <c r="Q30" s="2082">
        <v>2.7E-2</v>
      </c>
      <c r="R30" s="2079">
        <v>3.6999999999999998E-2</v>
      </c>
      <c r="S30" s="2082">
        <v>1.4E-2</v>
      </c>
      <c r="T30" s="2101">
        <v>1.7000000000000001E-2</v>
      </c>
      <c r="U30" s="2109">
        <v>1.9E-2</v>
      </c>
      <c r="V30" s="2101">
        <v>1.9E-2</v>
      </c>
      <c r="W30" s="2087">
        <v>1.6E-2</v>
      </c>
      <c r="X30" s="2079">
        <v>1.7000000000000001E-2</v>
      </c>
      <c r="Y30" s="1523">
        <v>0.04</v>
      </c>
    </row>
    <row r="31" spans="1:25">
      <c r="A31" s="745">
        <f t="shared" si="1"/>
        <v>2017.1</v>
      </c>
      <c r="B31" s="2069">
        <v>1.4999999999999999E-2</v>
      </c>
      <c r="C31" s="2079">
        <v>1.3000000000000001E-2</v>
      </c>
      <c r="D31" s="2082">
        <v>1.7000000000000001E-2</v>
      </c>
      <c r="E31" s="2079">
        <v>1.4999999999999999E-2</v>
      </c>
      <c r="F31" s="2082">
        <v>1.9E-2</v>
      </c>
      <c r="G31" s="2079">
        <v>1.7000000000000001E-2</v>
      </c>
      <c r="H31" s="1015">
        <v>1.6E-2</v>
      </c>
      <c r="I31" s="2087">
        <v>1.4999999999999999E-2</v>
      </c>
      <c r="J31" s="2079">
        <v>0.03</v>
      </c>
      <c r="K31" s="2082">
        <v>2.1000000000000001E-2</v>
      </c>
      <c r="L31" s="2079">
        <v>8.9999999999999993E-3</v>
      </c>
      <c r="M31" s="2082">
        <v>7.0000000000000001E-3</v>
      </c>
      <c r="N31" s="2079">
        <v>1.0999999999999999E-2</v>
      </c>
      <c r="O31" s="2082">
        <v>1.2999999999999999E-2</v>
      </c>
      <c r="P31" s="2079">
        <v>5.2999999999999999E-2</v>
      </c>
      <c r="Q31" s="2082">
        <v>1.2999999999999999E-2</v>
      </c>
      <c r="R31" s="2079">
        <v>8.0000000000000002E-3</v>
      </c>
      <c r="S31" s="2082">
        <v>1.4E-2</v>
      </c>
      <c r="T31" s="2101">
        <v>1.4E-2</v>
      </c>
      <c r="U31" s="2109">
        <v>1.6E-2</v>
      </c>
      <c r="V31" s="2101">
        <v>1.4E-2</v>
      </c>
      <c r="W31" s="2087">
        <v>1.2999999999999999E-2</v>
      </c>
      <c r="X31" s="2079">
        <v>1.7000000000000001E-2</v>
      </c>
      <c r="Y31" s="1523">
        <v>2.4E-2</v>
      </c>
    </row>
    <row r="32" spans="1:25">
      <c r="A32" s="745">
        <f t="shared" si="1"/>
        <v>2017.11</v>
      </c>
      <c r="B32" s="2069">
        <v>1.3999999999999999E-2</v>
      </c>
      <c r="C32" s="2079">
        <v>1.2E-2</v>
      </c>
      <c r="D32" s="2082">
        <v>1.6E-2</v>
      </c>
      <c r="E32" s="2079">
        <v>1.4999999999999999E-2</v>
      </c>
      <c r="F32" s="2082">
        <v>1.3000000000000001E-2</v>
      </c>
      <c r="G32" s="2079">
        <v>1.6E-2</v>
      </c>
      <c r="H32" s="1015">
        <v>1.4999999999999999E-2</v>
      </c>
      <c r="I32" s="2087">
        <v>1.2E-2</v>
      </c>
      <c r="J32" s="2079">
        <v>1.0999999999999999E-2</v>
      </c>
      <c r="K32" s="2082">
        <v>1.2999999999999999E-2</v>
      </c>
      <c r="L32" s="2079">
        <v>1.2E-2</v>
      </c>
      <c r="M32" s="2082">
        <v>8.9999999999999993E-3</v>
      </c>
      <c r="N32" s="2079">
        <v>1.2999999999999999E-2</v>
      </c>
      <c r="O32" s="2082">
        <v>0.03</v>
      </c>
      <c r="P32" s="2079">
        <v>7.0000000000000001E-3</v>
      </c>
      <c r="Q32" s="2082">
        <v>7.0000000000000001E-3</v>
      </c>
      <c r="R32" s="2079">
        <v>3.0000000000000001E-3</v>
      </c>
      <c r="S32" s="2082">
        <v>1.7999999999999999E-2</v>
      </c>
      <c r="T32" s="2101">
        <v>1.2E-2</v>
      </c>
      <c r="U32" s="2109">
        <v>1.4999999999999999E-2</v>
      </c>
      <c r="V32" s="2101">
        <v>1.0999999999999999E-2</v>
      </c>
      <c r="W32" s="2087">
        <v>1.7000000000000001E-2</v>
      </c>
      <c r="X32" s="2079">
        <v>1.2999999999999999E-2</v>
      </c>
      <c r="Y32" s="1523">
        <v>1.4999999999999999E-2</v>
      </c>
    </row>
    <row r="33" spans="1:26">
      <c r="A33" s="745">
        <f t="shared" si="1"/>
        <v>2017.12</v>
      </c>
      <c r="B33" s="2069">
        <v>3.1E-2</v>
      </c>
      <c r="C33" s="2079">
        <v>3.4000000000000002E-2</v>
      </c>
      <c r="D33" s="2082">
        <v>3.1E-2</v>
      </c>
      <c r="E33" s="2079">
        <v>2.2000000000000002E-2</v>
      </c>
      <c r="F33" s="2082">
        <v>2.3E-2</v>
      </c>
      <c r="G33" s="2079">
        <v>3.3000000000000002E-2</v>
      </c>
      <c r="H33" s="1015">
        <v>2.5000000000000001E-2</v>
      </c>
      <c r="I33" s="2087">
        <v>7.0000000000000001E-3</v>
      </c>
      <c r="J33" s="2079">
        <v>5.0000000000000001E-3</v>
      </c>
      <c r="K33" s="2082">
        <v>8.0000000000000002E-3</v>
      </c>
      <c r="L33" s="2079">
        <v>0.17799999999999999</v>
      </c>
      <c r="M33" s="2082">
        <v>2.9000000000000001E-2</v>
      </c>
      <c r="N33" s="2079">
        <v>2.4E-2</v>
      </c>
      <c r="O33" s="2082">
        <v>3.2000000000000001E-2</v>
      </c>
      <c r="P33" s="2079">
        <v>1.7000000000000001E-2</v>
      </c>
      <c r="Q33" s="2082">
        <v>7.0000000000000001E-3</v>
      </c>
      <c r="R33" s="2079">
        <v>0</v>
      </c>
      <c r="S33" s="2082">
        <v>1.7999999999999999E-2</v>
      </c>
      <c r="T33" s="2101">
        <v>1.0999999999999999E-2</v>
      </c>
      <c r="U33" s="2109">
        <v>1.2E-2</v>
      </c>
      <c r="V33" s="2101">
        <v>6.5000000000000002E-2</v>
      </c>
      <c r="W33" s="2087">
        <v>1.7000000000000001E-2</v>
      </c>
      <c r="X33" s="2079">
        <v>9.0999999999999998E-2</v>
      </c>
      <c r="Y33" s="1523">
        <v>3.0000000000000001E-3</v>
      </c>
    </row>
    <row r="34" spans="1:26">
      <c r="A34" s="745">
        <f t="shared" si="1"/>
        <v>2018.01</v>
      </c>
      <c r="B34" s="2069">
        <v>1.8000000000000002E-2</v>
      </c>
      <c r="C34" s="2079">
        <v>1.6E-2</v>
      </c>
      <c r="D34" s="2082">
        <v>1.9E-2</v>
      </c>
      <c r="E34" s="2079">
        <v>0.02</v>
      </c>
      <c r="F34" s="2082">
        <v>1.9E-2</v>
      </c>
      <c r="G34" s="2079">
        <v>1.4999999999999999E-2</v>
      </c>
      <c r="H34" s="1015">
        <v>2.6000000000000002E-2</v>
      </c>
      <c r="I34" s="2087">
        <v>2.1000000000000001E-2</v>
      </c>
      <c r="J34" s="2079">
        <v>2.3E-2</v>
      </c>
      <c r="K34" s="2082">
        <v>-8.0000000000000002E-3</v>
      </c>
      <c r="L34" s="2079">
        <v>0.01</v>
      </c>
      <c r="M34" s="2082">
        <v>0.01</v>
      </c>
      <c r="N34" s="2079">
        <v>1.7999999999999999E-2</v>
      </c>
      <c r="O34" s="2082">
        <v>2.1999999999999999E-2</v>
      </c>
      <c r="P34" s="2079">
        <v>1.9E-2</v>
      </c>
      <c r="Q34" s="2082">
        <v>3.5000000000000003E-2</v>
      </c>
      <c r="R34" s="2079">
        <v>6.0000000000000001E-3</v>
      </c>
      <c r="S34" s="2082">
        <v>2.9000000000000001E-2</v>
      </c>
      <c r="T34" s="2101">
        <v>2.4E-2</v>
      </c>
      <c r="U34" s="2109">
        <v>1.6E-2</v>
      </c>
      <c r="V34" s="2101">
        <v>2.1000000000000001E-2</v>
      </c>
      <c r="W34" s="2087">
        <v>1.4999999999999999E-2</v>
      </c>
      <c r="X34" s="2079">
        <v>2.1000000000000001E-2</v>
      </c>
      <c r="Y34" s="1523">
        <v>2.7E-2</v>
      </c>
    </row>
    <row r="35" spans="1:26">
      <c r="A35" s="745">
        <f t="shared" si="1"/>
        <v>2018.02</v>
      </c>
      <c r="B35" s="2069">
        <v>2.4E-2</v>
      </c>
      <c r="C35" s="2079">
        <v>2.6000000000000002E-2</v>
      </c>
      <c r="D35" s="2082">
        <v>2.3E-2</v>
      </c>
      <c r="E35" s="2079">
        <v>2.1000000000000001E-2</v>
      </c>
      <c r="F35" s="2082">
        <v>0.02</v>
      </c>
      <c r="G35" s="2079">
        <v>2.6000000000000002E-2</v>
      </c>
      <c r="H35" s="1015">
        <v>0.02</v>
      </c>
      <c r="I35" s="2087">
        <v>2.1999999999999999E-2</v>
      </c>
      <c r="J35" s="2079">
        <v>1.7000000000000001E-2</v>
      </c>
      <c r="K35" s="2082">
        <v>-6.0000000000000001E-3</v>
      </c>
      <c r="L35" s="2079">
        <v>3.7999999999999999E-2</v>
      </c>
      <c r="M35" s="2082">
        <v>1.7000000000000001E-2</v>
      </c>
      <c r="N35" s="2079">
        <v>2.3E-2</v>
      </c>
      <c r="O35" s="2082">
        <v>4.4999999999999998E-2</v>
      </c>
      <c r="P35" s="2079">
        <v>9.0999999999999998E-2</v>
      </c>
      <c r="Q35" s="2082">
        <v>0.01</v>
      </c>
      <c r="R35" s="2079">
        <v>1.9E-2</v>
      </c>
      <c r="S35" s="2082">
        <v>2.1000000000000001E-2</v>
      </c>
      <c r="T35" s="2101">
        <v>1.7999999999999999E-2</v>
      </c>
      <c r="U35" s="2109">
        <v>1.7999999999999999E-2</v>
      </c>
      <c r="V35" s="2101">
        <v>3.5000000000000003E-2</v>
      </c>
      <c r="W35" s="2087">
        <v>2.1000000000000001E-2</v>
      </c>
      <c r="X35" s="2079">
        <v>4.8000000000000001E-2</v>
      </c>
      <c r="Y35" s="1523">
        <v>-7.0000000000000001E-3</v>
      </c>
    </row>
    <row r="36" spans="1:26">
      <c r="A36" s="745">
        <f t="shared" si="1"/>
        <v>2018.03</v>
      </c>
      <c r="B36" s="2069">
        <v>2.3E-2</v>
      </c>
      <c r="C36" s="2079">
        <v>2.5000000000000001E-2</v>
      </c>
      <c r="D36" s="2082">
        <v>1.9E-2</v>
      </c>
      <c r="E36" s="2079">
        <v>2.4E-2</v>
      </c>
      <c r="F36" s="2082">
        <v>3.1E-2</v>
      </c>
      <c r="G36" s="2079">
        <v>2.1000000000000001E-2</v>
      </c>
      <c r="H36" s="1015">
        <v>3.1E-2</v>
      </c>
      <c r="I36" s="2087">
        <v>2.3E-2</v>
      </c>
      <c r="J36" s="2079">
        <v>7.0000000000000001E-3</v>
      </c>
      <c r="K36" s="2082">
        <v>4.3999999999999997E-2</v>
      </c>
      <c r="L36" s="2079">
        <v>6.0000000000000001E-3</v>
      </c>
      <c r="M36" s="2082">
        <v>4.4999999999999998E-2</v>
      </c>
      <c r="N36" s="2079">
        <v>1.2999999999999999E-2</v>
      </c>
      <c r="O36" s="2082">
        <v>1.7999999999999999E-2</v>
      </c>
      <c r="P36" s="2079">
        <v>2.7E-2</v>
      </c>
      <c r="Q36" s="2082">
        <v>1.2E-2</v>
      </c>
      <c r="R36" s="2079">
        <v>0.13800000000000001</v>
      </c>
      <c r="S36" s="2082">
        <v>1.7999999999999999E-2</v>
      </c>
      <c r="T36" s="2101">
        <v>1.9E-2</v>
      </c>
      <c r="U36" s="2109">
        <v>2.1999999999999999E-2</v>
      </c>
      <c r="V36" s="2101">
        <v>2.7E-2</v>
      </c>
      <c r="W36" s="2087">
        <v>2.5999999999999999E-2</v>
      </c>
      <c r="X36" s="2079">
        <v>0.02</v>
      </c>
      <c r="Y36" s="1523">
        <v>1.6E-2</v>
      </c>
      <c r="Z36" s="746"/>
    </row>
    <row r="37" spans="1:26">
      <c r="A37" s="745">
        <f t="shared" si="1"/>
        <v>2018.04</v>
      </c>
      <c r="B37" s="2069">
        <v>2.7000000000000003E-2</v>
      </c>
      <c r="C37" s="2079">
        <v>2.6000000000000002E-2</v>
      </c>
      <c r="D37" s="2082">
        <v>2.8999999999999998E-2</v>
      </c>
      <c r="E37" s="2079">
        <v>2.6000000000000002E-2</v>
      </c>
      <c r="F37" s="2082">
        <v>2.7999999999999997E-2</v>
      </c>
      <c r="G37" s="2079">
        <v>3.4000000000000002E-2</v>
      </c>
      <c r="H37" s="1015">
        <v>2.7000000000000003E-2</v>
      </c>
      <c r="I37" s="2087">
        <v>1.2E-2</v>
      </c>
      <c r="J37" s="2079">
        <v>1.2999999999999999E-2</v>
      </c>
      <c r="K37" s="2082">
        <v>0.04</v>
      </c>
      <c r="L37" s="2079">
        <v>0.08</v>
      </c>
      <c r="M37" s="2082">
        <v>1.2E-2</v>
      </c>
      <c r="N37" s="2079">
        <v>1.7999999999999999E-2</v>
      </c>
      <c r="O37" s="2082">
        <v>0.04</v>
      </c>
      <c r="P37" s="2079">
        <v>0.01</v>
      </c>
      <c r="Q37" s="2082">
        <v>1.9E-2</v>
      </c>
      <c r="R37" s="2079">
        <v>8.0000000000000002E-3</v>
      </c>
      <c r="S37" s="2082">
        <v>2.3E-2</v>
      </c>
      <c r="T37" s="2101">
        <v>1.7000000000000001E-2</v>
      </c>
      <c r="U37" s="2109">
        <v>2.1999999999999999E-2</v>
      </c>
      <c r="V37" s="2101">
        <v>3.6999999999999998E-2</v>
      </c>
      <c r="W37" s="2087">
        <v>2.1000000000000001E-2</v>
      </c>
      <c r="X37" s="2079">
        <v>5.2999999999999999E-2</v>
      </c>
      <c r="Y37" s="1523">
        <v>8.9999999999999993E-3</v>
      </c>
    </row>
    <row r="38" spans="1:26">
      <c r="A38" s="745">
        <f t="shared" si="1"/>
        <v>2018.05</v>
      </c>
      <c r="B38" s="2069">
        <v>2.1000000000000001E-2</v>
      </c>
      <c r="C38" s="2079">
        <v>1.9E-2</v>
      </c>
      <c r="D38" s="2082">
        <v>2.2000000000000002E-2</v>
      </c>
      <c r="E38" s="2079">
        <v>2.6000000000000002E-2</v>
      </c>
      <c r="F38" s="2082">
        <v>2.3E-2</v>
      </c>
      <c r="G38" s="2079">
        <v>1.8000000000000002E-2</v>
      </c>
      <c r="H38" s="1015">
        <v>0.02</v>
      </c>
      <c r="I38" s="2087">
        <v>3.3000000000000002E-2</v>
      </c>
      <c r="J38" s="2079">
        <v>1.6E-2</v>
      </c>
      <c r="K38" s="2082">
        <v>0.02</v>
      </c>
      <c r="L38" s="2079">
        <v>-7.0000000000000001E-3</v>
      </c>
      <c r="M38" s="2082">
        <v>2.1999999999999999E-2</v>
      </c>
      <c r="N38" s="2079">
        <v>2.1999999999999999E-2</v>
      </c>
      <c r="O38" s="2082">
        <v>1.9E-2</v>
      </c>
      <c r="P38" s="2079">
        <v>3.9E-2</v>
      </c>
      <c r="Q38" s="2082">
        <v>2.5000000000000001E-2</v>
      </c>
      <c r="R38" s="2079">
        <v>8.9999999999999993E-3</v>
      </c>
      <c r="S38" s="2082">
        <v>2.4E-2</v>
      </c>
      <c r="T38" s="2101">
        <v>0.02</v>
      </c>
      <c r="U38" s="2109">
        <v>2.7E-2</v>
      </c>
      <c r="V38" s="2101">
        <v>1.0999999999999999E-2</v>
      </c>
      <c r="W38" s="2087">
        <v>2.7E-2</v>
      </c>
      <c r="X38" s="2079">
        <v>4.0000000000000001E-3</v>
      </c>
      <c r="Y38" s="1523">
        <v>2.5000000000000001E-2</v>
      </c>
    </row>
    <row r="39" spans="1:26">
      <c r="A39" s="745">
        <f t="shared" si="1"/>
        <v>2018.06</v>
      </c>
      <c r="B39" s="2069">
        <v>3.7000000000000005E-2</v>
      </c>
      <c r="C39" s="2079">
        <v>3.9E-2</v>
      </c>
      <c r="D39" s="2082">
        <v>3.7000000000000005E-2</v>
      </c>
      <c r="E39" s="2079">
        <v>3.1E-2</v>
      </c>
      <c r="F39" s="2082">
        <v>3.4000000000000002E-2</v>
      </c>
      <c r="G39" s="2079">
        <v>3.6000000000000004E-2</v>
      </c>
      <c r="H39" s="1015">
        <v>3.3000000000000002E-2</v>
      </c>
      <c r="I39" s="2087">
        <v>5.1999999999999998E-2</v>
      </c>
      <c r="J39" s="2079">
        <v>8.9999999999999993E-3</v>
      </c>
      <c r="K39" s="2082">
        <v>1.9E-2</v>
      </c>
      <c r="L39" s="2079">
        <v>2.7E-2</v>
      </c>
      <c r="M39" s="2082">
        <v>0.04</v>
      </c>
      <c r="N39" s="2079">
        <v>4.2999999999999997E-2</v>
      </c>
      <c r="O39" s="2082">
        <v>5.8999999999999997E-2</v>
      </c>
      <c r="P39" s="2079">
        <v>4.0000000000000001E-3</v>
      </c>
      <c r="Q39" s="2082">
        <v>3.4000000000000002E-2</v>
      </c>
      <c r="R39" s="2079">
        <v>1.2E-2</v>
      </c>
      <c r="S39" s="2082">
        <v>2.7E-2</v>
      </c>
      <c r="T39" s="2101">
        <v>3.2000000000000001E-2</v>
      </c>
      <c r="U39" s="2109">
        <v>4.2999999999999997E-2</v>
      </c>
      <c r="V39" s="2101">
        <v>2.5999999999999999E-2</v>
      </c>
      <c r="W39" s="2087">
        <v>4.1000000000000002E-2</v>
      </c>
      <c r="X39" s="2079">
        <v>2.9000000000000001E-2</v>
      </c>
      <c r="Y39" s="1523">
        <v>3.4000000000000002E-2</v>
      </c>
    </row>
    <row r="40" spans="1:26">
      <c r="A40" s="745">
        <f t="shared" si="1"/>
        <v>2018.07</v>
      </c>
      <c r="B40" s="2069">
        <v>3.1E-2</v>
      </c>
      <c r="C40" s="2079">
        <v>2.7999999999999997E-2</v>
      </c>
      <c r="D40" s="2082">
        <v>3.3000000000000002E-2</v>
      </c>
      <c r="E40" s="2079">
        <v>3.4000000000000002E-2</v>
      </c>
      <c r="F40" s="2082">
        <v>3.4000000000000002E-2</v>
      </c>
      <c r="G40" s="2079">
        <v>3.6000000000000004E-2</v>
      </c>
      <c r="H40" s="1015">
        <v>3.2000000000000001E-2</v>
      </c>
      <c r="I40" s="2087">
        <v>0.04</v>
      </c>
      <c r="J40" s="2079">
        <v>2.5999999999999999E-2</v>
      </c>
      <c r="K40" s="2082">
        <v>-1E-3</v>
      </c>
      <c r="L40" s="2079">
        <v>0.01</v>
      </c>
      <c r="M40" s="2082">
        <v>4.2000000000000003E-2</v>
      </c>
      <c r="N40" s="2079">
        <v>2.8000000000000001E-2</v>
      </c>
      <c r="O40" s="2082">
        <v>5.1999999999999998E-2</v>
      </c>
      <c r="P40" s="2079">
        <v>6.0000000000000001E-3</v>
      </c>
      <c r="Q40" s="2082">
        <v>5.0999999999999997E-2</v>
      </c>
      <c r="R40" s="2079">
        <v>1.7999999999999999E-2</v>
      </c>
      <c r="S40" s="2082">
        <v>2.9000000000000001E-2</v>
      </c>
      <c r="T40" s="2101">
        <v>3.9E-2</v>
      </c>
      <c r="U40" s="2109">
        <v>3.6999999999999998E-2</v>
      </c>
      <c r="V40" s="2101">
        <v>2.1000000000000001E-2</v>
      </c>
      <c r="W40" s="2087">
        <v>3.2000000000000001E-2</v>
      </c>
      <c r="X40" s="2079">
        <v>2.5999999999999999E-2</v>
      </c>
      <c r="Y40" s="1523">
        <v>3.7999999999999999E-2</v>
      </c>
    </row>
    <row r="41" spans="1:26">
      <c r="A41" s="745">
        <f t="shared" si="1"/>
        <v>2018.08</v>
      </c>
      <c r="B41" s="2069">
        <v>3.9E-2</v>
      </c>
      <c r="C41" s="2079">
        <v>4.0999999999999995E-2</v>
      </c>
      <c r="D41" s="2082">
        <v>3.7000000000000005E-2</v>
      </c>
      <c r="E41" s="2079">
        <v>0.04</v>
      </c>
      <c r="F41" s="2082">
        <v>0.04</v>
      </c>
      <c r="G41" s="2079">
        <v>3.4000000000000002E-2</v>
      </c>
      <c r="H41" s="1015">
        <v>3.6000000000000004E-2</v>
      </c>
      <c r="I41" s="2087">
        <v>0.04</v>
      </c>
      <c r="J41" s="2079">
        <v>1.4E-2</v>
      </c>
      <c r="K41" s="2082">
        <v>3.0000000000000001E-3</v>
      </c>
      <c r="L41" s="2079">
        <v>6.2E-2</v>
      </c>
      <c r="M41" s="2082">
        <v>3.1E-2</v>
      </c>
      <c r="N41" s="2079">
        <v>4.1000000000000002E-2</v>
      </c>
      <c r="O41" s="2082">
        <v>0.04</v>
      </c>
      <c r="P41" s="2079">
        <v>0.124</v>
      </c>
      <c r="Q41" s="2082">
        <v>3.3000000000000002E-2</v>
      </c>
      <c r="R41" s="2079">
        <v>1.9E-2</v>
      </c>
      <c r="S41" s="2082">
        <v>2.4E-2</v>
      </c>
      <c r="T41" s="2101">
        <v>4.9000000000000002E-2</v>
      </c>
      <c r="U41" s="2109">
        <v>3.2000000000000001E-2</v>
      </c>
      <c r="V41" s="2101">
        <v>0.05</v>
      </c>
      <c r="W41" s="2087">
        <v>3.4000000000000002E-2</v>
      </c>
      <c r="X41" s="2079">
        <v>6.2E-2</v>
      </c>
      <c r="Y41" s="1523">
        <v>1.9E-2</v>
      </c>
    </row>
    <row r="42" spans="1:26">
      <c r="A42" s="745">
        <f t="shared" si="1"/>
        <v>2018.09</v>
      </c>
      <c r="B42" s="2069">
        <v>6.5000000000000002E-2</v>
      </c>
      <c r="C42" s="2079">
        <v>6.6000000000000003E-2</v>
      </c>
      <c r="D42" s="2082">
        <v>6.3E-2</v>
      </c>
      <c r="E42" s="2079">
        <v>7.2999999999999995E-2</v>
      </c>
      <c r="F42" s="2082">
        <v>0.06</v>
      </c>
      <c r="G42" s="2079">
        <v>6.8000000000000005E-2</v>
      </c>
      <c r="H42" s="1015">
        <v>6.6000000000000003E-2</v>
      </c>
      <c r="I42" s="2087">
        <v>7.0000000000000007E-2</v>
      </c>
      <c r="J42" s="2079">
        <v>4.4000000000000004E-2</v>
      </c>
      <c r="K42" s="2082">
        <v>9.8000000000000004E-2</v>
      </c>
      <c r="L42" s="2079">
        <v>2.3E-2</v>
      </c>
      <c r="M42" s="2082">
        <v>9.6999999999999989E-2</v>
      </c>
      <c r="N42" s="2079">
        <v>4.4999999999999998E-2</v>
      </c>
      <c r="O42" s="2082">
        <v>0.10400000000000001</v>
      </c>
      <c r="P42" s="2079">
        <v>2.1000000000000001E-2</v>
      </c>
      <c r="Q42" s="2082">
        <v>6.8000000000000005E-2</v>
      </c>
      <c r="R42" s="2079">
        <v>1.6E-2</v>
      </c>
      <c r="S42" s="2082">
        <v>5.7000000000000002E-2</v>
      </c>
      <c r="T42" s="2101">
        <v>7.9000000000000001E-2</v>
      </c>
      <c r="U42" s="2109">
        <v>8.6999999999999994E-2</v>
      </c>
      <c r="V42" s="2101">
        <v>0.03</v>
      </c>
      <c r="W42" s="2087">
        <v>7.5999999999999998E-2</v>
      </c>
      <c r="X42" s="2079">
        <v>4.7E-2</v>
      </c>
      <c r="Y42" s="1523">
        <v>0.04</v>
      </c>
    </row>
    <row r="43" spans="1:26">
      <c r="A43" s="745">
        <f t="shared" si="1"/>
        <v>2018.1</v>
      </c>
      <c r="B43" s="2069">
        <v>5.4000000000000006E-2</v>
      </c>
      <c r="C43" s="2079">
        <v>5.0999999999999997E-2</v>
      </c>
      <c r="D43" s="2082">
        <v>5.7999999999999996E-2</v>
      </c>
      <c r="E43" s="2079">
        <v>4.9000000000000002E-2</v>
      </c>
      <c r="F43" s="2082">
        <v>5.2999999999999999E-2</v>
      </c>
      <c r="G43" s="2079">
        <v>5.9000000000000004E-2</v>
      </c>
      <c r="H43" s="1015">
        <v>5.7999999999999996E-2</v>
      </c>
      <c r="I43" s="2087">
        <v>5.8999999999999997E-2</v>
      </c>
      <c r="J43" s="2079">
        <v>2.3E-2</v>
      </c>
      <c r="K43" s="2082">
        <v>0.05</v>
      </c>
      <c r="L43" s="2079">
        <v>8.7999999999999995E-2</v>
      </c>
      <c r="M43" s="2082">
        <v>4.2999999999999997E-2</v>
      </c>
      <c r="N43" s="2079">
        <v>5.5E-2</v>
      </c>
      <c r="O43" s="2082">
        <v>7.5999999999999998E-2</v>
      </c>
      <c r="P43" s="2079">
        <v>7.0000000000000001E-3</v>
      </c>
      <c r="Q43" s="2082">
        <v>2.7E-2</v>
      </c>
      <c r="R43" s="2079">
        <v>2.1000000000000001E-2</v>
      </c>
      <c r="S43" s="2082">
        <v>3.1E-2</v>
      </c>
      <c r="T43" s="2101">
        <v>6.2E-2</v>
      </c>
      <c r="U43" s="2109">
        <v>5.8000000000000003E-2</v>
      </c>
      <c r="V43" s="2101">
        <v>4.5999999999999999E-2</v>
      </c>
      <c r="W43" s="2087">
        <v>4.4999999999999998E-2</v>
      </c>
      <c r="X43" s="2079">
        <v>7.3999999999999996E-2</v>
      </c>
      <c r="Y43" s="1523">
        <v>6.2E-2</v>
      </c>
    </row>
    <row r="44" spans="1:26">
      <c r="A44" s="745">
        <f t="shared" si="1"/>
        <v>2018.11</v>
      </c>
      <c r="B44" s="2069">
        <v>3.2000000000000001E-2</v>
      </c>
      <c r="C44" s="2079">
        <v>2.8999999999999998E-2</v>
      </c>
      <c r="D44" s="2082">
        <v>3.3000000000000002E-2</v>
      </c>
      <c r="E44" s="2079">
        <v>0.03</v>
      </c>
      <c r="F44" s="2082">
        <v>3.3000000000000002E-2</v>
      </c>
      <c r="G44" s="2079">
        <v>3.7000000000000005E-2</v>
      </c>
      <c r="H44" s="1015">
        <v>4.2000000000000003E-2</v>
      </c>
      <c r="I44" s="2087">
        <v>3.4000000000000002E-2</v>
      </c>
      <c r="J44" s="2079">
        <v>4.5999999999999999E-2</v>
      </c>
      <c r="K44" s="2082">
        <v>2.3E-2</v>
      </c>
      <c r="L44" s="2079">
        <v>2.1000000000000001E-2</v>
      </c>
      <c r="M44" s="2082">
        <v>3.5999999999999997E-2</v>
      </c>
      <c r="N44" s="2079">
        <v>5.7000000000000002E-2</v>
      </c>
      <c r="O44" s="2082">
        <v>2.7E-2</v>
      </c>
      <c r="P44" s="2079">
        <v>0.03</v>
      </c>
      <c r="Q44" s="2082">
        <v>2.8000000000000001E-2</v>
      </c>
      <c r="R44" s="2079">
        <v>1.2E-2</v>
      </c>
      <c r="S44" s="2082">
        <v>2.5999999999999999E-2</v>
      </c>
      <c r="T44" s="2101">
        <v>4.3999999999999997E-2</v>
      </c>
      <c r="U44" s="2109">
        <v>3.6999999999999998E-2</v>
      </c>
      <c r="V44" s="2101">
        <v>2.1000000000000001E-2</v>
      </c>
      <c r="W44" s="2087">
        <v>3.3000000000000002E-2</v>
      </c>
      <c r="X44" s="2079">
        <v>2.8000000000000001E-2</v>
      </c>
      <c r="Y44" s="1523">
        <v>0.03</v>
      </c>
    </row>
    <row r="45" spans="1:26">
      <c r="A45" s="745">
        <f t="shared" si="1"/>
        <v>2018.12</v>
      </c>
      <c r="B45" s="2069">
        <v>2.6000000000000002E-2</v>
      </c>
      <c r="C45" s="2079">
        <v>2.7999999999999997E-2</v>
      </c>
      <c r="D45" s="2082">
        <v>2.3E-2</v>
      </c>
      <c r="E45" s="2079">
        <v>2.5000000000000001E-2</v>
      </c>
      <c r="F45" s="2082">
        <v>2.3E-2</v>
      </c>
      <c r="G45" s="2079">
        <v>2.5000000000000001E-2</v>
      </c>
      <c r="H45" s="1015">
        <v>2.6000000000000002E-2</v>
      </c>
      <c r="I45" s="2087">
        <v>1.7000000000000001E-2</v>
      </c>
      <c r="J45" s="2079">
        <v>1.4E-2</v>
      </c>
      <c r="K45" s="2082">
        <v>1.0999999999999999E-2</v>
      </c>
      <c r="L45" s="2079">
        <v>0.03</v>
      </c>
      <c r="M45" s="2082">
        <v>1.9E-2</v>
      </c>
      <c r="N45" s="2079">
        <v>5.1999999999999998E-2</v>
      </c>
      <c r="O45" s="2082">
        <v>2.4E-2</v>
      </c>
      <c r="P45" s="2079">
        <v>7.6999999999999999E-2</v>
      </c>
      <c r="Q45" s="2082">
        <v>2.5999999999999999E-2</v>
      </c>
      <c r="R45" s="2079">
        <v>0.01</v>
      </c>
      <c r="S45" s="2082">
        <v>2.7E-2</v>
      </c>
      <c r="T45" s="2101">
        <v>3.4000000000000002E-2</v>
      </c>
      <c r="U45" s="2109">
        <v>1.9E-2</v>
      </c>
      <c r="V45" s="2101">
        <v>3.6999999999999998E-2</v>
      </c>
      <c r="W45" s="2087">
        <v>2.7E-2</v>
      </c>
      <c r="X45" s="2079">
        <v>2.5999999999999999E-2</v>
      </c>
      <c r="Y45" s="1523">
        <v>1.4E-2</v>
      </c>
    </row>
    <row r="46" spans="1:26">
      <c r="A46" s="745">
        <f t="shared" si="1"/>
        <v>2019.01</v>
      </c>
      <c r="B46" s="2069">
        <v>2.8999999999999998E-2</v>
      </c>
      <c r="C46" s="2079">
        <v>2.7999999999999997E-2</v>
      </c>
      <c r="D46" s="2082">
        <v>2.8999999999999998E-2</v>
      </c>
      <c r="E46" s="2079">
        <v>3.4000000000000002E-2</v>
      </c>
      <c r="F46" s="2082">
        <v>3.2000000000000001E-2</v>
      </c>
      <c r="G46" s="2079">
        <v>2.8999999999999998E-2</v>
      </c>
      <c r="H46" s="1015">
        <v>0.03</v>
      </c>
      <c r="I46" s="2087">
        <v>3.4000000000000002E-2</v>
      </c>
      <c r="J46" s="2079">
        <v>3.5000000000000003E-2</v>
      </c>
      <c r="K46" s="2082">
        <v>-6.0000000000000001E-3</v>
      </c>
      <c r="L46" s="2079">
        <v>3.1E-2</v>
      </c>
      <c r="M46" s="2082">
        <v>2.7E-2</v>
      </c>
      <c r="N46" s="2079">
        <v>2.9000000000000001E-2</v>
      </c>
      <c r="O46" s="2082">
        <v>2.5000000000000001E-2</v>
      </c>
      <c r="P46" s="2079">
        <v>7.3999999999999996E-2</v>
      </c>
      <c r="Q46" s="2082">
        <v>3.5000000000000003E-2</v>
      </c>
      <c r="R46" s="2079">
        <v>6.0000000000000001E-3</v>
      </c>
      <c r="S46" s="2082">
        <v>3.6999999999999998E-2</v>
      </c>
      <c r="T46" s="2101">
        <v>3.5999999999999997E-2</v>
      </c>
      <c r="U46" s="2109">
        <v>2.5999999999999999E-2</v>
      </c>
      <c r="V46" s="2101">
        <v>3.5000000000000003E-2</v>
      </c>
      <c r="W46" s="2087">
        <v>0.03</v>
      </c>
      <c r="X46" s="2079">
        <v>3.4000000000000002E-2</v>
      </c>
      <c r="Y46" s="1523">
        <v>1.0999999999999999E-2</v>
      </c>
    </row>
    <row r="47" spans="1:26">
      <c r="A47" s="745">
        <f t="shared" si="1"/>
        <v>2019.02</v>
      </c>
      <c r="B47" s="2069">
        <v>3.7999999999999999E-2</v>
      </c>
      <c r="C47" s="2079">
        <v>3.7999999999999999E-2</v>
      </c>
      <c r="D47" s="2082">
        <v>3.6000000000000004E-2</v>
      </c>
      <c r="E47" s="2079">
        <v>4.4999999999999998E-2</v>
      </c>
      <c r="F47" s="2082">
        <v>4.2000000000000003E-2</v>
      </c>
      <c r="G47" s="2079">
        <v>3.7999999999999999E-2</v>
      </c>
      <c r="H47" s="1015">
        <v>0.03</v>
      </c>
      <c r="I47" s="2087">
        <v>5.7000000000000002E-2</v>
      </c>
      <c r="J47" s="2079">
        <v>2.4E-2</v>
      </c>
      <c r="K47" s="2082">
        <v>0.01</v>
      </c>
      <c r="L47" s="2079">
        <v>6.4000000000000001E-2</v>
      </c>
      <c r="M47" s="2082">
        <v>2.8000000000000001E-2</v>
      </c>
      <c r="N47" s="2079">
        <v>3.2000000000000001E-2</v>
      </c>
      <c r="O47" s="2082">
        <v>2.1999999999999999E-2</v>
      </c>
      <c r="P47" s="2079">
        <v>1.0999999999999999E-2</v>
      </c>
      <c r="Q47" s="2082">
        <v>2.1999999999999999E-2</v>
      </c>
      <c r="R47" s="2079">
        <v>1.7000000000000001E-2</v>
      </c>
      <c r="S47" s="2082">
        <v>3.5999999999999997E-2</v>
      </c>
      <c r="T47" s="2101">
        <v>3.1E-2</v>
      </c>
      <c r="U47" s="2109">
        <v>3.6999999999999998E-2</v>
      </c>
      <c r="V47" s="2101">
        <v>3.7999999999999999E-2</v>
      </c>
      <c r="W47" s="2087">
        <v>3.9E-2</v>
      </c>
      <c r="X47" s="2079">
        <v>4.2000000000000003E-2</v>
      </c>
      <c r="Y47" s="1523">
        <v>1.9E-2</v>
      </c>
    </row>
    <row r="48" spans="1:26">
      <c r="A48" s="745">
        <f t="shared" si="1"/>
        <v>2019.03</v>
      </c>
      <c r="B48" s="2069">
        <v>4.7E-2</v>
      </c>
      <c r="C48" s="2079">
        <v>4.8000000000000001E-2</v>
      </c>
      <c r="D48" s="2082">
        <v>4.4999999999999998E-2</v>
      </c>
      <c r="E48" s="2079">
        <v>5.0999999999999997E-2</v>
      </c>
      <c r="F48" s="2082">
        <v>4.9000000000000002E-2</v>
      </c>
      <c r="G48" s="2079">
        <v>4.4000000000000004E-2</v>
      </c>
      <c r="H48" s="1015">
        <v>4.2999999999999997E-2</v>
      </c>
      <c r="I48" s="2087">
        <v>0.06</v>
      </c>
      <c r="J48" s="2079">
        <v>4.1000000000000002E-2</v>
      </c>
      <c r="K48" s="2082">
        <v>6.6000000000000003E-2</v>
      </c>
      <c r="L48" s="2079">
        <v>2.8000000000000001E-2</v>
      </c>
      <c r="M48" s="2082">
        <v>3.7999999999999999E-2</v>
      </c>
      <c r="N48" s="2079">
        <v>3.2000000000000001E-2</v>
      </c>
      <c r="O48" s="2082">
        <v>4.2000000000000003E-2</v>
      </c>
      <c r="P48" s="2079">
        <v>4.3999999999999997E-2</v>
      </c>
      <c r="Q48" s="2082">
        <v>0.02</v>
      </c>
      <c r="R48" s="2079">
        <v>0.17899999999999999</v>
      </c>
      <c r="S48" s="2082">
        <v>4.2999999999999997E-2</v>
      </c>
      <c r="T48" s="2101">
        <v>3.1E-2</v>
      </c>
      <c r="U48" s="2109">
        <v>0.05</v>
      </c>
      <c r="V48" s="2101">
        <v>4.1000000000000002E-2</v>
      </c>
      <c r="W48" s="2087">
        <v>4.5999999999999999E-2</v>
      </c>
      <c r="X48" s="2079">
        <v>4.9000000000000002E-2</v>
      </c>
      <c r="Y48" s="1523">
        <v>4.8000000000000001E-2</v>
      </c>
    </row>
    <row r="49" spans="1:25">
      <c r="A49" s="745">
        <f t="shared" si="1"/>
        <v>2019.04</v>
      </c>
      <c r="B49" s="2069">
        <v>3.4000000000000002E-2</v>
      </c>
      <c r="C49" s="2079">
        <v>3.2000000000000001E-2</v>
      </c>
      <c r="D49" s="2082">
        <v>3.7000000000000005E-2</v>
      </c>
      <c r="E49" s="2079">
        <v>3.5000000000000003E-2</v>
      </c>
      <c r="F49" s="2082">
        <v>3.6000000000000004E-2</v>
      </c>
      <c r="G49" s="2079">
        <v>3.3000000000000002E-2</v>
      </c>
      <c r="H49" s="1015">
        <v>3.5000000000000003E-2</v>
      </c>
      <c r="I49" s="2087">
        <v>2.5000000000000001E-2</v>
      </c>
      <c r="J49" s="2079">
        <v>0.01</v>
      </c>
      <c r="K49" s="2082">
        <v>6.2E-2</v>
      </c>
      <c r="L49" s="2079">
        <v>2.9000000000000001E-2</v>
      </c>
      <c r="M49" s="2082">
        <v>4.5999999999999999E-2</v>
      </c>
      <c r="N49" s="2079">
        <v>3.5000000000000003E-2</v>
      </c>
      <c r="O49" s="2082">
        <v>4.3999999999999997E-2</v>
      </c>
      <c r="P49" s="2079">
        <v>3.5000000000000003E-2</v>
      </c>
      <c r="Q49" s="2082">
        <v>3.2000000000000001E-2</v>
      </c>
      <c r="R49" s="2079">
        <v>1.4999999999999999E-2</v>
      </c>
      <c r="S49" s="2082">
        <v>4.1000000000000002E-2</v>
      </c>
      <c r="T49" s="2101">
        <v>0.03</v>
      </c>
      <c r="U49" s="2109">
        <v>3.7999999999999999E-2</v>
      </c>
      <c r="V49" s="2101">
        <v>2.9000000000000001E-2</v>
      </c>
      <c r="W49" s="2087">
        <v>3.7999999999999999E-2</v>
      </c>
      <c r="X49" s="2079">
        <v>3.3000000000000002E-2</v>
      </c>
      <c r="Y49" s="1523">
        <v>1.6E-2</v>
      </c>
    </row>
    <row r="50" spans="1:25">
      <c r="A50" s="745">
        <f t="shared" si="1"/>
        <v>2019.05</v>
      </c>
      <c r="B50" s="2069">
        <v>3.1E-2</v>
      </c>
      <c r="C50" s="2079">
        <v>0.03</v>
      </c>
      <c r="D50" s="2082">
        <v>0.03</v>
      </c>
      <c r="E50" s="2079">
        <v>2.7999999999999997E-2</v>
      </c>
      <c r="F50" s="2082">
        <v>3.9E-2</v>
      </c>
      <c r="G50" s="2079">
        <v>2.8999999999999998E-2</v>
      </c>
      <c r="H50" s="1015">
        <v>3.4000000000000002E-2</v>
      </c>
      <c r="I50" s="2087">
        <v>2.4E-2</v>
      </c>
      <c r="J50" s="2079">
        <v>2.1999999999999999E-2</v>
      </c>
      <c r="K50" s="2082">
        <v>3.4000000000000002E-2</v>
      </c>
      <c r="L50" s="2079">
        <v>0.04</v>
      </c>
      <c r="M50" s="2082">
        <v>3.2000000000000001E-2</v>
      </c>
      <c r="N50" s="2079">
        <v>5.0999999999999997E-2</v>
      </c>
      <c r="O50" s="2082">
        <v>3.5000000000000003E-2</v>
      </c>
      <c r="P50" s="2079">
        <v>0.02</v>
      </c>
      <c r="Q50" s="2082">
        <v>2.4E-2</v>
      </c>
      <c r="R50" s="2079">
        <v>3.3000000000000002E-2</v>
      </c>
      <c r="S50" s="2082">
        <v>2.1999999999999999E-2</v>
      </c>
      <c r="T50" s="2101">
        <v>2.8000000000000001E-2</v>
      </c>
      <c r="U50" s="2109">
        <v>3.1E-2</v>
      </c>
      <c r="V50" s="2101">
        <v>0.03</v>
      </c>
      <c r="W50" s="2087">
        <v>3.2000000000000001E-2</v>
      </c>
      <c r="X50" s="2079">
        <v>3.6999999999999998E-2</v>
      </c>
      <c r="Y50" s="1523">
        <v>6.0000000000000001E-3</v>
      </c>
    </row>
    <row r="51" spans="1:25">
      <c r="A51" s="745">
        <f t="shared" si="1"/>
        <v>2019.06</v>
      </c>
      <c r="B51" s="2069">
        <v>2.7000000000000003E-2</v>
      </c>
      <c r="C51" s="2079">
        <v>2.6000000000000002E-2</v>
      </c>
      <c r="D51" s="2082">
        <v>2.7999999999999997E-2</v>
      </c>
      <c r="E51" s="2079">
        <v>2.8999999999999998E-2</v>
      </c>
      <c r="F51" s="2082">
        <v>2.7999999999999997E-2</v>
      </c>
      <c r="G51" s="2079">
        <v>2.6000000000000002E-2</v>
      </c>
      <c r="H51" s="1015">
        <v>2.7999999999999997E-2</v>
      </c>
      <c r="I51" s="2087">
        <v>2.5999999999999999E-2</v>
      </c>
      <c r="J51" s="2079">
        <v>2.7E-2</v>
      </c>
      <c r="K51" s="2082">
        <v>1.9E-2</v>
      </c>
      <c r="L51" s="2079">
        <v>2.7E-2</v>
      </c>
      <c r="M51" s="2082">
        <v>3.4000000000000002E-2</v>
      </c>
      <c r="N51" s="2079">
        <v>3.5999999999999997E-2</v>
      </c>
      <c r="O51" s="2082">
        <v>1.6E-2</v>
      </c>
      <c r="P51" s="2079">
        <v>7.0999999999999994E-2</v>
      </c>
      <c r="Q51" s="2082">
        <v>3.6999999999999998E-2</v>
      </c>
      <c r="R51" s="2079">
        <v>1.7999999999999999E-2</v>
      </c>
      <c r="S51" s="2082">
        <v>2.5000000000000001E-2</v>
      </c>
      <c r="T51" s="2101">
        <v>2.1000000000000001E-2</v>
      </c>
      <c r="U51" s="2109">
        <v>2.7E-2</v>
      </c>
      <c r="V51" s="2101">
        <v>2.7E-2</v>
      </c>
      <c r="W51" s="2087">
        <v>2.7E-2</v>
      </c>
      <c r="X51" s="2079">
        <v>2.8000000000000001E-2</v>
      </c>
      <c r="Y51" s="1523">
        <v>2.5000000000000001E-2</v>
      </c>
    </row>
    <row r="52" spans="1:25">
      <c r="A52" s="745">
        <f t="shared" si="1"/>
        <v>2019.07</v>
      </c>
      <c r="B52" s="2069">
        <v>2.2000000000000002E-2</v>
      </c>
      <c r="C52" s="2079">
        <v>2.1000000000000001E-2</v>
      </c>
      <c r="D52" s="2082">
        <v>2.2000000000000002E-2</v>
      </c>
      <c r="E52" s="2079">
        <v>1.9E-2</v>
      </c>
      <c r="F52" s="2082">
        <v>0.02</v>
      </c>
      <c r="G52" s="2079">
        <v>2.7999999999999997E-2</v>
      </c>
      <c r="H52" s="1015">
        <v>2.5000000000000001E-2</v>
      </c>
      <c r="I52" s="2087">
        <v>2.3E-2</v>
      </c>
      <c r="J52" s="2079">
        <v>8.9999999999999993E-3</v>
      </c>
      <c r="K52" s="2082">
        <v>3.0000000000000001E-3</v>
      </c>
      <c r="L52" s="2079">
        <v>2.1999999999999999E-2</v>
      </c>
      <c r="M52" s="2082">
        <v>2.5000000000000001E-2</v>
      </c>
      <c r="N52" s="2079">
        <v>4.1000000000000002E-2</v>
      </c>
      <c r="O52" s="2082">
        <v>1.0999999999999999E-2</v>
      </c>
      <c r="P52" s="2079">
        <v>2E-3</v>
      </c>
      <c r="Q52" s="2082">
        <v>3.9E-2</v>
      </c>
      <c r="R52" s="2079">
        <v>2.1000000000000001E-2</v>
      </c>
      <c r="S52" s="2082">
        <v>0.03</v>
      </c>
      <c r="T52" s="2101">
        <v>2.7E-2</v>
      </c>
      <c r="U52" s="2109">
        <v>0.02</v>
      </c>
      <c r="V52" s="2101">
        <v>2.5000000000000001E-2</v>
      </c>
      <c r="W52" s="2087">
        <v>2.1000000000000001E-2</v>
      </c>
      <c r="X52" s="2079">
        <v>1.7999999999999999E-2</v>
      </c>
      <c r="Y52" s="1523">
        <v>3.5999999999999997E-2</v>
      </c>
    </row>
    <row r="53" spans="1:25">
      <c r="A53" s="745">
        <f t="shared" si="1"/>
        <v>2019.08</v>
      </c>
      <c r="B53" s="2069">
        <v>0.04</v>
      </c>
      <c r="C53" s="2079">
        <v>3.9E-2</v>
      </c>
      <c r="D53" s="2082">
        <v>3.9E-2</v>
      </c>
      <c r="E53" s="2079">
        <v>4.4999999999999998E-2</v>
      </c>
      <c r="F53" s="2082">
        <v>4.0999999999999995E-2</v>
      </c>
      <c r="G53" s="2079">
        <v>4.4000000000000004E-2</v>
      </c>
      <c r="H53" s="1015">
        <v>4.2000000000000003E-2</v>
      </c>
      <c r="I53" s="2087">
        <v>4.4999999999999998E-2</v>
      </c>
      <c r="J53" s="2079">
        <v>4.3999999999999997E-2</v>
      </c>
      <c r="K53" s="2082">
        <v>3.1E-2</v>
      </c>
      <c r="L53" s="2079">
        <v>2.1000000000000001E-2</v>
      </c>
      <c r="M53" s="2082">
        <v>6.0999999999999999E-2</v>
      </c>
      <c r="N53" s="2079">
        <v>5.1999999999999998E-2</v>
      </c>
      <c r="O53" s="2082">
        <v>0.04</v>
      </c>
      <c r="P53" s="2079">
        <v>1.2E-2</v>
      </c>
      <c r="Q53" s="2082">
        <v>4.2000000000000003E-2</v>
      </c>
      <c r="R53" s="2079">
        <v>2.5000000000000001E-2</v>
      </c>
      <c r="S53" s="2082">
        <v>3.5999999999999997E-2</v>
      </c>
      <c r="T53" s="2101">
        <v>4.3999999999999997E-2</v>
      </c>
      <c r="U53" s="2109">
        <v>4.9000000000000002E-2</v>
      </c>
      <c r="V53" s="2101">
        <v>2.3E-2</v>
      </c>
      <c r="W53" s="2087">
        <v>4.5999999999999999E-2</v>
      </c>
      <c r="X53" s="2079">
        <v>2.1000000000000001E-2</v>
      </c>
      <c r="Y53" s="1523">
        <v>3.9E-2</v>
      </c>
    </row>
    <row r="54" spans="1:25">
      <c r="A54" s="745">
        <f t="shared" si="1"/>
        <v>2019.09</v>
      </c>
      <c r="B54" s="2069">
        <v>5.9000000000000004E-2</v>
      </c>
      <c r="C54" s="2079">
        <v>5.7999999999999996E-2</v>
      </c>
      <c r="D54" s="2082">
        <v>6.0999999999999999E-2</v>
      </c>
      <c r="E54" s="2079">
        <v>6.2E-2</v>
      </c>
      <c r="F54" s="2082">
        <v>5.7999999999999996E-2</v>
      </c>
      <c r="G54" s="2079">
        <v>5.7999999999999996E-2</v>
      </c>
      <c r="H54" s="1015">
        <v>5.2999999999999999E-2</v>
      </c>
      <c r="I54" s="2087">
        <v>5.7000000000000002E-2</v>
      </c>
      <c r="J54" s="2079">
        <v>5.7000000000000002E-2</v>
      </c>
      <c r="K54" s="2082">
        <v>9.5000000000000001E-2</v>
      </c>
      <c r="L54" s="2079">
        <v>0.02</v>
      </c>
      <c r="M54" s="2082">
        <v>7.3999999999999996E-2</v>
      </c>
      <c r="N54" s="2079">
        <v>8.3000000000000004E-2</v>
      </c>
      <c r="O54" s="2082">
        <v>4.7E-2</v>
      </c>
      <c r="P54" s="2079">
        <v>6.7000000000000004E-2</v>
      </c>
      <c r="Q54" s="2082">
        <v>7.5999999999999998E-2</v>
      </c>
      <c r="R54" s="2079">
        <v>0.01</v>
      </c>
      <c r="S54" s="2082">
        <v>5.1999999999999998E-2</v>
      </c>
      <c r="T54" s="2101">
        <v>8.2000000000000003E-2</v>
      </c>
      <c r="U54" s="2109">
        <v>7.0999999999999994E-2</v>
      </c>
      <c r="V54" s="2101">
        <v>3.5999999999999997E-2</v>
      </c>
      <c r="W54" s="2087">
        <v>6.4000000000000001E-2</v>
      </c>
      <c r="X54" s="2079">
        <v>3.4000000000000002E-2</v>
      </c>
      <c r="Y54" s="1523">
        <v>8.5000000000000006E-2</v>
      </c>
    </row>
    <row r="55" spans="1:25">
      <c r="A55" s="745">
        <f t="shared" si="1"/>
        <v>2019.1</v>
      </c>
      <c r="B55" s="2069">
        <v>3.3000000000000002E-2</v>
      </c>
      <c r="C55" s="2079">
        <v>3.2000000000000001E-2</v>
      </c>
      <c r="D55" s="2082">
        <v>3.4000000000000002E-2</v>
      </c>
      <c r="E55" s="2079">
        <v>3.3000000000000002E-2</v>
      </c>
      <c r="F55" s="2082">
        <v>2.8999999999999998E-2</v>
      </c>
      <c r="G55" s="2079">
        <v>3.7000000000000005E-2</v>
      </c>
      <c r="H55" s="1015">
        <v>3.2000000000000001E-2</v>
      </c>
      <c r="I55" s="2087">
        <v>2.5000000000000001E-2</v>
      </c>
      <c r="J55" s="2079">
        <v>6.2E-2</v>
      </c>
      <c r="K55" s="2082">
        <v>4.7E-2</v>
      </c>
      <c r="L55" s="2079">
        <v>1.9E-2</v>
      </c>
      <c r="M55" s="2082">
        <v>8.1000000000000003E-2</v>
      </c>
      <c r="N55" s="2079">
        <v>4.7E-2</v>
      </c>
      <c r="O55" s="2082">
        <v>3.5000000000000003E-2</v>
      </c>
      <c r="P55" s="2079">
        <v>5.0000000000000001E-3</v>
      </c>
      <c r="Q55" s="2082">
        <v>0.02</v>
      </c>
      <c r="R55" s="2079">
        <v>1.6E-2</v>
      </c>
      <c r="S55" s="2082">
        <v>2.5000000000000001E-2</v>
      </c>
      <c r="T55" s="2101">
        <v>3.7999999999999999E-2</v>
      </c>
      <c r="U55" s="2109">
        <v>3.5000000000000003E-2</v>
      </c>
      <c r="V55" s="2101">
        <v>2.9000000000000001E-2</v>
      </c>
      <c r="W55" s="2087">
        <v>3.7999999999999999E-2</v>
      </c>
      <c r="X55" s="2079">
        <v>0.02</v>
      </c>
      <c r="Y55" s="1523">
        <v>2.8000000000000001E-2</v>
      </c>
    </row>
    <row r="56" spans="1:25">
      <c r="A56" s="745">
        <f t="shared" si="1"/>
        <v>2019.11</v>
      </c>
      <c r="B56" s="2069">
        <v>4.2999999999999997E-2</v>
      </c>
      <c r="C56" s="2079">
        <v>4.0999999999999995E-2</v>
      </c>
      <c r="D56" s="2082">
        <v>4.4999999999999998E-2</v>
      </c>
      <c r="E56" s="2079">
        <v>4.2999999999999997E-2</v>
      </c>
      <c r="F56" s="2082">
        <v>3.9E-2</v>
      </c>
      <c r="G56" s="2079">
        <v>4.4999999999999998E-2</v>
      </c>
      <c r="H56" s="1015">
        <v>4.4999999999999998E-2</v>
      </c>
      <c r="I56" s="2087">
        <v>5.2999999999999999E-2</v>
      </c>
      <c r="J56" s="2079">
        <v>5.6000000000000001E-2</v>
      </c>
      <c r="K56" s="2082">
        <v>4.3999999999999997E-2</v>
      </c>
      <c r="L56" s="2079">
        <v>1.4999999999999999E-2</v>
      </c>
      <c r="M56" s="2082">
        <v>6.0000000000000001E-3</v>
      </c>
      <c r="N56" s="2079">
        <v>6.3E-2</v>
      </c>
      <c r="O56" s="2082">
        <v>4.5999999999999999E-2</v>
      </c>
      <c r="P56" s="2079">
        <v>7.3999999999999996E-2</v>
      </c>
      <c r="Q56" s="2082">
        <v>3.4000000000000002E-2</v>
      </c>
      <c r="R56" s="2079">
        <v>4.3999999999999997E-2</v>
      </c>
      <c r="S56" s="2082">
        <v>3.3000000000000002E-2</v>
      </c>
      <c r="T56" s="2101">
        <v>4.9000000000000002E-2</v>
      </c>
      <c r="U56" s="2109">
        <v>5.1999999999999998E-2</v>
      </c>
      <c r="V56" s="2101">
        <v>2.4E-2</v>
      </c>
      <c r="W56" s="2087">
        <v>0.04</v>
      </c>
      <c r="X56" s="2079">
        <v>3.7999999999999999E-2</v>
      </c>
      <c r="Y56" s="1523">
        <v>7.2999999999999995E-2</v>
      </c>
    </row>
    <row r="57" spans="1:25">
      <c r="A57" s="745">
        <f t="shared" si="1"/>
        <v>2019.12</v>
      </c>
      <c r="B57" s="2069">
        <v>3.7000000000000005E-2</v>
      </c>
      <c r="C57" s="2079">
        <v>3.7999999999999999E-2</v>
      </c>
      <c r="D57" s="2082">
        <v>3.6000000000000004E-2</v>
      </c>
      <c r="E57" s="2079">
        <v>0.04</v>
      </c>
      <c r="F57" s="2082">
        <v>3.7000000000000005E-2</v>
      </c>
      <c r="G57" s="2079">
        <v>3.3000000000000002E-2</v>
      </c>
      <c r="H57" s="1015">
        <v>4.2000000000000003E-2</v>
      </c>
      <c r="I57" s="2087">
        <v>3.1E-2</v>
      </c>
      <c r="J57" s="2079">
        <v>3.1E-2</v>
      </c>
      <c r="K57" s="2082">
        <v>2.4E-2</v>
      </c>
      <c r="L57" s="2079">
        <v>2.1000000000000001E-2</v>
      </c>
      <c r="M57" s="2082">
        <v>5.3999999999999999E-2</v>
      </c>
      <c r="N57" s="2079">
        <v>5.6000000000000001E-2</v>
      </c>
      <c r="O57" s="2082">
        <v>0.05</v>
      </c>
      <c r="P57" s="2079">
        <v>9.6000000000000002E-2</v>
      </c>
      <c r="Q57" s="2082">
        <v>2.4E-2</v>
      </c>
      <c r="R57" s="2079">
        <v>0.02</v>
      </c>
      <c r="S57" s="2082">
        <v>3.3000000000000002E-2</v>
      </c>
      <c r="T57" s="2101">
        <v>3.5999999999999997E-2</v>
      </c>
      <c r="U57" s="2109">
        <v>3.3000000000000002E-2</v>
      </c>
      <c r="V57" s="2101">
        <v>4.4999999999999998E-2</v>
      </c>
      <c r="W57" s="2087">
        <v>3.6999999999999998E-2</v>
      </c>
      <c r="X57" s="2079">
        <v>4.5999999999999999E-2</v>
      </c>
      <c r="Y57" s="1523">
        <v>2.1000000000000001E-2</v>
      </c>
    </row>
    <row r="58" spans="1:25">
      <c r="A58" s="745">
        <f t="shared" si="1"/>
        <v>2020.01</v>
      </c>
      <c r="B58" s="2069">
        <v>2.3E-2</v>
      </c>
      <c r="C58" s="2079">
        <v>1.9E-2</v>
      </c>
      <c r="D58" s="2082">
        <v>2.5000000000000001E-2</v>
      </c>
      <c r="E58" s="2079">
        <v>3.1E-2</v>
      </c>
      <c r="F58" s="2082">
        <v>2.4E-2</v>
      </c>
      <c r="G58" s="2079">
        <v>2.5000000000000001E-2</v>
      </c>
      <c r="H58" s="1015">
        <v>2.5000000000000001E-2</v>
      </c>
      <c r="I58" s="2087">
        <v>4.7E-2</v>
      </c>
      <c r="J58" s="2079">
        <v>4.2999999999999997E-2</v>
      </c>
      <c r="K58" s="2082">
        <v>1.0999999999999999E-2</v>
      </c>
      <c r="L58" s="2079">
        <v>6.0000000000000001E-3</v>
      </c>
      <c r="M58" s="2082">
        <v>-1.2999999999999999E-2</v>
      </c>
      <c r="N58" s="2079">
        <v>-0.02</v>
      </c>
      <c r="O58" s="2082">
        <v>1.4999999999999999E-2</v>
      </c>
      <c r="P58" s="2079">
        <v>1E-3</v>
      </c>
      <c r="Q58" s="2082">
        <v>0.05</v>
      </c>
      <c r="R58" s="2079">
        <v>5.0000000000000001E-3</v>
      </c>
      <c r="S58" s="2082">
        <v>4.2000000000000003E-2</v>
      </c>
      <c r="T58" s="2101">
        <v>3.1E-2</v>
      </c>
      <c r="U58" s="2109">
        <v>2.5999999999999999E-2</v>
      </c>
      <c r="V58" s="2101">
        <v>1.6E-2</v>
      </c>
      <c r="W58" s="2087">
        <v>2.4E-2</v>
      </c>
      <c r="X58" s="2079">
        <v>1.0999999999999999E-2</v>
      </c>
      <c r="Y58" s="1523">
        <v>3.5999999999999997E-2</v>
      </c>
    </row>
    <row r="59" spans="1:25">
      <c r="A59" s="745">
        <f t="shared" si="1"/>
        <v>2020.02</v>
      </c>
      <c r="B59" s="2069">
        <v>0.02</v>
      </c>
      <c r="C59" s="2079">
        <v>1.8000000000000002E-2</v>
      </c>
      <c r="D59" s="2082">
        <v>2.3E-2</v>
      </c>
      <c r="E59" s="2079">
        <v>2.2000000000000002E-2</v>
      </c>
      <c r="F59" s="2082">
        <v>1.8000000000000002E-2</v>
      </c>
      <c r="G59" s="2079">
        <v>2.3E-2</v>
      </c>
      <c r="H59" s="1015">
        <v>1.8000000000000002E-2</v>
      </c>
      <c r="I59" s="2087">
        <v>2.7E-2</v>
      </c>
      <c r="J59" s="2079">
        <v>1.2999999999999999E-2</v>
      </c>
      <c r="K59" s="2082">
        <v>2.4E-2</v>
      </c>
      <c r="L59" s="2079">
        <v>6.0000000000000001E-3</v>
      </c>
      <c r="M59" s="2082">
        <v>2.1000000000000001E-2</v>
      </c>
      <c r="N59" s="2079">
        <v>4.0000000000000001E-3</v>
      </c>
      <c r="O59" s="2082">
        <v>1.6E-2</v>
      </c>
      <c r="P59" s="2079">
        <v>2.3E-2</v>
      </c>
      <c r="Q59" s="2082">
        <v>2.1999999999999999E-2</v>
      </c>
      <c r="R59" s="2079">
        <v>1.4E-2</v>
      </c>
      <c r="S59" s="2082">
        <v>3.1E-2</v>
      </c>
      <c r="T59" s="2101">
        <v>2.4E-2</v>
      </c>
      <c r="U59" s="2109">
        <v>2.1999999999999999E-2</v>
      </c>
      <c r="V59" s="2101">
        <v>1.7000000000000001E-2</v>
      </c>
      <c r="W59" s="2087">
        <v>2.4E-2</v>
      </c>
      <c r="X59" s="2079">
        <v>7.0000000000000001E-3</v>
      </c>
      <c r="Y59" s="1523">
        <v>2.5000000000000001E-2</v>
      </c>
    </row>
    <row r="60" spans="1:25">
      <c r="A60" s="745">
        <f t="shared" si="1"/>
        <v>2020.03</v>
      </c>
      <c r="B60" s="2069">
        <v>3.3000000000000002E-2</v>
      </c>
      <c r="C60" s="2079">
        <v>3.6000000000000004E-2</v>
      </c>
      <c r="D60" s="2082">
        <v>0.03</v>
      </c>
      <c r="E60" s="2079">
        <v>3.5000000000000003E-2</v>
      </c>
      <c r="F60" s="2082">
        <v>3.7999999999999999E-2</v>
      </c>
      <c r="G60" s="2079">
        <v>3.1E-2</v>
      </c>
      <c r="H60" s="1015">
        <v>2.6000000000000002E-2</v>
      </c>
      <c r="I60" s="2087">
        <v>3.9E-2</v>
      </c>
      <c r="J60" s="2079">
        <v>2.9000000000000001E-2</v>
      </c>
      <c r="K60" s="2082">
        <v>4.2000000000000003E-2</v>
      </c>
      <c r="L60" s="2079">
        <v>1.4E-2</v>
      </c>
      <c r="M60" s="2082">
        <v>2.9000000000000001E-2</v>
      </c>
      <c r="N60" s="2079">
        <v>2.7E-2</v>
      </c>
      <c r="O60" s="2082">
        <v>1.6E-2</v>
      </c>
      <c r="P60" s="2079">
        <v>8.3000000000000004E-2</v>
      </c>
      <c r="Q60" s="2082">
        <v>2.5000000000000001E-2</v>
      </c>
      <c r="R60" s="2079">
        <v>0.17499999999999999</v>
      </c>
      <c r="S60" s="2082">
        <v>2.1999999999999999E-2</v>
      </c>
      <c r="T60" s="2101">
        <v>0.02</v>
      </c>
      <c r="U60" s="2109">
        <v>8.2000000000000003E-2</v>
      </c>
      <c r="V60" s="2101">
        <v>6.9000000000000006E-2</v>
      </c>
      <c r="W60" s="2087">
        <v>3.1E-2</v>
      </c>
      <c r="X60" s="2079">
        <v>3.3000000000000002E-2</v>
      </c>
      <c r="Y60" s="1523">
        <v>4.9000000000000002E-2</v>
      </c>
    </row>
    <row r="61" spans="1:25">
      <c r="A61" s="745">
        <f t="shared" si="1"/>
        <v>2020.04</v>
      </c>
      <c r="B61" s="2069">
        <v>1.4999999999999999E-2</v>
      </c>
      <c r="C61" s="2079">
        <v>1.3999999999999999E-2</v>
      </c>
      <c r="D61" s="2082">
        <v>1.4999999999999999E-2</v>
      </c>
      <c r="E61" s="2079">
        <v>2.1000000000000001E-2</v>
      </c>
      <c r="F61" s="2082">
        <v>2.6000000000000002E-2</v>
      </c>
      <c r="G61" s="2079">
        <v>1.3000000000000001E-2</v>
      </c>
      <c r="H61" s="1015">
        <v>6.0000000000000001E-3</v>
      </c>
      <c r="I61" s="2087">
        <v>3.2000000000000001E-2</v>
      </c>
      <c r="J61" s="2079">
        <v>1.4E-2</v>
      </c>
      <c r="K61" s="2082">
        <v>1.4999999999999999E-2</v>
      </c>
      <c r="L61" s="2079">
        <v>0</v>
      </c>
      <c r="M61" s="2082">
        <v>1.2E-2</v>
      </c>
      <c r="N61" s="2079">
        <v>1.2E-2</v>
      </c>
      <c r="O61" s="2082">
        <v>1.2999999999999999E-2</v>
      </c>
      <c r="P61" s="2079">
        <v>-4.1000000000000002E-2</v>
      </c>
      <c r="Q61" s="2082">
        <v>2.3E-2</v>
      </c>
      <c r="R61" s="2079">
        <v>-1.4999999999999999E-2</v>
      </c>
      <c r="S61" s="2082">
        <v>1.4999999999999999E-2</v>
      </c>
      <c r="T61" s="2101">
        <v>2E-3</v>
      </c>
      <c r="U61" s="2109">
        <v>2.3E-2</v>
      </c>
      <c r="V61" s="2101">
        <v>-2E-3</v>
      </c>
      <c r="W61" s="2087">
        <v>1.7000000000000001E-2</v>
      </c>
      <c r="X61" s="2079">
        <v>-7.0000000000000001E-3</v>
      </c>
      <c r="Y61" s="1523">
        <v>4.8000000000000001E-2</v>
      </c>
    </row>
    <row r="62" spans="1:25">
      <c r="A62" s="745">
        <f t="shared" si="1"/>
        <v>2020.05</v>
      </c>
      <c r="B62" s="2069">
        <v>1.4999999999999999E-2</v>
      </c>
      <c r="C62" s="2079">
        <v>1.4999999999999999E-2</v>
      </c>
      <c r="D62" s="2082">
        <v>1.6E-2</v>
      </c>
      <c r="E62" s="2079">
        <v>1.6E-2</v>
      </c>
      <c r="F62" s="2082">
        <v>1.7000000000000001E-2</v>
      </c>
      <c r="G62" s="2079">
        <v>1.3000000000000001E-2</v>
      </c>
      <c r="H62" s="1015">
        <v>1.6E-2</v>
      </c>
      <c r="I62" s="2087">
        <v>7.0000000000000001E-3</v>
      </c>
      <c r="J62" s="2079">
        <v>1E-3</v>
      </c>
      <c r="K62" s="2082">
        <v>7.4999999999999997E-2</v>
      </c>
      <c r="L62" s="2079">
        <v>1E-3</v>
      </c>
      <c r="M62" s="2082">
        <v>2.8000000000000001E-2</v>
      </c>
      <c r="N62" s="2079">
        <v>1.0999999999999999E-2</v>
      </c>
      <c r="O62" s="2082">
        <v>1.0999999999999999E-2</v>
      </c>
      <c r="P62" s="2079">
        <v>3.0000000000000001E-3</v>
      </c>
      <c r="Q62" s="2082">
        <v>2.5000000000000001E-2</v>
      </c>
      <c r="R62" s="2079">
        <v>-4.0000000000000001E-3</v>
      </c>
      <c r="S62" s="2082">
        <v>1.4999999999999999E-2</v>
      </c>
      <c r="T62" s="2101">
        <v>1.9E-2</v>
      </c>
      <c r="U62" s="2109">
        <v>0.02</v>
      </c>
      <c r="V62" s="2101">
        <v>6.0000000000000001E-3</v>
      </c>
      <c r="W62" s="2087">
        <v>1.6E-2</v>
      </c>
      <c r="X62" s="2079">
        <v>-1E-3</v>
      </c>
      <c r="Y62" s="1523">
        <v>4.7E-2</v>
      </c>
    </row>
    <row r="63" spans="1:25">
      <c r="A63" s="745">
        <f t="shared" si="1"/>
        <v>2020.06</v>
      </c>
      <c r="B63" s="2069">
        <v>2.2000000000000002E-2</v>
      </c>
      <c r="C63" s="2079">
        <v>0.02</v>
      </c>
      <c r="D63" s="2082">
        <v>2.5000000000000001E-2</v>
      </c>
      <c r="E63" s="2079">
        <v>2.3E-2</v>
      </c>
      <c r="F63" s="2082">
        <v>2.2000000000000002E-2</v>
      </c>
      <c r="G63" s="2079">
        <v>2.3E-2</v>
      </c>
      <c r="H63" s="1015">
        <v>1.9E-2</v>
      </c>
      <c r="I63" s="2087">
        <v>0.01</v>
      </c>
      <c r="J63" s="2079">
        <v>3.7999999999999999E-2</v>
      </c>
      <c r="K63" s="2082">
        <v>6.6000000000000003E-2</v>
      </c>
      <c r="L63" s="2079">
        <v>8.9999999999999993E-3</v>
      </c>
      <c r="M63" s="2082">
        <v>4.1000000000000002E-2</v>
      </c>
      <c r="N63" s="2079">
        <v>2.1999999999999999E-2</v>
      </c>
      <c r="O63" s="2082">
        <v>1.7999999999999999E-2</v>
      </c>
      <c r="P63" s="2079">
        <v>4.0000000000000001E-3</v>
      </c>
      <c r="Q63" s="2082">
        <v>4.2000000000000003E-2</v>
      </c>
      <c r="R63" s="2079">
        <v>4.0000000000000001E-3</v>
      </c>
      <c r="S63" s="2082">
        <v>2.1999999999999999E-2</v>
      </c>
      <c r="T63" s="2101">
        <v>3.0000000000000001E-3</v>
      </c>
      <c r="U63" s="2109">
        <v>2.9000000000000001E-2</v>
      </c>
      <c r="V63" s="2101">
        <v>8.9999999999999993E-3</v>
      </c>
      <c r="W63" s="2087">
        <v>2.3E-2</v>
      </c>
      <c r="X63" s="2079">
        <v>7.0000000000000001E-3</v>
      </c>
      <c r="Y63" s="1523">
        <v>4.8000000000000001E-2</v>
      </c>
    </row>
    <row r="64" spans="1:25">
      <c r="A64" s="745">
        <f t="shared" si="1"/>
        <v>2020.07</v>
      </c>
      <c r="B64" s="2069">
        <v>1.9E-2</v>
      </c>
      <c r="C64" s="2079">
        <v>1.6E-2</v>
      </c>
      <c r="D64" s="2082">
        <v>2.1000000000000001E-2</v>
      </c>
      <c r="E64" s="2079">
        <v>2.2000000000000002E-2</v>
      </c>
      <c r="F64" s="2082">
        <v>1.9E-2</v>
      </c>
      <c r="G64" s="2079">
        <v>2.3E-2</v>
      </c>
      <c r="H64" s="1015">
        <v>2.7000000000000003E-2</v>
      </c>
      <c r="I64" s="2087">
        <v>1.2999999999999999E-2</v>
      </c>
      <c r="J64" s="2079">
        <v>1.4E-2</v>
      </c>
      <c r="K64" s="2082">
        <v>3.3000000000000002E-2</v>
      </c>
      <c r="L64" s="2079">
        <v>0.01</v>
      </c>
      <c r="M64" s="2082">
        <v>3.9E-2</v>
      </c>
      <c r="N64" s="2079">
        <v>2.1999999999999999E-2</v>
      </c>
      <c r="O64" s="2082">
        <v>1.7999999999999999E-2</v>
      </c>
      <c r="P64" s="2079">
        <v>7.0000000000000001E-3</v>
      </c>
      <c r="Q64" s="2082">
        <v>3.3000000000000002E-2</v>
      </c>
      <c r="R64" s="2079">
        <v>1E-3</v>
      </c>
      <c r="S64" s="2082">
        <v>1.9E-2</v>
      </c>
      <c r="T64" s="2101">
        <v>2.3E-2</v>
      </c>
      <c r="U64" s="2109">
        <v>2.3E-2</v>
      </c>
      <c r="V64" s="2101">
        <v>1.0999999999999999E-2</v>
      </c>
      <c r="W64" s="2087">
        <v>2.5000000000000001E-2</v>
      </c>
      <c r="X64" s="2079">
        <v>5.0000000000000001E-3</v>
      </c>
      <c r="Y64" s="1523">
        <v>8.9999999999999993E-3</v>
      </c>
    </row>
    <row r="65" spans="1:25">
      <c r="A65" s="745">
        <f t="shared" si="1"/>
        <v>2020.08</v>
      </c>
      <c r="B65" s="2069">
        <v>2.7000000000000003E-2</v>
      </c>
      <c r="C65" s="2079">
        <v>2.7999999999999997E-2</v>
      </c>
      <c r="D65" s="2082">
        <v>2.6000000000000002E-2</v>
      </c>
      <c r="E65" s="2079">
        <v>2.3E-2</v>
      </c>
      <c r="F65" s="2082">
        <v>2.6000000000000002E-2</v>
      </c>
      <c r="G65" s="2079">
        <v>2.7000000000000003E-2</v>
      </c>
      <c r="H65" s="1015">
        <v>2.8999999999999998E-2</v>
      </c>
      <c r="I65" s="2087">
        <v>3.5000000000000003E-2</v>
      </c>
      <c r="J65" s="2079">
        <v>1.2999999999999999E-2</v>
      </c>
      <c r="K65" s="2082">
        <v>2.1999999999999999E-2</v>
      </c>
      <c r="L65" s="2079">
        <v>2.3E-2</v>
      </c>
      <c r="M65" s="2082">
        <v>3.5000000000000003E-2</v>
      </c>
      <c r="N65" s="2079">
        <v>2.4E-2</v>
      </c>
      <c r="O65" s="2082">
        <v>2.8000000000000001E-2</v>
      </c>
      <c r="P65" s="2079">
        <v>3.0000000000000001E-3</v>
      </c>
      <c r="Q65" s="2082">
        <v>3.3000000000000002E-2</v>
      </c>
      <c r="R65" s="2079">
        <v>8.0000000000000002E-3</v>
      </c>
      <c r="S65" s="2082">
        <v>1.9E-2</v>
      </c>
      <c r="T65" s="2101">
        <v>3.3000000000000002E-2</v>
      </c>
      <c r="U65" s="2109">
        <v>3.3000000000000002E-2</v>
      </c>
      <c r="V65" s="2101">
        <v>1.4999999999999999E-2</v>
      </c>
      <c r="W65" s="2087">
        <v>0.03</v>
      </c>
      <c r="X65" s="2079">
        <v>0.01</v>
      </c>
      <c r="Y65" s="1523">
        <v>0.04</v>
      </c>
    </row>
    <row r="66" spans="1:25">
      <c r="A66" s="745">
        <f t="shared" si="1"/>
        <v>2020.09</v>
      </c>
      <c r="B66" s="2069">
        <v>2.7999999999999997E-2</v>
      </c>
      <c r="C66" s="2079">
        <v>2.7999999999999997E-2</v>
      </c>
      <c r="D66" s="2082">
        <v>2.8999999999999998E-2</v>
      </c>
      <c r="E66" s="2079">
        <v>3.4000000000000002E-2</v>
      </c>
      <c r="F66" s="2082">
        <v>2.3E-2</v>
      </c>
      <c r="G66" s="2079">
        <v>3.6000000000000004E-2</v>
      </c>
      <c r="H66" s="1015">
        <v>2.3E-2</v>
      </c>
      <c r="I66" s="2087">
        <v>0.03</v>
      </c>
      <c r="J66" s="2079">
        <v>4.2999999999999997E-2</v>
      </c>
      <c r="K66" s="2082">
        <v>5.8000000000000003E-2</v>
      </c>
      <c r="L66" s="2079">
        <v>1.4999999999999999E-2</v>
      </c>
      <c r="M66" s="2082">
        <v>2.5999999999999999E-2</v>
      </c>
      <c r="N66" s="2079">
        <v>3.5000000000000003E-2</v>
      </c>
      <c r="O66" s="2082">
        <v>3.5999999999999997E-2</v>
      </c>
      <c r="P66" s="2079">
        <v>1E-3</v>
      </c>
      <c r="Q66" s="2082">
        <v>1.9E-2</v>
      </c>
      <c r="R66" s="2079">
        <v>3.0000000000000001E-3</v>
      </c>
      <c r="S66" s="2082">
        <v>1.7000000000000001E-2</v>
      </c>
      <c r="T66" s="2101">
        <v>1.7999999999999999E-2</v>
      </c>
      <c r="U66" s="2109">
        <v>3.5999999999999997E-2</v>
      </c>
      <c r="V66" s="2101">
        <v>1.0999999999999999E-2</v>
      </c>
      <c r="W66" s="2087">
        <v>2.3E-2</v>
      </c>
      <c r="X66" s="2079">
        <v>1.9E-2</v>
      </c>
      <c r="Y66" s="1523">
        <v>7.9000000000000001E-2</v>
      </c>
    </row>
    <row r="67" spans="1:25">
      <c r="A67" s="745">
        <f t="shared" si="1"/>
        <v>2020.1</v>
      </c>
      <c r="B67" s="2069">
        <v>3.7999999999999999E-2</v>
      </c>
      <c r="C67" s="2079">
        <v>3.6000000000000004E-2</v>
      </c>
      <c r="D67" s="2082">
        <v>0.04</v>
      </c>
      <c r="E67" s="2079">
        <v>3.7000000000000005E-2</v>
      </c>
      <c r="F67" s="2082">
        <v>4.0999999999999995E-2</v>
      </c>
      <c r="G67" s="2079">
        <v>3.7000000000000005E-2</v>
      </c>
      <c r="H67" s="1015">
        <v>3.5000000000000003E-2</v>
      </c>
      <c r="I67" s="2087">
        <v>4.8000000000000001E-2</v>
      </c>
      <c r="J67" s="2079">
        <v>1.9E-2</v>
      </c>
      <c r="K67" s="2082">
        <v>6.2E-2</v>
      </c>
      <c r="L67" s="2079">
        <v>2.3E-2</v>
      </c>
      <c r="M67" s="2082">
        <v>4.4999999999999998E-2</v>
      </c>
      <c r="N67" s="2079">
        <v>3.1E-2</v>
      </c>
      <c r="O67" s="2082">
        <v>4.2000000000000003E-2</v>
      </c>
      <c r="P67" s="2079">
        <v>-1E-3</v>
      </c>
      <c r="Q67" s="2082">
        <v>2.5999999999999999E-2</v>
      </c>
      <c r="R67" s="2079">
        <v>1E-3</v>
      </c>
      <c r="S67" s="2082">
        <v>3.4000000000000002E-2</v>
      </c>
      <c r="T67" s="2101">
        <v>2.1000000000000001E-2</v>
      </c>
      <c r="U67" s="2109">
        <v>4.5999999999999999E-2</v>
      </c>
      <c r="V67" s="2101">
        <v>1.9E-2</v>
      </c>
      <c r="W67" s="2087">
        <v>3.5000000000000003E-2</v>
      </c>
      <c r="X67" s="2079">
        <v>1.4999999999999999E-2</v>
      </c>
      <c r="Y67" s="1523">
        <v>9.6000000000000002E-2</v>
      </c>
    </row>
    <row r="68" spans="1:25">
      <c r="A68" s="745">
        <f t="shared" si="1"/>
        <v>2020.11</v>
      </c>
      <c r="B68" s="2069">
        <v>3.2000000000000001E-2</v>
      </c>
      <c r="C68" s="2079">
        <v>0.03</v>
      </c>
      <c r="D68" s="2082">
        <v>3.4000000000000002E-2</v>
      </c>
      <c r="E68" s="2079">
        <v>3.7000000000000005E-2</v>
      </c>
      <c r="F68" s="2082">
        <v>3.1E-2</v>
      </c>
      <c r="G68" s="2079">
        <v>3.1E-2</v>
      </c>
      <c r="H68" s="1015">
        <v>2.8999999999999998E-2</v>
      </c>
      <c r="I68" s="2087">
        <v>2.7E-2</v>
      </c>
      <c r="J68" s="2079">
        <v>0.03</v>
      </c>
      <c r="K68" s="2082">
        <v>3.6999999999999998E-2</v>
      </c>
      <c r="L68" s="2079">
        <v>2.5000000000000001E-2</v>
      </c>
      <c r="M68" s="2082">
        <v>3.9E-2</v>
      </c>
      <c r="N68" s="2079">
        <v>3.6999999999999998E-2</v>
      </c>
      <c r="O68" s="2082">
        <v>3.5999999999999997E-2</v>
      </c>
      <c r="P68" s="2079">
        <v>-6.0000000000000001E-3</v>
      </c>
      <c r="Q68" s="2082">
        <v>5.0999999999999997E-2</v>
      </c>
      <c r="R68" s="2079">
        <v>4.0000000000000001E-3</v>
      </c>
      <c r="S68" s="2082">
        <v>3.2000000000000001E-2</v>
      </c>
      <c r="T68" s="2101">
        <v>2.5999999999999999E-2</v>
      </c>
      <c r="U68" s="2109">
        <v>3.4000000000000002E-2</v>
      </c>
      <c r="V68" s="2101">
        <v>2.5999999999999999E-2</v>
      </c>
      <c r="W68" s="2087">
        <v>3.9E-2</v>
      </c>
      <c r="X68" s="2079">
        <v>1.2E-2</v>
      </c>
      <c r="Y68" s="1523">
        <v>0.02</v>
      </c>
    </row>
    <row r="69" spans="1:25">
      <c r="A69" s="745">
        <f t="shared" si="1"/>
        <v>2020.12</v>
      </c>
      <c r="B69" s="2069">
        <v>0.04</v>
      </c>
      <c r="C69" s="2079">
        <v>3.7000000000000005E-2</v>
      </c>
      <c r="D69" s="2082">
        <v>4.2000000000000003E-2</v>
      </c>
      <c r="E69" s="2079">
        <v>5.5E-2</v>
      </c>
      <c r="F69" s="2082">
        <v>4.2999999999999997E-2</v>
      </c>
      <c r="G69" s="2079">
        <v>4.2999999999999997E-2</v>
      </c>
      <c r="H69" s="1015">
        <v>0.03</v>
      </c>
      <c r="I69" s="2087">
        <v>4.3999999999999997E-2</v>
      </c>
      <c r="J69" s="2079">
        <v>3.4000000000000002E-2</v>
      </c>
      <c r="K69" s="2082">
        <v>3.5999999999999997E-2</v>
      </c>
      <c r="L69" s="2079">
        <v>0.03</v>
      </c>
      <c r="M69" s="2082">
        <v>2.4E-2</v>
      </c>
      <c r="N69" s="2079">
        <v>5.1999999999999998E-2</v>
      </c>
      <c r="O69" s="2082">
        <v>4.9000000000000002E-2</v>
      </c>
      <c r="P69" s="2079">
        <v>0</v>
      </c>
      <c r="Q69" s="2082">
        <v>5.1999999999999998E-2</v>
      </c>
      <c r="R69" s="2079">
        <v>0</v>
      </c>
      <c r="S69" s="2082">
        <v>4.5999999999999999E-2</v>
      </c>
      <c r="T69" s="2101">
        <v>1.7000000000000001E-2</v>
      </c>
      <c r="U69" s="2109">
        <v>3.9E-2</v>
      </c>
      <c r="V69" s="2101">
        <v>0.04</v>
      </c>
      <c r="W69" s="2087">
        <v>4.9000000000000002E-2</v>
      </c>
      <c r="X69" s="2079">
        <v>2.5999999999999999E-2</v>
      </c>
      <c r="Y69" s="1523">
        <v>1.2999999999999999E-2</v>
      </c>
    </row>
    <row r="70" spans="1:25">
      <c r="A70" s="745">
        <f t="shared" si="1"/>
        <v>2021.01</v>
      </c>
      <c r="B70" s="2069">
        <v>0.04</v>
      </c>
      <c r="C70" s="2079">
        <v>3.3000000000000002E-2</v>
      </c>
      <c r="D70" s="2082">
        <v>4.5999999999999999E-2</v>
      </c>
      <c r="E70" s="2079">
        <v>4.2999999999999997E-2</v>
      </c>
      <c r="F70" s="2082">
        <v>5.5E-2</v>
      </c>
      <c r="G70" s="2079">
        <v>4.4999999999999998E-2</v>
      </c>
      <c r="H70" s="1015">
        <v>4.0999999999999995E-2</v>
      </c>
      <c r="I70" s="2087">
        <v>4.8000000000000001E-2</v>
      </c>
      <c r="J70" s="2079">
        <v>4.4999999999999998E-2</v>
      </c>
      <c r="K70" s="2082">
        <v>1.4E-2</v>
      </c>
      <c r="L70" s="2079">
        <v>1.0999999999999999E-2</v>
      </c>
      <c r="M70" s="2082">
        <v>0.03</v>
      </c>
      <c r="N70" s="2079">
        <v>3.4000000000000002E-2</v>
      </c>
      <c r="O70" s="2082">
        <v>4.5999999999999999E-2</v>
      </c>
      <c r="P70" s="2079">
        <v>0.151</v>
      </c>
      <c r="Q70" s="2082">
        <v>4.8000000000000001E-2</v>
      </c>
      <c r="R70" s="2079">
        <v>6.0000000000000001E-3</v>
      </c>
      <c r="S70" s="2082">
        <v>5.3999999999999999E-2</v>
      </c>
      <c r="T70" s="2101">
        <v>0.02</v>
      </c>
      <c r="U70" s="2109">
        <v>4.2000000000000003E-2</v>
      </c>
      <c r="V70" s="2101">
        <v>3.7999999999999999E-2</v>
      </c>
      <c r="W70" s="2087">
        <v>3.9E-2</v>
      </c>
      <c r="X70" s="2079">
        <v>5.0999999999999997E-2</v>
      </c>
      <c r="Y70" s="1523">
        <v>0.03</v>
      </c>
    </row>
    <row r="71" spans="1:25">
      <c r="A71" s="745">
        <f t="shared" si="1"/>
        <v>2021.02</v>
      </c>
      <c r="B71" s="2069">
        <v>3.6000000000000004E-2</v>
      </c>
      <c r="C71" s="2079">
        <v>3.6000000000000004E-2</v>
      </c>
      <c r="D71" s="2082">
        <v>3.4000000000000002E-2</v>
      </c>
      <c r="E71" s="2079">
        <v>3.7999999999999999E-2</v>
      </c>
      <c r="F71" s="2082">
        <v>3.3000000000000002E-2</v>
      </c>
      <c r="G71" s="2079">
        <v>4.0999999999999995E-2</v>
      </c>
      <c r="H71" s="1015">
        <v>3.9E-2</v>
      </c>
      <c r="I71" s="2087">
        <v>3.7999999999999999E-2</v>
      </c>
      <c r="J71" s="2079">
        <v>3.5999999999999997E-2</v>
      </c>
      <c r="K71" s="2082">
        <v>2.8000000000000001E-2</v>
      </c>
      <c r="L71" s="2079">
        <v>0.02</v>
      </c>
      <c r="M71" s="2082">
        <v>4.5999999999999999E-2</v>
      </c>
      <c r="N71" s="2079">
        <v>3.5000000000000003E-2</v>
      </c>
      <c r="O71" s="2082">
        <v>4.8000000000000001E-2</v>
      </c>
      <c r="P71" s="2079">
        <v>1.7999999999999999E-2</v>
      </c>
      <c r="Q71" s="2082">
        <v>2.3E-2</v>
      </c>
      <c r="R71" s="2079">
        <v>1E-3</v>
      </c>
      <c r="S71" s="2082">
        <v>5.3999999999999999E-2</v>
      </c>
      <c r="T71" s="2101">
        <v>3.2000000000000001E-2</v>
      </c>
      <c r="U71" s="2109">
        <v>0.04</v>
      </c>
      <c r="V71" s="2101">
        <v>2.5000000000000001E-2</v>
      </c>
      <c r="W71" s="2087">
        <v>4.1000000000000002E-2</v>
      </c>
      <c r="X71" s="2079">
        <v>2.1999999999999999E-2</v>
      </c>
      <c r="Y71" s="1523">
        <v>3.1E-2</v>
      </c>
    </row>
    <row r="72" spans="1:25">
      <c r="A72" s="745">
        <f t="shared" si="1"/>
        <v>2021.03</v>
      </c>
      <c r="B72" s="2069">
        <v>4.8000000000000001E-2</v>
      </c>
      <c r="C72" s="2079">
        <v>5.2000000000000005E-2</v>
      </c>
      <c r="D72" s="2082">
        <v>4.8000000000000001E-2</v>
      </c>
      <c r="E72" s="2079">
        <v>3.3000000000000002E-2</v>
      </c>
      <c r="F72" s="2082">
        <v>4.2000000000000003E-2</v>
      </c>
      <c r="G72" s="2079">
        <v>4.2999999999999997E-2</v>
      </c>
      <c r="H72" s="1015">
        <v>4.0999999999999995E-2</v>
      </c>
      <c r="I72" s="2087">
        <v>4.5999999999999999E-2</v>
      </c>
      <c r="J72" s="2079">
        <v>6.4000000000000001E-2</v>
      </c>
      <c r="K72" s="2082">
        <v>0.108</v>
      </c>
      <c r="L72" s="2079">
        <v>1.2999999999999999E-2</v>
      </c>
      <c r="M72" s="2082">
        <v>3.2000000000000001E-2</v>
      </c>
      <c r="N72" s="2079">
        <v>0.04</v>
      </c>
      <c r="O72" s="2082">
        <v>4.2000000000000003E-2</v>
      </c>
      <c r="P72" s="2079">
        <v>1E-3</v>
      </c>
      <c r="Q72" s="2082">
        <v>5.2999999999999999E-2</v>
      </c>
      <c r="R72" s="2079">
        <v>0.28499999999999998</v>
      </c>
      <c r="S72" s="2082">
        <v>3.1E-2</v>
      </c>
      <c r="T72" s="2101">
        <v>2.1999999999999999E-2</v>
      </c>
      <c r="U72" s="2109">
        <v>5.0999999999999997E-2</v>
      </c>
      <c r="V72" s="2101">
        <v>4.2999999999999997E-2</v>
      </c>
      <c r="W72" s="2087">
        <v>4.4999999999999998E-2</v>
      </c>
      <c r="X72" s="2079">
        <v>4.4999999999999998E-2</v>
      </c>
      <c r="Y72" s="1523">
        <v>3.2000000000000001E-2</v>
      </c>
    </row>
    <row r="73" spans="1:25">
      <c r="A73" s="745">
        <f t="shared" si="1"/>
        <v>2021.04</v>
      </c>
      <c r="B73" s="2069">
        <v>4.0999999999999995E-2</v>
      </c>
      <c r="C73" s="2079">
        <v>4.0999999999999995E-2</v>
      </c>
      <c r="D73" s="2082">
        <v>0.04</v>
      </c>
      <c r="E73" s="2079">
        <v>4.0999999999999995E-2</v>
      </c>
      <c r="F73" s="2082">
        <v>0.04</v>
      </c>
      <c r="G73" s="2079">
        <v>4.2000000000000003E-2</v>
      </c>
      <c r="H73" s="1015">
        <v>4.8000000000000001E-2</v>
      </c>
      <c r="I73" s="2087">
        <v>4.2999999999999997E-2</v>
      </c>
      <c r="J73" s="2079">
        <v>3.5999999999999997E-2</v>
      </c>
      <c r="K73" s="2082">
        <v>0.06</v>
      </c>
      <c r="L73" s="2079">
        <v>3.5000000000000003E-2</v>
      </c>
      <c r="M73" s="2082">
        <v>4.2999999999999997E-2</v>
      </c>
      <c r="N73" s="2079">
        <v>3.6999999999999998E-2</v>
      </c>
      <c r="O73" s="2082">
        <v>5.7000000000000002E-2</v>
      </c>
      <c r="P73" s="2079">
        <v>0.05</v>
      </c>
      <c r="Q73" s="2082">
        <v>1.4999999999999999E-2</v>
      </c>
      <c r="R73" s="2079">
        <v>2.5000000000000001E-2</v>
      </c>
      <c r="S73" s="2082">
        <v>3.9E-2</v>
      </c>
      <c r="T73" s="2101">
        <v>3.5999999999999997E-2</v>
      </c>
      <c r="U73" s="2109">
        <v>4.7E-2</v>
      </c>
      <c r="V73" s="2101">
        <v>2.5000000000000001E-2</v>
      </c>
      <c r="W73" s="2087">
        <v>5.0999999999999997E-2</v>
      </c>
      <c r="X73" s="2079">
        <v>0.04</v>
      </c>
      <c r="Y73" s="1523">
        <v>3.9E-2</v>
      </c>
    </row>
    <row r="74" spans="1:25">
      <c r="A74" s="745">
        <f t="shared" si="1"/>
        <v>2021.05</v>
      </c>
      <c r="B74" s="2069">
        <v>3.3000000000000002E-2</v>
      </c>
      <c r="C74" s="2079">
        <v>3.4000000000000002E-2</v>
      </c>
      <c r="D74" s="2082">
        <v>3.2000000000000001E-2</v>
      </c>
      <c r="E74" s="2079">
        <v>3.1E-2</v>
      </c>
      <c r="F74" s="2082">
        <v>3.2000000000000001E-2</v>
      </c>
      <c r="G74" s="2079">
        <v>3.6000000000000004E-2</v>
      </c>
      <c r="H74" s="1015">
        <v>3.5000000000000003E-2</v>
      </c>
      <c r="I74" s="2087">
        <v>3.1E-2</v>
      </c>
      <c r="J74" s="2079">
        <v>1.6E-2</v>
      </c>
      <c r="K74" s="2082">
        <v>2.1000000000000001E-2</v>
      </c>
      <c r="L74" s="2079">
        <v>0.02</v>
      </c>
      <c r="M74" s="2082">
        <v>2.4E-2</v>
      </c>
      <c r="N74" s="2079">
        <v>4.8000000000000001E-2</v>
      </c>
      <c r="O74" s="2082">
        <v>0.06</v>
      </c>
      <c r="P74" s="2079">
        <v>0.01</v>
      </c>
      <c r="Q74" s="2082">
        <v>3.1E-2</v>
      </c>
      <c r="R74" s="2079">
        <v>2.3E-2</v>
      </c>
      <c r="S74" s="2082">
        <v>3.6999999999999998E-2</v>
      </c>
      <c r="T74" s="2101">
        <v>2.9000000000000001E-2</v>
      </c>
      <c r="U74" s="2109">
        <v>3.5000000000000003E-2</v>
      </c>
      <c r="V74" s="2101">
        <v>2.7E-2</v>
      </c>
      <c r="W74" s="2087">
        <v>3.3000000000000002E-2</v>
      </c>
      <c r="X74" s="2079">
        <v>3.5999999999999997E-2</v>
      </c>
      <c r="Y74" s="1523">
        <v>4.8000000000000001E-2</v>
      </c>
    </row>
    <row r="75" spans="1:25">
      <c r="A75" s="745">
        <f t="shared" si="1"/>
        <v>2021.06</v>
      </c>
      <c r="B75" s="2069">
        <v>3.2000000000000001E-2</v>
      </c>
      <c r="C75" s="2079">
        <v>3.1E-2</v>
      </c>
      <c r="D75" s="2082">
        <v>3.2000000000000001E-2</v>
      </c>
      <c r="E75" s="2079">
        <v>2.8999999999999998E-2</v>
      </c>
      <c r="F75" s="2082">
        <v>3.3000000000000002E-2</v>
      </c>
      <c r="G75" s="2079">
        <v>3.5000000000000003E-2</v>
      </c>
      <c r="H75" s="1015">
        <v>3.4000000000000002E-2</v>
      </c>
      <c r="I75" s="2087">
        <v>3.2000000000000001E-2</v>
      </c>
      <c r="J75" s="2079">
        <v>5.5E-2</v>
      </c>
      <c r="K75" s="2082">
        <v>3.5000000000000003E-2</v>
      </c>
      <c r="L75" s="2079">
        <v>2.5000000000000001E-2</v>
      </c>
      <c r="M75" s="2082">
        <v>3.2000000000000001E-2</v>
      </c>
      <c r="N75" s="2079">
        <v>3.2000000000000001E-2</v>
      </c>
      <c r="O75" s="2082">
        <v>3.3000000000000002E-2</v>
      </c>
      <c r="P75" s="2079">
        <v>7.0000000000000007E-2</v>
      </c>
      <c r="Q75" s="2082">
        <v>2.1999999999999999E-2</v>
      </c>
      <c r="R75" s="2079">
        <v>1.0999999999999999E-2</v>
      </c>
      <c r="S75" s="2082">
        <v>3.1E-2</v>
      </c>
      <c r="T75" s="2101">
        <v>0.02</v>
      </c>
      <c r="U75" s="2109">
        <v>3.6999999999999998E-2</v>
      </c>
      <c r="V75" s="2101">
        <v>2.7E-2</v>
      </c>
      <c r="W75" s="2087">
        <v>3.5999999999999997E-2</v>
      </c>
      <c r="X75" s="2079">
        <v>0.04</v>
      </c>
      <c r="Y75" s="1523">
        <v>1.7999999999999999E-2</v>
      </c>
    </row>
    <row r="76" spans="1:25">
      <c r="A76" s="745">
        <f t="shared" si="1"/>
        <v>2021.07</v>
      </c>
      <c r="B76" s="2069">
        <v>0.03</v>
      </c>
      <c r="C76" s="2079">
        <v>3.1E-2</v>
      </c>
      <c r="D76" s="2082">
        <v>2.8999999999999998E-2</v>
      </c>
      <c r="E76" s="2079">
        <v>0.03</v>
      </c>
      <c r="F76" s="2082">
        <v>2.7999999999999997E-2</v>
      </c>
      <c r="G76" s="2079">
        <v>3.2000000000000001E-2</v>
      </c>
      <c r="H76" s="1015">
        <v>3.3000000000000002E-2</v>
      </c>
      <c r="I76" s="2087">
        <v>3.4000000000000002E-2</v>
      </c>
      <c r="J76" s="2079">
        <v>3.1E-2</v>
      </c>
      <c r="K76" s="2082">
        <v>1.2E-2</v>
      </c>
      <c r="L76" s="2079">
        <v>2.9000000000000001E-2</v>
      </c>
      <c r="M76" s="2082">
        <v>2.7E-2</v>
      </c>
      <c r="N76" s="2079">
        <v>3.7999999999999999E-2</v>
      </c>
      <c r="O76" s="2082">
        <v>2.3E-2</v>
      </c>
      <c r="P76" s="2079">
        <v>4.0000000000000001E-3</v>
      </c>
      <c r="Q76" s="2082">
        <v>3.1E-2</v>
      </c>
      <c r="R76" s="2079">
        <v>2.5000000000000001E-2</v>
      </c>
      <c r="S76" s="2082">
        <v>4.8000000000000001E-2</v>
      </c>
      <c r="T76" s="2101">
        <v>3.2000000000000001E-2</v>
      </c>
      <c r="U76" s="2109">
        <v>3.4000000000000002E-2</v>
      </c>
      <c r="V76" s="2101">
        <v>3.3000000000000002E-2</v>
      </c>
      <c r="W76" s="2087">
        <v>3.7999999999999999E-2</v>
      </c>
      <c r="X76" s="2079">
        <v>1.2999999999999999E-2</v>
      </c>
      <c r="Y76" s="1523">
        <v>4.7E-2</v>
      </c>
    </row>
    <row r="77" spans="1:25">
      <c r="A77" s="745">
        <f t="shared" si="1"/>
        <v>2021.08</v>
      </c>
      <c r="B77" s="2069">
        <v>2.5000000000000001E-2</v>
      </c>
      <c r="C77" s="2079">
        <v>2.6000000000000002E-2</v>
      </c>
      <c r="D77" s="2082">
        <v>2.3E-2</v>
      </c>
      <c r="E77" s="2079">
        <v>2.7000000000000003E-2</v>
      </c>
      <c r="F77" s="2082">
        <v>2.4E-2</v>
      </c>
      <c r="G77" s="2079">
        <v>1.8000000000000002E-2</v>
      </c>
      <c r="H77" s="1015">
        <v>3.4000000000000002E-2</v>
      </c>
      <c r="I77" s="2087">
        <v>1.4999999999999999E-2</v>
      </c>
      <c r="J77" s="2079">
        <v>0.02</v>
      </c>
      <c r="K77" s="2082">
        <v>3.4000000000000002E-2</v>
      </c>
      <c r="L77" s="2079">
        <v>1.0999999999999999E-2</v>
      </c>
      <c r="M77" s="2082">
        <v>3.3000000000000002E-2</v>
      </c>
      <c r="N77" s="2079">
        <v>4.2000000000000003E-2</v>
      </c>
      <c r="O77" s="2082">
        <v>2.4E-2</v>
      </c>
      <c r="P77" s="2079">
        <v>-6.0000000000000001E-3</v>
      </c>
      <c r="Q77" s="2082">
        <v>3.6999999999999998E-2</v>
      </c>
      <c r="R77" s="2079">
        <v>4.2000000000000003E-2</v>
      </c>
      <c r="S77" s="2082">
        <v>2.9000000000000001E-2</v>
      </c>
      <c r="T77" s="2101">
        <v>3.3000000000000002E-2</v>
      </c>
      <c r="U77" s="2109">
        <v>3.3000000000000002E-2</v>
      </c>
      <c r="V77" s="2101">
        <v>3.5999999999999997E-2</v>
      </c>
      <c r="W77" s="2087">
        <v>3.9E-2</v>
      </c>
      <c r="X77" s="2079">
        <v>2.1999999999999999E-2</v>
      </c>
      <c r="Y77" s="1523">
        <v>2.4E-2</v>
      </c>
    </row>
    <row r="78" spans="1:25">
      <c r="A78" s="745">
        <f t="shared" si="1"/>
        <v>2021.09</v>
      </c>
      <c r="B78" s="2069">
        <v>3.5000000000000003E-2</v>
      </c>
      <c r="C78" s="2079">
        <v>3.7999999999999999E-2</v>
      </c>
      <c r="D78" s="2082">
        <v>3.4000000000000002E-2</v>
      </c>
      <c r="E78" s="2079">
        <v>2.7999999999999997E-2</v>
      </c>
      <c r="F78" s="2082">
        <v>3.3000000000000002E-2</v>
      </c>
      <c r="G78" s="2079">
        <v>2.8999999999999998E-2</v>
      </c>
      <c r="H78" s="1015">
        <v>3.7000000000000005E-2</v>
      </c>
      <c r="I78" s="2087">
        <v>2.8999999999999998E-2</v>
      </c>
      <c r="J78" s="2079">
        <v>5.9000000000000004E-2</v>
      </c>
      <c r="K78" s="2082">
        <v>0.06</v>
      </c>
      <c r="L78" s="2079">
        <v>1.9E-2</v>
      </c>
      <c r="M78" s="2082">
        <v>3.5000000000000003E-2</v>
      </c>
      <c r="N78" s="2079">
        <v>4.2999999999999997E-2</v>
      </c>
      <c r="O78" s="2082">
        <v>0.03</v>
      </c>
      <c r="P78" s="2079">
        <v>2.7999999999999997E-2</v>
      </c>
      <c r="Q78" s="2082">
        <v>3.7999999999999999E-2</v>
      </c>
      <c r="R78" s="2079">
        <v>3.1E-2</v>
      </c>
      <c r="S78" s="2082">
        <v>4.0999999999999995E-2</v>
      </c>
      <c r="T78" s="2101">
        <v>2.2000000000000002E-2</v>
      </c>
      <c r="U78" s="2109">
        <v>3.7999999999999999E-2</v>
      </c>
      <c r="V78" s="2101">
        <v>3.5999999999999997E-2</v>
      </c>
      <c r="W78" s="2087">
        <v>3.9E-2</v>
      </c>
      <c r="X78" s="2079">
        <v>2.1999999999999999E-2</v>
      </c>
      <c r="Y78" s="1523">
        <v>5.2999999999999999E-2</v>
      </c>
    </row>
    <row r="79" spans="1:25">
      <c r="A79" s="745">
        <f t="shared" si="1"/>
        <v>2021.1</v>
      </c>
      <c r="B79" s="2069">
        <v>3.5000000000000003E-2</v>
      </c>
      <c r="C79" s="2079">
        <v>3.7999999999999999E-2</v>
      </c>
      <c r="D79" s="2082">
        <v>3.4000000000000002E-2</v>
      </c>
      <c r="E79" s="2079">
        <v>3.5000000000000003E-2</v>
      </c>
      <c r="F79" s="2082">
        <v>3.2000000000000001E-2</v>
      </c>
      <c r="G79" s="2079">
        <v>3.1E-2</v>
      </c>
      <c r="H79" s="1015">
        <v>2.8999999999999998E-2</v>
      </c>
      <c r="I79" s="2087">
        <v>3.4000000000000002E-2</v>
      </c>
      <c r="J79" s="2079">
        <v>2.1999999999999999E-2</v>
      </c>
      <c r="K79" s="2082">
        <v>5.0999999999999997E-2</v>
      </c>
      <c r="L79" s="2079">
        <v>2.5000000000000001E-2</v>
      </c>
      <c r="M79" s="2082">
        <v>2.8000000000000001E-2</v>
      </c>
      <c r="N79" s="2079">
        <v>4.7E-2</v>
      </c>
      <c r="O79" s="2082">
        <v>3.1E-2</v>
      </c>
      <c r="P79" s="2079">
        <v>1.0999999999999999E-2</v>
      </c>
      <c r="Q79" s="2082">
        <v>0.04</v>
      </c>
      <c r="R79" s="2079">
        <v>1.4E-2</v>
      </c>
      <c r="S79" s="2082">
        <v>4.1000000000000002E-2</v>
      </c>
      <c r="T79" s="2101">
        <v>3.3000000000000002E-2</v>
      </c>
      <c r="U79" s="2109">
        <v>0.03</v>
      </c>
      <c r="V79" s="2101">
        <v>2.4E-2</v>
      </c>
      <c r="W79" s="2087">
        <v>3.1E-2</v>
      </c>
      <c r="X79" s="2079">
        <v>8.9999999999999993E-3</v>
      </c>
      <c r="Y79" s="1523">
        <v>4.5999999999999999E-2</v>
      </c>
    </row>
    <row r="80" spans="1:25">
      <c r="A80" s="745">
        <f t="shared" si="1"/>
        <v>2021.11</v>
      </c>
      <c r="B80" s="2069">
        <v>2.5000000000000001E-2</v>
      </c>
      <c r="C80" s="2079">
        <v>2.3E-2</v>
      </c>
      <c r="D80" s="2082">
        <v>2.7999999999999997E-2</v>
      </c>
      <c r="E80" s="2079">
        <v>0.03</v>
      </c>
      <c r="F80" s="2082">
        <v>2.7000000000000003E-2</v>
      </c>
      <c r="G80" s="2079">
        <v>2.7000000000000003E-2</v>
      </c>
      <c r="H80" s="1015">
        <v>2.2000000000000002E-2</v>
      </c>
      <c r="I80" s="2087">
        <v>2.1000000000000001E-2</v>
      </c>
      <c r="J80" s="2079">
        <v>1.0999999999999999E-2</v>
      </c>
      <c r="K80" s="2082">
        <v>4.1000000000000002E-2</v>
      </c>
      <c r="L80" s="2079">
        <v>2.1999999999999999E-2</v>
      </c>
      <c r="M80" s="2082">
        <v>2.7E-2</v>
      </c>
      <c r="N80" s="2079">
        <v>2.4E-2</v>
      </c>
      <c r="O80" s="2082">
        <v>2.1999999999999999E-2</v>
      </c>
      <c r="P80" s="2079">
        <v>8.0000000000000002E-3</v>
      </c>
      <c r="Q80" s="2082">
        <v>1.4999999999999999E-2</v>
      </c>
      <c r="R80" s="2079">
        <v>8.0000000000000002E-3</v>
      </c>
      <c r="S80" s="2082">
        <v>0.05</v>
      </c>
      <c r="T80" s="2101">
        <v>0.02</v>
      </c>
      <c r="U80" s="2109">
        <v>2.3E-2</v>
      </c>
      <c r="V80" s="2101">
        <v>1.7999999999999999E-2</v>
      </c>
      <c r="W80" s="2087">
        <v>2.4E-2</v>
      </c>
      <c r="X80" s="2079">
        <v>8.0000000000000002E-3</v>
      </c>
      <c r="Y80" s="1523">
        <v>0.03</v>
      </c>
    </row>
    <row r="81" spans="1:25">
      <c r="A81" s="745">
        <f t="shared" si="1"/>
        <v>2021.12</v>
      </c>
      <c r="B81" s="2069">
        <v>3.7999999999999999E-2</v>
      </c>
      <c r="C81" s="2079">
        <v>4.0999999999999995E-2</v>
      </c>
      <c r="D81" s="2082">
        <v>3.5000000000000003E-2</v>
      </c>
      <c r="E81" s="2079">
        <v>4.4000000000000004E-2</v>
      </c>
      <c r="F81" s="2082">
        <v>0.04</v>
      </c>
      <c r="G81" s="2079">
        <v>3.9E-2</v>
      </c>
      <c r="H81" s="1015">
        <v>3.1E-2</v>
      </c>
      <c r="I81" s="2087">
        <v>4.2999999999999997E-2</v>
      </c>
      <c r="J81" s="2079">
        <v>5.3999999999999999E-2</v>
      </c>
      <c r="K81" s="2082">
        <v>4.8000000000000001E-2</v>
      </c>
      <c r="L81" s="2079">
        <v>2.1000000000000001E-2</v>
      </c>
      <c r="M81" s="2082">
        <v>3.4000000000000002E-2</v>
      </c>
      <c r="N81" s="2079">
        <v>5.0000000000000001E-3</v>
      </c>
      <c r="O81" s="2082">
        <v>4.9000000000000002E-2</v>
      </c>
      <c r="P81" s="2079">
        <v>1.7999999999999999E-2</v>
      </c>
      <c r="Q81" s="2082">
        <v>0.04</v>
      </c>
      <c r="R81" s="2079">
        <v>0.01</v>
      </c>
      <c r="S81" s="2082">
        <v>5.8999999999999997E-2</v>
      </c>
      <c r="T81" s="2101">
        <v>3.2000000000000001E-2</v>
      </c>
      <c r="U81" s="2109">
        <v>3.2000000000000001E-2</v>
      </c>
      <c r="V81" s="2101">
        <v>2.5999999999999999E-2</v>
      </c>
      <c r="W81" s="2087">
        <v>3.5000000000000003E-2</v>
      </c>
      <c r="X81" s="2079">
        <v>1.7000000000000001E-2</v>
      </c>
      <c r="Y81" s="1523">
        <v>2.7E-2</v>
      </c>
    </row>
    <row r="82" spans="1:25">
      <c r="A82" s="745">
        <f t="shared" si="1"/>
        <v>2022.01</v>
      </c>
      <c r="B82" s="2069">
        <v>3.9E-2</v>
      </c>
      <c r="C82" s="2079">
        <v>3.9E-2</v>
      </c>
      <c r="D82" s="2082">
        <v>3.7999999999999999E-2</v>
      </c>
      <c r="E82" s="2079">
        <v>3.4000000000000002E-2</v>
      </c>
      <c r="F82" s="2082">
        <v>0.04</v>
      </c>
      <c r="G82" s="2079">
        <v>4.0999999999999995E-2</v>
      </c>
      <c r="H82" s="1015">
        <v>3.6000000000000004E-2</v>
      </c>
      <c r="I82" s="2087">
        <v>4.9000000000000002E-2</v>
      </c>
      <c r="J82" s="2079">
        <v>1.7999999999999999E-2</v>
      </c>
      <c r="K82" s="2082">
        <v>2.4E-2</v>
      </c>
      <c r="L82" s="2079">
        <v>1.7999999999999999E-2</v>
      </c>
      <c r="M82" s="2082">
        <v>3.3000000000000002E-2</v>
      </c>
      <c r="N82" s="2079">
        <v>4.1000000000000002E-2</v>
      </c>
      <c r="O82" s="2082">
        <v>2.8000000000000001E-2</v>
      </c>
      <c r="P82" s="2079">
        <v>7.4999999999999997E-2</v>
      </c>
      <c r="Q82" s="2082">
        <v>4.2000000000000003E-2</v>
      </c>
      <c r="R82" s="2079">
        <v>8.0000000000000002E-3</v>
      </c>
      <c r="S82" s="2082">
        <v>5.7000000000000002E-2</v>
      </c>
      <c r="T82" s="2101">
        <v>4.2999999999999997E-2</v>
      </c>
      <c r="U82" s="2109">
        <v>3.5000000000000003E-2</v>
      </c>
      <c r="V82" s="2101">
        <v>0.04</v>
      </c>
      <c r="W82" s="2087">
        <v>3.7999999999999999E-2</v>
      </c>
      <c r="X82" s="2079">
        <v>2.5999999999999999E-2</v>
      </c>
      <c r="Y82" s="1523">
        <v>0.04</v>
      </c>
    </row>
    <row r="83" spans="1:25">
      <c r="A83" s="745">
        <f t="shared" si="1"/>
        <v>2022.02</v>
      </c>
      <c r="B83" s="2069">
        <v>4.7E-2</v>
      </c>
      <c r="C83" s="2079">
        <v>4.5999999999999999E-2</v>
      </c>
      <c r="D83" s="2082">
        <v>4.7E-2</v>
      </c>
      <c r="E83" s="2079">
        <v>0.05</v>
      </c>
      <c r="F83" s="2082">
        <v>4.9000000000000002E-2</v>
      </c>
      <c r="G83" s="2079">
        <v>5.4000000000000006E-2</v>
      </c>
      <c r="H83" s="1015">
        <v>4.8000000000000001E-2</v>
      </c>
      <c r="I83" s="2087">
        <v>7.4999999999999997E-2</v>
      </c>
      <c r="J83" s="2079">
        <v>2.7E-2</v>
      </c>
      <c r="K83" s="2082">
        <v>3.4000000000000002E-2</v>
      </c>
      <c r="L83" s="2079">
        <v>2.8000000000000001E-2</v>
      </c>
      <c r="M83" s="2082">
        <v>4.3999999999999997E-2</v>
      </c>
      <c r="N83" s="2079">
        <v>3.5999999999999997E-2</v>
      </c>
      <c r="O83" s="2082">
        <v>4.9000000000000002E-2</v>
      </c>
      <c r="P83" s="2079">
        <v>1.4999999999999999E-2</v>
      </c>
      <c r="Q83" s="2082">
        <v>2.3E-2</v>
      </c>
      <c r="R83" s="2079">
        <v>2.5999999999999999E-2</v>
      </c>
      <c r="S83" s="2082">
        <v>4.2999999999999997E-2</v>
      </c>
      <c r="T83" s="2101">
        <v>4.2999999999999997E-2</v>
      </c>
      <c r="U83" s="2109">
        <v>0.05</v>
      </c>
      <c r="V83" s="2101">
        <v>4.3999999999999997E-2</v>
      </c>
      <c r="W83" s="2087">
        <v>4.5999999999999999E-2</v>
      </c>
      <c r="X83" s="2079">
        <v>4.3999999999999997E-2</v>
      </c>
      <c r="Y83" s="1523">
        <v>7.0999999999999994E-2</v>
      </c>
    </row>
    <row r="84" spans="1:25">
      <c r="A84" s="745">
        <f t="shared" si="1"/>
        <v>2022.03</v>
      </c>
      <c r="B84" s="2069">
        <v>6.7000000000000004E-2</v>
      </c>
      <c r="C84" s="2079">
        <v>6.7000000000000004E-2</v>
      </c>
      <c r="D84" s="2082">
        <v>6.6000000000000003E-2</v>
      </c>
      <c r="E84" s="2079">
        <v>7.1999999999999995E-2</v>
      </c>
      <c r="F84" s="2082">
        <v>6.8000000000000005E-2</v>
      </c>
      <c r="G84" s="2079">
        <v>6.8000000000000005E-2</v>
      </c>
      <c r="H84" s="1015">
        <v>7.3999999999999996E-2</v>
      </c>
      <c r="I84" s="2087">
        <v>7.1999999999999995E-2</v>
      </c>
      <c r="J84" s="2079">
        <v>5.7000000000000002E-2</v>
      </c>
      <c r="K84" s="2082">
        <v>0.109</v>
      </c>
      <c r="L84" s="2079">
        <v>7.6999999999999999E-2</v>
      </c>
      <c r="M84" s="2082">
        <v>4.3999999999999997E-2</v>
      </c>
      <c r="N84" s="2079">
        <v>0.05</v>
      </c>
      <c r="O84" s="2082">
        <v>5.5E-2</v>
      </c>
      <c r="P84" s="2079">
        <v>3.4000000000000002E-2</v>
      </c>
      <c r="Q84" s="2082">
        <v>3.3000000000000002E-2</v>
      </c>
      <c r="R84" s="2079">
        <v>0.23599999999999999</v>
      </c>
      <c r="S84" s="2082">
        <v>5.3999999999999999E-2</v>
      </c>
      <c r="T84" s="2101">
        <v>5.5E-2</v>
      </c>
      <c r="U84" s="2109">
        <v>7.3999999999999996E-2</v>
      </c>
      <c r="V84" s="2101">
        <v>7.6999999999999999E-2</v>
      </c>
      <c r="W84" s="2087">
        <v>7.0999999999999994E-2</v>
      </c>
      <c r="X84" s="2079">
        <v>8.3000000000000004E-2</v>
      </c>
      <c r="Y84" s="1523">
        <v>8.2000000000000003E-2</v>
      </c>
    </row>
    <row r="85" spans="1:25">
      <c r="A85" s="745">
        <f t="shared" si="1"/>
        <v>2022.04</v>
      </c>
      <c r="B85" s="2069">
        <v>0.06</v>
      </c>
      <c r="C85" s="2079">
        <v>6.2E-2</v>
      </c>
      <c r="D85" s="2082">
        <v>5.8999999999999997E-2</v>
      </c>
      <c r="E85" s="2079">
        <v>0.06</v>
      </c>
      <c r="F85" s="2082">
        <v>6.4000000000000001E-2</v>
      </c>
      <c r="G85" s="2079">
        <v>5.8000000000000003E-2</v>
      </c>
      <c r="H85" s="1015">
        <v>5.8999999999999997E-2</v>
      </c>
      <c r="I85" s="2087">
        <v>5.8999999999999997E-2</v>
      </c>
      <c r="J85" s="2079">
        <v>3.3000000000000002E-2</v>
      </c>
      <c r="K85" s="2082">
        <v>9.9000000000000005E-2</v>
      </c>
      <c r="L85" s="2079">
        <v>4.5999999999999999E-2</v>
      </c>
      <c r="M85" s="2082">
        <v>5.5E-2</v>
      </c>
      <c r="N85" s="2079">
        <v>6.4000000000000001E-2</v>
      </c>
      <c r="O85" s="2082">
        <v>5.2999999999999999E-2</v>
      </c>
      <c r="P85" s="2079">
        <v>3.6999999999999998E-2</v>
      </c>
      <c r="Q85" s="2082">
        <v>5.1999999999999998E-2</v>
      </c>
      <c r="R85" s="2079">
        <v>3.6999999999999998E-2</v>
      </c>
      <c r="S85" s="2082">
        <v>7.2999999999999995E-2</v>
      </c>
      <c r="T85" s="2101">
        <v>5.2999999999999999E-2</v>
      </c>
      <c r="U85" s="2109">
        <v>6.3E-2</v>
      </c>
      <c r="V85" s="2101">
        <v>4.4999999999999998E-2</v>
      </c>
      <c r="W85" s="2087">
        <v>6.0999999999999999E-2</v>
      </c>
      <c r="X85" s="2079">
        <v>4.3999999999999997E-2</v>
      </c>
      <c r="Y85" s="1523">
        <v>7.0999999999999994E-2</v>
      </c>
    </row>
    <row r="86" spans="1:25">
      <c r="A86" s="745">
        <f t="shared" si="1"/>
        <v>2022.05</v>
      </c>
      <c r="B86" s="2069">
        <v>5.0999999999999997E-2</v>
      </c>
      <c r="C86" s="2079">
        <v>4.8000000000000001E-2</v>
      </c>
      <c r="D86" s="2082">
        <v>5.2999999999999999E-2</v>
      </c>
      <c r="E86" s="2079">
        <v>5.2999999999999999E-2</v>
      </c>
      <c r="F86" s="2082">
        <v>5.6000000000000001E-2</v>
      </c>
      <c r="G86" s="2079">
        <v>5.1999999999999998E-2</v>
      </c>
      <c r="H86" s="1015">
        <v>4.9000000000000002E-2</v>
      </c>
      <c r="I86" s="2087">
        <v>4.3999999999999997E-2</v>
      </c>
      <c r="J86" s="2079">
        <v>5.7000000000000002E-2</v>
      </c>
      <c r="K86" s="2082">
        <v>5.8000000000000003E-2</v>
      </c>
      <c r="L86" s="2079">
        <v>3.5999999999999997E-2</v>
      </c>
      <c r="M86" s="2082">
        <v>5.3999999999999999E-2</v>
      </c>
      <c r="N86" s="2079">
        <v>6.2E-2</v>
      </c>
      <c r="O86" s="2082">
        <v>6.0999999999999999E-2</v>
      </c>
      <c r="P86" s="2079">
        <v>3.1E-2</v>
      </c>
      <c r="Q86" s="2082">
        <v>5.1999999999999998E-2</v>
      </c>
      <c r="R86" s="2079">
        <v>3.2000000000000001E-2</v>
      </c>
      <c r="S86" s="2082">
        <v>5.7000000000000002E-2</v>
      </c>
      <c r="T86" s="2101">
        <v>4.5999999999999999E-2</v>
      </c>
      <c r="U86" s="2109">
        <v>5.2999999999999999E-2</v>
      </c>
      <c r="V86" s="2101">
        <v>3.3000000000000002E-2</v>
      </c>
      <c r="W86" s="2087">
        <v>1.7999999999999999E-2</v>
      </c>
      <c r="X86" s="2079">
        <v>4.5999999999999999E-2</v>
      </c>
      <c r="Y86" s="1523">
        <v>5.6000000000000001E-2</v>
      </c>
    </row>
    <row r="87" spans="1:25">
      <c r="A87" s="745">
        <f t="shared" ref="A87:A150" si="2">A75+1</f>
        <v>2022.06</v>
      </c>
      <c r="B87" s="2069">
        <v>5.2999999999999999E-2</v>
      </c>
      <c r="C87" s="2079">
        <v>5.5E-2</v>
      </c>
      <c r="D87" s="2082">
        <v>5.1999999999999998E-2</v>
      </c>
      <c r="E87" s="2079">
        <v>4.9000000000000002E-2</v>
      </c>
      <c r="F87" s="2082">
        <v>5.1999999999999998E-2</v>
      </c>
      <c r="G87" s="2079">
        <v>5.2999999999999999E-2</v>
      </c>
      <c r="H87" s="1015">
        <v>5.0999999999999997E-2</v>
      </c>
      <c r="I87" s="2087">
        <v>4.5999999999999999E-2</v>
      </c>
      <c r="J87" s="2079">
        <v>6.7000000000000004E-2</v>
      </c>
      <c r="K87" s="2082">
        <v>5.8000000000000003E-2</v>
      </c>
      <c r="L87" s="2079">
        <v>6.8000000000000005E-2</v>
      </c>
      <c r="M87" s="2082">
        <v>0.06</v>
      </c>
      <c r="N87" s="2079">
        <v>7.3999999999999996E-2</v>
      </c>
      <c r="O87" s="2082">
        <v>4.7E-2</v>
      </c>
      <c r="P87" s="2079">
        <v>4.0000000000000001E-3</v>
      </c>
      <c r="Q87" s="2082">
        <v>4.2999999999999997E-2</v>
      </c>
      <c r="R87" s="2079">
        <v>0.02</v>
      </c>
      <c r="S87" s="2082">
        <v>6.2E-2</v>
      </c>
      <c r="T87" s="2101">
        <v>0.05</v>
      </c>
      <c r="U87" s="2109">
        <v>5.1999999999999998E-2</v>
      </c>
      <c r="V87" s="2101">
        <v>4.7E-2</v>
      </c>
      <c r="W87" s="2087">
        <v>0.05</v>
      </c>
      <c r="X87" s="2079">
        <v>4.5999999999999999E-2</v>
      </c>
      <c r="Y87" s="1523">
        <v>0.06</v>
      </c>
    </row>
    <row r="88" spans="1:25">
      <c r="A88" s="745">
        <f t="shared" si="2"/>
        <v>2022.07</v>
      </c>
      <c r="B88" s="2069">
        <v>7.3999999999999996E-2</v>
      </c>
      <c r="C88" s="2079">
        <v>7.3999999999999996E-2</v>
      </c>
      <c r="D88" s="2082">
        <v>7.4999999999999997E-2</v>
      </c>
      <c r="E88" s="2079">
        <v>7.3999999999999996E-2</v>
      </c>
      <c r="F88" s="2082">
        <v>6.7000000000000004E-2</v>
      </c>
      <c r="G88" s="2079">
        <v>7.2999999999999995E-2</v>
      </c>
      <c r="H88" s="1015">
        <v>0.08</v>
      </c>
      <c r="I88" s="2087">
        <v>7.2999999999999995E-2</v>
      </c>
      <c r="J88" s="2079">
        <v>5.2999999999999999E-2</v>
      </c>
      <c r="K88" s="2082">
        <v>0.11700000000000001</v>
      </c>
      <c r="L88" s="2079">
        <v>5.5E-2</v>
      </c>
      <c r="M88" s="2082">
        <v>0.112</v>
      </c>
      <c r="N88" s="2079">
        <v>5.8000000000000003E-2</v>
      </c>
      <c r="O88" s="2082">
        <v>7.0000000000000007E-2</v>
      </c>
      <c r="P88" s="2079">
        <v>5.8999999999999997E-2</v>
      </c>
      <c r="Q88" s="2082">
        <v>9.7000000000000003E-2</v>
      </c>
      <c r="R88" s="2079">
        <v>4.8000000000000001E-2</v>
      </c>
      <c r="S88" s="2082">
        <v>0.10299999999999999</v>
      </c>
      <c r="T88" s="2101">
        <v>7.2999999999999995E-2</v>
      </c>
      <c r="U88" s="2109">
        <v>8.4000000000000005E-2</v>
      </c>
      <c r="V88" s="2101">
        <v>6.9000000000000006E-2</v>
      </c>
      <c r="W88" s="2087">
        <v>7.9000000000000001E-2</v>
      </c>
      <c r="X88" s="2079">
        <v>6.4000000000000001E-2</v>
      </c>
      <c r="Y88" s="1523">
        <v>0.11</v>
      </c>
    </row>
    <row r="89" spans="1:25">
      <c r="A89" s="745">
        <f t="shared" si="2"/>
        <v>2022.08</v>
      </c>
      <c r="B89" s="2069">
        <v>7.0000000000000007E-2</v>
      </c>
      <c r="C89" s="2079">
        <v>7.0000000000000007E-2</v>
      </c>
      <c r="D89" s="2082">
        <v>6.9000000000000006E-2</v>
      </c>
      <c r="E89" s="2079">
        <v>7.5999999999999998E-2</v>
      </c>
      <c r="F89" s="2082">
        <v>7.5999999999999998E-2</v>
      </c>
      <c r="G89" s="2079">
        <v>6.5000000000000002E-2</v>
      </c>
      <c r="H89" s="1015">
        <v>6.4000000000000001E-2</v>
      </c>
      <c r="I89" s="2087">
        <v>7.0999999999999994E-2</v>
      </c>
      <c r="J89" s="2079">
        <v>7.0000000000000007E-2</v>
      </c>
      <c r="K89" s="2082">
        <v>9.9000000000000005E-2</v>
      </c>
      <c r="L89" s="2079">
        <v>5.5E-2</v>
      </c>
      <c r="M89" s="2082">
        <v>8.4000000000000005E-2</v>
      </c>
      <c r="N89" s="2079">
        <v>5.7000000000000002E-2</v>
      </c>
      <c r="O89" s="2082">
        <v>6.8000000000000005E-2</v>
      </c>
      <c r="P89" s="2079">
        <v>4.1000000000000002E-2</v>
      </c>
      <c r="Q89" s="2082">
        <v>0.05</v>
      </c>
      <c r="R89" s="2079">
        <v>0.05</v>
      </c>
      <c r="S89" s="2082">
        <v>6.7000000000000004E-2</v>
      </c>
      <c r="T89" s="2101">
        <v>8.6999999999999994E-2</v>
      </c>
      <c r="U89" s="2109">
        <v>7.3999999999999996E-2</v>
      </c>
      <c r="V89" s="2101">
        <v>5.8000000000000003E-2</v>
      </c>
      <c r="W89" s="2087">
        <v>8.6999999999999994E-2</v>
      </c>
      <c r="X89" s="2079">
        <v>6.8000000000000005E-2</v>
      </c>
      <c r="Y89" s="1523">
        <v>6.3E-2</v>
      </c>
    </row>
    <row r="90" spans="1:25">
      <c r="A90" s="745">
        <f t="shared" si="2"/>
        <v>2022.09</v>
      </c>
      <c r="B90" s="2069">
        <v>6.2E-2</v>
      </c>
      <c r="C90" s="2079">
        <v>0.06</v>
      </c>
      <c r="D90" s="2082">
        <v>6.3E-2</v>
      </c>
      <c r="E90" s="2079">
        <v>6.0999999999999999E-2</v>
      </c>
      <c r="F90" s="2082">
        <v>6.8000000000000005E-2</v>
      </c>
      <c r="G90" s="2079">
        <v>6.0999999999999999E-2</v>
      </c>
      <c r="H90" s="1015">
        <v>6.0999999999999999E-2</v>
      </c>
      <c r="I90" s="2087">
        <v>6.7000000000000004E-2</v>
      </c>
      <c r="J90" s="2079">
        <v>9.4E-2</v>
      </c>
      <c r="K90" s="2082">
        <v>0.106</v>
      </c>
      <c r="L90" s="2079">
        <v>3.1E-2</v>
      </c>
      <c r="M90" s="2082">
        <v>0.06</v>
      </c>
      <c r="N90" s="2079">
        <v>4.2999999999999997E-2</v>
      </c>
      <c r="O90" s="2082">
        <v>5.8000000000000003E-2</v>
      </c>
      <c r="P90" s="2079">
        <v>2.5000000000000001E-2</v>
      </c>
      <c r="Q90" s="2082">
        <v>5.1999999999999998E-2</v>
      </c>
      <c r="R90" s="2079">
        <v>3.6999999999999998E-2</v>
      </c>
      <c r="S90" s="2082">
        <v>4.8000000000000001E-2</v>
      </c>
      <c r="T90" s="2101">
        <v>6.8000000000000005E-2</v>
      </c>
      <c r="U90" s="2109">
        <v>0.11700000000000001</v>
      </c>
      <c r="V90" s="2101">
        <v>5.5E-2</v>
      </c>
      <c r="W90" s="2087">
        <v>4.4999999999999998E-2</v>
      </c>
      <c r="X90" s="2079">
        <v>7.0000000000000007E-2</v>
      </c>
      <c r="Y90" s="1523">
        <v>4.2000000000000003E-2</v>
      </c>
    </row>
    <row r="91" spans="1:25">
      <c r="A91" s="745">
        <f t="shared" si="2"/>
        <v>2022.1</v>
      </c>
      <c r="B91" s="2069">
        <v>6.3E-2</v>
      </c>
      <c r="C91" s="2079">
        <v>6.6000000000000003E-2</v>
      </c>
      <c r="D91" s="2082">
        <v>6.0999999999999999E-2</v>
      </c>
      <c r="E91" s="2079">
        <v>6.2E-2</v>
      </c>
      <c r="F91" s="2082">
        <v>6.3E-2</v>
      </c>
      <c r="G91" s="2079">
        <v>0.06</v>
      </c>
      <c r="H91" s="1015">
        <v>6.6000000000000003E-2</v>
      </c>
      <c r="I91" s="2087">
        <v>6.2E-2</v>
      </c>
      <c r="J91" s="2079">
        <v>5.3999999999999999E-2</v>
      </c>
      <c r="K91" s="2082">
        <v>6.8000000000000005E-2</v>
      </c>
      <c r="L91" s="2079">
        <v>7.4999999999999997E-2</v>
      </c>
      <c r="M91" s="2082">
        <v>4.9000000000000002E-2</v>
      </c>
      <c r="N91" s="2079">
        <v>7.0999999999999994E-2</v>
      </c>
      <c r="O91" s="2082">
        <v>4.4999999999999998E-2</v>
      </c>
      <c r="P91" s="2079">
        <v>0.121</v>
      </c>
      <c r="Q91" s="2082">
        <v>5.6000000000000001E-2</v>
      </c>
      <c r="R91" s="2079">
        <v>7.0999999999999994E-2</v>
      </c>
      <c r="S91" s="2082">
        <v>7.3999999999999996E-2</v>
      </c>
      <c r="T91" s="2101">
        <v>6.0999999999999999E-2</v>
      </c>
      <c r="U91" s="2109">
        <v>5.8999999999999997E-2</v>
      </c>
      <c r="V91" s="2101">
        <v>7.3999999999999996E-2</v>
      </c>
      <c r="W91" s="2087">
        <v>5.5E-2</v>
      </c>
      <c r="X91" s="2079">
        <v>7.3999999999999996E-2</v>
      </c>
      <c r="Y91" s="1523">
        <v>0.09</v>
      </c>
    </row>
    <row r="92" spans="1:25">
      <c r="A92" s="745">
        <f t="shared" si="2"/>
        <v>2022.11</v>
      </c>
      <c r="B92" s="2069">
        <v>4.9000000000000002E-2</v>
      </c>
      <c r="C92" s="2079">
        <v>0.05</v>
      </c>
      <c r="D92" s="2082">
        <v>4.9000000000000002E-2</v>
      </c>
      <c r="E92" s="2079">
        <v>4.5999999999999999E-2</v>
      </c>
      <c r="F92" s="2082">
        <v>4.4999999999999998E-2</v>
      </c>
      <c r="G92" s="2079">
        <v>4.9000000000000002E-2</v>
      </c>
      <c r="H92" s="1015">
        <v>4.9000000000000002E-2</v>
      </c>
      <c r="I92" s="2087">
        <v>3.5000000000000003E-2</v>
      </c>
      <c r="J92" s="2079">
        <v>6.3E-2</v>
      </c>
      <c r="K92" s="2082">
        <v>4.4999999999999998E-2</v>
      </c>
      <c r="L92" s="2079">
        <v>8.6999999999999994E-2</v>
      </c>
      <c r="M92" s="2082">
        <v>5.3999999999999999E-2</v>
      </c>
      <c r="N92" s="2079">
        <v>4.1000000000000002E-2</v>
      </c>
      <c r="O92" s="2082">
        <v>6.0999999999999999E-2</v>
      </c>
      <c r="P92" s="2079">
        <v>6.4000000000000001E-2</v>
      </c>
      <c r="Q92" s="2082">
        <v>4.2000000000000003E-2</v>
      </c>
      <c r="R92" s="2079">
        <v>3.7999999999999999E-2</v>
      </c>
      <c r="S92" s="2082">
        <v>5.5E-2</v>
      </c>
      <c r="T92" s="2101">
        <v>5.8000000000000003E-2</v>
      </c>
      <c r="U92" s="2109">
        <v>4.4999999999999998E-2</v>
      </c>
      <c r="V92" s="2101">
        <v>5.8000000000000003E-2</v>
      </c>
      <c r="W92" s="2087">
        <v>4.8000000000000001E-2</v>
      </c>
      <c r="X92" s="2079">
        <v>6.2E-2</v>
      </c>
      <c r="Y92" s="1523">
        <v>4.1000000000000002E-2</v>
      </c>
    </row>
    <row r="93" spans="1:25">
      <c r="A93" s="745">
        <f t="shared" si="2"/>
        <v>2022.12</v>
      </c>
      <c r="B93" s="2069">
        <v>5.0999999999999997E-2</v>
      </c>
      <c r="C93" s="2079">
        <v>5.2999999999999999E-2</v>
      </c>
      <c r="D93" s="2082">
        <v>5.0999999999999997E-2</v>
      </c>
      <c r="E93" s="2079">
        <v>4.7E-2</v>
      </c>
      <c r="F93" s="2082">
        <v>4.8000000000000001E-2</v>
      </c>
      <c r="G93" s="2079">
        <v>0.05</v>
      </c>
      <c r="H93" s="1015">
        <v>4.4999999999999998E-2</v>
      </c>
      <c r="I93" s="2087">
        <v>4.7E-2</v>
      </c>
      <c r="J93" s="2079">
        <v>7.0999999999999994E-2</v>
      </c>
      <c r="K93" s="2082">
        <v>0.04</v>
      </c>
      <c r="L93" s="2079">
        <v>4.2000000000000003E-2</v>
      </c>
      <c r="M93" s="2082">
        <v>5.8999999999999997E-2</v>
      </c>
      <c r="N93" s="2079">
        <v>5.7000000000000002E-2</v>
      </c>
      <c r="O93" s="2082">
        <v>5.8000000000000003E-2</v>
      </c>
      <c r="P93" s="2079">
        <v>3.4000000000000002E-2</v>
      </c>
      <c r="Q93" s="2082">
        <v>4.5999999999999999E-2</v>
      </c>
      <c r="R93" s="2079">
        <v>3.9E-2</v>
      </c>
      <c r="S93" s="2082">
        <v>7.1999999999999995E-2</v>
      </c>
      <c r="T93" s="2101">
        <v>5.7000000000000002E-2</v>
      </c>
      <c r="U93" s="2109">
        <v>5.0999999999999997E-2</v>
      </c>
      <c r="V93" s="2101">
        <v>5.0999999999999997E-2</v>
      </c>
      <c r="W93" s="2087">
        <v>5.2999999999999999E-2</v>
      </c>
      <c r="X93" s="2079">
        <v>5.0999999999999997E-2</v>
      </c>
      <c r="Y93" s="1523">
        <v>4.5999999999999999E-2</v>
      </c>
    </row>
    <row r="94" spans="1:25">
      <c r="A94" s="745">
        <f t="shared" si="2"/>
        <v>2023.01</v>
      </c>
      <c r="B94" s="2069">
        <v>0.06</v>
      </c>
      <c r="C94" s="2079">
        <v>0.06</v>
      </c>
      <c r="D94" s="2082">
        <v>6.0999999999999999E-2</v>
      </c>
      <c r="E94" s="2079">
        <v>5.5999999999999994E-2</v>
      </c>
      <c r="F94" s="2082">
        <v>6.3E-2</v>
      </c>
      <c r="G94" s="2079">
        <v>6.4000000000000001E-2</v>
      </c>
      <c r="H94" s="1015">
        <v>5.9000000000000004E-2</v>
      </c>
      <c r="I94" s="2087">
        <v>6.8000000000000005E-2</v>
      </c>
      <c r="J94" s="2079">
        <v>7.2999999999999995E-2</v>
      </c>
      <c r="K94" s="2082">
        <v>2.3E-2</v>
      </c>
      <c r="L94" s="2079">
        <v>0.08</v>
      </c>
      <c r="M94" s="2082">
        <v>5.4000000000000006E-2</v>
      </c>
      <c r="N94" s="2079">
        <v>4.9000000000000002E-2</v>
      </c>
      <c r="O94" s="2082">
        <v>5.9000000000000004E-2</v>
      </c>
      <c r="P94" s="2079">
        <v>0.08</v>
      </c>
      <c r="Q94" s="2082">
        <v>0.09</v>
      </c>
      <c r="R94" s="2079">
        <v>1.1000000000000001E-2</v>
      </c>
      <c r="S94" s="2082">
        <v>6.2E-2</v>
      </c>
      <c r="T94" s="2101">
        <v>6.8000000000000005E-2</v>
      </c>
      <c r="U94" s="2109">
        <v>5.4000000000000006E-2</v>
      </c>
      <c r="V94" s="2101">
        <v>7.6999999999999999E-2</v>
      </c>
      <c r="W94" s="2087">
        <v>5.4000000000000006E-2</v>
      </c>
      <c r="X94" s="2079">
        <v>7.0999999999999994E-2</v>
      </c>
      <c r="Y94" s="1523">
        <v>7.9000000000000001E-2</v>
      </c>
    </row>
    <row r="95" spans="1:25">
      <c r="A95" s="745">
        <f t="shared" si="2"/>
        <v>2023.02</v>
      </c>
      <c r="B95" s="2069">
        <v>6.6000000000000003E-2</v>
      </c>
      <c r="C95" s="2079">
        <v>6.7000000000000004E-2</v>
      </c>
      <c r="D95" s="2082">
        <v>6.4000000000000001E-2</v>
      </c>
      <c r="E95" s="2079">
        <v>7.8E-2</v>
      </c>
      <c r="F95" s="2082">
        <v>7.2999999999999995E-2</v>
      </c>
      <c r="G95" s="2079">
        <v>6.7000000000000004E-2</v>
      </c>
      <c r="H95" s="1015">
        <v>5.7999999999999996E-2</v>
      </c>
      <c r="I95" s="2087">
        <v>9.8000000000000004E-2</v>
      </c>
      <c r="J95" s="2079">
        <v>5.2000000000000005E-2</v>
      </c>
      <c r="K95" s="2082">
        <v>3.9E-2</v>
      </c>
      <c r="L95" s="2079">
        <v>4.8000000000000001E-2</v>
      </c>
      <c r="M95" s="2082">
        <v>5.0999999999999997E-2</v>
      </c>
      <c r="N95" s="2079">
        <v>5.2999999999999999E-2</v>
      </c>
      <c r="O95" s="2082">
        <v>4.9000000000000002E-2</v>
      </c>
      <c r="P95" s="2079">
        <v>7.8E-2</v>
      </c>
      <c r="Q95" s="2082">
        <v>6.0999999999999999E-2</v>
      </c>
      <c r="R95" s="2079">
        <v>3.2000000000000001E-2</v>
      </c>
      <c r="S95" s="2082">
        <v>7.4999999999999997E-2</v>
      </c>
      <c r="T95" s="2101">
        <v>6.5000000000000002E-2</v>
      </c>
      <c r="U95" s="2109">
        <v>7.0000000000000007E-2</v>
      </c>
      <c r="V95" s="2101">
        <v>5.7000000000000002E-2</v>
      </c>
      <c r="W95" s="2087">
        <v>7.6999999999999999E-2</v>
      </c>
      <c r="X95" s="2079">
        <v>5.0999999999999997E-2</v>
      </c>
      <c r="Y95" s="1523">
        <v>3.3000000000000002E-2</v>
      </c>
    </row>
    <row r="96" spans="1:25">
      <c r="A96" s="745">
        <f t="shared" si="2"/>
        <v>2023.03</v>
      </c>
      <c r="B96" s="2069">
        <v>7.6999999999999999E-2</v>
      </c>
      <c r="C96" s="2079">
        <v>7.8E-2</v>
      </c>
      <c r="D96" s="2082">
        <v>7.8E-2</v>
      </c>
      <c r="E96" s="2079">
        <v>6.2E-2</v>
      </c>
      <c r="F96" s="2082">
        <v>7.2999999999999995E-2</v>
      </c>
      <c r="G96" s="2079">
        <v>7.9000000000000001E-2</v>
      </c>
      <c r="H96" s="1015">
        <v>7.0000000000000007E-2</v>
      </c>
      <c r="I96" s="2087">
        <v>9.3000000000000013E-2</v>
      </c>
      <c r="J96" s="2079">
        <v>8.3000000000000004E-2</v>
      </c>
      <c r="K96" s="2082">
        <v>9.4E-2</v>
      </c>
      <c r="L96" s="2079">
        <v>6.5000000000000002E-2</v>
      </c>
      <c r="M96" s="2082">
        <v>5.7999999999999996E-2</v>
      </c>
      <c r="N96" s="2079">
        <v>5.7000000000000002E-2</v>
      </c>
      <c r="O96" s="2082">
        <v>5.2999999999999999E-2</v>
      </c>
      <c r="P96" s="2079">
        <v>1.9E-2</v>
      </c>
      <c r="Q96" s="2082">
        <v>4.4000000000000004E-2</v>
      </c>
      <c r="R96" s="2079">
        <v>0.29100000000000004</v>
      </c>
      <c r="S96" s="2082">
        <v>7.9000000000000001E-2</v>
      </c>
      <c r="T96" s="2101">
        <v>6.3E-2</v>
      </c>
      <c r="U96" s="2109">
        <v>7.8E-2</v>
      </c>
      <c r="V96" s="2101">
        <v>7.400000000000001E-2</v>
      </c>
      <c r="W96" s="2087">
        <v>7.2000000000000008E-2</v>
      </c>
      <c r="X96" s="2079">
        <v>8.3000000000000004E-2</v>
      </c>
      <c r="Y96" s="1523">
        <v>9.3000000000000013E-2</v>
      </c>
    </row>
    <row r="97" spans="1:25">
      <c r="A97" s="745">
        <f t="shared" si="2"/>
        <v>2023.04</v>
      </c>
      <c r="B97" s="2069">
        <v>8.4000000000000005E-2</v>
      </c>
      <c r="C97" s="2079">
        <v>8.5999999999999993E-2</v>
      </c>
      <c r="D97" s="2082">
        <v>8.5000000000000006E-2</v>
      </c>
      <c r="E97" s="2079">
        <v>8.3000000000000004E-2</v>
      </c>
      <c r="F97" s="2082">
        <v>7.6999999999999999E-2</v>
      </c>
      <c r="G97" s="2079">
        <v>7.2000000000000008E-2</v>
      </c>
      <c r="H97" s="1015">
        <v>8.1000000000000003E-2</v>
      </c>
      <c r="I97" s="2087">
        <v>0.10099999999999999</v>
      </c>
      <c r="J97" s="2079">
        <v>3.7999999999999999E-2</v>
      </c>
      <c r="K97" s="2082">
        <v>0.10800000000000001</v>
      </c>
      <c r="L97" s="2079">
        <v>5.5999999999999994E-2</v>
      </c>
      <c r="M97" s="2082">
        <v>8.5999999999999993E-2</v>
      </c>
      <c r="N97" s="2079">
        <v>6.6000000000000003E-2</v>
      </c>
      <c r="O97" s="2082">
        <v>6.5000000000000002E-2</v>
      </c>
      <c r="P97" s="2079">
        <v>6.3E-2</v>
      </c>
      <c r="Q97" s="2082">
        <v>7.4999999999999997E-2</v>
      </c>
      <c r="R97" s="2079">
        <v>0.05</v>
      </c>
      <c r="S97" s="2082">
        <v>9.9000000000000005E-2</v>
      </c>
      <c r="T97" s="2101">
        <v>6.6000000000000003E-2</v>
      </c>
      <c r="U97" s="2109">
        <v>9.0999999999999998E-2</v>
      </c>
      <c r="V97" s="2101">
        <v>6.6000000000000003E-2</v>
      </c>
      <c r="W97" s="2087">
        <v>8.4000000000000005E-2</v>
      </c>
      <c r="X97" s="2079">
        <v>4.9000000000000002E-2</v>
      </c>
      <c r="Y97" s="1523">
        <v>0.126</v>
      </c>
    </row>
    <row r="98" spans="1:25">
      <c r="A98" s="745">
        <f t="shared" si="2"/>
        <v>2023.05</v>
      </c>
      <c r="B98" s="2069">
        <v>7.8E-2</v>
      </c>
      <c r="C98" s="2079">
        <v>0.08</v>
      </c>
      <c r="D98" s="2082">
        <v>7.6999999999999999E-2</v>
      </c>
      <c r="E98" s="2079">
        <v>7.2999999999999995E-2</v>
      </c>
      <c r="F98" s="2082">
        <v>0.08</v>
      </c>
      <c r="G98" s="2079">
        <v>7.4999999999999997E-2</v>
      </c>
      <c r="H98" s="1015">
        <v>7.2999999999999995E-2</v>
      </c>
      <c r="I98" s="2087">
        <v>5.7999999999999996E-2</v>
      </c>
      <c r="J98" s="2079">
        <v>8.4000000000000005E-2</v>
      </c>
      <c r="K98" s="2082">
        <v>7.5999999999999998E-2</v>
      </c>
      <c r="L98" s="2079">
        <v>0.11900000000000001</v>
      </c>
      <c r="M98" s="2082">
        <v>8.8000000000000009E-2</v>
      </c>
      <c r="N98" s="2079">
        <v>0.09</v>
      </c>
      <c r="O98" s="2082">
        <v>8.1000000000000003E-2</v>
      </c>
      <c r="P98" s="2079">
        <v>6.7000000000000004E-2</v>
      </c>
      <c r="Q98" s="2082">
        <v>8.4000000000000005E-2</v>
      </c>
      <c r="R98" s="2079">
        <v>4.9000000000000002E-2</v>
      </c>
      <c r="S98" s="2082">
        <v>9.3000000000000013E-2</v>
      </c>
      <c r="T98" s="2101">
        <v>7.0999999999999994E-2</v>
      </c>
      <c r="U98" s="2109">
        <v>7.400000000000001E-2</v>
      </c>
      <c r="V98" s="2101">
        <v>8.5999999999999993E-2</v>
      </c>
      <c r="W98" s="2087">
        <v>7.8E-2</v>
      </c>
      <c r="X98" s="2079">
        <v>0.09</v>
      </c>
      <c r="Y98" s="1523">
        <v>0.06</v>
      </c>
    </row>
    <row r="99" spans="1:25">
      <c r="A99" s="745">
        <f t="shared" si="2"/>
        <v>2023.06</v>
      </c>
      <c r="B99" s="2069">
        <v>0.06</v>
      </c>
      <c r="C99" s="2079">
        <v>5.7999999999999996E-2</v>
      </c>
      <c r="D99" s="2082">
        <v>5.9000000000000004E-2</v>
      </c>
      <c r="E99" s="2079">
        <v>6.6000000000000003E-2</v>
      </c>
      <c r="F99" s="2082">
        <v>6.6000000000000003E-2</v>
      </c>
      <c r="G99" s="2079">
        <v>5.2999999999999999E-2</v>
      </c>
      <c r="H99" s="1015">
        <v>6.8000000000000005E-2</v>
      </c>
      <c r="I99" s="2087">
        <v>4.0999999999999995E-2</v>
      </c>
      <c r="J99" s="2079">
        <v>4.4999999999999998E-2</v>
      </c>
      <c r="K99" s="2082">
        <v>4.2000000000000003E-2</v>
      </c>
      <c r="L99" s="2079">
        <v>8.1000000000000003E-2</v>
      </c>
      <c r="M99" s="2082">
        <v>0.08</v>
      </c>
      <c r="N99" s="2079">
        <v>8.5999999999999993E-2</v>
      </c>
      <c r="O99" s="2082">
        <v>6.5000000000000002E-2</v>
      </c>
      <c r="P99" s="2079">
        <v>0.105</v>
      </c>
      <c r="Q99" s="2082">
        <v>6.5000000000000002E-2</v>
      </c>
      <c r="R99" s="2079">
        <v>6.6000000000000003E-2</v>
      </c>
      <c r="S99" s="2082">
        <v>6.3E-2</v>
      </c>
      <c r="T99" s="2101">
        <v>6.6000000000000003E-2</v>
      </c>
      <c r="U99" s="2109">
        <v>5.5E-2</v>
      </c>
      <c r="V99" s="2101">
        <v>7.2000000000000008E-2</v>
      </c>
      <c r="W99" s="2087">
        <v>6.5000000000000002E-2</v>
      </c>
      <c r="X99" s="2079">
        <v>7.2000000000000008E-2</v>
      </c>
      <c r="Y99" s="1523">
        <v>1.8000000000000002E-2</v>
      </c>
    </row>
    <row r="100" spans="1:25">
      <c r="A100" s="745">
        <f t="shared" si="2"/>
        <v>2023.07</v>
      </c>
      <c r="B100" s="2069">
        <v>6.3E-2</v>
      </c>
      <c r="C100" s="2079">
        <v>6.2E-2</v>
      </c>
      <c r="D100" s="2082">
        <v>6.4000000000000001E-2</v>
      </c>
      <c r="E100" s="2079">
        <v>6.3E-2</v>
      </c>
      <c r="F100" s="2082">
        <v>6.0999999999999999E-2</v>
      </c>
      <c r="G100" s="2079">
        <v>6.3E-2</v>
      </c>
      <c r="H100" s="1015">
        <v>7.8E-2</v>
      </c>
      <c r="I100" s="2087">
        <v>5.7999999999999996E-2</v>
      </c>
      <c r="J100" s="2079">
        <v>0.09</v>
      </c>
      <c r="K100" s="2082">
        <v>0.03</v>
      </c>
      <c r="L100" s="2079">
        <v>0.04</v>
      </c>
      <c r="M100" s="2082">
        <v>6.2E-2</v>
      </c>
      <c r="N100" s="2079">
        <v>0.09</v>
      </c>
      <c r="O100" s="2082">
        <v>5.2999999999999999E-2</v>
      </c>
      <c r="P100" s="2079">
        <v>0.122</v>
      </c>
      <c r="Q100" s="2082">
        <v>0.11199999999999999</v>
      </c>
      <c r="R100" s="2079">
        <v>6.0999999999999999E-2</v>
      </c>
      <c r="S100" s="2082">
        <v>7.4999999999999997E-2</v>
      </c>
      <c r="T100" s="2101">
        <v>6.3E-2</v>
      </c>
      <c r="U100" s="2109">
        <v>0.06</v>
      </c>
      <c r="V100" s="2101">
        <v>7.2000000000000008E-2</v>
      </c>
      <c r="W100" s="2087">
        <v>6.5000000000000002E-2</v>
      </c>
      <c r="X100" s="2079">
        <v>6.7000000000000004E-2</v>
      </c>
      <c r="Y100" s="1523">
        <v>5.0999999999999997E-2</v>
      </c>
    </row>
    <row r="101" spans="1:25">
      <c r="A101" s="745">
        <f t="shared" si="2"/>
        <v>2023.08</v>
      </c>
      <c r="B101" s="2069">
        <v>0.124</v>
      </c>
      <c r="C101" s="2079">
        <v>0.12300000000000001</v>
      </c>
      <c r="D101" s="2082">
        <v>0.122</v>
      </c>
      <c r="E101" s="2079">
        <v>0.14199999999999999</v>
      </c>
      <c r="F101" s="2082">
        <v>0.13699999999999998</v>
      </c>
      <c r="G101" s="2079">
        <v>0.12300000000000001</v>
      </c>
      <c r="H101" s="1015">
        <v>0.121</v>
      </c>
      <c r="I101" s="2087">
        <v>0.156</v>
      </c>
      <c r="J101" s="2079">
        <v>8.5000000000000006E-2</v>
      </c>
      <c r="K101" s="2082">
        <v>9.0999999999999998E-2</v>
      </c>
      <c r="L101" s="2079">
        <v>9.0999999999999998E-2</v>
      </c>
      <c r="M101" s="2082">
        <v>0.14099999999999999</v>
      </c>
      <c r="N101" s="2079">
        <v>0.153</v>
      </c>
      <c r="O101" s="2082">
        <v>0.105</v>
      </c>
      <c r="P101" s="2079">
        <v>4.4999999999999998E-2</v>
      </c>
      <c r="Q101" s="2082">
        <v>0.11599999999999999</v>
      </c>
      <c r="R101" s="2079">
        <v>8.6999999999999994E-2</v>
      </c>
      <c r="S101" s="2082">
        <v>0.124</v>
      </c>
      <c r="T101" s="2101">
        <v>9.4E-2</v>
      </c>
      <c r="U101" s="2109">
        <v>0.13699999999999998</v>
      </c>
      <c r="V101" s="2101">
        <v>9.0999999999999998E-2</v>
      </c>
      <c r="W101" s="2087">
        <v>0.13800000000000001</v>
      </c>
      <c r="X101" s="2079">
        <v>8.3000000000000004E-2</v>
      </c>
      <c r="Y101" s="1523">
        <v>0.107</v>
      </c>
    </row>
    <row r="102" spans="1:25">
      <c r="A102" s="745">
        <f t="shared" si="2"/>
        <v>2023.09</v>
      </c>
      <c r="B102" s="2069">
        <v>0.127</v>
      </c>
      <c r="C102" s="2079">
        <v>0.122</v>
      </c>
      <c r="D102" s="2082">
        <v>0.13100000000000001</v>
      </c>
      <c r="E102" s="2079">
        <v>0.13</v>
      </c>
      <c r="F102" s="2082">
        <v>0.13200000000000001</v>
      </c>
      <c r="G102" s="2079">
        <v>0.13699999999999998</v>
      </c>
      <c r="H102" s="1015">
        <v>0.14000000000000001</v>
      </c>
      <c r="I102" s="2087">
        <v>0.14300000000000002</v>
      </c>
      <c r="J102" s="2079">
        <v>0.115</v>
      </c>
      <c r="K102" s="2082">
        <v>0.157</v>
      </c>
      <c r="L102" s="2079">
        <v>8.5000000000000006E-2</v>
      </c>
      <c r="M102" s="2082">
        <v>0.127</v>
      </c>
      <c r="N102" s="2079">
        <v>9.5000000000000001E-2</v>
      </c>
      <c r="O102" s="2082">
        <v>0.10800000000000001</v>
      </c>
      <c r="P102" s="2079">
        <v>9.6000000000000002E-2</v>
      </c>
      <c r="Q102" s="2082">
        <v>0.151</v>
      </c>
      <c r="R102" s="2079">
        <v>8.1000000000000003E-2</v>
      </c>
      <c r="S102" s="2082">
        <v>0.13200000000000001</v>
      </c>
      <c r="T102" s="2101">
        <v>0.11699999999999999</v>
      </c>
      <c r="U102" s="2109">
        <v>0.13500000000000001</v>
      </c>
      <c r="V102" s="2101">
        <v>0.105</v>
      </c>
      <c r="W102" s="2087">
        <v>0.13400000000000001</v>
      </c>
      <c r="X102" s="2079">
        <v>8.3000000000000004E-2</v>
      </c>
      <c r="Y102" s="1523">
        <v>0.14699999999999999</v>
      </c>
    </row>
    <row r="103" spans="1:25">
      <c r="A103" s="745">
        <f t="shared" si="2"/>
        <v>2023.1</v>
      </c>
      <c r="B103" s="2069">
        <v>8.3000000000000004E-2</v>
      </c>
      <c r="C103" s="2079">
        <v>8.5999999999999993E-2</v>
      </c>
      <c r="D103" s="2082">
        <v>8.3000000000000004E-2</v>
      </c>
      <c r="E103" s="2079">
        <v>7.400000000000001E-2</v>
      </c>
      <c r="F103" s="2082">
        <v>7.6999999999999999E-2</v>
      </c>
      <c r="G103" s="2079">
        <v>7.400000000000001E-2</v>
      </c>
      <c r="H103" s="1015">
        <v>8.199999999999999E-2</v>
      </c>
      <c r="I103" s="2087">
        <v>7.6999999999999999E-2</v>
      </c>
      <c r="J103" s="2079">
        <v>9.8000000000000004E-2</v>
      </c>
      <c r="K103" s="2082">
        <v>0.11</v>
      </c>
      <c r="L103" s="2079">
        <v>7.8E-2</v>
      </c>
      <c r="M103" s="2082">
        <v>0.107</v>
      </c>
      <c r="N103" s="2079">
        <v>5.0999999999999997E-2</v>
      </c>
      <c r="O103" s="2082">
        <v>7.0999999999999994E-2</v>
      </c>
      <c r="P103" s="2079">
        <v>0.126</v>
      </c>
      <c r="Q103" s="2082">
        <v>9.3000000000000013E-2</v>
      </c>
      <c r="R103" s="2079">
        <v>6.6000000000000003E-2</v>
      </c>
      <c r="S103" s="2082">
        <v>8.8000000000000009E-2</v>
      </c>
      <c r="T103" s="2101">
        <v>7.6999999999999999E-2</v>
      </c>
      <c r="U103" s="2109">
        <v>8.5000000000000006E-2</v>
      </c>
      <c r="V103" s="2101">
        <v>7.8E-2</v>
      </c>
      <c r="W103" s="2087">
        <v>8.8000000000000009E-2</v>
      </c>
      <c r="X103" s="2079">
        <v>6.6000000000000003E-2</v>
      </c>
      <c r="Y103" s="1523">
        <v>7.5999999999999998E-2</v>
      </c>
    </row>
    <row r="104" spans="1:25">
      <c r="A104" s="745">
        <f t="shared" si="2"/>
        <v>2023.11</v>
      </c>
      <c r="B104" s="2069">
        <v>0.128</v>
      </c>
      <c r="C104" s="2079">
        <v>0.129</v>
      </c>
      <c r="D104" s="2082">
        <v>0.13</v>
      </c>
      <c r="E104" s="2079">
        <v>0.128</v>
      </c>
      <c r="F104" s="2082">
        <v>0.11800000000000001</v>
      </c>
      <c r="G104" s="2079">
        <v>0.128</v>
      </c>
      <c r="H104" s="1015">
        <v>0.12</v>
      </c>
      <c r="I104" s="2079">
        <v>0.157</v>
      </c>
      <c r="J104" s="2079">
        <v>0.11800000000000001</v>
      </c>
      <c r="K104" s="2082">
        <v>0.1</v>
      </c>
      <c r="L104" s="2079">
        <v>7.0999999999999994E-2</v>
      </c>
      <c r="M104" s="2082">
        <v>0.124</v>
      </c>
      <c r="N104" s="2079">
        <v>0.159</v>
      </c>
      <c r="O104" s="2082">
        <v>0.10400000000000001</v>
      </c>
      <c r="P104" s="2079">
        <v>0.152</v>
      </c>
      <c r="Q104" s="2082">
        <v>0.13200000000000001</v>
      </c>
      <c r="R104" s="2079">
        <v>8.3000000000000004E-2</v>
      </c>
      <c r="S104" s="2082">
        <v>0.12</v>
      </c>
      <c r="T104" s="2101">
        <v>0.115</v>
      </c>
      <c r="U104" s="2109">
        <v>0.13800000000000001</v>
      </c>
      <c r="V104" s="2101">
        <v>0.10199999999999999</v>
      </c>
      <c r="W104" s="2087">
        <v>0.13400000000000001</v>
      </c>
      <c r="X104" s="2079">
        <v>0.10099999999999999</v>
      </c>
      <c r="Y104" s="1523">
        <v>0.128</v>
      </c>
    </row>
    <row r="105" spans="1:25">
      <c r="A105" s="745">
        <f t="shared" si="2"/>
        <v>2023.12</v>
      </c>
      <c r="B105" s="2069">
        <v>0.255</v>
      </c>
      <c r="C105" s="2079">
        <v>0.251</v>
      </c>
      <c r="D105" s="2082">
        <v>0.25700000000000001</v>
      </c>
      <c r="E105" s="2079">
        <v>0.28399999999999997</v>
      </c>
      <c r="F105" s="2082">
        <v>0.252</v>
      </c>
      <c r="G105" s="2079">
        <v>0.25800000000000001</v>
      </c>
      <c r="H105" s="1015">
        <v>0.24299999999999999</v>
      </c>
      <c r="I105" s="2079">
        <v>0.29699999999999999</v>
      </c>
      <c r="J105" s="2079">
        <v>0.20199999999999999</v>
      </c>
      <c r="K105" s="2082">
        <v>0.17199999999999999</v>
      </c>
      <c r="L105" s="2079">
        <v>0.13800000000000001</v>
      </c>
      <c r="M105" s="2082">
        <v>0.307</v>
      </c>
      <c r="N105" s="2079">
        <v>0.32600000000000001</v>
      </c>
      <c r="O105" s="2082">
        <v>0.317</v>
      </c>
      <c r="P105" s="2079">
        <v>0.156</v>
      </c>
      <c r="Q105" s="2082">
        <v>0.20199999999999999</v>
      </c>
      <c r="R105" s="2079">
        <v>6.2E-2</v>
      </c>
      <c r="S105" s="2082">
        <v>0.21600000000000003</v>
      </c>
      <c r="T105" s="2101">
        <v>0.32700000000000001</v>
      </c>
      <c r="U105" s="2109">
        <v>0.29499999999999998</v>
      </c>
      <c r="V105" s="2101">
        <v>0.14099999999999999</v>
      </c>
      <c r="W105" s="2087">
        <v>0.28300000000000003</v>
      </c>
      <c r="X105" s="2079">
        <v>0.20699999999999999</v>
      </c>
      <c r="Y105" s="1523">
        <v>0.16200000000000001</v>
      </c>
    </row>
    <row r="106" spans="1:25">
      <c r="A106" s="745">
        <f t="shared" si="2"/>
        <v>2024.01</v>
      </c>
      <c r="B106" s="2069">
        <v>0.20600000000000002</v>
      </c>
      <c r="C106" s="2079">
        <v>0.19600000000000001</v>
      </c>
      <c r="D106" s="2082">
        <v>0.21199999999999999</v>
      </c>
      <c r="E106" s="2079">
        <v>0.19500000000000001</v>
      </c>
      <c r="F106" s="2082">
        <v>0.217</v>
      </c>
      <c r="G106" s="2079">
        <v>0.223</v>
      </c>
      <c r="H106" s="1015">
        <v>0.24199999999999999</v>
      </c>
      <c r="I106" s="2079">
        <v>0.20399999999999999</v>
      </c>
      <c r="J106" s="2079">
        <v>0.21</v>
      </c>
      <c r="K106" s="2082">
        <v>0.11900000000000001</v>
      </c>
      <c r="L106" s="2079">
        <v>0.14000000000000001</v>
      </c>
      <c r="M106" s="2082">
        <v>0.223</v>
      </c>
      <c r="N106" s="2079">
        <v>0.20499999999999999</v>
      </c>
      <c r="O106" s="2082">
        <v>0.26300000000000001</v>
      </c>
      <c r="P106" s="2079">
        <v>0.251</v>
      </c>
      <c r="Q106" s="2082">
        <v>0.24</v>
      </c>
      <c r="R106" s="2079">
        <v>9.0000000000000011E-3</v>
      </c>
      <c r="S106" s="2082">
        <v>0.19399999999999998</v>
      </c>
      <c r="T106" s="2101">
        <v>0.44400000000000001</v>
      </c>
      <c r="U106" s="2109">
        <v>0.21100000000000002</v>
      </c>
      <c r="V106" s="2101">
        <v>0.188</v>
      </c>
      <c r="W106" s="2087">
        <v>0.20199999999999999</v>
      </c>
      <c r="X106" s="2079">
        <v>0.26600000000000001</v>
      </c>
      <c r="Y106" s="1523">
        <v>0.16200000000000001</v>
      </c>
    </row>
    <row r="107" spans="1:25">
      <c r="A107" s="745">
        <f t="shared" si="2"/>
        <v>2024.02</v>
      </c>
      <c r="B107" s="2069">
        <v>0.13200000000000001</v>
      </c>
      <c r="C107" s="2079">
        <v>0.15</v>
      </c>
      <c r="D107" s="2082">
        <v>0.11899999999999999</v>
      </c>
      <c r="E107" s="2079">
        <v>0.109</v>
      </c>
      <c r="F107" s="2082">
        <v>0.11700000000000001</v>
      </c>
      <c r="G107" s="2079">
        <v>0.13500000000000001</v>
      </c>
      <c r="H107" s="1015">
        <v>0.113</v>
      </c>
      <c r="I107" s="2079">
        <v>0.11899999999999999</v>
      </c>
      <c r="J107" s="2079">
        <v>0.17699999999999999</v>
      </c>
      <c r="K107" s="2082">
        <v>7.1999999999999995E-2</v>
      </c>
      <c r="L107" s="2079">
        <v>0.20200000000000001</v>
      </c>
      <c r="M107" s="2082">
        <v>0.10299999999999999</v>
      </c>
      <c r="N107" s="2079">
        <v>0.13600000000000001</v>
      </c>
      <c r="O107" s="2082">
        <v>0.216</v>
      </c>
      <c r="P107" s="2079">
        <v>0.247</v>
      </c>
      <c r="Q107" s="2082">
        <v>8.5999999999999993E-2</v>
      </c>
      <c r="R107" s="2079">
        <v>9.9000000000000005E-2</v>
      </c>
      <c r="S107" s="2082">
        <v>0.112</v>
      </c>
      <c r="T107" s="2101">
        <v>0.16600000000000001</v>
      </c>
      <c r="U107" s="2109">
        <v>0.11899999999999999</v>
      </c>
      <c r="V107" s="2101">
        <v>0.17599999999999999</v>
      </c>
      <c r="W107" s="2087">
        <v>0.123</v>
      </c>
      <c r="X107" s="2079">
        <v>0.21099999999999999</v>
      </c>
      <c r="Y107" s="1523">
        <v>8.6999999999999994E-2</v>
      </c>
    </row>
    <row r="108" spans="1:25">
      <c r="A108" s="745">
        <f t="shared" si="2"/>
        <v>2024.03</v>
      </c>
      <c r="B108" s="2069">
        <v>0.11</v>
      </c>
      <c r="C108" s="2079">
        <v>0.115</v>
      </c>
      <c r="D108" s="2082">
        <v>0.113</v>
      </c>
      <c r="E108" s="2079">
        <v>0.10299999999999999</v>
      </c>
      <c r="F108" s="2082">
        <v>8.7999999999999995E-2</v>
      </c>
      <c r="G108" s="2079">
        <v>9.2999999999999999E-2</v>
      </c>
      <c r="H108" s="1015">
        <v>0.105</v>
      </c>
      <c r="I108" s="2079">
        <v>0.105</v>
      </c>
      <c r="J108" s="2079">
        <v>0.123</v>
      </c>
      <c r="K108" s="2082">
        <v>0.109</v>
      </c>
      <c r="L108" s="2079">
        <v>0.13300000000000001</v>
      </c>
      <c r="M108" s="2082">
        <v>0.05</v>
      </c>
      <c r="N108" s="2079">
        <v>0.122</v>
      </c>
      <c r="O108" s="2082">
        <v>0.13</v>
      </c>
      <c r="P108" s="2079">
        <v>0.159</v>
      </c>
      <c r="Q108" s="2082">
        <v>8.5000000000000006E-2</v>
      </c>
      <c r="R108" s="2079">
        <v>0.52700000000000002</v>
      </c>
      <c r="S108" s="2082">
        <v>8.3000000000000004E-2</v>
      </c>
      <c r="T108" s="2101">
        <v>9.6000000000000002E-2</v>
      </c>
      <c r="U108" s="2109">
        <v>9.8000000000000004E-2</v>
      </c>
      <c r="V108" s="2101">
        <v>0.155</v>
      </c>
      <c r="W108" s="2087">
        <v>9.4E-2</v>
      </c>
      <c r="X108" s="2079">
        <v>0.18099999999999999</v>
      </c>
      <c r="Y108" s="1523">
        <v>0.111</v>
      </c>
    </row>
    <row r="109" spans="1:25">
      <c r="A109" s="745">
        <f t="shared" si="2"/>
        <v>2024.04</v>
      </c>
      <c r="B109" s="2069">
        <v>8.7999999999999995E-2</v>
      </c>
      <c r="C109" s="2079">
        <v>9.1999999999999998E-2</v>
      </c>
      <c r="D109" s="2082">
        <v>8.7999999999999995E-2</v>
      </c>
      <c r="E109" s="2079">
        <v>6.3E-2</v>
      </c>
      <c r="F109" s="2082">
        <v>9.0999999999999998E-2</v>
      </c>
      <c r="G109" s="2079">
        <v>8.1000000000000003E-2</v>
      </c>
      <c r="H109" s="1015">
        <v>8.5000000000000006E-2</v>
      </c>
      <c r="I109" s="2079">
        <v>0.06</v>
      </c>
      <c r="J109" s="2079">
        <v>5.5E-2</v>
      </c>
      <c r="K109" s="2082">
        <v>9.6000000000000002E-2</v>
      </c>
      <c r="L109" s="2079">
        <v>0.35599999999999998</v>
      </c>
      <c r="M109" s="2082">
        <v>6.5000000000000002E-2</v>
      </c>
      <c r="N109" s="2079">
        <v>9.0999999999999998E-2</v>
      </c>
      <c r="O109" s="2082">
        <v>6.3E-2</v>
      </c>
      <c r="P109" s="2079">
        <v>0.14199999999999999</v>
      </c>
      <c r="Q109" s="2082">
        <v>7.0999999999999994E-2</v>
      </c>
      <c r="R109" s="2079">
        <v>8.5999999999999993E-2</v>
      </c>
      <c r="S109" s="2082">
        <v>7.2999999999999995E-2</v>
      </c>
      <c r="T109" s="2101">
        <v>5.7000000000000002E-2</v>
      </c>
      <c r="U109" s="2109">
        <v>6.3E-2</v>
      </c>
      <c r="V109" s="2101">
        <v>0.16500000000000001</v>
      </c>
      <c r="W109" s="2087">
        <v>6.3E-2</v>
      </c>
      <c r="X109" s="2079">
        <v>0.184</v>
      </c>
      <c r="Y109" s="1523">
        <v>9.9000000000000005E-2</v>
      </c>
    </row>
    <row r="110" spans="1:25">
      <c r="A110" s="745">
        <f t="shared" si="2"/>
        <v>2024.05</v>
      </c>
      <c r="B110" s="2069" t="e">
        <v>#N/A</v>
      </c>
      <c r="C110" s="2079" t="e">
        <v>#N/A</v>
      </c>
      <c r="D110" s="2082" t="e">
        <v>#N/A</v>
      </c>
      <c r="E110" s="2079" t="e">
        <v>#N/A</v>
      </c>
      <c r="F110" s="2082" t="e">
        <v>#N/A</v>
      </c>
      <c r="G110" s="2079" t="e">
        <v>#N/A</v>
      </c>
      <c r="H110" s="1015" t="e">
        <v>#N/A</v>
      </c>
      <c r="I110" s="2079" t="e">
        <v>#N/A</v>
      </c>
      <c r="J110" s="2079" t="e">
        <v>#N/A</v>
      </c>
      <c r="K110" s="2082" t="e">
        <v>#N/A</v>
      </c>
      <c r="L110" s="2079" t="e">
        <v>#N/A</v>
      </c>
      <c r="M110" s="2082" t="e">
        <v>#N/A</v>
      </c>
      <c r="N110" s="2079" t="e">
        <v>#N/A</v>
      </c>
      <c r="O110" s="2082" t="e">
        <v>#N/A</v>
      </c>
      <c r="P110" s="2079" t="e">
        <v>#N/A</v>
      </c>
      <c r="Q110" s="2082" t="e">
        <v>#N/A</v>
      </c>
      <c r="R110" s="2079" t="e">
        <v>#N/A</v>
      </c>
      <c r="S110" s="2082" t="e">
        <v>#N/A</v>
      </c>
      <c r="T110" s="2101" t="e">
        <v>#N/A</v>
      </c>
      <c r="U110" s="2109" t="e">
        <v>#N/A</v>
      </c>
      <c r="V110" s="2101" t="e">
        <v>#N/A</v>
      </c>
      <c r="W110" s="2087" t="e">
        <v>#N/A</v>
      </c>
      <c r="X110" s="2079" t="e">
        <v>#N/A</v>
      </c>
      <c r="Y110" s="1523" t="e">
        <v>#N/A</v>
      </c>
    </row>
    <row r="111" spans="1:25">
      <c r="A111" s="745">
        <f t="shared" si="2"/>
        <v>2024.06</v>
      </c>
      <c r="B111" s="2069" t="e">
        <v>#N/A</v>
      </c>
      <c r="C111" s="2079" t="e">
        <v>#N/A</v>
      </c>
      <c r="D111" s="2082" t="e">
        <v>#N/A</v>
      </c>
      <c r="E111" s="2079" t="e">
        <v>#N/A</v>
      </c>
      <c r="F111" s="2082" t="e">
        <v>#N/A</v>
      </c>
      <c r="G111" s="2079" t="e">
        <v>#N/A</v>
      </c>
      <c r="H111" s="1015" t="e">
        <v>#N/A</v>
      </c>
      <c r="I111" s="2079" t="e">
        <v>#N/A</v>
      </c>
      <c r="J111" s="2079" t="e">
        <v>#N/A</v>
      </c>
      <c r="K111" s="2082" t="e">
        <v>#N/A</v>
      </c>
      <c r="L111" s="2079" t="e">
        <v>#N/A</v>
      </c>
      <c r="M111" s="2082" t="e">
        <v>#N/A</v>
      </c>
      <c r="N111" s="2079" t="e">
        <v>#N/A</v>
      </c>
      <c r="O111" s="2082" t="e">
        <v>#N/A</v>
      </c>
      <c r="P111" s="2079" t="e">
        <v>#N/A</v>
      </c>
      <c r="Q111" s="2082" t="e">
        <v>#N/A</v>
      </c>
      <c r="R111" s="2079" t="e">
        <v>#N/A</v>
      </c>
      <c r="S111" s="2082" t="e">
        <v>#N/A</v>
      </c>
      <c r="T111" s="2101" t="e">
        <v>#N/A</v>
      </c>
      <c r="U111" s="2109" t="e">
        <v>#N/A</v>
      </c>
      <c r="V111" s="2101" t="e">
        <v>#N/A</v>
      </c>
      <c r="W111" s="2087" t="e">
        <v>#N/A</v>
      </c>
      <c r="X111" s="2079" t="e">
        <v>#N/A</v>
      </c>
      <c r="Y111" s="1523" t="e">
        <v>#N/A</v>
      </c>
    </row>
    <row r="112" spans="1:25">
      <c r="A112" s="745">
        <f t="shared" si="2"/>
        <v>2024.07</v>
      </c>
      <c r="B112" s="2069" t="e">
        <v>#N/A</v>
      </c>
      <c r="C112" s="2079" t="e">
        <v>#N/A</v>
      </c>
      <c r="D112" s="2082" t="e">
        <v>#N/A</v>
      </c>
      <c r="E112" s="2079" t="e">
        <v>#N/A</v>
      </c>
      <c r="F112" s="2082" t="e">
        <v>#N/A</v>
      </c>
      <c r="G112" s="2079" t="e">
        <v>#N/A</v>
      </c>
      <c r="H112" s="1015" t="e">
        <v>#N/A</v>
      </c>
      <c r="I112" s="2079" t="e">
        <v>#N/A</v>
      </c>
      <c r="J112" s="2079" t="e">
        <v>#N/A</v>
      </c>
      <c r="K112" s="2082" t="e">
        <v>#N/A</v>
      </c>
      <c r="L112" s="2079" t="e">
        <v>#N/A</v>
      </c>
      <c r="M112" s="2082" t="e">
        <v>#N/A</v>
      </c>
      <c r="N112" s="2079" t="e">
        <v>#N/A</v>
      </c>
      <c r="O112" s="2082" t="e">
        <v>#N/A</v>
      </c>
      <c r="P112" s="2079" t="e">
        <v>#N/A</v>
      </c>
      <c r="Q112" s="2082" t="e">
        <v>#N/A</v>
      </c>
      <c r="R112" s="2079" t="e">
        <v>#N/A</v>
      </c>
      <c r="S112" s="2082" t="e">
        <v>#N/A</v>
      </c>
      <c r="T112" s="2101" t="e">
        <v>#N/A</v>
      </c>
      <c r="U112" s="2109" t="e">
        <v>#N/A</v>
      </c>
      <c r="V112" s="2101" t="e">
        <v>#N/A</v>
      </c>
      <c r="W112" s="2087" t="e">
        <v>#N/A</v>
      </c>
      <c r="X112" s="2079" t="e">
        <v>#N/A</v>
      </c>
      <c r="Y112" s="1523" t="e">
        <v>#N/A</v>
      </c>
    </row>
    <row r="113" spans="1:25">
      <c r="A113" s="745">
        <f t="shared" si="2"/>
        <v>2024.08</v>
      </c>
      <c r="B113" s="2069" t="e">
        <v>#N/A</v>
      </c>
      <c r="C113" s="2079" t="e">
        <v>#N/A</v>
      </c>
      <c r="D113" s="2082" t="e">
        <v>#N/A</v>
      </c>
      <c r="E113" s="2079" t="e">
        <v>#N/A</v>
      </c>
      <c r="F113" s="2082" t="e">
        <v>#N/A</v>
      </c>
      <c r="G113" s="2079" t="e">
        <v>#N/A</v>
      </c>
      <c r="H113" s="1015" t="e">
        <v>#N/A</v>
      </c>
      <c r="I113" s="2079" t="e">
        <v>#N/A</v>
      </c>
      <c r="J113" s="2079" t="e">
        <v>#N/A</v>
      </c>
      <c r="K113" s="2082" t="e">
        <v>#N/A</v>
      </c>
      <c r="L113" s="2079" t="e">
        <v>#N/A</v>
      </c>
      <c r="M113" s="2082" t="e">
        <v>#N/A</v>
      </c>
      <c r="N113" s="2079" t="e">
        <v>#N/A</v>
      </c>
      <c r="O113" s="2082" t="e">
        <v>#N/A</v>
      </c>
      <c r="P113" s="2079" t="e">
        <v>#N/A</v>
      </c>
      <c r="Q113" s="2082" t="e">
        <v>#N/A</v>
      </c>
      <c r="R113" s="2079" t="e">
        <v>#N/A</v>
      </c>
      <c r="S113" s="2082" t="e">
        <v>#N/A</v>
      </c>
      <c r="T113" s="2101" t="e">
        <v>#N/A</v>
      </c>
      <c r="U113" s="2109" t="e">
        <v>#N/A</v>
      </c>
      <c r="V113" s="2101" t="e">
        <v>#N/A</v>
      </c>
      <c r="W113" s="2087" t="e">
        <v>#N/A</v>
      </c>
      <c r="X113" s="2079" t="e">
        <v>#N/A</v>
      </c>
      <c r="Y113" s="1523" t="e">
        <v>#N/A</v>
      </c>
    </row>
    <row r="114" spans="1:25">
      <c r="A114" s="745">
        <f t="shared" si="2"/>
        <v>2024.09</v>
      </c>
      <c r="B114" s="2069" t="e">
        <v>#N/A</v>
      </c>
      <c r="C114" s="2079" t="e">
        <v>#N/A</v>
      </c>
      <c r="D114" s="2082" t="e">
        <v>#N/A</v>
      </c>
      <c r="E114" s="2079" t="e">
        <v>#N/A</v>
      </c>
      <c r="F114" s="2082" t="e">
        <v>#N/A</v>
      </c>
      <c r="G114" s="2079" t="e">
        <v>#N/A</v>
      </c>
      <c r="H114" s="1015" t="e">
        <v>#N/A</v>
      </c>
      <c r="I114" s="2079" t="e">
        <v>#N/A</v>
      </c>
      <c r="J114" s="2079" t="e">
        <v>#N/A</v>
      </c>
      <c r="K114" s="2082" t="e">
        <v>#N/A</v>
      </c>
      <c r="L114" s="2079" t="e">
        <v>#N/A</v>
      </c>
      <c r="M114" s="2082" t="e">
        <v>#N/A</v>
      </c>
      <c r="N114" s="2079" t="e">
        <v>#N/A</v>
      </c>
      <c r="O114" s="2082" t="e">
        <v>#N/A</v>
      </c>
      <c r="P114" s="2079" t="e">
        <v>#N/A</v>
      </c>
      <c r="Q114" s="2082" t="e">
        <v>#N/A</v>
      </c>
      <c r="R114" s="2079" t="e">
        <v>#N/A</v>
      </c>
      <c r="S114" s="2082" t="e">
        <v>#N/A</v>
      </c>
      <c r="T114" s="2101" t="e">
        <v>#N/A</v>
      </c>
      <c r="U114" s="2109" t="e">
        <v>#N/A</v>
      </c>
      <c r="V114" s="2101" t="e">
        <v>#N/A</v>
      </c>
      <c r="W114" s="2087" t="e">
        <v>#N/A</v>
      </c>
      <c r="X114" s="2079" t="e">
        <v>#N/A</v>
      </c>
      <c r="Y114" s="1523" t="e">
        <v>#N/A</v>
      </c>
    </row>
    <row r="115" spans="1:25">
      <c r="A115" s="745">
        <f t="shared" si="2"/>
        <v>2024.1</v>
      </c>
      <c r="B115" s="2069" t="e">
        <v>#N/A</v>
      </c>
      <c r="C115" s="2079" t="e">
        <v>#N/A</v>
      </c>
      <c r="D115" s="2082" t="e">
        <v>#N/A</v>
      </c>
      <c r="E115" s="2079" t="e">
        <v>#N/A</v>
      </c>
      <c r="F115" s="2082" t="e">
        <v>#N/A</v>
      </c>
      <c r="G115" s="2079" t="e">
        <v>#N/A</v>
      </c>
      <c r="H115" s="1015" t="e">
        <v>#N/A</v>
      </c>
      <c r="I115" s="2079" t="e">
        <v>#N/A</v>
      </c>
      <c r="J115" s="2079" t="e">
        <v>#N/A</v>
      </c>
      <c r="K115" s="2082" t="e">
        <v>#N/A</v>
      </c>
      <c r="L115" s="2079" t="e">
        <v>#N/A</v>
      </c>
      <c r="M115" s="2082" t="e">
        <v>#N/A</v>
      </c>
      <c r="N115" s="2079" t="e">
        <v>#N/A</v>
      </c>
      <c r="O115" s="2082" t="e">
        <v>#N/A</v>
      </c>
      <c r="P115" s="2079" t="e">
        <v>#N/A</v>
      </c>
      <c r="Q115" s="2082" t="e">
        <v>#N/A</v>
      </c>
      <c r="R115" s="2079" t="e">
        <v>#N/A</v>
      </c>
      <c r="S115" s="2082" t="e">
        <v>#N/A</v>
      </c>
      <c r="T115" s="2101" t="e">
        <v>#N/A</v>
      </c>
      <c r="U115" s="2109" t="e">
        <v>#N/A</v>
      </c>
      <c r="V115" s="2101" t="e">
        <v>#N/A</v>
      </c>
      <c r="W115" s="2087" t="e">
        <v>#N/A</v>
      </c>
      <c r="X115" s="2079" t="e">
        <v>#N/A</v>
      </c>
      <c r="Y115" s="1523" t="e">
        <v>#N/A</v>
      </c>
    </row>
    <row r="116" spans="1:25">
      <c r="A116" s="745">
        <f t="shared" si="2"/>
        <v>2024.11</v>
      </c>
      <c r="B116" s="2069" t="e">
        <v>#N/A</v>
      </c>
      <c r="C116" s="2079" t="e">
        <v>#N/A</v>
      </c>
      <c r="D116" s="2082" t="e">
        <v>#N/A</v>
      </c>
      <c r="E116" s="2079" t="e">
        <v>#N/A</v>
      </c>
      <c r="F116" s="2082" t="e">
        <v>#N/A</v>
      </c>
      <c r="G116" s="2079" t="e">
        <v>#N/A</v>
      </c>
      <c r="H116" s="1015" t="e">
        <v>#N/A</v>
      </c>
      <c r="I116" s="2079" t="e">
        <v>#N/A</v>
      </c>
      <c r="J116" s="2079" t="e">
        <v>#N/A</v>
      </c>
      <c r="K116" s="2082" t="e">
        <v>#N/A</v>
      </c>
      <c r="L116" s="2079" t="e">
        <v>#N/A</v>
      </c>
      <c r="M116" s="2082" t="e">
        <v>#N/A</v>
      </c>
      <c r="N116" s="2079" t="e">
        <v>#N/A</v>
      </c>
      <c r="O116" s="2082" t="e">
        <v>#N/A</v>
      </c>
      <c r="P116" s="2079" t="e">
        <v>#N/A</v>
      </c>
      <c r="Q116" s="2082" t="e">
        <v>#N/A</v>
      </c>
      <c r="R116" s="2079" t="e">
        <v>#N/A</v>
      </c>
      <c r="S116" s="2082" t="e">
        <v>#N/A</v>
      </c>
      <c r="T116" s="2101" t="e">
        <v>#N/A</v>
      </c>
      <c r="U116" s="2109" t="e">
        <v>#N/A</v>
      </c>
      <c r="V116" s="2101" t="e">
        <v>#N/A</v>
      </c>
      <c r="W116" s="2087" t="e">
        <v>#N/A</v>
      </c>
      <c r="X116" s="2079" t="e">
        <v>#N/A</v>
      </c>
      <c r="Y116" s="1523" t="e">
        <v>#N/A</v>
      </c>
    </row>
    <row r="117" spans="1:25">
      <c r="A117" s="745">
        <f t="shared" si="2"/>
        <v>2024.12</v>
      </c>
      <c r="B117" s="2069" t="e">
        <v>#N/A</v>
      </c>
      <c r="C117" s="2079" t="e">
        <v>#N/A</v>
      </c>
      <c r="D117" s="2082" t="e">
        <v>#N/A</v>
      </c>
      <c r="E117" s="2079" t="e">
        <v>#N/A</v>
      </c>
      <c r="F117" s="2082" t="e">
        <v>#N/A</v>
      </c>
      <c r="G117" s="2079" t="e">
        <v>#N/A</v>
      </c>
      <c r="H117" s="1015" t="e">
        <v>#N/A</v>
      </c>
      <c r="I117" s="2079" t="e">
        <v>#N/A</v>
      </c>
      <c r="J117" s="2079" t="e">
        <v>#N/A</v>
      </c>
      <c r="K117" s="2082" t="e">
        <v>#N/A</v>
      </c>
      <c r="L117" s="2079" t="e">
        <v>#N/A</v>
      </c>
      <c r="M117" s="2082" t="e">
        <v>#N/A</v>
      </c>
      <c r="N117" s="2079" t="e">
        <v>#N/A</v>
      </c>
      <c r="O117" s="2082" t="e">
        <v>#N/A</v>
      </c>
      <c r="P117" s="2079" t="e">
        <v>#N/A</v>
      </c>
      <c r="Q117" s="2082" t="e">
        <v>#N/A</v>
      </c>
      <c r="R117" s="2079" t="e">
        <v>#N/A</v>
      </c>
      <c r="S117" s="2082" t="e">
        <v>#N/A</v>
      </c>
      <c r="T117" s="2101" t="e">
        <v>#N/A</v>
      </c>
      <c r="U117" s="2109" t="e">
        <v>#N/A</v>
      </c>
      <c r="V117" s="2101" t="e">
        <v>#N/A</v>
      </c>
      <c r="W117" s="2087" t="e">
        <v>#N/A</v>
      </c>
      <c r="X117" s="2079" t="e">
        <v>#N/A</v>
      </c>
      <c r="Y117" s="1523" t="e">
        <v>#N/A</v>
      </c>
    </row>
    <row r="118" spans="1:25">
      <c r="A118" s="745">
        <f t="shared" si="2"/>
        <v>2025.01</v>
      </c>
      <c r="B118" s="2069" t="e">
        <v>#N/A</v>
      </c>
      <c r="C118" s="2079" t="e">
        <v>#N/A</v>
      </c>
      <c r="D118" s="2082" t="e">
        <v>#N/A</v>
      </c>
      <c r="E118" s="2079" t="e">
        <v>#N/A</v>
      </c>
      <c r="F118" s="2082" t="e">
        <v>#N/A</v>
      </c>
      <c r="G118" s="2079" t="e">
        <v>#N/A</v>
      </c>
      <c r="H118" s="1015" t="e">
        <v>#N/A</v>
      </c>
      <c r="I118" s="2079" t="e">
        <v>#N/A</v>
      </c>
      <c r="J118" s="2079" t="e">
        <v>#N/A</v>
      </c>
      <c r="K118" s="2082" t="e">
        <v>#N/A</v>
      </c>
      <c r="L118" s="2079" t="e">
        <v>#N/A</v>
      </c>
      <c r="M118" s="2082" t="e">
        <v>#N/A</v>
      </c>
      <c r="N118" s="2079" t="e">
        <v>#N/A</v>
      </c>
      <c r="O118" s="2082" t="e">
        <v>#N/A</v>
      </c>
      <c r="P118" s="2079" t="e">
        <v>#N/A</v>
      </c>
      <c r="Q118" s="2082" t="e">
        <v>#N/A</v>
      </c>
      <c r="R118" s="2079" t="e">
        <v>#N/A</v>
      </c>
      <c r="S118" s="2082" t="e">
        <v>#N/A</v>
      </c>
      <c r="T118" s="2101" t="e">
        <v>#N/A</v>
      </c>
      <c r="U118" s="2109" t="e">
        <v>#N/A</v>
      </c>
      <c r="V118" s="2101" t="e">
        <v>#N/A</v>
      </c>
      <c r="W118" s="2087" t="e">
        <v>#N/A</v>
      </c>
      <c r="X118" s="2079" t="e">
        <v>#N/A</v>
      </c>
      <c r="Y118" s="1523" t="e">
        <v>#N/A</v>
      </c>
    </row>
    <row r="119" spans="1:25">
      <c r="A119" s="745">
        <f t="shared" si="2"/>
        <v>2025.02</v>
      </c>
      <c r="B119" s="2069" t="e">
        <v>#N/A</v>
      </c>
      <c r="C119" s="2079" t="e">
        <v>#N/A</v>
      </c>
      <c r="D119" s="2082" t="e">
        <v>#N/A</v>
      </c>
      <c r="E119" s="2079" t="e">
        <v>#N/A</v>
      </c>
      <c r="F119" s="2082" t="e">
        <v>#N/A</v>
      </c>
      <c r="G119" s="2079" t="e">
        <v>#N/A</v>
      </c>
      <c r="H119" s="1015" t="e">
        <v>#N/A</v>
      </c>
      <c r="I119" s="2079" t="e">
        <v>#N/A</v>
      </c>
      <c r="J119" s="2079" t="e">
        <v>#N/A</v>
      </c>
      <c r="K119" s="2082" t="e">
        <v>#N/A</v>
      </c>
      <c r="L119" s="2079" t="e">
        <v>#N/A</v>
      </c>
      <c r="M119" s="2082" t="e">
        <v>#N/A</v>
      </c>
      <c r="N119" s="2079" t="e">
        <v>#N/A</v>
      </c>
      <c r="O119" s="2082" t="e">
        <v>#N/A</v>
      </c>
      <c r="P119" s="2079" t="e">
        <v>#N/A</v>
      </c>
      <c r="Q119" s="2082" t="e">
        <v>#N/A</v>
      </c>
      <c r="R119" s="2079" t="e">
        <v>#N/A</v>
      </c>
      <c r="S119" s="2082" t="e">
        <v>#N/A</v>
      </c>
      <c r="T119" s="2101" t="e">
        <v>#N/A</v>
      </c>
      <c r="U119" s="2109" t="e">
        <v>#N/A</v>
      </c>
      <c r="V119" s="2101" t="e">
        <v>#N/A</v>
      </c>
      <c r="W119" s="2087" t="e">
        <v>#N/A</v>
      </c>
      <c r="X119" s="2079" t="e">
        <v>#N/A</v>
      </c>
      <c r="Y119" s="1523" t="e">
        <v>#N/A</v>
      </c>
    </row>
    <row r="120" spans="1:25">
      <c r="A120" s="745">
        <f t="shared" si="2"/>
        <v>2025.03</v>
      </c>
      <c r="B120" s="2069" t="e">
        <v>#N/A</v>
      </c>
      <c r="C120" s="2079" t="e">
        <v>#N/A</v>
      </c>
      <c r="D120" s="2082" t="e">
        <v>#N/A</v>
      </c>
      <c r="E120" s="2079" t="e">
        <v>#N/A</v>
      </c>
      <c r="F120" s="2082" t="e">
        <v>#N/A</v>
      </c>
      <c r="G120" s="2079" t="e">
        <v>#N/A</v>
      </c>
      <c r="H120" s="1015" t="e">
        <v>#N/A</v>
      </c>
      <c r="I120" s="2079" t="e">
        <v>#N/A</v>
      </c>
      <c r="J120" s="2079" t="e">
        <v>#N/A</v>
      </c>
      <c r="K120" s="2082" t="e">
        <v>#N/A</v>
      </c>
      <c r="L120" s="2079" t="e">
        <v>#N/A</v>
      </c>
      <c r="M120" s="2082" t="e">
        <v>#N/A</v>
      </c>
      <c r="N120" s="2079" t="e">
        <v>#N/A</v>
      </c>
      <c r="O120" s="2082" t="e">
        <v>#N/A</v>
      </c>
      <c r="P120" s="2079" t="e">
        <v>#N/A</v>
      </c>
      <c r="Q120" s="2082" t="e">
        <v>#N/A</v>
      </c>
      <c r="R120" s="2079" t="e">
        <v>#N/A</v>
      </c>
      <c r="S120" s="2082" t="e">
        <v>#N/A</v>
      </c>
      <c r="T120" s="2101" t="e">
        <v>#N/A</v>
      </c>
      <c r="U120" s="2109" t="e">
        <v>#N/A</v>
      </c>
      <c r="V120" s="2101" t="e">
        <v>#N/A</v>
      </c>
      <c r="W120" s="2087" t="e">
        <v>#N/A</v>
      </c>
      <c r="X120" s="2079" t="e">
        <v>#N/A</v>
      </c>
      <c r="Y120" s="1523" t="e">
        <v>#N/A</v>
      </c>
    </row>
    <row r="121" spans="1:25">
      <c r="A121" s="745">
        <f t="shared" si="2"/>
        <v>2025.04</v>
      </c>
      <c r="B121" s="2069" t="e">
        <v>#N/A</v>
      </c>
      <c r="C121" s="2079" t="e">
        <v>#N/A</v>
      </c>
      <c r="D121" s="2082" t="e">
        <v>#N/A</v>
      </c>
      <c r="E121" s="2079" t="e">
        <v>#N/A</v>
      </c>
      <c r="F121" s="2082" t="e">
        <v>#N/A</v>
      </c>
      <c r="G121" s="2079" t="e">
        <v>#N/A</v>
      </c>
      <c r="H121" s="1015" t="e">
        <v>#N/A</v>
      </c>
      <c r="I121" s="2079" t="e">
        <v>#N/A</v>
      </c>
      <c r="J121" s="2079" t="e">
        <v>#N/A</v>
      </c>
      <c r="K121" s="2082" t="e">
        <v>#N/A</v>
      </c>
      <c r="L121" s="2079" t="e">
        <v>#N/A</v>
      </c>
      <c r="M121" s="2082" t="e">
        <v>#N/A</v>
      </c>
      <c r="N121" s="2079" t="e">
        <v>#N/A</v>
      </c>
      <c r="O121" s="2082" t="e">
        <v>#N/A</v>
      </c>
      <c r="P121" s="2079" t="e">
        <v>#N/A</v>
      </c>
      <c r="Q121" s="2082" t="e">
        <v>#N/A</v>
      </c>
      <c r="R121" s="2079" t="e">
        <v>#N/A</v>
      </c>
      <c r="S121" s="2082" t="e">
        <v>#N/A</v>
      </c>
      <c r="T121" s="2101" t="e">
        <v>#N/A</v>
      </c>
      <c r="U121" s="2109" t="e">
        <v>#N/A</v>
      </c>
      <c r="V121" s="2101" t="e">
        <v>#N/A</v>
      </c>
      <c r="W121" s="2087" t="e">
        <v>#N/A</v>
      </c>
      <c r="X121" s="2079" t="e">
        <v>#N/A</v>
      </c>
      <c r="Y121" s="1523" t="e">
        <v>#N/A</v>
      </c>
    </row>
    <row r="122" spans="1:25">
      <c r="A122" s="745">
        <f t="shared" si="2"/>
        <v>2025.05</v>
      </c>
      <c r="B122" s="2069" t="e">
        <v>#N/A</v>
      </c>
      <c r="C122" s="2079" t="e">
        <v>#N/A</v>
      </c>
      <c r="D122" s="2082" t="e">
        <v>#N/A</v>
      </c>
      <c r="E122" s="2079" t="e">
        <v>#N/A</v>
      </c>
      <c r="F122" s="2082" t="e">
        <v>#N/A</v>
      </c>
      <c r="G122" s="2079" t="e">
        <v>#N/A</v>
      </c>
      <c r="H122" s="1015" t="e">
        <v>#N/A</v>
      </c>
      <c r="I122" s="2079" t="e">
        <v>#N/A</v>
      </c>
      <c r="J122" s="2079" t="e">
        <v>#N/A</v>
      </c>
      <c r="K122" s="2082" t="e">
        <v>#N/A</v>
      </c>
      <c r="L122" s="2079" t="e">
        <v>#N/A</v>
      </c>
      <c r="M122" s="2082" t="e">
        <v>#N/A</v>
      </c>
      <c r="N122" s="2079" t="e">
        <v>#N/A</v>
      </c>
      <c r="O122" s="2082" t="e">
        <v>#N/A</v>
      </c>
      <c r="P122" s="2079" t="e">
        <v>#N/A</v>
      </c>
      <c r="Q122" s="2082" t="e">
        <v>#N/A</v>
      </c>
      <c r="R122" s="2079" t="e">
        <v>#N/A</v>
      </c>
      <c r="S122" s="2082" t="e">
        <v>#N/A</v>
      </c>
      <c r="T122" s="2101" t="e">
        <v>#N/A</v>
      </c>
      <c r="U122" s="2109" t="e">
        <v>#N/A</v>
      </c>
      <c r="V122" s="2101" t="e">
        <v>#N/A</v>
      </c>
      <c r="W122" s="2087" t="e">
        <v>#N/A</v>
      </c>
      <c r="X122" s="2079" t="e">
        <v>#N/A</v>
      </c>
      <c r="Y122" s="1523" t="e">
        <v>#N/A</v>
      </c>
    </row>
    <row r="123" spans="1:25">
      <c r="A123" s="745">
        <f t="shared" si="2"/>
        <v>2025.06</v>
      </c>
      <c r="B123" s="2069" t="e">
        <v>#N/A</v>
      </c>
      <c r="C123" s="2079" t="e">
        <v>#N/A</v>
      </c>
      <c r="D123" s="2082" t="e">
        <v>#N/A</v>
      </c>
      <c r="E123" s="2079" t="e">
        <v>#N/A</v>
      </c>
      <c r="F123" s="2082" t="e">
        <v>#N/A</v>
      </c>
      <c r="G123" s="2079" t="e">
        <v>#N/A</v>
      </c>
      <c r="H123" s="1015" t="e">
        <v>#N/A</v>
      </c>
      <c r="I123" s="2079" t="e">
        <v>#N/A</v>
      </c>
      <c r="J123" s="2079" t="e">
        <v>#N/A</v>
      </c>
      <c r="K123" s="2082" t="e">
        <v>#N/A</v>
      </c>
      <c r="L123" s="2079" t="e">
        <v>#N/A</v>
      </c>
      <c r="M123" s="2082" t="e">
        <v>#N/A</v>
      </c>
      <c r="N123" s="2079" t="e">
        <v>#N/A</v>
      </c>
      <c r="O123" s="2082" t="e">
        <v>#N/A</v>
      </c>
      <c r="P123" s="2079" t="e">
        <v>#N/A</v>
      </c>
      <c r="Q123" s="2082" t="e">
        <v>#N/A</v>
      </c>
      <c r="R123" s="2079" t="e">
        <v>#N/A</v>
      </c>
      <c r="S123" s="2082" t="e">
        <v>#N/A</v>
      </c>
      <c r="T123" s="2101" t="e">
        <v>#N/A</v>
      </c>
      <c r="U123" s="2109" t="e">
        <v>#N/A</v>
      </c>
      <c r="V123" s="2101" t="e">
        <v>#N/A</v>
      </c>
      <c r="W123" s="2087" t="e">
        <v>#N/A</v>
      </c>
      <c r="X123" s="2079" t="e">
        <v>#N/A</v>
      </c>
      <c r="Y123" s="1523" t="e">
        <v>#N/A</v>
      </c>
    </row>
    <row r="124" spans="1:25">
      <c r="A124" s="745">
        <f t="shared" si="2"/>
        <v>2025.07</v>
      </c>
      <c r="B124" s="2069" t="e">
        <v>#N/A</v>
      </c>
      <c r="C124" s="2079" t="e">
        <v>#N/A</v>
      </c>
      <c r="D124" s="2082" t="e">
        <v>#N/A</v>
      </c>
      <c r="E124" s="2079" t="e">
        <v>#N/A</v>
      </c>
      <c r="F124" s="2082" t="e">
        <v>#N/A</v>
      </c>
      <c r="G124" s="2079" t="e">
        <v>#N/A</v>
      </c>
      <c r="H124" s="1015" t="e">
        <v>#N/A</v>
      </c>
      <c r="I124" s="2079" t="e">
        <v>#N/A</v>
      </c>
      <c r="J124" s="2079" t="e">
        <v>#N/A</v>
      </c>
      <c r="K124" s="2082" t="e">
        <v>#N/A</v>
      </c>
      <c r="L124" s="2079" t="e">
        <v>#N/A</v>
      </c>
      <c r="M124" s="2082" t="e">
        <v>#N/A</v>
      </c>
      <c r="N124" s="2079" t="e">
        <v>#N/A</v>
      </c>
      <c r="O124" s="2082" t="e">
        <v>#N/A</v>
      </c>
      <c r="P124" s="2079" t="e">
        <v>#N/A</v>
      </c>
      <c r="Q124" s="2082" t="e">
        <v>#N/A</v>
      </c>
      <c r="R124" s="2079" t="e">
        <v>#N/A</v>
      </c>
      <c r="S124" s="2082" t="e">
        <v>#N/A</v>
      </c>
      <c r="T124" s="2101" t="e">
        <v>#N/A</v>
      </c>
      <c r="U124" s="2109" t="e">
        <v>#N/A</v>
      </c>
      <c r="V124" s="2101" t="e">
        <v>#N/A</v>
      </c>
      <c r="W124" s="2087" t="e">
        <v>#N/A</v>
      </c>
      <c r="X124" s="2079" t="e">
        <v>#N/A</v>
      </c>
      <c r="Y124" s="1523" t="e">
        <v>#N/A</v>
      </c>
    </row>
    <row r="125" spans="1:25">
      <c r="A125" s="745">
        <f t="shared" si="2"/>
        <v>2025.08</v>
      </c>
      <c r="B125" s="2069" t="e">
        <v>#N/A</v>
      </c>
      <c r="C125" s="2079" t="e">
        <v>#N/A</v>
      </c>
      <c r="D125" s="2082" t="e">
        <v>#N/A</v>
      </c>
      <c r="E125" s="2079" t="e">
        <v>#N/A</v>
      </c>
      <c r="F125" s="2082" t="e">
        <v>#N/A</v>
      </c>
      <c r="G125" s="2079" t="e">
        <v>#N/A</v>
      </c>
      <c r="H125" s="1015" t="e">
        <v>#N/A</v>
      </c>
      <c r="I125" s="2079" t="e">
        <v>#N/A</v>
      </c>
      <c r="J125" s="2079" t="e">
        <v>#N/A</v>
      </c>
      <c r="K125" s="2082" t="e">
        <v>#N/A</v>
      </c>
      <c r="L125" s="2079" t="e">
        <v>#N/A</v>
      </c>
      <c r="M125" s="2082" t="e">
        <v>#N/A</v>
      </c>
      <c r="N125" s="2079" t="e">
        <v>#N/A</v>
      </c>
      <c r="O125" s="2082" t="e">
        <v>#N/A</v>
      </c>
      <c r="P125" s="2079" t="e">
        <v>#N/A</v>
      </c>
      <c r="Q125" s="2082" t="e">
        <v>#N/A</v>
      </c>
      <c r="R125" s="2079" t="e">
        <v>#N/A</v>
      </c>
      <c r="S125" s="2082" t="e">
        <v>#N/A</v>
      </c>
      <c r="T125" s="2101" t="e">
        <v>#N/A</v>
      </c>
      <c r="U125" s="2109" t="e">
        <v>#N/A</v>
      </c>
      <c r="V125" s="2101" t="e">
        <v>#N/A</v>
      </c>
      <c r="W125" s="2087" t="e">
        <v>#N/A</v>
      </c>
      <c r="X125" s="2079" t="e">
        <v>#N/A</v>
      </c>
      <c r="Y125" s="1523" t="e">
        <v>#N/A</v>
      </c>
    </row>
    <row r="126" spans="1:25">
      <c r="A126" s="745">
        <f t="shared" si="2"/>
        <v>2025.09</v>
      </c>
      <c r="B126" s="2069" t="e">
        <v>#N/A</v>
      </c>
      <c r="C126" s="2079" t="e">
        <v>#N/A</v>
      </c>
      <c r="D126" s="2082" t="e">
        <v>#N/A</v>
      </c>
      <c r="E126" s="2079" t="e">
        <v>#N/A</v>
      </c>
      <c r="F126" s="2082" t="e">
        <v>#N/A</v>
      </c>
      <c r="G126" s="2079" t="e">
        <v>#N/A</v>
      </c>
      <c r="H126" s="1015" t="e">
        <v>#N/A</v>
      </c>
      <c r="I126" s="2079" t="e">
        <v>#N/A</v>
      </c>
      <c r="J126" s="2079" t="e">
        <v>#N/A</v>
      </c>
      <c r="K126" s="2082" t="e">
        <v>#N/A</v>
      </c>
      <c r="L126" s="2079" t="e">
        <v>#N/A</v>
      </c>
      <c r="M126" s="2082" t="e">
        <v>#N/A</v>
      </c>
      <c r="N126" s="2079" t="e">
        <v>#N/A</v>
      </c>
      <c r="O126" s="2082" t="e">
        <v>#N/A</v>
      </c>
      <c r="P126" s="2079" t="e">
        <v>#N/A</v>
      </c>
      <c r="Q126" s="2082" t="e">
        <v>#N/A</v>
      </c>
      <c r="R126" s="2079" t="e">
        <v>#N/A</v>
      </c>
      <c r="S126" s="2082" t="e">
        <v>#N/A</v>
      </c>
      <c r="T126" s="2101" t="e">
        <v>#N/A</v>
      </c>
      <c r="U126" s="2109" t="e">
        <v>#N/A</v>
      </c>
      <c r="V126" s="2101" t="e">
        <v>#N/A</v>
      </c>
      <c r="W126" s="2087" t="e">
        <v>#N/A</v>
      </c>
      <c r="X126" s="2079" t="e">
        <v>#N/A</v>
      </c>
      <c r="Y126" s="1523" t="e">
        <v>#N/A</v>
      </c>
    </row>
    <row r="127" spans="1:25">
      <c r="A127" s="745">
        <f t="shared" si="2"/>
        <v>2025.1</v>
      </c>
      <c r="B127" s="2069" t="e">
        <v>#N/A</v>
      </c>
      <c r="C127" s="2079" t="e">
        <v>#N/A</v>
      </c>
      <c r="D127" s="2082" t="e">
        <v>#N/A</v>
      </c>
      <c r="E127" s="2079" t="e">
        <v>#N/A</v>
      </c>
      <c r="F127" s="2082" t="e">
        <v>#N/A</v>
      </c>
      <c r="G127" s="2079" t="e">
        <v>#N/A</v>
      </c>
      <c r="H127" s="1015" t="e">
        <v>#N/A</v>
      </c>
      <c r="I127" s="2079" t="e">
        <v>#N/A</v>
      </c>
      <c r="J127" s="2079" t="e">
        <v>#N/A</v>
      </c>
      <c r="K127" s="2082" t="e">
        <v>#N/A</v>
      </c>
      <c r="L127" s="2079" t="e">
        <v>#N/A</v>
      </c>
      <c r="M127" s="2082" t="e">
        <v>#N/A</v>
      </c>
      <c r="N127" s="2079" t="e">
        <v>#N/A</v>
      </c>
      <c r="O127" s="2082" t="e">
        <v>#N/A</v>
      </c>
      <c r="P127" s="2079" t="e">
        <v>#N/A</v>
      </c>
      <c r="Q127" s="2082" t="e">
        <v>#N/A</v>
      </c>
      <c r="R127" s="2079" t="e">
        <v>#N/A</v>
      </c>
      <c r="S127" s="2082" t="e">
        <v>#N/A</v>
      </c>
      <c r="T127" s="2101" t="e">
        <v>#N/A</v>
      </c>
      <c r="U127" s="2109" t="e">
        <v>#N/A</v>
      </c>
      <c r="V127" s="2101" t="e">
        <v>#N/A</v>
      </c>
      <c r="W127" s="2087" t="e">
        <v>#N/A</v>
      </c>
      <c r="X127" s="2079" t="e">
        <v>#N/A</v>
      </c>
      <c r="Y127" s="1523" t="e">
        <v>#N/A</v>
      </c>
    </row>
    <row r="128" spans="1:25">
      <c r="A128" s="745">
        <f t="shared" si="2"/>
        <v>2025.11</v>
      </c>
      <c r="B128" s="2069" t="e">
        <v>#N/A</v>
      </c>
      <c r="C128" s="2079" t="e">
        <v>#N/A</v>
      </c>
      <c r="D128" s="2082" t="e">
        <v>#N/A</v>
      </c>
      <c r="E128" s="2079" t="e">
        <v>#N/A</v>
      </c>
      <c r="F128" s="2082" t="e">
        <v>#N/A</v>
      </c>
      <c r="G128" s="2079" t="e">
        <v>#N/A</v>
      </c>
      <c r="H128" s="1015" t="e">
        <v>#N/A</v>
      </c>
      <c r="I128" s="2079" t="e">
        <v>#N/A</v>
      </c>
      <c r="J128" s="2079" t="e">
        <v>#N/A</v>
      </c>
      <c r="K128" s="2082" t="e">
        <v>#N/A</v>
      </c>
      <c r="L128" s="2079" t="e">
        <v>#N/A</v>
      </c>
      <c r="M128" s="2082" t="e">
        <v>#N/A</v>
      </c>
      <c r="N128" s="2079" t="e">
        <v>#N/A</v>
      </c>
      <c r="O128" s="2082" t="e">
        <v>#N/A</v>
      </c>
      <c r="P128" s="2079" t="e">
        <v>#N/A</v>
      </c>
      <c r="Q128" s="2082" t="e">
        <v>#N/A</v>
      </c>
      <c r="R128" s="2079" t="e">
        <v>#N/A</v>
      </c>
      <c r="S128" s="2082" t="e">
        <v>#N/A</v>
      </c>
      <c r="T128" s="2101" t="e">
        <v>#N/A</v>
      </c>
      <c r="U128" s="2109" t="e">
        <v>#N/A</v>
      </c>
      <c r="V128" s="2101" t="e">
        <v>#N/A</v>
      </c>
      <c r="W128" s="2087" t="e">
        <v>#N/A</v>
      </c>
      <c r="X128" s="2079" t="e">
        <v>#N/A</v>
      </c>
      <c r="Y128" s="1523" t="e">
        <v>#N/A</v>
      </c>
    </row>
    <row r="129" spans="1:25">
      <c r="A129" s="745">
        <f t="shared" si="2"/>
        <v>2025.12</v>
      </c>
      <c r="B129" s="2069" t="e">
        <v>#N/A</v>
      </c>
      <c r="C129" s="2079" t="e">
        <v>#N/A</v>
      </c>
      <c r="D129" s="2082" t="e">
        <v>#N/A</v>
      </c>
      <c r="E129" s="2079" t="e">
        <v>#N/A</v>
      </c>
      <c r="F129" s="2082" t="e">
        <v>#N/A</v>
      </c>
      <c r="G129" s="2079" t="e">
        <v>#N/A</v>
      </c>
      <c r="H129" s="1015" t="e">
        <v>#N/A</v>
      </c>
      <c r="I129" s="2079" t="e">
        <v>#N/A</v>
      </c>
      <c r="J129" s="2079" t="e">
        <v>#N/A</v>
      </c>
      <c r="K129" s="2082" t="e">
        <v>#N/A</v>
      </c>
      <c r="L129" s="2079" t="e">
        <v>#N/A</v>
      </c>
      <c r="M129" s="2082" t="e">
        <v>#N/A</v>
      </c>
      <c r="N129" s="2079" t="e">
        <v>#N/A</v>
      </c>
      <c r="O129" s="2082" t="e">
        <v>#N/A</v>
      </c>
      <c r="P129" s="2079" t="e">
        <v>#N/A</v>
      </c>
      <c r="Q129" s="2082" t="e">
        <v>#N/A</v>
      </c>
      <c r="R129" s="2079" t="e">
        <v>#N/A</v>
      </c>
      <c r="S129" s="2082" t="e">
        <v>#N/A</v>
      </c>
      <c r="T129" s="2101" t="e">
        <v>#N/A</v>
      </c>
      <c r="U129" s="2109" t="e">
        <v>#N/A</v>
      </c>
      <c r="V129" s="2101" t="e">
        <v>#N/A</v>
      </c>
      <c r="W129" s="2087" t="e">
        <v>#N/A</v>
      </c>
      <c r="X129" s="2079" t="e">
        <v>#N/A</v>
      </c>
      <c r="Y129" s="1523" t="e">
        <v>#N/A</v>
      </c>
    </row>
    <row r="130" spans="1:25">
      <c r="A130" s="745">
        <f t="shared" si="2"/>
        <v>2026.01</v>
      </c>
      <c r="B130" s="2069" t="e">
        <v>#N/A</v>
      </c>
      <c r="C130" s="2079" t="e">
        <v>#N/A</v>
      </c>
      <c r="D130" s="2082" t="e">
        <v>#N/A</v>
      </c>
      <c r="E130" s="2079" t="e">
        <v>#N/A</v>
      </c>
      <c r="F130" s="2082" t="e">
        <v>#N/A</v>
      </c>
      <c r="G130" s="2079" t="e">
        <v>#N/A</v>
      </c>
      <c r="H130" s="1015" t="e">
        <v>#N/A</v>
      </c>
      <c r="I130" s="2079" t="e">
        <v>#N/A</v>
      </c>
      <c r="J130" s="2079" t="e">
        <v>#N/A</v>
      </c>
      <c r="K130" s="2082" t="e">
        <v>#N/A</v>
      </c>
      <c r="L130" s="2079" t="e">
        <v>#N/A</v>
      </c>
      <c r="M130" s="2082" t="e">
        <v>#N/A</v>
      </c>
      <c r="N130" s="2079" t="e">
        <v>#N/A</v>
      </c>
      <c r="O130" s="2082" t="e">
        <v>#N/A</v>
      </c>
      <c r="P130" s="2079" t="e">
        <v>#N/A</v>
      </c>
      <c r="Q130" s="2082" t="e">
        <v>#N/A</v>
      </c>
      <c r="R130" s="2079" t="e">
        <v>#N/A</v>
      </c>
      <c r="S130" s="2082" t="e">
        <v>#N/A</v>
      </c>
      <c r="T130" s="2101" t="e">
        <v>#N/A</v>
      </c>
      <c r="U130" s="2109" t="e">
        <v>#N/A</v>
      </c>
      <c r="V130" s="2101" t="e">
        <v>#N/A</v>
      </c>
      <c r="W130" s="2087" t="e">
        <v>#N/A</v>
      </c>
      <c r="X130" s="2079" t="e">
        <v>#N/A</v>
      </c>
      <c r="Y130" s="1523" t="e">
        <v>#N/A</v>
      </c>
    </row>
    <row r="131" spans="1:25">
      <c r="A131" s="745">
        <f t="shared" si="2"/>
        <v>2026.02</v>
      </c>
      <c r="B131" s="2069" t="e">
        <v>#N/A</v>
      </c>
      <c r="C131" s="2079" t="e">
        <v>#N/A</v>
      </c>
      <c r="D131" s="2082" t="e">
        <v>#N/A</v>
      </c>
      <c r="E131" s="2079" t="e">
        <v>#N/A</v>
      </c>
      <c r="F131" s="2082" t="e">
        <v>#N/A</v>
      </c>
      <c r="G131" s="2079" t="e">
        <v>#N/A</v>
      </c>
      <c r="H131" s="1015" t="e">
        <v>#N/A</v>
      </c>
      <c r="I131" s="2079" t="e">
        <v>#N/A</v>
      </c>
      <c r="J131" s="2079" t="e">
        <v>#N/A</v>
      </c>
      <c r="K131" s="2082" t="e">
        <v>#N/A</v>
      </c>
      <c r="L131" s="2079" t="e">
        <v>#N/A</v>
      </c>
      <c r="M131" s="2082" t="e">
        <v>#N/A</v>
      </c>
      <c r="N131" s="2079" t="e">
        <v>#N/A</v>
      </c>
      <c r="O131" s="2082" t="e">
        <v>#N/A</v>
      </c>
      <c r="P131" s="2079" t="e">
        <v>#N/A</v>
      </c>
      <c r="Q131" s="2082" t="e">
        <v>#N/A</v>
      </c>
      <c r="R131" s="2079" t="e">
        <v>#N/A</v>
      </c>
      <c r="S131" s="2082" t="e">
        <v>#N/A</v>
      </c>
      <c r="T131" s="2101" t="e">
        <v>#N/A</v>
      </c>
      <c r="U131" s="2109" t="e">
        <v>#N/A</v>
      </c>
      <c r="V131" s="2101" t="e">
        <v>#N/A</v>
      </c>
      <c r="W131" s="2087" t="e">
        <v>#N/A</v>
      </c>
      <c r="X131" s="2079" t="e">
        <v>#N/A</v>
      </c>
      <c r="Y131" s="1523" t="e">
        <v>#N/A</v>
      </c>
    </row>
    <row r="132" spans="1:25">
      <c r="A132" s="745">
        <f t="shared" si="2"/>
        <v>2026.03</v>
      </c>
      <c r="B132" s="2069" t="e">
        <v>#N/A</v>
      </c>
      <c r="C132" s="2079" t="e">
        <v>#N/A</v>
      </c>
      <c r="D132" s="2082" t="e">
        <v>#N/A</v>
      </c>
      <c r="E132" s="2079" t="e">
        <v>#N/A</v>
      </c>
      <c r="F132" s="2082" t="e">
        <v>#N/A</v>
      </c>
      <c r="G132" s="2079" t="e">
        <v>#N/A</v>
      </c>
      <c r="H132" s="1015" t="e">
        <v>#N/A</v>
      </c>
      <c r="I132" s="2079" t="e">
        <v>#N/A</v>
      </c>
      <c r="J132" s="2079" t="e">
        <v>#N/A</v>
      </c>
      <c r="K132" s="2082" t="e">
        <v>#N/A</v>
      </c>
      <c r="L132" s="2079" t="e">
        <v>#N/A</v>
      </c>
      <c r="M132" s="2082" t="e">
        <v>#N/A</v>
      </c>
      <c r="N132" s="2079" t="e">
        <v>#N/A</v>
      </c>
      <c r="O132" s="2082" t="e">
        <v>#N/A</v>
      </c>
      <c r="P132" s="2079" t="e">
        <v>#N/A</v>
      </c>
      <c r="Q132" s="2082" t="e">
        <v>#N/A</v>
      </c>
      <c r="R132" s="2079" t="e">
        <v>#N/A</v>
      </c>
      <c r="S132" s="2082" t="e">
        <v>#N/A</v>
      </c>
      <c r="T132" s="2101" t="e">
        <v>#N/A</v>
      </c>
      <c r="U132" s="2109" t="e">
        <v>#N/A</v>
      </c>
      <c r="V132" s="2101" t="e">
        <v>#N/A</v>
      </c>
      <c r="W132" s="2087" t="e">
        <v>#N/A</v>
      </c>
      <c r="X132" s="2079" t="e">
        <v>#N/A</v>
      </c>
      <c r="Y132" s="1523" t="e">
        <v>#N/A</v>
      </c>
    </row>
    <row r="133" spans="1:25">
      <c r="A133" s="745">
        <f t="shared" si="2"/>
        <v>2026.04</v>
      </c>
      <c r="B133" s="2069" t="e">
        <v>#N/A</v>
      </c>
      <c r="C133" s="2079" t="e">
        <v>#N/A</v>
      </c>
      <c r="D133" s="2082" t="e">
        <v>#N/A</v>
      </c>
      <c r="E133" s="2079" t="e">
        <v>#N/A</v>
      </c>
      <c r="F133" s="2082" t="e">
        <v>#N/A</v>
      </c>
      <c r="G133" s="2079" t="e">
        <v>#N/A</v>
      </c>
      <c r="H133" s="1015" t="e">
        <v>#N/A</v>
      </c>
      <c r="I133" s="2079" t="e">
        <v>#N/A</v>
      </c>
      <c r="J133" s="2079" t="e">
        <v>#N/A</v>
      </c>
      <c r="K133" s="2082" t="e">
        <v>#N/A</v>
      </c>
      <c r="L133" s="2079" t="e">
        <v>#N/A</v>
      </c>
      <c r="M133" s="2082" t="e">
        <v>#N/A</v>
      </c>
      <c r="N133" s="2079" t="e">
        <v>#N/A</v>
      </c>
      <c r="O133" s="2082" t="e">
        <v>#N/A</v>
      </c>
      <c r="P133" s="2079" t="e">
        <v>#N/A</v>
      </c>
      <c r="Q133" s="2082" t="e">
        <v>#N/A</v>
      </c>
      <c r="R133" s="2079" t="e">
        <v>#N/A</v>
      </c>
      <c r="S133" s="2082" t="e">
        <v>#N/A</v>
      </c>
      <c r="T133" s="2101" t="e">
        <v>#N/A</v>
      </c>
      <c r="U133" s="2109" t="e">
        <v>#N/A</v>
      </c>
      <c r="V133" s="2101" t="e">
        <v>#N/A</v>
      </c>
      <c r="W133" s="2087" t="e">
        <v>#N/A</v>
      </c>
      <c r="X133" s="2079" t="e">
        <v>#N/A</v>
      </c>
      <c r="Y133" s="1523" t="e">
        <v>#N/A</v>
      </c>
    </row>
    <row r="134" spans="1:25">
      <c r="A134" s="745">
        <f t="shared" si="2"/>
        <v>2026.05</v>
      </c>
      <c r="B134" s="2069" t="e">
        <v>#N/A</v>
      </c>
      <c r="C134" s="2079" t="e">
        <v>#N/A</v>
      </c>
      <c r="D134" s="2082" t="e">
        <v>#N/A</v>
      </c>
      <c r="E134" s="2079" t="e">
        <v>#N/A</v>
      </c>
      <c r="F134" s="2082" t="e">
        <v>#N/A</v>
      </c>
      <c r="G134" s="2079" t="e">
        <v>#N/A</v>
      </c>
      <c r="H134" s="1015" t="e">
        <v>#N/A</v>
      </c>
      <c r="I134" s="2079" t="e">
        <v>#N/A</v>
      </c>
      <c r="J134" s="2079" t="e">
        <v>#N/A</v>
      </c>
      <c r="K134" s="2082" t="e">
        <v>#N/A</v>
      </c>
      <c r="L134" s="2079" t="e">
        <v>#N/A</v>
      </c>
      <c r="M134" s="2082" t="e">
        <v>#N/A</v>
      </c>
      <c r="N134" s="2079" t="e">
        <v>#N/A</v>
      </c>
      <c r="O134" s="2082" t="e">
        <v>#N/A</v>
      </c>
      <c r="P134" s="2079" t="e">
        <v>#N/A</v>
      </c>
      <c r="Q134" s="2082" t="e">
        <v>#N/A</v>
      </c>
      <c r="R134" s="2079" t="e">
        <v>#N/A</v>
      </c>
      <c r="S134" s="2082" t="e">
        <v>#N/A</v>
      </c>
      <c r="T134" s="2101" t="e">
        <v>#N/A</v>
      </c>
      <c r="U134" s="2109" t="e">
        <v>#N/A</v>
      </c>
      <c r="V134" s="2101" t="e">
        <v>#N/A</v>
      </c>
      <c r="W134" s="2087" t="e">
        <v>#N/A</v>
      </c>
      <c r="X134" s="2079" t="e">
        <v>#N/A</v>
      </c>
      <c r="Y134" s="1523" t="e">
        <v>#N/A</v>
      </c>
    </row>
    <row r="135" spans="1:25">
      <c r="A135" s="745">
        <f t="shared" si="2"/>
        <v>2026.06</v>
      </c>
      <c r="B135" s="2069" t="e">
        <v>#N/A</v>
      </c>
      <c r="C135" s="2079" t="e">
        <v>#N/A</v>
      </c>
      <c r="D135" s="2082" t="e">
        <v>#N/A</v>
      </c>
      <c r="E135" s="2079" t="e">
        <v>#N/A</v>
      </c>
      <c r="F135" s="2082" t="e">
        <v>#N/A</v>
      </c>
      <c r="G135" s="2079" t="e">
        <v>#N/A</v>
      </c>
      <c r="H135" s="1015" t="e">
        <v>#N/A</v>
      </c>
      <c r="I135" s="2079" t="e">
        <v>#N/A</v>
      </c>
      <c r="J135" s="2079" t="e">
        <v>#N/A</v>
      </c>
      <c r="K135" s="2082" t="e">
        <v>#N/A</v>
      </c>
      <c r="L135" s="2079" t="e">
        <v>#N/A</v>
      </c>
      <c r="M135" s="2082" t="e">
        <v>#N/A</v>
      </c>
      <c r="N135" s="2079" t="e">
        <v>#N/A</v>
      </c>
      <c r="O135" s="2082" t="e">
        <v>#N/A</v>
      </c>
      <c r="P135" s="2079" t="e">
        <v>#N/A</v>
      </c>
      <c r="Q135" s="2082" t="e">
        <v>#N/A</v>
      </c>
      <c r="R135" s="2079" t="e">
        <v>#N/A</v>
      </c>
      <c r="S135" s="2082" t="e">
        <v>#N/A</v>
      </c>
      <c r="T135" s="2101" t="e">
        <v>#N/A</v>
      </c>
      <c r="U135" s="2109" t="e">
        <v>#N/A</v>
      </c>
      <c r="V135" s="2101" t="e">
        <v>#N/A</v>
      </c>
      <c r="W135" s="2087" t="e">
        <v>#N/A</v>
      </c>
      <c r="X135" s="2079" t="e">
        <v>#N/A</v>
      </c>
      <c r="Y135" s="1523" t="e">
        <v>#N/A</v>
      </c>
    </row>
    <row r="136" spans="1:25">
      <c r="A136" s="745">
        <f t="shared" si="2"/>
        <v>2026.07</v>
      </c>
      <c r="B136" s="2069" t="e">
        <v>#N/A</v>
      </c>
      <c r="C136" s="2079" t="e">
        <v>#N/A</v>
      </c>
      <c r="D136" s="2082" t="e">
        <v>#N/A</v>
      </c>
      <c r="E136" s="2079" t="e">
        <v>#N/A</v>
      </c>
      <c r="F136" s="2082" t="e">
        <v>#N/A</v>
      </c>
      <c r="G136" s="2079" t="e">
        <v>#N/A</v>
      </c>
      <c r="H136" s="1015" t="e">
        <v>#N/A</v>
      </c>
      <c r="I136" s="2079" t="e">
        <v>#N/A</v>
      </c>
      <c r="J136" s="2079" t="e">
        <v>#N/A</v>
      </c>
      <c r="K136" s="2082" t="e">
        <v>#N/A</v>
      </c>
      <c r="L136" s="2079" t="e">
        <v>#N/A</v>
      </c>
      <c r="M136" s="2082" t="e">
        <v>#N/A</v>
      </c>
      <c r="N136" s="2079" t="e">
        <v>#N/A</v>
      </c>
      <c r="O136" s="2082" t="e">
        <v>#N/A</v>
      </c>
      <c r="P136" s="2079" t="e">
        <v>#N/A</v>
      </c>
      <c r="Q136" s="2082" t="e">
        <v>#N/A</v>
      </c>
      <c r="R136" s="2079" t="e">
        <v>#N/A</v>
      </c>
      <c r="S136" s="2082" t="e">
        <v>#N/A</v>
      </c>
      <c r="T136" s="2101" t="e">
        <v>#N/A</v>
      </c>
      <c r="U136" s="2109" t="e">
        <v>#N/A</v>
      </c>
      <c r="V136" s="2101" t="e">
        <v>#N/A</v>
      </c>
      <c r="W136" s="2087" t="e">
        <v>#N/A</v>
      </c>
      <c r="X136" s="2079" t="e">
        <v>#N/A</v>
      </c>
      <c r="Y136" s="1523" t="e">
        <v>#N/A</v>
      </c>
    </row>
    <row r="137" spans="1:25">
      <c r="A137" s="745">
        <f t="shared" si="2"/>
        <v>2026.08</v>
      </c>
      <c r="B137" s="2069" t="e">
        <v>#N/A</v>
      </c>
      <c r="C137" s="2079" t="e">
        <v>#N/A</v>
      </c>
      <c r="D137" s="2082" t="e">
        <v>#N/A</v>
      </c>
      <c r="E137" s="2079" t="e">
        <v>#N/A</v>
      </c>
      <c r="F137" s="2082" t="e">
        <v>#N/A</v>
      </c>
      <c r="G137" s="2079" t="e">
        <v>#N/A</v>
      </c>
      <c r="H137" s="1015" t="e">
        <v>#N/A</v>
      </c>
      <c r="I137" s="2079" t="e">
        <v>#N/A</v>
      </c>
      <c r="J137" s="2079" t="e">
        <v>#N/A</v>
      </c>
      <c r="K137" s="2082" t="e">
        <v>#N/A</v>
      </c>
      <c r="L137" s="2079" t="e">
        <v>#N/A</v>
      </c>
      <c r="M137" s="2082" t="e">
        <v>#N/A</v>
      </c>
      <c r="N137" s="2079" t="e">
        <v>#N/A</v>
      </c>
      <c r="O137" s="2082" t="e">
        <v>#N/A</v>
      </c>
      <c r="P137" s="2079" t="e">
        <v>#N/A</v>
      </c>
      <c r="Q137" s="2082" t="e">
        <v>#N/A</v>
      </c>
      <c r="R137" s="2079" t="e">
        <v>#N/A</v>
      </c>
      <c r="S137" s="2082" t="e">
        <v>#N/A</v>
      </c>
      <c r="T137" s="2101" t="e">
        <v>#N/A</v>
      </c>
      <c r="U137" s="2109" t="e">
        <v>#N/A</v>
      </c>
      <c r="V137" s="2101" t="e">
        <v>#N/A</v>
      </c>
      <c r="W137" s="2087" t="e">
        <v>#N/A</v>
      </c>
      <c r="X137" s="2079" t="e">
        <v>#N/A</v>
      </c>
      <c r="Y137" s="1523" t="e">
        <v>#N/A</v>
      </c>
    </row>
    <row r="138" spans="1:25">
      <c r="A138" s="745">
        <f t="shared" si="2"/>
        <v>2026.09</v>
      </c>
      <c r="B138" s="2069" t="e">
        <v>#N/A</v>
      </c>
      <c r="C138" s="2079" t="e">
        <v>#N/A</v>
      </c>
      <c r="D138" s="2082" t="e">
        <v>#N/A</v>
      </c>
      <c r="E138" s="2079" t="e">
        <v>#N/A</v>
      </c>
      <c r="F138" s="2082" t="e">
        <v>#N/A</v>
      </c>
      <c r="G138" s="2079" t="e">
        <v>#N/A</v>
      </c>
      <c r="H138" s="1015" t="e">
        <v>#N/A</v>
      </c>
      <c r="I138" s="2079" t="e">
        <v>#N/A</v>
      </c>
      <c r="J138" s="2079" t="e">
        <v>#N/A</v>
      </c>
      <c r="K138" s="2082" t="e">
        <v>#N/A</v>
      </c>
      <c r="L138" s="2079" t="e">
        <v>#N/A</v>
      </c>
      <c r="M138" s="2082" t="e">
        <v>#N/A</v>
      </c>
      <c r="N138" s="2079" t="e">
        <v>#N/A</v>
      </c>
      <c r="O138" s="2082" t="e">
        <v>#N/A</v>
      </c>
      <c r="P138" s="2079" t="e">
        <v>#N/A</v>
      </c>
      <c r="Q138" s="2082" t="e">
        <v>#N/A</v>
      </c>
      <c r="R138" s="2079" t="e">
        <v>#N/A</v>
      </c>
      <c r="S138" s="2082" t="e">
        <v>#N/A</v>
      </c>
      <c r="T138" s="2101" t="e">
        <v>#N/A</v>
      </c>
      <c r="U138" s="2109" t="e">
        <v>#N/A</v>
      </c>
      <c r="V138" s="2101" t="e">
        <v>#N/A</v>
      </c>
      <c r="W138" s="2087" t="e">
        <v>#N/A</v>
      </c>
      <c r="X138" s="2079" t="e">
        <v>#N/A</v>
      </c>
      <c r="Y138" s="1523" t="e">
        <v>#N/A</v>
      </c>
    </row>
    <row r="139" spans="1:25">
      <c r="A139" s="745">
        <f t="shared" si="2"/>
        <v>2026.1</v>
      </c>
      <c r="B139" s="2069" t="e">
        <v>#N/A</v>
      </c>
      <c r="C139" s="2079" t="e">
        <v>#N/A</v>
      </c>
      <c r="D139" s="2082" t="e">
        <v>#N/A</v>
      </c>
      <c r="E139" s="2079" t="e">
        <v>#N/A</v>
      </c>
      <c r="F139" s="2082" t="e">
        <v>#N/A</v>
      </c>
      <c r="G139" s="2079" t="e">
        <v>#N/A</v>
      </c>
      <c r="H139" s="1015" t="e">
        <v>#N/A</v>
      </c>
      <c r="I139" s="2079" t="e">
        <v>#N/A</v>
      </c>
      <c r="J139" s="2079" t="e">
        <v>#N/A</v>
      </c>
      <c r="K139" s="2082" t="e">
        <v>#N/A</v>
      </c>
      <c r="L139" s="2079" t="e">
        <v>#N/A</v>
      </c>
      <c r="M139" s="2082" t="e">
        <v>#N/A</v>
      </c>
      <c r="N139" s="2079" t="e">
        <v>#N/A</v>
      </c>
      <c r="O139" s="2082" t="e">
        <v>#N/A</v>
      </c>
      <c r="P139" s="2079" t="e">
        <v>#N/A</v>
      </c>
      <c r="Q139" s="2082" t="e">
        <v>#N/A</v>
      </c>
      <c r="R139" s="2079" t="e">
        <v>#N/A</v>
      </c>
      <c r="S139" s="2082" t="e">
        <v>#N/A</v>
      </c>
      <c r="T139" s="2101" t="e">
        <v>#N/A</v>
      </c>
      <c r="U139" s="2109" t="e">
        <v>#N/A</v>
      </c>
      <c r="V139" s="2101" t="e">
        <v>#N/A</v>
      </c>
      <c r="W139" s="2087" t="e">
        <v>#N/A</v>
      </c>
      <c r="X139" s="2079" t="e">
        <v>#N/A</v>
      </c>
      <c r="Y139" s="1523" t="e">
        <v>#N/A</v>
      </c>
    </row>
    <row r="140" spans="1:25">
      <c r="A140" s="745">
        <f t="shared" si="2"/>
        <v>2026.11</v>
      </c>
      <c r="B140" s="2069" t="e">
        <v>#N/A</v>
      </c>
      <c r="C140" s="2079" t="e">
        <v>#N/A</v>
      </c>
      <c r="D140" s="2082" t="e">
        <v>#N/A</v>
      </c>
      <c r="E140" s="2079" t="e">
        <v>#N/A</v>
      </c>
      <c r="F140" s="2082" t="e">
        <v>#N/A</v>
      </c>
      <c r="G140" s="2079" t="e">
        <v>#N/A</v>
      </c>
      <c r="H140" s="1015" t="e">
        <v>#N/A</v>
      </c>
      <c r="I140" s="2079" t="e">
        <v>#N/A</v>
      </c>
      <c r="J140" s="2079" t="e">
        <v>#N/A</v>
      </c>
      <c r="K140" s="2082" t="e">
        <v>#N/A</v>
      </c>
      <c r="L140" s="2079" t="e">
        <v>#N/A</v>
      </c>
      <c r="M140" s="2082" t="e">
        <v>#N/A</v>
      </c>
      <c r="N140" s="2079" t="e">
        <v>#N/A</v>
      </c>
      <c r="O140" s="2082" t="e">
        <v>#N/A</v>
      </c>
      <c r="P140" s="2079" t="e">
        <v>#N/A</v>
      </c>
      <c r="Q140" s="2082" t="e">
        <v>#N/A</v>
      </c>
      <c r="R140" s="2079" t="e">
        <v>#N/A</v>
      </c>
      <c r="S140" s="2082" t="e">
        <v>#N/A</v>
      </c>
      <c r="T140" s="2101" t="e">
        <v>#N/A</v>
      </c>
      <c r="U140" s="2109" t="e">
        <v>#N/A</v>
      </c>
      <c r="V140" s="2101" t="e">
        <v>#N/A</v>
      </c>
      <c r="W140" s="2087" t="e">
        <v>#N/A</v>
      </c>
      <c r="X140" s="2079" t="e">
        <v>#N/A</v>
      </c>
      <c r="Y140" s="1523" t="e">
        <v>#N/A</v>
      </c>
    </row>
    <row r="141" spans="1:25">
      <c r="A141" s="745">
        <f t="shared" si="2"/>
        <v>2026.12</v>
      </c>
      <c r="B141" s="2069" t="e">
        <v>#N/A</v>
      </c>
      <c r="C141" s="2079" t="e">
        <v>#N/A</v>
      </c>
      <c r="D141" s="2082" t="e">
        <v>#N/A</v>
      </c>
      <c r="E141" s="2079" t="e">
        <v>#N/A</v>
      </c>
      <c r="F141" s="2082" t="e">
        <v>#N/A</v>
      </c>
      <c r="G141" s="2079" t="e">
        <v>#N/A</v>
      </c>
      <c r="H141" s="1015" t="e">
        <v>#N/A</v>
      </c>
      <c r="I141" s="2079" t="e">
        <v>#N/A</v>
      </c>
      <c r="J141" s="2079" t="e">
        <v>#N/A</v>
      </c>
      <c r="K141" s="2082" t="e">
        <v>#N/A</v>
      </c>
      <c r="L141" s="2079" t="e">
        <v>#N/A</v>
      </c>
      <c r="M141" s="2082" t="e">
        <v>#N/A</v>
      </c>
      <c r="N141" s="2079" t="e">
        <v>#N/A</v>
      </c>
      <c r="O141" s="2082" t="e">
        <v>#N/A</v>
      </c>
      <c r="P141" s="2079" t="e">
        <v>#N/A</v>
      </c>
      <c r="Q141" s="2082" t="e">
        <v>#N/A</v>
      </c>
      <c r="R141" s="2079" t="e">
        <v>#N/A</v>
      </c>
      <c r="S141" s="2082" t="e">
        <v>#N/A</v>
      </c>
      <c r="T141" s="2101" t="e">
        <v>#N/A</v>
      </c>
      <c r="U141" s="2109" t="e">
        <v>#N/A</v>
      </c>
      <c r="V141" s="2101" t="e">
        <v>#N/A</v>
      </c>
      <c r="W141" s="2087" t="e">
        <v>#N/A</v>
      </c>
      <c r="X141" s="2079" t="e">
        <v>#N/A</v>
      </c>
      <c r="Y141" s="1523" t="e">
        <v>#N/A</v>
      </c>
    </row>
    <row r="142" spans="1:25">
      <c r="A142" s="745">
        <f t="shared" si="2"/>
        <v>2027.01</v>
      </c>
      <c r="B142" s="2069" t="e">
        <v>#N/A</v>
      </c>
      <c r="C142" s="2079" t="e">
        <v>#N/A</v>
      </c>
      <c r="D142" s="2082" t="e">
        <v>#N/A</v>
      </c>
      <c r="E142" s="2079" t="e">
        <v>#N/A</v>
      </c>
      <c r="F142" s="2082" t="e">
        <v>#N/A</v>
      </c>
      <c r="G142" s="2079" t="e">
        <v>#N/A</v>
      </c>
      <c r="H142" s="1015" t="e">
        <v>#N/A</v>
      </c>
      <c r="I142" s="2079" t="e">
        <v>#N/A</v>
      </c>
      <c r="J142" s="2079" t="e">
        <v>#N/A</v>
      </c>
      <c r="K142" s="2082" t="e">
        <v>#N/A</v>
      </c>
      <c r="L142" s="2079" t="e">
        <v>#N/A</v>
      </c>
      <c r="M142" s="2082" t="e">
        <v>#N/A</v>
      </c>
      <c r="N142" s="2079" t="e">
        <v>#N/A</v>
      </c>
      <c r="O142" s="2082" t="e">
        <v>#N/A</v>
      </c>
      <c r="P142" s="2079" t="e">
        <v>#N/A</v>
      </c>
      <c r="Q142" s="2082" t="e">
        <v>#N/A</v>
      </c>
      <c r="R142" s="2079" t="e">
        <v>#N/A</v>
      </c>
      <c r="S142" s="2082" t="e">
        <v>#N/A</v>
      </c>
      <c r="T142" s="2101" t="e">
        <v>#N/A</v>
      </c>
      <c r="U142" s="2109" t="e">
        <v>#N/A</v>
      </c>
      <c r="V142" s="2101" t="e">
        <v>#N/A</v>
      </c>
      <c r="W142" s="2087" t="e">
        <v>#N/A</v>
      </c>
      <c r="X142" s="2079" t="e">
        <v>#N/A</v>
      </c>
      <c r="Y142" s="1523" t="e">
        <v>#N/A</v>
      </c>
    </row>
    <row r="143" spans="1:25">
      <c r="A143" s="745">
        <f t="shared" si="2"/>
        <v>2027.02</v>
      </c>
      <c r="B143" s="2069" t="e">
        <v>#N/A</v>
      </c>
      <c r="C143" s="2079" t="e">
        <v>#N/A</v>
      </c>
      <c r="D143" s="2082" t="e">
        <v>#N/A</v>
      </c>
      <c r="E143" s="2079" t="e">
        <v>#N/A</v>
      </c>
      <c r="F143" s="2082" t="e">
        <v>#N/A</v>
      </c>
      <c r="G143" s="2079" t="e">
        <v>#N/A</v>
      </c>
      <c r="H143" s="1015" t="e">
        <v>#N/A</v>
      </c>
      <c r="I143" s="2079" t="e">
        <v>#N/A</v>
      </c>
      <c r="J143" s="2079" t="e">
        <v>#N/A</v>
      </c>
      <c r="K143" s="2082" t="e">
        <v>#N/A</v>
      </c>
      <c r="L143" s="2079" t="e">
        <v>#N/A</v>
      </c>
      <c r="M143" s="2082" t="e">
        <v>#N/A</v>
      </c>
      <c r="N143" s="2079" t="e">
        <v>#N/A</v>
      </c>
      <c r="O143" s="2082" t="e">
        <v>#N/A</v>
      </c>
      <c r="P143" s="2079" t="e">
        <v>#N/A</v>
      </c>
      <c r="Q143" s="2082" t="e">
        <v>#N/A</v>
      </c>
      <c r="R143" s="2079" t="e">
        <v>#N/A</v>
      </c>
      <c r="S143" s="2082" t="e">
        <v>#N/A</v>
      </c>
      <c r="T143" s="2101" t="e">
        <v>#N/A</v>
      </c>
      <c r="U143" s="2109" t="e">
        <v>#N/A</v>
      </c>
      <c r="V143" s="2101" t="e">
        <v>#N/A</v>
      </c>
      <c r="W143" s="2087" t="e">
        <v>#N/A</v>
      </c>
      <c r="X143" s="2079" t="e">
        <v>#N/A</v>
      </c>
      <c r="Y143" s="1523" t="e">
        <v>#N/A</v>
      </c>
    </row>
    <row r="144" spans="1:25">
      <c r="A144" s="745">
        <f t="shared" si="2"/>
        <v>2027.03</v>
      </c>
      <c r="B144" s="2069" t="e">
        <v>#N/A</v>
      </c>
      <c r="C144" s="2079" t="e">
        <v>#N/A</v>
      </c>
      <c r="D144" s="2082" t="e">
        <v>#N/A</v>
      </c>
      <c r="E144" s="2079" t="e">
        <v>#N/A</v>
      </c>
      <c r="F144" s="2082" t="e">
        <v>#N/A</v>
      </c>
      <c r="G144" s="2079" t="e">
        <v>#N/A</v>
      </c>
      <c r="H144" s="1015" t="e">
        <v>#N/A</v>
      </c>
      <c r="I144" s="2079" t="e">
        <v>#N/A</v>
      </c>
      <c r="J144" s="2079" t="e">
        <v>#N/A</v>
      </c>
      <c r="K144" s="2082" t="e">
        <v>#N/A</v>
      </c>
      <c r="L144" s="2079" t="e">
        <v>#N/A</v>
      </c>
      <c r="M144" s="2082" t="e">
        <v>#N/A</v>
      </c>
      <c r="N144" s="2079" t="e">
        <v>#N/A</v>
      </c>
      <c r="O144" s="2082" t="e">
        <v>#N/A</v>
      </c>
      <c r="P144" s="2079" t="e">
        <v>#N/A</v>
      </c>
      <c r="Q144" s="2082" t="e">
        <v>#N/A</v>
      </c>
      <c r="R144" s="2079" t="e">
        <v>#N/A</v>
      </c>
      <c r="S144" s="2082" t="e">
        <v>#N/A</v>
      </c>
      <c r="T144" s="2101" t="e">
        <v>#N/A</v>
      </c>
      <c r="U144" s="2109" t="e">
        <v>#N/A</v>
      </c>
      <c r="V144" s="2101" t="e">
        <v>#N/A</v>
      </c>
      <c r="W144" s="2087" t="e">
        <v>#N/A</v>
      </c>
      <c r="X144" s="2079" t="e">
        <v>#N/A</v>
      </c>
      <c r="Y144" s="1523" t="e">
        <v>#N/A</v>
      </c>
    </row>
    <row r="145" spans="1:25">
      <c r="A145" s="745">
        <f t="shared" si="2"/>
        <v>2027.04</v>
      </c>
      <c r="B145" s="2069" t="e">
        <v>#N/A</v>
      </c>
      <c r="C145" s="2079" t="e">
        <v>#N/A</v>
      </c>
      <c r="D145" s="2082" t="e">
        <v>#N/A</v>
      </c>
      <c r="E145" s="2079" t="e">
        <v>#N/A</v>
      </c>
      <c r="F145" s="2082" t="e">
        <v>#N/A</v>
      </c>
      <c r="G145" s="2079" t="e">
        <v>#N/A</v>
      </c>
      <c r="H145" s="1015" t="e">
        <v>#N/A</v>
      </c>
      <c r="I145" s="2079" t="e">
        <v>#N/A</v>
      </c>
      <c r="J145" s="2079" t="e">
        <v>#N/A</v>
      </c>
      <c r="K145" s="2082" t="e">
        <v>#N/A</v>
      </c>
      <c r="L145" s="2079" t="e">
        <v>#N/A</v>
      </c>
      <c r="M145" s="2082" t="e">
        <v>#N/A</v>
      </c>
      <c r="N145" s="2079" t="e">
        <v>#N/A</v>
      </c>
      <c r="O145" s="2082" t="e">
        <v>#N/A</v>
      </c>
      <c r="P145" s="2079" t="e">
        <v>#N/A</v>
      </c>
      <c r="Q145" s="2082" t="e">
        <v>#N/A</v>
      </c>
      <c r="R145" s="2079" t="e">
        <v>#N/A</v>
      </c>
      <c r="S145" s="2082" t="e">
        <v>#N/A</v>
      </c>
      <c r="T145" s="2101" t="e">
        <v>#N/A</v>
      </c>
      <c r="U145" s="2109" t="e">
        <v>#N/A</v>
      </c>
      <c r="V145" s="2101" t="e">
        <v>#N/A</v>
      </c>
      <c r="W145" s="2087" t="e">
        <v>#N/A</v>
      </c>
      <c r="X145" s="2079" t="e">
        <v>#N/A</v>
      </c>
      <c r="Y145" s="1523" t="e">
        <v>#N/A</v>
      </c>
    </row>
    <row r="146" spans="1:25">
      <c r="A146" s="745">
        <f t="shared" si="2"/>
        <v>2027.05</v>
      </c>
      <c r="B146" s="2069" t="e">
        <v>#N/A</v>
      </c>
      <c r="C146" s="2079" t="e">
        <v>#N/A</v>
      </c>
      <c r="D146" s="2082" t="e">
        <v>#N/A</v>
      </c>
      <c r="E146" s="2079" t="e">
        <v>#N/A</v>
      </c>
      <c r="F146" s="2082" t="e">
        <v>#N/A</v>
      </c>
      <c r="G146" s="2079" t="e">
        <v>#N/A</v>
      </c>
      <c r="H146" s="1015" t="e">
        <v>#N/A</v>
      </c>
      <c r="I146" s="2079" t="e">
        <v>#N/A</v>
      </c>
      <c r="J146" s="2079" t="e">
        <v>#N/A</v>
      </c>
      <c r="K146" s="2082" t="e">
        <v>#N/A</v>
      </c>
      <c r="L146" s="2079" t="e">
        <v>#N/A</v>
      </c>
      <c r="M146" s="2082" t="e">
        <v>#N/A</v>
      </c>
      <c r="N146" s="2079" t="e">
        <v>#N/A</v>
      </c>
      <c r="O146" s="2082" t="e">
        <v>#N/A</v>
      </c>
      <c r="P146" s="2079" t="e">
        <v>#N/A</v>
      </c>
      <c r="Q146" s="2082" t="e">
        <v>#N/A</v>
      </c>
      <c r="R146" s="2079" t="e">
        <v>#N/A</v>
      </c>
      <c r="S146" s="2082" t="e">
        <v>#N/A</v>
      </c>
      <c r="T146" s="2101" t="e">
        <v>#N/A</v>
      </c>
      <c r="U146" s="2109" t="e">
        <v>#N/A</v>
      </c>
      <c r="V146" s="2101" t="e">
        <v>#N/A</v>
      </c>
      <c r="W146" s="2087" t="e">
        <v>#N/A</v>
      </c>
      <c r="X146" s="2079" t="e">
        <v>#N/A</v>
      </c>
      <c r="Y146" s="1523" t="e">
        <v>#N/A</v>
      </c>
    </row>
    <row r="147" spans="1:25">
      <c r="A147" s="745">
        <f t="shared" si="2"/>
        <v>2027.06</v>
      </c>
      <c r="B147" s="2069" t="e">
        <v>#N/A</v>
      </c>
      <c r="C147" s="2079" t="e">
        <v>#N/A</v>
      </c>
      <c r="D147" s="2082" t="e">
        <v>#N/A</v>
      </c>
      <c r="E147" s="2079" t="e">
        <v>#N/A</v>
      </c>
      <c r="F147" s="2082" t="e">
        <v>#N/A</v>
      </c>
      <c r="G147" s="2079" t="e">
        <v>#N/A</v>
      </c>
      <c r="H147" s="1015" t="e">
        <v>#N/A</v>
      </c>
      <c r="I147" s="2079" t="e">
        <v>#N/A</v>
      </c>
      <c r="J147" s="2079" t="e">
        <v>#N/A</v>
      </c>
      <c r="K147" s="2082" t="e">
        <v>#N/A</v>
      </c>
      <c r="L147" s="2079" t="e">
        <v>#N/A</v>
      </c>
      <c r="M147" s="2082" t="e">
        <v>#N/A</v>
      </c>
      <c r="N147" s="2079" t="e">
        <v>#N/A</v>
      </c>
      <c r="O147" s="2082" t="e">
        <v>#N/A</v>
      </c>
      <c r="P147" s="2079" t="e">
        <v>#N/A</v>
      </c>
      <c r="Q147" s="2082" t="e">
        <v>#N/A</v>
      </c>
      <c r="R147" s="2079" t="e">
        <v>#N/A</v>
      </c>
      <c r="S147" s="2082" t="e">
        <v>#N/A</v>
      </c>
      <c r="T147" s="2101" t="e">
        <v>#N/A</v>
      </c>
      <c r="U147" s="2109" t="e">
        <v>#N/A</v>
      </c>
      <c r="V147" s="2101" t="e">
        <v>#N/A</v>
      </c>
      <c r="W147" s="2087" t="e">
        <v>#N/A</v>
      </c>
      <c r="X147" s="2079" t="e">
        <v>#N/A</v>
      </c>
      <c r="Y147" s="1523" t="e">
        <v>#N/A</v>
      </c>
    </row>
    <row r="148" spans="1:25">
      <c r="A148" s="745">
        <f t="shared" si="2"/>
        <v>2027.07</v>
      </c>
      <c r="B148" s="2069" t="e">
        <v>#N/A</v>
      </c>
      <c r="C148" s="2079" t="e">
        <v>#N/A</v>
      </c>
      <c r="D148" s="2082" t="e">
        <v>#N/A</v>
      </c>
      <c r="E148" s="2079" t="e">
        <v>#N/A</v>
      </c>
      <c r="F148" s="2082" t="e">
        <v>#N/A</v>
      </c>
      <c r="G148" s="2079" t="e">
        <v>#N/A</v>
      </c>
      <c r="H148" s="1015" t="e">
        <v>#N/A</v>
      </c>
      <c r="I148" s="2079" t="e">
        <v>#N/A</v>
      </c>
      <c r="J148" s="2079" t="e">
        <v>#N/A</v>
      </c>
      <c r="K148" s="2082" t="e">
        <v>#N/A</v>
      </c>
      <c r="L148" s="2079" t="e">
        <v>#N/A</v>
      </c>
      <c r="M148" s="2082" t="e">
        <v>#N/A</v>
      </c>
      <c r="N148" s="2079" t="e">
        <v>#N/A</v>
      </c>
      <c r="O148" s="2082" t="e">
        <v>#N/A</v>
      </c>
      <c r="P148" s="2079" t="e">
        <v>#N/A</v>
      </c>
      <c r="Q148" s="2082" t="e">
        <v>#N/A</v>
      </c>
      <c r="R148" s="2079" t="e">
        <v>#N/A</v>
      </c>
      <c r="S148" s="2082" t="e">
        <v>#N/A</v>
      </c>
      <c r="T148" s="2101" t="e">
        <v>#N/A</v>
      </c>
      <c r="U148" s="2109" t="e">
        <v>#N/A</v>
      </c>
      <c r="V148" s="2101" t="e">
        <v>#N/A</v>
      </c>
      <c r="W148" s="2087" t="e">
        <v>#N/A</v>
      </c>
      <c r="X148" s="2079" t="e">
        <v>#N/A</v>
      </c>
      <c r="Y148" s="1523" t="e">
        <v>#N/A</v>
      </c>
    </row>
    <row r="149" spans="1:25">
      <c r="A149" s="745">
        <f t="shared" si="2"/>
        <v>2027.08</v>
      </c>
      <c r="B149" s="2069" t="e">
        <v>#N/A</v>
      </c>
      <c r="C149" s="2079" t="e">
        <v>#N/A</v>
      </c>
      <c r="D149" s="2082" t="e">
        <v>#N/A</v>
      </c>
      <c r="E149" s="2079" t="e">
        <v>#N/A</v>
      </c>
      <c r="F149" s="2082" t="e">
        <v>#N/A</v>
      </c>
      <c r="G149" s="2079" t="e">
        <v>#N/A</v>
      </c>
      <c r="H149" s="1015" t="e">
        <v>#N/A</v>
      </c>
      <c r="I149" s="2079" t="e">
        <v>#N/A</v>
      </c>
      <c r="J149" s="2079" t="e">
        <v>#N/A</v>
      </c>
      <c r="K149" s="2082" t="e">
        <v>#N/A</v>
      </c>
      <c r="L149" s="2079" t="e">
        <v>#N/A</v>
      </c>
      <c r="M149" s="2082" t="e">
        <v>#N/A</v>
      </c>
      <c r="N149" s="2079" t="e">
        <v>#N/A</v>
      </c>
      <c r="O149" s="2082" t="e">
        <v>#N/A</v>
      </c>
      <c r="P149" s="2079" t="e">
        <v>#N/A</v>
      </c>
      <c r="Q149" s="2082" t="e">
        <v>#N/A</v>
      </c>
      <c r="R149" s="2079" t="e">
        <v>#N/A</v>
      </c>
      <c r="S149" s="2082" t="e">
        <v>#N/A</v>
      </c>
      <c r="T149" s="2101" t="e">
        <v>#N/A</v>
      </c>
      <c r="U149" s="2109" t="e">
        <v>#N/A</v>
      </c>
      <c r="V149" s="2101" t="e">
        <v>#N/A</v>
      </c>
      <c r="W149" s="2087" t="e">
        <v>#N/A</v>
      </c>
      <c r="X149" s="2079" t="e">
        <v>#N/A</v>
      </c>
      <c r="Y149" s="1523" t="e">
        <v>#N/A</v>
      </c>
    </row>
    <row r="150" spans="1:25">
      <c r="A150" s="745">
        <f t="shared" si="2"/>
        <v>2027.09</v>
      </c>
      <c r="B150" s="2069" t="e">
        <v>#N/A</v>
      </c>
      <c r="C150" s="2079" t="e">
        <v>#N/A</v>
      </c>
      <c r="D150" s="2082" t="e">
        <v>#N/A</v>
      </c>
      <c r="E150" s="2079" t="e">
        <v>#N/A</v>
      </c>
      <c r="F150" s="2082" t="e">
        <v>#N/A</v>
      </c>
      <c r="G150" s="2079" t="e">
        <v>#N/A</v>
      </c>
      <c r="H150" s="1015" t="e">
        <v>#N/A</v>
      </c>
      <c r="I150" s="2079" t="e">
        <v>#N/A</v>
      </c>
      <c r="J150" s="2079" t="e">
        <v>#N/A</v>
      </c>
      <c r="K150" s="2082" t="e">
        <v>#N/A</v>
      </c>
      <c r="L150" s="2079" t="e">
        <v>#N/A</v>
      </c>
      <c r="M150" s="2082" t="e">
        <v>#N/A</v>
      </c>
      <c r="N150" s="2079" t="e">
        <v>#N/A</v>
      </c>
      <c r="O150" s="2082" t="e">
        <v>#N/A</v>
      </c>
      <c r="P150" s="2079" t="e">
        <v>#N/A</v>
      </c>
      <c r="Q150" s="2082" t="e">
        <v>#N/A</v>
      </c>
      <c r="R150" s="2079" t="e">
        <v>#N/A</v>
      </c>
      <c r="S150" s="2082" t="e">
        <v>#N/A</v>
      </c>
      <c r="T150" s="2101" t="e">
        <v>#N/A</v>
      </c>
      <c r="U150" s="2109" t="e">
        <v>#N/A</v>
      </c>
      <c r="V150" s="2101" t="e">
        <v>#N/A</v>
      </c>
      <c r="W150" s="2087" t="e">
        <v>#N/A</v>
      </c>
      <c r="X150" s="2079" t="e">
        <v>#N/A</v>
      </c>
      <c r="Y150" s="1523" t="e">
        <v>#N/A</v>
      </c>
    </row>
    <row r="151" spans="1:25">
      <c r="A151" s="745">
        <f t="shared" ref="A151:A189" si="3">A139+1</f>
        <v>2027.1</v>
      </c>
      <c r="B151" s="2069" t="e">
        <v>#N/A</v>
      </c>
      <c r="C151" s="2079" t="e">
        <v>#N/A</v>
      </c>
      <c r="D151" s="2082" t="e">
        <v>#N/A</v>
      </c>
      <c r="E151" s="2079" t="e">
        <v>#N/A</v>
      </c>
      <c r="F151" s="2082" t="e">
        <v>#N/A</v>
      </c>
      <c r="G151" s="2079" t="e">
        <v>#N/A</v>
      </c>
      <c r="H151" s="1015" t="e">
        <v>#N/A</v>
      </c>
      <c r="I151" s="2079" t="e">
        <v>#N/A</v>
      </c>
      <c r="J151" s="2079" t="e">
        <v>#N/A</v>
      </c>
      <c r="K151" s="2082" t="e">
        <v>#N/A</v>
      </c>
      <c r="L151" s="2079" t="e">
        <v>#N/A</v>
      </c>
      <c r="M151" s="2082" t="e">
        <v>#N/A</v>
      </c>
      <c r="N151" s="2079" t="e">
        <v>#N/A</v>
      </c>
      <c r="O151" s="2082" t="e">
        <v>#N/A</v>
      </c>
      <c r="P151" s="2079" t="e">
        <v>#N/A</v>
      </c>
      <c r="Q151" s="2082" t="e">
        <v>#N/A</v>
      </c>
      <c r="R151" s="2079" t="e">
        <v>#N/A</v>
      </c>
      <c r="S151" s="2082" t="e">
        <v>#N/A</v>
      </c>
      <c r="T151" s="2101" t="e">
        <v>#N/A</v>
      </c>
      <c r="U151" s="2109" t="e">
        <v>#N/A</v>
      </c>
      <c r="V151" s="2101" t="e">
        <v>#N/A</v>
      </c>
      <c r="W151" s="2087" t="e">
        <v>#N/A</v>
      </c>
      <c r="X151" s="2079" t="e">
        <v>#N/A</v>
      </c>
      <c r="Y151" s="1523" t="e">
        <v>#N/A</v>
      </c>
    </row>
    <row r="152" spans="1:25">
      <c r="A152" s="745">
        <f t="shared" si="3"/>
        <v>2027.11</v>
      </c>
      <c r="B152" s="2069" t="e">
        <v>#N/A</v>
      </c>
      <c r="C152" s="2079" t="e">
        <v>#N/A</v>
      </c>
      <c r="D152" s="2082" t="e">
        <v>#N/A</v>
      </c>
      <c r="E152" s="2079" t="e">
        <v>#N/A</v>
      </c>
      <c r="F152" s="2082" t="e">
        <v>#N/A</v>
      </c>
      <c r="G152" s="2079" t="e">
        <v>#N/A</v>
      </c>
      <c r="H152" s="1015" t="e">
        <v>#N/A</v>
      </c>
      <c r="I152" s="2079" t="e">
        <v>#N/A</v>
      </c>
      <c r="J152" s="2079" t="e">
        <v>#N/A</v>
      </c>
      <c r="K152" s="2082" t="e">
        <v>#N/A</v>
      </c>
      <c r="L152" s="2079" t="e">
        <v>#N/A</v>
      </c>
      <c r="M152" s="2082" t="e">
        <v>#N/A</v>
      </c>
      <c r="N152" s="2079" t="e">
        <v>#N/A</v>
      </c>
      <c r="O152" s="2082" t="e">
        <v>#N/A</v>
      </c>
      <c r="P152" s="2079" t="e">
        <v>#N/A</v>
      </c>
      <c r="Q152" s="2082" t="e">
        <v>#N/A</v>
      </c>
      <c r="R152" s="2079" t="e">
        <v>#N/A</v>
      </c>
      <c r="S152" s="2082" t="e">
        <v>#N/A</v>
      </c>
      <c r="T152" s="2101" t="e">
        <v>#N/A</v>
      </c>
      <c r="U152" s="2109" t="e">
        <v>#N/A</v>
      </c>
      <c r="V152" s="2101" t="e">
        <v>#N/A</v>
      </c>
      <c r="W152" s="2087" t="e">
        <v>#N/A</v>
      </c>
      <c r="X152" s="2079" t="e">
        <v>#N/A</v>
      </c>
      <c r="Y152" s="1523" t="e">
        <v>#N/A</v>
      </c>
    </row>
    <row r="153" spans="1:25">
      <c r="A153" s="745">
        <f t="shared" si="3"/>
        <v>2027.12</v>
      </c>
      <c r="B153" s="2069" t="e">
        <v>#N/A</v>
      </c>
      <c r="C153" s="2079" t="e">
        <v>#N/A</v>
      </c>
      <c r="D153" s="2082" t="e">
        <v>#N/A</v>
      </c>
      <c r="E153" s="2079" t="e">
        <v>#N/A</v>
      </c>
      <c r="F153" s="2082" t="e">
        <v>#N/A</v>
      </c>
      <c r="G153" s="2079" t="e">
        <v>#N/A</v>
      </c>
      <c r="H153" s="1015" t="e">
        <v>#N/A</v>
      </c>
      <c r="I153" s="2079" t="e">
        <v>#N/A</v>
      </c>
      <c r="J153" s="2079" t="e">
        <v>#N/A</v>
      </c>
      <c r="K153" s="2082" t="e">
        <v>#N/A</v>
      </c>
      <c r="L153" s="2079" t="e">
        <v>#N/A</v>
      </c>
      <c r="M153" s="2082" t="e">
        <v>#N/A</v>
      </c>
      <c r="N153" s="2079" t="e">
        <v>#N/A</v>
      </c>
      <c r="O153" s="2082" t="e">
        <v>#N/A</v>
      </c>
      <c r="P153" s="2079" t="e">
        <v>#N/A</v>
      </c>
      <c r="Q153" s="2082" t="e">
        <v>#N/A</v>
      </c>
      <c r="R153" s="2079" t="e">
        <v>#N/A</v>
      </c>
      <c r="S153" s="2082" t="e">
        <v>#N/A</v>
      </c>
      <c r="T153" s="2101" t="e">
        <v>#N/A</v>
      </c>
      <c r="U153" s="2109" t="e">
        <v>#N/A</v>
      </c>
      <c r="V153" s="2101" t="e">
        <v>#N/A</v>
      </c>
      <c r="W153" s="2087" t="e">
        <v>#N/A</v>
      </c>
      <c r="X153" s="2079" t="e">
        <v>#N/A</v>
      </c>
      <c r="Y153" s="1523" t="e">
        <v>#N/A</v>
      </c>
    </row>
    <row r="154" spans="1:25">
      <c r="A154" s="745">
        <f t="shared" si="3"/>
        <v>2028.01</v>
      </c>
      <c r="B154" s="2069" t="e">
        <v>#N/A</v>
      </c>
      <c r="C154" s="2079" t="e">
        <v>#N/A</v>
      </c>
      <c r="D154" s="2082" t="e">
        <v>#N/A</v>
      </c>
      <c r="E154" s="2079" t="e">
        <v>#N/A</v>
      </c>
      <c r="F154" s="2082" t="e">
        <v>#N/A</v>
      </c>
      <c r="G154" s="2079" t="e">
        <v>#N/A</v>
      </c>
      <c r="H154" s="1015" t="e">
        <v>#N/A</v>
      </c>
      <c r="I154" s="2079" t="e">
        <v>#N/A</v>
      </c>
      <c r="J154" s="2079" t="e">
        <v>#N/A</v>
      </c>
      <c r="K154" s="2082" t="e">
        <v>#N/A</v>
      </c>
      <c r="L154" s="2079" t="e">
        <v>#N/A</v>
      </c>
      <c r="M154" s="2082" t="e">
        <v>#N/A</v>
      </c>
      <c r="N154" s="2079" t="e">
        <v>#N/A</v>
      </c>
      <c r="O154" s="2082" t="e">
        <v>#N/A</v>
      </c>
      <c r="P154" s="2079" t="e">
        <v>#N/A</v>
      </c>
      <c r="Q154" s="2082" t="e">
        <v>#N/A</v>
      </c>
      <c r="R154" s="2079" t="e">
        <v>#N/A</v>
      </c>
      <c r="S154" s="2082" t="e">
        <v>#N/A</v>
      </c>
      <c r="T154" s="2101" t="e">
        <v>#N/A</v>
      </c>
      <c r="U154" s="2109" t="e">
        <v>#N/A</v>
      </c>
      <c r="V154" s="2101" t="e">
        <v>#N/A</v>
      </c>
      <c r="W154" s="2087" t="e">
        <v>#N/A</v>
      </c>
      <c r="X154" s="2079" t="e">
        <v>#N/A</v>
      </c>
      <c r="Y154" s="1523" t="e">
        <v>#N/A</v>
      </c>
    </row>
    <row r="155" spans="1:25">
      <c r="A155" s="745">
        <f t="shared" si="3"/>
        <v>2028.02</v>
      </c>
      <c r="B155" s="2069" t="e">
        <v>#N/A</v>
      </c>
      <c r="C155" s="2079" t="e">
        <v>#N/A</v>
      </c>
      <c r="D155" s="2082" t="e">
        <v>#N/A</v>
      </c>
      <c r="E155" s="2079" t="e">
        <v>#N/A</v>
      </c>
      <c r="F155" s="2082" t="e">
        <v>#N/A</v>
      </c>
      <c r="G155" s="2079" t="e">
        <v>#N/A</v>
      </c>
      <c r="H155" s="1015" t="e">
        <v>#N/A</v>
      </c>
      <c r="I155" s="2079" t="e">
        <v>#N/A</v>
      </c>
      <c r="J155" s="2079" t="e">
        <v>#N/A</v>
      </c>
      <c r="K155" s="2082" t="e">
        <v>#N/A</v>
      </c>
      <c r="L155" s="2079" t="e">
        <v>#N/A</v>
      </c>
      <c r="M155" s="2082" t="e">
        <v>#N/A</v>
      </c>
      <c r="N155" s="2079" t="e">
        <v>#N/A</v>
      </c>
      <c r="O155" s="2082" t="e">
        <v>#N/A</v>
      </c>
      <c r="P155" s="2079" t="e">
        <v>#N/A</v>
      </c>
      <c r="Q155" s="2082" t="e">
        <v>#N/A</v>
      </c>
      <c r="R155" s="2079" t="e">
        <v>#N/A</v>
      </c>
      <c r="S155" s="2082" t="e">
        <v>#N/A</v>
      </c>
      <c r="T155" s="2101" t="e">
        <v>#N/A</v>
      </c>
      <c r="U155" s="2109" t="e">
        <v>#N/A</v>
      </c>
      <c r="V155" s="2101" t="e">
        <v>#N/A</v>
      </c>
      <c r="W155" s="2087" t="e">
        <v>#N/A</v>
      </c>
      <c r="X155" s="2079" t="e">
        <v>#N/A</v>
      </c>
      <c r="Y155" s="1523" t="e">
        <v>#N/A</v>
      </c>
    </row>
    <row r="156" spans="1:25">
      <c r="A156" s="745">
        <f t="shared" si="3"/>
        <v>2028.03</v>
      </c>
      <c r="B156" s="2069" t="e">
        <v>#N/A</v>
      </c>
      <c r="C156" s="2079" t="e">
        <v>#N/A</v>
      </c>
      <c r="D156" s="2082" t="e">
        <v>#N/A</v>
      </c>
      <c r="E156" s="2079" t="e">
        <v>#N/A</v>
      </c>
      <c r="F156" s="2082" t="e">
        <v>#N/A</v>
      </c>
      <c r="G156" s="2079" t="e">
        <v>#N/A</v>
      </c>
      <c r="H156" s="1015" t="e">
        <v>#N/A</v>
      </c>
      <c r="I156" s="2079" t="e">
        <v>#N/A</v>
      </c>
      <c r="J156" s="2079" t="e">
        <v>#N/A</v>
      </c>
      <c r="K156" s="2082" t="e">
        <v>#N/A</v>
      </c>
      <c r="L156" s="2079" t="e">
        <v>#N/A</v>
      </c>
      <c r="M156" s="2082" t="e">
        <v>#N/A</v>
      </c>
      <c r="N156" s="2079" t="e">
        <v>#N/A</v>
      </c>
      <c r="O156" s="2082" t="e">
        <v>#N/A</v>
      </c>
      <c r="P156" s="2079" t="e">
        <v>#N/A</v>
      </c>
      <c r="Q156" s="2082" t="e">
        <v>#N/A</v>
      </c>
      <c r="R156" s="2079" t="e">
        <v>#N/A</v>
      </c>
      <c r="S156" s="2082" t="e">
        <v>#N/A</v>
      </c>
      <c r="T156" s="2101" t="e">
        <v>#N/A</v>
      </c>
      <c r="U156" s="2109" t="e">
        <v>#N/A</v>
      </c>
      <c r="V156" s="2101" t="e">
        <v>#N/A</v>
      </c>
      <c r="W156" s="2087" t="e">
        <v>#N/A</v>
      </c>
      <c r="X156" s="2079" t="e">
        <v>#N/A</v>
      </c>
      <c r="Y156" s="1523" t="e">
        <v>#N/A</v>
      </c>
    </row>
    <row r="157" spans="1:25">
      <c r="A157" s="745">
        <f t="shared" si="3"/>
        <v>2028.04</v>
      </c>
      <c r="B157" s="2069" t="e">
        <v>#N/A</v>
      </c>
      <c r="C157" s="2079" t="e">
        <v>#N/A</v>
      </c>
      <c r="D157" s="2082" t="e">
        <v>#N/A</v>
      </c>
      <c r="E157" s="2079" t="e">
        <v>#N/A</v>
      </c>
      <c r="F157" s="2082" t="e">
        <v>#N/A</v>
      </c>
      <c r="G157" s="2079" t="e">
        <v>#N/A</v>
      </c>
      <c r="H157" s="1015" t="e">
        <v>#N/A</v>
      </c>
      <c r="I157" s="2079" t="e">
        <v>#N/A</v>
      </c>
      <c r="J157" s="2079" t="e">
        <v>#N/A</v>
      </c>
      <c r="K157" s="2082" t="e">
        <v>#N/A</v>
      </c>
      <c r="L157" s="2079" t="e">
        <v>#N/A</v>
      </c>
      <c r="M157" s="2082" t="e">
        <v>#N/A</v>
      </c>
      <c r="N157" s="2079" t="e">
        <v>#N/A</v>
      </c>
      <c r="O157" s="2082" t="e">
        <v>#N/A</v>
      </c>
      <c r="P157" s="2079" t="e">
        <v>#N/A</v>
      </c>
      <c r="Q157" s="2082" t="e">
        <v>#N/A</v>
      </c>
      <c r="R157" s="2079" t="e">
        <v>#N/A</v>
      </c>
      <c r="S157" s="2082" t="e">
        <v>#N/A</v>
      </c>
      <c r="T157" s="2101" t="e">
        <v>#N/A</v>
      </c>
      <c r="U157" s="2109" t="e">
        <v>#N/A</v>
      </c>
      <c r="V157" s="2101" t="e">
        <v>#N/A</v>
      </c>
      <c r="W157" s="2087" t="e">
        <v>#N/A</v>
      </c>
      <c r="X157" s="2079" t="e">
        <v>#N/A</v>
      </c>
      <c r="Y157" s="1523" t="e">
        <v>#N/A</v>
      </c>
    </row>
    <row r="158" spans="1:25">
      <c r="A158" s="745">
        <f t="shared" si="3"/>
        <v>2028.05</v>
      </c>
      <c r="B158" s="2069" t="e">
        <v>#N/A</v>
      </c>
      <c r="C158" s="2079" t="e">
        <v>#N/A</v>
      </c>
      <c r="D158" s="2082" t="e">
        <v>#N/A</v>
      </c>
      <c r="E158" s="2079" t="e">
        <v>#N/A</v>
      </c>
      <c r="F158" s="2082" t="e">
        <v>#N/A</v>
      </c>
      <c r="G158" s="2079" t="e">
        <v>#N/A</v>
      </c>
      <c r="H158" s="1015" t="e">
        <v>#N/A</v>
      </c>
      <c r="I158" s="2079" t="e">
        <v>#N/A</v>
      </c>
      <c r="J158" s="2079" t="e">
        <v>#N/A</v>
      </c>
      <c r="K158" s="2082" t="e">
        <v>#N/A</v>
      </c>
      <c r="L158" s="2079" t="e">
        <v>#N/A</v>
      </c>
      <c r="M158" s="2082" t="e">
        <v>#N/A</v>
      </c>
      <c r="N158" s="2079" t="e">
        <v>#N/A</v>
      </c>
      <c r="O158" s="2082" t="e">
        <v>#N/A</v>
      </c>
      <c r="P158" s="2079" t="e">
        <v>#N/A</v>
      </c>
      <c r="Q158" s="2082" t="e">
        <v>#N/A</v>
      </c>
      <c r="R158" s="2079" t="e">
        <v>#N/A</v>
      </c>
      <c r="S158" s="2082" t="e">
        <v>#N/A</v>
      </c>
      <c r="T158" s="2101" t="e">
        <v>#N/A</v>
      </c>
      <c r="U158" s="2109" t="e">
        <v>#N/A</v>
      </c>
      <c r="V158" s="2101" t="e">
        <v>#N/A</v>
      </c>
      <c r="W158" s="2087" t="e">
        <v>#N/A</v>
      </c>
      <c r="X158" s="2079" t="e">
        <v>#N/A</v>
      </c>
      <c r="Y158" s="1523" t="e">
        <v>#N/A</v>
      </c>
    </row>
    <row r="159" spans="1:25">
      <c r="A159" s="745">
        <f t="shared" si="3"/>
        <v>2028.06</v>
      </c>
      <c r="B159" s="2069" t="e">
        <v>#N/A</v>
      </c>
      <c r="C159" s="2079" t="e">
        <v>#N/A</v>
      </c>
      <c r="D159" s="2082" t="e">
        <v>#N/A</v>
      </c>
      <c r="E159" s="2079" t="e">
        <v>#N/A</v>
      </c>
      <c r="F159" s="2082" t="e">
        <v>#N/A</v>
      </c>
      <c r="G159" s="2079" t="e">
        <v>#N/A</v>
      </c>
      <c r="H159" s="1015" t="e">
        <v>#N/A</v>
      </c>
      <c r="I159" s="2079" t="e">
        <v>#N/A</v>
      </c>
      <c r="J159" s="2079" t="e">
        <v>#N/A</v>
      </c>
      <c r="K159" s="2082" t="e">
        <v>#N/A</v>
      </c>
      <c r="L159" s="2079" t="e">
        <v>#N/A</v>
      </c>
      <c r="M159" s="2082" t="e">
        <v>#N/A</v>
      </c>
      <c r="N159" s="2079" t="e">
        <v>#N/A</v>
      </c>
      <c r="O159" s="2082" t="e">
        <v>#N/A</v>
      </c>
      <c r="P159" s="2079" t="e">
        <v>#N/A</v>
      </c>
      <c r="Q159" s="2082" t="e">
        <v>#N/A</v>
      </c>
      <c r="R159" s="2079" t="e">
        <v>#N/A</v>
      </c>
      <c r="S159" s="2082" t="e">
        <v>#N/A</v>
      </c>
      <c r="T159" s="2101" t="e">
        <v>#N/A</v>
      </c>
      <c r="U159" s="2109" t="e">
        <v>#N/A</v>
      </c>
      <c r="V159" s="2101" t="e">
        <v>#N/A</v>
      </c>
      <c r="W159" s="2087" t="e">
        <v>#N/A</v>
      </c>
      <c r="X159" s="2079" t="e">
        <v>#N/A</v>
      </c>
      <c r="Y159" s="1523" t="e">
        <v>#N/A</v>
      </c>
    </row>
    <row r="160" spans="1:25">
      <c r="A160" s="745">
        <f t="shared" si="3"/>
        <v>2028.07</v>
      </c>
      <c r="B160" s="2069" t="e">
        <v>#N/A</v>
      </c>
      <c r="C160" s="2079" t="e">
        <v>#N/A</v>
      </c>
      <c r="D160" s="2082" t="e">
        <v>#N/A</v>
      </c>
      <c r="E160" s="2079" t="e">
        <v>#N/A</v>
      </c>
      <c r="F160" s="2082" t="e">
        <v>#N/A</v>
      </c>
      <c r="G160" s="2079" t="e">
        <v>#N/A</v>
      </c>
      <c r="H160" s="1015" t="e">
        <v>#N/A</v>
      </c>
      <c r="I160" s="2079" t="e">
        <v>#N/A</v>
      </c>
      <c r="J160" s="2079" t="e">
        <v>#N/A</v>
      </c>
      <c r="K160" s="2082" t="e">
        <v>#N/A</v>
      </c>
      <c r="L160" s="2079" t="e">
        <v>#N/A</v>
      </c>
      <c r="M160" s="2082" t="e">
        <v>#N/A</v>
      </c>
      <c r="N160" s="2079" t="e">
        <v>#N/A</v>
      </c>
      <c r="O160" s="2082" t="e">
        <v>#N/A</v>
      </c>
      <c r="P160" s="2079" t="e">
        <v>#N/A</v>
      </c>
      <c r="Q160" s="2082" t="e">
        <v>#N/A</v>
      </c>
      <c r="R160" s="2079" t="e">
        <v>#N/A</v>
      </c>
      <c r="S160" s="2082" t="e">
        <v>#N/A</v>
      </c>
      <c r="T160" s="2101" t="e">
        <v>#N/A</v>
      </c>
      <c r="U160" s="2109" t="e">
        <v>#N/A</v>
      </c>
      <c r="V160" s="2101" t="e">
        <v>#N/A</v>
      </c>
      <c r="W160" s="2087" t="e">
        <v>#N/A</v>
      </c>
      <c r="X160" s="2079" t="e">
        <v>#N/A</v>
      </c>
      <c r="Y160" s="1523" t="e">
        <v>#N/A</v>
      </c>
    </row>
    <row r="161" spans="1:25">
      <c r="A161" s="745">
        <f t="shared" si="3"/>
        <v>2028.08</v>
      </c>
      <c r="B161" s="2069" t="e">
        <v>#N/A</v>
      </c>
      <c r="C161" s="2079" t="e">
        <v>#N/A</v>
      </c>
      <c r="D161" s="2082" t="e">
        <v>#N/A</v>
      </c>
      <c r="E161" s="2079" t="e">
        <v>#N/A</v>
      </c>
      <c r="F161" s="2082" t="e">
        <v>#N/A</v>
      </c>
      <c r="G161" s="2079" t="e">
        <v>#N/A</v>
      </c>
      <c r="H161" s="1015" t="e">
        <v>#N/A</v>
      </c>
      <c r="I161" s="2079" t="e">
        <v>#N/A</v>
      </c>
      <c r="J161" s="2079" t="e">
        <v>#N/A</v>
      </c>
      <c r="K161" s="2082" t="e">
        <v>#N/A</v>
      </c>
      <c r="L161" s="2079" t="e">
        <v>#N/A</v>
      </c>
      <c r="M161" s="2082" t="e">
        <v>#N/A</v>
      </c>
      <c r="N161" s="2079" t="e">
        <v>#N/A</v>
      </c>
      <c r="O161" s="2082" t="e">
        <v>#N/A</v>
      </c>
      <c r="P161" s="2079" t="e">
        <v>#N/A</v>
      </c>
      <c r="Q161" s="2082" t="e">
        <v>#N/A</v>
      </c>
      <c r="R161" s="2079" t="e">
        <v>#N/A</v>
      </c>
      <c r="S161" s="2082" t="e">
        <v>#N/A</v>
      </c>
      <c r="T161" s="2101" t="e">
        <v>#N/A</v>
      </c>
      <c r="U161" s="2109" t="e">
        <v>#N/A</v>
      </c>
      <c r="V161" s="2101" t="e">
        <v>#N/A</v>
      </c>
      <c r="W161" s="2087" t="e">
        <v>#N/A</v>
      </c>
      <c r="X161" s="2079" t="e">
        <v>#N/A</v>
      </c>
      <c r="Y161" s="1523" t="e">
        <v>#N/A</v>
      </c>
    </row>
    <row r="162" spans="1:25">
      <c r="A162" s="745">
        <f t="shared" si="3"/>
        <v>2028.09</v>
      </c>
      <c r="B162" s="2069" t="e">
        <v>#N/A</v>
      </c>
      <c r="C162" s="2079" t="e">
        <v>#N/A</v>
      </c>
      <c r="D162" s="2082" t="e">
        <v>#N/A</v>
      </c>
      <c r="E162" s="2079" t="e">
        <v>#N/A</v>
      </c>
      <c r="F162" s="2082" t="e">
        <v>#N/A</v>
      </c>
      <c r="G162" s="2079" t="e">
        <v>#N/A</v>
      </c>
      <c r="H162" s="1015" t="e">
        <v>#N/A</v>
      </c>
      <c r="I162" s="2079" t="e">
        <v>#N/A</v>
      </c>
      <c r="J162" s="2079" t="e">
        <v>#N/A</v>
      </c>
      <c r="K162" s="2082" t="e">
        <v>#N/A</v>
      </c>
      <c r="L162" s="2079" t="e">
        <v>#N/A</v>
      </c>
      <c r="M162" s="2082" t="e">
        <v>#N/A</v>
      </c>
      <c r="N162" s="2079" t="e">
        <v>#N/A</v>
      </c>
      <c r="O162" s="2082" t="e">
        <v>#N/A</v>
      </c>
      <c r="P162" s="2079" t="e">
        <v>#N/A</v>
      </c>
      <c r="Q162" s="2082" t="e">
        <v>#N/A</v>
      </c>
      <c r="R162" s="2079" t="e">
        <v>#N/A</v>
      </c>
      <c r="S162" s="2082" t="e">
        <v>#N/A</v>
      </c>
      <c r="T162" s="2101" t="e">
        <v>#N/A</v>
      </c>
      <c r="U162" s="2109" t="e">
        <v>#N/A</v>
      </c>
      <c r="V162" s="2101" t="e">
        <v>#N/A</v>
      </c>
      <c r="W162" s="2087" t="e">
        <v>#N/A</v>
      </c>
      <c r="X162" s="2079" t="e">
        <v>#N/A</v>
      </c>
      <c r="Y162" s="1523" t="e">
        <v>#N/A</v>
      </c>
    </row>
    <row r="163" spans="1:25">
      <c r="A163" s="745">
        <f t="shared" si="3"/>
        <v>2028.1</v>
      </c>
      <c r="B163" s="2069" t="e">
        <v>#N/A</v>
      </c>
      <c r="C163" s="2079" t="e">
        <v>#N/A</v>
      </c>
      <c r="D163" s="2082" t="e">
        <v>#N/A</v>
      </c>
      <c r="E163" s="2079" t="e">
        <v>#N/A</v>
      </c>
      <c r="F163" s="2082" t="e">
        <v>#N/A</v>
      </c>
      <c r="G163" s="2079" t="e">
        <v>#N/A</v>
      </c>
      <c r="H163" s="1015" t="e">
        <v>#N/A</v>
      </c>
      <c r="I163" s="2079" t="e">
        <v>#N/A</v>
      </c>
      <c r="J163" s="2079" t="e">
        <v>#N/A</v>
      </c>
      <c r="K163" s="2082" t="e">
        <v>#N/A</v>
      </c>
      <c r="L163" s="2079" t="e">
        <v>#N/A</v>
      </c>
      <c r="M163" s="2082" t="e">
        <v>#N/A</v>
      </c>
      <c r="N163" s="2079" t="e">
        <v>#N/A</v>
      </c>
      <c r="O163" s="2082" t="e">
        <v>#N/A</v>
      </c>
      <c r="P163" s="2079" t="e">
        <v>#N/A</v>
      </c>
      <c r="Q163" s="2082" t="e">
        <v>#N/A</v>
      </c>
      <c r="R163" s="2079" t="e">
        <v>#N/A</v>
      </c>
      <c r="S163" s="2082" t="e">
        <v>#N/A</v>
      </c>
      <c r="T163" s="2101" t="e">
        <v>#N/A</v>
      </c>
      <c r="U163" s="2109" t="e">
        <v>#N/A</v>
      </c>
      <c r="V163" s="2101" t="e">
        <v>#N/A</v>
      </c>
      <c r="W163" s="2087" t="e">
        <v>#N/A</v>
      </c>
      <c r="X163" s="2079" t="e">
        <v>#N/A</v>
      </c>
      <c r="Y163" s="1523" t="e">
        <v>#N/A</v>
      </c>
    </row>
    <row r="164" spans="1:25">
      <c r="A164" s="745">
        <f t="shared" si="3"/>
        <v>2028.11</v>
      </c>
      <c r="B164" s="2069" t="e">
        <v>#N/A</v>
      </c>
      <c r="C164" s="2079" t="e">
        <v>#N/A</v>
      </c>
      <c r="D164" s="2082" t="e">
        <v>#N/A</v>
      </c>
      <c r="E164" s="2079" t="e">
        <v>#N/A</v>
      </c>
      <c r="F164" s="2082" t="e">
        <v>#N/A</v>
      </c>
      <c r="G164" s="2079" t="e">
        <v>#N/A</v>
      </c>
      <c r="H164" s="1015" t="e">
        <v>#N/A</v>
      </c>
      <c r="I164" s="2079" t="e">
        <v>#N/A</v>
      </c>
      <c r="J164" s="2079" t="e">
        <v>#N/A</v>
      </c>
      <c r="K164" s="2082" t="e">
        <v>#N/A</v>
      </c>
      <c r="L164" s="2079" t="e">
        <v>#N/A</v>
      </c>
      <c r="M164" s="2082" t="e">
        <v>#N/A</v>
      </c>
      <c r="N164" s="2079" t="e">
        <v>#N/A</v>
      </c>
      <c r="O164" s="2082" t="e">
        <v>#N/A</v>
      </c>
      <c r="P164" s="2079" t="e">
        <v>#N/A</v>
      </c>
      <c r="Q164" s="2082" t="e">
        <v>#N/A</v>
      </c>
      <c r="R164" s="2079" t="e">
        <v>#N/A</v>
      </c>
      <c r="S164" s="2082" t="e">
        <v>#N/A</v>
      </c>
      <c r="T164" s="2101" t="e">
        <v>#N/A</v>
      </c>
      <c r="U164" s="2109" t="e">
        <v>#N/A</v>
      </c>
      <c r="V164" s="2101" t="e">
        <v>#N/A</v>
      </c>
      <c r="W164" s="2087" t="e">
        <v>#N/A</v>
      </c>
      <c r="X164" s="2079" t="e">
        <v>#N/A</v>
      </c>
      <c r="Y164" s="1523" t="e">
        <v>#N/A</v>
      </c>
    </row>
    <row r="165" spans="1:25">
      <c r="A165" s="745">
        <f t="shared" si="3"/>
        <v>2028.12</v>
      </c>
      <c r="B165" s="2069" t="e">
        <v>#N/A</v>
      </c>
      <c r="C165" s="2079" t="e">
        <v>#N/A</v>
      </c>
      <c r="D165" s="2082" t="e">
        <v>#N/A</v>
      </c>
      <c r="E165" s="2079" t="e">
        <v>#N/A</v>
      </c>
      <c r="F165" s="2082" t="e">
        <v>#N/A</v>
      </c>
      <c r="G165" s="2079" t="e">
        <v>#N/A</v>
      </c>
      <c r="H165" s="1015" t="e">
        <v>#N/A</v>
      </c>
      <c r="I165" s="2079" t="e">
        <v>#N/A</v>
      </c>
      <c r="J165" s="2079" t="e">
        <v>#N/A</v>
      </c>
      <c r="K165" s="2082" t="e">
        <v>#N/A</v>
      </c>
      <c r="L165" s="2079" t="e">
        <v>#N/A</v>
      </c>
      <c r="M165" s="2082" t="e">
        <v>#N/A</v>
      </c>
      <c r="N165" s="2079" t="e">
        <v>#N/A</v>
      </c>
      <c r="O165" s="2082" t="e">
        <v>#N/A</v>
      </c>
      <c r="P165" s="2079" t="e">
        <v>#N/A</v>
      </c>
      <c r="Q165" s="2082" t="e">
        <v>#N/A</v>
      </c>
      <c r="R165" s="2079" t="e">
        <v>#N/A</v>
      </c>
      <c r="S165" s="2082" t="e">
        <v>#N/A</v>
      </c>
      <c r="T165" s="2101" t="e">
        <v>#N/A</v>
      </c>
      <c r="U165" s="2109" t="e">
        <v>#N/A</v>
      </c>
      <c r="V165" s="2101" t="e">
        <v>#N/A</v>
      </c>
      <c r="W165" s="2087" t="e">
        <v>#N/A</v>
      </c>
      <c r="X165" s="2079" t="e">
        <v>#N/A</v>
      </c>
      <c r="Y165" s="1523" t="e">
        <v>#N/A</v>
      </c>
    </row>
    <row r="166" spans="1:25">
      <c r="A166" s="745">
        <f t="shared" si="3"/>
        <v>2029.01</v>
      </c>
      <c r="B166" s="2069" t="e">
        <v>#N/A</v>
      </c>
      <c r="C166" s="2079" t="e">
        <v>#N/A</v>
      </c>
      <c r="D166" s="2082" t="e">
        <v>#N/A</v>
      </c>
      <c r="E166" s="2079" t="e">
        <v>#N/A</v>
      </c>
      <c r="F166" s="2082" t="e">
        <v>#N/A</v>
      </c>
      <c r="G166" s="2079" t="e">
        <v>#N/A</v>
      </c>
      <c r="H166" s="1015" t="e">
        <v>#N/A</v>
      </c>
      <c r="I166" s="2079" t="e">
        <v>#N/A</v>
      </c>
      <c r="J166" s="2079" t="e">
        <v>#N/A</v>
      </c>
      <c r="K166" s="2082" t="e">
        <v>#N/A</v>
      </c>
      <c r="L166" s="2079" t="e">
        <v>#N/A</v>
      </c>
      <c r="M166" s="2082" t="e">
        <v>#N/A</v>
      </c>
      <c r="N166" s="2079" t="e">
        <v>#N/A</v>
      </c>
      <c r="O166" s="2082" t="e">
        <v>#N/A</v>
      </c>
      <c r="P166" s="2079" t="e">
        <v>#N/A</v>
      </c>
      <c r="Q166" s="2082" t="e">
        <v>#N/A</v>
      </c>
      <c r="R166" s="2079" t="e">
        <v>#N/A</v>
      </c>
      <c r="S166" s="2082" t="e">
        <v>#N/A</v>
      </c>
      <c r="T166" s="2101" t="e">
        <v>#N/A</v>
      </c>
      <c r="U166" s="2109" t="e">
        <v>#N/A</v>
      </c>
      <c r="V166" s="2101" t="e">
        <v>#N/A</v>
      </c>
      <c r="W166" s="2087" t="e">
        <v>#N/A</v>
      </c>
      <c r="X166" s="2079" t="e">
        <v>#N/A</v>
      </c>
      <c r="Y166" s="1523" t="e">
        <v>#N/A</v>
      </c>
    </row>
    <row r="167" spans="1:25">
      <c r="A167" s="745">
        <f t="shared" si="3"/>
        <v>2029.02</v>
      </c>
      <c r="B167" s="2069" t="e">
        <v>#N/A</v>
      </c>
      <c r="C167" s="2079" t="e">
        <v>#N/A</v>
      </c>
      <c r="D167" s="2082" t="e">
        <v>#N/A</v>
      </c>
      <c r="E167" s="2079" t="e">
        <v>#N/A</v>
      </c>
      <c r="F167" s="2082" t="e">
        <v>#N/A</v>
      </c>
      <c r="G167" s="2079" t="e">
        <v>#N/A</v>
      </c>
      <c r="H167" s="1015" t="e">
        <v>#N/A</v>
      </c>
      <c r="I167" s="2079" t="e">
        <v>#N/A</v>
      </c>
      <c r="J167" s="2079" t="e">
        <v>#N/A</v>
      </c>
      <c r="K167" s="2082" t="e">
        <v>#N/A</v>
      </c>
      <c r="L167" s="2079" t="e">
        <v>#N/A</v>
      </c>
      <c r="M167" s="2082" t="e">
        <v>#N/A</v>
      </c>
      <c r="N167" s="2079" t="e">
        <v>#N/A</v>
      </c>
      <c r="O167" s="2082" t="e">
        <v>#N/A</v>
      </c>
      <c r="P167" s="2079" t="e">
        <v>#N/A</v>
      </c>
      <c r="Q167" s="2082" t="e">
        <v>#N/A</v>
      </c>
      <c r="R167" s="2079" t="e">
        <v>#N/A</v>
      </c>
      <c r="S167" s="2082" t="e">
        <v>#N/A</v>
      </c>
      <c r="T167" s="2101" t="e">
        <v>#N/A</v>
      </c>
      <c r="U167" s="2109" t="e">
        <v>#N/A</v>
      </c>
      <c r="V167" s="2101" t="e">
        <v>#N/A</v>
      </c>
      <c r="W167" s="2087" t="e">
        <v>#N/A</v>
      </c>
      <c r="X167" s="2079" t="e">
        <v>#N/A</v>
      </c>
      <c r="Y167" s="1523" t="e">
        <v>#N/A</v>
      </c>
    </row>
    <row r="168" spans="1:25">
      <c r="A168" s="745">
        <f t="shared" si="3"/>
        <v>2029.03</v>
      </c>
      <c r="B168" s="2069" t="e">
        <v>#N/A</v>
      </c>
      <c r="C168" s="2079" t="e">
        <v>#N/A</v>
      </c>
      <c r="D168" s="2082" t="e">
        <v>#N/A</v>
      </c>
      <c r="E168" s="2079" t="e">
        <v>#N/A</v>
      </c>
      <c r="F168" s="2082" t="e">
        <v>#N/A</v>
      </c>
      <c r="G168" s="2079" t="e">
        <v>#N/A</v>
      </c>
      <c r="H168" s="1015" t="e">
        <v>#N/A</v>
      </c>
      <c r="I168" s="2079" t="e">
        <v>#N/A</v>
      </c>
      <c r="J168" s="2079" t="e">
        <v>#N/A</v>
      </c>
      <c r="K168" s="2082" t="e">
        <v>#N/A</v>
      </c>
      <c r="L168" s="2079" t="e">
        <v>#N/A</v>
      </c>
      <c r="M168" s="2082" t="e">
        <v>#N/A</v>
      </c>
      <c r="N168" s="2079" t="e">
        <v>#N/A</v>
      </c>
      <c r="O168" s="2082" t="e">
        <v>#N/A</v>
      </c>
      <c r="P168" s="2079" t="e">
        <v>#N/A</v>
      </c>
      <c r="Q168" s="2082" t="e">
        <v>#N/A</v>
      </c>
      <c r="R168" s="2079" t="e">
        <v>#N/A</v>
      </c>
      <c r="S168" s="2082" t="e">
        <v>#N/A</v>
      </c>
      <c r="T168" s="2101" t="e">
        <v>#N/A</v>
      </c>
      <c r="U168" s="2109" t="e">
        <v>#N/A</v>
      </c>
      <c r="V168" s="2101" t="e">
        <v>#N/A</v>
      </c>
      <c r="W168" s="2087" t="e">
        <v>#N/A</v>
      </c>
      <c r="X168" s="2079" t="e">
        <v>#N/A</v>
      </c>
      <c r="Y168" s="1523" t="e">
        <v>#N/A</v>
      </c>
    </row>
    <row r="169" spans="1:25">
      <c r="A169" s="745">
        <f t="shared" si="3"/>
        <v>2029.04</v>
      </c>
      <c r="B169" s="2069" t="e">
        <v>#N/A</v>
      </c>
      <c r="C169" s="2079" t="e">
        <v>#N/A</v>
      </c>
      <c r="D169" s="2082" t="e">
        <v>#N/A</v>
      </c>
      <c r="E169" s="2079" t="e">
        <v>#N/A</v>
      </c>
      <c r="F169" s="2082" t="e">
        <v>#N/A</v>
      </c>
      <c r="G169" s="2079" t="e">
        <v>#N/A</v>
      </c>
      <c r="H169" s="1015" t="e">
        <v>#N/A</v>
      </c>
      <c r="I169" s="2079" t="e">
        <v>#N/A</v>
      </c>
      <c r="J169" s="2079" t="e">
        <v>#N/A</v>
      </c>
      <c r="K169" s="2082" t="e">
        <v>#N/A</v>
      </c>
      <c r="L169" s="2079" t="e">
        <v>#N/A</v>
      </c>
      <c r="M169" s="2082" t="e">
        <v>#N/A</v>
      </c>
      <c r="N169" s="2079" t="e">
        <v>#N/A</v>
      </c>
      <c r="O169" s="2082" t="e">
        <v>#N/A</v>
      </c>
      <c r="P169" s="2079" t="e">
        <v>#N/A</v>
      </c>
      <c r="Q169" s="2082" t="e">
        <v>#N/A</v>
      </c>
      <c r="R169" s="2079" t="e">
        <v>#N/A</v>
      </c>
      <c r="S169" s="2082" t="e">
        <v>#N/A</v>
      </c>
      <c r="T169" s="2101" t="e">
        <v>#N/A</v>
      </c>
      <c r="U169" s="2109" t="e">
        <v>#N/A</v>
      </c>
      <c r="V169" s="2101" t="e">
        <v>#N/A</v>
      </c>
      <c r="W169" s="2087" t="e">
        <v>#N/A</v>
      </c>
      <c r="X169" s="2079" t="e">
        <v>#N/A</v>
      </c>
      <c r="Y169" s="1523" t="e">
        <v>#N/A</v>
      </c>
    </row>
    <row r="170" spans="1:25">
      <c r="A170" s="745">
        <f t="shared" si="3"/>
        <v>2029.05</v>
      </c>
      <c r="B170" s="2069" t="e">
        <v>#N/A</v>
      </c>
      <c r="C170" s="2079" t="e">
        <v>#N/A</v>
      </c>
      <c r="D170" s="2082" t="e">
        <v>#N/A</v>
      </c>
      <c r="E170" s="2079" t="e">
        <v>#N/A</v>
      </c>
      <c r="F170" s="2082" t="e">
        <v>#N/A</v>
      </c>
      <c r="G170" s="2079" t="e">
        <v>#N/A</v>
      </c>
      <c r="H170" s="1015" t="e">
        <v>#N/A</v>
      </c>
      <c r="I170" s="2079" t="e">
        <v>#N/A</v>
      </c>
      <c r="J170" s="2079" t="e">
        <v>#N/A</v>
      </c>
      <c r="K170" s="2082" t="e">
        <v>#N/A</v>
      </c>
      <c r="L170" s="2079" t="e">
        <v>#N/A</v>
      </c>
      <c r="M170" s="2082" t="e">
        <v>#N/A</v>
      </c>
      <c r="N170" s="2079" t="e">
        <v>#N/A</v>
      </c>
      <c r="O170" s="2082" t="e">
        <v>#N/A</v>
      </c>
      <c r="P170" s="2079" t="e">
        <v>#N/A</v>
      </c>
      <c r="Q170" s="2082" t="e">
        <v>#N/A</v>
      </c>
      <c r="R170" s="2079" t="e">
        <v>#N/A</v>
      </c>
      <c r="S170" s="2082" t="e">
        <v>#N/A</v>
      </c>
      <c r="T170" s="2101" t="e">
        <v>#N/A</v>
      </c>
      <c r="U170" s="2109" t="e">
        <v>#N/A</v>
      </c>
      <c r="V170" s="2101" t="e">
        <v>#N/A</v>
      </c>
      <c r="W170" s="2087" t="e">
        <v>#N/A</v>
      </c>
      <c r="X170" s="2079" t="e">
        <v>#N/A</v>
      </c>
      <c r="Y170" s="1523" t="e">
        <v>#N/A</v>
      </c>
    </row>
    <row r="171" spans="1:25">
      <c r="A171" s="745">
        <f t="shared" si="3"/>
        <v>2029.06</v>
      </c>
      <c r="B171" s="2069" t="e">
        <v>#N/A</v>
      </c>
      <c r="C171" s="2079" t="e">
        <v>#N/A</v>
      </c>
      <c r="D171" s="2082" t="e">
        <v>#N/A</v>
      </c>
      <c r="E171" s="2079" t="e">
        <v>#N/A</v>
      </c>
      <c r="F171" s="2082" t="e">
        <v>#N/A</v>
      </c>
      <c r="G171" s="2079" t="e">
        <v>#N/A</v>
      </c>
      <c r="H171" s="1015" t="e">
        <v>#N/A</v>
      </c>
      <c r="I171" s="2079" t="e">
        <v>#N/A</v>
      </c>
      <c r="J171" s="2079" t="e">
        <v>#N/A</v>
      </c>
      <c r="K171" s="2082" t="e">
        <v>#N/A</v>
      </c>
      <c r="L171" s="2079" t="e">
        <v>#N/A</v>
      </c>
      <c r="M171" s="2082" t="e">
        <v>#N/A</v>
      </c>
      <c r="N171" s="2079" t="e">
        <v>#N/A</v>
      </c>
      <c r="O171" s="2082" t="e">
        <v>#N/A</v>
      </c>
      <c r="P171" s="2079" t="e">
        <v>#N/A</v>
      </c>
      <c r="Q171" s="2082" t="e">
        <v>#N/A</v>
      </c>
      <c r="R171" s="2079" t="e">
        <v>#N/A</v>
      </c>
      <c r="S171" s="2082" t="e">
        <v>#N/A</v>
      </c>
      <c r="T171" s="2101" t="e">
        <v>#N/A</v>
      </c>
      <c r="U171" s="2109" t="e">
        <v>#N/A</v>
      </c>
      <c r="V171" s="2101" t="e">
        <v>#N/A</v>
      </c>
      <c r="W171" s="2087" t="e">
        <v>#N/A</v>
      </c>
      <c r="X171" s="2079" t="e">
        <v>#N/A</v>
      </c>
      <c r="Y171" s="1523" t="e">
        <v>#N/A</v>
      </c>
    </row>
    <row r="172" spans="1:25">
      <c r="A172" s="745">
        <f t="shared" si="3"/>
        <v>2029.07</v>
      </c>
      <c r="B172" s="2069" t="e">
        <v>#N/A</v>
      </c>
      <c r="C172" s="2079" t="e">
        <v>#N/A</v>
      </c>
      <c r="D172" s="2082" t="e">
        <v>#N/A</v>
      </c>
      <c r="E172" s="2079" t="e">
        <v>#N/A</v>
      </c>
      <c r="F172" s="2082" t="e">
        <v>#N/A</v>
      </c>
      <c r="G172" s="2079" t="e">
        <v>#N/A</v>
      </c>
      <c r="H172" s="1015" t="e">
        <v>#N/A</v>
      </c>
      <c r="I172" s="2079" t="e">
        <v>#N/A</v>
      </c>
      <c r="J172" s="2079" t="e">
        <v>#N/A</v>
      </c>
      <c r="K172" s="2082" t="e">
        <v>#N/A</v>
      </c>
      <c r="L172" s="2079" t="e">
        <v>#N/A</v>
      </c>
      <c r="M172" s="2082" t="e">
        <v>#N/A</v>
      </c>
      <c r="N172" s="2079" t="e">
        <v>#N/A</v>
      </c>
      <c r="O172" s="2082" t="e">
        <v>#N/A</v>
      </c>
      <c r="P172" s="2079" t="e">
        <v>#N/A</v>
      </c>
      <c r="Q172" s="2082" t="e">
        <v>#N/A</v>
      </c>
      <c r="R172" s="2079" t="e">
        <v>#N/A</v>
      </c>
      <c r="S172" s="2082" t="e">
        <v>#N/A</v>
      </c>
      <c r="T172" s="2101" t="e">
        <v>#N/A</v>
      </c>
      <c r="U172" s="2109" t="e">
        <v>#N/A</v>
      </c>
      <c r="V172" s="2101" t="e">
        <v>#N/A</v>
      </c>
      <c r="W172" s="2087" t="e">
        <v>#N/A</v>
      </c>
      <c r="X172" s="2079" t="e">
        <v>#N/A</v>
      </c>
      <c r="Y172" s="1523" t="e">
        <v>#N/A</v>
      </c>
    </row>
    <row r="173" spans="1:25">
      <c r="A173" s="745">
        <f t="shared" si="3"/>
        <v>2029.08</v>
      </c>
      <c r="B173" s="2069" t="e">
        <v>#N/A</v>
      </c>
      <c r="C173" s="2079" t="e">
        <v>#N/A</v>
      </c>
      <c r="D173" s="2082" t="e">
        <v>#N/A</v>
      </c>
      <c r="E173" s="2079" t="e">
        <v>#N/A</v>
      </c>
      <c r="F173" s="2082" t="e">
        <v>#N/A</v>
      </c>
      <c r="G173" s="2079" t="e">
        <v>#N/A</v>
      </c>
      <c r="H173" s="1015" t="e">
        <v>#N/A</v>
      </c>
      <c r="I173" s="2079" t="e">
        <v>#N/A</v>
      </c>
      <c r="J173" s="2079" t="e">
        <v>#N/A</v>
      </c>
      <c r="K173" s="2082" t="e">
        <v>#N/A</v>
      </c>
      <c r="L173" s="2079" t="e">
        <v>#N/A</v>
      </c>
      <c r="M173" s="2082" t="e">
        <v>#N/A</v>
      </c>
      <c r="N173" s="2079" t="e">
        <v>#N/A</v>
      </c>
      <c r="O173" s="2082" t="e">
        <v>#N/A</v>
      </c>
      <c r="P173" s="2079" t="e">
        <v>#N/A</v>
      </c>
      <c r="Q173" s="2082" t="e">
        <v>#N/A</v>
      </c>
      <c r="R173" s="2079" t="e">
        <v>#N/A</v>
      </c>
      <c r="S173" s="2082" t="e">
        <v>#N/A</v>
      </c>
      <c r="T173" s="2101" t="e">
        <v>#N/A</v>
      </c>
      <c r="U173" s="2109" t="e">
        <v>#N/A</v>
      </c>
      <c r="V173" s="2101" t="e">
        <v>#N/A</v>
      </c>
      <c r="W173" s="2087" t="e">
        <v>#N/A</v>
      </c>
      <c r="X173" s="2079" t="e">
        <v>#N/A</v>
      </c>
      <c r="Y173" s="1523" t="e">
        <v>#N/A</v>
      </c>
    </row>
    <row r="174" spans="1:25">
      <c r="A174" s="745">
        <f t="shared" si="3"/>
        <v>2029.09</v>
      </c>
      <c r="B174" s="2069" t="e">
        <v>#N/A</v>
      </c>
      <c r="C174" s="2079" t="e">
        <v>#N/A</v>
      </c>
      <c r="D174" s="2082" t="e">
        <v>#N/A</v>
      </c>
      <c r="E174" s="2079" t="e">
        <v>#N/A</v>
      </c>
      <c r="F174" s="2082" t="e">
        <v>#N/A</v>
      </c>
      <c r="G174" s="2079" t="e">
        <v>#N/A</v>
      </c>
      <c r="H174" s="1015" t="e">
        <v>#N/A</v>
      </c>
      <c r="I174" s="2079" t="e">
        <v>#N/A</v>
      </c>
      <c r="J174" s="2079" t="e">
        <v>#N/A</v>
      </c>
      <c r="K174" s="2082" t="e">
        <v>#N/A</v>
      </c>
      <c r="L174" s="2079" t="e">
        <v>#N/A</v>
      </c>
      <c r="M174" s="2082" t="e">
        <v>#N/A</v>
      </c>
      <c r="N174" s="2079" t="e">
        <v>#N/A</v>
      </c>
      <c r="O174" s="2082" t="e">
        <v>#N/A</v>
      </c>
      <c r="P174" s="2079" t="e">
        <v>#N/A</v>
      </c>
      <c r="Q174" s="2082" t="e">
        <v>#N/A</v>
      </c>
      <c r="R174" s="2079" t="e">
        <v>#N/A</v>
      </c>
      <c r="S174" s="2082" t="e">
        <v>#N/A</v>
      </c>
      <c r="T174" s="2101" t="e">
        <v>#N/A</v>
      </c>
      <c r="U174" s="2109" t="e">
        <v>#N/A</v>
      </c>
      <c r="V174" s="2101" t="e">
        <v>#N/A</v>
      </c>
      <c r="W174" s="2087" t="e">
        <v>#N/A</v>
      </c>
      <c r="X174" s="2079" t="e">
        <v>#N/A</v>
      </c>
      <c r="Y174" s="1523" t="e">
        <v>#N/A</v>
      </c>
    </row>
    <row r="175" spans="1:25">
      <c r="A175" s="745">
        <f t="shared" si="3"/>
        <v>2029.1</v>
      </c>
      <c r="B175" s="2069" t="e">
        <v>#N/A</v>
      </c>
      <c r="C175" s="2079" t="e">
        <v>#N/A</v>
      </c>
      <c r="D175" s="2082" t="e">
        <v>#N/A</v>
      </c>
      <c r="E175" s="2079" t="e">
        <v>#N/A</v>
      </c>
      <c r="F175" s="2082" t="e">
        <v>#N/A</v>
      </c>
      <c r="G175" s="2079" t="e">
        <v>#N/A</v>
      </c>
      <c r="H175" s="1015" t="e">
        <v>#N/A</v>
      </c>
      <c r="I175" s="2079" t="e">
        <v>#N/A</v>
      </c>
      <c r="J175" s="2079" t="e">
        <v>#N/A</v>
      </c>
      <c r="K175" s="2082" t="e">
        <v>#N/A</v>
      </c>
      <c r="L175" s="2079" t="e">
        <v>#N/A</v>
      </c>
      <c r="M175" s="2082" t="e">
        <v>#N/A</v>
      </c>
      <c r="N175" s="2079" t="e">
        <v>#N/A</v>
      </c>
      <c r="O175" s="2082" t="e">
        <v>#N/A</v>
      </c>
      <c r="P175" s="2079" t="e">
        <v>#N/A</v>
      </c>
      <c r="Q175" s="2082" t="e">
        <v>#N/A</v>
      </c>
      <c r="R175" s="2079" t="e">
        <v>#N/A</v>
      </c>
      <c r="S175" s="2082" t="e">
        <v>#N/A</v>
      </c>
      <c r="T175" s="2101" t="e">
        <v>#N/A</v>
      </c>
      <c r="U175" s="2109" t="e">
        <v>#N/A</v>
      </c>
      <c r="V175" s="2101" t="e">
        <v>#N/A</v>
      </c>
      <c r="W175" s="2087" t="e">
        <v>#N/A</v>
      </c>
      <c r="X175" s="2079" t="e">
        <v>#N/A</v>
      </c>
      <c r="Y175" s="1523" t="e">
        <v>#N/A</v>
      </c>
    </row>
    <row r="176" spans="1:25">
      <c r="A176" s="745">
        <f t="shared" si="3"/>
        <v>2029.11</v>
      </c>
      <c r="B176" s="2069" t="e">
        <v>#N/A</v>
      </c>
      <c r="C176" s="2079" t="e">
        <v>#N/A</v>
      </c>
      <c r="D176" s="2082" t="e">
        <v>#N/A</v>
      </c>
      <c r="E176" s="2079" t="e">
        <v>#N/A</v>
      </c>
      <c r="F176" s="2082" t="e">
        <v>#N/A</v>
      </c>
      <c r="G176" s="2079" t="e">
        <v>#N/A</v>
      </c>
      <c r="H176" s="1015" t="e">
        <v>#N/A</v>
      </c>
      <c r="I176" s="2079" t="e">
        <v>#N/A</v>
      </c>
      <c r="J176" s="2079" t="e">
        <v>#N/A</v>
      </c>
      <c r="K176" s="2082" t="e">
        <v>#N/A</v>
      </c>
      <c r="L176" s="2079" t="e">
        <v>#N/A</v>
      </c>
      <c r="M176" s="2082" t="e">
        <v>#N/A</v>
      </c>
      <c r="N176" s="2079" t="e">
        <v>#N/A</v>
      </c>
      <c r="O176" s="2082" t="e">
        <v>#N/A</v>
      </c>
      <c r="P176" s="2079" t="e">
        <v>#N/A</v>
      </c>
      <c r="Q176" s="2082" t="e">
        <v>#N/A</v>
      </c>
      <c r="R176" s="2079" t="e">
        <v>#N/A</v>
      </c>
      <c r="S176" s="2082" t="e">
        <v>#N/A</v>
      </c>
      <c r="T176" s="2101" t="e">
        <v>#N/A</v>
      </c>
      <c r="U176" s="2109" t="e">
        <v>#N/A</v>
      </c>
      <c r="V176" s="2101" t="e">
        <v>#N/A</v>
      </c>
      <c r="W176" s="2087" t="e">
        <v>#N/A</v>
      </c>
      <c r="X176" s="2079" t="e">
        <v>#N/A</v>
      </c>
      <c r="Y176" s="1523" t="e">
        <v>#N/A</v>
      </c>
    </row>
    <row r="177" spans="1:25">
      <c r="A177" s="745">
        <f t="shared" si="3"/>
        <v>2029.12</v>
      </c>
      <c r="B177" s="2069" t="e">
        <v>#N/A</v>
      </c>
      <c r="C177" s="2079" t="e">
        <v>#N/A</v>
      </c>
      <c r="D177" s="2082" t="e">
        <v>#N/A</v>
      </c>
      <c r="E177" s="2079" t="e">
        <v>#N/A</v>
      </c>
      <c r="F177" s="2082" t="e">
        <v>#N/A</v>
      </c>
      <c r="G177" s="2079" t="e">
        <v>#N/A</v>
      </c>
      <c r="H177" s="1015" t="e">
        <v>#N/A</v>
      </c>
      <c r="I177" s="2079" t="e">
        <v>#N/A</v>
      </c>
      <c r="J177" s="2079" t="e">
        <v>#N/A</v>
      </c>
      <c r="K177" s="2082" t="e">
        <v>#N/A</v>
      </c>
      <c r="L177" s="2079" t="e">
        <v>#N/A</v>
      </c>
      <c r="M177" s="2082" t="e">
        <v>#N/A</v>
      </c>
      <c r="N177" s="2079" t="e">
        <v>#N/A</v>
      </c>
      <c r="O177" s="2082" t="e">
        <v>#N/A</v>
      </c>
      <c r="P177" s="2079" t="e">
        <v>#N/A</v>
      </c>
      <c r="Q177" s="2082" t="e">
        <v>#N/A</v>
      </c>
      <c r="R177" s="2079" t="e">
        <v>#N/A</v>
      </c>
      <c r="S177" s="2082" t="e">
        <v>#N/A</v>
      </c>
      <c r="T177" s="2101" t="e">
        <v>#N/A</v>
      </c>
      <c r="U177" s="2109" t="e">
        <v>#N/A</v>
      </c>
      <c r="V177" s="2101" t="e">
        <v>#N/A</v>
      </c>
      <c r="W177" s="2087" t="e">
        <v>#N/A</v>
      </c>
      <c r="X177" s="2079" t="e">
        <v>#N/A</v>
      </c>
      <c r="Y177" s="1523" t="e">
        <v>#N/A</v>
      </c>
    </row>
    <row r="178" spans="1:25">
      <c r="A178" s="745">
        <f t="shared" si="3"/>
        <v>2030.01</v>
      </c>
      <c r="B178" s="2069" t="e">
        <v>#N/A</v>
      </c>
      <c r="C178" s="2079" t="e">
        <v>#N/A</v>
      </c>
      <c r="D178" s="2082" t="e">
        <v>#N/A</v>
      </c>
      <c r="E178" s="2079" t="e">
        <v>#N/A</v>
      </c>
      <c r="F178" s="2082" t="e">
        <v>#N/A</v>
      </c>
      <c r="G178" s="2079" t="e">
        <v>#N/A</v>
      </c>
      <c r="H178" s="1015" t="e">
        <v>#N/A</v>
      </c>
      <c r="I178" s="2079" t="e">
        <v>#N/A</v>
      </c>
      <c r="J178" s="2079" t="e">
        <v>#N/A</v>
      </c>
      <c r="K178" s="2082" t="e">
        <v>#N/A</v>
      </c>
      <c r="L178" s="2079" t="e">
        <v>#N/A</v>
      </c>
      <c r="M178" s="2082" t="e">
        <v>#N/A</v>
      </c>
      <c r="N178" s="2079" t="e">
        <v>#N/A</v>
      </c>
      <c r="O178" s="2082" t="e">
        <v>#N/A</v>
      </c>
      <c r="P178" s="2079" t="e">
        <v>#N/A</v>
      </c>
      <c r="Q178" s="2082" t="e">
        <v>#N/A</v>
      </c>
      <c r="R178" s="2079" t="e">
        <v>#N/A</v>
      </c>
      <c r="S178" s="2082" t="e">
        <v>#N/A</v>
      </c>
      <c r="T178" s="2101" t="e">
        <v>#N/A</v>
      </c>
      <c r="U178" s="2109" t="e">
        <v>#N/A</v>
      </c>
      <c r="V178" s="2101" t="e">
        <v>#N/A</v>
      </c>
      <c r="W178" s="2087" t="e">
        <v>#N/A</v>
      </c>
      <c r="X178" s="2079" t="e">
        <v>#N/A</v>
      </c>
      <c r="Y178" s="1523" t="e">
        <v>#N/A</v>
      </c>
    </row>
    <row r="179" spans="1:25">
      <c r="A179" s="745">
        <f t="shared" si="3"/>
        <v>2030.02</v>
      </c>
      <c r="B179" s="2069" t="e">
        <v>#N/A</v>
      </c>
      <c r="C179" s="2079" t="e">
        <v>#N/A</v>
      </c>
      <c r="D179" s="2082" t="e">
        <v>#N/A</v>
      </c>
      <c r="E179" s="2079" t="e">
        <v>#N/A</v>
      </c>
      <c r="F179" s="2082" t="e">
        <v>#N/A</v>
      </c>
      <c r="G179" s="2079" t="e">
        <v>#N/A</v>
      </c>
      <c r="H179" s="1015" t="e">
        <v>#N/A</v>
      </c>
      <c r="I179" s="2079" t="e">
        <v>#N/A</v>
      </c>
      <c r="J179" s="2079" t="e">
        <v>#N/A</v>
      </c>
      <c r="K179" s="2082" t="e">
        <v>#N/A</v>
      </c>
      <c r="L179" s="2079" t="e">
        <v>#N/A</v>
      </c>
      <c r="M179" s="2082" t="e">
        <v>#N/A</v>
      </c>
      <c r="N179" s="2079" t="e">
        <v>#N/A</v>
      </c>
      <c r="O179" s="2082" t="e">
        <v>#N/A</v>
      </c>
      <c r="P179" s="2079" t="e">
        <v>#N/A</v>
      </c>
      <c r="Q179" s="2082" t="e">
        <v>#N/A</v>
      </c>
      <c r="R179" s="2079" t="e">
        <v>#N/A</v>
      </c>
      <c r="S179" s="2082" t="e">
        <v>#N/A</v>
      </c>
      <c r="T179" s="2101" t="e">
        <v>#N/A</v>
      </c>
      <c r="U179" s="2109" t="e">
        <v>#N/A</v>
      </c>
      <c r="V179" s="2101" t="e">
        <v>#N/A</v>
      </c>
      <c r="W179" s="2087" t="e">
        <v>#N/A</v>
      </c>
      <c r="X179" s="2079" t="e">
        <v>#N/A</v>
      </c>
      <c r="Y179" s="1523" t="e">
        <v>#N/A</v>
      </c>
    </row>
    <row r="180" spans="1:25">
      <c r="A180" s="745">
        <f t="shared" si="3"/>
        <v>2030.03</v>
      </c>
      <c r="B180" s="2069" t="e">
        <v>#N/A</v>
      </c>
      <c r="C180" s="2079" t="e">
        <v>#N/A</v>
      </c>
      <c r="D180" s="2082" t="e">
        <v>#N/A</v>
      </c>
      <c r="E180" s="2079" t="e">
        <v>#N/A</v>
      </c>
      <c r="F180" s="2082" t="e">
        <v>#N/A</v>
      </c>
      <c r="G180" s="2079" t="e">
        <v>#N/A</v>
      </c>
      <c r="H180" s="1015" t="e">
        <v>#N/A</v>
      </c>
      <c r="I180" s="2079" t="e">
        <v>#N/A</v>
      </c>
      <c r="J180" s="2079" t="e">
        <v>#N/A</v>
      </c>
      <c r="K180" s="2082" t="e">
        <v>#N/A</v>
      </c>
      <c r="L180" s="2079" t="e">
        <v>#N/A</v>
      </c>
      <c r="M180" s="2082" t="e">
        <v>#N/A</v>
      </c>
      <c r="N180" s="2079" t="e">
        <v>#N/A</v>
      </c>
      <c r="O180" s="2082" t="e">
        <v>#N/A</v>
      </c>
      <c r="P180" s="2079" t="e">
        <v>#N/A</v>
      </c>
      <c r="Q180" s="2082" t="e">
        <v>#N/A</v>
      </c>
      <c r="R180" s="2079" t="e">
        <v>#N/A</v>
      </c>
      <c r="S180" s="2082" t="e">
        <v>#N/A</v>
      </c>
      <c r="T180" s="2101" t="e">
        <v>#N/A</v>
      </c>
      <c r="U180" s="2109" t="e">
        <v>#N/A</v>
      </c>
      <c r="V180" s="2101" t="e">
        <v>#N/A</v>
      </c>
      <c r="W180" s="2087" t="e">
        <v>#N/A</v>
      </c>
      <c r="X180" s="2079" t="e">
        <v>#N/A</v>
      </c>
      <c r="Y180" s="1523" t="e">
        <v>#N/A</v>
      </c>
    </row>
    <row r="181" spans="1:25">
      <c r="A181" s="745">
        <f t="shared" si="3"/>
        <v>2030.04</v>
      </c>
      <c r="B181" s="2069" t="e">
        <v>#N/A</v>
      </c>
      <c r="C181" s="2079" t="e">
        <v>#N/A</v>
      </c>
      <c r="D181" s="2082" t="e">
        <v>#N/A</v>
      </c>
      <c r="E181" s="2079" t="e">
        <v>#N/A</v>
      </c>
      <c r="F181" s="2082" t="e">
        <v>#N/A</v>
      </c>
      <c r="G181" s="2079" t="e">
        <v>#N/A</v>
      </c>
      <c r="H181" s="1015" t="e">
        <v>#N/A</v>
      </c>
      <c r="I181" s="2079" t="e">
        <v>#N/A</v>
      </c>
      <c r="J181" s="2079" t="e">
        <v>#N/A</v>
      </c>
      <c r="K181" s="2082" t="e">
        <v>#N/A</v>
      </c>
      <c r="L181" s="2079" t="e">
        <v>#N/A</v>
      </c>
      <c r="M181" s="2082" t="e">
        <v>#N/A</v>
      </c>
      <c r="N181" s="2079" t="e">
        <v>#N/A</v>
      </c>
      <c r="O181" s="2082" t="e">
        <v>#N/A</v>
      </c>
      <c r="P181" s="2079" t="e">
        <v>#N/A</v>
      </c>
      <c r="Q181" s="2082" t="e">
        <v>#N/A</v>
      </c>
      <c r="R181" s="2079" t="e">
        <v>#N/A</v>
      </c>
      <c r="S181" s="2082" t="e">
        <v>#N/A</v>
      </c>
      <c r="T181" s="2101" t="e">
        <v>#N/A</v>
      </c>
      <c r="U181" s="2109" t="e">
        <v>#N/A</v>
      </c>
      <c r="V181" s="2101" t="e">
        <v>#N/A</v>
      </c>
      <c r="W181" s="2087" t="e">
        <v>#N/A</v>
      </c>
      <c r="X181" s="2079" t="e">
        <v>#N/A</v>
      </c>
      <c r="Y181" s="1523" t="e">
        <v>#N/A</v>
      </c>
    </row>
    <row r="182" spans="1:25">
      <c r="A182" s="745">
        <f t="shared" si="3"/>
        <v>2030.05</v>
      </c>
      <c r="B182" s="2069" t="e">
        <v>#N/A</v>
      </c>
      <c r="C182" s="2079" t="e">
        <v>#N/A</v>
      </c>
      <c r="D182" s="2082" t="e">
        <v>#N/A</v>
      </c>
      <c r="E182" s="2079" t="e">
        <v>#N/A</v>
      </c>
      <c r="F182" s="2082" t="e">
        <v>#N/A</v>
      </c>
      <c r="G182" s="2079" t="e">
        <v>#N/A</v>
      </c>
      <c r="H182" s="1015" t="e">
        <v>#N/A</v>
      </c>
      <c r="I182" s="2079" t="e">
        <v>#N/A</v>
      </c>
      <c r="J182" s="2079" t="e">
        <v>#N/A</v>
      </c>
      <c r="K182" s="2082" t="e">
        <v>#N/A</v>
      </c>
      <c r="L182" s="2079" t="e">
        <v>#N/A</v>
      </c>
      <c r="M182" s="2082" t="e">
        <v>#N/A</v>
      </c>
      <c r="N182" s="2079" t="e">
        <v>#N/A</v>
      </c>
      <c r="O182" s="2082" t="e">
        <v>#N/A</v>
      </c>
      <c r="P182" s="2079" t="e">
        <v>#N/A</v>
      </c>
      <c r="Q182" s="2082" t="e">
        <v>#N/A</v>
      </c>
      <c r="R182" s="2079" t="e">
        <v>#N/A</v>
      </c>
      <c r="S182" s="2082" t="e">
        <v>#N/A</v>
      </c>
      <c r="T182" s="2101" t="e">
        <v>#N/A</v>
      </c>
      <c r="U182" s="2109" t="e">
        <v>#N/A</v>
      </c>
      <c r="V182" s="2101" t="e">
        <v>#N/A</v>
      </c>
      <c r="W182" s="2087" t="e">
        <v>#N/A</v>
      </c>
      <c r="X182" s="2079" t="e">
        <v>#N/A</v>
      </c>
      <c r="Y182" s="1523" t="e">
        <v>#N/A</v>
      </c>
    </row>
    <row r="183" spans="1:25">
      <c r="A183" s="745">
        <f t="shared" si="3"/>
        <v>2030.06</v>
      </c>
      <c r="B183" s="2069" t="e">
        <v>#N/A</v>
      </c>
      <c r="C183" s="2079" t="e">
        <v>#N/A</v>
      </c>
      <c r="D183" s="2082" t="e">
        <v>#N/A</v>
      </c>
      <c r="E183" s="2079" t="e">
        <v>#N/A</v>
      </c>
      <c r="F183" s="2082" t="e">
        <v>#N/A</v>
      </c>
      <c r="G183" s="2079" t="e">
        <v>#N/A</v>
      </c>
      <c r="H183" s="1015" t="e">
        <v>#N/A</v>
      </c>
      <c r="I183" s="2079" t="e">
        <v>#N/A</v>
      </c>
      <c r="J183" s="2079" t="e">
        <v>#N/A</v>
      </c>
      <c r="K183" s="2082" t="e">
        <v>#N/A</v>
      </c>
      <c r="L183" s="2079" t="e">
        <v>#N/A</v>
      </c>
      <c r="M183" s="2082" t="e">
        <v>#N/A</v>
      </c>
      <c r="N183" s="2079" t="e">
        <v>#N/A</v>
      </c>
      <c r="O183" s="2082" t="e">
        <v>#N/A</v>
      </c>
      <c r="P183" s="2079" t="e">
        <v>#N/A</v>
      </c>
      <c r="Q183" s="2082" t="e">
        <v>#N/A</v>
      </c>
      <c r="R183" s="2079" t="e">
        <v>#N/A</v>
      </c>
      <c r="S183" s="2082" t="e">
        <v>#N/A</v>
      </c>
      <c r="T183" s="2101" t="e">
        <v>#N/A</v>
      </c>
      <c r="U183" s="2109" t="e">
        <v>#N/A</v>
      </c>
      <c r="V183" s="2101" t="e">
        <v>#N/A</v>
      </c>
      <c r="W183" s="2087" t="e">
        <v>#N/A</v>
      </c>
      <c r="X183" s="2079" t="e">
        <v>#N/A</v>
      </c>
      <c r="Y183" s="1523" t="e">
        <v>#N/A</v>
      </c>
    </row>
    <row r="184" spans="1:25">
      <c r="A184" s="745">
        <f t="shared" si="3"/>
        <v>2030.07</v>
      </c>
      <c r="B184" s="2069" t="e">
        <v>#N/A</v>
      </c>
      <c r="C184" s="2079" t="e">
        <v>#N/A</v>
      </c>
      <c r="D184" s="2082" t="e">
        <v>#N/A</v>
      </c>
      <c r="E184" s="2079" t="e">
        <v>#N/A</v>
      </c>
      <c r="F184" s="2082" t="e">
        <v>#N/A</v>
      </c>
      <c r="G184" s="2079" t="e">
        <v>#N/A</v>
      </c>
      <c r="H184" s="1015" t="e">
        <v>#N/A</v>
      </c>
      <c r="I184" s="2079" t="e">
        <v>#N/A</v>
      </c>
      <c r="J184" s="2079" t="e">
        <v>#N/A</v>
      </c>
      <c r="K184" s="2082" t="e">
        <v>#N/A</v>
      </c>
      <c r="L184" s="2079" t="e">
        <v>#N/A</v>
      </c>
      <c r="M184" s="2082" t="e">
        <v>#N/A</v>
      </c>
      <c r="N184" s="2079" t="e">
        <v>#N/A</v>
      </c>
      <c r="O184" s="2082" t="e">
        <v>#N/A</v>
      </c>
      <c r="P184" s="2079" t="e">
        <v>#N/A</v>
      </c>
      <c r="Q184" s="2082" t="e">
        <v>#N/A</v>
      </c>
      <c r="R184" s="2079" t="e">
        <v>#N/A</v>
      </c>
      <c r="S184" s="2082" t="e">
        <v>#N/A</v>
      </c>
      <c r="T184" s="2101" t="e">
        <v>#N/A</v>
      </c>
      <c r="U184" s="2109" t="e">
        <v>#N/A</v>
      </c>
      <c r="V184" s="2101" t="e">
        <v>#N/A</v>
      </c>
      <c r="W184" s="2087" t="e">
        <v>#N/A</v>
      </c>
      <c r="X184" s="2079" t="e">
        <v>#N/A</v>
      </c>
      <c r="Y184" s="1523" t="e">
        <v>#N/A</v>
      </c>
    </row>
    <row r="185" spans="1:25">
      <c r="A185" s="745">
        <f t="shared" si="3"/>
        <v>2030.08</v>
      </c>
      <c r="B185" s="2069" t="e">
        <v>#N/A</v>
      </c>
      <c r="C185" s="2079" t="e">
        <v>#N/A</v>
      </c>
      <c r="D185" s="2082" t="e">
        <v>#N/A</v>
      </c>
      <c r="E185" s="2079" t="e">
        <v>#N/A</v>
      </c>
      <c r="F185" s="2082" t="e">
        <v>#N/A</v>
      </c>
      <c r="G185" s="2079" t="e">
        <v>#N/A</v>
      </c>
      <c r="H185" s="1015" t="e">
        <v>#N/A</v>
      </c>
      <c r="I185" s="2079" t="e">
        <v>#N/A</v>
      </c>
      <c r="J185" s="2079" t="e">
        <v>#N/A</v>
      </c>
      <c r="K185" s="2082" t="e">
        <v>#N/A</v>
      </c>
      <c r="L185" s="2079" t="e">
        <v>#N/A</v>
      </c>
      <c r="M185" s="2082" t="e">
        <v>#N/A</v>
      </c>
      <c r="N185" s="2079" t="e">
        <v>#N/A</v>
      </c>
      <c r="O185" s="2082" t="e">
        <v>#N/A</v>
      </c>
      <c r="P185" s="2079" t="e">
        <v>#N/A</v>
      </c>
      <c r="Q185" s="2082" t="e">
        <v>#N/A</v>
      </c>
      <c r="R185" s="2079" t="e">
        <v>#N/A</v>
      </c>
      <c r="S185" s="2082" t="e">
        <v>#N/A</v>
      </c>
      <c r="T185" s="2101" t="e">
        <v>#N/A</v>
      </c>
      <c r="U185" s="2109" t="e">
        <v>#N/A</v>
      </c>
      <c r="V185" s="2101" t="e">
        <v>#N/A</v>
      </c>
      <c r="W185" s="2087" t="e">
        <v>#N/A</v>
      </c>
      <c r="X185" s="2079" t="e">
        <v>#N/A</v>
      </c>
      <c r="Y185" s="1523" t="e">
        <v>#N/A</v>
      </c>
    </row>
    <row r="186" spans="1:25">
      <c r="A186" s="745">
        <f t="shared" si="3"/>
        <v>2030.09</v>
      </c>
      <c r="B186" s="2069" t="e">
        <v>#N/A</v>
      </c>
      <c r="C186" s="2079" t="e">
        <v>#N/A</v>
      </c>
      <c r="D186" s="2082" t="e">
        <v>#N/A</v>
      </c>
      <c r="E186" s="2079" t="e">
        <v>#N/A</v>
      </c>
      <c r="F186" s="2082" t="e">
        <v>#N/A</v>
      </c>
      <c r="G186" s="2079" t="e">
        <v>#N/A</v>
      </c>
      <c r="H186" s="1015" t="e">
        <v>#N/A</v>
      </c>
      <c r="I186" s="2079" t="e">
        <v>#N/A</v>
      </c>
      <c r="J186" s="2079" t="e">
        <v>#N/A</v>
      </c>
      <c r="K186" s="2082" t="e">
        <v>#N/A</v>
      </c>
      <c r="L186" s="2079" t="e">
        <v>#N/A</v>
      </c>
      <c r="M186" s="2082" t="e">
        <v>#N/A</v>
      </c>
      <c r="N186" s="2079" t="e">
        <v>#N/A</v>
      </c>
      <c r="O186" s="2082" t="e">
        <v>#N/A</v>
      </c>
      <c r="P186" s="2079" t="e">
        <v>#N/A</v>
      </c>
      <c r="Q186" s="2082" t="e">
        <v>#N/A</v>
      </c>
      <c r="R186" s="2079" t="e">
        <v>#N/A</v>
      </c>
      <c r="S186" s="2082" t="e">
        <v>#N/A</v>
      </c>
      <c r="T186" s="2101" t="e">
        <v>#N/A</v>
      </c>
      <c r="U186" s="2109" t="e">
        <v>#N/A</v>
      </c>
      <c r="V186" s="2101" t="e">
        <v>#N/A</v>
      </c>
      <c r="W186" s="2087" t="e">
        <v>#N/A</v>
      </c>
      <c r="X186" s="2079" t="e">
        <v>#N/A</v>
      </c>
      <c r="Y186" s="1523" t="e">
        <v>#N/A</v>
      </c>
    </row>
    <row r="187" spans="1:25">
      <c r="A187" s="745">
        <f t="shared" si="3"/>
        <v>2030.1</v>
      </c>
      <c r="B187" s="2069" t="e">
        <v>#N/A</v>
      </c>
      <c r="C187" s="2079" t="e">
        <v>#N/A</v>
      </c>
      <c r="D187" s="2082" t="e">
        <v>#N/A</v>
      </c>
      <c r="E187" s="2079" t="e">
        <v>#N/A</v>
      </c>
      <c r="F187" s="2082" t="e">
        <v>#N/A</v>
      </c>
      <c r="G187" s="2079" t="e">
        <v>#N/A</v>
      </c>
      <c r="H187" s="1015" t="e">
        <v>#N/A</v>
      </c>
      <c r="I187" s="2079" t="e">
        <v>#N/A</v>
      </c>
      <c r="J187" s="2079" t="e">
        <v>#N/A</v>
      </c>
      <c r="K187" s="2082" t="e">
        <v>#N/A</v>
      </c>
      <c r="L187" s="2079" t="e">
        <v>#N/A</v>
      </c>
      <c r="M187" s="2082" t="e">
        <v>#N/A</v>
      </c>
      <c r="N187" s="2079" t="e">
        <v>#N/A</v>
      </c>
      <c r="O187" s="2082" t="e">
        <v>#N/A</v>
      </c>
      <c r="P187" s="2079" t="e">
        <v>#N/A</v>
      </c>
      <c r="Q187" s="2082" t="e">
        <v>#N/A</v>
      </c>
      <c r="R187" s="2079" t="e">
        <v>#N/A</v>
      </c>
      <c r="S187" s="2082" t="e">
        <v>#N/A</v>
      </c>
      <c r="T187" s="2101" t="e">
        <v>#N/A</v>
      </c>
      <c r="U187" s="2109" t="e">
        <v>#N/A</v>
      </c>
      <c r="V187" s="2101" t="e">
        <v>#N/A</v>
      </c>
      <c r="W187" s="2087" t="e">
        <v>#N/A</v>
      </c>
      <c r="X187" s="2079" t="e">
        <v>#N/A</v>
      </c>
      <c r="Y187" s="1523" t="e">
        <v>#N/A</v>
      </c>
    </row>
    <row r="188" spans="1:25">
      <c r="A188" s="745">
        <f t="shared" si="3"/>
        <v>2030.11</v>
      </c>
      <c r="B188" s="2069" t="e">
        <v>#N/A</v>
      </c>
      <c r="C188" s="2079" t="e">
        <v>#N/A</v>
      </c>
      <c r="D188" s="2082" t="e">
        <v>#N/A</v>
      </c>
      <c r="E188" s="2079" t="e">
        <v>#N/A</v>
      </c>
      <c r="F188" s="2082" t="e">
        <v>#N/A</v>
      </c>
      <c r="G188" s="2079" t="e">
        <v>#N/A</v>
      </c>
      <c r="H188" s="1015" t="e">
        <v>#N/A</v>
      </c>
      <c r="I188" s="2079" t="e">
        <v>#N/A</v>
      </c>
      <c r="J188" s="2079" t="e">
        <v>#N/A</v>
      </c>
      <c r="K188" s="2082" t="e">
        <v>#N/A</v>
      </c>
      <c r="L188" s="2079" t="e">
        <v>#N/A</v>
      </c>
      <c r="M188" s="2082" t="e">
        <v>#N/A</v>
      </c>
      <c r="N188" s="2079" t="e">
        <v>#N/A</v>
      </c>
      <c r="O188" s="2082" t="e">
        <v>#N/A</v>
      </c>
      <c r="P188" s="2079" t="e">
        <v>#N/A</v>
      </c>
      <c r="Q188" s="2082" t="e">
        <v>#N/A</v>
      </c>
      <c r="R188" s="2079" t="e">
        <v>#N/A</v>
      </c>
      <c r="S188" s="2082" t="e">
        <v>#N/A</v>
      </c>
      <c r="T188" s="2101" t="e">
        <v>#N/A</v>
      </c>
      <c r="U188" s="2109" t="e">
        <v>#N/A</v>
      </c>
      <c r="V188" s="2101" t="e">
        <v>#N/A</v>
      </c>
      <c r="W188" s="2087" t="e">
        <v>#N/A</v>
      </c>
      <c r="X188" s="2079" t="e">
        <v>#N/A</v>
      </c>
      <c r="Y188" s="1523" t="e">
        <v>#N/A</v>
      </c>
    </row>
    <row r="189" spans="1:25">
      <c r="A189" s="745">
        <f t="shared" si="3"/>
        <v>2030.12</v>
      </c>
      <c r="B189" s="2069" t="e">
        <v>#N/A</v>
      </c>
      <c r="C189" s="2079" t="e">
        <v>#N/A</v>
      </c>
      <c r="D189" s="2082" t="e">
        <v>#N/A</v>
      </c>
      <c r="E189" s="2079" t="e">
        <v>#N/A</v>
      </c>
      <c r="F189" s="2082" t="e">
        <v>#N/A</v>
      </c>
      <c r="G189" s="2079" t="e">
        <v>#N/A</v>
      </c>
      <c r="H189" s="1015" t="e">
        <v>#N/A</v>
      </c>
      <c r="I189" s="2079" t="e">
        <v>#N/A</v>
      </c>
      <c r="J189" s="2079" t="e">
        <v>#N/A</v>
      </c>
      <c r="K189" s="2082" t="e">
        <v>#N/A</v>
      </c>
      <c r="L189" s="2079" t="e">
        <v>#N/A</v>
      </c>
      <c r="M189" s="2082" t="e">
        <v>#N/A</v>
      </c>
      <c r="N189" s="2079" t="e">
        <v>#N/A</v>
      </c>
      <c r="O189" s="2082" t="e">
        <v>#N/A</v>
      </c>
      <c r="P189" s="2079" t="e">
        <v>#N/A</v>
      </c>
      <c r="Q189" s="2082" t="e">
        <v>#N/A</v>
      </c>
      <c r="R189" s="2079" t="e">
        <v>#N/A</v>
      </c>
      <c r="S189" s="2082" t="e">
        <v>#N/A</v>
      </c>
      <c r="T189" s="2101" t="e">
        <v>#N/A</v>
      </c>
      <c r="U189" s="2109" t="e">
        <v>#N/A</v>
      </c>
      <c r="V189" s="2101" t="e">
        <v>#N/A</v>
      </c>
      <c r="W189" s="2087" t="e">
        <v>#N/A</v>
      </c>
      <c r="X189" s="2079" t="e">
        <v>#N/A</v>
      </c>
      <c r="Y189" s="1523" t="e">
        <v>#N/A</v>
      </c>
    </row>
  </sheetData>
  <hyperlinks>
    <hyperlink ref="A5" location="INDICE!A13" display="VOLVER AL INDICE" xr:uid="{00000000-0004-0000-3400-000000000000}"/>
  </hyperlinks>
  <pageMargins left="0.5" right="0.5" top="0.5" bottom="1" header="0" footer="0.5"/>
  <pageSetup paperSize="256" scale="90" pageOrder="overThenDown" orientation="landscape" horizontalDpi="180" verticalDpi="180" r:id="rId1"/>
  <headerFooter alignWithMargins="0">
    <oddFooter>&amp;L&amp;F&amp;R&amp;D</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autoPageBreaks="0"/>
  </sheetPr>
  <dimension ref="A1:F753"/>
  <sheetViews>
    <sheetView zoomScale="115" zoomScaleNormal="115" workbookViewId="0">
      <pane xSplit="1" ySplit="9" topLeftCell="B585" activePane="bottomRight" state="frozen"/>
      <selection activeCell="A5" sqref="A5"/>
      <selection pane="topRight" activeCell="A5" sqref="A5"/>
      <selection pane="bottomLeft" activeCell="A5" sqref="A5"/>
      <selection pane="bottomRight" activeCell="B518" sqref="B518"/>
    </sheetView>
  </sheetViews>
  <sheetFormatPr baseColWidth="10" defaultColWidth="11.42578125" defaultRowHeight="12.75"/>
  <cols>
    <col min="1" max="1" width="10.7109375" style="202" bestFit="1" customWidth="1"/>
    <col min="2" max="3" width="14.7109375" style="203" customWidth="1"/>
    <col min="4" max="4" width="12.5703125" style="203" customWidth="1"/>
    <col min="5" max="5" width="13.5703125" style="203" bestFit="1" customWidth="1"/>
    <col min="6" max="16384" width="11.42578125" style="13"/>
  </cols>
  <sheetData>
    <row r="1" spans="1:5" s="11" customFormat="1" ht="3.75" customHeight="1">
      <c r="A1" s="37"/>
      <c r="B1" s="198"/>
      <c r="C1" s="1509"/>
      <c r="D1" s="199"/>
      <c r="E1" s="2556"/>
    </row>
    <row r="2" spans="1:5" s="11" customFormat="1" ht="51" customHeight="1">
      <c r="A2" s="121" t="s">
        <v>212</v>
      </c>
      <c r="B2" s="728" t="s">
        <v>1339</v>
      </c>
      <c r="C2" s="1510" t="s">
        <v>1340</v>
      </c>
      <c r="D2" s="432" t="s">
        <v>1341</v>
      </c>
      <c r="E2" s="2557"/>
    </row>
    <row r="3" spans="1:5" s="11" customFormat="1" ht="42">
      <c r="A3" s="121" t="s">
        <v>211</v>
      </c>
      <c r="B3" s="728" t="s">
        <v>219</v>
      </c>
      <c r="C3" s="729" t="s">
        <v>975</v>
      </c>
      <c r="D3" s="1513" t="s">
        <v>1342</v>
      </c>
      <c r="E3" s="2558" t="s">
        <v>974</v>
      </c>
    </row>
    <row r="4" spans="1:5" s="11" customFormat="1" ht="3.75" customHeight="1">
      <c r="A4" s="171"/>
      <c r="B4" s="251"/>
      <c r="C4" s="605"/>
      <c r="D4" s="605"/>
      <c r="E4" s="2559"/>
    </row>
    <row r="5" spans="1:5" s="11" customFormat="1" ht="22.5">
      <c r="A5" s="45" t="s">
        <v>213</v>
      </c>
      <c r="B5" s="730" t="s">
        <v>241</v>
      </c>
      <c r="C5" s="433" t="s">
        <v>241</v>
      </c>
      <c r="D5" s="433" t="s">
        <v>304</v>
      </c>
      <c r="E5" s="2560" t="s">
        <v>304</v>
      </c>
    </row>
    <row r="6" spans="1:5" s="11" customFormat="1" ht="3.75" customHeight="1">
      <c r="A6" s="171"/>
      <c r="B6" s="251"/>
      <c r="C6" s="605"/>
      <c r="D6" s="605"/>
      <c r="E6" s="2559"/>
    </row>
    <row r="7" spans="1:5" s="11" customFormat="1" ht="26.1" customHeight="1">
      <c r="A7" s="47" t="s">
        <v>210</v>
      </c>
      <c r="B7" s="1157" t="s">
        <v>119</v>
      </c>
      <c r="C7" s="1511" t="s">
        <v>976</v>
      </c>
      <c r="D7" s="104" t="s">
        <v>62</v>
      </c>
      <c r="E7" s="1502" t="s">
        <v>62</v>
      </c>
    </row>
    <row r="8" spans="1:5" s="11" customFormat="1" ht="18" customHeight="1">
      <c r="A8" s="390" t="s">
        <v>412</v>
      </c>
      <c r="B8" s="394" t="s">
        <v>695</v>
      </c>
      <c r="C8" s="398" t="s">
        <v>696</v>
      </c>
      <c r="D8" s="398" t="s">
        <v>697</v>
      </c>
      <c r="E8" s="1319" t="s">
        <v>698</v>
      </c>
    </row>
    <row r="9" spans="1:5" s="12" customFormat="1" ht="10.5" customHeight="1" thickBot="1">
      <c r="A9" s="152" t="s">
        <v>217</v>
      </c>
      <c r="B9" s="731"/>
      <c r="C9" s="1512"/>
      <c r="D9" s="1512"/>
      <c r="E9" s="2561"/>
    </row>
    <row r="10" spans="1:5" s="12" customFormat="1">
      <c r="A10" s="252">
        <v>1969.01</v>
      </c>
      <c r="B10" s="1514">
        <v>1.9688111954912401E-10</v>
      </c>
      <c r="C10" s="1515">
        <f>B10</f>
        <v>1.9688111954912401E-10</v>
      </c>
      <c r="D10" s="1516"/>
      <c r="E10" s="2562"/>
    </row>
    <row r="11" spans="1:5" s="12" customFormat="1">
      <c r="A11" s="252">
        <v>1969.02</v>
      </c>
      <c r="B11" s="914">
        <v>1.9423508621101399E-10</v>
      </c>
      <c r="C11" s="915">
        <f>B11</f>
        <v>1.9423508621101399E-10</v>
      </c>
      <c r="D11" s="1517"/>
      <c r="E11" s="2563"/>
    </row>
    <row r="12" spans="1:5" s="12" customFormat="1">
      <c r="A12" s="252">
        <v>1969.03</v>
      </c>
      <c r="B12" s="914">
        <v>1.9641782490328127E-10</v>
      </c>
      <c r="C12" s="915">
        <f t="shared" ref="C12:C75" si="0">B12</f>
        <v>1.9641782490328127E-10</v>
      </c>
      <c r="D12" s="1517"/>
      <c r="E12" s="2563"/>
    </row>
    <row r="13" spans="1:5" s="12" customFormat="1">
      <c r="A13" s="252">
        <v>1969.04</v>
      </c>
      <c r="B13" s="914">
        <v>1.9661842670869751E-10</v>
      </c>
      <c r="C13" s="915">
        <f t="shared" si="0"/>
        <v>1.9661842670869751E-10</v>
      </c>
      <c r="D13" s="1517"/>
      <c r="E13" s="2563"/>
    </row>
    <row r="14" spans="1:5" s="12" customFormat="1">
      <c r="A14" s="252">
        <v>1969.05</v>
      </c>
      <c r="B14" s="914">
        <v>1.9390552610211588E-10</v>
      </c>
      <c r="C14" s="915">
        <f t="shared" si="0"/>
        <v>1.9390552610211588E-10</v>
      </c>
      <c r="D14" s="1517"/>
      <c r="E14" s="2563"/>
    </row>
    <row r="15" spans="1:5" s="12" customFormat="1">
      <c r="A15" s="252">
        <v>1969.06</v>
      </c>
      <c r="B15" s="914">
        <v>1.9582079572049479E-10</v>
      </c>
      <c r="C15" s="915">
        <f t="shared" si="0"/>
        <v>1.9582079572049479E-10</v>
      </c>
      <c r="D15" s="1517"/>
      <c r="E15" s="2563"/>
    </row>
    <row r="16" spans="1:5" s="12" customFormat="1">
      <c r="A16" s="252">
        <v>1969.07</v>
      </c>
      <c r="B16" s="914">
        <v>1.9843339542436835E-10</v>
      </c>
      <c r="C16" s="915">
        <f t="shared" si="0"/>
        <v>1.9843339542436835E-10</v>
      </c>
      <c r="D16" s="1517"/>
      <c r="E16" s="2563"/>
    </row>
    <row r="17" spans="1:5" s="12" customFormat="1">
      <c r="A17" s="252">
        <v>1969.08</v>
      </c>
      <c r="B17" s="914">
        <v>1.9694798681759565E-10</v>
      </c>
      <c r="C17" s="915">
        <f t="shared" si="0"/>
        <v>1.9694798681759565E-10</v>
      </c>
      <c r="D17" s="1517"/>
      <c r="E17" s="2563"/>
    </row>
    <row r="18" spans="1:5" s="12" customFormat="1">
      <c r="A18" s="252">
        <v>1969.09</v>
      </c>
      <c r="B18" s="914">
        <v>2.006161341166356E-10</v>
      </c>
      <c r="C18" s="915">
        <f t="shared" si="0"/>
        <v>2.006161341166356E-10</v>
      </c>
      <c r="D18" s="1517"/>
      <c r="E18" s="2563"/>
    </row>
    <row r="19" spans="1:5" s="12" customFormat="1">
      <c r="A19" s="252">
        <v>1969.1</v>
      </c>
      <c r="B19" s="914">
        <v>2.0365859483211537E-10</v>
      </c>
      <c r="C19" s="915">
        <f t="shared" si="0"/>
        <v>2.0365859483211537E-10</v>
      </c>
      <c r="D19" s="1517"/>
      <c r="E19" s="2563"/>
    </row>
    <row r="20" spans="1:5" s="12" customFormat="1">
      <c r="A20" s="252">
        <v>1969.11</v>
      </c>
      <c r="B20" s="914">
        <v>2.0511056980465205E-10</v>
      </c>
      <c r="C20" s="915">
        <f t="shared" si="0"/>
        <v>2.0511056980465205E-10</v>
      </c>
      <c r="D20" s="1517"/>
      <c r="E20" s="2563"/>
    </row>
    <row r="21" spans="1:5" s="12" customFormat="1">
      <c r="A21" s="252">
        <v>1969.12</v>
      </c>
      <c r="B21" s="914">
        <v>2.2015092897740838E-10</v>
      </c>
      <c r="C21" s="915">
        <f t="shared" si="0"/>
        <v>2.2015092897740838E-10</v>
      </c>
      <c r="D21" s="1517"/>
      <c r="E21" s="2563"/>
    </row>
    <row r="22" spans="1:5" s="12" customFormat="1">
      <c r="A22" s="252">
        <v>1970.01</v>
      </c>
      <c r="B22" s="914">
        <v>2.0977217366384868E-10</v>
      </c>
      <c r="C22" s="915">
        <f t="shared" si="0"/>
        <v>2.0977217366384868E-10</v>
      </c>
      <c r="D22" s="1517"/>
      <c r="E22" s="2563"/>
    </row>
    <row r="23" spans="1:5" s="12" customFormat="1">
      <c r="A23" s="252">
        <v>1970.02</v>
      </c>
      <c r="B23" s="914">
        <v>2.1261403257391221E-10</v>
      </c>
      <c r="C23" s="915">
        <f t="shared" si="0"/>
        <v>2.1261403257391221E-10</v>
      </c>
      <c r="D23" s="1517"/>
      <c r="E23" s="2563"/>
    </row>
    <row r="24" spans="1:5" s="12" customFormat="1">
      <c r="A24" s="252">
        <v>1970.03</v>
      </c>
      <c r="B24" s="914">
        <v>2.153603668147299E-10</v>
      </c>
      <c r="C24" s="915">
        <f t="shared" si="0"/>
        <v>2.153603668147299E-10</v>
      </c>
      <c r="D24" s="1517"/>
      <c r="E24" s="2563"/>
    </row>
    <row r="25" spans="1:5" s="12" customFormat="1">
      <c r="A25" s="252">
        <v>1970.04</v>
      </c>
      <c r="B25" s="914">
        <v>2.1701294359268283E-10</v>
      </c>
      <c r="C25" s="915">
        <f t="shared" si="0"/>
        <v>2.1701294359268283E-10</v>
      </c>
      <c r="D25" s="1517"/>
      <c r="E25" s="2563"/>
    </row>
    <row r="26" spans="1:5" s="12" customFormat="1">
      <c r="A26" s="252">
        <v>1970.05</v>
      </c>
      <c r="B26" s="914">
        <v>2.1861775803601281E-10</v>
      </c>
      <c r="C26" s="915">
        <f t="shared" si="0"/>
        <v>2.1861775803601281E-10</v>
      </c>
      <c r="D26" s="1517"/>
      <c r="E26" s="2563"/>
    </row>
    <row r="27" spans="1:5" s="12" customFormat="1">
      <c r="A27" s="252">
        <v>1970.06</v>
      </c>
      <c r="B27" s="914">
        <v>2.2021779624588048E-10</v>
      </c>
      <c r="C27" s="915">
        <f t="shared" si="0"/>
        <v>2.2021779624588048E-10</v>
      </c>
      <c r="D27" s="1517"/>
      <c r="E27" s="2563"/>
    </row>
    <row r="28" spans="1:5" s="12" customFormat="1">
      <c r="A28" s="252">
        <v>1970.07</v>
      </c>
      <c r="B28" s="914">
        <v>2.2292592061899985E-10</v>
      </c>
      <c r="C28" s="915">
        <f t="shared" si="0"/>
        <v>2.2292592061899985E-10</v>
      </c>
      <c r="D28" s="1517"/>
      <c r="E28" s="2563"/>
    </row>
    <row r="29" spans="1:5" s="12" customFormat="1">
      <c r="A29" s="252">
        <v>1970.08</v>
      </c>
      <c r="B29" s="914">
        <v>2.2544299565362755E-10</v>
      </c>
      <c r="C29" s="915">
        <f t="shared" si="0"/>
        <v>2.2544299565362755E-10</v>
      </c>
      <c r="D29" s="1517"/>
      <c r="E29" s="2563"/>
    </row>
    <row r="30" spans="1:5" s="12" customFormat="1">
      <c r="A30" s="252">
        <v>1970.09</v>
      </c>
      <c r="B30" s="914">
        <v>2.3003773224435212E-10</v>
      </c>
      <c r="C30" s="915">
        <f t="shared" si="0"/>
        <v>2.3003773224435212E-10</v>
      </c>
      <c r="D30" s="1517"/>
      <c r="E30" s="2563"/>
    </row>
    <row r="31" spans="1:5" s="12" customFormat="1">
      <c r="A31" s="252">
        <v>1970.1</v>
      </c>
      <c r="B31" s="914">
        <v>2.3916033815732914E-10</v>
      </c>
      <c r="C31" s="915">
        <f t="shared" si="0"/>
        <v>2.3916033815732914E-10</v>
      </c>
      <c r="D31" s="1517"/>
      <c r="E31" s="2563"/>
    </row>
    <row r="32" spans="1:5" s="12" customFormat="1">
      <c r="A32" s="252">
        <v>1970.11</v>
      </c>
      <c r="B32" s="914">
        <v>2.4534078425753451E-10</v>
      </c>
      <c r="C32" s="915">
        <f t="shared" si="0"/>
        <v>2.4534078425753451E-10</v>
      </c>
      <c r="D32" s="1517"/>
      <c r="E32" s="2563"/>
    </row>
    <row r="33" spans="1:5" s="12" customFormat="1">
      <c r="A33" s="252">
        <v>1970.12</v>
      </c>
      <c r="B33" s="914">
        <v>2.6801834073649522E-10</v>
      </c>
      <c r="C33" s="915">
        <f t="shared" si="0"/>
        <v>2.6801834073649522E-10</v>
      </c>
      <c r="D33" s="1517"/>
      <c r="E33" s="2563"/>
    </row>
    <row r="34" spans="1:5" s="12" customFormat="1">
      <c r="A34" s="252">
        <v>1971.01</v>
      </c>
      <c r="B34" s="914">
        <v>2.6725891961599082E-10</v>
      </c>
      <c r="C34" s="915">
        <f t="shared" si="0"/>
        <v>2.6725891961599082E-10</v>
      </c>
      <c r="D34" s="1517"/>
      <c r="E34" s="2563"/>
    </row>
    <row r="35" spans="1:5" s="12" customFormat="1">
      <c r="A35" s="252">
        <v>1971.02</v>
      </c>
      <c r="B35" s="914">
        <v>2.761809237235516E-10</v>
      </c>
      <c r="C35" s="915">
        <f t="shared" si="0"/>
        <v>2.761809237235516E-10</v>
      </c>
      <c r="D35" s="1517"/>
      <c r="E35" s="2563"/>
    </row>
    <row r="36" spans="1:5" s="12" customFormat="1">
      <c r="A36" s="252">
        <v>1971.03</v>
      </c>
      <c r="B36" s="914">
        <v>2.7908964990208721E-10</v>
      </c>
      <c r="C36" s="915">
        <f t="shared" si="0"/>
        <v>2.7908964990208721E-10</v>
      </c>
      <c r="D36" s="1517"/>
      <c r="E36" s="2563"/>
    </row>
    <row r="37" spans="1:5" s="12" customFormat="1">
      <c r="A37" s="252">
        <v>1971.04</v>
      </c>
      <c r="B37" s="914">
        <v>2.8160194870325262E-10</v>
      </c>
      <c r="C37" s="915">
        <f t="shared" si="0"/>
        <v>2.8160194870325262E-10</v>
      </c>
      <c r="D37" s="1517"/>
      <c r="E37" s="2563"/>
    </row>
    <row r="38" spans="1:5" s="12" customFormat="1">
      <c r="A38" s="252">
        <v>1971.05</v>
      </c>
      <c r="B38" s="914">
        <v>2.8844629125471655E-10</v>
      </c>
      <c r="C38" s="915">
        <f t="shared" si="0"/>
        <v>2.8844629125471655E-10</v>
      </c>
      <c r="D38" s="1517"/>
      <c r="E38" s="2563"/>
    </row>
    <row r="39" spans="1:5" s="12" customFormat="1">
      <c r="A39" s="252">
        <v>1971.06</v>
      </c>
      <c r="B39" s="914">
        <v>2.9743516263074936E-10</v>
      </c>
      <c r="C39" s="915">
        <f t="shared" si="0"/>
        <v>2.9743516263074936E-10</v>
      </c>
      <c r="D39" s="1517"/>
      <c r="E39" s="2563"/>
    </row>
    <row r="40" spans="1:5" s="12" customFormat="1">
      <c r="A40" s="252">
        <v>1971.07</v>
      </c>
      <c r="B40" s="914">
        <v>3.1023069207622871E-10</v>
      </c>
      <c r="C40" s="915">
        <f t="shared" si="0"/>
        <v>3.1023069207622871E-10</v>
      </c>
      <c r="D40" s="1517"/>
      <c r="E40" s="2563"/>
    </row>
    <row r="41" spans="1:5" s="12" customFormat="1">
      <c r="A41" s="252">
        <v>1971.08</v>
      </c>
      <c r="B41" s="914">
        <v>3.183598414290491E-10</v>
      </c>
      <c r="C41" s="915">
        <f t="shared" si="0"/>
        <v>3.183598414290491E-10</v>
      </c>
      <c r="D41" s="1517"/>
      <c r="E41" s="2563"/>
    </row>
    <row r="42" spans="1:5" s="12" customFormat="1">
      <c r="A42" s="252">
        <v>1971.09</v>
      </c>
      <c r="B42" s="914">
        <v>3.2123513397334857E-10</v>
      </c>
      <c r="C42" s="915">
        <f t="shared" si="0"/>
        <v>3.2123513397334857E-10</v>
      </c>
      <c r="D42" s="1517"/>
      <c r="E42" s="2563"/>
    </row>
    <row r="43" spans="1:5" s="12" customFormat="1">
      <c r="A43" s="252">
        <v>1971.1</v>
      </c>
      <c r="B43" s="914">
        <v>3.2454028752925442E-10</v>
      </c>
      <c r="C43" s="915">
        <f t="shared" si="0"/>
        <v>3.2454028752925442E-10</v>
      </c>
      <c r="D43" s="1517"/>
      <c r="E43" s="2563"/>
    </row>
    <row r="44" spans="1:5" s="12" customFormat="1">
      <c r="A44" s="252">
        <v>1971.11</v>
      </c>
      <c r="B44" s="914">
        <v>3.3330467593255956E-10</v>
      </c>
      <c r="C44" s="915">
        <f t="shared" si="0"/>
        <v>3.3330467593255956E-10</v>
      </c>
      <c r="D44" s="1517"/>
      <c r="E44" s="2563"/>
    </row>
    <row r="45" spans="1:5" s="12" customFormat="1">
      <c r="A45" s="252">
        <v>1971.12</v>
      </c>
      <c r="B45" s="914">
        <v>3.7287099393418348E-10</v>
      </c>
      <c r="C45" s="915">
        <f t="shared" si="0"/>
        <v>3.7287099393418348E-10</v>
      </c>
      <c r="D45" s="1517"/>
      <c r="E45" s="2563"/>
    </row>
    <row r="46" spans="1:5" s="12" customFormat="1">
      <c r="A46" s="252">
        <v>1972.01</v>
      </c>
      <c r="B46" s="914">
        <v>3.9230548789224819E-10</v>
      </c>
      <c r="C46" s="915">
        <f t="shared" si="0"/>
        <v>3.9230548789224819E-10</v>
      </c>
      <c r="D46" s="1517"/>
      <c r="E46" s="2563"/>
    </row>
    <row r="47" spans="1:5" s="12" customFormat="1">
      <c r="A47" s="252">
        <v>1972.02</v>
      </c>
      <c r="B47" s="914">
        <v>4.0648134880832974E-10</v>
      </c>
      <c r="C47" s="915">
        <f t="shared" si="0"/>
        <v>4.0648134880832974E-10</v>
      </c>
      <c r="D47" s="1517"/>
      <c r="E47" s="2563"/>
    </row>
    <row r="48" spans="1:5" s="12" customFormat="1">
      <c r="A48" s="252">
        <v>1972.03</v>
      </c>
      <c r="B48" s="914">
        <v>4.2367578927257963E-10</v>
      </c>
      <c r="C48" s="915">
        <f t="shared" si="0"/>
        <v>4.2367578927257963E-10</v>
      </c>
      <c r="D48" s="1517"/>
      <c r="E48" s="2563"/>
    </row>
    <row r="49" spans="1:5" s="12" customFormat="1">
      <c r="A49" s="252">
        <v>1972.04</v>
      </c>
      <c r="B49" s="914">
        <v>4.443377752304533E-10</v>
      </c>
      <c r="C49" s="915">
        <f t="shared" si="0"/>
        <v>4.443377752304533E-10</v>
      </c>
      <c r="D49" s="1517"/>
      <c r="E49" s="2563"/>
    </row>
    <row r="50" spans="1:5" s="12" customFormat="1">
      <c r="A50" s="252">
        <v>1972.05</v>
      </c>
      <c r="B50" s="914">
        <v>4.5147824425657925E-10</v>
      </c>
      <c r="C50" s="915">
        <f t="shared" si="0"/>
        <v>4.5147824425657925E-10</v>
      </c>
      <c r="D50" s="1517"/>
      <c r="E50" s="2563"/>
    </row>
    <row r="51" spans="1:5" s="12" customFormat="1">
      <c r="A51" s="252">
        <v>1972.06</v>
      </c>
      <c r="B51" s="914">
        <v>4.7630032956010889E-10</v>
      </c>
      <c r="C51" s="915">
        <f t="shared" si="0"/>
        <v>4.7630032956010889E-10</v>
      </c>
      <c r="D51" s="1517"/>
      <c r="E51" s="2563"/>
    </row>
    <row r="52" spans="1:5" s="12" customFormat="1">
      <c r="A52" s="252">
        <v>1972.07</v>
      </c>
      <c r="B52" s="914">
        <v>4.9993790896499029E-10</v>
      </c>
      <c r="C52" s="915">
        <f t="shared" si="0"/>
        <v>4.9993790896499029E-10</v>
      </c>
      <c r="D52" s="1517"/>
      <c r="E52" s="2563"/>
    </row>
    <row r="53" spans="1:5" s="12" customFormat="1">
      <c r="A53" s="252">
        <v>1972.08</v>
      </c>
      <c r="B53" s="914">
        <v>4.9930744614796766E-10</v>
      </c>
      <c r="C53" s="915">
        <f t="shared" si="0"/>
        <v>4.9930744614796766E-10</v>
      </c>
      <c r="D53" s="1517"/>
      <c r="E53" s="2563"/>
    </row>
    <row r="54" spans="1:5" s="12" customFormat="1">
      <c r="A54" s="252">
        <v>1972.09</v>
      </c>
      <c r="B54" s="914">
        <v>5.1153938004489668E-10</v>
      </c>
      <c r="C54" s="915">
        <f t="shared" si="0"/>
        <v>5.1153938004489668E-10</v>
      </c>
      <c r="D54" s="1517"/>
      <c r="E54" s="2563"/>
    </row>
    <row r="55" spans="1:5" s="12" customFormat="1">
      <c r="A55" s="252">
        <v>1972.1</v>
      </c>
      <c r="B55" s="914">
        <v>5.3629937431341632E-10</v>
      </c>
      <c r="C55" s="915">
        <f t="shared" si="0"/>
        <v>5.3629937431341632E-10</v>
      </c>
      <c r="D55" s="1517"/>
      <c r="E55" s="2563"/>
    </row>
    <row r="56" spans="1:5" s="12" customFormat="1">
      <c r="A56" s="252">
        <v>1972.11</v>
      </c>
      <c r="B56" s="914">
        <v>5.624444762860009E-10</v>
      </c>
      <c r="C56" s="915">
        <f t="shared" si="0"/>
        <v>5.624444762860009E-10</v>
      </c>
      <c r="D56" s="1517"/>
      <c r="E56" s="2563"/>
    </row>
    <row r="57" spans="1:5" s="12" customFormat="1">
      <c r="A57" s="252">
        <v>1972.12</v>
      </c>
      <c r="B57" s="914">
        <v>6.1206476572574871E-10</v>
      </c>
      <c r="C57" s="915">
        <f t="shared" si="0"/>
        <v>6.1206476572574871E-10</v>
      </c>
      <c r="D57" s="1517"/>
      <c r="E57" s="2563"/>
    </row>
    <row r="58" spans="1:5" s="12" customFormat="1">
      <c r="A58" s="252">
        <v>1973.01</v>
      </c>
      <c r="B58" s="914">
        <v>6.403591727563644E-10</v>
      </c>
      <c r="C58" s="915">
        <f t="shared" si="0"/>
        <v>6.403591727563644E-10</v>
      </c>
      <c r="D58" s="1517"/>
      <c r="E58" s="2563"/>
    </row>
    <row r="59" spans="1:5" s="12" customFormat="1">
      <c r="A59" s="252">
        <v>1973.02</v>
      </c>
      <c r="B59" s="914">
        <v>6.8881883746477529E-10</v>
      </c>
      <c r="C59" s="915">
        <f t="shared" si="0"/>
        <v>6.8881883746477529E-10</v>
      </c>
      <c r="D59" s="1517"/>
      <c r="E59" s="2563"/>
    </row>
    <row r="60" spans="1:5" s="12" customFormat="1">
      <c r="A60" s="252">
        <v>1973.03</v>
      </c>
      <c r="B60" s="914">
        <v>7.4799159382910629E-10</v>
      </c>
      <c r="C60" s="915">
        <f t="shared" si="0"/>
        <v>7.4799159382910629E-10</v>
      </c>
      <c r="D60" s="1517"/>
      <c r="E60" s="2563"/>
    </row>
    <row r="61" spans="1:5" s="12" customFormat="1">
      <c r="A61" s="252">
        <v>1973.04</v>
      </c>
      <c r="B61" s="914">
        <v>7.814061231312987E-10</v>
      </c>
      <c r="C61" s="915">
        <f t="shared" si="0"/>
        <v>7.814061231312987E-10</v>
      </c>
      <c r="D61" s="1517"/>
      <c r="E61" s="2563"/>
    </row>
    <row r="62" spans="1:5" s="12" customFormat="1">
      <c r="A62" s="252">
        <v>1973.05</v>
      </c>
      <c r="B62" s="914">
        <v>8.0844915699479381E-10</v>
      </c>
      <c r="C62" s="915">
        <f t="shared" si="0"/>
        <v>8.0844915699479381E-10</v>
      </c>
      <c r="D62" s="1517"/>
      <c r="E62" s="2563"/>
    </row>
    <row r="63" spans="1:5" s="12" customFormat="1">
      <c r="A63" s="252">
        <v>1973.06</v>
      </c>
      <c r="B63" s="914">
        <v>7.8471605292066683E-10</v>
      </c>
      <c r="C63" s="915">
        <f t="shared" si="0"/>
        <v>7.8471605292066683E-10</v>
      </c>
      <c r="D63" s="1517"/>
      <c r="E63" s="2563"/>
    </row>
    <row r="64" spans="1:5" s="12" customFormat="1">
      <c r="A64" s="252">
        <v>1973.07</v>
      </c>
      <c r="B64" s="914">
        <v>7.8464918565219455E-10</v>
      </c>
      <c r="C64" s="915">
        <f t="shared" si="0"/>
        <v>7.8464918565219455E-10</v>
      </c>
      <c r="D64" s="1517"/>
      <c r="E64" s="2563"/>
    </row>
    <row r="65" spans="1:5" s="12" customFormat="1">
      <c r="A65" s="252">
        <v>1973.08</v>
      </c>
      <c r="B65" s="914">
        <v>7.9092993265510819E-10</v>
      </c>
      <c r="C65" s="915">
        <f t="shared" si="0"/>
        <v>7.9092993265510819E-10</v>
      </c>
      <c r="D65" s="1517"/>
      <c r="E65" s="2563"/>
    </row>
    <row r="66" spans="1:5" s="12" customFormat="1">
      <c r="A66" s="252">
        <v>1973.09</v>
      </c>
      <c r="B66" s="914">
        <v>7.9506137459999041E-10</v>
      </c>
      <c r="C66" s="915">
        <f t="shared" si="0"/>
        <v>7.9506137459999041E-10</v>
      </c>
      <c r="D66" s="1517"/>
      <c r="E66" s="2563"/>
    </row>
    <row r="67" spans="1:5" s="12" customFormat="1">
      <c r="A67" s="252">
        <v>1973.1</v>
      </c>
      <c r="B67" s="914">
        <v>8.0738883316616511E-10</v>
      </c>
      <c r="C67" s="915">
        <f t="shared" si="0"/>
        <v>8.0738883316616511E-10</v>
      </c>
      <c r="D67" s="1517"/>
      <c r="E67" s="2563"/>
    </row>
    <row r="68" spans="1:5" s="12" customFormat="1">
      <c r="A68" s="252">
        <v>1973.11</v>
      </c>
      <c r="B68" s="914">
        <v>8.1380331470602281E-10</v>
      </c>
      <c r="C68" s="915">
        <f t="shared" si="0"/>
        <v>8.1380331470602281E-10</v>
      </c>
      <c r="D68" s="1517"/>
      <c r="E68" s="2563"/>
    </row>
    <row r="69" spans="1:5" s="12" customFormat="1">
      <c r="A69" s="252">
        <v>1973.12</v>
      </c>
      <c r="B69" s="914">
        <v>8.7994459569183738E-10</v>
      </c>
      <c r="C69" s="915">
        <f t="shared" si="0"/>
        <v>8.7994459569183738E-10</v>
      </c>
      <c r="D69" s="1517"/>
      <c r="E69" s="2563"/>
    </row>
    <row r="70" spans="1:5">
      <c r="A70" s="252">
        <v>1974.01</v>
      </c>
      <c r="B70" s="914">
        <v>8.2960787123274594E-10</v>
      </c>
      <c r="C70" s="915">
        <f t="shared" si="0"/>
        <v>8.2960787123274594E-10</v>
      </c>
      <c r="D70" s="1517"/>
      <c r="E70" s="2563"/>
    </row>
    <row r="71" spans="1:5">
      <c r="A71" s="252">
        <v>1974.02</v>
      </c>
      <c r="B71" s="914">
        <v>8.4259445001671686E-10</v>
      </c>
      <c r="C71" s="915">
        <f t="shared" si="0"/>
        <v>8.4259445001671686E-10</v>
      </c>
      <c r="D71" s="1517"/>
      <c r="E71" s="2563"/>
    </row>
    <row r="72" spans="1:5">
      <c r="A72" s="252">
        <v>1974.03</v>
      </c>
      <c r="B72" s="914">
        <v>8.5261021158714238E-10</v>
      </c>
      <c r="C72" s="915">
        <f t="shared" si="0"/>
        <v>8.5261021158714238E-10</v>
      </c>
      <c r="D72" s="1517"/>
      <c r="E72" s="2563"/>
    </row>
    <row r="73" spans="1:5">
      <c r="A73" s="252">
        <v>1974.04</v>
      </c>
      <c r="B73" s="914">
        <v>8.7680661030711168E-10</v>
      </c>
      <c r="C73" s="915">
        <f t="shared" si="0"/>
        <v>8.7680661030711168E-10</v>
      </c>
      <c r="D73" s="1517"/>
      <c r="E73" s="2563"/>
    </row>
    <row r="74" spans="1:5">
      <c r="A74" s="252">
        <v>1974.05</v>
      </c>
      <c r="B74" s="914">
        <v>9.0599417299517598E-10</v>
      </c>
      <c r="C74" s="915">
        <f t="shared" si="0"/>
        <v>9.0599417299517598E-10</v>
      </c>
      <c r="D74" s="1517"/>
      <c r="E74" s="2563"/>
    </row>
    <row r="75" spans="1:5">
      <c r="A75" s="252">
        <v>1974.06</v>
      </c>
      <c r="B75" s="914">
        <v>9.4070306156564926E-10</v>
      </c>
      <c r="C75" s="915">
        <f t="shared" si="0"/>
        <v>9.4070306156564926E-10</v>
      </c>
      <c r="D75" s="1517"/>
      <c r="E75" s="2563"/>
    </row>
    <row r="76" spans="1:5">
      <c r="A76" s="252">
        <v>1974.07</v>
      </c>
      <c r="B76" s="914">
        <v>9.622964130486699E-10</v>
      </c>
      <c r="C76" s="915">
        <f t="shared" ref="C76:C139" si="1">B76</f>
        <v>9.622964130486699E-10</v>
      </c>
      <c r="D76" s="1517"/>
      <c r="E76" s="2563"/>
    </row>
    <row r="77" spans="1:5">
      <c r="A77" s="252">
        <v>1974.08</v>
      </c>
      <c r="B77" s="914">
        <v>9.801738548980275E-10</v>
      </c>
      <c r="C77" s="915">
        <f t="shared" si="1"/>
        <v>9.801738548980275E-10</v>
      </c>
      <c r="D77" s="1517"/>
      <c r="E77" s="2563"/>
    </row>
    <row r="78" spans="1:5">
      <c r="A78" s="252">
        <v>1974.09</v>
      </c>
      <c r="B78" s="914">
        <v>1.0125710464727514E-9</v>
      </c>
      <c r="C78" s="915">
        <f t="shared" si="1"/>
        <v>1.0125710464727514E-9</v>
      </c>
      <c r="D78" s="1517"/>
      <c r="E78" s="2563"/>
    </row>
    <row r="79" spans="1:5">
      <c r="A79" s="252">
        <v>1974.1</v>
      </c>
      <c r="B79" s="914">
        <v>1.0508477814395567E-9</v>
      </c>
      <c r="C79" s="915">
        <f t="shared" si="1"/>
        <v>1.0508477814395567E-9</v>
      </c>
      <c r="D79" s="1517"/>
      <c r="E79" s="2563"/>
    </row>
    <row r="80" spans="1:5">
      <c r="A80" s="252">
        <v>1974.11</v>
      </c>
      <c r="B80" s="914">
        <v>1.094316282179873E-9</v>
      </c>
      <c r="C80" s="915">
        <f t="shared" si="1"/>
        <v>1.094316282179873E-9</v>
      </c>
      <c r="D80" s="1517"/>
      <c r="E80" s="2563"/>
    </row>
    <row r="81" spans="1:5">
      <c r="A81" s="252">
        <v>1974.12</v>
      </c>
      <c r="B81" s="914">
        <v>1.2328175001194057E-9</v>
      </c>
      <c r="C81" s="915">
        <f t="shared" si="1"/>
        <v>1.2328175001194057E-9</v>
      </c>
      <c r="D81" s="1517"/>
      <c r="E81" s="2563"/>
    </row>
    <row r="82" spans="1:5">
      <c r="A82" s="252">
        <v>1975.01</v>
      </c>
      <c r="B82" s="914">
        <v>1.2684720829154128E-9</v>
      </c>
      <c r="C82" s="915">
        <f t="shared" si="1"/>
        <v>1.2684720829154128E-9</v>
      </c>
      <c r="D82" s="1517"/>
      <c r="E82" s="2563"/>
    </row>
    <row r="83" spans="1:5">
      <c r="A83" s="252">
        <v>1975.02</v>
      </c>
      <c r="B83" s="914">
        <v>1.3270287051631083E-9</v>
      </c>
      <c r="C83" s="915">
        <f t="shared" si="1"/>
        <v>1.3270287051631083E-9</v>
      </c>
      <c r="D83" s="1517"/>
      <c r="E83" s="2563"/>
    </row>
    <row r="84" spans="1:5">
      <c r="A84" s="252">
        <v>1975.03</v>
      </c>
      <c r="B84" s="914">
        <v>1.4346372450685389E-9</v>
      </c>
      <c r="C84" s="915">
        <f t="shared" si="1"/>
        <v>1.4346372450685389E-9</v>
      </c>
      <c r="D84" s="1517"/>
      <c r="E84" s="2563"/>
    </row>
    <row r="85" spans="1:5">
      <c r="A85" s="252">
        <v>1975.04</v>
      </c>
      <c r="B85" s="914">
        <v>1.5737689258250944E-9</v>
      </c>
      <c r="C85" s="915">
        <f t="shared" si="1"/>
        <v>1.5737689258250944E-9</v>
      </c>
      <c r="D85" s="1517"/>
      <c r="E85" s="2563"/>
    </row>
    <row r="86" spans="1:5">
      <c r="A86" s="252">
        <v>1975.05</v>
      </c>
      <c r="B86" s="914">
        <v>1.6350002388116732E-9</v>
      </c>
      <c r="C86" s="915">
        <f t="shared" si="1"/>
        <v>1.6350002388116732E-9</v>
      </c>
      <c r="D86" s="1517"/>
      <c r="E86" s="2563"/>
    </row>
    <row r="87" spans="1:5">
      <c r="A87" s="252">
        <v>1975.06</v>
      </c>
      <c r="B87" s="914">
        <v>1.980656254477719E-9</v>
      </c>
      <c r="C87" s="915">
        <f t="shared" si="1"/>
        <v>1.980656254477719E-9</v>
      </c>
      <c r="D87" s="1517"/>
      <c r="E87" s="2563"/>
    </row>
    <row r="88" spans="1:5">
      <c r="A88" s="252">
        <v>1975.07</v>
      </c>
      <c r="B88" s="914">
        <v>2.6685771600515835E-9</v>
      </c>
      <c r="C88" s="915">
        <f t="shared" si="1"/>
        <v>2.6685771600515835E-9</v>
      </c>
      <c r="D88" s="1517"/>
      <c r="E88" s="2563"/>
    </row>
    <row r="89" spans="1:5">
      <c r="A89" s="252">
        <v>1975.08</v>
      </c>
      <c r="B89" s="914">
        <v>3.2682810335769217E-9</v>
      </c>
      <c r="C89" s="915">
        <f t="shared" si="1"/>
        <v>3.2682810335769217E-9</v>
      </c>
      <c r="D89" s="1517"/>
      <c r="E89" s="2563"/>
    </row>
    <row r="90" spans="1:5">
      <c r="A90" s="252">
        <v>1975.09</v>
      </c>
      <c r="B90" s="914">
        <v>3.6214834981133872E-9</v>
      </c>
      <c r="C90" s="915">
        <f t="shared" si="1"/>
        <v>3.6214834981133872E-9</v>
      </c>
      <c r="D90" s="1517"/>
      <c r="E90" s="2563"/>
    </row>
    <row r="91" spans="1:5">
      <c r="A91" s="252">
        <v>1975.1</v>
      </c>
      <c r="B91" s="914">
        <v>4.1210297559344705E-9</v>
      </c>
      <c r="C91" s="915">
        <f t="shared" si="1"/>
        <v>4.1210297559344705E-9</v>
      </c>
      <c r="D91" s="1517"/>
      <c r="E91" s="2563"/>
    </row>
    <row r="92" spans="1:5">
      <c r="A92" s="252">
        <v>1975.11</v>
      </c>
      <c r="B92" s="914">
        <v>4.4899937908964982E-9</v>
      </c>
      <c r="C92" s="915">
        <f t="shared" si="1"/>
        <v>4.4899937908964982E-9</v>
      </c>
      <c r="D92" s="1517"/>
      <c r="E92" s="2563"/>
    </row>
    <row r="93" spans="1:5">
      <c r="A93" s="252">
        <v>1975.12</v>
      </c>
      <c r="B93" s="914">
        <v>5.3622773081148207E-9</v>
      </c>
      <c r="C93" s="915">
        <f t="shared" si="1"/>
        <v>5.3622773081148207E-9</v>
      </c>
      <c r="D93" s="1517"/>
      <c r="E93" s="2563"/>
    </row>
    <row r="94" spans="1:5">
      <c r="A94" s="252">
        <v>1976.01</v>
      </c>
      <c r="B94" s="914">
        <v>5.8394707933323781E-9</v>
      </c>
      <c r="C94" s="915">
        <f t="shared" si="1"/>
        <v>5.8394707933323781E-9</v>
      </c>
      <c r="D94" s="1517"/>
      <c r="E94" s="2563"/>
    </row>
    <row r="95" spans="1:5">
      <c r="A95" s="252">
        <v>1976.02</v>
      </c>
      <c r="B95" s="914">
        <v>6.9481301045995118E-9</v>
      </c>
      <c r="C95" s="915">
        <f t="shared" si="1"/>
        <v>6.9481301045995118E-9</v>
      </c>
      <c r="D95" s="1517"/>
      <c r="E95" s="2563"/>
    </row>
    <row r="96" spans="1:5">
      <c r="A96" s="252">
        <v>1976.03</v>
      </c>
      <c r="B96" s="914">
        <v>9.5585805034150069E-9</v>
      </c>
      <c r="C96" s="915">
        <f t="shared" si="1"/>
        <v>9.5585805034150069E-9</v>
      </c>
      <c r="D96" s="1517"/>
      <c r="E96" s="2563"/>
    </row>
    <row r="97" spans="1:5">
      <c r="A97" s="252">
        <v>1976.04</v>
      </c>
      <c r="B97" s="914">
        <v>1.28011654009648E-8</v>
      </c>
      <c r="C97" s="915">
        <f t="shared" si="1"/>
        <v>1.28011654009648E-8</v>
      </c>
      <c r="D97" s="1517"/>
      <c r="E97" s="2563"/>
    </row>
    <row r="98" spans="1:5">
      <c r="A98" s="252">
        <v>1976.05</v>
      </c>
      <c r="B98" s="914">
        <v>1.4349094903758893E-8</v>
      </c>
      <c r="C98" s="915">
        <f t="shared" si="1"/>
        <v>1.4349094903758893E-8</v>
      </c>
      <c r="D98" s="1517"/>
      <c r="E98" s="2563"/>
    </row>
    <row r="99" spans="1:5">
      <c r="A99" s="252">
        <v>1976.06</v>
      </c>
      <c r="B99" s="914">
        <v>1.474108038400917E-8</v>
      </c>
      <c r="C99" s="915">
        <f t="shared" si="1"/>
        <v>1.474108038400917E-8</v>
      </c>
      <c r="D99" s="1517"/>
      <c r="E99" s="2563"/>
    </row>
    <row r="100" spans="1:5">
      <c r="A100" s="252">
        <v>1976.07</v>
      </c>
      <c r="B100" s="914">
        <v>1.53661938195539E-8</v>
      </c>
      <c r="C100" s="915">
        <f t="shared" si="1"/>
        <v>1.53661938195539E-8</v>
      </c>
      <c r="D100" s="1517"/>
      <c r="E100" s="2563"/>
    </row>
    <row r="101" spans="1:5">
      <c r="A101" s="252">
        <v>1976.08</v>
      </c>
      <c r="B101" s="914">
        <v>1.6213593160433683E-8</v>
      </c>
      <c r="C101" s="915">
        <f t="shared" si="1"/>
        <v>1.6213593160433683E-8</v>
      </c>
      <c r="D101" s="1517"/>
      <c r="E101" s="2563"/>
    </row>
    <row r="102" spans="1:5">
      <c r="A102" s="252">
        <v>1976.09</v>
      </c>
      <c r="B102" s="914">
        <v>1.7925060896976646E-8</v>
      </c>
      <c r="C102" s="915">
        <f t="shared" si="1"/>
        <v>1.7925060896976646E-8</v>
      </c>
      <c r="D102" s="1517"/>
      <c r="E102" s="2563"/>
    </row>
    <row r="103" spans="1:5">
      <c r="A103" s="252">
        <v>1976.1</v>
      </c>
      <c r="B103" s="914">
        <v>1.9441515021254241E-8</v>
      </c>
      <c r="C103" s="915">
        <f t="shared" si="1"/>
        <v>1.9441515021254241E-8</v>
      </c>
      <c r="D103" s="1517"/>
      <c r="E103" s="2563"/>
    </row>
    <row r="104" spans="1:5">
      <c r="A104" s="252">
        <v>1976.11</v>
      </c>
      <c r="B104" s="914">
        <v>2.0987820604671157E-8</v>
      </c>
      <c r="C104" s="915">
        <f t="shared" si="1"/>
        <v>2.0987820604671157E-8</v>
      </c>
      <c r="D104" s="1517"/>
      <c r="E104" s="2563"/>
    </row>
    <row r="105" spans="1:5">
      <c r="A105" s="252">
        <v>1976.12</v>
      </c>
      <c r="B105" s="914">
        <v>2.3998805941634427E-8</v>
      </c>
      <c r="C105" s="915">
        <f t="shared" si="1"/>
        <v>2.3998805941634427E-8</v>
      </c>
      <c r="D105" s="1517"/>
      <c r="E105" s="2563"/>
    </row>
    <row r="106" spans="1:5">
      <c r="A106" s="252">
        <v>1977.01</v>
      </c>
      <c r="B106" s="914">
        <v>2.5926493767015328E-8</v>
      </c>
      <c r="C106" s="915">
        <f t="shared" si="1"/>
        <v>2.5926493767015328E-8</v>
      </c>
      <c r="D106" s="1517"/>
      <c r="E106" s="2563"/>
    </row>
    <row r="107" spans="1:5">
      <c r="A107" s="252">
        <v>1977.02</v>
      </c>
      <c r="B107" s="914">
        <v>2.8066676219133593E-8</v>
      </c>
      <c r="C107" s="915">
        <f t="shared" si="1"/>
        <v>2.8066676219133593E-8</v>
      </c>
      <c r="D107" s="1517"/>
      <c r="E107" s="2563"/>
    </row>
    <row r="108" spans="1:5">
      <c r="A108" s="252">
        <v>1977.03</v>
      </c>
      <c r="B108" s="914">
        <v>3.0184649185652191E-8</v>
      </c>
      <c r="C108" s="915">
        <f t="shared" si="1"/>
        <v>3.0184649185652191E-8</v>
      </c>
      <c r="D108" s="1517"/>
      <c r="E108" s="2563"/>
    </row>
    <row r="109" spans="1:5">
      <c r="A109" s="252">
        <v>1977.04</v>
      </c>
      <c r="B109" s="914">
        <v>3.1999044753307536E-8</v>
      </c>
      <c r="C109" s="915">
        <f t="shared" si="1"/>
        <v>3.1999044753307536E-8</v>
      </c>
      <c r="D109" s="1517"/>
      <c r="E109" s="2563"/>
    </row>
    <row r="110" spans="1:5">
      <c r="A110" s="252">
        <v>1977.05</v>
      </c>
      <c r="B110" s="914">
        <v>3.4077661556096867E-8</v>
      </c>
      <c r="C110" s="915">
        <f t="shared" si="1"/>
        <v>3.4077661556096867E-8</v>
      </c>
      <c r="D110" s="1517"/>
      <c r="E110" s="2563"/>
    </row>
    <row r="111" spans="1:5">
      <c r="A111" s="252">
        <v>1977.06</v>
      </c>
      <c r="B111" s="914">
        <v>3.6683670057792423E-8</v>
      </c>
      <c r="C111" s="915">
        <f t="shared" si="1"/>
        <v>3.6683670057792423E-8</v>
      </c>
      <c r="D111" s="1517"/>
      <c r="E111" s="2563"/>
    </row>
    <row r="112" spans="1:5">
      <c r="A112" s="252">
        <v>1977.07</v>
      </c>
      <c r="B112" s="914">
        <v>3.9380474757606152E-8</v>
      </c>
      <c r="C112" s="915">
        <f t="shared" si="1"/>
        <v>3.9380474757606152E-8</v>
      </c>
      <c r="D112" s="1517"/>
      <c r="E112" s="2563"/>
    </row>
    <row r="113" spans="1:5">
      <c r="A113" s="252">
        <v>1977.08</v>
      </c>
      <c r="B113" s="914">
        <v>4.3845297798156372E-8</v>
      </c>
      <c r="C113" s="915">
        <f t="shared" si="1"/>
        <v>4.3845297798156372E-8</v>
      </c>
      <c r="D113" s="1517"/>
      <c r="E113" s="2563"/>
    </row>
    <row r="114" spans="1:5">
      <c r="A114" s="252">
        <v>1977.09</v>
      </c>
      <c r="B114" s="914">
        <v>4.7483163777045419E-8</v>
      </c>
      <c r="C114" s="915">
        <f t="shared" si="1"/>
        <v>4.7483163777045419E-8</v>
      </c>
      <c r="D114" s="1517"/>
      <c r="E114" s="2563"/>
    </row>
    <row r="115" spans="1:5">
      <c r="A115" s="252">
        <v>1977.1</v>
      </c>
      <c r="B115" s="914">
        <v>5.3415389024215495E-8</v>
      </c>
      <c r="C115" s="915">
        <f t="shared" si="1"/>
        <v>5.3415389024215495E-8</v>
      </c>
      <c r="D115" s="1517"/>
      <c r="E115" s="2563"/>
    </row>
    <row r="116" spans="1:5">
      <c r="A116" s="252">
        <v>1977.11</v>
      </c>
      <c r="B116" s="914">
        <v>5.8243301332569131E-8</v>
      </c>
      <c r="C116" s="915">
        <f t="shared" si="1"/>
        <v>5.8243301332569131E-8</v>
      </c>
      <c r="D116" s="1517"/>
      <c r="E116" s="2563"/>
    </row>
    <row r="117" spans="1:5">
      <c r="A117" s="252">
        <v>1977.12</v>
      </c>
      <c r="B117" s="914">
        <v>6.2501313464202122E-8</v>
      </c>
      <c r="C117" s="915">
        <f t="shared" si="1"/>
        <v>6.2501313464202122E-8</v>
      </c>
      <c r="D117" s="1517"/>
      <c r="E117" s="2563"/>
    </row>
    <row r="118" spans="1:5">
      <c r="A118" s="252">
        <v>1978.01</v>
      </c>
      <c r="B118" s="914">
        <v>7.0850169556287902E-8</v>
      </c>
      <c r="C118" s="915">
        <f t="shared" si="1"/>
        <v>7.0850169556287902E-8</v>
      </c>
      <c r="D118" s="1517"/>
      <c r="E118" s="2563"/>
    </row>
    <row r="119" spans="1:5">
      <c r="A119" s="252">
        <v>1978.02</v>
      </c>
      <c r="B119" s="914">
        <v>7.5245737211634897E-8</v>
      </c>
      <c r="C119" s="915">
        <f t="shared" si="1"/>
        <v>7.5245737211634897E-8</v>
      </c>
      <c r="D119" s="1517"/>
      <c r="E119" s="2563"/>
    </row>
    <row r="120" spans="1:5">
      <c r="A120" s="252">
        <v>1978.03</v>
      </c>
      <c r="B120" s="914">
        <v>8.2388116731145824E-8</v>
      </c>
      <c r="C120" s="915">
        <f t="shared" si="1"/>
        <v>8.2388116731145824E-8</v>
      </c>
      <c r="D120" s="1517"/>
      <c r="E120" s="2563"/>
    </row>
    <row r="121" spans="1:5">
      <c r="A121" s="252">
        <v>1978.04</v>
      </c>
      <c r="B121" s="914">
        <v>9.1512155514161518E-8</v>
      </c>
      <c r="C121" s="915">
        <f t="shared" si="1"/>
        <v>9.1512155514161518E-8</v>
      </c>
      <c r="D121" s="1517"/>
      <c r="E121" s="2563"/>
    </row>
    <row r="122" spans="1:5">
      <c r="A122" s="252">
        <v>1978.05</v>
      </c>
      <c r="B122" s="914">
        <v>9.94660170989158E-8</v>
      </c>
      <c r="C122" s="915">
        <f t="shared" si="1"/>
        <v>9.94660170989158E-8</v>
      </c>
      <c r="D122" s="1517"/>
      <c r="E122" s="2563"/>
    </row>
    <row r="123" spans="1:5">
      <c r="A123" s="252">
        <v>1978.06</v>
      </c>
      <c r="B123" s="914">
        <v>1.0592252949324163E-7</v>
      </c>
      <c r="C123" s="915">
        <f t="shared" si="1"/>
        <v>1.0592252949324163E-7</v>
      </c>
      <c r="D123" s="1517"/>
      <c r="E123" s="2563"/>
    </row>
    <row r="124" spans="1:5">
      <c r="A124" s="252">
        <v>1978.07</v>
      </c>
      <c r="B124" s="914">
        <v>1.1291111429526675E-7</v>
      </c>
      <c r="C124" s="915">
        <f t="shared" si="1"/>
        <v>1.1291111429526675E-7</v>
      </c>
      <c r="D124" s="1517"/>
      <c r="E124" s="2563"/>
    </row>
    <row r="125" spans="1:5">
      <c r="A125" s="252">
        <v>1978.08</v>
      </c>
      <c r="B125" s="914">
        <v>1.2172660839661844E-7</v>
      </c>
      <c r="C125" s="915">
        <f t="shared" si="1"/>
        <v>1.2172660839661844E-7</v>
      </c>
      <c r="D125" s="1517"/>
      <c r="E125" s="2563"/>
    </row>
    <row r="126" spans="1:5">
      <c r="A126" s="252">
        <v>1978.09</v>
      </c>
      <c r="B126" s="914">
        <v>1.2950709270669151E-7</v>
      </c>
      <c r="C126" s="915">
        <f t="shared" si="1"/>
        <v>1.2950709270669151E-7</v>
      </c>
      <c r="D126" s="1517"/>
      <c r="E126" s="2563"/>
    </row>
    <row r="127" spans="1:5">
      <c r="A127" s="252">
        <v>1978.1</v>
      </c>
      <c r="B127" s="914">
        <v>1.4214309595453025E-7</v>
      </c>
      <c r="C127" s="915">
        <f t="shared" si="1"/>
        <v>1.4214309595453025E-7</v>
      </c>
      <c r="D127" s="1517"/>
      <c r="E127" s="2563"/>
    </row>
    <row r="128" spans="1:5">
      <c r="A128" s="252">
        <v>1978.11</v>
      </c>
      <c r="B128" s="914">
        <v>1.5464297654869369E-7</v>
      </c>
      <c r="C128" s="915">
        <f t="shared" si="1"/>
        <v>1.5464297654869369E-7</v>
      </c>
      <c r="D128" s="1517"/>
      <c r="E128" s="2563"/>
    </row>
    <row r="129" spans="1:5">
      <c r="A129" s="252">
        <v>1978.12</v>
      </c>
      <c r="B129" s="914">
        <v>1.6865644552705738E-7</v>
      </c>
      <c r="C129" s="915">
        <f t="shared" si="1"/>
        <v>1.6865644552705738E-7</v>
      </c>
      <c r="D129" s="1517"/>
      <c r="E129" s="2563"/>
    </row>
    <row r="130" spans="1:5">
      <c r="A130" s="252">
        <v>1979.01</v>
      </c>
      <c r="B130" s="914">
        <v>1.9019534794860774E-7</v>
      </c>
      <c r="C130" s="915">
        <f t="shared" si="1"/>
        <v>1.9019534794860774E-7</v>
      </c>
      <c r="D130" s="1517"/>
      <c r="E130" s="2563"/>
    </row>
    <row r="131" spans="1:5">
      <c r="A131" s="252">
        <v>1979.02</v>
      </c>
      <c r="B131" s="914">
        <v>2.0435210393084014E-7</v>
      </c>
      <c r="C131" s="915">
        <f t="shared" si="1"/>
        <v>2.0435210393084014E-7</v>
      </c>
      <c r="D131" s="1517"/>
      <c r="E131" s="2563"/>
    </row>
    <row r="132" spans="1:5">
      <c r="A132" s="252">
        <v>1979.03</v>
      </c>
      <c r="B132" s="914">
        <v>2.2018913884510675E-7</v>
      </c>
      <c r="C132" s="915">
        <f t="shared" si="1"/>
        <v>2.2018913884510675E-7</v>
      </c>
      <c r="D132" s="1517"/>
      <c r="E132" s="2563"/>
    </row>
    <row r="133" spans="1:5">
      <c r="A133" s="252">
        <v>1979.04</v>
      </c>
      <c r="B133" s="914">
        <v>2.3560586521469168E-7</v>
      </c>
      <c r="C133" s="915">
        <f t="shared" si="1"/>
        <v>2.3560586521469168E-7</v>
      </c>
      <c r="D133" s="1517"/>
      <c r="E133" s="2563"/>
    </row>
    <row r="134" spans="1:5">
      <c r="A134" s="252">
        <v>1979.05</v>
      </c>
      <c r="B134" s="914">
        <v>2.5191097100826287E-7</v>
      </c>
      <c r="C134" s="915">
        <f t="shared" si="1"/>
        <v>2.5191097100826287E-7</v>
      </c>
      <c r="D134" s="1517"/>
      <c r="E134" s="2563"/>
    </row>
    <row r="135" spans="1:5">
      <c r="A135" s="252">
        <v>1979.06</v>
      </c>
      <c r="B135" s="914">
        <v>2.7633376319434491E-7</v>
      </c>
      <c r="C135" s="915">
        <f t="shared" si="1"/>
        <v>2.7633376319434491E-7</v>
      </c>
      <c r="D135" s="1517"/>
      <c r="E135" s="2563"/>
    </row>
    <row r="136" spans="1:5">
      <c r="A136" s="252">
        <v>1979.07</v>
      </c>
      <c r="B136" s="914">
        <v>2.9609686201461525E-7</v>
      </c>
      <c r="C136" s="915">
        <f t="shared" si="1"/>
        <v>2.9609686201461525E-7</v>
      </c>
      <c r="D136" s="1517"/>
      <c r="E136" s="2563"/>
    </row>
    <row r="137" spans="1:5">
      <c r="A137" s="252">
        <v>1979.08</v>
      </c>
      <c r="B137" s="914">
        <v>3.3000047762334621E-7</v>
      </c>
      <c r="C137" s="915">
        <f t="shared" si="1"/>
        <v>3.3000047762334621E-7</v>
      </c>
      <c r="D137" s="1517"/>
      <c r="E137" s="2563"/>
    </row>
    <row r="138" spans="1:5">
      <c r="A138" s="252">
        <v>1979.09</v>
      </c>
      <c r="B138" s="914">
        <v>3.5259062902994697E-7</v>
      </c>
      <c r="C138" s="915">
        <f t="shared" si="1"/>
        <v>3.5259062902994697E-7</v>
      </c>
      <c r="D138" s="1517"/>
      <c r="E138" s="2563"/>
    </row>
    <row r="139" spans="1:5">
      <c r="A139" s="252">
        <v>1979.1</v>
      </c>
      <c r="B139" s="914">
        <v>3.6789511391316807E-7</v>
      </c>
      <c r="C139" s="915">
        <f t="shared" si="1"/>
        <v>3.6789511391316807E-7</v>
      </c>
      <c r="D139" s="1517"/>
      <c r="E139" s="2563"/>
    </row>
    <row r="140" spans="1:5">
      <c r="A140" s="252">
        <v>1979.11</v>
      </c>
      <c r="B140" s="914">
        <v>3.8680278932034204E-7</v>
      </c>
      <c r="C140" s="915">
        <f t="shared" ref="C140:C203" si="2">B140</f>
        <v>3.8680278932034204E-7</v>
      </c>
      <c r="D140" s="1517"/>
      <c r="E140" s="2563"/>
    </row>
    <row r="141" spans="1:5">
      <c r="A141" s="252">
        <v>1979.12</v>
      </c>
      <c r="B141" s="914">
        <v>4.0432917801022115E-7</v>
      </c>
      <c r="C141" s="915">
        <f t="shared" si="2"/>
        <v>4.0432917801022115E-7</v>
      </c>
      <c r="D141" s="1517"/>
      <c r="E141" s="2563"/>
    </row>
    <row r="142" spans="1:5">
      <c r="A142" s="252">
        <v>1980.01</v>
      </c>
      <c r="B142" s="914">
        <v>4.3348044132397189E-7</v>
      </c>
      <c r="C142" s="915">
        <f t="shared" si="2"/>
        <v>4.3348044132397189E-7</v>
      </c>
      <c r="D142" s="1517"/>
      <c r="E142" s="2563"/>
    </row>
    <row r="143" spans="1:5">
      <c r="A143" s="252">
        <v>1980.02</v>
      </c>
      <c r="B143" s="914">
        <v>4.5665186034293354E-7</v>
      </c>
      <c r="C143" s="915">
        <f t="shared" si="2"/>
        <v>4.5665186034293354E-7</v>
      </c>
      <c r="D143" s="1517"/>
      <c r="E143" s="2563"/>
    </row>
    <row r="144" spans="1:5">
      <c r="A144" s="252">
        <v>1980.03</v>
      </c>
      <c r="B144" s="914">
        <v>4.8311935807422264E-7</v>
      </c>
      <c r="C144" s="915">
        <f t="shared" si="2"/>
        <v>4.8311935807422264E-7</v>
      </c>
      <c r="D144" s="1517"/>
      <c r="E144" s="2563"/>
    </row>
    <row r="145" spans="1:5">
      <c r="A145" s="252">
        <v>1980.04</v>
      </c>
      <c r="B145" s="914">
        <v>5.1295648851315853E-7</v>
      </c>
      <c r="C145" s="915">
        <f t="shared" si="2"/>
        <v>5.1295648851315853E-7</v>
      </c>
      <c r="D145" s="1517"/>
      <c r="E145" s="2563"/>
    </row>
    <row r="146" spans="1:5">
      <c r="A146" s="252">
        <v>1980.05</v>
      </c>
      <c r="B146" s="914">
        <v>5.4262931652099159E-7</v>
      </c>
      <c r="C146" s="915">
        <f t="shared" si="2"/>
        <v>5.4262931652099159E-7</v>
      </c>
      <c r="D146" s="1517"/>
      <c r="E146" s="2563"/>
    </row>
    <row r="147" spans="1:5">
      <c r="A147" s="252">
        <v>1980.06</v>
      </c>
      <c r="B147" s="914">
        <v>5.7376367196828577E-7</v>
      </c>
      <c r="C147" s="915">
        <f t="shared" si="2"/>
        <v>5.7376367196828577E-7</v>
      </c>
      <c r="D147" s="1517"/>
      <c r="E147" s="2563"/>
    </row>
    <row r="148" spans="1:5">
      <c r="A148" s="252">
        <v>1980.07</v>
      </c>
      <c r="B148" s="914">
        <v>6.000071643501934E-7</v>
      </c>
      <c r="C148" s="915">
        <f t="shared" si="2"/>
        <v>6.000071643501934E-7</v>
      </c>
      <c r="D148" s="1517"/>
      <c r="E148" s="2563"/>
    </row>
    <row r="149" spans="1:5">
      <c r="A149" s="252">
        <v>1980.08</v>
      </c>
      <c r="B149" s="914">
        <v>6.2053971438123893E-7</v>
      </c>
      <c r="C149" s="915">
        <f t="shared" si="2"/>
        <v>6.2053971438123893E-7</v>
      </c>
      <c r="D149" s="1517"/>
      <c r="E149" s="2563"/>
    </row>
    <row r="150" spans="1:5">
      <c r="A150" s="252">
        <v>1980.09</v>
      </c>
      <c r="B150" s="914">
        <v>6.4873668624922379E-7</v>
      </c>
      <c r="C150" s="915">
        <f t="shared" si="2"/>
        <v>6.4873668624922379E-7</v>
      </c>
      <c r="D150" s="1517"/>
      <c r="E150" s="2563"/>
    </row>
    <row r="151" spans="1:5">
      <c r="A151" s="252">
        <v>1980.1</v>
      </c>
      <c r="B151" s="914">
        <v>6.9813726894970628E-7</v>
      </c>
      <c r="C151" s="915">
        <f t="shared" si="2"/>
        <v>6.9813726894970628E-7</v>
      </c>
      <c r="D151" s="1517"/>
      <c r="E151" s="2563"/>
    </row>
    <row r="152" spans="1:5">
      <c r="A152" s="252">
        <v>1980.11</v>
      </c>
      <c r="B152" s="914">
        <v>7.3079237713139412E-7</v>
      </c>
      <c r="C152" s="915">
        <f t="shared" si="2"/>
        <v>7.3079237713139412E-7</v>
      </c>
      <c r="D152" s="1517"/>
      <c r="E152" s="2563"/>
    </row>
    <row r="153" spans="1:5">
      <c r="A153" s="252">
        <v>1980.12</v>
      </c>
      <c r="B153" s="914">
        <v>7.5866122176051973E-7</v>
      </c>
      <c r="C153" s="915">
        <f t="shared" si="2"/>
        <v>7.5866122176051973E-7</v>
      </c>
      <c r="D153" s="1517"/>
      <c r="E153" s="2563"/>
    </row>
    <row r="154" spans="1:5">
      <c r="A154" s="252">
        <v>1981.01</v>
      </c>
      <c r="B154" s="914">
        <v>7.9581601948703246E-7</v>
      </c>
      <c r="C154" s="915">
        <f t="shared" si="2"/>
        <v>7.9581601948703246E-7</v>
      </c>
      <c r="D154" s="1517"/>
      <c r="E154" s="2563"/>
    </row>
    <row r="155" spans="1:5">
      <c r="A155" s="252">
        <v>1981.02</v>
      </c>
      <c r="B155" s="914">
        <v>8.2905860438458229E-7</v>
      </c>
      <c r="C155" s="915">
        <f t="shared" si="2"/>
        <v>8.2905860438458229E-7</v>
      </c>
      <c r="D155" s="1517"/>
      <c r="E155" s="2563"/>
    </row>
    <row r="156" spans="1:5">
      <c r="A156" s="252">
        <v>1981.03</v>
      </c>
      <c r="B156" s="914">
        <v>8.7873143239241537E-7</v>
      </c>
      <c r="C156" s="915">
        <f t="shared" si="2"/>
        <v>8.7873143239241537E-7</v>
      </c>
      <c r="D156" s="1517"/>
      <c r="E156" s="2563"/>
    </row>
    <row r="157" spans="1:5">
      <c r="A157" s="252">
        <v>1981.04</v>
      </c>
      <c r="B157" s="914">
        <v>9.4803457993026689E-7</v>
      </c>
      <c r="C157" s="915">
        <f t="shared" si="2"/>
        <v>9.4803457993026689E-7</v>
      </c>
      <c r="D157" s="1517"/>
      <c r="E157" s="2563"/>
    </row>
    <row r="158" spans="1:5">
      <c r="A158" s="252">
        <v>1981.05</v>
      </c>
      <c r="B158" s="914">
        <v>1.0194870325261499E-6</v>
      </c>
      <c r="C158" s="915">
        <f t="shared" si="2"/>
        <v>1.0194870325261499E-6</v>
      </c>
      <c r="D158" s="1517"/>
      <c r="E158" s="2563"/>
    </row>
    <row r="159" spans="1:5">
      <c r="A159" s="252">
        <v>1981.06</v>
      </c>
      <c r="B159" s="914">
        <v>1.1150594641066055E-6</v>
      </c>
      <c r="C159" s="915">
        <f t="shared" si="2"/>
        <v>1.1150594641066055E-6</v>
      </c>
      <c r="D159" s="1517"/>
      <c r="E159" s="2563"/>
    </row>
    <row r="160" spans="1:5">
      <c r="A160" s="252">
        <v>1981.07</v>
      </c>
      <c r="B160" s="914">
        <v>1.2292592061899985E-6</v>
      </c>
      <c r="C160" s="915">
        <f t="shared" si="2"/>
        <v>1.2292592061899985E-6</v>
      </c>
      <c r="D160" s="1517"/>
      <c r="E160" s="2563"/>
    </row>
    <row r="161" spans="1:5">
      <c r="A161" s="252">
        <v>1981.08</v>
      </c>
      <c r="B161" s="914">
        <v>1.3266466064861249E-6</v>
      </c>
      <c r="C161" s="915">
        <f t="shared" si="2"/>
        <v>1.3266466064861249E-6</v>
      </c>
      <c r="D161" s="1517"/>
      <c r="E161" s="2563"/>
    </row>
    <row r="162" spans="1:5">
      <c r="A162" s="252">
        <v>1981.09</v>
      </c>
      <c r="B162" s="914">
        <v>1.4214548407126141E-6</v>
      </c>
      <c r="C162" s="915">
        <f t="shared" si="2"/>
        <v>1.4214548407126141E-6</v>
      </c>
      <c r="D162" s="1517"/>
      <c r="E162" s="2563"/>
    </row>
    <row r="163" spans="1:5">
      <c r="A163" s="252">
        <v>1981.1</v>
      </c>
      <c r="B163" s="914">
        <v>1.5042269666141278E-6</v>
      </c>
      <c r="C163" s="915">
        <f t="shared" si="2"/>
        <v>1.5042269666141278E-6</v>
      </c>
      <c r="D163" s="1517"/>
      <c r="E163" s="2563"/>
    </row>
    <row r="164" spans="1:5">
      <c r="A164" s="252">
        <v>1981.11</v>
      </c>
      <c r="B164" s="914">
        <v>1.612647466208148E-6</v>
      </c>
      <c r="C164" s="915">
        <f t="shared" si="2"/>
        <v>1.612647466208148E-6</v>
      </c>
      <c r="D164" s="1517"/>
      <c r="E164" s="2563"/>
    </row>
    <row r="165" spans="1:5">
      <c r="A165" s="252">
        <v>1981.12</v>
      </c>
      <c r="B165" s="914">
        <v>1.7545971247074555E-6</v>
      </c>
      <c r="C165" s="915">
        <f t="shared" si="2"/>
        <v>1.7545971247074555E-6</v>
      </c>
      <c r="D165" s="1517"/>
      <c r="E165" s="2563"/>
    </row>
    <row r="166" spans="1:5">
      <c r="A166" s="252">
        <v>1982.01</v>
      </c>
      <c r="B166" s="914">
        <v>1.9637961503558292E-6</v>
      </c>
      <c r="C166" s="915">
        <f t="shared" si="2"/>
        <v>1.9637961503558292E-6</v>
      </c>
      <c r="D166" s="1517"/>
      <c r="E166" s="2563"/>
    </row>
    <row r="167" spans="1:5">
      <c r="A167" s="252">
        <v>1982.02</v>
      </c>
      <c r="B167" s="914">
        <v>2.0675837034914267E-6</v>
      </c>
      <c r="C167" s="915">
        <f t="shared" si="2"/>
        <v>2.0675837034914267E-6</v>
      </c>
      <c r="D167" s="1517"/>
      <c r="E167" s="2563"/>
    </row>
    <row r="168" spans="1:5">
      <c r="A168" s="252">
        <v>1982.03</v>
      </c>
      <c r="B168" s="914">
        <v>2.1650666284567988E-6</v>
      </c>
      <c r="C168" s="915">
        <f t="shared" si="2"/>
        <v>2.1650666284567988E-6</v>
      </c>
      <c r="D168" s="1517"/>
      <c r="E168" s="2563"/>
    </row>
    <row r="169" spans="1:5">
      <c r="A169" s="252">
        <v>1982.04</v>
      </c>
      <c r="B169" s="914">
        <v>2.255767301905717E-6</v>
      </c>
      <c r="C169" s="915">
        <f t="shared" si="2"/>
        <v>2.255767301905717E-6</v>
      </c>
      <c r="D169" s="1517"/>
      <c r="E169" s="2563"/>
    </row>
    <row r="170" spans="1:5">
      <c r="A170" s="252">
        <v>1982.05</v>
      </c>
      <c r="B170" s="914">
        <v>2.3247838754358313E-6</v>
      </c>
      <c r="C170" s="915">
        <f t="shared" si="2"/>
        <v>2.3247838754358313E-6</v>
      </c>
      <c r="D170" s="1517"/>
      <c r="E170" s="2563"/>
    </row>
    <row r="171" spans="1:5">
      <c r="A171" s="252">
        <v>1982.06</v>
      </c>
      <c r="B171" s="914">
        <v>2.5083345273916991E-6</v>
      </c>
      <c r="C171" s="915">
        <f t="shared" si="2"/>
        <v>2.5083345273916991E-6</v>
      </c>
      <c r="D171" s="1517"/>
      <c r="E171" s="2563"/>
    </row>
    <row r="172" spans="1:5">
      <c r="A172" s="252">
        <v>1982.07</v>
      </c>
      <c r="B172" s="914">
        <v>2.9161771027367817E-6</v>
      </c>
      <c r="C172" s="915">
        <f t="shared" si="2"/>
        <v>2.9161771027367817E-6</v>
      </c>
      <c r="D172" s="1517"/>
      <c r="E172" s="2563"/>
    </row>
    <row r="173" spans="1:5">
      <c r="A173" s="252">
        <v>1982.08</v>
      </c>
      <c r="B173" s="914">
        <v>3.3445574819697184E-6</v>
      </c>
      <c r="C173" s="915">
        <f t="shared" si="2"/>
        <v>3.3445574819697184E-6</v>
      </c>
      <c r="D173" s="1517"/>
      <c r="E173" s="2563"/>
    </row>
    <row r="174" spans="1:5">
      <c r="A174" s="252">
        <v>1982.09</v>
      </c>
      <c r="B174" s="914">
        <v>3.9153651430481912E-6</v>
      </c>
      <c r="C174" s="915">
        <f t="shared" si="2"/>
        <v>3.9153651430481912E-6</v>
      </c>
      <c r="D174" s="1517"/>
      <c r="E174" s="2563"/>
    </row>
    <row r="175" spans="1:5">
      <c r="A175" s="252">
        <v>1982.1</v>
      </c>
      <c r="B175" s="914">
        <v>4.4121889477957677E-6</v>
      </c>
      <c r="C175" s="915">
        <f t="shared" si="2"/>
        <v>4.4121889477957677E-6</v>
      </c>
      <c r="D175" s="1517"/>
      <c r="E175" s="2563"/>
    </row>
    <row r="176" spans="1:5">
      <c r="A176" s="252">
        <v>1982.11</v>
      </c>
      <c r="B176" s="914">
        <v>4.9127382146439317E-6</v>
      </c>
      <c r="C176" s="915">
        <f t="shared" si="2"/>
        <v>4.9127382146439317E-6</v>
      </c>
      <c r="D176" s="1517"/>
      <c r="E176" s="2563"/>
    </row>
    <row r="177" spans="1:5">
      <c r="A177" s="252">
        <v>1982.12</v>
      </c>
      <c r="B177" s="914">
        <v>5.4344939580646698E-6</v>
      </c>
      <c r="C177" s="915">
        <f t="shared" si="2"/>
        <v>5.4344939580646698E-6</v>
      </c>
      <c r="D177" s="1517"/>
      <c r="E177" s="2563"/>
    </row>
    <row r="178" spans="1:5">
      <c r="A178" s="252">
        <v>1983.01</v>
      </c>
      <c r="B178" s="914">
        <v>6.302908726178535E-6</v>
      </c>
      <c r="C178" s="915">
        <f t="shared" si="2"/>
        <v>6.302908726178535E-6</v>
      </c>
      <c r="D178" s="1517"/>
      <c r="E178" s="2563"/>
    </row>
    <row r="179" spans="1:5">
      <c r="A179" s="252">
        <v>1983.02</v>
      </c>
      <c r="B179" s="914">
        <v>7.1245164063619428E-6</v>
      </c>
      <c r="C179" s="915">
        <f t="shared" si="2"/>
        <v>7.1245164063619428E-6</v>
      </c>
      <c r="D179" s="1517"/>
      <c r="E179" s="2563"/>
    </row>
    <row r="180" spans="1:5">
      <c r="A180" s="252">
        <v>1983.03</v>
      </c>
      <c r="B180" s="914">
        <v>7.9267325786884447E-6</v>
      </c>
      <c r="C180" s="915">
        <f t="shared" si="2"/>
        <v>7.9267325786884447E-6</v>
      </c>
      <c r="D180" s="1517"/>
      <c r="E180" s="2563"/>
    </row>
    <row r="181" spans="1:5">
      <c r="A181" s="252">
        <v>1983.04</v>
      </c>
      <c r="B181" s="914">
        <v>8.7408893346706774E-6</v>
      </c>
      <c r="C181" s="915">
        <f t="shared" si="2"/>
        <v>8.7408893346706774E-6</v>
      </c>
      <c r="D181" s="1517"/>
      <c r="E181" s="2563"/>
    </row>
    <row r="182" spans="1:5">
      <c r="A182" s="252">
        <v>1983.05</v>
      </c>
      <c r="B182" s="914">
        <v>9.5326455557147613E-6</v>
      </c>
      <c r="C182" s="915">
        <f t="shared" si="2"/>
        <v>9.5326455557147613E-6</v>
      </c>
      <c r="D182" s="1517"/>
      <c r="E182" s="2563"/>
    </row>
    <row r="183" spans="1:5">
      <c r="A183" s="252">
        <v>1983.06</v>
      </c>
      <c r="B183" s="914">
        <v>1.1041648755791184E-5</v>
      </c>
      <c r="C183" s="915">
        <f t="shared" si="2"/>
        <v>1.1041648755791184E-5</v>
      </c>
      <c r="D183" s="1517"/>
      <c r="E183" s="2563"/>
    </row>
    <row r="184" spans="1:5">
      <c r="A184" s="252">
        <v>1983.07</v>
      </c>
      <c r="B184" s="914">
        <v>1.2416439795577209E-5</v>
      </c>
      <c r="C184" s="915">
        <f t="shared" si="2"/>
        <v>1.2416439795577209E-5</v>
      </c>
      <c r="D184" s="1517"/>
      <c r="E184" s="2563"/>
    </row>
    <row r="185" spans="1:5">
      <c r="A185" s="252">
        <v>1983.08</v>
      </c>
      <c r="B185" s="914">
        <v>1.4557673019057173E-5</v>
      </c>
      <c r="C185" s="915">
        <f t="shared" si="2"/>
        <v>1.4557673019057173E-5</v>
      </c>
      <c r="D185" s="1517"/>
      <c r="E185" s="2563"/>
    </row>
    <row r="186" spans="1:5">
      <c r="A186" s="252">
        <v>1983.09</v>
      </c>
      <c r="B186" s="914">
        <v>1.7668147299039977E-5</v>
      </c>
      <c r="C186" s="915">
        <f t="shared" si="2"/>
        <v>1.7668147299039977E-5</v>
      </c>
      <c r="D186" s="1517"/>
      <c r="E186" s="2563"/>
    </row>
    <row r="187" spans="1:5">
      <c r="A187" s="252">
        <v>1983.1</v>
      </c>
      <c r="B187" s="914">
        <v>2.0666762191335909E-5</v>
      </c>
      <c r="C187" s="915">
        <f t="shared" si="2"/>
        <v>2.0666762191335909E-5</v>
      </c>
      <c r="D187" s="1517"/>
      <c r="E187" s="2563"/>
    </row>
    <row r="188" spans="1:5">
      <c r="A188" s="252">
        <v>1983.11</v>
      </c>
      <c r="B188" s="914">
        <v>2.4642069064335867E-5</v>
      </c>
      <c r="C188" s="915">
        <f t="shared" si="2"/>
        <v>2.4642069064335867E-5</v>
      </c>
      <c r="D188" s="1517"/>
      <c r="E188" s="2563"/>
    </row>
    <row r="189" spans="1:5">
      <c r="A189" s="252">
        <v>1983.12</v>
      </c>
      <c r="B189" s="914">
        <v>2.9003534412762093E-5</v>
      </c>
      <c r="C189" s="915">
        <f t="shared" si="2"/>
        <v>2.9003534412762093E-5</v>
      </c>
      <c r="D189" s="1517"/>
      <c r="E189" s="2563"/>
    </row>
    <row r="190" spans="1:5">
      <c r="A190" s="252">
        <v>1984.01</v>
      </c>
      <c r="B190" s="914">
        <v>3.2640301857954816E-5</v>
      </c>
      <c r="C190" s="915">
        <f t="shared" si="2"/>
        <v>3.2640301857954816E-5</v>
      </c>
      <c r="D190" s="1517"/>
      <c r="E190" s="2563"/>
    </row>
    <row r="191" spans="1:5">
      <c r="A191" s="252">
        <v>1984.02</v>
      </c>
      <c r="B191" s="914">
        <v>3.8172613077327213E-5</v>
      </c>
      <c r="C191" s="915">
        <f t="shared" si="2"/>
        <v>3.8172613077327213E-5</v>
      </c>
      <c r="D191" s="1517"/>
      <c r="E191" s="2563"/>
    </row>
    <row r="192" spans="1:5">
      <c r="A192" s="252">
        <v>1984.03</v>
      </c>
      <c r="B192" s="914">
        <v>4.5911066532932126E-5</v>
      </c>
      <c r="C192" s="915">
        <f t="shared" si="2"/>
        <v>4.5911066532932126E-5</v>
      </c>
      <c r="D192" s="1517"/>
      <c r="E192" s="2563"/>
    </row>
    <row r="193" spans="1:5">
      <c r="A193" s="252">
        <v>1984.04</v>
      </c>
      <c r="B193" s="914">
        <v>5.4410373979080101E-5</v>
      </c>
      <c r="C193" s="915">
        <f t="shared" si="2"/>
        <v>5.4410373979080101E-5</v>
      </c>
      <c r="D193" s="1517"/>
      <c r="E193" s="2563"/>
    </row>
    <row r="194" spans="1:5">
      <c r="A194" s="252">
        <v>1984.05</v>
      </c>
      <c r="B194" s="914">
        <v>6.3700148063237333E-5</v>
      </c>
      <c r="C194" s="915">
        <f t="shared" si="2"/>
        <v>6.3700148063237333E-5</v>
      </c>
      <c r="D194" s="1517"/>
      <c r="E194" s="2563"/>
    </row>
    <row r="195" spans="1:5">
      <c r="A195" s="252">
        <v>1984.06</v>
      </c>
      <c r="B195" s="914">
        <v>7.510722644122845E-5</v>
      </c>
      <c r="C195" s="915">
        <f t="shared" si="2"/>
        <v>7.510722644122845E-5</v>
      </c>
      <c r="D195" s="1517"/>
      <c r="E195" s="2563"/>
    </row>
    <row r="196" spans="1:5">
      <c r="A196" s="252">
        <v>1984.07</v>
      </c>
      <c r="B196" s="914">
        <v>8.8840330515355586E-5</v>
      </c>
      <c r="C196" s="915">
        <f t="shared" si="2"/>
        <v>8.8840330515355586E-5</v>
      </c>
      <c r="D196" s="1517"/>
      <c r="E196" s="2563"/>
    </row>
    <row r="197" spans="1:5">
      <c r="A197" s="252">
        <v>1984.08</v>
      </c>
      <c r="B197" s="914">
        <v>1.0913406887328653E-4</v>
      </c>
      <c r="C197" s="915">
        <f t="shared" si="2"/>
        <v>1.0913406887328653E-4</v>
      </c>
      <c r="D197" s="1517"/>
      <c r="E197" s="2563"/>
    </row>
    <row r="198" spans="1:5">
      <c r="A198" s="252">
        <v>1984.09</v>
      </c>
      <c r="B198" s="914">
        <v>1.3919520466160388E-4</v>
      </c>
      <c r="C198" s="915">
        <f t="shared" si="2"/>
        <v>1.3919520466160388E-4</v>
      </c>
      <c r="D198" s="1517"/>
      <c r="E198" s="2563"/>
    </row>
    <row r="199" spans="1:5">
      <c r="A199" s="252">
        <v>1984.1</v>
      </c>
      <c r="B199" s="914">
        <v>1.6609447389788411E-4</v>
      </c>
      <c r="C199" s="915">
        <f t="shared" si="2"/>
        <v>1.6609447389788411E-4</v>
      </c>
      <c r="D199" s="1517"/>
      <c r="E199" s="2563"/>
    </row>
    <row r="200" spans="1:5">
      <c r="A200" s="252">
        <v>1984.11</v>
      </c>
      <c r="B200" s="914">
        <v>1.909662320294216E-4</v>
      </c>
      <c r="C200" s="915">
        <f t="shared" si="2"/>
        <v>1.909662320294216E-4</v>
      </c>
      <c r="D200" s="1517"/>
      <c r="E200" s="2563"/>
    </row>
    <row r="201" spans="1:5">
      <c r="A201" s="252">
        <v>1984.12</v>
      </c>
      <c r="B201" s="914">
        <v>2.2854229354730857E-4</v>
      </c>
      <c r="C201" s="915">
        <f t="shared" si="2"/>
        <v>2.2854229354730857E-4</v>
      </c>
      <c r="D201" s="1517"/>
      <c r="E201" s="2563"/>
    </row>
    <row r="202" spans="1:5">
      <c r="A202" s="252">
        <v>1985.01</v>
      </c>
      <c r="B202" s="914">
        <v>2.859960834885609E-4</v>
      </c>
      <c r="C202" s="915">
        <f t="shared" si="2"/>
        <v>2.859960834885609E-4</v>
      </c>
      <c r="D202" s="1517"/>
      <c r="E202" s="2563"/>
    </row>
    <row r="203" spans="1:5">
      <c r="A203" s="252">
        <v>1985.02</v>
      </c>
      <c r="B203" s="914">
        <v>3.4519272102020342E-4</v>
      </c>
      <c r="C203" s="915">
        <f t="shared" si="2"/>
        <v>3.4519272102020342E-4</v>
      </c>
      <c r="D203" s="1517"/>
      <c r="E203" s="2563"/>
    </row>
    <row r="204" spans="1:5">
      <c r="A204" s="252">
        <v>1985.03</v>
      </c>
      <c r="B204" s="914">
        <v>4.3659550078807856E-4</v>
      </c>
      <c r="C204" s="915">
        <f t="shared" ref="C204:C267" si="3">B204</f>
        <v>4.3659550078807856E-4</v>
      </c>
      <c r="D204" s="1517"/>
      <c r="E204" s="2563"/>
    </row>
    <row r="205" spans="1:5">
      <c r="A205" s="252">
        <v>1985.04</v>
      </c>
      <c r="B205" s="914">
        <v>5.6528155896260206E-4</v>
      </c>
      <c r="C205" s="915">
        <f t="shared" si="3"/>
        <v>5.6528155896260206E-4</v>
      </c>
      <c r="D205" s="1517"/>
      <c r="E205" s="2563"/>
    </row>
    <row r="206" spans="1:5">
      <c r="A206" s="252">
        <v>1985.05</v>
      </c>
      <c r="B206" s="914">
        <v>7.0708315422457859E-4</v>
      </c>
      <c r="C206" s="915">
        <f t="shared" si="3"/>
        <v>7.0708315422457859E-4</v>
      </c>
      <c r="D206" s="1517"/>
      <c r="E206" s="2563"/>
    </row>
    <row r="207" spans="1:5">
      <c r="A207" s="252">
        <v>1985.06</v>
      </c>
      <c r="B207" s="914">
        <v>9.2299756412093426E-4</v>
      </c>
      <c r="C207" s="915">
        <f t="shared" si="3"/>
        <v>9.2299756412093426E-4</v>
      </c>
      <c r="D207" s="1517"/>
      <c r="E207" s="2563"/>
    </row>
    <row r="208" spans="1:5">
      <c r="A208" s="252">
        <v>1985.07</v>
      </c>
      <c r="B208" s="914">
        <v>9.801069876295553E-4</v>
      </c>
      <c r="C208" s="915">
        <f t="shared" si="3"/>
        <v>9.801069876295553E-4</v>
      </c>
      <c r="D208" s="1517"/>
      <c r="E208" s="2563"/>
    </row>
    <row r="209" spans="1:5">
      <c r="A209" s="252">
        <v>1985.08</v>
      </c>
      <c r="B209" s="914">
        <v>1.0102259158427662E-3</v>
      </c>
      <c r="C209" s="915">
        <f t="shared" si="3"/>
        <v>1.0102259158427662E-3</v>
      </c>
      <c r="D209" s="1517"/>
      <c r="E209" s="2563"/>
    </row>
    <row r="210" spans="1:5">
      <c r="A210" s="252">
        <v>1985.09</v>
      </c>
      <c r="B210" s="914">
        <v>1.0303577398863256E-3</v>
      </c>
      <c r="C210" s="915">
        <f t="shared" si="3"/>
        <v>1.0303577398863256E-3</v>
      </c>
      <c r="D210" s="1517"/>
      <c r="E210" s="2563"/>
    </row>
    <row r="211" spans="1:5">
      <c r="A211" s="252">
        <v>1985.1</v>
      </c>
      <c r="B211" s="914">
        <v>1.0503367244590915E-3</v>
      </c>
      <c r="C211" s="915">
        <f t="shared" si="3"/>
        <v>1.0503367244590915E-3</v>
      </c>
      <c r="D211" s="1517"/>
      <c r="E211" s="2563"/>
    </row>
    <row r="212" spans="1:5">
      <c r="A212" s="252">
        <v>1985.11</v>
      </c>
      <c r="B212" s="914">
        <v>1.0752400057314801E-3</v>
      </c>
      <c r="C212" s="915">
        <f t="shared" si="3"/>
        <v>1.0752400057314801E-3</v>
      </c>
      <c r="D212" s="1517"/>
      <c r="E212" s="2563"/>
    </row>
    <row r="213" spans="1:5">
      <c r="A213" s="252">
        <v>1985.12</v>
      </c>
      <c r="B213" s="914">
        <v>1.1093852987534029E-3</v>
      </c>
      <c r="C213" s="915">
        <f t="shared" si="3"/>
        <v>1.1093852987534029E-3</v>
      </c>
      <c r="D213" s="1517"/>
      <c r="E213" s="2563"/>
    </row>
    <row r="214" spans="1:5">
      <c r="A214" s="252">
        <v>1986.01</v>
      </c>
      <c r="B214" s="914">
        <v>1.1429335625925395E-3</v>
      </c>
      <c r="C214" s="915">
        <f t="shared" si="3"/>
        <v>1.1429335625925395E-3</v>
      </c>
      <c r="D214" s="1517"/>
      <c r="E214" s="2563"/>
    </row>
    <row r="215" spans="1:5">
      <c r="A215" s="252">
        <v>1986.02</v>
      </c>
      <c r="B215" s="914">
        <v>1.1623202942159811E-3</v>
      </c>
      <c r="C215" s="915">
        <f t="shared" si="3"/>
        <v>1.1623202942159811E-3</v>
      </c>
      <c r="D215" s="1517"/>
      <c r="E215" s="2563"/>
    </row>
    <row r="216" spans="1:5">
      <c r="A216" s="252">
        <v>1986.03</v>
      </c>
      <c r="B216" s="914">
        <v>1.216296508573339E-3</v>
      </c>
      <c r="C216" s="915">
        <f t="shared" si="3"/>
        <v>1.216296508573339E-3</v>
      </c>
      <c r="D216" s="1517"/>
      <c r="E216" s="2563"/>
    </row>
    <row r="217" spans="1:5">
      <c r="A217" s="252">
        <v>1986.04</v>
      </c>
      <c r="B217" s="914">
        <v>1.2738548980274157E-3</v>
      </c>
      <c r="C217" s="915">
        <f t="shared" si="3"/>
        <v>1.2738548980274157E-3</v>
      </c>
      <c r="D217" s="1517"/>
      <c r="E217" s="2563"/>
    </row>
    <row r="218" spans="1:5">
      <c r="A218" s="252">
        <v>1986.05</v>
      </c>
      <c r="B218" s="914">
        <v>1.3251468691789655E-3</v>
      </c>
      <c r="C218" s="915">
        <f t="shared" si="3"/>
        <v>1.3251468691789655E-3</v>
      </c>
      <c r="D218" s="1517"/>
      <c r="E218" s="2563"/>
    </row>
    <row r="219" spans="1:5">
      <c r="A219" s="252">
        <v>1986.06</v>
      </c>
      <c r="B219" s="914">
        <v>1.3853895018388501E-3</v>
      </c>
      <c r="C219" s="915">
        <f t="shared" si="3"/>
        <v>1.3853895018388501E-3</v>
      </c>
      <c r="D219" s="1517"/>
      <c r="E219" s="2563"/>
    </row>
    <row r="220" spans="1:5">
      <c r="A220" s="252">
        <v>1986.07</v>
      </c>
      <c r="B220" s="914">
        <v>1.4791803983378708E-3</v>
      </c>
      <c r="C220" s="915">
        <f t="shared" si="3"/>
        <v>1.4791803983378708E-3</v>
      </c>
      <c r="D220" s="1517"/>
      <c r="E220" s="2563"/>
    </row>
    <row r="221" spans="1:5">
      <c r="A221" s="252">
        <v>1986.08</v>
      </c>
      <c r="B221" s="914">
        <v>1.6090557386445048E-3</v>
      </c>
      <c r="C221" s="915">
        <f t="shared" si="3"/>
        <v>1.6090557386445048E-3</v>
      </c>
      <c r="D221" s="1517"/>
      <c r="E221" s="2563"/>
    </row>
    <row r="222" spans="1:5">
      <c r="A222" s="252">
        <v>1986.09</v>
      </c>
      <c r="B222" s="914">
        <v>1.7253617996847684E-3</v>
      </c>
      <c r="C222" s="915">
        <f t="shared" si="3"/>
        <v>1.7253617996847684E-3</v>
      </c>
      <c r="D222" s="1517"/>
      <c r="E222" s="2563"/>
    </row>
    <row r="223" spans="1:5">
      <c r="A223" s="252">
        <v>1986.1</v>
      </c>
      <c r="B223" s="914">
        <v>1.8298896690070211E-3</v>
      </c>
      <c r="C223" s="915">
        <f t="shared" si="3"/>
        <v>1.8298896690070211E-3</v>
      </c>
      <c r="D223" s="1517"/>
      <c r="E223" s="2563"/>
    </row>
    <row r="224" spans="1:5">
      <c r="A224" s="252">
        <v>1986.11</v>
      </c>
      <c r="B224" s="914">
        <v>1.9268089984238431E-3</v>
      </c>
      <c r="C224" s="915">
        <f t="shared" si="3"/>
        <v>1.9268089984238431E-3</v>
      </c>
      <c r="D224" s="1517"/>
      <c r="E224" s="2563"/>
    </row>
    <row r="225" spans="1:5">
      <c r="A225" s="252">
        <v>1986.12</v>
      </c>
      <c r="B225" s="914">
        <v>2.0180684911878491E-3</v>
      </c>
      <c r="C225" s="915">
        <f t="shared" si="3"/>
        <v>2.0180684911878491E-3</v>
      </c>
      <c r="D225" s="1517"/>
      <c r="E225" s="2563"/>
    </row>
    <row r="226" spans="1:5">
      <c r="A226" s="252">
        <v>1987.01</v>
      </c>
      <c r="B226" s="914">
        <v>2.1710369202846635E-3</v>
      </c>
      <c r="C226" s="915">
        <f t="shared" si="3"/>
        <v>2.1710369202846635E-3</v>
      </c>
      <c r="D226" s="1517"/>
      <c r="E226" s="2563"/>
    </row>
    <row r="227" spans="1:5">
      <c r="A227" s="252">
        <v>1987.02</v>
      </c>
      <c r="B227" s="914">
        <v>2.3112193724029229E-3</v>
      </c>
      <c r="C227" s="915">
        <f t="shared" si="3"/>
        <v>2.3112193724029229E-3</v>
      </c>
      <c r="D227" s="1517"/>
      <c r="E227" s="2563"/>
    </row>
    <row r="228" spans="1:5">
      <c r="A228" s="252">
        <v>1987.03</v>
      </c>
      <c r="B228" s="914">
        <v>2.5020776615560969E-3</v>
      </c>
      <c r="C228" s="915">
        <f t="shared" si="3"/>
        <v>2.5020776615560969E-3</v>
      </c>
      <c r="D228" s="1517"/>
      <c r="E228" s="2563"/>
    </row>
    <row r="229" spans="1:5">
      <c r="A229" s="252">
        <v>1987.04</v>
      </c>
      <c r="B229" s="914">
        <v>2.5855662224769545E-3</v>
      </c>
      <c r="C229" s="915">
        <f t="shared" si="3"/>
        <v>2.5855662224769545E-3</v>
      </c>
      <c r="D229" s="1517"/>
      <c r="E229" s="2563"/>
    </row>
    <row r="230" spans="1:5">
      <c r="A230" s="252">
        <v>1987.05</v>
      </c>
      <c r="B230" s="914">
        <v>2.6929359507092709E-3</v>
      </c>
      <c r="C230" s="915">
        <f t="shared" si="3"/>
        <v>2.6929359507092709E-3</v>
      </c>
      <c r="D230" s="1517"/>
      <c r="E230" s="2563"/>
    </row>
    <row r="231" spans="1:5">
      <c r="A231" s="252">
        <v>1987.06</v>
      </c>
      <c r="B231" s="914">
        <v>2.9091560395472131E-3</v>
      </c>
      <c r="C231" s="915">
        <f t="shared" si="3"/>
        <v>2.9091560395472131E-3</v>
      </c>
      <c r="D231" s="1517"/>
      <c r="E231" s="2563"/>
    </row>
    <row r="232" spans="1:5">
      <c r="A232" s="252">
        <v>1987.07</v>
      </c>
      <c r="B232" s="914">
        <v>3.2028943974781485E-3</v>
      </c>
      <c r="C232" s="915">
        <f t="shared" si="3"/>
        <v>3.2028943974781485E-3</v>
      </c>
      <c r="D232" s="1517"/>
      <c r="E232" s="2563"/>
    </row>
    <row r="233" spans="1:5">
      <c r="A233" s="252">
        <v>1987.08</v>
      </c>
      <c r="B233" s="914">
        <v>3.6427854993552082E-3</v>
      </c>
      <c r="C233" s="915">
        <f t="shared" si="3"/>
        <v>3.6427854993552082E-3</v>
      </c>
      <c r="D233" s="1517"/>
      <c r="E233" s="2563"/>
    </row>
    <row r="234" spans="1:5">
      <c r="A234" s="252">
        <v>1987.09</v>
      </c>
      <c r="B234" s="914">
        <v>4.067726990495295E-3</v>
      </c>
      <c r="C234" s="915">
        <f t="shared" si="3"/>
        <v>4.067726990495295E-3</v>
      </c>
      <c r="D234" s="1517"/>
      <c r="E234" s="2563"/>
    </row>
    <row r="235" spans="1:5">
      <c r="A235" s="252">
        <v>1987.1</v>
      </c>
      <c r="B235" s="914">
        <v>4.8640206333285573E-3</v>
      </c>
      <c r="C235" s="915">
        <f t="shared" si="3"/>
        <v>4.8640206333285573E-3</v>
      </c>
      <c r="D235" s="1517"/>
      <c r="E235" s="2563"/>
    </row>
    <row r="236" spans="1:5">
      <c r="A236" s="252">
        <v>1987.11</v>
      </c>
      <c r="B236" s="914">
        <v>5.3635191288150157E-3</v>
      </c>
      <c r="C236" s="915">
        <f t="shared" si="3"/>
        <v>5.3635191288150157E-3</v>
      </c>
      <c r="D236" s="1517"/>
      <c r="E236" s="2563"/>
    </row>
    <row r="237" spans="1:5">
      <c r="A237" s="252">
        <v>1987.12</v>
      </c>
      <c r="B237" s="914">
        <v>5.5454458613937042E-3</v>
      </c>
      <c r="C237" s="915">
        <f t="shared" si="3"/>
        <v>5.5454458613937042E-3</v>
      </c>
      <c r="D237" s="1517"/>
      <c r="E237" s="2563"/>
    </row>
    <row r="238" spans="1:5">
      <c r="A238" s="252">
        <v>1988.01</v>
      </c>
      <c r="B238" s="914">
        <v>6.0495773033385864E-3</v>
      </c>
      <c r="C238" s="915">
        <f t="shared" si="3"/>
        <v>6.0495773033385864E-3</v>
      </c>
      <c r="D238" s="1517"/>
      <c r="E238" s="2563"/>
    </row>
    <row r="239" spans="1:5">
      <c r="A239" s="252">
        <v>1988.02</v>
      </c>
      <c r="B239" s="914">
        <v>6.680040120361083E-3</v>
      </c>
      <c r="C239" s="915">
        <f t="shared" si="3"/>
        <v>6.680040120361083E-3</v>
      </c>
      <c r="D239" s="1517"/>
      <c r="E239" s="2563"/>
    </row>
    <row r="240" spans="1:5">
      <c r="A240" s="252">
        <v>1988.03</v>
      </c>
      <c r="B240" s="914">
        <v>7.6658547069780765E-3</v>
      </c>
      <c r="C240" s="915">
        <f t="shared" si="3"/>
        <v>7.6658547069780765E-3</v>
      </c>
      <c r="D240" s="1517"/>
      <c r="E240" s="2563"/>
    </row>
    <row r="241" spans="1:5">
      <c r="A241" s="252">
        <v>1988.04</v>
      </c>
      <c r="B241" s="914">
        <v>8.986960882647943E-3</v>
      </c>
      <c r="C241" s="915">
        <f t="shared" si="3"/>
        <v>8.986960882647943E-3</v>
      </c>
      <c r="D241" s="1517"/>
      <c r="E241" s="2563"/>
    </row>
    <row r="242" spans="1:5">
      <c r="A242" s="252">
        <v>1988.05</v>
      </c>
      <c r="B242" s="914">
        <v>1.0398815494101352E-2</v>
      </c>
      <c r="C242" s="915">
        <f t="shared" si="3"/>
        <v>1.0398815494101352E-2</v>
      </c>
      <c r="D242" s="1517"/>
      <c r="E242" s="2563"/>
    </row>
    <row r="243" spans="1:5">
      <c r="A243" s="252">
        <v>1988.06</v>
      </c>
      <c r="B243" s="914">
        <v>1.2267278024549839E-2</v>
      </c>
      <c r="C243" s="915">
        <f t="shared" si="3"/>
        <v>1.2267278024549839E-2</v>
      </c>
      <c r="D243" s="1517"/>
      <c r="E243" s="2563"/>
    </row>
    <row r="244" spans="1:5">
      <c r="A244" s="252">
        <v>1988.07</v>
      </c>
      <c r="B244" s="914">
        <v>1.5413383006161342E-2</v>
      </c>
      <c r="C244" s="915">
        <f t="shared" si="3"/>
        <v>1.5413383006161342E-2</v>
      </c>
      <c r="D244" s="1517"/>
      <c r="E244" s="2563"/>
    </row>
    <row r="245" spans="1:5">
      <c r="A245" s="252">
        <v>1988.08</v>
      </c>
      <c r="B245" s="914">
        <v>1.9670917514448105E-2</v>
      </c>
      <c r="C245" s="915">
        <f t="shared" si="3"/>
        <v>1.9670917514448105E-2</v>
      </c>
      <c r="D245" s="1517"/>
      <c r="E245" s="2563"/>
    </row>
    <row r="246" spans="1:5">
      <c r="A246" s="252">
        <v>1988.09</v>
      </c>
      <c r="B246" s="914">
        <v>2.1971629173233986E-2</v>
      </c>
      <c r="C246" s="915">
        <f t="shared" si="3"/>
        <v>2.1971629173233986E-2</v>
      </c>
      <c r="D246" s="1517"/>
      <c r="E246" s="2563"/>
    </row>
    <row r="247" spans="1:5">
      <c r="A247" s="252">
        <v>1988.1</v>
      </c>
      <c r="B247" s="914">
        <v>2.3947079333237808E-2</v>
      </c>
      <c r="C247" s="915">
        <f t="shared" si="3"/>
        <v>2.3947079333237808E-2</v>
      </c>
      <c r="D247" s="1517"/>
      <c r="E247" s="2563"/>
    </row>
    <row r="248" spans="1:5">
      <c r="A248" s="252">
        <v>1988.11</v>
      </c>
      <c r="B248" s="914">
        <v>2.5314514973491905E-2</v>
      </c>
      <c r="C248" s="915">
        <f t="shared" si="3"/>
        <v>2.5314514973491905E-2</v>
      </c>
      <c r="D248" s="1517"/>
      <c r="E248" s="2563"/>
    </row>
    <row r="249" spans="1:5">
      <c r="A249" s="252">
        <v>1988.12</v>
      </c>
      <c r="B249" s="914">
        <v>2.7047332473611307E-2</v>
      </c>
      <c r="C249" s="915">
        <f t="shared" si="3"/>
        <v>2.7047332473611307E-2</v>
      </c>
      <c r="D249" s="1517"/>
      <c r="E249" s="2563"/>
    </row>
    <row r="250" spans="1:5">
      <c r="A250" s="252">
        <v>1989.01</v>
      </c>
      <c r="B250" s="914">
        <v>2.9459807995414814E-2</v>
      </c>
      <c r="C250" s="915">
        <f t="shared" si="3"/>
        <v>2.9459807995414814E-2</v>
      </c>
      <c r="D250" s="1517"/>
      <c r="E250" s="2563"/>
    </row>
    <row r="251" spans="1:5">
      <c r="A251" s="252">
        <v>1989.02</v>
      </c>
      <c r="B251" s="914">
        <v>3.2285427711706546E-2</v>
      </c>
      <c r="C251" s="915">
        <f t="shared" si="3"/>
        <v>3.2285427711706546E-2</v>
      </c>
      <c r="D251" s="1517"/>
      <c r="E251" s="2563"/>
    </row>
    <row r="252" spans="1:5">
      <c r="A252" s="252">
        <v>1989.03</v>
      </c>
      <c r="B252" s="914">
        <v>3.7775708076610785E-2</v>
      </c>
      <c r="C252" s="915">
        <f t="shared" si="3"/>
        <v>3.7775708076610785E-2</v>
      </c>
      <c r="D252" s="1517"/>
      <c r="E252" s="2563"/>
    </row>
    <row r="253" spans="1:5">
      <c r="A253" s="252">
        <v>1989.04</v>
      </c>
      <c r="B253" s="914">
        <v>5.0381621053637103E-2</v>
      </c>
      <c r="C253" s="915">
        <f t="shared" si="3"/>
        <v>5.0381621053637103E-2</v>
      </c>
      <c r="D253" s="1517"/>
      <c r="E253" s="2563"/>
    </row>
    <row r="254" spans="1:5">
      <c r="A254" s="252">
        <v>1989.05</v>
      </c>
      <c r="B254" s="914">
        <v>8.991546066771744E-2</v>
      </c>
      <c r="C254" s="915">
        <f t="shared" si="3"/>
        <v>8.991546066771744E-2</v>
      </c>
      <c r="D254" s="1517"/>
      <c r="E254" s="2563"/>
    </row>
    <row r="255" spans="1:5">
      <c r="A255" s="252">
        <v>1989.06</v>
      </c>
      <c r="B255" s="914">
        <v>0.19284376940344844</v>
      </c>
      <c r="C255" s="915">
        <f t="shared" si="3"/>
        <v>0.19284376940344844</v>
      </c>
      <c r="D255" s="1517"/>
      <c r="E255" s="2563"/>
    </row>
    <row r="256" spans="1:5">
      <c r="A256" s="252">
        <v>1989.07</v>
      </c>
      <c r="B256" s="914">
        <v>0.57203992931174485</v>
      </c>
      <c r="C256" s="915">
        <f t="shared" si="3"/>
        <v>0.57203992931174485</v>
      </c>
      <c r="D256" s="1517"/>
      <c r="E256" s="2563"/>
    </row>
    <row r="257" spans="1:5">
      <c r="A257" s="252">
        <v>1989.08</v>
      </c>
      <c r="B257" s="914">
        <v>0.78862205664612883</v>
      </c>
      <c r="C257" s="915">
        <f t="shared" si="3"/>
        <v>0.78862205664612883</v>
      </c>
      <c r="D257" s="1517"/>
      <c r="E257" s="2563"/>
    </row>
    <row r="258" spans="1:5">
      <c r="A258" s="252">
        <v>1989.09</v>
      </c>
      <c r="B258" s="914">
        <v>0.86240053493814772</v>
      </c>
      <c r="C258" s="915">
        <f t="shared" si="3"/>
        <v>0.86240053493814772</v>
      </c>
      <c r="D258" s="1517"/>
      <c r="E258" s="2563"/>
    </row>
    <row r="259" spans="1:5">
      <c r="A259" s="252">
        <v>1989.1</v>
      </c>
      <c r="B259" s="914">
        <v>0.91065434398433387</v>
      </c>
      <c r="C259" s="915">
        <f t="shared" si="3"/>
        <v>0.91065434398433387</v>
      </c>
      <c r="D259" s="1517"/>
      <c r="E259" s="2563"/>
    </row>
    <row r="260" spans="1:5">
      <c r="A260" s="252">
        <v>1989.11</v>
      </c>
      <c r="B260" s="914">
        <v>0.97002006018054154</v>
      </c>
      <c r="C260" s="915">
        <f t="shared" si="3"/>
        <v>0.97002006018054154</v>
      </c>
      <c r="D260" s="1517"/>
      <c r="E260" s="2563"/>
    </row>
    <row r="261" spans="1:5">
      <c r="A261" s="252">
        <v>1989.12</v>
      </c>
      <c r="B261" s="914">
        <v>1.3587357310025314</v>
      </c>
      <c r="C261" s="915">
        <f t="shared" si="3"/>
        <v>1.3587357310025314</v>
      </c>
      <c r="D261" s="1517"/>
      <c r="E261" s="2563"/>
    </row>
    <row r="262" spans="1:5">
      <c r="A262" s="252">
        <v>1990.01</v>
      </c>
      <c r="B262" s="914">
        <v>2.4349238190762761</v>
      </c>
      <c r="C262" s="915">
        <f t="shared" si="3"/>
        <v>2.4349238190762761</v>
      </c>
      <c r="D262" s="1517"/>
      <c r="E262" s="2563"/>
    </row>
    <row r="263" spans="1:5">
      <c r="A263" s="252">
        <v>1990.02</v>
      </c>
      <c r="B263" s="914">
        <v>3.9340879782203757</v>
      </c>
      <c r="C263" s="915">
        <f t="shared" si="3"/>
        <v>3.9340879782203757</v>
      </c>
      <c r="D263" s="1517"/>
      <c r="E263" s="2563"/>
    </row>
    <row r="264" spans="1:5">
      <c r="A264" s="252">
        <v>1990.03</v>
      </c>
      <c r="B264" s="914">
        <v>7.6922195156899269</v>
      </c>
      <c r="C264" s="915">
        <f t="shared" si="3"/>
        <v>7.6922195156899269</v>
      </c>
      <c r="D264" s="1517"/>
      <c r="E264" s="2563"/>
    </row>
    <row r="265" spans="1:5">
      <c r="A265" s="252">
        <v>1990.04</v>
      </c>
      <c r="B265" s="914">
        <v>8.5669866743086391</v>
      </c>
      <c r="C265" s="915">
        <f t="shared" si="3"/>
        <v>8.5669866743086391</v>
      </c>
      <c r="D265" s="1517"/>
      <c r="E265" s="2563"/>
    </row>
    <row r="266" spans="1:5">
      <c r="A266" s="252">
        <v>1990.05</v>
      </c>
      <c r="B266" s="914">
        <v>9.7327697377847819</v>
      </c>
      <c r="C266" s="915">
        <f t="shared" si="3"/>
        <v>9.7327697377847819</v>
      </c>
      <c r="D266" s="1517"/>
      <c r="E266" s="2563"/>
    </row>
    <row r="267" spans="1:5">
      <c r="A267" s="252">
        <v>1990.06</v>
      </c>
      <c r="B267" s="914">
        <v>11.085399054305773</v>
      </c>
      <c r="C267" s="915">
        <f t="shared" si="3"/>
        <v>11.085399054305773</v>
      </c>
      <c r="D267" s="1517"/>
      <c r="E267" s="2563"/>
    </row>
    <row r="268" spans="1:5">
      <c r="A268" s="252">
        <v>1990.07</v>
      </c>
      <c r="B268" s="914">
        <v>12.285427711706548</v>
      </c>
      <c r="C268" s="915">
        <f t="shared" ref="C268:C331" si="4">B268</f>
        <v>12.285427711706548</v>
      </c>
      <c r="D268" s="1517"/>
      <c r="E268" s="2563"/>
    </row>
    <row r="269" spans="1:5">
      <c r="A269" s="252">
        <v>1990.08</v>
      </c>
      <c r="B269" s="914">
        <v>14.169747337249843</v>
      </c>
      <c r="C269" s="915">
        <f t="shared" si="4"/>
        <v>14.169747337249843</v>
      </c>
      <c r="D269" s="1517"/>
      <c r="E269" s="2563"/>
    </row>
    <row r="270" spans="1:5">
      <c r="A270" s="252">
        <v>1990.09</v>
      </c>
      <c r="B270" s="914">
        <v>16.391173520561683</v>
      </c>
      <c r="C270" s="915">
        <f t="shared" si="4"/>
        <v>16.391173520561683</v>
      </c>
      <c r="D270" s="1517"/>
      <c r="E270" s="2563"/>
    </row>
    <row r="271" spans="1:5">
      <c r="A271" s="252">
        <v>1990.1</v>
      </c>
      <c r="B271" s="914">
        <v>17.651717055929694</v>
      </c>
      <c r="C271" s="915">
        <f t="shared" si="4"/>
        <v>17.651717055929694</v>
      </c>
      <c r="D271" s="1517"/>
      <c r="E271" s="2563"/>
    </row>
    <row r="272" spans="1:5">
      <c r="A272" s="252">
        <v>1990.11</v>
      </c>
      <c r="B272" s="914">
        <v>18.742704303386347</v>
      </c>
      <c r="C272" s="915">
        <f t="shared" si="4"/>
        <v>18.742704303386347</v>
      </c>
      <c r="D272" s="1517"/>
      <c r="E272" s="2563"/>
    </row>
    <row r="273" spans="1:6">
      <c r="A273" s="252">
        <v>1990.12</v>
      </c>
      <c r="B273" s="914">
        <v>19.61919090605149</v>
      </c>
      <c r="C273" s="915">
        <f t="shared" si="4"/>
        <v>19.61919090605149</v>
      </c>
      <c r="D273" s="1517"/>
      <c r="E273" s="2563"/>
    </row>
    <row r="274" spans="1:6">
      <c r="A274" s="252">
        <v>1991.01</v>
      </c>
      <c r="B274" s="914">
        <v>21.12957921383197</v>
      </c>
      <c r="C274" s="915">
        <f t="shared" si="4"/>
        <v>21.12957921383197</v>
      </c>
      <c r="D274" s="1517"/>
      <c r="E274" s="2563"/>
      <c r="F274" s="512"/>
    </row>
    <row r="275" spans="1:6">
      <c r="A275" s="252">
        <v>1991.02</v>
      </c>
      <c r="B275" s="914">
        <v>26.83254525481205</v>
      </c>
      <c r="C275" s="915">
        <f t="shared" si="4"/>
        <v>26.83254525481205</v>
      </c>
      <c r="D275" s="1517"/>
      <c r="E275" s="2563"/>
      <c r="F275" s="512"/>
    </row>
    <row r="276" spans="1:6">
      <c r="A276" s="252">
        <v>1991.03</v>
      </c>
      <c r="B276" s="914">
        <v>29.795481683144676</v>
      </c>
      <c r="C276" s="915">
        <f t="shared" si="4"/>
        <v>29.795481683144676</v>
      </c>
      <c r="D276" s="1517"/>
      <c r="E276" s="2563"/>
      <c r="F276" s="512"/>
    </row>
    <row r="277" spans="1:6">
      <c r="A277" s="252">
        <v>1991.04</v>
      </c>
      <c r="B277" s="914">
        <v>31.437359698142046</v>
      </c>
      <c r="C277" s="915">
        <f t="shared" si="4"/>
        <v>31.437359698142046</v>
      </c>
      <c r="D277" s="1517"/>
      <c r="E277" s="2563"/>
      <c r="F277" s="512"/>
    </row>
    <row r="278" spans="1:6">
      <c r="A278" s="252">
        <v>1991.05</v>
      </c>
      <c r="B278" s="914">
        <v>32.319052395281076</v>
      </c>
      <c r="C278" s="915">
        <f t="shared" si="4"/>
        <v>32.319052395281076</v>
      </c>
      <c r="D278" s="1517"/>
      <c r="E278" s="2563"/>
      <c r="F278" s="512"/>
    </row>
    <row r="279" spans="1:6">
      <c r="A279" s="252">
        <v>1991.06</v>
      </c>
      <c r="B279" s="914">
        <v>33.328604862205665</v>
      </c>
      <c r="C279" s="915">
        <f t="shared" si="4"/>
        <v>33.328604862205665</v>
      </c>
      <c r="D279" s="1517"/>
      <c r="E279" s="2563"/>
      <c r="F279" s="512"/>
    </row>
    <row r="280" spans="1:6">
      <c r="A280" s="252">
        <v>1991.07</v>
      </c>
      <c r="B280" s="914">
        <v>34.192147872187988</v>
      </c>
      <c r="C280" s="915">
        <f t="shared" si="4"/>
        <v>34.192147872187988</v>
      </c>
      <c r="D280" s="1517"/>
      <c r="E280" s="2563"/>
      <c r="F280" s="512"/>
    </row>
    <row r="281" spans="1:6">
      <c r="A281" s="252">
        <v>1991.08</v>
      </c>
      <c r="B281" s="914">
        <v>34.636958494531214</v>
      </c>
      <c r="C281" s="915">
        <f t="shared" si="4"/>
        <v>34.636958494531214</v>
      </c>
      <c r="D281" s="1517"/>
      <c r="E281" s="2563"/>
      <c r="F281" s="512"/>
    </row>
    <row r="282" spans="1:6">
      <c r="A282" s="252">
        <v>1991.09</v>
      </c>
      <c r="B282" s="914">
        <v>35.248794001050769</v>
      </c>
      <c r="C282" s="915">
        <f t="shared" si="4"/>
        <v>35.248794001050769</v>
      </c>
      <c r="D282" s="1517"/>
      <c r="E282" s="2563"/>
      <c r="F282" s="512"/>
    </row>
    <row r="283" spans="1:6">
      <c r="A283" s="252">
        <v>1991.1</v>
      </c>
      <c r="B283" s="914">
        <v>35.724936714906633</v>
      </c>
      <c r="C283" s="915">
        <f t="shared" si="4"/>
        <v>35.724936714906633</v>
      </c>
      <c r="D283" s="1517"/>
      <c r="E283" s="2563"/>
      <c r="F283" s="512"/>
    </row>
    <row r="284" spans="1:6">
      <c r="A284" s="252">
        <v>1991.11</v>
      </c>
      <c r="B284" s="914">
        <v>35.863877346324685</v>
      </c>
      <c r="C284" s="915">
        <f t="shared" si="4"/>
        <v>35.863877346324685</v>
      </c>
      <c r="D284" s="1517"/>
      <c r="E284" s="2563"/>
      <c r="F284" s="512"/>
    </row>
    <row r="285" spans="1:6">
      <c r="A285" s="252">
        <v>1991.12</v>
      </c>
      <c r="B285" s="914">
        <v>36.096718727611403</v>
      </c>
      <c r="C285" s="915">
        <f t="shared" si="4"/>
        <v>36.096718727611403</v>
      </c>
      <c r="D285" s="1517"/>
      <c r="E285" s="2563"/>
      <c r="F285" s="512"/>
    </row>
    <row r="286" spans="1:6">
      <c r="A286" s="252">
        <v>1992.01</v>
      </c>
      <c r="B286" s="914">
        <v>37.19501361226537</v>
      </c>
      <c r="C286" s="915">
        <f t="shared" si="4"/>
        <v>37.19501361226537</v>
      </c>
      <c r="D286" s="1517"/>
      <c r="E286" s="2563"/>
      <c r="F286" s="512"/>
    </row>
    <row r="287" spans="1:6">
      <c r="A287" s="252">
        <v>1992.02</v>
      </c>
      <c r="B287" s="914">
        <v>37.996226775564793</v>
      </c>
      <c r="C287" s="915">
        <f t="shared" si="4"/>
        <v>37.996226775564793</v>
      </c>
      <c r="D287" s="1517"/>
      <c r="E287" s="2563"/>
      <c r="F287" s="512"/>
    </row>
    <row r="288" spans="1:6">
      <c r="A288" s="252">
        <v>1992.03</v>
      </c>
      <c r="B288" s="914">
        <v>38.794001050771357</v>
      </c>
      <c r="C288" s="915">
        <f t="shared" si="4"/>
        <v>38.794001050771357</v>
      </c>
      <c r="D288" s="1517"/>
      <c r="E288" s="2563"/>
      <c r="F288" s="512"/>
    </row>
    <row r="289" spans="1:6">
      <c r="A289" s="252">
        <v>1992.04</v>
      </c>
      <c r="B289" s="914">
        <v>39.293165209915458</v>
      </c>
      <c r="C289" s="915">
        <f t="shared" si="4"/>
        <v>39.293165209915458</v>
      </c>
      <c r="D289" s="1517"/>
      <c r="E289" s="2563"/>
      <c r="F289" s="512"/>
    </row>
    <row r="290" spans="1:6">
      <c r="A290" s="252">
        <v>1992.05</v>
      </c>
      <c r="B290" s="914">
        <v>39.557625256722545</v>
      </c>
      <c r="C290" s="915">
        <f t="shared" si="4"/>
        <v>39.557625256722545</v>
      </c>
      <c r="D290" s="1517"/>
      <c r="E290" s="2563"/>
      <c r="F290" s="512"/>
    </row>
    <row r="291" spans="1:6">
      <c r="A291" s="252">
        <v>1992.06</v>
      </c>
      <c r="B291" s="914">
        <v>39.867793857763765</v>
      </c>
      <c r="C291" s="915">
        <f t="shared" si="4"/>
        <v>39.867793857763765</v>
      </c>
      <c r="D291" s="1517"/>
      <c r="E291" s="2563"/>
      <c r="F291" s="512"/>
    </row>
    <row r="292" spans="1:6">
      <c r="A292" s="252">
        <v>1992.07</v>
      </c>
      <c r="B292" s="914">
        <v>40.557004346372452</v>
      </c>
      <c r="C292" s="915">
        <f t="shared" si="4"/>
        <v>40.557004346372452</v>
      </c>
      <c r="D292" s="1517"/>
      <c r="E292" s="2563"/>
      <c r="F292" s="512"/>
    </row>
    <row r="293" spans="1:6">
      <c r="A293" s="252">
        <v>1992.08</v>
      </c>
      <c r="B293" s="914">
        <v>41.164015857095102</v>
      </c>
      <c r="C293" s="915">
        <f t="shared" si="4"/>
        <v>41.164015857095102</v>
      </c>
      <c r="D293" s="1517"/>
      <c r="E293" s="2563"/>
      <c r="F293" s="512"/>
    </row>
    <row r="294" spans="1:6">
      <c r="A294" s="252">
        <v>1992.09</v>
      </c>
      <c r="B294" s="914">
        <v>41.589578258585277</v>
      </c>
      <c r="C294" s="915">
        <f t="shared" si="4"/>
        <v>41.589578258585277</v>
      </c>
      <c r="D294" s="1517"/>
      <c r="E294" s="2563"/>
      <c r="F294" s="512"/>
    </row>
    <row r="295" spans="1:6">
      <c r="A295" s="252">
        <v>1992.1</v>
      </c>
      <c r="B295" s="914">
        <v>42.116062473133688</v>
      </c>
      <c r="C295" s="915">
        <f t="shared" si="4"/>
        <v>42.116062473133688</v>
      </c>
      <c r="D295" s="1517"/>
      <c r="E295" s="2563"/>
      <c r="F295" s="512"/>
    </row>
    <row r="296" spans="1:6">
      <c r="A296" s="252">
        <v>1992.11</v>
      </c>
      <c r="B296" s="914">
        <v>42.310168601041219</v>
      </c>
      <c r="C296" s="915">
        <f t="shared" si="4"/>
        <v>42.310168601041219</v>
      </c>
      <c r="D296" s="1517"/>
      <c r="E296" s="2563"/>
      <c r="F296" s="512"/>
    </row>
    <row r="297" spans="1:6">
      <c r="A297" s="252">
        <v>1992.12</v>
      </c>
      <c r="B297" s="914">
        <v>42.430195347948604</v>
      </c>
      <c r="C297" s="915">
        <f t="shared" si="4"/>
        <v>42.430195347948604</v>
      </c>
      <c r="D297" s="1517"/>
      <c r="E297" s="2563"/>
      <c r="F297" s="512"/>
    </row>
    <row r="298" spans="1:6">
      <c r="A298" s="252">
        <v>1993.01</v>
      </c>
      <c r="B298" s="914">
        <v>42.78339781248507</v>
      </c>
      <c r="C298" s="915">
        <f t="shared" si="4"/>
        <v>42.78339781248507</v>
      </c>
      <c r="D298" s="1517"/>
      <c r="E298" s="2563"/>
      <c r="F298" s="512"/>
    </row>
    <row r="299" spans="1:6">
      <c r="A299" s="252">
        <v>1993.02</v>
      </c>
      <c r="B299" s="914">
        <v>43.095906767922813</v>
      </c>
      <c r="C299" s="915">
        <f t="shared" si="4"/>
        <v>43.095906767922813</v>
      </c>
      <c r="D299" s="1517"/>
      <c r="E299" s="2563"/>
      <c r="F299" s="512"/>
    </row>
    <row r="300" spans="1:6">
      <c r="A300" s="252">
        <v>1993.03</v>
      </c>
      <c r="B300" s="914">
        <v>43.419926446004681</v>
      </c>
      <c r="C300" s="915">
        <f t="shared" si="4"/>
        <v>43.419926446004681</v>
      </c>
      <c r="D300" s="1517"/>
      <c r="E300" s="2563"/>
      <c r="F300" s="512"/>
    </row>
    <row r="301" spans="1:6">
      <c r="A301" s="252">
        <v>1993.04</v>
      </c>
      <c r="B301" s="914">
        <v>43.873811911926254</v>
      </c>
      <c r="C301" s="915">
        <f t="shared" si="4"/>
        <v>43.873811911926254</v>
      </c>
      <c r="D301" s="1517"/>
      <c r="E301" s="2563"/>
      <c r="F301" s="512"/>
    </row>
    <row r="302" spans="1:6">
      <c r="A302" s="252">
        <v>1993.05</v>
      </c>
      <c r="B302" s="914">
        <v>44.438267182499878</v>
      </c>
      <c r="C302" s="915">
        <f t="shared" si="4"/>
        <v>44.438267182499878</v>
      </c>
      <c r="D302" s="1517"/>
      <c r="E302" s="2563"/>
      <c r="F302" s="512"/>
    </row>
    <row r="303" spans="1:6">
      <c r="A303" s="252">
        <v>1993.06</v>
      </c>
      <c r="B303" s="914">
        <v>44.757892725796431</v>
      </c>
      <c r="C303" s="915">
        <f t="shared" si="4"/>
        <v>44.757892725796431</v>
      </c>
      <c r="D303" s="1517"/>
      <c r="E303" s="2563"/>
      <c r="F303" s="512"/>
    </row>
    <row r="304" spans="1:6">
      <c r="A304" s="252">
        <v>1993.07</v>
      </c>
      <c r="B304" s="914">
        <v>44.90189616468453</v>
      </c>
      <c r="C304" s="915">
        <f t="shared" si="4"/>
        <v>44.90189616468453</v>
      </c>
      <c r="D304" s="1517"/>
      <c r="E304" s="2563"/>
      <c r="F304" s="512"/>
    </row>
    <row r="305" spans="1:6">
      <c r="A305" s="252">
        <v>1993.08</v>
      </c>
      <c r="B305" s="914">
        <v>44.909060514877972</v>
      </c>
      <c r="C305" s="915">
        <f t="shared" si="4"/>
        <v>44.909060514877972</v>
      </c>
      <c r="D305" s="1517"/>
      <c r="E305" s="2563"/>
      <c r="F305" s="512"/>
    </row>
    <row r="306" spans="1:6">
      <c r="A306" s="252">
        <v>1993.09</v>
      </c>
      <c r="B306" s="914">
        <v>45.279170845870951</v>
      </c>
      <c r="C306" s="915">
        <f t="shared" si="4"/>
        <v>45.279170845870951</v>
      </c>
      <c r="D306" s="1517"/>
      <c r="E306" s="2563"/>
      <c r="F306" s="512"/>
    </row>
    <row r="307" spans="1:6">
      <c r="A307" s="252">
        <v>1993.1</v>
      </c>
      <c r="B307" s="914">
        <v>45.535129197115154</v>
      </c>
      <c r="C307" s="915">
        <f t="shared" si="4"/>
        <v>45.535129197115154</v>
      </c>
      <c r="D307" s="1517"/>
      <c r="E307" s="2563"/>
      <c r="F307" s="512"/>
    </row>
    <row r="308" spans="1:6">
      <c r="A308" s="252">
        <v>1993.11</v>
      </c>
      <c r="B308" s="914">
        <v>45.561159669484645</v>
      </c>
      <c r="C308" s="915">
        <f t="shared" si="4"/>
        <v>45.561159669484645</v>
      </c>
      <c r="D308" s="1517"/>
      <c r="E308" s="2563"/>
      <c r="F308" s="512"/>
    </row>
    <row r="309" spans="1:6">
      <c r="A309" s="252">
        <v>1993.12</v>
      </c>
      <c r="B309" s="914">
        <v>45.555189377656781</v>
      </c>
      <c r="C309" s="915">
        <f t="shared" si="4"/>
        <v>45.555189377656781</v>
      </c>
      <c r="D309" s="1517"/>
      <c r="E309" s="2563"/>
      <c r="F309" s="512"/>
    </row>
    <row r="310" spans="1:6">
      <c r="A310" s="252">
        <v>1994.01</v>
      </c>
      <c r="B310" s="914">
        <v>45.601041218894785</v>
      </c>
      <c r="C310" s="915">
        <f t="shared" si="4"/>
        <v>45.601041218894785</v>
      </c>
      <c r="D310" s="1517"/>
      <c r="E310" s="2563"/>
      <c r="F310" s="512"/>
    </row>
    <row r="311" spans="1:6">
      <c r="A311" s="252">
        <v>1994.02</v>
      </c>
      <c r="B311" s="914">
        <v>45.599417299517604</v>
      </c>
      <c r="C311" s="915">
        <f t="shared" si="4"/>
        <v>45.599417299517604</v>
      </c>
      <c r="D311" s="1517"/>
      <c r="E311" s="2563"/>
      <c r="F311" s="512"/>
    </row>
    <row r="312" spans="1:6">
      <c r="A312" s="252">
        <v>1994.03</v>
      </c>
      <c r="B312" s="914">
        <v>45.662988966900706</v>
      </c>
      <c r="C312" s="915">
        <f t="shared" si="4"/>
        <v>45.662988966900706</v>
      </c>
      <c r="D312" s="1517"/>
      <c r="E312" s="2563"/>
      <c r="F312" s="512"/>
    </row>
    <row r="313" spans="1:6">
      <c r="A313" s="252">
        <v>1994.04</v>
      </c>
      <c r="B313" s="914">
        <v>45.774131919568227</v>
      </c>
      <c r="C313" s="915">
        <f t="shared" si="4"/>
        <v>45.774131919568227</v>
      </c>
      <c r="D313" s="1517"/>
      <c r="E313" s="2563"/>
      <c r="F313" s="512"/>
    </row>
    <row r="314" spans="1:6">
      <c r="A314" s="252">
        <v>1994.05</v>
      </c>
      <c r="B314" s="914">
        <v>45.93279839518555</v>
      </c>
      <c r="C314" s="915">
        <f t="shared" si="4"/>
        <v>45.93279839518555</v>
      </c>
      <c r="D314" s="1517"/>
      <c r="E314" s="2563"/>
      <c r="F314" s="512"/>
    </row>
    <row r="315" spans="1:6">
      <c r="A315" s="252">
        <v>1994.06</v>
      </c>
      <c r="B315" s="914">
        <v>46.110569804652052</v>
      </c>
      <c r="C315" s="915">
        <f t="shared" si="4"/>
        <v>46.110569804652052</v>
      </c>
      <c r="D315" s="1517"/>
      <c r="E315" s="2563"/>
      <c r="F315" s="512"/>
    </row>
    <row r="316" spans="1:6">
      <c r="A316" s="252">
        <v>1994.07</v>
      </c>
      <c r="B316" s="914">
        <v>46.536275493146107</v>
      </c>
      <c r="C316" s="915">
        <f t="shared" si="4"/>
        <v>46.536275493146107</v>
      </c>
      <c r="D316" s="1517"/>
      <c r="E316" s="2563"/>
      <c r="F316" s="512"/>
    </row>
    <row r="317" spans="1:6">
      <c r="A317" s="252">
        <v>1994.08</v>
      </c>
      <c r="B317" s="914">
        <v>46.632277785738168</v>
      </c>
      <c r="C317" s="915">
        <f t="shared" si="4"/>
        <v>46.632277785738168</v>
      </c>
      <c r="D317" s="1517"/>
      <c r="E317" s="2563"/>
      <c r="F317" s="512"/>
    </row>
    <row r="318" spans="1:6">
      <c r="A318" s="252">
        <v>1994.09</v>
      </c>
      <c r="B318" s="914">
        <v>46.951425705688493</v>
      </c>
      <c r="C318" s="915">
        <f t="shared" si="4"/>
        <v>46.951425705688493</v>
      </c>
      <c r="D318" s="1517"/>
      <c r="E318" s="2563"/>
      <c r="F318" s="512"/>
    </row>
    <row r="319" spans="1:6">
      <c r="A319" s="252">
        <v>1994.1</v>
      </c>
      <c r="B319" s="914">
        <v>47.101877059750677</v>
      </c>
      <c r="C319" s="915">
        <f t="shared" si="4"/>
        <v>47.101877059750677</v>
      </c>
      <c r="D319" s="1517"/>
      <c r="E319" s="2563"/>
      <c r="F319" s="512"/>
    </row>
    <row r="320" spans="1:6">
      <c r="A320" s="252">
        <v>1994.11</v>
      </c>
      <c r="B320" s="914">
        <v>47.208387065959784</v>
      </c>
      <c r="C320" s="915">
        <f t="shared" si="4"/>
        <v>47.208387065959784</v>
      </c>
      <c r="D320" s="1517"/>
      <c r="E320" s="2563"/>
      <c r="F320" s="512"/>
    </row>
    <row r="321" spans="1:6">
      <c r="A321" s="252">
        <v>1994.12</v>
      </c>
      <c r="B321" s="914">
        <v>47.311028323064427</v>
      </c>
      <c r="C321" s="915">
        <f t="shared" si="4"/>
        <v>47.311028323064427</v>
      </c>
      <c r="D321" s="1517"/>
      <c r="E321" s="2563"/>
      <c r="F321" s="512"/>
    </row>
    <row r="322" spans="1:6">
      <c r="A322" s="252">
        <v>1995.01</v>
      </c>
      <c r="B322" s="914">
        <v>47.900511056980463</v>
      </c>
      <c r="C322" s="915">
        <f t="shared" si="4"/>
        <v>47.900511056980463</v>
      </c>
      <c r="D322" s="1517"/>
      <c r="E322" s="2563"/>
      <c r="F322" s="512"/>
    </row>
    <row r="323" spans="1:6">
      <c r="A323" s="252">
        <v>1995.02</v>
      </c>
      <c r="B323" s="914">
        <v>47.899221473945644</v>
      </c>
      <c r="C323" s="915">
        <f t="shared" si="4"/>
        <v>47.899221473945644</v>
      </c>
      <c r="D323" s="1517"/>
      <c r="E323" s="2563"/>
      <c r="F323" s="512"/>
    </row>
    <row r="324" spans="1:6">
      <c r="A324" s="252">
        <v>1995.03</v>
      </c>
      <c r="B324" s="914">
        <v>47.684004394134782</v>
      </c>
      <c r="C324" s="915">
        <f t="shared" si="4"/>
        <v>47.684004394134782</v>
      </c>
      <c r="D324" s="1517"/>
      <c r="E324" s="2563"/>
      <c r="F324" s="512"/>
    </row>
    <row r="325" spans="1:6">
      <c r="A325" s="252">
        <v>1995.04</v>
      </c>
      <c r="B325" s="914">
        <v>47.902087214023013</v>
      </c>
      <c r="C325" s="915">
        <f t="shared" si="4"/>
        <v>47.902087214023013</v>
      </c>
      <c r="D325" s="1517"/>
      <c r="E325" s="2563"/>
      <c r="F325" s="512"/>
    </row>
    <row r="326" spans="1:6">
      <c r="A326" s="252">
        <v>1995.05</v>
      </c>
      <c r="B326" s="914">
        <v>47.912165066628454</v>
      </c>
      <c r="C326" s="915">
        <f t="shared" si="4"/>
        <v>47.912165066628454</v>
      </c>
      <c r="D326" s="1517"/>
      <c r="E326" s="2563"/>
      <c r="F326" s="512"/>
    </row>
    <row r="327" spans="1:6">
      <c r="A327" s="252">
        <v>1995.06</v>
      </c>
      <c r="B327" s="914">
        <v>47.813488083297514</v>
      </c>
      <c r="C327" s="915">
        <f t="shared" si="4"/>
        <v>47.813488083297514</v>
      </c>
      <c r="D327" s="1517"/>
      <c r="E327" s="2563"/>
      <c r="F327" s="512"/>
    </row>
    <row r="328" spans="1:6">
      <c r="A328" s="252">
        <v>1995.07</v>
      </c>
      <c r="B328" s="914">
        <v>48.007450924201173</v>
      </c>
      <c r="C328" s="915">
        <f t="shared" si="4"/>
        <v>48.007450924201173</v>
      </c>
      <c r="D328" s="1517"/>
      <c r="E328" s="2563"/>
      <c r="F328" s="512"/>
    </row>
    <row r="329" spans="1:6">
      <c r="A329" s="252">
        <v>1995.08</v>
      </c>
      <c r="B329" s="914">
        <v>47.891149639394371</v>
      </c>
      <c r="C329" s="915">
        <f t="shared" si="4"/>
        <v>47.891149639394371</v>
      </c>
      <c r="D329" s="1517"/>
      <c r="E329" s="2563"/>
      <c r="F329" s="512"/>
    </row>
    <row r="330" spans="1:6">
      <c r="A330" s="252">
        <v>1995.09</v>
      </c>
      <c r="B330" s="914">
        <v>47.969861966852939</v>
      </c>
      <c r="C330" s="915">
        <f t="shared" si="4"/>
        <v>47.969861966852939</v>
      </c>
      <c r="D330" s="1517"/>
      <c r="E330" s="2563"/>
      <c r="F330" s="512"/>
    </row>
    <row r="331" spans="1:6">
      <c r="A331" s="252">
        <v>1995.1</v>
      </c>
      <c r="B331" s="914">
        <v>48.132970339590194</v>
      </c>
      <c r="C331" s="915">
        <f t="shared" si="4"/>
        <v>48.132970339590194</v>
      </c>
      <c r="D331" s="1517"/>
      <c r="E331" s="2563"/>
      <c r="F331" s="512"/>
    </row>
    <row r="332" spans="1:6">
      <c r="A332" s="252">
        <v>1995.11</v>
      </c>
      <c r="B332" s="914">
        <v>48.023021445288244</v>
      </c>
      <c r="C332" s="915">
        <f t="shared" ref="C332:C395" si="5">B332</f>
        <v>48.023021445288244</v>
      </c>
      <c r="D332" s="1517"/>
      <c r="E332" s="2563"/>
      <c r="F332" s="512"/>
    </row>
    <row r="333" spans="1:6">
      <c r="A333" s="252">
        <v>1995.12</v>
      </c>
      <c r="B333" s="914">
        <v>48.071691264268992</v>
      </c>
      <c r="C333" s="915">
        <f t="shared" si="5"/>
        <v>48.071691264268992</v>
      </c>
      <c r="D333" s="1517"/>
      <c r="E333" s="2563"/>
      <c r="F333" s="512"/>
    </row>
    <row r="334" spans="1:6">
      <c r="A334" s="252">
        <v>1996.01</v>
      </c>
      <c r="B334" s="914">
        <v>48.215790227826332</v>
      </c>
      <c r="C334" s="915">
        <f t="shared" si="5"/>
        <v>48.215790227826332</v>
      </c>
      <c r="D334" s="1517"/>
      <c r="E334" s="2563"/>
      <c r="F334" s="512"/>
    </row>
    <row r="335" spans="1:6">
      <c r="A335" s="252">
        <v>1996.02</v>
      </c>
      <c r="B335" s="914">
        <v>48.059129770263162</v>
      </c>
      <c r="C335" s="915">
        <f t="shared" si="5"/>
        <v>48.059129770263162</v>
      </c>
      <c r="D335" s="1517"/>
      <c r="E335" s="2563"/>
      <c r="F335" s="512"/>
    </row>
    <row r="336" spans="1:6">
      <c r="A336" s="252">
        <v>1996.03</v>
      </c>
      <c r="B336" s="914">
        <v>47.799828055595363</v>
      </c>
      <c r="C336" s="915">
        <f t="shared" si="5"/>
        <v>47.799828055595363</v>
      </c>
      <c r="D336" s="1517"/>
      <c r="E336" s="2563"/>
      <c r="F336" s="512"/>
    </row>
    <row r="337" spans="1:6">
      <c r="A337" s="252">
        <v>1996.04</v>
      </c>
      <c r="B337" s="914">
        <v>47.800592252949329</v>
      </c>
      <c r="C337" s="915">
        <f t="shared" si="5"/>
        <v>47.800592252949329</v>
      </c>
      <c r="D337" s="1517"/>
      <c r="E337" s="2563"/>
      <c r="F337" s="512"/>
    </row>
    <row r="338" spans="1:6">
      <c r="A338" s="252">
        <v>1996.05</v>
      </c>
      <c r="B338" s="914">
        <v>47.757940488131055</v>
      </c>
      <c r="C338" s="915">
        <f t="shared" si="5"/>
        <v>47.757940488131055</v>
      </c>
      <c r="D338" s="1517"/>
      <c r="E338" s="2563"/>
      <c r="F338" s="512"/>
    </row>
    <row r="339" spans="1:6">
      <c r="A339" s="252">
        <v>1996.06</v>
      </c>
      <c r="B339" s="914">
        <v>47.759182308831249</v>
      </c>
      <c r="C339" s="915">
        <f t="shared" si="5"/>
        <v>47.759182308831249</v>
      </c>
      <c r="D339" s="1517"/>
      <c r="E339" s="2563"/>
      <c r="F339" s="512"/>
    </row>
    <row r="340" spans="1:6">
      <c r="A340" s="252">
        <v>1996.07</v>
      </c>
      <c r="B340" s="914">
        <v>48.018149687156708</v>
      </c>
      <c r="C340" s="915">
        <f t="shared" si="5"/>
        <v>48.018149687156708</v>
      </c>
      <c r="D340" s="1517"/>
      <c r="E340" s="2563"/>
      <c r="F340" s="512"/>
    </row>
    <row r="341" spans="1:6">
      <c r="A341" s="252">
        <v>1996.08</v>
      </c>
      <c r="B341" s="914">
        <v>47.980942828485453</v>
      </c>
      <c r="C341" s="915">
        <f t="shared" si="5"/>
        <v>47.980942828485453</v>
      </c>
      <c r="D341" s="1517"/>
      <c r="E341" s="2563"/>
      <c r="F341" s="512"/>
    </row>
    <row r="342" spans="1:6">
      <c r="A342" s="252">
        <v>1996.09</v>
      </c>
      <c r="B342" s="914">
        <v>48.068061326837658</v>
      </c>
      <c r="C342" s="915">
        <f t="shared" si="5"/>
        <v>48.068061326837658</v>
      </c>
      <c r="D342" s="1517"/>
      <c r="E342" s="2563"/>
      <c r="F342" s="512"/>
    </row>
    <row r="343" spans="1:6">
      <c r="A343" s="252">
        <v>1996.1</v>
      </c>
      <c r="B343" s="914">
        <v>48.310359650379716</v>
      </c>
      <c r="C343" s="915">
        <f t="shared" si="5"/>
        <v>48.310359650379716</v>
      </c>
      <c r="D343" s="1517"/>
      <c r="E343" s="2563"/>
      <c r="F343" s="512"/>
    </row>
    <row r="344" spans="1:6">
      <c r="A344" s="252">
        <v>1996.11</v>
      </c>
      <c r="B344" s="914">
        <v>48.235325022687107</v>
      </c>
      <c r="C344" s="915">
        <f t="shared" si="5"/>
        <v>48.235325022687107</v>
      </c>
      <c r="D344" s="1517"/>
      <c r="E344" s="2563"/>
      <c r="F344" s="512"/>
    </row>
    <row r="345" spans="1:6">
      <c r="A345" s="252">
        <v>1996.12</v>
      </c>
      <c r="B345" s="914">
        <v>48.097817261307732</v>
      </c>
      <c r="C345" s="915">
        <f t="shared" si="5"/>
        <v>48.097817261307732</v>
      </c>
      <c r="D345" s="1517"/>
      <c r="E345" s="2563"/>
      <c r="F345" s="512"/>
    </row>
    <row r="346" spans="1:6">
      <c r="A346" s="252">
        <v>1997.01</v>
      </c>
      <c r="B346" s="914">
        <v>48.322443521039311</v>
      </c>
      <c r="C346" s="915">
        <f t="shared" si="5"/>
        <v>48.322443521039311</v>
      </c>
      <c r="D346" s="1517"/>
      <c r="E346" s="2563"/>
      <c r="F346" s="512"/>
    </row>
    <row r="347" spans="1:6">
      <c r="A347" s="252">
        <v>1997.02</v>
      </c>
      <c r="B347" s="914">
        <v>48.508239002722455</v>
      </c>
      <c r="C347" s="915">
        <f t="shared" si="5"/>
        <v>48.508239002722455</v>
      </c>
      <c r="D347" s="1517"/>
      <c r="E347" s="2563"/>
      <c r="F347" s="512"/>
    </row>
    <row r="348" spans="1:6">
      <c r="A348" s="252">
        <v>1997.03</v>
      </c>
      <c r="B348" s="914">
        <v>48.269140755600134</v>
      </c>
      <c r="C348" s="915">
        <f t="shared" si="5"/>
        <v>48.269140755600134</v>
      </c>
      <c r="D348" s="1517"/>
      <c r="E348" s="2563"/>
      <c r="F348" s="512"/>
    </row>
    <row r="349" spans="1:6">
      <c r="A349" s="252">
        <v>1997.04</v>
      </c>
      <c r="B349" s="914">
        <v>48.109614557959588</v>
      </c>
      <c r="C349" s="915">
        <f t="shared" si="5"/>
        <v>48.109614557959588</v>
      </c>
      <c r="D349" s="1517"/>
      <c r="E349" s="2563"/>
      <c r="F349" s="512"/>
    </row>
    <row r="350" spans="1:6">
      <c r="A350" s="252">
        <v>1997.05</v>
      </c>
      <c r="B350" s="914">
        <v>48.069685246214831</v>
      </c>
      <c r="C350" s="915">
        <f t="shared" si="5"/>
        <v>48.069685246214831</v>
      </c>
      <c r="D350" s="1517"/>
      <c r="E350" s="2563"/>
      <c r="F350" s="512"/>
    </row>
    <row r="351" spans="1:6">
      <c r="A351" s="252">
        <v>1997.06</v>
      </c>
      <c r="B351" s="914">
        <v>48.179108754835937</v>
      </c>
      <c r="C351" s="915">
        <f t="shared" si="5"/>
        <v>48.179108754835937</v>
      </c>
      <c r="D351" s="1517"/>
      <c r="E351" s="2563"/>
      <c r="F351" s="512"/>
    </row>
    <row r="352" spans="1:6">
      <c r="A352" s="252">
        <v>1997.07</v>
      </c>
      <c r="B352" s="914">
        <v>48.28619190906052</v>
      </c>
      <c r="C352" s="915">
        <f t="shared" si="5"/>
        <v>48.28619190906052</v>
      </c>
      <c r="D352" s="1517"/>
      <c r="E352" s="2563"/>
      <c r="F352" s="512"/>
    </row>
    <row r="353" spans="1:6">
      <c r="A353" s="252">
        <v>1997.08</v>
      </c>
      <c r="B353" s="914">
        <v>48.36566843387304</v>
      </c>
      <c r="C353" s="915">
        <f t="shared" si="5"/>
        <v>48.36566843387304</v>
      </c>
      <c r="D353" s="1517"/>
      <c r="E353" s="2563"/>
      <c r="F353" s="512"/>
    </row>
    <row r="354" spans="1:6">
      <c r="A354" s="252">
        <v>1997.09</v>
      </c>
      <c r="B354" s="914">
        <v>48.342503701580931</v>
      </c>
      <c r="C354" s="915">
        <f t="shared" si="5"/>
        <v>48.342503701580931</v>
      </c>
      <c r="D354" s="1517"/>
      <c r="E354" s="2563"/>
      <c r="F354" s="512"/>
    </row>
    <row r="355" spans="1:6">
      <c r="A355" s="252">
        <v>1997.1</v>
      </c>
      <c r="B355" s="914">
        <v>48.266752638868986</v>
      </c>
      <c r="C355" s="915">
        <f t="shared" si="5"/>
        <v>48.266752638868986</v>
      </c>
      <c r="D355" s="1517"/>
      <c r="E355" s="2563"/>
      <c r="F355" s="512"/>
    </row>
    <row r="356" spans="1:6">
      <c r="A356" s="252">
        <v>1997.11</v>
      </c>
      <c r="B356" s="914">
        <v>48.173472799350428</v>
      </c>
      <c r="C356" s="915">
        <f t="shared" si="5"/>
        <v>48.173472799350428</v>
      </c>
      <c r="D356" s="1517"/>
      <c r="E356" s="2563"/>
      <c r="F356" s="512"/>
    </row>
    <row r="357" spans="1:6">
      <c r="A357" s="252">
        <v>1997.12</v>
      </c>
      <c r="B357" s="914">
        <v>48.255576252567231</v>
      </c>
      <c r="C357" s="915">
        <f t="shared" si="5"/>
        <v>48.255576252567231</v>
      </c>
      <c r="D357" s="1517"/>
      <c r="E357" s="2563"/>
      <c r="F357" s="512"/>
    </row>
    <row r="358" spans="1:6">
      <c r="A358" s="252">
        <v>1998.01</v>
      </c>
      <c r="B358" s="914">
        <v>48.55886707742274</v>
      </c>
      <c r="C358" s="915">
        <f t="shared" si="5"/>
        <v>48.55886707742274</v>
      </c>
      <c r="D358" s="1517"/>
      <c r="E358" s="2563"/>
      <c r="F358" s="512"/>
    </row>
    <row r="359" spans="1:6">
      <c r="A359" s="252">
        <v>1998.02</v>
      </c>
      <c r="B359" s="914">
        <v>48.728184553660981</v>
      </c>
      <c r="C359" s="915">
        <f t="shared" si="5"/>
        <v>48.728184553660981</v>
      </c>
      <c r="D359" s="1517"/>
      <c r="E359" s="2563"/>
      <c r="F359" s="512"/>
    </row>
    <row r="360" spans="1:6">
      <c r="A360" s="252">
        <v>1998.03</v>
      </c>
      <c r="B360" s="914">
        <v>48.667001003009027</v>
      </c>
      <c r="C360" s="915">
        <f t="shared" si="5"/>
        <v>48.667001003009027</v>
      </c>
      <c r="D360" s="1517"/>
      <c r="E360" s="2563"/>
      <c r="F360" s="512"/>
    </row>
    <row r="361" spans="1:6">
      <c r="A361" s="252">
        <v>1998.04</v>
      </c>
      <c r="B361" s="914">
        <v>48.672493671490663</v>
      </c>
      <c r="C361" s="915">
        <f t="shared" si="5"/>
        <v>48.672493671490663</v>
      </c>
      <c r="D361" s="1517"/>
      <c r="E361" s="2563"/>
      <c r="F361" s="512"/>
    </row>
    <row r="362" spans="1:6">
      <c r="A362" s="252">
        <v>1998.05</v>
      </c>
      <c r="B362" s="914">
        <v>48.637340593208187</v>
      </c>
      <c r="C362" s="915">
        <f t="shared" si="5"/>
        <v>48.637340593208187</v>
      </c>
      <c r="D362" s="1517"/>
      <c r="E362" s="2563"/>
      <c r="F362" s="512"/>
    </row>
    <row r="363" spans="1:6">
      <c r="A363" s="252">
        <v>1998.06</v>
      </c>
      <c r="B363" s="914">
        <v>48.730190571715141</v>
      </c>
      <c r="C363" s="915">
        <f t="shared" si="5"/>
        <v>48.730190571715141</v>
      </c>
      <c r="D363" s="1517"/>
      <c r="E363" s="2563"/>
      <c r="F363" s="512"/>
    </row>
    <row r="364" spans="1:6">
      <c r="A364" s="252">
        <v>1998.07</v>
      </c>
      <c r="B364" s="914">
        <v>48.882504656827628</v>
      </c>
      <c r="C364" s="915">
        <f t="shared" si="5"/>
        <v>48.882504656827628</v>
      </c>
      <c r="D364" s="1517"/>
      <c r="E364" s="2563"/>
      <c r="F364" s="512"/>
    </row>
    <row r="365" spans="1:6">
      <c r="A365" s="252">
        <v>1998.08</v>
      </c>
      <c r="B365" s="914">
        <v>48.892343697759941</v>
      </c>
      <c r="C365" s="915">
        <f t="shared" si="5"/>
        <v>48.892343697759941</v>
      </c>
      <c r="D365" s="1517"/>
      <c r="E365" s="2563"/>
      <c r="F365" s="512"/>
    </row>
    <row r="366" spans="1:6">
      <c r="A366" s="252">
        <v>1998.09</v>
      </c>
      <c r="B366" s="914">
        <v>48.877250800019098</v>
      </c>
      <c r="C366" s="915">
        <f t="shared" si="5"/>
        <v>48.877250800019098</v>
      </c>
      <c r="D366" s="1517"/>
      <c r="E366" s="2563"/>
      <c r="F366" s="512"/>
    </row>
    <row r="367" spans="1:6">
      <c r="A367" s="252">
        <v>1998.1</v>
      </c>
      <c r="B367" s="914">
        <v>48.698428619190906</v>
      </c>
      <c r="C367" s="915">
        <f t="shared" si="5"/>
        <v>48.698428619190906</v>
      </c>
      <c r="D367" s="1517"/>
      <c r="E367" s="2563"/>
      <c r="F367" s="512"/>
    </row>
    <row r="368" spans="1:6">
      <c r="A368" s="252">
        <v>1998.11</v>
      </c>
      <c r="B368" s="914">
        <v>48.582796007068822</v>
      </c>
      <c r="C368" s="915">
        <f t="shared" si="5"/>
        <v>48.582796007068822</v>
      </c>
      <c r="D368" s="1517"/>
      <c r="E368" s="2563"/>
      <c r="F368" s="512"/>
    </row>
    <row r="369" spans="1:6">
      <c r="A369" s="252">
        <v>1998.12</v>
      </c>
      <c r="B369" s="914">
        <v>48.576204804890857</v>
      </c>
      <c r="C369" s="915">
        <f t="shared" si="5"/>
        <v>48.576204804890857</v>
      </c>
      <c r="D369" s="1517"/>
      <c r="E369" s="2563"/>
      <c r="F369" s="512"/>
    </row>
    <row r="370" spans="1:6">
      <c r="A370" s="252">
        <v>1999.01</v>
      </c>
      <c r="B370" s="914">
        <v>48.805177437073127</v>
      </c>
      <c r="C370" s="915">
        <f t="shared" si="5"/>
        <v>48.805177437073127</v>
      </c>
      <c r="D370" s="1517"/>
      <c r="E370" s="2563"/>
      <c r="F370" s="512"/>
    </row>
    <row r="371" spans="1:6">
      <c r="A371" s="252">
        <v>1999.02</v>
      </c>
      <c r="B371" s="914">
        <v>48.726799445956921</v>
      </c>
      <c r="C371" s="915">
        <f t="shared" si="5"/>
        <v>48.726799445956921</v>
      </c>
      <c r="D371" s="1517"/>
      <c r="E371" s="2563"/>
      <c r="F371" s="512"/>
    </row>
    <row r="372" spans="1:6">
      <c r="A372" s="252">
        <v>1999.03</v>
      </c>
      <c r="B372" s="914">
        <v>48.360939962745377</v>
      </c>
      <c r="C372" s="915">
        <f t="shared" si="5"/>
        <v>48.360939962745377</v>
      </c>
      <c r="D372" s="1517"/>
      <c r="E372" s="2563"/>
      <c r="F372" s="512"/>
    </row>
    <row r="373" spans="1:6">
      <c r="A373" s="252">
        <v>1999.04</v>
      </c>
      <c r="B373" s="914">
        <v>48.313607489134071</v>
      </c>
      <c r="C373" s="915">
        <f t="shared" si="5"/>
        <v>48.313607489134071</v>
      </c>
      <c r="D373" s="1517"/>
      <c r="E373" s="2563"/>
      <c r="F373" s="512"/>
    </row>
    <row r="374" spans="1:6">
      <c r="A374" s="252">
        <v>1999.05</v>
      </c>
      <c r="B374" s="914">
        <v>48.07570330037732</v>
      </c>
      <c r="C374" s="915">
        <f t="shared" si="5"/>
        <v>48.07570330037732</v>
      </c>
      <c r="D374" s="1517"/>
      <c r="E374" s="2563"/>
      <c r="F374" s="512"/>
    </row>
    <row r="375" spans="1:6">
      <c r="A375" s="252">
        <v>1999.06</v>
      </c>
      <c r="B375" s="914">
        <v>48.072789797965328</v>
      </c>
      <c r="C375" s="915">
        <f t="shared" si="5"/>
        <v>48.072789797965328</v>
      </c>
      <c r="D375" s="1517"/>
      <c r="E375" s="2563"/>
      <c r="F375" s="512"/>
    </row>
    <row r="376" spans="1:6">
      <c r="A376" s="252">
        <v>1999.07</v>
      </c>
      <c r="B376" s="914">
        <v>48.162153126044807</v>
      </c>
      <c r="C376" s="915">
        <f t="shared" si="5"/>
        <v>48.162153126044807</v>
      </c>
      <c r="D376" s="1517"/>
      <c r="E376" s="2563"/>
      <c r="F376" s="512"/>
    </row>
    <row r="377" spans="1:6">
      <c r="A377" s="252">
        <v>1999.08</v>
      </c>
      <c r="B377" s="914">
        <v>47.980847303816212</v>
      </c>
      <c r="C377" s="915">
        <f t="shared" si="5"/>
        <v>47.980847303816212</v>
      </c>
      <c r="D377" s="1517"/>
      <c r="E377" s="2563"/>
      <c r="F377" s="512"/>
    </row>
    <row r="378" spans="1:6">
      <c r="A378" s="252">
        <v>1999.09</v>
      </c>
      <c r="B378" s="914">
        <v>47.885274872235755</v>
      </c>
      <c r="C378" s="915">
        <f t="shared" si="5"/>
        <v>47.885274872235755</v>
      </c>
      <c r="D378" s="1517"/>
      <c r="E378" s="2563"/>
      <c r="F378" s="512"/>
    </row>
    <row r="379" spans="1:6">
      <c r="A379" s="252">
        <v>1999.1</v>
      </c>
      <c r="B379" s="914">
        <v>47.877776185699958</v>
      </c>
      <c r="C379" s="915">
        <f t="shared" si="5"/>
        <v>47.877776185699958</v>
      </c>
      <c r="D379" s="1517"/>
      <c r="E379" s="2563"/>
      <c r="F379" s="512"/>
    </row>
    <row r="380" spans="1:6">
      <c r="A380" s="252">
        <v>1999.11</v>
      </c>
      <c r="B380" s="914">
        <v>47.726417347279934</v>
      </c>
      <c r="C380" s="915">
        <f t="shared" si="5"/>
        <v>47.726417347279934</v>
      </c>
      <c r="D380" s="1517"/>
      <c r="E380" s="2563"/>
      <c r="F380" s="512"/>
    </row>
    <row r="381" spans="1:6">
      <c r="A381" s="252">
        <v>1999.12</v>
      </c>
      <c r="B381" s="914">
        <v>47.696756937479108</v>
      </c>
      <c r="C381" s="915">
        <f t="shared" si="5"/>
        <v>47.696756937479108</v>
      </c>
      <c r="D381" s="1517"/>
      <c r="E381" s="2563"/>
      <c r="F381" s="512"/>
    </row>
    <row r="382" spans="1:6">
      <c r="A382" s="252">
        <v>2000.01</v>
      </c>
      <c r="B382" s="914">
        <v>48.099918804031141</v>
      </c>
      <c r="C382" s="915">
        <f t="shared" si="5"/>
        <v>48.099918804031141</v>
      </c>
      <c r="D382" s="1517"/>
      <c r="E382" s="2563"/>
      <c r="F382" s="512"/>
    </row>
    <row r="383" spans="1:6">
      <c r="A383" s="252">
        <v>2000.02</v>
      </c>
      <c r="B383" s="914">
        <v>48.101877059750677</v>
      </c>
      <c r="C383" s="915">
        <f t="shared" si="5"/>
        <v>48.101877059750677</v>
      </c>
      <c r="D383" s="1517"/>
      <c r="E383" s="2563"/>
      <c r="F383" s="512"/>
    </row>
    <row r="384" spans="1:6">
      <c r="A384" s="252">
        <v>2000.03</v>
      </c>
      <c r="B384" s="914">
        <v>47.847733677222138</v>
      </c>
      <c r="C384" s="915">
        <f t="shared" si="5"/>
        <v>47.847733677222138</v>
      </c>
      <c r="D384" s="1517"/>
      <c r="E384" s="2563"/>
      <c r="F384" s="512"/>
    </row>
    <row r="385" spans="1:6">
      <c r="A385" s="252">
        <v>2000.04</v>
      </c>
      <c r="B385" s="914">
        <v>47.793905526102115</v>
      </c>
      <c r="C385" s="915">
        <f t="shared" si="5"/>
        <v>47.793905526102115</v>
      </c>
      <c r="D385" s="1517"/>
      <c r="E385" s="2563"/>
      <c r="F385" s="512"/>
    </row>
    <row r="386" spans="1:6">
      <c r="A386" s="252">
        <v>2000.05</v>
      </c>
      <c r="B386" s="914">
        <v>47.608157806753596</v>
      </c>
      <c r="C386" s="915">
        <f t="shared" si="5"/>
        <v>47.608157806753596</v>
      </c>
      <c r="D386" s="1517"/>
      <c r="E386" s="2563"/>
      <c r="F386" s="512"/>
    </row>
    <row r="387" spans="1:6">
      <c r="A387" s="252">
        <v>2000.06</v>
      </c>
      <c r="B387" s="914">
        <v>47.52013182404356</v>
      </c>
      <c r="C387" s="915">
        <f t="shared" si="5"/>
        <v>47.52013182404356</v>
      </c>
      <c r="D387" s="1517"/>
      <c r="E387" s="2563"/>
      <c r="F387" s="512"/>
    </row>
    <row r="388" spans="1:6">
      <c r="A388" s="252">
        <v>2000.07</v>
      </c>
      <c r="B388" s="914">
        <v>47.726512871949176</v>
      </c>
      <c r="C388" s="915">
        <f t="shared" si="5"/>
        <v>47.726512871949176</v>
      </c>
      <c r="D388" s="1517"/>
      <c r="E388" s="2563"/>
      <c r="F388" s="512"/>
    </row>
    <row r="389" spans="1:6">
      <c r="A389" s="252">
        <v>2000.08</v>
      </c>
      <c r="B389" s="914">
        <v>47.623823852509908</v>
      </c>
      <c r="C389" s="915">
        <f t="shared" si="5"/>
        <v>47.623823852509908</v>
      </c>
      <c r="D389" s="1517"/>
      <c r="E389" s="2563"/>
      <c r="F389" s="512"/>
    </row>
    <row r="390" spans="1:6">
      <c r="A390" s="252">
        <v>2000.09</v>
      </c>
      <c r="B390" s="914">
        <v>47.550699718202225</v>
      </c>
      <c r="C390" s="915">
        <f t="shared" si="5"/>
        <v>47.550699718202225</v>
      </c>
      <c r="D390" s="1517"/>
      <c r="E390" s="2563"/>
      <c r="F390" s="512"/>
    </row>
    <row r="391" spans="1:6">
      <c r="A391" s="252">
        <v>2000.1</v>
      </c>
      <c r="B391" s="914">
        <v>47.638152552896784</v>
      </c>
      <c r="C391" s="915">
        <f t="shared" si="5"/>
        <v>47.638152552896784</v>
      </c>
      <c r="D391" s="1517"/>
      <c r="E391" s="2563"/>
      <c r="F391" s="512"/>
    </row>
    <row r="392" spans="1:6">
      <c r="A392" s="252">
        <v>2000.11</v>
      </c>
      <c r="B392" s="914">
        <v>47.404117113244496</v>
      </c>
      <c r="C392" s="915">
        <f t="shared" si="5"/>
        <v>47.404117113244496</v>
      </c>
      <c r="D392" s="1517"/>
      <c r="E392" s="2563"/>
      <c r="F392" s="512"/>
    </row>
    <row r="393" spans="1:6">
      <c r="A393" s="252">
        <v>2000.12</v>
      </c>
      <c r="B393" s="914">
        <v>47.346802311696997</v>
      </c>
      <c r="C393" s="915">
        <f t="shared" si="5"/>
        <v>47.346802311696997</v>
      </c>
      <c r="D393" s="1517"/>
      <c r="E393" s="2563"/>
      <c r="F393" s="512"/>
    </row>
    <row r="394" spans="1:6">
      <c r="A394" s="252">
        <v>2001.01</v>
      </c>
      <c r="B394" s="914">
        <v>47.385012179395325</v>
      </c>
      <c r="C394" s="915">
        <f t="shared" si="5"/>
        <v>47.385012179395325</v>
      </c>
      <c r="D394" s="1517"/>
      <c r="E394" s="2563"/>
      <c r="F394" s="512"/>
    </row>
    <row r="395" spans="1:6">
      <c r="A395" s="252">
        <v>2001.02</v>
      </c>
      <c r="B395" s="914">
        <v>47.27993504322491</v>
      </c>
      <c r="C395" s="915">
        <f t="shared" si="5"/>
        <v>47.27993504322491</v>
      </c>
      <c r="D395" s="1517"/>
      <c r="E395" s="2563"/>
      <c r="F395" s="512"/>
    </row>
    <row r="396" spans="1:6">
      <c r="A396" s="252">
        <v>2001.03</v>
      </c>
      <c r="B396" s="914">
        <v>47.370683479008456</v>
      </c>
      <c r="C396" s="915">
        <f t="shared" ref="C396:C459" si="6">B396</f>
        <v>47.370683479008456</v>
      </c>
      <c r="D396" s="1517"/>
      <c r="E396" s="2563"/>
      <c r="F396" s="512"/>
    </row>
    <row r="397" spans="1:6">
      <c r="A397" s="252">
        <v>2001.04</v>
      </c>
      <c r="B397" s="914">
        <v>47.685914887519701</v>
      </c>
      <c r="C397" s="915">
        <f t="shared" si="6"/>
        <v>47.685914887519701</v>
      </c>
      <c r="D397" s="1517"/>
      <c r="E397" s="2563"/>
      <c r="F397" s="512"/>
    </row>
    <row r="398" spans="1:6">
      <c r="A398" s="252">
        <v>2001.05</v>
      </c>
      <c r="B398" s="914">
        <v>47.714572288293454</v>
      </c>
      <c r="C398" s="915">
        <f t="shared" si="6"/>
        <v>47.714572288293454</v>
      </c>
      <c r="D398" s="1517"/>
      <c r="E398" s="2563"/>
      <c r="F398" s="512"/>
    </row>
    <row r="399" spans="1:6">
      <c r="A399" s="252">
        <v>2001.06</v>
      </c>
      <c r="B399" s="914">
        <v>47.370683479008456</v>
      </c>
      <c r="C399" s="915">
        <f t="shared" si="6"/>
        <v>47.370683479008456</v>
      </c>
      <c r="D399" s="1517"/>
      <c r="E399" s="2563"/>
      <c r="F399" s="512"/>
    </row>
    <row r="400" spans="1:6">
      <c r="A400" s="252">
        <v>2001.07</v>
      </c>
      <c r="B400" s="914">
        <v>47.217844008215124</v>
      </c>
      <c r="C400" s="915">
        <f t="shared" si="6"/>
        <v>47.217844008215124</v>
      </c>
      <c r="D400" s="1517"/>
      <c r="E400" s="2563"/>
      <c r="F400" s="512"/>
    </row>
    <row r="401" spans="1:6">
      <c r="A401" s="252">
        <v>2001.08</v>
      </c>
      <c r="B401" s="914">
        <v>47.050675837034916</v>
      </c>
      <c r="C401" s="915">
        <f t="shared" si="6"/>
        <v>47.050675837034916</v>
      </c>
      <c r="D401" s="1517"/>
      <c r="E401" s="2563"/>
      <c r="F401" s="512"/>
    </row>
    <row r="402" spans="1:6">
      <c r="A402" s="252">
        <v>2001.09</v>
      </c>
      <c r="B402" s="914">
        <v>47.012465969336581</v>
      </c>
      <c r="C402" s="915">
        <f t="shared" si="6"/>
        <v>47.012465969336581</v>
      </c>
      <c r="D402" s="1517"/>
      <c r="E402" s="2563"/>
      <c r="F402" s="512"/>
    </row>
    <row r="403" spans="1:6">
      <c r="A403" s="252">
        <v>2001.1</v>
      </c>
      <c r="B403" s="914">
        <v>46.807087930458039</v>
      </c>
      <c r="C403" s="915">
        <f t="shared" si="6"/>
        <v>46.807087930458039</v>
      </c>
      <c r="D403" s="1517"/>
      <c r="E403" s="2563"/>
      <c r="F403" s="512"/>
    </row>
    <row r="404" spans="1:6">
      <c r="A404" s="252">
        <v>2001.11</v>
      </c>
      <c r="B404" s="914">
        <v>46.654248459664707</v>
      </c>
      <c r="C404" s="915">
        <f t="shared" si="6"/>
        <v>46.654248459664707</v>
      </c>
      <c r="D404" s="1517"/>
      <c r="E404" s="2563"/>
      <c r="F404" s="512"/>
    </row>
    <row r="405" spans="1:6">
      <c r="A405" s="252">
        <v>2001.12</v>
      </c>
      <c r="B405" s="914">
        <v>46.616038591966372</v>
      </c>
      <c r="C405" s="915">
        <f t="shared" si="6"/>
        <v>46.616038591966372</v>
      </c>
      <c r="D405" s="1517"/>
      <c r="E405" s="2563"/>
      <c r="F405" s="512"/>
    </row>
    <row r="406" spans="1:6">
      <c r="A406" s="252">
        <v>2002.01</v>
      </c>
      <c r="B406" s="914">
        <v>47.685914887519701</v>
      </c>
      <c r="C406" s="915">
        <f t="shared" si="6"/>
        <v>47.685914887519701</v>
      </c>
      <c r="D406" s="1517"/>
      <c r="E406" s="2563"/>
      <c r="F406" s="512"/>
    </row>
    <row r="407" spans="1:6">
      <c r="A407" s="252">
        <v>2002.02</v>
      </c>
      <c r="B407" s="914">
        <v>49.180875961216977</v>
      </c>
      <c r="C407" s="915">
        <f t="shared" si="6"/>
        <v>49.180875961216977</v>
      </c>
      <c r="D407" s="1517"/>
      <c r="E407" s="2563"/>
      <c r="F407" s="512"/>
    </row>
    <row r="408" spans="1:6">
      <c r="A408" s="252">
        <v>2002.03</v>
      </c>
      <c r="B408" s="914">
        <v>51.129579213831967</v>
      </c>
      <c r="C408" s="915">
        <f t="shared" si="6"/>
        <v>51.129579213831967</v>
      </c>
      <c r="D408" s="1517"/>
      <c r="E408" s="2563"/>
      <c r="F408" s="512"/>
    </row>
    <row r="409" spans="1:6">
      <c r="A409" s="252">
        <v>2002.04</v>
      </c>
      <c r="B409" s="914">
        <v>56.440750823900274</v>
      </c>
      <c r="C409" s="915">
        <f t="shared" si="6"/>
        <v>56.440750823900274</v>
      </c>
      <c r="D409" s="1517"/>
      <c r="E409" s="2563"/>
      <c r="F409" s="512"/>
    </row>
    <row r="410" spans="1:6">
      <c r="A410" s="252">
        <v>2002.05</v>
      </c>
      <c r="B410" s="914">
        <v>58.704685485026509</v>
      </c>
      <c r="C410" s="915">
        <f t="shared" si="6"/>
        <v>58.704685485026509</v>
      </c>
      <c r="D410" s="1517"/>
      <c r="E410" s="2563"/>
      <c r="F410" s="512"/>
    </row>
    <row r="411" spans="1:6">
      <c r="A411" s="252">
        <v>2002.06</v>
      </c>
      <c r="B411" s="914">
        <v>60.830109375746289</v>
      </c>
      <c r="C411" s="915">
        <f t="shared" si="6"/>
        <v>60.830109375746289</v>
      </c>
      <c r="D411" s="1517"/>
      <c r="E411" s="2563"/>
      <c r="F411" s="512"/>
    </row>
    <row r="412" spans="1:6">
      <c r="A412" s="252">
        <v>2002.07</v>
      </c>
      <c r="B412" s="914">
        <v>62.769260161436677</v>
      </c>
      <c r="C412" s="915">
        <f t="shared" si="6"/>
        <v>62.769260161436677</v>
      </c>
      <c r="D412" s="1517"/>
      <c r="E412" s="2563"/>
      <c r="F412" s="512"/>
    </row>
    <row r="413" spans="1:6">
      <c r="A413" s="252">
        <v>2002.08</v>
      </c>
      <c r="B413" s="914">
        <v>64.240340067822515</v>
      </c>
      <c r="C413" s="915">
        <f t="shared" si="6"/>
        <v>64.240340067822515</v>
      </c>
      <c r="D413" s="1517"/>
      <c r="E413" s="2563"/>
      <c r="F413" s="512"/>
    </row>
    <row r="414" spans="1:6">
      <c r="A414" s="252">
        <v>2002.09</v>
      </c>
      <c r="B414" s="914">
        <v>65.104838324497308</v>
      </c>
      <c r="C414" s="915">
        <f t="shared" si="6"/>
        <v>65.104838324497308</v>
      </c>
      <c r="D414" s="1517"/>
      <c r="E414" s="2563"/>
      <c r="F414" s="512"/>
    </row>
    <row r="415" spans="1:6">
      <c r="A415" s="252">
        <v>2002.1</v>
      </c>
      <c r="B415" s="914">
        <v>65.248125328366058</v>
      </c>
      <c r="C415" s="915">
        <f t="shared" si="6"/>
        <v>65.248125328366058</v>
      </c>
      <c r="D415" s="1517"/>
      <c r="E415" s="2563"/>
      <c r="F415" s="512"/>
    </row>
    <row r="416" spans="1:6">
      <c r="A416" s="252">
        <v>2002.11</v>
      </c>
      <c r="B416" s="914">
        <v>65.58246167072646</v>
      </c>
      <c r="C416" s="915">
        <f t="shared" si="6"/>
        <v>65.58246167072646</v>
      </c>
      <c r="D416" s="1517"/>
      <c r="E416" s="2563"/>
      <c r="F416" s="512"/>
    </row>
    <row r="417" spans="1:6">
      <c r="A417" s="252">
        <v>2002.12</v>
      </c>
      <c r="B417" s="914">
        <v>65.706643740746046</v>
      </c>
      <c r="C417" s="915">
        <f t="shared" si="6"/>
        <v>65.706643740746046</v>
      </c>
      <c r="D417" s="1517"/>
      <c r="E417" s="2563"/>
      <c r="F417" s="512"/>
    </row>
    <row r="418" spans="1:6">
      <c r="A418" s="252">
        <v>2003.01</v>
      </c>
      <c r="B418" s="914">
        <v>66.571141997420838</v>
      </c>
      <c r="C418" s="915">
        <f t="shared" si="6"/>
        <v>66.571141997420838</v>
      </c>
      <c r="D418" s="1517"/>
      <c r="E418" s="2563"/>
      <c r="F418" s="512"/>
    </row>
    <row r="419" spans="1:6">
      <c r="A419" s="252">
        <v>2003.02</v>
      </c>
      <c r="B419" s="914">
        <v>66.948464440941862</v>
      </c>
      <c r="C419" s="915">
        <f t="shared" si="6"/>
        <v>66.948464440941862</v>
      </c>
      <c r="D419" s="1517"/>
      <c r="E419" s="2563"/>
      <c r="F419" s="512"/>
    </row>
    <row r="420" spans="1:6">
      <c r="A420" s="252">
        <v>2003.03</v>
      </c>
      <c r="B420" s="914">
        <v>67.340115584849798</v>
      </c>
      <c r="C420" s="915">
        <f t="shared" si="6"/>
        <v>67.340115584849798</v>
      </c>
      <c r="D420" s="1517"/>
      <c r="E420" s="2563"/>
      <c r="F420" s="512"/>
    </row>
    <row r="421" spans="1:6">
      <c r="A421" s="252">
        <v>2003.04</v>
      </c>
      <c r="B421" s="914">
        <v>67.378325452548111</v>
      </c>
      <c r="C421" s="915">
        <f t="shared" si="6"/>
        <v>67.378325452548111</v>
      </c>
      <c r="D421" s="1517"/>
      <c r="E421" s="2563"/>
      <c r="F421" s="512"/>
    </row>
    <row r="422" spans="1:6">
      <c r="A422" s="252">
        <v>2003.05</v>
      </c>
      <c r="B422" s="914">
        <v>67.115632612122084</v>
      </c>
      <c r="C422" s="915">
        <f t="shared" si="6"/>
        <v>67.115632612122084</v>
      </c>
      <c r="D422" s="1517"/>
      <c r="E422" s="2563"/>
      <c r="F422" s="512"/>
    </row>
    <row r="423" spans="1:6">
      <c r="A423" s="252">
        <v>2003.06</v>
      </c>
      <c r="B423" s="914">
        <v>67.058317810574579</v>
      </c>
      <c r="C423" s="915">
        <f t="shared" si="6"/>
        <v>67.058317810574579</v>
      </c>
      <c r="D423" s="1517"/>
      <c r="E423" s="2563"/>
      <c r="F423" s="512"/>
    </row>
    <row r="424" spans="1:6">
      <c r="A424" s="252">
        <v>2003.07</v>
      </c>
      <c r="B424" s="914">
        <v>67.359220518698947</v>
      </c>
      <c r="C424" s="915">
        <f t="shared" si="6"/>
        <v>67.359220518698947</v>
      </c>
      <c r="D424" s="1517"/>
      <c r="E424" s="2563"/>
      <c r="F424" s="512"/>
    </row>
    <row r="425" spans="1:6">
      <c r="A425" s="252">
        <v>2003.08</v>
      </c>
      <c r="B425" s="914">
        <v>67.373549219085831</v>
      </c>
      <c r="C425" s="915">
        <f t="shared" si="6"/>
        <v>67.373549219085831</v>
      </c>
      <c r="D425" s="1517"/>
      <c r="E425" s="2563"/>
      <c r="F425" s="512"/>
    </row>
    <row r="426" spans="1:6">
      <c r="A426" s="252">
        <v>2003.09</v>
      </c>
      <c r="B426" s="914">
        <v>67.402206619859584</v>
      </c>
      <c r="C426" s="915">
        <f t="shared" si="6"/>
        <v>67.402206619859584</v>
      </c>
      <c r="D426" s="1517"/>
      <c r="E426" s="2563"/>
      <c r="F426" s="512"/>
    </row>
    <row r="427" spans="1:6">
      <c r="A427" s="252">
        <v>2003.1</v>
      </c>
      <c r="B427" s="914">
        <v>67.798633997229771</v>
      </c>
      <c r="C427" s="915">
        <f t="shared" si="6"/>
        <v>67.798633997229771</v>
      </c>
      <c r="D427" s="1517"/>
      <c r="E427" s="2563"/>
      <c r="F427" s="512"/>
    </row>
    <row r="428" spans="1:6">
      <c r="A428" s="252">
        <v>2003.11</v>
      </c>
      <c r="B428" s="914">
        <v>67.965802168409994</v>
      </c>
      <c r="C428" s="915">
        <f t="shared" si="6"/>
        <v>67.965802168409994</v>
      </c>
      <c r="D428" s="1517"/>
      <c r="E428" s="2563"/>
      <c r="F428" s="512"/>
    </row>
    <row r="429" spans="1:6">
      <c r="A429" s="252">
        <v>2003.12</v>
      </c>
      <c r="B429" s="914">
        <v>68.109089172278743</v>
      </c>
      <c r="C429" s="915">
        <f t="shared" si="6"/>
        <v>68.109089172278743</v>
      </c>
      <c r="D429" s="1517"/>
      <c r="E429" s="2563"/>
      <c r="F429" s="512"/>
    </row>
    <row r="430" spans="1:6">
      <c r="A430" s="252">
        <v>2004.01</v>
      </c>
      <c r="B430" s="914">
        <v>68.395663180016228</v>
      </c>
      <c r="C430" s="915">
        <f t="shared" si="6"/>
        <v>68.395663180016228</v>
      </c>
      <c r="D430" s="1517"/>
      <c r="E430" s="2563"/>
      <c r="F430" s="512"/>
    </row>
    <row r="431" spans="1:6">
      <c r="A431" s="252">
        <v>2004.02</v>
      </c>
      <c r="B431" s="914">
        <v>68.462530448488323</v>
      </c>
      <c r="C431" s="915">
        <f t="shared" si="6"/>
        <v>68.462530448488323</v>
      </c>
      <c r="D431" s="1517"/>
      <c r="E431" s="2563"/>
      <c r="F431" s="512"/>
    </row>
    <row r="432" spans="1:6">
      <c r="A432" s="252">
        <v>2004.03</v>
      </c>
      <c r="B432" s="914">
        <v>68.873286526245394</v>
      </c>
      <c r="C432" s="915">
        <f t="shared" si="6"/>
        <v>68.873286526245394</v>
      </c>
      <c r="D432" s="1517"/>
      <c r="E432" s="2563"/>
      <c r="F432" s="512"/>
    </row>
    <row r="433" spans="1:6">
      <c r="A433" s="252">
        <v>2004.04</v>
      </c>
      <c r="B433" s="914">
        <v>69.460763242107276</v>
      </c>
      <c r="C433" s="915">
        <f t="shared" si="6"/>
        <v>69.460763242107276</v>
      </c>
      <c r="D433" s="1517"/>
      <c r="E433" s="2563"/>
      <c r="F433" s="512"/>
    </row>
    <row r="434" spans="1:6">
      <c r="A434" s="252">
        <v>2004.05</v>
      </c>
      <c r="B434" s="914">
        <v>69.876295553326656</v>
      </c>
      <c r="C434" s="915">
        <f t="shared" si="6"/>
        <v>69.876295553326656</v>
      </c>
      <c r="D434" s="1517"/>
      <c r="E434" s="2563"/>
      <c r="F434" s="512"/>
    </row>
    <row r="435" spans="1:6">
      <c r="A435" s="252">
        <v>2004.06</v>
      </c>
      <c r="B435" s="914">
        <v>70.363471366480397</v>
      </c>
      <c r="C435" s="915">
        <f t="shared" si="6"/>
        <v>70.363471366480397</v>
      </c>
      <c r="D435" s="1517"/>
      <c r="E435" s="2563"/>
      <c r="F435" s="512"/>
    </row>
    <row r="436" spans="1:6">
      <c r="A436" s="252">
        <v>2004.07</v>
      </c>
      <c r="B436" s="914">
        <v>70.688255241916224</v>
      </c>
      <c r="C436" s="915">
        <f t="shared" si="6"/>
        <v>70.688255241916224</v>
      </c>
      <c r="D436" s="1517"/>
      <c r="E436" s="2563"/>
      <c r="F436" s="512"/>
    </row>
    <row r="437" spans="1:6">
      <c r="A437" s="252">
        <v>2004.08</v>
      </c>
      <c r="B437" s="914">
        <v>70.931843148493087</v>
      </c>
      <c r="C437" s="915">
        <f t="shared" si="6"/>
        <v>70.931843148493087</v>
      </c>
      <c r="D437" s="1517"/>
      <c r="E437" s="2563"/>
      <c r="F437" s="512"/>
    </row>
    <row r="438" spans="1:6">
      <c r="A438" s="252">
        <v>2004.09</v>
      </c>
      <c r="B438" s="914">
        <v>71.3808090939485</v>
      </c>
      <c r="C438" s="915">
        <f t="shared" si="6"/>
        <v>71.3808090939485</v>
      </c>
      <c r="D438" s="1517"/>
      <c r="E438" s="2563"/>
      <c r="F438" s="512"/>
    </row>
    <row r="439" spans="1:6">
      <c r="A439" s="252">
        <v>2004.1</v>
      </c>
      <c r="B439" s="914">
        <v>71.662606868223705</v>
      </c>
      <c r="C439" s="915">
        <f t="shared" si="6"/>
        <v>71.662606868223705</v>
      </c>
      <c r="D439" s="1517"/>
      <c r="E439" s="2563"/>
      <c r="F439" s="512"/>
    </row>
    <row r="440" spans="1:6">
      <c r="A440" s="252">
        <v>2004.11</v>
      </c>
      <c r="B440" s="914">
        <v>71.662606868223705</v>
      </c>
      <c r="C440" s="915">
        <f t="shared" si="6"/>
        <v>71.662606868223705</v>
      </c>
      <c r="D440" s="1517"/>
      <c r="E440" s="2563"/>
      <c r="F440" s="512"/>
    </row>
    <row r="441" spans="1:6">
      <c r="A441" s="252">
        <v>2004.12</v>
      </c>
      <c r="B441" s="914">
        <v>72.264412284472471</v>
      </c>
      <c r="C441" s="915">
        <f t="shared" si="6"/>
        <v>72.264412284472471</v>
      </c>
      <c r="D441" s="1517"/>
      <c r="E441" s="2563"/>
      <c r="F441" s="512"/>
    </row>
    <row r="442" spans="1:6">
      <c r="A442" s="252">
        <v>2005.01</v>
      </c>
      <c r="B442" s="914">
        <v>73.334288580025785</v>
      </c>
      <c r="C442" s="915">
        <f t="shared" si="6"/>
        <v>73.334288580025785</v>
      </c>
      <c r="D442" s="1517"/>
      <c r="E442" s="2563"/>
      <c r="F442" s="512"/>
    </row>
    <row r="443" spans="1:6">
      <c r="A443" s="252">
        <v>2005.02</v>
      </c>
      <c r="B443" s="914">
        <v>74.031618665520369</v>
      </c>
      <c r="C443" s="915">
        <f t="shared" si="6"/>
        <v>74.031618665520369</v>
      </c>
      <c r="D443" s="1517"/>
      <c r="E443" s="2563"/>
      <c r="F443" s="512"/>
    </row>
    <row r="444" spans="1:6">
      <c r="A444" s="252">
        <v>2005.03</v>
      </c>
      <c r="B444" s="914">
        <v>75.173138463008058</v>
      </c>
      <c r="C444" s="915">
        <f t="shared" si="6"/>
        <v>75.173138463008058</v>
      </c>
      <c r="D444" s="1517"/>
      <c r="E444" s="2563"/>
      <c r="F444" s="512"/>
    </row>
    <row r="445" spans="1:6">
      <c r="A445" s="252">
        <v>2005.04</v>
      </c>
      <c r="B445" s="914">
        <v>75.540908439604522</v>
      </c>
      <c r="C445" s="915">
        <f t="shared" si="6"/>
        <v>75.540908439604522</v>
      </c>
      <c r="D445" s="1517"/>
      <c r="E445" s="2563"/>
      <c r="F445" s="512"/>
    </row>
    <row r="446" spans="1:6">
      <c r="A446" s="252">
        <v>2005.05</v>
      </c>
      <c r="B446" s="914">
        <v>75.994650618522243</v>
      </c>
      <c r="C446" s="915">
        <f t="shared" si="6"/>
        <v>75.994650618522243</v>
      </c>
      <c r="D446" s="1517"/>
      <c r="E446" s="2563"/>
      <c r="F446" s="512"/>
    </row>
    <row r="447" spans="1:6">
      <c r="A447" s="252">
        <v>2005.06</v>
      </c>
      <c r="B447" s="914">
        <v>76.6919807040168</v>
      </c>
      <c r="C447" s="915">
        <f t="shared" si="6"/>
        <v>76.6919807040168</v>
      </c>
      <c r="D447" s="1517"/>
      <c r="E447" s="2563"/>
      <c r="F447" s="512"/>
    </row>
    <row r="448" spans="1:6">
      <c r="A448" s="252">
        <v>2005.07</v>
      </c>
      <c r="B448" s="914">
        <v>77.460954291445773</v>
      </c>
      <c r="C448" s="915">
        <f t="shared" si="6"/>
        <v>77.460954291445773</v>
      </c>
      <c r="D448" s="1517"/>
      <c r="E448" s="2563"/>
      <c r="F448" s="512"/>
    </row>
    <row r="449" spans="1:6">
      <c r="A449" s="252">
        <v>2005.08</v>
      </c>
      <c r="B449" s="914">
        <v>77.80006686726847</v>
      </c>
      <c r="C449" s="915">
        <f t="shared" si="6"/>
        <v>77.80006686726847</v>
      </c>
      <c r="D449" s="1517"/>
      <c r="E449" s="2563"/>
      <c r="F449" s="512"/>
    </row>
    <row r="450" spans="1:6">
      <c r="A450" s="252">
        <v>2005.09</v>
      </c>
      <c r="B450" s="914">
        <v>78.707551225103884</v>
      </c>
      <c r="C450" s="915">
        <f t="shared" si="6"/>
        <v>78.707551225103884</v>
      </c>
      <c r="D450" s="1517"/>
      <c r="E450" s="2563"/>
      <c r="F450" s="512"/>
    </row>
    <row r="451" spans="1:6">
      <c r="A451" s="252">
        <v>2005.1</v>
      </c>
      <c r="B451" s="914">
        <v>79.318909108277197</v>
      </c>
      <c r="C451" s="915">
        <f t="shared" si="6"/>
        <v>79.318909108277197</v>
      </c>
      <c r="D451" s="1517"/>
      <c r="E451" s="2563"/>
      <c r="F451" s="512"/>
    </row>
    <row r="452" spans="1:6">
      <c r="A452" s="252">
        <v>2005.11</v>
      </c>
      <c r="B452" s="914">
        <v>80.278932034197837</v>
      </c>
      <c r="C452" s="915">
        <f t="shared" si="6"/>
        <v>80.278932034197837</v>
      </c>
      <c r="D452" s="1517"/>
      <c r="E452" s="2563"/>
      <c r="F452" s="512"/>
    </row>
    <row r="453" spans="1:6">
      <c r="A453" s="252">
        <v>2005.12</v>
      </c>
      <c r="B453" s="914">
        <v>81.172087691646354</v>
      </c>
      <c r="C453" s="915">
        <f t="shared" si="6"/>
        <v>81.172087691646354</v>
      </c>
      <c r="D453" s="1517"/>
      <c r="E453" s="2563"/>
      <c r="F453" s="512"/>
    </row>
    <row r="454" spans="1:6">
      <c r="A454" s="252">
        <v>2006.01</v>
      </c>
      <c r="B454" s="914">
        <v>82.208530352963649</v>
      </c>
      <c r="C454" s="915">
        <f t="shared" si="6"/>
        <v>82.208530352963649</v>
      </c>
      <c r="D454" s="1517"/>
      <c r="E454" s="2563"/>
      <c r="F454" s="512"/>
    </row>
    <row r="455" spans="1:6">
      <c r="A455" s="252">
        <v>2006.02</v>
      </c>
      <c r="B455" s="914">
        <v>82.53331422839949</v>
      </c>
      <c r="C455" s="915">
        <f t="shared" si="6"/>
        <v>82.53331422839949</v>
      </c>
      <c r="D455" s="1517"/>
      <c r="E455" s="2563"/>
      <c r="F455" s="512"/>
    </row>
    <row r="456" spans="1:6">
      <c r="A456" s="252">
        <v>2006.03</v>
      </c>
      <c r="B456" s="914">
        <v>83.526770788556135</v>
      </c>
      <c r="C456" s="915">
        <f t="shared" si="6"/>
        <v>83.526770788556135</v>
      </c>
      <c r="D456" s="1517"/>
      <c r="E456" s="2563"/>
      <c r="F456" s="512"/>
    </row>
    <row r="457" spans="1:6">
      <c r="A457" s="252">
        <v>2006.04</v>
      </c>
      <c r="B457" s="914">
        <v>84.338730477145731</v>
      </c>
      <c r="C457" s="915">
        <f t="shared" si="6"/>
        <v>84.338730477145731</v>
      </c>
      <c r="D457" s="1517"/>
      <c r="E457" s="2563"/>
      <c r="F457" s="512"/>
    </row>
    <row r="458" spans="1:6">
      <c r="A458" s="252">
        <v>2006.05</v>
      </c>
      <c r="B458" s="914">
        <v>84.735157854515933</v>
      </c>
      <c r="C458" s="915">
        <f t="shared" si="6"/>
        <v>84.735157854515933</v>
      </c>
      <c r="D458" s="1517"/>
      <c r="E458" s="2563"/>
      <c r="F458" s="512"/>
    </row>
    <row r="459" spans="1:6">
      <c r="A459" s="252">
        <v>2006.06</v>
      </c>
      <c r="B459" s="914">
        <v>85.145913932273004</v>
      </c>
      <c r="C459" s="915">
        <f t="shared" si="6"/>
        <v>85.145913932273004</v>
      </c>
      <c r="D459" s="1517"/>
      <c r="E459" s="2563"/>
      <c r="F459" s="512"/>
    </row>
    <row r="460" spans="1:6">
      <c r="A460" s="252">
        <v>2006.07</v>
      </c>
      <c r="B460" s="914">
        <v>85.671299613125086</v>
      </c>
      <c r="C460" s="915">
        <f>B460</f>
        <v>85.671299613125086</v>
      </c>
      <c r="D460" s="1517"/>
      <c r="E460" s="2563"/>
      <c r="F460" s="512"/>
    </row>
    <row r="461" spans="1:6">
      <c r="A461" s="252">
        <v>2006.08</v>
      </c>
      <c r="B461" s="914">
        <v>86.153699192816546</v>
      </c>
      <c r="C461" s="915">
        <f>B461</f>
        <v>86.153699192816546</v>
      </c>
      <c r="D461" s="1517"/>
      <c r="E461" s="2563"/>
      <c r="F461" s="512"/>
    </row>
    <row r="462" spans="1:6">
      <c r="A462" s="252">
        <v>2006.09</v>
      </c>
      <c r="B462" s="914">
        <v>86.927449013707786</v>
      </c>
      <c r="C462" s="915">
        <f>B462</f>
        <v>86.927449013707786</v>
      </c>
      <c r="D462" s="1517"/>
      <c r="E462" s="2563"/>
      <c r="F462" s="512"/>
    </row>
    <row r="463" spans="1:6">
      <c r="A463" s="252">
        <v>2006.1</v>
      </c>
      <c r="B463" s="914">
        <v>87.672541433825273</v>
      </c>
      <c r="C463" s="916">
        <f>C462*(1+D463)</f>
        <v>87.53594115680373</v>
      </c>
      <c r="D463" s="1518">
        <v>6.9999999999999004E-3</v>
      </c>
      <c r="E463" s="2563"/>
      <c r="F463" s="512"/>
    </row>
    <row r="464" spans="1:6">
      <c r="A464" s="252">
        <v>2006.11</v>
      </c>
      <c r="B464" s="914">
        <v>88.293451783923203</v>
      </c>
      <c r="C464" s="915">
        <f t="shared" ref="C464:C494" si="7">C463*(1+D464)</f>
        <v>88.411300568371772</v>
      </c>
      <c r="D464" s="1519">
        <v>0.01</v>
      </c>
      <c r="E464" s="2563"/>
      <c r="F464" s="512"/>
    </row>
    <row r="465" spans="1:6">
      <c r="A465" s="252">
        <v>2006.12</v>
      </c>
      <c r="B465" s="914">
        <v>89.157950040597981</v>
      </c>
      <c r="C465" s="915">
        <f>C464*(1+D465)</f>
        <v>89.82588137746572</v>
      </c>
      <c r="D465" s="1519">
        <v>1.6000000000000014E-2</v>
      </c>
      <c r="E465" s="2563"/>
      <c r="F465" s="512"/>
    </row>
    <row r="466" spans="1:6">
      <c r="A466" s="252">
        <v>2007.01</v>
      </c>
      <c r="B466" s="914">
        <v>90.180064001528393</v>
      </c>
      <c r="C466" s="915">
        <f t="shared" si="7"/>
        <v>91.173269598127703</v>
      </c>
      <c r="D466" s="1519">
        <v>1.4999999999999902E-2</v>
      </c>
      <c r="E466" s="2563"/>
      <c r="F466" s="512"/>
    </row>
    <row r="467" spans="1:6">
      <c r="A467" s="252">
        <v>2007.02</v>
      </c>
      <c r="B467" s="914">
        <v>90.452309308879009</v>
      </c>
      <c r="C467" s="915">
        <f t="shared" si="7"/>
        <v>91.993829024510845</v>
      </c>
      <c r="D467" s="1519">
        <v>8.999999999999897E-3</v>
      </c>
      <c r="E467" s="2563"/>
      <c r="F467" s="512"/>
    </row>
    <row r="468" spans="1:6">
      <c r="A468" s="252">
        <v>2007.03</v>
      </c>
      <c r="B468" s="914">
        <v>91.144863160911299</v>
      </c>
      <c r="C468" s="915">
        <f t="shared" si="7"/>
        <v>93.281742630853998</v>
      </c>
      <c r="D468" s="1519">
        <v>1.4000000000000012E-2</v>
      </c>
      <c r="E468" s="2563"/>
      <c r="F468" s="512"/>
    </row>
    <row r="469" spans="1:6">
      <c r="A469" s="252">
        <v>2007.04</v>
      </c>
      <c r="B469" s="914">
        <v>91.823088312556706</v>
      </c>
      <c r="C469" s="915">
        <f t="shared" si="7"/>
        <v>95.520504453994491</v>
      </c>
      <c r="D469" s="1519">
        <v>2.4000000000000021E-2</v>
      </c>
      <c r="E469" s="2563"/>
      <c r="F469" s="512"/>
    </row>
    <row r="470" spans="1:6">
      <c r="A470" s="252">
        <v>2007.05</v>
      </c>
      <c r="B470" s="914">
        <v>92.205186989540053</v>
      </c>
      <c r="C470" s="915">
        <f t="shared" si="7"/>
        <v>97.43091454307438</v>
      </c>
      <c r="D470" s="1519">
        <v>0.02</v>
      </c>
      <c r="E470" s="2563"/>
      <c r="F470" s="512"/>
    </row>
    <row r="471" spans="1:6">
      <c r="A471" s="252">
        <v>2007.06</v>
      </c>
      <c r="B471" s="914">
        <v>92.61116683383483</v>
      </c>
      <c r="C471" s="915">
        <f t="shared" si="7"/>
        <v>99.866687406651224</v>
      </c>
      <c r="D471" s="1519">
        <v>2.4999999999999911E-2</v>
      </c>
      <c r="E471" s="2563"/>
      <c r="F471" s="512"/>
    </row>
    <row r="472" spans="1:6">
      <c r="A472" s="252">
        <v>2007.07</v>
      </c>
      <c r="B472" s="914">
        <v>93.074461479677126</v>
      </c>
      <c r="C472" s="915">
        <f t="shared" si="7"/>
        <v>101.96388784219089</v>
      </c>
      <c r="D472" s="1519">
        <v>2.0999999999999908E-2</v>
      </c>
      <c r="E472" s="2563"/>
      <c r="F472" s="512"/>
    </row>
    <row r="473" spans="1:6">
      <c r="A473" s="252">
        <v>2007.08</v>
      </c>
      <c r="B473" s="914">
        <v>93.618952094378372</v>
      </c>
      <c r="C473" s="915">
        <f t="shared" si="7"/>
        <v>105.12476836529879</v>
      </c>
      <c r="D473" s="1519">
        <v>3.0999999999999917E-2</v>
      </c>
      <c r="E473" s="2563"/>
      <c r="F473" s="512"/>
    </row>
    <row r="474" spans="1:6">
      <c r="A474" s="252">
        <v>2007.09</v>
      </c>
      <c r="B474" s="914">
        <v>94.368820747958154</v>
      </c>
      <c r="C474" s="915">
        <f t="shared" si="7"/>
        <v>106.91188942750887</v>
      </c>
      <c r="D474" s="1519">
        <v>1.6999999999999904E-2</v>
      </c>
      <c r="E474" s="2563"/>
      <c r="F474" s="512"/>
    </row>
    <row r="475" spans="1:6">
      <c r="A475" s="252">
        <v>2007.1</v>
      </c>
      <c r="B475" s="914">
        <v>95.013612265367527</v>
      </c>
      <c r="C475" s="915">
        <f t="shared" si="7"/>
        <v>108.62247965834901</v>
      </c>
      <c r="D475" s="1519">
        <v>1.6000000000000014E-2</v>
      </c>
      <c r="E475" s="2563"/>
      <c r="F475" s="512"/>
    </row>
    <row r="476" spans="1:6">
      <c r="A476" s="252">
        <v>2007.11</v>
      </c>
      <c r="B476" s="914">
        <v>95.825571953957095</v>
      </c>
      <c r="C476" s="915">
        <f t="shared" si="7"/>
        <v>110.68630677185763</v>
      </c>
      <c r="D476" s="1519">
        <v>1.8999999999999906E-2</v>
      </c>
      <c r="E476" s="2563"/>
      <c r="F476" s="512"/>
    </row>
    <row r="477" spans="1:6">
      <c r="A477" s="252">
        <v>2007.12</v>
      </c>
      <c r="B477" s="914">
        <v>96.713951377943346</v>
      </c>
      <c r="C477" s="915">
        <f t="shared" si="7"/>
        <v>112.90003290729479</v>
      </c>
      <c r="D477" s="1519">
        <v>0.02</v>
      </c>
      <c r="E477" s="2563"/>
      <c r="F477" s="512"/>
    </row>
    <row r="478" spans="1:6">
      <c r="A478" s="252">
        <f t="shared" ref="A478:A541" si="8">A466+1</f>
        <v>2008.01</v>
      </c>
      <c r="B478" s="914">
        <v>97.611883268854186</v>
      </c>
      <c r="C478" s="915">
        <f t="shared" si="7"/>
        <v>115.27093359834797</v>
      </c>
      <c r="D478" s="1519">
        <v>2.0999999999999908E-2</v>
      </c>
      <c r="E478" s="2563"/>
      <c r="F478" s="512"/>
    </row>
    <row r="479" spans="1:6">
      <c r="A479" s="252">
        <f t="shared" si="8"/>
        <v>2008.02</v>
      </c>
      <c r="B479" s="914">
        <v>98.070401681234188</v>
      </c>
      <c r="C479" s="915">
        <f t="shared" si="7"/>
        <v>116.76945573512648</v>
      </c>
      <c r="D479" s="1519">
        <v>1.2999999999999901E-2</v>
      </c>
      <c r="E479" s="2563"/>
      <c r="F479" s="512"/>
    </row>
    <row r="480" spans="1:6">
      <c r="A480" s="252">
        <f t="shared" si="8"/>
        <v>2008.03</v>
      </c>
      <c r="B480" s="914">
        <v>99.178487844485844</v>
      </c>
      <c r="C480" s="915">
        <f t="shared" si="7"/>
        <v>120.50607831865054</v>
      </c>
      <c r="D480" s="1519">
        <v>3.2000000000000028E-2</v>
      </c>
      <c r="E480" s="2563"/>
      <c r="F480" s="512"/>
    </row>
    <row r="481" spans="1:6">
      <c r="A481" s="252">
        <f t="shared" si="8"/>
        <v>2008.04</v>
      </c>
      <c r="B481" s="914">
        <v>100</v>
      </c>
      <c r="C481" s="915">
        <f t="shared" si="7"/>
        <v>123.15721204166086</v>
      </c>
      <c r="D481" s="1519">
        <v>2.200000000000002E-2</v>
      </c>
      <c r="E481" s="2563"/>
      <c r="F481" s="512"/>
    </row>
    <row r="482" spans="1:6">
      <c r="A482" s="252">
        <f t="shared" si="8"/>
        <v>2008.05</v>
      </c>
      <c r="B482" s="914">
        <v>100.56</v>
      </c>
      <c r="C482" s="915">
        <f t="shared" si="7"/>
        <v>125.12772743432743</v>
      </c>
      <c r="D482" s="1519">
        <v>1.6000000000000014E-2</v>
      </c>
      <c r="E482" s="2563"/>
      <c r="F482" s="512"/>
    </row>
    <row r="483" spans="1:6">
      <c r="A483" s="252">
        <f t="shared" si="8"/>
        <v>2008.06</v>
      </c>
      <c r="B483" s="914">
        <v>101.2</v>
      </c>
      <c r="C483" s="915">
        <f t="shared" si="7"/>
        <v>127.75540971044829</v>
      </c>
      <c r="D483" s="1519">
        <v>2.0999999999999908E-2</v>
      </c>
      <c r="E483" s="2563"/>
      <c r="F483" s="512"/>
    </row>
    <row r="484" spans="1:6">
      <c r="A484" s="252">
        <f t="shared" si="8"/>
        <v>2008.07</v>
      </c>
      <c r="B484" s="914">
        <v>101.57</v>
      </c>
      <c r="C484" s="915">
        <f t="shared" si="7"/>
        <v>130.43827331436771</v>
      </c>
      <c r="D484" s="1519">
        <v>2.0999999999999908E-2</v>
      </c>
      <c r="E484" s="2563"/>
      <c r="F484" s="512"/>
    </row>
    <row r="485" spans="1:6">
      <c r="A485" s="252">
        <f t="shared" si="8"/>
        <v>2008.08</v>
      </c>
      <c r="B485" s="914">
        <v>102.05</v>
      </c>
      <c r="C485" s="915">
        <f t="shared" si="7"/>
        <v>133.04703878065507</v>
      </c>
      <c r="D485" s="1519">
        <v>0.02</v>
      </c>
      <c r="E485" s="2563"/>
      <c r="F485" s="512"/>
    </row>
    <row r="486" spans="1:6">
      <c r="A486" s="252">
        <f t="shared" si="8"/>
        <v>2008.09</v>
      </c>
      <c r="B486" s="914">
        <v>102.57</v>
      </c>
      <c r="C486" s="915">
        <f t="shared" si="7"/>
        <v>134.90969732358425</v>
      </c>
      <c r="D486" s="1519">
        <v>1.4000000000000012E-2</v>
      </c>
      <c r="E486" s="2563"/>
      <c r="F486" s="512"/>
    </row>
    <row r="487" spans="1:6">
      <c r="A487" s="252">
        <f t="shared" si="8"/>
        <v>2008.1</v>
      </c>
      <c r="B487" s="914">
        <v>103.01</v>
      </c>
      <c r="C487" s="915">
        <f t="shared" si="7"/>
        <v>136.39370399414366</v>
      </c>
      <c r="D487" s="1519">
        <v>1.0999999999999899E-2</v>
      </c>
      <c r="E487" s="2563"/>
      <c r="F487" s="512"/>
    </row>
    <row r="488" spans="1:6">
      <c r="A488" s="252">
        <f t="shared" si="8"/>
        <v>2008.11</v>
      </c>
      <c r="B488" s="914">
        <v>103.36</v>
      </c>
      <c r="C488" s="915">
        <f t="shared" si="7"/>
        <v>137.34845992210265</v>
      </c>
      <c r="D488" s="1519">
        <v>6.9999999999998952E-3</v>
      </c>
      <c r="E488" s="2563"/>
      <c r="F488" s="512"/>
    </row>
    <row r="489" spans="1:6">
      <c r="A489" s="252">
        <f t="shared" si="8"/>
        <v>2008.12</v>
      </c>
      <c r="B489" s="914">
        <v>103.71</v>
      </c>
      <c r="C489" s="915">
        <f t="shared" si="7"/>
        <v>138.85929298124577</v>
      </c>
      <c r="D489" s="1519">
        <v>1.0999999999999899E-2</v>
      </c>
      <c r="E489" s="2563"/>
      <c r="F489" s="512"/>
    </row>
    <row r="490" spans="1:6">
      <c r="A490" s="252">
        <f t="shared" si="8"/>
        <v>2009.01</v>
      </c>
      <c r="B490" s="914">
        <v>104.26</v>
      </c>
      <c r="C490" s="915">
        <f t="shared" si="7"/>
        <v>140.94218237596445</v>
      </c>
      <c r="D490" s="1519">
        <v>1.4999999999999999E-2</v>
      </c>
      <c r="E490" s="2563"/>
      <c r="F490" s="512"/>
    </row>
    <row r="491" spans="1:6">
      <c r="A491" s="252">
        <f t="shared" si="8"/>
        <v>2009.02</v>
      </c>
      <c r="B491" s="914">
        <v>104.71</v>
      </c>
      <c r="C491" s="915">
        <f t="shared" si="7"/>
        <v>142.21066201734811</v>
      </c>
      <c r="D491" s="1519">
        <v>8.9999999999999993E-3</v>
      </c>
      <c r="E491" s="2563"/>
      <c r="F491" s="512"/>
    </row>
    <row r="492" spans="1:6">
      <c r="A492" s="252">
        <f t="shared" si="8"/>
        <v>2009.03</v>
      </c>
      <c r="B492" s="914">
        <v>105.38</v>
      </c>
      <c r="C492" s="915">
        <f t="shared" si="7"/>
        <v>143.91718996155629</v>
      </c>
      <c r="D492" s="1519">
        <v>1.2E-2</v>
      </c>
      <c r="E492" s="2563"/>
      <c r="F492" s="512"/>
    </row>
    <row r="493" spans="1:6">
      <c r="A493" s="252">
        <f t="shared" si="8"/>
        <v>2009.04</v>
      </c>
      <c r="B493" s="914">
        <v>105.73</v>
      </c>
      <c r="C493" s="915">
        <f t="shared" si="7"/>
        <v>145.64419624109496</v>
      </c>
      <c r="D493" s="1519">
        <v>1.2E-2</v>
      </c>
      <c r="E493" s="2563"/>
      <c r="F493" s="512"/>
    </row>
    <row r="494" spans="1:6">
      <c r="A494" s="252">
        <f t="shared" si="8"/>
        <v>2009.05</v>
      </c>
      <c r="B494" s="914">
        <v>106.08</v>
      </c>
      <c r="C494" s="915">
        <f t="shared" si="7"/>
        <v>146.6637056147826</v>
      </c>
      <c r="D494" s="1519">
        <v>7.0000000000000001E-3</v>
      </c>
      <c r="E494" s="2563"/>
      <c r="F494" s="512"/>
    </row>
    <row r="495" spans="1:6">
      <c r="A495" s="252">
        <f t="shared" si="8"/>
        <v>2009.06</v>
      </c>
      <c r="B495" s="914">
        <v>106.53</v>
      </c>
      <c r="C495" s="915">
        <f t="shared" ref="C495:C512" si="9">C494*(1+D495)</f>
        <v>147.54368784847131</v>
      </c>
      <c r="D495" s="1519">
        <v>6.0000000000000001E-3</v>
      </c>
      <c r="E495" s="2563"/>
      <c r="F495" s="512"/>
    </row>
    <row r="496" spans="1:6">
      <c r="A496" s="252">
        <f t="shared" si="8"/>
        <v>2009.07</v>
      </c>
      <c r="B496" s="914">
        <v>107.19</v>
      </c>
      <c r="C496" s="915">
        <f t="shared" si="9"/>
        <v>149.31421210265296</v>
      </c>
      <c r="D496" s="1519">
        <v>1.2E-2</v>
      </c>
      <c r="E496" s="2563"/>
      <c r="F496" s="512"/>
    </row>
    <row r="497" spans="1:6">
      <c r="A497" s="252">
        <f t="shared" si="8"/>
        <v>2009.08</v>
      </c>
      <c r="B497" s="914">
        <v>108.08</v>
      </c>
      <c r="C497" s="915">
        <f t="shared" si="9"/>
        <v>151.25529685998742</v>
      </c>
      <c r="D497" s="1519">
        <v>1.2999999999999999E-2</v>
      </c>
      <c r="E497" s="2563"/>
      <c r="F497" s="512"/>
    </row>
    <row r="498" spans="1:6">
      <c r="A498" s="252">
        <f t="shared" si="8"/>
        <v>2009.09</v>
      </c>
      <c r="B498" s="914">
        <v>108.88</v>
      </c>
      <c r="C498" s="915">
        <f t="shared" si="9"/>
        <v>153.07036042230729</v>
      </c>
      <c r="D498" s="1519">
        <v>1.2E-2</v>
      </c>
      <c r="E498" s="2563"/>
      <c r="F498" s="512"/>
    </row>
    <row r="499" spans="1:6">
      <c r="A499" s="252">
        <f t="shared" si="8"/>
        <v>2009.1</v>
      </c>
      <c r="B499" s="914">
        <v>109.75</v>
      </c>
      <c r="C499" s="915">
        <f t="shared" si="9"/>
        <v>154.60106402653037</v>
      </c>
      <c r="D499" s="1519">
        <v>0.01</v>
      </c>
      <c r="E499" s="2563"/>
      <c r="F499" s="512"/>
    </row>
    <row r="500" spans="1:6">
      <c r="A500" s="252">
        <f t="shared" si="8"/>
        <v>2009.11</v>
      </c>
      <c r="B500" s="914">
        <v>110.66</v>
      </c>
      <c r="C500" s="915">
        <f t="shared" si="9"/>
        <v>156.61087785887526</v>
      </c>
      <c r="D500" s="1519">
        <v>1.2999999999999999E-2</v>
      </c>
      <c r="E500" s="2563"/>
      <c r="F500" s="512"/>
    </row>
    <row r="501" spans="1:6">
      <c r="A501" s="252">
        <f t="shared" si="8"/>
        <v>2009.12</v>
      </c>
      <c r="B501" s="914">
        <v>111.69</v>
      </c>
      <c r="C501" s="915">
        <f t="shared" si="9"/>
        <v>159.42987366033501</v>
      </c>
      <c r="D501" s="1519">
        <v>1.7999999999999999E-2</v>
      </c>
      <c r="E501" s="2563"/>
      <c r="F501" s="512"/>
    </row>
    <row r="502" spans="1:6">
      <c r="A502" s="252">
        <f t="shared" si="8"/>
        <v>2010.01</v>
      </c>
      <c r="B502" s="914">
        <v>112.85</v>
      </c>
      <c r="C502" s="915">
        <f t="shared" si="9"/>
        <v>163.09676075452271</v>
      </c>
      <c r="D502" s="1519">
        <v>2.3E-2</v>
      </c>
      <c r="E502" s="2563"/>
      <c r="F502" s="512"/>
    </row>
    <row r="503" spans="1:6">
      <c r="A503" s="201">
        <f t="shared" si="8"/>
        <v>2010.02</v>
      </c>
      <c r="B503" s="914">
        <v>114.26</v>
      </c>
      <c r="C503" s="915">
        <f t="shared" si="9"/>
        <v>167.82656681640384</v>
      </c>
      <c r="D503" s="1519">
        <v>2.9000000000000001E-2</v>
      </c>
      <c r="E503" s="2563"/>
      <c r="F503" s="512"/>
    </row>
    <row r="504" spans="1:6">
      <c r="A504" s="201">
        <f t="shared" si="8"/>
        <v>2010.03</v>
      </c>
      <c r="B504" s="914">
        <v>115.56</v>
      </c>
      <c r="C504" s="915">
        <f t="shared" si="9"/>
        <v>172.69353725407953</v>
      </c>
      <c r="D504" s="1519">
        <v>2.9000000000000001E-2</v>
      </c>
      <c r="E504" s="2563"/>
      <c r="F504" s="512"/>
    </row>
    <row r="505" spans="1:6">
      <c r="A505" s="201">
        <f t="shared" si="8"/>
        <v>2010.04</v>
      </c>
      <c r="B505" s="914">
        <v>116.52</v>
      </c>
      <c r="C505" s="915">
        <f t="shared" si="9"/>
        <v>175.80202092465296</v>
      </c>
      <c r="D505" s="1519">
        <v>1.7999999999999999E-2</v>
      </c>
      <c r="E505" s="2563"/>
      <c r="F505" s="512"/>
    </row>
    <row r="506" spans="1:6">
      <c r="A506" s="201">
        <f t="shared" si="8"/>
        <v>2010.05</v>
      </c>
      <c r="B506" s="914">
        <v>117.39</v>
      </c>
      <c r="C506" s="915">
        <f t="shared" si="9"/>
        <v>177.91164517574879</v>
      </c>
      <c r="D506" s="1519">
        <v>1.2E-2</v>
      </c>
      <c r="E506" s="2563"/>
      <c r="F506" s="512"/>
    </row>
    <row r="507" spans="1:6">
      <c r="A507" s="201">
        <f t="shared" si="8"/>
        <v>2010.06</v>
      </c>
      <c r="B507" s="914">
        <v>118.25</v>
      </c>
      <c r="C507" s="915">
        <f t="shared" si="9"/>
        <v>180.75823149856078</v>
      </c>
      <c r="D507" s="1519">
        <v>1.6E-2</v>
      </c>
      <c r="E507" s="2563"/>
      <c r="F507" s="512"/>
    </row>
    <row r="508" spans="1:6">
      <c r="A508" s="201">
        <f t="shared" si="8"/>
        <v>2010.07</v>
      </c>
      <c r="B508" s="914">
        <v>119.2</v>
      </c>
      <c r="C508" s="915">
        <f t="shared" si="9"/>
        <v>184.19263789703342</v>
      </c>
      <c r="D508" s="1519">
        <v>1.9E-2</v>
      </c>
      <c r="E508" s="2563"/>
      <c r="F508" s="512"/>
    </row>
    <row r="509" spans="1:6">
      <c r="A509" s="201">
        <f t="shared" si="8"/>
        <v>2010.08</v>
      </c>
      <c r="B509" s="914">
        <v>120.8</v>
      </c>
      <c r="C509" s="915">
        <f t="shared" si="9"/>
        <v>186.9555274654889</v>
      </c>
      <c r="D509" s="1519">
        <v>1.4999999999999999E-2</v>
      </c>
      <c r="E509" s="2563"/>
      <c r="F509" s="512"/>
    </row>
    <row r="510" spans="1:6">
      <c r="A510" s="201">
        <f t="shared" si="8"/>
        <v>2010.09</v>
      </c>
      <c r="B510" s="914">
        <v>120.95</v>
      </c>
      <c r="C510" s="915">
        <f t="shared" si="9"/>
        <v>189.57290485000576</v>
      </c>
      <c r="D510" s="1519">
        <v>1.4E-2</v>
      </c>
      <c r="E510" s="2563"/>
      <c r="F510" s="512"/>
    </row>
    <row r="511" spans="1:6">
      <c r="A511" s="201">
        <f t="shared" si="8"/>
        <v>2010.1</v>
      </c>
      <c r="B511" s="914">
        <v>121.97</v>
      </c>
      <c r="C511" s="915">
        <f t="shared" si="9"/>
        <v>194.31222747125588</v>
      </c>
      <c r="D511" s="1519">
        <v>2.5000000000000001E-2</v>
      </c>
      <c r="E511" s="2563"/>
      <c r="F511" s="512"/>
    </row>
    <row r="512" spans="1:6">
      <c r="A512" s="201">
        <f t="shared" si="8"/>
        <v>2010.11</v>
      </c>
      <c r="B512" s="914">
        <v>122.86</v>
      </c>
      <c r="C512" s="915">
        <f t="shared" si="9"/>
        <v>196.83828642838219</v>
      </c>
      <c r="D512" s="1519">
        <v>1.2999999999999999E-2</v>
      </c>
      <c r="E512" s="2563"/>
      <c r="F512" s="512"/>
    </row>
    <row r="513" spans="1:6">
      <c r="A513" s="201">
        <f t="shared" si="8"/>
        <v>2010.12</v>
      </c>
      <c r="B513" s="914">
        <v>123.89</v>
      </c>
      <c r="C513" s="917">
        <v>200.34159459790487</v>
      </c>
      <c r="D513" s="1520" t="s">
        <v>230</v>
      </c>
      <c r="E513" s="2563"/>
      <c r="F513" s="512"/>
    </row>
    <row r="514" spans="1:6">
      <c r="A514" s="252">
        <f t="shared" si="8"/>
        <v>2011.01</v>
      </c>
      <c r="B514" s="914">
        <v>124.79</v>
      </c>
      <c r="C514" s="917">
        <v>202.44665257696022</v>
      </c>
      <c r="D514" s="1520"/>
      <c r="E514" s="2563"/>
      <c r="F514" s="512"/>
    </row>
    <row r="515" spans="1:6">
      <c r="A515" s="201">
        <f t="shared" si="8"/>
        <v>2011.02</v>
      </c>
      <c r="B515" s="914">
        <v>125.71</v>
      </c>
      <c r="C515" s="917">
        <v>205.1586433309987</v>
      </c>
      <c r="D515" s="1521"/>
      <c r="E515" s="2563"/>
      <c r="F515" s="512"/>
    </row>
    <row r="516" spans="1:6">
      <c r="A516" s="201">
        <f t="shared" si="8"/>
        <v>2011.03</v>
      </c>
      <c r="B516" s="914">
        <v>126.77</v>
      </c>
      <c r="C516" s="917">
        <v>210.67481715932615</v>
      </c>
      <c r="D516" s="1521"/>
      <c r="E516" s="2563"/>
      <c r="F516" s="512"/>
    </row>
    <row r="517" spans="1:6">
      <c r="A517" s="201">
        <f t="shared" si="8"/>
        <v>2011.04</v>
      </c>
      <c r="B517" s="914">
        <v>127.83</v>
      </c>
      <c r="C517" s="917">
        <v>215.24601970508499</v>
      </c>
      <c r="D517" s="1521"/>
      <c r="E517" s="2563"/>
      <c r="F517" s="512"/>
    </row>
    <row r="518" spans="1:6">
      <c r="A518" s="201">
        <f t="shared" si="8"/>
        <v>2011.05</v>
      </c>
      <c r="B518" s="914">
        <v>128.77000000000001</v>
      </c>
      <c r="C518" s="916">
        <f t="shared" ref="C518:C549" si="10">C517*(1+E518)</f>
        <v>218.47471000066125</v>
      </c>
      <c r="D518" s="1521"/>
      <c r="E518" s="2564">
        <v>1.4999999999999999E-2</v>
      </c>
      <c r="F518" s="512"/>
    </row>
    <row r="519" spans="1:6">
      <c r="A519" s="201">
        <f t="shared" si="8"/>
        <v>2011.06</v>
      </c>
      <c r="B519" s="914">
        <v>129.69</v>
      </c>
      <c r="C519" s="915">
        <f t="shared" si="10"/>
        <v>221.75183065067114</v>
      </c>
      <c r="D519" s="1521"/>
      <c r="E519" s="2565">
        <v>1.4999999999999999E-2</v>
      </c>
      <c r="F519" s="512"/>
    </row>
    <row r="520" spans="1:6">
      <c r="A520" s="201">
        <f t="shared" si="8"/>
        <v>2011.07</v>
      </c>
      <c r="B520" s="914">
        <v>130.72</v>
      </c>
      <c r="C520" s="915">
        <f t="shared" si="10"/>
        <v>225.29985994108188</v>
      </c>
      <c r="D520" s="1521"/>
      <c r="E520" s="2565">
        <v>1.6E-2</v>
      </c>
      <c r="F520" s="512"/>
    </row>
    <row r="521" spans="1:6">
      <c r="A521" s="201">
        <f t="shared" si="8"/>
        <v>2011.08</v>
      </c>
      <c r="B521" s="914">
        <v>131.81</v>
      </c>
      <c r="C521" s="915">
        <f t="shared" si="10"/>
        <v>229.58055727996242</v>
      </c>
      <c r="D521" s="1521"/>
      <c r="E521" s="2565">
        <v>1.9E-2</v>
      </c>
      <c r="F521" s="512"/>
    </row>
    <row r="522" spans="1:6">
      <c r="A522" s="201">
        <f t="shared" si="8"/>
        <v>2011.09</v>
      </c>
      <c r="B522" s="914">
        <v>132.91</v>
      </c>
      <c r="C522" s="915">
        <f t="shared" si="10"/>
        <v>233.94258786828169</v>
      </c>
      <c r="D522" s="1521"/>
      <c r="E522" s="2565">
        <v>1.9E-2</v>
      </c>
      <c r="F522" s="512"/>
    </row>
    <row r="523" spans="1:6">
      <c r="A523" s="201">
        <f t="shared" si="8"/>
        <v>2011.1</v>
      </c>
      <c r="B523" s="914">
        <v>133.75</v>
      </c>
      <c r="C523" s="915">
        <f t="shared" si="10"/>
        <v>237.42833242751908</v>
      </c>
      <c r="D523" s="1521"/>
      <c r="E523" s="2565">
        <v>1.49E-2</v>
      </c>
      <c r="F523" s="512"/>
    </row>
    <row r="524" spans="1:6">
      <c r="A524" s="201">
        <f t="shared" si="8"/>
        <v>2011.11</v>
      </c>
      <c r="B524" s="914">
        <v>134.54</v>
      </c>
      <c r="C524" s="915">
        <f t="shared" si="10"/>
        <v>240.84730041447534</v>
      </c>
      <c r="D524" s="1521"/>
      <c r="E524" s="2565">
        <v>1.44E-2</v>
      </c>
      <c r="F524" s="512"/>
    </row>
    <row r="525" spans="1:6">
      <c r="A525" s="201">
        <f t="shared" si="8"/>
        <v>2011.12</v>
      </c>
      <c r="B525" s="914">
        <v>135.66999999999999</v>
      </c>
      <c r="C525" s="915">
        <f t="shared" si="10"/>
        <v>245.42339912235036</v>
      </c>
      <c r="D525" s="1521"/>
      <c r="E525" s="2565">
        <v>1.9E-2</v>
      </c>
      <c r="F525" s="512"/>
    </row>
    <row r="526" spans="1:6">
      <c r="A526" s="252">
        <f t="shared" si="8"/>
        <v>2012.01</v>
      </c>
      <c r="B526" s="914">
        <v>136.91</v>
      </c>
      <c r="C526" s="915">
        <f t="shared" si="10"/>
        <v>250.08644370567498</v>
      </c>
      <c r="D526" s="1521"/>
      <c r="E526" s="2565">
        <v>1.9E-2</v>
      </c>
      <c r="F526" s="512"/>
    </row>
    <row r="527" spans="1:6">
      <c r="A527" s="201">
        <f t="shared" si="8"/>
        <v>2012.02</v>
      </c>
      <c r="B527" s="914">
        <v>137.91999999999999</v>
      </c>
      <c r="C527" s="915">
        <f t="shared" si="10"/>
        <v>254.21287002681862</v>
      </c>
      <c r="D527" s="1521"/>
      <c r="E527" s="2565">
        <v>1.6500000000000001E-2</v>
      </c>
      <c r="F527" s="512"/>
    </row>
    <row r="528" spans="1:6">
      <c r="A528" s="201">
        <f t="shared" si="8"/>
        <v>2012.03</v>
      </c>
      <c r="B528" s="914">
        <v>139.21</v>
      </c>
      <c r="C528" s="915">
        <f t="shared" si="10"/>
        <v>260.0851873244381</v>
      </c>
      <c r="D528" s="1521"/>
      <c r="E528" s="2565">
        <v>2.3099999999999999E-2</v>
      </c>
      <c r="F528" s="512"/>
    </row>
    <row r="529" spans="1:6">
      <c r="A529" s="201">
        <f t="shared" si="8"/>
        <v>2012.04</v>
      </c>
      <c r="B529" s="914">
        <v>140.37</v>
      </c>
      <c r="C529" s="915">
        <f t="shared" si="10"/>
        <v>265.703027370646</v>
      </c>
      <c r="D529" s="1521"/>
      <c r="E529" s="2565">
        <v>2.1600000000000001E-2</v>
      </c>
      <c r="F529" s="512"/>
    </row>
    <row r="530" spans="1:6">
      <c r="A530" s="201">
        <f t="shared" si="8"/>
        <v>2012.05</v>
      </c>
      <c r="B530" s="914">
        <v>141.51</v>
      </c>
      <c r="C530" s="915">
        <f t="shared" si="10"/>
        <v>270.29968974415817</v>
      </c>
      <c r="D530" s="1521"/>
      <c r="E530" s="2565">
        <v>1.7299999999999999E-2</v>
      </c>
      <c r="F530" s="512"/>
    </row>
    <row r="531" spans="1:6">
      <c r="A531" s="201">
        <f t="shared" si="8"/>
        <v>2012.06</v>
      </c>
      <c r="B531" s="914">
        <v>142.53</v>
      </c>
      <c r="C531" s="915">
        <f t="shared" si="10"/>
        <v>274.70557468698797</v>
      </c>
      <c r="D531" s="1521"/>
      <c r="E531" s="2565">
        <v>1.6299999999999999E-2</v>
      </c>
      <c r="F531" s="512"/>
    </row>
    <row r="532" spans="1:6">
      <c r="A532" s="201">
        <f t="shared" si="8"/>
        <v>2012.07</v>
      </c>
      <c r="B532" s="914">
        <v>143.66</v>
      </c>
      <c r="C532" s="915">
        <f t="shared" si="10"/>
        <v>279.54039280147896</v>
      </c>
      <c r="D532" s="1521"/>
      <c r="E532" s="2565">
        <v>1.7600000000000001E-2</v>
      </c>
      <c r="F532" s="512"/>
    </row>
    <row r="533" spans="1:6">
      <c r="A533" s="201">
        <f t="shared" si="8"/>
        <v>2012.08</v>
      </c>
      <c r="B533" s="914">
        <v>144.94</v>
      </c>
      <c r="C533" s="915">
        <f t="shared" si="10"/>
        <v>284.87961430398718</v>
      </c>
      <c r="D533" s="1521"/>
      <c r="E533" s="2565">
        <v>1.9099999999999999E-2</v>
      </c>
      <c r="F533" s="512"/>
    </row>
    <row r="534" spans="1:6">
      <c r="A534" s="201">
        <f t="shared" si="8"/>
        <v>2012.09</v>
      </c>
      <c r="B534" s="914">
        <v>146.22</v>
      </c>
      <c r="C534" s="915">
        <f t="shared" si="10"/>
        <v>290.37779086005418</v>
      </c>
      <c r="D534" s="1521"/>
      <c r="E534" s="2565">
        <v>1.9300000000000001E-2</v>
      </c>
      <c r="F534" s="512"/>
    </row>
    <row r="535" spans="1:6">
      <c r="A535" s="201">
        <f t="shared" si="8"/>
        <v>2012.1</v>
      </c>
      <c r="B535" s="914">
        <v>147.44999999999999</v>
      </c>
      <c r="C535" s="915">
        <f t="shared" si="10"/>
        <v>295.66266665370716</v>
      </c>
      <c r="D535" s="1521"/>
      <c r="E535" s="2565">
        <v>1.8200000000000001E-2</v>
      </c>
      <c r="F535" s="512"/>
    </row>
    <row r="536" spans="1:6">
      <c r="A536" s="201">
        <f t="shared" si="8"/>
        <v>2012.11</v>
      </c>
      <c r="B536" s="914">
        <v>148.83000000000001</v>
      </c>
      <c r="C536" s="915">
        <f t="shared" si="10"/>
        <v>301.01416092013926</v>
      </c>
      <c r="D536" s="1521"/>
      <c r="E536" s="2565">
        <v>1.8100000000000002E-2</v>
      </c>
      <c r="F536" s="512"/>
    </row>
    <row r="537" spans="1:6">
      <c r="A537" s="201">
        <f t="shared" si="8"/>
        <v>2012.12</v>
      </c>
      <c r="B537" s="914">
        <v>150.38</v>
      </c>
      <c r="C537" s="915">
        <f t="shared" si="10"/>
        <v>307.33545829946218</v>
      </c>
      <c r="D537" s="1521"/>
      <c r="E537" s="2565">
        <v>2.1000000000000001E-2</v>
      </c>
      <c r="F537" s="512"/>
    </row>
    <row r="538" spans="1:6">
      <c r="A538" s="252">
        <f t="shared" si="8"/>
        <v>2013.01</v>
      </c>
      <c r="B538" s="914">
        <v>152.09</v>
      </c>
      <c r="C538" s="915">
        <f t="shared" si="10"/>
        <v>315.26471312358831</v>
      </c>
      <c r="D538" s="1521"/>
      <c r="E538" s="2565">
        <v>2.58E-2</v>
      </c>
      <c r="F538" s="512"/>
    </row>
    <row r="539" spans="1:6">
      <c r="A539" s="201">
        <f t="shared" si="8"/>
        <v>2013.02</v>
      </c>
      <c r="B539" s="914">
        <v>152.84</v>
      </c>
      <c r="C539" s="915">
        <f t="shared" si="10"/>
        <v>319.14246909500844</v>
      </c>
      <c r="D539" s="1521"/>
      <c r="E539" s="2565">
        <v>1.23E-2</v>
      </c>
      <c r="F539" s="512"/>
    </row>
    <row r="540" spans="1:6">
      <c r="A540" s="201">
        <f t="shared" si="8"/>
        <v>2013.03</v>
      </c>
      <c r="B540" s="914">
        <v>153.94999999999999</v>
      </c>
      <c r="C540" s="915">
        <f t="shared" si="10"/>
        <v>324.05726311907159</v>
      </c>
      <c r="D540" s="1521"/>
      <c r="E540" s="2565">
        <v>1.54E-2</v>
      </c>
      <c r="F540" s="512"/>
    </row>
    <row r="541" spans="1:6">
      <c r="A541" s="201">
        <f t="shared" si="8"/>
        <v>2013.04</v>
      </c>
      <c r="B541" s="914">
        <v>155.07</v>
      </c>
      <c r="C541" s="915">
        <f t="shared" si="10"/>
        <v>328.9829335184815</v>
      </c>
      <c r="D541" s="1521"/>
      <c r="E541" s="2565">
        <v>1.52E-2</v>
      </c>
      <c r="F541" s="512"/>
    </row>
    <row r="542" spans="1:6">
      <c r="A542" s="201">
        <f t="shared" ref="A542:A605" si="11">A530+1</f>
        <v>2013.05</v>
      </c>
      <c r="B542" s="914">
        <v>156.13999999999999</v>
      </c>
      <c r="C542" s="915">
        <f t="shared" si="10"/>
        <v>334.1479655747217</v>
      </c>
      <c r="D542" s="1521"/>
      <c r="E542" s="2565">
        <v>1.5699999999999999E-2</v>
      </c>
      <c r="F542" s="512"/>
    </row>
    <row r="543" spans="1:6">
      <c r="A543" s="201">
        <f t="shared" si="11"/>
        <v>2013.06</v>
      </c>
      <c r="B543" s="914">
        <v>157.44</v>
      </c>
      <c r="C543" s="915">
        <f t="shared" si="10"/>
        <v>340.59702131031383</v>
      </c>
      <c r="D543" s="1521"/>
      <c r="E543" s="2565">
        <v>1.9300000000000001E-2</v>
      </c>
      <c r="F543" s="512"/>
    </row>
    <row r="544" spans="1:6">
      <c r="A544" s="201">
        <f t="shared" si="11"/>
        <v>2013.07</v>
      </c>
      <c r="B544" s="914">
        <v>158.9</v>
      </c>
      <c r="C544" s="915">
        <f t="shared" si="10"/>
        <v>349.28224535372686</v>
      </c>
      <c r="D544" s="1521"/>
      <c r="E544" s="2565">
        <v>2.5499999999999998E-2</v>
      </c>
      <c r="F544" s="512"/>
    </row>
    <row r="545" spans="1:6">
      <c r="A545" s="201">
        <f t="shared" si="11"/>
        <v>2013.08</v>
      </c>
      <c r="B545" s="914">
        <v>160.22999999999999</v>
      </c>
      <c r="C545" s="915">
        <f t="shared" si="10"/>
        <v>356.65210073069045</v>
      </c>
      <c r="D545" s="1521"/>
      <c r="E545" s="2565">
        <v>2.1100000000000001E-2</v>
      </c>
      <c r="F545" s="512"/>
    </row>
    <row r="546" spans="1:6">
      <c r="A546" s="201">
        <f t="shared" si="11"/>
        <v>2013.09</v>
      </c>
      <c r="B546" s="914">
        <v>161.56</v>
      </c>
      <c r="C546" s="915">
        <f t="shared" si="10"/>
        <v>364.17746005610798</v>
      </c>
      <c r="D546" s="1521"/>
      <c r="E546" s="2565">
        <v>2.1100000000000001E-2</v>
      </c>
      <c r="F546" s="512"/>
    </row>
    <row r="547" spans="1:6">
      <c r="A547" s="201">
        <f t="shared" si="11"/>
        <v>2013.1</v>
      </c>
      <c r="B547" s="914">
        <v>163</v>
      </c>
      <c r="C547" s="915">
        <f t="shared" si="10"/>
        <v>371.46100925723016</v>
      </c>
      <c r="D547" s="1521"/>
      <c r="E547" s="2565">
        <v>0.02</v>
      </c>
      <c r="F547" s="512"/>
    </row>
    <row r="548" spans="1:6">
      <c r="A548" s="201">
        <f t="shared" si="11"/>
        <v>2013.11</v>
      </c>
      <c r="B548" s="914">
        <v>164.51</v>
      </c>
      <c r="C548" s="915">
        <f t="shared" si="10"/>
        <v>380.37607347940371</v>
      </c>
      <c r="D548" s="1521"/>
      <c r="E548" s="2565">
        <v>2.4E-2</v>
      </c>
      <c r="F548" s="512"/>
    </row>
    <row r="549" spans="1:6">
      <c r="A549" s="201">
        <f t="shared" si="11"/>
        <v>2013.12</v>
      </c>
      <c r="B549" s="914">
        <v>166.84</v>
      </c>
      <c r="C549" s="915">
        <f t="shared" si="10"/>
        <v>393.2327847630076</v>
      </c>
      <c r="D549" s="1521"/>
      <c r="E549" s="2565">
        <v>3.3799999999999997E-2</v>
      </c>
      <c r="F549" s="512"/>
    </row>
    <row r="550" spans="1:6">
      <c r="A550" s="201">
        <f t="shared" si="11"/>
        <v>2014.01</v>
      </c>
      <c r="B550" s="918" t="s">
        <v>230</v>
      </c>
      <c r="C550" s="915">
        <f t="shared" ref="C550:C581" si="12">C549*(1+E550)</f>
        <v>411.36081614058224</v>
      </c>
      <c r="D550" s="1521"/>
      <c r="E550" s="2565">
        <v>4.6100000000000002E-2</v>
      </c>
      <c r="F550" s="512"/>
    </row>
    <row r="551" spans="1:6">
      <c r="A551" s="201">
        <f t="shared" si="11"/>
        <v>2014.02</v>
      </c>
      <c r="B551" s="919"/>
      <c r="C551" s="915">
        <f t="shared" si="12"/>
        <v>429.04933123462723</v>
      </c>
      <c r="D551" s="1521"/>
      <c r="E551" s="2565">
        <v>4.2999999999999997E-2</v>
      </c>
      <c r="F551" s="512"/>
    </row>
    <row r="552" spans="1:6">
      <c r="A552" s="201">
        <f t="shared" si="11"/>
        <v>2014.03</v>
      </c>
      <c r="B552" s="919"/>
      <c r="C552" s="915">
        <f t="shared" si="12"/>
        <v>443.20795916536991</v>
      </c>
      <c r="D552" s="1521"/>
      <c r="E552" s="2565">
        <v>3.3000000000000002E-2</v>
      </c>
      <c r="F552" s="512"/>
    </row>
    <row r="553" spans="1:6">
      <c r="A553" s="201">
        <f t="shared" si="11"/>
        <v>2014.04</v>
      </c>
      <c r="B553" s="919"/>
      <c r="C553" s="915">
        <f t="shared" si="12"/>
        <v>455.52914043016722</v>
      </c>
      <c r="D553" s="1521"/>
      <c r="E553" s="2565">
        <v>2.7799999999999998E-2</v>
      </c>
      <c r="F553" s="512"/>
    </row>
    <row r="554" spans="1:6">
      <c r="A554" s="201">
        <f t="shared" si="11"/>
        <v>2014.05</v>
      </c>
      <c r="B554" s="919"/>
      <c r="C554" s="915">
        <f t="shared" si="12"/>
        <v>465.91520483197502</v>
      </c>
      <c r="D554" s="1521"/>
      <c r="E554" s="2565">
        <v>2.2800000000000001E-2</v>
      </c>
      <c r="F554" s="512"/>
    </row>
    <row r="555" spans="1:6">
      <c r="A555" s="201">
        <f t="shared" si="11"/>
        <v>2014.06</v>
      </c>
      <c r="B555" s="919"/>
      <c r="C555" s="915">
        <f t="shared" si="12"/>
        <v>476.1653393382785</v>
      </c>
      <c r="D555" s="1521"/>
      <c r="E555" s="2565">
        <v>2.1999999999999999E-2</v>
      </c>
      <c r="F555" s="512"/>
    </row>
    <row r="556" spans="1:6">
      <c r="A556" s="201">
        <f t="shared" si="11"/>
        <v>2014.07</v>
      </c>
      <c r="B556" s="919"/>
      <c r="C556" s="915">
        <f t="shared" si="12"/>
        <v>487.92662321993396</v>
      </c>
      <c r="D556" s="1521"/>
      <c r="E556" s="2565">
        <v>2.47E-2</v>
      </c>
      <c r="F556" s="512"/>
    </row>
    <row r="557" spans="1:6">
      <c r="A557" s="201">
        <f t="shared" si="11"/>
        <v>2014.08</v>
      </c>
      <c r="B557" s="919"/>
      <c r="C557" s="915">
        <f t="shared" si="12"/>
        <v>500.85667873526216</v>
      </c>
      <c r="D557" s="1521"/>
      <c r="E557" s="2565">
        <v>2.6499999999999999E-2</v>
      </c>
      <c r="F557" s="512"/>
    </row>
    <row r="558" spans="1:6">
      <c r="A558" s="201">
        <f t="shared" si="11"/>
        <v>2014.09</v>
      </c>
      <c r="B558" s="919"/>
      <c r="C558" s="915">
        <f t="shared" si="12"/>
        <v>513.27792436789662</v>
      </c>
      <c r="D558" s="1521"/>
      <c r="E558" s="2565">
        <v>2.4799999999999999E-2</v>
      </c>
      <c r="F558" s="512"/>
    </row>
    <row r="559" spans="1:6">
      <c r="A559" s="201">
        <f t="shared" si="11"/>
        <v>2014.1</v>
      </c>
      <c r="B559" s="919"/>
      <c r="C559" s="915">
        <f t="shared" si="12"/>
        <v>524.82667766617431</v>
      </c>
      <c r="D559" s="1521"/>
      <c r="E559" s="2565">
        <v>2.2499999999999999E-2</v>
      </c>
      <c r="F559" s="512"/>
    </row>
    <row r="560" spans="1:6">
      <c r="A560" s="201">
        <f t="shared" si="11"/>
        <v>2014.11</v>
      </c>
      <c r="B560" s="919"/>
      <c r="C560" s="915">
        <f t="shared" si="12"/>
        <v>534.58845387076508</v>
      </c>
      <c r="D560" s="1521"/>
      <c r="E560" s="2565">
        <v>1.8599999999999998E-2</v>
      </c>
      <c r="F560" s="512"/>
    </row>
    <row r="561" spans="1:6">
      <c r="A561" s="201">
        <f t="shared" si="11"/>
        <v>2014.12</v>
      </c>
      <c r="B561" s="919"/>
      <c r="C561" s="915">
        <f t="shared" si="12"/>
        <v>544.5852579581483</v>
      </c>
      <c r="D561" s="1521"/>
      <c r="E561" s="2565">
        <v>1.8700000000000001E-2</v>
      </c>
      <c r="F561" s="512"/>
    </row>
    <row r="562" spans="1:6">
      <c r="A562" s="201">
        <f t="shared" si="11"/>
        <v>2015.01</v>
      </c>
      <c r="B562" s="919"/>
      <c r="C562" s="915">
        <f t="shared" si="12"/>
        <v>555.91263132367772</v>
      </c>
      <c r="D562" s="1521"/>
      <c r="E562" s="2565">
        <v>2.0799999999999999E-2</v>
      </c>
      <c r="F562" s="512"/>
    </row>
    <row r="563" spans="1:6">
      <c r="A563" s="201">
        <f t="shared" si="11"/>
        <v>2015.02</v>
      </c>
      <c r="B563" s="919"/>
      <c r="C563" s="915">
        <f t="shared" si="12"/>
        <v>564.14013826726807</v>
      </c>
      <c r="D563" s="1521"/>
      <c r="E563" s="2565">
        <v>1.4800000000000001E-2</v>
      </c>
    </row>
    <row r="564" spans="1:6">
      <c r="A564" s="201">
        <f t="shared" si="11"/>
        <v>2015.03</v>
      </c>
      <c r="B564" s="919"/>
      <c r="C564" s="915">
        <f t="shared" si="12"/>
        <v>576.09990919853419</v>
      </c>
      <c r="D564" s="1521"/>
      <c r="E564" s="2565">
        <v>2.12E-2</v>
      </c>
    </row>
    <row r="565" spans="1:6">
      <c r="A565" s="201">
        <f t="shared" si="11"/>
        <v>2015.04</v>
      </c>
      <c r="B565" s="919"/>
      <c r="C565" s="915">
        <f t="shared" si="12"/>
        <v>587.67951737342469</v>
      </c>
      <c r="D565" s="1521"/>
      <c r="E565" s="2565">
        <v>2.01E-2</v>
      </c>
    </row>
    <row r="566" spans="1:6">
      <c r="A566" s="201">
        <f t="shared" si="11"/>
        <v>2015.05</v>
      </c>
      <c r="B566" s="919"/>
      <c r="C566" s="915">
        <f t="shared" si="12"/>
        <v>599.55064362436781</v>
      </c>
      <c r="D566" s="1521"/>
      <c r="E566" s="2565">
        <v>2.0199999999999999E-2</v>
      </c>
    </row>
    <row r="567" spans="1:6">
      <c r="A567" s="201">
        <f t="shared" si="11"/>
        <v>2015.06</v>
      </c>
      <c r="B567" s="919"/>
      <c r="C567" s="915">
        <f t="shared" si="12"/>
        <v>608.72376847182068</v>
      </c>
      <c r="D567" s="1521"/>
      <c r="E567" s="2565">
        <v>1.5299999999999999E-2</v>
      </c>
    </row>
    <row r="568" spans="1:6">
      <c r="A568" s="201">
        <f t="shared" si="11"/>
        <v>2015.07</v>
      </c>
      <c r="B568" s="919"/>
      <c r="C568" s="915">
        <f t="shared" si="12"/>
        <v>620.41126482647974</v>
      </c>
      <c r="D568" s="1521"/>
      <c r="E568" s="2565">
        <v>1.9199999999999998E-2</v>
      </c>
    </row>
    <row r="569" spans="1:6">
      <c r="A569" s="201">
        <f t="shared" si="11"/>
        <v>2015.08</v>
      </c>
      <c r="B569" s="919"/>
      <c r="C569" s="915">
        <f t="shared" si="12"/>
        <v>633.87418927321437</v>
      </c>
      <c r="D569" s="1521"/>
      <c r="E569" s="2565">
        <v>2.1700000000000001E-2</v>
      </c>
    </row>
    <row r="570" spans="1:6">
      <c r="A570" s="201">
        <f t="shared" si="11"/>
        <v>2015.09</v>
      </c>
      <c r="B570" s="919"/>
      <c r="C570" s="915">
        <f t="shared" si="12"/>
        <v>646.04457370726016</v>
      </c>
      <c r="D570" s="1521"/>
      <c r="E570" s="2565">
        <v>1.9199999999999998E-2</v>
      </c>
    </row>
    <row r="571" spans="1:6">
      <c r="A571" s="201">
        <f t="shared" si="11"/>
        <v>2015.1</v>
      </c>
      <c r="B571" s="919"/>
      <c r="C571" s="915">
        <f t="shared" si="12"/>
        <v>655.86445122761063</v>
      </c>
      <c r="D571" s="1521"/>
      <c r="E571" s="2565">
        <v>1.52E-2</v>
      </c>
    </row>
    <row r="572" spans="1:6">
      <c r="A572" s="201">
        <f t="shared" si="11"/>
        <v>2015.11</v>
      </c>
      <c r="B572" s="919"/>
      <c r="C572" s="915">
        <f>C571*(1+E572)</f>
        <v>670.29346915461804</v>
      </c>
      <c r="D572" s="1521"/>
      <c r="E572" s="2565">
        <v>2.1999999999999999E-2</v>
      </c>
    </row>
    <row r="573" spans="1:6">
      <c r="A573" s="201">
        <f t="shared" si="11"/>
        <v>2015.12</v>
      </c>
      <c r="B573" s="919"/>
      <c r="C573" s="915">
        <f t="shared" si="12"/>
        <v>695.76462098249351</v>
      </c>
      <c r="D573" s="1521"/>
      <c r="E573" s="2565">
        <v>3.7999999999999999E-2</v>
      </c>
    </row>
    <row r="574" spans="1:6">
      <c r="A574" s="201">
        <f t="shared" si="11"/>
        <v>2016.01</v>
      </c>
      <c r="B574" s="919"/>
      <c r="C574" s="915">
        <f t="shared" si="12"/>
        <v>720.81214733786328</v>
      </c>
      <c r="D574" s="1521"/>
      <c r="E574" s="2565">
        <v>3.5999999999999997E-2</v>
      </c>
    </row>
    <row r="575" spans="1:6">
      <c r="A575" s="201">
        <f t="shared" si="11"/>
        <v>2016.02</v>
      </c>
      <c r="B575" s="919"/>
      <c r="C575" s="915">
        <f t="shared" si="12"/>
        <v>755.41113041008077</v>
      </c>
      <c r="D575" s="1521"/>
      <c r="E575" s="2565">
        <v>4.8000000000000001E-2</v>
      </c>
    </row>
    <row r="576" spans="1:6">
      <c r="A576" s="201">
        <f t="shared" si="11"/>
        <v>2016.03</v>
      </c>
      <c r="B576" s="919"/>
      <c r="C576" s="915">
        <f t="shared" si="12"/>
        <v>779.58428658320338</v>
      </c>
      <c r="D576" s="1521"/>
      <c r="E576" s="2565">
        <v>3.2000000000000001E-2</v>
      </c>
    </row>
    <row r="577" spans="1:6">
      <c r="A577" s="201">
        <f t="shared" si="11"/>
        <v>2016.04</v>
      </c>
      <c r="B577" s="919"/>
      <c r="C577" s="915">
        <f t="shared" si="12"/>
        <v>831.81643378427793</v>
      </c>
      <c r="D577" s="1521"/>
      <c r="E577" s="2565">
        <v>6.7000000000000004E-2</v>
      </c>
    </row>
    <row r="578" spans="1:6">
      <c r="A578" s="201">
        <f t="shared" si="11"/>
        <v>2016.05</v>
      </c>
      <c r="B578" s="919"/>
      <c r="C578" s="915">
        <f t="shared" si="12"/>
        <v>860.93000896672754</v>
      </c>
      <c r="D578" s="1521"/>
      <c r="E578" s="2565">
        <v>3.5000000000000003E-2</v>
      </c>
    </row>
    <row r="579" spans="1:6">
      <c r="A579" s="201">
        <f t="shared" si="11"/>
        <v>2016.06</v>
      </c>
      <c r="B579" s="919"/>
      <c r="C579" s="915">
        <f t="shared" si="12"/>
        <v>885.8969792267626</v>
      </c>
      <c r="D579" s="1521"/>
      <c r="E579" s="2565">
        <v>2.9000000000000001E-2</v>
      </c>
    </row>
    <row r="580" spans="1:6">
      <c r="A580" s="201">
        <f t="shared" si="11"/>
        <v>2016.07</v>
      </c>
      <c r="B580" s="919"/>
      <c r="C580" s="915">
        <f t="shared" si="12"/>
        <v>907.15850672820488</v>
      </c>
      <c r="D580" s="1521"/>
      <c r="E580" s="2565">
        <v>2.4E-2</v>
      </c>
    </row>
    <row r="581" spans="1:6">
      <c r="A581" s="201">
        <f t="shared" si="11"/>
        <v>2016.08</v>
      </c>
      <c r="B581" s="919"/>
      <c r="C581" s="915">
        <f t="shared" si="12"/>
        <v>911.6942992618458</v>
      </c>
      <c r="D581" s="1521"/>
      <c r="E581" s="2565">
        <v>5.0000000000000001E-3</v>
      </c>
    </row>
    <row r="582" spans="1:6">
      <c r="A582" s="201">
        <f t="shared" si="11"/>
        <v>2016.09</v>
      </c>
      <c r="B582" s="919"/>
      <c r="C582" s="915">
        <f t="shared" ref="C582:C596" si="13">C581*(1+E582)</f>
        <v>918.98785365594063</v>
      </c>
      <c r="D582" s="1521"/>
      <c r="E582" s="2565">
        <v>8.0000000000000002E-3</v>
      </c>
    </row>
    <row r="583" spans="1:6">
      <c r="A583" s="201">
        <f t="shared" si="11"/>
        <v>2016.1</v>
      </c>
      <c r="B583" s="919"/>
      <c r="C583" s="915">
        <f t="shared" si="13"/>
        <v>945.63850141196281</v>
      </c>
      <c r="D583" s="1521"/>
      <c r="E583" s="2565">
        <v>2.9000000000000001E-2</v>
      </c>
    </row>
    <row r="584" spans="1:6">
      <c r="A584" s="201">
        <f t="shared" si="11"/>
        <v>2016.11</v>
      </c>
      <c r="B584" s="919"/>
      <c r="C584" s="915">
        <f t="shared" si="13"/>
        <v>963.60563293879</v>
      </c>
      <c r="D584" s="1521"/>
      <c r="E584" s="2565">
        <v>1.9E-2</v>
      </c>
    </row>
    <row r="585" spans="1:6">
      <c r="A585" s="201">
        <f t="shared" si="11"/>
        <v>2016.12</v>
      </c>
      <c r="B585" s="919"/>
      <c r="C585" s="915">
        <f t="shared" si="13"/>
        <v>979.0233230658107</v>
      </c>
      <c r="D585" s="1521"/>
      <c r="E585" s="2565">
        <v>1.6E-2</v>
      </c>
    </row>
    <row r="586" spans="1:6">
      <c r="A586" s="201">
        <f t="shared" si="11"/>
        <v>2017.01</v>
      </c>
      <c r="B586" s="919"/>
      <c r="C586" s="915">
        <f t="shared" si="13"/>
        <v>994.68769623486367</v>
      </c>
      <c r="D586" s="1521"/>
      <c r="E586" s="2565">
        <v>1.6E-2</v>
      </c>
    </row>
    <row r="587" spans="1:6">
      <c r="A587" s="201">
        <f t="shared" si="11"/>
        <v>2017.02</v>
      </c>
      <c r="B587" s="919"/>
      <c r="C587" s="915">
        <f t="shared" si="13"/>
        <v>1015.5761378557958</v>
      </c>
      <c r="D587" s="1521"/>
      <c r="E587" s="2565">
        <v>2.1000000000000001E-2</v>
      </c>
      <c r="F587" s="724"/>
    </row>
    <row r="588" spans="1:6">
      <c r="A588" s="201">
        <f t="shared" si="11"/>
        <v>2017.03</v>
      </c>
      <c r="B588" s="919"/>
      <c r="C588" s="915">
        <f t="shared" si="13"/>
        <v>1037.9188128886233</v>
      </c>
      <c r="D588" s="1521"/>
      <c r="E588" s="2565">
        <v>2.1999999999999999E-2</v>
      </c>
    </row>
    <row r="589" spans="1:6">
      <c r="A589" s="201">
        <f t="shared" si="11"/>
        <v>2017.04</v>
      </c>
      <c r="B589" s="919"/>
      <c r="C589" s="915">
        <f t="shared" si="13"/>
        <v>1059.7151079592843</v>
      </c>
      <c r="D589" s="1521"/>
      <c r="E589" s="2565">
        <v>2.1000000000000001E-2</v>
      </c>
    </row>
    <row r="590" spans="1:6">
      <c r="A590" s="201">
        <f t="shared" si="11"/>
        <v>2017.05</v>
      </c>
      <c r="B590" s="919"/>
      <c r="C590" s="915">
        <f t="shared" si="13"/>
        <v>1078.7899799025515</v>
      </c>
      <c r="D590" s="1521"/>
      <c r="E590" s="2565">
        <v>1.7999999999999999E-2</v>
      </c>
    </row>
    <row r="591" spans="1:6">
      <c r="A591" s="201">
        <f t="shared" si="11"/>
        <v>2017.06</v>
      </c>
      <c r="B591" s="919"/>
      <c r="C591" s="915">
        <f t="shared" si="13"/>
        <v>1092.8142496412845</v>
      </c>
      <c r="D591" s="1521"/>
      <c r="E591" s="2565">
        <v>1.2999999999999999E-2</v>
      </c>
    </row>
    <row r="592" spans="1:6">
      <c r="A592" s="201">
        <f t="shared" si="11"/>
        <v>2017.07</v>
      </c>
      <c r="B592" s="919"/>
      <c r="C592" s="915">
        <f t="shared" si="13"/>
        <v>1115.7633488837514</v>
      </c>
      <c r="D592" s="1521"/>
      <c r="E592" s="2565">
        <v>2.1000000000000001E-2</v>
      </c>
    </row>
    <row r="593" spans="1:5">
      <c r="A593" s="201">
        <f t="shared" si="11"/>
        <v>2017.08</v>
      </c>
      <c r="B593" s="919"/>
      <c r="C593" s="915">
        <f t="shared" si="13"/>
        <v>1132.4997991170076</v>
      </c>
      <c r="D593" s="1522"/>
      <c r="E593" s="2565">
        <v>1.4999999999999999E-2</v>
      </c>
    </row>
    <row r="594" spans="1:5">
      <c r="A594" s="201">
        <f t="shared" si="11"/>
        <v>2017.09</v>
      </c>
      <c r="B594" s="919"/>
      <c r="C594" s="915">
        <f t="shared" si="13"/>
        <v>1150.6197959028798</v>
      </c>
      <c r="D594" s="1522"/>
      <c r="E594" s="2565">
        <v>1.6E-2</v>
      </c>
    </row>
    <row r="595" spans="1:5">
      <c r="A595" s="201">
        <f t="shared" si="11"/>
        <v>2017.1</v>
      </c>
      <c r="B595" s="919"/>
      <c r="C595" s="915">
        <f t="shared" si="13"/>
        <v>1167.8790928414228</v>
      </c>
      <c r="D595" s="1522"/>
      <c r="E595" s="2565">
        <v>1.4999999999999999E-2</v>
      </c>
    </row>
    <row r="596" spans="1:5">
      <c r="A596" s="201">
        <f t="shared" si="11"/>
        <v>2017.11</v>
      </c>
      <c r="B596" s="919"/>
      <c r="C596" s="915">
        <f t="shared" si="13"/>
        <v>1184.2294001412026</v>
      </c>
      <c r="D596" s="1522"/>
      <c r="E596" s="2565">
        <v>1.4E-2</v>
      </c>
    </row>
    <row r="597" spans="1:5">
      <c r="A597" s="201">
        <f t="shared" si="11"/>
        <v>2017.12</v>
      </c>
      <c r="B597" s="919"/>
      <c r="C597" s="915">
        <f>C596*(1+E597)</f>
        <v>1220.9405115455797</v>
      </c>
      <c r="D597" s="1522"/>
      <c r="E597" s="2565">
        <v>3.1E-2</v>
      </c>
    </row>
    <row r="598" spans="1:5">
      <c r="A598" s="201">
        <f t="shared" si="11"/>
        <v>2018.01</v>
      </c>
      <c r="B598" s="919"/>
      <c r="C598" s="920" t="s">
        <v>230</v>
      </c>
      <c r="D598" s="1522"/>
      <c r="E598" s="2566" t="s">
        <v>230</v>
      </c>
    </row>
    <row r="599" spans="1:5">
      <c r="A599" s="201">
        <f t="shared" si="11"/>
        <v>2018.02</v>
      </c>
      <c r="B599" s="919"/>
      <c r="C599" s="920"/>
      <c r="D599" s="1522"/>
      <c r="E599" s="2566"/>
    </row>
    <row r="600" spans="1:5">
      <c r="A600" s="201">
        <f t="shared" si="11"/>
        <v>2018.03</v>
      </c>
      <c r="B600" s="919"/>
      <c r="C600" s="920"/>
      <c r="D600" s="1522"/>
      <c r="E600" s="2566"/>
    </row>
    <row r="601" spans="1:5">
      <c r="A601" s="201">
        <f t="shared" si="11"/>
        <v>2018.04</v>
      </c>
      <c r="B601" s="919"/>
      <c r="C601" s="920"/>
      <c r="D601" s="1522"/>
      <c r="E601" s="2566"/>
    </row>
    <row r="602" spans="1:5">
      <c r="A602" s="201">
        <f t="shared" si="11"/>
        <v>2018.05</v>
      </c>
      <c r="B602" s="919"/>
      <c r="C602" s="920"/>
      <c r="D602" s="1522"/>
      <c r="E602" s="2566"/>
    </row>
    <row r="603" spans="1:5">
      <c r="A603" s="201">
        <f t="shared" si="11"/>
        <v>2018.06</v>
      </c>
      <c r="B603" s="919"/>
      <c r="C603" s="920"/>
      <c r="D603" s="1522"/>
      <c r="E603" s="2566"/>
    </row>
    <row r="604" spans="1:5">
      <c r="A604" s="201">
        <f t="shared" si="11"/>
        <v>2018.07</v>
      </c>
      <c r="B604" s="919"/>
      <c r="C604" s="920"/>
      <c r="D604" s="1522"/>
      <c r="E604" s="2566"/>
    </row>
    <row r="605" spans="1:5">
      <c r="A605" s="201">
        <f t="shared" si="11"/>
        <v>2018.08</v>
      </c>
      <c r="B605" s="919"/>
      <c r="C605" s="920"/>
      <c r="D605" s="1522"/>
      <c r="E605" s="2566"/>
    </row>
    <row r="606" spans="1:5">
      <c r="A606" s="201">
        <f t="shared" ref="A606:A669" si="14">A594+1</f>
        <v>2018.09</v>
      </c>
      <c r="B606" s="919"/>
      <c r="C606" s="920"/>
      <c r="D606" s="1522"/>
      <c r="E606" s="2566"/>
    </row>
    <row r="607" spans="1:5">
      <c r="A607" s="201">
        <f t="shared" si="14"/>
        <v>2018.1</v>
      </c>
      <c r="B607" s="919"/>
      <c r="C607" s="920"/>
      <c r="D607" s="1522"/>
      <c r="E607" s="2566"/>
    </row>
    <row r="608" spans="1:5">
      <c r="A608" s="201">
        <f t="shared" si="14"/>
        <v>2018.11</v>
      </c>
      <c r="B608" s="919"/>
      <c r="C608" s="920"/>
      <c r="D608" s="1522"/>
      <c r="E608" s="2566"/>
    </row>
    <row r="609" spans="1:5">
      <c r="A609" s="201">
        <f t="shared" si="14"/>
        <v>2018.12</v>
      </c>
      <c r="B609" s="919"/>
      <c r="C609" s="920"/>
      <c r="D609" s="1522"/>
      <c r="E609" s="2566"/>
    </row>
    <row r="610" spans="1:5">
      <c r="A610" s="201">
        <f t="shared" si="14"/>
        <v>2019.01</v>
      </c>
      <c r="B610" s="919"/>
      <c r="C610" s="920"/>
      <c r="D610" s="1522"/>
      <c r="E610" s="2566"/>
    </row>
    <row r="611" spans="1:5">
      <c r="A611" s="201">
        <f t="shared" si="14"/>
        <v>2019.02</v>
      </c>
      <c r="B611" s="919"/>
      <c r="C611" s="920"/>
      <c r="D611" s="1522"/>
      <c r="E611" s="2566"/>
    </row>
    <row r="612" spans="1:5">
      <c r="A612" s="201">
        <f t="shared" si="14"/>
        <v>2019.03</v>
      </c>
      <c r="B612" s="919"/>
      <c r="C612" s="920"/>
      <c r="D612" s="1522"/>
      <c r="E612" s="2566"/>
    </row>
    <row r="613" spans="1:5">
      <c r="A613" s="201">
        <f t="shared" si="14"/>
        <v>2019.04</v>
      </c>
      <c r="B613" s="919"/>
      <c r="C613" s="920"/>
      <c r="D613" s="1522"/>
      <c r="E613" s="2566"/>
    </row>
    <row r="614" spans="1:5">
      <c r="A614" s="201">
        <f t="shared" si="14"/>
        <v>2019.05</v>
      </c>
      <c r="B614" s="919"/>
      <c r="C614" s="920"/>
      <c r="D614" s="1522"/>
      <c r="E614" s="2566"/>
    </row>
    <row r="615" spans="1:5">
      <c r="A615" s="201">
        <f t="shared" si="14"/>
        <v>2019.06</v>
      </c>
      <c r="B615" s="919"/>
      <c r="C615" s="920"/>
      <c r="D615" s="1522"/>
      <c r="E615" s="2566"/>
    </row>
    <row r="616" spans="1:5">
      <c r="A616" s="201">
        <f t="shared" si="14"/>
        <v>2019.07</v>
      </c>
      <c r="B616" s="919"/>
      <c r="C616" s="920"/>
      <c r="D616" s="1522"/>
      <c r="E616" s="2566"/>
    </row>
    <row r="617" spans="1:5">
      <c r="A617" s="201">
        <f t="shared" si="14"/>
        <v>2019.08</v>
      </c>
      <c r="B617" s="919"/>
      <c r="C617" s="920"/>
      <c r="D617" s="1522"/>
      <c r="E617" s="2566"/>
    </row>
    <row r="618" spans="1:5">
      <c r="A618" s="201">
        <f t="shared" si="14"/>
        <v>2019.09</v>
      </c>
      <c r="B618" s="919"/>
      <c r="C618" s="920"/>
      <c r="D618" s="1522"/>
      <c r="E618" s="2566"/>
    </row>
    <row r="619" spans="1:5">
      <c r="A619" s="201">
        <f t="shared" si="14"/>
        <v>2019.1</v>
      </c>
      <c r="B619" s="919"/>
      <c r="C619" s="920"/>
      <c r="D619" s="1522"/>
      <c r="E619" s="2566"/>
    </row>
    <row r="620" spans="1:5">
      <c r="A620" s="201">
        <f t="shared" si="14"/>
        <v>2019.11</v>
      </c>
      <c r="B620" s="919"/>
      <c r="C620" s="920"/>
      <c r="D620" s="1522"/>
      <c r="E620" s="2566"/>
    </row>
    <row r="621" spans="1:5">
      <c r="A621" s="201">
        <f t="shared" si="14"/>
        <v>2019.12</v>
      </c>
      <c r="B621" s="919"/>
      <c r="C621" s="920"/>
      <c r="D621" s="1522"/>
      <c r="E621" s="2566"/>
    </row>
    <row r="622" spans="1:5">
      <c r="A622" s="201">
        <f t="shared" si="14"/>
        <v>2020.01</v>
      </c>
      <c r="B622" s="919"/>
      <c r="C622" s="920"/>
      <c r="D622" s="1522"/>
      <c r="E622" s="2566"/>
    </row>
    <row r="623" spans="1:5">
      <c r="A623" s="201">
        <f t="shared" si="14"/>
        <v>2020.02</v>
      </c>
      <c r="B623" s="919"/>
      <c r="C623" s="920"/>
      <c r="D623" s="1522"/>
      <c r="E623" s="2566"/>
    </row>
    <row r="624" spans="1:5">
      <c r="A624" s="201">
        <f t="shared" si="14"/>
        <v>2020.03</v>
      </c>
      <c r="B624" s="919"/>
      <c r="C624" s="920"/>
      <c r="D624" s="1522"/>
      <c r="E624" s="2566"/>
    </row>
    <row r="625" spans="1:5">
      <c r="A625" s="201">
        <f t="shared" si="14"/>
        <v>2020.04</v>
      </c>
      <c r="B625" s="919"/>
      <c r="C625" s="920"/>
      <c r="D625" s="1522"/>
      <c r="E625" s="2566"/>
    </row>
    <row r="626" spans="1:5">
      <c r="A626" s="201">
        <f t="shared" si="14"/>
        <v>2020.05</v>
      </c>
      <c r="B626" s="919"/>
      <c r="C626" s="920"/>
      <c r="D626" s="1522"/>
      <c r="E626" s="2566"/>
    </row>
    <row r="627" spans="1:5">
      <c r="A627" s="201">
        <f t="shared" si="14"/>
        <v>2020.06</v>
      </c>
      <c r="B627" s="919"/>
      <c r="C627" s="920"/>
      <c r="D627" s="1522"/>
      <c r="E627" s="2566"/>
    </row>
    <row r="628" spans="1:5">
      <c r="A628" s="201">
        <f t="shared" si="14"/>
        <v>2020.07</v>
      </c>
      <c r="B628" s="919"/>
      <c r="C628" s="920"/>
      <c r="D628" s="1522"/>
      <c r="E628" s="2566"/>
    </row>
    <row r="629" spans="1:5">
      <c r="A629" s="201">
        <f t="shared" si="14"/>
        <v>2020.08</v>
      </c>
      <c r="B629" s="919"/>
      <c r="C629" s="920"/>
      <c r="D629" s="1522"/>
      <c r="E629" s="2566"/>
    </row>
    <row r="630" spans="1:5">
      <c r="A630" s="201">
        <f t="shared" si="14"/>
        <v>2020.09</v>
      </c>
      <c r="B630" s="919"/>
      <c r="C630" s="920"/>
      <c r="D630" s="1522"/>
      <c r="E630" s="2566"/>
    </row>
    <row r="631" spans="1:5">
      <c r="A631" s="201">
        <f t="shared" si="14"/>
        <v>2020.1</v>
      </c>
      <c r="B631" s="919"/>
      <c r="C631" s="920"/>
      <c r="D631" s="1522"/>
      <c r="E631" s="2566"/>
    </row>
    <row r="632" spans="1:5">
      <c r="A632" s="201">
        <f t="shared" si="14"/>
        <v>2020.11</v>
      </c>
      <c r="B632" s="919"/>
      <c r="C632" s="920"/>
      <c r="D632" s="1522"/>
      <c r="E632" s="2566"/>
    </row>
    <row r="633" spans="1:5">
      <c r="A633" s="201">
        <f t="shared" si="14"/>
        <v>2020.12</v>
      </c>
      <c r="B633" s="919"/>
      <c r="C633" s="920"/>
      <c r="D633" s="1522"/>
      <c r="E633" s="2566"/>
    </row>
    <row r="634" spans="1:5">
      <c r="A634" s="201">
        <f t="shared" si="14"/>
        <v>2021.01</v>
      </c>
      <c r="B634" s="919"/>
      <c r="C634" s="920"/>
      <c r="D634" s="1522"/>
      <c r="E634" s="2566"/>
    </row>
    <row r="635" spans="1:5">
      <c r="A635" s="201">
        <f t="shared" si="14"/>
        <v>2021.02</v>
      </c>
      <c r="B635" s="919"/>
      <c r="C635" s="920"/>
      <c r="D635" s="1522"/>
      <c r="E635" s="2566"/>
    </row>
    <row r="636" spans="1:5">
      <c r="A636" s="201">
        <f t="shared" si="14"/>
        <v>2021.03</v>
      </c>
      <c r="B636" s="919"/>
      <c r="C636" s="920"/>
      <c r="D636" s="1522"/>
      <c r="E636" s="2566"/>
    </row>
    <row r="637" spans="1:5">
      <c r="A637" s="201">
        <f t="shared" si="14"/>
        <v>2021.04</v>
      </c>
      <c r="B637" s="919"/>
      <c r="C637" s="920"/>
      <c r="D637" s="1522"/>
      <c r="E637" s="2566"/>
    </row>
    <row r="638" spans="1:5">
      <c r="A638" s="201">
        <f t="shared" si="14"/>
        <v>2021.05</v>
      </c>
      <c r="B638" s="919"/>
      <c r="C638" s="920"/>
      <c r="D638" s="1522"/>
      <c r="E638" s="2566"/>
    </row>
    <row r="639" spans="1:5">
      <c r="A639" s="201">
        <f t="shared" si="14"/>
        <v>2021.06</v>
      </c>
      <c r="B639" s="919"/>
      <c r="C639" s="920"/>
      <c r="D639" s="1522"/>
      <c r="E639" s="2566"/>
    </row>
    <row r="640" spans="1:5">
      <c r="A640" s="201">
        <f t="shared" si="14"/>
        <v>2021.07</v>
      </c>
      <c r="B640" s="919"/>
      <c r="C640" s="920"/>
      <c r="D640" s="1522"/>
      <c r="E640" s="2566"/>
    </row>
    <row r="641" spans="1:5">
      <c r="A641" s="201">
        <f t="shared" si="14"/>
        <v>2021.08</v>
      </c>
      <c r="B641" s="919"/>
      <c r="C641" s="920"/>
      <c r="D641" s="1522"/>
      <c r="E641" s="2566"/>
    </row>
    <row r="642" spans="1:5">
      <c r="A642" s="201">
        <f t="shared" si="14"/>
        <v>2021.09</v>
      </c>
      <c r="B642" s="919"/>
      <c r="C642" s="920"/>
      <c r="D642" s="1522"/>
      <c r="E642" s="2566"/>
    </row>
    <row r="643" spans="1:5">
      <c r="A643" s="201">
        <f t="shared" si="14"/>
        <v>2021.1</v>
      </c>
      <c r="B643" s="919"/>
      <c r="C643" s="920"/>
      <c r="D643" s="1522"/>
      <c r="E643" s="2566"/>
    </row>
    <row r="644" spans="1:5">
      <c r="A644" s="201">
        <f t="shared" si="14"/>
        <v>2021.11</v>
      </c>
      <c r="B644" s="919"/>
      <c r="C644" s="920"/>
      <c r="D644" s="1522"/>
      <c r="E644" s="2566"/>
    </row>
    <row r="645" spans="1:5">
      <c r="A645" s="201">
        <f t="shared" si="14"/>
        <v>2021.12</v>
      </c>
      <c r="B645" s="919"/>
      <c r="C645" s="920"/>
      <c r="D645" s="1522"/>
      <c r="E645" s="2566"/>
    </row>
    <row r="646" spans="1:5">
      <c r="A646" s="201">
        <f t="shared" si="14"/>
        <v>2022.01</v>
      </c>
      <c r="B646" s="919"/>
      <c r="C646" s="920"/>
      <c r="D646" s="1522"/>
      <c r="E646" s="2566"/>
    </row>
    <row r="647" spans="1:5">
      <c r="A647" s="201">
        <f t="shared" si="14"/>
        <v>2022.02</v>
      </c>
      <c r="B647" s="919"/>
      <c r="C647" s="920"/>
      <c r="D647" s="1522"/>
      <c r="E647" s="2566"/>
    </row>
    <row r="648" spans="1:5">
      <c r="A648" s="201">
        <f t="shared" si="14"/>
        <v>2022.03</v>
      </c>
      <c r="B648" s="919"/>
      <c r="C648" s="920"/>
      <c r="D648" s="1522"/>
      <c r="E648" s="2566"/>
    </row>
    <row r="649" spans="1:5">
      <c r="A649" s="201">
        <f t="shared" si="14"/>
        <v>2022.04</v>
      </c>
      <c r="B649" s="919"/>
      <c r="C649" s="920"/>
      <c r="D649" s="1522"/>
      <c r="E649" s="2566"/>
    </row>
    <row r="650" spans="1:5">
      <c r="A650" s="201">
        <f t="shared" si="14"/>
        <v>2022.05</v>
      </c>
      <c r="B650" s="919"/>
      <c r="C650" s="920"/>
      <c r="D650" s="1522"/>
      <c r="E650" s="2566"/>
    </row>
    <row r="651" spans="1:5">
      <c r="A651" s="201">
        <f t="shared" si="14"/>
        <v>2022.06</v>
      </c>
      <c r="B651" s="919"/>
      <c r="C651" s="920"/>
      <c r="D651" s="1522"/>
      <c r="E651" s="2566"/>
    </row>
    <row r="652" spans="1:5">
      <c r="A652" s="201">
        <f t="shared" si="14"/>
        <v>2022.07</v>
      </c>
      <c r="B652" s="919"/>
      <c r="C652" s="920"/>
      <c r="D652" s="1522"/>
      <c r="E652" s="2566"/>
    </row>
    <row r="653" spans="1:5">
      <c r="A653" s="201">
        <f t="shared" si="14"/>
        <v>2022.08</v>
      </c>
      <c r="B653" s="919"/>
      <c r="C653" s="920"/>
      <c r="D653" s="1522"/>
      <c r="E653" s="2566"/>
    </row>
    <row r="654" spans="1:5">
      <c r="A654" s="201">
        <f t="shared" si="14"/>
        <v>2022.09</v>
      </c>
      <c r="B654" s="919"/>
      <c r="C654" s="920"/>
      <c r="D654" s="1522"/>
      <c r="E654" s="2566"/>
    </row>
    <row r="655" spans="1:5">
      <c r="A655" s="201">
        <f t="shared" si="14"/>
        <v>2022.1</v>
      </c>
      <c r="B655" s="919"/>
      <c r="C655" s="920"/>
      <c r="D655" s="1522"/>
      <c r="E655" s="2566"/>
    </row>
    <row r="656" spans="1:5">
      <c r="A656" s="201">
        <f t="shared" si="14"/>
        <v>2022.11</v>
      </c>
      <c r="B656" s="919"/>
      <c r="C656" s="920"/>
      <c r="D656" s="1522"/>
      <c r="E656" s="2566"/>
    </row>
    <row r="657" spans="1:5">
      <c r="A657" s="201">
        <f t="shared" si="14"/>
        <v>2022.12</v>
      </c>
      <c r="B657" s="919"/>
      <c r="C657" s="920"/>
      <c r="D657" s="1522"/>
      <c r="E657" s="2566"/>
    </row>
    <row r="658" spans="1:5">
      <c r="A658" s="201">
        <f t="shared" si="14"/>
        <v>2023.01</v>
      </c>
      <c r="B658" s="919"/>
      <c r="C658" s="920"/>
      <c r="D658" s="1522"/>
      <c r="E658" s="2566"/>
    </row>
    <row r="659" spans="1:5">
      <c r="A659" s="201">
        <f t="shared" si="14"/>
        <v>2023.02</v>
      </c>
      <c r="B659" s="919"/>
      <c r="C659" s="920"/>
      <c r="D659" s="1522"/>
      <c r="E659" s="2566"/>
    </row>
    <row r="660" spans="1:5">
      <c r="A660" s="201">
        <f t="shared" si="14"/>
        <v>2023.03</v>
      </c>
      <c r="B660" s="919"/>
      <c r="C660" s="920"/>
      <c r="D660" s="1522"/>
      <c r="E660" s="2566"/>
    </row>
    <row r="661" spans="1:5">
      <c r="A661" s="201">
        <f t="shared" si="14"/>
        <v>2023.04</v>
      </c>
      <c r="B661" s="919"/>
      <c r="C661" s="920"/>
      <c r="D661" s="1522"/>
      <c r="E661" s="2566"/>
    </row>
    <row r="662" spans="1:5">
      <c r="A662" s="201">
        <f t="shared" si="14"/>
        <v>2023.05</v>
      </c>
      <c r="B662" s="919"/>
      <c r="C662" s="920"/>
      <c r="D662" s="1522"/>
      <c r="E662" s="2566"/>
    </row>
    <row r="663" spans="1:5">
      <c r="A663" s="201">
        <f t="shared" si="14"/>
        <v>2023.06</v>
      </c>
      <c r="B663" s="919"/>
      <c r="C663" s="920"/>
      <c r="D663" s="1522"/>
      <c r="E663" s="2566"/>
    </row>
    <row r="664" spans="1:5">
      <c r="A664" s="201">
        <f t="shared" si="14"/>
        <v>2023.07</v>
      </c>
      <c r="B664" s="919"/>
      <c r="C664" s="920"/>
      <c r="D664" s="1522"/>
      <c r="E664" s="2566"/>
    </row>
    <row r="665" spans="1:5">
      <c r="A665" s="201">
        <f t="shared" si="14"/>
        <v>2023.08</v>
      </c>
      <c r="B665" s="919"/>
      <c r="C665" s="920"/>
      <c r="D665" s="1522"/>
      <c r="E665" s="2566"/>
    </row>
    <row r="666" spans="1:5">
      <c r="A666" s="201">
        <f t="shared" si="14"/>
        <v>2023.09</v>
      </c>
      <c r="B666" s="919"/>
      <c r="C666" s="920"/>
      <c r="D666" s="1522"/>
      <c r="E666" s="2566"/>
    </row>
    <row r="667" spans="1:5">
      <c r="A667" s="201">
        <f t="shared" si="14"/>
        <v>2023.1</v>
      </c>
      <c r="B667" s="919"/>
      <c r="C667" s="920"/>
      <c r="D667" s="1522"/>
      <c r="E667" s="2566"/>
    </row>
    <row r="668" spans="1:5">
      <c r="A668" s="201">
        <f t="shared" si="14"/>
        <v>2023.11</v>
      </c>
      <c r="B668" s="919"/>
      <c r="C668" s="920"/>
      <c r="D668" s="1522"/>
      <c r="E668" s="2566"/>
    </row>
    <row r="669" spans="1:5">
      <c r="A669" s="201">
        <f t="shared" si="14"/>
        <v>2023.12</v>
      </c>
      <c r="B669" s="919"/>
      <c r="C669" s="920"/>
      <c r="D669" s="1522"/>
      <c r="E669" s="2566"/>
    </row>
    <row r="670" spans="1:5">
      <c r="A670" s="201">
        <f t="shared" ref="A670:A693" si="15">A658+1</f>
        <v>2024.01</v>
      </c>
      <c r="B670" s="919"/>
      <c r="C670" s="920"/>
      <c r="D670" s="1522"/>
      <c r="E670" s="2566"/>
    </row>
    <row r="671" spans="1:5">
      <c r="A671" s="201">
        <f t="shared" si="15"/>
        <v>2024.02</v>
      </c>
      <c r="B671" s="919"/>
      <c r="C671" s="920"/>
      <c r="D671" s="1522"/>
      <c r="E671" s="2566"/>
    </row>
    <row r="672" spans="1:5">
      <c r="A672" s="201">
        <f t="shared" si="15"/>
        <v>2024.03</v>
      </c>
      <c r="B672" s="919"/>
      <c r="C672" s="920"/>
      <c r="D672" s="1522"/>
      <c r="E672" s="2566"/>
    </row>
    <row r="673" spans="1:5">
      <c r="A673" s="201">
        <f t="shared" si="15"/>
        <v>2024.04</v>
      </c>
      <c r="B673" s="919"/>
      <c r="C673" s="920"/>
      <c r="D673" s="1522"/>
      <c r="E673" s="2566"/>
    </row>
    <row r="674" spans="1:5">
      <c r="A674" s="201">
        <f t="shared" si="15"/>
        <v>2024.05</v>
      </c>
      <c r="B674" s="919"/>
      <c r="C674" s="920"/>
      <c r="D674" s="1522"/>
      <c r="E674" s="2566"/>
    </row>
    <row r="675" spans="1:5">
      <c r="A675" s="201">
        <f t="shared" si="15"/>
        <v>2024.06</v>
      </c>
      <c r="B675" s="919"/>
      <c r="C675" s="920"/>
      <c r="D675" s="1522"/>
      <c r="E675" s="2566"/>
    </row>
    <row r="676" spans="1:5">
      <c r="A676" s="201">
        <f t="shared" si="15"/>
        <v>2024.07</v>
      </c>
      <c r="B676" s="919"/>
      <c r="C676" s="920"/>
      <c r="D676" s="1522"/>
      <c r="E676" s="2566"/>
    </row>
    <row r="677" spans="1:5">
      <c r="A677" s="201">
        <f t="shared" si="15"/>
        <v>2024.08</v>
      </c>
      <c r="B677" s="919"/>
      <c r="C677" s="920"/>
      <c r="D677" s="1522"/>
      <c r="E677" s="2566"/>
    </row>
    <row r="678" spans="1:5">
      <c r="A678" s="201">
        <f t="shared" si="15"/>
        <v>2024.09</v>
      </c>
      <c r="B678" s="919"/>
      <c r="C678" s="920"/>
      <c r="D678" s="1522"/>
      <c r="E678" s="2566"/>
    </row>
    <row r="679" spans="1:5">
      <c r="A679" s="201">
        <f t="shared" si="15"/>
        <v>2024.1</v>
      </c>
      <c r="B679" s="919"/>
      <c r="C679" s="920"/>
      <c r="D679" s="1522"/>
      <c r="E679" s="2566"/>
    </row>
    <row r="680" spans="1:5">
      <c r="A680" s="201">
        <f t="shared" si="15"/>
        <v>2024.11</v>
      </c>
      <c r="B680" s="919"/>
      <c r="C680" s="920"/>
      <c r="D680" s="1522"/>
      <c r="E680" s="2566"/>
    </row>
    <row r="681" spans="1:5">
      <c r="A681" s="201">
        <f t="shared" si="15"/>
        <v>2024.12</v>
      </c>
      <c r="B681" s="919"/>
      <c r="C681" s="920"/>
      <c r="D681" s="1522"/>
      <c r="E681" s="2566"/>
    </row>
    <row r="682" spans="1:5">
      <c r="A682" s="201">
        <f t="shared" si="15"/>
        <v>2025.01</v>
      </c>
      <c r="B682" s="919"/>
      <c r="C682" s="920"/>
      <c r="D682" s="1522"/>
      <c r="E682" s="2566"/>
    </row>
    <row r="683" spans="1:5">
      <c r="A683" s="201">
        <f t="shared" si="15"/>
        <v>2025.02</v>
      </c>
      <c r="B683" s="919"/>
      <c r="C683" s="920"/>
      <c r="D683" s="1522"/>
      <c r="E683" s="2566"/>
    </row>
    <row r="684" spans="1:5">
      <c r="A684" s="201">
        <f t="shared" si="15"/>
        <v>2025.03</v>
      </c>
      <c r="B684" s="919"/>
      <c r="C684" s="920"/>
      <c r="D684" s="1522"/>
      <c r="E684" s="2566"/>
    </row>
    <row r="685" spans="1:5">
      <c r="A685" s="201">
        <f t="shared" si="15"/>
        <v>2025.04</v>
      </c>
      <c r="B685" s="919"/>
      <c r="C685" s="920"/>
      <c r="D685" s="1522"/>
      <c r="E685" s="2566"/>
    </row>
    <row r="686" spans="1:5">
      <c r="A686" s="201">
        <f t="shared" si="15"/>
        <v>2025.05</v>
      </c>
      <c r="B686" s="919"/>
      <c r="C686" s="920"/>
      <c r="D686" s="1522"/>
      <c r="E686" s="2566"/>
    </row>
    <row r="687" spans="1:5">
      <c r="A687" s="201">
        <f t="shared" si="15"/>
        <v>2025.06</v>
      </c>
      <c r="B687" s="919"/>
      <c r="C687" s="920"/>
      <c r="D687" s="1522"/>
      <c r="E687" s="2566"/>
    </row>
    <row r="688" spans="1:5">
      <c r="A688" s="201">
        <f t="shared" si="15"/>
        <v>2025.07</v>
      </c>
      <c r="B688" s="919"/>
      <c r="C688" s="920"/>
      <c r="D688" s="1522"/>
      <c r="E688" s="2566"/>
    </row>
    <row r="689" spans="1:5">
      <c r="A689" s="201">
        <f t="shared" si="15"/>
        <v>2025.08</v>
      </c>
      <c r="B689" s="919"/>
      <c r="C689" s="920"/>
      <c r="D689" s="1522"/>
      <c r="E689" s="2566"/>
    </row>
    <row r="690" spans="1:5">
      <c r="A690" s="201">
        <f t="shared" si="15"/>
        <v>2025.09</v>
      </c>
      <c r="B690" s="919"/>
      <c r="C690" s="920"/>
      <c r="D690" s="1522"/>
      <c r="E690" s="2566"/>
    </row>
    <row r="691" spans="1:5">
      <c r="A691" s="201">
        <f t="shared" si="15"/>
        <v>2025.1</v>
      </c>
      <c r="B691" s="919"/>
      <c r="C691" s="920"/>
      <c r="D691" s="1522"/>
      <c r="E691" s="2566"/>
    </row>
    <row r="692" spans="1:5">
      <c r="A692" s="201">
        <f t="shared" si="15"/>
        <v>2025.11</v>
      </c>
      <c r="B692" s="919"/>
      <c r="C692" s="920"/>
      <c r="D692" s="1522"/>
      <c r="E692" s="2566"/>
    </row>
    <row r="693" spans="1:5">
      <c r="A693" s="201">
        <f t="shared" si="15"/>
        <v>2025.12</v>
      </c>
      <c r="B693" s="919"/>
      <c r="C693" s="920"/>
      <c r="D693" s="1522"/>
      <c r="E693" s="2566"/>
    </row>
    <row r="694" spans="1:5">
      <c r="A694" s="2765">
        <v>2026.01</v>
      </c>
      <c r="B694" s="919"/>
      <c r="C694" s="920"/>
      <c r="D694" s="1522"/>
      <c r="E694" s="2566"/>
    </row>
    <row r="695" spans="1:5">
      <c r="A695" s="2765">
        <v>2026.02</v>
      </c>
      <c r="B695" s="919"/>
      <c r="C695" s="920"/>
      <c r="D695" s="1522"/>
      <c r="E695" s="2566"/>
    </row>
    <row r="696" spans="1:5">
      <c r="A696" s="2765">
        <v>2026.03</v>
      </c>
      <c r="B696" s="919"/>
      <c r="C696" s="920"/>
      <c r="D696" s="1522"/>
      <c r="E696" s="2566"/>
    </row>
    <row r="697" spans="1:5">
      <c r="A697" s="2765">
        <v>2026.04</v>
      </c>
      <c r="B697" s="919"/>
      <c r="C697" s="920"/>
      <c r="D697" s="1522"/>
      <c r="E697" s="2566"/>
    </row>
    <row r="698" spans="1:5">
      <c r="A698" s="2765">
        <v>2026.05</v>
      </c>
      <c r="B698" s="919"/>
      <c r="C698" s="920"/>
      <c r="D698" s="1522"/>
      <c r="E698" s="2566"/>
    </row>
    <row r="699" spans="1:5">
      <c r="A699" s="2765">
        <v>2026.06</v>
      </c>
      <c r="B699" s="919"/>
      <c r="C699" s="920"/>
      <c r="D699" s="1522"/>
      <c r="E699" s="2566"/>
    </row>
    <row r="700" spans="1:5">
      <c r="A700" s="2765">
        <v>2026.07</v>
      </c>
      <c r="B700" s="919"/>
      <c r="C700" s="920"/>
      <c r="D700" s="1522"/>
      <c r="E700" s="2566"/>
    </row>
    <row r="701" spans="1:5">
      <c r="A701" s="2765">
        <v>2026.08</v>
      </c>
      <c r="B701" s="919"/>
      <c r="C701" s="920"/>
      <c r="D701" s="1522"/>
      <c r="E701" s="2566"/>
    </row>
    <row r="702" spans="1:5">
      <c r="A702" s="2765">
        <v>2026.09</v>
      </c>
      <c r="B702" s="919"/>
      <c r="C702" s="920"/>
      <c r="D702" s="1522"/>
      <c r="E702" s="2566"/>
    </row>
    <row r="703" spans="1:5">
      <c r="A703" s="2765">
        <v>2026.1</v>
      </c>
      <c r="B703" s="919"/>
      <c r="C703" s="920"/>
      <c r="D703" s="1522"/>
      <c r="E703" s="2566"/>
    </row>
    <row r="704" spans="1:5">
      <c r="A704" s="2765">
        <v>2026.11</v>
      </c>
      <c r="B704" s="919"/>
      <c r="C704" s="920"/>
      <c r="D704" s="1522"/>
      <c r="E704" s="2566"/>
    </row>
    <row r="705" spans="1:5">
      <c r="A705" s="2765">
        <v>2026.12</v>
      </c>
      <c r="B705" s="919"/>
      <c r="C705" s="920"/>
      <c r="D705" s="1522"/>
      <c r="E705" s="2566"/>
    </row>
    <row r="706" spans="1:5">
      <c r="A706" s="2765">
        <v>2027.01</v>
      </c>
      <c r="B706" s="919"/>
      <c r="C706" s="920"/>
      <c r="D706" s="1522"/>
      <c r="E706" s="2566"/>
    </row>
    <row r="707" spans="1:5">
      <c r="A707" s="2765">
        <v>2027.02</v>
      </c>
      <c r="B707" s="919"/>
      <c r="C707" s="920"/>
      <c r="D707" s="1522"/>
      <c r="E707" s="2566"/>
    </row>
    <row r="708" spans="1:5">
      <c r="A708" s="2765">
        <v>2027.03</v>
      </c>
      <c r="B708" s="919"/>
      <c r="C708" s="920"/>
      <c r="D708" s="1522"/>
      <c r="E708" s="2566"/>
    </row>
    <row r="709" spans="1:5">
      <c r="A709" s="2765">
        <v>2027.04</v>
      </c>
      <c r="B709" s="919"/>
      <c r="C709" s="920"/>
      <c r="D709" s="1522"/>
      <c r="E709" s="2566"/>
    </row>
    <row r="710" spans="1:5">
      <c r="A710" s="2765">
        <v>2027.05</v>
      </c>
      <c r="B710" s="919"/>
      <c r="C710" s="920"/>
      <c r="D710" s="1522"/>
      <c r="E710" s="2566"/>
    </row>
    <row r="711" spans="1:5">
      <c r="A711" s="2765">
        <v>2027.06</v>
      </c>
      <c r="B711" s="919"/>
      <c r="C711" s="920"/>
      <c r="D711" s="1522"/>
      <c r="E711" s="2566"/>
    </row>
    <row r="712" spans="1:5">
      <c r="A712" s="2765">
        <v>2027.07</v>
      </c>
      <c r="B712" s="919"/>
      <c r="C712" s="920"/>
      <c r="D712" s="1522"/>
      <c r="E712" s="2566"/>
    </row>
    <row r="713" spans="1:5">
      <c r="A713" s="2765">
        <v>2027.08</v>
      </c>
      <c r="B713" s="919"/>
      <c r="C713" s="920"/>
      <c r="D713" s="1522"/>
      <c r="E713" s="2566"/>
    </row>
    <row r="714" spans="1:5">
      <c r="A714" s="2765">
        <v>2027.09</v>
      </c>
      <c r="B714" s="919"/>
      <c r="C714" s="920"/>
      <c r="D714" s="1522"/>
      <c r="E714" s="2566"/>
    </row>
    <row r="715" spans="1:5">
      <c r="A715" s="2765">
        <v>2027.1</v>
      </c>
      <c r="B715" s="919"/>
      <c r="C715" s="920"/>
      <c r="D715" s="1522"/>
      <c r="E715" s="2566"/>
    </row>
    <row r="716" spans="1:5">
      <c r="A716" s="2765">
        <v>2027.11</v>
      </c>
      <c r="B716" s="919"/>
      <c r="C716" s="920"/>
      <c r="D716" s="1522"/>
      <c r="E716" s="2566"/>
    </row>
    <row r="717" spans="1:5">
      <c r="A717" s="2765">
        <v>2027.12</v>
      </c>
      <c r="B717" s="919"/>
      <c r="C717" s="920"/>
      <c r="D717" s="1522"/>
      <c r="E717" s="2566"/>
    </row>
    <row r="718" spans="1:5">
      <c r="A718" s="2765">
        <v>2028.01</v>
      </c>
      <c r="B718" s="919"/>
      <c r="C718" s="920"/>
      <c r="D718" s="1522"/>
      <c r="E718" s="2566"/>
    </row>
    <row r="719" spans="1:5">
      <c r="A719" s="2765">
        <v>2028.02</v>
      </c>
      <c r="B719" s="919"/>
      <c r="C719" s="920"/>
      <c r="D719" s="1522"/>
      <c r="E719" s="2566"/>
    </row>
    <row r="720" spans="1:5">
      <c r="A720" s="2765">
        <v>2028.03</v>
      </c>
      <c r="B720" s="919"/>
      <c r="C720" s="920"/>
      <c r="D720" s="1522"/>
      <c r="E720" s="2566"/>
    </row>
    <row r="721" spans="1:5">
      <c r="A721" s="2765">
        <v>2028.04</v>
      </c>
      <c r="B721" s="919"/>
      <c r="C721" s="920"/>
      <c r="D721" s="1522"/>
      <c r="E721" s="2566"/>
    </row>
    <row r="722" spans="1:5">
      <c r="A722" s="2765">
        <v>2028.05</v>
      </c>
      <c r="B722" s="919"/>
      <c r="C722" s="920"/>
      <c r="D722" s="1522"/>
      <c r="E722" s="2566"/>
    </row>
    <row r="723" spans="1:5">
      <c r="A723" s="2765">
        <v>2028.06</v>
      </c>
      <c r="B723" s="919"/>
      <c r="C723" s="920"/>
      <c r="D723" s="1522"/>
      <c r="E723" s="2566"/>
    </row>
    <row r="724" spans="1:5">
      <c r="A724" s="2765">
        <v>2028.07</v>
      </c>
      <c r="B724" s="919"/>
      <c r="C724" s="920"/>
      <c r="D724" s="1522"/>
      <c r="E724" s="2566"/>
    </row>
    <row r="725" spans="1:5">
      <c r="A725" s="2765">
        <v>2028.08</v>
      </c>
      <c r="B725" s="919"/>
      <c r="C725" s="920"/>
      <c r="D725" s="1522"/>
      <c r="E725" s="2566"/>
    </row>
    <row r="726" spans="1:5">
      <c r="A726" s="2765">
        <v>2028.09</v>
      </c>
      <c r="B726" s="919"/>
      <c r="C726" s="920"/>
      <c r="D726" s="1522"/>
      <c r="E726" s="2566"/>
    </row>
    <row r="727" spans="1:5">
      <c r="A727" s="2765">
        <v>2028.1</v>
      </c>
      <c r="B727" s="919"/>
      <c r="C727" s="920"/>
      <c r="D727" s="1522"/>
      <c r="E727" s="2566"/>
    </row>
    <row r="728" spans="1:5">
      <c r="A728" s="2765">
        <v>2028.11</v>
      </c>
      <c r="B728" s="919"/>
      <c r="C728" s="920"/>
      <c r="D728" s="1522"/>
      <c r="E728" s="2566"/>
    </row>
    <row r="729" spans="1:5">
      <c r="A729" s="2765">
        <v>2028.12</v>
      </c>
      <c r="B729" s="919"/>
      <c r="C729" s="920"/>
      <c r="D729" s="1522"/>
      <c r="E729" s="2566"/>
    </row>
    <row r="730" spans="1:5">
      <c r="A730" s="2765">
        <v>2029.01</v>
      </c>
      <c r="B730" s="919"/>
      <c r="C730" s="920"/>
      <c r="D730" s="1522"/>
      <c r="E730" s="2566"/>
    </row>
    <row r="731" spans="1:5">
      <c r="A731" s="2765">
        <v>2029.02</v>
      </c>
      <c r="B731" s="919"/>
      <c r="C731" s="920"/>
      <c r="D731" s="1522"/>
      <c r="E731" s="2566"/>
    </row>
    <row r="732" spans="1:5">
      <c r="A732" s="2765">
        <v>2029.03</v>
      </c>
      <c r="B732" s="919"/>
      <c r="C732" s="920"/>
      <c r="D732" s="1522"/>
      <c r="E732" s="2566"/>
    </row>
    <row r="733" spans="1:5">
      <c r="A733" s="2765">
        <v>2029.04</v>
      </c>
      <c r="B733" s="919"/>
      <c r="C733" s="920"/>
      <c r="D733" s="1522"/>
      <c r="E733" s="2566"/>
    </row>
    <row r="734" spans="1:5">
      <c r="A734" s="2765">
        <v>2029.05</v>
      </c>
      <c r="B734" s="919"/>
      <c r="C734" s="920"/>
      <c r="D734" s="1522"/>
      <c r="E734" s="2566"/>
    </row>
    <row r="735" spans="1:5">
      <c r="A735" s="2765">
        <v>2029.06</v>
      </c>
      <c r="B735" s="919"/>
      <c r="C735" s="920"/>
      <c r="D735" s="1522"/>
      <c r="E735" s="2566"/>
    </row>
    <row r="736" spans="1:5">
      <c r="A736" s="2765">
        <v>2029.07</v>
      </c>
      <c r="B736" s="919"/>
      <c r="C736" s="920"/>
      <c r="D736" s="1522"/>
      <c r="E736" s="2566"/>
    </row>
    <row r="737" spans="1:5">
      <c r="A737" s="2765">
        <v>2029.08</v>
      </c>
      <c r="B737" s="919"/>
      <c r="C737" s="920"/>
      <c r="D737" s="1522"/>
      <c r="E737" s="2566"/>
    </row>
    <row r="738" spans="1:5">
      <c r="A738" s="2765">
        <v>2029.09</v>
      </c>
      <c r="B738" s="919"/>
      <c r="C738" s="920"/>
      <c r="D738" s="1522"/>
      <c r="E738" s="2566"/>
    </row>
    <row r="739" spans="1:5">
      <c r="A739" s="2765">
        <v>2029.1</v>
      </c>
      <c r="B739" s="919"/>
      <c r="C739" s="920"/>
      <c r="D739" s="1522"/>
      <c r="E739" s="2566"/>
    </row>
    <row r="740" spans="1:5">
      <c r="A740" s="2765">
        <v>2029.11</v>
      </c>
      <c r="B740" s="919"/>
      <c r="C740" s="920"/>
      <c r="D740" s="1522"/>
      <c r="E740" s="2566"/>
    </row>
    <row r="741" spans="1:5">
      <c r="A741" s="2765">
        <v>2029.12</v>
      </c>
      <c r="B741" s="919"/>
      <c r="C741" s="920"/>
      <c r="D741" s="1522"/>
      <c r="E741" s="2566"/>
    </row>
    <row r="742" spans="1:5">
      <c r="A742" s="2765">
        <v>2030.01</v>
      </c>
      <c r="B742" s="919"/>
      <c r="C742" s="920"/>
      <c r="D742" s="1522"/>
      <c r="E742" s="2566"/>
    </row>
    <row r="743" spans="1:5">
      <c r="A743" s="2765">
        <v>2030.02</v>
      </c>
      <c r="B743" s="919"/>
      <c r="C743" s="920"/>
      <c r="D743" s="1522"/>
      <c r="E743" s="2566"/>
    </row>
    <row r="744" spans="1:5">
      <c r="A744" s="2765">
        <v>2030.03</v>
      </c>
      <c r="B744" s="919"/>
      <c r="C744" s="920"/>
      <c r="D744" s="1522"/>
      <c r="E744" s="2566"/>
    </row>
    <row r="745" spans="1:5">
      <c r="A745" s="2765">
        <v>2030.04</v>
      </c>
      <c r="B745" s="919"/>
      <c r="C745" s="920"/>
      <c r="D745" s="1522"/>
      <c r="E745" s="2566"/>
    </row>
    <row r="746" spans="1:5">
      <c r="A746" s="2765">
        <v>2030.05</v>
      </c>
      <c r="B746" s="919"/>
      <c r="C746" s="920"/>
      <c r="D746" s="1522"/>
      <c r="E746" s="2566"/>
    </row>
    <row r="747" spans="1:5">
      <c r="A747" s="2765">
        <v>2030.06</v>
      </c>
      <c r="B747" s="919"/>
      <c r="C747" s="920"/>
      <c r="D747" s="1522"/>
      <c r="E747" s="2566"/>
    </row>
    <row r="748" spans="1:5">
      <c r="A748" s="2765">
        <v>2030.07</v>
      </c>
      <c r="B748" s="919"/>
      <c r="C748" s="920"/>
      <c r="D748" s="1522"/>
      <c r="E748" s="2566"/>
    </row>
    <row r="749" spans="1:5">
      <c r="A749" s="2765">
        <v>2030.08</v>
      </c>
      <c r="B749" s="919"/>
      <c r="C749" s="920"/>
      <c r="D749" s="1522"/>
      <c r="E749" s="2566"/>
    </row>
    <row r="750" spans="1:5">
      <c r="A750" s="2765">
        <v>2030.09</v>
      </c>
      <c r="B750" s="919"/>
      <c r="C750" s="920"/>
      <c r="D750" s="1522"/>
      <c r="E750" s="2566"/>
    </row>
    <row r="751" spans="1:5">
      <c r="A751" s="2765">
        <v>2030.1</v>
      </c>
      <c r="B751" s="919"/>
      <c r="C751" s="920"/>
      <c r="D751" s="1522"/>
      <c r="E751" s="2566"/>
    </row>
    <row r="752" spans="1:5">
      <c r="A752" s="2765">
        <v>2030.11</v>
      </c>
      <c r="B752" s="919"/>
      <c r="C752" s="920"/>
      <c r="D752" s="1522"/>
      <c r="E752" s="2566"/>
    </row>
    <row r="753" spans="1:5">
      <c r="A753" s="2765">
        <v>2030.12</v>
      </c>
      <c r="B753" s="919"/>
      <c r="C753" s="920"/>
      <c r="D753" s="1522"/>
      <c r="E753" s="2566"/>
    </row>
  </sheetData>
  <hyperlinks>
    <hyperlink ref="A5" location="INDICE!A13" display="VOLVER AL INDICE" xr:uid="{00000000-0004-0000-3500-000000000000}"/>
  </hyperlinks>
  <pageMargins left="0.5" right="0.5" top="0.5" bottom="1" header="0" footer="0.5"/>
  <pageSetup paperSize="256" scale="90" pageOrder="overThenDown" orientation="landscape" horizontalDpi="180" verticalDpi="180" r:id="rId1"/>
  <headerFooter alignWithMargins="0">
    <oddFooter>&amp;L&amp;F&amp;R&amp;D</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37">
    <pageSetUpPr autoPageBreaks="0"/>
  </sheetPr>
  <dimension ref="A1:F429"/>
  <sheetViews>
    <sheetView zoomScale="130" zoomScaleNormal="130" workbookViewId="0">
      <pane xSplit="1" ySplit="9" topLeftCell="B332" activePane="bottomRight" state="frozen"/>
      <selection activeCell="A5" sqref="A5"/>
      <selection pane="topRight" activeCell="A5" sqref="A5"/>
      <selection pane="bottomLeft" activeCell="A5" sqref="A5"/>
      <selection pane="bottomRight" activeCell="A5" sqref="A5"/>
    </sheetView>
  </sheetViews>
  <sheetFormatPr baseColWidth="10" defaultColWidth="19.5703125" defaultRowHeight="12.75"/>
  <cols>
    <col min="1" max="1" width="9" style="19" customWidth="1"/>
    <col min="2" max="3" width="16.28515625" style="19" customWidth="1"/>
    <col min="4" max="5" width="16.28515625" style="1" customWidth="1"/>
    <col min="6" max="16384" width="19.5703125" style="1"/>
  </cols>
  <sheetData>
    <row r="1" spans="1:5" ht="6.6" customHeight="1">
      <c r="A1" s="37"/>
      <c r="B1" s="275"/>
      <c r="C1" s="443"/>
      <c r="D1" s="1497"/>
      <c r="E1" s="444"/>
    </row>
    <row r="2" spans="1:5">
      <c r="A2" s="195" t="s">
        <v>212</v>
      </c>
      <c r="B2" s="156" t="s">
        <v>843</v>
      </c>
      <c r="C2" s="127"/>
      <c r="D2" s="94" t="s">
        <v>844</v>
      </c>
      <c r="E2" s="90"/>
    </row>
    <row r="3" spans="1:5" ht="22.5">
      <c r="A3" s="195" t="s">
        <v>211</v>
      </c>
      <c r="B3" s="156" t="s">
        <v>797</v>
      </c>
      <c r="C3" s="127"/>
      <c r="D3" s="94" t="s">
        <v>797</v>
      </c>
      <c r="E3" s="90"/>
    </row>
    <row r="4" spans="1:5" ht="3" customHeight="1">
      <c r="A4" s="37"/>
      <c r="B4" s="204"/>
      <c r="C4" s="205"/>
      <c r="D4" s="1508"/>
      <c r="E4" s="206"/>
    </row>
    <row r="5" spans="1:5" ht="22.5">
      <c r="A5" s="45" t="s">
        <v>213</v>
      </c>
      <c r="B5" s="321" t="s">
        <v>42</v>
      </c>
      <c r="C5" s="482"/>
      <c r="D5" s="84" t="s">
        <v>1076</v>
      </c>
      <c r="E5" s="151"/>
    </row>
    <row r="6" spans="1:5" ht="3" customHeight="1">
      <c r="A6" s="37"/>
      <c r="B6" s="204"/>
      <c r="C6" s="205"/>
      <c r="D6" s="1496"/>
      <c r="E6" s="206"/>
    </row>
    <row r="7" spans="1:5" ht="22.5">
      <c r="A7" s="197" t="s">
        <v>210</v>
      </c>
      <c r="B7" s="104" t="s">
        <v>1357</v>
      </c>
      <c r="C7" s="1494" t="s">
        <v>304</v>
      </c>
      <c r="D7" s="104" t="s">
        <v>229</v>
      </c>
      <c r="E7" s="1502" t="s">
        <v>304</v>
      </c>
    </row>
    <row r="8" spans="1:5" ht="14.25" customHeight="1">
      <c r="A8" s="225" t="s">
        <v>412</v>
      </c>
      <c r="B8" s="397" t="s">
        <v>699</v>
      </c>
      <c r="C8" s="1495" t="s">
        <v>700</v>
      </c>
      <c r="D8" s="398" t="s">
        <v>701</v>
      </c>
      <c r="E8" s="1319" t="s">
        <v>702</v>
      </c>
    </row>
    <row r="9" spans="1:5" ht="13.5" thickBot="1">
      <c r="A9" s="194"/>
      <c r="B9" s="484"/>
      <c r="C9" s="1490"/>
      <c r="D9" s="320"/>
      <c r="E9" s="1503"/>
    </row>
    <row r="10" spans="1:5">
      <c r="A10" s="209">
        <v>1996.01</v>
      </c>
      <c r="B10" s="2420">
        <v>1.56934914524705</v>
      </c>
      <c r="C10" s="1491"/>
      <c r="D10" s="1498"/>
      <c r="E10" s="1504"/>
    </row>
    <row r="11" spans="1:5">
      <c r="A11" s="209">
        <v>1996.02</v>
      </c>
      <c r="B11" s="2421">
        <v>1.5600821252133916</v>
      </c>
      <c r="C11" s="1492">
        <f>B11/B10-1</f>
        <v>-5.9050084945880821E-3</v>
      </c>
      <c r="D11" s="1498"/>
      <c r="E11" s="1505"/>
    </row>
    <row r="12" spans="1:5">
      <c r="A12" s="209">
        <v>1996.03</v>
      </c>
      <c r="B12" s="2421">
        <v>1.554082885475268</v>
      </c>
      <c r="C12" s="1493">
        <f>B12/B11-1</f>
        <v>-3.8454640567739951E-3</v>
      </c>
      <c r="D12" s="1498"/>
      <c r="E12" s="1505"/>
    </row>
    <row r="13" spans="1:5">
      <c r="A13" s="209">
        <v>1996.04</v>
      </c>
      <c r="B13" s="2421">
        <v>1.5618673938103547</v>
      </c>
      <c r="C13" s="1493">
        <f t="shared" ref="C13:C75" si="0">B13/B12-1</f>
        <v>5.0090689549715517E-3</v>
      </c>
      <c r="D13" s="1498"/>
      <c r="E13" s="1505"/>
    </row>
    <row r="14" spans="1:5">
      <c r="A14" s="209">
        <v>1996.05</v>
      </c>
      <c r="B14" s="2421">
        <v>1.5622364732029572</v>
      </c>
      <c r="C14" s="1493">
        <f t="shared" si="0"/>
        <v>2.3630648419015188E-4</v>
      </c>
      <c r="D14" s="1498"/>
      <c r="E14" s="1505"/>
    </row>
    <row r="15" spans="1:5">
      <c r="A15" s="209">
        <v>1996.06</v>
      </c>
      <c r="B15" s="2421">
        <v>1.5666349085022704</v>
      </c>
      <c r="C15" s="1493">
        <f t="shared" si="0"/>
        <v>2.8154734412872973E-3</v>
      </c>
      <c r="D15" s="1498"/>
      <c r="E15" s="1505"/>
    </row>
    <row r="16" spans="1:5">
      <c r="A16" s="209">
        <v>1996.07</v>
      </c>
      <c r="B16" s="2421">
        <v>1.5628599650790398</v>
      </c>
      <c r="C16" s="1493">
        <f t="shared" si="0"/>
        <v>-2.4095872004024077E-3</v>
      </c>
      <c r="D16" s="1498"/>
      <c r="E16" s="1505"/>
    </row>
    <row r="17" spans="1:5">
      <c r="A17" s="209">
        <v>1996.08</v>
      </c>
      <c r="B17" s="2421">
        <v>1.5596343350702593</v>
      </c>
      <c r="C17" s="1493">
        <f t="shared" si="0"/>
        <v>-2.0639277227997299E-3</v>
      </c>
      <c r="D17" s="1498"/>
      <c r="E17" s="1505"/>
    </row>
    <row r="18" spans="1:5">
      <c r="A18" s="209">
        <v>1996.09</v>
      </c>
      <c r="B18" s="2421">
        <v>1.5646209103922493</v>
      </c>
      <c r="C18" s="1493">
        <f t="shared" si="0"/>
        <v>3.1972720847834868E-3</v>
      </c>
      <c r="D18" s="1498"/>
      <c r="E18" s="1505"/>
    </row>
    <row r="19" spans="1:5">
      <c r="A19" s="209">
        <v>1996.1</v>
      </c>
      <c r="B19" s="2421">
        <v>1.5626951408394449</v>
      </c>
      <c r="C19" s="1493">
        <f t="shared" si="0"/>
        <v>-1.2308218176130259E-3</v>
      </c>
      <c r="D19" s="1498"/>
      <c r="E19" s="1505"/>
    </row>
    <row r="20" spans="1:5">
      <c r="A20" s="209">
        <v>1996.11</v>
      </c>
      <c r="B20" s="2421">
        <v>1.5674529866483784</v>
      </c>
      <c r="C20" s="1493">
        <f t="shared" si="0"/>
        <v>3.0446410720761374E-3</v>
      </c>
      <c r="D20" s="1498"/>
      <c r="E20" s="1505"/>
    </row>
    <row r="21" spans="1:5">
      <c r="A21" s="209">
        <v>1996.12</v>
      </c>
      <c r="B21" s="2421">
        <v>1.5656634879151106</v>
      </c>
      <c r="C21" s="1493">
        <f t="shared" si="0"/>
        <v>-1.1416602274587628E-3</v>
      </c>
      <c r="D21" s="1498"/>
      <c r="E21" s="1505"/>
    </row>
    <row r="22" spans="1:5">
      <c r="A22" s="209">
        <v>1997.01</v>
      </c>
      <c r="B22" s="2421">
        <v>1.5633624448415433</v>
      </c>
      <c r="C22" s="1493">
        <f t="shared" si="0"/>
        <v>-1.4696919812771103E-3</v>
      </c>
      <c r="D22" s="1498"/>
      <c r="E22" s="1505"/>
    </row>
    <row r="23" spans="1:5">
      <c r="A23" s="209">
        <v>1997.02</v>
      </c>
      <c r="B23" s="2421">
        <v>1.5717778477912454</v>
      </c>
      <c r="C23" s="1493">
        <f t="shared" si="0"/>
        <v>5.3828867243610468E-3</v>
      </c>
      <c r="D23" s="1498"/>
      <c r="E23" s="1505"/>
    </row>
    <row r="24" spans="1:5">
      <c r="A24" s="209">
        <v>1997.03</v>
      </c>
      <c r="B24" s="2421">
        <v>1.5812198141763687</v>
      </c>
      <c r="C24" s="1493">
        <f t="shared" si="0"/>
        <v>6.0071888647570404E-3</v>
      </c>
      <c r="D24" s="1498"/>
      <c r="E24" s="1505"/>
    </row>
    <row r="25" spans="1:5">
      <c r="A25" s="209">
        <v>1997.04</v>
      </c>
      <c r="B25" s="2421">
        <v>1.5802156100328455</v>
      </c>
      <c r="C25" s="1493">
        <f t="shared" si="0"/>
        <v>-6.3508193770411836E-4</v>
      </c>
      <c r="D25" s="1498"/>
      <c r="E25" s="1505"/>
    </row>
    <row r="26" spans="1:5">
      <c r="A26" s="209">
        <v>1997.05</v>
      </c>
      <c r="B26" s="2421">
        <v>1.5782765457659398</v>
      </c>
      <c r="C26" s="1493">
        <f t="shared" si="0"/>
        <v>-1.2270884141344363E-3</v>
      </c>
      <c r="D26" s="1498"/>
      <c r="E26" s="1505"/>
    </row>
    <row r="27" spans="1:5">
      <c r="A27" s="209">
        <v>1997.06</v>
      </c>
      <c r="B27" s="2421">
        <v>1.5833478748903249</v>
      </c>
      <c r="C27" s="1493">
        <f t="shared" si="0"/>
        <v>3.213206923710521E-3</v>
      </c>
      <c r="D27" s="1498"/>
      <c r="E27" s="1505"/>
    </row>
    <row r="28" spans="1:5">
      <c r="A28" s="209">
        <v>1997.07</v>
      </c>
      <c r="B28" s="2421">
        <v>1.5616756779899656</v>
      </c>
      <c r="C28" s="1493">
        <f t="shared" si="0"/>
        <v>-1.3687577596843914E-2</v>
      </c>
      <c r="D28" s="1498"/>
      <c r="E28" s="1505"/>
    </row>
    <row r="29" spans="1:5">
      <c r="A29" s="209">
        <v>1997.08</v>
      </c>
      <c r="B29" s="2421">
        <v>1.5600138387273277</v>
      </c>
      <c r="C29" s="1493">
        <f t="shared" si="0"/>
        <v>-1.0641385314887897E-3</v>
      </c>
      <c r="D29" s="1498"/>
      <c r="E29" s="1505"/>
    </row>
    <row r="30" spans="1:5">
      <c r="A30" s="209">
        <v>1997.09</v>
      </c>
      <c r="B30" s="2421">
        <v>1.5538197105665854</v>
      </c>
      <c r="C30" s="1493">
        <f t="shared" si="0"/>
        <v>-3.970559752082381E-3</v>
      </c>
      <c r="D30" s="1498"/>
      <c r="E30" s="1505"/>
    </row>
    <row r="31" spans="1:5">
      <c r="A31" s="209">
        <v>1997.1</v>
      </c>
      <c r="B31" s="2421">
        <v>1.5305124149080866</v>
      </c>
      <c r="C31" s="1493">
        <f t="shared" si="0"/>
        <v>-1.5000000000000013E-2</v>
      </c>
      <c r="D31" s="1498"/>
      <c r="E31" s="1505"/>
    </row>
    <row r="32" spans="1:5">
      <c r="A32" s="209">
        <v>1997.11</v>
      </c>
      <c r="B32" s="2421">
        <v>1.5274513900782705</v>
      </c>
      <c r="C32" s="1493">
        <f t="shared" si="0"/>
        <v>-2.0000000000000018E-3</v>
      </c>
      <c r="D32" s="1498"/>
      <c r="E32" s="1505"/>
    </row>
    <row r="33" spans="1:5">
      <c r="A33" s="209">
        <v>1997.12</v>
      </c>
      <c r="B33" s="2421">
        <v>1.5752725446842766</v>
      </c>
      <c r="C33" s="1493">
        <f t="shared" si="0"/>
        <v>3.1307807840323942E-2</v>
      </c>
      <c r="D33" s="1498"/>
      <c r="E33" s="1505"/>
    </row>
    <row r="34" spans="1:5">
      <c r="A34" s="209">
        <v>1998.01</v>
      </c>
      <c r="B34" s="2421">
        <v>1.5727042476420179</v>
      </c>
      <c r="C34" s="1493">
        <f t="shared" si="0"/>
        <v>-1.6303826604008309E-3</v>
      </c>
      <c r="D34" s="1498"/>
      <c r="E34" s="1505"/>
    </row>
    <row r="35" spans="1:5">
      <c r="A35" s="209">
        <v>1998.02</v>
      </c>
      <c r="B35" s="2421">
        <v>1.5727042476420179</v>
      </c>
      <c r="C35" s="1493">
        <f t="shared" si="0"/>
        <v>0</v>
      </c>
      <c r="D35" s="1498"/>
      <c r="E35" s="1505"/>
    </row>
    <row r="36" spans="1:5">
      <c r="A36" s="209">
        <v>1998.03</v>
      </c>
      <c r="B36" s="2421">
        <v>1.5787472995061562</v>
      </c>
      <c r="C36" s="1493">
        <f t="shared" si="0"/>
        <v>3.842459173871271E-3</v>
      </c>
      <c r="D36" s="1498"/>
      <c r="E36" s="1505"/>
    </row>
    <row r="37" spans="1:5">
      <c r="A37" s="209">
        <v>1998.04</v>
      </c>
      <c r="B37" s="2421">
        <v>1.5802580624721907</v>
      </c>
      <c r="C37" s="1493">
        <f t="shared" si="0"/>
        <v>9.5693779904304499E-4</v>
      </c>
      <c r="D37" s="1498"/>
      <c r="E37" s="1505"/>
    </row>
    <row r="38" spans="1:5">
      <c r="A38" s="209">
        <v>1998.05</v>
      </c>
      <c r="B38" s="2421">
        <v>1.5802580624721907</v>
      </c>
      <c r="C38" s="1493">
        <f t="shared" si="0"/>
        <v>0</v>
      </c>
      <c r="D38" s="1498"/>
      <c r="E38" s="1505"/>
    </row>
    <row r="39" spans="1:5">
      <c r="A39" s="209">
        <v>1998.06</v>
      </c>
      <c r="B39" s="2421">
        <v>1.5818383205346627</v>
      </c>
      <c r="C39" s="1493">
        <f t="shared" si="0"/>
        <v>9.9999999999988987E-4</v>
      </c>
      <c r="D39" s="1498"/>
      <c r="E39" s="1505"/>
    </row>
    <row r="40" spans="1:5">
      <c r="A40" s="209">
        <v>1998.07</v>
      </c>
      <c r="B40" s="2421">
        <v>1.583420158855197</v>
      </c>
      <c r="C40" s="1493">
        <f t="shared" si="0"/>
        <v>9.9999999999988987E-4</v>
      </c>
      <c r="D40" s="1498"/>
      <c r="E40" s="1505"/>
    </row>
    <row r="41" spans="1:5">
      <c r="A41" s="209">
        <v>1998.08</v>
      </c>
      <c r="B41" s="2421">
        <v>1.5865869991729078</v>
      </c>
      <c r="C41" s="1493">
        <f t="shared" si="0"/>
        <v>2.0000000000002238E-3</v>
      </c>
      <c r="D41" s="1498"/>
      <c r="E41" s="1505"/>
    </row>
    <row r="42" spans="1:5">
      <c r="A42" s="209">
        <v>1998.09</v>
      </c>
      <c r="B42" s="2421">
        <v>1.5876348565157115</v>
      </c>
      <c r="C42" s="1493">
        <f t="shared" si="0"/>
        <v>6.6044745314930431E-4</v>
      </c>
      <c r="D42" s="1498"/>
      <c r="E42" s="1505"/>
    </row>
    <row r="43" spans="1:5">
      <c r="A43" s="209">
        <v>1998.1</v>
      </c>
      <c r="B43" s="2421">
        <v>1.5876348565157115</v>
      </c>
      <c r="C43" s="1493">
        <f t="shared" si="0"/>
        <v>0</v>
      </c>
      <c r="D43" s="1498"/>
      <c r="E43" s="1505"/>
    </row>
    <row r="44" spans="1:5">
      <c r="A44" s="209">
        <v>1998.11</v>
      </c>
      <c r="B44" s="2421">
        <v>1.5861940526693561</v>
      </c>
      <c r="C44" s="1493">
        <f t="shared" si="0"/>
        <v>-9.0751588152793161E-4</v>
      </c>
      <c r="D44" s="1498"/>
      <c r="E44" s="1505"/>
    </row>
    <row r="45" spans="1:5">
      <c r="A45" s="209">
        <v>1998.12</v>
      </c>
      <c r="B45" s="2421">
        <v>1.5755844970734671</v>
      </c>
      <c r="C45" s="1493">
        <f t="shared" si="0"/>
        <v>-6.6886870355077344E-3</v>
      </c>
      <c r="D45" s="1498"/>
      <c r="E45" s="1505"/>
    </row>
    <row r="46" spans="1:5">
      <c r="A46" s="209">
        <v>1999.01</v>
      </c>
      <c r="B46" s="2421">
        <v>1.5755844970734671</v>
      </c>
      <c r="C46" s="1493">
        <f t="shared" si="0"/>
        <v>0</v>
      </c>
      <c r="D46" s="1498"/>
      <c r="E46" s="1505"/>
    </row>
    <row r="47" spans="1:5">
      <c r="A47" s="209">
        <v>1999.02</v>
      </c>
      <c r="B47" s="2421">
        <v>1.5861940526693561</v>
      </c>
      <c r="C47" s="1493">
        <f t="shared" si="0"/>
        <v>6.7337268268350403E-3</v>
      </c>
      <c r="D47" s="1498"/>
      <c r="E47" s="1505"/>
    </row>
    <row r="48" spans="1:5">
      <c r="A48" s="209">
        <v>1999.03</v>
      </c>
      <c r="B48" s="2421">
        <v>1.5885517316906648</v>
      </c>
      <c r="C48" s="1493">
        <f t="shared" si="0"/>
        <v>1.4863748967794965E-3</v>
      </c>
      <c r="D48" s="1498"/>
      <c r="E48" s="1505"/>
    </row>
    <row r="49" spans="1:5">
      <c r="A49" s="209">
        <v>1999.04</v>
      </c>
      <c r="B49" s="2421">
        <v>1.5834696235780661</v>
      </c>
      <c r="C49" s="1493">
        <f t="shared" si="0"/>
        <v>-3.1992084432717061E-3</v>
      </c>
      <c r="D49" s="1498"/>
      <c r="E49" s="1505"/>
    </row>
    <row r="50" spans="1:5">
      <c r="A50" s="209">
        <v>1999.05</v>
      </c>
      <c r="B50" s="2421">
        <v>1.5774182474233738</v>
      </c>
      <c r="C50" s="1493">
        <f t="shared" si="0"/>
        <v>-3.8215928266551735E-3</v>
      </c>
      <c r="D50" s="1498"/>
      <c r="E50" s="1505"/>
    </row>
    <row r="51" spans="1:5">
      <c r="A51" s="209">
        <v>1999.06</v>
      </c>
      <c r="B51" s="2421">
        <v>1.5744056575628127</v>
      </c>
      <c r="C51" s="1493">
        <f t="shared" si="0"/>
        <v>-1.9098231337706384E-3</v>
      </c>
      <c r="D51" s="1498"/>
      <c r="E51" s="1505"/>
    </row>
    <row r="52" spans="1:5">
      <c r="A52" s="209">
        <v>1999.07</v>
      </c>
      <c r="B52" s="2421">
        <v>1.5730958358843079</v>
      </c>
      <c r="C52" s="1493">
        <f t="shared" si="0"/>
        <v>-8.3194675540765317E-4</v>
      </c>
      <c r="D52" s="1498"/>
      <c r="E52" s="1505"/>
    </row>
    <row r="53" spans="1:5">
      <c r="A53" s="209">
        <v>1999.08</v>
      </c>
      <c r="B53" s="2421">
        <v>1.5730958358843079</v>
      </c>
      <c r="C53" s="1493">
        <f t="shared" si="0"/>
        <v>0</v>
      </c>
      <c r="D53" s="1498"/>
      <c r="E53" s="1505"/>
    </row>
    <row r="54" spans="1:5">
      <c r="A54" s="209">
        <v>1999.09</v>
      </c>
      <c r="B54" s="2421">
        <v>1.5740127110592614</v>
      </c>
      <c r="C54" s="1493">
        <f t="shared" si="0"/>
        <v>5.8284762697757841E-4</v>
      </c>
      <c r="D54" s="1498"/>
      <c r="E54" s="1505"/>
    </row>
    <row r="55" spans="1:5">
      <c r="A55" s="209">
        <v>1999.1</v>
      </c>
      <c r="B55" s="2421">
        <v>1.5704761925272981</v>
      </c>
      <c r="C55" s="1493">
        <f t="shared" si="0"/>
        <v>-2.2468170092371231E-3</v>
      </c>
      <c r="D55" s="1498"/>
      <c r="E55" s="1505"/>
    </row>
    <row r="56" spans="1:5">
      <c r="A56" s="209">
        <v>1999.11</v>
      </c>
      <c r="B56" s="2421">
        <v>1.5691663708487933</v>
      </c>
      <c r="C56" s="1493">
        <f t="shared" si="0"/>
        <v>-8.3402835696411159E-4</v>
      </c>
      <c r="D56" s="1498"/>
      <c r="E56" s="1505"/>
    </row>
    <row r="57" spans="1:5">
      <c r="A57" s="209">
        <v>1999.12</v>
      </c>
      <c r="B57" s="2421">
        <v>1.5683804778416903</v>
      </c>
      <c r="C57" s="1493">
        <f t="shared" si="0"/>
        <v>-5.0083472454098832E-4</v>
      </c>
      <c r="D57" s="1498"/>
      <c r="E57" s="1505"/>
    </row>
    <row r="58" spans="1:5">
      <c r="A58" s="209">
        <v>2000.01</v>
      </c>
      <c r="B58" s="2421">
        <v>1.5844912844873</v>
      </c>
      <c r="C58" s="1493">
        <f t="shared" si="0"/>
        <v>1.0272256555871273E-2</v>
      </c>
      <c r="D58" s="1498"/>
      <c r="E58" s="1505"/>
    </row>
    <row r="59" spans="1:5">
      <c r="A59" s="209">
        <v>2000.02</v>
      </c>
      <c r="B59" s="2421">
        <v>1.5861940526693561</v>
      </c>
      <c r="C59" s="1493">
        <f t="shared" si="0"/>
        <v>1.0746466065965077E-3</v>
      </c>
      <c r="D59" s="1498"/>
      <c r="E59" s="1505"/>
    </row>
    <row r="60" spans="1:5">
      <c r="A60" s="209">
        <v>2000.03</v>
      </c>
      <c r="B60" s="2421">
        <v>1.5827885163052435</v>
      </c>
      <c r="C60" s="1493">
        <f t="shared" si="0"/>
        <v>-2.1469859620149023E-3</v>
      </c>
      <c r="D60" s="1498"/>
      <c r="E60" s="1505"/>
    </row>
    <row r="61" spans="1:5">
      <c r="A61" s="209">
        <v>2000.04</v>
      </c>
      <c r="B61" s="2421">
        <v>1.5848842309908513</v>
      </c>
      <c r="C61" s="1493">
        <f t="shared" si="0"/>
        <v>1.324064879179021E-3</v>
      </c>
      <c r="D61" s="1498"/>
      <c r="E61" s="1505"/>
    </row>
    <row r="62" spans="1:5">
      <c r="A62" s="209">
        <v>2000.05</v>
      </c>
      <c r="B62" s="2421">
        <v>1.5822645876338415</v>
      </c>
      <c r="C62" s="1493">
        <f t="shared" si="0"/>
        <v>-1.6528925619835322E-3</v>
      </c>
      <c r="D62" s="1498"/>
      <c r="E62" s="1505"/>
    </row>
    <row r="63" spans="1:5">
      <c r="A63" s="209">
        <v>2000.06</v>
      </c>
      <c r="B63" s="2421">
        <v>1.5767633365841214</v>
      </c>
      <c r="C63" s="1493">
        <f t="shared" si="0"/>
        <v>-3.4768211920528369E-3</v>
      </c>
      <c r="D63" s="1498"/>
      <c r="E63" s="1505"/>
    </row>
    <row r="64" spans="1:5">
      <c r="A64" s="209">
        <v>2000.07</v>
      </c>
      <c r="B64" s="2421">
        <v>1.5729648537164576</v>
      </c>
      <c r="C64" s="1493">
        <f t="shared" si="0"/>
        <v>-2.4090380461869731E-3</v>
      </c>
      <c r="D64" s="1498"/>
      <c r="E64" s="1505"/>
    </row>
    <row r="65" spans="1:5">
      <c r="A65" s="209">
        <v>2000.08</v>
      </c>
      <c r="B65" s="2421">
        <v>1.5730958358843079</v>
      </c>
      <c r="C65" s="1493">
        <f t="shared" si="0"/>
        <v>8.3270880173014206E-5</v>
      </c>
      <c r="D65" s="1498"/>
      <c r="E65" s="1505"/>
    </row>
    <row r="66" spans="1:5">
      <c r="A66" s="209">
        <v>2000.09</v>
      </c>
      <c r="B66" s="2421">
        <v>1.5744056575628127</v>
      </c>
      <c r="C66" s="1493">
        <f t="shared" si="0"/>
        <v>8.3263946711076287E-4</v>
      </c>
      <c r="D66" s="1498"/>
      <c r="E66" s="1505"/>
    </row>
    <row r="67" spans="1:5">
      <c r="A67" s="209">
        <v>2000.1</v>
      </c>
      <c r="B67" s="2421">
        <v>1.5728312519052501</v>
      </c>
      <c r="C67" s="1493">
        <f t="shared" si="0"/>
        <v>-9.9999999999988987E-4</v>
      </c>
      <c r="D67" s="1498"/>
      <c r="E67" s="1505"/>
    </row>
    <row r="68" spans="1:5">
      <c r="A68" s="209">
        <v>2000.11</v>
      </c>
      <c r="B68" s="2421">
        <v>1.5784661047661777</v>
      </c>
      <c r="C68" s="1493">
        <f t="shared" si="0"/>
        <v>3.582617559322987E-3</v>
      </c>
      <c r="D68" s="1498"/>
      <c r="E68" s="1505"/>
    </row>
    <row r="69" spans="1:5">
      <c r="A69" s="209">
        <v>2000.12</v>
      </c>
      <c r="B69" s="2421">
        <v>1.5689960940305878</v>
      </c>
      <c r="C69" s="1493">
        <f t="shared" si="0"/>
        <v>-5.9995021160068607E-3</v>
      </c>
      <c r="D69" s="1498"/>
      <c r="E69" s="1505"/>
    </row>
    <row r="70" spans="1:5">
      <c r="A70" s="209">
        <v>2001.01</v>
      </c>
      <c r="B70" s="2421">
        <v>1.5666425998895419</v>
      </c>
      <c r="C70" s="1493">
        <f t="shared" si="0"/>
        <v>-1.5000000000000568E-3</v>
      </c>
      <c r="D70" s="1498"/>
      <c r="E70" s="1505"/>
    </row>
    <row r="71" spans="1:5">
      <c r="A71" s="209">
        <v>2001.02</v>
      </c>
      <c r="B71" s="2421">
        <v>1.5662847631560828</v>
      </c>
      <c r="C71" s="1493">
        <f t="shared" si="0"/>
        <v>-2.2840993439365853E-4</v>
      </c>
      <c r="D71" s="1498"/>
      <c r="E71" s="1505"/>
    </row>
    <row r="72" spans="1:5">
      <c r="A72" s="209">
        <v>2001.03</v>
      </c>
      <c r="B72" s="2421">
        <v>1.5647184783929267</v>
      </c>
      <c r="C72" s="1493">
        <f t="shared" si="0"/>
        <v>-1.0000000000000009E-3</v>
      </c>
      <c r="D72" s="1498"/>
      <c r="E72" s="1505"/>
    </row>
    <row r="73" spans="1:5">
      <c r="A73" s="209">
        <v>2001.04</v>
      </c>
      <c r="B73" s="2421">
        <v>1.5617455132839801</v>
      </c>
      <c r="C73" s="1493">
        <f t="shared" si="0"/>
        <v>-1.9000000000000128E-3</v>
      </c>
      <c r="D73" s="1498"/>
      <c r="E73" s="1505"/>
    </row>
    <row r="74" spans="1:5">
      <c r="A74" s="209">
        <v>2001.05</v>
      </c>
      <c r="B74" s="2421">
        <v>1.5653375279645332</v>
      </c>
      <c r="C74" s="1493">
        <f t="shared" si="0"/>
        <v>2.2999999999999687E-3</v>
      </c>
      <c r="D74" s="1498"/>
      <c r="E74" s="1505"/>
    </row>
    <row r="75" spans="1:5">
      <c r="A75" s="209">
        <v>2001.06</v>
      </c>
      <c r="B75" s="2421">
        <v>1.5640852579421616</v>
      </c>
      <c r="C75" s="1493">
        <f t="shared" si="0"/>
        <v>-8.0000000000002292E-4</v>
      </c>
      <c r="D75" s="1498"/>
      <c r="E75" s="1505"/>
    </row>
    <row r="76" spans="1:5">
      <c r="A76" s="209">
        <v>2001.07</v>
      </c>
      <c r="B76" s="2421">
        <v>1.5561084231266564</v>
      </c>
      <c r="C76" s="1493">
        <f t="shared" ref="C76:C139" si="1">B76/B75-1</f>
        <v>-5.1000000000001044E-3</v>
      </c>
      <c r="D76" s="1498"/>
      <c r="E76" s="1505"/>
    </row>
    <row r="77" spans="1:5">
      <c r="A77" s="209">
        <v>2001.08</v>
      </c>
      <c r="B77" s="2421">
        <v>1.5553303689150932</v>
      </c>
      <c r="C77" s="1493">
        <f t="shared" si="1"/>
        <v>-4.9999999999994493E-4</v>
      </c>
      <c r="D77" s="1498"/>
      <c r="E77" s="1505"/>
    </row>
    <row r="78" spans="1:5">
      <c r="A78" s="209">
        <v>2001.09</v>
      </c>
      <c r="B78" s="2421">
        <v>1.5503533117345649</v>
      </c>
      <c r="C78" s="1493">
        <f t="shared" si="1"/>
        <v>-3.1999999999999806E-3</v>
      </c>
      <c r="D78" s="1498"/>
      <c r="E78" s="1505"/>
    </row>
    <row r="79" spans="1:5">
      <c r="A79" s="209">
        <v>2001.1</v>
      </c>
      <c r="B79" s="2421">
        <v>1.5452371458058405</v>
      </c>
      <c r="C79" s="1493">
        <f t="shared" si="1"/>
        <v>-3.3000000000001917E-3</v>
      </c>
      <c r="D79" s="1498"/>
      <c r="E79" s="1505"/>
    </row>
    <row r="80" spans="1:5">
      <c r="A80" s="209">
        <v>2001.11</v>
      </c>
      <c r="B80" s="2421">
        <v>1.545855240664163</v>
      </c>
      <c r="C80" s="1493">
        <f t="shared" si="1"/>
        <v>4.0000000000017799E-4</v>
      </c>
      <c r="D80" s="1498"/>
      <c r="E80" s="1505"/>
    </row>
    <row r="81" spans="1:5">
      <c r="A81" s="209">
        <v>2001.12</v>
      </c>
      <c r="B81" s="2421">
        <v>1.5426089446587683</v>
      </c>
      <c r="C81" s="1493">
        <f t="shared" si="1"/>
        <v>-2.0999999999999908E-3</v>
      </c>
      <c r="D81" s="1498"/>
      <c r="E81" s="1505"/>
    </row>
    <row r="82" spans="1:5">
      <c r="A82" s="209">
        <v>2002.01</v>
      </c>
      <c r="B82" s="2421">
        <v>1.5586520776832196</v>
      </c>
      <c r="C82" s="1493">
        <f t="shared" si="1"/>
        <v>1.0399999999999965E-2</v>
      </c>
      <c r="D82" s="1498"/>
      <c r="E82" s="1505"/>
    </row>
    <row r="83" spans="1:5">
      <c r="A83" s="209">
        <v>2002.02</v>
      </c>
      <c r="B83" s="2421">
        <v>1.612113843947754</v>
      </c>
      <c r="C83" s="1493">
        <f t="shared" si="1"/>
        <v>3.4299999999999997E-2</v>
      </c>
      <c r="D83" s="1498"/>
      <c r="E83" s="1505"/>
    </row>
    <row r="84" spans="1:5">
      <c r="A84" s="209">
        <v>2002.03</v>
      </c>
      <c r="B84" s="2421">
        <v>1.6943316499890893</v>
      </c>
      <c r="C84" s="1493">
        <f t="shared" si="1"/>
        <v>5.0999999999999934E-2</v>
      </c>
      <c r="D84" s="1498"/>
      <c r="E84" s="1505"/>
    </row>
    <row r="85" spans="1:5">
      <c r="A85" s="209">
        <v>2002.04</v>
      </c>
      <c r="B85" s="2421">
        <v>1.8369943749181705</v>
      </c>
      <c r="C85" s="1493">
        <f t="shared" si="1"/>
        <v>8.4200000000000053E-2</v>
      </c>
      <c r="D85" s="1498"/>
      <c r="E85" s="1505"/>
    </row>
    <row r="86" spans="1:5">
      <c r="A86" s="209">
        <v>2002.05</v>
      </c>
      <c r="B86" s="2421">
        <v>1.9242516077267839</v>
      </c>
      <c r="C86" s="1493">
        <f t="shared" si="1"/>
        <v>4.7500000000000098E-2</v>
      </c>
      <c r="D86" s="1498"/>
      <c r="E86" s="1505"/>
    </row>
    <row r="87" spans="1:5">
      <c r="A87" s="209">
        <v>2002.06</v>
      </c>
      <c r="B87" s="2421">
        <v>1.9916004139972212</v>
      </c>
      <c r="C87" s="1493">
        <f t="shared" si="1"/>
        <v>3.499999999999992E-2</v>
      </c>
      <c r="D87" s="1498"/>
      <c r="E87" s="1505"/>
    </row>
    <row r="88" spans="1:5">
      <c r="A88" s="209">
        <v>2002.07</v>
      </c>
      <c r="B88" s="2421">
        <v>2.0632980289011211</v>
      </c>
      <c r="C88" s="1493">
        <f t="shared" si="1"/>
        <v>3.6000000000000032E-2</v>
      </c>
      <c r="D88" s="1498"/>
      <c r="E88" s="1505"/>
    </row>
    <row r="89" spans="1:5">
      <c r="A89" s="209">
        <v>2002.08</v>
      </c>
      <c r="B89" s="2421">
        <v>2.1169437776525508</v>
      </c>
      <c r="C89" s="1493">
        <f t="shared" si="1"/>
        <v>2.6000000000000245E-2</v>
      </c>
      <c r="D89" s="1498"/>
      <c r="E89" s="1505"/>
    </row>
    <row r="90" spans="1:5">
      <c r="A90" s="209">
        <v>2002.09</v>
      </c>
      <c r="B90" s="2421">
        <v>2.1379015210513108</v>
      </c>
      <c r="C90" s="1493">
        <f t="shared" si="1"/>
        <v>9.8999999999997979E-3</v>
      </c>
      <c r="D90" s="1498"/>
      <c r="E90" s="1505"/>
    </row>
    <row r="91" spans="1:5">
      <c r="A91" s="209">
        <v>2002.1</v>
      </c>
      <c r="B91" s="2421">
        <v>2.1663356112812933</v>
      </c>
      <c r="C91" s="1493">
        <f t="shared" si="1"/>
        <v>1.330000000000009E-2</v>
      </c>
      <c r="D91" s="1498"/>
      <c r="E91" s="1505"/>
    </row>
    <row r="92" spans="1:5">
      <c r="A92" s="209">
        <v>2002.11</v>
      </c>
      <c r="B92" s="2421">
        <v>2.1860492653439532</v>
      </c>
      <c r="C92" s="1493">
        <f t="shared" si="1"/>
        <v>9.100000000000108E-3</v>
      </c>
      <c r="D92" s="1498"/>
      <c r="E92" s="1505"/>
    </row>
    <row r="93" spans="1:5">
      <c r="A93" s="209">
        <v>2002.12</v>
      </c>
      <c r="B93" s="2421">
        <v>2.1891097343154349</v>
      </c>
      <c r="C93" s="1493">
        <f t="shared" si="1"/>
        <v>1.4000000000000679E-3</v>
      </c>
      <c r="D93" s="1498"/>
      <c r="E93" s="1505"/>
    </row>
    <row r="94" spans="1:5">
      <c r="A94" s="209">
        <v>2003.01</v>
      </c>
      <c r="B94" s="2421">
        <v>2.214941229180357</v>
      </c>
      <c r="C94" s="1493">
        <f t="shared" si="1"/>
        <v>1.1800000000000033E-2</v>
      </c>
      <c r="D94" s="1498"/>
      <c r="E94" s="1505"/>
    </row>
    <row r="95" spans="1:5">
      <c r="A95" s="209">
        <v>2003.02</v>
      </c>
      <c r="B95" s="2421">
        <v>2.2404130533159314</v>
      </c>
      <c r="C95" s="1493">
        <f t="shared" si="1"/>
        <v>1.1500000000000066E-2</v>
      </c>
      <c r="D95" s="1498"/>
      <c r="E95" s="1505"/>
    </row>
    <row r="96" spans="1:5">
      <c r="A96" s="209">
        <v>2003.03</v>
      </c>
      <c r="B96" s="2421">
        <v>2.2424294250639147</v>
      </c>
      <c r="C96" s="1493">
        <f t="shared" si="1"/>
        <v>8.9999999999945679E-4</v>
      </c>
      <c r="D96" s="1498"/>
      <c r="E96" s="1505"/>
    </row>
    <row r="97" spans="1:5">
      <c r="A97" s="209">
        <v>2003.04</v>
      </c>
      <c r="B97" s="2421">
        <v>2.2464657980290301</v>
      </c>
      <c r="C97" s="1493">
        <f t="shared" si="1"/>
        <v>1.8000000000002458E-3</v>
      </c>
      <c r="D97" s="1498"/>
      <c r="E97" s="1505"/>
    </row>
    <row r="98" spans="1:5">
      <c r="A98" s="209">
        <v>2003.05</v>
      </c>
      <c r="B98" s="2421">
        <v>2.2365813485177028</v>
      </c>
      <c r="C98" s="1493">
        <f t="shared" si="1"/>
        <v>-4.3999999999998485E-3</v>
      </c>
      <c r="D98" s="1498"/>
      <c r="E98" s="1505"/>
    </row>
    <row r="99" spans="1:5">
      <c r="A99" s="209">
        <v>2003.06</v>
      </c>
      <c r="B99" s="2421">
        <v>2.2298716044721494</v>
      </c>
      <c r="C99" s="1493">
        <f t="shared" si="1"/>
        <v>-3.0000000000001137E-3</v>
      </c>
      <c r="D99" s="1498"/>
      <c r="E99" s="1505"/>
    </row>
    <row r="100" spans="1:5">
      <c r="A100" s="209">
        <v>2003.07</v>
      </c>
      <c r="B100" s="2421">
        <v>2.2341083605206467</v>
      </c>
      <c r="C100" s="1493">
        <f t="shared" si="1"/>
        <v>1.9000000000000128E-3</v>
      </c>
      <c r="D100" s="1498"/>
      <c r="E100" s="1505"/>
    </row>
    <row r="101" spans="1:5">
      <c r="A101" s="209">
        <v>2003.08</v>
      </c>
      <c r="B101" s="2421">
        <v>2.2363424688811673</v>
      </c>
      <c r="C101" s="1493">
        <f t="shared" si="1"/>
        <v>9.9999999999988987E-4</v>
      </c>
      <c r="D101" s="1498"/>
      <c r="E101" s="1505"/>
    </row>
    <row r="102" spans="1:5">
      <c r="A102" s="209">
        <v>2003.09</v>
      </c>
      <c r="B102" s="2421">
        <v>2.2278443674994186</v>
      </c>
      <c r="C102" s="1493">
        <f t="shared" si="1"/>
        <v>-3.8000000000001366E-3</v>
      </c>
      <c r="D102" s="1498"/>
      <c r="E102" s="1505"/>
    </row>
    <row r="103" spans="1:5">
      <c r="A103" s="209">
        <v>2003.1</v>
      </c>
      <c r="B103" s="2421">
        <v>2.2351962539121661</v>
      </c>
      <c r="C103" s="1493">
        <f t="shared" si="1"/>
        <v>3.2999999999998586E-3</v>
      </c>
      <c r="D103" s="1498"/>
      <c r="E103" s="1505"/>
    </row>
    <row r="104" spans="1:5">
      <c r="A104" s="209">
        <v>2003.11</v>
      </c>
      <c r="B104" s="2421">
        <v>2.2394431267945998</v>
      </c>
      <c r="C104" s="1493">
        <f t="shared" si="1"/>
        <v>1.9000000000002348E-3</v>
      </c>
      <c r="D104" s="1498"/>
      <c r="E104" s="1505"/>
    </row>
    <row r="105" spans="1:5">
      <c r="A105" s="209">
        <v>2003.12</v>
      </c>
      <c r="B105" s="2421">
        <v>2.2439220130481887</v>
      </c>
      <c r="C105" s="1493">
        <f t="shared" si="1"/>
        <v>1.9999999999997797E-3</v>
      </c>
      <c r="D105" s="1498"/>
      <c r="E105" s="1505"/>
    </row>
    <row r="106" spans="1:5">
      <c r="A106" s="209">
        <v>2004.01</v>
      </c>
      <c r="B106" s="2421">
        <v>2.2564879763212584</v>
      </c>
      <c r="C106" s="1493">
        <f t="shared" si="1"/>
        <v>5.5999999999998273E-3</v>
      </c>
      <c r="D106" s="1498"/>
      <c r="E106" s="1505"/>
    </row>
    <row r="107" spans="1:5">
      <c r="A107" s="209">
        <v>2004.02</v>
      </c>
      <c r="B107" s="2421">
        <v>2.2576162203094188</v>
      </c>
      <c r="C107" s="1493">
        <f t="shared" si="1"/>
        <v>4.9999999999994493E-4</v>
      </c>
      <c r="D107" s="1498"/>
      <c r="E107" s="1505"/>
    </row>
    <row r="108" spans="1:5">
      <c r="A108" s="209">
        <v>2004.03</v>
      </c>
      <c r="B108" s="2421">
        <v>2.2643890689703472</v>
      </c>
      <c r="C108" s="1493">
        <f t="shared" si="1"/>
        <v>3.0000000000001137E-3</v>
      </c>
      <c r="D108" s="1498"/>
      <c r="E108" s="1505"/>
    </row>
    <row r="109" spans="1:5">
      <c r="A109" s="209">
        <v>2004.04</v>
      </c>
      <c r="B109" s="2421">
        <v>2.2790897205984142</v>
      </c>
      <c r="C109" s="1493">
        <f t="shared" si="1"/>
        <v>6.4921050138930791E-3</v>
      </c>
      <c r="D109" s="1498"/>
      <c r="E109" s="1505"/>
    </row>
    <row r="110" spans="1:5">
      <c r="A110" s="209">
        <v>2004.05</v>
      </c>
      <c r="B110" s="2421">
        <v>2.2950613511040845</v>
      </c>
      <c r="C110" s="1493">
        <f t="shared" si="1"/>
        <v>7.007898970066373E-3</v>
      </c>
      <c r="D110" s="1498"/>
      <c r="E110" s="1505"/>
    </row>
    <row r="111" spans="1:5">
      <c r="A111" s="209">
        <v>2004.06</v>
      </c>
      <c r="B111" s="2421">
        <v>2.3049301149138324</v>
      </c>
      <c r="C111" s="1493">
        <f t="shared" si="1"/>
        <v>4.3000000000001926E-3</v>
      </c>
      <c r="D111" s="1498"/>
      <c r="E111" s="1505"/>
    </row>
    <row r="112" spans="1:5">
      <c r="A112" s="209">
        <v>2004.07</v>
      </c>
      <c r="B112" s="2421">
        <v>2.3118449052585732</v>
      </c>
      <c r="C112" s="1493">
        <f t="shared" si="1"/>
        <v>2.9999999999996696E-3</v>
      </c>
      <c r="D112" s="1498"/>
      <c r="E112" s="1505"/>
    </row>
    <row r="113" spans="1:5">
      <c r="A113" s="209">
        <v>2004.08</v>
      </c>
      <c r="B113" s="2421">
        <v>2.3166997795596167</v>
      </c>
      <c r="C113" s="1493">
        <f t="shared" si="1"/>
        <v>2.1000000000002128E-3</v>
      </c>
      <c r="D113" s="1498"/>
      <c r="E113" s="1505"/>
    </row>
    <row r="114" spans="1:5">
      <c r="A114" s="209">
        <v>2004.09</v>
      </c>
      <c r="B114" s="2421">
        <v>2.3206381691848685</v>
      </c>
      <c r="C114" s="1493">
        <f t="shared" si="1"/>
        <v>1.7000000000002569E-3</v>
      </c>
      <c r="D114" s="1498"/>
      <c r="E114" s="1505"/>
    </row>
    <row r="115" spans="1:5">
      <c r="A115" s="209">
        <v>2004.1</v>
      </c>
      <c r="B115" s="2421">
        <v>2.3412918488906129</v>
      </c>
      <c r="C115" s="1493">
        <f t="shared" si="1"/>
        <v>8.8999999999996859E-3</v>
      </c>
      <c r="D115" s="1498"/>
      <c r="E115" s="1505"/>
    </row>
    <row r="116" spans="1:5">
      <c r="A116" s="209">
        <v>2004.11</v>
      </c>
      <c r="B116" s="2421">
        <v>2.3436331407395037</v>
      </c>
      <c r="C116" s="1493">
        <f t="shared" si="1"/>
        <v>1.0000000000001119E-3</v>
      </c>
      <c r="D116" s="1498"/>
      <c r="E116" s="1505"/>
    </row>
    <row r="117" spans="1:5">
      <c r="A117" s="209">
        <v>2004.12</v>
      </c>
      <c r="B117" s="2421">
        <v>2.3569918496417182</v>
      </c>
      <c r="C117" s="1493">
        <f t="shared" si="1"/>
        <v>5.6999999999995943E-3</v>
      </c>
      <c r="D117" s="1498"/>
      <c r="E117" s="1505"/>
    </row>
    <row r="118" spans="1:5">
      <c r="A118" s="209">
        <v>2005.01</v>
      </c>
      <c r="B118" s="2421">
        <v>2.3758477844388524</v>
      </c>
      <c r="C118" s="1493">
        <f t="shared" si="1"/>
        <v>8.0000000000002292E-3</v>
      </c>
      <c r="D118" s="1498"/>
      <c r="E118" s="1505"/>
    </row>
    <row r="119" spans="1:5">
      <c r="A119" s="209">
        <v>2005.02</v>
      </c>
      <c r="B119" s="2421">
        <v>2.4019821100676793</v>
      </c>
      <c r="C119" s="1493">
        <f t="shared" si="1"/>
        <v>1.0999999999999899E-2</v>
      </c>
      <c r="D119" s="1498"/>
      <c r="E119" s="1505"/>
    </row>
    <row r="120" spans="1:5">
      <c r="A120" s="209">
        <v>2005.03</v>
      </c>
      <c r="B120" s="2421">
        <v>2.461311068186351</v>
      </c>
      <c r="C120" s="1493">
        <f t="shared" si="1"/>
        <v>2.4699999999999944E-2</v>
      </c>
      <c r="D120" s="1498"/>
      <c r="E120" s="1505"/>
    </row>
    <row r="121" spans="1:5">
      <c r="A121" s="209">
        <v>2005.04</v>
      </c>
      <c r="B121" s="2421">
        <v>2.4741098857409205</v>
      </c>
      <c r="C121" s="1493">
        <f t="shared" si="1"/>
        <v>5.2000000000000934E-3</v>
      </c>
      <c r="D121" s="1498"/>
      <c r="E121" s="1505"/>
    </row>
    <row r="122" spans="1:5">
      <c r="A122" s="209">
        <v>2005.05</v>
      </c>
      <c r="B122" s="2421">
        <v>2.4780684615581059</v>
      </c>
      <c r="C122" s="1493">
        <f t="shared" si="1"/>
        <v>1.6000000000000458E-3</v>
      </c>
      <c r="D122" s="1498"/>
      <c r="E122" s="1505"/>
    </row>
    <row r="123" spans="1:5">
      <c r="A123" s="209">
        <v>2005.06</v>
      </c>
      <c r="B123" s="2421">
        <v>2.485998280635092</v>
      </c>
      <c r="C123" s="1493">
        <f t="shared" si="1"/>
        <v>3.2000000000000917E-3</v>
      </c>
      <c r="D123" s="1498"/>
      <c r="E123" s="1505"/>
    </row>
    <row r="124" spans="1:5">
      <c r="A124" s="209">
        <v>2005.07</v>
      </c>
      <c r="B124" s="2421">
        <v>2.5125984622378876</v>
      </c>
      <c r="C124" s="1493">
        <f t="shared" si="1"/>
        <v>1.0700000000000154E-2</v>
      </c>
      <c r="D124" s="1498"/>
      <c r="E124" s="1505"/>
    </row>
    <row r="125" spans="1:5">
      <c r="A125" s="209">
        <v>2005.08</v>
      </c>
      <c r="B125" s="2421">
        <v>2.5274227931650914</v>
      </c>
      <c r="C125" s="1493">
        <f t="shared" si="1"/>
        <v>5.9000000000000163E-3</v>
      </c>
      <c r="D125" s="1498"/>
      <c r="E125" s="1505"/>
    </row>
    <row r="126" spans="1:5">
      <c r="A126" s="209">
        <v>2005.09</v>
      </c>
      <c r="B126" s="2421">
        <v>2.5526970210967423</v>
      </c>
      <c r="C126" s="1493">
        <f t="shared" si="1"/>
        <v>1.0000000000000009E-2</v>
      </c>
      <c r="D126" s="1498"/>
      <c r="E126" s="1505"/>
    </row>
    <row r="127" spans="1:5">
      <c r="A127" s="209">
        <v>2005.1</v>
      </c>
      <c r="B127" s="2421">
        <v>2.5680132032233227</v>
      </c>
      <c r="C127" s="1493">
        <f t="shared" si="1"/>
        <v>6.0000000000000053E-3</v>
      </c>
      <c r="D127" s="1498"/>
      <c r="E127" s="1505"/>
    </row>
    <row r="128" spans="1:5">
      <c r="A128" s="209">
        <v>2005.11</v>
      </c>
      <c r="B128" s="2421">
        <v>2.5993429643026476</v>
      </c>
      <c r="C128" s="1493">
        <f t="shared" si="1"/>
        <v>1.2200000000000211E-2</v>
      </c>
      <c r="D128" s="1498"/>
      <c r="E128" s="1505"/>
    </row>
    <row r="129" spans="1:5">
      <c r="A129" s="209">
        <v>2005.12</v>
      </c>
      <c r="B129" s="2421">
        <v>2.6214373794992194</v>
      </c>
      <c r="C129" s="1493">
        <f t="shared" si="1"/>
        <v>8.49999999999973E-3</v>
      </c>
      <c r="D129" s="1498"/>
      <c r="E129" s="1505"/>
    </row>
    <row r="130" spans="1:5">
      <c r="A130" s="209">
        <v>2006.01</v>
      </c>
      <c r="B130" s="2421">
        <v>2.6549917779568091</v>
      </c>
      <c r="C130" s="1493">
        <f t="shared" si="1"/>
        <v>1.2799999999999923E-2</v>
      </c>
      <c r="D130" s="1498"/>
      <c r="E130" s="1505"/>
    </row>
    <row r="131" spans="1:5">
      <c r="A131" s="209">
        <v>2006.02</v>
      </c>
      <c r="B131" s="2421">
        <v>2.6823381932697643</v>
      </c>
      <c r="C131" s="1493">
        <f t="shared" si="1"/>
        <v>1.0299999999999976E-2</v>
      </c>
      <c r="D131" s="1498"/>
      <c r="E131" s="1505"/>
    </row>
    <row r="132" spans="1:5">
      <c r="A132" s="209">
        <v>2006.03</v>
      </c>
      <c r="B132" s="2421">
        <v>2.7110392119377509</v>
      </c>
      <c r="C132" s="1493">
        <f t="shared" si="1"/>
        <v>1.0699999999999932E-2</v>
      </c>
      <c r="D132" s="1498"/>
      <c r="E132" s="1505"/>
    </row>
    <row r="133" spans="1:5">
      <c r="A133" s="209">
        <v>2006.04</v>
      </c>
      <c r="B133" s="2421">
        <v>2.7408606432690661</v>
      </c>
      <c r="C133" s="1493">
        <f t="shared" si="1"/>
        <v>1.0999999999999899E-2</v>
      </c>
      <c r="D133" s="1498"/>
      <c r="E133" s="1505"/>
    </row>
    <row r="134" spans="1:5">
      <c r="A134" s="209">
        <v>2006.05</v>
      </c>
      <c r="B134" s="2421">
        <v>2.7600466677719488</v>
      </c>
      <c r="C134" s="1493">
        <f t="shared" si="1"/>
        <v>6.9999999999996732E-3</v>
      </c>
      <c r="D134" s="1498"/>
      <c r="E134" s="1505"/>
    </row>
    <row r="135" spans="1:5">
      <c r="A135" s="209">
        <v>2006.06</v>
      </c>
      <c r="B135" s="2421">
        <v>2.782127041114125</v>
      </c>
      <c r="C135" s="1493">
        <f t="shared" si="1"/>
        <v>8.0000000000002292E-3</v>
      </c>
      <c r="D135" s="1498"/>
      <c r="E135" s="1505"/>
    </row>
    <row r="136" spans="1:5">
      <c r="A136" s="209">
        <v>2006.07</v>
      </c>
      <c r="B136" s="2421">
        <v>2.8002108668813666</v>
      </c>
      <c r="C136" s="1493">
        <f t="shared" si="1"/>
        <v>6.4999999999999503E-3</v>
      </c>
      <c r="D136" s="1498"/>
      <c r="E136" s="1505"/>
    </row>
    <row r="137" spans="1:5">
      <c r="A137" s="209">
        <v>2006.08</v>
      </c>
      <c r="B137" s="2421">
        <v>2.8114117103488923</v>
      </c>
      <c r="C137" s="1493">
        <f t="shared" si="1"/>
        <v>4.0000000000000036E-3</v>
      </c>
      <c r="D137" s="1498"/>
      <c r="E137" s="1505"/>
    </row>
    <row r="138" spans="1:5">
      <c r="A138" s="209">
        <v>2006.09</v>
      </c>
      <c r="B138" s="2421">
        <v>2.8226573571902875</v>
      </c>
      <c r="C138" s="1493">
        <f t="shared" si="1"/>
        <v>4.0000000000000036E-3</v>
      </c>
      <c r="D138" s="1498"/>
      <c r="E138" s="1505"/>
    </row>
    <row r="139" spans="1:5">
      <c r="A139" s="209">
        <v>2006.1</v>
      </c>
      <c r="B139" s="2421">
        <v>2.8494726020835954</v>
      </c>
      <c r="C139" s="1493">
        <f t="shared" si="1"/>
        <v>9.5000000000000639E-3</v>
      </c>
      <c r="D139" s="1498"/>
      <c r="E139" s="1505"/>
    </row>
    <row r="140" spans="1:5">
      <c r="A140" s="209">
        <v>2006.11</v>
      </c>
      <c r="B140" s="2421">
        <v>2.8836662733085996</v>
      </c>
      <c r="C140" s="1493">
        <f t="shared" ref="C140:C163" si="2">B140/B139-1</f>
        <v>1.2000000000000455E-2</v>
      </c>
      <c r="D140" s="1498"/>
      <c r="E140" s="1505"/>
    </row>
    <row r="141" spans="1:5">
      <c r="A141" s="209">
        <v>2006.12</v>
      </c>
      <c r="B141" s="2421">
        <v>2.9093309031410457</v>
      </c>
      <c r="C141" s="1493">
        <f t="shared" si="2"/>
        <v>8.899999999999908E-3</v>
      </c>
      <c r="D141" s="1498"/>
      <c r="E141" s="1505"/>
    </row>
    <row r="142" spans="1:5">
      <c r="A142" s="209">
        <v>2007.01</v>
      </c>
      <c r="B142" s="2421">
        <v>2.9471522048818781</v>
      </c>
      <c r="C142" s="1493">
        <f t="shared" si="2"/>
        <v>1.2999999999999678E-2</v>
      </c>
      <c r="D142" s="1498"/>
      <c r="E142" s="1505"/>
    </row>
    <row r="143" spans="1:5">
      <c r="A143" s="209">
        <v>2007.02</v>
      </c>
      <c r="B143" s="2421">
        <v>2.9722029986233744</v>
      </c>
      <c r="C143" s="1493">
        <f t="shared" si="2"/>
        <v>8.5000000000001741E-3</v>
      </c>
      <c r="D143" s="1498"/>
      <c r="E143" s="1505"/>
    </row>
    <row r="144" spans="1:5">
      <c r="A144" s="209">
        <v>2007.03</v>
      </c>
      <c r="B144" s="2421">
        <v>3.0084638752065791</v>
      </c>
      <c r="C144" s="1493">
        <f t="shared" si="2"/>
        <v>1.2199999999999767E-2</v>
      </c>
      <c r="D144" s="1498"/>
      <c r="E144" s="1505"/>
    </row>
    <row r="145" spans="1:5">
      <c r="A145" s="209">
        <v>2007.04</v>
      </c>
      <c r="B145" s="2421">
        <v>3.0445654417090586</v>
      </c>
      <c r="C145" s="1493">
        <f t="shared" si="2"/>
        <v>1.2000000000000233E-2</v>
      </c>
      <c r="D145" s="1498"/>
      <c r="E145" s="1505"/>
    </row>
    <row r="146" spans="1:5">
      <c r="A146" s="209">
        <v>2007.05</v>
      </c>
      <c r="B146" s="2421">
        <v>3.0899294667905233</v>
      </c>
      <c r="C146" s="1493">
        <f t="shared" si="2"/>
        <v>1.4899999999999913E-2</v>
      </c>
      <c r="D146" s="1498"/>
      <c r="E146" s="1505"/>
    </row>
    <row r="147" spans="1:5">
      <c r="A147" s="209">
        <v>2007.06</v>
      </c>
      <c r="B147" s="2421">
        <v>3.1282445921787252</v>
      </c>
      <c r="C147" s="1493">
        <f t="shared" si="2"/>
        <v>1.2399999999999745E-2</v>
      </c>
      <c r="D147" s="1498"/>
      <c r="E147" s="1505"/>
    </row>
    <row r="148" spans="1:5">
      <c r="A148" s="209">
        <v>2007.07</v>
      </c>
      <c r="B148" s="2421">
        <v>3.1767323833574959</v>
      </c>
      <c r="C148" s="1493">
        <f t="shared" si="2"/>
        <v>1.5500000000000069E-2</v>
      </c>
      <c r="D148" s="1498"/>
      <c r="E148" s="1505"/>
    </row>
    <row r="149" spans="1:5">
      <c r="A149" s="209">
        <v>2007.08</v>
      </c>
      <c r="B149" s="2421">
        <v>3.2240656958695229</v>
      </c>
      <c r="C149" s="1493">
        <f t="shared" si="2"/>
        <v>1.4900000000000135E-2</v>
      </c>
      <c r="D149" s="1498"/>
      <c r="E149" s="1505"/>
    </row>
    <row r="150" spans="1:5">
      <c r="A150" s="209">
        <v>2007.09</v>
      </c>
      <c r="B150" s="2421">
        <v>3.2756507470034348</v>
      </c>
      <c r="C150" s="1493">
        <f t="shared" si="2"/>
        <v>1.5999999999999792E-2</v>
      </c>
      <c r="D150" s="1498"/>
      <c r="E150" s="1505"/>
    </row>
    <row r="151" spans="1:5">
      <c r="A151" s="209">
        <v>2007.1</v>
      </c>
      <c r="B151" s="2421">
        <v>3.3182342067144788</v>
      </c>
      <c r="C151" s="1493">
        <f t="shared" si="2"/>
        <v>1.2999999999999678E-2</v>
      </c>
      <c r="D151" s="1498"/>
      <c r="E151" s="1505"/>
    </row>
    <row r="152" spans="1:5">
      <c r="A152" s="209">
        <v>2007.11</v>
      </c>
      <c r="B152" s="2421">
        <v>3.3381436119547656</v>
      </c>
      <c r="C152" s="1493">
        <f t="shared" si="2"/>
        <v>6.0000000000000053E-3</v>
      </c>
      <c r="D152" s="1498"/>
      <c r="E152" s="1505"/>
    </row>
    <row r="153" spans="1:5">
      <c r="A153" s="209">
        <v>2007.12</v>
      </c>
      <c r="B153" s="2421">
        <v>3.3681869044623585</v>
      </c>
      <c r="C153" s="1493">
        <f t="shared" si="2"/>
        <v>8.999999999999897E-3</v>
      </c>
      <c r="D153" s="1498"/>
      <c r="E153" s="1505"/>
    </row>
    <row r="154" spans="1:5">
      <c r="A154" s="209">
        <v>2008.01</v>
      </c>
      <c r="B154" s="2421">
        <v>3.4153415211248319</v>
      </c>
      <c r="C154" s="1493">
        <f t="shared" si="2"/>
        <v>1.4000000000000234E-2</v>
      </c>
      <c r="D154" s="1498"/>
      <c r="E154" s="1505"/>
    </row>
    <row r="155" spans="1:5">
      <c r="A155" s="209">
        <v>2008.02</v>
      </c>
      <c r="B155" s="2421">
        <v>3.4836483515473282</v>
      </c>
      <c r="C155" s="1493">
        <f t="shared" si="2"/>
        <v>1.9999999999999796E-2</v>
      </c>
      <c r="D155" s="1498"/>
      <c r="E155" s="1505"/>
    </row>
    <row r="156" spans="1:5">
      <c r="A156" s="209">
        <v>2008.03</v>
      </c>
      <c r="B156" s="2421">
        <v>3.5428703735236322</v>
      </c>
      <c r="C156" s="1493">
        <f t="shared" si="2"/>
        <v>1.6999999999999904E-2</v>
      </c>
      <c r="D156" s="1498"/>
      <c r="E156" s="1505"/>
    </row>
    <row r="157" spans="1:5">
      <c r="A157" s="209">
        <v>2008.04</v>
      </c>
      <c r="B157" s="2421">
        <v>3.6119563458073443</v>
      </c>
      <c r="C157" s="1493">
        <f t="shared" si="2"/>
        <v>1.9500000000000295E-2</v>
      </c>
      <c r="D157" s="1498"/>
      <c r="E157" s="1505"/>
    </row>
    <row r="158" spans="1:5">
      <c r="A158" s="209">
        <v>2008.05</v>
      </c>
      <c r="B158" s="2421">
        <v>3.6726372124169071</v>
      </c>
      <c r="C158" s="1493">
        <f t="shared" si="2"/>
        <v>1.6799999999999926E-2</v>
      </c>
      <c r="D158" s="1498"/>
      <c r="E158" s="1505"/>
    </row>
    <row r="159" spans="1:5">
      <c r="A159" s="209">
        <v>2008.06</v>
      </c>
      <c r="B159" s="2421">
        <v>3.7431518468953122</v>
      </c>
      <c r="C159" s="1493">
        <f t="shared" si="2"/>
        <v>1.9200000000000106E-2</v>
      </c>
      <c r="D159" s="1498"/>
      <c r="E159" s="1505"/>
    </row>
    <row r="160" spans="1:5">
      <c r="A160" s="209">
        <v>2008.07</v>
      </c>
      <c r="B160" s="2421">
        <v>3.8142717319863224</v>
      </c>
      <c r="C160" s="1493">
        <f t="shared" si="2"/>
        <v>1.8999999999999906E-2</v>
      </c>
      <c r="D160" s="1498"/>
      <c r="E160" s="1505"/>
    </row>
    <row r="161" spans="1:5">
      <c r="A161" s="209">
        <v>2008.08</v>
      </c>
      <c r="B161" s="2421">
        <v>3.8627129829825488</v>
      </c>
      <c r="C161" s="1493">
        <f t="shared" si="2"/>
        <v>1.2699999999999934E-2</v>
      </c>
      <c r="D161" s="1498"/>
      <c r="E161" s="1505"/>
    </row>
    <row r="162" spans="1:5">
      <c r="A162" s="209">
        <v>2008.09</v>
      </c>
      <c r="B162" s="2421">
        <v>3.8858892608804445</v>
      </c>
      <c r="C162" s="1493">
        <f t="shared" si="2"/>
        <v>6.0000000000000053E-3</v>
      </c>
      <c r="D162" s="1498"/>
      <c r="E162" s="1505"/>
    </row>
    <row r="163" spans="1:5">
      <c r="A163" s="209">
        <v>2008.1</v>
      </c>
      <c r="B163" s="2421">
        <v>3.9364058212718893</v>
      </c>
      <c r="C163" s="1493">
        <f t="shared" si="2"/>
        <v>1.2999999999999678E-2</v>
      </c>
      <c r="D163" s="1498"/>
      <c r="E163" s="1505"/>
    </row>
    <row r="164" spans="1:5">
      <c r="A164" s="209">
        <v>2008.11</v>
      </c>
      <c r="B164" s="2421">
        <v>3.9639606620207921</v>
      </c>
      <c r="C164" s="1493">
        <f>B164/B163-1</f>
        <v>6.9999999999998952E-3</v>
      </c>
      <c r="D164" s="1498"/>
      <c r="E164" s="1505"/>
    </row>
    <row r="165" spans="1:5">
      <c r="A165" s="209">
        <v>2008.12</v>
      </c>
      <c r="B165" s="2421">
        <v>4.0088531438012405</v>
      </c>
      <c r="C165" s="1493">
        <f t="shared" ref="C165:C201" si="3">B165/B164-1</f>
        <v>1.132515824654079E-2</v>
      </c>
      <c r="D165" s="1498"/>
      <c r="E165" s="1505"/>
    </row>
    <row r="166" spans="1:5">
      <c r="A166" s="209">
        <f t="shared" ref="A166:A229" si="4">A154+1</f>
        <v>2009.01</v>
      </c>
      <c r="B166" s="2421">
        <v>4.0852270956077188</v>
      </c>
      <c r="C166" s="1493">
        <f t="shared" si="3"/>
        <v>1.9051321928460485E-2</v>
      </c>
      <c r="D166" s="1498"/>
      <c r="E166" s="1505"/>
    </row>
    <row r="167" spans="1:5">
      <c r="A167" s="209">
        <f t="shared" si="4"/>
        <v>2009.02</v>
      </c>
      <c r="B167" s="2421">
        <v>4.125752049627482</v>
      </c>
      <c r="C167" s="1493">
        <f t="shared" si="3"/>
        <v>9.9198779091949074E-3</v>
      </c>
      <c r="D167" s="1498"/>
      <c r="E167" s="1505"/>
    </row>
    <row r="168" spans="1:5">
      <c r="A168" s="209">
        <f t="shared" si="4"/>
        <v>2009.03</v>
      </c>
      <c r="B168" s="2421">
        <v>4.1647183515695625</v>
      </c>
      <c r="C168" s="1493">
        <f t="shared" si="3"/>
        <v>9.4446543256516691E-3</v>
      </c>
      <c r="D168" s="1498"/>
      <c r="E168" s="1505"/>
    </row>
    <row r="169" spans="1:5">
      <c r="A169" s="209">
        <f t="shared" si="4"/>
        <v>2009.04</v>
      </c>
      <c r="B169" s="2421">
        <v>4.2457682596090898</v>
      </c>
      <c r="C169" s="1493">
        <f t="shared" si="3"/>
        <v>1.9461077844311392E-2</v>
      </c>
      <c r="D169" s="1498"/>
      <c r="E169" s="1505"/>
    </row>
    <row r="170" spans="1:5">
      <c r="A170" s="209">
        <f t="shared" si="4"/>
        <v>2009.05</v>
      </c>
      <c r="B170" s="2421">
        <v>4.2753826490850715</v>
      </c>
      <c r="C170" s="1493">
        <f t="shared" si="3"/>
        <v>6.9750367107197508E-3</v>
      </c>
      <c r="D170" s="1498"/>
      <c r="E170" s="1505"/>
    </row>
    <row r="171" spans="1:5">
      <c r="A171" s="209">
        <f t="shared" si="4"/>
        <v>2009.06</v>
      </c>
      <c r="B171" s="2421">
        <v>4.3112316468717857</v>
      </c>
      <c r="C171" s="1493">
        <f t="shared" si="3"/>
        <v>8.3849799489610355E-3</v>
      </c>
      <c r="D171" s="1498"/>
      <c r="E171" s="1505"/>
    </row>
    <row r="172" spans="1:5">
      <c r="A172" s="209">
        <f t="shared" si="4"/>
        <v>2009.07</v>
      </c>
      <c r="B172" s="2421">
        <v>4.3689017737460647</v>
      </c>
      <c r="C172" s="1493">
        <f t="shared" si="3"/>
        <v>1.3376717281272654E-2</v>
      </c>
      <c r="D172" s="1498"/>
      <c r="E172" s="1505"/>
    </row>
    <row r="173" spans="1:5">
      <c r="A173" s="209">
        <f t="shared" si="4"/>
        <v>2009.08</v>
      </c>
      <c r="B173" s="2421">
        <v>4.4218959443872929</v>
      </c>
      <c r="C173" s="1493">
        <f t="shared" si="3"/>
        <v>1.2129860863360431E-2</v>
      </c>
      <c r="D173" s="1498"/>
      <c r="E173" s="1505"/>
    </row>
    <row r="174" spans="1:5">
      <c r="A174" s="209">
        <f t="shared" si="4"/>
        <v>2009.09</v>
      </c>
      <c r="B174" s="2421">
        <v>4.4717728108731567</v>
      </c>
      <c r="C174" s="1493">
        <f t="shared" si="3"/>
        <v>1.127952062037374E-2</v>
      </c>
      <c r="D174" s="1498"/>
      <c r="E174" s="1505"/>
    </row>
    <row r="175" spans="1:5">
      <c r="A175" s="209">
        <f t="shared" si="4"/>
        <v>2009.1</v>
      </c>
      <c r="B175" s="2421">
        <v>4.5200910252813369</v>
      </c>
      <c r="C175" s="1493">
        <f t="shared" si="3"/>
        <v>1.0805158591843833E-2</v>
      </c>
      <c r="D175" s="1498"/>
      <c r="E175" s="1505"/>
    </row>
    <row r="176" spans="1:5">
      <c r="A176" s="209">
        <f t="shared" si="4"/>
        <v>2009.11</v>
      </c>
      <c r="B176" s="2421">
        <v>4.5886717166993982</v>
      </c>
      <c r="C176" s="1493">
        <f t="shared" si="3"/>
        <v>1.5172413793103301E-2</v>
      </c>
      <c r="D176" s="1498"/>
      <c r="E176" s="1505"/>
    </row>
    <row r="177" spans="1:5">
      <c r="A177" s="209">
        <f t="shared" si="4"/>
        <v>2009.12</v>
      </c>
      <c r="B177" s="2421">
        <v>4.6572524081174596</v>
      </c>
      <c r="C177" s="1493">
        <f t="shared" si="3"/>
        <v>1.4945652173913082E-2</v>
      </c>
      <c r="D177" s="1498"/>
      <c r="E177" s="1505"/>
    </row>
    <row r="178" spans="1:5">
      <c r="A178" s="209">
        <f t="shared" si="4"/>
        <v>2010.01</v>
      </c>
      <c r="B178" s="2421">
        <v>4.7273917516132054</v>
      </c>
      <c r="C178" s="1493">
        <f t="shared" si="3"/>
        <v>1.5060240963855609E-2</v>
      </c>
      <c r="D178" s="1498"/>
      <c r="E178" s="1505"/>
    </row>
    <row r="179" spans="1:5">
      <c r="A179" s="209">
        <f t="shared" si="4"/>
        <v>2010.02</v>
      </c>
      <c r="B179" s="2421">
        <v>4.8598771782162782</v>
      </c>
      <c r="C179" s="1493">
        <f t="shared" si="3"/>
        <v>2.8025057698648048E-2</v>
      </c>
      <c r="D179" s="1498"/>
      <c r="E179" s="1505"/>
    </row>
    <row r="180" spans="1:5">
      <c r="A180" s="209">
        <f t="shared" si="4"/>
        <v>2010.03</v>
      </c>
      <c r="B180" s="2421">
        <v>4.9908039527416692</v>
      </c>
      <c r="C180" s="1493">
        <f t="shared" si="3"/>
        <v>2.6940346375882163E-2</v>
      </c>
      <c r="D180" s="1498"/>
      <c r="E180" s="1505"/>
    </row>
    <row r="181" spans="1:5">
      <c r="A181" s="209">
        <f t="shared" si="4"/>
        <v>2010.04</v>
      </c>
      <c r="B181" s="2421">
        <v>5.0609432962374132</v>
      </c>
      <c r="C181" s="1493">
        <f t="shared" si="3"/>
        <v>1.4053716427232743E-2</v>
      </c>
      <c r="D181" s="1498"/>
      <c r="E181" s="1505"/>
    </row>
    <row r="182" spans="1:5">
      <c r="A182" s="209">
        <f t="shared" si="4"/>
        <v>2010.05</v>
      </c>
      <c r="B182" s="2421">
        <v>5.106144206490228</v>
      </c>
      <c r="C182" s="1493">
        <f t="shared" si="3"/>
        <v>8.9313212195876179E-3</v>
      </c>
      <c r="D182" s="1498"/>
      <c r="E182" s="1505"/>
    </row>
    <row r="183" spans="1:5">
      <c r="A183" s="209">
        <f t="shared" si="4"/>
        <v>2010.06</v>
      </c>
      <c r="B183" s="2421">
        <v>5.1591383771314563</v>
      </c>
      <c r="C183" s="1493">
        <f t="shared" si="3"/>
        <v>1.037851037851012E-2</v>
      </c>
      <c r="D183" s="1498"/>
      <c r="E183" s="1505"/>
    </row>
    <row r="184" spans="1:5">
      <c r="A184" s="209">
        <f t="shared" si="4"/>
        <v>2010.07</v>
      </c>
      <c r="B184" s="2421">
        <v>5.2107297609027716</v>
      </c>
      <c r="C184" s="1493">
        <f t="shared" si="3"/>
        <v>1.0000000000000231E-2</v>
      </c>
      <c r="D184" s="1498"/>
      <c r="E184" s="1505"/>
    </row>
    <row r="185" spans="1:5">
      <c r="A185" s="209">
        <f t="shared" si="4"/>
        <v>2010.08</v>
      </c>
      <c r="B185" s="2421">
        <v>5.3352660619096604</v>
      </c>
      <c r="C185" s="1493">
        <f t="shared" si="3"/>
        <v>2.38999730788787E-2</v>
      </c>
      <c r="D185" s="1498"/>
      <c r="E185" s="1505"/>
    </row>
    <row r="186" spans="1:5">
      <c r="A186" s="209">
        <f t="shared" si="4"/>
        <v>2010.09</v>
      </c>
      <c r="B186" s="2421">
        <v>5.4054054054054053</v>
      </c>
      <c r="C186" s="1493">
        <f t="shared" si="3"/>
        <v>1.3146362839614456E-2</v>
      </c>
      <c r="D186" s="1498"/>
      <c r="E186" s="1505"/>
    </row>
    <row r="187" spans="1:5">
      <c r="A187" s="209">
        <f t="shared" si="4"/>
        <v>2010.1</v>
      </c>
      <c r="B187" s="2421">
        <v>5.5176283549985969</v>
      </c>
      <c r="C187" s="1493">
        <f t="shared" si="3"/>
        <v>2.0761245674740358E-2</v>
      </c>
      <c r="D187" s="1498"/>
      <c r="E187" s="1505"/>
    </row>
    <row r="188" spans="1:5">
      <c r="A188" s="209">
        <f t="shared" si="4"/>
        <v>2010.11</v>
      </c>
      <c r="B188" s="2421">
        <v>5.6002369151158078</v>
      </c>
      <c r="C188" s="1493">
        <f t="shared" si="3"/>
        <v>1.4971751412429457E-2</v>
      </c>
      <c r="D188" s="1498"/>
      <c r="E188" s="1505"/>
    </row>
    <row r="189" spans="1:5">
      <c r="A189" s="209">
        <f t="shared" si="4"/>
        <v>2010.12</v>
      </c>
      <c r="B189" s="2421">
        <v>5.6968733439321673</v>
      </c>
      <c r="C189" s="1493">
        <f t="shared" si="3"/>
        <v>1.7255775118285577E-2</v>
      </c>
      <c r="D189" s="1498"/>
      <c r="E189" s="1505"/>
    </row>
    <row r="190" spans="1:5">
      <c r="A190" s="209">
        <f t="shared" si="4"/>
        <v>2011.01</v>
      </c>
      <c r="B190" s="2421">
        <v>5.862090464166589</v>
      </c>
      <c r="C190" s="1493">
        <f t="shared" si="3"/>
        <v>2.900136798905617E-2</v>
      </c>
      <c r="D190" s="1498"/>
      <c r="E190" s="1505"/>
    </row>
    <row r="191" spans="1:5">
      <c r="A191" s="209">
        <f t="shared" si="4"/>
        <v>2011.02</v>
      </c>
      <c r="B191" s="2421">
        <v>5.9665201533713645</v>
      </c>
      <c r="C191" s="1493">
        <f t="shared" si="3"/>
        <v>1.7814411060887991E-2</v>
      </c>
      <c r="D191" s="1498"/>
      <c r="E191" s="1505"/>
    </row>
    <row r="192" spans="1:5">
      <c r="A192" s="209">
        <f t="shared" si="4"/>
        <v>2011.03</v>
      </c>
      <c r="B192" s="2421">
        <v>6.063156582187724</v>
      </c>
      <c r="C192" s="1493">
        <f t="shared" si="3"/>
        <v>1.6196447230929945E-2</v>
      </c>
      <c r="D192" s="1498"/>
      <c r="E192" s="1505"/>
    </row>
    <row r="193" spans="1:5">
      <c r="A193" s="209">
        <f t="shared" si="4"/>
        <v>2011.04</v>
      </c>
      <c r="B193" s="2421">
        <v>6.1410891860718841</v>
      </c>
      <c r="C193" s="1493">
        <f t="shared" si="3"/>
        <v>1.2853470437017789E-2</v>
      </c>
      <c r="D193" s="1498"/>
      <c r="E193" s="1505"/>
    </row>
    <row r="194" spans="1:5">
      <c r="A194" s="209">
        <f t="shared" si="4"/>
        <v>2011.05</v>
      </c>
      <c r="B194" s="2421">
        <v>6.2455188752766597</v>
      </c>
      <c r="C194" s="1493">
        <f t="shared" si="3"/>
        <v>1.700507614213187E-2</v>
      </c>
      <c r="D194" s="1498"/>
      <c r="E194" s="1505"/>
    </row>
    <row r="195" spans="1:5">
      <c r="A195" s="209">
        <f t="shared" si="4"/>
        <v>2011.06</v>
      </c>
      <c r="B195" s="2421">
        <v>6.4076186913557152</v>
      </c>
      <c r="C195" s="1493">
        <f t="shared" si="3"/>
        <v>2.5954579485899743E-2</v>
      </c>
      <c r="D195" s="1498"/>
      <c r="E195" s="1505"/>
    </row>
    <row r="196" spans="1:5">
      <c r="A196" s="209">
        <f t="shared" si="4"/>
        <v>2011.07</v>
      </c>
      <c r="B196" s="2421">
        <v>6.5572492908133038</v>
      </c>
      <c r="C196" s="1493">
        <f t="shared" si="3"/>
        <v>2.3351982486013112E-2</v>
      </c>
      <c r="D196" s="1498"/>
      <c r="E196" s="1505"/>
    </row>
    <row r="197" spans="1:5">
      <c r="A197" s="209">
        <f t="shared" si="4"/>
        <v>2011.08</v>
      </c>
      <c r="B197" s="2421">
        <v>6.7115558465039431</v>
      </c>
      <c r="C197" s="1493">
        <f t="shared" si="3"/>
        <v>2.3532208224388063E-2</v>
      </c>
      <c r="D197" s="1498"/>
      <c r="E197" s="1505"/>
    </row>
    <row r="198" spans="1:5">
      <c r="A198" s="209">
        <f t="shared" si="4"/>
        <v>2011.09</v>
      </c>
      <c r="B198" s="2421">
        <v>6.8191028398640858</v>
      </c>
      <c r="C198" s="1493">
        <f t="shared" si="3"/>
        <v>1.6024152345564424E-2</v>
      </c>
      <c r="D198" s="1498"/>
      <c r="E198" s="1505"/>
    </row>
    <row r="199" spans="1:5">
      <c r="A199" s="209">
        <f t="shared" si="4"/>
        <v>2011.1</v>
      </c>
      <c r="B199" s="2421">
        <v>6.9048287041366621</v>
      </c>
      <c r="C199" s="1493">
        <f t="shared" si="3"/>
        <v>1.2571428571428456E-2</v>
      </c>
      <c r="D199" s="1498"/>
      <c r="E199" s="1505"/>
    </row>
    <row r="200" spans="1:5">
      <c r="A200" s="209">
        <f t="shared" si="4"/>
        <v>2011.11</v>
      </c>
      <c r="B200" s="2421">
        <v>7.0186103058075382</v>
      </c>
      <c r="C200" s="1493">
        <f t="shared" si="3"/>
        <v>1.6478555304740627E-2</v>
      </c>
      <c r="D200" s="1498"/>
      <c r="E200" s="1505"/>
    </row>
    <row r="201" spans="1:5">
      <c r="A201" s="209">
        <f t="shared" si="4"/>
        <v>2011.12</v>
      </c>
      <c r="B201" s="2421">
        <v>7.1370678637114615</v>
      </c>
      <c r="C201" s="1493">
        <f t="shared" si="3"/>
        <v>1.6877637130801482E-2</v>
      </c>
      <c r="D201" s="1498"/>
      <c r="E201" s="1505"/>
    </row>
    <row r="202" spans="1:5">
      <c r="A202" s="209">
        <f t="shared" si="4"/>
        <v>2012.01</v>
      </c>
      <c r="B202" s="2421">
        <v>7.2446148570716042</v>
      </c>
      <c r="C202" s="1493">
        <f t="shared" ref="C202:C249" si="5">B202/B201-1</f>
        <v>1.5068792312732171E-2</v>
      </c>
      <c r="D202" s="1498"/>
      <c r="E202" s="1505"/>
    </row>
    <row r="203" spans="1:5">
      <c r="A203" s="209">
        <f t="shared" si="4"/>
        <v>2012.02</v>
      </c>
      <c r="B203" s="2421">
        <v>7.3459272421210144</v>
      </c>
      <c r="C203" s="1493">
        <f t="shared" si="5"/>
        <v>1.3984509466437256E-2</v>
      </c>
      <c r="D203" s="1498"/>
      <c r="E203" s="1505"/>
    </row>
    <row r="204" spans="1:5">
      <c r="A204" s="209">
        <f t="shared" si="4"/>
        <v>2012.03</v>
      </c>
      <c r="B204" s="2421">
        <v>7.4706194083356712</v>
      </c>
      <c r="C204" s="1493">
        <f t="shared" si="5"/>
        <v>1.6974326331423706E-2</v>
      </c>
      <c r="D204" s="1498"/>
      <c r="E204" s="1505"/>
    </row>
    <row r="205" spans="1:5">
      <c r="A205" s="209">
        <f t="shared" si="4"/>
        <v>2012.04</v>
      </c>
      <c r="B205" s="2421">
        <v>7.6576576576576567</v>
      </c>
      <c r="C205" s="1493">
        <f t="shared" si="5"/>
        <v>2.5036511579386467E-2</v>
      </c>
      <c r="D205" s="1498"/>
      <c r="E205" s="1505"/>
    </row>
    <row r="206" spans="1:5">
      <c r="A206" s="209">
        <f t="shared" si="4"/>
        <v>2012.05</v>
      </c>
      <c r="B206" s="2421">
        <v>7.8104055612706125</v>
      </c>
      <c r="C206" s="1493">
        <f t="shared" si="5"/>
        <v>1.9947079177691895E-2</v>
      </c>
      <c r="D206" s="1498"/>
      <c r="E206" s="1505"/>
    </row>
    <row r="207" spans="1:5">
      <c r="A207" s="209">
        <f t="shared" si="4"/>
        <v>2012.06</v>
      </c>
      <c r="B207" s="2421">
        <v>8.0052370709810159</v>
      </c>
      <c r="C207" s="1493">
        <f t="shared" si="5"/>
        <v>2.4945120734384485E-2</v>
      </c>
      <c r="D207" s="1498"/>
      <c r="E207" s="1505"/>
    </row>
    <row r="208" spans="1:5">
      <c r="A208" s="209">
        <f t="shared" si="4"/>
        <v>2012.07</v>
      </c>
      <c r="B208" s="2421">
        <v>8.2328002743227664</v>
      </c>
      <c r="C208" s="1493">
        <f t="shared" si="5"/>
        <v>2.8426791277258667E-2</v>
      </c>
      <c r="D208" s="1498"/>
      <c r="E208" s="1505"/>
    </row>
    <row r="209" spans="1:5">
      <c r="A209" s="209">
        <f t="shared" si="4"/>
        <v>2012.08</v>
      </c>
      <c r="B209" s="2421">
        <v>8.3154088344399764</v>
      </c>
      <c r="C209" s="1493">
        <f t="shared" si="5"/>
        <v>1.0034078000757285E-2</v>
      </c>
      <c r="D209" s="1498"/>
      <c r="E209" s="1505"/>
    </row>
    <row r="210" spans="1:5">
      <c r="A210" s="209">
        <f t="shared" si="4"/>
        <v>2012.09</v>
      </c>
      <c r="B210" s="2421">
        <v>8.4806259546743981</v>
      </c>
      <c r="C210" s="1493">
        <f t="shared" si="5"/>
        <v>1.9868791002811692E-2</v>
      </c>
      <c r="D210" s="1498"/>
      <c r="E210" s="1505"/>
    </row>
    <row r="211" spans="1:5">
      <c r="A211" s="209">
        <f t="shared" si="4"/>
        <v>2012.1</v>
      </c>
      <c r="B211" s="2421">
        <v>8.5741450793353913</v>
      </c>
      <c r="C211" s="1493">
        <f t="shared" si="5"/>
        <v>1.1027384671935314E-2</v>
      </c>
      <c r="D211" s="1498"/>
      <c r="E211" s="1505"/>
    </row>
    <row r="212" spans="1:5">
      <c r="A212" s="209">
        <f t="shared" si="4"/>
        <v>2012.11</v>
      </c>
      <c r="B212" s="2421">
        <v>8.7549487203466452</v>
      </c>
      <c r="C212" s="1493">
        <f t="shared" si="5"/>
        <v>2.108707507725871E-2</v>
      </c>
      <c r="D212" s="1498"/>
      <c r="E212" s="1505"/>
    </row>
    <row r="213" spans="1:5">
      <c r="A213" s="209">
        <f t="shared" si="4"/>
        <v>2012.12</v>
      </c>
      <c r="B213" s="2421">
        <v>9.0308301380965741</v>
      </c>
      <c r="C213" s="1493">
        <f t="shared" si="5"/>
        <v>3.1511482998041629E-2</v>
      </c>
      <c r="D213" s="1498"/>
      <c r="E213" s="1505"/>
    </row>
    <row r="214" spans="1:5">
      <c r="A214" s="209">
        <f t="shared" si="4"/>
        <v>2013.01</v>
      </c>
      <c r="B214" s="2421">
        <v>9.183578041709529</v>
      </c>
      <c r="C214" s="1493">
        <f t="shared" si="5"/>
        <v>1.691404901622362E-2</v>
      </c>
      <c r="D214" s="1498"/>
      <c r="E214" s="1505"/>
    </row>
    <row r="215" spans="1:5">
      <c r="A215" s="209">
        <f t="shared" si="4"/>
        <v>2013.02</v>
      </c>
      <c r="B215" s="2421">
        <v>9.256834689360641</v>
      </c>
      <c r="C215" s="1493">
        <f t="shared" si="5"/>
        <v>7.976917854718435E-3</v>
      </c>
      <c r="D215" s="1498"/>
      <c r="E215" s="1505"/>
    </row>
    <row r="216" spans="1:5">
      <c r="A216" s="209">
        <f t="shared" si="4"/>
        <v>2013.03</v>
      </c>
      <c r="B216" s="2421">
        <v>9.3690576389538336</v>
      </c>
      <c r="C216" s="1493">
        <f t="shared" si="5"/>
        <v>1.2123253072908069E-2</v>
      </c>
      <c r="D216" s="1498"/>
      <c r="E216" s="1505"/>
    </row>
    <row r="217" spans="1:5">
      <c r="A217" s="209">
        <f t="shared" si="4"/>
        <v>2013.04</v>
      </c>
      <c r="B217" s="2421">
        <v>9.482839240624708</v>
      </c>
      <c r="C217" s="1493">
        <f t="shared" si="5"/>
        <v>1.2144401929795379E-2</v>
      </c>
      <c r="D217" s="1498"/>
      <c r="E217" s="1505"/>
    </row>
    <row r="218" spans="1:5">
      <c r="A218" s="209">
        <f t="shared" si="4"/>
        <v>2013.05</v>
      </c>
      <c r="B218" s="2421">
        <v>9.6527323170921768</v>
      </c>
      <c r="C218" s="1493">
        <f t="shared" si="5"/>
        <v>1.7915844838921613E-2</v>
      </c>
      <c r="D218" s="1498"/>
      <c r="E218" s="1505"/>
    </row>
    <row r="219" spans="1:5">
      <c r="A219" s="209">
        <f t="shared" si="4"/>
        <v>2013.06</v>
      </c>
      <c r="B219" s="2421">
        <v>9.9629040805511391</v>
      </c>
      <c r="C219" s="1493">
        <f t="shared" si="5"/>
        <v>3.2133053447440885E-2</v>
      </c>
      <c r="D219" s="1498"/>
      <c r="E219" s="1505"/>
    </row>
    <row r="220" spans="1:5">
      <c r="A220" s="209">
        <f t="shared" si="4"/>
        <v>2013.07</v>
      </c>
      <c r="B220" s="2421">
        <v>10.210729760902773</v>
      </c>
      <c r="C220" s="1493">
        <f t="shared" si="5"/>
        <v>2.4874843554443249E-2</v>
      </c>
      <c r="D220" s="1498"/>
      <c r="E220" s="1505"/>
    </row>
    <row r="221" spans="1:5">
      <c r="A221" s="209">
        <f t="shared" si="4"/>
        <v>2013.08</v>
      </c>
      <c r="B221" s="2421">
        <v>10.39465070606939</v>
      </c>
      <c r="C221" s="1493">
        <f t="shared" si="5"/>
        <v>1.8012517172950382E-2</v>
      </c>
      <c r="D221" s="1498"/>
      <c r="E221" s="1505"/>
    </row>
    <row r="222" spans="1:5">
      <c r="A222" s="209">
        <f t="shared" si="4"/>
        <v>2013.09</v>
      </c>
      <c r="B222" s="2421">
        <v>10.561426478381495</v>
      </c>
      <c r="C222" s="1493">
        <f t="shared" si="5"/>
        <v>1.6044384465437211E-2</v>
      </c>
      <c r="D222" s="1498"/>
      <c r="E222" s="1505"/>
    </row>
    <row r="223" spans="1:5">
      <c r="A223" s="209">
        <f t="shared" si="4"/>
        <v>2013.1</v>
      </c>
      <c r="B223" s="2421">
        <v>10.667414819663954</v>
      </c>
      <c r="C223" s="1493">
        <f t="shared" si="5"/>
        <v>1.0035419126328105E-2</v>
      </c>
      <c r="D223" s="1498"/>
      <c r="E223" s="1505"/>
    </row>
    <row r="224" spans="1:5">
      <c r="A224" s="209">
        <f t="shared" si="4"/>
        <v>2013.11</v>
      </c>
      <c r="B224" s="2421">
        <v>10.923033760404001</v>
      </c>
      <c r="C224" s="1493">
        <f t="shared" si="5"/>
        <v>2.396259497369968E-2</v>
      </c>
      <c r="D224" s="1498"/>
      <c r="E224" s="1505"/>
    </row>
    <row r="225" spans="1:5">
      <c r="A225" s="209">
        <f t="shared" si="4"/>
        <v>2013.12</v>
      </c>
      <c r="B225" s="2421">
        <v>11.30490351943639</v>
      </c>
      <c r="C225" s="1493">
        <f t="shared" si="5"/>
        <v>3.4960045662100425E-2</v>
      </c>
      <c r="D225" s="1498"/>
      <c r="E225" s="1505"/>
    </row>
    <row r="226" spans="1:5">
      <c r="A226" s="209">
        <f t="shared" si="4"/>
        <v>2014.01</v>
      </c>
      <c r="B226" s="2421">
        <v>11.828610617537953</v>
      </c>
      <c r="C226" s="1493">
        <f t="shared" si="5"/>
        <v>4.6325658348269627E-2</v>
      </c>
      <c r="D226" s="1498"/>
      <c r="E226" s="1505"/>
    </row>
    <row r="227" spans="1:5">
      <c r="A227" s="209">
        <f t="shared" si="4"/>
        <v>2014.02</v>
      </c>
      <c r="B227" s="2421">
        <v>12.455188752766608</v>
      </c>
      <c r="C227" s="1493">
        <f t="shared" si="5"/>
        <v>5.2971405982342956E-2</v>
      </c>
      <c r="D227" s="1498"/>
      <c r="E227" s="1505"/>
    </row>
    <row r="228" spans="1:5">
      <c r="A228" s="209">
        <f t="shared" si="4"/>
        <v>2014.03</v>
      </c>
      <c r="B228" s="2421">
        <v>12.927460332304621</v>
      </c>
      <c r="C228" s="1493">
        <f t="shared" si="5"/>
        <v>3.7917657364535007E-2</v>
      </c>
      <c r="D228" s="1498"/>
      <c r="E228" s="1505"/>
    </row>
    <row r="229" spans="1:5">
      <c r="A229" s="209">
        <f t="shared" si="4"/>
        <v>2014.04</v>
      </c>
      <c r="B229" s="2421">
        <v>13.165934100190155</v>
      </c>
      <c r="C229" s="1493">
        <f>B229/B228-1</f>
        <v>1.844707017120828E-2</v>
      </c>
      <c r="D229" s="1498"/>
      <c r="E229" s="1505"/>
    </row>
    <row r="230" spans="1:5">
      <c r="A230" s="209">
        <f t="shared" ref="A230:A293" si="6">A218+1</f>
        <v>2014.05</v>
      </c>
      <c r="B230" s="2421">
        <v>13.560273075844009</v>
      </c>
      <c r="C230" s="1493">
        <f t="shared" si="5"/>
        <v>2.9951462057535183E-2</v>
      </c>
      <c r="D230" s="1498"/>
      <c r="E230" s="1505"/>
    </row>
    <row r="231" spans="1:5">
      <c r="A231" s="209">
        <f t="shared" si="6"/>
        <v>2014.06</v>
      </c>
      <c r="B231" s="2421">
        <v>13.914087097478101</v>
      </c>
      <c r="C231" s="1493">
        <f t="shared" si="5"/>
        <v>2.6091954022988473E-2</v>
      </c>
      <c r="D231" s="1498"/>
      <c r="E231" s="1505"/>
    </row>
    <row r="232" spans="1:5">
      <c r="A232" s="209">
        <f t="shared" si="6"/>
        <v>2014.07</v>
      </c>
      <c r="B232" s="2421">
        <v>14.261666510801458</v>
      </c>
      <c r="C232" s="1493">
        <f t="shared" si="5"/>
        <v>2.4980396549792783E-2</v>
      </c>
      <c r="D232" s="1498"/>
      <c r="E232" s="1505"/>
    </row>
    <row r="233" spans="1:5">
      <c r="A233" s="209">
        <f t="shared" si="6"/>
        <v>2014.08</v>
      </c>
      <c r="B233" s="2421">
        <v>14.503257582842357</v>
      </c>
      <c r="C233" s="1493">
        <f t="shared" si="5"/>
        <v>1.6939890710382599E-2</v>
      </c>
      <c r="D233" s="1498"/>
      <c r="E233" s="1505"/>
    </row>
    <row r="234" spans="1:5">
      <c r="A234" s="209">
        <f t="shared" si="6"/>
        <v>2014.09</v>
      </c>
      <c r="B234" s="2421">
        <v>14.841485083699618</v>
      </c>
      <c r="C234" s="1493">
        <f t="shared" si="5"/>
        <v>2.3320795271359662E-2</v>
      </c>
      <c r="D234" s="1498"/>
      <c r="E234" s="1505"/>
    </row>
    <row r="235" spans="1:5">
      <c r="A235" s="209">
        <f t="shared" si="6"/>
        <v>2014.1</v>
      </c>
      <c r="B235" s="2421">
        <v>15.153215499236261</v>
      </c>
      <c r="C235" s="1493">
        <f t="shared" si="5"/>
        <v>2.1003990758243996E-2</v>
      </c>
      <c r="D235" s="1498"/>
      <c r="E235" s="1505"/>
    </row>
    <row r="236" spans="1:5">
      <c r="A236" s="209">
        <f t="shared" si="6"/>
        <v>2014.11</v>
      </c>
      <c r="B236" s="2421">
        <v>15.471180523083639</v>
      </c>
      <c r="C236" s="1493">
        <f t="shared" si="5"/>
        <v>2.0983336761983162E-2</v>
      </c>
      <c r="D236" s="1498"/>
      <c r="E236" s="1505"/>
    </row>
    <row r="237" spans="1:5">
      <c r="A237" s="209">
        <f t="shared" si="6"/>
        <v>2014.12</v>
      </c>
      <c r="B237" s="2421">
        <v>15.703419682658437</v>
      </c>
      <c r="C237" s="1493">
        <f t="shared" si="5"/>
        <v>1.5011082006850529E-2</v>
      </c>
      <c r="D237" s="1498"/>
      <c r="E237" s="1505"/>
    </row>
    <row r="238" spans="1:5">
      <c r="A238" s="209">
        <f t="shared" si="6"/>
        <v>2015.01</v>
      </c>
      <c r="B238" s="2421">
        <v>15.9948876211852</v>
      </c>
      <c r="C238" s="1493">
        <f t="shared" si="5"/>
        <v>1.8560794044665041E-2</v>
      </c>
      <c r="D238" s="1498"/>
      <c r="E238" s="1505"/>
    </row>
    <row r="239" spans="1:5">
      <c r="A239" s="209">
        <f t="shared" si="6"/>
        <v>2015.02</v>
      </c>
      <c r="B239" s="2421">
        <v>16.234920041148413</v>
      </c>
      <c r="C239" s="1493">
        <f t="shared" si="5"/>
        <v>1.5006821282401051E-2</v>
      </c>
      <c r="D239" s="1498"/>
      <c r="E239" s="1505"/>
    </row>
    <row r="240" spans="1:5">
      <c r="A240" s="209">
        <f t="shared" si="6"/>
        <v>2015.03</v>
      </c>
      <c r="B240" s="2421">
        <v>16.551326412918112</v>
      </c>
      <c r="C240" s="1493">
        <f t="shared" si="5"/>
        <v>1.9489247311828217E-2</v>
      </c>
      <c r="D240" s="1498"/>
      <c r="E240" s="1505"/>
    </row>
    <row r="241" spans="1:6">
      <c r="A241" s="209">
        <f t="shared" si="6"/>
        <v>2015.04</v>
      </c>
      <c r="B241" s="2421">
        <v>16.831883786901088</v>
      </c>
      <c r="C241" s="1493">
        <f t="shared" si="5"/>
        <v>1.6950748658065562E-2</v>
      </c>
      <c r="D241" s="1498"/>
      <c r="E241" s="1505"/>
    </row>
    <row r="242" spans="1:6">
      <c r="A242" s="209">
        <f t="shared" si="6"/>
        <v>2015.05</v>
      </c>
      <c r="B242" s="2421">
        <v>17.185697808535178</v>
      </c>
      <c r="C242" s="1493">
        <f t="shared" si="5"/>
        <v>2.1020464857857135E-2</v>
      </c>
      <c r="D242" s="1498"/>
      <c r="E242" s="1505"/>
    </row>
    <row r="243" spans="1:6">
      <c r="A243" s="209">
        <f t="shared" si="6"/>
        <v>2015.06</v>
      </c>
      <c r="B243" s="2421">
        <v>17.500545528227189</v>
      </c>
      <c r="C243" s="1493">
        <f t="shared" si="5"/>
        <v>1.832033375657538E-2</v>
      </c>
      <c r="D243" s="1498"/>
      <c r="E243" s="1505"/>
    </row>
    <row r="244" spans="1:6">
      <c r="A244" s="209">
        <f t="shared" si="6"/>
        <v>2015.07</v>
      </c>
      <c r="B244" s="2421">
        <v>17.885532591414943</v>
      </c>
      <c r="C244" s="1493">
        <f t="shared" si="5"/>
        <v>2.1998574991093589E-2</v>
      </c>
      <c r="D244" s="1498"/>
      <c r="E244" s="1505"/>
    </row>
    <row r="245" spans="1:6">
      <c r="A245" s="209">
        <f t="shared" si="6"/>
        <v>2015.08</v>
      </c>
      <c r="B245" s="2421">
        <v>18.261167742136596</v>
      </c>
      <c r="C245" s="1493">
        <f t="shared" si="5"/>
        <v>2.1002178649237369E-2</v>
      </c>
      <c r="D245" s="1498"/>
      <c r="E245" s="1505"/>
    </row>
    <row r="246" spans="1:6">
      <c r="A246" s="209">
        <f t="shared" si="6"/>
        <v>2015.09</v>
      </c>
      <c r="B246" s="2421">
        <v>18.580691418061658</v>
      </c>
      <c r="C246" s="1493">
        <f t="shared" si="5"/>
        <v>1.7497439399112524E-2</v>
      </c>
      <c r="D246" s="1498"/>
      <c r="E246" s="1505"/>
    </row>
    <row r="247" spans="1:6">
      <c r="A247" s="209">
        <f t="shared" si="6"/>
        <v>2015.1</v>
      </c>
      <c r="B247" s="2421">
        <v>18.859690139966958</v>
      </c>
      <c r="C247" s="1493">
        <f t="shared" si="5"/>
        <v>1.5015518832312891E-2</v>
      </c>
      <c r="D247" s="1498"/>
      <c r="E247" s="1505"/>
    </row>
    <row r="248" spans="1:6">
      <c r="A248" s="209">
        <f t="shared" si="6"/>
        <v>2015.11</v>
      </c>
      <c r="B248" s="2421">
        <v>19.321051154961189</v>
      </c>
      <c r="C248" s="1493">
        <f t="shared" si="5"/>
        <v>2.4462809917355388E-2</v>
      </c>
      <c r="D248" s="1498"/>
      <c r="E248" s="1505"/>
    </row>
    <row r="249" spans="1:6">
      <c r="A249" s="209">
        <f t="shared" si="6"/>
        <v>2015.12</v>
      </c>
      <c r="B249" s="2421">
        <v>20.112846410424265</v>
      </c>
      <c r="C249" s="1493">
        <f t="shared" si="5"/>
        <v>4.0980961600516341E-2</v>
      </c>
      <c r="D249" s="1498"/>
      <c r="E249" s="1505"/>
    </row>
    <row r="250" spans="1:6">
      <c r="A250" s="209">
        <f t="shared" si="6"/>
        <v>2016.01</v>
      </c>
      <c r="B250" s="2421">
        <v>21.079210698587861</v>
      </c>
      <c r="C250" s="1493">
        <f t="shared" ref="C250:C262" si="7">B250/B249-1</f>
        <v>4.8047117172969722E-2</v>
      </c>
      <c r="D250" s="1498"/>
      <c r="E250" s="1505"/>
      <c r="F250" s="475"/>
    </row>
    <row r="251" spans="1:6">
      <c r="A251" s="209">
        <f t="shared" si="6"/>
        <v>2016.02</v>
      </c>
      <c r="B251" s="2421">
        <v>21.774369525234576</v>
      </c>
      <c r="C251" s="1493">
        <f t="shared" si="7"/>
        <v>3.2978408754806177E-2</v>
      </c>
      <c r="D251" s="1498"/>
      <c r="E251" s="1505"/>
      <c r="F251" s="475"/>
    </row>
    <row r="252" spans="1:6">
      <c r="A252" s="209">
        <f t="shared" si="6"/>
        <v>2016.03</v>
      </c>
      <c r="B252" s="2421">
        <v>22.580192649396803</v>
      </c>
      <c r="C252" s="1493">
        <f t="shared" si="7"/>
        <v>3.7007874015748232E-2</v>
      </c>
      <c r="D252" s="1498"/>
      <c r="E252" s="1505"/>
      <c r="F252" s="475"/>
    </row>
    <row r="253" spans="1:6">
      <c r="A253" s="209">
        <f t="shared" si="6"/>
        <v>2016.04</v>
      </c>
      <c r="B253" s="2421">
        <v>23.577729979114061</v>
      </c>
      <c r="C253" s="1493">
        <f t="shared" si="7"/>
        <v>4.4177538482777612E-2</v>
      </c>
      <c r="D253" s="1498"/>
      <c r="E253" s="1505"/>
      <c r="F253" s="475"/>
    </row>
    <row r="254" spans="1:6">
      <c r="A254" s="209">
        <f t="shared" si="6"/>
        <v>2016.05</v>
      </c>
      <c r="B254" s="2421">
        <v>24.592412481685837</v>
      </c>
      <c r="C254" s="1493">
        <f t="shared" si="7"/>
        <v>4.3035631652013073E-2</v>
      </c>
      <c r="D254" s="1498"/>
      <c r="E254" s="1505"/>
      <c r="F254" s="475"/>
    </row>
    <row r="255" spans="1:6">
      <c r="A255" s="209">
        <f t="shared" si="6"/>
        <v>2016.06</v>
      </c>
      <c r="B255" s="2421">
        <v>25.070918669534585</v>
      </c>
      <c r="C255" s="1493">
        <f t="shared" si="7"/>
        <v>1.945747242996565E-2</v>
      </c>
      <c r="D255" s="1498"/>
      <c r="E255" s="1505"/>
      <c r="F255" s="475"/>
    </row>
    <row r="256" spans="1:6">
      <c r="A256" s="209">
        <f t="shared" si="6"/>
        <v>2016.07</v>
      </c>
      <c r="B256" s="2421">
        <v>25.622681505034446</v>
      </c>
      <c r="C256" s="1493">
        <f t="shared" si="7"/>
        <v>2.2008082064034928E-2</v>
      </c>
      <c r="D256" s="1498"/>
      <c r="E256" s="1505"/>
      <c r="F256" s="475"/>
    </row>
    <row r="257" spans="1:6">
      <c r="A257" s="209">
        <f t="shared" si="6"/>
        <v>2016.08</v>
      </c>
      <c r="B257" s="2421">
        <v>26.032607001465134</v>
      </c>
      <c r="C257" s="1493">
        <f t="shared" si="7"/>
        <v>1.5998540057181154E-2</v>
      </c>
      <c r="D257" s="1498"/>
      <c r="E257" s="1505"/>
      <c r="F257" s="475"/>
    </row>
    <row r="258" spans="1:6">
      <c r="A258" s="209">
        <f t="shared" si="6"/>
        <v>2016.09</v>
      </c>
      <c r="B258" s="2421">
        <v>26.292901898438231</v>
      </c>
      <c r="C258" s="1493">
        <f t="shared" si="7"/>
        <v>9.9988025386181789E-3</v>
      </c>
      <c r="D258" s="1498"/>
      <c r="E258" s="1505"/>
      <c r="F258" s="475"/>
    </row>
    <row r="259" spans="1:6">
      <c r="A259" s="209">
        <f t="shared" si="6"/>
        <v>2016.1</v>
      </c>
      <c r="B259" s="2421">
        <v>26.740235044733314</v>
      </c>
      <c r="C259" s="1493">
        <f t="shared" si="7"/>
        <v>1.7013456636433721E-2</v>
      </c>
      <c r="D259" s="1498"/>
      <c r="E259" s="1505"/>
      <c r="F259" s="475"/>
    </row>
    <row r="260" spans="1:6">
      <c r="A260" s="209">
        <f t="shared" si="6"/>
        <v>2016.11</v>
      </c>
      <c r="B260" s="2421">
        <v>27.114311543377283</v>
      </c>
      <c r="C260" s="1493">
        <f>B260/B259-1</f>
        <v>1.3989274889251391E-2</v>
      </c>
      <c r="D260" s="1498"/>
      <c r="E260" s="1505"/>
    </row>
    <row r="261" spans="1:6">
      <c r="A261" s="209">
        <f t="shared" si="6"/>
        <v>2016.12</v>
      </c>
      <c r="B261" s="2421">
        <v>27.630225381090433</v>
      </c>
      <c r="C261" s="1493">
        <f>B261/B260-1</f>
        <v>1.9027362612094922E-2</v>
      </c>
      <c r="D261" s="1498"/>
      <c r="E261" s="1505"/>
    </row>
    <row r="262" spans="1:6">
      <c r="A262" s="209">
        <f t="shared" si="6"/>
        <v>2017.01</v>
      </c>
      <c r="B262" s="2421">
        <v>28.431372549019606</v>
      </c>
      <c r="C262" s="1493">
        <f t="shared" si="7"/>
        <v>2.89953178766853E-2</v>
      </c>
      <c r="D262" s="1499">
        <v>13808</v>
      </c>
      <c r="E262" s="1505"/>
    </row>
    <row r="263" spans="1:6">
      <c r="A263" s="209">
        <f t="shared" si="6"/>
        <v>2017.02</v>
      </c>
      <c r="B263" s="2421">
        <v>28.886498955703104</v>
      </c>
      <c r="C263" s="1493">
        <f t="shared" ref="C263:C280" si="8">B263/B262-1</f>
        <v>1.600789430404026E-2</v>
      </c>
      <c r="D263" s="1500">
        <v>14116</v>
      </c>
      <c r="E263" s="1506">
        <f>D263/D262-1</f>
        <v>2.2305909617613029E-2</v>
      </c>
    </row>
    <row r="264" spans="1:6">
      <c r="A264" s="209">
        <f t="shared" si="6"/>
        <v>2017.03</v>
      </c>
      <c r="B264" s="2421">
        <v>29.377474360173323</v>
      </c>
      <c r="C264" s="1493">
        <f t="shared" si="8"/>
        <v>1.6996708573895347E-2</v>
      </c>
      <c r="D264" s="1500">
        <v>14686</v>
      </c>
      <c r="E264" s="1507">
        <f t="shared" ref="E264:E309" si="9">D264/D263-1</f>
        <v>4.0379710966279347E-2</v>
      </c>
    </row>
    <row r="265" spans="1:6">
      <c r="A265" s="209">
        <f t="shared" si="6"/>
        <v>2017.04</v>
      </c>
      <c r="B265" s="2421">
        <v>29.905857414507935</v>
      </c>
      <c r="C265" s="1493">
        <f t="shared" si="8"/>
        <v>1.7985993208828432E-2</v>
      </c>
      <c r="D265" s="1500">
        <v>15146</v>
      </c>
      <c r="E265" s="1507">
        <f t="shared" si="9"/>
        <v>3.1322347814244811E-2</v>
      </c>
    </row>
    <row r="266" spans="1:6">
      <c r="A266" s="209">
        <f t="shared" si="6"/>
        <v>2017.05</v>
      </c>
      <c r="B266" s="2421">
        <v>30.413977991832663</v>
      </c>
      <c r="C266" s="1493">
        <f t="shared" si="8"/>
        <v>1.6990670766664939E-2</v>
      </c>
      <c r="D266" s="1500">
        <v>15144</v>
      </c>
      <c r="E266" s="1507">
        <f t="shared" si="9"/>
        <v>-1.3204806549582671E-4</v>
      </c>
    </row>
    <row r="267" spans="1:6">
      <c r="A267" s="209">
        <f t="shared" si="6"/>
        <v>2017.06</v>
      </c>
      <c r="B267" s="2421">
        <v>30.74908818853455</v>
      </c>
      <c r="C267" s="1493">
        <f t="shared" si="8"/>
        <v>1.1018295495310637E-2</v>
      </c>
      <c r="D267" s="1500">
        <v>15465</v>
      </c>
      <c r="E267" s="1507">
        <f t="shared" si="9"/>
        <v>2.1196513470681522E-2</v>
      </c>
    </row>
    <row r="268" spans="1:6">
      <c r="A268" s="209">
        <f t="shared" si="6"/>
        <v>2017.07</v>
      </c>
      <c r="B268" s="2421">
        <v>31.302409676112099</v>
      </c>
      <c r="C268" s="1493">
        <f t="shared" si="8"/>
        <v>1.7994728304947527E-2</v>
      </c>
      <c r="D268" s="1500">
        <v>15419</v>
      </c>
      <c r="E268" s="1507">
        <f t="shared" si="9"/>
        <v>-2.9744584545748909E-3</v>
      </c>
    </row>
    <row r="269" spans="1:6">
      <c r="A269" s="209">
        <f t="shared" si="6"/>
        <v>2017.08</v>
      </c>
      <c r="B269" s="2421">
        <v>31.833910034602077</v>
      </c>
      <c r="C269" s="1493">
        <f t="shared" si="8"/>
        <v>1.6979534930040341E-2</v>
      </c>
      <c r="D269" s="1500">
        <v>16184</v>
      </c>
      <c r="E269" s="1507">
        <f t="shared" si="9"/>
        <v>4.961411245865488E-2</v>
      </c>
    </row>
    <row r="270" spans="1:6">
      <c r="A270" s="209">
        <f t="shared" si="6"/>
        <v>2017.09</v>
      </c>
      <c r="B270" s="2421">
        <v>32.151875058449455</v>
      </c>
      <c r="C270" s="1493">
        <f t="shared" si="8"/>
        <v>9.9882491186840117E-3</v>
      </c>
      <c r="D270" s="1500">
        <v>16367</v>
      </c>
      <c r="E270" s="1507">
        <f t="shared" si="9"/>
        <v>1.130746416213535E-2</v>
      </c>
    </row>
    <row r="271" spans="1:6">
      <c r="A271" s="209">
        <f t="shared" si="6"/>
        <v>2017.1</v>
      </c>
      <c r="B271" s="2421">
        <v>32.762866672901275</v>
      </c>
      <c r="C271" s="1493">
        <f t="shared" si="8"/>
        <v>1.9003296490207378E-2</v>
      </c>
      <c r="D271" s="1500">
        <v>16874</v>
      </c>
      <c r="E271" s="1507">
        <f t="shared" si="9"/>
        <v>3.0976965845909366E-2</v>
      </c>
    </row>
    <row r="272" spans="1:6">
      <c r="A272" s="209">
        <f t="shared" si="6"/>
        <v>2017.11</v>
      </c>
      <c r="B272" s="2421">
        <v>33.288132423080519</v>
      </c>
      <c r="C272" s="1493">
        <f t="shared" si="8"/>
        <v>1.6032350142721086E-2</v>
      </c>
      <c r="D272" s="1500">
        <v>16774</v>
      </c>
      <c r="E272" s="1507">
        <f t="shared" si="9"/>
        <v>-5.9262771127177594E-3</v>
      </c>
    </row>
    <row r="273" spans="1:5">
      <c r="A273" s="209">
        <f t="shared" si="6"/>
        <v>2017.12</v>
      </c>
      <c r="B273" s="2421">
        <v>34.001995074659433</v>
      </c>
      <c r="C273" s="1493">
        <f t="shared" si="8"/>
        <v>2.1444959498056804E-2</v>
      </c>
      <c r="D273" s="1500">
        <v>16736</v>
      </c>
      <c r="E273" s="1507">
        <f t="shared" si="9"/>
        <v>-2.2654107547395164E-3</v>
      </c>
    </row>
    <row r="274" spans="1:5">
      <c r="A274" s="209">
        <f t="shared" si="6"/>
        <v>2018.01</v>
      </c>
      <c r="B274" s="2421">
        <v>34.801583590510923</v>
      </c>
      <c r="C274" s="1493">
        <f t="shared" si="8"/>
        <v>2.3515929406371594E-2</v>
      </c>
      <c r="D274" s="1500">
        <v>16934</v>
      </c>
      <c r="E274" s="1507">
        <f t="shared" si="9"/>
        <v>1.1830783938814537E-2</v>
      </c>
    </row>
    <row r="275" spans="1:5">
      <c r="A275" s="209">
        <f t="shared" si="6"/>
        <v>2018.02</v>
      </c>
      <c r="B275" s="2421">
        <v>35.679104710246577</v>
      </c>
      <c r="C275" s="1493">
        <f t="shared" si="8"/>
        <v>2.5214976710856263E-2</v>
      </c>
      <c r="D275" s="1500">
        <v>17461</v>
      </c>
      <c r="E275" s="1507">
        <f t="shared" si="9"/>
        <v>3.1120822014881311E-2</v>
      </c>
    </row>
    <row r="276" spans="1:5">
      <c r="A276" s="209">
        <f t="shared" si="6"/>
        <v>2018.03</v>
      </c>
      <c r="B276" s="2421">
        <v>36.441285576233675</v>
      </c>
      <c r="C276" s="1493">
        <f t="shared" si="8"/>
        <v>2.1362107378445794E-2</v>
      </c>
      <c r="D276" s="1500">
        <v>17657</v>
      </c>
      <c r="E276" s="1507">
        <f t="shared" si="9"/>
        <v>1.1225015749384282E-2</v>
      </c>
    </row>
    <row r="277" spans="1:5">
      <c r="A277" s="209">
        <f t="shared" si="6"/>
        <v>2018.04</v>
      </c>
      <c r="B277" s="2421">
        <v>37.005517628354994</v>
      </c>
      <c r="C277" s="1493">
        <f t="shared" si="8"/>
        <v>1.5483319076133206E-2</v>
      </c>
      <c r="D277" s="1500">
        <v>17538</v>
      </c>
      <c r="E277" s="1507">
        <f t="shared" si="9"/>
        <v>-6.7395367276433804E-3</v>
      </c>
    </row>
    <row r="278" spans="1:5">
      <c r="A278" s="209">
        <f t="shared" si="6"/>
        <v>2018.05</v>
      </c>
      <c r="B278" s="2421">
        <v>37.828485925371737</v>
      </c>
      <c r="C278" s="1493">
        <f t="shared" si="8"/>
        <v>2.2239070002527228E-2</v>
      </c>
      <c r="D278" s="1500">
        <v>18392</v>
      </c>
      <c r="E278" s="1507">
        <f t="shared" si="9"/>
        <v>4.8694263884137223E-2</v>
      </c>
    </row>
    <row r="279" spans="1:5">
      <c r="A279" s="209">
        <f t="shared" si="6"/>
        <v>2018.06</v>
      </c>
      <c r="B279" s="2421">
        <v>39.19074784126687</v>
      </c>
      <c r="C279" s="1493">
        <f t="shared" si="8"/>
        <v>3.6011536876802586E-2</v>
      </c>
      <c r="D279" s="1500">
        <v>19355</v>
      </c>
      <c r="E279" s="1507">
        <f t="shared" si="9"/>
        <v>5.2359721618094879E-2</v>
      </c>
    </row>
    <row r="280" spans="1:5">
      <c r="A280" s="209">
        <f t="shared" si="6"/>
        <v>2018.07</v>
      </c>
      <c r="B280" s="2421">
        <v>40.523395367686028</v>
      </c>
      <c r="C280" s="1493">
        <f t="shared" si="8"/>
        <v>3.4004136175628474E-2</v>
      </c>
      <c r="D280" s="1500">
        <v>20400</v>
      </c>
      <c r="E280" s="1507">
        <f t="shared" si="9"/>
        <v>5.3991216739860404E-2</v>
      </c>
    </row>
    <row r="281" spans="1:5">
      <c r="A281" s="209">
        <f t="shared" si="6"/>
        <v>2018.08</v>
      </c>
      <c r="B281" s="2421">
        <v>42.184918482496336</v>
      </c>
      <c r="C281" s="1493">
        <f t="shared" ref="C281:C291" si="10">B281/B280-1</f>
        <v>4.100157698372997E-2</v>
      </c>
      <c r="D281" s="1500">
        <v>20748</v>
      </c>
      <c r="E281" s="1507">
        <f t="shared" si="9"/>
        <v>1.7058823529411793E-2</v>
      </c>
    </row>
    <row r="282" spans="1:5">
      <c r="A282" s="209">
        <f t="shared" si="6"/>
        <v>2018.09</v>
      </c>
      <c r="B282" s="2421">
        <v>44.420025561894072</v>
      </c>
      <c r="C282" s="1493">
        <f t="shared" si="10"/>
        <v>5.2983558100868189E-2</v>
      </c>
      <c r="D282" s="1500">
        <v>22455</v>
      </c>
      <c r="E282" s="1507">
        <f t="shared" si="9"/>
        <v>8.2272990167727045E-2</v>
      </c>
    </row>
    <row r="283" spans="1:5">
      <c r="A283" s="209">
        <f t="shared" si="6"/>
        <v>2018.1</v>
      </c>
      <c r="B283" s="2421">
        <v>47.085320614732382</v>
      </c>
      <c r="C283" s="1493">
        <f t="shared" si="10"/>
        <v>6.0002105337029432E-2</v>
      </c>
      <c r="D283" s="1500">
        <v>24777</v>
      </c>
      <c r="E283" s="1507">
        <f t="shared" si="9"/>
        <v>0.10340681362725457</v>
      </c>
    </row>
    <row r="284" spans="1:5">
      <c r="A284" s="209">
        <f t="shared" si="6"/>
        <v>2018.11</v>
      </c>
      <c r="B284" s="2421">
        <v>48.262102933383211</v>
      </c>
      <c r="C284" s="1493">
        <f t="shared" si="10"/>
        <v>2.4992551888510128E-2</v>
      </c>
      <c r="D284" s="1500">
        <v>26136</v>
      </c>
      <c r="E284" s="1507">
        <f t="shared" si="9"/>
        <v>5.4849255357791504E-2</v>
      </c>
    </row>
    <row r="285" spans="1:5">
      <c r="A285" s="209">
        <f t="shared" si="6"/>
        <v>2018.12</v>
      </c>
      <c r="B285" s="2421">
        <v>49.323544998285477</v>
      </c>
      <c r="C285" s="1493">
        <f t="shared" si="10"/>
        <v>2.1993282521637791E-2</v>
      </c>
      <c r="D285" s="1500">
        <v>26268</v>
      </c>
      <c r="E285" s="1507">
        <f t="shared" si="9"/>
        <v>5.050505050504972E-3</v>
      </c>
    </row>
    <row r="286" spans="1:5">
      <c r="A286" s="209">
        <f t="shared" si="6"/>
        <v>2019.01</v>
      </c>
      <c r="B286" s="2421">
        <v>50.508120577324732</v>
      </c>
      <c r="C286" s="1493">
        <f t="shared" si="10"/>
        <v>2.4016432295781431E-2</v>
      </c>
      <c r="D286" s="1500">
        <v>27094</v>
      </c>
      <c r="E286" s="1507">
        <f t="shared" si="9"/>
        <v>3.1445104309425931E-2</v>
      </c>
    </row>
    <row r="287" spans="1:5">
      <c r="A287" s="209">
        <f t="shared" si="6"/>
        <v>2019.02</v>
      </c>
      <c r="B287" s="2421">
        <v>52.528133670002177</v>
      </c>
      <c r="C287" s="1493">
        <f t="shared" si="10"/>
        <v>3.9993828112945273E-2</v>
      </c>
      <c r="D287" s="1500">
        <v>28199</v>
      </c>
      <c r="E287" s="1507">
        <f t="shared" si="9"/>
        <v>4.0783937403115145E-2</v>
      </c>
    </row>
    <row r="288" spans="1:5">
      <c r="A288" s="209">
        <f t="shared" si="6"/>
        <v>2019.03</v>
      </c>
      <c r="B288" s="2421">
        <v>54.314348951027149</v>
      </c>
      <c r="C288" s="1493">
        <f t="shared" si="10"/>
        <v>3.4004925669861574E-2</v>
      </c>
      <c r="D288" s="1500">
        <v>29290</v>
      </c>
      <c r="E288" s="1507">
        <f t="shared" si="9"/>
        <v>3.8689315223944032E-2</v>
      </c>
    </row>
    <row r="289" spans="1:5">
      <c r="A289" s="209">
        <f t="shared" si="6"/>
        <v>2019.04</v>
      </c>
      <c r="B289" s="2421">
        <v>55.78104055612706</v>
      </c>
      <c r="C289" s="1493">
        <f t="shared" si="10"/>
        <v>2.7003759290613161E-2</v>
      </c>
      <c r="D289" s="1500">
        <v>30252</v>
      </c>
      <c r="E289" s="1507">
        <f t="shared" si="9"/>
        <v>3.2843974052577662E-2</v>
      </c>
    </row>
    <row r="290" spans="1:5">
      <c r="A290" s="209">
        <f t="shared" si="6"/>
        <v>2019.05</v>
      </c>
      <c r="B290" s="2421">
        <v>57.844695906979638</v>
      </c>
      <c r="C290" s="1493">
        <f t="shared" si="10"/>
        <v>3.6995640996982049E-2</v>
      </c>
      <c r="D290" s="1500">
        <v>31015</v>
      </c>
      <c r="E290" s="1507">
        <f t="shared" si="9"/>
        <v>2.5221472960465396E-2</v>
      </c>
    </row>
    <row r="291" spans="1:5">
      <c r="A291" s="209">
        <f t="shared" si="6"/>
        <v>2019.06</v>
      </c>
      <c r="B291" s="2421">
        <v>59.348795161943947</v>
      </c>
      <c r="C291" s="1493">
        <f t="shared" si="10"/>
        <v>2.6002371200689822E-2</v>
      </c>
      <c r="D291" s="1500">
        <v>31751</v>
      </c>
      <c r="E291" s="1507">
        <f t="shared" si="9"/>
        <v>2.3730453006609808E-2</v>
      </c>
    </row>
    <row r="292" spans="1:5">
      <c r="A292" s="209">
        <f t="shared" si="6"/>
        <v>2019.07</v>
      </c>
      <c r="B292" s="2421">
        <v>60.773403160946415</v>
      </c>
      <c r="C292" s="1493">
        <f t="shared" ref="C292:C301" si="11">B292/B291-1</f>
        <v>2.4003991911127454E-2</v>
      </c>
      <c r="D292" s="1500">
        <v>32778</v>
      </c>
      <c r="E292" s="1507">
        <f t="shared" si="9"/>
        <v>3.2345437938962496E-2</v>
      </c>
    </row>
    <row r="293" spans="1:5">
      <c r="A293" s="209">
        <f t="shared" si="6"/>
        <v>2019.08</v>
      </c>
      <c r="B293" s="2421">
        <v>63.628853767262072</v>
      </c>
      <c r="C293" s="1493">
        <f t="shared" si="11"/>
        <v>4.6985201713215741E-2</v>
      </c>
      <c r="D293" s="1500">
        <v>33876</v>
      </c>
      <c r="E293" s="1507">
        <f t="shared" si="9"/>
        <v>3.349807797913229E-2</v>
      </c>
    </row>
    <row r="294" spans="1:5">
      <c r="A294" s="209">
        <f t="shared" ref="A294:A357" si="12">A282+1</f>
        <v>2019.09</v>
      </c>
      <c r="B294" s="2421">
        <v>67.447551357585951</v>
      </c>
      <c r="C294" s="1493">
        <f t="shared" si="11"/>
        <v>6.0015187516840873E-2</v>
      </c>
      <c r="D294" s="1500">
        <v>35186</v>
      </c>
      <c r="E294" s="1507">
        <f t="shared" si="9"/>
        <v>3.8670445152910515E-2</v>
      </c>
    </row>
    <row r="295" spans="1:5">
      <c r="A295" s="209">
        <f t="shared" si="12"/>
        <v>2019.1</v>
      </c>
      <c r="B295" s="2421">
        <v>69.94295333395678</v>
      </c>
      <c r="C295" s="1493">
        <f t="shared" si="11"/>
        <v>3.6997665981096661E-2</v>
      </c>
      <c r="D295" s="1500">
        <v>36452</v>
      </c>
      <c r="E295" s="1507">
        <f t="shared" si="9"/>
        <v>3.5980219405445268E-2</v>
      </c>
    </row>
    <row r="296" spans="1:5">
      <c r="A296" s="209">
        <f t="shared" si="12"/>
        <v>2019.11</v>
      </c>
      <c r="B296" s="2421">
        <v>73.649427974687484</v>
      </c>
      <c r="C296" s="1493">
        <f t="shared" si="11"/>
        <v>5.2992824352631862E-2</v>
      </c>
      <c r="D296" s="1500">
        <v>38517</v>
      </c>
      <c r="E296" s="1507">
        <f t="shared" si="9"/>
        <v>5.6649840886645375E-2</v>
      </c>
    </row>
    <row r="297" spans="1:5">
      <c r="A297" s="209">
        <f t="shared" si="12"/>
        <v>2019.12</v>
      </c>
      <c r="B297" s="2421">
        <v>76.816608996539784</v>
      </c>
      <c r="C297" s="1493">
        <f t="shared" si="11"/>
        <v>4.3003470752560613E-2</v>
      </c>
      <c r="D297" s="1500">
        <v>40046</v>
      </c>
      <c r="E297" s="1507">
        <f t="shared" si="9"/>
        <v>3.9696757276008077E-2</v>
      </c>
    </row>
    <row r="298" spans="1:5">
      <c r="A298" s="209">
        <f t="shared" si="12"/>
        <v>2020.01</v>
      </c>
      <c r="B298" s="2421">
        <v>78.813242308051983</v>
      </c>
      <c r="C298" s="1493">
        <f t="shared" si="11"/>
        <v>2.5992208424640673E-2</v>
      </c>
      <c r="D298" s="1500">
        <v>41395</v>
      </c>
      <c r="E298" s="1507">
        <f t="shared" si="9"/>
        <v>3.3686260800079859E-2</v>
      </c>
    </row>
    <row r="299" spans="1:5">
      <c r="A299" s="209">
        <f t="shared" si="12"/>
        <v>2020.02</v>
      </c>
      <c r="B299" s="2421">
        <v>80.231615698743724</v>
      </c>
      <c r="C299" s="1493">
        <f t="shared" si="11"/>
        <v>1.7996637990705278E-2</v>
      </c>
      <c r="D299" s="1500">
        <v>42868</v>
      </c>
      <c r="E299" s="1507">
        <f t="shared" si="9"/>
        <v>3.5584007730402156E-2</v>
      </c>
    </row>
    <row r="300" spans="1:5">
      <c r="A300" s="209">
        <f t="shared" si="12"/>
        <v>2020.03</v>
      </c>
      <c r="B300" s="2421">
        <v>81.837027338757437</v>
      </c>
      <c r="C300" s="1493">
        <f t="shared" si="11"/>
        <v>2.0009713453132516E-2</v>
      </c>
      <c r="D300" s="1500">
        <v>44274</v>
      </c>
      <c r="E300" s="1507">
        <f t="shared" si="9"/>
        <v>3.2798357749370233E-2</v>
      </c>
    </row>
    <row r="301" spans="1:5">
      <c r="A301" s="209">
        <f t="shared" si="12"/>
        <v>2020.04</v>
      </c>
      <c r="B301" s="2421">
        <v>82.818978147697862</v>
      </c>
      <c r="C301" s="1493">
        <f t="shared" si="11"/>
        <v>1.1998857251690254E-2</v>
      </c>
      <c r="D301" s="1500">
        <v>44780</v>
      </c>
      <c r="E301" s="1507">
        <f t="shared" si="9"/>
        <v>1.1428829561367815E-2</v>
      </c>
    </row>
    <row r="302" spans="1:5">
      <c r="A302" s="209">
        <f t="shared" si="12"/>
        <v>2020.05</v>
      </c>
      <c r="B302" s="2421">
        <v>83.564013840830455</v>
      </c>
      <c r="C302" s="1493">
        <f t="shared" ref="C302:C309" si="13">B302/B301-1</f>
        <v>8.9959537028325709E-3</v>
      </c>
      <c r="D302" s="1500">
        <v>45483</v>
      </c>
      <c r="E302" s="1507">
        <f t="shared" si="9"/>
        <v>1.5698972755694429E-2</v>
      </c>
    </row>
    <row r="303" spans="1:5">
      <c r="A303" s="209">
        <f t="shared" si="12"/>
        <v>2020.06</v>
      </c>
      <c r="B303" s="2421">
        <v>84.985504535677549</v>
      </c>
      <c r="C303" s="1493">
        <f t="shared" si="13"/>
        <v>1.7010799619495254E-2</v>
      </c>
      <c r="D303" s="1500">
        <v>46168</v>
      </c>
      <c r="E303" s="1507">
        <f t="shared" si="9"/>
        <v>1.5060572081876833E-2</v>
      </c>
    </row>
    <row r="304" spans="1:5">
      <c r="A304" s="209">
        <f t="shared" si="12"/>
        <v>2020.07</v>
      </c>
      <c r="B304" s="2421">
        <v>86.684435300352263</v>
      </c>
      <c r="C304" s="1493">
        <f t="shared" si="13"/>
        <v>1.9990829894543927E-2</v>
      </c>
      <c r="D304" s="1500">
        <v>46662</v>
      </c>
      <c r="E304" s="1507">
        <f t="shared" si="9"/>
        <v>1.0700051984058323E-2</v>
      </c>
    </row>
    <row r="305" spans="1:5">
      <c r="A305" s="209">
        <f t="shared" si="12"/>
        <v>2020.08</v>
      </c>
      <c r="B305" s="2421">
        <v>88.765235824059346</v>
      </c>
      <c r="C305" s="1493">
        <f t="shared" si="13"/>
        <v>2.4004315382540442E-2</v>
      </c>
      <c r="D305" s="1500">
        <v>47212</v>
      </c>
      <c r="E305" s="1507">
        <f t="shared" si="9"/>
        <v>1.1786892975011787E-2</v>
      </c>
    </row>
    <row r="306" spans="1:5">
      <c r="A306" s="209">
        <f t="shared" si="12"/>
        <v>2020.09</v>
      </c>
      <c r="B306" s="2421">
        <v>91.162442719536145</v>
      </c>
      <c r="C306" s="1493">
        <f t="shared" si="13"/>
        <v>2.7006145741878873E-2</v>
      </c>
      <c r="D306" s="1500">
        <v>48588</v>
      </c>
      <c r="E306" s="1507">
        <f t="shared" si="9"/>
        <v>2.9145132593408452E-2</v>
      </c>
    </row>
    <row r="307" spans="1:5">
      <c r="A307" s="209">
        <f t="shared" si="12"/>
        <v>2020.1</v>
      </c>
      <c r="B307" s="2421">
        <v>94.443405343059325</v>
      </c>
      <c r="C307" s="1493">
        <f t="shared" si="13"/>
        <v>3.5990288606209786E-2</v>
      </c>
      <c r="D307" s="1500">
        <v>50953</v>
      </c>
      <c r="E307" s="1507">
        <f t="shared" si="9"/>
        <v>4.8674569852638516E-2</v>
      </c>
    </row>
    <row r="308" spans="1:5">
      <c r="A308" s="209">
        <f t="shared" si="12"/>
        <v>2020.11</v>
      </c>
      <c r="B308" s="2421">
        <v>97.181957043548735</v>
      </c>
      <c r="C308" s="1493">
        <f t="shared" si="13"/>
        <v>2.899674879936609E-2</v>
      </c>
      <c r="D308" s="1500">
        <v>53550</v>
      </c>
      <c r="E308" s="1507">
        <f t="shared" si="9"/>
        <v>5.0968539634565158E-2</v>
      </c>
    </row>
    <row r="309" spans="1:5">
      <c r="A309" s="209">
        <f t="shared" si="12"/>
        <v>2020.12</v>
      </c>
      <c r="B309" s="1489">
        <v>100</v>
      </c>
      <c r="C309" s="1493">
        <f t="shared" si="13"/>
        <v>2.8997594226142676E-2</v>
      </c>
      <c r="D309" s="1500">
        <v>56402</v>
      </c>
      <c r="E309" s="1507">
        <f t="shared" si="9"/>
        <v>5.3258636788048541E-2</v>
      </c>
    </row>
    <row r="310" spans="1:5">
      <c r="A310" s="209">
        <f t="shared" si="12"/>
        <v>2021.01</v>
      </c>
      <c r="B310" s="1489">
        <v>104.2</v>
      </c>
      <c r="C310" s="1493">
        <f t="shared" ref="C310:C369" si="14">B310/B309-1</f>
        <v>4.2000000000000037E-2</v>
      </c>
      <c r="D310" s="1500">
        <v>59971</v>
      </c>
      <c r="E310" s="1507">
        <f t="shared" ref="E310:E369" si="15">D310/D309-1</f>
        <v>6.3277897946881323E-2</v>
      </c>
    </row>
    <row r="311" spans="1:5">
      <c r="A311" s="209">
        <f t="shared" si="12"/>
        <v>2021.02</v>
      </c>
      <c r="B311" s="1489">
        <v>107.2</v>
      </c>
      <c r="C311" s="1493">
        <f t="shared" si="14"/>
        <v>2.8790786948176494E-2</v>
      </c>
      <c r="D311" s="1500">
        <v>61385</v>
      </c>
      <c r="E311" s="1507">
        <f t="shared" si="15"/>
        <v>2.3578062730319704E-2</v>
      </c>
    </row>
    <row r="312" spans="1:5">
      <c r="A312" s="209">
        <f t="shared" si="12"/>
        <v>2021.03</v>
      </c>
      <c r="B312" s="1489">
        <v>111.1</v>
      </c>
      <c r="C312" s="1493">
        <f t="shared" si="14"/>
        <v>3.6380597014925353E-2</v>
      </c>
      <c r="D312" s="1500">
        <v>63781</v>
      </c>
      <c r="E312" s="1507">
        <f t="shared" si="15"/>
        <v>3.9032336890119756E-2</v>
      </c>
    </row>
    <row r="313" spans="1:5">
      <c r="A313" s="209">
        <f t="shared" si="12"/>
        <v>2021.04</v>
      </c>
      <c r="B313" s="1489">
        <v>116.9</v>
      </c>
      <c r="C313" s="1493">
        <f t="shared" si="14"/>
        <v>5.2205220522052231E-2</v>
      </c>
      <c r="D313" s="1500">
        <v>66016</v>
      </c>
      <c r="E313" s="1507">
        <f t="shared" si="15"/>
        <v>3.5041783603267485E-2</v>
      </c>
    </row>
    <row r="314" spans="1:5">
      <c r="A314" s="209">
        <f t="shared" si="12"/>
        <v>2021.05</v>
      </c>
      <c r="B314" s="1489">
        <v>120.6</v>
      </c>
      <c r="C314" s="1493">
        <f t="shared" si="14"/>
        <v>3.1650983746791983E-2</v>
      </c>
      <c r="D314" s="1500">
        <v>68307</v>
      </c>
      <c r="E314" s="1507">
        <f t="shared" si="15"/>
        <v>3.4703708191953453E-2</v>
      </c>
    </row>
    <row r="315" spans="1:5">
      <c r="A315" s="209">
        <f t="shared" si="12"/>
        <v>2021.06</v>
      </c>
      <c r="B315" s="1489">
        <v>125.4</v>
      </c>
      <c r="C315" s="1493">
        <f t="shared" si="14"/>
        <v>3.9800995024875663E-2</v>
      </c>
      <c r="D315" s="1500">
        <v>71529</v>
      </c>
      <c r="E315" s="1507">
        <f t="shared" si="15"/>
        <v>4.7169396987131629E-2</v>
      </c>
    </row>
    <row r="316" spans="1:5">
      <c r="A316" s="209">
        <f t="shared" si="12"/>
        <v>2021.07</v>
      </c>
      <c r="B316" s="1489">
        <v>129</v>
      </c>
      <c r="C316" s="1493">
        <f t="shared" si="14"/>
        <v>2.8708133971291794E-2</v>
      </c>
      <c r="D316" s="1500">
        <v>72935</v>
      </c>
      <c r="E316" s="1507">
        <f t="shared" si="15"/>
        <v>1.9656363153406353E-2</v>
      </c>
    </row>
    <row r="317" spans="1:5">
      <c r="A317" s="209">
        <f t="shared" si="12"/>
        <v>2021.08</v>
      </c>
      <c r="B317" s="1489">
        <v>132.69999999999999</v>
      </c>
      <c r="C317" s="1493">
        <f t="shared" si="14"/>
        <v>2.8682170542635665E-2</v>
      </c>
      <c r="D317" s="1500">
        <v>75074</v>
      </c>
      <c r="E317" s="1507">
        <f t="shared" si="15"/>
        <v>2.932748337560831E-2</v>
      </c>
    </row>
    <row r="318" spans="1:5">
      <c r="A318" s="209">
        <f t="shared" si="12"/>
        <v>2021.09</v>
      </c>
      <c r="B318" s="1489">
        <v>136.30000000000001</v>
      </c>
      <c r="C318" s="1493">
        <f t="shared" si="14"/>
        <v>2.7128862094951245E-2</v>
      </c>
      <c r="D318" s="1500">
        <v>77098</v>
      </c>
      <c r="E318" s="1507">
        <f t="shared" si="15"/>
        <v>2.696006606814616E-2</v>
      </c>
    </row>
    <row r="319" spans="1:5">
      <c r="A319" s="209">
        <f t="shared" si="12"/>
        <v>2021.1</v>
      </c>
      <c r="B319" s="1489">
        <v>139.6</v>
      </c>
      <c r="C319" s="1493">
        <f t="shared" si="14"/>
        <v>2.4211298606016118E-2</v>
      </c>
      <c r="D319" s="1500">
        <v>79623</v>
      </c>
      <c r="E319" s="1507">
        <f t="shared" si="15"/>
        <v>3.2750525305455414E-2</v>
      </c>
    </row>
    <row r="320" spans="1:5">
      <c r="A320" s="209">
        <f t="shared" si="12"/>
        <v>2021.11</v>
      </c>
      <c r="B320" s="1489">
        <v>143.19999999999999</v>
      </c>
      <c r="C320" s="1493">
        <f t="shared" si="14"/>
        <v>2.5787965616045794E-2</v>
      </c>
      <c r="D320" s="1500">
        <v>82157</v>
      </c>
      <c r="E320" s="1507">
        <f t="shared" si="15"/>
        <v>3.1824975195609229E-2</v>
      </c>
    </row>
    <row r="321" spans="1:6">
      <c r="A321" s="209">
        <f t="shared" si="12"/>
        <v>2021.12</v>
      </c>
      <c r="B321" s="1489">
        <v>148.1</v>
      </c>
      <c r="C321" s="1493">
        <f t="shared" si="14"/>
        <v>3.4217877094972149E-2</v>
      </c>
      <c r="D321" s="1500">
        <v>84248</v>
      </c>
      <c r="E321" s="1507">
        <f t="shared" si="15"/>
        <v>2.5451270129142944E-2</v>
      </c>
    </row>
    <row r="322" spans="1:6">
      <c r="A322" s="209">
        <f t="shared" si="12"/>
        <v>2022.01</v>
      </c>
      <c r="B322" s="1489">
        <v>153</v>
      </c>
      <c r="C322" s="1493">
        <f t="shared" si="14"/>
        <v>3.3085752869682628E-2</v>
      </c>
      <c r="D322" s="1500">
        <v>89131</v>
      </c>
      <c r="E322" s="1507">
        <f t="shared" si="15"/>
        <v>5.7959832874370898E-2</v>
      </c>
    </row>
    <row r="323" spans="1:6">
      <c r="A323" s="209">
        <f t="shared" si="12"/>
        <v>2022.02</v>
      </c>
      <c r="B323" s="1489">
        <v>161.1</v>
      </c>
      <c r="C323" s="1493">
        <f t="shared" si="14"/>
        <v>5.2941176470588269E-2</v>
      </c>
      <c r="D323" s="1500">
        <v>95441</v>
      </c>
      <c r="E323" s="1507">
        <f>D323/D322-1</f>
        <v>7.0794673009390685E-2</v>
      </c>
    </row>
    <row r="324" spans="1:6">
      <c r="A324" s="209">
        <f t="shared" si="12"/>
        <v>2022.03</v>
      </c>
      <c r="B324" s="1489">
        <v>169.7</v>
      </c>
      <c r="C324" s="1493">
        <f t="shared" si="14"/>
        <v>5.3382991930478019E-2</v>
      </c>
      <c r="D324" s="1500">
        <v>100749</v>
      </c>
      <c r="E324" s="1507">
        <f t="shared" si="15"/>
        <v>5.5615511153487507E-2</v>
      </c>
    </row>
    <row r="325" spans="1:6">
      <c r="A325" s="209">
        <f t="shared" si="12"/>
        <v>2022.04</v>
      </c>
      <c r="B325" s="1489">
        <v>176.3</v>
      </c>
      <c r="C325" s="1493">
        <f t="shared" si="14"/>
        <v>3.8892162639952987E-2</v>
      </c>
      <c r="D325" s="1500">
        <v>106340</v>
      </c>
      <c r="E325" s="1507">
        <f t="shared" si="15"/>
        <v>5.5494347338435057E-2</v>
      </c>
    </row>
    <row r="326" spans="1:6">
      <c r="A326" s="209">
        <f t="shared" si="12"/>
        <v>2022.05</v>
      </c>
      <c r="B326" s="1489">
        <v>186.5</v>
      </c>
      <c r="C326" s="1493">
        <f t="shared" si="14"/>
        <v>5.7855927396483153E-2</v>
      </c>
      <c r="D326" s="1500">
        <v>112480</v>
      </c>
      <c r="E326" s="1507">
        <f t="shared" si="15"/>
        <v>5.7739326687981984E-2</v>
      </c>
    </row>
    <row r="327" spans="1:6">
      <c r="A327" s="209">
        <f t="shared" si="12"/>
        <v>2022.06</v>
      </c>
      <c r="B327" s="1489">
        <v>196.4</v>
      </c>
      <c r="C327" s="1493">
        <f t="shared" si="14"/>
        <v>5.3083109919570992E-2</v>
      </c>
      <c r="D327" s="1500">
        <v>117202</v>
      </c>
      <c r="E327" s="1507">
        <f t="shared" si="15"/>
        <v>4.1980796586059688E-2</v>
      </c>
    </row>
    <row r="328" spans="1:6">
      <c r="A328" s="209">
        <f t="shared" si="12"/>
        <v>2022.07</v>
      </c>
      <c r="B328" s="1489">
        <v>208.5</v>
      </c>
      <c r="C328" s="1493">
        <f t="shared" si="14"/>
        <v>6.1608961303462273E-2</v>
      </c>
      <c r="D328" s="1500">
        <v>125993</v>
      </c>
      <c r="E328" s="1507">
        <f t="shared" si="15"/>
        <v>7.5007252435965288E-2</v>
      </c>
    </row>
    <row r="329" spans="1:6">
      <c r="A329" s="209">
        <f t="shared" si="12"/>
        <v>2022.08</v>
      </c>
      <c r="B329" s="1489">
        <v>219.6</v>
      </c>
      <c r="C329" s="1493">
        <f t="shared" si="14"/>
        <v>5.3237410071942382E-2</v>
      </c>
      <c r="D329" s="1500">
        <v>133656</v>
      </c>
      <c r="E329" s="1507">
        <f t="shared" si="15"/>
        <v>6.0820839252974324E-2</v>
      </c>
      <c r="F329" s="35"/>
    </row>
    <row r="330" spans="1:6">
      <c r="A330" s="209">
        <f t="shared" si="12"/>
        <v>2022.09</v>
      </c>
      <c r="B330" s="1489">
        <v>236.1</v>
      </c>
      <c r="C330" s="1493">
        <f t="shared" si="14"/>
        <v>7.5136612021857951E-2</v>
      </c>
      <c r="D330" s="1500">
        <v>145880</v>
      </c>
      <c r="E330" s="1507">
        <f t="shared" si="15"/>
        <v>9.1458670018555122E-2</v>
      </c>
      <c r="F330" s="35"/>
    </row>
    <row r="331" spans="1:6">
      <c r="A331" s="209">
        <f t="shared" si="12"/>
        <v>2022.1</v>
      </c>
      <c r="B331" s="1489">
        <v>251.9</v>
      </c>
      <c r="C331" s="1493">
        <f t="shared" si="14"/>
        <v>6.6920796272765815E-2</v>
      </c>
      <c r="D331" s="1500">
        <v>154143</v>
      </c>
      <c r="E331" s="1507">
        <f t="shared" si="15"/>
        <v>5.6642445845900724E-2</v>
      </c>
      <c r="F331" s="35"/>
    </row>
    <row r="332" spans="1:6">
      <c r="A332" s="209">
        <f t="shared" si="12"/>
        <v>2022.11</v>
      </c>
      <c r="B332" s="1489">
        <v>262.5</v>
      </c>
      <c r="C332" s="1493">
        <f t="shared" si="14"/>
        <v>4.2080190551806229E-2</v>
      </c>
      <c r="D332" s="1500">
        <v>160568</v>
      </c>
      <c r="E332" s="1507">
        <f t="shared" si="15"/>
        <v>4.1682074437373151E-2</v>
      </c>
      <c r="F332" s="35"/>
    </row>
    <row r="333" spans="1:6">
      <c r="A333" s="209">
        <f t="shared" si="12"/>
        <v>2022.12</v>
      </c>
      <c r="B333" s="1489">
        <v>275.10000000000002</v>
      </c>
      <c r="C333" s="1493">
        <f t="shared" si="14"/>
        <v>4.8000000000000043E-2</v>
      </c>
      <c r="D333" s="1500">
        <v>166153</v>
      </c>
      <c r="E333" s="1507">
        <f t="shared" si="15"/>
        <v>3.4782771162373605E-2</v>
      </c>
      <c r="F333" s="35"/>
    </row>
    <row r="334" spans="1:6">
      <c r="A334" s="209">
        <f t="shared" si="12"/>
        <v>2023.01</v>
      </c>
      <c r="B334" s="1489">
        <v>293</v>
      </c>
      <c r="C334" s="1493">
        <f t="shared" si="14"/>
        <v>6.5067248273354972E-2</v>
      </c>
      <c r="D334" s="1500">
        <v>177443</v>
      </c>
      <c r="E334" s="1507">
        <f t="shared" si="15"/>
        <v>6.7949420112787706E-2</v>
      </c>
      <c r="F334" s="35"/>
    </row>
    <row r="335" spans="1:6">
      <c r="A335" s="209">
        <f t="shared" si="12"/>
        <v>2023.02</v>
      </c>
      <c r="B335" s="1489">
        <v>311.10000000000002</v>
      </c>
      <c r="C335" s="1493">
        <f t="shared" si="14"/>
        <v>6.1774744027303763E-2</v>
      </c>
      <c r="D335" s="1500">
        <v>189542</v>
      </c>
      <c r="E335" s="1507">
        <f t="shared" si="15"/>
        <v>6.8185276398618155E-2</v>
      </c>
      <c r="F335" s="35"/>
    </row>
    <row r="336" spans="1:6">
      <c r="A336" s="209">
        <f t="shared" si="12"/>
        <v>2023.03</v>
      </c>
      <c r="B336" s="1489">
        <v>336.3</v>
      </c>
      <c r="C336" s="1493">
        <f t="shared" si="14"/>
        <v>8.1002892960462924E-2</v>
      </c>
      <c r="D336" s="1500">
        <v>203402</v>
      </c>
      <c r="E336" s="1507">
        <f t="shared" si="15"/>
        <v>7.3123634867206189E-2</v>
      </c>
      <c r="F336" s="35"/>
    </row>
    <row r="337" spans="1:6">
      <c r="A337" s="209">
        <f t="shared" si="12"/>
        <v>2023.04</v>
      </c>
      <c r="B337" s="1489">
        <v>363.6</v>
      </c>
      <c r="C337" s="1493">
        <f t="shared" si="14"/>
        <v>8.1177520071364917E-2</v>
      </c>
      <c r="D337" s="1500">
        <v>222648</v>
      </c>
      <c r="E337" s="1507">
        <f t="shared" si="15"/>
        <v>9.4620505206438388E-2</v>
      </c>
      <c r="F337" s="35"/>
    </row>
    <row r="338" spans="1:6">
      <c r="A338" s="209">
        <f t="shared" si="12"/>
        <v>2023.05</v>
      </c>
      <c r="B338" s="1489">
        <v>388.3</v>
      </c>
      <c r="C338" s="1493">
        <f t="shared" si="14"/>
        <v>6.7931793179317967E-2</v>
      </c>
      <c r="D338" s="1500">
        <v>238688</v>
      </c>
      <c r="E338" s="1507">
        <f t="shared" si="15"/>
        <v>7.20419675900974E-2</v>
      </c>
      <c r="F338" s="35"/>
    </row>
    <row r="339" spans="1:6">
      <c r="A339" s="209">
        <f t="shared" si="12"/>
        <v>2023.06</v>
      </c>
      <c r="B339" s="1489">
        <v>412.2</v>
      </c>
      <c r="C339" s="1493">
        <f t="shared" si="14"/>
        <v>6.1550347669327765E-2</v>
      </c>
      <c r="D339" s="1500">
        <v>252889</v>
      </c>
      <c r="E339" s="1507">
        <f t="shared" si="15"/>
        <v>5.9496078562810029E-2</v>
      </c>
      <c r="F339" s="35"/>
    </row>
    <row r="340" spans="1:6">
      <c r="A340" s="209">
        <f t="shared" si="12"/>
        <v>2023.07</v>
      </c>
      <c r="B340" s="1489">
        <v>437.3</v>
      </c>
      <c r="C340" s="1493">
        <f t="shared" si="14"/>
        <v>6.0892770499757498E-2</v>
      </c>
      <c r="D340" s="1500">
        <v>266154</v>
      </c>
      <c r="E340" s="1507">
        <f t="shared" si="15"/>
        <v>5.2453843385833254E-2</v>
      </c>
      <c r="F340" s="35"/>
    </row>
    <row r="341" spans="1:6">
      <c r="A341" s="209">
        <f t="shared" si="12"/>
        <v>2023.08</v>
      </c>
      <c r="B341" s="1489">
        <v>482.5</v>
      </c>
      <c r="C341" s="1493">
        <f t="shared" si="14"/>
        <v>0.10336153670249248</v>
      </c>
      <c r="D341" s="1500">
        <v>304398</v>
      </c>
      <c r="E341" s="1507">
        <f t="shared" si="15"/>
        <v>0.14369124642124476</v>
      </c>
    </row>
    <row r="342" spans="1:6">
      <c r="A342" s="209">
        <f t="shared" si="12"/>
        <v>2023.09</v>
      </c>
      <c r="B342" s="1489">
        <v>538.1</v>
      </c>
      <c r="C342" s="1493">
        <f t="shared" si="14"/>
        <v>0.11523316062176181</v>
      </c>
      <c r="D342" s="1500">
        <v>341259</v>
      </c>
      <c r="E342" s="1507">
        <f t="shared" si="15"/>
        <v>0.12109475095105759</v>
      </c>
    </row>
    <row r="343" spans="1:6">
      <c r="A343" s="209">
        <f t="shared" si="12"/>
        <v>2023.1</v>
      </c>
      <c r="B343" s="1489">
        <v>581.9</v>
      </c>
      <c r="C343" s="1493">
        <f t="shared" si="14"/>
        <v>8.139750975655069E-2</v>
      </c>
      <c r="D343" s="1500">
        <v>369439</v>
      </c>
      <c r="E343" s="1507">
        <f t="shared" si="15"/>
        <v>8.2576576734972651E-2</v>
      </c>
    </row>
    <row r="344" spans="1:6">
      <c r="A344" s="209">
        <f t="shared" si="12"/>
        <v>2023.11</v>
      </c>
      <c r="B344" s="1489">
        <v>649.5</v>
      </c>
      <c r="C344" s="1493">
        <f t="shared" si="14"/>
        <v>0.11617116343014278</v>
      </c>
      <c r="D344" s="1500">
        <v>410089</v>
      </c>
      <c r="E344" s="1507">
        <f t="shared" si="15"/>
        <v>0.11003169670771085</v>
      </c>
    </row>
    <row r="345" spans="1:6">
      <c r="A345" s="209">
        <f t="shared" si="12"/>
        <v>2023.12</v>
      </c>
      <c r="B345" s="1489">
        <v>819</v>
      </c>
      <c r="C345" s="1493">
        <f t="shared" si="14"/>
        <v>0.26096997690531176</v>
      </c>
      <c r="D345" s="1500">
        <v>560822</v>
      </c>
      <c r="E345" s="1507">
        <f t="shared" si="15"/>
        <v>0.3675616756362643</v>
      </c>
    </row>
    <row r="346" spans="1:6">
      <c r="A346" s="209">
        <f t="shared" si="12"/>
        <v>2024.01</v>
      </c>
      <c r="B346" s="1489">
        <v>1005.2</v>
      </c>
      <c r="C346" s="1493">
        <f t="shared" si="14"/>
        <v>0.22735042735042743</v>
      </c>
      <c r="D346" s="1500">
        <v>652138</v>
      </c>
      <c r="E346" s="1507">
        <f t="shared" si="15"/>
        <v>0.16282528146185427</v>
      </c>
    </row>
    <row r="347" spans="1:6">
      <c r="A347" s="209">
        <f t="shared" si="12"/>
        <v>2024.02</v>
      </c>
      <c r="B347" s="1489">
        <v>1151.4000000000001</v>
      </c>
      <c r="C347" s="1493">
        <f t="shared" si="14"/>
        <v>0.14544369279745317</v>
      </c>
      <c r="D347" s="1500">
        <v>747764</v>
      </c>
      <c r="E347" s="1507">
        <f t="shared" si="15"/>
        <v>0.14663460801241457</v>
      </c>
    </row>
    <row r="348" spans="1:6">
      <c r="A348" s="209">
        <f t="shared" si="12"/>
        <v>2024.03</v>
      </c>
      <c r="B348" s="1489">
        <v>1306.3</v>
      </c>
      <c r="C348" s="1493">
        <f t="shared" si="14"/>
        <v>0.13453187424005542</v>
      </c>
      <c r="D348" s="1500">
        <v>857312</v>
      </c>
      <c r="E348" s="1507">
        <f t="shared" si="15"/>
        <v>0.14650076762186992</v>
      </c>
    </row>
    <row r="349" spans="1:6">
      <c r="A349" s="209">
        <f t="shared" si="12"/>
        <v>2024.04</v>
      </c>
      <c r="B349" s="1489">
        <v>1422.9</v>
      </c>
      <c r="C349" s="1493">
        <f t="shared" si="14"/>
        <v>8.925974125392333E-2</v>
      </c>
      <c r="D349" s="1501" t="e">
        <v>#N/A</v>
      </c>
      <c r="E349" s="1507" t="e">
        <f t="shared" si="15"/>
        <v>#N/A</v>
      </c>
    </row>
    <row r="350" spans="1:6">
      <c r="A350" s="209">
        <f t="shared" si="12"/>
        <v>2024.05</v>
      </c>
      <c r="B350" s="1489" t="e">
        <v>#N/A</v>
      </c>
      <c r="C350" s="1493" t="e">
        <f t="shared" si="14"/>
        <v>#N/A</v>
      </c>
      <c r="D350" s="1501" t="e">
        <v>#N/A</v>
      </c>
      <c r="E350" s="1507" t="e">
        <f t="shared" si="15"/>
        <v>#N/A</v>
      </c>
    </row>
    <row r="351" spans="1:6">
      <c r="A351" s="209">
        <f t="shared" si="12"/>
        <v>2024.06</v>
      </c>
      <c r="B351" s="1489" t="e">
        <v>#N/A</v>
      </c>
      <c r="C351" s="1493" t="e">
        <f t="shared" si="14"/>
        <v>#N/A</v>
      </c>
      <c r="D351" s="1501" t="e">
        <v>#N/A</v>
      </c>
      <c r="E351" s="1507" t="e">
        <f t="shared" si="15"/>
        <v>#N/A</v>
      </c>
    </row>
    <row r="352" spans="1:6">
      <c r="A352" s="209">
        <f t="shared" si="12"/>
        <v>2024.07</v>
      </c>
      <c r="B352" s="1489" t="e">
        <v>#N/A</v>
      </c>
      <c r="C352" s="1493" t="e">
        <f t="shared" si="14"/>
        <v>#N/A</v>
      </c>
      <c r="D352" s="1501" t="e">
        <v>#N/A</v>
      </c>
      <c r="E352" s="1507" t="e">
        <f t="shared" si="15"/>
        <v>#N/A</v>
      </c>
    </row>
    <row r="353" spans="1:5">
      <c r="A353" s="209">
        <f t="shared" si="12"/>
        <v>2024.08</v>
      </c>
      <c r="B353" s="1489" t="e">
        <v>#N/A</v>
      </c>
      <c r="C353" s="1493" t="e">
        <f t="shared" si="14"/>
        <v>#N/A</v>
      </c>
      <c r="D353" s="1501" t="e">
        <v>#N/A</v>
      </c>
      <c r="E353" s="1507" t="e">
        <f t="shared" si="15"/>
        <v>#N/A</v>
      </c>
    </row>
    <row r="354" spans="1:5">
      <c r="A354" s="209">
        <f t="shared" si="12"/>
        <v>2024.09</v>
      </c>
      <c r="B354" s="1489" t="e">
        <v>#N/A</v>
      </c>
      <c r="C354" s="1493" t="e">
        <f t="shared" si="14"/>
        <v>#N/A</v>
      </c>
      <c r="D354" s="1501" t="e">
        <v>#N/A</v>
      </c>
      <c r="E354" s="1507" t="e">
        <f t="shared" si="15"/>
        <v>#N/A</v>
      </c>
    </row>
    <row r="355" spans="1:5">
      <c r="A355" s="209">
        <f t="shared" si="12"/>
        <v>2024.1</v>
      </c>
      <c r="B355" s="1489" t="e">
        <v>#N/A</v>
      </c>
      <c r="C355" s="1493" t="e">
        <f t="shared" si="14"/>
        <v>#N/A</v>
      </c>
      <c r="D355" s="1501" t="e">
        <v>#N/A</v>
      </c>
      <c r="E355" s="1507" t="e">
        <f t="shared" si="15"/>
        <v>#N/A</v>
      </c>
    </row>
    <row r="356" spans="1:5">
      <c r="A356" s="209">
        <f t="shared" si="12"/>
        <v>2024.11</v>
      </c>
      <c r="B356" s="1489" t="e">
        <v>#N/A</v>
      </c>
      <c r="C356" s="1493" t="e">
        <f t="shared" si="14"/>
        <v>#N/A</v>
      </c>
      <c r="D356" s="1501" t="e">
        <v>#N/A</v>
      </c>
      <c r="E356" s="1507" t="e">
        <f t="shared" si="15"/>
        <v>#N/A</v>
      </c>
    </row>
    <row r="357" spans="1:5">
      <c r="A357" s="209">
        <f t="shared" si="12"/>
        <v>2024.12</v>
      </c>
      <c r="B357" s="1489" t="e">
        <v>#N/A</v>
      </c>
      <c r="C357" s="1493" t="e">
        <f t="shared" si="14"/>
        <v>#N/A</v>
      </c>
      <c r="D357" s="1501" t="e">
        <v>#N/A</v>
      </c>
      <c r="E357" s="1507" t="e">
        <f t="shared" si="15"/>
        <v>#N/A</v>
      </c>
    </row>
    <row r="358" spans="1:5">
      <c r="A358" s="209">
        <f t="shared" ref="A358:A369" si="16">A346+1</f>
        <v>2025.01</v>
      </c>
      <c r="B358" s="1489" t="e">
        <v>#N/A</v>
      </c>
      <c r="C358" s="1493" t="e">
        <f t="shared" si="14"/>
        <v>#N/A</v>
      </c>
      <c r="D358" s="1501" t="e">
        <v>#N/A</v>
      </c>
      <c r="E358" s="1507" t="e">
        <f t="shared" si="15"/>
        <v>#N/A</v>
      </c>
    </row>
    <row r="359" spans="1:5">
      <c r="A359" s="209">
        <f t="shared" si="16"/>
        <v>2025.02</v>
      </c>
      <c r="B359" s="1489" t="e">
        <v>#N/A</v>
      </c>
      <c r="C359" s="1493" t="e">
        <f t="shared" si="14"/>
        <v>#N/A</v>
      </c>
      <c r="D359" s="1501" t="e">
        <v>#N/A</v>
      </c>
      <c r="E359" s="1507" t="e">
        <f t="shared" si="15"/>
        <v>#N/A</v>
      </c>
    </row>
    <row r="360" spans="1:5">
      <c r="A360" s="209">
        <f t="shared" si="16"/>
        <v>2025.03</v>
      </c>
      <c r="B360" s="1489" t="e">
        <v>#N/A</v>
      </c>
      <c r="C360" s="1493" t="e">
        <f t="shared" si="14"/>
        <v>#N/A</v>
      </c>
      <c r="D360" s="1501" t="e">
        <v>#N/A</v>
      </c>
      <c r="E360" s="1507" t="e">
        <f t="shared" si="15"/>
        <v>#N/A</v>
      </c>
    </row>
    <row r="361" spans="1:5">
      <c r="A361" s="209">
        <f t="shared" si="16"/>
        <v>2025.04</v>
      </c>
      <c r="B361" s="1489" t="e">
        <v>#N/A</v>
      </c>
      <c r="C361" s="1493" t="e">
        <f t="shared" si="14"/>
        <v>#N/A</v>
      </c>
      <c r="D361" s="1501" t="e">
        <v>#N/A</v>
      </c>
      <c r="E361" s="1507" t="e">
        <f t="shared" si="15"/>
        <v>#N/A</v>
      </c>
    </row>
    <row r="362" spans="1:5">
      <c r="A362" s="209">
        <f t="shared" si="16"/>
        <v>2025.05</v>
      </c>
      <c r="B362" s="1489" t="e">
        <v>#N/A</v>
      </c>
      <c r="C362" s="1493" t="e">
        <f t="shared" si="14"/>
        <v>#N/A</v>
      </c>
      <c r="D362" s="1501" t="e">
        <v>#N/A</v>
      </c>
      <c r="E362" s="1507" t="e">
        <f t="shared" si="15"/>
        <v>#N/A</v>
      </c>
    </row>
    <row r="363" spans="1:5">
      <c r="A363" s="209">
        <f t="shared" si="16"/>
        <v>2025.06</v>
      </c>
      <c r="B363" s="1489" t="e">
        <v>#N/A</v>
      </c>
      <c r="C363" s="1493" t="e">
        <f t="shared" si="14"/>
        <v>#N/A</v>
      </c>
      <c r="D363" s="1501" t="e">
        <v>#N/A</v>
      </c>
      <c r="E363" s="1507" t="e">
        <f t="shared" si="15"/>
        <v>#N/A</v>
      </c>
    </row>
    <row r="364" spans="1:5">
      <c r="A364" s="209">
        <f t="shared" si="16"/>
        <v>2025.07</v>
      </c>
      <c r="B364" s="1489" t="e">
        <v>#N/A</v>
      </c>
      <c r="C364" s="1493" t="e">
        <f t="shared" si="14"/>
        <v>#N/A</v>
      </c>
      <c r="D364" s="1501" t="e">
        <v>#N/A</v>
      </c>
      <c r="E364" s="1507" t="e">
        <f t="shared" si="15"/>
        <v>#N/A</v>
      </c>
    </row>
    <row r="365" spans="1:5">
      <c r="A365" s="209">
        <f t="shared" si="16"/>
        <v>2025.08</v>
      </c>
      <c r="B365" s="1489" t="e">
        <v>#N/A</v>
      </c>
      <c r="C365" s="1493" t="e">
        <f t="shared" si="14"/>
        <v>#N/A</v>
      </c>
      <c r="D365" s="1501" t="e">
        <v>#N/A</v>
      </c>
      <c r="E365" s="1507" t="e">
        <f t="shared" si="15"/>
        <v>#N/A</v>
      </c>
    </row>
    <row r="366" spans="1:5">
      <c r="A366" s="209">
        <f t="shared" si="16"/>
        <v>2025.09</v>
      </c>
      <c r="B366" s="1489" t="e">
        <v>#N/A</v>
      </c>
      <c r="C366" s="1493" t="e">
        <f t="shared" si="14"/>
        <v>#N/A</v>
      </c>
      <c r="D366" s="1501" t="e">
        <v>#N/A</v>
      </c>
      <c r="E366" s="1507" t="e">
        <f t="shared" si="15"/>
        <v>#N/A</v>
      </c>
    </row>
    <row r="367" spans="1:5">
      <c r="A367" s="209">
        <f t="shared" si="16"/>
        <v>2025.1</v>
      </c>
      <c r="B367" s="1489" t="e">
        <v>#N/A</v>
      </c>
      <c r="C367" s="1493" t="e">
        <f t="shared" si="14"/>
        <v>#N/A</v>
      </c>
      <c r="D367" s="1501" t="e">
        <v>#N/A</v>
      </c>
      <c r="E367" s="1507" t="e">
        <f t="shared" si="15"/>
        <v>#N/A</v>
      </c>
    </row>
    <row r="368" spans="1:5">
      <c r="A368" s="209">
        <f t="shared" si="16"/>
        <v>2025.11</v>
      </c>
      <c r="B368" s="1489" t="e">
        <v>#N/A</v>
      </c>
      <c r="C368" s="1493" t="e">
        <f t="shared" si="14"/>
        <v>#N/A</v>
      </c>
      <c r="D368" s="1501" t="e">
        <v>#N/A</v>
      </c>
      <c r="E368" s="1507" t="e">
        <f t="shared" si="15"/>
        <v>#N/A</v>
      </c>
    </row>
    <row r="369" spans="1:5">
      <c r="A369" s="209">
        <f t="shared" si="16"/>
        <v>2025.12</v>
      </c>
      <c r="B369" s="1489" t="e">
        <v>#N/A</v>
      </c>
      <c r="C369" s="1493" t="e">
        <f t="shared" si="14"/>
        <v>#N/A</v>
      </c>
      <c r="D369" s="1501" t="e">
        <v>#N/A</v>
      </c>
      <c r="E369" s="1507" t="e">
        <f t="shared" si="15"/>
        <v>#N/A</v>
      </c>
    </row>
    <row r="370" spans="1:5">
      <c r="A370" s="2765">
        <v>2026.01</v>
      </c>
      <c r="B370" s="1489" t="e">
        <v>#N/A</v>
      </c>
      <c r="C370" s="1493" t="e">
        <f t="shared" ref="C370:C429" si="17">B370/B369-1</f>
        <v>#N/A</v>
      </c>
      <c r="D370" s="1501" t="e">
        <v>#N/A</v>
      </c>
      <c r="E370" s="1507" t="e">
        <f t="shared" ref="E370:E429" si="18">D370/D369-1</f>
        <v>#N/A</v>
      </c>
    </row>
    <row r="371" spans="1:5">
      <c r="A371" s="2765">
        <v>2026.02</v>
      </c>
      <c r="B371" s="1489" t="e">
        <v>#N/A</v>
      </c>
      <c r="C371" s="1493" t="e">
        <f t="shared" si="17"/>
        <v>#N/A</v>
      </c>
      <c r="D371" s="1501" t="e">
        <v>#N/A</v>
      </c>
      <c r="E371" s="1507" t="e">
        <f t="shared" si="18"/>
        <v>#N/A</v>
      </c>
    </row>
    <row r="372" spans="1:5">
      <c r="A372" s="2765">
        <v>2026.03</v>
      </c>
      <c r="B372" s="1489" t="e">
        <v>#N/A</v>
      </c>
      <c r="C372" s="1493" t="e">
        <f t="shared" si="17"/>
        <v>#N/A</v>
      </c>
      <c r="D372" s="1501" t="e">
        <v>#N/A</v>
      </c>
      <c r="E372" s="1507" t="e">
        <f t="shared" si="18"/>
        <v>#N/A</v>
      </c>
    </row>
    <row r="373" spans="1:5">
      <c r="A373" s="2765">
        <v>2026.04</v>
      </c>
      <c r="B373" s="1489" t="e">
        <v>#N/A</v>
      </c>
      <c r="C373" s="1493" t="e">
        <f t="shared" si="17"/>
        <v>#N/A</v>
      </c>
      <c r="D373" s="1501" t="e">
        <v>#N/A</v>
      </c>
      <c r="E373" s="1507" t="e">
        <f t="shared" si="18"/>
        <v>#N/A</v>
      </c>
    </row>
    <row r="374" spans="1:5">
      <c r="A374" s="2765">
        <v>2026.05</v>
      </c>
      <c r="B374" s="1489" t="e">
        <v>#N/A</v>
      </c>
      <c r="C374" s="1493" t="e">
        <f t="shared" si="17"/>
        <v>#N/A</v>
      </c>
      <c r="D374" s="1501" t="e">
        <v>#N/A</v>
      </c>
      <c r="E374" s="1507" t="e">
        <f t="shared" si="18"/>
        <v>#N/A</v>
      </c>
    </row>
    <row r="375" spans="1:5">
      <c r="A375" s="2765">
        <v>2026.06</v>
      </c>
      <c r="B375" s="1489" t="e">
        <v>#N/A</v>
      </c>
      <c r="C375" s="1493" t="e">
        <f t="shared" si="17"/>
        <v>#N/A</v>
      </c>
      <c r="D375" s="1501" t="e">
        <v>#N/A</v>
      </c>
      <c r="E375" s="1507" t="e">
        <f t="shared" si="18"/>
        <v>#N/A</v>
      </c>
    </row>
    <row r="376" spans="1:5">
      <c r="A376" s="2765">
        <v>2026.07</v>
      </c>
      <c r="B376" s="1489" t="e">
        <v>#N/A</v>
      </c>
      <c r="C376" s="1493" t="e">
        <f t="shared" si="17"/>
        <v>#N/A</v>
      </c>
      <c r="D376" s="1501" t="e">
        <v>#N/A</v>
      </c>
      <c r="E376" s="1507" t="e">
        <f t="shared" si="18"/>
        <v>#N/A</v>
      </c>
    </row>
    <row r="377" spans="1:5">
      <c r="A377" s="2765">
        <v>2026.08</v>
      </c>
      <c r="B377" s="1489" t="e">
        <v>#N/A</v>
      </c>
      <c r="C377" s="1493" t="e">
        <f t="shared" si="17"/>
        <v>#N/A</v>
      </c>
      <c r="D377" s="1501" t="e">
        <v>#N/A</v>
      </c>
      <c r="E377" s="1507" t="e">
        <f t="shared" si="18"/>
        <v>#N/A</v>
      </c>
    </row>
    <row r="378" spans="1:5">
      <c r="A378" s="2765">
        <v>2026.09</v>
      </c>
      <c r="B378" s="1489" t="e">
        <v>#N/A</v>
      </c>
      <c r="C378" s="1493" t="e">
        <f t="shared" si="17"/>
        <v>#N/A</v>
      </c>
      <c r="D378" s="1501" t="e">
        <v>#N/A</v>
      </c>
      <c r="E378" s="1507" t="e">
        <f t="shared" si="18"/>
        <v>#N/A</v>
      </c>
    </row>
    <row r="379" spans="1:5">
      <c r="A379" s="2765">
        <v>2026.1</v>
      </c>
      <c r="B379" s="1489" t="e">
        <v>#N/A</v>
      </c>
      <c r="C379" s="1493" t="e">
        <f t="shared" si="17"/>
        <v>#N/A</v>
      </c>
      <c r="D379" s="1501" t="e">
        <v>#N/A</v>
      </c>
      <c r="E379" s="1507" t="e">
        <f t="shared" si="18"/>
        <v>#N/A</v>
      </c>
    </row>
    <row r="380" spans="1:5">
      <c r="A380" s="2765">
        <v>2026.11</v>
      </c>
      <c r="B380" s="1489" t="e">
        <v>#N/A</v>
      </c>
      <c r="C380" s="1493" t="e">
        <f t="shared" si="17"/>
        <v>#N/A</v>
      </c>
      <c r="D380" s="1501" t="e">
        <v>#N/A</v>
      </c>
      <c r="E380" s="1507" t="e">
        <f t="shared" si="18"/>
        <v>#N/A</v>
      </c>
    </row>
    <row r="381" spans="1:5">
      <c r="A381" s="2765">
        <v>2026.12</v>
      </c>
      <c r="B381" s="1489" t="e">
        <v>#N/A</v>
      </c>
      <c r="C381" s="1493" t="e">
        <f t="shared" si="17"/>
        <v>#N/A</v>
      </c>
      <c r="D381" s="1501" t="e">
        <v>#N/A</v>
      </c>
      <c r="E381" s="1507" t="e">
        <f t="shared" si="18"/>
        <v>#N/A</v>
      </c>
    </row>
    <row r="382" spans="1:5">
      <c r="A382" s="2765">
        <v>2027.01</v>
      </c>
      <c r="B382" s="1489" t="e">
        <v>#N/A</v>
      </c>
      <c r="C382" s="1493" t="e">
        <f t="shared" si="17"/>
        <v>#N/A</v>
      </c>
      <c r="D382" s="1501" t="e">
        <v>#N/A</v>
      </c>
      <c r="E382" s="1507" t="e">
        <f t="shared" si="18"/>
        <v>#N/A</v>
      </c>
    </row>
    <row r="383" spans="1:5">
      <c r="A383" s="2765">
        <v>2027.02</v>
      </c>
      <c r="B383" s="1489" t="e">
        <v>#N/A</v>
      </c>
      <c r="C383" s="1493" t="e">
        <f t="shared" si="17"/>
        <v>#N/A</v>
      </c>
      <c r="D383" s="1501" t="e">
        <v>#N/A</v>
      </c>
      <c r="E383" s="1507" t="e">
        <f t="shared" si="18"/>
        <v>#N/A</v>
      </c>
    </row>
    <row r="384" spans="1:5">
      <c r="A384" s="2765">
        <v>2027.03</v>
      </c>
      <c r="B384" s="1489" t="e">
        <v>#N/A</v>
      </c>
      <c r="C384" s="1493" t="e">
        <f t="shared" si="17"/>
        <v>#N/A</v>
      </c>
      <c r="D384" s="1501" t="e">
        <v>#N/A</v>
      </c>
      <c r="E384" s="1507" t="e">
        <f t="shared" si="18"/>
        <v>#N/A</v>
      </c>
    </row>
    <row r="385" spans="1:5">
      <c r="A385" s="2765">
        <v>2027.04</v>
      </c>
      <c r="B385" s="1489" t="e">
        <v>#N/A</v>
      </c>
      <c r="C385" s="1493" t="e">
        <f t="shared" si="17"/>
        <v>#N/A</v>
      </c>
      <c r="D385" s="1501" t="e">
        <v>#N/A</v>
      </c>
      <c r="E385" s="1507" t="e">
        <f t="shared" si="18"/>
        <v>#N/A</v>
      </c>
    </row>
    <row r="386" spans="1:5">
      <c r="A386" s="2765">
        <v>2027.05</v>
      </c>
      <c r="B386" s="1489" t="e">
        <v>#N/A</v>
      </c>
      <c r="C386" s="1493" t="e">
        <f t="shared" si="17"/>
        <v>#N/A</v>
      </c>
      <c r="D386" s="1501" t="e">
        <v>#N/A</v>
      </c>
      <c r="E386" s="1507" t="e">
        <f t="shared" si="18"/>
        <v>#N/A</v>
      </c>
    </row>
    <row r="387" spans="1:5">
      <c r="A387" s="2765">
        <v>2027.06</v>
      </c>
      <c r="B387" s="1489" t="e">
        <v>#N/A</v>
      </c>
      <c r="C387" s="1493" t="e">
        <f t="shared" si="17"/>
        <v>#N/A</v>
      </c>
      <c r="D387" s="1501" t="e">
        <v>#N/A</v>
      </c>
      <c r="E387" s="1507" t="e">
        <f t="shared" si="18"/>
        <v>#N/A</v>
      </c>
    </row>
    <row r="388" spans="1:5">
      <c r="A388" s="2765">
        <v>2027.07</v>
      </c>
      <c r="B388" s="1489" t="e">
        <v>#N/A</v>
      </c>
      <c r="C388" s="1493" t="e">
        <f t="shared" si="17"/>
        <v>#N/A</v>
      </c>
      <c r="D388" s="1501" t="e">
        <v>#N/A</v>
      </c>
      <c r="E388" s="1507" t="e">
        <f t="shared" si="18"/>
        <v>#N/A</v>
      </c>
    </row>
    <row r="389" spans="1:5">
      <c r="A389" s="2765">
        <v>2027.08</v>
      </c>
      <c r="B389" s="1489" t="e">
        <v>#N/A</v>
      </c>
      <c r="C389" s="1493" t="e">
        <f t="shared" si="17"/>
        <v>#N/A</v>
      </c>
      <c r="D389" s="1501" t="e">
        <v>#N/A</v>
      </c>
      <c r="E389" s="1507" t="e">
        <f t="shared" si="18"/>
        <v>#N/A</v>
      </c>
    </row>
    <row r="390" spans="1:5">
      <c r="A390" s="2765">
        <v>2027.09</v>
      </c>
      <c r="B390" s="1489" t="e">
        <v>#N/A</v>
      </c>
      <c r="C390" s="1493" t="e">
        <f t="shared" si="17"/>
        <v>#N/A</v>
      </c>
      <c r="D390" s="1501" t="e">
        <v>#N/A</v>
      </c>
      <c r="E390" s="1507" t="e">
        <f t="shared" si="18"/>
        <v>#N/A</v>
      </c>
    </row>
    <row r="391" spans="1:5">
      <c r="A391" s="2765">
        <v>2027.1</v>
      </c>
      <c r="B391" s="1489" t="e">
        <v>#N/A</v>
      </c>
      <c r="C391" s="1493" t="e">
        <f t="shared" si="17"/>
        <v>#N/A</v>
      </c>
      <c r="D391" s="1501" t="e">
        <v>#N/A</v>
      </c>
      <c r="E391" s="1507" t="e">
        <f t="shared" si="18"/>
        <v>#N/A</v>
      </c>
    </row>
    <row r="392" spans="1:5">
      <c r="A392" s="2765">
        <v>2027.11</v>
      </c>
      <c r="B392" s="1489" t="e">
        <v>#N/A</v>
      </c>
      <c r="C392" s="1493" t="e">
        <f t="shared" si="17"/>
        <v>#N/A</v>
      </c>
      <c r="D392" s="1501" t="e">
        <v>#N/A</v>
      </c>
      <c r="E392" s="1507" t="e">
        <f t="shared" si="18"/>
        <v>#N/A</v>
      </c>
    </row>
    <row r="393" spans="1:5">
      <c r="A393" s="2765">
        <v>2027.12</v>
      </c>
      <c r="B393" s="1489" t="e">
        <v>#N/A</v>
      </c>
      <c r="C393" s="1493" t="e">
        <f t="shared" si="17"/>
        <v>#N/A</v>
      </c>
      <c r="D393" s="1501" t="e">
        <v>#N/A</v>
      </c>
      <c r="E393" s="1507" t="e">
        <f t="shared" si="18"/>
        <v>#N/A</v>
      </c>
    </row>
    <row r="394" spans="1:5">
      <c r="A394" s="2765">
        <v>2028.01</v>
      </c>
      <c r="B394" s="1489" t="e">
        <v>#N/A</v>
      </c>
      <c r="C394" s="1493" t="e">
        <f t="shared" si="17"/>
        <v>#N/A</v>
      </c>
      <c r="D394" s="1501" t="e">
        <v>#N/A</v>
      </c>
      <c r="E394" s="1507" t="e">
        <f t="shared" si="18"/>
        <v>#N/A</v>
      </c>
    </row>
    <row r="395" spans="1:5">
      <c r="A395" s="2765">
        <v>2028.02</v>
      </c>
      <c r="B395" s="1489" t="e">
        <v>#N/A</v>
      </c>
      <c r="C395" s="1493" t="e">
        <f t="shared" si="17"/>
        <v>#N/A</v>
      </c>
      <c r="D395" s="1501" t="e">
        <v>#N/A</v>
      </c>
      <c r="E395" s="1507" t="e">
        <f t="shared" si="18"/>
        <v>#N/A</v>
      </c>
    </row>
    <row r="396" spans="1:5">
      <c r="A396" s="2765">
        <v>2028.03</v>
      </c>
      <c r="B396" s="1489" t="e">
        <v>#N/A</v>
      </c>
      <c r="C396" s="1493" t="e">
        <f t="shared" si="17"/>
        <v>#N/A</v>
      </c>
      <c r="D396" s="1501" t="e">
        <v>#N/A</v>
      </c>
      <c r="E396" s="1507" t="e">
        <f t="shared" si="18"/>
        <v>#N/A</v>
      </c>
    </row>
    <row r="397" spans="1:5">
      <c r="A397" s="2765">
        <v>2028.04</v>
      </c>
      <c r="B397" s="1489" t="e">
        <v>#N/A</v>
      </c>
      <c r="C397" s="1493" t="e">
        <f t="shared" si="17"/>
        <v>#N/A</v>
      </c>
      <c r="D397" s="1501" t="e">
        <v>#N/A</v>
      </c>
      <c r="E397" s="1507" t="e">
        <f t="shared" si="18"/>
        <v>#N/A</v>
      </c>
    </row>
    <row r="398" spans="1:5">
      <c r="A398" s="2765">
        <v>2028.05</v>
      </c>
      <c r="B398" s="1489" t="e">
        <v>#N/A</v>
      </c>
      <c r="C398" s="1493" t="e">
        <f t="shared" si="17"/>
        <v>#N/A</v>
      </c>
      <c r="D398" s="1501" t="e">
        <v>#N/A</v>
      </c>
      <c r="E398" s="1507" t="e">
        <f t="shared" si="18"/>
        <v>#N/A</v>
      </c>
    </row>
    <row r="399" spans="1:5">
      <c r="A399" s="2765">
        <v>2028.06</v>
      </c>
      <c r="B399" s="1489" t="e">
        <v>#N/A</v>
      </c>
      <c r="C399" s="1493" t="e">
        <f t="shared" si="17"/>
        <v>#N/A</v>
      </c>
      <c r="D399" s="1501" t="e">
        <v>#N/A</v>
      </c>
      <c r="E399" s="1507" t="e">
        <f t="shared" si="18"/>
        <v>#N/A</v>
      </c>
    </row>
    <row r="400" spans="1:5">
      <c r="A400" s="2765">
        <v>2028.07</v>
      </c>
      <c r="B400" s="1489" t="e">
        <v>#N/A</v>
      </c>
      <c r="C400" s="1493" t="e">
        <f t="shared" si="17"/>
        <v>#N/A</v>
      </c>
      <c r="D400" s="1501" t="e">
        <v>#N/A</v>
      </c>
      <c r="E400" s="1507" t="e">
        <f t="shared" si="18"/>
        <v>#N/A</v>
      </c>
    </row>
    <row r="401" spans="1:5">
      <c r="A401" s="2765">
        <v>2028.08</v>
      </c>
      <c r="B401" s="1489" t="e">
        <v>#N/A</v>
      </c>
      <c r="C401" s="1493" t="e">
        <f t="shared" si="17"/>
        <v>#N/A</v>
      </c>
      <c r="D401" s="1501" t="e">
        <v>#N/A</v>
      </c>
      <c r="E401" s="1507" t="e">
        <f t="shared" si="18"/>
        <v>#N/A</v>
      </c>
    </row>
    <row r="402" spans="1:5">
      <c r="A402" s="2765">
        <v>2028.09</v>
      </c>
      <c r="B402" s="1489" t="e">
        <v>#N/A</v>
      </c>
      <c r="C402" s="1493" t="e">
        <f t="shared" si="17"/>
        <v>#N/A</v>
      </c>
      <c r="D402" s="1501" t="e">
        <v>#N/A</v>
      </c>
      <c r="E402" s="1507" t="e">
        <f t="shared" si="18"/>
        <v>#N/A</v>
      </c>
    </row>
    <row r="403" spans="1:5">
      <c r="A403" s="2765">
        <v>2028.1</v>
      </c>
      <c r="B403" s="1489" t="e">
        <v>#N/A</v>
      </c>
      <c r="C403" s="1493" t="e">
        <f t="shared" si="17"/>
        <v>#N/A</v>
      </c>
      <c r="D403" s="1501" t="e">
        <v>#N/A</v>
      </c>
      <c r="E403" s="1507" t="e">
        <f t="shared" si="18"/>
        <v>#N/A</v>
      </c>
    </row>
    <row r="404" spans="1:5">
      <c r="A404" s="2765">
        <v>2028.11</v>
      </c>
      <c r="B404" s="1489" t="e">
        <v>#N/A</v>
      </c>
      <c r="C404" s="1493" t="e">
        <f t="shared" si="17"/>
        <v>#N/A</v>
      </c>
      <c r="D404" s="1501" t="e">
        <v>#N/A</v>
      </c>
      <c r="E404" s="1507" t="e">
        <f t="shared" si="18"/>
        <v>#N/A</v>
      </c>
    </row>
    <row r="405" spans="1:5">
      <c r="A405" s="2765">
        <v>2028.12</v>
      </c>
      <c r="B405" s="1489" t="e">
        <v>#N/A</v>
      </c>
      <c r="C405" s="1493" t="e">
        <f t="shared" si="17"/>
        <v>#N/A</v>
      </c>
      <c r="D405" s="1501" t="e">
        <v>#N/A</v>
      </c>
      <c r="E405" s="1507" t="e">
        <f t="shared" si="18"/>
        <v>#N/A</v>
      </c>
    </row>
    <row r="406" spans="1:5">
      <c r="A406" s="2765">
        <v>2029.01</v>
      </c>
      <c r="B406" s="1489" t="e">
        <v>#N/A</v>
      </c>
      <c r="C406" s="1493" t="e">
        <f t="shared" si="17"/>
        <v>#N/A</v>
      </c>
      <c r="D406" s="1501" t="e">
        <v>#N/A</v>
      </c>
      <c r="E406" s="1507" t="e">
        <f t="shared" si="18"/>
        <v>#N/A</v>
      </c>
    </row>
    <row r="407" spans="1:5">
      <c r="A407" s="2765">
        <v>2029.02</v>
      </c>
      <c r="B407" s="1489" t="e">
        <v>#N/A</v>
      </c>
      <c r="C407" s="1493" t="e">
        <f t="shared" si="17"/>
        <v>#N/A</v>
      </c>
      <c r="D407" s="1501" t="e">
        <v>#N/A</v>
      </c>
      <c r="E407" s="1507" t="e">
        <f t="shared" si="18"/>
        <v>#N/A</v>
      </c>
    </row>
    <row r="408" spans="1:5">
      <c r="A408" s="2765">
        <v>2029.03</v>
      </c>
      <c r="B408" s="1489" t="e">
        <v>#N/A</v>
      </c>
      <c r="C408" s="1493" t="e">
        <f t="shared" si="17"/>
        <v>#N/A</v>
      </c>
      <c r="D408" s="1501" t="e">
        <v>#N/A</v>
      </c>
      <c r="E408" s="1507" t="e">
        <f t="shared" si="18"/>
        <v>#N/A</v>
      </c>
    </row>
    <row r="409" spans="1:5">
      <c r="A409" s="2765">
        <v>2029.04</v>
      </c>
      <c r="B409" s="1489" t="e">
        <v>#N/A</v>
      </c>
      <c r="C409" s="1493" t="e">
        <f t="shared" si="17"/>
        <v>#N/A</v>
      </c>
      <c r="D409" s="1501" t="e">
        <v>#N/A</v>
      </c>
      <c r="E409" s="1507" t="e">
        <f t="shared" si="18"/>
        <v>#N/A</v>
      </c>
    </row>
    <row r="410" spans="1:5">
      <c r="A410" s="2765">
        <v>2029.05</v>
      </c>
      <c r="B410" s="1489" t="e">
        <v>#N/A</v>
      </c>
      <c r="C410" s="1493" t="e">
        <f t="shared" si="17"/>
        <v>#N/A</v>
      </c>
      <c r="D410" s="1501" t="e">
        <v>#N/A</v>
      </c>
      <c r="E410" s="1507" t="e">
        <f t="shared" si="18"/>
        <v>#N/A</v>
      </c>
    </row>
    <row r="411" spans="1:5">
      <c r="A411" s="2765">
        <v>2029.06</v>
      </c>
      <c r="B411" s="1489" t="e">
        <v>#N/A</v>
      </c>
      <c r="C411" s="1493" t="e">
        <f t="shared" si="17"/>
        <v>#N/A</v>
      </c>
      <c r="D411" s="1501" t="e">
        <v>#N/A</v>
      </c>
      <c r="E411" s="1507" t="e">
        <f t="shared" si="18"/>
        <v>#N/A</v>
      </c>
    </row>
    <row r="412" spans="1:5">
      <c r="A412" s="2765">
        <v>2029.07</v>
      </c>
      <c r="B412" s="1489" t="e">
        <v>#N/A</v>
      </c>
      <c r="C412" s="1493" t="e">
        <f t="shared" si="17"/>
        <v>#N/A</v>
      </c>
      <c r="D412" s="1501" t="e">
        <v>#N/A</v>
      </c>
      <c r="E412" s="1507" t="e">
        <f t="shared" si="18"/>
        <v>#N/A</v>
      </c>
    </row>
    <row r="413" spans="1:5">
      <c r="A413" s="2765">
        <v>2029.08</v>
      </c>
      <c r="B413" s="1489" t="e">
        <v>#N/A</v>
      </c>
      <c r="C413" s="1493" t="e">
        <f t="shared" si="17"/>
        <v>#N/A</v>
      </c>
      <c r="D413" s="1501" t="e">
        <v>#N/A</v>
      </c>
      <c r="E413" s="1507" t="e">
        <f t="shared" si="18"/>
        <v>#N/A</v>
      </c>
    </row>
    <row r="414" spans="1:5">
      <c r="A414" s="2765">
        <v>2029.09</v>
      </c>
      <c r="B414" s="1489" t="e">
        <v>#N/A</v>
      </c>
      <c r="C414" s="1493" t="e">
        <f t="shared" si="17"/>
        <v>#N/A</v>
      </c>
      <c r="D414" s="1501" t="e">
        <v>#N/A</v>
      </c>
      <c r="E414" s="1507" t="e">
        <f t="shared" si="18"/>
        <v>#N/A</v>
      </c>
    </row>
    <row r="415" spans="1:5">
      <c r="A415" s="2765">
        <v>2029.1</v>
      </c>
      <c r="B415" s="1489" t="e">
        <v>#N/A</v>
      </c>
      <c r="C415" s="1493" t="e">
        <f t="shared" si="17"/>
        <v>#N/A</v>
      </c>
      <c r="D415" s="1501" t="e">
        <v>#N/A</v>
      </c>
      <c r="E415" s="1507" t="e">
        <f t="shared" si="18"/>
        <v>#N/A</v>
      </c>
    </row>
    <row r="416" spans="1:5">
      <c r="A416" s="2765">
        <v>2029.11</v>
      </c>
      <c r="B416" s="1489" t="e">
        <v>#N/A</v>
      </c>
      <c r="C416" s="1493" t="e">
        <f t="shared" si="17"/>
        <v>#N/A</v>
      </c>
      <c r="D416" s="1501" t="e">
        <v>#N/A</v>
      </c>
      <c r="E416" s="1507" t="e">
        <f t="shared" si="18"/>
        <v>#N/A</v>
      </c>
    </row>
    <row r="417" spans="1:5">
      <c r="A417" s="2765">
        <v>2029.12</v>
      </c>
      <c r="B417" s="1489" t="e">
        <v>#N/A</v>
      </c>
      <c r="C417" s="1493" t="e">
        <f t="shared" si="17"/>
        <v>#N/A</v>
      </c>
      <c r="D417" s="1501" t="e">
        <v>#N/A</v>
      </c>
      <c r="E417" s="1507" t="e">
        <f t="shared" si="18"/>
        <v>#N/A</v>
      </c>
    </row>
    <row r="418" spans="1:5">
      <c r="A418" s="2765">
        <v>2030.01</v>
      </c>
      <c r="B418" s="1489" t="e">
        <v>#N/A</v>
      </c>
      <c r="C418" s="1493" t="e">
        <f t="shared" si="17"/>
        <v>#N/A</v>
      </c>
      <c r="D418" s="1501" t="e">
        <v>#N/A</v>
      </c>
      <c r="E418" s="1507" t="e">
        <f t="shared" si="18"/>
        <v>#N/A</v>
      </c>
    </row>
    <row r="419" spans="1:5">
      <c r="A419" s="2765">
        <v>2030.02</v>
      </c>
      <c r="B419" s="1489" t="e">
        <v>#N/A</v>
      </c>
      <c r="C419" s="1493" t="e">
        <f t="shared" si="17"/>
        <v>#N/A</v>
      </c>
      <c r="D419" s="1501" t="e">
        <v>#N/A</v>
      </c>
      <c r="E419" s="1507" t="e">
        <f t="shared" si="18"/>
        <v>#N/A</v>
      </c>
    </row>
    <row r="420" spans="1:5">
      <c r="A420" s="2765">
        <v>2030.03</v>
      </c>
      <c r="B420" s="1489" t="e">
        <v>#N/A</v>
      </c>
      <c r="C420" s="1493" t="e">
        <f t="shared" si="17"/>
        <v>#N/A</v>
      </c>
      <c r="D420" s="1501" t="e">
        <v>#N/A</v>
      </c>
      <c r="E420" s="1507" t="e">
        <f t="shared" si="18"/>
        <v>#N/A</v>
      </c>
    </row>
    <row r="421" spans="1:5">
      <c r="A421" s="2765">
        <v>2030.04</v>
      </c>
      <c r="B421" s="1489" t="e">
        <v>#N/A</v>
      </c>
      <c r="C421" s="1493" t="e">
        <f t="shared" si="17"/>
        <v>#N/A</v>
      </c>
      <c r="D421" s="1501" t="e">
        <v>#N/A</v>
      </c>
      <c r="E421" s="1507" t="e">
        <f t="shared" si="18"/>
        <v>#N/A</v>
      </c>
    </row>
    <row r="422" spans="1:5">
      <c r="A422" s="2765">
        <v>2030.05</v>
      </c>
      <c r="B422" s="1489" t="e">
        <v>#N/A</v>
      </c>
      <c r="C422" s="1493" t="e">
        <f t="shared" si="17"/>
        <v>#N/A</v>
      </c>
      <c r="D422" s="1501" t="e">
        <v>#N/A</v>
      </c>
      <c r="E422" s="1507" t="e">
        <f t="shared" si="18"/>
        <v>#N/A</v>
      </c>
    </row>
    <row r="423" spans="1:5">
      <c r="A423" s="2765">
        <v>2030.06</v>
      </c>
      <c r="B423" s="1489" t="e">
        <v>#N/A</v>
      </c>
      <c r="C423" s="1493" t="e">
        <f t="shared" si="17"/>
        <v>#N/A</v>
      </c>
      <c r="D423" s="1501" t="e">
        <v>#N/A</v>
      </c>
      <c r="E423" s="1507" t="e">
        <f t="shared" si="18"/>
        <v>#N/A</v>
      </c>
    </row>
    <row r="424" spans="1:5">
      <c r="A424" s="2765">
        <v>2030.07</v>
      </c>
      <c r="B424" s="1489" t="e">
        <v>#N/A</v>
      </c>
      <c r="C424" s="1493" t="e">
        <f t="shared" si="17"/>
        <v>#N/A</v>
      </c>
      <c r="D424" s="1501" t="e">
        <v>#N/A</v>
      </c>
      <c r="E424" s="1507" t="e">
        <f t="shared" si="18"/>
        <v>#N/A</v>
      </c>
    </row>
    <row r="425" spans="1:5">
      <c r="A425" s="2765">
        <v>2030.08</v>
      </c>
      <c r="B425" s="1489" t="e">
        <v>#N/A</v>
      </c>
      <c r="C425" s="1493" t="e">
        <f t="shared" si="17"/>
        <v>#N/A</v>
      </c>
      <c r="D425" s="1501" t="e">
        <v>#N/A</v>
      </c>
      <c r="E425" s="1507" t="e">
        <f t="shared" si="18"/>
        <v>#N/A</v>
      </c>
    </row>
    <row r="426" spans="1:5">
      <c r="A426" s="2765">
        <v>2030.09</v>
      </c>
      <c r="B426" s="1489" t="e">
        <v>#N/A</v>
      </c>
      <c r="C426" s="1493" t="e">
        <f t="shared" si="17"/>
        <v>#N/A</v>
      </c>
      <c r="D426" s="1501" t="e">
        <v>#N/A</v>
      </c>
      <c r="E426" s="1507" t="e">
        <f t="shared" si="18"/>
        <v>#N/A</v>
      </c>
    </row>
    <row r="427" spans="1:5">
      <c r="A427" s="2765">
        <v>2030.1</v>
      </c>
      <c r="B427" s="1489" t="e">
        <v>#N/A</v>
      </c>
      <c r="C427" s="1493" t="e">
        <f t="shared" si="17"/>
        <v>#N/A</v>
      </c>
      <c r="D427" s="1501" t="e">
        <v>#N/A</v>
      </c>
      <c r="E427" s="1507" t="e">
        <f t="shared" si="18"/>
        <v>#N/A</v>
      </c>
    </row>
    <row r="428" spans="1:5">
      <c r="A428" s="2765">
        <v>2030.11</v>
      </c>
      <c r="B428" s="1489" t="e">
        <v>#N/A</v>
      </c>
      <c r="C428" s="1493" t="e">
        <f t="shared" si="17"/>
        <v>#N/A</v>
      </c>
      <c r="D428" s="1501" t="e">
        <v>#N/A</v>
      </c>
      <c r="E428" s="1507" t="e">
        <f t="shared" si="18"/>
        <v>#N/A</v>
      </c>
    </row>
    <row r="429" spans="1:5">
      <c r="A429" s="2765">
        <v>2030.12</v>
      </c>
      <c r="B429" s="1489" t="e">
        <v>#N/A</v>
      </c>
      <c r="C429" s="1493" t="e">
        <f t="shared" si="17"/>
        <v>#N/A</v>
      </c>
      <c r="D429" s="1501" t="e">
        <v>#N/A</v>
      </c>
      <c r="E429" s="1507" t="e">
        <f t="shared" si="18"/>
        <v>#N/A</v>
      </c>
    </row>
  </sheetData>
  <phoneticPr fontId="58" type="noConversion"/>
  <hyperlinks>
    <hyperlink ref="A1:A3" location="Indice!A1" display="ÍNDICE" xr:uid="{00000000-0004-0000-3600-000000000000}"/>
    <hyperlink ref="A5" location="INDICE!A13" display="VOLVER AL INDICE" xr:uid="{00000000-0004-0000-3600-000001000000}"/>
  </hyperlinks>
  <printOptions horizontalCentered="1" gridLines="1"/>
  <pageMargins left="0" right="0" top="0.19685039370078741" bottom="0.19685039370078741" header="0" footer="0"/>
  <pageSetup paperSize="9" scale="110" orientation="landscape" horizontalDpi="300" vertic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39"/>
  <dimension ref="A1:N465"/>
  <sheetViews>
    <sheetView zoomScale="130" zoomScaleNormal="130" workbookViewId="0">
      <pane xSplit="1" ySplit="9" topLeftCell="B370" activePane="bottomRight" state="frozen"/>
      <selection activeCell="A5" sqref="A5"/>
      <selection pane="topRight" activeCell="A5" sqref="A5"/>
      <selection pane="bottomLeft" activeCell="A5" sqref="A5"/>
      <selection pane="bottomRight" activeCell="A5" sqref="A5"/>
    </sheetView>
  </sheetViews>
  <sheetFormatPr baseColWidth="10" defaultColWidth="12.5703125" defaultRowHeight="12.75"/>
  <cols>
    <col min="1" max="1" width="10.7109375" style="222" bestFit="1" customWidth="1"/>
    <col min="2" max="2" width="13.28515625" style="222" bestFit="1" customWidth="1"/>
    <col min="3" max="3" width="11.28515625" style="222" bestFit="1" customWidth="1"/>
    <col min="4" max="4" width="12.5703125" style="222" customWidth="1"/>
    <col min="5" max="5" width="15.5703125" style="222" customWidth="1"/>
    <col min="6" max="7" width="15.5703125" style="222" bestFit="1" customWidth="1"/>
    <col min="8" max="9" width="13.5703125" style="222" customWidth="1"/>
    <col min="10" max="10" width="15.5703125" style="222" bestFit="1" customWidth="1"/>
    <col min="11" max="11" width="15.5703125" style="222" customWidth="1"/>
    <col min="12" max="12" width="15.5703125" style="222" bestFit="1" customWidth="1"/>
    <col min="13" max="13" width="16.42578125" style="222" bestFit="1" customWidth="1"/>
    <col min="14" max="14" width="15.5703125" style="222" bestFit="1" customWidth="1"/>
    <col min="15" max="16384" width="12.5703125" style="16"/>
  </cols>
  <sheetData>
    <row r="1" spans="1:14" s="14" customFormat="1" ht="3" customHeight="1">
      <c r="A1" s="37"/>
      <c r="B1" s="226"/>
      <c r="C1" s="215"/>
      <c r="D1" s="215"/>
      <c r="E1" s="215"/>
      <c r="F1" s="215"/>
      <c r="G1" s="232"/>
      <c r="H1" s="215"/>
      <c r="I1" s="215"/>
      <c r="J1" s="215"/>
      <c r="K1" s="215"/>
      <c r="L1" s="232"/>
      <c r="M1" s="215"/>
      <c r="N1" s="220"/>
    </row>
    <row r="2" spans="1:14" s="14" customFormat="1">
      <c r="A2" s="121" t="s">
        <v>212</v>
      </c>
      <c r="B2" s="227" t="s">
        <v>249</v>
      </c>
      <c r="C2" s="228"/>
      <c r="D2" s="228"/>
      <c r="E2" s="218"/>
      <c r="F2" s="218"/>
      <c r="G2" s="218" t="s">
        <v>1457</v>
      </c>
      <c r="H2" s="218"/>
      <c r="I2" s="218"/>
      <c r="J2" s="218"/>
      <c r="K2" s="218"/>
      <c r="L2" s="218" t="s">
        <v>1450</v>
      </c>
      <c r="M2" s="218"/>
      <c r="N2" s="229"/>
    </row>
    <row r="3" spans="1:14" s="14" customFormat="1">
      <c r="A3" s="121" t="s">
        <v>330</v>
      </c>
      <c r="B3" s="2671" t="s">
        <v>219</v>
      </c>
      <c r="C3" s="230"/>
      <c r="D3" s="230"/>
      <c r="E3" s="230"/>
      <c r="F3" s="230"/>
      <c r="G3" s="218"/>
      <c r="H3" s="230"/>
      <c r="I3" s="230"/>
      <c r="J3" s="230"/>
      <c r="K3" s="230"/>
      <c r="L3" s="218"/>
      <c r="M3" s="230"/>
      <c r="N3" s="231"/>
    </row>
    <row r="4" spans="1:14" s="14" customFormat="1" ht="3" customHeight="1">
      <c r="A4" s="224"/>
      <c r="B4" s="233"/>
      <c r="C4" s="217"/>
      <c r="D4" s="217"/>
      <c r="E4" s="216"/>
      <c r="F4" s="216"/>
      <c r="G4" s="234"/>
      <c r="H4" s="216"/>
      <c r="I4" s="216"/>
      <c r="J4" s="216"/>
      <c r="K4" s="216"/>
      <c r="L4" s="234"/>
      <c r="M4" s="216"/>
      <c r="N4" s="221"/>
    </row>
    <row r="5" spans="1:14" s="14" customFormat="1" ht="22.5">
      <c r="A5" s="45" t="s">
        <v>213</v>
      </c>
      <c r="B5" s="3412" t="s">
        <v>1456</v>
      </c>
      <c r="C5" s="756" t="s">
        <v>47</v>
      </c>
      <c r="D5" s="235"/>
      <c r="E5" s="2125"/>
      <c r="F5" s="3413" t="s">
        <v>1451</v>
      </c>
      <c r="G5" s="3415" t="s">
        <v>1455</v>
      </c>
      <c r="H5" s="756" t="s">
        <v>48</v>
      </c>
      <c r="I5" s="223"/>
      <c r="J5" s="2157"/>
      <c r="K5" s="3411" t="s">
        <v>1452</v>
      </c>
      <c r="L5" s="3410" t="s">
        <v>1454</v>
      </c>
      <c r="M5" s="756" t="s">
        <v>1453</v>
      </c>
      <c r="N5" s="236"/>
    </row>
    <row r="6" spans="1:14" s="14" customFormat="1" ht="33.75">
      <c r="A6" s="225"/>
      <c r="B6" s="3412"/>
      <c r="C6" s="2126" t="s">
        <v>1442</v>
      </c>
      <c r="D6" s="2118" t="s">
        <v>1443</v>
      </c>
      <c r="E6" s="340" t="s">
        <v>1444</v>
      </c>
      <c r="F6" s="3414"/>
      <c r="G6" s="3415"/>
      <c r="H6" s="2126" t="s">
        <v>1445</v>
      </c>
      <c r="I6" s="2118" t="s">
        <v>1446</v>
      </c>
      <c r="J6" s="340" t="s">
        <v>1447</v>
      </c>
      <c r="K6" s="3411"/>
      <c r="L6" s="3410"/>
      <c r="M6" s="2151" t="s">
        <v>1448</v>
      </c>
      <c r="N6" s="2159" t="s">
        <v>1449</v>
      </c>
    </row>
    <row r="7" spans="1:14" s="14" customFormat="1" ht="33.75">
      <c r="A7" s="47" t="s">
        <v>210</v>
      </c>
      <c r="B7" s="2142" t="s">
        <v>304</v>
      </c>
      <c r="C7" s="2126" t="s">
        <v>304</v>
      </c>
      <c r="D7" s="2118" t="s">
        <v>304</v>
      </c>
      <c r="E7" s="2126" t="s">
        <v>304</v>
      </c>
      <c r="F7" s="2132" t="s">
        <v>304</v>
      </c>
      <c r="G7" s="2142" t="s">
        <v>304</v>
      </c>
      <c r="H7" s="2126" t="s">
        <v>304</v>
      </c>
      <c r="I7" s="2118" t="s">
        <v>304</v>
      </c>
      <c r="J7" s="2126" t="s">
        <v>304</v>
      </c>
      <c r="K7" s="2132" t="s">
        <v>304</v>
      </c>
      <c r="L7" s="2142" t="s">
        <v>304</v>
      </c>
      <c r="M7" s="2126" t="s">
        <v>304</v>
      </c>
      <c r="N7" s="2159" t="s">
        <v>304</v>
      </c>
    </row>
    <row r="8" spans="1:14" s="14" customFormat="1" ht="12.75" customHeight="1">
      <c r="A8" s="225" t="s">
        <v>412</v>
      </c>
      <c r="B8" s="2143" t="s">
        <v>997</v>
      </c>
      <c r="C8" s="2127" t="s">
        <v>998</v>
      </c>
      <c r="D8" s="2119" t="s">
        <v>999</v>
      </c>
      <c r="E8" s="2127" t="s">
        <v>1000</v>
      </c>
      <c r="F8" s="2133" t="s">
        <v>1001</v>
      </c>
      <c r="G8" s="2143" t="s">
        <v>1002</v>
      </c>
      <c r="H8" s="2127" t="s">
        <v>1003</v>
      </c>
      <c r="I8" s="2119" t="s">
        <v>1004</v>
      </c>
      <c r="J8" s="2127" t="s">
        <v>1005</v>
      </c>
      <c r="K8" s="2133" t="s">
        <v>1006</v>
      </c>
      <c r="L8" s="2143" t="s">
        <v>1007</v>
      </c>
      <c r="M8" s="2127" t="s">
        <v>1008</v>
      </c>
      <c r="N8" s="2160" t="s">
        <v>1009</v>
      </c>
    </row>
    <row r="9" spans="1:14" s="3149" customFormat="1" ht="13.5" thickBot="1">
      <c r="A9" s="194"/>
      <c r="B9" s="3150"/>
      <c r="C9" s="3151"/>
      <c r="D9" s="3152"/>
      <c r="E9" s="3153"/>
      <c r="F9" s="3154"/>
      <c r="G9" s="3155"/>
      <c r="H9" s="3156"/>
      <c r="I9" s="3157"/>
      <c r="J9" s="3158"/>
      <c r="K9" s="3154"/>
      <c r="L9" s="3155"/>
      <c r="M9" s="3156"/>
      <c r="N9" s="3159"/>
    </row>
    <row r="10" spans="1:14" s="3149" customFormat="1" ht="15">
      <c r="A10" s="1012">
        <v>1993.01</v>
      </c>
      <c r="B10" s="2144"/>
      <c r="C10" s="2128"/>
      <c r="D10" s="2120"/>
      <c r="E10" s="2128"/>
      <c r="F10" s="2134"/>
      <c r="G10" s="2153"/>
      <c r="H10" s="2152"/>
      <c r="I10" s="2150"/>
      <c r="J10" s="2152"/>
      <c r="K10" s="2158"/>
      <c r="L10" s="2153"/>
      <c r="M10" s="2152"/>
      <c r="N10" s="2161"/>
    </row>
    <row r="11" spans="1:14" s="15" customFormat="1" ht="15">
      <c r="A11" s="329">
        <v>1993.02</v>
      </c>
      <c r="B11" s="2145">
        <v>4.5443122129491531E-3</v>
      </c>
      <c r="C11" s="2082">
        <v>5.0540786414636774E-3</v>
      </c>
      <c r="D11" s="2079">
        <v>5.1760885009641822E-3</v>
      </c>
      <c r="E11" s="2082">
        <v>4.9681981020976984E-3</v>
      </c>
      <c r="F11" s="2135">
        <v>-1.246550317387074E-3</v>
      </c>
      <c r="G11" s="2153"/>
      <c r="H11" s="2152"/>
      <c r="I11" s="2150"/>
      <c r="J11" s="2152"/>
      <c r="K11" s="2158"/>
      <c r="L11" s="2153"/>
      <c r="M11" s="2152"/>
      <c r="N11" s="2161"/>
    </row>
    <row r="12" spans="1:14" s="15" customFormat="1" ht="15">
      <c r="A12" s="329">
        <v>1993.03</v>
      </c>
      <c r="B12" s="2145">
        <v>2.9137492283568545E-3</v>
      </c>
      <c r="C12" s="2082">
        <v>3.1177712963892379E-3</v>
      </c>
      <c r="D12" s="2079">
        <v>6.0581583198682232E-4</v>
      </c>
      <c r="E12" s="2082">
        <v>3.8145256393220528E-3</v>
      </c>
      <c r="F12" s="2135">
        <v>1.1031623395463264E-4</v>
      </c>
      <c r="G12" s="2153"/>
      <c r="H12" s="2152"/>
      <c r="I12" s="2150"/>
      <c r="J12" s="2152"/>
      <c r="K12" s="2158"/>
      <c r="L12" s="2153"/>
      <c r="M12" s="2152"/>
      <c r="N12" s="2161"/>
    </row>
    <row r="13" spans="1:14" s="15" customFormat="1" ht="15">
      <c r="A13" s="329">
        <v>1993.04</v>
      </c>
      <c r="B13" s="2145">
        <v>5.1995302218930117E-3</v>
      </c>
      <c r="C13" s="2082">
        <v>5.714858632444475E-3</v>
      </c>
      <c r="D13" s="2079">
        <v>1.8365287588294699E-2</v>
      </c>
      <c r="E13" s="2082">
        <v>2.3484202660146725E-3</v>
      </c>
      <c r="F13" s="2135">
        <v>-7.7405077109127252E-4</v>
      </c>
      <c r="G13" s="2153"/>
      <c r="H13" s="2152"/>
      <c r="I13" s="2150"/>
      <c r="J13" s="2152"/>
      <c r="K13" s="2158"/>
      <c r="L13" s="2153"/>
      <c r="M13" s="2152"/>
      <c r="N13" s="2161"/>
    </row>
    <row r="14" spans="1:14" s="15" customFormat="1" ht="15">
      <c r="A14" s="329">
        <v>1993.05</v>
      </c>
      <c r="B14" s="2145">
        <v>-3.1722255712236525E-3</v>
      </c>
      <c r="C14" s="2082">
        <v>-2.6916558668129698E-3</v>
      </c>
      <c r="D14" s="2079">
        <v>6.9361870788744451E-3</v>
      </c>
      <c r="E14" s="2082">
        <v>-5.22936451204703E-3</v>
      </c>
      <c r="F14" s="2135">
        <v>-9.6202849079516373E-3</v>
      </c>
      <c r="G14" s="2153"/>
      <c r="H14" s="2152"/>
      <c r="I14" s="2150"/>
      <c r="J14" s="2152"/>
      <c r="K14" s="2158"/>
      <c r="L14" s="2153"/>
      <c r="M14" s="2152"/>
      <c r="N14" s="2161"/>
    </row>
    <row r="15" spans="1:14" s="15" customFormat="1" ht="15">
      <c r="A15" s="329">
        <v>1993.06</v>
      </c>
      <c r="B15" s="2145">
        <v>1.8976399464543103E-3</v>
      </c>
      <c r="C15" s="2082">
        <v>2.7988804478207285E-3</v>
      </c>
      <c r="D15" s="2079">
        <v>5.3139145837433066E-3</v>
      </c>
      <c r="E15" s="2082">
        <v>2.200702707040092E-3</v>
      </c>
      <c r="F15" s="2135">
        <v>-1.0261050961212326E-2</v>
      </c>
      <c r="G15" s="2153"/>
      <c r="H15" s="2152"/>
      <c r="I15" s="2150"/>
      <c r="J15" s="2152"/>
      <c r="K15" s="2158"/>
      <c r="L15" s="2153"/>
      <c r="M15" s="2152"/>
      <c r="N15" s="2161"/>
    </row>
    <row r="16" spans="1:14" s="15" customFormat="1" ht="15">
      <c r="A16" s="329">
        <v>1993.07</v>
      </c>
      <c r="B16" s="2145">
        <v>1.0223152302892835E-3</v>
      </c>
      <c r="C16" s="2082">
        <v>1.4952153110048272E-3</v>
      </c>
      <c r="D16" s="2079">
        <v>-2.1534847298356752E-3</v>
      </c>
      <c r="E16" s="2082">
        <v>2.3787954447784809E-3</v>
      </c>
      <c r="F16" s="2135">
        <v>-4.0795010232723694E-3</v>
      </c>
      <c r="G16" s="2153"/>
      <c r="H16" s="2152"/>
      <c r="I16" s="2150"/>
      <c r="J16" s="2152"/>
      <c r="K16" s="2158"/>
      <c r="L16" s="2153"/>
      <c r="M16" s="2152"/>
      <c r="N16" s="2161"/>
    </row>
    <row r="17" spans="1:14" s="15" customFormat="1" ht="15">
      <c r="A17" s="329">
        <v>1993.08</v>
      </c>
      <c r="B17" s="2145">
        <v>4.3940740395320699E-3</v>
      </c>
      <c r="C17" s="2082">
        <v>4.6780133373147681E-3</v>
      </c>
      <c r="D17" s="2079">
        <v>1.2752599568373491E-2</v>
      </c>
      <c r="E17" s="2082">
        <v>2.586958618093993E-3</v>
      </c>
      <c r="F17" s="2135">
        <v>-6.3965826683554106E-5</v>
      </c>
      <c r="G17" s="2153"/>
      <c r="H17" s="2152"/>
      <c r="I17" s="2150"/>
      <c r="J17" s="2152"/>
      <c r="K17" s="2158"/>
      <c r="L17" s="2153"/>
      <c r="M17" s="2152"/>
      <c r="N17" s="2161"/>
    </row>
    <row r="18" spans="1:14" s="15" customFormat="1" ht="15">
      <c r="A18" s="329">
        <v>1993.09</v>
      </c>
      <c r="B18" s="2145">
        <v>-3.8270488872773623E-3</v>
      </c>
      <c r="C18" s="2082">
        <v>-3.9627501486031447E-3</v>
      </c>
      <c r="D18" s="2079">
        <v>-2.3731111972103758E-2</v>
      </c>
      <c r="E18" s="2082">
        <v>1.3084124132034525E-3</v>
      </c>
      <c r="F18" s="2135">
        <v>-1.011223611851686E-3</v>
      </c>
      <c r="G18" s="2153"/>
      <c r="H18" s="2152"/>
      <c r="I18" s="2150"/>
      <c r="J18" s="2152"/>
      <c r="K18" s="2158"/>
      <c r="L18" s="2153"/>
      <c r="M18" s="2152"/>
      <c r="N18" s="2161"/>
    </row>
    <row r="19" spans="1:14" s="15" customFormat="1" ht="15">
      <c r="A19" s="329">
        <v>1993.1</v>
      </c>
      <c r="B19" s="2145">
        <v>1.687324179569627E-3</v>
      </c>
      <c r="C19" s="2082">
        <v>1.1935548040580279E-3</v>
      </c>
      <c r="D19" s="2079">
        <v>1.0318483976584858E-2</v>
      </c>
      <c r="E19" s="2082">
        <v>-1.2125491185892567E-3</v>
      </c>
      <c r="F19" s="2135">
        <v>7.8634506178438812E-3</v>
      </c>
      <c r="G19" s="2153"/>
      <c r="H19" s="2152"/>
      <c r="I19" s="2150"/>
      <c r="J19" s="2152"/>
      <c r="K19" s="2158"/>
      <c r="L19" s="2153"/>
      <c r="M19" s="2152"/>
      <c r="N19" s="2161"/>
    </row>
    <row r="20" spans="1:14" s="15" customFormat="1" ht="15">
      <c r="A20" s="329">
        <v>1993.11</v>
      </c>
      <c r="B20" s="2145">
        <v>-8.6932414619765863E-3</v>
      </c>
      <c r="C20" s="2082">
        <v>-9.2390224518178465E-3</v>
      </c>
      <c r="D20" s="2079">
        <v>-4.3896690562702623E-2</v>
      </c>
      <c r="E20" s="2082">
        <v>1.0011781763585859E-4</v>
      </c>
      <c r="F20" s="2135">
        <v>-2.0343986350216392E-3</v>
      </c>
      <c r="G20" s="2153"/>
      <c r="H20" s="2152"/>
      <c r="I20" s="2150"/>
      <c r="J20" s="2152"/>
      <c r="K20" s="2158"/>
      <c r="L20" s="2153"/>
      <c r="M20" s="2152"/>
      <c r="N20" s="2161"/>
    </row>
    <row r="21" spans="1:14" s="15" customFormat="1" ht="15">
      <c r="A21" s="329">
        <v>1993.12</v>
      </c>
      <c r="B21" s="2145">
        <v>-8.2815166528881212E-3</v>
      </c>
      <c r="C21" s="2082">
        <v>-8.3224706708112661E-3</v>
      </c>
      <c r="D21" s="2079">
        <v>-3.9954806902218531E-2</v>
      </c>
      <c r="E21" s="2082">
        <v>-2.3879254415848372E-4</v>
      </c>
      <c r="F21" s="2135">
        <v>-7.540281915855207E-3</v>
      </c>
      <c r="G21" s="2153"/>
      <c r="H21" s="2152"/>
      <c r="I21" s="2150"/>
      <c r="J21" s="2152"/>
      <c r="K21" s="2158"/>
      <c r="L21" s="2153"/>
      <c r="M21" s="2152"/>
      <c r="N21" s="2161"/>
    </row>
    <row r="22" spans="1:14" s="1" customFormat="1" ht="15">
      <c r="A22" s="329">
        <v>1994.01</v>
      </c>
      <c r="B22" s="2145">
        <v>-4.8693757459051801E-3</v>
      </c>
      <c r="C22" s="2082">
        <v>-5.1567239635996742E-3</v>
      </c>
      <c r="D22" s="2079">
        <v>1.818765379266063E-3</v>
      </c>
      <c r="E22" s="2082">
        <v>-6.7979660819488252E-3</v>
      </c>
      <c r="F22" s="2135">
        <v>-1.5327818383641389E-3</v>
      </c>
      <c r="G22" s="2153"/>
      <c r="H22" s="2152"/>
      <c r="I22" s="2150"/>
      <c r="J22" s="2152"/>
      <c r="K22" s="2158"/>
      <c r="L22" s="2153"/>
      <c r="M22" s="2152"/>
      <c r="N22" s="2161"/>
    </row>
    <row r="23" spans="1:14" s="1" customFormat="1" ht="15">
      <c r="A23" s="329">
        <v>1994.02</v>
      </c>
      <c r="B23" s="2145">
        <v>-6.3008130081300129E-3</v>
      </c>
      <c r="C23" s="2082">
        <v>-7.216180506148806E-3</v>
      </c>
      <c r="D23" s="2079">
        <v>-3.9833404527979566E-2</v>
      </c>
      <c r="E23" s="2082">
        <v>8.0280983442038156E-4</v>
      </c>
      <c r="F23" s="2135">
        <v>4.9736094194072766E-3</v>
      </c>
      <c r="G23" s="2153"/>
      <c r="H23" s="2152"/>
      <c r="I23" s="2150"/>
      <c r="J23" s="2152"/>
      <c r="K23" s="2158"/>
      <c r="L23" s="2153"/>
      <c r="M23" s="2152"/>
      <c r="N23" s="2161"/>
    </row>
    <row r="24" spans="1:14" s="1" customFormat="1" ht="15">
      <c r="A24" s="329">
        <v>1994.03</v>
      </c>
      <c r="B24" s="2145">
        <v>8.181632235628733E-4</v>
      </c>
      <c r="C24" s="2082">
        <v>1.3308763308761407E-3</v>
      </c>
      <c r="D24" s="2079">
        <v>-4.0040040040039138E-3</v>
      </c>
      <c r="E24" s="2082">
        <v>2.6070390053143377E-3</v>
      </c>
      <c r="F24" s="2135">
        <v>-4.9489950510052116E-3</v>
      </c>
      <c r="G24" s="2153"/>
      <c r="H24" s="2152"/>
      <c r="I24" s="2150"/>
      <c r="J24" s="2152"/>
      <c r="K24" s="2158"/>
      <c r="L24" s="2153"/>
      <c r="M24" s="2152"/>
      <c r="N24" s="2161"/>
    </row>
    <row r="25" spans="1:14" s="1" customFormat="1" ht="15">
      <c r="A25" s="329">
        <v>1994.04</v>
      </c>
      <c r="B25" s="2145">
        <v>3.576537911301747E-3</v>
      </c>
      <c r="C25" s="2082">
        <v>4.7029956037214493E-3</v>
      </c>
      <c r="D25" s="2079">
        <v>1.3400335008375119E-2</v>
      </c>
      <c r="E25" s="2082">
        <v>2.6002600260026654E-3</v>
      </c>
      <c r="F25" s="2135">
        <v>-1.0962241169305664E-2</v>
      </c>
      <c r="G25" s="2153"/>
      <c r="H25" s="2152"/>
      <c r="I25" s="2150"/>
      <c r="J25" s="2152"/>
      <c r="K25" s="2158"/>
      <c r="L25" s="2153"/>
      <c r="M25" s="2152"/>
      <c r="N25" s="2161"/>
    </row>
    <row r="26" spans="1:14" s="1" customFormat="1" ht="15">
      <c r="A26" s="329">
        <v>1994.05</v>
      </c>
      <c r="B26" s="2145">
        <v>1.1709601873536313E-2</v>
      </c>
      <c r="C26" s="2082">
        <v>1.2109494250534203E-2</v>
      </c>
      <c r="D26" s="2079">
        <v>6.7107438016528853E-2</v>
      </c>
      <c r="E26" s="2082">
        <v>-8.9775561097260592E-4</v>
      </c>
      <c r="F26" s="2135">
        <v>6.5681444991789739E-3</v>
      </c>
      <c r="G26" s="2153"/>
      <c r="H26" s="2152"/>
      <c r="I26" s="2150"/>
      <c r="J26" s="2152"/>
      <c r="K26" s="2158"/>
      <c r="L26" s="2153"/>
      <c r="M26" s="2152"/>
      <c r="N26" s="2161"/>
    </row>
    <row r="27" spans="1:14" s="1" customFormat="1" ht="15">
      <c r="A27" s="329">
        <v>1994.06</v>
      </c>
      <c r="B27" s="2145">
        <v>7.8502415458938657E-3</v>
      </c>
      <c r="C27" s="2082">
        <v>7.7418057510558747E-3</v>
      </c>
      <c r="D27" s="2079">
        <v>2.9636513837257406E-2</v>
      </c>
      <c r="E27" s="2082">
        <v>2.0966453674120533E-3</v>
      </c>
      <c r="F27" s="2135">
        <v>8.4624796084828979E-3</v>
      </c>
      <c r="G27" s="2153"/>
      <c r="H27" s="2152"/>
      <c r="I27" s="2150"/>
      <c r="J27" s="2152"/>
      <c r="K27" s="2158"/>
      <c r="L27" s="2153"/>
      <c r="M27" s="2152"/>
      <c r="N27" s="2161"/>
    </row>
    <row r="28" spans="1:14" s="1" customFormat="1" ht="15">
      <c r="A28" s="329">
        <v>1994.07</v>
      </c>
      <c r="B28" s="2145">
        <v>4.9930097862991296E-3</v>
      </c>
      <c r="C28" s="2082">
        <v>4.6892148059463068E-3</v>
      </c>
      <c r="D28" s="2079">
        <v>1.1834319526627279E-2</v>
      </c>
      <c r="E28" s="2082">
        <v>2.7896781906944224E-3</v>
      </c>
      <c r="F28" s="2135">
        <v>9.6046911333536045E-3</v>
      </c>
      <c r="G28" s="2153"/>
      <c r="H28" s="2152"/>
      <c r="I28" s="2150"/>
      <c r="J28" s="2152"/>
      <c r="K28" s="2158"/>
      <c r="L28" s="2153"/>
      <c r="M28" s="2152"/>
      <c r="N28" s="2161"/>
    </row>
    <row r="29" spans="1:14" s="1" customFormat="1" ht="15">
      <c r="A29" s="329">
        <v>1994.08</v>
      </c>
      <c r="B29" s="2145">
        <v>-9.9364069952301293E-4</v>
      </c>
      <c r="C29" s="2082">
        <v>-2.0854021847070969E-3</v>
      </c>
      <c r="D29" s="2079">
        <v>-1.5561502626623147E-2</v>
      </c>
      <c r="E29" s="2082">
        <v>1.4903129657226621E-3</v>
      </c>
      <c r="F29" s="2135">
        <v>1.3619066693370652E-2</v>
      </c>
      <c r="G29" s="2153"/>
      <c r="H29" s="2152"/>
      <c r="I29" s="2150"/>
      <c r="J29" s="2152"/>
      <c r="K29" s="2158"/>
      <c r="L29" s="2153"/>
      <c r="M29" s="2152"/>
      <c r="N29" s="2161"/>
    </row>
    <row r="30" spans="1:14" s="1" customFormat="1" ht="15">
      <c r="A30" s="329">
        <v>1994.09</v>
      </c>
      <c r="B30" s="2145">
        <v>-9.946290033824301E-5</v>
      </c>
      <c r="C30" s="2082">
        <v>-7.9609911433975444E-4</v>
      </c>
      <c r="D30" s="2079">
        <v>-6.0410793395087037E-3</v>
      </c>
      <c r="E30" s="2082">
        <v>4.9603174603185529E-4</v>
      </c>
      <c r="F30" s="2135">
        <v>8.9903181189487924E-3</v>
      </c>
      <c r="G30" s="2153"/>
      <c r="H30" s="2152"/>
      <c r="I30" s="2150"/>
      <c r="J30" s="2152"/>
      <c r="K30" s="2158"/>
      <c r="L30" s="2153"/>
      <c r="M30" s="2152"/>
      <c r="N30" s="2161"/>
    </row>
    <row r="31" spans="1:14" s="1" customFormat="1" ht="15">
      <c r="A31" s="329">
        <v>1994.1</v>
      </c>
      <c r="B31" s="2145">
        <v>2.7852382373421136E-3</v>
      </c>
      <c r="C31" s="2082">
        <v>2.1910168309928757E-3</v>
      </c>
      <c r="D31" s="2079">
        <v>-2.1272285251214829E-3</v>
      </c>
      <c r="E31" s="2082">
        <v>3.4705007436788282E-3</v>
      </c>
      <c r="F31" s="2135">
        <v>8.4206403603250823E-3</v>
      </c>
      <c r="G31" s="2153"/>
      <c r="H31" s="2152"/>
      <c r="I31" s="2150"/>
      <c r="J31" s="2152"/>
      <c r="K31" s="2158"/>
      <c r="L31" s="2153"/>
      <c r="M31" s="2152"/>
      <c r="N31" s="2161"/>
    </row>
    <row r="32" spans="1:14" s="1" customFormat="1" ht="15">
      <c r="A32" s="329">
        <v>1994.11</v>
      </c>
      <c r="B32" s="2145">
        <v>8.1341136791985846E-3</v>
      </c>
      <c r="C32" s="2082">
        <v>6.9561760906291514E-3</v>
      </c>
      <c r="D32" s="2079">
        <v>8.0194904070651774E-3</v>
      </c>
      <c r="E32" s="2082">
        <v>6.5217391304346339E-3</v>
      </c>
      <c r="F32" s="2135">
        <v>2.3982910962229376E-2</v>
      </c>
      <c r="G32" s="2153"/>
      <c r="H32" s="2152"/>
      <c r="I32" s="2150"/>
      <c r="J32" s="2152"/>
      <c r="K32" s="2158"/>
      <c r="L32" s="2153"/>
      <c r="M32" s="2152"/>
      <c r="N32" s="2161"/>
    </row>
    <row r="33" spans="1:14" s="1" customFormat="1" ht="15">
      <c r="A33" s="329">
        <v>1994.12</v>
      </c>
      <c r="B33" s="2145">
        <v>1.6727344288103296E-3</v>
      </c>
      <c r="C33" s="2082">
        <v>1.9737491364857362E-4</v>
      </c>
      <c r="D33" s="2079">
        <v>-2.9204431017119781E-2</v>
      </c>
      <c r="E33" s="2082">
        <v>7.7557431769095242E-3</v>
      </c>
      <c r="F33" s="2135">
        <v>1.9343827043428741E-2</v>
      </c>
      <c r="G33" s="2153"/>
      <c r="H33" s="2152"/>
      <c r="I33" s="2150"/>
      <c r="J33" s="2152"/>
      <c r="K33" s="2158"/>
      <c r="L33" s="2153"/>
      <c r="M33" s="2152"/>
      <c r="N33" s="2161"/>
    </row>
    <row r="34" spans="1:14" s="1" customFormat="1" ht="15">
      <c r="A34" s="329">
        <v>1995.01</v>
      </c>
      <c r="B34" s="2145">
        <v>1.4145383104125608E-2</v>
      </c>
      <c r="C34" s="2082">
        <v>1.4701529353724707E-2</v>
      </c>
      <c r="D34" s="2079">
        <v>4.0352697095435763E-2</v>
      </c>
      <c r="E34" s="2082">
        <v>8.4754018509496376E-3</v>
      </c>
      <c r="F34" s="2135">
        <v>7.2558139534883992E-3</v>
      </c>
      <c r="G34" s="2153"/>
      <c r="H34" s="2152"/>
      <c r="I34" s="2150"/>
      <c r="J34" s="2152"/>
      <c r="K34" s="2158"/>
      <c r="L34" s="2153"/>
      <c r="M34" s="2152"/>
      <c r="N34" s="2161"/>
    </row>
    <row r="35" spans="1:14" s="1" customFormat="1" ht="15">
      <c r="A35" s="329">
        <v>1995.02</v>
      </c>
      <c r="B35" s="2145">
        <v>3.8744672607515795E-3</v>
      </c>
      <c r="C35" s="2082">
        <v>3.9867755737068578E-3</v>
      </c>
      <c r="D35" s="2079">
        <v>2.9913251570423682E-4</v>
      </c>
      <c r="E35" s="2082">
        <v>4.9265842349304201E-3</v>
      </c>
      <c r="F35" s="2135">
        <v>2.4935352789066112E-3</v>
      </c>
      <c r="G35" s="2153"/>
      <c r="H35" s="2152"/>
      <c r="I35" s="2150"/>
      <c r="J35" s="2152"/>
      <c r="K35" s="2158"/>
      <c r="L35" s="2153"/>
      <c r="M35" s="2152"/>
      <c r="N35" s="2161"/>
    </row>
    <row r="36" spans="1:14" s="1" customFormat="1" ht="15">
      <c r="A36" s="329">
        <v>1995.03</v>
      </c>
      <c r="B36" s="2145">
        <v>-5.9822462369740759E-3</v>
      </c>
      <c r="C36" s="2082">
        <v>-7.5544794188863174E-3</v>
      </c>
      <c r="D36" s="2079">
        <v>-4.1866028708133829E-2</v>
      </c>
      <c r="E36" s="2082">
        <v>1.1535134095934652E-3</v>
      </c>
      <c r="F36" s="2135">
        <v>1.3081529249193924E-2</v>
      </c>
      <c r="G36" s="2153"/>
      <c r="H36" s="2152"/>
      <c r="I36" s="2150"/>
      <c r="J36" s="2152"/>
      <c r="K36" s="2158"/>
      <c r="L36" s="2153"/>
      <c r="M36" s="2152"/>
      <c r="N36" s="2161"/>
    </row>
    <row r="37" spans="1:14" s="1" customFormat="1" ht="15">
      <c r="A37" s="329">
        <v>1995.04</v>
      </c>
      <c r="B37" s="2145">
        <v>3.3488642981945205E-2</v>
      </c>
      <c r="C37" s="2082">
        <v>3.2790084902898586E-2</v>
      </c>
      <c r="D37" s="2079">
        <v>5.1394090719933283E-2</v>
      </c>
      <c r="E37" s="2082">
        <v>2.822851656265013E-2</v>
      </c>
      <c r="F37" s="2135">
        <v>4.1829589888151331E-2</v>
      </c>
      <c r="G37" s="2153"/>
      <c r="H37" s="2152"/>
      <c r="I37" s="2150"/>
      <c r="J37" s="2152"/>
      <c r="K37" s="2158"/>
      <c r="L37" s="2153"/>
      <c r="M37" s="2152"/>
      <c r="N37" s="2161"/>
    </row>
    <row r="38" spans="1:14" s="1" customFormat="1" ht="15">
      <c r="A38" s="329">
        <v>1995.05</v>
      </c>
      <c r="B38" s="2145">
        <v>1.2210012210012167E-3</v>
      </c>
      <c r="C38" s="2082">
        <v>1.8898233015212096E-3</v>
      </c>
      <c r="D38" s="2079">
        <v>3.166435780724175E-3</v>
      </c>
      <c r="E38" s="2082">
        <v>1.4940704080681488E-3</v>
      </c>
      <c r="F38" s="2135">
        <v>-5.8479532163741021E-3</v>
      </c>
      <c r="G38" s="2153"/>
      <c r="H38" s="2152"/>
      <c r="I38" s="2150"/>
      <c r="J38" s="2152"/>
      <c r="K38" s="2158"/>
      <c r="L38" s="2153"/>
      <c r="M38" s="2152"/>
      <c r="N38" s="2161"/>
    </row>
    <row r="39" spans="1:14" s="1" customFormat="1" ht="15">
      <c r="A39" s="329">
        <v>1995.06</v>
      </c>
      <c r="B39" s="2145">
        <v>3.0956848030019302E-3</v>
      </c>
      <c r="C39" s="2082">
        <v>3.1123266999906196E-3</v>
      </c>
      <c r="D39" s="2079">
        <v>2.3673308344840382E-3</v>
      </c>
      <c r="E39" s="2082">
        <v>3.3566433566432075E-3</v>
      </c>
      <c r="F39" s="2135">
        <v>2.4582967515365262E-3</v>
      </c>
      <c r="G39" s="2153"/>
      <c r="H39" s="2152"/>
      <c r="I39" s="2150"/>
      <c r="J39" s="2152"/>
      <c r="K39" s="2158"/>
      <c r="L39" s="2153"/>
      <c r="M39" s="2152"/>
      <c r="N39" s="2161"/>
    </row>
    <row r="40" spans="1:14" s="1" customFormat="1" ht="15">
      <c r="A40" s="329">
        <v>1995.07</v>
      </c>
      <c r="B40" s="2145">
        <v>3.7407649864398262E-3</v>
      </c>
      <c r="C40" s="2082">
        <v>5.0770966528770334E-3</v>
      </c>
      <c r="D40" s="2079">
        <v>5.6091320606179718E-3</v>
      </c>
      <c r="E40" s="2082">
        <v>5.0181209924728964E-3</v>
      </c>
      <c r="F40" s="2135">
        <v>-1.2348922753547042E-2</v>
      </c>
      <c r="G40" s="2153"/>
      <c r="H40" s="2152"/>
      <c r="I40" s="2150"/>
      <c r="J40" s="2152"/>
      <c r="K40" s="2158"/>
      <c r="L40" s="2153"/>
      <c r="M40" s="2152"/>
      <c r="N40" s="2161"/>
    </row>
    <row r="41" spans="1:14" s="1" customFormat="1" ht="15">
      <c r="A41" s="329">
        <v>1995.08</v>
      </c>
      <c r="B41" s="2145">
        <v>3.0746296468835421E-3</v>
      </c>
      <c r="C41" s="2082">
        <v>3.0869971936386964E-3</v>
      </c>
      <c r="D41" s="2079">
        <v>1.6146393972013007E-2</v>
      </c>
      <c r="E41" s="2082">
        <v>-1.8492834026828664E-4</v>
      </c>
      <c r="F41" s="2135">
        <v>2.5716059235612043E-3</v>
      </c>
      <c r="G41" s="2153"/>
      <c r="H41" s="2152"/>
      <c r="I41" s="2150"/>
      <c r="J41" s="2152"/>
      <c r="K41" s="2158"/>
      <c r="L41" s="2153"/>
      <c r="M41" s="2152"/>
      <c r="N41" s="2161"/>
    </row>
    <row r="42" spans="1:14" s="1" customFormat="1" ht="15">
      <c r="A42" s="329">
        <v>1995.09</v>
      </c>
      <c r="B42" s="2145">
        <v>1.8577001671937765E-4</v>
      </c>
      <c r="C42" s="2082">
        <v>3.7302993565235809E-4</v>
      </c>
      <c r="D42" s="2079">
        <v>2.840909090909105E-2</v>
      </c>
      <c r="E42" s="2082">
        <v>-6.7511328955884853E-3</v>
      </c>
      <c r="F42" s="2135">
        <v>-1.8574208384929403E-3</v>
      </c>
      <c r="G42" s="2153"/>
      <c r="H42" s="2152"/>
      <c r="I42" s="2150"/>
      <c r="J42" s="2152"/>
      <c r="K42" s="2158"/>
      <c r="L42" s="2153"/>
      <c r="M42" s="2152"/>
      <c r="N42" s="2161"/>
    </row>
    <row r="43" spans="1:14" s="1" customFormat="1" ht="15">
      <c r="A43" s="329">
        <v>1995.1</v>
      </c>
      <c r="B43" s="2145">
        <v>-1.1144130757801962E-3</v>
      </c>
      <c r="C43" s="2082">
        <v>-1.8644541810386439E-4</v>
      </c>
      <c r="D43" s="2079">
        <v>-2.4346848955894007E-3</v>
      </c>
      <c r="E43" s="2082">
        <v>4.655493482308426E-4</v>
      </c>
      <c r="F43" s="2135">
        <v>-1.2848914488258645E-2</v>
      </c>
      <c r="G43" s="2153"/>
      <c r="H43" s="2152"/>
      <c r="I43" s="2150"/>
      <c r="J43" s="2152"/>
      <c r="K43" s="2158"/>
      <c r="L43" s="2153"/>
      <c r="M43" s="2152"/>
      <c r="N43" s="2161"/>
    </row>
    <row r="44" spans="1:14" s="1" customFormat="1" ht="15">
      <c r="A44" s="329">
        <v>1995.11</v>
      </c>
      <c r="B44" s="2145">
        <v>-1.7664559315729855E-3</v>
      </c>
      <c r="C44" s="2082">
        <v>-2.0512820512819108E-3</v>
      </c>
      <c r="D44" s="2079">
        <v>-4.224162207828841E-3</v>
      </c>
      <c r="E44" s="2082">
        <v>-1.4890646812469877E-3</v>
      </c>
      <c r="F44" s="2135">
        <v>2.603231597845479E-3</v>
      </c>
      <c r="G44" s="2153"/>
      <c r="H44" s="2152"/>
      <c r="I44" s="2150"/>
      <c r="J44" s="2152"/>
      <c r="K44" s="2158"/>
      <c r="L44" s="2153"/>
      <c r="M44" s="2152"/>
      <c r="N44" s="2161"/>
    </row>
    <row r="45" spans="1:14" s="1" customFormat="1" ht="15">
      <c r="A45" s="329">
        <v>1995.12</v>
      </c>
      <c r="B45" s="2145">
        <v>3.3528918692371512E-3</v>
      </c>
      <c r="C45" s="2082">
        <v>3.3635429318883414E-3</v>
      </c>
      <c r="D45" s="2079">
        <v>8.4841628959275717E-3</v>
      </c>
      <c r="E45" s="2082">
        <v>1.9573119582441123E-3</v>
      </c>
      <c r="F45" s="2135">
        <v>3.4918076819769883E-3</v>
      </c>
      <c r="G45" s="2153"/>
      <c r="H45" s="2152"/>
      <c r="I45" s="2150"/>
      <c r="J45" s="2152"/>
      <c r="K45" s="2158"/>
      <c r="L45" s="2153"/>
      <c r="M45" s="2152"/>
      <c r="N45" s="2161"/>
    </row>
    <row r="46" spans="1:14" s="1" customFormat="1" ht="15">
      <c r="A46" s="329">
        <v>1996.01</v>
      </c>
      <c r="B46" s="2145">
        <v>2.2277917014759119E-3</v>
      </c>
      <c r="C46" s="2082">
        <v>2.5142005773350906E-3</v>
      </c>
      <c r="D46" s="2079">
        <v>1.3740886146943465E-2</v>
      </c>
      <c r="E46" s="2082">
        <v>-4.6511627906986597E-4</v>
      </c>
      <c r="F46" s="2135">
        <v>-1.338329764453916E-3</v>
      </c>
      <c r="G46" s="2153"/>
      <c r="H46" s="2152"/>
      <c r="I46" s="2150"/>
      <c r="J46" s="2152"/>
      <c r="K46" s="2158"/>
      <c r="L46" s="2153"/>
      <c r="M46" s="2152"/>
      <c r="N46" s="2161"/>
    </row>
    <row r="47" spans="1:14" s="1" customFormat="1" ht="15">
      <c r="A47" s="329">
        <v>1996.02</v>
      </c>
      <c r="B47" s="2145">
        <v>-1.0188015189405153E-3</v>
      </c>
      <c r="C47" s="2082">
        <v>-3.7154003343864428E-4</v>
      </c>
      <c r="D47" s="2079">
        <v>-6.0857538035962166E-3</v>
      </c>
      <c r="E47" s="2082">
        <v>1.2098650535132816E-3</v>
      </c>
      <c r="F47" s="2135">
        <v>-8.5767890645940259E-3</v>
      </c>
      <c r="G47" s="2153"/>
      <c r="H47" s="2152"/>
      <c r="I47" s="2150"/>
      <c r="J47" s="2152"/>
      <c r="K47" s="2158"/>
      <c r="L47" s="2153"/>
      <c r="M47" s="2152"/>
      <c r="N47" s="2161"/>
    </row>
    <row r="48" spans="1:14" s="1" customFormat="1" ht="15">
      <c r="A48" s="329">
        <v>1996.03</v>
      </c>
      <c r="B48" s="2145">
        <v>7.7878731689227099E-3</v>
      </c>
      <c r="C48" s="2082">
        <v>8.9202750418138077E-3</v>
      </c>
      <c r="D48" s="2079">
        <v>4.0356248260506433E-2</v>
      </c>
      <c r="E48" s="2082">
        <v>5.5772448410484898E-4</v>
      </c>
      <c r="F48" s="2135">
        <v>-6.3080111741912193E-3</v>
      </c>
      <c r="G48" s="2153"/>
      <c r="H48" s="2152"/>
      <c r="I48" s="2150"/>
      <c r="J48" s="2152"/>
      <c r="K48" s="2158"/>
      <c r="L48" s="2153"/>
      <c r="M48" s="2152"/>
      <c r="N48" s="2161"/>
    </row>
    <row r="49" spans="1:14" s="1" customFormat="1" ht="15">
      <c r="A49" s="329">
        <v>1996.04</v>
      </c>
      <c r="B49" s="2145">
        <v>1.4903403863845366E-2</v>
      </c>
      <c r="C49" s="2082">
        <v>1.611714864615954E-2</v>
      </c>
      <c r="D49" s="2079">
        <v>6.7950775815944331E-2</v>
      </c>
      <c r="E49" s="2082">
        <v>1.9509476031214223E-3</v>
      </c>
      <c r="F49" s="2135">
        <v>-1.1789244581482672E-3</v>
      </c>
      <c r="G49" s="2153"/>
      <c r="H49" s="2152"/>
      <c r="I49" s="2150"/>
      <c r="J49" s="2152"/>
      <c r="K49" s="2158"/>
      <c r="L49" s="2153"/>
      <c r="M49" s="2152"/>
      <c r="N49" s="2161"/>
    </row>
    <row r="50" spans="1:14" s="1" customFormat="1" ht="15">
      <c r="A50" s="329">
        <v>1996.05</v>
      </c>
      <c r="B50" s="2145">
        <v>2.266134880348325E-3</v>
      </c>
      <c r="C50" s="2082">
        <v>3.0816640986133237E-3</v>
      </c>
      <c r="D50" s="2079">
        <v>-1.0020040080160331E-2</v>
      </c>
      <c r="E50" s="2082">
        <v>6.8613815484470653E-3</v>
      </c>
      <c r="F50" s="2135">
        <v>-7.2634828400218732E-3</v>
      </c>
      <c r="G50" s="2153"/>
      <c r="H50" s="2152"/>
      <c r="I50" s="2150"/>
      <c r="J50" s="2152"/>
      <c r="K50" s="2158"/>
      <c r="L50" s="2153"/>
      <c r="M50" s="2152"/>
      <c r="N50" s="2161"/>
    </row>
    <row r="51" spans="1:14" s="1" customFormat="1" ht="15">
      <c r="A51" s="329">
        <v>1996.06</v>
      </c>
      <c r="B51" s="2145">
        <v>-7.506556932259989E-3</v>
      </c>
      <c r="C51" s="2082">
        <v>-7.4997741031896936E-3</v>
      </c>
      <c r="D51" s="2079">
        <v>-1.2651821862348145E-2</v>
      </c>
      <c r="E51" s="2082">
        <v>-6.0779077263101167E-3</v>
      </c>
      <c r="F51" s="2135">
        <v>-7.6824583866837992E-3</v>
      </c>
      <c r="G51" s="2153"/>
      <c r="H51" s="2152"/>
      <c r="I51" s="2150"/>
      <c r="J51" s="2152"/>
      <c r="K51" s="2158"/>
      <c r="L51" s="2153"/>
      <c r="M51" s="2152"/>
      <c r="N51" s="2161"/>
    </row>
    <row r="52" spans="1:14" s="1" customFormat="1" ht="15">
      <c r="A52" s="329">
        <v>1996.07</v>
      </c>
      <c r="B52" s="2145">
        <v>-1.1846181884455076E-3</v>
      </c>
      <c r="C52" s="2082">
        <v>-7.2833211944645093E-4</v>
      </c>
      <c r="D52" s="2079">
        <v>1.2643089014180875E-2</v>
      </c>
      <c r="E52" s="2082">
        <v>-4.447326971185106E-3</v>
      </c>
      <c r="F52" s="2135">
        <v>-8.2949308755760898E-3</v>
      </c>
      <c r="G52" s="2153"/>
      <c r="H52" s="2152"/>
      <c r="I52" s="2150"/>
      <c r="J52" s="2152"/>
      <c r="K52" s="2158"/>
      <c r="L52" s="2153"/>
      <c r="M52" s="2152"/>
      <c r="N52" s="2161"/>
    </row>
    <row r="53" spans="1:14" s="1" customFormat="1" ht="15">
      <c r="A53" s="329">
        <v>1996.08</v>
      </c>
      <c r="B53" s="2145">
        <v>-3.1019067603321737E-3</v>
      </c>
      <c r="C53" s="2082">
        <v>-2.6421282798834156E-3</v>
      </c>
      <c r="D53" s="2079">
        <v>2.6151510038803227E-3</v>
      </c>
      <c r="E53" s="2082">
        <v>-4.281060958585492E-3</v>
      </c>
      <c r="F53" s="2135">
        <v>-7.3420074349441755E-3</v>
      </c>
      <c r="G53" s="2153"/>
      <c r="H53" s="2152"/>
      <c r="I53" s="2150"/>
      <c r="J53" s="2152"/>
      <c r="K53" s="2158"/>
      <c r="L53" s="2153"/>
      <c r="M53" s="2152"/>
      <c r="N53" s="2161"/>
    </row>
    <row r="54" spans="1:14" s="1" customFormat="1" ht="15">
      <c r="A54" s="329">
        <v>1996.09</v>
      </c>
      <c r="B54" s="2145">
        <v>1.1439553399835267E-2</v>
      </c>
      <c r="C54" s="2082">
        <v>1.288024116196218E-2</v>
      </c>
      <c r="D54" s="2079">
        <v>3.020614219604556E-2</v>
      </c>
      <c r="E54" s="2082">
        <v>7.8512010468267945E-3</v>
      </c>
      <c r="F54" s="2135">
        <v>-7.7708079767810911E-3</v>
      </c>
      <c r="G54" s="2153"/>
      <c r="H54" s="2152"/>
      <c r="I54" s="2150"/>
      <c r="J54" s="2152"/>
      <c r="K54" s="2158"/>
      <c r="L54" s="2153"/>
      <c r="M54" s="2152"/>
      <c r="N54" s="2161"/>
    </row>
    <row r="55" spans="1:14" s="1" customFormat="1" ht="15">
      <c r="A55" s="329">
        <v>1996.1</v>
      </c>
      <c r="B55" s="2145">
        <v>4.0716612377851291E-3</v>
      </c>
      <c r="C55" s="2082">
        <v>4.7799422799423841E-3</v>
      </c>
      <c r="D55" s="2079">
        <v>-3.8467820973538069E-2</v>
      </c>
      <c r="E55" s="2082">
        <v>1.7713066864508908E-2</v>
      </c>
      <c r="F55" s="2135">
        <v>-4.906586148330061E-3</v>
      </c>
      <c r="G55" s="2153"/>
      <c r="H55" s="2152"/>
      <c r="I55" s="2150"/>
      <c r="J55" s="2152"/>
      <c r="K55" s="2158"/>
      <c r="L55" s="2153"/>
      <c r="M55" s="2152"/>
      <c r="N55" s="2161"/>
    </row>
    <row r="56" spans="1:14" s="1" customFormat="1" ht="15">
      <c r="A56" s="329">
        <v>1996.11</v>
      </c>
      <c r="B56" s="2145">
        <v>-7.8399567450664343E-3</v>
      </c>
      <c r="C56" s="2082">
        <v>-8.7963378511800583E-3</v>
      </c>
      <c r="D56" s="2079">
        <v>-3.6354370169030759E-2</v>
      </c>
      <c r="E56" s="2082">
        <v>-1.0023692363768655E-3</v>
      </c>
      <c r="F56" s="2135">
        <v>5.2152474871991483E-3</v>
      </c>
      <c r="G56" s="2153"/>
      <c r="H56" s="2152"/>
      <c r="I56" s="2150"/>
      <c r="J56" s="2152"/>
      <c r="K56" s="2158"/>
      <c r="L56" s="2153"/>
      <c r="M56" s="2152"/>
      <c r="N56" s="2161"/>
    </row>
    <row r="57" spans="1:14" s="1" customFormat="1" ht="15">
      <c r="A57" s="329">
        <v>1996.12</v>
      </c>
      <c r="B57" s="2145">
        <v>-1.3623978201633413E-3</v>
      </c>
      <c r="C57" s="2082">
        <v>-9.96106130580654E-4</v>
      </c>
      <c r="D57" s="2079">
        <v>4.4072278536799736E-4</v>
      </c>
      <c r="E57" s="2082">
        <v>-1.2770227127610889E-3</v>
      </c>
      <c r="F57" s="2135">
        <v>-7.9237807753985701E-3</v>
      </c>
      <c r="G57" s="2153"/>
      <c r="H57" s="2152"/>
      <c r="I57" s="2150"/>
      <c r="J57" s="2152"/>
      <c r="K57" s="2158"/>
      <c r="L57" s="2153"/>
      <c r="M57" s="2152"/>
      <c r="N57" s="2161"/>
    </row>
    <row r="58" spans="1:14" s="1" customFormat="1" ht="15">
      <c r="A58" s="329">
        <v>1997.01</v>
      </c>
      <c r="B58" s="2145">
        <v>3.6380172805818844E-3</v>
      </c>
      <c r="C58" s="2082">
        <v>3.8977519941987282E-3</v>
      </c>
      <c r="D58" s="2079">
        <v>4.8458149779733173E-3</v>
      </c>
      <c r="E58" s="2082">
        <v>3.4706365878163226E-3</v>
      </c>
      <c r="F58" s="2135">
        <v>1.6164305410288904E-3</v>
      </c>
      <c r="G58" s="2153"/>
      <c r="H58" s="2152"/>
      <c r="I58" s="2150"/>
      <c r="J58" s="2152"/>
      <c r="K58" s="2158"/>
      <c r="L58" s="2153"/>
      <c r="M58" s="2152"/>
      <c r="N58" s="2161"/>
    </row>
    <row r="59" spans="1:14" s="1" customFormat="1" ht="15">
      <c r="A59" s="329">
        <v>1997.02</v>
      </c>
      <c r="B59" s="2145">
        <v>-1.7217942908925865E-3</v>
      </c>
      <c r="C59" s="2082">
        <v>-2.1670428893905136E-3</v>
      </c>
      <c r="D59" s="2079">
        <v>-1.779921087242442E-2</v>
      </c>
      <c r="E59" s="2082">
        <v>2.184399745153387E-3</v>
      </c>
      <c r="F59" s="2135">
        <v>3.5124359217770795E-3</v>
      </c>
      <c r="G59" s="2153"/>
      <c r="H59" s="2152"/>
      <c r="I59" s="2150"/>
      <c r="J59" s="2152"/>
      <c r="K59" s="2158"/>
      <c r="L59" s="2153"/>
      <c r="M59" s="2152"/>
      <c r="N59" s="2161"/>
    </row>
    <row r="60" spans="1:14" s="1" customFormat="1" ht="15">
      <c r="A60" s="329">
        <v>1997.03</v>
      </c>
      <c r="B60" s="2145">
        <v>-2.9048656499635062E-3</v>
      </c>
      <c r="C60" s="2082">
        <v>-2.1717491629716923E-3</v>
      </c>
      <c r="D60" s="2079">
        <v>-1.1605070523120875E-2</v>
      </c>
      <c r="E60" s="2082">
        <v>3.6327309054584589E-4</v>
      </c>
      <c r="F60" s="2135">
        <v>-1.2581591145586879E-2</v>
      </c>
      <c r="G60" s="2153"/>
      <c r="H60" s="2152"/>
      <c r="I60" s="2150"/>
      <c r="J60" s="2152"/>
      <c r="K60" s="2158"/>
      <c r="L60" s="2153"/>
      <c r="M60" s="2152"/>
      <c r="N60" s="2161"/>
    </row>
    <row r="61" spans="1:14" s="1" customFormat="1" ht="15">
      <c r="A61" s="329">
        <v>1997.04</v>
      </c>
      <c r="B61" s="2145">
        <v>-4.3699927166787056E-3</v>
      </c>
      <c r="C61" s="2082">
        <v>-4.9877573229344385E-3</v>
      </c>
      <c r="D61" s="2079">
        <v>-1.7611994219653204E-2</v>
      </c>
      <c r="E61" s="2082">
        <v>-1.6341352700862677E-3</v>
      </c>
      <c r="F61" s="2135">
        <v>3.544740371718591E-3</v>
      </c>
      <c r="G61" s="2153"/>
      <c r="H61" s="2152"/>
      <c r="I61" s="2150"/>
      <c r="J61" s="2152"/>
      <c r="K61" s="2158"/>
      <c r="L61" s="2153"/>
      <c r="M61" s="2152"/>
      <c r="N61" s="2161"/>
    </row>
    <row r="62" spans="1:14" s="1" customFormat="1" ht="15">
      <c r="A62" s="329">
        <v>1997.05</v>
      </c>
      <c r="B62" s="2145">
        <v>6.3094367227505277E-3</v>
      </c>
      <c r="C62" s="2082">
        <v>6.5621582209258733E-3</v>
      </c>
      <c r="D62" s="2079">
        <v>3.1442493334559174E-2</v>
      </c>
      <c r="E62" s="2082">
        <v>9.0933891061073524E-5</v>
      </c>
      <c r="F62" s="2135">
        <v>3.054892601431769E-3</v>
      </c>
      <c r="G62" s="2153"/>
      <c r="H62" s="2152"/>
      <c r="I62" s="2150"/>
      <c r="J62" s="2152"/>
      <c r="K62" s="2158"/>
      <c r="L62" s="2153"/>
      <c r="M62" s="2152"/>
      <c r="N62" s="2161"/>
    </row>
    <row r="63" spans="1:14" s="1" customFormat="1" ht="15">
      <c r="A63" s="329">
        <v>1997.06</v>
      </c>
      <c r="B63" s="2145">
        <v>-3.998182644252779E-3</v>
      </c>
      <c r="C63" s="2082">
        <v>-3.9840637450199168E-3</v>
      </c>
      <c r="D63" s="2079">
        <v>-1.0696140475978333E-2</v>
      </c>
      <c r="E63" s="2082">
        <v>-2.1822149481723896E-3</v>
      </c>
      <c r="F63" s="2135">
        <v>-3.6166365280290158E-3</v>
      </c>
      <c r="G63" s="2153"/>
      <c r="H63" s="2152"/>
      <c r="I63" s="2150"/>
      <c r="J63" s="2152"/>
      <c r="K63" s="2158"/>
      <c r="L63" s="2153"/>
      <c r="M63" s="2152"/>
      <c r="N63" s="2161"/>
    </row>
    <row r="64" spans="1:14" s="1" customFormat="1" ht="15">
      <c r="A64" s="329">
        <v>1997.07</v>
      </c>
      <c r="B64" s="2145">
        <v>-4.3791624851747812E-3</v>
      </c>
      <c r="C64" s="2082">
        <v>-4.2727272727272059E-3</v>
      </c>
      <c r="D64" s="2079">
        <v>-4.8653031804666291E-3</v>
      </c>
      <c r="E64" s="2082">
        <v>-4.1917258975762151E-3</v>
      </c>
      <c r="F64" s="2135">
        <v>-5.6356863119686462E-3</v>
      </c>
      <c r="G64" s="2153"/>
      <c r="H64" s="2152"/>
      <c r="I64" s="2150"/>
      <c r="J64" s="2152"/>
      <c r="K64" s="2158"/>
      <c r="L64" s="2153"/>
      <c r="M64" s="2152"/>
      <c r="N64" s="2161"/>
    </row>
    <row r="65" spans="1:14" s="1" customFormat="1" ht="15">
      <c r="A65" s="329">
        <v>1997.08</v>
      </c>
      <c r="B65" s="2145">
        <v>6.8725373407863E-3</v>
      </c>
      <c r="C65" s="2082">
        <v>7.3039349949783894E-3</v>
      </c>
      <c r="D65" s="2079">
        <v>2.8791308284291661E-2</v>
      </c>
      <c r="E65" s="2082">
        <v>1.6471449487556189E-3</v>
      </c>
      <c r="F65" s="2135">
        <v>-2.881844380404619E-4</v>
      </c>
      <c r="G65" s="2153"/>
      <c r="H65" s="2152"/>
      <c r="I65" s="2150"/>
      <c r="J65" s="2152"/>
      <c r="K65" s="2158"/>
      <c r="L65" s="2153"/>
      <c r="M65" s="2152"/>
      <c r="N65" s="2161"/>
    </row>
    <row r="66" spans="1:14" s="1" customFormat="1" ht="15">
      <c r="A66" s="329">
        <v>1997.09</v>
      </c>
      <c r="B66" s="2145">
        <v>1.27411721878401E-3</v>
      </c>
      <c r="C66" s="2082">
        <v>1.90338076679053E-3</v>
      </c>
      <c r="D66" s="2079">
        <v>5.4563055531109406E-3</v>
      </c>
      <c r="E66" s="2082">
        <v>1.0049333089712231E-3</v>
      </c>
      <c r="F66" s="2135">
        <v>-7.5910444892859363E-3</v>
      </c>
      <c r="G66" s="2153"/>
      <c r="H66" s="2152"/>
      <c r="I66" s="2150"/>
      <c r="J66" s="2152"/>
      <c r="K66" s="2158"/>
      <c r="L66" s="2153"/>
      <c r="M66" s="2152"/>
      <c r="N66" s="2161"/>
    </row>
    <row r="67" spans="1:14" s="1" customFormat="1" ht="15">
      <c r="A67" s="329">
        <v>1997.1</v>
      </c>
      <c r="B67" s="2145">
        <v>-1.1816033448462937E-3</v>
      </c>
      <c r="C67" s="2082">
        <v>-8.1418491043971919E-4</v>
      </c>
      <c r="D67" s="2079">
        <v>8.1400437636762746E-3</v>
      </c>
      <c r="E67" s="2082">
        <v>-3.2855708679383477E-3</v>
      </c>
      <c r="F67" s="2135">
        <v>-5.228505034856834E-3</v>
      </c>
      <c r="G67" s="2153"/>
      <c r="H67" s="2152"/>
      <c r="I67" s="2150"/>
      <c r="J67" s="2152"/>
      <c r="K67" s="2158"/>
      <c r="L67" s="2153"/>
      <c r="M67" s="2152"/>
      <c r="N67" s="2161"/>
    </row>
    <row r="68" spans="1:14" s="1" customFormat="1" ht="15">
      <c r="A68" s="329">
        <v>1997.11</v>
      </c>
      <c r="B68" s="2145">
        <v>-2.0930020930021165E-3</v>
      </c>
      <c r="C68" s="2082">
        <v>-1.5391579900407848E-3</v>
      </c>
      <c r="D68" s="2079">
        <v>-5.4696996006251553E-3</v>
      </c>
      <c r="E68" s="2082">
        <v>-5.4940023807337202E-4</v>
      </c>
      <c r="F68" s="2135">
        <v>-9.8306404516252943E-3</v>
      </c>
      <c r="G68" s="2153"/>
      <c r="H68" s="2152"/>
      <c r="I68" s="2150"/>
      <c r="J68" s="2152"/>
      <c r="K68" s="2158"/>
      <c r="L68" s="2153"/>
      <c r="M68" s="2152"/>
      <c r="N68" s="2161"/>
    </row>
    <row r="69" spans="1:14" s="1" customFormat="1" ht="15">
      <c r="A69" s="329">
        <v>1997.12</v>
      </c>
      <c r="B69" s="2145">
        <v>-6.5657486777311869E-3</v>
      </c>
      <c r="C69" s="2082">
        <v>-6.9822270583966839E-3</v>
      </c>
      <c r="D69" s="2079">
        <v>-2.7586206896551668E-2</v>
      </c>
      <c r="E69" s="2082">
        <v>-1.2826385707741528E-3</v>
      </c>
      <c r="F69" s="2135">
        <v>-8.8469478030084314E-4</v>
      </c>
      <c r="G69" s="2153"/>
      <c r="H69" s="2152"/>
      <c r="I69" s="2150"/>
      <c r="J69" s="2152"/>
      <c r="K69" s="2158"/>
      <c r="L69" s="2153"/>
      <c r="M69" s="2152"/>
      <c r="N69" s="2161"/>
    </row>
    <row r="70" spans="1:14" s="1" customFormat="1" ht="15">
      <c r="A70" s="329">
        <v>1998.01</v>
      </c>
      <c r="B70" s="2145">
        <v>-1.266752340738031E-2</v>
      </c>
      <c r="C70" s="2082">
        <v>-1.3423431650077755E-2</v>
      </c>
      <c r="D70" s="2079">
        <v>-5.745578597719736E-2</v>
      </c>
      <c r="E70" s="2082">
        <v>-1.559489955050064E-3</v>
      </c>
      <c r="F70" s="2135">
        <v>-1.5741833923652582E-3</v>
      </c>
      <c r="G70" s="2153"/>
      <c r="H70" s="2152"/>
      <c r="I70" s="2150"/>
      <c r="J70" s="2152"/>
      <c r="K70" s="2158"/>
      <c r="L70" s="2153"/>
      <c r="M70" s="2152"/>
      <c r="N70" s="2161"/>
    </row>
    <row r="71" spans="1:14" s="1" customFormat="1" ht="15">
      <c r="A71" s="329">
        <v>1998.02</v>
      </c>
      <c r="B71" s="2145">
        <v>3.5329118631459711E-3</v>
      </c>
      <c r="C71" s="2082">
        <v>3.7948907811922172E-3</v>
      </c>
      <c r="D71" s="2079">
        <v>1.5334793789884893E-2</v>
      </c>
      <c r="E71" s="2082">
        <v>9.1877986034538672E-4</v>
      </c>
      <c r="F71" s="2135">
        <v>-8.8687426093814192E-4</v>
      </c>
      <c r="G71" s="2153"/>
      <c r="H71" s="2152"/>
      <c r="I71" s="2150"/>
      <c r="J71" s="2152"/>
      <c r="K71" s="2158"/>
      <c r="L71" s="2153"/>
      <c r="M71" s="2152"/>
      <c r="N71" s="2161"/>
    </row>
    <row r="72" spans="1:14" s="1" customFormat="1" ht="15">
      <c r="A72" s="329">
        <v>1998.03</v>
      </c>
      <c r="B72" s="2145">
        <v>-2.5940337224382715E-3</v>
      </c>
      <c r="C72" s="2082">
        <v>-2.6740433379438544E-3</v>
      </c>
      <c r="D72" s="2079">
        <v>-1.7166979362101209E-2</v>
      </c>
      <c r="E72" s="2082">
        <v>1.0097301266751568E-3</v>
      </c>
      <c r="F72" s="2135">
        <v>-8.8766150507946229E-4</v>
      </c>
      <c r="G72" s="2153"/>
      <c r="H72" s="2152"/>
      <c r="I72" s="2150"/>
      <c r="J72" s="2152"/>
      <c r="K72" s="2158"/>
      <c r="L72" s="2153"/>
      <c r="M72" s="2152"/>
      <c r="N72" s="2161"/>
    </row>
    <row r="73" spans="1:14" s="1" customFormat="1" ht="15">
      <c r="A73" s="329">
        <v>1998.04</v>
      </c>
      <c r="B73" s="2145">
        <v>8.3596507523697738E-4</v>
      </c>
      <c r="C73" s="2082">
        <v>1.2019230769231282E-3</v>
      </c>
      <c r="D73" s="2079">
        <v>1.0690083039037956E-2</v>
      </c>
      <c r="E73" s="2082">
        <v>-1.1921137093076073E-3</v>
      </c>
      <c r="F73" s="2135">
        <v>-3.5538005922999272E-3</v>
      </c>
      <c r="G73" s="2153"/>
      <c r="H73" s="2152"/>
      <c r="I73" s="2150"/>
      <c r="J73" s="2152"/>
      <c r="K73" s="2158"/>
      <c r="L73" s="2153"/>
      <c r="M73" s="2152"/>
      <c r="N73" s="2161"/>
    </row>
    <row r="74" spans="1:14" s="1" customFormat="1" ht="15">
      <c r="A74" s="329">
        <v>1998.05</v>
      </c>
      <c r="B74" s="2145">
        <v>-2.0417633410674263E-3</v>
      </c>
      <c r="C74" s="2082">
        <v>-1.5698587127157548E-3</v>
      </c>
      <c r="D74" s="2079">
        <v>-1.3032392105014501E-2</v>
      </c>
      <c r="E74" s="2082">
        <v>1.3771575468233266E-3</v>
      </c>
      <c r="F74" s="2135">
        <v>-9.4115316029325102E-3</v>
      </c>
      <c r="G74" s="2153"/>
      <c r="H74" s="2152"/>
      <c r="I74" s="2150"/>
      <c r="J74" s="2152"/>
      <c r="K74" s="2158"/>
      <c r="L74" s="2153"/>
      <c r="M74" s="2152"/>
      <c r="N74" s="2161"/>
    </row>
    <row r="75" spans="1:14" s="1" customFormat="1" ht="15">
      <c r="A75" s="329">
        <v>1998.06</v>
      </c>
      <c r="B75" s="2145">
        <v>0</v>
      </c>
      <c r="C75" s="2082">
        <v>2.7746947835738389E-4</v>
      </c>
      <c r="D75" s="2079">
        <v>9.5684623480751796E-5</v>
      </c>
      <c r="E75" s="2082">
        <v>2.7505271843786261E-4</v>
      </c>
      <c r="F75" s="2135">
        <v>-2.4002400240024091E-3</v>
      </c>
      <c r="G75" s="2153"/>
      <c r="H75" s="2152"/>
      <c r="I75" s="2150"/>
      <c r="J75" s="2152"/>
      <c r="K75" s="2158"/>
      <c r="L75" s="2153"/>
      <c r="M75" s="2152"/>
      <c r="N75" s="2161"/>
    </row>
    <row r="76" spans="1:14" s="1" customFormat="1" ht="15">
      <c r="A76" s="329">
        <v>1998.07</v>
      </c>
      <c r="B76" s="2145">
        <v>-2.9759136985029189E-3</v>
      </c>
      <c r="C76" s="2082">
        <v>-2.7739251040223012E-3</v>
      </c>
      <c r="D76" s="2079">
        <v>3.6356678147724253E-3</v>
      </c>
      <c r="E76" s="2082">
        <v>-4.3079743354719202E-3</v>
      </c>
      <c r="F76" s="2135">
        <v>-7.1177944862154119E-3</v>
      </c>
      <c r="G76" s="2153"/>
      <c r="H76" s="2152"/>
      <c r="I76" s="2150"/>
      <c r="J76" s="2152"/>
      <c r="K76" s="2158"/>
      <c r="L76" s="2153"/>
      <c r="M76" s="2152"/>
      <c r="N76" s="2161"/>
    </row>
    <row r="77" spans="1:14" s="1" customFormat="1" ht="15">
      <c r="A77" s="329">
        <v>1998.08</v>
      </c>
      <c r="B77" s="2145">
        <v>-6.3426919130679105E-3</v>
      </c>
      <c r="C77" s="2082">
        <v>-6.4904960593414884E-3</v>
      </c>
      <c r="D77" s="2079">
        <v>-2.4785510009532885E-2</v>
      </c>
      <c r="E77" s="2082">
        <v>-1.7490564300838285E-3</v>
      </c>
      <c r="F77" s="2135">
        <v>-4.0387722132473325E-3</v>
      </c>
      <c r="G77" s="2153"/>
      <c r="H77" s="2152"/>
      <c r="I77" s="2150"/>
      <c r="J77" s="2152"/>
      <c r="K77" s="2158"/>
      <c r="L77" s="2153"/>
      <c r="M77" s="2152"/>
      <c r="N77" s="2161"/>
    </row>
    <row r="78" spans="1:14" s="1" customFormat="1" ht="15">
      <c r="A78" s="329">
        <v>1998.09</v>
      </c>
      <c r="B78" s="2145">
        <v>-1.0513470383929358E-2</v>
      </c>
      <c r="C78" s="2082">
        <v>-1.0545963602426545E-2</v>
      </c>
      <c r="D78" s="2079">
        <v>-2.8054740957966673E-2</v>
      </c>
      <c r="E78" s="2082">
        <v>-6.362965695315248E-3</v>
      </c>
      <c r="F78" s="2135">
        <v>-9.4282238442823241E-3</v>
      </c>
      <c r="G78" s="2153"/>
      <c r="H78" s="2152"/>
      <c r="I78" s="2150"/>
      <c r="J78" s="2152"/>
      <c r="K78" s="2158"/>
      <c r="L78" s="2153"/>
      <c r="M78" s="2152"/>
      <c r="N78" s="2161"/>
    </row>
    <row r="79" spans="1:14" s="1" customFormat="1" ht="15">
      <c r="A79" s="329">
        <v>1998.1</v>
      </c>
      <c r="B79" s="2145">
        <v>-1.0814913196091624E-2</v>
      </c>
      <c r="C79" s="2082">
        <v>-1.1129975476325105E-2</v>
      </c>
      <c r="D79" s="2079">
        <v>-2.7959368399879336E-2</v>
      </c>
      <c r="E79" s="2082">
        <v>-6.867749419953606E-3</v>
      </c>
      <c r="F79" s="2135">
        <v>-8.085149933476532E-3</v>
      </c>
      <c r="G79" s="2153"/>
      <c r="H79" s="2152"/>
      <c r="I79" s="2150"/>
      <c r="J79" s="2152"/>
      <c r="K79" s="2158"/>
      <c r="L79" s="2153"/>
      <c r="M79" s="2152"/>
      <c r="N79" s="2161"/>
    </row>
    <row r="80" spans="1:14" s="1" customFormat="1" ht="15">
      <c r="A80" s="329">
        <v>1998.11</v>
      </c>
      <c r="B80" s="2145">
        <v>-9.3027716505227342E-3</v>
      </c>
      <c r="C80" s="2082">
        <v>-9.2521938191528763E-3</v>
      </c>
      <c r="D80" s="2079">
        <v>-3.3729953440248428E-2</v>
      </c>
      <c r="E80" s="2082">
        <v>-3.4576207831044092E-3</v>
      </c>
      <c r="F80" s="2135">
        <v>-8.5637639290137013E-3</v>
      </c>
      <c r="G80" s="2153"/>
      <c r="H80" s="2152"/>
      <c r="I80" s="2150"/>
      <c r="J80" s="2152"/>
      <c r="K80" s="2158"/>
      <c r="L80" s="2153"/>
      <c r="M80" s="2152"/>
      <c r="N80" s="2161"/>
    </row>
    <row r="81" spans="1:14" s="1" customFormat="1" ht="15">
      <c r="A81" s="329">
        <v>1998.12</v>
      </c>
      <c r="B81" s="2145">
        <v>-1.1423039690222514E-2</v>
      </c>
      <c r="C81" s="2082">
        <v>-1.2226821989024694E-2</v>
      </c>
      <c r="D81" s="2079">
        <v>-5.8464503694185543E-2</v>
      </c>
      <c r="E81" s="2082">
        <v>-1.5941485371343544E-3</v>
      </c>
      <c r="F81" s="2135">
        <v>-1.3528983244874837E-3</v>
      </c>
      <c r="G81" s="2153"/>
      <c r="H81" s="2152"/>
      <c r="I81" s="2150"/>
      <c r="J81" s="2152"/>
      <c r="K81" s="2158"/>
      <c r="L81" s="2153"/>
      <c r="M81" s="2152"/>
      <c r="N81" s="2161"/>
    </row>
    <row r="82" spans="1:14" s="1" customFormat="1" ht="15">
      <c r="A82" s="329">
        <v>1999.01</v>
      </c>
      <c r="B82" s="2145">
        <v>-4.5045045045045695E-3</v>
      </c>
      <c r="C82" s="2082">
        <v>-4.4834307992202005E-3</v>
      </c>
      <c r="D82" s="2079">
        <v>-1.1941316956670223E-2</v>
      </c>
      <c r="E82" s="2082">
        <v>-2.8176951253874316E-3</v>
      </c>
      <c r="F82" s="2135">
        <v>-5.002084201750634E-3</v>
      </c>
      <c r="G82" s="2153"/>
      <c r="H82" s="2152"/>
      <c r="I82" s="2150"/>
      <c r="J82" s="2152"/>
      <c r="K82" s="2158"/>
      <c r="L82" s="2153"/>
      <c r="M82" s="2152"/>
      <c r="N82" s="2161"/>
    </row>
    <row r="83" spans="1:14" s="1" customFormat="1" ht="15">
      <c r="A83" s="329">
        <v>1999.02</v>
      </c>
      <c r="B83" s="2145">
        <v>-8.2628369073380892E-3</v>
      </c>
      <c r="C83" s="2082">
        <v>-8.5177207754063566E-3</v>
      </c>
      <c r="D83" s="2079">
        <v>-2.7969613259668402E-2</v>
      </c>
      <c r="E83" s="2082">
        <v>-4.3326740133748931E-3</v>
      </c>
      <c r="F83" s="2135">
        <v>-4.9224968579807404E-3</v>
      </c>
      <c r="G83" s="2153"/>
      <c r="H83" s="2152"/>
      <c r="I83" s="2150"/>
      <c r="J83" s="2152"/>
      <c r="K83" s="2158"/>
      <c r="L83" s="2153"/>
      <c r="M83" s="2152"/>
      <c r="N83" s="2161"/>
    </row>
    <row r="84" spans="1:14" s="1" customFormat="1" ht="15">
      <c r="A84" s="329">
        <v>1999.03</v>
      </c>
      <c r="B84" s="2145">
        <v>2.0829200555445571E-3</v>
      </c>
      <c r="C84" s="2082">
        <v>2.7648859484545873E-3</v>
      </c>
      <c r="D84" s="2079">
        <v>2.8656009473061017E-2</v>
      </c>
      <c r="E84" s="2082">
        <v>-2.7433544603158166E-3</v>
      </c>
      <c r="F84" s="2135">
        <v>-5.6836122513420628E-3</v>
      </c>
      <c r="G84" s="2153"/>
      <c r="H84" s="2152"/>
      <c r="I84" s="2150"/>
      <c r="J84" s="2152"/>
      <c r="K84" s="2158"/>
      <c r="L84" s="2153"/>
      <c r="M84" s="2152"/>
      <c r="N84" s="2161"/>
    </row>
    <row r="85" spans="1:14" s="1" customFormat="1" ht="15">
      <c r="A85" s="329">
        <v>1999.04</v>
      </c>
      <c r="B85" s="2145">
        <v>9.7000890824507913E-3</v>
      </c>
      <c r="C85" s="2082">
        <v>1.0733628754308278E-2</v>
      </c>
      <c r="D85" s="2079">
        <v>6.4233912743179467E-2</v>
      </c>
      <c r="E85" s="2082">
        <v>-9.4858660595731337E-4</v>
      </c>
      <c r="F85" s="2135">
        <v>-4.5517095374192351E-3</v>
      </c>
      <c r="G85" s="2153"/>
      <c r="H85" s="2152"/>
      <c r="I85" s="2150"/>
      <c r="J85" s="2152"/>
      <c r="K85" s="2158"/>
      <c r="L85" s="2153"/>
      <c r="M85" s="2152"/>
      <c r="N85" s="2161"/>
    </row>
    <row r="86" spans="1:14" s="1" customFormat="1" ht="15">
      <c r="A86" s="329">
        <v>1999.05</v>
      </c>
      <c r="B86" s="2145">
        <v>-3.9211841976283246E-4</v>
      </c>
      <c r="C86" s="2082">
        <v>1.94855806703087E-4</v>
      </c>
      <c r="D86" s="2079">
        <v>1.0600324499729696E-2</v>
      </c>
      <c r="E86" s="2082">
        <v>-2.0888720091151169E-3</v>
      </c>
      <c r="F86" s="2135">
        <v>-9.676733304976648E-3</v>
      </c>
      <c r="G86" s="2153"/>
      <c r="H86" s="2152"/>
      <c r="I86" s="2150"/>
      <c r="J86" s="2152"/>
      <c r="K86" s="2158"/>
      <c r="L86" s="2153"/>
      <c r="M86" s="2152"/>
      <c r="N86" s="2161"/>
    </row>
    <row r="87" spans="1:14" s="1" customFormat="1" ht="15">
      <c r="A87" s="329">
        <v>1999.06</v>
      </c>
      <c r="B87" s="2145">
        <v>-8.8261253309784848E-4</v>
      </c>
      <c r="C87" s="2082">
        <v>-7.7927138125855056E-4</v>
      </c>
      <c r="D87" s="2079">
        <v>8.5625602055012795E-3</v>
      </c>
      <c r="E87" s="2082">
        <v>-3.0447193149381047E-3</v>
      </c>
      <c r="F87" s="2135">
        <v>-1.1811446365295186E-3</v>
      </c>
      <c r="G87" s="2153"/>
      <c r="H87" s="2152"/>
      <c r="I87" s="2150"/>
      <c r="J87" s="2152"/>
      <c r="K87" s="2158"/>
      <c r="L87" s="2153"/>
      <c r="M87" s="2152"/>
      <c r="N87" s="2161"/>
    </row>
    <row r="88" spans="1:14" s="1" customFormat="1" ht="15">
      <c r="A88" s="329">
        <v>1999.07</v>
      </c>
      <c r="B88" s="2145">
        <v>1.8649391440910268E-3</v>
      </c>
      <c r="C88" s="2082">
        <v>2.0471826866836906E-3</v>
      </c>
      <c r="D88" s="2079">
        <v>1.613074392444025E-2</v>
      </c>
      <c r="E88" s="2082">
        <v>-1.3361328497806246E-3</v>
      </c>
      <c r="F88" s="2135">
        <v>-6.4502257579002187E-4</v>
      </c>
      <c r="G88" s="2153"/>
      <c r="H88" s="2152"/>
      <c r="I88" s="2150"/>
      <c r="J88" s="2152"/>
      <c r="K88" s="2158"/>
      <c r="L88" s="2153"/>
      <c r="M88" s="2152"/>
      <c r="N88" s="2161"/>
    </row>
    <row r="89" spans="1:14" s="1" customFormat="1" ht="15">
      <c r="A89" s="329">
        <v>1999.08</v>
      </c>
      <c r="B89" s="2145">
        <v>2.5472714803567165E-3</v>
      </c>
      <c r="C89" s="2082">
        <v>3.0158575736938253E-3</v>
      </c>
      <c r="D89" s="2079">
        <v>2.1723237597911282E-2</v>
      </c>
      <c r="E89" s="2082">
        <v>-1.3379204892965957E-3</v>
      </c>
      <c r="F89" s="2135">
        <v>-5.1635111876074946E-3</v>
      </c>
      <c r="G89" s="2153"/>
      <c r="H89" s="2152"/>
      <c r="I89" s="2150"/>
      <c r="J89" s="2152"/>
      <c r="K89" s="2158"/>
      <c r="L89" s="2153"/>
      <c r="M89" s="2152"/>
      <c r="N89" s="2161"/>
    </row>
    <row r="90" spans="1:14" s="1" customFormat="1" ht="15">
      <c r="A90" s="329">
        <v>1999.09</v>
      </c>
      <c r="B90" s="2145">
        <v>8.4041825466627529E-3</v>
      </c>
      <c r="C90" s="2082">
        <v>8.6323957322986811E-3</v>
      </c>
      <c r="D90" s="2079">
        <v>4.8655831544516026E-2</v>
      </c>
      <c r="E90" s="2082">
        <v>-1.2440191387561583E-3</v>
      </c>
      <c r="F90" s="2135">
        <v>5.7309688581315132E-3</v>
      </c>
      <c r="G90" s="2153"/>
      <c r="H90" s="2152"/>
      <c r="I90" s="2150"/>
      <c r="J90" s="2152"/>
      <c r="K90" s="2158"/>
      <c r="L90" s="2153"/>
      <c r="M90" s="2152"/>
      <c r="N90" s="2161"/>
    </row>
    <row r="91" spans="1:14" s="1" customFormat="1" ht="15">
      <c r="A91" s="329">
        <v>1999.1</v>
      </c>
      <c r="B91" s="2145">
        <v>-1.1629033821106693E-3</v>
      </c>
      <c r="C91" s="2082">
        <v>-1.346283296470796E-3</v>
      </c>
      <c r="D91" s="2079">
        <v>-1.9982454430256369E-2</v>
      </c>
      <c r="E91" s="2082">
        <v>3.3534540576793948E-3</v>
      </c>
      <c r="F91" s="2135">
        <v>2.1503064186645382E-3</v>
      </c>
      <c r="G91" s="2153"/>
      <c r="H91" s="2152"/>
      <c r="I91" s="2150"/>
      <c r="J91" s="2152"/>
      <c r="K91" s="2158"/>
      <c r="L91" s="2153"/>
      <c r="M91" s="2152"/>
      <c r="N91" s="2161"/>
    </row>
    <row r="92" spans="1:14" s="1" customFormat="1" ht="15">
      <c r="A92" s="329">
        <v>1999.11</v>
      </c>
      <c r="B92" s="2145">
        <v>-2.1344717182496531E-3</v>
      </c>
      <c r="C92" s="2082">
        <v>-2.6961964371690073E-3</v>
      </c>
      <c r="D92" s="2079">
        <v>-9.7473642331411536E-3</v>
      </c>
      <c r="E92" s="2082">
        <v>-9.5492742551561705E-4</v>
      </c>
      <c r="F92" s="2135">
        <v>4.8278081750885438E-3</v>
      </c>
      <c r="G92" s="2153"/>
      <c r="H92" s="2152"/>
      <c r="I92" s="2150"/>
      <c r="J92" s="2152"/>
      <c r="K92" s="2158"/>
      <c r="L92" s="2153"/>
      <c r="M92" s="2152"/>
      <c r="N92" s="2161"/>
    </row>
    <row r="93" spans="1:14" s="1" customFormat="1" ht="15">
      <c r="A93" s="329">
        <v>1999.12</v>
      </c>
      <c r="B93" s="2145">
        <v>4.8614487117160099E-3</v>
      </c>
      <c r="C93" s="2082">
        <v>4.9242058511151932E-3</v>
      </c>
      <c r="D93" s="2079">
        <v>6.3278425070307787E-3</v>
      </c>
      <c r="E93" s="2082">
        <v>4.5880328809022597E-3</v>
      </c>
      <c r="F93" s="2135">
        <v>5.445227418321652E-3</v>
      </c>
      <c r="G93" s="2153"/>
      <c r="H93" s="2152"/>
      <c r="I93" s="2150"/>
      <c r="J93" s="2152"/>
      <c r="K93" s="2158"/>
      <c r="L93" s="2153"/>
      <c r="M93" s="2152"/>
      <c r="N93" s="2161"/>
    </row>
    <row r="94" spans="1:14" s="1" customFormat="1" ht="15">
      <c r="A94" s="329">
        <v>2000.01</v>
      </c>
      <c r="B94" s="2145">
        <v>1.1998064828253385E-2</v>
      </c>
      <c r="C94" s="2082">
        <v>1.2298232129131614E-2</v>
      </c>
      <c r="D94" s="2079">
        <v>2.4253917556642524E-2</v>
      </c>
      <c r="E94" s="2082">
        <v>9.4196003805899764E-3</v>
      </c>
      <c r="F94" s="2135">
        <v>7.008601465434916E-3</v>
      </c>
      <c r="G94" s="2153"/>
      <c r="H94" s="2152"/>
      <c r="I94" s="2150"/>
      <c r="J94" s="2152"/>
      <c r="K94" s="2158"/>
      <c r="L94" s="2153"/>
      <c r="M94" s="2152"/>
      <c r="N94" s="2161"/>
    </row>
    <row r="95" spans="1:14" s="1" customFormat="1" ht="15">
      <c r="A95" s="329">
        <v>2000.02</v>
      </c>
      <c r="B95" s="2145">
        <v>8.700640596615461E-3</v>
      </c>
      <c r="C95" s="2082">
        <v>9.3014426727409116E-3</v>
      </c>
      <c r="D95" s="2079">
        <v>3.5178327811342669E-2</v>
      </c>
      <c r="E95" s="2082">
        <v>2.6392685455745024E-3</v>
      </c>
      <c r="F95" s="2135">
        <v>-4.2180744490138977E-4</v>
      </c>
      <c r="G95" s="2153"/>
      <c r="H95" s="2152"/>
      <c r="I95" s="2150"/>
      <c r="J95" s="2152"/>
      <c r="K95" s="2158"/>
      <c r="L95" s="2153"/>
      <c r="M95" s="2152"/>
      <c r="N95" s="2161"/>
    </row>
    <row r="96" spans="1:14" s="1" customFormat="1" ht="15">
      <c r="A96" s="329">
        <v>2000.03</v>
      </c>
      <c r="B96" s="2145">
        <v>5.1184834123223499E-3</v>
      </c>
      <c r="C96" s="2082">
        <v>5.4542034982134613E-3</v>
      </c>
      <c r="D96" s="2079">
        <v>1.6850230631648255E-2</v>
      </c>
      <c r="E96" s="2082">
        <v>2.444298204380857E-3</v>
      </c>
      <c r="F96" s="2135">
        <v>1.0549636037548993E-4</v>
      </c>
      <c r="G96" s="2153"/>
      <c r="H96" s="2152"/>
      <c r="I96" s="2150"/>
      <c r="J96" s="2152"/>
      <c r="K96" s="2158"/>
      <c r="L96" s="2153"/>
      <c r="M96" s="2152"/>
      <c r="N96" s="2161"/>
    </row>
    <row r="97" spans="1:14" s="1" customFormat="1" ht="15">
      <c r="A97" s="329">
        <v>2000.04</v>
      </c>
      <c r="B97" s="2145">
        <v>-1.2165220671444876E-2</v>
      </c>
      <c r="C97" s="2082">
        <v>-1.2906846240179681E-2</v>
      </c>
      <c r="D97" s="2079">
        <v>-4.5917422699499943E-2</v>
      </c>
      <c r="E97" s="2082">
        <v>-4.0326362186999809E-3</v>
      </c>
      <c r="F97" s="2135">
        <v>-2.1097046413501852E-3</v>
      </c>
      <c r="G97" s="2153"/>
      <c r="H97" s="2152"/>
      <c r="I97" s="2150"/>
      <c r="J97" s="2152"/>
      <c r="K97" s="2158"/>
      <c r="L97" s="2153"/>
      <c r="M97" s="2152"/>
      <c r="N97" s="2161"/>
    </row>
    <row r="98" spans="1:14" s="1" customFormat="1" ht="15">
      <c r="A98" s="329">
        <v>2000.05</v>
      </c>
      <c r="B98" s="2145">
        <v>1.0501193317422386E-2</v>
      </c>
      <c r="C98" s="2082">
        <v>1.1370096645821448E-2</v>
      </c>
      <c r="D98" s="2079">
        <v>4.9776829031632053E-2</v>
      </c>
      <c r="E98" s="2082">
        <v>1.5065913370999606E-3</v>
      </c>
      <c r="F98" s="2135">
        <v>-2.114164904861715E-4</v>
      </c>
      <c r="G98" s="2153"/>
      <c r="H98" s="2152"/>
      <c r="I98" s="2150"/>
      <c r="J98" s="2152"/>
      <c r="K98" s="2158"/>
      <c r="L98" s="2153"/>
      <c r="M98" s="2152"/>
      <c r="N98" s="2161"/>
    </row>
    <row r="99" spans="1:14" s="1" customFormat="1" ht="15">
      <c r="A99" s="329">
        <v>2000.06</v>
      </c>
      <c r="B99" s="2145">
        <v>5.290505432215209E-3</v>
      </c>
      <c r="C99" s="2082">
        <v>5.8085066516768702E-3</v>
      </c>
      <c r="D99" s="2079">
        <v>3.2905074406137436E-2</v>
      </c>
      <c r="E99" s="2082">
        <v>-1.4103046257992746E-3</v>
      </c>
      <c r="F99" s="2135">
        <v>-3.3833791499260357E-3</v>
      </c>
      <c r="G99" s="2153"/>
      <c r="H99" s="2152"/>
      <c r="I99" s="2150"/>
      <c r="J99" s="2152"/>
      <c r="K99" s="2158"/>
      <c r="L99" s="2153"/>
      <c r="M99" s="2152"/>
      <c r="N99" s="2161"/>
    </row>
    <row r="100" spans="1:14" s="1" customFormat="1" ht="15">
      <c r="A100" s="329">
        <v>2000.07</v>
      </c>
      <c r="B100" s="2145">
        <v>-1.4096419509445068E-3</v>
      </c>
      <c r="C100" s="2082">
        <v>-9.3144560357671935E-4</v>
      </c>
      <c r="D100" s="2079">
        <v>-1.2885906040268513E-2</v>
      </c>
      <c r="E100" s="2082">
        <v>2.2596742302984918E-3</v>
      </c>
      <c r="F100" s="2135">
        <v>-7.1079991512836838E-3</v>
      </c>
      <c r="G100" s="2153"/>
      <c r="H100" s="2152"/>
      <c r="I100" s="2150"/>
      <c r="J100" s="2152"/>
      <c r="K100" s="2158"/>
      <c r="L100" s="2153"/>
      <c r="M100" s="2152"/>
      <c r="N100" s="2161"/>
    </row>
    <row r="101" spans="1:14" s="1" customFormat="1" ht="15">
      <c r="A101" s="329">
        <v>2000.08</v>
      </c>
      <c r="B101" s="2145">
        <v>1.7880670054581937E-3</v>
      </c>
      <c r="C101" s="2082">
        <v>2.4240164087263594E-3</v>
      </c>
      <c r="D101" s="2079">
        <v>1.7677454446559659E-2</v>
      </c>
      <c r="E101" s="2082">
        <v>-1.6909347111320194E-3</v>
      </c>
      <c r="F101" s="2135">
        <v>-8.5479217865155332E-3</v>
      </c>
      <c r="G101" s="2153"/>
      <c r="H101" s="2152"/>
      <c r="I101" s="2150"/>
      <c r="J101" s="2152"/>
      <c r="K101" s="2158"/>
      <c r="L101" s="2153"/>
      <c r="M101" s="2152"/>
      <c r="N101" s="2161"/>
    </row>
    <row r="102" spans="1:14" s="1" customFormat="1" ht="15">
      <c r="A102" s="329">
        <v>2000.09</v>
      </c>
      <c r="B102" s="2145">
        <v>1.2118365429779177E-2</v>
      </c>
      <c r="C102" s="2082">
        <v>1.2741815476190688E-2</v>
      </c>
      <c r="D102" s="2079">
        <v>4.8726171387849737E-2</v>
      </c>
      <c r="E102" s="2082">
        <v>2.7288980897712811E-3</v>
      </c>
      <c r="F102" s="2135">
        <v>2.8020260803964803E-3</v>
      </c>
      <c r="G102" s="2153"/>
      <c r="H102" s="2152"/>
      <c r="I102" s="2150"/>
      <c r="J102" s="2152"/>
      <c r="K102" s="2158"/>
      <c r="L102" s="2153"/>
      <c r="M102" s="2152"/>
      <c r="N102" s="2161"/>
    </row>
    <row r="103" spans="1:14" s="1" customFormat="1" ht="15">
      <c r="A103" s="329">
        <v>2000.1</v>
      </c>
      <c r="B103" s="2145">
        <v>2.0419528494524108E-3</v>
      </c>
      <c r="C103" s="2082">
        <v>2.3877307374413625E-3</v>
      </c>
      <c r="D103" s="2079">
        <v>-2.2084430476513317E-3</v>
      </c>
      <c r="E103" s="2082">
        <v>3.7537537537535304E-3</v>
      </c>
      <c r="F103" s="2135">
        <v>-2.7941966684575936E-3</v>
      </c>
      <c r="G103" s="2153"/>
      <c r="H103" s="2152"/>
      <c r="I103" s="2150"/>
      <c r="J103" s="2152"/>
      <c r="K103" s="2158"/>
      <c r="L103" s="2153"/>
      <c r="M103" s="2152"/>
      <c r="N103" s="2161"/>
    </row>
    <row r="104" spans="1:14" s="1" customFormat="1" ht="15">
      <c r="A104" s="329">
        <v>2000.11</v>
      </c>
      <c r="B104" s="2145">
        <v>-1.2041496850684341E-3</v>
      </c>
      <c r="C104" s="2082">
        <v>-1.1910215300046101E-3</v>
      </c>
      <c r="D104" s="2079">
        <v>8.5128117817312443E-4</v>
      </c>
      <c r="E104" s="2082">
        <v>-1.8698578908001862E-3</v>
      </c>
      <c r="F104" s="2135">
        <v>1.077702338612152E-4</v>
      </c>
      <c r="G104" s="2153"/>
      <c r="H104" s="2152"/>
      <c r="I104" s="2150"/>
      <c r="J104" s="2152"/>
      <c r="K104" s="2158"/>
      <c r="L104" s="2153"/>
      <c r="M104" s="2152"/>
      <c r="N104" s="2161"/>
    </row>
    <row r="105" spans="1:14" s="1" customFormat="1" ht="15">
      <c r="A105" s="329">
        <v>2000.12</v>
      </c>
      <c r="B105" s="2145">
        <v>-1.8547713994250148E-2</v>
      </c>
      <c r="C105" s="2082">
        <v>-1.9537699504677986E-2</v>
      </c>
      <c r="D105" s="2079">
        <v>-8.5736157182954686E-2</v>
      </c>
      <c r="E105" s="2082">
        <v>-1.8733608092935672E-4</v>
      </c>
      <c r="F105" s="2135">
        <v>-4.9568965517241548E-3</v>
      </c>
      <c r="G105" s="2153"/>
      <c r="H105" s="2152"/>
      <c r="I105" s="2150"/>
      <c r="J105" s="2152"/>
      <c r="K105" s="2158"/>
      <c r="L105" s="2153"/>
      <c r="M105" s="2152"/>
      <c r="N105" s="2161"/>
    </row>
    <row r="106" spans="1:14" s="1" customFormat="1" ht="15">
      <c r="A106" s="329">
        <v>2001.01</v>
      </c>
      <c r="B106" s="2145">
        <v>-1.1716904469432077E-2</v>
      </c>
      <c r="C106" s="2082">
        <v>-1.4313780522031916E-2</v>
      </c>
      <c r="D106" s="2079">
        <v>-4.530654014326907E-2</v>
      </c>
      <c r="E106" s="2082">
        <v>-6.0895634251452169E-3</v>
      </c>
      <c r="F106" s="2135">
        <v>2.6965562053281378E-2</v>
      </c>
      <c r="G106" s="2153"/>
      <c r="H106" s="2152"/>
      <c r="I106" s="2150"/>
      <c r="J106" s="2152"/>
      <c r="K106" s="2158"/>
      <c r="L106" s="2153"/>
      <c r="M106" s="2152"/>
      <c r="N106" s="2161"/>
    </row>
    <row r="107" spans="1:14" s="1" customFormat="1" ht="15">
      <c r="A107" s="329">
        <v>2001.02</v>
      </c>
      <c r="B107" s="2145">
        <v>8.700640596615461E-3</v>
      </c>
      <c r="C107" s="2082">
        <v>9.3014426727409116E-3</v>
      </c>
      <c r="D107" s="2079">
        <v>3.5178327811342669E-2</v>
      </c>
      <c r="E107" s="2082">
        <v>2.6392685455745024E-3</v>
      </c>
      <c r="F107" s="2135">
        <v>-4.2180744490138977E-4</v>
      </c>
      <c r="G107" s="2153"/>
      <c r="H107" s="2152"/>
      <c r="I107" s="2150"/>
      <c r="J107" s="2152"/>
      <c r="K107" s="2158"/>
      <c r="L107" s="2153"/>
      <c r="M107" s="2152"/>
      <c r="N107" s="2161"/>
    </row>
    <row r="108" spans="1:14" s="1" customFormat="1" ht="15">
      <c r="A108" s="329">
        <v>2001.03</v>
      </c>
      <c r="B108" s="2145">
        <v>5.1184834123223499E-3</v>
      </c>
      <c r="C108" s="2082">
        <v>5.4542034982134613E-3</v>
      </c>
      <c r="D108" s="2079">
        <v>1.6850230631648255E-2</v>
      </c>
      <c r="E108" s="2082">
        <v>2.444298204380857E-3</v>
      </c>
      <c r="F108" s="2135">
        <v>1.0549636037548993E-4</v>
      </c>
      <c r="G108" s="2153"/>
      <c r="H108" s="2152"/>
      <c r="I108" s="2150"/>
      <c r="J108" s="2152"/>
      <c r="K108" s="2158"/>
      <c r="L108" s="2153"/>
      <c r="M108" s="2152"/>
      <c r="N108" s="2161"/>
    </row>
    <row r="109" spans="1:14" s="1" customFormat="1" ht="15">
      <c r="A109" s="329">
        <v>2001.04</v>
      </c>
      <c r="B109" s="2145">
        <v>-1.2165220671444876E-2</v>
      </c>
      <c r="C109" s="2082">
        <v>-1.2906846240179681E-2</v>
      </c>
      <c r="D109" s="2079">
        <v>-4.5917422699499943E-2</v>
      </c>
      <c r="E109" s="2082">
        <v>-4.0326362186999809E-3</v>
      </c>
      <c r="F109" s="2135">
        <v>-2.1097046413501852E-3</v>
      </c>
      <c r="G109" s="2153"/>
      <c r="H109" s="2152"/>
      <c r="I109" s="2150"/>
      <c r="J109" s="2152"/>
      <c r="K109" s="2158"/>
      <c r="L109" s="2153"/>
      <c r="M109" s="2152"/>
      <c r="N109" s="2161"/>
    </row>
    <row r="110" spans="1:14" s="1" customFormat="1" ht="15">
      <c r="A110" s="329">
        <v>2001.05</v>
      </c>
      <c r="B110" s="2145">
        <v>1.0501193317422386E-2</v>
      </c>
      <c r="C110" s="2082">
        <v>1.1370096645821448E-2</v>
      </c>
      <c r="D110" s="2079">
        <v>4.9776829031632053E-2</v>
      </c>
      <c r="E110" s="2082">
        <v>1.5065913370999606E-3</v>
      </c>
      <c r="F110" s="2135">
        <v>-2.114164904861715E-4</v>
      </c>
      <c r="G110" s="2153"/>
      <c r="H110" s="2152"/>
      <c r="I110" s="2150"/>
      <c r="J110" s="2152"/>
      <c r="K110" s="2158"/>
      <c r="L110" s="2153"/>
      <c r="M110" s="2152"/>
      <c r="N110" s="2161"/>
    </row>
    <row r="111" spans="1:14" s="1" customFormat="1" ht="15">
      <c r="A111" s="329">
        <v>2001.06</v>
      </c>
      <c r="B111" s="2145">
        <v>5.290505432215431E-3</v>
      </c>
      <c r="C111" s="2082">
        <v>5.8085066516768702E-3</v>
      </c>
      <c r="D111" s="2079">
        <v>3.2905074406137436E-2</v>
      </c>
      <c r="E111" s="2082">
        <v>-1.4103046257992746E-3</v>
      </c>
      <c r="F111" s="2135">
        <v>-3.3833791499260357E-3</v>
      </c>
      <c r="G111" s="2153"/>
      <c r="H111" s="2152"/>
      <c r="I111" s="2150"/>
      <c r="J111" s="2152"/>
      <c r="K111" s="2158"/>
      <c r="L111" s="2153"/>
      <c r="M111" s="2152"/>
      <c r="N111" s="2161"/>
    </row>
    <row r="112" spans="1:14" s="1" customFormat="1" ht="15">
      <c r="A112" s="329">
        <v>2001.07</v>
      </c>
      <c r="B112" s="2145">
        <v>-1.4096419509442848E-3</v>
      </c>
      <c r="C112" s="2082">
        <v>-9.3144560357671935E-4</v>
      </c>
      <c r="D112" s="2079">
        <v>-1.2885906040268513E-2</v>
      </c>
      <c r="E112" s="2082">
        <v>2.2596742302984918E-3</v>
      </c>
      <c r="F112" s="2135">
        <v>-7.1079991512836838E-3</v>
      </c>
      <c r="G112" s="2153"/>
      <c r="H112" s="2152"/>
      <c r="I112" s="2150"/>
      <c r="J112" s="2152"/>
      <c r="K112" s="2158"/>
      <c r="L112" s="2153"/>
      <c r="M112" s="2152"/>
      <c r="N112" s="2161"/>
    </row>
    <row r="113" spans="1:14" s="1" customFormat="1" ht="15">
      <c r="A113" s="329">
        <v>2001.08</v>
      </c>
      <c r="B113" s="2145">
        <v>1.7880670054581937E-3</v>
      </c>
      <c r="C113" s="2082">
        <v>2.4240164087263594E-3</v>
      </c>
      <c r="D113" s="2079">
        <v>1.7677454446559659E-2</v>
      </c>
      <c r="E113" s="2082">
        <v>-1.6909347111320194E-3</v>
      </c>
      <c r="F113" s="2135">
        <v>-8.5479217865155332E-3</v>
      </c>
      <c r="G113" s="2153"/>
      <c r="H113" s="2152"/>
      <c r="I113" s="2150"/>
      <c r="J113" s="2152"/>
      <c r="K113" s="2158"/>
      <c r="L113" s="2153"/>
      <c r="M113" s="2152"/>
      <c r="N113" s="2161"/>
    </row>
    <row r="114" spans="1:14" s="1" customFormat="1" ht="15">
      <c r="A114" s="329">
        <v>2001.09</v>
      </c>
      <c r="B114" s="2145">
        <v>1.2118365429779177E-2</v>
      </c>
      <c r="C114" s="2082">
        <v>1.2741815476190466E-2</v>
      </c>
      <c r="D114" s="2079">
        <v>4.8726171387849737E-2</v>
      </c>
      <c r="E114" s="2082">
        <v>2.7288980897715032E-3</v>
      </c>
      <c r="F114" s="2135">
        <v>2.8020260803964803E-3</v>
      </c>
      <c r="G114" s="2153"/>
      <c r="H114" s="2152"/>
      <c r="I114" s="2150"/>
      <c r="J114" s="2152"/>
      <c r="K114" s="2158"/>
      <c r="L114" s="2153"/>
      <c r="M114" s="2152"/>
      <c r="N114" s="2161"/>
    </row>
    <row r="115" spans="1:14" s="1" customFormat="1" ht="15">
      <c r="A115" s="329">
        <v>2001.1</v>
      </c>
      <c r="B115" s="2145">
        <v>2.0419528494524108E-3</v>
      </c>
      <c r="C115" s="2082">
        <v>2.3877307374413625E-3</v>
      </c>
      <c r="D115" s="2079">
        <v>-2.2084430476513317E-3</v>
      </c>
      <c r="E115" s="2082">
        <v>3.7537537537537524E-3</v>
      </c>
      <c r="F115" s="2135">
        <v>-2.7941966684575936E-3</v>
      </c>
      <c r="G115" s="2153"/>
      <c r="H115" s="2152"/>
      <c r="I115" s="2150"/>
      <c r="J115" s="2152"/>
      <c r="K115" s="2158"/>
      <c r="L115" s="2153"/>
      <c r="M115" s="2152"/>
      <c r="N115" s="2161"/>
    </row>
    <row r="116" spans="1:14" s="1" customFormat="1" ht="15">
      <c r="A116" s="329">
        <v>2001.11</v>
      </c>
      <c r="B116" s="2145">
        <v>-1.2041496850684341E-3</v>
      </c>
      <c r="C116" s="2082">
        <v>-1.1910215300046101E-3</v>
      </c>
      <c r="D116" s="2079">
        <v>8.5128117817312443E-4</v>
      </c>
      <c r="E116" s="2082">
        <v>-1.8698578908002972E-3</v>
      </c>
      <c r="F116" s="2135">
        <v>1.077702338612152E-4</v>
      </c>
      <c r="G116" s="2153"/>
      <c r="H116" s="2152"/>
      <c r="I116" s="2150"/>
      <c r="J116" s="2152"/>
      <c r="K116" s="2158"/>
      <c r="L116" s="2153"/>
      <c r="M116" s="2152"/>
      <c r="N116" s="2161"/>
    </row>
    <row r="117" spans="1:14" s="1" customFormat="1" ht="15">
      <c r="A117" s="329">
        <v>2001.12</v>
      </c>
      <c r="B117" s="2145">
        <v>-1.8547713994250148E-2</v>
      </c>
      <c r="C117" s="2082">
        <v>-1.9537699504678097E-2</v>
      </c>
      <c r="D117" s="2079">
        <v>-8.5736157182954909E-2</v>
      </c>
      <c r="E117" s="2082">
        <v>-1.8733608092913467E-4</v>
      </c>
      <c r="F117" s="2135">
        <v>-4.9568965517241548E-3</v>
      </c>
      <c r="G117" s="2153"/>
      <c r="H117" s="2152"/>
      <c r="I117" s="2150"/>
      <c r="J117" s="2152"/>
      <c r="K117" s="2158"/>
      <c r="L117" s="2153"/>
      <c r="M117" s="2152"/>
      <c r="N117" s="2161"/>
    </row>
    <row r="118" spans="1:14" s="1" customFormat="1" ht="15">
      <c r="A118" s="329">
        <v>2002.01</v>
      </c>
      <c r="B118" s="2145">
        <v>7.2758197108571121E-3</v>
      </c>
      <c r="C118" s="2082">
        <v>-4.6777060529523684E-4</v>
      </c>
      <c r="D118" s="2079">
        <v>-3.9631593636617279E-2</v>
      </c>
      <c r="E118" s="2082">
        <v>9.836987071388581E-3</v>
      </c>
      <c r="F118" s="2135">
        <v>0.12139917695473224</v>
      </c>
      <c r="G118" s="2153"/>
      <c r="H118" s="2152"/>
      <c r="I118" s="2150"/>
      <c r="J118" s="2152"/>
      <c r="K118" s="2158"/>
      <c r="L118" s="2153"/>
      <c r="M118" s="2152"/>
      <c r="N118" s="2161"/>
    </row>
    <row r="119" spans="1:14" s="1" customFormat="1" ht="15">
      <c r="A119" s="329">
        <v>2002.02</v>
      </c>
      <c r="B119" s="2145">
        <v>0.12326454033771128</v>
      </c>
      <c r="C119" s="2082">
        <v>0.10436166229876442</v>
      </c>
      <c r="D119" s="2079">
        <v>0.14375665988569208</v>
      </c>
      <c r="E119" s="2082">
        <v>9.4442898228035865E-2</v>
      </c>
      <c r="F119" s="2135">
        <v>0.37073877353935281</v>
      </c>
      <c r="G119" s="2153"/>
      <c r="H119" s="2152"/>
      <c r="I119" s="2150"/>
      <c r="J119" s="2152"/>
      <c r="K119" s="2158"/>
      <c r="L119" s="2153"/>
      <c r="M119" s="2152"/>
      <c r="N119" s="2161"/>
    </row>
    <row r="120" spans="1:14" s="1" customFormat="1" ht="15">
      <c r="A120" s="329">
        <v>2002.03</v>
      </c>
      <c r="B120" s="2145">
        <v>0.12577250709871413</v>
      </c>
      <c r="C120" s="2082">
        <v>0.11492499364352926</v>
      </c>
      <c r="D120" s="2079">
        <v>0.15609384263572479</v>
      </c>
      <c r="E120" s="2082">
        <v>0.10400949393913739</v>
      </c>
      <c r="F120" s="2135">
        <v>0.24122868817810361</v>
      </c>
      <c r="G120" s="2153"/>
      <c r="H120" s="2152"/>
      <c r="I120" s="2150"/>
      <c r="J120" s="2152"/>
      <c r="K120" s="2158"/>
      <c r="L120" s="2153"/>
      <c r="M120" s="2152"/>
      <c r="N120" s="2161"/>
    </row>
    <row r="121" spans="1:14" s="1" customFormat="1" ht="15">
      <c r="A121" s="329">
        <v>2002.04</v>
      </c>
      <c r="B121" s="2145">
        <v>0.19910979228486636</v>
      </c>
      <c r="C121" s="2082">
        <v>0.19163816039528658</v>
      </c>
      <c r="D121" s="2079">
        <v>0.22901098901098882</v>
      </c>
      <c r="E121" s="2082">
        <v>0.181357493857494</v>
      </c>
      <c r="F121" s="2135">
        <v>0.26983766602338499</v>
      </c>
      <c r="G121" s="2153"/>
      <c r="H121" s="2152"/>
      <c r="I121" s="2150"/>
      <c r="J121" s="2152"/>
      <c r="K121" s="2158"/>
      <c r="L121" s="2153"/>
      <c r="M121" s="2152"/>
      <c r="N121" s="2161"/>
    </row>
    <row r="122" spans="1:14" s="1" customFormat="1" ht="15">
      <c r="A122" s="329">
        <v>2002.05</v>
      </c>
      <c r="B122" s="2145">
        <v>0.1232986884434546</v>
      </c>
      <c r="C122" s="2082">
        <v>0.12069405460576688</v>
      </c>
      <c r="D122" s="2079">
        <v>0.18377443967572726</v>
      </c>
      <c r="E122" s="2082">
        <v>0.10249577538021559</v>
      </c>
      <c r="F122" s="2135">
        <v>0.14683532987663162</v>
      </c>
      <c r="G122" s="2153"/>
      <c r="H122" s="2152"/>
      <c r="I122" s="2150"/>
      <c r="J122" s="2152"/>
      <c r="K122" s="2158"/>
      <c r="L122" s="2153"/>
      <c r="M122" s="2152"/>
      <c r="N122" s="2161"/>
    </row>
    <row r="123" spans="1:14" s="1" customFormat="1" ht="15">
      <c r="A123" s="329">
        <v>2002.06</v>
      </c>
      <c r="B123" s="2145">
        <v>8.542160048466152E-2</v>
      </c>
      <c r="C123" s="2082">
        <v>8.857012750455362E-2</v>
      </c>
      <c r="D123" s="2079">
        <v>9.3056045118082409E-2</v>
      </c>
      <c r="E123" s="2082">
        <v>8.7189765961209753E-2</v>
      </c>
      <c r="F123" s="2135">
        <v>5.8229722882644053E-2</v>
      </c>
      <c r="G123" s="2153"/>
      <c r="H123" s="2152"/>
      <c r="I123" s="2150"/>
      <c r="J123" s="2152"/>
      <c r="K123" s="2158"/>
      <c r="L123" s="2153"/>
      <c r="M123" s="2152"/>
      <c r="N123" s="2161"/>
    </row>
    <row r="124" spans="1:14" s="1" customFormat="1" ht="15">
      <c r="A124" s="329">
        <v>2002.07</v>
      </c>
      <c r="B124" s="2145">
        <v>4.6478587375684999E-2</v>
      </c>
      <c r="C124" s="2082">
        <v>4.9884961305166176E-2</v>
      </c>
      <c r="D124" s="2079">
        <v>9.1260883585940089E-2</v>
      </c>
      <c r="E124" s="2082">
        <v>3.7035028738748643E-2</v>
      </c>
      <c r="F124" s="2135">
        <v>1.5616367721262625E-2</v>
      </c>
      <c r="G124" s="2153"/>
      <c r="H124" s="2152"/>
      <c r="I124" s="2150"/>
      <c r="J124" s="2152"/>
      <c r="K124" s="2158"/>
      <c r="L124" s="2153"/>
      <c r="M124" s="2152"/>
      <c r="N124" s="2161"/>
    </row>
    <row r="125" spans="1:14" s="1" customFormat="1" ht="15">
      <c r="A125" s="329">
        <v>2002.08</v>
      </c>
      <c r="B125" s="2145">
        <v>5.042668735453848E-2</v>
      </c>
      <c r="C125" s="2082">
        <v>5.2047016635123011E-2</v>
      </c>
      <c r="D125" s="2079">
        <v>0.10372340425531901</v>
      </c>
      <c r="E125" s="2082">
        <v>3.518954248366013E-2</v>
      </c>
      <c r="F125" s="2135">
        <v>3.52130553037171E-2</v>
      </c>
      <c r="G125" s="2153"/>
      <c r="H125" s="2152"/>
      <c r="I125" s="2150"/>
      <c r="J125" s="2152"/>
      <c r="K125" s="2158"/>
      <c r="L125" s="2153"/>
      <c r="M125" s="2152"/>
      <c r="N125" s="2161"/>
    </row>
    <row r="126" spans="1:14" s="1" customFormat="1" ht="15">
      <c r="A126" s="329">
        <v>2002.09</v>
      </c>
      <c r="B126" s="2145">
        <v>2.4372230428360453E-2</v>
      </c>
      <c r="C126" s="2082">
        <v>2.7789613217819475E-2</v>
      </c>
      <c r="D126" s="2079">
        <v>7.4584050487664921E-2</v>
      </c>
      <c r="E126" s="2082">
        <v>1.141529447418943E-2</v>
      </c>
      <c r="F126" s="2135">
        <v>-7.4966720381138829E-3</v>
      </c>
      <c r="G126" s="2153"/>
      <c r="H126" s="2152"/>
      <c r="I126" s="2150"/>
      <c r="J126" s="2152"/>
      <c r="K126" s="2158"/>
      <c r="L126" s="2153"/>
      <c r="M126" s="2152"/>
      <c r="N126" s="2161"/>
    </row>
    <row r="127" spans="1:14" s="1" customFormat="1" ht="15">
      <c r="A127" s="329">
        <v>2002.1</v>
      </c>
      <c r="B127" s="2145">
        <v>4.9567411679884987E-3</v>
      </c>
      <c r="C127" s="2082">
        <v>4.5140488254260536E-3</v>
      </c>
      <c r="D127" s="2079">
        <v>-2.0039152874176791E-2</v>
      </c>
      <c r="E127" s="2082">
        <v>1.3633639632441019E-2</v>
      </c>
      <c r="F127" s="2135">
        <v>8.8945362134686956E-3</v>
      </c>
      <c r="G127" s="2153"/>
      <c r="H127" s="2152"/>
      <c r="I127" s="2150"/>
      <c r="J127" s="2152"/>
      <c r="K127" s="2158"/>
      <c r="L127" s="2153"/>
      <c r="M127" s="2152"/>
      <c r="N127" s="2161"/>
    </row>
    <row r="128" spans="1:14" s="1" customFormat="1" ht="15">
      <c r="A128" s="329">
        <v>2002.11</v>
      </c>
      <c r="B128" s="2145">
        <v>-1.6590440319253941E-2</v>
      </c>
      <c r="C128" s="2082">
        <v>-1.4306676449009625E-2</v>
      </c>
      <c r="D128" s="2079">
        <v>-3.0074095597849682E-2</v>
      </c>
      <c r="E128" s="2082">
        <v>-8.6712322018031029E-3</v>
      </c>
      <c r="F128" s="2135">
        <v>-3.8797928911278867E-2</v>
      </c>
      <c r="G128" s="2153"/>
      <c r="H128" s="2152"/>
      <c r="I128" s="2150"/>
      <c r="J128" s="2152"/>
      <c r="K128" s="2158"/>
      <c r="L128" s="2153"/>
      <c r="M128" s="2152"/>
      <c r="N128" s="2161"/>
    </row>
    <row r="129" spans="1:14" s="1" customFormat="1" ht="15">
      <c r="A129" s="329">
        <v>2002.12</v>
      </c>
      <c r="B129" s="2145">
        <v>-4.0124019697245217E-3</v>
      </c>
      <c r="C129" s="2082">
        <v>-3.2098995161891075E-3</v>
      </c>
      <c r="D129" s="2079">
        <v>6.2911923307371609E-3</v>
      </c>
      <c r="E129" s="2082">
        <v>-6.5106108046319999E-3</v>
      </c>
      <c r="F129" s="2135">
        <v>-1.1974522292993672E-2</v>
      </c>
      <c r="G129" s="2153"/>
      <c r="H129" s="2152"/>
      <c r="I129" s="2150"/>
      <c r="J129" s="2152"/>
      <c r="K129" s="2158"/>
      <c r="L129" s="2153"/>
      <c r="M129" s="2152"/>
      <c r="N129" s="2161"/>
    </row>
    <row r="130" spans="1:14" s="1" customFormat="1" ht="15">
      <c r="A130" s="329">
        <v>2003.01</v>
      </c>
      <c r="B130" s="2145">
        <v>4.2116828419704877E-3</v>
      </c>
      <c r="C130" s="2082">
        <v>8.0739254211974476E-3</v>
      </c>
      <c r="D130" s="2079">
        <v>9.1545102709140735E-3</v>
      </c>
      <c r="E130" s="2082">
        <v>7.6538269134567294E-3</v>
      </c>
      <c r="F130" s="2135">
        <v>-3.4517055919840889E-2</v>
      </c>
      <c r="G130" s="2153"/>
      <c r="H130" s="2152"/>
      <c r="I130" s="2150"/>
      <c r="J130" s="2152"/>
      <c r="K130" s="2158"/>
      <c r="L130" s="2153"/>
      <c r="M130" s="2152"/>
      <c r="N130" s="2161"/>
    </row>
    <row r="131" spans="1:14" s="1" customFormat="1" ht="15">
      <c r="A131" s="329">
        <v>2003.02</v>
      </c>
      <c r="B131" s="2145">
        <v>3.87490882567465E-3</v>
      </c>
      <c r="C131" s="2082">
        <v>5.3240740740740922E-3</v>
      </c>
      <c r="D131" s="2079">
        <v>-1.2832804779113527E-2</v>
      </c>
      <c r="E131" s="2082">
        <v>1.1815519038872013E-2</v>
      </c>
      <c r="F131" s="2135">
        <v>-1.1446449692853689E-2</v>
      </c>
      <c r="G131" s="2153"/>
      <c r="H131" s="2152"/>
      <c r="I131" s="2150"/>
      <c r="J131" s="2152"/>
      <c r="K131" s="2158"/>
      <c r="L131" s="2153"/>
      <c r="M131" s="2152"/>
      <c r="N131" s="2161"/>
    </row>
    <row r="132" spans="1:14" s="1" customFormat="1" ht="15">
      <c r="A132" s="329">
        <v>2003.03</v>
      </c>
      <c r="B132" s="2145">
        <v>-6.8570909586305184E-3</v>
      </c>
      <c r="C132" s="2082">
        <v>-6.0326962928851646E-3</v>
      </c>
      <c r="D132" s="2079">
        <v>-4.1464325737766039E-2</v>
      </c>
      <c r="E132" s="2082">
        <v>6.2312938521171812E-3</v>
      </c>
      <c r="F132" s="2135">
        <v>-1.5284264155312699E-2</v>
      </c>
      <c r="G132" s="2153"/>
      <c r="H132" s="2152"/>
      <c r="I132" s="2150"/>
      <c r="J132" s="2152"/>
      <c r="K132" s="2158"/>
      <c r="L132" s="2153"/>
      <c r="M132" s="2152"/>
      <c r="N132" s="2161"/>
    </row>
    <row r="133" spans="1:14" s="1" customFormat="1" ht="15">
      <c r="A133" s="329">
        <v>2003.04</v>
      </c>
      <c r="B133" s="2145">
        <v>-1.8289894833104725E-2</v>
      </c>
      <c r="C133" s="2082">
        <v>-1.66790214974053E-2</v>
      </c>
      <c r="D133" s="2079">
        <v>-5.5611847233047573E-2</v>
      </c>
      <c r="E133" s="2082">
        <v>-3.8521552564854122E-3</v>
      </c>
      <c r="F133" s="2135">
        <v>-3.5864069298005008E-2</v>
      </c>
      <c r="G133" s="2153"/>
      <c r="H133" s="2152"/>
      <c r="I133" s="2150"/>
      <c r="J133" s="2152"/>
      <c r="K133" s="2158"/>
      <c r="L133" s="2153"/>
      <c r="M133" s="2152"/>
      <c r="N133" s="2161"/>
    </row>
    <row r="134" spans="1:14" s="1" customFormat="1" ht="15">
      <c r="A134" s="329">
        <v>2003.05</v>
      </c>
      <c r="B134" s="2145">
        <v>-6.3809967396366574E-3</v>
      </c>
      <c r="C134" s="2082">
        <v>-3.9577836411609502E-3</v>
      </c>
      <c r="D134" s="2079">
        <v>-8.2119423926051427E-3</v>
      </c>
      <c r="E134" s="2082">
        <v>-2.5943511674579867E-3</v>
      </c>
      <c r="F134" s="2135">
        <v>-3.2644930482153112E-2</v>
      </c>
      <c r="G134" s="2153"/>
      <c r="H134" s="2152"/>
      <c r="I134" s="2150"/>
      <c r="J134" s="2152"/>
      <c r="K134" s="2158"/>
      <c r="L134" s="2153"/>
      <c r="M134" s="2152"/>
      <c r="N134" s="2161"/>
    </row>
    <row r="135" spans="1:14" s="1" customFormat="1" ht="15">
      <c r="A135" s="329">
        <v>2003.06</v>
      </c>
      <c r="B135" s="2145">
        <v>-1.3593962405664684E-3</v>
      </c>
      <c r="C135" s="2082">
        <v>-3.7842951750233222E-4</v>
      </c>
      <c r="D135" s="2079">
        <v>1.1733377714904014E-2</v>
      </c>
      <c r="E135" s="2082">
        <v>-4.1715744012564837E-3</v>
      </c>
      <c r="F135" s="2135">
        <v>-1.2901870140785809E-2</v>
      </c>
      <c r="G135" s="2153"/>
      <c r="H135" s="2152"/>
      <c r="I135" s="2150"/>
      <c r="J135" s="2152"/>
      <c r="K135" s="2158"/>
      <c r="L135" s="2153"/>
      <c r="M135" s="2152"/>
      <c r="N135" s="2161"/>
    </row>
    <row r="136" spans="1:14" s="1" customFormat="1" ht="15">
      <c r="A136" s="329">
        <v>2003.07</v>
      </c>
      <c r="B136" s="2145">
        <v>-3.7551633496046843E-4</v>
      </c>
      <c r="C136" s="2082">
        <v>1.4196479273140827E-3</v>
      </c>
      <c r="D136" s="2079">
        <v>-1.4805066622800567E-3</v>
      </c>
      <c r="E136" s="2082">
        <v>2.3655807993692157E-3</v>
      </c>
      <c r="F136" s="2135">
        <v>-2.0691416893732884E-2</v>
      </c>
      <c r="G136" s="2153"/>
      <c r="H136" s="2152"/>
      <c r="I136" s="2150"/>
      <c r="J136" s="2152"/>
      <c r="K136" s="2158"/>
      <c r="L136" s="2153"/>
      <c r="M136" s="2152"/>
      <c r="N136" s="2161"/>
    </row>
    <row r="137" spans="1:14" s="1" customFormat="1" ht="15">
      <c r="A137" s="329">
        <v>2003.08</v>
      </c>
      <c r="B137" s="2145">
        <v>1.3664537941397548E-2</v>
      </c>
      <c r="C137" s="2082">
        <v>1.2758718457612783E-2</v>
      </c>
      <c r="D137" s="2079">
        <v>4.6540362438220795E-2</v>
      </c>
      <c r="E137" s="2082">
        <v>2.0649982791682842E-3</v>
      </c>
      <c r="F137" s="2135">
        <v>2.4563081471176362E-2</v>
      </c>
      <c r="G137" s="2153"/>
      <c r="H137" s="2152"/>
      <c r="I137" s="2150"/>
      <c r="J137" s="2152"/>
      <c r="K137" s="2158"/>
      <c r="L137" s="2153"/>
      <c r="M137" s="2152"/>
      <c r="N137" s="2161"/>
    </row>
    <row r="138" spans="1:14" s="1" customFormat="1" ht="15">
      <c r="A138" s="329">
        <v>2003.09</v>
      </c>
      <c r="B138" s="2145">
        <v>-1.7139945337470985E-3</v>
      </c>
      <c r="C138" s="2082">
        <v>-2.3796192609182309E-3</v>
      </c>
      <c r="D138" s="2079">
        <v>-1.3301849665485976E-2</v>
      </c>
      <c r="E138" s="2082">
        <v>1.275697953976751E-3</v>
      </c>
      <c r="F138" s="2135">
        <v>5.3040268171595795E-3</v>
      </c>
      <c r="G138" s="2153"/>
      <c r="H138" s="2152"/>
      <c r="I138" s="2150"/>
      <c r="J138" s="2152"/>
      <c r="K138" s="2158"/>
      <c r="L138" s="2153"/>
      <c r="M138" s="2152"/>
      <c r="N138" s="2161"/>
    </row>
    <row r="139" spans="1:14" s="1" customFormat="1" ht="15">
      <c r="A139" s="329">
        <v>2003.1</v>
      </c>
      <c r="B139" s="2145">
        <v>5.3364269141531473E-3</v>
      </c>
      <c r="C139" s="2082">
        <v>6.7349515925354542E-3</v>
      </c>
      <c r="D139" s="2079">
        <v>1.647255902999345E-2</v>
      </c>
      <c r="E139" s="2082">
        <v>3.5772039006223277E-3</v>
      </c>
      <c r="F139" s="2135">
        <v>-1.0383251730541887E-2</v>
      </c>
      <c r="G139" s="2153"/>
      <c r="H139" s="2152"/>
      <c r="I139" s="2150"/>
      <c r="J139" s="2152"/>
      <c r="K139" s="2158"/>
      <c r="L139" s="2153"/>
      <c r="M139" s="2152"/>
      <c r="N139" s="2161"/>
    </row>
    <row r="140" spans="1:14" s="1" customFormat="1" ht="15">
      <c r="A140" s="329">
        <v>2003.11</v>
      </c>
      <c r="B140" s="2145">
        <v>1.0385414262635617E-2</v>
      </c>
      <c r="C140" s="2082">
        <v>1.1242740998838485E-2</v>
      </c>
      <c r="D140" s="2079">
        <v>2.6486168334314497E-2</v>
      </c>
      <c r="E140" s="2082">
        <v>6.2500000000000888E-3</v>
      </c>
      <c r="F140" s="2135">
        <v>2.1325599249322202E-4</v>
      </c>
      <c r="G140" s="2153"/>
      <c r="H140" s="2152"/>
      <c r="I140" s="2150"/>
      <c r="J140" s="2152"/>
      <c r="K140" s="2158"/>
      <c r="L140" s="2153"/>
      <c r="M140" s="2152"/>
      <c r="N140" s="2161"/>
    </row>
    <row r="141" spans="1:14" s="1" customFormat="1" ht="15">
      <c r="A141" s="329">
        <v>2003.12</v>
      </c>
      <c r="B141" s="2145">
        <v>1.7405207857469129E-2</v>
      </c>
      <c r="C141" s="2082">
        <v>1.6676620572426248E-2</v>
      </c>
      <c r="D141" s="2079">
        <v>4.1972477064220026E-2</v>
      </c>
      <c r="E141" s="2082">
        <v>8.20069875776408E-3</v>
      </c>
      <c r="F141" s="2135">
        <v>2.5798473412647738E-2</v>
      </c>
      <c r="G141" s="2153"/>
      <c r="H141" s="2152"/>
      <c r="I141" s="2150"/>
      <c r="J141" s="2152"/>
      <c r="K141" s="2158"/>
      <c r="L141" s="2153"/>
      <c r="M141" s="2152"/>
      <c r="N141" s="2161"/>
    </row>
    <row r="142" spans="1:14" s="1" customFormat="1" ht="15">
      <c r="A142" s="329">
        <v>2004.01</v>
      </c>
      <c r="B142" s="2145">
        <v>-3.3676081002200764E-3</v>
      </c>
      <c r="C142" s="2082">
        <v>-3.3890646181653494E-3</v>
      </c>
      <c r="D142" s="2079">
        <v>-2.5423728813559365E-2</v>
      </c>
      <c r="E142" s="2082">
        <v>4.2354526640036028E-3</v>
      </c>
      <c r="F142" s="2135">
        <v>-2.6188892583970391E-3</v>
      </c>
      <c r="G142" s="2153"/>
      <c r="H142" s="2152"/>
      <c r="I142" s="2150"/>
      <c r="J142" s="2152"/>
      <c r="K142" s="2158"/>
      <c r="L142" s="2153"/>
      <c r="M142" s="2152"/>
      <c r="N142" s="2161"/>
    </row>
    <row r="143" spans="1:14" s="1" customFormat="1" ht="15">
      <c r="A143" s="329">
        <v>2004.02</v>
      </c>
      <c r="B143" s="2145">
        <v>1.3921427284195209E-2</v>
      </c>
      <c r="C143" s="2082">
        <v>1.4327816821582351E-2</v>
      </c>
      <c r="D143" s="2079">
        <v>1.7579521927348019E-2</v>
      </c>
      <c r="E143" s="2082">
        <v>1.3227893601725382E-2</v>
      </c>
      <c r="F143" s="2135">
        <v>8.8775892968782077E-3</v>
      </c>
      <c r="G143" s="2153"/>
      <c r="H143" s="2152"/>
      <c r="I143" s="2150"/>
      <c r="J143" s="2152"/>
      <c r="K143" s="2158"/>
      <c r="L143" s="2153"/>
      <c r="M143" s="2152"/>
      <c r="N143" s="2161"/>
    </row>
    <row r="144" spans="1:14" s="1" customFormat="1" ht="15">
      <c r="A144" s="329">
        <v>2004.03</v>
      </c>
      <c r="B144" s="2145">
        <v>4.3545878693622697E-3</v>
      </c>
      <c r="C144" s="2082">
        <v>4.5147735908095399E-3</v>
      </c>
      <c r="D144" s="2079">
        <v>-8.5454276413139407E-3</v>
      </c>
      <c r="E144" s="2082">
        <v>8.9399744572158379E-3</v>
      </c>
      <c r="F144" s="2135">
        <v>2.6026604973974354E-3</v>
      </c>
      <c r="G144" s="2153"/>
      <c r="H144" s="2152"/>
      <c r="I144" s="2150"/>
      <c r="J144" s="2152"/>
      <c r="K144" s="2158"/>
      <c r="L144" s="2153"/>
      <c r="M144" s="2152"/>
      <c r="N144" s="2161"/>
    </row>
    <row r="145" spans="1:14" s="1" customFormat="1" ht="15">
      <c r="A145" s="329">
        <v>2004.04</v>
      </c>
      <c r="B145" s="2145">
        <v>8.0077865770031842E-3</v>
      </c>
      <c r="C145" s="2082">
        <v>9.4784620861516622E-3</v>
      </c>
      <c r="D145" s="2079">
        <v>1.567105705010996E-2</v>
      </c>
      <c r="E145" s="2082">
        <v>7.3605250820441004E-3</v>
      </c>
      <c r="F145" s="2135">
        <v>-9.0238575961102407E-3</v>
      </c>
      <c r="G145" s="2153"/>
      <c r="H145" s="2152"/>
      <c r="I145" s="2150"/>
      <c r="J145" s="2152"/>
      <c r="K145" s="2158"/>
      <c r="L145" s="2153"/>
      <c r="M145" s="2152"/>
      <c r="N145" s="2161"/>
    </row>
    <row r="146" spans="1:14" s="1" customFormat="1" ht="15">
      <c r="A146" s="329">
        <v>2004.05</v>
      </c>
      <c r="B146" s="2145">
        <v>1.2859901685393416E-2</v>
      </c>
      <c r="C146" s="2082">
        <v>1.2034383954154793E-2</v>
      </c>
      <c r="D146" s="2079">
        <v>5.7308695492450656E-3</v>
      </c>
      <c r="E146" s="2082">
        <v>1.4194629310745999E-2</v>
      </c>
      <c r="F146" s="2135">
        <v>2.2079002079002041E-2</v>
      </c>
      <c r="G146" s="2153"/>
      <c r="H146" s="2152"/>
      <c r="I146" s="2150"/>
      <c r="J146" s="2152"/>
      <c r="K146" s="2158"/>
      <c r="L146" s="2153"/>
      <c r="M146" s="2152"/>
      <c r="N146" s="2161"/>
    </row>
    <row r="147" spans="1:14" s="1" customFormat="1" ht="15">
      <c r="A147" s="329">
        <v>2004.06</v>
      </c>
      <c r="B147" s="2145">
        <v>2.253325822247243E-3</v>
      </c>
      <c r="C147" s="2082">
        <v>9.1471382524588307E-4</v>
      </c>
      <c r="D147" s="2079">
        <v>-2.0053329437118794E-2</v>
      </c>
      <c r="E147" s="2082">
        <v>7.8469162995595809E-3</v>
      </c>
      <c r="F147" s="2135">
        <v>1.8510231479598183E-2</v>
      </c>
      <c r="G147" s="2153"/>
      <c r="H147" s="2152"/>
      <c r="I147" s="2150"/>
      <c r="J147" s="2152"/>
      <c r="K147" s="2158"/>
      <c r="L147" s="2153"/>
      <c r="M147" s="2152"/>
      <c r="N147" s="2161"/>
    </row>
    <row r="148" spans="1:14" s="1" customFormat="1" ht="15">
      <c r="A148" s="329">
        <v>2004.07</v>
      </c>
      <c r="B148" s="2145">
        <v>9.1659821003933217E-3</v>
      </c>
      <c r="C148" s="2082">
        <v>1.0009138778884985E-2</v>
      </c>
      <c r="D148" s="2079">
        <v>2.4265692560012209E-2</v>
      </c>
      <c r="E148" s="2082">
        <v>5.372672221463537E-3</v>
      </c>
      <c r="F148" s="2135">
        <v>-6.7902220802051882E-4</v>
      </c>
      <c r="G148" s="2153"/>
      <c r="H148" s="2152"/>
      <c r="I148" s="2150"/>
      <c r="J148" s="2152"/>
      <c r="K148" s="2158"/>
      <c r="L148" s="2153"/>
      <c r="M148" s="2152"/>
      <c r="N148" s="2161"/>
    </row>
    <row r="149" spans="1:14" s="1" customFormat="1" ht="15">
      <c r="A149" s="329">
        <v>2004.08</v>
      </c>
      <c r="B149" s="2145">
        <v>2.4206332205132686E-2</v>
      </c>
      <c r="C149" s="2082">
        <v>2.4516351415399207E-2</v>
      </c>
      <c r="D149" s="2079">
        <v>7.2782852359984052E-2</v>
      </c>
      <c r="E149" s="2082">
        <v>8.6499705629272672E-3</v>
      </c>
      <c r="F149" s="2135">
        <v>2.1024021743474952E-2</v>
      </c>
      <c r="G149" s="2153"/>
      <c r="H149" s="2152"/>
      <c r="I149" s="2150"/>
      <c r="J149" s="2152"/>
      <c r="K149" s="2158"/>
      <c r="L149" s="2153"/>
      <c r="M149" s="2152"/>
      <c r="N149" s="2161"/>
    </row>
    <row r="150" spans="1:14" s="1" customFormat="1" ht="15">
      <c r="A150" s="329">
        <v>2004.09</v>
      </c>
      <c r="B150" s="2145">
        <v>2.3425081569481421E-3</v>
      </c>
      <c r="C150" s="2082">
        <v>2.9859534023046752E-3</v>
      </c>
      <c r="D150" s="2079">
        <v>-1.377251602835905E-2</v>
      </c>
      <c r="E150" s="2082">
        <v>8.8900862068965747E-3</v>
      </c>
      <c r="F150" s="2135">
        <v>-5.7936973967507299E-3</v>
      </c>
      <c r="G150" s="2153"/>
      <c r="H150" s="2152"/>
      <c r="I150" s="2150"/>
      <c r="J150" s="2152"/>
      <c r="K150" s="2158"/>
      <c r="L150" s="2153"/>
      <c r="M150" s="2152"/>
      <c r="N150" s="2161"/>
    </row>
    <row r="151" spans="1:14" s="1" customFormat="1" ht="15">
      <c r="A151" s="329">
        <v>2004.1</v>
      </c>
      <c r="B151" s="2145">
        <v>5.8425840914781979E-3</v>
      </c>
      <c r="C151" s="2082">
        <v>6.4992242861334759E-3</v>
      </c>
      <c r="D151" s="2079">
        <v>5.3658033226704482E-3</v>
      </c>
      <c r="E151" s="2082">
        <v>6.8980863373386825E-3</v>
      </c>
      <c r="F151" s="2135">
        <v>-1.8899870063393553E-3</v>
      </c>
      <c r="G151" s="2153"/>
      <c r="H151" s="2152"/>
      <c r="I151" s="2150"/>
      <c r="J151" s="2152"/>
      <c r="K151" s="2158"/>
      <c r="L151" s="2153"/>
      <c r="M151" s="2152"/>
      <c r="N151" s="2161"/>
    </row>
    <row r="152" spans="1:14" s="1" customFormat="1" ht="15">
      <c r="A152" s="329">
        <v>2004.11</v>
      </c>
      <c r="B152" s="2145">
        <v>-1.1907725499958555E-2</v>
      </c>
      <c r="C152" s="2082">
        <v>-1.3289451758040305E-2</v>
      </c>
      <c r="D152" s="2079">
        <v>-6.0522084231414031E-2</v>
      </c>
      <c r="E152" s="2082">
        <v>2.8287292817679166E-3</v>
      </c>
      <c r="F152" s="2135">
        <v>4.457769537259848E-3</v>
      </c>
      <c r="G152" s="2153"/>
      <c r="H152" s="2152"/>
      <c r="I152" s="2150"/>
      <c r="J152" s="2152"/>
      <c r="K152" s="2158"/>
      <c r="L152" s="2153"/>
      <c r="M152" s="2152"/>
      <c r="N152" s="2161"/>
    </row>
    <row r="153" spans="1:14" s="1" customFormat="1" ht="15">
      <c r="A153" s="329">
        <v>2004.12</v>
      </c>
      <c r="B153" s="2145">
        <v>8.7339911820278893E-3</v>
      </c>
      <c r="C153" s="2082">
        <v>8.4863837872071191E-3</v>
      </c>
      <c r="D153" s="2079">
        <v>6.3000728332116562E-3</v>
      </c>
      <c r="E153" s="2082">
        <v>9.1233637445458093E-3</v>
      </c>
      <c r="F153" s="2135">
        <v>1.2253554316235871E-2</v>
      </c>
      <c r="G153" s="2153"/>
      <c r="H153" s="2152"/>
      <c r="I153" s="2150"/>
      <c r="J153" s="2152"/>
      <c r="K153" s="2158"/>
      <c r="L153" s="2153"/>
      <c r="M153" s="2152"/>
      <c r="N153" s="2161"/>
    </row>
    <row r="154" spans="1:14" s="1" customFormat="1" ht="15">
      <c r="A154" s="329">
        <v>2005.01</v>
      </c>
      <c r="B154" s="2145">
        <v>-9.5741580984889385E-3</v>
      </c>
      <c r="C154" s="2082">
        <v>-1.0005861173909447E-2</v>
      </c>
      <c r="D154" s="2079">
        <v>-6.6406108638222383E-2</v>
      </c>
      <c r="E154" s="2082">
        <v>7.9926624737944874E-3</v>
      </c>
      <c r="F154" s="2135">
        <v>-4.4618607899434837E-3</v>
      </c>
      <c r="G154" s="2153"/>
      <c r="H154" s="2152"/>
      <c r="I154" s="2150"/>
      <c r="J154" s="2152"/>
      <c r="K154" s="2158"/>
      <c r="L154" s="2153"/>
      <c r="M154" s="2152"/>
      <c r="N154" s="2161"/>
    </row>
    <row r="155" spans="1:14" s="1" customFormat="1" ht="15">
      <c r="A155" s="329">
        <v>2005.02</v>
      </c>
      <c r="B155" s="2145">
        <v>1.0633379565418544E-2</v>
      </c>
      <c r="C155" s="2082">
        <v>1.2306000761195923E-2</v>
      </c>
      <c r="D155" s="2079">
        <v>4.0080626405147646E-2</v>
      </c>
      <c r="E155" s="2082">
        <v>4.1162962000087511E-3</v>
      </c>
      <c r="F155" s="2135">
        <v>-9.1585798355351411E-3</v>
      </c>
      <c r="G155" s="2153"/>
      <c r="H155" s="2152"/>
      <c r="I155" s="2150"/>
      <c r="J155" s="2152"/>
      <c r="K155" s="2158"/>
      <c r="L155" s="2153"/>
      <c r="M155" s="2152"/>
      <c r="N155" s="2161"/>
    </row>
    <row r="156" spans="1:14" s="1" customFormat="1" ht="15">
      <c r="A156" s="329">
        <v>2005.03</v>
      </c>
      <c r="B156" s="2145">
        <v>1.9712218248357116E-2</v>
      </c>
      <c r="C156" s="2082">
        <v>2.0553095496699925E-2</v>
      </c>
      <c r="D156" s="2079">
        <v>5.5307096004770573E-2</v>
      </c>
      <c r="E156" s="2082">
        <v>9.9249158539740368E-3</v>
      </c>
      <c r="F156" s="2135">
        <v>9.4792322215229152E-3</v>
      </c>
      <c r="G156" s="2153"/>
      <c r="H156" s="2152"/>
      <c r="I156" s="2150"/>
      <c r="J156" s="2152"/>
      <c r="K156" s="2158"/>
      <c r="L156" s="2153"/>
      <c r="M156" s="2152"/>
      <c r="N156" s="2161"/>
    </row>
    <row r="157" spans="1:14" s="1" customFormat="1" ht="15">
      <c r="A157" s="329">
        <v>2005.04</v>
      </c>
      <c r="B157" s="2145">
        <v>1.4600326264273988E-2</v>
      </c>
      <c r="C157" s="2082">
        <v>1.6291444944740219E-2</v>
      </c>
      <c r="D157" s="2079">
        <v>5.4209634129114281E-2</v>
      </c>
      <c r="E157" s="2082">
        <v>4.1873184071099523E-3</v>
      </c>
      <c r="F157" s="2135">
        <v>-5.6497175141241307E-3</v>
      </c>
      <c r="G157" s="2153"/>
      <c r="H157" s="2152"/>
      <c r="I157" s="2150"/>
      <c r="J157" s="2152"/>
      <c r="K157" s="2158"/>
      <c r="L157" s="2153"/>
      <c r="M157" s="2152"/>
      <c r="N157" s="2161"/>
    </row>
    <row r="158" spans="1:14" s="1" customFormat="1" ht="15">
      <c r="A158" s="329">
        <v>2005.05</v>
      </c>
      <c r="B158" s="2145">
        <v>-7.2353083045273436E-4</v>
      </c>
      <c r="C158" s="2082">
        <v>-6.0415659739010419E-4</v>
      </c>
      <c r="D158" s="2079">
        <v>-1.5175371009346295E-2</v>
      </c>
      <c r="E158" s="2082">
        <v>4.2975065951833535E-3</v>
      </c>
      <c r="F158" s="2135">
        <v>-2.3902821316613698E-3</v>
      </c>
      <c r="G158" s="2153"/>
      <c r="H158" s="2152"/>
      <c r="I158" s="2150"/>
      <c r="J158" s="2152"/>
      <c r="K158" s="2158"/>
      <c r="L158" s="2153"/>
      <c r="M158" s="2152"/>
      <c r="N158" s="2161"/>
    </row>
    <row r="159" spans="1:14" s="1" customFormat="1" ht="15">
      <c r="A159" s="329">
        <v>2005.06</v>
      </c>
      <c r="B159" s="2145">
        <v>2.3732904263877863E-3</v>
      </c>
      <c r="C159" s="2082">
        <v>3.7883367589570671E-3</v>
      </c>
      <c r="D159" s="2079">
        <v>7.8916933124701938E-3</v>
      </c>
      <c r="E159" s="2082">
        <v>2.4149472524679361E-3</v>
      </c>
      <c r="F159" s="2135">
        <v>-1.5200911269099282E-2</v>
      </c>
      <c r="G159" s="2153"/>
      <c r="H159" s="2152"/>
      <c r="I159" s="2150"/>
      <c r="J159" s="2152"/>
      <c r="K159" s="2158"/>
      <c r="L159" s="2153"/>
      <c r="M159" s="2152"/>
      <c r="N159" s="2161"/>
    </row>
    <row r="160" spans="1:14" s="1" customFormat="1" ht="15">
      <c r="A160" s="329">
        <v>2005.07</v>
      </c>
      <c r="B160" s="2145">
        <v>1.2520566635900288E-2</v>
      </c>
      <c r="C160" s="2082">
        <v>1.3610631549363816E-2</v>
      </c>
      <c r="D160" s="2079">
        <v>3.9925750928113235E-2</v>
      </c>
      <c r="E160" s="2082">
        <v>4.9450549450549275E-3</v>
      </c>
      <c r="F160" s="2135">
        <v>-1.2763241863433805E-3</v>
      </c>
      <c r="G160" s="2153"/>
      <c r="H160" s="2152"/>
      <c r="I160" s="2150"/>
      <c r="J160" s="2152"/>
      <c r="K160" s="2158"/>
      <c r="L160" s="2153"/>
      <c r="M160" s="2152"/>
      <c r="N160" s="2161"/>
    </row>
    <row r="161" spans="1:14" s="1" customFormat="1" ht="15">
      <c r="A161" s="329">
        <v>2005.08</v>
      </c>
      <c r="B161" s="2145">
        <v>1.2484641908762972E-2</v>
      </c>
      <c r="C161" s="2082">
        <v>1.3427869761546196E-2</v>
      </c>
      <c r="D161" s="2079">
        <v>3.2745918930321638E-2</v>
      </c>
      <c r="E161" s="2082">
        <v>6.8133069773308463E-3</v>
      </c>
      <c r="F161" s="2135">
        <v>7.9872204472808406E-5</v>
      </c>
      <c r="G161" s="2153"/>
      <c r="H161" s="2152"/>
      <c r="I161" s="2150"/>
      <c r="J161" s="2152"/>
      <c r="K161" s="2158"/>
      <c r="L161" s="2153"/>
      <c r="M161" s="2152"/>
      <c r="N161" s="2161"/>
    </row>
    <row r="162" spans="1:14" s="1" customFormat="1" ht="15">
      <c r="A162" s="329">
        <v>2005.09</v>
      </c>
      <c r="B162" s="2145">
        <v>1.8907069599937376E-2</v>
      </c>
      <c r="C162" s="2082">
        <v>2.0558921242915806E-2</v>
      </c>
      <c r="D162" s="2079">
        <v>6.2252529696436243E-2</v>
      </c>
      <c r="E162" s="2082">
        <v>5.9317431805840926E-3</v>
      </c>
      <c r="F162" s="2135">
        <v>-2.356041849692514E-3</v>
      </c>
      <c r="G162" s="2153"/>
      <c r="H162" s="2152"/>
      <c r="I162" s="2150"/>
      <c r="J162" s="2152"/>
      <c r="K162" s="2158"/>
      <c r="L162" s="2153"/>
      <c r="M162" s="2152"/>
      <c r="N162" s="2161"/>
    </row>
    <row r="163" spans="1:14" s="1" customFormat="1" ht="15">
      <c r="A163" s="329">
        <v>2005.1</v>
      </c>
      <c r="B163" s="2145">
        <v>1.1256675246840153E-2</v>
      </c>
      <c r="C163" s="2082">
        <v>1.0761747922331422E-2</v>
      </c>
      <c r="D163" s="2079">
        <v>1.029494423571875E-2</v>
      </c>
      <c r="E163" s="2082">
        <v>1.0879946846061195E-2</v>
      </c>
      <c r="F163" s="2135">
        <v>1.8292438858423798E-2</v>
      </c>
      <c r="G163" s="2153"/>
      <c r="H163" s="2152"/>
      <c r="I163" s="2150"/>
      <c r="J163" s="2152"/>
      <c r="K163" s="2158"/>
      <c r="L163" s="2153"/>
      <c r="M163" s="2152"/>
      <c r="N163" s="2161"/>
    </row>
    <row r="164" spans="1:14" s="1" customFormat="1" ht="15">
      <c r="A164" s="329">
        <v>2005.11</v>
      </c>
      <c r="B164" s="2145">
        <v>7.9781171643489301E-4</v>
      </c>
      <c r="C164" s="2082">
        <v>-1.5156107911507011E-4</v>
      </c>
      <c r="D164" s="2079">
        <v>-3.3908231091329677E-2</v>
      </c>
      <c r="E164" s="2082">
        <v>1.2364950909912409E-2</v>
      </c>
      <c r="F164" s="2135">
        <v>1.3089622641509369E-2</v>
      </c>
      <c r="G164" s="2153"/>
      <c r="H164" s="2152"/>
      <c r="I164" s="2150"/>
      <c r="J164" s="2152"/>
      <c r="K164" s="2158"/>
      <c r="L164" s="2153"/>
      <c r="M164" s="2152"/>
      <c r="N164" s="2161"/>
    </row>
    <row r="165" spans="1:14" s="1" customFormat="1" ht="15">
      <c r="A165" s="329">
        <v>2005.12</v>
      </c>
      <c r="B165" s="2145">
        <v>9.8697946323500485E-3</v>
      </c>
      <c r="C165" s="2082">
        <v>1.0156131574958316E-2</v>
      </c>
      <c r="D165" s="2079">
        <v>1.9549601430606467E-2</v>
      </c>
      <c r="E165" s="2082">
        <v>6.857652978412565E-3</v>
      </c>
      <c r="F165" s="2135">
        <v>6.1304465913940565E-3</v>
      </c>
      <c r="G165" s="2153"/>
      <c r="H165" s="2152"/>
      <c r="I165" s="2150"/>
      <c r="J165" s="2152"/>
      <c r="K165" s="2158"/>
      <c r="L165" s="2153"/>
      <c r="M165" s="2152"/>
      <c r="N165" s="2161"/>
    </row>
    <row r="166" spans="1:14" s="1" customFormat="1" ht="15">
      <c r="A166" s="329">
        <v>2006.01</v>
      </c>
      <c r="B166" s="2145">
        <v>1.2930872457993736E-2</v>
      </c>
      <c r="C166" s="2082">
        <v>1.33178271308525E-2</v>
      </c>
      <c r="D166" s="2079">
        <v>4.367084844521063E-2</v>
      </c>
      <c r="E166" s="2082">
        <v>2.4180872929513431E-3</v>
      </c>
      <c r="F166" s="2135">
        <v>7.8670317380742372E-3</v>
      </c>
      <c r="G166" s="2153"/>
      <c r="H166" s="2152"/>
      <c r="I166" s="2150"/>
      <c r="J166" s="2152"/>
      <c r="K166" s="2158"/>
      <c r="L166" s="2153"/>
      <c r="M166" s="2152"/>
      <c r="N166" s="2161"/>
    </row>
    <row r="167" spans="1:14" s="1" customFormat="1" ht="15">
      <c r="A167" s="329">
        <v>2006.02</v>
      </c>
      <c r="B167" s="2145">
        <v>1.5549040709540884E-2</v>
      </c>
      <c r="C167" s="2082">
        <v>1.5586242641886461E-2</v>
      </c>
      <c r="D167" s="2079">
        <v>3.8453869598655599E-2</v>
      </c>
      <c r="E167" s="2082">
        <v>7.0759458046878443E-3</v>
      </c>
      <c r="F167" s="2135">
        <v>1.4999043428352454E-2</v>
      </c>
      <c r="G167" s="2153"/>
      <c r="H167" s="2152"/>
      <c r="I167" s="2150"/>
      <c r="J167" s="2152"/>
      <c r="K167" s="2158"/>
      <c r="L167" s="2153"/>
      <c r="M167" s="2152"/>
      <c r="N167" s="2161"/>
    </row>
    <row r="168" spans="1:14" s="1" customFormat="1" ht="15">
      <c r="A168" s="329">
        <v>2006.03</v>
      </c>
      <c r="B168" s="2145">
        <v>-6.2120879923994732E-3</v>
      </c>
      <c r="C168" s="2082">
        <v>-6.7804024496939119E-3</v>
      </c>
      <c r="D168" s="2079">
        <v>-4.1281509723784193E-2</v>
      </c>
      <c r="E168" s="2082">
        <v>6.5072457982353615E-3</v>
      </c>
      <c r="F168" s="2135">
        <v>1.3194104120330952E-3</v>
      </c>
      <c r="G168" s="2153"/>
      <c r="H168" s="2152"/>
      <c r="I168" s="2150"/>
      <c r="J168" s="2152"/>
      <c r="K168" s="2158"/>
      <c r="L168" s="2153"/>
      <c r="M168" s="2152"/>
      <c r="N168" s="2161"/>
    </row>
    <row r="169" spans="1:14" s="1" customFormat="1" ht="15">
      <c r="A169" s="329">
        <v>2006.04</v>
      </c>
      <c r="B169" s="2145">
        <v>1.4487424621267619E-2</v>
      </c>
      <c r="C169" s="2082">
        <v>1.4974675181678165E-2</v>
      </c>
      <c r="D169" s="2079">
        <v>3.6936369878690867E-2</v>
      </c>
      <c r="E169" s="2082">
        <v>6.901475487863129E-3</v>
      </c>
      <c r="F169" s="2135">
        <v>8.2825088472253672E-3</v>
      </c>
      <c r="G169" s="2153"/>
      <c r="H169" s="2152"/>
      <c r="I169" s="2150"/>
      <c r="J169" s="2152"/>
      <c r="K169" s="2158"/>
      <c r="L169" s="2153"/>
      <c r="M169" s="2152"/>
      <c r="N169" s="2161"/>
    </row>
    <row r="170" spans="1:14" s="1" customFormat="1" ht="15">
      <c r="A170" s="329">
        <v>2006.05</v>
      </c>
      <c r="B170" s="2145">
        <v>3.986951794128224E-3</v>
      </c>
      <c r="C170" s="2082">
        <v>3.0013741230925373E-3</v>
      </c>
      <c r="D170" s="2079">
        <v>-1.5451259553568963E-2</v>
      </c>
      <c r="E170" s="2082">
        <v>9.9661230599541462E-3</v>
      </c>
      <c r="F170" s="2135">
        <v>1.6877006944962858E-2</v>
      </c>
      <c r="G170" s="2153"/>
      <c r="H170" s="2152"/>
      <c r="I170" s="2150"/>
      <c r="J170" s="2152"/>
      <c r="K170" s="2158"/>
      <c r="L170" s="2153"/>
      <c r="M170" s="2152"/>
      <c r="N170" s="2161"/>
    </row>
    <row r="171" spans="1:14" s="1" customFormat="1" ht="15">
      <c r="A171" s="329">
        <v>2006.06</v>
      </c>
      <c r="B171" s="2145">
        <v>8.050541516245513E-3</v>
      </c>
      <c r="C171" s="2082">
        <v>6.8140029563399374E-3</v>
      </c>
      <c r="D171" s="2079">
        <v>-3.4470195891601607E-3</v>
      </c>
      <c r="E171" s="2082">
        <v>1.0608838098209894E-2</v>
      </c>
      <c r="F171" s="2135">
        <v>2.3903943599911992E-2</v>
      </c>
      <c r="G171" s="2153"/>
      <c r="H171" s="2152"/>
      <c r="I171" s="2150"/>
      <c r="J171" s="2152"/>
      <c r="K171" s="2158"/>
      <c r="L171" s="2153"/>
      <c r="M171" s="2152"/>
      <c r="N171" s="2161"/>
    </row>
    <row r="172" spans="1:14" s="1" customFormat="1" ht="15">
      <c r="A172" s="329">
        <v>2006.07</v>
      </c>
      <c r="B172" s="2145">
        <v>7.1267413959819059E-3</v>
      </c>
      <c r="C172" s="2082">
        <v>7.5198739525890179E-3</v>
      </c>
      <c r="D172" s="2079">
        <v>1.2176602924634405E-2</v>
      </c>
      <c r="E172" s="2082">
        <v>5.8276407703290456E-3</v>
      </c>
      <c r="F172" s="2135">
        <v>2.3310023310023631E-3</v>
      </c>
      <c r="G172" s="2153"/>
      <c r="H172" s="2152"/>
      <c r="I172" s="2150"/>
      <c r="J172" s="2152"/>
      <c r="K172" s="2158"/>
      <c r="L172" s="2153"/>
      <c r="M172" s="2152"/>
      <c r="N172" s="2161"/>
    </row>
    <row r="173" spans="1:14" s="1" customFormat="1" ht="15">
      <c r="A173" s="329">
        <v>2006.08</v>
      </c>
      <c r="B173" s="2145">
        <v>6.4362420880446081E-3</v>
      </c>
      <c r="C173" s="2082">
        <v>6.9306226897924983E-3</v>
      </c>
      <c r="D173" s="2079">
        <v>1.4447253632652313E-3</v>
      </c>
      <c r="E173" s="2082">
        <v>8.9402194766325938E-3</v>
      </c>
      <c r="F173" s="2135">
        <v>-5.3667262969592233E-4</v>
      </c>
      <c r="G173" s="2153"/>
      <c r="H173" s="2152"/>
      <c r="I173" s="2150"/>
      <c r="J173" s="2152"/>
      <c r="K173" s="2158"/>
      <c r="L173" s="2153"/>
      <c r="M173" s="2152"/>
      <c r="N173" s="2161"/>
    </row>
    <row r="174" spans="1:14" s="1" customFormat="1" ht="15">
      <c r="A174" s="329">
        <v>2006.09</v>
      </c>
      <c r="B174" s="2145">
        <v>-2.614563827155969E-3</v>
      </c>
      <c r="C174" s="2082">
        <v>-3.2826232748580653E-3</v>
      </c>
      <c r="D174" s="2079">
        <v>-2.3248716881675735E-2</v>
      </c>
      <c r="E174" s="2082">
        <v>3.9170945046589356E-3</v>
      </c>
      <c r="F174" s="2135">
        <v>6.7299087166636795E-3</v>
      </c>
      <c r="G174" s="2153"/>
      <c r="H174" s="2152"/>
      <c r="I174" s="2150"/>
      <c r="J174" s="2152"/>
      <c r="K174" s="2158"/>
      <c r="L174" s="2153"/>
      <c r="M174" s="2152"/>
      <c r="N174" s="2161"/>
    </row>
    <row r="175" spans="1:14" s="1" customFormat="1" ht="15">
      <c r="A175" s="329">
        <v>2006.1</v>
      </c>
      <c r="B175" s="2145">
        <v>4.1446739168937707E-3</v>
      </c>
      <c r="C175" s="2082">
        <v>4.1787662015724258E-3</v>
      </c>
      <c r="D175" s="2079">
        <v>2.8971511347175571E-3</v>
      </c>
      <c r="E175" s="2082">
        <v>4.6215622395635592E-3</v>
      </c>
      <c r="F175" s="2135">
        <v>3.413576076520819E-3</v>
      </c>
      <c r="G175" s="2153"/>
      <c r="H175" s="2152"/>
      <c r="I175" s="2150"/>
      <c r="J175" s="2152"/>
      <c r="K175" s="2158"/>
      <c r="L175" s="2153"/>
      <c r="M175" s="2152"/>
      <c r="N175" s="2161"/>
    </row>
    <row r="176" spans="1:14" s="1" customFormat="1" ht="15">
      <c r="A176" s="329">
        <v>2006.11</v>
      </c>
      <c r="B176" s="2145">
        <v>9.5251534608076227E-4</v>
      </c>
      <c r="C176" s="2082">
        <v>1.6574975313865536E-3</v>
      </c>
      <c r="D176" s="2079">
        <v>2.0957829448582377E-3</v>
      </c>
      <c r="E176" s="2082">
        <v>1.5082956259429015E-3</v>
      </c>
      <c r="F176" s="2135">
        <v>-8.1150997554839677E-3</v>
      </c>
      <c r="G176" s="2153"/>
      <c r="H176" s="2152"/>
      <c r="I176" s="2150"/>
      <c r="J176" s="2152"/>
      <c r="K176" s="2158"/>
      <c r="L176" s="2153"/>
      <c r="M176" s="2152"/>
      <c r="N176" s="2161"/>
    </row>
    <row r="177" spans="1:14" s="1" customFormat="1" ht="15">
      <c r="A177" s="329">
        <v>2006.12</v>
      </c>
      <c r="B177" s="2145">
        <v>3.9474147957565542E-3</v>
      </c>
      <c r="C177" s="2082">
        <v>4.0488680773158592E-3</v>
      </c>
      <c r="D177" s="2079">
        <v>5.3698103609078895E-3</v>
      </c>
      <c r="E177" s="2082">
        <v>3.5768072289155128E-3</v>
      </c>
      <c r="F177" s="2135">
        <v>2.8224365844944366E-3</v>
      </c>
      <c r="G177" s="2153"/>
      <c r="H177" s="2152"/>
      <c r="I177" s="2150"/>
      <c r="J177" s="2152"/>
      <c r="K177" s="2158"/>
      <c r="L177" s="2153"/>
      <c r="M177" s="2152"/>
      <c r="N177" s="2161"/>
    </row>
    <row r="178" spans="1:14" s="1" customFormat="1" ht="15">
      <c r="A178" s="329">
        <v>2007.01</v>
      </c>
      <c r="B178" s="2145">
        <v>3.51061962436372E-3</v>
      </c>
      <c r="C178" s="2082">
        <v>3.4364261168384758E-3</v>
      </c>
      <c r="D178" s="2079">
        <v>-7.5056925196075319E-3</v>
      </c>
      <c r="E178" s="2082">
        <v>7.3157006190207596E-3</v>
      </c>
      <c r="F178" s="2135">
        <v>4.4176849905590565E-3</v>
      </c>
      <c r="G178" s="2153"/>
      <c r="H178" s="2152"/>
      <c r="I178" s="2150"/>
      <c r="J178" s="2152"/>
      <c r="K178" s="2158"/>
      <c r="L178" s="2153"/>
      <c r="M178" s="2152"/>
      <c r="N178" s="2161"/>
    </row>
    <row r="179" spans="1:14" s="1" customFormat="1" ht="15">
      <c r="A179" s="329">
        <v>2007.02</v>
      </c>
      <c r="B179" s="2145">
        <v>8.2910617456708469E-3</v>
      </c>
      <c r="C179" s="2082">
        <v>8.2471344702261806E-3</v>
      </c>
      <c r="D179" s="2079">
        <v>1.3453803886025018E-2</v>
      </c>
      <c r="E179" s="2082">
        <v>6.4059590316574155E-3</v>
      </c>
      <c r="F179" s="2135">
        <v>8.7965097719291396E-3</v>
      </c>
      <c r="G179" s="2153"/>
      <c r="H179" s="2152"/>
      <c r="I179" s="2150"/>
      <c r="J179" s="2152"/>
      <c r="K179" s="2158"/>
      <c r="L179" s="2153"/>
      <c r="M179" s="2152"/>
      <c r="N179" s="2161"/>
    </row>
    <row r="180" spans="1:14" s="1" customFormat="1" ht="15">
      <c r="A180" s="329">
        <v>2007.03</v>
      </c>
      <c r="B180" s="2145">
        <v>6.2452293386994207E-3</v>
      </c>
      <c r="C180" s="2082">
        <v>6.1347566893110717E-3</v>
      </c>
      <c r="D180" s="2079">
        <v>5.4218719432101992E-3</v>
      </c>
      <c r="E180" s="2082">
        <v>6.4391976907702819E-3</v>
      </c>
      <c r="F180" s="2135">
        <v>7.5946696670299296E-3</v>
      </c>
      <c r="G180" s="2153"/>
      <c r="H180" s="2152"/>
      <c r="I180" s="2150"/>
      <c r="J180" s="2152"/>
      <c r="K180" s="2158"/>
      <c r="L180" s="2153"/>
      <c r="M180" s="2152"/>
      <c r="N180" s="2161"/>
    </row>
    <row r="181" spans="1:14" s="1" customFormat="1" ht="15">
      <c r="A181" s="329">
        <v>2007.04</v>
      </c>
      <c r="B181" s="2145">
        <v>1.7309151093028108E-2</v>
      </c>
      <c r="C181" s="2082">
        <v>1.7189706844879193E-2</v>
      </c>
      <c r="D181" s="2079">
        <v>2.8769979152189151E-2</v>
      </c>
      <c r="E181" s="2082">
        <v>1.3126930430945594E-2</v>
      </c>
      <c r="F181" s="2135">
        <v>1.8878459015249316E-2</v>
      </c>
      <c r="G181" s="2153"/>
      <c r="H181" s="2152"/>
      <c r="I181" s="2150"/>
      <c r="J181" s="2152"/>
      <c r="K181" s="2158"/>
      <c r="L181" s="2153"/>
      <c r="M181" s="2152"/>
      <c r="N181" s="2161"/>
    </row>
    <row r="182" spans="1:14" s="1" customFormat="1" ht="15">
      <c r="A182" s="329">
        <v>2007.05</v>
      </c>
      <c r="B182" s="2145">
        <v>1.5523318872017189E-2</v>
      </c>
      <c r="C182" s="2082">
        <v>1.5747764833378586E-2</v>
      </c>
      <c r="D182" s="2079">
        <v>2.5560659281275155E-2</v>
      </c>
      <c r="E182" s="2082">
        <v>1.2267266722317149E-2</v>
      </c>
      <c r="F182" s="2135">
        <v>1.2740598671141745E-2</v>
      </c>
      <c r="G182" s="2153"/>
      <c r="H182" s="2152"/>
      <c r="I182" s="2150"/>
      <c r="J182" s="2152"/>
      <c r="K182" s="2158"/>
      <c r="L182" s="2153"/>
      <c r="M182" s="2152"/>
      <c r="N182" s="2161"/>
    </row>
    <row r="183" spans="1:14" s="1" customFormat="1" ht="15">
      <c r="A183" s="329">
        <v>2007.06</v>
      </c>
      <c r="B183" s="2145">
        <v>1.945798010813693E-2</v>
      </c>
      <c r="C183" s="2082">
        <v>1.9837962191177949E-2</v>
      </c>
      <c r="D183" s="2079">
        <v>3.4566339972599947E-2</v>
      </c>
      <c r="E183" s="2082">
        <v>1.4556667025205305E-2</v>
      </c>
      <c r="F183" s="2135">
        <v>1.4474129184984807E-2</v>
      </c>
      <c r="G183" s="2153"/>
      <c r="H183" s="2152"/>
      <c r="I183" s="2150"/>
      <c r="J183" s="2152"/>
      <c r="K183" s="2158"/>
      <c r="L183" s="2153"/>
      <c r="M183" s="2152"/>
      <c r="N183" s="2161"/>
    </row>
    <row r="184" spans="1:14" s="1" customFormat="1" ht="15">
      <c r="A184" s="329">
        <v>2007.07</v>
      </c>
      <c r="B184" s="2145">
        <v>2.268783761663129E-2</v>
      </c>
      <c r="C184" s="2082">
        <v>2.3309794690728358E-2</v>
      </c>
      <c r="D184" s="2079">
        <v>3.5270449220739408E-2</v>
      </c>
      <c r="E184" s="2082">
        <v>1.8906597872565767E-2</v>
      </c>
      <c r="F184" s="2135">
        <v>1.4734315621041105E-2</v>
      </c>
      <c r="G184" s="2153"/>
      <c r="H184" s="2152"/>
      <c r="I184" s="2150"/>
      <c r="J184" s="2152"/>
      <c r="K184" s="2158"/>
      <c r="L184" s="2153"/>
      <c r="M184" s="2152"/>
      <c r="N184" s="2161"/>
    </row>
    <row r="185" spans="1:14" s="1" customFormat="1" ht="15">
      <c r="A185" s="329">
        <v>2007.08</v>
      </c>
      <c r="B185" s="2145">
        <v>7.6189256674563666E-3</v>
      </c>
      <c r="C185" s="2082">
        <v>6.8368422734097489E-3</v>
      </c>
      <c r="D185" s="2079">
        <v>-2.140063463951003E-2</v>
      </c>
      <c r="E185" s="2082">
        <v>1.7376526082131027E-2</v>
      </c>
      <c r="F185" s="2135">
        <v>1.7674113009198411E-2</v>
      </c>
      <c r="G185" s="2153"/>
      <c r="H185" s="2152"/>
      <c r="I185" s="2150"/>
      <c r="J185" s="2152"/>
      <c r="K185" s="2158"/>
      <c r="L185" s="2153"/>
      <c r="M185" s="2152"/>
      <c r="N185" s="2161"/>
    </row>
    <row r="186" spans="1:14" s="1" customFormat="1" ht="15">
      <c r="A186" s="329">
        <v>2007.09</v>
      </c>
      <c r="B186" s="2145">
        <v>1.0261786758164915E-2</v>
      </c>
      <c r="C186" s="2082">
        <v>1.0693320640964732E-2</v>
      </c>
      <c r="D186" s="2079">
        <v>1.3699318804514471E-2</v>
      </c>
      <c r="E186" s="2082">
        <v>9.6137456107454611E-3</v>
      </c>
      <c r="F186" s="2135">
        <v>4.3902124088062155E-3</v>
      </c>
      <c r="G186" s="2153"/>
      <c r="H186" s="2152"/>
      <c r="I186" s="2150"/>
      <c r="J186" s="2152"/>
      <c r="K186" s="2158"/>
      <c r="L186" s="2153"/>
      <c r="M186" s="2152"/>
      <c r="N186" s="2161"/>
    </row>
    <row r="187" spans="1:14" s="1" customFormat="1" ht="15">
      <c r="A187" s="329">
        <v>2007.1</v>
      </c>
      <c r="B187" s="2145">
        <v>9.214126230384645E-3</v>
      </c>
      <c r="C187" s="2082">
        <v>8.7906567876427921E-3</v>
      </c>
      <c r="D187" s="2079">
        <v>6.5463201745685762E-3</v>
      </c>
      <c r="E187" s="2082">
        <v>9.5559682593282513E-3</v>
      </c>
      <c r="F187" s="2135">
        <v>1.5073600308542767E-2</v>
      </c>
      <c r="G187" s="2153"/>
      <c r="H187" s="2152"/>
      <c r="I187" s="2150"/>
      <c r="J187" s="2152"/>
      <c r="K187" s="2158"/>
      <c r="L187" s="2153"/>
      <c r="M187" s="2152"/>
      <c r="N187" s="2161"/>
    </row>
    <row r="188" spans="1:14" s="1" customFormat="1" ht="15">
      <c r="A188" s="329">
        <v>2007.11</v>
      </c>
      <c r="B188" s="2145">
        <v>1.046989904025919E-2</v>
      </c>
      <c r="C188" s="2082">
        <v>1.1141541142785982E-2</v>
      </c>
      <c r="D188" s="2079">
        <v>3.6460386283010404E-3</v>
      </c>
      <c r="E188" s="2082">
        <v>1.3847080072245443E-2</v>
      </c>
      <c r="F188" s="2135">
        <v>1.5514675616628004E-3</v>
      </c>
      <c r="G188" s="2153"/>
      <c r="H188" s="2152"/>
      <c r="I188" s="2150"/>
      <c r="J188" s="2152"/>
      <c r="K188" s="2158"/>
      <c r="L188" s="2153"/>
      <c r="M188" s="2152"/>
      <c r="N188" s="2161"/>
    </row>
    <row r="189" spans="1:14" s="1" customFormat="1" ht="15">
      <c r="A189" s="329">
        <v>2007.12</v>
      </c>
      <c r="B189" s="2145">
        <v>6.2908597508326558E-3</v>
      </c>
      <c r="C189" s="2082">
        <v>6.4019698368729117E-3</v>
      </c>
      <c r="D189" s="2079">
        <v>-1.3966617574865059E-2</v>
      </c>
      <c r="E189" s="2082">
        <v>1.362496700976501E-2</v>
      </c>
      <c r="F189" s="2135">
        <v>4.9001011633789116E-3</v>
      </c>
      <c r="G189" s="2153"/>
      <c r="H189" s="2152"/>
      <c r="I189" s="2150"/>
      <c r="J189" s="2152"/>
      <c r="K189" s="2158"/>
      <c r="L189" s="2153"/>
      <c r="M189" s="2152"/>
      <c r="N189" s="2161"/>
    </row>
    <row r="190" spans="1:14" s="1" customFormat="1" ht="15">
      <c r="A190" s="329">
        <f t="shared" ref="A190:A253" si="0">A178+1</f>
        <v>2008.01</v>
      </c>
      <c r="B190" s="2145">
        <v>7.9063495954889706E-3</v>
      </c>
      <c r="C190" s="2082">
        <v>7.9209737598628926E-3</v>
      </c>
      <c r="D190" s="2079">
        <v>-4.2319085907738252E-4</v>
      </c>
      <c r="E190" s="2082">
        <v>1.0838079739625694E-2</v>
      </c>
      <c r="F190" s="2135">
        <v>7.5817157957653869E-3</v>
      </c>
      <c r="G190" s="2153"/>
      <c r="H190" s="2152"/>
      <c r="I190" s="2150"/>
      <c r="J190" s="2152"/>
      <c r="K190" s="2158"/>
      <c r="L190" s="2153"/>
      <c r="M190" s="2152"/>
      <c r="N190" s="2161"/>
    </row>
    <row r="191" spans="1:14" s="1" customFormat="1" ht="15">
      <c r="A191" s="329">
        <f t="shared" si="0"/>
        <v>2008.02</v>
      </c>
      <c r="B191" s="2145">
        <v>9.2733353602920676E-3</v>
      </c>
      <c r="C191" s="2082">
        <v>8.0104378432501733E-3</v>
      </c>
      <c r="D191" s="2079">
        <v>1.1007620660457018E-2</v>
      </c>
      <c r="E191" s="2082">
        <v>6.954729860261688E-3</v>
      </c>
      <c r="F191" s="2135">
        <v>2.6102160609466685E-2</v>
      </c>
      <c r="G191" s="2153"/>
      <c r="H191" s="2152"/>
      <c r="I191" s="2150"/>
      <c r="J191" s="2152"/>
      <c r="K191" s="2158"/>
      <c r="L191" s="2153"/>
      <c r="M191" s="2152"/>
      <c r="N191" s="2161"/>
    </row>
    <row r="192" spans="1:14" s="1" customFormat="1" ht="15">
      <c r="A192" s="329">
        <f t="shared" si="0"/>
        <v>2008.03</v>
      </c>
      <c r="B192" s="2145">
        <v>1.1176381985238848E-2</v>
      </c>
      <c r="C192" s="2082">
        <v>1.0655910418109205E-2</v>
      </c>
      <c r="D192" s="2079">
        <v>2.0199034387624604E-3</v>
      </c>
      <c r="E192" s="2082">
        <v>1.3621538658310284E-2</v>
      </c>
      <c r="F192" s="2135">
        <v>1.789191820837388E-2</v>
      </c>
      <c r="G192" s="2153"/>
      <c r="H192" s="2152"/>
      <c r="I192" s="2150"/>
      <c r="J192" s="2152"/>
      <c r="K192" s="2158"/>
      <c r="L192" s="2153"/>
      <c r="M192" s="2152"/>
      <c r="N192" s="2161"/>
    </row>
    <row r="193" spans="1:14" s="1" customFormat="1" ht="15">
      <c r="A193" s="329">
        <f t="shared" si="0"/>
        <v>2008.04</v>
      </c>
      <c r="B193" s="2145">
        <v>1.2333909312995273E-2</v>
      </c>
      <c r="C193" s="2082">
        <v>1.0335070737155672E-2</v>
      </c>
      <c r="D193" s="2079">
        <v>-1.3471655440287167E-2</v>
      </c>
      <c r="E193" s="2082">
        <v>1.8391167192429059E-2</v>
      </c>
      <c r="F193" s="2135">
        <v>3.7755590099246561E-2</v>
      </c>
      <c r="G193" s="2153"/>
      <c r="H193" s="2152"/>
      <c r="I193" s="2150"/>
      <c r="J193" s="2152"/>
      <c r="K193" s="2158"/>
      <c r="L193" s="2153"/>
      <c r="M193" s="2152"/>
      <c r="N193" s="2161"/>
    </row>
    <row r="194" spans="1:14" s="1" customFormat="1" ht="15">
      <c r="A194" s="329">
        <f t="shared" si="0"/>
        <v>2008.05</v>
      </c>
      <c r="B194" s="2145">
        <v>1.0682754561506691E-2</v>
      </c>
      <c r="C194" s="2082">
        <v>1.0022993927244706E-2</v>
      </c>
      <c r="D194" s="2079">
        <v>5.7313730376276073E-3</v>
      </c>
      <c r="E194" s="2082">
        <v>1.1430164482854943E-2</v>
      </c>
      <c r="F194" s="2135">
        <v>1.8896730519948113E-2</v>
      </c>
      <c r="G194" s="2153"/>
      <c r="H194" s="2152"/>
      <c r="I194" s="2150"/>
      <c r="J194" s="2152"/>
      <c r="K194" s="2158"/>
      <c r="L194" s="2153"/>
      <c r="M194" s="2152"/>
      <c r="N194" s="2161"/>
    </row>
    <row r="195" spans="1:14" s="1" customFormat="1" ht="15">
      <c r="A195" s="329">
        <f t="shared" si="0"/>
        <v>2008.06</v>
      </c>
      <c r="B195" s="2145">
        <v>1.1967504294907449E-2</v>
      </c>
      <c r="C195" s="2082">
        <v>1.2375226198120259E-2</v>
      </c>
      <c r="D195" s="2079">
        <v>5.9960356788899549E-3</v>
      </c>
      <c r="E195" s="2082">
        <v>1.4455469802768794E-2</v>
      </c>
      <c r="F195" s="2135">
        <v>7.2658392468407662E-3</v>
      </c>
      <c r="G195" s="2153"/>
      <c r="H195" s="2152"/>
      <c r="I195" s="2150"/>
      <c r="J195" s="2152"/>
      <c r="K195" s="2158"/>
      <c r="L195" s="2153"/>
      <c r="M195" s="2152"/>
      <c r="N195" s="2161"/>
    </row>
    <row r="196" spans="1:14" s="1" customFormat="1" ht="15">
      <c r="A196" s="329">
        <f t="shared" si="0"/>
        <v>2008.07</v>
      </c>
      <c r="B196" s="2145">
        <v>7.5674742475688728E-3</v>
      </c>
      <c r="C196" s="2082">
        <v>7.178688808164857E-3</v>
      </c>
      <c r="D196" s="2079">
        <v>-4.5810551204373828E-3</v>
      </c>
      <c r="E196" s="2082">
        <v>1.098901098901095E-2</v>
      </c>
      <c r="F196" s="2135">
        <v>1.1844616593690516E-2</v>
      </c>
      <c r="G196" s="2153"/>
      <c r="H196" s="2152"/>
      <c r="I196" s="2150"/>
      <c r="J196" s="2152"/>
      <c r="K196" s="2158"/>
      <c r="L196" s="2153"/>
      <c r="M196" s="2152"/>
      <c r="N196" s="2161"/>
    </row>
    <row r="197" spans="1:14" s="1" customFormat="1" ht="15">
      <c r="A197" s="329">
        <f t="shared" si="0"/>
        <v>2008.08</v>
      </c>
      <c r="B197" s="2145">
        <v>8.338806865236803E-3</v>
      </c>
      <c r="C197" s="2082">
        <v>8.9022470301987067E-3</v>
      </c>
      <c r="D197" s="2079">
        <v>1.2965162311955547E-2</v>
      </c>
      <c r="E197" s="2082">
        <v>7.6146679407549378E-3</v>
      </c>
      <c r="F197" s="2135">
        <v>1.6366158113731988E-3</v>
      </c>
      <c r="G197" s="2153"/>
      <c r="H197" s="2152"/>
      <c r="I197" s="2150"/>
      <c r="J197" s="2152"/>
      <c r="K197" s="2158"/>
      <c r="L197" s="2153"/>
      <c r="M197" s="2152"/>
      <c r="N197" s="2161"/>
    </row>
    <row r="198" spans="1:14" s="1" customFormat="1" ht="15">
      <c r="A198" s="329">
        <f t="shared" si="0"/>
        <v>2008.09</v>
      </c>
      <c r="B198" s="2145">
        <v>5.5793140559066146E-3</v>
      </c>
      <c r="C198" s="2082">
        <v>5.9297508937186105E-3</v>
      </c>
      <c r="D198" s="2079">
        <v>-3.0776746458229809E-3</v>
      </c>
      <c r="E198" s="2082">
        <v>8.8018255638204757E-3</v>
      </c>
      <c r="F198" s="2135">
        <v>1.384696336093727E-3</v>
      </c>
      <c r="G198" s="2153"/>
      <c r="H198" s="2152"/>
      <c r="I198" s="2150"/>
      <c r="J198" s="2152"/>
      <c r="K198" s="2158"/>
      <c r="L198" s="2153"/>
      <c r="M198" s="2152"/>
      <c r="N198" s="2161"/>
    </row>
    <row r="199" spans="1:14" s="1" customFormat="1" ht="15">
      <c r="A199" s="329">
        <f t="shared" si="0"/>
        <v>2008.1</v>
      </c>
      <c r="B199" s="2145">
        <v>5.5201937700670722E-3</v>
      </c>
      <c r="C199" s="2082">
        <v>5.528134254688899E-3</v>
      </c>
      <c r="D199" s="2079">
        <v>3.0381731758710728E-3</v>
      </c>
      <c r="E199" s="2082">
        <v>6.3160987074031283E-3</v>
      </c>
      <c r="F199" s="2135">
        <v>5.1439475649217581E-3</v>
      </c>
      <c r="G199" s="2153"/>
      <c r="H199" s="2152"/>
      <c r="I199" s="2150"/>
      <c r="J199" s="2152"/>
      <c r="K199" s="2158"/>
      <c r="L199" s="2153"/>
      <c r="M199" s="2152"/>
      <c r="N199" s="2161"/>
    </row>
    <row r="200" spans="1:14" s="1" customFormat="1" ht="15">
      <c r="A200" s="329">
        <f t="shared" si="0"/>
        <v>2008.11</v>
      </c>
      <c r="B200" s="2145">
        <v>-2.7729538961402955E-3</v>
      </c>
      <c r="C200" s="2082">
        <v>-3.4781633053772021E-3</v>
      </c>
      <c r="D200" s="2079">
        <v>-1.9248619864184802E-2</v>
      </c>
      <c r="E200" s="2082">
        <v>1.4888337468981216E-3</v>
      </c>
      <c r="F200" s="2135">
        <v>6.218186820745597E-3</v>
      </c>
      <c r="G200" s="2153"/>
      <c r="H200" s="2152"/>
      <c r="I200" s="2150"/>
      <c r="J200" s="2152"/>
      <c r="K200" s="2158"/>
      <c r="L200" s="2153"/>
      <c r="M200" s="2152"/>
      <c r="N200" s="2161"/>
    </row>
    <row r="201" spans="1:14" s="1" customFormat="1" ht="15">
      <c r="A201" s="329">
        <f t="shared" si="0"/>
        <v>2008.12</v>
      </c>
      <c r="B201" s="2145">
        <v>-2.6121394264526643E-3</v>
      </c>
      <c r="C201" s="2082">
        <v>-1.9421848171813361E-3</v>
      </c>
      <c r="D201" s="2079">
        <v>-5.7285180572852479E-4</v>
      </c>
      <c r="E201" s="2082">
        <v>-2.3611030140501255E-3</v>
      </c>
      <c r="F201" s="2135">
        <v>-1.0664187470946884E-2</v>
      </c>
      <c r="G201" s="2153"/>
      <c r="H201" s="2152"/>
      <c r="I201" s="2150"/>
      <c r="J201" s="2152"/>
      <c r="K201" s="2158"/>
      <c r="L201" s="2153"/>
      <c r="M201" s="2152"/>
      <c r="N201" s="2161"/>
    </row>
    <row r="202" spans="1:14" s="1" customFormat="1" ht="15">
      <c r="A202" s="329">
        <f t="shared" si="0"/>
        <v>2009.01</v>
      </c>
      <c r="B202" s="2145">
        <v>-8.1667136018037656E-4</v>
      </c>
      <c r="C202" s="2082">
        <v>4.79440464775438E-4</v>
      </c>
      <c r="D202" s="2079">
        <v>1.2111545841951621E-2</v>
      </c>
      <c r="E202" s="2082">
        <v>-3.0971512052593297E-3</v>
      </c>
      <c r="F202" s="2135">
        <v>-1.7163704706890326E-2</v>
      </c>
      <c r="G202" s="2153"/>
      <c r="H202" s="2152"/>
      <c r="I202" s="2150"/>
      <c r="J202" s="2152"/>
      <c r="K202" s="2158"/>
      <c r="L202" s="2153"/>
      <c r="M202" s="2152"/>
      <c r="N202" s="2161"/>
    </row>
    <row r="203" spans="1:14" s="1" customFormat="1" ht="15">
      <c r="A203" s="329">
        <f t="shared" si="0"/>
        <v>2009.02</v>
      </c>
      <c r="B203" s="2145">
        <v>1.4092049265803652E-3</v>
      </c>
      <c r="C203" s="2082">
        <v>3.1853417899927461E-3</v>
      </c>
      <c r="D203" s="2079">
        <v>1.2237460911530995E-2</v>
      </c>
      <c r="E203" s="2082">
        <v>3.2240100823588413E-4</v>
      </c>
      <c r="F203" s="2135">
        <v>-2.1147356580427434E-2</v>
      </c>
      <c r="G203" s="2153"/>
      <c r="H203" s="2152"/>
      <c r="I203" s="2150"/>
      <c r="J203" s="2152"/>
      <c r="K203" s="2158"/>
      <c r="L203" s="2153"/>
      <c r="M203" s="2152"/>
      <c r="N203" s="2161"/>
    </row>
    <row r="204" spans="1:14" s="1" customFormat="1" ht="15">
      <c r="A204" s="329">
        <f t="shared" si="0"/>
        <v>2009.03</v>
      </c>
      <c r="B204" s="2145">
        <v>1.1454785961554803E-2</v>
      </c>
      <c r="C204" s="2082">
        <v>1.177363156120026E-2</v>
      </c>
      <c r="D204" s="2079">
        <v>3.6584772561420342E-2</v>
      </c>
      <c r="E204" s="2082">
        <v>3.8968649282156154E-3</v>
      </c>
      <c r="F204" s="2135">
        <v>7.297173063663509E-3</v>
      </c>
      <c r="G204" s="2153"/>
      <c r="H204" s="2152"/>
      <c r="I204" s="2150"/>
      <c r="J204" s="2152"/>
      <c r="K204" s="2158"/>
      <c r="L204" s="2153"/>
      <c r="M204" s="2152"/>
      <c r="N204" s="2161"/>
    </row>
    <row r="205" spans="1:14" s="1" customFormat="1" ht="15">
      <c r="A205" s="329">
        <f t="shared" si="0"/>
        <v>2009.04</v>
      </c>
      <c r="B205" s="2145">
        <v>4.7303689687794304E-3</v>
      </c>
      <c r="C205" s="2082">
        <v>5.9710611825478654E-3</v>
      </c>
      <c r="D205" s="2079">
        <v>-3.1679729666305168E-3</v>
      </c>
      <c r="E205" s="2082">
        <v>8.9601027347285811E-3</v>
      </c>
      <c r="F205" s="2135">
        <v>-1.1608008670355385E-2</v>
      </c>
      <c r="G205" s="2153"/>
      <c r="H205" s="2152"/>
      <c r="I205" s="2150"/>
      <c r="J205" s="2152"/>
      <c r="K205" s="2158"/>
      <c r="L205" s="2153"/>
      <c r="M205" s="2152"/>
      <c r="N205" s="2161"/>
    </row>
    <row r="206" spans="1:14" s="1" customFormat="1" ht="15">
      <c r="A206" s="329">
        <f t="shared" si="0"/>
        <v>2009.05</v>
      </c>
      <c r="B206" s="2145">
        <v>4.7634873158304281E-3</v>
      </c>
      <c r="C206" s="2082">
        <v>4.9969631715529594E-3</v>
      </c>
      <c r="D206" s="2079">
        <v>-6.4737870477176163E-3</v>
      </c>
      <c r="E206" s="2082">
        <v>8.7069713624530198E-3</v>
      </c>
      <c r="F206" s="2135">
        <v>1.8179194921368325E-3</v>
      </c>
      <c r="G206" s="2153"/>
      <c r="H206" s="2152"/>
      <c r="I206" s="2150"/>
      <c r="J206" s="2152"/>
      <c r="K206" s="2158"/>
      <c r="L206" s="2153"/>
      <c r="M206" s="2152"/>
      <c r="N206" s="2161"/>
    </row>
    <row r="207" spans="1:14" s="1" customFormat="1" ht="15">
      <c r="A207" s="329">
        <f t="shared" si="0"/>
        <v>2009.06</v>
      </c>
      <c r="B207" s="2145">
        <v>1.1300992282249123E-2</v>
      </c>
      <c r="C207" s="2082">
        <v>1.2169326703843186E-2</v>
      </c>
      <c r="D207" s="2079">
        <v>1.514074495308515E-2</v>
      </c>
      <c r="E207" s="2082">
        <v>1.1212755584870004E-2</v>
      </c>
      <c r="F207" s="2135">
        <v>-2.3042802004713536E-4</v>
      </c>
      <c r="G207" s="2153"/>
      <c r="H207" s="2152"/>
      <c r="I207" s="2150"/>
      <c r="J207" s="2152"/>
      <c r="K207" s="2158"/>
      <c r="L207" s="2153"/>
      <c r="M207" s="2152"/>
      <c r="N207" s="2161"/>
    </row>
    <row r="208" spans="1:14" s="1" customFormat="1" ht="15">
      <c r="A208" s="329">
        <f t="shared" si="0"/>
        <v>2009.07</v>
      </c>
      <c r="B208" s="2145">
        <v>1.2455710002725606E-2</v>
      </c>
      <c r="C208" s="2082">
        <v>1.2430114530749714E-2</v>
      </c>
      <c r="D208" s="2079">
        <v>1.8929580094764642E-2</v>
      </c>
      <c r="E208" s="2082">
        <v>1.0351086155067746E-2</v>
      </c>
      <c r="F208" s="2135">
        <v>1.2791702679342931E-2</v>
      </c>
      <c r="G208" s="2153"/>
      <c r="H208" s="2152"/>
      <c r="I208" s="2150"/>
      <c r="J208" s="2152"/>
      <c r="K208" s="2158"/>
      <c r="L208" s="2153"/>
      <c r="M208" s="2152"/>
      <c r="N208" s="2161"/>
    </row>
    <row r="209" spans="1:14" s="1" customFormat="1" ht="15">
      <c r="A209" s="329">
        <f t="shared" si="0"/>
        <v>2009.08</v>
      </c>
      <c r="B209" s="2145">
        <v>1.0418068753869525E-2</v>
      </c>
      <c r="C209" s="2082">
        <v>1.0588676817499643E-2</v>
      </c>
      <c r="D209" s="2079">
        <v>6.9180372932606815E-3</v>
      </c>
      <c r="E209" s="2082">
        <v>1.1788811856176418E-2</v>
      </c>
      <c r="F209" s="2135">
        <v>8.2209705865621263E-3</v>
      </c>
      <c r="G209" s="2153"/>
      <c r="H209" s="2152"/>
      <c r="I209" s="2150"/>
      <c r="J209" s="2152"/>
      <c r="K209" s="2158"/>
      <c r="L209" s="2153"/>
      <c r="M209" s="2152"/>
      <c r="N209" s="2161"/>
    </row>
    <row r="210" spans="1:14" s="1" customFormat="1" ht="15">
      <c r="A210" s="329">
        <f t="shared" si="0"/>
        <v>2009.09</v>
      </c>
      <c r="B210" s="2145">
        <v>1.0230724143443393E-2</v>
      </c>
      <c r="C210" s="2082">
        <v>1.0053317064113054E-2</v>
      </c>
      <c r="D210" s="2079">
        <v>1.1420511420511259E-2</v>
      </c>
      <c r="E210" s="2082">
        <v>9.5985796321469419E-3</v>
      </c>
      <c r="F210" s="2135">
        <v>1.2668227858815717E-2</v>
      </c>
      <c r="G210" s="2153"/>
      <c r="H210" s="2152"/>
      <c r="I210" s="2150"/>
      <c r="J210" s="2152"/>
      <c r="K210" s="2158"/>
      <c r="L210" s="2153"/>
      <c r="M210" s="2152"/>
      <c r="N210" s="2161"/>
    </row>
    <row r="211" spans="1:14" s="1" customFormat="1" ht="15">
      <c r="A211" s="329">
        <f t="shared" si="0"/>
        <v>2009.1</v>
      </c>
      <c r="B211" s="2145">
        <v>9.2568173426867961E-3</v>
      </c>
      <c r="C211" s="2082">
        <v>9.8219444298546232E-3</v>
      </c>
      <c r="D211" s="2079">
        <v>1.4215664222412272E-2</v>
      </c>
      <c r="E211" s="2082">
        <v>8.408210370126179E-3</v>
      </c>
      <c r="F211" s="2135">
        <v>1.4766521787583642E-3</v>
      </c>
      <c r="G211" s="2153"/>
      <c r="H211" s="2152"/>
      <c r="I211" s="2150"/>
      <c r="J211" s="2152"/>
      <c r="K211" s="2158"/>
      <c r="L211" s="2153"/>
      <c r="M211" s="2152"/>
      <c r="N211" s="2161"/>
    </row>
    <row r="212" spans="1:14" s="1" customFormat="1" ht="15">
      <c r="A212" s="329">
        <f t="shared" si="0"/>
        <v>2009.11</v>
      </c>
      <c r="B212" s="2145">
        <v>1.0530716768141435E-2</v>
      </c>
      <c r="C212" s="2082">
        <v>1.0818683033392285E-2</v>
      </c>
      <c r="D212" s="2079">
        <v>1.1377245508982003E-2</v>
      </c>
      <c r="E212" s="2082">
        <v>1.0654241259979713E-2</v>
      </c>
      <c r="F212" s="2135">
        <v>6.5377660314369646E-3</v>
      </c>
      <c r="G212" s="2153"/>
      <c r="H212" s="2152"/>
      <c r="I212" s="2150"/>
      <c r="J212" s="2152"/>
      <c r="K212" s="2158"/>
      <c r="L212" s="2153"/>
      <c r="M212" s="2152"/>
      <c r="N212" s="2161"/>
    </row>
    <row r="213" spans="1:14" s="1" customFormat="1" ht="15">
      <c r="A213" s="329">
        <f t="shared" si="0"/>
        <v>2009.12</v>
      </c>
      <c r="B213" s="2145">
        <v>1.2515515101365171E-2</v>
      </c>
      <c r="C213" s="2082">
        <v>1.3944633117217275E-2</v>
      </c>
      <c r="D213" s="2079">
        <v>2.5020283753261818E-2</v>
      </c>
      <c r="E213" s="2082">
        <v>1.0353194931248311E-2</v>
      </c>
      <c r="F213" s="2135">
        <v>-6.992813709231771E-3</v>
      </c>
      <c r="G213" s="2153"/>
      <c r="H213" s="2152"/>
      <c r="I213" s="2150"/>
      <c r="J213" s="2152"/>
      <c r="K213" s="2158"/>
      <c r="L213" s="2153"/>
      <c r="M213" s="2152"/>
      <c r="N213" s="2161"/>
    </row>
    <row r="214" spans="1:14" s="1" customFormat="1" ht="15">
      <c r="A214" s="329">
        <f t="shared" si="0"/>
        <v>2010.01</v>
      </c>
      <c r="B214" s="2145">
        <v>1.3484523444682539E-2</v>
      </c>
      <c r="C214" s="2082">
        <v>1.2814006597310135E-2</v>
      </c>
      <c r="D214" s="2079">
        <v>2.3917508129385645E-2</v>
      </c>
      <c r="E214" s="2082">
        <v>9.1530127555103924E-3</v>
      </c>
      <c r="F214" s="2135">
        <v>2.2657054582904346E-2</v>
      </c>
      <c r="G214" s="2153"/>
      <c r="H214" s="2152"/>
      <c r="I214" s="2150"/>
      <c r="J214" s="2152"/>
      <c r="K214" s="2158"/>
      <c r="L214" s="2153"/>
      <c r="M214" s="2152"/>
      <c r="N214" s="2161"/>
    </row>
    <row r="215" spans="1:14" s="1" customFormat="1" ht="15">
      <c r="A215" s="329">
        <f t="shared" si="0"/>
        <v>2010.02</v>
      </c>
      <c r="B215" s="2145">
        <v>1.5371434331216571E-2</v>
      </c>
      <c r="C215" s="2082">
        <v>1.6334711261430712E-2</v>
      </c>
      <c r="D215" s="2079">
        <v>2.3902051732062946E-2</v>
      </c>
      <c r="E215" s="2082">
        <v>1.3829759103048733E-2</v>
      </c>
      <c r="F215" s="2135">
        <v>2.1501864402164728E-3</v>
      </c>
      <c r="G215" s="2153"/>
      <c r="H215" s="2152"/>
      <c r="I215" s="2150"/>
      <c r="J215" s="2152"/>
      <c r="K215" s="2158"/>
      <c r="L215" s="2153"/>
      <c r="M215" s="2152"/>
      <c r="N215" s="2161"/>
    </row>
    <row r="216" spans="1:14" s="1" customFormat="1" ht="15">
      <c r="A216" s="329">
        <f t="shared" si="0"/>
        <v>2010.03</v>
      </c>
      <c r="B216" s="2145">
        <v>1.5188365513476132E-2</v>
      </c>
      <c r="C216" s="2082">
        <v>1.4346636428624215E-2</v>
      </c>
      <c r="D216" s="2079">
        <v>1.7344814920621898E-2</v>
      </c>
      <c r="E216" s="2082">
        <v>1.3328116849243621E-2</v>
      </c>
      <c r="F216" s="2135">
        <v>2.6751765344921408E-2</v>
      </c>
      <c r="G216" s="2153"/>
      <c r="H216" s="2152"/>
      <c r="I216" s="2150"/>
      <c r="J216" s="2152"/>
      <c r="K216" s="2158"/>
      <c r="L216" s="2153"/>
      <c r="M216" s="2152"/>
      <c r="N216" s="2161"/>
    </row>
    <row r="217" spans="1:14" s="1" customFormat="1" ht="15">
      <c r="A217" s="329">
        <f t="shared" si="0"/>
        <v>2010.04</v>
      </c>
      <c r="B217" s="2145">
        <v>1.1563095878355245E-2</v>
      </c>
      <c r="C217" s="2082">
        <v>1.1640623101411895E-2</v>
      </c>
      <c r="D217" s="2079">
        <v>4.733632862644388E-3</v>
      </c>
      <c r="E217" s="2082">
        <v>1.3950734858819702E-2</v>
      </c>
      <c r="F217" s="2135">
        <v>1.0712868668165454E-2</v>
      </c>
      <c r="G217" s="2153"/>
      <c r="H217" s="2152"/>
      <c r="I217" s="2150"/>
      <c r="J217" s="2152"/>
      <c r="K217" s="2158"/>
      <c r="L217" s="2153"/>
      <c r="M217" s="2152"/>
      <c r="N217" s="2161"/>
    </row>
    <row r="218" spans="1:14" s="1" customFormat="1" ht="15">
      <c r="A218" s="329">
        <f t="shared" si="0"/>
        <v>2010.05</v>
      </c>
      <c r="B218" s="2145">
        <v>1.2083423959013073E-2</v>
      </c>
      <c r="C218" s="2082">
        <v>1.2227346977995657E-2</v>
      </c>
      <c r="D218" s="2079">
        <v>6.8673640501477617E-3</v>
      </c>
      <c r="E218" s="2082">
        <v>1.4038027060645053E-2</v>
      </c>
      <c r="F218" s="2135">
        <v>1.0232923318503007E-2</v>
      </c>
      <c r="G218" s="2153"/>
      <c r="H218" s="2152"/>
      <c r="I218" s="2150"/>
      <c r="J218" s="2152"/>
      <c r="K218" s="2158"/>
      <c r="L218" s="2153"/>
      <c r="M218" s="2152"/>
      <c r="N218" s="2161"/>
    </row>
    <row r="219" spans="1:14" s="1" customFormat="1" ht="15">
      <c r="A219" s="329">
        <f t="shared" si="0"/>
        <v>2010.06</v>
      </c>
      <c r="B219" s="2145">
        <v>1.2154062895484596E-2</v>
      </c>
      <c r="C219" s="2082">
        <v>1.2910268884827936E-2</v>
      </c>
      <c r="D219" s="2079">
        <v>1.5266872868585857E-2</v>
      </c>
      <c r="E219" s="2082">
        <v>1.2141390877685065E-2</v>
      </c>
      <c r="F219" s="2135">
        <v>1.6320820704125438E-3</v>
      </c>
      <c r="G219" s="2153"/>
      <c r="H219" s="2152"/>
      <c r="I219" s="2150"/>
      <c r="J219" s="2152"/>
      <c r="K219" s="2158"/>
      <c r="L219" s="2153"/>
      <c r="M219" s="2152"/>
      <c r="N219" s="2161"/>
    </row>
    <row r="220" spans="1:14" s="1" customFormat="1" ht="15">
      <c r="A220" s="329">
        <f t="shared" si="0"/>
        <v>2010.07</v>
      </c>
      <c r="B220" s="2145">
        <v>9.6725488345756894E-3</v>
      </c>
      <c r="C220" s="2082">
        <v>1.030903680794748E-2</v>
      </c>
      <c r="D220" s="2079">
        <v>7.5577080810844688E-3</v>
      </c>
      <c r="E220" s="2082">
        <v>1.120427394820811E-2</v>
      </c>
      <c r="F220" s="2135">
        <v>5.6900475894883229E-4</v>
      </c>
      <c r="G220" s="2153"/>
      <c r="H220" s="2152"/>
      <c r="I220" s="2150"/>
      <c r="J220" s="2152"/>
      <c r="K220" s="2158"/>
      <c r="L220" s="2153"/>
      <c r="M220" s="2152"/>
      <c r="N220" s="2161"/>
    </row>
    <row r="221" spans="1:14" s="1" customFormat="1" ht="15">
      <c r="A221" s="329">
        <f t="shared" si="0"/>
        <v>2010.08</v>
      </c>
      <c r="B221" s="2145">
        <v>9.9771017337257906E-3</v>
      </c>
      <c r="C221" s="2082">
        <v>1.0714037244034191E-2</v>
      </c>
      <c r="D221" s="2079">
        <v>2.3510941406780006E-2</v>
      </c>
      <c r="E221" s="2082">
        <v>6.457293806868325E-3</v>
      </c>
      <c r="F221" s="2135">
        <v>-1.2924572196659767E-4</v>
      </c>
      <c r="G221" s="2153"/>
      <c r="H221" s="2152"/>
      <c r="I221" s="2150"/>
      <c r="J221" s="2152"/>
      <c r="K221" s="2158"/>
      <c r="L221" s="2153"/>
      <c r="M221" s="2152"/>
      <c r="N221" s="2161"/>
    </row>
    <row r="222" spans="1:14" s="1" customFormat="1" ht="15">
      <c r="A222" s="329">
        <f t="shared" si="0"/>
        <v>2010.09</v>
      </c>
      <c r="B222" s="2145">
        <v>9.3233082706765114E-3</v>
      </c>
      <c r="C222" s="2082">
        <v>9.6597297111260527E-3</v>
      </c>
      <c r="D222" s="2079">
        <v>1.9846229595121834E-2</v>
      </c>
      <c r="E222" s="2082">
        <v>6.2214445416544084E-3</v>
      </c>
      <c r="F222" s="2135">
        <v>4.213955171789685E-3</v>
      </c>
      <c r="G222" s="2153"/>
      <c r="H222" s="2152"/>
      <c r="I222" s="2150"/>
      <c r="J222" s="2152"/>
      <c r="K222" s="2158"/>
      <c r="L222" s="2153"/>
      <c r="M222" s="2152"/>
      <c r="N222" s="2161"/>
    </row>
    <row r="223" spans="1:14" s="1" customFormat="1" ht="15">
      <c r="A223" s="329">
        <f t="shared" si="0"/>
        <v>2010.1</v>
      </c>
      <c r="B223" s="2145">
        <v>9.0538186485742411E-3</v>
      </c>
      <c r="C223" s="2082">
        <v>8.6355785837648469E-3</v>
      </c>
      <c r="D223" s="2079">
        <v>9.9899728896646334E-3</v>
      </c>
      <c r="E223" s="2082">
        <v>8.1634624673945222E-3</v>
      </c>
      <c r="F223" s="2135">
        <v>1.4983008958912691E-2</v>
      </c>
      <c r="G223" s="2153"/>
      <c r="H223" s="2152"/>
      <c r="I223" s="2150"/>
      <c r="J223" s="2152"/>
      <c r="K223" s="2158"/>
      <c r="L223" s="2153"/>
      <c r="M223" s="2152"/>
      <c r="N223" s="2161"/>
    </row>
    <row r="224" spans="1:14" s="1" customFormat="1" ht="15">
      <c r="A224" s="329">
        <f t="shared" si="0"/>
        <v>2010.11</v>
      </c>
      <c r="B224" s="2145">
        <v>9.4268904890626448E-3</v>
      </c>
      <c r="C224" s="2082">
        <v>9.4628695025233966E-3</v>
      </c>
      <c r="D224" s="2079">
        <v>9.1925283129872248E-3</v>
      </c>
      <c r="E224" s="2082">
        <v>9.5587178381484339E-3</v>
      </c>
      <c r="F224" s="2135">
        <v>8.8520265814437948E-3</v>
      </c>
      <c r="G224" s="2153"/>
      <c r="H224" s="2152"/>
      <c r="I224" s="2150"/>
      <c r="J224" s="2152"/>
      <c r="K224" s="2158"/>
      <c r="L224" s="2153"/>
      <c r="M224" s="2152"/>
      <c r="N224" s="2161"/>
    </row>
    <row r="225" spans="1:14" s="1" customFormat="1" ht="15">
      <c r="A225" s="329">
        <f t="shared" si="0"/>
        <v>2010.12</v>
      </c>
      <c r="B225" s="2145">
        <v>9.4288671857418738E-3</v>
      </c>
      <c r="C225" s="2082">
        <v>9.1956075350414501E-3</v>
      </c>
      <c r="D225" s="2079">
        <v>5.6474531807912953E-3</v>
      </c>
      <c r="E225" s="2082">
        <v>1.0393678365487213E-2</v>
      </c>
      <c r="F225" s="2135">
        <v>1.3048397234443732E-2</v>
      </c>
      <c r="G225" s="2153"/>
      <c r="H225" s="2152"/>
      <c r="I225" s="2150"/>
      <c r="J225" s="2152"/>
      <c r="K225" s="2158"/>
      <c r="L225" s="2153"/>
      <c r="M225" s="2152"/>
      <c r="N225" s="2161"/>
    </row>
    <row r="226" spans="1:14" s="1" customFormat="1" ht="15">
      <c r="A226" s="329">
        <f t="shared" si="0"/>
        <v>2011.01</v>
      </c>
      <c r="B226" s="2145">
        <v>1.094589473214902E-2</v>
      </c>
      <c r="C226" s="2082">
        <v>1.1058032554847941E-2</v>
      </c>
      <c r="D226" s="2079">
        <v>1.0941632549545277E-2</v>
      </c>
      <c r="E226" s="2082">
        <v>1.1132248291411129E-2</v>
      </c>
      <c r="F226" s="2135">
        <v>9.306596515610277E-3</v>
      </c>
      <c r="G226" s="2153"/>
      <c r="H226" s="2152"/>
      <c r="I226" s="2150"/>
      <c r="J226" s="2152"/>
      <c r="K226" s="2158"/>
      <c r="L226" s="2153"/>
      <c r="M226" s="2152"/>
      <c r="N226" s="2161"/>
    </row>
    <row r="227" spans="1:14" s="1" customFormat="1" ht="15">
      <c r="A227" s="329">
        <f t="shared" si="0"/>
        <v>2011.02</v>
      </c>
      <c r="B227" s="2145">
        <v>9.3058128252623273E-3</v>
      </c>
      <c r="C227" s="2082">
        <v>8.8809169656136611E-3</v>
      </c>
      <c r="D227" s="2079">
        <v>6.1821309536609359E-3</v>
      </c>
      <c r="E227" s="2082">
        <v>9.8018721111188256E-3</v>
      </c>
      <c r="F227" s="2135">
        <v>1.5417148196414932E-2</v>
      </c>
      <c r="G227" s="2153"/>
      <c r="H227" s="2152"/>
      <c r="I227" s="2150"/>
      <c r="J227" s="2152"/>
      <c r="K227" s="2158"/>
      <c r="L227" s="2153"/>
      <c r="M227" s="2152"/>
      <c r="N227" s="2161"/>
    </row>
    <row r="228" spans="1:14" s="1" customFormat="1" ht="15">
      <c r="A228" s="329">
        <f t="shared" si="0"/>
        <v>2011.03</v>
      </c>
      <c r="B228" s="2145">
        <v>9.6132838103561991E-3</v>
      </c>
      <c r="C228" s="2082">
        <v>9.8000953991588258E-3</v>
      </c>
      <c r="D228" s="2079">
        <v>2.0961336396502217E-2</v>
      </c>
      <c r="E228" s="2082">
        <v>5.9804485336401036E-3</v>
      </c>
      <c r="F228" s="2135">
        <v>6.9256102285935039E-3</v>
      </c>
      <c r="G228" s="2153"/>
      <c r="H228" s="2152"/>
      <c r="I228" s="2150"/>
      <c r="J228" s="2152"/>
      <c r="K228" s="2158"/>
      <c r="L228" s="2153"/>
      <c r="M228" s="2152"/>
      <c r="N228" s="2161"/>
    </row>
    <row r="229" spans="1:14" s="1" customFormat="1" ht="15">
      <c r="A229" s="329">
        <f t="shared" si="0"/>
        <v>2011.04</v>
      </c>
      <c r="B229" s="2145">
        <v>1.0041116641419601E-2</v>
      </c>
      <c r="C229" s="2082">
        <v>1.0456477863185487E-2</v>
      </c>
      <c r="D229" s="2079">
        <v>9.0706112196481392E-4</v>
      </c>
      <c r="E229" s="2082">
        <v>1.3764719332342468E-2</v>
      </c>
      <c r="F229" s="2135">
        <v>4.0161608388245007E-3</v>
      </c>
      <c r="G229" s="2153"/>
      <c r="H229" s="2152"/>
      <c r="I229" s="2150"/>
      <c r="J229" s="2152"/>
      <c r="K229" s="2158"/>
      <c r="L229" s="2153"/>
      <c r="M229" s="2152"/>
      <c r="N229" s="2161"/>
    </row>
    <row r="230" spans="1:14" s="1" customFormat="1" ht="15">
      <c r="A230" s="329">
        <f t="shared" si="0"/>
        <v>2011.05</v>
      </c>
      <c r="B230" s="2145">
        <v>1.0284098213138027E-2</v>
      </c>
      <c r="C230" s="2082">
        <v>1.0433267461379847E-2</v>
      </c>
      <c r="D230" s="2079">
        <v>6.7967933077730525E-3</v>
      </c>
      <c r="E230" s="2082">
        <v>1.166068971739187E-2</v>
      </c>
      <c r="F230" s="2135">
        <v>8.2157656470813745E-3</v>
      </c>
      <c r="G230" s="2153"/>
      <c r="H230" s="2152"/>
      <c r="I230" s="2150"/>
      <c r="J230" s="2152"/>
      <c r="K230" s="2158"/>
      <c r="L230" s="2153"/>
      <c r="M230" s="2152"/>
      <c r="N230" s="2161"/>
    </row>
    <row r="231" spans="1:14" s="1" customFormat="1" ht="15">
      <c r="A231" s="329">
        <f t="shared" si="0"/>
        <v>2011.06</v>
      </c>
      <c r="B231" s="2145">
        <v>1.1409424439071891E-2</v>
      </c>
      <c r="C231" s="2082">
        <v>1.1734522207267784E-2</v>
      </c>
      <c r="D231" s="2079">
        <v>8.8627315215508151E-3</v>
      </c>
      <c r="E231" s="2082">
        <v>1.2707896731618096E-2</v>
      </c>
      <c r="F231" s="2135">
        <v>6.8421552789128537E-3</v>
      </c>
      <c r="G231" s="2153"/>
      <c r="H231" s="2152"/>
      <c r="I231" s="2150"/>
      <c r="J231" s="2152"/>
      <c r="K231" s="2158"/>
      <c r="L231" s="2153"/>
      <c r="M231" s="2152"/>
      <c r="N231" s="2161"/>
    </row>
    <row r="232" spans="1:14" s="1" customFormat="1" ht="15">
      <c r="A232" s="329">
        <f t="shared" si="0"/>
        <v>2011.07</v>
      </c>
      <c r="B232" s="2145">
        <v>1.0064581061813405E-2</v>
      </c>
      <c r="C232" s="2082">
        <v>1.0205778424443812E-2</v>
      </c>
      <c r="D232" s="2079">
        <v>1.0208983905837021E-2</v>
      </c>
      <c r="E232" s="2082">
        <v>1.0214864388869316E-2</v>
      </c>
      <c r="F232" s="2135">
        <v>7.9990561585654429E-3</v>
      </c>
      <c r="G232" s="2153"/>
      <c r="H232" s="2152"/>
      <c r="I232" s="2150"/>
      <c r="J232" s="2152"/>
      <c r="K232" s="2158"/>
      <c r="L232" s="2153"/>
      <c r="M232" s="2152"/>
      <c r="N232" s="2161"/>
    </row>
    <row r="233" spans="1:14" s="1" customFormat="1" ht="15">
      <c r="A233" s="329">
        <f t="shared" si="0"/>
        <v>2011.08</v>
      </c>
      <c r="B233" s="2145">
        <v>1.0151125134933103E-2</v>
      </c>
      <c r="C233" s="2082">
        <v>1.0411308409292053E-2</v>
      </c>
      <c r="D233" s="2079">
        <v>1.3315895850671833E-2</v>
      </c>
      <c r="E233" s="2082">
        <v>9.4142259414224938E-3</v>
      </c>
      <c r="F233" s="2135">
        <v>6.1799199419461104E-3</v>
      </c>
      <c r="G233" s="2153"/>
      <c r="H233" s="2152"/>
      <c r="I233" s="2150"/>
      <c r="J233" s="2152"/>
      <c r="K233" s="2158"/>
      <c r="L233" s="2153"/>
      <c r="M233" s="2152"/>
      <c r="N233" s="2161"/>
    </row>
    <row r="234" spans="1:14" s="1" customFormat="1" ht="15">
      <c r="A234" s="329">
        <f t="shared" si="0"/>
        <v>2011.09</v>
      </c>
      <c r="B234" s="2145">
        <v>1.0254618688477546E-2</v>
      </c>
      <c r="C234" s="2082">
        <v>1.0446575844584194E-2</v>
      </c>
      <c r="D234" s="2079">
        <v>1.4230401770000567E-2</v>
      </c>
      <c r="E234" s="2082">
        <v>9.196891191709744E-3</v>
      </c>
      <c r="F234" s="2135">
        <v>7.5145987948723736E-3</v>
      </c>
      <c r="G234" s="2153"/>
      <c r="H234" s="2152"/>
      <c r="I234" s="2150"/>
      <c r="J234" s="2152"/>
      <c r="K234" s="2158"/>
      <c r="L234" s="2153"/>
      <c r="M234" s="2152"/>
      <c r="N234" s="2161"/>
    </row>
    <row r="235" spans="1:14" s="1" customFormat="1" ht="15">
      <c r="A235" s="329">
        <f t="shared" si="0"/>
        <v>2011.1</v>
      </c>
      <c r="B235" s="2145">
        <v>9.1131000813668983E-3</v>
      </c>
      <c r="C235" s="2082">
        <v>9.8548972188632344E-3</v>
      </c>
      <c r="D235" s="2079">
        <v>2.0988266402247602E-2</v>
      </c>
      <c r="E235" s="2082">
        <v>6.0326017199332505E-3</v>
      </c>
      <c r="F235" s="2135">
        <v>-1.6164041934143558E-3</v>
      </c>
      <c r="G235" s="2153"/>
      <c r="H235" s="2152"/>
      <c r="I235" s="2150"/>
      <c r="J235" s="2152"/>
      <c r="K235" s="2158"/>
      <c r="L235" s="2153"/>
      <c r="M235" s="2152"/>
      <c r="N235" s="2161"/>
    </row>
    <row r="236" spans="1:14" s="1" customFormat="1" ht="15">
      <c r="A236" s="329">
        <f t="shared" si="0"/>
        <v>2011.11</v>
      </c>
      <c r="B236" s="2145">
        <v>9.5347524592808153E-3</v>
      </c>
      <c r="C236" s="2082">
        <v>9.7587259773692647E-3</v>
      </c>
      <c r="D236" s="2079">
        <v>1.2139851084493447E-2</v>
      </c>
      <c r="E236" s="2082">
        <v>8.9308497065578862E-3</v>
      </c>
      <c r="F236" s="2135">
        <v>6.2447960033304994E-3</v>
      </c>
      <c r="G236" s="2153"/>
      <c r="H236" s="2152"/>
      <c r="I236" s="2150"/>
      <c r="J236" s="2152"/>
      <c r="K236" s="2158"/>
      <c r="L236" s="2153"/>
      <c r="M236" s="2152"/>
      <c r="N236" s="2161"/>
    </row>
    <row r="237" spans="1:14" s="1" customFormat="1" ht="15">
      <c r="A237" s="329">
        <f t="shared" si="0"/>
        <v>2011.12</v>
      </c>
      <c r="B237" s="2145">
        <v>9.2050877578322421E-3</v>
      </c>
      <c r="C237" s="2082">
        <v>9.3284319538320393E-3</v>
      </c>
      <c r="D237" s="2079">
        <v>4.7017431632816464E-3</v>
      </c>
      <c r="E237" s="2082">
        <v>1.0938290338897483E-2</v>
      </c>
      <c r="F237" s="2135">
        <v>7.1024686250171776E-3</v>
      </c>
      <c r="G237" s="2153"/>
      <c r="H237" s="2152"/>
      <c r="I237" s="2150"/>
      <c r="J237" s="2152"/>
      <c r="K237" s="2158"/>
      <c r="L237" s="2153"/>
      <c r="M237" s="2152"/>
      <c r="N237" s="2161"/>
    </row>
    <row r="238" spans="1:14" s="1" customFormat="1" ht="15">
      <c r="A238" s="329">
        <f t="shared" si="0"/>
        <v>2012.01</v>
      </c>
      <c r="B238" s="2145">
        <v>9.5761940564282888E-3</v>
      </c>
      <c r="C238" s="2082">
        <v>9.7904836498925452E-3</v>
      </c>
      <c r="D238" s="2079">
        <v>3.8838660384565848E-3</v>
      </c>
      <c r="E238" s="2082">
        <v>1.1841474346946823E-2</v>
      </c>
      <c r="F238" s="2135">
        <v>6.5502681730003065E-3</v>
      </c>
      <c r="G238" s="2153"/>
      <c r="H238" s="2152"/>
      <c r="I238" s="2150"/>
      <c r="J238" s="2152"/>
      <c r="K238" s="2158"/>
      <c r="L238" s="2153"/>
      <c r="M238" s="2152"/>
      <c r="N238" s="2161"/>
    </row>
    <row r="239" spans="1:14" s="1" customFormat="1" ht="15">
      <c r="A239" s="329">
        <f t="shared" si="0"/>
        <v>2012.02</v>
      </c>
      <c r="B239" s="2145">
        <v>9.8773174460078383E-3</v>
      </c>
      <c r="C239" s="2082">
        <v>1.0257901880938336E-2</v>
      </c>
      <c r="D239" s="2079">
        <v>2.1579882032092268E-2</v>
      </c>
      <c r="E239" s="2082">
        <v>6.3665396105903049E-3</v>
      </c>
      <c r="F239" s="2135">
        <v>4.3988934742187347E-3</v>
      </c>
      <c r="G239" s="2153"/>
      <c r="H239" s="2152"/>
      <c r="I239" s="2150"/>
      <c r="J239" s="2152"/>
      <c r="K239" s="2158"/>
      <c r="L239" s="2153"/>
      <c r="M239" s="2152"/>
      <c r="N239" s="2161"/>
    </row>
    <row r="240" spans="1:14" s="1" customFormat="1" ht="15">
      <c r="A240" s="329">
        <f t="shared" si="0"/>
        <v>2012.03</v>
      </c>
      <c r="B240" s="2145">
        <v>1.1818358237919657E-2</v>
      </c>
      <c r="C240" s="2082">
        <v>1.1670089637037195E-2</v>
      </c>
      <c r="D240" s="2079">
        <v>1.6809200825715243E-2</v>
      </c>
      <c r="E240" s="2082">
        <v>9.8886250102367956E-3</v>
      </c>
      <c r="F240" s="2135">
        <v>1.3838721329239689E-2</v>
      </c>
      <c r="G240" s="2153"/>
      <c r="H240" s="2152"/>
      <c r="I240" s="2150"/>
      <c r="J240" s="2152"/>
      <c r="K240" s="2158"/>
      <c r="L240" s="2153"/>
      <c r="M240" s="2152"/>
      <c r="N240" s="2161"/>
    </row>
    <row r="241" spans="1:14" s="1" customFormat="1" ht="15">
      <c r="A241" s="329">
        <f t="shared" si="0"/>
        <v>2012.04</v>
      </c>
      <c r="B241" s="2145">
        <v>1.1315905560137285E-2</v>
      </c>
      <c r="C241" s="2082">
        <v>1.1364714364315853E-2</v>
      </c>
      <c r="D241" s="2079">
        <v>1.2364147026497907E-3</v>
      </c>
      <c r="E241" s="2082">
        <v>1.490056155857844E-2</v>
      </c>
      <c r="F241" s="2135">
        <v>1.0710547997060615E-2</v>
      </c>
      <c r="G241" s="2153"/>
      <c r="H241" s="2152"/>
      <c r="I241" s="2150"/>
      <c r="J241" s="2152"/>
      <c r="K241" s="2158"/>
      <c r="L241" s="2153"/>
      <c r="M241" s="2152"/>
      <c r="N241" s="2161"/>
    </row>
    <row r="242" spans="1:14" s="1" customFormat="1" ht="15">
      <c r="A242" s="329">
        <f t="shared" si="0"/>
        <v>2012.05</v>
      </c>
      <c r="B242" s="2145">
        <v>1.0203114035919558E-2</v>
      </c>
      <c r="C242" s="2082">
        <v>1.033654748058388E-2</v>
      </c>
      <c r="D242" s="2079">
        <v>4.5431677160674422E-3</v>
      </c>
      <c r="E242" s="2082">
        <v>1.234469258119919E-2</v>
      </c>
      <c r="F242" s="2135">
        <v>8.2176690901081262E-3</v>
      </c>
      <c r="G242" s="2153"/>
      <c r="H242" s="2152"/>
      <c r="I242" s="2150"/>
      <c r="J242" s="2152"/>
      <c r="K242" s="2158"/>
      <c r="L242" s="2153"/>
      <c r="M242" s="2152"/>
      <c r="N242" s="2161"/>
    </row>
    <row r="243" spans="1:14" s="1" customFormat="1" ht="15">
      <c r="A243" s="329">
        <f t="shared" si="0"/>
        <v>2012.06</v>
      </c>
      <c r="B243" s="2145">
        <v>9.9123284585205251E-3</v>
      </c>
      <c r="C243" s="2082">
        <v>1.0100822548600785E-2</v>
      </c>
      <c r="D243" s="2079">
        <v>9.6826577226023502E-3</v>
      </c>
      <c r="E243" s="2082">
        <v>1.0260457774269982E-2</v>
      </c>
      <c r="F243" s="2135">
        <v>7.0581037082360076E-3</v>
      </c>
      <c r="G243" s="2153"/>
      <c r="H243" s="2152"/>
      <c r="I243" s="2150"/>
      <c r="J243" s="2152"/>
      <c r="K243" s="2158"/>
      <c r="L243" s="2153"/>
      <c r="M243" s="2152"/>
      <c r="N243" s="2161"/>
    </row>
    <row r="244" spans="1:14" s="1" customFormat="1" ht="15">
      <c r="A244" s="329">
        <f t="shared" si="0"/>
        <v>2012.07</v>
      </c>
      <c r="B244" s="2145">
        <v>9.7035040431265873E-3</v>
      </c>
      <c r="C244" s="2082">
        <v>9.9262881197037522E-3</v>
      </c>
      <c r="D244" s="2079">
        <v>2.6604939199446065E-3</v>
      </c>
      <c r="E244" s="2082">
        <v>1.2402343750000044E-2</v>
      </c>
      <c r="F244" s="2135">
        <v>6.3576791216419792E-3</v>
      </c>
      <c r="G244" s="2153"/>
      <c r="H244" s="2152"/>
      <c r="I244" s="2150"/>
      <c r="J244" s="2152"/>
      <c r="K244" s="2158"/>
      <c r="L244" s="2153"/>
      <c r="M244" s="2152"/>
      <c r="N244" s="2161"/>
    </row>
    <row r="245" spans="1:14" s="1" customFormat="1" ht="15">
      <c r="A245" s="329">
        <f t="shared" si="0"/>
        <v>2012.08</v>
      </c>
      <c r="B245" s="2145">
        <v>1.0346668630447198E-2</v>
      </c>
      <c r="C245" s="2082">
        <v>1.057498043355598E-2</v>
      </c>
      <c r="D245" s="2079">
        <v>1.0793631757263222E-2</v>
      </c>
      <c r="E245" s="2082">
        <v>1.0494839394231459E-2</v>
      </c>
      <c r="F245" s="2135">
        <v>6.8134284913430321E-3</v>
      </c>
      <c r="G245" s="2153"/>
      <c r="H245" s="2152"/>
      <c r="I245" s="2150"/>
      <c r="J245" s="2152"/>
      <c r="K245" s="2158"/>
      <c r="L245" s="2153"/>
      <c r="M245" s="2152"/>
      <c r="N245" s="2161"/>
    </row>
    <row r="246" spans="1:14" s="1" customFormat="1" ht="15">
      <c r="A246" s="329">
        <f t="shared" si="0"/>
        <v>2012.09</v>
      </c>
      <c r="B246" s="2145">
        <v>1.1133584795641305E-2</v>
      </c>
      <c r="C246" s="2082">
        <v>1.1544973163790884E-2</v>
      </c>
      <c r="D246" s="2079">
        <v>1.7174383768872481E-2</v>
      </c>
      <c r="E246" s="2082">
        <v>9.6412684472784171E-3</v>
      </c>
      <c r="F246" s="2135">
        <v>5.0112431737874275E-3</v>
      </c>
      <c r="G246" s="2153"/>
      <c r="H246" s="2152"/>
      <c r="I246" s="2150"/>
      <c r="J246" s="2152"/>
      <c r="K246" s="2158"/>
      <c r="L246" s="2153"/>
      <c r="M246" s="2152"/>
      <c r="N246" s="2161"/>
    </row>
    <row r="247" spans="1:14" s="1" customFormat="1" ht="15">
      <c r="A247" s="329">
        <f t="shared" si="0"/>
        <v>2012.1</v>
      </c>
      <c r="B247" s="2145">
        <v>1.0344206163272807E-2</v>
      </c>
      <c r="C247" s="2082">
        <v>1.029147303384792E-2</v>
      </c>
      <c r="D247" s="2079">
        <v>1.1212527703254205E-2</v>
      </c>
      <c r="E247" s="2082">
        <v>9.9841161788063459E-3</v>
      </c>
      <c r="F247" s="2135">
        <v>1.0867480662277051E-2</v>
      </c>
      <c r="G247" s="2153"/>
      <c r="H247" s="2152"/>
      <c r="I247" s="2150"/>
      <c r="J247" s="2152"/>
      <c r="K247" s="2158"/>
      <c r="L247" s="2153"/>
      <c r="M247" s="2152"/>
      <c r="N247" s="2161"/>
    </row>
    <row r="248" spans="1:14" s="1" customFormat="1" ht="15">
      <c r="A248" s="329">
        <f t="shared" si="0"/>
        <v>2012.11</v>
      </c>
      <c r="B248" s="2145">
        <v>1.0042094748858421E-2</v>
      </c>
      <c r="C248" s="2082">
        <v>1.0327629051303244E-2</v>
      </c>
      <c r="D248" s="2079">
        <v>4.6573327757992722E-3</v>
      </c>
      <c r="E248" s="2082">
        <v>1.2263161836291392E-2</v>
      </c>
      <c r="F248" s="2135">
        <v>5.9023166592888643E-3</v>
      </c>
      <c r="G248" s="2153"/>
      <c r="H248" s="2152"/>
      <c r="I248" s="2150"/>
      <c r="J248" s="2152"/>
      <c r="K248" s="2158"/>
      <c r="L248" s="2153"/>
      <c r="M248" s="2152"/>
      <c r="N248" s="2161"/>
    </row>
    <row r="249" spans="1:14" s="1" customFormat="1" ht="15">
      <c r="A249" s="329">
        <f t="shared" si="0"/>
        <v>2012.12</v>
      </c>
      <c r="B249" s="2145">
        <v>9.7126812298020671E-3</v>
      </c>
      <c r="C249" s="2082">
        <v>9.8557398782423977E-3</v>
      </c>
      <c r="D249" s="2079">
        <v>1.0921981744072662E-2</v>
      </c>
      <c r="E249" s="2082">
        <v>9.4882275694971874E-3</v>
      </c>
      <c r="F249" s="2135">
        <v>7.6489448647290015E-3</v>
      </c>
      <c r="G249" s="2153"/>
      <c r="H249" s="2152"/>
      <c r="I249" s="2150"/>
      <c r="J249" s="2152"/>
      <c r="K249" s="2158"/>
      <c r="L249" s="2153"/>
      <c r="M249" s="2152"/>
      <c r="N249" s="2161"/>
    </row>
    <row r="250" spans="1:14" s="1" customFormat="1" ht="15">
      <c r="A250" s="329">
        <f t="shared" si="0"/>
        <v>2013.01</v>
      </c>
      <c r="B250" s="2145">
        <v>1.0161428546443751E-2</v>
      </c>
      <c r="C250" s="2082">
        <v>1.0139570234229289E-2</v>
      </c>
      <c r="D250" s="2079">
        <v>1.9293837045870843E-2</v>
      </c>
      <c r="E250" s="2082">
        <v>7.035544155368223E-3</v>
      </c>
      <c r="F250" s="2135">
        <v>1.0190499958406152E-2</v>
      </c>
      <c r="G250" s="2153"/>
      <c r="H250" s="2152"/>
      <c r="I250" s="2150"/>
      <c r="J250" s="2152"/>
      <c r="K250" s="2158"/>
      <c r="L250" s="2153"/>
      <c r="M250" s="2152"/>
      <c r="N250" s="2161"/>
    </row>
    <row r="251" spans="1:14" s="1" customFormat="1" ht="15">
      <c r="A251" s="329">
        <f t="shared" si="0"/>
        <v>2013.02</v>
      </c>
      <c r="B251" s="2145">
        <v>1.0561307524498575E-2</v>
      </c>
      <c r="C251" s="2082">
        <v>1.017459258879283E-2</v>
      </c>
      <c r="D251" s="2079">
        <v>1.0376622653072376E-2</v>
      </c>
      <c r="E251" s="2082">
        <v>1.0097518375664194E-2</v>
      </c>
      <c r="F251" s="2135">
        <v>1.6860872071478461E-2</v>
      </c>
      <c r="G251" s="2153"/>
      <c r="H251" s="2152"/>
      <c r="I251" s="2150"/>
      <c r="J251" s="2152"/>
      <c r="K251" s="2158"/>
      <c r="L251" s="2153"/>
      <c r="M251" s="2152"/>
      <c r="N251" s="2161"/>
    </row>
    <row r="252" spans="1:14" s="1" customFormat="1" ht="15">
      <c r="A252" s="329">
        <f t="shared" si="0"/>
        <v>2013.03</v>
      </c>
      <c r="B252" s="2145">
        <v>1.007401315789469E-2</v>
      </c>
      <c r="C252" s="2082">
        <v>1.0292175914954349E-2</v>
      </c>
      <c r="D252" s="2079">
        <v>1.2544629933416873E-2</v>
      </c>
      <c r="E252" s="2082">
        <v>9.510257749599349E-3</v>
      </c>
      <c r="F252" s="2135">
        <v>6.5596339562286055E-3</v>
      </c>
      <c r="G252" s="2153"/>
      <c r="H252" s="2152"/>
      <c r="I252" s="2150"/>
      <c r="J252" s="2152"/>
      <c r="K252" s="2158"/>
      <c r="L252" s="2153"/>
      <c r="M252" s="2152"/>
      <c r="N252" s="2161"/>
    </row>
    <row r="253" spans="1:14" s="1" customFormat="1" ht="15">
      <c r="A253" s="329">
        <f t="shared" si="0"/>
        <v>2013.04</v>
      </c>
      <c r="B253" s="2145">
        <v>9.600379944365578E-3</v>
      </c>
      <c r="C253" s="2082">
        <v>9.1317315103380814E-3</v>
      </c>
      <c r="D253" s="2079">
        <v>5.8406284461749447E-3</v>
      </c>
      <c r="E253" s="2082">
        <v>1.0259246703659519E-2</v>
      </c>
      <c r="F253" s="2135">
        <v>1.6935856950338835E-2</v>
      </c>
      <c r="G253" s="2153"/>
      <c r="H253" s="2152"/>
      <c r="I253" s="2150"/>
      <c r="J253" s="2152"/>
      <c r="K253" s="2158"/>
      <c r="L253" s="2153"/>
      <c r="M253" s="2152"/>
      <c r="N253" s="2161"/>
    </row>
    <row r="254" spans="1:14" s="1" customFormat="1" ht="15">
      <c r="A254" s="329">
        <f t="shared" ref="A254:A285" si="1">A242+1</f>
        <v>2013.05</v>
      </c>
      <c r="B254" s="2145">
        <v>1.2566782030173806E-2</v>
      </c>
      <c r="C254" s="2082">
        <v>1.2718548159463161E-2</v>
      </c>
      <c r="D254" s="2079">
        <v>3.8440714672443033E-3</v>
      </c>
      <c r="E254" s="2082">
        <v>1.5788915969057848E-2</v>
      </c>
      <c r="F254" s="2135">
        <v>1.0107003698649031E-2</v>
      </c>
      <c r="G254" s="2153"/>
      <c r="H254" s="2152"/>
      <c r="I254" s="2150"/>
      <c r="J254" s="2152"/>
      <c r="K254" s="2158"/>
      <c r="L254" s="2153"/>
      <c r="M254" s="2152"/>
      <c r="N254" s="2161"/>
    </row>
    <row r="255" spans="1:14" s="1" customFormat="1" ht="15">
      <c r="A255" s="329">
        <f t="shared" si="1"/>
        <v>2013.06</v>
      </c>
      <c r="B255" s="2145">
        <v>1.3456114152978094E-2</v>
      </c>
      <c r="C255" s="2082">
        <v>1.403439738986445E-2</v>
      </c>
      <c r="D255" s="2079">
        <v>9.9509195836253728E-3</v>
      </c>
      <c r="E255" s="2082">
        <v>1.5421795674247285E-2</v>
      </c>
      <c r="F255" s="2135">
        <v>4.6994321519484572E-3</v>
      </c>
      <c r="G255" s="2153"/>
      <c r="H255" s="2152"/>
      <c r="I255" s="2150"/>
      <c r="J255" s="2152"/>
      <c r="K255" s="2158"/>
      <c r="L255" s="2153"/>
      <c r="M255" s="2152"/>
      <c r="N255" s="2161"/>
    </row>
    <row r="256" spans="1:14" s="1" customFormat="1" ht="15">
      <c r="A256" s="329">
        <f t="shared" si="1"/>
        <v>2013.07</v>
      </c>
      <c r="B256" s="2145">
        <v>1.1329218578608913E-2</v>
      </c>
      <c r="C256" s="2082">
        <v>1.1220876651198974E-2</v>
      </c>
      <c r="D256" s="2079">
        <v>1.0093188432885647E-2</v>
      </c>
      <c r="E256" s="2082">
        <v>1.159187028063613E-2</v>
      </c>
      <c r="F256" s="2135">
        <v>1.3096862210095539E-2</v>
      </c>
      <c r="G256" s="2153"/>
      <c r="H256" s="2152"/>
      <c r="I256" s="2150"/>
      <c r="J256" s="2152"/>
      <c r="K256" s="2158"/>
      <c r="L256" s="2153"/>
      <c r="M256" s="2152"/>
      <c r="N256" s="2161"/>
    </row>
    <row r="257" spans="1:14" s="1" customFormat="1" ht="15">
      <c r="A257" s="329">
        <f t="shared" si="1"/>
        <v>2013.08</v>
      </c>
      <c r="B257" s="2145">
        <v>1.1315623330581337E-2</v>
      </c>
      <c r="C257" s="2082">
        <v>1.0712629710759147E-2</v>
      </c>
      <c r="D257" s="2079">
        <v>1.7182584789447342E-2</v>
      </c>
      <c r="E257" s="2082">
        <v>8.5308056872037685E-3</v>
      </c>
      <c r="F257" s="2135">
        <v>2.0353199184332871E-2</v>
      </c>
      <c r="G257" s="2153"/>
      <c r="H257" s="2152"/>
      <c r="I257" s="2150"/>
      <c r="J257" s="2152"/>
      <c r="K257" s="2158"/>
      <c r="L257" s="2153"/>
      <c r="M257" s="2152"/>
      <c r="N257" s="2161"/>
    </row>
    <row r="258" spans="1:14" s="1" customFormat="1" ht="15">
      <c r="A258" s="329">
        <f t="shared" si="1"/>
        <v>2013.09</v>
      </c>
      <c r="B258" s="2145">
        <v>1.093289793827612E-2</v>
      </c>
      <c r="C258" s="2082">
        <v>1.0535807507949135E-2</v>
      </c>
      <c r="D258" s="2079">
        <v>1.4280516645442942E-2</v>
      </c>
      <c r="E258" s="2082">
        <v>9.2810150375939315E-3</v>
      </c>
      <c r="F258" s="2135">
        <v>1.6930618401206576E-2</v>
      </c>
      <c r="G258" s="2153"/>
      <c r="H258" s="2152"/>
      <c r="I258" s="2150"/>
      <c r="J258" s="2152"/>
      <c r="K258" s="2158"/>
      <c r="L258" s="2153"/>
      <c r="M258" s="2152"/>
      <c r="N258" s="2161"/>
    </row>
    <row r="259" spans="1:14" s="1" customFormat="1" ht="15">
      <c r="A259" s="329">
        <f t="shared" si="1"/>
        <v>2013.1</v>
      </c>
      <c r="B259" s="2145">
        <v>1.1400522523949075E-2</v>
      </c>
      <c r="C259" s="2082">
        <v>1.1224346029211629E-2</v>
      </c>
      <c r="D259" s="2079">
        <v>1.7435976273748599E-2</v>
      </c>
      <c r="E259" s="2082">
        <v>9.079269002444379E-3</v>
      </c>
      <c r="F259" s="2135">
        <v>1.4182950795357474E-2</v>
      </c>
      <c r="G259" s="2153"/>
      <c r="H259" s="2152"/>
      <c r="I259" s="2150"/>
      <c r="J259" s="2152"/>
      <c r="K259" s="2158"/>
      <c r="L259" s="2153"/>
      <c r="M259" s="2152"/>
      <c r="N259" s="2161"/>
    </row>
    <row r="260" spans="1:14" s="1" customFormat="1" ht="15">
      <c r="A260" s="329">
        <f t="shared" si="1"/>
        <v>2013.11</v>
      </c>
      <c r="B260" s="2145">
        <v>1.2164383561643621E-2</v>
      </c>
      <c r="C260" s="2082">
        <v>1.1626106879683018E-2</v>
      </c>
      <c r="D260" s="2079">
        <v>2.3571482535445387E-2</v>
      </c>
      <c r="E260" s="2082">
        <v>7.5144603925316744E-3</v>
      </c>
      <c r="F260" s="2135">
        <v>2.0053744767197568E-2</v>
      </c>
      <c r="G260" s="2153"/>
      <c r="H260" s="2152"/>
      <c r="I260" s="2150"/>
      <c r="J260" s="2152"/>
      <c r="K260" s="2158"/>
      <c r="L260" s="2153"/>
      <c r="M260" s="2152"/>
      <c r="N260" s="2161"/>
    </row>
    <row r="261" spans="1:14" s="1" customFormat="1" ht="15">
      <c r="A261" s="329">
        <f t="shared" si="1"/>
        <v>2013.12</v>
      </c>
      <c r="B261" s="2145">
        <v>1.4926065705623826E-2</v>
      </c>
      <c r="C261" s="2082">
        <v>1.3956264250845507E-2</v>
      </c>
      <c r="D261" s="2079">
        <v>6.1139131504490685E-3</v>
      </c>
      <c r="E261" s="2082">
        <v>1.6699651613536481E-2</v>
      </c>
      <c r="F261" s="2135">
        <v>2.9534050179211624E-2</v>
      </c>
      <c r="G261" s="2153"/>
      <c r="H261" s="2152"/>
      <c r="I261" s="2150"/>
      <c r="J261" s="2152"/>
      <c r="K261" s="2158"/>
      <c r="L261" s="2153"/>
      <c r="M261" s="2152"/>
      <c r="N261" s="2161"/>
    </row>
    <row r="262" spans="1:14" s="1" customFormat="1" ht="15">
      <c r="A262" s="329">
        <f t="shared" si="1"/>
        <v>2014.01</v>
      </c>
      <c r="B262" s="2145">
        <v>4.9529847448069875E-2</v>
      </c>
      <c r="C262" s="2082">
        <v>4.8717910019770994E-2</v>
      </c>
      <c r="D262" s="2079">
        <v>7.9976035311235094E-2</v>
      </c>
      <c r="E262" s="2082">
        <v>3.7853925353925177E-2</v>
      </c>
      <c r="F262" s="2135">
        <v>6.1394652555354368E-2</v>
      </c>
      <c r="G262" s="2153"/>
      <c r="H262" s="2152"/>
      <c r="I262" s="2150"/>
      <c r="J262" s="2152"/>
      <c r="K262" s="2158"/>
      <c r="L262" s="2153"/>
      <c r="M262" s="2152"/>
      <c r="N262" s="2161"/>
    </row>
    <row r="263" spans="1:14" s="1" customFormat="1" ht="15">
      <c r="A263" s="329">
        <f t="shared" si="1"/>
        <v>2014.02</v>
      </c>
      <c r="B263" s="2145">
        <v>5.1214660142012924E-2</v>
      </c>
      <c r="C263" s="2082">
        <v>4.8253630175428608E-2</v>
      </c>
      <c r="D263" s="2079">
        <v>5.7931799655828398E-2</v>
      </c>
      <c r="E263" s="2082">
        <v>4.476617115930126E-2</v>
      </c>
      <c r="F263" s="2135">
        <v>9.405494054940533E-2</v>
      </c>
      <c r="G263" s="2153"/>
      <c r="H263" s="2152"/>
      <c r="I263" s="2150"/>
      <c r="J263" s="2152"/>
      <c r="K263" s="2158"/>
      <c r="L263" s="2153"/>
      <c r="M263" s="2152"/>
      <c r="N263" s="2161"/>
    </row>
    <row r="264" spans="1:14" s="1" customFormat="1" ht="15">
      <c r="A264" s="329">
        <f t="shared" si="1"/>
        <v>2014.03</v>
      </c>
      <c r="B264" s="2145">
        <v>2.4339033621570749E-2</v>
      </c>
      <c r="C264" s="2082">
        <v>2.4533223503569568E-2</v>
      </c>
      <c r="D264" s="2079">
        <v>1.5260313553427274E-2</v>
      </c>
      <c r="E264" s="2082">
        <v>2.7922434385246442E-2</v>
      </c>
      <c r="F264" s="2135">
        <v>2.181082296507264E-2</v>
      </c>
      <c r="G264" s="2153"/>
      <c r="H264" s="2152"/>
      <c r="I264" s="2150"/>
      <c r="J264" s="2152"/>
      <c r="K264" s="2158"/>
      <c r="L264" s="2153"/>
      <c r="M264" s="2152"/>
      <c r="N264" s="2161"/>
    </row>
    <row r="265" spans="1:14" s="1" customFormat="1" ht="15">
      <c r="A265" s="329">
        <f t="shared" si="1"/>
        <v>2014.04</v>
      </c>
      <c r="B265" s="2145">
        <v>1.719348400668852E-2</v>
      </c>
      <c r="C265" s="2082">
        <v>1.7326168812896281E-2</v>
      </c>
      <c r="D265" s="2079">
        <v>4.8065267573862425E-3</v>
      </c>
      <c r="E265" s="2082">
        <v>2.185240246525133E-2</v>
      </c>
      <c r="F265" s="2135">
        <v>1.533044817721696E-2</v>
      </c>
      <c r="G265" s="2153"/>
      <c r="H265" s="2152"/>
      <c r="I265" s="2150"/>
      <c r="J265" s="2152"/>
      <c r="K265" s="2158"/>
      <c r="L265" s="2153"/>
      <c r="M265" s="2152"/>
      <c r="N265" s="2161"/>
    </row>
    <row r="266" spans="1:14" s="1" customFormat="1" ht="15">
      <c r="A266" s="329">
        <f t="shared" si="1"/>
        <v>2014.05</v>
      </c>
      <c r="B266" s="2145">
        <v>1.86793228248332E-2</v>
      </c>
      <c r="C266" s="2082">
        <v>2.012644889357218E-2</v>
      </c>
      <c r="D266" s="2079">
        <v>2.3088946468471816E-2</v>
      </c>
      <c r="E266" s="2082">
        <v>1.9068604601889749E-2</v>
      </c>
      <c r="F266" s="2135">
        <v>-1.4882242450513505E-3</v>
      </c>
      <c r="G266" s="2153"/>
      <c r="H266" s="2152"/>
      <c r="I266" s="2150"/>
      <c r="J266" s="2152"/>
      <c r="K266" s="2158"/>
      <c r="L266" s="2153"/>
      <c r="M266" s="2152"/>
      <c r="N266" s="2161"/>
    </row>
    <row r="267" spans="1:14" s="1" customFormat="1" ht="15">
      <c r="A267" s="329">
        <f t="shared" si="1"/>
        <v>2014.06</v>
      </c>
      <c r="B267" s="2145">
        <v>1.5057261842790215E-2</v>
      </c>
      <c r="C267" s="2082">
        <v>1.5687945460179709E-2</v>
      </c>
      <c r="D267" s="2079">
        <v>1.7123287671233056E-2</v>
      </c>
      <c r="E267" s="2082">
        <v>1.5163485661219278E-2</v>
      </c>
      <c r="F267" s="2135">
        <v>6.135413199820583E-3</v>
      </c>
      <c r="G267" s="2153"/>
      <c r="H267" s="2152"/>
      <c r="I267" s="2150"/>
      <c r="J267" s="2152"/>
      <c r="K267" s="2158"/>
      <c r="L267" s="2153"/>
      <c r="M267" s="2152"/>
      <c r="N267" s="2161"/>
    </row>
    <row r="268" spans="1:14" s="1" customFormat="1" ht="15">
      <c r="A268" s="329">
        <f t="shared" si="1"/>
        <v>2014.07</v>
      </c>
      <c r="B268" s="2145">
        <v>1.3462056232931952E-2</v>
      </c>
      <c r="C268" s="2082">
        <v>1.4110827199572906E-2</v>
      </c>
      <c r="D268" s="2079">
        <v>1.0816750337708347E-2</v>
      </c>
      <c r="E268" s="2082">
        <v>1.530563482202596E-2</v>
      </c>
      <c r="F268" s="2135">
        <v>3.9263062518877234E-3</v>
      </c>
      <c r="G268" s="2153"/>
      <c r="H268" s="2152"/>
      <c r="I268" s="2150"/>
      <c r="J268" s="2152"/>
      <c r="K268" s="2158"/>
      <c r="L268" s="2153"/>
      <c r="M268" s="2152"/>
      <c r="N268" s="2161"/>
    </row>
    <row r="269" spans="1:14" s="1" customFormat="1" ht="15">
      <c r="A269" s="329">
        <f t="shared" si="1"/>
        <v>2014.08</v>
      </c>
      <c r="B269" s="2145">
        <v>1.6319404911002255E-2</v>
      </c>
      <c r="C269" s="2082">
        <v>1.6208491594900343E-2</v>
      </c>
      <c r="D269" s="2079">
        <v>2.3506297932602394E-2</v>
      </c>
      <c r="E269" s="2082">
        <v>1.3609101422769498E-2</v>
      </c>
      <c r="F269" s="2135">
        <v>1.7978912383244561E-2</v>
      </c>
      <c r="G269" s="2153"/>
      <c r="H269" s="2152"/>
      <c r="I269" s="2150"/>
      <c r="J269" s="2152"/>
      <c r="K269" s="2158"/>
      <c r="L269" s="2153"/>
      <c r="M269" s="2152"/>
      <c r="N269" s="2161"/>
    </row>
    <row r="270" spans="1:14" s="1" customFormat="1" ht="15">
      <c r="A270" s="329">
        <f t="shared" si="1"/>
        <v>2014.09</v>
      </c>
      <c r="B270" s="2145">
        <v>1.5945330296127436E-2</v>
      </c>
      <c r="C270" s="2082">
        <v>1.6097994226926371E-2</v>
      </c>
      <c r="D270" s="2079">
        <v>1.1946057606111449E-2</v>
      </c>
      <c r="E270" s="2082">
        <v>1.7579006023296984E-2</v>
      </c>
      <c r="F270" s="2135">
        <v>1.3805429291152471E-2</v>
      </c>
      <c r="G270" s="2153"/>
      <c r="H270" s="2152"/>
      <c r="I270" s="2150"/>
      <c r="J270" s="2152"/>
      <c r="K270" s="2158"/>
      <c r="L270" s="2153"/>
      <c r="M270" s="2152"/>
      <c r="N270" s="2161"/>
    </row>
    <row r="271" spans="1:14" s="1" customFormat="1" ht="15">
      <c r="A271" s="329">
        <f t="shared" si="1"/>
        <v>2014.1</v>
      </c>
      <c r="B271" s="2145">
        <v>1.2252199269768838E-2</v>
      </c>
      <c r="C271" s="2082">
        <v>1.2006652826844544E-2</v>
      </c>
      <c r="D271" s="2079">
        <v>4.496697286575646E-3</v>
      </c>
      <c r="E271" s="2082">
        <v>1.4706841027914308E-2</v>
      </c>
      <c r="F271" s="2135">
        <v>1.5796779566907171E-2</v>
      </c>
      <c r="G271" s="2153"/>
      <c r="H271" s="2152"/>
      <c r="I271" s="2150"/>
      <c r="J271" s="2152"/>
      <c r="K271" s="2158"/>
      <c r="L271" s="2153"/>
      <c r="M271" s="2152"/>
      <c r="N271" s="2161"/>
    </row>
    <row r="272" spans="1:14" s="1" customFormat="1" ht="15">
      <c r="A272" s="329">
        <f t="shared" si="1"/>
        <v>2014.11</v>
      </c>
      <c r="B272" s="2145">
        <v>9.1263405069115233E-3</v>
      </c>
      <c r="C272" s="2082">
        <v>9.4409788867564348E-3</v>
      </c>
      <c r="D272" s="2079">
        <v>1.1694673172228054E-2</v>
      </c>
      <c r="E272" s="2082">
        <v>8.6345355724877226E-3</v>
      </c>
      <c r="F272" s="2135">
        <v>4.4958867419171433E-3</v>
      </c>
      <c r="G272" s="2153"/>
      <c r="H272" s="2152"/>
      <c r="I272" s="2150"/>
      <c r="J272" s="2152"/>
      <c r="K272" s="2158"/>
      <c r="L272" s="2153"/>
      <c r="M272" s="2152"/>
      <c r="N272" s="2161"/>
    </row>
    <row r="273" spans="1:14" s="1" customFormat="1" ht="15">
      <c r="A273" s="329">
        <f t="shared" si="1"/>
        <v>2014.12</v>
      </c>
      <c r="B273" s="2145">
        <v>9.523581058388686E-3</v>
      </c>
      <c r="C273" s="2082">
        <v>1.0291513660617646E-2</v>
      </c>
      <c r="D273" s="2079">
        <v>9.8634653831213281E-3</v>
      </c>
      <c r="E273" s="2082">
        <v>1.0445992942585303E-2</v>
      </c>
      <c r="F273" s="2135">
        <v>-1.7141224645272901E-3</v>
      </c>
      <c r="G273" s="2153"/>
      <c r="H273" s="2152"/>
      <c r="I273" s="2150"/>
      <c r="J273" s="2152"/>
      <c r="K273" s="2158"/>
      <c r="L273" s="2153"/>
      <c r="M273" s="2152"/>
      <c r="N273" s="2161"/>
    </row>
    <row r="274" spans="1:14" s="1" customFormat="1" ht="15">
      <c r="A274" s="329">
        <f t="shared" si="1"/>
        <v>2015.01</v>
      </c>
      <c r="B274" s="2145">
        <v>2.007936696528434E-3</v>
      </c>
      <c r="C274" s="2082">
        <v>1.7291473068825614E-3</v>
      </c>
      <c r="D274" s="2079">
        <v>-4.9633146309882026E-3</v>
      </c>
      <c r="E274" s="2082">
        <v>4.1099862580213919E-3</v>
      </c>
      <c r="F274" s="2135">
        <v>6.0778675678991867E-3</v>
      </c>
      <c r="G274" s="2153"/>
      <c r="H274" s="2152"/>
      <c r="I274" s="2150"/>
      <c r="J274" s="2152"/>
      <c r="K274" s="2158"/>
      <c r="L274" s="2153"/>
      <c r="M274" s="2152"/>
      <c r="N274" s="2161"/>
    </row>
    <row r="275" spans="1:14" s="1" customFormat="1" ht="15">
      <c r="A275" s="329">
        <f t="shared" si="1"/>
        <v>2015.02</v>
      </c>
      <c r="B275" s="2145">
        <v>2.4900693662182061E-3</v>
      </c>
      <c r="C275" s="2082">
        <v>1.9844997651479179E-3</v>
      </c>
      <c r="D275" s="2079">
        <v>-8.9860730012352175E-3</v>
      </c>
      <c r="E275" s="2082">
        <v>5.8384079352125084E-3</v>
      </c>
      <c r="F275" s="2135">
        <v>1.0009887981361931E-2</v>
      </c>
      <c r="G275" s="2153"/>
      <c r="H275" s="2152"/>
      <c r="I275" s="2150"/>
      <c r="J275" s="2152"/>
      <c r="K275" s="2158"/>
      <c r="L275" s="2153"/>
      <c r="M275" s="2152"/>
      <c r="N275" s="2161"/>
    </row>
    <row r="276" spans="1:14" s="1" customFormat="1" ht="15">
      <c r="A276" s="329">
        <f t="shared" si="1"/>
        <v>2015.03</v>
      </c>
      <c r="B276" s="2145">
        <v>9.8054290614466577E-3</v>
      </c>
      <c r="C276" s="2082">
        <v>1.0148952876513295E-2</v>
      </c>
      <c r="D276" s="2079">
        <v>-3.6346336822072889E-3</v>
      </c>
      <c r="E276" s="2082">
        <v>1.4929471976032893E-2</v>
      </c>
      <c r="F276" s="2135">
        <v>4.8547595418824141E-3</v>
      </c>
      <c r="G276" s="2153"/>
      <c r="H276" s="2152"/>
      <c r="I276" s="2150"/>
      <c r="J276" s="2152"/>
      <c r="K276" s="2158"/>
      <c r="L276" s="2153"/>
      <c r="M276" s="2152"/>
      <c r="N276" s="2161"/>
    </row>
    <row r="277" spans="1:14" s="1" customFormat="1" ht="15">
      <c r="A277" s="329">
        <f t="shared" si="1"/>
        <v>2015.04</v>
      </c>
      <c r="B277" s="2145">
        <v>7.4495748120038119E-3</v>
      </c>
      <c r="C277" s="2082">
        <v>8.1095191136377753E-3</v>
      </c>
      <c r="D277" s="2079">
        <v>-2.8648369907746662E-4</v>
      </c>
      <c r="E277" s="2082">
        <v>1.0958600841266319E-2</v>
      </c>
      <c r="F277" s="2135">
        <v>-2.2421524663676085E-3</v>
      </c>
      <c r="G277" s="2153"/>
      <c r="H277" s="2152"/>
      <c r="I277" s="2150"/>
      <c r="J277" s="2152"/>
      <c r="K277" s="2158"/>
      <c r="L277" s="2153"/>
      <c r="M277" s="2152"/>
      <c r="N277" s="2161"/>
    </row>
    <row r="278" spans="1:14" s="1" customFormat="1" ht="15">
      <c r="A278" s="329">
        <f t="shared" si="1"/>
        <v>2015.05</v>
      </c>
      <c r="B278" s="2145">
        <v>1.4823857690966058E-2</v>
      </c>
      <c r="C278" s="2082">
        <v>1.5225447096462341E-2</v>
      </c>
      <c r="D278" s="2079">
        <v>1.6171863059758484E-2</v>
      </c>
      <c r="E278" s="2082">
        <v>1.4903220312176613E-2</v>
      </c>
      <c r="F278" s="2135">
        <v>8.8416265382558201E-3</v>
      </c>
      <c r="G278" s="2153"/>
      <c r="H278" s="2152"/>
      <c r="I278" s="2150"/>
      <c r="J278" s="2152"/>
      <c r="K278" s="2158"/>
      <c r="L278" s="2153"/>
      <c r="M278" s="2152"/>
      <c r="N278" s="2161"/>
    </row>
    <row r="279" spans="1:14" s="1" customFormat="1" ht="15">
      <c r="A279" s="329">
        <f t="shared" si="1"/>
        <v>2015.06</v>
      </c>
      <c r="B279" s="2145">
        <v>1.3152317122071322E-2</v>
      </c>
      <c r="C279" s="2082">
        <v>1.2945350669372413E-2</v>
      </c>
      <c r="D279" s="2079">
        <v>-1.0904202818171616E-3</v>
      </c>
      <c r="E279" s="2082">
        <v>1.7681187216801231E-2</v>
      </c>
      <c r="F279" s="2135">
        <v>1.6202383951419153E-2</v>
      </c>
      <c r="G279" s="2153"/>
      <c r="H279" s="2152"/>
      <c r="I279" s="2150"/>
      <c r="J279" s="2152"/>
      <c r="K279" s="2158"/>
      <c r="L279" s="2153"/>
      <c r="M279" s="2152"/>
      <c r="N279" s="2161"/>
    </row>
    <row r="280" spans="1:14" s="1" customFormat="1" ht="15">
      <c r="A280" s="329">
        <f t="shared" si="1"/>
        <v>2015.07</v>
      </c>
      <c r="B280" s="2145">
        <v>1.4372462768423411E-2</v>
      </c>
      <c r="C280" s="2082">
        <v>1.5040454794704505E-2</v>
      </c>
      <c r="D280" s="2079">
        <v>2.3121441678821686E-2</v>
      </c>
      <c r="E280" s="2082">
        <v>1.2356149216109058E-2</v>
      </c>
      <c r="F280" s="2135">
        <v>4.6840546429551821E-3</v>
      </c>
      <c r="G280" s="2153"/>
      <c r="H280" s="2152"/>
      <c r="I280" s="2150"/>
      <c r="J280" s="2152"/>
      <c r="K280" s="2158"/>
      <c r="L280" s="2153"/>
      <c r="M280" s="2152"/>
      <c r="N280" s="2161"/>
    </row>
    <row r="281" spans="1:14" s="1" customFormat="1" ht="15">
      <c r="A281" s="329">
        <f t="shared" si="1"/>
        <v>2015.08</v>
      </c>
      <c r="B281" s="2145">
        <v>1.4280299652189576E-2</v>
      </c>
      <c r="C281" s="2082">
        <v>1.4552991632029944E-2</v>
      </c>
      <c r="D281" s="2079">
        <v>1.5902945126101464E-2</v>
      </c>
      <c r="E281" s="2082">
        <v>1.4101877923347272E-2</v>
      </c>
      <c r="F281" s="2135">
        <v>1.0142593698865054E-2</v>
      </c>
      <c r="G281" s="2153"/>
      <c r="H281" s="2152"/>
      <c r="I281" s="2150"/>
      <c r="J281" s="2152"/>
      <c r="K281" s="2158"/>
      <c r="L281" s="2153"/>
      <c r="M281" s="2152"/>
      <c r="N281" s="2161"/>
    </row>
    <row r="282" spans="1:14" s="1" customFormat="1" ht="15">
      <c r="A282" s="329">
        <f t="shared" si="1"/>
        <v>2015.09</v>
      </c>
      <c r="B282" s="2145">
        <v>1.3507721052920862E-2</v>
      </c>
      <c r="C282" s="2082">
        <v>1.415950360236029E-2</v>
      </c>
      <c r="D282" s="2079">
        <v>8.4471847244478315E-3</v>
      </c>
      <c r="E282" s="2082">
        <v>1.6074255948966165E-2</v>
      </c>
      <c r="F282" s="2135">
        <v>3.6254708612422082E-3</v>
      </c>
      <c r="G282" s="2153"/>
      <c r="H282" s="2152"/>
      <c r="I282" s="2150"/>
      <c r="J282" s="2152"/>
      <c r="K282" s="2158"/>
      <c r="L282" s="2153"/>
      <c r="M282" s="2152"/>
      <c r="N282" s="2161"/>
    </row>
    <row r="283" spans="1:14" s="1" customFormat="1" ht="15">
      <c r="A283" s="329">
        <f t="shared" si="1"/>
        <v>2015.1</v>
      </c>
      <c r="B283" s="2145">
        <v>9.2719109896546303E-3</v>
      </c>
      <c r="C283" s="2082">
        <v>9.2150097507661677E-3</v>
      </c>
      <c r="D283" s="2079">
        <v>1.7327443798031972E-3</v>
      </c>
      <c r="E283" s="2082">
        <v>1.1698415745435176E-2</v>
      </c>
      <c r="F283" s="2135">
        <v>1.01838211746621E-2</v>
      </c>
      <c r="G283" s="2153"/>
      <c r="H283" s="2152"/>
      <c r="I283" s="2150"/>
      <c r="J283" s="2152"/>
      <c r="K283" s="2158"/>
      <c r="L283" s="2153"/>
      <c r="M283" s="2152"/>
      <c r="N283" s="2161"/>
    </row>
    <row r="284" spans="1:14" s="1" customFormat="1" ht="15">
      <c r="A284" s="1014">
        <f t="shared" si="1"/>
        <v>2015.11</v>
      </c>
      <c r="B284" s="2146">
        <v>5.2000000000000046E-2</v>
      </c>
      <c r="C284" s="2129">
        <v>5.2000000000000046E-2</v>
      </c>
      <c r="D284" s="2121">
        <v>5.2000000000000046E-2</v>
      </c>
      <c r="E284" s="2129">
        <v>5.2000000000000046E-2</v>
      </c>
      <c r="F284" s="2136">
        <v>5.2000000000000046E-2</v>
      </c>
      <c r="G284" s="2153"/>
      <c r="H284" s="2152"/>
      <c r="I284" s="2150"/>
      <c r="J284" s="2152"/>
      <c r="K284" s="2158"/>
      <c r="L284" s="2153"/>
      <c r="M284" s="2152"/>
      <c r="N284" s="2161"/>
    </row>
    <row r="285" spans="1:14" s="1" customFormat="1" ht="15">
      <c r="A285" s="1014">
        <f t="shared" si="1"/>
        <v>2015.12</v>
      </c>
      <c r="B285" s="2146">
        <v>6.800000000000006E-2</v>
      </c>
      <c r="C285" s="2129">
        <v>6.800000000000006E-2</v>
      </c>
      <c r="D285" s="2121">
        <v>6.800000000000006E-2</v>
      </c>
      <c r="E285" s="2129">
        <v>6.800000000000006E-2</v>
      </c>
      <c r="F285" s="2136">
        <v>6.800000000000006E-2</v>
      </c>
      <c r="G285" s="2153"/>
      <c r="H285" s="2152"/>
      <c r="I285" s="2150"/>
      <c r="J285" s="2152"/>
      <c r="K285" s="2158"/>
      <c r="L285" s="2153"/>
      <c r="M285" s="2152"/>
      <c r="N285" s="2161"/>
    </row>
    <row r="286" spans="1:14">
      <c r="A286" s="209">
        <v>2016.01</v>
      </c>
      <c r="B286" s="2147">
        <v>8.7871790726421928E-2</v>
      </c>
      <c r="C286" s="2130">
        <v>8.0986418490553991E-2</v>
      </c>
      <c r="D286" s="2122">
        <v>9.2217810735213179E-2</v>
      </c>
      <c r="E286" s="2130">
        <v>7.7296908655052343E-2</v>
      </c>
      <c r="F286" s="2137">
        <v>0.17408967000652664</v>
      </c>
      <c r="G286" s="2154">
        <v>9.1999999999999998E-2</v>
      </c>
      <c r="H286" s="2130">
        <v>8.5999999999999993E-2</v>
      </c>
      <c r="I286" s="2122">
        <v>0.1</v>
      </c>
      <c r="J286" s="2130">
        <v>0.08</v>
      </c>
      <c r="K286" s="2137">
        <v>0.17299999999999999</v>
      </c>
      <c r="L286" s="2154">
        <v>9.2999999999999999E-2</v>
      </c>
      <c r="M286" s="2130">
        <v>0.109</v>
      </c>
      <c r="N286" s="2162">
        <v>8.6999999999999994E-2</v>
      </c>
    </row>
    <row r="287" spans="1:14">
      <c r="A287" s="209">
        <v>2016.02</v>
      </c>
      <c r="B287" s="2148">
        <v>4.9488416369983135E-2</v>
      </c>
      <c r="C287" s="2117">
        <v>4.6807822317286973E-2</v>
      </c>
      <c r="D287" s="2123">
        <v>5.0400665046990367E-2</v>
      </c>
      <c r="E287" s="2117">
        <v>4.561122747809887E-2</v>
      </c>
      <c r="F287" s="2138">
        <v>8.0392789053478575E-2</v>
      </c>
      <c r="G287" s="2155">
        <v>5.1999999999999998E-2</v>
      </c>
      <c r="H287" s="2117">
        <v>4.9000000000000002E-2</v>
      </c>
      <c r="I287" s="2123">
        <v>0.06</v>
      </c>
      <c r="J287" s="2117">
        <v>4.4999999999999998E-2</v>
      </c>
      <c r="K287" s="2138">
        <v>8.2000000000000003E-2</v>
      </c>
      <c r="L287" s="2155">
        <v>5.0999999999999997E-2</v>
      </c>
      <c r="M287" s="2117">
        <v>6.5000000000000002E-2</v>
      </c>
      <c r="N287" s="2163">
        <v>4.4999999999999998E-2</v>
      </c>
    </row>
    <row r="288" spans="1:14">
      <c r="A288" s="209">
        <v>2016.03</v>
      </c>
      <c r="B288" s="2148">
        <v>2.4785335482515825E-2</v>
      </c>
      <c r="C288" s="2117">
        <v>2.7047045673315839E-2</v>
      </c>
      <c r="D288" s="2123">
        <v>2.5458242183330482E-2</v>
      </c>
      <c r="E288" s="2117">
        <v>2.7578619823468875E-2</v>
      </c>
      <c r="F288" s="2139">
        <v>-4.7918850162753657E-4</v>
      </c>
      <c r="G288" s="2155">
        <v>2.3E-2</v>
      </c>
      <c r="H288" s="2117">
        <v>2.5000000000000001E-2</v>
      </c>
      <c r="I288" s="2123">
        <v>1.9E-2</v>
      </c>
      <c r="J288" s="2117">
        <v>2.8000000000000001E-2</v>
      </c>
      <c r="K288" s="2139">
        <v>-8.0000000000000004E-4</v>
      </c>
      <c r="L288" s="2155">
        <v>2.4E-2</v>
      </c>
      <c r="M288" s="2117">
        <v>1.9E-2</v>
      </c>
      <c r="N288" s="2163">
        <v>2.7E-2</v>
      </c>
    </row>
    <row r="289" spans="1:14">
      <c r="A289" s="209">
        <v>2016.04</v>
      </c>
      <c r="B289" s="2148">
        <v>1.5486478082424648E-2</v>
      </c>
      <c r="C289" s="2117">
        <v>1.801478105973775E-2</v>
      </c>
      <c r="D289" s="2123">
        <v>4.7003123858149198E-3</v>
      </c>
      <c r="E289" s="2117">
        <v>2.246027916121407E-2</v>
      </c>
      <c r="F289" s="2138">
        <v>-1.3533813897416036E-2</v>
      </c>
      <c r="G289" s="2155">
        <v>1.6E-2</v>
      </c>
      <c r="H289" s="2117">
        <v>1.7999999999999999E-2</v>
      </c>
      <c r="I289" s="2123">
        <v>1.0999999999999999E-2</v>
      </c>
      <c r="J289" s="2117">
        <v>2.1999999999999999E-2</v>
      </c>
      <c r="K289" s="2138">
        <v>-1.4E-2</v>
      </c>
      <c r="L289" s="2155">
        <v>1.7999999999999999E-2</v>
      </c>
      <c r="M289" s="2117">
        <v>8.0000000000000002E-3</v>
      </c>
      <c r="N289" s="2163">
        <v>2.1999999999999999E-2</v>
      </c>
    </row>
    <row r="290" spans="1:14">
      <c r="A290" s="209">
        <v>2016.05</v>
      </c>
      <c r="B290" s="2148">
        <v>3.6080168080310226E-2</v>
      </c>
      <c r="C290" s="2117">
        <v>3.9778094113720019E-2</v>
      </c>
      <c r="D290" s="2123">
        <v>1.7768169596893424E-2</v>
      </c>
      <c r="E290" s="2117">
        <v>4.6999225284052759E-2</v>
      </c>
      <c r="F290" s="2140">
        <v>-7.7227216361166473E-3</v>
      </c>
      <c r="G290" s="2155">
        <v>2.3E-2</v>
      </c>
      <c r="H290" s="2117">
        <v>2.5000000000000001E-2</v>
      </c>
      <c r="I290" s="2123">
        <v>3.2000000000000001E-2</v>
      </c>
      <c r="J290" s="2117">
        <v>2.3E-2</v>
      </c>
      <c r="K290" s="2140">
        <v>-8.0000000000000002E-3</v>
      </c>
      <c r="L290" s="2155">
        <v>2.7E-2</v>
      </c>
      <c r="M290" s="2117">
        <v>3.2000000000000001E-2</v>
      </c>
      <c r="N290" s="2163">
        <v>2.4E-2</v>
      </c>
    </row>
    <row r="291" spans="1:14">
      <c r="A291" s="209">
        <v>2016.06</v>
      </c>
      <c r="B291" s="2149">
        <v>2.9103063603911794E-2</v>
      </c>
      <c r="C291" s="2131">
        <v>3.2161775092901079E-2</v>
      </c>
      <c r="D291" s="2124">
        <v>9.9966160104230983E-2</v>
      </c>
      <c r="E291" s="2131">
        <v>1.0537230702865941E-2</v>
      </c>
      <c r="F291" s="2141">
        <v>-8.8625718476338378E-3</v>
      </c>
      <c r="G291" s="2156">
        <v>3.2000000000000001E-2</v>
      </c>
      <c r="H291" s="2131">
        <v>3.5999999999999997E-2</v>
      </c>
      <c r="I291" s="2124">
        <v>9.4E-2</v>
      </c>
      <c r="J291" s="2131">
        <v>1.2E-2</v>
      </c>
      <c r="K291" s="2141">
        <v>-8.9999999999999993E-3</v>
      </c>
      <c r="L291" s="2156">
        <v>3.5999999999999997E-2</v>
      </c>
      <c r="M291" s="2131">
        <v>9.2999999999999999E-2</v>
      </c>
      <c r="N291" s="2164">
        <v>1.2E-2</v>
      </c>
    </row>
    <row r="292" spans="1:14">
      <c r="A292" s="209">
        <v>2016.07</v>
      </c>
      <c r="B292" s="2149">
        <v>2.7836885481108409E-2</v>
      </c>
      <c r="C292" s="2131">
        <v>2.7237852694081077E-2</v>
      </c>
      <c r="D292" s="2124">
        <v>5.504840671170097E-2</v>
      </c>
      <c r="E292" s="2131">
        <v>1.7583440628559099E-2</v>
      </c>
      <c r="F292" s="2141">
        <v>3.5580017200067982E-2</v>
      </c>
      <c r="G292" s="2156">
        <v>2.9000000000000001E-2</v>
      </c>
      <c r="H292" s="2131">
        <v>2.8000000000000001E-2</v>
      </c>
      <c r="I292" s="2124">
        <v>4.8000000000000001E-2</v>
      </c>
      <c r="J292" s="2131">
        <v>1.9E-2</v>
      </c>
      <c r="K292" s="2141">
        <v>3.5999999999999997E-2</v>
      </c>
      <c r="L292" s="2156">
        <v>2.8000000000000001E-2</v>
      </c>
      <c r="M292" s="2131">
        <v>4.5999999999999999E-2</v>
      </c>
      <c r="N292" s="2164">
        <v>0.02</v>
      </c>
    </row>
    <row r="293" spans="1:14">
      <c r="A293" s="209">
        <v>2016.08</v>
      </c>
      <c r="B293" s="2149">
        <v>3.949349188374196E-3</v>
      </c>
      <c r="C293" s="2131">
        <v>4.2695457636150458E-3</v>
      </c>
      <c r="D293" s="2124">
        <v>-7.0971544960651833E-3</v>
      </c>
      <c r="E293" s="2131">
        <v>8.3607668911234168E-3</v>
      </c>
      <c r="F293" s="2141">
        <v>-1.5618893209679019E-4</v>
      </c>
      <c r="G293" s="2156">
        <v>3.0000000000000001E-3</v>
      </c>
      <c r="H293" s="2131">
        <v>4.0000000000000001E-3</v>
      </c>
      <c r="I293" s="2124">
        <v>-1.7000000000000001E-2</v>
      </c>
      <c r="J293" s="2131">
        <v>1.2999999999999999E-2</v>
      </c>
      <c r="K293" s="2141">
        <v>0</v>
      </c>
      <c r="L293" s="2156">
        <v>3.0000000000000001E-3</v>
      </c>
      <c r="M293" s="2131">
        <v>-0.02</v>
      </c>
      <c r="N293" s="2164">
        <v>1.2999999999999999E-2</v>
      </c>
    </row>
    <row r="294" spans="1:14">
      <c r="A294" s="209">
        <v>2016.09</v>
      </c>
      <c r="B294" s="2149">
        <v>4.2682987277664619E-3</v>
      </c>
      <c r="C294" s="2131">
        <v>4.892586004412447E-3</v>
      </c>
      <c r="D294" s="2124">
        <v>-3.8925553406546132E-2</v>
      </c>
      <c r="E294" s="2131">
        <v>2.0422294145352238E-2</v>
      </c>
      <c r="F294" s="2141">
        <v>-3.7717007516269163E-3</v>
      </c>
      <c r="G294" s="2156">
        <v>-1E-3</v>
      </c>
      <c r="H294" s="2131">
        <v>-1E-3</v>
      </c>
      <c r="I294" s="2124">
        <v>-3.6999999999999998E-2</v>
      </c>
      <c r="J294" s="2131">
        <v>1.6E-2</v>
      </c>
      <c r="K294" s="2141">
        <v>-4.0000000000000001E-3</v>
      </c>
      <c r="L294" s="2156">
        <v>-3.0000000000000001E-3</v>
      </c>
      <c r="M294" s="2131">
        <v>-3.7999999999999999E-2</v>
      </c>
      <c r="N294" s="2164">
        <v>1.2999999999999999E-2</v>
      </c>
    </row>
    <row r="295" spans="1:14">
      <c r="A295" s="209">
        <v>2016.1</v>
      </c>
      <c r="B295" s="2149">
        <v>5.9324356026158043E-3</v>
      </c>
      <c r="C295" s="2131">
        <v>5.9368330779026035E-3</v>
      </c>
      <c r="D295" s="2124">
        <v>-1.3842630424326652E-3</v>
      </c>
      <c r="E295" s="2131">
        <v>8.3806156407424393E-3</v>
      </c>
      <c r="F295" s="2141">
        <v>5.8753093531609402E-3</v>
      </c>
      <c r="G295" s="2156">
        <v>8.0000000000000002E-3</v>
      </c>
      <c r="H295" s="2131">
        <v>8.0000000000000002E-3</v>
      </c>
      <c r="I295" s="2124">
        <v>2E-3</v>
      </c>
      <c r="J295" s="2131">
        <v>0.01</v>
      </c>
      <c r="K295" s="2141">
        <v>6.0000000000000001E-3</v>
      </c>
      <c r="L295" s="2156">
        <v>8.0000000000000002E-3</v>
      </c>
      <c r="M295" s="2131">
        <v>6.0000000000000001E-3</v>
      </c>
      <c r="N295" s="2164">
        <v>8.9999999999999993E-3</v>
      </c>
    </row>
    <row r="296" spans="1:14">
      <c r="A296" s="209">
        <v>2016.11</v>
      </c>
      <c r="B296" s="2149">
        <v>1.2263817743922045E-2</v>
      </c>
      <c r="C296" s="2131">
        <v>1.22773048576168E-2</v>
      </c>
      <c r="D296" s="2124">
        <v>-1.8371118812343656E-4</v>
      </c>
      <c r="E296" s="2131">
        <v>1.6396513834349147E-2</v>
      </c>
      <c r="F296" s="2141">
        <v>1.208860008007373E-2</v>
      </c>
      <c r="G296" s="2156">
        <v>8.9999999999999993E-3</v>
      </c>
      <c r="H296" s="2131">
        <v>8.9999999999999993E-3</v>
      </c>
      <c r="I296" s="2124">
        <v>-1E-3</v>
      </c>
      <c r="J296" s="2131">
        <v>1.2E-2</v>
      </c>
      <c r="K296" s="2141">
        <v>1.2E-2</v>
      </c>
      <c r="L296" s="2156">
        <v>8.9999999999999993E-3</v>
      </c>
      <c r="M296" s="2131">
        <v>1E-3</v>
      </c>
      <c r="N296" s="2164">
        <v>1.2E-2</v>
      </c>
    </row>
    <row r="297" spans="1:14">
      <c r="A297" s="209">
        <v>2016.12</v>
      </c>
      <c r="B297" s="2149">
        <v>6.3590626309522058E-3</v>
      </c>
      <c r="C297" s="2131">
        <v>4.7593328082951025E-3</v>
      </c>
      <c r="D297" s="2124">
        <v>-1.9878555934585318E-2</v>
      </c>
      <c r="E297" s="2131">
        <v>1.277096311749637E-2</v>
      </c>
      <c r="F297" s="2141">
        <v>2.7145807000278577E-2</v>
      </c>
      <c r="G297" s="2156">
        <v>8.0000000000000002E-3</v>
      </c>
      <c r="H297" s="2131">
        <v>7.0000000000000001E-3</v>
      </c>
      <c r="I297" s="2124">
        <v>-1.4E-2</v>
      </c>
      <c r="J297" s="2131">
        <v>1.6E-2</v>
      </c>
      <c r="K297" s="2141">
        <v>2.7E-2</v>
      </c>
      <c r="L297" s="2156">
        <v>8.0000000000000002E-3</v>
      </c>
      <c r="M297" s="2131">
        <v>-0.01</v>
      </c>
      <c r="N297" s="2164">
        <v>1.6E-2</v>
      </c>
    </row>
    <row r="298" spans="1:14">
      <c r="A298" s="209">
        <f t="shared" ref="A298:A329" si="2">A286+1</f>
        <v>2017.01</v>
      </c>
      <c r="B298" s="2149">
        <v>1.4992425153566025E-2</v>
      </c>
      <c r="C298" s="2131">
        <v>1.5827717063111368E-2</v>
      </c>
      <c r="D298" s="2124">
        <v>1.4259617765129518E-2</v>
      </c>
      <c r="E298" s="2131">
        <v>1.6321185774723856E-2</v>
      </c>
      <c r="F298" s="2141">
        <v>4.3752725342283139E-3</v>
      </c>
      <c r="G298" s="2156">
        <v>1.6E-2</v>
      </c>
      <c r="H298" s="2131">
        <v>1.7000000000000001E-2</v>
      </c>
      <c r="I298" s="2124">
        <v>1.9E-2</v>
      </c>
      <c r="J298" s="2131">
        <v>1.6E-2</v>
      </c>
      <c r="K298" s="2141">
        <v>4.0000000000000001E-3</v>
      </c>
      <c r="L298" s="2156">
        <v>1.7000000000000001E-2</v>
      </c>
      <c r="M298" s="2131">
        <v>1.7000000000000001E-2</v>
      </c>
      <c r="N298" s="2164">
        <v>2.1000000000000001E-2</v>
      </c>
    </row>
    <row r="299" spans="1:14">
      <c r="A299" s="209">
        <f t="shared" si="2"/>
        <v>2017.02</v>
      </c>
      <c r="B299" s="2149">
        <v>1.6699183842338483E-2</v>
      </c>
      <c r="C299" s="2131">
        <v>1.8084675055817012E-2</v>
      </c>
      <c r="D299" s="2124">
        <v>1.745779644948886E-2</v>
      </c>
      <c r="E299" s="2131">
        <v>1.8281548738713793E-2</v>
      </c>
      <c r="F299" s="2141">
        <v>-1.1121977366987945E-3</v>
      </c>
      <c r="G299" s="2156">
        <v>1.2999999999999999E-2</v>
      </c>
      <c r="H299" s="2131">
        <v>1.4E-2</v>
      </c>
      <c r="I299" s="2124">
        <v>1.0999999999999999E-2</v>
      </c>
      <c r="J299" s="2131">
        <v>1.4999999999999999E-2</v>
      </c>
      <c r="K299" s="2141">
        <v>-1E-3</v>
      </c>
      <c r="L299" s="2156">
        <v>1.2E-2</v>
      </c>
      <c r="M299" s="2131">
        <v>1.2E-2</v>
      </c>
      <c r="N299" s="2164">
        <v>1.4E-2</v>
      </c>
    </row>
    <row r="300" spans="1:14">
      <c r="A300" s="209">
        <f t="shared" si="2"/>
        <v>2017.03</v>
      </c>
      <c r="B300" s="2149">
        <v>9.2219705846570132E-3</v>
      </c>
      <c r="C300" s="2131">
        <v>9.4572800739987084E-3</v>
      </c>
      <c r="D300" s="2124">
        <v>-1.4961429522106773E-3</v>
      </c>
      <c r="E300" s="2131">
        <v>1.2894462693685549E-2</v>
      </c>
      <c r="F300" s="2141">
        <v>6.1387793435636606E-3</v>
      </c>
      <c r="G300" s="2156">
        <v>6.0000000000000001E-3</v>
      </c>
      <c r="H300" s="2131">
        <v>6.0000000000000001E-3</v>
      </c>
      <c r="I300" s="2124">
        <v>-1.2999999999999999E-2</v>
      </c>
      <c r="J300" s="2131">
        <v>1.4E-2</v>
      </c>
      <c r="K300" s="2141">
        <v>6.0000000000000001E-3</v>
      </c>
      <c r="L300" s="2156">
        <v>2E-3</v>
      </c>
      <c r="M300" s="2131">
        <v>-2.1000000000000001E-2</v>
      </c>
      <c r="N300" s="2164">
        <v>1.0999999999999999E-2</v>
      </c>
    </row>
    <row r="301" spans="1:14">
      <c r="A301" s="209">
        <f t="shared" si="2"/>
        <v>2017.04</v>
      </c>
      <c r="B301" s="2149">
        <v>4.6249655625671959E-3</v>
      </c>
      <c r="C301" s="2131">
        <v>5.6865995039112605E-3</v>
      </c>
      <c r="D301" s="2124">
        <v>-4.2911851222212638E-3</v>
      </c>
      <c r="E301" s="2131">
        <v>8.773143143147033E-3</v>
      </c>
      <c r="F301" s="2141">
        <v>-9.3311923007998177E-3</v>
      </c>
      <c r="G301" s="2156">
        <v>3.0000000000000001E-3</v>
      </c>
      <c r="H301" s="2131">
        <v>4.0000000000000001E-3</v>
      </c>
      <c r="I301" s="2124">
        <v>-6.0000000000000001E-3</v>
      </c>
      <c r="J301" s="2131">
        <v>7.0000000000000001E-3</v>
      </c>
      <c r="K301" s="2141">
        <v>-8.9999999999999993E-3</v>
      </c>
      <c r="L301" s="2156">
        <v>1E-3</v>
      </c>
      <c r="M301" s="2131">
        <v>-8.0000000000000002E-3</v>
      </c>
      <c r="N301" s="2164">
        <v>5.0000000000000001E-3</v>
      </c>
    </row>
    <row r="302" spans="1:14">
      <c r="A302" s="209">
        <f t="shared" si="2"/>
        <v>2017.05</v>
      </c>
      <c r="B302" s="2149">
        <v>8.5743572736447504E-3</v>
      </c>
      <c r="C302" s="2131">
        <v>8.4063968425294178E-3</v>
      </c>
      <c r="D302" s="2124">
        <v>2.8698140442056097E-3</v>
      </c>
      <c r="E302" s="2131">
        <v>1.0096911481678017E-2</v>
      </c>
      <c r="F302" s="2141">
        <v>1.0815823675609071E-2</v>
      </c>
      <c r="G302" s="2156">
        <v>0.01</v>
      </c>
      <c r="H302" s="2131">
        <v>0.01</v>
      </c>
      <c r="I302" s="2124">
        <v>7.0000000000000001E-3</v>
      </c>
      <c r="J302" s="2131">
        <v>1.0999999999999999E-2</v>
      </c>
      <c r="K302" s="2141">
        <v>1.0999999999999999E-2</v>
      </c>
      <c r="L302" s="2156">
        <v>1.0999999999999999E-2</v>
      </c>
      <c r="M302" s="2131">
        <v>0.01</v>
      </c>
      <c r="N302" s="2164">
        <v>1.0999999999999999E-2</v>
      </c>
    </row>
    <row r="303" spans="1:14">
      <c r="A303" s="209">
        <f t="shared" si="2"/>
        <v>2017.06</v>
      </c>
      <c r="B303" s="2149">
        <v>1.8706766286382903E-2</v>
      </c>
      <c r="C303" s="2131">
        <v>1.9447460724085763E-2</v>
      </c>
      <c r="D303" s="2124">
        <v>3.4723135756669299E-2</v>
      </c>
      <c r="E303" s="2131">
        <v>1.4816628316516978E-2</v>
      </c>
      <c r="F303" s="2141">
        <v>8.8456087674149142E-3</v>
      </c>
      <c r="G303" s="2156">
        <v>1.9E-2</v>
      </c>
      <c r="H303" s="2131">
        <v>1.9E-2</v>
      </c>
      <c r="I303" s="2124">
        <v>2.8000000000000001E-2</v>
      </c>
      <c r="J303" s="2131">
        <v>1.6E-2</v>
      </c>
      <c r="K303" s="2141">
        <v>8.9999999999999993E-3</v>
      </c>
      <c r="L303" s="2156">
        <v>1.7999999999999999E-2</v>
      </c>
      <c r="M303" s="2131">
        <v>2.5999999999999999E-2</v>
      </c>
      <c r="N303" s="2164">
        <v>1.4999999999999999E-2</v>
      </c>
    </row>
    <row r="304" spans="1:14">
      <c r="A304" s="209">
        <f t="shared" si="2"/>
        <v>2017.07</v>
      </c>
      <c r="B304" s="2149">
        <v>2.5546679220334712E-2</v>
      </c>
      <c r="C304" s="2131">
        <v>2.4604863500010898E-2</v>
      </c>
      <c r="D304" s="2124">
        <v>2.5292048993926786E-2</v>
      </c>
      <c r="E304" s="2131">
        <v>2.4392456306226773E-2</v>
      </c>
      <c r="F304" s="2141">
        <v>3.8217212341986828E-2</v>
      </c>
      <c r="G304" s="2156">
        <v>2.7E-2</v>
      </c>
      <c r="H304" s="2131">
        <v>2.5999999999999999E-2</v>
      </c>
      <c r="I304" s="2124">
        <v>3.3000000000000002E-2</v>
      </c>
      <c r="J304" s="2131">
        <v>2.3E-2</v>
      </c>
      <c r="K304" s="2141">
        <v>3.9E-2</v>
      </c>
      <c r="L304" s="2156">
        <v>2.7E-2</v>
      </c>
      <c r="M304" s="2131">
        <v>3.5000000000000003E-2</v>
      </c>
      <c r="N304" s="2164">
        <v>2.4E-2</v>
      </c>
    </row>
    <row r="305" spans="1:14">
      <c r="A305" s="209">
        <f t="shared" si="2"/>
        <v>2017.08</v>
      </c>
      <c r="B305" s="2149">
        <v>1.9189010738769996E-2</v>
      </c>
      <c r="C305" s="2131">
        <v>1.9362671450848357E-2</v>
      </c>
      <c r="D305" s="2124">
        <v>3.2302489636623077E-2</v>
      </c>
      <c r="E305" s="2131">
        <v>1.5359495950230562E-2</v>
      </c>
      <c r="F305" s="2141">
        <v>1.6883332401928408E-2</v>
      </c>
      <c r="G305" s="2156">
        <v>0.02</v>
      </c>
      <c r="H305" s="2131">
        <v>0.02</v>
      </c>
      <c r="I305" s="2124">
        <v>2.9000000000000001E-2</v>
      </c>
      <c r="J305" s="2131">
        <v>1.6E-2</v>
      </c>
      <c r="K305" s="2141">
        <v>1.7000000000000001E-2</v>
      </c>
      <c r="L305" s="2156">
        <v>0.02</v>
      </c>
      <c r="M305" s="2131">
        <v>2.8000000000000001E-2</v>
      </c>
      <c r="N305" s="2164">
        <v>1.7000000000000001E-2</v>
      </c>
    </row>
    <row r="306" spans="1:14">
      <c r="A306" s="209">
        <f t="shared" si="2"/>
        <v>2017.09</v>
      </c>
      <c r="B306" s="2149">
        <v>9.9982663975950459E-3</v>
      </c>
      <c r="C306" s="2131">
        <v>1.0436774901661172E-2</v>
      </c>
      <c r="D306" s="2124">
        <v>5.2333579545635889E-3</v>
      </c>
      <c r="E306" s="2131">
        <v>1.2073411365565834E-2</v>
      </c>
      <c r="F306" s="2141">
        <v>4.1620315584796064E-3</v>
      </c>
      <c r="G306" s="2156">
        <v>0.01</v>
      </c>
      <c r="H306" s="2131">
        <v>1.0999999999999999E-2</v>
      </c>
      <c r="I306" s="2124">
        <v>5.0000000000000001E-3</v>
      </c>
      <c r="J306" s="2131">
        <v>1.2999999999999999E-2</v>
      </c>
      <c r="K306" s="2141">
        <v>4.0000000000000001E-3</v>
      </c>
      <c r="L306" s="2156">
        <v>1.0999999999999999E-2</v>
      </c>
      <c r="M306" s="2131">
        <v>6.0000000000000001E-3</v>
      </c>
      <c r="N306" s="2164">
        <v>1.2999999999999999E-2</v>
      </c>
    </row>
    <row r="307" spans="1:14">
      <c r="A307" s="209">
        <f t="shared" si="2"/>
        <v>2017.1</v>
      </c>
      <c r="B307" s="2149">
        <v>1.4685134790136667E-2</v>
      </c>
      <c r="C307" s="2131">
        <v>1.4763029023766805E-2</v>
      </c>
      <c r="D307" s="2124">
        <v>1.3027668544469906E-2</v>
      </c>
      <c r="E307" s="2131">
        <v>1.5305164933736792E-2</v>
      </c>
      <c r="F307" s="2141">
        <v>1.3641940034119893E-2</v>
      </c>
      <c r="G307" s="2156">
        <v>1.4E-2</v>
      </c>
      <c r="H307" s="2131">
        <v>1.4E-2</v>
      </c>
      <c r="I307" s="2124">
        <v>1.4999999999999999E-2</v>
      </c>
      <c r="J307" s="2131">
        <v>1.4E-2</v>
      </c>
      <c r="K307" s="2141">
        <v>1.4E-2</v>
      </c>
      <c r="L307" s="2156">
        <v>1.6E-2</v>
      </c>
      <c r="M307" s="2131">
        <v>1.7000000000000001E-2</v>
      </c>
      <c r="N307" s="2164">
        <v>1.6E-2</v>
      </c>
    </row>
    <row r="308" spans="1:14">
      <c r="A308" s="209">
        <f t="shared" si="2"/>
        <v>2017.11</v>
      </c>
      <c r="B308" s="2149">
        <v>1.5443150174243803E-2</v>
      </c>
      <c r="C308" s="2131">
        <v>1.5095400108631196E-2</v>
      </c>
      <c r="D308" s="2124">
        <v>1.1170652393151626E-2</v>
      </c>
      <c r="E308" s="2131">
        <v>1.6318761948372451E-2</v>
      </c>
      <c r="F308" s="2141">
        <v>2.0105527003203782E-2</v>
      </c>
      <c r="G308" s="2156">
        <v>1.4E-2</v>
      </c>
      <c r="H308" s="2131">
        <v>1.4E-2</v>
      </c>
      <c r="I308" s="2124">
        <v>0.01</v>
      </c>
      <c r="J308" s="2131">
        <v>1.6E-2</v>
      </c>
      <c r="K308" s="2141">
        <v>0.02</v>
      </c>
      <c r="L308" s="2156">
        <v>1.4E-2</v>
      </c>
      <c r="M308" s="2131">
        <v>0.01</v>
      </c>
      <c r="N308" s="2164">
        <v>1.4999999999999999E-2</v>
      </c>
    </row>
    <row r="309" spans="1:14">
      <c r="A309" s="209">
        <f t="shared" si="2"/>
        <v>2017.12</v>
      </c>
      <c r="B309" s="2149">
        <v>1.6419563361541822E-2</v>
      </c>
      <c r="C309" s="2131">
        <v>1.7223159945623623E-2</v>
      </c>
      <c r="D309" s="2124">
        <v>6.6438753100721559E-3</v>
      </c>
      <c r="E309" s="2131">
        <v>2.0504067545101368E-2</v>
      </c>
      <c r="F309" s="2141">
        <v>5.6984474284407227E-3</v>
      </c>
      <c r="G309" s="2156">
        <v>1.7000000000000001E-2</v>
      </c>
      <c r="H309" s="2131">
        <v>1.7000000000000001E-2</v>
      </c>
      <c r="I309" s="2124">
        <v>0.01</v>
      </c>
      <c r="J309" s="2131">
        <v>0.02</v>
      </c>
      <c r="K309" s="2141">
        <v>5.0000000000000001E-3</v>
      </c>
      <c r="L309" s="2156">
        <v>1.7999999999999999E-2</v>
      </c>
      <c r="M309" s="2131">
        <v>1.2999999999999999E-2</v>
      </c>
      <c r="N309" s="2164">
        <v>0.02</v>
      </c>
    </row>
    <row r="310" spans="1:14">
      <c r="A310" s="209">
        <f t="shared" si="2"/>
        <v>2018.01</v>
      </c>
      <c r="B310" s="2149">
        <v>4.5689851381516711E-2</v>
      </c>
      <c r="C310" s="2131">
        <v>4.3844539716433539E-2</v>
      </c>
      <c r="D310" s="2124">
        <v>9.5999154575527879E-2</v>
      </c>
      <c r="E310" s="2131">
        <v>2.7889732695884462E-2</v>
      </c>
      <c r="F310" s="2141">
        <v>7.0591041110614094E-2</v>
      </c>
      <c r="G310" s="2156">
        <v>4.9000000000000002E-2</v>
      </c>
      <c r="H310" s="2131">
        <v>4.7E-2</v>
      </c>
      <c r="I310" s="2124">
        <v>9.8000000000000004E-2</v>
      </c>
      <c r="J310" s="2131">
        <v>2.8000000000000001E-2</v>
      </c>
      <c r="K310" s="2141">
        <v>7.0999999999999994E-2</v>
      </c>
      <c r="L310" s="2156">
        <v>0.05</v>
      </c>
      <c r="M310" s="2131">
        <v>0.10299999999999999</v>
      </c>
      <c r="N310" s="2164">
        <v>5.6000000000000001E-2</v>
      </c>
    </row>
    <row r="311" spans="1:14">
      <c r="A311" s="209">
        <f t="shared" si="2"/>
        <v>2018.02</v>
      </c>
      <c r="B311" s="2149">
        <v>4.8475155772917944E-2</v>
      </c>
      <c r="C311" s="2131">
        <v>4.8913198880992992E-2</v>
      </c>
      <c r="D311" s="2124">
        <v>9.1449411251915746E-2</v>
      </c>
      <c r="E311" s="2131">
        <v>3.5038571781237815E-2</v>
      </c>
      <c r="F311" s="2141">
        <v>4.2711746765221825E-2</v>
      </c>
      <c r="G311" s="2156">
        <v>5.1999999999999998E-2</v>
      </c>
      <c r="H311" s="2131">
        <v>5.2999999999999999E-2</v>
      </c>
      <c r="I311" s="2124">
        <v>9.5000000000000001E-2</v>
      </c>
      <c r="J311" s="2131">
        <v>3.5000000000000003E-2</v>
      </c>
      <c r="K311" s="2141">
        <v>4.2999999999999997E-2</v>
      </c>
      <c r="L311" s="2156">
        <v>5.6000000000000001E-2</v>
      </c>
      <c r="M311" s="2131">
        <v>0.1</v>
      </c>
      <c r="N311" s="2164">
        <v>3.6999999999999998E-2</v>
      </c>
    </row>
    <row r="312" spans="1:14">
      <c r="A312" s="209">
        <f t="shared" si="2"/>
        <v>2018.03</v>
      </c>
      <c r="B312" s="2149">
        <v>1.9355684760639535E-2</v>
      </c>
      <c r="C312" s="2131">
        <v>1.840636460539713E-2</v>
      </c>
      <c r="D312" s="2124">
        <v>8.5586828371724266E-3</v>
      </c>
      <c r="E312" s="2131">
        <v>2.1793586018787448E-2</v>
      </c>
      <c r="F312" s="2141">
        <v>3.1920339954058852E-2</v>
      </c>
      <c r="G312" s="2156">
        <v>2.4E-2</v>
      </c>
      <c r="H312" s="2131">
        <v>2.3E-2</v>
      </c>
      <c r="I312" s="2124">
        <v>1.2999999999999999E-2</v>
      </c>
      <c r="J312" s="2131">
        <v>2.7E-2</v>
      </c>
      <c r="K312" s="2141">
        <v>3.2000000000000001E-2</v>
      </c>
      <c r="L312" s="2156">
        <v>2.4E-2</v>
      </c>
      <c r="M312" s="2131">
        <v>1.7000000000000001E-2</v>
      </c>
      <c r="N312" s="2164">
        <v>2.7E-2</v>
      </c>
    </row>
    <row r="313" spans="1:14">
      <c r="A313" s="209">
        <f t="shared" si="2"/>
        <v>2018.04</v>
      </c>
      <c r="B313" s="2149">
        <v>1.7931230917488827E-2</v>
      </c>
      <c r="C313" s="2131">
        <v>1.9196596253869158E-2</v>
      </c>
      <c r="D313" s="2124">
        <v>2.1951584305592853E-2</v>
      </c>
      <c r="E313" s="2131">
        <v>1.8261261006774276E-2</v>
      </c>
      <c r="F313" s="2141">
        <v>1.4029099285317592E-3</v>
      </c>
      <c r="G313" s="2156">
        <v>1.9E-2</v>
      </c>
      <c r="H313" s="2131">
        <v>2.1000000000000001E-2</v>
      </c>
      <c r="I313" s="2124">
        <v>2.5999999999999999E-2</v>
      </c>
      <c r="J313" s="2131">
        <v>1.7999999999999999E-2</v>
      </c>
      <c r="K313" s="2141">
        <v>1E-3</v>
      </c>
      <c r="L313" s="2156">
        <v>0.02</v>
      </c>
      <c r="M313" s="2131">
        <v>2.7E-2</v>
      </c>
      <c r="N313" s="2164">
        <v>1.7999999999999999E-2</v>
      </c>
    </row>
    <row r="314" spans="1:14">
      <c r="A314" s="209">
        <f t="shared" si="2"/>
        <v>2018.05</v>
      </c>
      <c r="B314" s="2149">
        <v>7.5087584010255837E-2</v>
      </c>
      <c r="C314" s="2131">
        <v>6.9196114595860836E-2</v>
      </c>
      <c r="D314" s="2124">
        <v>0.10873853403335509</v>
      </c>
      <c r="E314" s="2131">
        <v>5.5722568299563235E-2</v>
      </c>
      <c r="F314" s="2141">
        <v>0.15340990490529016</v>
      </c>
      <c r="G314" s="2156">
        <v>8.4000000000000005E-2</v>
      </c>
      <c r="H314" s="2131">
        <v>7.9000000000000001E-2</v>
      </c>
      <c r="I314" s="2124">
        <v>0.125</v>
      </c>
      <c r="J314" s="2131">
        <v>5.8999999999999997E-2</v>
      </c>
      <c r="K314" s="2141">
        <v>0.155</v>
      </c>
      <c r="L314" s="2156">
        <v>8.4000000000000005E-2</v>
      </c>
      <c r="M314" s="2131">
        <v>0.129</v>
      </c>
      <c r="N314" s="2164">
        <v>6.3E-2</v>
      </c>
    </row>
    <row r="315" spans="1:14">
      <c r="A315" s="209">
        <f t="shared" si="2"/>
        <v>2018.06</v>
      </c>
      <c r="B315" s="2149">
        <v>6.5322999856728625E-2</v>
      </c>
      <c r="C315" s="2131">
        <v>6.1812414863224641E-2</v>
      </c>
      <c r="D315" s="2124">
        <v>5.7875513924534827E-2</v>
      </c>
      <c r="E315" s="2131">
        <v>6.3221225116031787E-2</v>
      </c>
      <c r="F315" s="2141">
        <v>0.10858584810603156</v>
      </c>
      <c r="G315" s="2156">
        <v>6.5000000000000002E-2</v>
      </c>
      <c r="H315" s="2131">
        <v>6.2E-2</v>
      </c>
      <c r="I315" s="2124">
        <v>5.0999999999999997E-2</v>
      </c>
      <c r="J315" s="2131">
        <v>6.7000000000000004E-2</v>
      </c>
      <c r="K315" s="2141">
        <v>0.11</v>
      </c>
      <c r="L315" s="2156">
        <v>6.0999999999999999E-2</v>
      </c>
      <c r="M315" s="2131">
        <v>4.8000000000000001E-2</v>
      </c>
      <c r="N315" s="2164">
        <v>6.8000000000000005E-2</v>
      </c>
    </row>
    <row r="316" spans="1:14">
      <c r="A316" s="209">
        <f t="shared" si="2"/>
        <v>2018.07</v>
      </c>
      <c r="B316" s="2149">
        <v>4.73135984962052E-2</v>
      </c>
      <c r="C316" s="2131">
        <v>4.6589439923679032E-2</v>
      </c>
      <c r="D316" s="2124">
        <v>6.437630384167603E-2</v>
      </c>
      <c r="E316" s="2131">
        <v>4.0256456869518287E-2</v>
      </c>
      <c r="F316" s="2141">
        <v>5.586126877206099E-2</v>
      </c>
      <c r="G316" s="2156">
        <v>4.5999999999999999E-2</v>
      </c>
      <c r="H316" s="2131">
        <v>4.4999999999999998E-2</v>
      </c>
      <c r="I316" s="2124">
        <v>5.5E-2</v>
      </c>
      <c r="J316" s="2131">
        <v>0.04</v>
      </c>
      <c r="K316" s="2141">
        <v>5.6000000000000001E-2</v>
      </c>
      <c r="L316" s="2156">
        <v>4.2999999999999997E-2</v>
      </c>
      <c r="M316" s="2131">
        <v>0.05</v>
      </c>
      <c r="N316" s="2164">
        <v>0.04</v>
      </c>
    </row>
    <row r="317" spans="1:14">
      <c r="A317" s="209">
        <f t="shared" si="2"/>
        <v>2018.08</v>
      </c>
      <c r="B317" s="2149">
        <v>4.8942157378071949E-2</v>
      </c>
      <c r="C317" s="2131">
        <v>4.8060204944633922E-2</v>
      </c>
      <c r="D317" s="2124">
        <v>3.6577028384537025E-2</v>
      </c>
      <c r="E317" s="2131">
        <v>5.2243569988079441E-2</v>
      </c>
      <c r="F317" s="2141">
        <v>5.9260946490225619E-2</v>
      </c>
      <c r="G317" s="2156">
        <v>0.05</v>
      </c>
      <c r="H317" s="2131">
        <v>4.9000000000000002E-2</v>
      </c>
      <c r="I317" s="2124">
        <v>4.2000000000000003E-2</v>
      </c>
      <c r="J317" s="2131">
        <v>5.1999999999999998E-2</v>
      </c>
      <c r="K317" s="2141">
        <v>0.06</v>
      </c>
      <c r="L317" s="2156">
        <v>4.9000000000000002E-2</v>
      </c>
      <c r="M317" s="2131">
        <v>4.2000000000000003E-2</v>
      </c>
      <c r="N317" s="2164">
        <v>5.2999999999999999E-2</v>
      </c>
    </row>
    <row r="318" spans="1:14">
      <c r="A318" s="209">
        <f t="shared" si="2"/>
        <v>2018.09</v>
      </c>
      <c r="B318" s="2149">
        <v>0.16042481372261563</v>
      </c>
      <c r="C318" s="2131">
        <v>0.15337456724633292</v>
      </c>
      <c r="D318" s="2124">
        <v>0.18131309834353093</v>
      </c>
      <c r="E318" s="2131">
        <v>0.14334799265255338</v>
      </c>
      <c r="F318" s="2141">
        <v>0.24204003160915777</v>
      </c>
      <c r="G318" s="2156">
        <v>0.16600000000000001</v>
      </c>
      <c r="H318" s="2131">
        <v>0.159</v>
      </c>
      <c r="I318" s="2124">
        <v>0.182</v>
      </c>
      <c r="J318" s="2131">
        <v>0.14799999999999999</v>
      </c>
      <c r="K318" s="2141">
        <v>0.24399999999999999</v>
      </c>
      <c r="L318" s="2156">
        <v>0.16200000000000001</v>
      </c>
      <c r="M318" s="2131">
        <v>0.185</v>
      </c>
      <c r="N318" s="2164">
        <v>0.152</v>
      </c>
    </row>
    <row r="319" spans="1:14">
      <c r="A319" s="209">
        <f t="shared" si="2"/>
        <v>2018.1</v>
      </c>
      <c r="B319" s="2149">
        <v>3.0243185226211056E-2</v>
      </c>
      <c r="C319" s="2131">
        <v>3.5753350895775027E-2</v>
      </c>
      <c r="D319" s="2124">
        <v>2.1933358503913203E-2</v>
      </c>
      <c r="E319" s="2131">
        <v>4.0877755468866628E-2</v>
      </c>
      <c r="F319" s="2141">
        <v>-2.8990162402656616E-2</v>
      </c>
      <c r="G319" s="2156">
        <v>2.5000000000000001E-2</v>
      </c>
      <c r="H319" s="2131">
        <v>0.03</v>
      </c>
      <c r="I319" s="2124">
        <v>1.2999999999999999E-2</v>
      </c>
      <c r="J319" s="2131">
        <v>3.7999999999999999E-2</v>
      </c>
      <c r="K319" s="2141">
        <v>-2.9000000000000001E-2</v>
      </c>
      <c r="L319" s="2156">
        <v>2.5999999999999999E-2</v>
      </c>
      <c r="M319" s="2131">
        <v>0.01</v>
      </c>
      <c r="N319" s="2164">
        <v>3.4000000000000002E-2</v>
      </c>
    </row>
    <row r="320" spans="1:14">
      <c r="A320" s="209">
        <f t="shared" si="2"/>
        <v>2018.11</v>
      </c>
      <c r="B320" s="2149">
        <v>1.0718736967743059E-3</v>
      </c>
      <c r="C320" s="2131">
        <v>2.2834409632275232E-3</v>
      </c>
      <c r="D320" s="2124">
        <v>-3.9240687726064594E-2</v>
      </c>
      <c r="E320" s="2131">
        <v>1.7400210182605402E-2</v>
      </c>
      <c r="F320" s="2141">
        <v>-1.2820673140919947E-2</v>
      </c>
      <c r="G320" s="2156">
        <v>-4.0000000000000001E-3</v>
      </c>
      <c r="H320" s="2131">
        <v>-3.0000000000000001E-3</v>
      </c>
      <c r="I320" s="2124">
        <v>-4.4999999999999998E-2</v>
      </c>
      <c r="J320" s="2131">
        <v>1.6E-2</v>
      </c>
      <c r="K320" s="2141">
        <v>-1.2999999999999999E-2</v>
      </c>
      <c r="L320" s="2156">
        <v>-6.0000000000000001E-3</v>
      </c>
      <c r="M320" s="2131">
        <v>-4.7E-2</v>
      </c>
      <c r="N320" s="2164">
        <v>1.2999999999999999E-2</v>
      </c>
    </row>
    <row r="321" spans="1:14">
      <c r="A321" s="209">
        <f t="shared" si="2"/>
        <v>2018.12</v>
      </c>
      <c r="B321" s="2149">
        <v>1.277998377206413E-2</v>
      </c>
      <c r="C321" s="2131">
        <v>1.0193982678339486E-2</v>
      </c>
      <c r="D321" s="2124">
        <v>-1.2623720188735366E-2</v>
      </c>
      <c r="E321" s="2131">
        <v>1.8038263894669004E-2</v>
      </c>
      <c r="F321" s="2141">
        <v>4.2886294935899461E-2</v>
      </c>
      <c r="G321" s="2156">
        <v>1.6E-2</v>
      </c>
      <c r="H321" s="2131">
        <v>1.4E-2</v>
      </c>
      <c r="I321" s="2124">
        <v>1E-3</v>
      </c>
      <c r="J321" s="2131">
        <v>1.9E-2</v>
      </c>
      <c r="K321" s="2141">
        <v>4.2999999999999997E-2</v>
      </c>
      <c r="L321" s="2156">
        <v>1.4999999999999999E-2</v>
      </c>
      <c r="M321" s="2131">
        <v>5.0000000000000001E-3</v>
      </c>
      <c r="N321" s="2164">
        <v>1.9E-2</v>
      </c>
    </row>
    <row r="322" spans="1:14">
      <c r="A322" s="209">
        <f t="shared" si="2"/>
        <v>2019.01</v>
      </c>
      <c r="B322" s="2149">
        <v>5.6943061794001437E-3</v>
      </c>
      <c r="C322" s="2131">
        <v>8.3273237160843561E-3</v>
      </c>
      <c r="D322" s="2124">
        <v>-1.3347628121931354E-2</v>
      </c>
      <c r="E322" s="2131">
        <v>1.5554322197657955E-2</v>
      </c>
      <c r="F322" s="2141">
        <v>-2.3998443048179885E-2</v>
      </c>
      <c r="G322" s="2156">
        <v>7.0000000000000001E-3</v>
      </c>
      <c r="H322" s="2131">
        <v>8.9999999999999993E-3</v>
      </c>
      <c r="I322" s="2124">
        <v>-8.0000000000000002E-3</v>
      </c>
      <c r="J322" s="2131">
        <v>1.7000000000000001E-2</v>
      </c>
      <c r="K322" s="2141">
        <v>-2.3E-2</v>
      </c>
      <c r="L322" s="2156">
        <v>7.0000000000000001E-3</v>
      </c>
      <c r="M322" s="2131">
        <v>-8.9999999999999993E-3</v>
      </c>
      <c r="N322" s="2164">
        <v>1.4E-2</v>
      </c>
    </row>
    <row r="323" spans="1:14">
      <c r="A323" s="209">
        <f t="shared" si="2"/>
        <v>2019.02</v>
      </c>
      <c r="B323" s="2149">
        <v>3.3638843392257423E-2</v>
      </c>
      <c r="C323" s="2131">
        <v>3.4209863351928105E-2</v>
      </c>
      <c r="D323" s="2124">
        <v>5.2603318447554059E-2</v>
      </c>
      <c r="E323" s="2131">
        <v>2.8251538958600664E-2</v>
      </c>
      <c r="F323" s="2141">
        <v>2.6986127558845663E-2</v>
      </c>
      <c r="G323" s="2156">
        <v>3.3000000000000002E-2</v>
      </c>
      <c r="H323" s="2131">
        <v>3.4000000000000002E-2</v>
      </c>
      <c r="I323" s="2124">
        <v>4.3999999999999997E-2</v>
      </c>
      <c r="J323" s="2131">
        <v>2.9000000000000001E-2</v>
      </c>
      <c r="K323" s="2141">
        <v>2.7E-2</v>
      </c>
      <c r="L323" s="2156">
        <v>3.2000000000000001E-2</v>
      </c>
      <c r="M323" s="2131">
        <v>3.9E-2</v>
      </c>
      <c r="N323" s="2164">
        <v>0.03</v>
      </c>
    </row>
    <row r="324" spans="1:14">
      <c r="A324" s="209">
        <f t="shared" si="2"/>
        <v>2019.03</v>
      </c>
      <c r="B324" s="2149">
        <v>4.1062859341785218E-2</v>
      </c>
      <c r="C324" s="2131">
        <v>4.0788295108424411E-2</v>
      </c>
      <c r="D324" s="2124">
        <v>5.2301878896189535E-2</v>
      </c>
      <c r="E324" s="2131">
        <v>3.6970288109414939E-2</v>
      </c>
      <c r="F324" s="2141">
        <v>4.4284193254864324E-2</v>
      </c>
      <c r="G324" s="2156">
        <v>0.04</v>
      </c>
      <c r="H324" s="2131">
        <v>0.04</v>
      </c>
      <c r="I324" s="2124">
        <v>4.7E-2</v>
      </c>
      <c r="J324" s="2131">
        <v>3.6999999999999998E-2</v>
      </c>
      <c r="K324" s="2141">
        <v>4.4999999999999998E-2</v>
      </c>
      <c r="L324" s="2156">
        <v>3.9E-2</v>
      </c>
      <c r="M324" s="2131">
        <v>4.4999999999999998E-2</v>
      </c>
      <c r="N324" s="2164">
        <v>3.5999999999999997E-2</v>
      </c>
    </row>
    <row r="325" spans="1:14">
      <c r="A325" s="209">
        <f t="shared" si="2"/>
        <v>2019.04</v>
      </c>
      <c r="B325" s="2149">
        <v>4.5999999999999999E-2</v>
      </c>
      <c r="C325" s="2131">
        <v>4.5999999999999999E-2</v>
      </c>
      <c r="D325" s="2124">
        <v>6.5000000000000002E-2</v>
      </c>
      <c r="E325" s="2131">
        <v>0.04</v>
      </c>
      <c r="F325" s="2141">
        <v>0.04</v>
      </c>
      <c r="G325" s="2156">
        <v>4.4999999999999998E-2</v>
      </c>
      <c r="H325" s="2131">
        <v>4.5999999999999999E-2</v>
      </c>
      <c r="I325" s="2124">
        <v>5.6000000000000001E-2</v>
      </c>
      <c r="J325" s="2131">
        <v>4.1000000000000002E-2</v>
      </c>
      <c r="K325" s="2141">
        <v>0.04</v>
      </c>
      <c r="L325" s="2156">
        <v>4.3999999999999997E-2</v>
      </c>
      <c r="M325" s="2131">
        <v>5.2999999999999999E-2</v>
      </c>
      <c r="N325" s="2164">
        <v>0.04</v>
      </c>
    </row>
    <row r="326" spans="1:14">
      <c r="A326" s="209">
        <f t="shared" si="2"/>
        <v>2019.05</v>
      </c>
      <c r="B326" s="2149">
        <v>4.9000000000000002E-2</v>
      </c>
      <c r="C326" s="2131">
        <v>4.9000000000000002E-2</v>
      </c>
      <c r="D326" s="2124">
        <v>8.3000000000000004E-2</v>
      </c>
      <c r="E326" s="2131">
        <v>3.9E-2</v>
      </c>
      <c r="F326" s="2141">
        <v>4.1000000000000002E-2</v>
      </c>
      <c r="G326" s="2156">
        <v>5.0999999999999997E-2</v>
      </c>
      <c r="H326" s="2131">
        <v>5.0999999999999997E-2</v>
      </c>
      <c r="I326" s="2124">
        <v>0.08</v>
      </c>
      <c r="J326" s="2131">
        <v>3.9E-2</v>
      </c>
      <c r="K326" s="2141">
        <v>4.2000000000000003E-2</v>
      </c>
      <c r="L326" s="2156">
        <v>5.2999999999999999E-2</v>
      </c>
      <c r="M326" s="2131">
        <v>8.1000000000000003E-2</v>
      </c>
      <c r="N326" s="2164">
        <v>0.04</v>
      </c>
    </row>
    <row r="327" spans="1:14">
      <c r="A327" s="209">
        <f t="shared" si="2"/>
        <v>2019.06</v>
      </c>
      <c r="B327" s="2149">
        <v>1.7000000000000001E-2</v>
      </c>
      <c r="C327" s="2131">
        <v>1.9E-2</v>
      </c>
      <c r="D327" s="2124">
        <v>2.3E-2</v>
      </c>
      <c r="E327" s="2131">
        <v>1.7000000000000001E-2</v>
      </c>
      <c r="F327" s="2141">
        <v>-1.0999999999999999E-2</v>
      </c>
      <c r="G327" s="2156">
        <v>1.7000000000000001E-2</v>
      </c>
      <c r="H327" s="2131">
        <v>1.9E-2</v>
      </c>
      <c r="I327" s="2124">
        <v>2.7E-2</v>
      </c>
      <c r="J327" s="2131">
        <v>1.6E-2</v>
      </c>
      <c r="K327" s="2141">
        <v>-1.0999999999999999E-2</v>
      </c>
      <c r="L327" s="2156">
        <v>1.9E-2</v>
      </c>
      <c r="M327" s="2131">
        <v>2.8000000000000001E-2</v>
      </c>
      <c r="N327" s="2164">
        <v>1.4999999999999999E-2</v>
      </c>
    </row>
    <row r="328" spans="1:14">
      <c r="A328" s="209">
        <f t="shared" si="2"/>
        <v>2019.07</v>
      </c>
      <c r="B328" s="2149">
        <v>1E-3</v>
      </c>
      <c r="C328" s="2131">
        <v>2E-3</v>
      </c>
      <c r="D328" s="2124">
        <v>-1.4E-2</v>
      </c>
      <c r="E328" s="2131">
        <v>8.0000000000000002E-3</v>
      </c>
      <c r="F328" s="2141">
        <v>-1.7999999999999999E-2</v>
      </c>
      <c r="G328" s="2156">
        <v>-1E-3</v>
      </c>
      <c r="H328" s="2131">
        <v>1E-3</v>
      </c>
      <c r="I328" s="2124">
        <v>-1.6E-2</v>
      </c>
      <c r="J328" s="2131">
        <v>8.0000000000000002E-3</v>
      </c>
      <c r="K328" s="2141">
        <v>-1.7999999999999999E-2</v>
      </c>
      <c r="L328" s="2156">
        <v>-2E-3</v>
      </c>
      <c r="M328" s="2131">
        <v>-0.02</v>
      </c>
      <c r="N328" s="2164">
        <v>6.0000000000000001E-3</v>
      </c>
    </row>
    <row r="329" spans="1:14">
      <c r="A329" s="209">
        <f t="shared" si="2"/>
        <v>2019.08</v>
      </c>
      <c r="B329" s="2149">
        <v>0.112</v>
      </c>
      <c r="C329" s="2131">
        <v>9.9000000000000005E-2</v>
      </c>
      <c r="D329" s="2124">
        <v>4.2999999999999997E-2</v>
      </c>
      <c r="E329" s="2131">
        <v>0.11799999999999999</v>
      </c>
      <c r="F329" s="2141">
        <v>0.28199999999999997</v>
      </c>
      <c r="G329" s="2156">
        <v>0.11899999999999999</v>
      </c>
      <c r="H329" s="2131">
        <v>0.106</v>
      </c>
      <c r="I329" s="2124">
        <v>6.5000000000000002E-2</v>
      </c>
      <c r="J329" s="2131">
        <v>0.125</v>
      </c>
      <c r="K329" s="2141">
        <v>0.28299999999999997</v>
      </c>
      <c r="L329" s="2156">
        <v>0.113</v>
      </c>
      <c r="M329" s="2131">
        <v>7.0999999999999994E-2</v>
      </c>
      <c r="N329" s="2164">
        <v>0.13200000000000001</v>
      </c>
    </row>
    <row r="330" spans="1:14">
      <c r="A330" s="209">
        <f t="shared" ref="A330:A393" si="3">A318+1</f>
        <v>2019.09</v>
      </c>
      <c r="B330" s="2149">
        <v>4.2000000000000003E-2</v>
      </c>
      <c r="C330" s="2131">
        <v>4.3999999999999997E-2</v>
      </c>
      <c r="D330" s="2124">
        <v>2.3E-2</v>
      </c>
      <c r="E330" s="2131">
        <v>5.0999999999999997E-2</v>
      </c>
      <c r="F330" s="2141">
        <v>1.7000000000000001E-2</v>
      </c>
      <c r="G330" s="2156">
        <v>4.3999999999999997E-2</v>
      </c>
      <c r="H330" s="2131">
        <v>4.5999999999999999E-2</v>
      </c>
      <c r="I330" s="2124">
        <v>3.3000000000000002E-2</v>
      </c>
      <c r="J330" s="2131">
        <v>5.0999999999999997E-2</v>
      </c>
      <c r="K330" s="2141">
        <v>1.7000000000000001E-2</v>
      </c>
      <c r="L330" s="2156">
        <v>4.4999999999999998E-2</v>
      </c>
      <c r="M330" s="2131">
        <v>3.7999999999999999E-2</v>
      </c>
      <c r="N330" s="2164">
        <v>4.9000000000000002E-2</v>
      </c>
    </row>
    <row r="331" spans="1:14">
      <c r="A331" s="209">
        <f t="shared" si="3"/>
        <v>2019.1</v>
      </c>
      <c r="B331" s="2149">
        <v>3.5999999999999997E-2</v>
      </c>
      <c r="C331" s="2131">
        <v>3.5999999999999997E-2</v>
      </c>
      <c r="D331" s="2124">
        <v>3.1E-2</v>
      </c>
      <c r="E331" s="2131">
        <v>3.7999999999999999E-2</v>
      </c>
      <c r="F331" s="2141">
        <v>3.5999999999999997E-2</v>
      </c>
      <c r="G331" s="2156">
        <v>3.5000000000000003E-2</v>
      </c>
      <c r="H331" s="2131">
        <v>3.5000000000000003E-2</v>
      </c>
      <c r="I331" s="2124">
        <v>2.8000000000000001E-2</v>
      </c>
      <c r="J331" s="2131">
        <v>3.7999999999999999E-2</v>
      </c>
      <c r="K331" s="2141">
        <v>3.5999999999999997E-2</v>
      </c>
      <c r="L331" s="2156">
        <v>3.4000000000000002E-2</v>
      </c>
      <c r="M331" s="2131">
        <v>2.7E-2</v>
      </c>
      <c r="N331" s="2164">
        <v>3.6999999999999998E-2</v>
      </c>
    </row>
    <row r="332" spans="1:14">
      <c r="A332" s="209">
        <f t="shared" si="3"/>
        <v>2019.11</v>
      </c>
      <c r="B332" s="2149">
        <v>5.3999999999999999E-2</v>
      </c>
      <c r="C332" s="2131">
        <v>5.5E-2</v>
      </c>
      <c r="D332" s="2124">
        <v>6.0999999999999999E-2</v>
      </c>
      <c r="E332" s="2131">
        <v>5.2999999999999999E-2</v>
      </c>
      <c r="F332" s="2141">
        <v>4.2000000000000003E-2</v>
      </c>
      <c r="G332" s="2156">
        <v>0.05</v>
      </c>
      <c r="H332" s="2131">
        <v>5.0999999999999997E-2</v>
      </c>
      <c r="I332" s="2124">
        <v>6.0999999999999999E-2</v>
      </c>
      <c r="J332" s="2131">
        <v>4.5999999999999999E-2</v>
      </c>
      <c r="K332" s="2141">
        <v>4.2000000000000003E-2</v>
      </c>
      <c r="L332" s="2156">
        <v>5.1999999999999998E-2</v>
      </c>
      <c r="M332" s="2131">
        <v>6.2E-2</v>
      </c>
      <c r="N332" s="2164">
        <v>4.8000000000000001E-2</v>
      </c>
    </row>
    <row r="333" spans="1:14">
      <c r="A333" s="209">
        <f t="shared" si="3"/>
        <v>2019.12</v>
      </c>
      <c r="B333" s="2149">
        <v>3.6999999999999998E-2</v>
      </c>
      <c r="C333" s="2131">
        <v>4.1000000000000002E-2</v>
      </c>
      <c r="D333" s="2124">
        <v>0.05</v>
      </c>
      <c r="E333" s="2131">
        <v>3.7999999999999999E-2</v>
      </c>
      <c r="F333" s="2141">
        <v>-4.0000000000000001E-3</v>
      </c>
      <c r="G333" s="2156">
        <v>3.2000000000000001E-2</v>
      </c>
      <c r="H333" s="2131">
        <v>3.5000000000000003E-2</v>
      </c>
      <c r="I333" s="2124">
        <v>3.6999999999999998E-2</v>
      </c>
      <c r="J333" s="2131">
        <v>3.5000000000000003E-2</v>
      </c>
      <c r="K333" s="2141">
        <v>-4.0000000000000001E-3</v>
      </c>
      <c r="L333" s="2156">
        <v>3.4000000000000002E-2</v>
      </c>
      <c r="M333" s="2131">
        <v>3.3000000000000002E-2</v>
      </c>
      <c r="N333" s="2164">
        <v>3.4000000000000002E-2</v>
      </c>
    </row>
    <row r="334" spans="1:14">
      <c r="A334" s="209">
        <f t="shared" si="3"/>
        <v>2020.01</v>
      </c>
      <c r="B334" s="2149">
        <v>1.4999999999999999E-2</v>
      </c>
      <c r="C334" s="2131">
        <v>1.6E-2</v>
      </c>
      <c r="D334" s="2124">
        <v>1.7000000000000001E-2</v>
      </c>
      <c r="E334" s="2131">
        <v>1.6E-2</v>
      </c>
      <c r="F334" s="2141">
        <v>1E-3</v>
      </c>
      <c r="G334" s="2156">
        <v>1.7000000000000001E-2</v>
      </c>
      <c r="H334" s="2131">
        <v>1.7999999999999999E-2</v>
      </c>
      <c r="I334" s="2124">
        <v>2.5000000000000001E-2</v>
      </c>
      <c r="J334" s="2131">
        <v>1.6E-2</v>
      </c>
      <c r="K334" s="2141">
        <v>1E-3</v>
      </c>
      <c r="L334" s="2156">
        <v>1.9E-2</v>
      </c>
      <c r="M334" s="2131">
        <v>2.8000000000000001E-2</v>
      </c>
      <c r="N334" s="2164">
        <v>1.4999999999999999E-2</v>
      </c>
    </row>
    <row r="335" spans="1:14">
      <c r="A335" s="209">
        <f t="shared" si="3"/>
        <v>2020.02</v>
      </c>
      <c r="B335" s="2149">
        <v>1.0999999999999999E-2</v>
      </c>
      <c r="C335" s="2131">
        <v>1.2E-2</v>
      </c>
      <c r="D335" s="2124">
        <v>7.0000000000000001E-3</v>
      </c>
      <c r="E335" s="2131">
        <v>1.2999999999999999E-2</v>
      </c>
      <c r="F335" s="2141">
        <v>7.0000000000000001E-3</v>
      </c>
      <c r="G335" s="2156">
        <v>1.0999999999999999E-2</v>
      </c>
      <c r="H335" s="2131">
        <v>1.2E-2</v>
      </c>
      <c r="I335" s="2124">
        <v>5.0000000000000001E-3</v>
      </c>
      <c r="J335" s="2131">
        <v>1.4E-2</v>
      </c>
      <c r="K335" s="2141">
        <v>7.0000000000000001E-3</v>
      </c>
      <c r="L335" s="2156">
        <v>1.0999999999999999E-2</v>
      </c>
      <c r="M335" s="2131">
        <v>4.0000000000000001E-3</v>
      </c>
      <c r="N335" s="2164">
        <v>1.4E-2</v>
      </c>
    </row>
    <row r="336" spans="1:14">
      <c r="A336" s="209">
        <f t="shared" si="3"/>
        <v>2020.03</v>
      </c>
      <c r="B336" s="2149">
        <v>0.01</v>
      </c>
      <c r="C336" s="2131">
        <v>8.9999999999999993E-3</v>
      </c>
      <c r="D336" s="2124">
        <v>-1.2999999999999999E-2</v>
      </c>
      <c r="E336" s="2131">
        <v>1.6E-2</v>
      </c>
      <c r="F336" s="2141">
        <v>1.4E-2</v>
      </c>
      <c r="G336" s="2156">
        <v>7.0000000000000001E-3</v>
      </c>
      <c r="H336" s="2131">
        <v>6.0000000000000001E-3</v>
      </c>
      <c r="I336" s="2124">
        <v>-1.6E-2</v>
      </c>
      <c r="J336" s="2131">
        <v>1.4999999999999999E-2</v>
      </c>
      <c r="K336" s="2141">
        <v>1.4E-2</v>
      </c>
      <c r="L336" s="2156">
        <v>4.0000000000000001E-3</v>
      </c>
      <c r="M336" s="2131">
        <v>-1.7999999999999999E-2</v>
      </c>
      <c r="N336" s="2164">
        <v>1.2999999999999999E-2</v>
      </c>
    </row>
    <row r="337" spans="1:14">
      <c r="A337" s="209">
        <f t="shared" si="3"/>
        <v>2020.04</v>
      </c>
      <c r="B337" s="2149">
        <v>-1.2999999999999999E-2</v>
      </c>
      <c r="C337" s="2131">
        <v>-1.7000000000000001E-2</v>
      </c>
      <c r="D337" s="2124">
        <v>-9.5000000000000001E-2</v>
      </c>
      <c r="E337" s="2131">
        <v>8.0000000000000002E-3</v>
      </c>
      <c r="F337" s="2141">
        <v>0.03</v>
      </c>
      <c r="G337" s="2156">
        <v>-1.2E-2</v>
      </c>
      <c r="H337" s="2131">
        <v>-1.4999999999999999E-2</v>
      </c>
      <c r="I337" s="2124">
        <v>-7.3999999999999996E-2</v>
      </c>
      <c r="J337" s="2131">
        <v>8.0000000000000002E-3</v>
      </c>
      <c r="K337" s="2141">
        <v>2.9000000000000001E-2</v>
      </c>
      <c r="L337" s="2156">
        <v>-1.4E-2</v>
      </c>
      <c r="M337" s="2131">
        <v>-6.6000000000000003E-2</v>
      </c>
      <c r="N337" s="2164">
        <v>8.0000000000000002E-3</v>
      </c>
    </row>
    <row r="338" spans="1:14">
      <c r="A338" s="209">
        <f t="shared" si="3"/>
        <v>2020.05</v>
      </c>
      <c r="B338" s="2149">
        <v>4.0000000000000001E-3</v>
      </c>
      <c r="C338" s="2131">
        <v>2E-3</v>
      </c>
      <c r="D338" s="2124">
        <v>-4.8000000000000001E-2</v>
      </c>
      <c r="E338" s="2131">
        <v>1.6E-2</v>
      </c>
      <c r="F338" s="2141">
        <v>2.7E-2</v>
      </c>
      <c r="G338" s="2156">
        <v>6.0000000000000001E-3</v>
      </c>
      <c r="H338" s="2131">
        <v>4.0000000000000001E-3</v>
      </c>
      <c r="I338" s="2124">
        <v>-3.6999999999999998E-2</v>
      </c>
      <c r="J338" s="2131">
        <v>1.9E-2</v>
      </c>
      <c r="K338" s="2141">
        <v>2.7E-2</v>
      </c>
      <c r="L338" s="2156">
        <v>3.0000000000000001E-3</v>
      </c>
      <c r="M338" s="2131">
        <v>-3.6999999999999998E-2</v>
      </c>
      <c r="N338" s="2164">
        <v>1.7999999999999999E-2</v>
      </c>
    </row>
    <row r="339" spans="1:14">
      <c r="A339" s="209">
        <f t="shared" si="3"/>
        <v>2020.06</v>
      </c>
      <c r="B339" s="2149">
        <v>3.6999999999999998E-2</v>
      </c>
      <c r="C339" s="2131">
        <v>3.7999999999999999E-2</v>
      </c>
      <c r="D339" s="2124">
        <v>9.2999999999999999E-2</v>
      </c>
      <c r="E339" s="2131">
        <v>2.3E-2</v>
      </c>
      <c r="F339" s="2141">
        <v>2.5999999999999999E-2</v>
      </c>
      <c r="G339" s="2156">
        <v>3.6999999999999998E-2</v>
      </c>
      <c r="H339" s="2131">
        <v>3.7999999999999999E-2</v>
      </c>
      <c r="I339" s="2124">
        <v>8.1000000000000003E-2</v>
      </c>
      <c r="J339" s="2131">
        <v>2.3E-2</v>
      </c>
      <c r="K339" s="2141">
        <v>2.5999999999999999E-2</v>
      </c>
      <c r="L339" s="2156">
        <v>0.04</v>
      </c>
      <c r="M339" s="2131">
        <v>8.2000000000000003E-2</v>
      </c>
      <c r="N339" s="2164">
        <v>2.4E-2</v>
      </c>
    </row>
    <row r="340" spans="1:14">
      <c r="A340" s="209">
        <f t="shared" si="3"/>
        <v>2020.07</v>
      </c>
      <c r="B340" s="2149">
        <v>3.5000000000000003E-2</v>
      </c>
      <c r="C340" s="2131">
        <v>3.5000000000000003E-2</v>
      </c>
      <c r="D340" s="2124">
        <v>6.0999999999999999E-2</v>
      </c>
      <c r="E340" s="2131">
        <v>2.8000000000000001E-2</v>
      </c>
      <c r="F340" s="2141">
        <v>3.7999999999999999E-2</v>
      </c>
      <c r="G340" s="2156">
        <v>3.9E-2</v>
      </c>
      <c r="H340" s="2131">
        <v>3.9E-2</v>
      </c>
      <c r="I340" s="2124">
        <v>6.4000000000000001E-2</v>
      </c>
      <c r="J340" s="2131">
        <v>2.9000000000000001E-2</v>
      </c>
      <c r="K340" s="2141">
        <v>3.7999999999999999E-2</v>
      </c>
      <c r="L340" s="2156">
        <v>0.04</v>
      </c>
      <c r="M340" s="2131">
        <v>0.04</v>
      </c>
      <c r="N340" s="2164">
        <v>2.9000000000000001E-2</v>
      </c>
    </row>
    <row r="341" spans="1:14">
      <c r="A341" s="209">
        <f t="shared" si="3"/>
        <v>2020.08</v>
      </c>
      <c r="B341" s="2149">
        <v>4.1000000000000002E-2</v>
      </c>
      <c r="C341" s="2131">
        <v>4.1000000000000002E-2</v>
      </c>
      <c r="D341" s="2124">
        <v>7.3999999999999996E-2</v>
      </c>
      <c r="E341" s="2131">
        <v>3.2000000000000001E-2</v>
      </c>
      <c r="F341" s="2141">
        <v>3.9E-2</v>
      </c>
      <c r="G341" s="2156">
        <v>4.3999999999999997E-2</v>
      </c>
      <c r="H341" s="2131">
        <v>4.3999999999999997E-2</v>
      </c>
      <c r="I341" s="2124">
        <v>7.0999999999999994E-2</v>
      </c>
      <c r="J341" s="2131">
        <v>3.3000000000000002E-2</v>
      </c>
      <c r="K341" s="2141">
        <v>3.9E-2</v>
      </c>
      <c r="L341" s="2156">
        <v>4.4999999999999998E-2</v>
      </c>
      <c r="M341" s="2131">
        <v>7.0000000000000007E-2</v>
      </c>
      <c r="N341" s="2164">
        <v>3.5000000000000003E-2</v>
      </c>
    </row>
    <row r="342" spans="1:14">
      <c r="A342" s="209">
        <f t="shared" si="3"/>
        <v>2020.09</v>
      </c>
      <c r="B342" s="2149">
        <v>3.6999999999999998E-2</v>
      </c>
      <c r="C342" s="2131">
        <v>3.6999999999999998E-2</v>
      </c>
      <c r="D342" s="2124">
        <v>3.2000000000000001E-2</v>
      </c>
      <c r="E342" s="2131">
        <v>3.9E-2</v>
      </c>
      <c r="F342" s="2141">
        <v>3.5000000000000003E-2</v>
      </c>
      <c r="G342" s="2156">
        <v>0.04</v>
      </c>
      <c r="H342" s="2131">
        <v>4.1000000000000002E-2</v>
      </c>
      <c r="I342" s="2124">
        <v>0.05</v>
      </c>
      <c r="J342" s="2131">
        <v>3.6999999999999998E-2</v>
      </c>
      <c r="K342" s="2141">
        <v>3.5000000000000003E-2</v>
      </c>
      <c r="L342" s="2156">
        <v>4.4999999999999998E-2</v>
      </c>
      <c r="M342" s="2131">
        <v>5.8000000000000003E-2</v>
      </c>
      <c r="N342" s="2164">
        <v>3.9E-2</v>
      </c>
    </row>
    <row r="343" spans="1:14">
      <c r="A343" s="209">
        <f t="shared" si="3"/>
        <v>2020.1</v>
      </c>
      <c r="B343" s="2149">
        <v>4.7E-2</v>
      </c>
      <c r="C343" s="2131">
        <v>4.5999999999999999E-2</v>
      </c>
      <c r="D343" s="2124">
        <v>0.05</v>
      </c>
      <c r="E343" s="2131">
        <v>4.4999999999999998E-2</v>
      </c>
      <c r="F343" s="2141">
        <v>5.6000000000000001E-2</v>
      </c>
      <c r="G343" s="2156">
        <v>5.5E-2</v>
      </c>
      <c r="H343" s="2131">
        <v>5.5E-2</v>
      </c>
      <c r="I343" s="2124">
        <v>7.5999999999999998E-2</v>
      </c>
      <c r="J343" s="2131">
        <v>4.5999999999999999E-2</v>
      </c>
      <c r="K343" s="2141">
        <v>5.6000000000000001E-2</v>
      </c>
      <c r="L343" s="2156">
        <v>0.06</v>
      </c>
      <c r="M343" s="2131">
        <v>0.06</v>
      </c>
      <c r="N343" s="2164">
        <v>0.05</v>
      </c>
    </row>
    <row r="344" spans="1:14">
      <c r="A344" s="209">
        <f t="shared" si="3"/>
        <v>2020.11</v>
      </c>
      <c r="B344" s="2149">
        <v>4.2000000000000003E-2</v>
      </c>
      <c r="C344" s="2131">
        <v>4.1000000000000002E-2</v>
      </c>
      <c r="D344" s="2124">
        <v>3.7999999999999999E-2</v>
      </c>
      <c r="E344" s="2131">
        <v>4.2000000000000003E-2</v>
      </c>
      <c r="F344" s="2141">
        <v>5.1999999999999998E-2</v>
      </c>
      <c r="G344" s="2156">
        <v>4.4999999999999998E-2</v>
      </c>
      <c r="H344" s="2131">
        <v>4.4999999999999998E-2</v>
      </c>
      <c r="I344" s="2124">
        <v>4.7E-2</v>
      </c>
      <c r="J344" s="2131">
        <v>4.3999999999999997E-2</v>
      </c>
      <c r="K344" s="2141">
        <v>5.1999999999999998E-2</v>
      </c>
      <c r="L344" s="2156">
        <v>4.8000000000000001E-2</v>
      </c>
      <c r="M344" s="2131">
        <v>5.0999999999999997E-2</v>
      </c>
      <c r="N344" s="2164">
        <v>4.7E-2</v>
      </c>
    </row>
    <row r="345" spans="1:14">
      <c r="A345" s="209">
        <f t="shared" si="3"/>
        <v>2020.12</v>
      </c>
      <c r="B345" s="2149">
        <v>4.3999999999999997E-2</v>
      </c>
      <c r="C345" s="2131">
        <v>4.3999999999999997E-2</v>
      </c>
      <c r="D345" s="2124">
        <v>7.1999999999999995E-2</v>
      </c>
      <c r="E345" s="2131">
        <v>3.5999999999999997E-2</v>
      </c>
      <c r="F345" s="2141">
        <v>3.9E-2</v>
      </c>
      <c r="G345" s="2156">
        <v>4.4999999999999998E-2</v>
      </c>
      <c r="H345" s="2131">
        <v>4.4999999999999998E-2</v>
      </c>
      <c r="I345" s="2124">
        <v>6.9000000000000006E-2</v>
      </c>
      <c r="J345" s="2131">
        <v>3.5999999999999997E-2</v>
      </c>
      <c r="K345" s="2141">
        <v>3.9E-2</v>
      </c>
      <c r="L345" s="2156">
        <v>4.5999999999999999E-2</v>
      </c>
      <c r="M345" s="2131">
        <v>6.9000000000000006E-2</v>
      </c>
      <c r="N345" s="2164">
        <v>3.5999999999999997E-2</v>
      </c>
    </row>
    <row r="346" spans="1:14">
      <c r="A346" s="209">
        <f t="shared" si="3"/>
        <v>2021.01</v>
      </c>
      <c r="B346" s="2149">
        <v>5.6000000000000001E-2</v>
      </c>
      <c r="C346" s="2131">
        <v>5.7000000000000002E-2</v>
      </c>
      <c r="D346" s="2124">
        <v>8.5999999999999993E-2</v>
      </c>
      <c r="E346" s="2131">
        <v>4.7E-2</v>
      </c>
      <c r="F346" s="2141">
        <v>4.3999999999999997E-2</v>
      </c>
      <c r="G346" s="2156">
        <v>5.7000000000000002E-2</v>
      </c>
      <c r="H346" s="2131">
        <v>5.8999999999999997E-2</v>
      </c>
      <c r="I346" s="2124">
        <v>8.7999999999999995E-2</v>
      </c>
      <c r="J346" s="2131">
        <v>4.5999999999999999E-2</v>
      </c>
      <c r="K346" s="2141">
        <v>4.3999999999999997E-2</v>
      </c>
      <c r="L346" s="2156">
        <v>6.4000000000000001E-2</v>
      </c>
      <c r="M346" s="2131">
        <v>6.4000000000000001E-2</v>
      </c>
      <c r="N346" s="2164">
        <v>9.1999999999999998E-2</v>
      </c>
    </row>
    <row r="347" spans="1:14">
      <c r="A347" s="209">
        <f t="shared" si="3"/>
        <v>2021.02</v>
      </c>
      <c r="B347" s="2149">
        <v>6.0900000000000003E-2</v>
      </c>
      <c r="C347" s="2131">
        <v>5.4699999999999999E-2</v>
      </c>
      <c r="D347" s="2124">
        <v>1.7999999999999999E-2</v>
      </c>
      <c r="E347" s="2131">
        <v>3.6799999999999999E-2</v>
      </c>
      <c r="F347" s="2141">
        <v>6.1000000000000004E-3</v>
      </c>
      <c r="G347" s="2156">
        <v>5.7299999999999997E-2</v>
      </c>
      <c r="H347" s="2131">
        <v>5.1299999999999998E-2</v>
      </c>
      <c r="I347" s="2124">
        <v>1.77E-2</v>
      </c>
      <c r="J347" s="2131">
        <v>3.3599999999999998E-2</v>
      </c>
      <c r="K347" s="2141">
        <v>6.0000000000000001E-3</v>
      </c>
      <c r="L347" s="2156">
        <v>5.33E-2</v>
      </c>
      <c r="M347" s="2131">
        <v>1.9E-2</v>
      </c>
      <c r="N347" s="2164">
        <v>3.44E-2</v>
      </c>
    </row>
    <row r="348" spans="1:14">
      <c r="A348" s="209">
        <f t="shared" si="3"/>
        <v>2021.03</v>
      </c>
      <c r="B348" s="2149">
        <v>3.9E-2</v>
      </c>
      <c r="C348" s="2131">
        <v>3.7999999999999999E-2</v>
      </c>
      <c r="D348" s="2124">
        <v>1.4E-2</v>
      </c>
      <c r="E348" s="2131">
        <v>4.5999999999999999E-2</v>
      </c>
      <c r="F348" s="2141">
        <v>0.05</v>
      </c>
      <c r="G348" s="2156">
        <v>3.6999999999999998E-2</v>
      </c>
      <c r="H348" s="2131">
        <v>3.5000000000000003E-2</v>
      </c>
      <c r="I348" s="2124">
        <v>1.4E-2</v>
      </c>
      <c r="J348" s="2131">
        <v>4.4999999999999998E-2</v>
      </c>
      <c r="K348" s="2141">
        <v>0.05</v>
      </c>
      <c r="L348" s="2156">
        <v>3.3000000000000002E-2</v>
      </c>
      <c r="M348" s="2131">
        <v>1.0999999999999999E-2</v>
      </c>
      <c r="N348" s="2164">
        <v>4.3999999999999997E-2</v>
      </c>
    </row>
    <row r="349" spans="1:14">
      <c r="A349" s="209">
        <f t="shared" si="3"/>
        <v>2021.04</v>
      </c>
      <c r="B349" s="2149">
        <v>4.8000000000000001E-2</v>
      </c>
      <c r="C349" s="2131">
        <v>0.05</v>
      </c>
      <c r="D349" s="2124">
        <v>4.9000000000000002E-2</v>
      </c>
      <c r="E349" s="2131">
        <v>0.05</v>
      </c>
      <c r="F349" s="2141">
        <v>2.5000000000000001E-2</v>
      </c>
      <c r="G349" s="2156">
        <v>4.8000000000000001E-2</v>
      </c>
      <c r="H349" s="2131">
        <v>0.05</v>
      </c>
      <c r="I349" s="2124">
        <v>0.05</v>
      </c>
      <c r="J349" s="2131">
        <v>4.9000000000000002E-2</v>
      </c>
      <c r="K349" s="2141">
        <v>2.5000000000000001E-2</v>
      </c>
      <c r="L349" s="2156">
        <v>0.05</v>
      </c>
      <c r="M349" s="2131">
        <v>4.9000000000000002E-2</v>
      </c>
      <c r="N349" s="2164">
        <v>0.05</v>
      </c>
    </row>
    <row r="350" spans="1:14">
      <c r="A350" s="209">
        <f t="shared" si="3"/>
        <v>2021.05</v>
      </c>
      <c r="B350" s="2149">
        <v>3.2000000000000001E-2</v>
      </c>
      <c r="C350" s="2131">
        <v>3.3000000000000002E-2</v>
      </c>
      <c r="D350" s="2124">
        <v>5.0000000000000001E-3</v>
      </c>
      <c r="E350" s="2131">
        <v>4.2000000000000003E-2</v>
      </c>
      <c r="F350" s="2141">
        <v>2.5000000000000001E-2</v>
      </c>
      <c r="G350" s="2156">
        <v>3.3000000000000002E-2</v>
      </c>
      <c r="H350" s="2131">
        <v>3.3000000000000002E-2</v>
      </c>
      <c r="I350" s="2124">
        <v>1.2999999999999999E-2</v>
      </c>
      <c r="J350" s="2131">
        <v>4.2000000000000003E-2</v>
      </c>
      <c r="K350" s="2141">
        <v>2.4E-2</v>
      </c>
      <c r="L350" s="2156">
        <v>3.4000000000000002E-2</v>
      </c>
      <c r="M350" s="2131">
        <v>1.4E-2</v>
      </c>
      <c r="N350" s="2164">
        <v>4.3999999999999997E-2</v>
      </c>
    </row>
    <row r="351" spans="1:14">
      <c r="A351" s="209">
        <f t="shared" si="3"/>
        <v>2021.06</v>
      </c>
      <c r="B351" s="2149">
        <v>3.1E-2</v>
      </c>
      <c r="C351" s="2131">
        <v>3.2000000000000001E-2</v>
      </c>
      <c r="D351" s="2124">
        <v>7.0000000000000001E-3</v>
      </c>
      <c r="E351" s="2131">
        <v>0.04</v>
      </c>
      <c r="F351" s="2141">
        <v>2.5000000000000001E-2</v>
      </c>
      <c r="G351" s="2156">
        <v>2.4E-2</v>
      </c>
      <c r="H351" s="2131">
        <v>2.3E-2</v>
      </c>
      <c r="I351" s="2124">
        <v>-1.2E-2</v>
      </c>
      <c r="J351" s="2131">
        <v>3.7999999999999999E-2</v>
      </c>
      <c r="K351" s="2141">
        <v>2.5999999999999999E-2</v>
      </c>
      <c r="L351" s="2156">
        <v>1.7000000000000001E-2</v>
      </c>
      <c r="M351" s="2131">
        <v>-1.7999999999999999E-2</v>
      </c>
      <c r="N351" s="2164">
        <v>3.3000000000000002E-2</v>
      </c>
    </row>
    <row r="352" spans="1:14">
      <c r="A352" s="209">
        <f t="shared" si="3"/>
        <v>2021.07</v>
      </c>
      <c r="B352" s="2149">
        <v>3.2000000000000001E-2</v>
      </c>
      <c r="C352" s="2131">
        <v>3.3000000000000002E-2</v>
      </c>
      <c r="D352" s="2124">
        <v>5.0000000000000001E-3</v>
      </c>
      <c r="E352" s="2131">
        <v>4.2000000000000003E-2</v>
      </c>
      <c r="F352" s="2141">
        <v>2.5000000000000001E-2</v>
      </c>
      <c r="G352" s="2156">
        <v>3.3000000000000002E-2</v>
      </c>
      <c r="H352" s="2131">
        <v>3.3000000000000002E-2</v>
      </c>
      <c r="I352" s="2124">
        <v>1.2999999999999999E-2</v>
      </c>
      <c r="J352" s="2131">
        <v>4.2000000000000003E-2</v>
      </c>
      <c r="K352" s="2141">
        <v>2.4E-2</v>
      </c>
      <c r="L352" s="2156">
        <v>3.4000000000000002E-2</v>
      </c>
      <c r="M352" s="2131">
        <v>1.4E-2</v>
      </c>
      <c r="N352" s="2164">
        <v>4.3999999999999997E-2</v>
      </c>
    </row>
    <row r="353" spans="1:14">
      <c r="A353" s="209">
        <f t="shared" si="3"/>
        <v>2021.08</v>
      </c>
      <c r="B353" s="2149">
        <v>2.5000000000000001E-2</v>
      </c>
      <c r="C353" s="2131">
        <v>2.5999999999999999E-2</v>
      </c>
      <c r="D353" s="2124">
        <v>8.9999999999999993E-3</v>
      </c>
      <c r="E353" s="2131">
        <v>3.1E-2</v>
      </c>
      <c r="F353" s="2141">
        <v>1.2999999999999999E-2</v>
      </c>
      <c r="G353" s="2156">
        <v>2.8000000000000001E-2</v>
      </c>
      <c r="H353" s="2131">
        <v>2.9000000000000001E-2</v>
      </c>
      <c r="I353" s="2124">
        <v>1.7999999999999999E-2</v>
      </c>
      <c r="J353" s="2131">
        <v>3.3000000000000002E-2</v>
      </c>
      <c r="K353" s="2141">
        <v>1.2999999999999999E-2</v>
      </c>
      <c r="L353" s="2156">
        <v>2.8000000000000001E-2</v>
      </c>
      <c r="M353" s="2131">
        <v>1.7000000000000001E-2</v>
      </c>
      <c r="N353" s="2164">
        <v>3.2000000000000001E-2</v>
      </c>
    </row>
    <row r="354" spans="1:14">
      <c r="A354" s="209">
        <f t="shared" si="3"/>
        <v>2021.09</v>
      </c>
      <c r="B354" s="2149">
        <v>2.8000000000000001E-2</v>
      </c>
      <c r="C354" s="2131">
        <v>2.8000000000000001E-2</v>
      </c>
      <c r="D354" s="2124">
        <v>3.4000000000000002E-2</v>
      </c>
      <c r="E354" s="2131">
        <v>2.5999999999999999E-2</v>
      </c>
      <c r="F354" s="2141">
        <v>3.3000000000000002E-2</v>
      </c>
      <c r="G354" s="2156">
        <v>2.9000000000000001E-2</v>
      </c>
      <c r="H354" s="2131">
        <v>2.8000000000000001E-2</v>
      </c>
      <c r="I354" s="2124">
        <v>3.5999999999999997E-2</v>
      </c>
      <c r="J354" s="2131">
        <v>2.5000000000000001E-2</v>
      </c>
      <c r="K354" s="2141">
        <v>3.2000000000000001E-2</v>
      </c>
      <c r="L354" s="2156">
        <v>2.8000000000000001E-2</v>
      </c>
      <c r="M354" s="2131">
        <v>3.5999999999999997E-2</v>
      </c>
      <c r="N354" s="2164">
        <v>2.5000000000000001E-2</v>
      </c>
    </row>
    <row r="355" spans="1:14">
      <c r="A355" s="209">
        <f t="shared" si="3"/>
        <v>2021.1</v>
      </c>
      <c r="B355" s="2149">
        <v>2.8000000000000001E-2</v>
      </c>
      <c r="C355" s="2131">
        <v>2.9000000000000001E-2</v>
      </c>
      <c r="D355" s="2124">
        <v>2.8000000000000001E-2</v>
      </c>
      <c r="E355" s="2131">
        <v>2.9000000000000001E-2</v>
      </c>
      <c r="F355" s="2141">
        <v>2.3E-2</v>
      </c>
      <c r="G355" s="2156">
        <v>2.9000000000000001E-2</v>
      </c>
      <c r="H355" s="2131">
        <v>2.9000000000000001E-2</v>
      </c>
      <c r="I355" s="2124">
        <v>2.5000000000000001E-2</v>
      </c>
      <c r="J355" s="2131">
        <v>3.1E-2</v>
      </c>
      <c r="K355" s="2141">
        <v>2.3E-2</v>
      </c>
      <c r="L355" s="2156">
        <v>2.8000000000000001E-2</v>
      </c>
      <c r="M355" s="2131">
        <v>2.3E-2</v>
      </c>
      <c r="N355" s="2164">
        <v>0.03</v>
      </c>
    </row>
    <row r="356" spans="1:14">
      <c r="A356" s="209">
        <f t="shared" si="3"/>
        <v>2021.11</v>
      </c>
      <c r="B356" s="2149">
        <v>2.9000000000000001E-2</v>
      </c>
      <c r="C356" s="2131">
        <v>2.9000000000000001E-2</v>
      </c>
      <c r="D356" s="2124">
        <v>3.1E-2</v>
      </c>
      <c r="E356" s="2131">
        <v>2.8000000000000001E-2</v>
      </c>
      <c r="F356" s="2141">
        <v>3.4000000000000002E-2</v>
      </c>
      <c r="G356" s="2156">
        <v>3.1E-2</v>
      </c>
      <c r="H356" s="2131">
        <v>0.03</v>
      </c>
      <c r="I356" s="2124">
        <v>0.03</v>
      </c>
      <c r="J356" s="2131">
        <v>0.03</v>
      </c>
      <c r="K356" s="2141">
        <v>3.4000000000000002E-2</v>
      </c>
      <c r="L356" s="2156">
        <v>0.03</v>
      </c>
      <c r="M356" s="2131">
        <v>2.9000000000000001E-2</v>
      </c>
      <c r="N356" s="2164">
        <v>0.03</v>
      </c>
    </row>
    <row r="357" spans="1:14">
      <c r="A357" s="209">
        <f t="shared" si="3"/>
        <v>2021.12</v>
      </c>
      <c r="B357" s="2149">
        <v>2.3E-2</v>
      </c>
      <c r="C357" s="2131">
        <v>2.3E-2</v>
      </c>
      <c r="D357" s="2124">
        <v>1.7999999999999999E-2</v>
      </c>
      <c r="E357" s="2131">
        <v>2.5000000000000001E-2</v>
      </c>
      <c r="F357" s="2141">
        <v>1.2E-2</v>
      </c>
      <c r="G357" s="2156">
        <v>2.5000000000000001E-2</v>
      </c>
      <c r="H357" s="2131">
        <v>2.5999999999999999E-2</v>
      </c>
      <c r="I357" s="2124">
        <v>2.7E-2</v>
      </c>
      <c r="J357" s="2131">
        <v>2.5000000000000001E-2</v>
      </c>
      <c r="K357" s="2141">
        <v>1.2999999999999999E-2</v>
      </c>
      <c r="L357" s="2156">
        <v>2.5999999999999999E-2</v>
      </c>
      <c r="M357" s="2131">
        <v>2.9000000000000001E-2</v>
      </c>
      <c r="N357" s="2164">
        <v>2.5000000000000001E-2</v>
      </c>
    </row>
    <row r="358" spans="1:14">
      <c r="A358" s="209">
        <f t="shared" si="3"/>
        <v>2022.01</v>
      </c>
      <c r="B358" s="2651">
        <v>3.6999999999999998E-2</v>
      </c>
      <c r="C358" s="2652">
        <v>3.9E-2</v>
      </c>
      <c r="D358" s="2653">
        <v>7.3999999999999996E-2</v>
      </c>
      <c r="E358" s="2652">
        <v>2.8000000000000001E-2</v>
      </c>
      <c r="F358" s="2654">
        <v>2.1999999999999999E-2</v>
      </c>
      <c r="G358" s="2655">
        <v>4.1000000000000002E-2</v>
      </c>
      <c r="H358" s="2652">
        <v>4.2999999999999997E-2</v>
      </c>
      <c r="I358" s="2653">
        <v>7.5999999999999998E-2</v>
      </c>
      <c r="J358" s="2652">
        <v>0.03</v>
      </c>
      <c r="K358" s="2654">
        <v>2.1999999999999999E-2</v>
      </c>
      <c r="L358" s="2655">
        <v>4.4999999999999998E-2</v>
      </c>
      <c r="M358" s="2652">
        <v>7.9000000000000001E-2</v>
      </c>
      <c r="N358" s="2656">
        <v>3.1E-2</v>
      </c>
    </row>
    <row r="359" spans="1:14">
      <c r="A359" s="209">
        <f t="shared" si="3"/>
        <v>2022.02</v>
      </c>
      <c r="B359" s="2651">
        <v>4.7E-2</v>
      </c>
      <c r="C359" s="2652">
        <v>4.9000000000000002E-2</v>
      </c>
      <c r="D359" s="2653">
        <v>5.1999999999999998E-2</v>
      </c>
      <c r="E359" s="2652">
        <v>4.8000000000000001E-2</v>
      </c>
      <c r="F359" s="2654">
        <v>2.8000000000000001E-2</v>
      </c>
      <c r="G359" s="2655">
        <v>0.05</v>
      </c>
      <c r="H359" s="2652">
        <v>5.1999999999999998E-2</v>
      </c>
      <c r="I359" s="2653">
        <v>6.0999999999999999E-2</v>
      </c>
      <c r="J359" s="2652">
        <v>4.8000000000000001E-2</v>
      </c>
      <c r="K359" s="2654">
        <v>2.8000000000000001E-2</v>
      </c>
      <c r="L359" s="2655">
        <v>5.2999999999999999E-2</v>
      </c>
      <c r="M359" s="2652">
        <v>6.2E-2</v>
      </c>
      <c r="N359" s="2656">
        <v>0.05</v>
      </c>
    </row>
    <row r="360" spans="1:14">
      <c r="A360" s="209">
        <f t="shared" si="3"/>
        <v>2022.03</v>
      </c>
      <c r="B360" s="2651">
        <v>6.3E-2</v>
      </c>
      <c r="C360" s="2652">
        <v>6.4000000000000001E-2</v>
      </c>
      <c r="D360" s="2653">
        <v>6.8000000000000005E-2</v>
      </c>
      <c r="E360" s="2652">
        <v>6.3E-2</v>
      </c>
      <c r="F360" s="2654">
        <v>5.3999999999999999E-2</v>
      </c>
      <c r="G360" s="2655">
        <v>7.0000000000000007E-2</v>
      </c>
      <c r="H360" s="2652">
        <v>7.0999999999999994E-2</v>
      </c>
      <c r="I360" s="2653">
        <v>9.4E-2</v>
      </c>
      <c r="J360" s="2652">
        <v>6.2E-2</v>
      </c>
      <c r="K360" s="2654">
        <v>5.3999999999999999E-2</v>
      </c>
      <c r="L360" s="2655">
        <v>8.1000000000000003E-2</v>
      </c>
      <c r="M360" s="2652">
        <v>0.10199999999999999</v>
      </c>
      <c r="N360" s="2656">
        <v>7.1999999999999995E-2</v>
      </c>
    </row>
    <row r="361" spans="1:14">
      <c r="A361" s="209">
        <f t="shared" si="3"/>
        <v>2022.04</v>
      </c>
      <c r="B361" s="2651">
        <v>5.8999999999999997E-2</v>
      </c>
      <c r="C361" s="2652">
        <v>5.8000000000000003E-2</v>
      </c>
      <c r="D361" s="2653">
        <v>0.05</v>
      </c>
      <c r="E361" s="2652">
        <v>6.0999999999999999E-2</v>
      </c>
      <c r="F361" s="2654">
        <v>6.6000000000000003E-2</v>
      </c>
      <c r="G361" s="2655">
        <v>5.7000000000000002E-2</v>
      </c>
      <c r="H361" s="2652">
        <v>5.6000000000000001E-2</v>
      </c>
      <c r="I361" s="2653">
        <v>4.2000000000000003E-2</v>
      </c>
      <c r="J361" s="2652">
        <v>6.2E-2</v>
      </c>
      <c r="K361" s="2654">
        <v>6.6000000000000003E-2</v>
      </c>
      <c r="L361" s="2655">
        <v>5.1999999999999998E-2</v>
      </c>
      <c r="M361" s="2652">
        <v>3.9E-2</v>
      </c>
      <c r="N361" s="2656">
        <v>5.8000000000000003E-2</v>
      </c>
    </row>
    <row r="362" spans="1:14">
      <c r="A362" s="209">
        <f t="shared" si="3"/>
        <v>2022.05</v>
      </c>
      <c r="B362" s="2149">
        <v>5.1999999999999998E-2</v>
      </c>
      <c r="C362" s="2131">
        <v>5.1999999999999998E-2</v>
      </c>
      <c r="D362" s="2124">
        <v>3.6999999999999998E-2</v>
      </c>
      <c r="E362" s="2131">
        <v>5.7000000000000002E-2</v>
      </c>
      <c r="F362" s="2141">
        <v>4.7E-2</v>
      </c>
      <c r="G362" s="2156">
        <v>5.0999999999999997E-2</v>
      </c>
      <c r="H362" s="2131">
        <v>5.1999999999999998E-2</v>
      </c>
      <c r="I362" s="2124">
        <v>3.7999999999999999E-2</v>
      </c>
      <c r="J362" s="2131">
        <v>5.7000000000000002E-2</v>
      </c>
      <c r="K362" s="2141">
        <v>4.7E-2</v>
      </c>
      <c r="L362" s="2156">
        <v>0.05</v>
      </c>
      <c r="M362" s="2131">
        <v>4.1000000000000002E-2</v>
      </c>
      <c r="N362" s="2164">
        <v>5.5E-2</v>
      </c>
    </row>
    <row r="363" spans="1:14">
      <c r="A363" s="209">
        <f t="shared" si="3"/>
        <v>2022.06</v>
      </c>
      <c r="B363" s="2149">
        <v>4.8000000000000001E-2</v>
      </c>
      <c r="C363" s="2131">
        <v>0.05</v>
      </c>
      <c r="D363" s="2124">
        <v>3.4000000000000002E-2</v>
      </c>
      <c r="E363" s="2131">
        <v>5.5E-2</v>
      </c>
      <c r="F363" s="2141">
        <v>2.5000000000000001E-2</v>
      </c>
      <c r="G363" s="2156">
        <v>4.2999999999999997E-2</v>
      </c>
      <c r="H363" s="2131">
        <v>4.3999999999999997E-2</v>
      </c>
      <c r="I363" s="2124">
        <v>2.1999999999999999E-2</v>
      </c>
      <c r="J363" s="2131">
        <v>5.3999999999999999E-2</v>
      </c>
      <c r="K363" s="2141">
        <v>2.5000000000000001E-2</v>
      </c>
      <c r="L363" s="2156">
        <v>4.1000000000000002E-2</v>
      </c>
      <c r="M363" s="2131">
        <v>1.7999999999999999E-2</v>
      </c>
      <c r="N363" s="2164">
        <v>5.0999999999999997E-2</v>
      </c>
    </row>
    <row r="364" spans="1:14">
      <c r="A364" s="209">
        <f t="shared" si="3"/>
        <v>2022.07</v>
      </c>
      <c r="B364" s="2149">
        <v>7.0802950627191663E-2</v>
      </c>
      <c r="C364" s="2131">
        <v>6.9575903071743994E-2</v>
      </c>
      <c r="D364" s="2124">
        <v>3.8763308400372232E-2</v>
      </c>
      <c r="E364" s="2131">
        <v>7.8653840683845289E-2</v>
      </c>
      <c r="F364" s="2141">
        <v>8.5928125468913485E-2</v>
      </c>
      <c r="G364" s="2156">
        <v>6.6524736711931265E-2</v>
      </c>
      <c r="H364" s="2131">
        <v>6.4977716987076439E-2</v>
      </c>
      <c r="I364" s="2124">
        <v>2.4134926845480242E-2</v>
      </c>
      <c r="J364" s="2131">
        <v>8.148168242817877E-2</v>
      </c>
      <c r="K364" s="2141">
        <v>8.6035956666779434E-2</v>
      </c>
      <c r="L364" s="2156">
        <v>5.8659790297714398E-2</v>
      </c>
      <c r="M364" s="2131">
        <v>1.7975614637446791E-2</v>
      </c>
      <c r="N364" s="2164">
        <v>7.5642976420521757E-2</v>
      </c>
    </row>
    <row r="365" spans="1:14">
      <c r="A365" s="209">
        <f t="shared" si="3"/>
        <v>2022.08</v>
      </c>
      <c r="B365" s="2149">
        <v>8.2000000000000003E-2</v>
      </c>
      <c r="C365" s="2131">
        <v>8.1000000000000003E-2</v>
      </c>
      <c r="D365" s="2124">
        <v>9.5000000000000001E-2</v>
      </c>
      <c r="E365" s="2131">
        <v>7.6999999999999999E-2</v>
      </c>
      <c r="F365" s="2141">
        <v>9.0999999999999998E-2</v>
      </c>
      <c r="G365" s="2156">
        <v>8.1000000000000003E-2</v>
      </c>
      <c r="H365" s="2131">
        <v>0.08</v>
      </c>
      <c r="I365" s="2124">
        <v>8.3000000000000004E-2</v>
      </c>
      <c r="J365" s="2131">
        <v>7.9000000000000001E-2</v>
      </c>
      <c r="K365" s="2141">
        <v>0.09</v>
      </c>
      <c r="L365" s="2156">
        <v>7.8E-2</v>
      </c>
      <c r="M365" s="2131">
        <v>7.9000000000000001E-2</v>
      </c>
      <c r="N365" s="2164">
        <v>7.8E-2</v>
      </c>
    </row>
    <row r="366" spans="1:14">
      <c r="A366" s="209">
        <f t="shared" si="3"/>
        <v>2022.09</v>
      </c>
      <c r="B366" s="2149">
        <v>5.5E-2</v>
      </c>
      <c r="C366" s="2131">
        <v>5.3999999999999999E-2</v>
      </c>
      <c r="D366" s="2124">
        <v>4.4999999999999998E-2</v>
      </c>
      <c r="E366" s="2131">
        <v>5.7000000000000002E-2</v>
      </c>
      <c r="F366" s="2141">
        <v>6.2E-2</v>
      </c>
      <c r="G366" s="2156">
        <v>5.8999999999999997E-2</v>
      </c>
      <c r="H366" s="2131">
        <v>5.8000000000000003E-2</v>
      </c>
      <c r="I366" s="2124">
        <v>6.9000000000000006E-2</v>
      </c>
      <c r="J366" s="2131">
        <v>5.3999999999999999E-2</v>
      </c>
      <c r="K366" s="2141">
        <v>6.2E-2</v>
      </c>
      <c r="L366" s="2156">
        <v>6.4000000000000001E-2</v>
      </c>
      <c r="M366" s="2131">
        <v>7.8E-2</v>
      </c>
      <c r="N366" s="2164">
        <v>5.8000000000000003E-2</v>
      </c>
    </row>
    <row r="367" spans="1:14">
      <c r="A367" s="209">
        <f t="shared" si="3"/>
        <v>2022.1</v>
      </c>
      <c r="B367" s="2149">
        <v>4.8000000000000001E-2</v>
      </c>
      <c r="C367" s="2131">
        <v>4.5999999999999999E-2</v>
      </c>
      <c r="D367" s="2124">
        <v>0.02</v>
      </c>
      <c r="E367" s="2131">
        <v>5.3999999999999999E-2</v>
      </c>
      <c r="F367" s="2141">
        <v>6.6000000000000003E-2</v>
      </c>
      <c r="G367" s="2156">
        <v>4.5999999999999999E-2</v>
      </c>
      <c r="H367" s="2131">
        <v>4.3999999999999997E-2</v>
      </c>
      <c r="I367" s="2124">
        <v>1.6E-2</v>
      </c>
      <c r="J367" s="2131">
        <v>5.5E-2</v>
      </c>
      <c r="K367" s="2141">
        <v>6.6000000000000003E-2</v>
      </c>
      <c r="L367" s="2156">
        <v>0.04</v>
      </c>
      <c r="M367" s="2131">
        <v>1.7999999999999999E-2</v>
      </c>
      <c r="N367" s="2164">
        <v>4.9000000000000002E-2</v>
      </c>
    </row>
    <row r="368" spans="1:14">
      <c r="A368" s="209">
        <f t="shared" si="3"/>
        <v>2022.11</v>
      </c>
      <c r="B368" s="2149">
        <v>6.3E-2</v>
      </c>
      <c r="C368" s="2131">
        <v>6.0999999999999999E-2</v>
      </c>
      <c r="D368" s="2124">
        <v>5.3999999999999999E-2</v>
      </c>
      <c r="E368" s="2131">
        <v>6.3E-2</v>
      </c>
      <c r="F368" s="2141">
        <v>8.2000000000000003E-2</v>
      </c>
      <c r="G368" s="2156">
        <v>6.7000000000000004E-2</v>
      </c>
      <c r="H368" s="2131">
        <v>6.6000000000000003E-2</v>
      </c>
      <c r="I368" s="2124">
        <v>7.8E-2</v>
      </c>
      <c r="J368" s="2131">
        <v>6.0999999999999999E-2</v>
      </c>
      <c r="K368" s="2141">
        <v>8.2000000000000003E-2</v>
      </c>
      <c r="L368" s="2156">
        <v>6.9000000000000006E-2</v>
      </c>
      <c r="M368" s="2131">
        <v>8.7999999999999995E-2</v>
      </c>
      <c r="N368" s="2164">
        <v>6.2E-2</v>
      </c>
    </row>
    <row r="369" spans="1:14">
      <c r="A369" s="209">
        <f t="shared" si="3"/>
        <v>2022.12</v>
      </c>
      <c r="B369" s="2149">
        <v>6.0999999999999999E-2</v>
      </c>
      <c r="C369" s="2131">
        <v>0.06</v>
      </c>
      <c r="D369" s="2124">
        <v>8.6999999999999994E-2</v>
      </c>
      <c r="E369" s="2131">
        <v>5.1999999999999998E-2</v>
      </c>
      <c r="F369" s="2141">
        <v>0.08</v>
      </c>
      <c r="G369" s="2156">
        <v>6.9000000000000006E-2</v>
      </c>
      <c r="H369" s="2131">
        <v>6.8000000000000005E-2</v>
      </c>
      <c r="I369" s="2124">
        <v>0.10299999999999999</v>
      </c>
      <c r="J369" s="2131">
        <v>5.3999999999999999E-2</v>
      </c>
      <c r="K369" s="2141">
        <v>0.08</v>
      </c>
      <c r="L369" s="2156">
        <v>7.1999999999999995E-2</v>
      </c>
      <c r="M369" s="2131">
        <v>0.111</v>
      </c>
      <c r="N369" s="2164">
        <v>5.7000000000000002E-2</v>
      </c>
    </row>
    <row r="370" spans="1:14">
      <c r="A370" s="209">
        <f t="shared" si="3"/>
        <v>2023.01</v>
      </c>
      <c r="B370" s="2149">
        <v>6.4817079959690549E-2</v>
      </c>
      <c r="C370" s="2131">
        <v>6.3006515558450271E-2</v>
      </c>
      <c r="D370" s="2124">
        <v>0.10206881881775254</v>
      </c>
      <c r="E370" s="2131">
        <v>5.1965356613188352E-2</v>
      </c>
      <c r="F370" s="2141">
        <v>8.5246735012347807E-2</v>
      </c>
      <c r="G370" s="2156">
        <v>6.6170793631303848E-2</v>
      </c>
      <c r="H370" s="2131">
        <v>6.4627958384609663E-2</v>
      </c>
      <c r="I370" s="2124">
        <v>9.8516997061344869E-2</v>
      </c>
      <c r="J370" s="2131">
        <v>5.1116933068614312E-2</v>
      </c>
      <c r="K370" s="2141">
        <v>8.4142797640325728E-2</v>
      </c>
      <c r="L370" s="2156">
        <v>6.592904571353686E-2</v>
      </c>
      <c r="M370" s="2131">
        <v>0.10193142200539773</v>
      </c>
      <c r="N370" s="2164">
        <v>5.0771831145428825E-2</v>
      </c>
    </row>
    <row r="371" spans="1:14">
      <c r="A371" s="209">
        <f t="shared" si="3"/>
        <v>2023.02</v>
      </c>
      <c r="B371" s="2149">
        <v>7.0278578106798273E-2</v>
      </c>
      <c r="C371" s="2131">
        <v>6.8278710218725447E-2</v>
      </c>
      <c r="D371" s="2124">
        <v>8.7947412674687975E-2</v>
      </c>
      <c r="E371" s="2131">
        <v>6.2454462984441905E-2</v>
      </c>
      <c r="F371" s="2141">
        <v>9.2381811125283653E-2</v>
      </c>
      <c r="G371" s="2156">
        <v>6.8632059725255212E-2</v>
      </c>
      <c r="H371" s="2131">
        <v>6.6481676969462944E-2</v>
      </c>
      <c r="I371" s="2124">
        <v>7.1551732882949137E-2</v>
      </c>
      <c r="J371" s="2131">
        <v>6.4369172892977389E-2</v>
      </c>
      <c r="K371" s="2141">
        <v>9.3230303529130865E-2</v>
      </c>
      <c r="L371" s="2156">
        <v>6.4169569261797843E-2</v>
      </c>
      <c r="M371" s="2131">
        <v>6.6485878558992351E-2</v>
      </c>
      <c r="N371" s="2164">
        <v>6.3146910066502748E-2</v>
      </c>
    </row>
    <row r="372" spans="1:14">
      <c r="A372" s="209">
        <f t="shared" si="3"/>
        <v>2023.03</v>
      </c>
      <c r="B372" s="2149">
        <v>5.0587701615505631E-2</v>
      </c>
      <c r="C372" s="2131">
        <v>4.8875468066982286E-2</v>
      </c>
      <c r="D372" s="2124">
        <v>1.4558802006433114E-2</v>
      </c>
      <c r="E372" s="2131">
        <v>5.9281059238010858E-2</v>
      </c>
      <c r="F372" s="2141">
        <v>6.9094343044125539E-2</v>
      </c>
      <c r="G372" s="2156">
        <v>4.0873061055784587E-2</v>
      </c>
      <c r="H372" s="2131">
        <v>3.8341266275845998E-2</v>
      </c>
      <c r="I372" s="2124">
        <v>-6.2808958596892728E-3</v>
      </c>
      <c r="J372" s="2131">
        <v>5.7059129610029791E-2</v>
      </c>
      <c r="K372" s="2141">
        <v>6.9125670754024204E-2</v>
      </c>
      <c r="L372" s="2156">
        <v>3.4794105463272329E-2</v>
      </c>
      <c r="M372" s="2131">
        <v>-1.2304277857791757E-2</v>
      </c>
      <c r="N372" s="2164">
        <v>5.5653524344049021E-2</v>
      </c>
    </row>
    <row r="373" spans="1:14">
      <c r="A373" s="209">
        <f t="shared" si="3"/>
        <v>2023.04</v>
      </c>
      <c r="B373" s="2149">
        <v>6.9332881874223151E-2</v>
      </c>
      <c r="C373" s="2131">
        <v>6.7219183084240131E-2</v>
      </c>
      <c r="D373" s="2124">
        <v>7.8682457384474214E-2</v>
      </c>
      <c r="E373" s="2131">
        <v>6.3890010029210353E-2</v>
      </c>
      <c r="F373" s="2141">
        <v>9.1746687609287836E-2</v>
      </c>
      <c r="G373" s="2156">
        <v>7.0886253514964359E-2</v>
      </c>
      <c r="H373" s="2131">
        <v>6.899732987926277E-2</v>
      </c>
      <c r="I373" s="2124">
        <v>7.5491561994827316E-2</v>
      </c>
      <c r="J373" s="2131">
        <v>6.6436399176770911E-2</v>
      </c>
      <c r="K373" s="2141">
        <v>9.1358043964231639E-2</v>
      </c>
      <c r="L373" s="2156">
        <v>6.8798777065528949E-2</v>
      </c>
      <c r="M373" s="2131">
        <v>7.2347319251962139E-2</v>
      </c>
      <c r="N373" s="2164">
        <v>6.7328334896512132E-2</v>
      </c>
    </row>
    <row r="374" spans="1:14">
      <c r="A374" s="209">
        <f t="shared" si="3"/>
        <v>2023.05</v>
      </c>
      <c r="B374" s="2149">
        <v>7.0826432648809279E-2</v>
      </c>
      <c r="C374" s="2131">
        <v>6.9413037919730192E-2</v>
      </c>
      <c r="D374" s="2124">
        <v>4.4980501939453577E-2</v>
      </c>
      <c r="E374" s="2131">
        <v>7.6607413700089388E-2</v>
      </c>
      <c r="F374" s="2141">
        <v>8.5477447621180369E-2</v>
      </c>
      <c r="G374" s="2156">
        <v>6.918924106826907E-2</v>
      </c>
      <c r="H374" s="2131">
        <v>6.7671849111210935E-2</v>
      </c>
      <c r="I374" s="2124">
        <v>4.4109588226231677E-2</v>
      </c>
      <c r="J374" s="2131">
        <v>7.7042268472359732E-2</v>
      </c>
      <c r="K374" s="2141">
        <v>8.52974988465387E-2</v>
      </c>
      <c r="L374" s="2156">
        <v>6.7760337026742556E-2</v>
      </c>
      <c r="M374" s="2131">
        <v>4.7138990682106696E-2</v>
      </c>
      <c r="N374" s="2164">
        <v>7.6345576704837326E-2</v>
      </c>
    </row>
    <row r="375" spans="1:14">
      <c r="A375" s="209">
        <f t="shared" si="3"/>
        <v>2023.06</v>
      </c>
      <c r="B375" s="2149">
        <v>7.4890749154024938E-2</v>
      </c>
      <c r="C375" s="2131">
        <v>7.2740946612287694E-2</v>
      </c>
      <c r="D375" s="2124">
        <v>6.0157507287941447E-2</v>
      </c>
      <c r="E375" s="2131">
        <v>7.6337402614964578E-2</v>
      </c>
      <c r="F375" s="2141">
        <v>9.6845448119340372E-2</v>
      </c>
      <c r="G375" s="2156">
        <v>7.2740671087269337E-2</v>
      </c>
      <c r="H375" s="2131">
        <v>7.0443113474834451E-2</v>
      </c>
      <c r="I375" s="2124">
        <v>4.942408385619923E-2</v>
      </c>
      <c r="J375" s="2131">
        <v>7.8546528195286403E-2</v>
      </c>
      <c r="K375" s="2141">
        <v>9.6734866605004965E-2</v>
      </c>
      <c r="L375" s="2156">
        <v>6.5581196676442355E-2</v>
      </c>
      <c r="M375" s="2131">
        <v>4.3471920203504322E-2</v>
      </c>
      <c r="N375" s="2164">
        <v>7.4536133756809786E-2</v>
      </c>
    </row>
    <row r="376" spans="1:14">
      <c r="A376" s="209">
        <f t="shared" si="3"/>
        <v>2023.07</v>
      </c>
      <c r="B376" s="2149">
        <v>7.0171254165105834E-2</v>
      </c>
      <c r="C376" s="2131">
        <v>6.9523105730457724E-2</v>
      </c>
      <c r="D376" s="2124">
        <v>6.9534587768631972E-2</v>
      </c>
      <c r="E376" s="2131">
        <v>6.9519873395645249E-2</v>
      </c>
      <c r="F376" s="2141">
        <v>7.6644957773197353E-2</v>
      </c>
      <c r="G376" s="2156">
        <v>6.6708794650511605E-2</v>
      </c>
      <c r="H376" s="2131">
        <v>6.572644083421153E-2</v>
      </c>
      <c r="I376" s="2124">
        <v>6.0182956358296513E-2</v>
      </c>
      <c r="J376" s="2131">
        <v>6.7805899926270952E-2</v>
      </c>
      <c r="K376" s="2141">
        <v>7.6721920204312566E-2</v>
      </c>
      <c r="L376" s="2156">
        <v>6.4324711848122051E-2</v>
      </c>
      <c r="M376" s="2131">
        <v>5.5867750766678492E-2</v>
      </c>
      <c r="N376" s="2164">
        <v>6.765101695598541E-2</v>
      </c>
    </row>
    <row r="377" spans="1:14">
      <c r="A377" s="209">
        <f t="shared" si="3"/>
        <v>2023.08</v>
      </c>
      <c r="B377" s="2149">
        <v>0.18711171086633427</v>
      </c>
      <c r="C377" s="2131">
        <v>0.17552583633937857</v>
      </c>
      <c r="D377" s="2124">
        <v>0.1972127482101016</v>
      </c>
      <c r="E377" s="2131">
        <v>0.16942062021190107</v>
      </c>
      <c r="F377" s="2141">
        <v>0.30206590380762366</v>
      </c>
      <c r="G377" s="2156">
        <v>0.18995191893307983</v>
      </c>
      <c r="H377" s="2131">
        <v>0.17873737374058485</v>
      </c>
      <c r="I377" s="2124">
        <v>0.18634655992905924</v>
      </c>
      <c r="J377" s="2131">
        <v>0.17590341020115585</v>
      </c>
      <c r="K377" s="2141">
        <v>0.30309436839866022</v>
      </c>
      <c r="L377" s="2156">
        <v>0.17901441124349105</v>
      </c>
      <c r="M377" s="2131">
        <v>0.17745505749527202</v>
      </c>
      <c r="N377" s="2164">
        <v>0.17962096962276508</v>
      </c>
    </row>
    <row r="378" spans="1:14">
      <c r="A378" s="209">
        <f t="shared" si="3"/>
        <v>2023.09</v>
      </c>
      <c r="B378" s="2149">
        <v>9.2126216646607251E-2</v>
      </c>
      <c r="C378" s="2131">
        <v>9.6440242755825523E-2</v>
      </c>
      <c r="D378" s="2124">
        <v>7.5679676699589749E-2</v>
      </c>
      <c r="E378" s="2131">
        <v>0.10242357479399766</v>
      </c>
      <c r="F378" s="2141">
        <v>5.3482581124789874E-2</v>
      </c>
      <c r="G378" s="2156">
        <v>9.8864505750071441E-2</v>
      </c>
      <c r="H378" s="2131">
        <v>0.10383804284417564</v>
      </c>
      <c r="I378" s="2124">
        <v>0.10908575986373736</v>
      </c>
      <c r="J378" s="2131">
        <v>0.10186622686889657</v>
      </c>
      <c r="K378" s="2141">
        <v>5.3475522055455027E-2</v>
      </c>
      <c r="L378" s="2156">
        <v>0.10714071391213009</v>
      </c>
      <c r="M378" s="2131">
        <v>0.12094922124906526</v>
      </c>
      <c r="N378" s="2164">
        <v>0.1017793344249327</v>
      </c>
    </row>
    <row r="379" spans="1:14">
      <c r="A379" s="209">
        <f t="shared" si="3"/>
        <v>2023.1</v>
      </c>
      <c r="B379" s="2149">
        <v>7.5595103041568246E-2</v>
      </c>
      <c r="C379" s="2131">
        <v>7.3715830782600245E-2</v>
      </c>
      <c r="D379" s="2124">
        <v>8.0412077758854839E-2</v>
      </c>
      <c r="E379" s="2131">
        <v>7.1832746110955359E-2</v>
      </c>
      <c r="F379" s="2141">
        <v>9.3115442604376097E-2</v>
      </c>
      <c r="G379" s="2156">
        <v>7.8925690659851222E-2</v>
      </c>
      <c r="H379" s="2131">
        <v>7.7565250564344934E-2</v>
      </c>
      <c r="I379" s="2124">
        <v>9.3474847569401609E-2</v>
      </c>
      <c r="J379" s="2131">
        <v>7.1548092648714423E-2</v>
      </c>
      <c r="K379" s="2141">
        <v>9.193473604635205E-2</v>
      </c>
      <c r="L379" s="2156">
        <v>7.7748605641998925E-2</v>
      </c>
      <c r="M379" s="2131">
        <v>9.6638482480435384E-2</v>
      </c>
      <c r="N379" s="2164">
        <v>7.028669133897858E-2</v>
      </c>
    </row>
    <row r="380" spans="1:14">
      <c r="A380" s="209">
        <f t="shared" si="3"/>
        <v>2023.11</v>
      </c>
      <c r="B380" s="2149">
        <v>0.11100614978634171</v>
      </c>
      <c r="C380" s="2131">
        <v>0.11121874948199384</v>
      </c>
      <c r="D380" s="2124">
        <v>7.5655486186900323E-2</v>
      </c>
      <c r="E380" s="2131">
        <v>0.121299721267496</v>
      </c>
      <c r="F380" s="2141">
        <v>0.10905927159063178</v>
      </c>
      <c r="G380" s="2156">
        <v>0.11545478621502658</v>
      </c>
      <c r="H380" s="2131">
        <v>0.1162857275903737</v>
      </c>
      <c r="I380" s="2124">
        <v>9.7302447262014091E-2</v>
      </c>
      <c r="J380" s="2131">
        <v>0.12361229621128289</v>
      </c>
      <c r="K380" s="2141">
        <v>0.10761357258431259</v>
      </c>
      <c r="L380" s="2156">
        <v>0.11709827548419316</v>
      </c>
      <c r="M380" s="2131">
        <v>0.10237660773416768</v>
      </c>
      <c r="N380" s="2164">
        <v>0.12305683798793488</v>
      </c>
    </row>
    <row r="381" spans="1:14">
      <c r="A381" s="209">
        <f t="shared" si="3"/>
        <v>2023.12</v>
      </c>
      <c r="B381" s="2149">
        <v>0.54031676583551902</v>
      </c>
      <c r="C381" s="2131">
        <v>0.5113896279953889</v>
      </c>
      <c r="D381" s="2124">
        <v>0.46681779804222723</v>
      </c>
      <c r="E381" s="2131">
        <v>0.52350991046768947</v>
      </c>
      <c r="F381" s="2141">
        <v>0.80573234524016368</v>
      </c>
      <c r="G381" s="2156">
        <v>0.53175431799544937</v>
      </c>
      <c r="H381" s="2131">
        <v>0.50265889798073227</v>
      </c>
      <c r="I381" s="2124">
        <v>0.43576198878835304</v>
      </c>
      <c r="J381" s="2131">
        <v>0.52787310288269529</v>
      </c>
      <c r="K381" s="2141">
        <v>0.80846417874756238</v>
      </c>
      <c r="L381" s="2156">
        <v>0.50898948323632842</v>
      </c>
      <c r="M381" s="2131">
        <v>0.43223347033652537</v>
      </c>
      <c r="N381" s="2164">
        <v>0.53948423813024915</v>
      </c>
    </row>
    <row r="382" spans="1:14">
      <c r="A382" s="209">
        <f t="shared" si="3"/>
        <v>2024.01</v>
      </c>
      <c r="B382" s="2149">
        <v>0.17952744770779305</v>
      </c>
      <c r="C382" s="2131">
        <v>0.19632212553090578</v>
      </c>
      <c r="D382" s="2124">
        <v>0.24269077188304933</v>
      </c>
      <c r="E382" s="2131">
        <v>0.18418243595648187</v>
      </c>
      <c r="F382" s="2141">
        <v>5.0549434218990719E-2</v>
      </c>
      <c r="G382" s="2156">
        <v>0.16552721143644655</v>
      </c>
      <c r="H382" s="2131">
        <v>0.1800959428792519</v>
      </c>
      <c r="I382" s="2124">
        <v>0.19786884376576053</v>
      </c>
      <c r="J382" s="2131">
        <v>0.17380098671907529</v>
      </c>
      <c r="K382" s="2141">
        <v>5.040152331770642E-2</v>
      </c>
      <c r="L382" s="2156">
        <v>0.17442411203315644</v>
      </c>
      <c r="M382" s="2131">
        <v>0.18901866316218841</v>
      </c>
      <c r="N382" s="2164">
        <v>0.16902972560433138</v>
      </c>
    </row>
    <row r="383" spans="1:14">
      <c r="A383" s="209">
        <f t="shared" si="3"/>
        <v>2024.02</v>
      </c>
      <c r="B383" s="2149">
        <v>0.10199999999999999</v>
      </c>
      <c r="C383" s="2131">
        <v>0.11</v>
      </c>
      <c r="D383" s="2124">
        <v>9.5000000000000001E-2</v>
      </c>
      <c r="E383" s="2131">
        <v>0.114</v>
      </c>
      <c r="F383" s="2141">
        <v>2.7E-2</v>
      </c>
      <c r="G383" s="2156">
        <v>8.8999999999999996E-2</v>
      </c>
      <c r="H383" s="2131">
        <v>9.6000000000000002E-2</v>
      </c>
      <c r="I383" s="2124">
        <v>6.7000000000000004E-2</v>
      </c>
      <c r="J383" s="2131">
        <v>0.106</v>
      </c>
      <c r="K383" s="2141">
        <v>2.5999999999999999E-2</v>
      </c>
      <c r="L383" s="2156">
        <v>8.6999999999999994E-2</v>
      </c>
      <c r="M383" s="2131">
        <v>5.7000000000000002E-2</v>
      </c>
      <c r="N383" s="2164">
        <v>9.9000000000000005E-2</v>
      </c>
    </row>
    <row r="384" spans="1:14">
      <c r="A384" s="209">
        <f t="shared" si="3"/>
        <v>2024.03</v>
      </c>
      <c r="B384" s="2149">
        <v>5.3999999999999999E-2</v>
      </c>
      <c r="C384" s="2131">
        <v>6.2E-2</v>
      </c>
      <c r="D384" s="2124">
        <v>7.6999999999999999E-2</v>
      </c>
      <c r="E384" s="2131">
        <v>5.8000000000000003E-2</v>
      </c>
      <c r="F384" s="2141">
        <v>-1.7000000000000001E-2</v>
      </c>
      <c r="G384" s="2156">
        <v>4.9000000000000002E-2</v>
      </c>
      <c r="H384" s="2131">
        <v>5.6000000000000001E-2</v>
      </c>
      <c r="I384" s="2124">
        <v>6.0999999999999999E-2</v>
      </c>
      <c r="J384" s="2131">
        <v>5.5E-2</v>
      </c>
      <c r="K384" s="2141">
        <v>-1.7000000000000001E-2</v>
      </c>
      <c r="L384" s="2156">
        <v>0.05</v>
      </c>
      <c r="M384" s="2131">
        <v>5.0999999999999997E-2</v>
      </c>
      <c r="N384" s="2164">
        <v>0.05</v>
      </c>
    </row>
    <row r="385" spans="1:14">
      <c r="A385" s="209">
        <f t="shared" si="3"/>
        <v>2024.04</v>
      </c>
      <c r="B385" s="2149" t="e">
        <v>#N/A</v>
      </c>
      <c r="C385" s="2131" t="e">
        <v>#N/A</v>
      </c>
      <c r="D385" s="2124" t="e">
        <v>#N/A</v>
      </c>
      <c r="E385" s="2131" t="e">
        <v>#N/A</v>
      </c>
      <c r="F385" s="2141" t="e">
        <v>#N/A</v>
      </c>
      <c r="G385" s="2156" t="e">
        <v>#N/A</v>
      </c>
      <c r="H385" s="2131" t="e">
        <v>#N/A</v>
      </c>
      <c r="I385" s="2124" t="e">
        <v>#N/A</v>
      </c>
      <c r="J385" s="2131" t="e">
        <v>#N/A</v>
      </c>
      <c r="K385" s="2141" t="e">
        <v>#N/A</v>
      </c>
      <c r="L385" s="2156" t="e">
        <v>#N/A</v>
      </c>
      <c r="M385" s="2131" t="e">
        <v>#N/A</v>
      </c>
      <c r="N385" s="2164" t="e">
        <v>#N/A</v>
      </c>
    </row>
    <row r="386" spans="1:14">
      <c r="A386" s="209">
        <f t="shared" si="3"/>
        <v>2024.05</v>
      </c>
      <c r="B386" s="2149" t="e">
        <v>#N/A</v>
      </c>
      <c r="C386" s="2131" t="e">
        <v>#N/A</v>
      </c>
      <c r="D386" s="2124" t="e">
        <v>#N/A</v>
      </c>
      <c r="E386" s="2131" t="e">
        <v>#N/A</v>
      </c>
      <c r="F386" s="2141" t="e">
        <v>#N/A</v>
      </c>
      <c r="G386" s="2156" t="e">
        <v>#N/A</v>
      </c>
      <c r="H386" s="2131" t="e">
        <v>#N/A</v>
      </c>
      <c r="I386" s="2124" t="e">
        <v>#N/A</v>
      </c>
      <c r="J386" s="2131" t="e">
        <v>#N/A</v>
      </c>
      <c r="K386" s="2141" t="e">
        <v>#N/A</v>
      </c>
      <c r="L386" s="2156" t="e">
        <v>#N/A</v>
      </c>
      <c r="M386" s="2131" t="e">
        <v>#N/A</v>
      </c>
      <c r="N386" s="2164" t="e">
        <v>#N/A</v>
      </c>
    </row>
    <row r="387" spans="1:14">
      <c r="A387" s="209">
        <f t="shared" si="3"/>
        <v>2024.06</v>
      </c>
      <c r="B387" s="2149" t="e">
        <v>#N/A</v>
      </c>
      <c r="C387" s="2131" t="e">
        <v>#N/A</v>
      </c>
      <c r="D387" s="2124" t="e">
        <v>#N/A</v>
      </c>
      <c r="E387" s="2131" t="e">
        <v>#N/A</v>
      </c>
      <c r="F387" s="2141" t="e">
        <v>#N/A</v>
      </c>
      <c r="G387" s="2156" t="e">
        <v>#N/A</v>
      </c>
      <c r="H387" s="2131" t="e">
        <v>#N/A</v>
      </c>
      <c r="I387" s="2124" t="e">
        <v>#N/A</v>
      </c>
      <c r="J387" s="2131" t="e">
        <v>#N/A</v>
      </c>
      <c r="K387" s="2141" t="e">
        <v>#N/A</v>
      </c>
      <c r="L387" s="2156" t="e">
        <v>#N/A</v>
      </c>
      <c r="M387" s="2131" t="e">
        <v>#N/A</v>
      </c>
      <c r="N387" s="2164" t="e">
        <v>#N/A</v>
      </c>
    </row>
    <row r="388" spans="1:14">
      <c r="A388" s="209">
        <f t="shared" si="3"/>
        <v>2024.07</v>
      </c>
      <c r="B388" s="2149" t="e">
        <v>#N/A</v>
      </c>
      <c r="C388" s="2131" t="e">
        <v>#N/A</v>
      </c>
      <c r="D388" s="2124" t="e">
        <v>#N/A</v>
      </c>
      <c r="E388" s="2131" t="e">
        <v>#N/A</v>
      </c>
      <c r="F388" s="2141" t="e">
        <v>#N/A</v>
      </c>
      <c r="G388" s="2156" t="e">
        <v>#N/A</v>
      </c>
      <c r="H388" s="2131" t="e">
        <v>#N/A</v>
      </c>
      <c r="I388" s="2124" t="e">
        <v>#N/A</v>
      </c>
      <c r="J388" s="2131" t="e">
        <v>#N/A</v>
      </c>
      <c r="K388" s="2141" t="e">
        <v>#N/A</v>
      </c>
      <c r="L388" s="2156" t="e">
        <v>#N/A</v>
      </c>
      <c r="M388" s="2131" t="e">
        <v>#N/A</v>
      </c>
      <c r="N388" s="2164" t="e">
        <v>#N/A</v>
      </c>
    </row>
    <row r="389" spans="1:14">
      <c r="A389" s="209">
        <f t="shared" si="3"/>
        <v>2024.08</v>
      </c>
      <c r="B389" s="2149" t="e">
        <v>#N/A</v>
      </c>
      <c r="C389" s="2131" t="e">
        <v>#N/A</v>
      </c>
      <c r="D389" s="2124" t="e">
        <v>#N/A</v>
      </c>
      <c r="E389" s="2131" t="e">
        <v>#N/A</v>
      </c>
      <c r="F389" s="2141" t="e">
        <v>#N/A</v>
      </c>
      <c r="G389" s="2156" t="e">
        <v>#N/A</v>
      </c>
      <c r="H389" s="2131" t="e">
        <v>#N/A</v>
      </c>
      <c r="I389" s="2124" t="e">
        <v>#N/A</v>
      </c>
      <c r="J389" s="2131" t="e">
        <v>#N/A</v>
      </c>
      <c r="K389" s="2141" t="e">
        <v>#N/A</v>
      </c>
      <c r="L389" s="2156" t="e">
        <v>#N/A</v>
      </c>
      <c r="M389" s="2131" t="e">
        <v>#N/A</v>
      </c>
      <c r="N389" s="2164" t="e">
        <v>#N/A</v>
      </c>
    </row>
    <row r="390" spans="1:14">
      <c r="A390" s="209">
        <f t="shared" si="3"/>
        <v>2024.09</v>
      </c>
      <c r="B390" s="2149" t="e">
        <v>#N/A</v>
      </c>
      <c r="C390" s="2131" t="e">
        <v>#N/A</v>
      </c>
      <c r="D390" s="2124" t="e">
        <v>#N/A</v>
      </c>
      <c r="E390" s="2131" t="e">
        <v>#N/A</v>
      </c>
      <c r="F390" s="2141" t="e">
        <v>#N/A</v>
      </c>
      <c r="G390" s="2156" t="e">
        <v>#N/A</v>
      </c>
      <c r="H390" s="2131" t="e">
        <v>#N/A</v>
      </c>
      <c r="I390" s="2124" t="e">
        <v>#N/A</v>
      </c>
      <c r="J390" s="2131" t="e">
        <v>#N/A</v>
      </c>
      <c r="K390" s="2141" t="e">
        <v>#N/A</v>
      </c>
      <c r="L390" s="2156" t="e">
        <v>#N/A</v>
      </c>
      <c r="M390" s="2131" t="e">
        <v>#N/A</v>
      </c>
      <c r="N390" s="2164" t="e">
        <v>#N/A</v>
      </c>
    </row>
    <row r="391" spans="1:14">
      <c r="A391" s="209">
        <f t="shared" si="3"/>
        <v>2024.1</v>
      </c>
      <c r="B391" s="2149" t="e">
        <v>#N/A</v>
      </c>
      <c r="C391" s="2131" t="e">
        <v>#N/A</v>
      </c>
      <c r="D391" s="2124" t="e">
        <v>#N/A</v>
      </c>
      <c r="E391" s="2131" t="e">
        <v>#N/A</v>
      </c>
      <c r="F391" s="2141" t="e">
        <v>#N/A</v>
      </c>
      <c r="G391" s="2156" t="e">
        <v>#N/A</v>
      </c>
      <c r="H391" s="2131" t="e">
        <v>#N/A</v>
      </c>
      <c r="I391" s="2124" t="e">
        <v>#N/A</v>
      </c>
      <c r="J391" s="2131" t="e">
        <v>#N/A</v>
      </c>
      <c r="K391" s="2141" t="e">
        <v>#N/A</v>
      </c>
      <c r="L391" s="2156" t="e">
        <v>#N/A</v>
      </c>
      <c r="M391" s="2131" t="e">
        <v>#N/A</v>
      </c>
      <c r="N391" s="2164" t="e">
        <v>#N/A</v>
      </c>
    </row>
    <row r="392" spans="1:14">
      <c r="A392" s="209">
        <f t="shared" si="3"/>
        <v>2024.11</v>
      </c>
      <c r="B392" s="2149" t="e">
        <v>#N/A</v>
      </c>
      <c r="C392" s="2131" t="e">
        <v>#N/A</v>
      </c>
      <c r="D392" s="2124" t="e">
        <v>#N/A</v>
      </c>
      <c r="E392" s="2131" t="e">
        <v>#N/A</v>
      </c>
      <c r="F392" s="2141" t="e">
        <v>#N/A</v>
      </c>
      <c r="G392" s="2156" t="e">
        <v>#N/A</v>
      </c>
      <c r="H392" s="2131" t="e">
        <v>#N/A</v>
      </c>
      <c r="I392" s="2124" t="e">
        <v>#N/A</v>
      </c>
      <c r="J392" s="2131" t="e">
        <v>#N/A</v>
      </c>
      <c r="K392" s="2141" t="e">
        <v>#N/A</v>
      </c>
      <c r="L392" s="2156" t="e">
        <v>#N/A</v>
      </c>
      <c r="M392" s="2131" t="e">
        <v>#N/A</v>
      </c>
      <c r="N392" s="2164" t="e">
        <v>#N/A</v>
      </c>
    </row>
    <row r="393" spans="1:14">
      <c r="A393" s="209">
        <f t="shared" si="3"/>
        <v>2024.12</v>
      </c>
      <c r="B393" s="2149" t="e">
        <v>#N/A</v>
      </c>
      <c r="C393" s="2131" t="e">
        <v>#N/A</v>
      </c>
      <c r="D393" s="2124" t="e">
        <v>#N/A</v>
      </c>
      <c r="E393" s="2131" t="e">
        <v>#N/A</v>
      </c>
      <c r="F393" s="2141" t="e">
        <v>#N/A</v>
      </c>
      <c r="G393" s="2156" t="e">
        <v>#N/A</v>
      </c>
      <c r="H393" s="2131" t="e">
        <v>#N/A</v>
      </c>
      <c r="I393" s="2124" t="e">
        <v>#N/A</v>
      </c>
      <c r="J393" s="2131" t="e">
        <v>#N/A</v>
      </c>
      <c r="K393" s="2141" t="e">
        <v>#N/A</v>
      </c>
      <c r="L393" s="2156" t="e">
        <v>#N/A</v>
      </c>
      <c r="M393" s="2131" t="e">
        <v>#N/A</v>
      </c>
      <c r="N393" s="2164" t="e">
        <v>#N/A</v>
      </c>
    </row>
    <row r="394" spans="1:14">
      <c r="A394" s="209">
        <f t="shared" ref="A394:A405" si="4">A382+1</f>
        <v>2025.01</v>
      </c>
      <c r="B394" s="2149" t="e">
        <v>#N/A</v>
      </c>
      <c r="C394" s="2131" t="e">
        <v>#N/A</v>
      </c>
      <c r="D394" s="2124" t="e">
        <v>#N/A</v>
      </c>
      <c r="E394" s="2131" t="e">
        <v>#N/A</v>
      </c>
      <c r="F394" s="2141" t="e">
        <v>#N/A</v>
      </c>
      <c r="G394" s="2156" t="e">
        <v>#N/A</v>
      </c>
      <c r="H394" s="2131" t="e">
        <v>#N/A</v>
      </c>
      <c r="I394" s="2124" t="e">
        <v>#N/A</v>
      </c>
      <c r="J394" s="2131" t="e">
        <v>#N/A</v>
      </c>
      <c r="K394" s="2141" t="e">
        <v>#N/A</v>
      </c>
      <c r="L394" s="2156" t="e">
        <v>#N/A</v>
      </c>
      <c r="M394" s="2131" t="e">
        <v>#N/A</v>
      </c>
      <c r="N394" s="2164" t="e">
        <v>#N/A</v>
      </c>
    </row>
    <row r="395" spans="1:14">
      <c r="A395" s="209">
        <f t="shared" si="4"/>
        <v>2025.02</v>
      </c>
      <c r="B395" s="2149" t="e">
        <v>#N/A</v>
      </c>
      <c r="C395" s="2131" t="e">
        <v>#N/A</v>
      </c>
      <c r="D395" s="2124" t="e">
        <v>#N/A</v>
      </c>
      <c r="E395" s="2131" t="e">
        <v>#N/A</v>
      </c>
      <c r="F395" s="2141" t="e">
        <v>#N/A</v>
      </c>
      <c r="G395" s="2156" t="e">
        <v>#N/A</v>
      </c>
      <c r="H395" s="2131" t="e">
        <v>#N/A</v>
      </c>
      <c r="I395" s="2124" t="e">
        <v>#N/A</v>
      </c>
      <c r="J395" s="2131" t="e">
        <v>#N/A</v>
      </c>
      <c r="K395" s="2141" t="e">
        <v>#N/A</v>
      </c>
      <c r="L395" s="2156" t="e">
        <v>#N/A</v>
      </c>
      <c r="M395" s="2131" t="e">
        <v>#N/A</v>
      </c>
      <c r="N395" s="2164" t="e">
        <v>#N/A</v>
      </c>
    </row>
    <row r="396" spans="1:14">
      <c r="A396" s="209">
        <f t="shared" si="4"/>
        <v>2025.03</v>
      </c>
      <c r="B396" s="2149" t="e">
        <v>#N/A</v>
      </c>
      <c r="C396" s="2131" t="e">
        <v>#N/A</v>
      </c>
      <c r="D396" s="2124" t="e">
        <v>#N/A</v>
      </c>
      <c r="E396" s="2131" t="e">
        <v>#N/A</v>
      </c>
      <c r="F396" s="2141" t="e">
        <v>#N/A</v>
      </c>
      <c r="G396" s="2156" t="e">
        <v>#N/A</v>
      </c>
      <c r="H396" s="2131" t="e">
        <v>#N/A</v>
      </c>
      <c r="I396" s="2124" t="e">
        <v>#N/A</v>
      </c>
      <c r="J396" s="2131" t="e">
        <v>#N/A</v>
      </c>
      <c r="K396" s="2141" t="e">
        <v>#N/A</v>
      </c>
      <c r="L396" s="2156" t="e">
        <v>#N/A</v>
      </c>
      <c r="M396" s="2131" t="e">
        <v>#N/A</v>
      </c>
      <c r="N396" s="2164" t="e">
        <v>#N/A</v>
      </c>
    </row>
    <row r="397" spans="1:14">
      <c r="A397" s="209">
        <f t="shared" si="4"/>
        <v>2025.04</v>
      </c>
      <c r="B397" s="2149" t="e">
        <v>#N/A</v>
      </c>
      <c r="C397" s="2131" t="e">
        <v>#N/A</v>
      </c>
      <c r="D397" s="2124" t="e">
        <v>#N/A</v>
      </c>
      <c r="E397" s="2131" t="e">
        <v>#N/A</v>
      </c>
      <c r="F397" s="2141" t="e">
        <v>#N/A</v>
      </c>
      <c r="G397" s="2156" t="e">
        <v>#N/A</v>
      </c>
      <c r="H397" s="2131" t="e">
        <v>#N/A</v>
      </c>
      <c r="I397" s="2124" t="e">
        <v>#N/A</v>
      </c>
      <c r="J397" s="2131" t="e">
        <v>#N/A</v>
      </c>
      <c r="K397" s="2141" t="e">
        <v>#N/A</v>
      </c>
      <c r="L397" s="2156" t="e">
        <v>#N/A</v>
      </c>
      <c r="M397" s="2131" t="e">
        <v>#N/A</v>
      </c>
      <c r="N397" s="2164" t="e">
        <v>#N/A</v>
      </c>
    </row>
    <row r="398" spans="1:14">
      <c r="A398" s="209">
        <f t="shared" si="4"/>
        <v>2025.05</v>
      </c>
      <c r="B398" s="2149" t="e">
        <v>#N/A</v>
      </c>
      <c r="C398" s="2131" t="e">
        <v>#N/A</v>
      </c>
      <c r="D398" s="2124" t="e">
        <v>#N/A</v>
      </c>
      <c r="E398" s="2131" t="e">
        <v>#N/A</v>
      </c>
      <c r="F398" s="2141" t="e">
        <v>#N/A</v>
      </c>
      <c r="G398" s="2156" t="e">
        <v>#N/A</v>
      </c>
      <c r="H398" s="2131" t="e">
        <v>#N/A</v>
      </c>
      <c r="I398" s="2124" t="e">
        <v>#N/A</v>
      </c>
      <c r="J398" s="2131" t="e">
        <v>#N/A</v>
      </c>
      <c r="K398" s="2141" t="e">
        <v>#N/A</v>
      </c>
      <c r="L398" s="2156" t="e">
        <v>#N/A</v>
      </c>
      <c r="M398" s="2131" t="e">
        <v>#N/A</v>
      </c>
      <c r="N398" s="2164" t="e">
        <v>#N/A</v>
      </c>
    </row>
    <row r="399" spans="1:14">
      <c r="A399" s="209">
        <f t="shared" si="4"/>
        <v>2025.06</v>
      </c>
      <c r="B399" s="2149" t="e">
        <v>#N/A</v>
      </c>
      <c r="C399" s="2131" t="e">
        <v>#N/A</v>
      </c>
      <c r="D399" s="2124" t="e">
        <v>#N/A</v>
      </c>
      <c r="E399" s="2131" t="e">
        <v>#N/A</v>
      </c>
      <c r="F399" s="2141" t="e">
        <v>#N/A</v>
      </c>
      <c r="G399" s="2156" t="e">
        <v>#N/A</v>
      </c>
      <c r="H399" s="2131" t="e">
        <v>#N/A</v>
      </c>
      <c r="I399" s="2124" t="e">
        <v>#N/A</v>
      </c>
      <c r="J399" s="2131" t="e">
        <v>#N/A</v>
      </c>
      <c r="K399" s="2141" t="e">
        <v>#N/A</v>
      </c>
      <c r="L399" s="2156" t="e">
        <v>#N/A</v>
      </c>
      <c r="M399" s="2131" t="e">
        <v>#N/A</v>
      </c>
      <c r="N399" s="2164" t="e">
        <v>#N/A</v>
      </c>
    </row>
    <row r="400" spans="1:14">
      <c r="A400" s="209">
        <f t="shared" si="4"/>
        <v>2025.07</v>
      </c>
      <c r="B400" s="2149" t="e">
        <v>#N/A</v>
      </c>
      <c r="C400" s="2131" t="e">
        <v>#N/A</v>
      </c>
      <c r="D400" s="2124" t="e">
        <v>#N/A</v>
      </c>
      <c r="E400" s="2131" t="e">
        <v>#N/A</v>
      </c>
      <c r="F400" s="2141" t="e">
        <v>#N/A</v>
      </c>
      <c r="G400" s="2156" t="e">
        <v>#N/A</v>
      </c>
      <c r="H400" s="2131" t="e">
        <v>#N/A</v>
      </c>
      <c r="I400" s="2124" t="e">
        <v>#N/A</v>
      </c>
      <c r="J400" s="2131" t="e">
        <v>#N/A</v>
      </c>
      <c r="K400" s="2141" t="e">
        <v>#N/A</v>
      </c>
      <c r="L400" s="2156" t="e">
        <v>#N/A</v>
      </c>
      <c r="M400" s="2131" t="e">
        <v>#N/A</v>
      </c>
      <c r="N400" s="2164" t="e">
        <v>#N/A</v>
      </c>
    </row>
    <row r="401" spans="1:14">
      <c r="A401" s="209">
        <f t="shared" si="4"/>
        <v>2025.08</v>
      </c>
      <c r="B401" s="2149" t="e">
        <v>#N/A</v>
      </c>
      <c r="C401" s="2131" t="e">
        <v>#N/A</v>
      </c>
      <c r="D401" s="2124" t="e">
        <v>#N/A</v>
      </c>
      <c r="E401" s="2131" t="e">
        <v>#N/A</v>
      </c>
      <c r="F401" s="2141" t="e">
        <v>#N/A</v>
      </c>
      <c r="G401" s="2156" t="e">
        <v>#N/A</v>
      </c>
      <c r="H401" s="2131" t="e">
        <v>#N/A</v>
      </c>
      <c r="I401" s="2124" t="e">
        <v>#N/A</v>
      </c>
      <c r="J401" s="2131" t="e">
        <v>#N/A</v>
      </c>
      <c r="K401" s="2141" t="e">
        <v>#N/A</v>
      </c>
      <c r="L401" s="2156" t="e">
        <v>#N/A</v>
      </c>
      <c r="M401" s="2131" t="e">
        <v>#N/A</v>
      </c>
      <c r="N401" s="2164" t="e">
        <v>#N/A</v>
      </c>
    </row>
    <row r="402" spans="1:14">
      <c r="A402" s="209">
        <f t="shared" si="4"/>
        <v>2025.09</v>
      </c>
      <c r="B402" s="2149" t="e">
        <v>#N/A</v>
      </c>
      <c r="C402" s="2131" t="e">
        <v>#N/A</v>
      </c>
      <c r="D402" s="2124" t="e">
        <v>#N/A</v>
      </c>
      <c r="E402" s="2131" t="e">
        <v>#N/A</v>
      </c>
      <c r="F402" s="2141" t="e">
        <v>#N/A</v>
      </c>
      <c r="G402" s="2156" t="e">
        <v>#N/A</v>
      </c>
      <c r="H402" s="2131" t="e">
        <v>#N/A</v>
      </c>
      <c r="I402" s="2124" t="e">
        <v>#N/A</v>
      </c>
      <c r="J402" s="2131" t="e">
        <v>#N/A</v>
      </c>
      <c r="K402" s="2141" t="e">
        <v>#N/A</v>
      </c>
      <c r="L402" s="2156" t="e">
        <v>#N/A</v>
      </c>
      <c r="M402" s="2131" t="e">
        <v>#N/A</v>
      </c>
      <c r="N402" s="2164" t="e">
        <v>#N/A</v>
      </c>
    </row>
    <row r="403" spans="1:14">
      <c r="A403" s="209">
        <f t="shared" si="4"/>
        <v>2025.1</v>
      </c>
      <c r="B403" s="2149" t="e">
        <v>#N/A</v>
      </c>
      <c r="C403" s="2131" t="e">
        <v>#N/A</v>
      </c>
      <c r="D403" s="2124" t="e">
        <v>#N/A</v>
      </c>
      <c r="E403" s="2131" t="e">
        <v>#N/A</v>
      </c>
      <c r="F403" s="2141" t="e">
        <v>#N/A</v>
      </c>
      <c r="G403" s="2156" t="e">
        <v>#N/A</v>
      </c>
      <c r="H403" s="2131" t="e">
        <v>#N/A</v>
      </c>
      <c r="I403" s="2124" t="e">
        <v>#N/A</v>
      </c>
      <c r="J403" s="2131" t="e">
        <v>#N/A</v>
      </c>
      <c r="K403" s="2141" t="e">
        <v>#N/A</v>
      </c>
      <c r="L403" s="2156" t="e">
        <v>#N/A</v>
      </c>
      <c r="M403" s="2131" t="e">
        <v>#N/A</v>
      </c>
      <c r="N403" s="2164" t="e">
        <v>#N/A</v>
      </c>
    </row>
    <row r="404" spans="1:14">
      <c r="A404" s="209">
        <f t="shared" si="4"/>
        <v>2025.11</v>
      </c>
      <c r="B404" s="2149" t="e">
        <v>#N/A</v>
      </c>
      <c r="C404" s="2131" t="e">
        <v>#N/A</v>
      </c>
      <c r="D404" s="2124" t="e">
        <v>#N/A</v>
      </c>
      <c r="E404" s="2131" t="e">
        <v>#N/A</v>
      </c>
      <c r="F404" s="2141" t="e">
        <v>#N/A</v>
      </c>
      <c r="G404" s="2156" t="e">
        <v>#N/A</v>
      </c>
      <c r="H404" s="2131" t="e">
        <v>#N/A</v>
      </c>
      <c r="I404" s="2124" t="e">
        <v>#N/A</v>
      </c>
      <c r="J404" s="2131" t="e">
        <v>#N/A</v>
      </c>
      <c r="K404" s="2141" t="e">
        <v>#N/A</v>
      </c>
      <c r="L404" s="2156" t="e">
        <v>#N/A</v>
      </c>
      <c r="M404" s="2131" t="e">
        <v>#N/A</v>
      </c>
      <c r="N404" s="2164" t="e">
        <v>#N/A</v>
      </c>
    </row>
    <row r="405" spans="1:14">
      <c r="A405" s="209">
        <f t="shared" si="4"/>
        <v>2025.12</v>
      </c>
      <c r="B405" s="2149" t="e">
        <v>#N/A</v>
      </c>
      <c r="C405" s="2131" t="e">
        <v>#N/A</v>
      </c>
      <c r="D405" s="2124" t="e">
        <v>#N/A</v>
      </c>
      <c r="E405" s="2131" t="e">
        <v>#N/A</v>
      </c>
      <c r="F405" s="2141" t="e">
        <v>#N/A</v>
      </c>
      <c r="G405" s="2156" t="e">
        <v>#N/A</v>
      </c>
      <c r="H405" s="2131" t="e">
        <v>#N/A</v>
      </c>
      <c r="I405" s="2124" t="e">
        <v>#N/A</v>
      </c>
      <c r="J405" s="2131" t="e">
        <v>#N/A</v>
      </c>
      <c r="K405" s="2141" t="e">
        <v>#N/A</v>
      </c>
      <c r="L405" s="2156" t="e">
        <v>#N/A</v>
      </c>
      <c r="M405" s="2131" t="e">
        <v>#N/A</v>
      </c>
      <c r="N405" s="2164" t="e">
        <v>#N/A</v>
      </c>
    </row>
    <row r="406" spans="1:14">
      <c r="A406" s="2765">
        <v>2026.01</v>
      </c>
      <c r="B406" s="2149" t="e">
        <v>#N/A</v>
      </c>
      <c r="C406" s="2131" t="e">
        <v>#N/A</v>
      </c>
      <c r="D406" s="2124" t="e">
        <v>#N/A</v>
      </c>
      <c r="E406" s="2131" t="e">
        <v>#N/A</v>
      </c>
      <c r="F406" s="2141" t="e">
        <v>#N/A</v>
      </c>
      <c r="G406" s="2156" t="e">
        <v>#N/A</v>
      </c>
      <c r="H406" s="2131" t="e">
        <v>#N/A</v>
      </c>
      <c r="I406" s="2124" t="e">
        <v>#N/A</v>
      </c>
      <c r="J406" s="2131" t="e">
        <v>#N/A</v>
      </c>
      <c r="K406" s="2141" t="e">
        <v>#N/A</v>
      </c>
      <c r="L406" s="2156" t="e">
        <v>#N/A</v>
      </c>
      <c r="M406" s="2131" t="e">
        <v>#N/A</v>
      </c>
      <c r="N406" s="2164" t="e">
        <v>#N/A</v>
      </c>
    </row>
    <row r="407" spans="1:14">
      <c r="A407" s="2765">
        <v>2026.02</v>
      </c>
      <c r="B407" s="2149" t="e">
        <v>#N/A</v>
      </c>
      <c r="C407" s="2131" t="e">
        <v>#N/A</v>
      </c>
      <c r="D407" s="2124" t="e">
        <v>#N/A</v>
      </c>
      <c r="E407" s="2131" t="e">
        <v>#N/A</v>
      </c>
      <c r="F407" s="2141" t="e">
        <v>#N/A</v>
      </c>
      <c r="G407" s="2156" t="e">
        <v>#N/A</v>
      </c>
      <c r="H407" s="2131" t="e">
        <v>#N/A</v>
      </c>
      <c r="I407" s="2124" t="e">
        <v>#N/A</v>
      </c>
      <c r="J407" s="2131" t="e">
        <v>#N/A</v>
      </c>
      <c r="K407" s="2141" t="e">
        <v>#N/A</v>
      </c>
      <c r="L407" s="2156" t="e">
        <v>#N/A</v>
      </c>
      <c r="M407" s="2131" t="e">
        <v>#N/A</v>
      </c>
      <c r="N407" s="2164" t="e">
        <v>#N/A</v>
      </c>
    </row>
    <row r="408" spans="1:14">
      <c r="A408" s="2765">
        <v>2026.03</v>
      </c>
      <c r="B408" s="2149" t="e">
        <v>#N/A</v>
      </c>
      <c r="C408" s="2131" t="e">
        <v>#N/A</v>
      </c>
      <c r="D408" s="2124" t="e">
        <v>#N/A</v>
      </c>
      <c r="E408" s="2131" t="e">
        <v>#N/A</v>
      </c>
      <c r="F408" s="2141" t="e">
        <v>#N/A</v>
      </c>
      <c r="G408" s="2156" t="e">
        <v>#N/A</v>
      </c>
      <c r="H408" s="2131" t="e">
        <v>#N/A</v>
      </c>
      <c r="I408" s="2124" t="e">
        <v>#N/A</v>
      </c>
      <c r="J408" s="2131" t="e">
        <v>#N/A</v>
      </c>
      <c r="K408" s="2141" t="e">
        <v>#N/A</v>
      </c>
      <c r="L408" s="2156" t="e">
        <v>#N/A</v>
      </c>
      <c r="M408" s="2131" t="e">
        <v>#N/A</v>
      </c>
      <c r="N408" s="2164" t="e">
        <v>#N/A</v>
      </c>
    </row>
    <row r="409" spans="1:14">
      <c r="A409" s="2765">
        <v>2026.04</v>
      </c>
      <c r="B409" s="2149" t="e">
        <v>#N/A</v>
      </c>
      <c r="C409" s="2131" t="e">
        <v>#N/A</v>
      </c>
      <c r="D409" s="2124" t="e">
        <v>#N/A</v>
      </c>
      <c r="E409" s="2131" t="e">
        <v>#N/A</v>
      </c>
      <c r="F409" s="2141" t="e">
        <v>#N/A</v>
      </c>
      <c r="G409" s="2156" t="e">
        <v>#N/A</v>
      </c>
      <c r="H409" s="2131" t="e">
        <v>#N/A</v>
      </c>
      <c r="I409" s="2124" t="e">
        <v>#N/A</v>
      </c>
      <c r="J409" s="2131" t="e">
        <v>#N/A</v>
      </c>
      <c r="K409" s="2141" t="e">
        <v>#N/A</v>
      </c>
      <c r="L409" s="2156" t="e">
        <v>#N/A</v>
      </c>
      <c r="M409" s="2131" t="e">
        <v>#N/A</v>
      </c>
      <c r="N409" s="2164" t="e">
        <v>#N/A</v>
      </c>
    </row>
    <row r="410" spans="1:14">
      <c r="A410" s="2765">
        <v>2026.05</v>
      </c>
      <c r="B410" s="2149" t="e">
        <v>#N/A</v>
      </c>
      <c r="C410" s="2131" t="e">
        <v>#N/A</v>
      </c>
      <c r="D410" s="2124" t="e">
        <v>#N/A</v>
      </c>
      <c r="E410" s="2131" t="e">
        <v>#N/A</v>
      </c>
      <c r="F410" s="2141" t="e">
        <v>#N/A</v>
      </c>
      <c r="G410" s="2156" t="e">
        <v>#N/A</v>
      </c>
      <c r="H410" s="2131" t="e">
        <v>#N/A</v>
      </c>
      <c r="I410" s="2124" t="e">
        <v>#N/A</v>
      </c>
      <c r="J410" s="2131" t="e">
        <v>#N/A</v>
      </c>
      <c r="K410" s="2141" t="e">
        <v>#N/A</v>
      </c>
      <c r="L410" s="2156" t="e">
        <v>#N/A</v>
      </c>
      <c r="M410" s="2131" t="e">
        <v>#N/A</v>
      </c>
      <c r="N410" s="2164" t="e">
        <v>#N/A</v>
      </c>
    </row>
    <row r="411" spans="1:14">
      <c r="A411" s="2765">
        <v>2026.06</v>
      </c>
      <c r="B411" s="2149" t="e">
        <v>#N/A</v>
      </c>
      <c r="C411" s="2131" t="e">
        <v>#N/A</v>
      </c>
      <c r="D411" s="2124" t="e">
        <v>#N/A</v>
      </c>
      <c r="E411" s="2131" t="e">
        <v>#N/A</v>
      </c>
      <c r="F411" s="2141" t="e">
        <v>#N/A</v>
      </c>
      <c r="G411" s="2156" t="e">
        <v>#N/A</v>
      </c>
      <c r="H411" s="2131" t="e">
        <v>#N/A</v>
      </c>
      <c r="I411" s="2124" t="e">
        <v>#N/A</v>
      </c>
      <c r="J411" s="2131" t="e">
        <v>#N/A</v>
      </c>
      <c r="K411" s="2141" t="e">
        <v>#N/A</v>
      </c>
      <c r="L411" s="2156" t="e">
        <v>#N/A</v>
      </c>
      <c r="M411" s="2131" t="e">
        <v>#N/A</v>
      </c>
      <c r="N411" s="2164" t="e">
        <v>#N/A</v>
      </c>
    </row>
    <row r="412" spans="1:14">
      <c r="A412" s="2765">
        <v>2026.07</v>
      </c>
      <c r="B412" s="2149" t="e">
        <v>#N/A</v>
      </c>
      <c r="C412" s="2131" t="e">
        <v>#N/A</v>
      </c>
      <c r="D412" s="2124" t="e">
        <v>#N/A</v>
      </c>
      <c r="E412" s="2131" t="e">
        <v>#N/A</v>
      </c>
      <c r="F412" s="2141" t="e">
        <v>#N/A</v>
      </c>
      <c r="G412" s="2156" t="e">
        <v>#N/A</v>
      </c>
      <c r="H412" s="2131" t="e">
        <v>#N/A</v>
      </c>
      <c r="I412" s="2124" t="e">
        <v>#N/A</v>
      </c>
      <c r="J412" s="2131" t="e">
        <v>#N/A</v>
      </c>
      <c r="K412" s="2141" t="e">
        <v>#N/A</v>
      </c>
      <c r="L412" s="2156" t="e">
        <v>#N/A</v>
      </c>
      <c r="M412" s="2131" t="e">
        <v>#N/A</v>
      </c>
      <c r="N412" s="2164" t="e">
        <v>#N/A</v>
      </c>
    </row>
    <row r="413" spans="1:14">
      <c r="A413" s="2765">
        <v>2026.08</v>
      </c>
      <c r="B413" s="2149" t="e">
        <v>#N/A</v>
      </c>
      <c r="C413" s="2131" t="e">
        <v>#N/A</v>
      </c>
      <c r="D413" s="2124" t="e">
        <v>#N/A</v>
      </c>
      <c r="E413" s="2131" t="e">
        <v>#N/A</v>
      </c>
      <c r="F413" s="2141" t="e">
        <v>#N/A</v>
      </c>
      <c r="G413" s="2156" t="e">
        <v>#N/A</v>
      </c>
      <c r="H413" s="2131" t="e">
        <v>#N/A</v>
      </c>
      <c r="I413" s="2124" t="e">
        <v>#N/A</v>
      </c>
      <c r="J413" s="2131" t="e">
        <v>#N/A</v>
      </c>
      <c r="K413" s="2141" t="e">
        <v>#N/A</v>
      </c>
      <c r="L413" s="2156" t="e">
        <v>#N/A</v>
      </c>
      <c r="M413" s="2131" t="e">
        <v>#N/A</v>
      </c>
      <c r="N413" s="2164" t="e">
        <v>#N/A</v>
      </c>
    </row>
    <row r="414" spans="1:14">
      <c r="A414" s="2765">
        <v>2026.09</v>
      </c>
      <c r="B414" s="2149" t="e">
        <v>#N/A</v>
      </c>
      <c r="C414" s="2131" t="e">
        <v>#N/A</v>
      </c>
      <c r="D414" s="2124" t="e">
        <v>#N/A</v>
      </c>
      <c r="E414" s="2131" t="e">
        <v>#N/A</v>
      </c>
      <c r="F414" s="2141" t="e">
        <v>#N/A</v>
      </c>
      <c r="G414" s="2156" t="e">
        <v>#N/A</v>
      </c>
      <c r="H414" s="2131" t="e">
        <v>#N/A</v>
      </c>
      <c r="I414" s="2124" t="e">
        <v>#N/A</v>
      </c>
      <c r="J414" s="2131" t="e">
        <v>#N/A</v>
      </c>
      <c r="K414" s="2141" t="e">
        <v>#N/A</v>
      </c>
      <c r="L414" s="2156" t="e">
        <v>#N/A</v>
      </c>
      <c r="M414" s="2131" t="e">
        <v>#N/A</v>
      </c>
      <c r="N414" s="2164" t="e">
        <v>#N/A</v>
      </c>
    </row>
    <row r="415" spans="1:14">
      <c r="A415" s="2765">
        <v>2026.1</v>
      </c>
      <c r="B415" s="2149" t="e">
        <v>#N/A</v>
      </c>
      <c r="C415" s="2131" t="e">
        <v>#N/A</v>
      </c>
      <c r="D415" s="2124" t="e">
        <v>#N/A</v>
      </c>
      <c r="E415" s="2131" t="e">
        <v>#N/A</v>
      </c>
      <c r="F415" s="2141" t="e">
        <v>#N/A</v>
      </c>
      <c r="G415" s="2156" t="e">
        <v>#N/A</v>
      </c>
      <c r="H415" s="2131" t="e">
        <v>#N/A</v>
      </c>
      <c r="I415" s="2124" t="e">
        <v>#N/A</v>
      </c>
      <c r="J415" s="2131" t="e">
        <v>#N/A</v>
      </c>
      <c r="K415" s="2141" t="e">
        <v>#N/A</v>
      </c>
      <c r="L415" s="2156" t="e">
        <v>#N/A</v>
      </c>
      <c r="M415" s="2131" t="e">
        <v>#N/A</v>
      </c>
      <c r="N415" s="2164" t="e">
        <v>#N/A</v>
      </c>
    </row>
    <row r="416" spans="1:14">
      <c r="A416" s="2765">
        <v>2026.11</v>
      </c>
      <c r="B416" s="2149" t="e">
        <v>#N/A</v>
      </c>
      <c r="C416" s="2131" t="e">
        <v>#N/A</v>
      </c>
      <c r="D416" s="2124" t="e">
        <v>#N/A</v>
      </c>
      <c r="E416" s="2131" t="e">
        <v>#N/A</v>
      </c>
      <c r="F416" s="2141" t="e">
        <v>#N/A</v>
      </c>
      <c r="G416" s="2156" t="e">
        <v>#N/A</v>
      </c>
      <c r="H416" s="2131" t="e">
        <v>#N/A</v>
      </c>
      <c r="I416" s="2124" t="e">
        <v>#N/A</v>
      </c>
      <c r="J416" s="2131" t="e">
        <v>#N/A</v>
      </c>
      <c r="K416" s="2141" t="e">
        <v>#N/A</v>
      </c>
      <c r="L416" s="2156" t="e">
        <v>#N/A</v>
      </c>
      <c r="M416" s="2131" t="e">
        <v>#N/A</v>
      </c>
      <c r="N416" s="2164" t="e">
        <v>#N/A</v>
      </c>
    </row>
    <row r="417" spans="1:14">
      <c r="A417" s="2765">
        <v>2026.12</v>
      </c>
      <c r="B417" s="2149" t="e">
        <v>#N/A</v>
      </c>
      <c r="C417" s="2131" t="e">
        <v>#N/A</v>
      </c>
      <c r="D417" s="2124" t="e">
        <v>#N/A</v>
      </c>
      <c r="E417" s="2131" t="e">
        <v>#N/A</v>
      </c>
      <c r="F417" s="2141" t="e">
        <v>#N/A</v>
      </c>
      <c r="G417" s="2156" t="e">
        <v>#N/A</v>
      </c>
      <c r="H417" s="2131" t="e">
        <v>#N/A</v>
      </c>
      <c r="I417" s="2124" t="e">
        <v>#N/A</v>
      </c>
      <c r="J417" s="2131" t="e">
        <v>#N/A</v>
      </c>
      <c r="K417" s="2141" t="e">
        <v>#N/A</v>
      </c>
      <c r="L417" s="2156" t="e">
        <v>#N/A</v>
      </c>
      <c r="M417" s="2131" t="e">
        <v>#N/A</v>
      </c>
      <c r="N417" s="2164" t="e">
        <v>#N/A</v>
      </c>
    </row>
    <row r="418" spans="1:14">
      <c r="A418" s="2765">
        <v>2027.01</v>
      </c>
      <c r="B418" s="2149" t="e">
        <v>#N/A</v>
      </c>
      <c r="C418" s="2131" t="e">
        <v>#N/A</v>
      </c>
      <c r="D418" s="2124" t="e">
        <v>#N/A</v>
      </c>
      <c r="E418" s="2131" t="e">
        <v>#N/A</v>
      </c>
      <c r="F418" s="2141" t="e">
        <v>#N/A</v>
      </c>
      <c r="G418" s="2156" t="e">
        <v>#N/A</v>
      </c>
      <c r="H418" s="2131" t="e">
        <v>#N/A</v>
      </c>
      <c r="I418" s="2124" t="e">
        <v>#N/A</v>
      </c>
      <c r="J418" s="2131" t="e">
        <v>#N/A</v>
      </c>
      <c r="K418" s="2141" t="e">
        <v>#N/A</v>
      </c>
      <c r="L418" s="2156" t="e">
        <v>#N/A</v>
      </c>
      <c r="M418" s="2131" t="e">
        <v>#N/A</v>
      </c>
      <c r="N418" s="2164" t="e">
        <v>#N/A</v>
      </c>
    </row>
    <row r="419" spans="1:14">
      <c r="A419" s="2765">
        <v>2027.02</v>
      </c>
      <c r="B419" s="2149" t="e">
        <v>#N/A</v>
      </c>
      <c r="C419" s="2131" t="e">
        <v>#N/A</v>
      </c>
      <c r="D419" s="2124" t="e">
        <v>#N/A</v>
      </c>
      <c r="E419" s="2131" t="e">
        <v>#N/A</v>
      </c>
      <c r="F419" s="2141" t="e">
        <v>#N/A</v>
      </c>
      <c r="G419" s="2156" t="e">
        <v>#N/A</v>
      </c>
      <c r="H419" s="2131" t="e">
        <v>#N/A</v>
      </c>
      <c r="I419" s="2124" t="e">
        <v>#N/A</v>
      </c>
      <c r="J419" s="2131" t="e">
        <v>#N/A</v>
      </c>
      <c r="K419" s="2141" t="e">
        <v>#N/A</v>
      </c>
      <c r="L419" s="2156" t="e">
        <v>#N/A</v>
      </c>
      <c r="M419" s="2131" t="e">
        <v>#N/A</v>
      </c>
      <c r="N419" s="2164" t="e">
        <v>#N/A</v>
      </c>
    </row>
    <row r="420" spans="1:14">
      <c r="A420" s="2765">
        <v>2027.03</v>
      </c>
      <c r="B420" s="2149" t="e">
        <v>#N/A</v>
      </c>
      <c r="C420" s="2131" t="e">
        <v>#N/A</v>
      </c>
      <c r="D420" s="2124" t="e">
        <v>#N/A</v>
      </c>
      <c r="E420" s="2131" t="e">
        <v>#N/A</v>
      </c>
      <c r="F420" s="2141" t="e">
        <v>#N/A</v>
      </c>
      <c r="G420" s="2156" t="e">
        <v>#N/A</v>
      </c>
      <c r="H420" s="2131" t="e">
        <v>#N/A</v>
      </c>
      <c r="I420" s="2124" t="e">
        <v>#N/A</v>
      </c>
      <c r="J420" s="2131" t="e">
        <v>#N/A</v>
      </c>
      <c r="K420" s="2141" t="e">
        <v>#N/A</v>
      </c>
      <c r="L420" s="2156" t="e">
        <v>#N/A</v>
      </c>
      <c r="M420" s="2131" t="e">
        <v>#N/A</v>
      </c>
      <c r="N420" s="2164" t="e">
        <v>#N/A</v>
      </c>
    </row>
    <row r="421" spans="1:14">
      <c r="A421" s="2765">
        <v>2027.04</v>
      </c>
      <c r="B421" s="2149" t="e">
        <v>#N/A</v>
      </c>
      <c r="C421" s="2131" t="e">
        <v>#N/A</v>
      </c>
      <c r="D421" s="2124" t="e">
        <v>#N/A</v>
      </c>
      <c r="E421" s="2131" t="e">
        <v>#N/A</v>
      </c>
      <c r="F421" s="2141" t="e">
        <v>#N/A</v>
      </c>
      <c r="G421" s="2156" t="e">
        <v>#N/A</v>
      </c>
      <c r="H421" s="2131" t="e">
        <v>#N/A</v>
      </c>
      <c r="I421" s="2124" t="e">
        <v>#N/A</v>
      </c>
      <c r="J421" s="2131" t="e">
        <v>#N/A</v>
      </c>
      <c r="K421" s="2141" t="e">
        <v>#N/A</v>
      </c>
      <c r="L421" s="2156" t="e">
        <v>#N/A</v>
      </c>
      <c r="M421" s="2131" t="e">
        <v>#N/A</v>
      </c>
      <c r="N421" s="2164" t="e">
        <v>#N/A</v>
      </c>
    </row>
    <row r="422" spans="1:14">
      <c r="A422" s="2765">
        <v>2027.05</v>
      </c>
      <c r="B422" s="2149" t="e">
        <v>#N/A</v>
      </c>
      <c r="C422" s="2131" t="e">
        <v>#N/A</v>
      </c>
      <c r="D422" s="2124" t="e">
        <v>#N/A</v>
      </c>
      <c r="E422" s="2131" t="e">
        <v>#N/A</v>
      </c>
      <c r="F422" s="2141" t="e">
        <v>#N/A</v>
      </c>
      <c r="G422" s="2156" t="e">
        <v>#N/A</v>
      </c>
      <c r="H422" s="2131" t="e">
        <v>#N/A</v>
      </c>
      <c r="I422" s="2124" t="e">
        <v>#N/A</v>
      </c>
      <c r="J422" s="2131" t="e">
        <v>#N/A</v>
      </c>
      <c r="K422" s="2141" t="e">
        <v>#N/A</v>
      </c>
      <c r="L422" s="2156" t="e">
        <v>#N/A</v>
      </c>
      <c r="M422" s="2131" t="e">
        <v>#N/A</v>
      </c>
      <c r="N422" s="2164" t="e">
        <v>#N/A</v>
      </c>
    </row>
    <row r="423" spans="1:14">
      <c r="A423" s="2765">
        <v>2027.06</v>
      </c>
      <c r="B423" s="2149" t="e">
        <v>#N/A</v>
      </c>
      <c r="C423" s="2131" t="e">
        <v>#N/A</v>
      </c>
      <c r="D423" s="2124" t="e">
        <v>#N/A</v>
      </c>
      <c r="E423" s="2131" t="e">
        <v>#N/A</v>
      </c>
      <c r="F423" s="2141" t="e">
        <v>#N/A</v>
      </c>
      <c r="G423" s="2156" t="e">
        <v>#N/A</v>
      </c>
      <c r="H423" s="2131" t="e">
        <v>#N/A</v>
      </c>
      <c r="I423" s="2124" t="e">
        <v>#N/A</v>
      </c>
      <c r="J423" s="2131" t="e">
        <v>#N/A</v>
      </c>
      <c r="K423" s="2141" t="e">
        <v>#N/A</v>
      </c>
      <c r="L423" s="2156" t="e">
        <v>#N/A</v>
      </c>
      <c r="M423" s="2131" t="e">
        <v>#N/A</v>
      </c>
      <c r="N423" s="2164" t="e">
        <v>#N/A</v>
      </c>
    </row>
    <row r="424" spans="1:14">
      <c r="A424" s="2765">
        <v>2027.07</v>
      </c>
      <c r="B424" s="2149" t="e">
        <v>#N/A</v>
      </c>
      <c r="C424" s="2131" t="e">
        <v>#N/A</v>
      </c>
      <c r="D424" s="2124" t="e">
        <v>#N/A</v>
      </c>
      <c r="E424" s="2131" t="e">
        <v>#N/A</v>
      </c>
      <c r="F424" s="2141" t="e">
        <v>#N/A</v>
      </c>
      <c r="G424" s="2156" t="e">
        <v>#N/A</v>
      </c>
      <c r="H424" s="2131" t="e">
        <v>#N/A</v>
      </c>
      <c r="I424" s="2124" t="e">
        <v>#N/A</v>
      </c>
      <c r="J424" s="2131" t="e">
        <v>#N/A</v>
      </c>
      <c r="K424" s="2141" t="e">
        <v>#N/A</v>
      </c>
      <c r="L424" s="2156" t="e">
        <v>#N/A</v>
      </c>
      <c r="M424" s="2131" t="e">
        <v>#N/A</v>
      </c>
      <c r="N424" s="2164" t="e">
        <v>#N/A</v>
      </c>
    </row>
    <row r="425" spans="1:14">
      <c r="A425" s="2765">
        <v>2027.08</v>
      </c>
      <c r="B425" s="2149" t="e">
        <v>#N/A</v>
      </c>
      <c r="C425" s="2131" t="e">
        <v>#N/A</v>
      </c>
      <c r="D425" s="2124" t="e">
        <v>#N/A</v>
      </c>
      <c r="E425" s="2131" t="e">
        <v>#N/A</v>
      </c>
      <c r="F425" s="2141" t="e">
        <v>#N/A</v>
      </c>
      <c r="G425" s="2156" t="e">
        <v>#N/A</v>
      </c>
      <c r="H425" s="2131" t="e">
        <v>#N/A</v>
      </c>
      <c r="I425" s="2124" t="e">
        <v>#N/A</v>
      </c>
      <c r="J425" s="2131" t="e">
        <v>#N/A</v>
      </c>
      <c r="K425" s="2141" t="e">
        <v>#N/A</v>
      </c>
      <c r="L425" s="2156" t="e">
        <v>#N/A</v>
      </c>
      <c r="M425" s="2131" t="e">
        <v>#N/A</v>
      </c>
      <c r="N425" s="2164" t="e">
        <v>#N/A</v>
      </c>
    </row>
    <row r="426" spans="1:14">
      <c r="A426" s="2765">
        <v>2027.09</v>
      </c>
      <c r="B426" s="2149" t="e">
        <v>#N/A</v>
      </c>
      <c r="C426" s="2131" t="e">
        <v>#N/A</v>
      </c>
      <c r="D426" s="2124" t="e">
        <v>#N/A</v>
      </c>
      <c r="E426" s="2131" t="e">
        <v>#N/A</v>
      </c>
      <c r="F426" s="2141" t="e">
        <v>#N/A</v>
      </c>
      <c r="G426" s="2156" t="e">
        <v>#N/A</v>
      </c>
      <c r="H426" s="2131" t="e">
        <v>#N/A</v>
      </c>
      <c r="I426" s="2124" t="e">
        <v>#N/A</v>
      </c>
      <c r="J426" s="2131" t="e">
        <v>#N/A</v>
      </c>
      <c r="K426" s="2141" t="e">
        <v>#N/A</v>
      </c>
      <c r="L426" s="2156" t="e">
        <v>#N/A</v>
      </c>
      <c r="M426" s="2131" t="e">
        <v>#N/A</v>
      </c>
      <c r="N426" s="2164" t="e">
        <v>#N/A</v>
      </c>
    </row>
    <row r="427" spans="1:14">
      <c r="A427" s="2765">
        <v>2027.1</v>
      </c>
      <c r="B427" s="2149" t="e">
        <v>#N/A</v>
      </c>
      <c r="C427" s="2131" t="e">
        <v>#N/A</v>
      </c>
      <c r="D427" s="2124" t="e">
        <v>#N/A</v>
      </c>
      <c r="E427" s="2131" t="e">
        <v>#N/A</v>
      </c>
      <c r="F427" s="2141" t="e">
        <v>#N/A</v>
      </c>
      <c r="G427" s="2156" t="e">
        <v>#N/A</v>
      </c>
      <c r="H427" s="2131" t="e">
        <v>#N/A</v>
      </c>
      <c r="I427" s="2124" t="e">
        <v>#N/A</v>
      </c>
      <c r="J427" s="2131" t="e">
        <v>#N/A</v>
      </c>
      <c r="K427" s="2141" t="e">
        <v>#N/A</v>
      </c>
      <c r="L427" s="2156" t="e">
        <v>#N/A</v>
      </c>
      <c r="M427" s="2131" t="e">
        <v>#N/A</v>
      </c>
      <c r="N427" s="2164" t="e">
        <v>#N/A</v>
      </c>
    </row>
    <row r="428" spans="1:14">
      <c r="A428" s="2765">
        <v>2027.11</v>
      </c>
      <c r="B428" s="2149" t="e">
        <v>#N/A</v>
      </c>
      <c r="C428" s="2131" t="e">
        <v>#N/A</v>
      </c>
      <c r="D428" s="2124" t="e">
        <v>#N/A</v>
      </c>
      <c r="E428" s="2131" t="e">
        <v>#N/A</v>
      </c>
      <c r="F428" s="2141" t="e">
        <v>#N/A</v>
      </c>
      <c r="G428" s="2156" t="e">
        <v>#N/A</v>
      </c>
      <c r="H428" s="2131" t="e">
        <v>#N/A</v>
      </c>
      <c r="I428" s="2124" t="e">
        <v>#N/A</v>
      </c>
      <c r="J428" s="2131" t="e">
        <v>#N/A</v>
      </c>
      <c r="K428" s="2141" t="e">
        <v>#N/A</v>
      </c>
      <c r="L428" s="2156" t="e">
        <v>#N/A</v>
      </c>
      <c r="M428" s="2131" t="e">
        <v>#N/A</v>
      </c>
      <c r="N428" s="2164" t="e">
        <v>#N/A</v>
      </c>
    </row>
    <row r="429" spans="1:14">
      <c r="A429" s="2765">
        <v>2027.12</v>
      </c>
      <c r="B429" s="2149" t="e">
        <v>#N/A</v>
      </c>
      <c r="C429" s="2131" t="e">
        <v>#N/A</v>
      </c>
      <c r="D429" s="2124" t="e">
        <v>#N/A</v>
      </c>
      <c r="E429" s="2131" t="e">
        <v>#N/A</v>
      </c>
      <c r="F429" s="2141" t="e">
        <v>#N/A</v>
      </c>
      <c r="G429" s="2156" t="e">
        <v>#N/A</v>
      </c>
      <c r="H429" s="2131" t="e">
        <v>#N/A</v>
      </c>
      <c r="I429" s="2124" t="e">
        <v>#N/A</v>
      </c>
      <c r="J429" s="2131" t="e">
        <v>#N/A</v>
      </c>
      <c r="K429" s="2141" t="e">
        <v>#N/A</v>
      </c>
      <c r="L429" s="2156" t="e">
        <v>#N/A</v>
      </c>
      <c r="M429" s="2131" t="e">
        <v>#N/A</v>
      </c>
      <c r="N429" s="2164" t="e">
        <v>#N/A</v>
      </c>
    </row>
    <row r="430" spans="1:14">
      <c r="A430" s="2765">
        <v>2028.01</v>
      </c>
      <c r="B430" s="2149" t="e">
        <v>#N/A</v>
      </c>
      <c r="C430" s="2131" t="e">
        <v>#N/A</v>
      </c>
      <c r="D430" s="2124" t="e">
        <v>#N/A</v>
      </c>
      <c r="E430" s="2131" t="e">
        <v>#N/A</v>
      </c>
      <c r="F430" s="2141" t="e">
        <v>#N/A</v>
      </c>
      <c r="G430" s="2156" t="e">
        <v>#N/A</v>
      </c>
      <c r="H430" s="2131" t="e">
        <v>#N/A</v>
      </c>
      <c r="I430" s="2124" t="e">
        <v>#N/A</v>
      </c>
      <c r="J430" s="2131" t="e">
        <v>#N/A</v>
      </c>
      <c r="K430" s="2141" t="e">
        <v>#N/A</v>
      </c>
      <c r="L430" s="2156" t="e">
        <v>#N/A</v>
      </c>
      <c r="M430" s="2131" t="e">
        <v>#N/A</v>
      </c>
      <c r="N430" s="2164" t="e">
        <v>#N/A</v>
      </c>
    </row>
    <row r="431" spans="1:14">
      <c r="A431" s="2765">
        <v>2028.02</v>
      </c>
      <c r="B431" s="2149" t="e">
        <v>#N/A</v>
      </c>
      <c r="C431" s="2131" t="e">
        <v>#N/A</v>
      </c>
      <c r="D431" s="2124" t="e">
        <v>#N/A</v>
      </c>
      <c r="E431" s="2131" t="e">
        <v>#N/A</v>
      </c>
      <c r="F431" s="2141" t="e">
        <v>#N/A</v>
      </c>
      <c r="G431" s="2156" t="e">
        <v>#N/A</v>
      </c>
      <c r="H431" s="2131" t="e">
        <v>#N/A</v>
      </c>
      <c r="I431" s="2124" t="e">
        <v>#N/A</v>
      </c>
      <c r="J431" s="2131" t="e">
        <v>#N/A</v>
      </c>
      <c r="K431" s="2141" t="e">
        <v>#N/A</v>
      </c>
      <c r="L431" s="2156" t="e">
        <v>#N/A</v>
      </c>
      <c r="M431" s="2131" t="e">
        <v>#N/A</v>
      </c>
      <c r="N431" s="2164" t="e">
        <v>#N/A</v>
      </c>
    </row>
    <row r="432" spans="1:14">
      <c r="A432" s="2765">
        <v>2028.03</v>
      </c>
      <c r="B432" s="2149" t="e">
        <v>#N/A</v>
      </c>
      <c r="C432" s="2131" t="e">
        <v>#N/A</v>
      </c>
      <c r="D432" s="2124" t="e">
        <v>#N/A</v>
      </c>
      <c r="E432" s="2131" t="e">
        <v>#N/A</v>
      </c>
      <c r="F432" s="2141" t="e">
        <v>#N/A</v>
      </c>
      <c r="G432" s="2156" t="e">
        <v>#N/A</v>
      </c>
      <c r="H432" s="2131" t="e">
        <v>#N/A</v>
      </c>
      <c r="I432" s="2124" t="e">
        <v>#N/A</v>
      </c>
      <c r="J432" s="2131" t="e">
        <v>#N/A</v>
      </c>
      <c r="K432" s="2141" t="e">
        <v>#N/A</v>
      </c>
      <c r="L432" s="2156" t="e">
        <v>#N/A</v>
      </c>
      <c r="M432" s="2131" t="e">
        <v>#N/A</v>
      </c>
      <c r="N432" s="2164" t="e">
        <v>#N/A</v>
      </c>
    </row>
    <row r="433" spans="1:14">
      <c r="A433" s="2765">
        <v>2028.04</v>
      </c>
      <c r="B433" s="2149" t="e">
        <v>#N/A</v>
      </c>
      <c r="C433" s="2131" t="e">
        <v>#N/A</v>
      </c>
      <c r="D433" s="2124" t="e">
        <v>#N/A</v>
      </c>
      <c r="E433" s="2131" t="e">
        <v>#N/A</v>
      </c>
      <c r="F433" s="2141" t="e">
        <v>#N/A</v>
      </c>
      <c r="G433" s="2156" t="e">
        <v>#N/A</v>
      </c>
      <c r="H433" s="2131" t="e">
        <v>#N/A</v>
      </c>
      <c r="I433" s="2124" t="e">
        <v>#N/A</v>
      </c>
      <c r="J433" s="2131" t="e">
        <v>#N/A</v>
      </c>
      <c r="K433" s="2141" t="e">
        <v>#N/A</v>
      </c>
      <c r="L433" s="2156" t="e">
        <v>#N/A</v>
      </c>
      <c r="M433" s="2131" t="e">
        <v>#N/A</v>
      </c>
      <c r="N433" s="2164" t="e">
        <v>#N/A</v>
      </c>
    </row>
    <row r="434" spans="1:14">
      <c r="A434" s="2765">
        <v>2028.05</v>
      </c>
      <c r="B434" s="2149" t="e">
        <v>#N/A</v>
      </c>
      <c r="C434" s="2131" t="e">
        <v>#N/A</v>
      </c>
      <c r="D434" s="2124" t="e">
        <v>#N/A</v>
      </c>
      <c r="E434" s="2131" t="e">
        <v>#N/A</v>
      </c>
      <c r="F434" s="2141" t="e">
        <v>#N/A</v>
      </c>
      <c r="G434" s="2156" t="e">
        <v>#N/A</v>
      </c>
      <c r="H434" s="2131" t="e">
        <v>#N/A</v>
      </c>
      <c r="I434" s="2124" t="e">
        <v>#N/A</v>
      </c>
      <c r="J434" s="2131" t="e">
        <v>#N/A</v>
      </c>
      <c r="K434" s="2141" t="e">
        <v>#N/A</v>
      </c>
      <c r="L434" s="2156" t="e">
        <v>#N/A</v>
      </c>
      <c r="M434" s="2131" t="e">
        <v>#N/A</v>
      </c>
      <c r="N434" s="2164" t="e">
        <v>#N/A</v>
      </c>
    </row>
    <row r="435" spans="1:14">
      <c r="A435" s="2765">
        <v>2028.06</v>
      </c>
      <c r="B435" s="2149" t="e">
        <v>#N/A</v>
      </c>
      <c r="C435" s="2131" t="e">
        <v>#N/A</v>
      </c>
      <c r="D435" s="2124" t="e">
        <v>#N/A</v>
      </c>
      <c r="E435" s="2131" t="e">
        <v>#N/A</v>
      </c>
      <c r="F435" s="2141" t="e">
        <v>#N/A</v>
      </c>
      <c r="G435" s="2156" t="e">
        <v>#N/A</v>
      </c>
      <c r="H435" s="2131" t="e">
        <v>#N/A</v>
      </c>
      <c r="I435" s="2124" t="e">
        <v>#N/A</v>
      </c>
      <c r="J435" s="2131" t="e">
        <v>#N/A</v>
      </c>
      <c r="K435" s="2141" t="e">
        <v>#N/A</v>
      </c>
      <c r="L435" s="2156" t="e">
        <v>#N/A</v>
      </c>
      <c r="M435" s="2131" t="e">
        <v>#N/A</v>
      </c>
      <c r="N435" s="2164" t="e">
        <v>#N/A</v>
      </c>
    </row>
    <row r="436" spans="1:14">
      <c r="A436" s="2765">
        <v>2028.07</v>
      </c>
      <c r="B436" s="2149" t="e">
        <v>#N/A</v>
      </c>
      <c r="C436" s="2131" t="e">
        <v>#N/A</v>
      </c>
      <c r="D436" s="2124" t="e">
        <v>#N/A</v>
      </c>
      <c r="E436" s="2131" t="e">
        <v>#N/A</v>
      </c>
      <c r="F436" s="2141" t="e">
        <v>#N/A</v>
      </c>
      <c r="G436" s="2156" t="e">
        <v>#N/A</v>
      </c>
      <c r="H436" s="2131" t="e">
        <v>#N/A</v>
      </c>
      <c r="I436" s="2124" t="e">
        <v>#N/A</v>
      </c>
      <c r="J436" s="2131" t="e">
        <v>#N/A</v>
      </c>
      <c r="K436" s="2141" t="e">
        <v>#N/A</v>
      </c>
      <c r="L436" s="2156" t="e">
        <v>#N/A</v>
      </c>
      <c r="M436" s="2131" t="e">
        <v>#N/A</v>
      </c>
      <c r="N436" s="2164" t="e">
        <v>#N/A</v>
      </c>
    </row>
    <row r="437" spans="1:14">
      <c r="A437" s="2765">
        <v>2028.08</v>
      </c>
      <c r="B437" s="2149" t="e">
        <v>#N/A</v>
      </c>
      <c r="C437" s="2131" t="e">
        <v>#N/A</v>
      </c>
      <c r="D437" s="2124" t="e">
        <v>#N/A</v>
      </c>
      <c r="E437" s="2131" t="e">
        <v>#N/A</v>
      </c>
      <c r="F437" s="2141" t="e">
        <v>#N/A</v>
      </c>
      <c r="G437" s="2156" t="e">
        <v>#N/A</v>
      </c>
      <c r="H437" s="2131" t="e">
        <v>#N/A</v>
      </c>
      <c r="I437" s="2124" t="e">
        <v>#N/A</v>
      </c>
      <c r="J437" s="2131" t="e">
        <v>#N/A</v>
      </c>
      <c r="K437" s="2141" t="e">
        <v>#N/A</v>
      </c>
      <c r="L437" s="2156" t="e">
        <v>#N/A</v>
      </c>
      <c r="M437" s="2131" t="e">
        <v>#N/A</v>
      </c>
      <c r="N437" s="2164" t="e">
        <v>#N/A</v>
      </c>
    </row>
    <row r="438" spans="1:14">
      <c r="A438" s="2765">
        <v>2028.09</v>
      </c>
      <c r="B438" s="2149" t="e">
        <v>#N/A</v>
      </c>
      <c r="C438" s="2131" t="e">
        <v>#N/A</v>
      </c>
      <c r="D438" s="2124" t="e">
        <v>#N/A</v>
      </c>
      <c r="E438" s="2131" t="e">
        <v>#N/A</v>
      </c>
      <c r="F438" s="2141" t="e">
        <v>#N/A</v>
      </c>
      <c r="G438" s="2156" t="e">
        <v>#N/A</v>
      </c>
      <c r="H438" s="2131" t="e">
        <v>#N/A</v>
      </c>
      <c r="I438" s="2124" t="e">
        <v>#N/A</v>
      </c>
      <c r="J438" s="2131" t="e">
        <v>#N/A</v>
      </c>
      <c r="K438" s="2141" t="e">
        <v>#N/A</v>
      </c>
      <c r="L438" s="2156" t="e">
        <v>#N/A</v>
      </c>
      <c r="M438" s="2131" t="e">
        <v>#N/A</v>
      </c>
      <c r="N438" s="2164" t="e">
        <v>#N/A</v>
      </c>
    </row>
    <row r="439" spans="1:14">
      <c r="A439" s="2765">
        <v>2028.1</v>
      </c>
      <c r="B439" s="2149" t="e">
        <v>#N/A</v>
      </c>
      <c r="C439" s="2131" t="e">
        <v>#N/A</v>
      </c>
      <c r="D439" s="2124" t="e">
        <v>#N/A</v>
      </c>
      <c r="E439" s="2131" t="e">
        <v>#N/A</v>
      </c>
      <c r="F439" s="2141" t="e">
        <v>#N/A</v>
      </c>
      <c r="G439" s="2156" t="e">
        <v>#N/A</v>
      </c>
      <c r="H439" s="2131" t="e">
        <v>#N/A</v>
      </c>
      <c r="I439" s="2124" t="e">
        <v>#N/A</v>
      </c>
      <c r="J439" s="2131" t="e">
        <v>#N/A</v>
      </c>
      <c r="K439" s="2141" t="e">
        <v>#N/A</v>
      </c>
      <c r="L439" s="2156" t="e">
        <v>#N/A</v>
      </c>
      <c r="M439" s="2131" t="e">
        <v>#N/A</v>
      </c>
      <c r="N439" s="2164" t="e">
        <v>#N/A</v>
      </c>
    </row>
    <row r="440" spans="1:14">
      <c r="A440" s="2765">
        <v>2028.11</v>
      </c>
      <c r="B440" s="2149" t="e">
        <v>#N/A</v>
      </c>
      <c r="C440" s="2131" t="e">
        <v>#N/A</v>
      </c>
      <c r="D440" s="2124" t="e">
        <v>#N/A</v>
      </c>
      <c r="E440" s="2131" t="e">
        <v>#N/A</v>
      </c>
      <c r="F440" s="2141" t="e">
        <v>#N/A</v>
      </c>
      <c r="G440" s="2156" t="e">
        <v>#N/A</v>
      </c>
      <c r="H440" s="2131" t="e">
        <v>#N/A</v>
      </c>
      <c r="I440" s="2124" t="e">
        <v>#N/A</v>
      </c>
      <c r="J440" s="2131" t="e">
        <v>#N/A</v>
      </c>
      <c r="K440" s="2141" t="e">
        <v>#N/A</v>
      </c>
      <c r="L440" s="2156" t="e">
        <v>#N/A</v>
      </c>
      <c r="M440" s="2131" t="e">
        <v>#N/A</v>
      </c>
      <c r="N440" s="2164" t="e">
        <v>#N/A</v>
      </c>
    </row>
    <row r="441" spans="1:14">
      <c r="A441" s="2765">
        <v>2028.12</v>
      </c>
      <c r="B441" s="2149" t="e">
        <v>#N/A</v>
      </c>
      <c r="C441" s="2131" t="e">
        <v>#N/A</v>
      </c>
      <c r="D441" s="2124" t="e">
        <v>#N/A</v>
      </c>
      <c r="E441" s="2131" t="e">
        <v>#N/A</v>
      </c>
      <c r="F441" s="2141" t="e">
        <v>#N/A</v>
      </c>
      <c r="G441" s="2156" t="e">
        <v>#N/A</v>
      </c>
      <c r="H441" s="2131" t="e">
        <v>#N/A</v>
      </c>
      <c r="I441" s="2124" t="e">
        <v>#N/A</v>
      </c>
      <c r="J441" s="2131" t="e">
        <v>#N/A</v>
      </c>
      <c r="K441" s="2141" t="e">
        <v>#N/A</v>
      </c>
      <c r="L441" s="2156" t="e">
        <v>#N/A</v>
      </c>
      <c r="M441" s="2131" t="e">
        <v>#N/A</v>
      </c>
      <c r="N441" s="2164" t="e">
        <v>#N/A</v>
      </c>
    </row>
    <row r="442" spans="1:14">
      <c r="A442" s="2765">
        <v>2029.01</v>
      </c>
      <c r="B442" s="2149" t="e">
        <v>#N/A</v>
      </c>
      <c r="C442" s="2131" t="e">
        <v>#N/A</v>
      </c>
      <c r="D442" s="2124" t="e">
        <v>#N/A</v>
      </c>
      <c r="E442" s="2131" t="e">
        <v>#N/A</v>
      </c>
      <c r="F442" s="2141" t="e">
        <v>#N/A</v>
      </c>
      <c r="G442" s="2156" t="e">
        <v>#N/A</v>
      </c>
      <c r="H442" s="2131" t="e">
        <v>#N/A</v>
      </c>
      <c r="I442" s="2124" t="e">
        <v>#N/A</v>
      </c>
      <c r="J442" s="2131" t="e">
        <v>#N/A</v>
      </c>
      <c r="K442" s="2141" t="e">
        <v>#N/A</v>
      </c>
      <c r="L442" s="2156" t="e">
        <v>#N/A</v>
      </c>
      <c r="M442" s="2131" t="e">
        <v>#N/A</v>
      </c>
      <c r="N442" s="2164" t="e">
        <v>#N/A</v>
      </c>
    </row>
    <row r="443" spans="1:14">
      <c r="A443" s="2765">
        <v>2029.02</v>
      </c>
      <c r="B443" s="2149" t="e">
        <v>#N/A</v>
      </c>
      <c r="C443" s="2131" t="e">
        <v>#N/A</v>
      </c>
      <c r="D443" s="2124" t="e">
        <v>#N/A</v>
      </c>
      <c r="E443" s="2131" t="e">
        <v>#N/A</v>
      </c>
      <c r="F443" s="2141" t="e">
        <v>#N/A</v>
      </c>
      <c r="G443" s="2156" t="e">
        <v>#N/A</v>
      </c>
      <c r="H443" s="2131" t="e">
        <v>#N/A</v>
      </c>
      <c r="I443" s="2124" t="e">
        <v>#N/A</v>
      </c>
      <c r="J443" s="2131" t="e">
        <v>#N/A</v>
      </c>
      <c r="K443" s="2141" t="e">
        <v>#N/A</v>
      </c>
      <c r="L443" s="2156" t="e">
        <v>#N/A</v>
      </c>
      <c r="M443" s="2131" t="e">
        <v>#N/A</v>
      </c>
      <c r="N443" s="2164" t="e">
        <v>#N/A</v>
      </c>
    </row>
    <row r="444" spans="1:14">
      <c r="A444" s="2765">
        <v>2029.03</v>
      </c>
      <c r="B444" s="2149" t="e">
        <v>#N/A</v>
      </c>
      <c r="C444" s="2131" t="e">
        <v>#N/A</v>
      </c>
      <c r="D444" s="2124" t="e">
        <v>#N/A</v>
      </c>
      <c r="E444" s="2131" t="e">
        <v>#N/A</v>
      </c>
      <c r="F444" s="2141" t="e">
        <v>#N/A</v>
      </c>
      <c r="G444" s="2156" t="e">
        <v>#N/A</v>
      </c>
      <c r="H444" s="2131" t="e">
        <v>#N/A</v>
      </c>
      <c r="I444" s="2124" t="e">
        <v>#N/A</v>
      </c>
      <c r="J444" s="2131" t="e">
        <v>#N/A</v>
      </c>
      <c r="K444" s="2141" t="e">
        <v>#N/A</v>
      </c>
      <c r="L444" s="2156" t="e">
        <v>#N/A</v>
      </c>
      <c r="M444" s="2131" t="e">
        <v>#N/A</v>
      </c>
      <c r="N444" s="2164" t="e">
        <v>#N/A</v>
      </c>
    </row>
    <row r="445" spans="1:14">
      <c r="A445" s="2765">
        <v>2029.04</v>
      </c>
      <c r="B445" s="2149" t="e">
        <v>#N/A</v>
      </c>
      <c r="C445" s="2131" t="e">
        <v>#N/A</v>
      </c>
      <c r="D445" s="2124" t="e">
        <v>#N/A</v>
      </c>
      <c r="E445" s="2131" t="e">
        <v>#N/A</v>
      </c>
      <c r="F445" s="2141" t="e">
        <v>#N/A</v>
      </c>
      <c r="G445" s="2156" t="e">
        <v>#N/A</v>
      </c>
      <c r="H445" s="2131" t="e">
        <v>#N/A</v>
      </c>
      <c r="I445" s="2124" t="e">
        <v>#N/A</v>
      </c>
      <c r="J445" s="2131" t="e">
        <v>#N/A</v>
      </c>
      <c r="K445" s="2141" t="e">
        <v>#N/A</v>
      </c>
      <c r="L445" s="2156" t="e">
        <v>#N/A</v>
      </c>
      <c r="M445" s="2131" t="e">
        <v>#N/A</v>
      </c>
      <c r="N445" s="2164" t="e">
        <v>#N/A</v>
      </c>
    </row>
    <row r="446" spans="1:14">
      <c r="A446" s="2765">
        <v>2029.05</v>
      </c>
      <c r="B446" s="2149" t="e">
        <v>#N/A</v>
      </c>
      <c r="C446" s="2131" t="e">
        <v>#N/A</v>
      </c>
      <c r="D446" s="2124" t="e">
        <v>#N/A</v>
      </c>
      <c r="E446" s="2131" t="e">
        <v>#N/A</v>
      </c>
      <c r="F446" s="2141" t="e">
        <v>#N/A</v>
      </c>
      <c r="G446" s="2156" t="e">
        <v>#N/A</v>
      </c>
      <c r="H446" s="2131" t="e">
        <v>#N/A</v>
      </c>
      <c r="I446" s="2124" t="e">
        <v>#N/A</v>
      </c>
      <c r="J446" s="2131" t="e">
        <v>#N/A</v>
      </c>
      <c r="K446" s="2141" t="e">
        <v>#N/A</v>
      </c>
      <c r="L446" s="2156" t="e">
        <v>#N/A</v>
      </c>
      <c r="M446" s="2131" t="e">
        <v>#N/A</v>
      </c>
      <c r="N446" s="2164" t="e">
        <v>#N/A</v>
      </c>
    </row>
    <row r="447" spans="1:14">
      <c r="A447" s="2765">
        <v>2029.06</v>
      </c>
      <c r="B447" s="2149" t="e">
        <v>#N/A</v>
      </c>
      <c r="C447" s="2131" t="e">
        <v>#N/A</v>
      </c>
      <c r="D447" s="2124" t="e">
        <v>#N/A</v>
      </c>
      <c r="E447" s="2131" t="e">
        <v>#N/A</v>
      </c>
      <c r="F447" s="2141" t="e">
        <v>#N/A</v>
      </c>
      <c r="G447" s="2156" t="e">
        <v>#N/A</v>
      </c>
      <c r="H447" s="2131" t="e">
        <v>#N/A</v>
      </c>
      <c r="I447" s="2124" t="e">
        <v>#N/A</v>
      </c>
      <c r="J447" s="2131" t="e">
        <v>#N/A</v>
      </c>
      <c r="K447" s="2141" t="e">
        <v>#N/A</v>
      </c>
      <c r="L447" s="2156" t="e">
        <v>#N/A</v>
      </c>
      <c r="M447" s="2131" t="e">
        <v>#N/A</v>
      </c>
      <c r="N447" s="2164" t="e">
        <v>#N/A</v>
      </c>
    </row>
    <row r="448" spans="1:14">
      <c r="A448" s="2765">
        <v>2029.07</v>
      </c>
      <c r="B448" s="2149" t="e">
        <v>#N/A</v>
      </c>
      <c r="C448" s="2131" t="e">
        <v>#N/A</v>
      </c>
      <c r="D448" s="2124" t="e">
        <v>#N/A</v>
      </c>
      <c r="E448" s="2131" t="e">
        <v>#N/A</v>
      </c>
      <c r="F448" s="2141" t="e">
        <v>#N/A</v>
      </c>
      <c r="G448" s="2156" t="e">
        <v>#N/A</v>
      </c>
      <c r="H448" s="2131" t="e">
        <v>#N/A</v>
      </c>
      <c r="I448" s="2124" t="e">
        <v>#N/A</v>
      </c>
      <c r="J448" s="2131" t="e">
        <v>#N/A</v>
      </c>
      <c r="K448" s="2141" t="e">
        <v>#N/A</v>
      </c>
      <c r="L448" s="2156" t="e">
        <v>#N/A</v>
      </c>
      <c r="M448" s="2131" t="e">
        <v>#N/A</v>
      </c>
      <c r="N448" s="2164" t="e">
        <v>#N/A</v>
      </c>
    </row>
    <row r="449" spans="1:14">
      <c r="A449" s="2765">
        <v>2029.08</v>
      </c>
      <c r="B449" s="2149" t="e">
        <v>#N/A</v>
      </c>
      <c r="C449" s="2131" t="e">
        <v>#N/A</v>
      </c>
      <c r="D449" s="2124" t="e">
        <v>#N/A</v>
      </c>
      <c r="E449" s="2131" t="e">
        <v>#N/A</v>
      </c>
      <c r="F449" s="2141" t="e">
        <v>#N/A</v>
      </c>
      <c r="G449" s="2156" t="e">
        <v>#N/A</v>
      </c>
      <c r="H449" s="2131" t="e">
        <v>#N/A</v>
      </c>
      <c r="I449" s="2124" t="e">
        <v>#N/A</v>
      </c>
      <c r="J449" s="2131" t="e">
        <v>#N/A</v>
      </c>
      <c r="K449" s="2141" t="e">
        <v>#N/A</v>
      </c>
      <c r="L449" s="2156" t="e">
        <v>#N/A</v>
      </c>
      <c r="M449" s="2131" t="e">
        <v>#N/A</v>
      </c>
      <c r="N449" s="2164" t="e">
        <v>#N/A</v>
      </c>
    </row>
    <row r="450" spans="1:14">
      <c r="A450" s="2765">
        <v>2029.09</v>
      </c>
      <c r="B450" s="2149" t="e">
        <v>#N/A</v>
      </c>
      <c r="C450" s="2131" t="e">
        <v>#N/A</v>
      </c>
      <c r="D450" s="2124" t="e">
        <v>#N/A</v>
      </c>
      <c r="E450" s="2131" t="e">
        <v>#N/A</v>
      </c>
      <c r="F450" s="2141" t="e">
        <v>#N/A</v>
      </c>
      <c r="G450" s="2156" t="e">
        <v>#N/A</v>
      </c>
      <c r="H450" s="2131" t="e">
        <v>#N/A</v>
      </c>
      <c r="I450" s="2124" t="e">
        <v>#N/A</v>
      </c>
      <c r="J450" s="2131" t="e">
        <v>#N/A</v>
      </c>
      <c r="K450" s="2141" t="e">
        <v>#N/A</v>
      </c>
      <c r="L450" s="2156" t="e">
        <v>#N/A</v>
      </c>
      <c r="M450" s="2131" t="e">
        <v>#N/A</v>
      </c>
      <c r="N450" s="2164" t="e">
        <v>#N/A</v>
      </c>
    </row>
    <row r="451" spans="1:14">
      <c r="A451" s="2765">
        <v>2029.1</v>
      </c>
      <c r="B451" s="2149" t="e">
        <v>#N/A</v>
      </c>
      <c r="C451" s="2131" t="e">
        <v>#N/A</v>
      </c>
      <c r="D451" s="2124" t="e">
        <v>#N/A</v>
      </c>
      <c r="E451" s="2131" t="e">
        <v>#N/A</v>
      </c>
      <c r="F451" s="2141" t="e">
        <v>#N/A</v>
      </c>
      <c r="G451" s="2156" t="e">
        <v>#N/A</v>
      </c>
      <c r="H451" s="2131" t="e">
        <v>#N/A</v>
      </c>
      <c r="I451" s="2124" t="e">
        <v>#N/A</v>
      </c>
      <c r="J451" s="2131" t="e">
        <v>#N/A</v>
      </c>
      <c r="K451" s="2141" t="e">
        <v>#N/A</v>
      </c>
      <c r="L451" s="2156" t="e">
        <v>#N/A</v>
      </c>
      <c r="M451" s="2131" t="e">
        <v>#N/A</v>
      </c>
      <c r="N451" s="2164" t="e">
        <v>#N/A</v>
      </c>
    </row>
    <row r="452" spans="1:14">
      <c r="A452" s="2765">
        <v>2029.11</v>
      </c>
      <c r="B452" s="2149" t="e">
        <v>#N/A</v>
      </c>
      <c r="C452" s="2131" t="e">
        <v>#N/A</v>
      </c>
      <c r="D452" s="2124" t="e">
        <v>#N/A</v>
      </c>
      <c r="E452" s="2131" t="e">
        <v>#N/A</v>
      </c>
      <c r="F452" s="2141" t="e">
        <v>#N/A</v>
      </c>
      <c r="G452" s="2156" t="e">
        <v>#N/A</v>
      </c>
      <c r="H452" s="2131" t="e">
        <v>#N/A</v>
      </c>
      <c r="I452" s="2124" t="e">
        <v>#N/A</v>
      </c>
      <c r="J452" s="2131" t="e">
        <v>#N/A</v>
      </c>
      <c r="K452" s="2141" t="e">
        <v>#N/A</v>
      </c>
      <c r="L452" s="2156" t="e">
        <v>#N/A</v>
      </c>
      <c r="M452" s="2131" t="e">
        <v>#N/A</v>
      </c>
      <c r="N452" s="2164" t="e">
        <v>#N/A</v>
      </c>
    </row>
    <row r="453" spans="1:14">
      <c r="A453" s="2765">
        <v>2029.12</v>
      </c>
      <c r="B453" s="2149" t="e">
        <v>#N/A</v>
      </c>
      <c r="C453" s="2131" t="e">
        <v>#N/A</v>
      </c>
      <c r="D453" s="2124" t="e">
        <v>#N/A</v>
      </c>
      <c r="E453" s="2131" t="e">
        <v>#N/A</v>
      </c>
      <c r="F453" s="2141" t="e">
        <v>#N/A</v>
      </c>
      <c r="G453" s="2156" t="e">
        <v>#N/A</v>
      </c>
      <c r="H453" s="2131" t="e">
        <v>#N/A</v>
      </c>
      <c r="I453" s="2124" t="e">
        <v>#N/A</v>
      </c>
      <c r="J453" s="2131" t="e">
        <v>#N/A</v>
      </c>
      <c r="K453" s="2141" t="e">
        <v>#N/A</v>
      </c>
      <c r="L453" s="2156" t="e">
        <v>#N/A</v>
      </c>
      <c r="M453" s="2131" t="e">
        <v>#N/A</v>
      </c>
      <c r="N453" s="2164" t="e">
        <v>#N/A</v>
      </c>
    </row>
    <row r="454" spans="1:14">
      <c r="A454" s="2765">
        <v>2030.01</v>
      </c>
      <c r="B454" s="2149" t="e">
        <v>#N/A</v>
      </c>
      <c r="C454" s="2131" t="e">
        <v>#N/A</v>
      </c>
      <c r="D454" s="2124" t="e">
        <v>#N/A</v>
      </c>
      <c r="E454" s="2131" t="e">
        <v>#N/A</v>
      </c>
      <c r="F454" s="2141" t="e">
        <v>#N/A</v>
      </c>
      <c r="G454" s="2156" t="e">
        <v>#N/A</v>
      </c>
      <c r="H454" s="2131" t="e">
        <v>#N/A</v>
      </c>
      <c r="I454" s="2124" t="e">
        <v>#N/A</v>
      </c>
      <c r="J454" s="2131" t="e">
        <v>#N/A</v>
      </c>
      <c r="K454" s="2141" t="e">
        <v>#N/A</v>
      </c>
      <c r="L454" s="2156" t="e">
        <v>#N/A</v>
      </c>
      <c r="M454" s="2131" t="e">
        <v>#N/A</v>
      </c>
      <c r="N454" s="2164" t="e">
        <v>#N/A</v>
      </c>
    </row>
    <row r="455" spans="1:14">
      <c r="A455" s="2765">
        <v>2030.02</v>
      </c>
      <c r="B455" s="2149" t="e">
        <v>#N/A</v>
      </c>
      <c r="C455" s="2131" t="e">
        <v>#N/A</v>
      </c>
      <c r="D455" s="2124" t="e">
        <v>#N/A</v>
      </c>
      <c r="E455" s="2131" t="e">
        <v>#N/A</v>
      </c>
      <c r="F455" s="2141" t="e">
        <v>#N/A</v>
      </c>
      <c r="G455" s="2156" t="e">
        <v>#N/A</v>
      </c>
      <c r="H455" s="2131" t="e">
        <v>#N/A</v>
      </c>
      <c r="I455" s="2124" t="e">
        <v>#N/A</v>
      </c>
      <c r="J455" s="2131" t="e">
        <v>#N/A</v>
      </c>
      <c r="K455" s="2141" t="e">
        <v>#N/A</v>
      </c>
      <c r="L455" s="2156" t="e">
        <v>#N/A</v>
      </c>
      <c r="M455" s="2131" t="e">
        <v>#N/A</v>
      </c>
      <c r="N455" s="2164" t="e">
        <v>#N/A</v>
      </c>
    </row>
    <row r="456" spans="1:14">
      <c r="A456" s="2765">
        <v>2030.03</v>
      </c>
      <c r="B456" s="2149" t="e">
        <v>#N/A</v>
      </c>
      <c r="C456" s="2131" t="e">
        <v>#N/A</v>
      </c>
      <c r="D456" s="2124" t="e">
        <v>#N/A</v>
      </c>
      <c r="E456" s="2131" t="e">
        <v>#N/A</v>
      </c>
      <c r="F456" s="2141" t="e">
        <v>#N/A</v>
      </c>
      <c r="G456" s="2156" t="e">
        <v>#N/A</v>
      </c>
      <c r="H456" s="2131" t="e">
        <v>#N/A</v>
      </c>
      <c r="I456" s="2124" t="e">
        <v>#N/A</v>
      </c>
      <c r="J456" s="2131" t="e">
        <v>#N/A</v>
      </c>
      <c r="K456" s="2141" t="e">
        <v>#N/A</v>
      </c>
      <c r="L456" s="2156" t="e">
        <v>#N/A</v>
      </c>
      <c r="M456" s="2131" t="e">
        <v>#N/A</v>
      </c>
      <c r="N456" s="2164" t="e">
        <v>#N/A</v>
      </c>
    </row>
    <row r="457" spans="1:14">
      <c r="A457" s="2765">
        <v>2030.04</v>
      </c>
      <c r="B457" s="2149" t="e">
        <v>#N/A</v>
      </c>
      <c r="C457" s="2131" t="e">
        <v>#N/A</v>
      </c>
      <c r="D457" s="2124" t="e">
        <v>#N/A</v>
      </c>
      <c r="E457" s="2131" t="e">
        <v>#N/A</v>
      </c>
      <c r="F457" s="2141" t="e">
        <v>#N/A</v>
      </c>
      <c r="G457" s="2156" t="e">
        <v>#N/A</v>
      </c>
      <c r="H457" s="2131" t="e">
        <v>#N/A</v>
      </c>
      <c r="I457" s="2124" t="e">
        <v>#N/A</v>
      </c>
      <c r="J457" s="2131" t="e">
        <v>#N/A</v>
      </c>
      <c r="K457" s="2141" t="e">
        <v>#N/A</v>
      </c>
      <c r="L457" s="2156" t="e">
        <v>#N/A</v>
      </c>
      <c r="M457" s="2131" t="e">
        <v>#N/A</v>
      </c>
      <c r="N457" s="2164" t="e">
        <v>#N/A</v>
      </c>
    </row>
    <row r="458" spans="1:14">
      <c r="A458" s="2765">
        <v>2030.05</v>
      </c>
      <c r="B458" s="2149" t="e">
        <v>#N/A</v>
      </c>
      <c r="C458" s="2131" t="e">
        <v>#N/A</v>
      </c>
      <c r="D458" s="2124" t="e">
        <v>#N/A</v>
      </c>
      <c r="E458" s="2131" t="e">
        <v>#N/A</v>
      </c>
      <c r="F458" s="2141" t="e">
        <v>#N/A</v>
      </c>
      <c r="G458" s="2156" t="e">
        <v>#N/A</v>
      </c>
      <c r="H458" s="2131" t="e">
        <v>#N/A</v>
      </c>
      <c r="I458" s="2124" t="e">
        <v>#N/A</v>
      </c>
      <c r="J458" s="2131" t="e">
        <v>#N/A</v>
      </c>
      <c r="K458" s="2141" t="e">
        <v>#N/A</v>
      </c>
      <c r="L458" s="2156" t="e">
        <v>#N/A</v>
      </c>
      <c r="M458" s="2131" t="e">
        <v>#N/A</v>
      </c>
      <c r="N458" s="2164" t="e">
        <v>#N/A</v>
      </c>
    </row>
    <row r="459" spans="1:14">
      <c r="A459" s="2765">
        <v>2030.06</v>
      </c>
      <c r="B459" s="2149" t="e">
        <v>#N/A</v>
      </c>
      <c r="C459" s="2131" t="e">
        <v>#N/A</v>
      </c>
      <c r="D459" s="2124" t="e">
        <v>#N/A</v>
      </c>
      <c r="E459" s="2131" t="e">
        <v>#N/A</v>
      </c>
      <c r="F459" s="2141" t="e">
        <v>#N/A</v>
      </c>
      <c r="G459" s="2156" t="e">
        <v>#N/A</v>
      </c>
      <c r="H459" s="2131" t="e">
        <v>#N/A</v>
      </c>
      <c r="I459" s="2124" t="e">
        <v>#N/A</v>
      </c>
      <c r="J459" s="2131" t="e">
        <v>#N/A</v>
      </c>
      <c r="K459" s="2141" t="e">
        <v>#N/A</v>
      </c>
      <c r="L459" s="2156" t="e">
        <v>#N/A</v>
      </c>
      <c r="M459" s="2131" t="e">
        <v>#N/A</v>
      </c>
      <c r="N459" s="2164" t="e">
        <v>#N/A</v>
      </c>
    </row>
    <row r="460" spans="1:14">
      <c r="A460" s="2765">
        <v>2030.07</v>
      </c>
      <c r="B460" s="2149" t="e">
        <v>#N/A</v>
      </c>
      <c r="C460" s="2131" t="e">
        <v>#N/A</v>
      </c>
      <c r="D460" s="2124" t="e">
        <v>#N/A</v>
      </c>
      <c r="E460" s="2131" t="e">
        <v>#N/A</v>
      </c>
      <c r="F460" s="2141" t="e">
        <v>#N/A</v>
      </c>
      <c r="G460" s="2156" t="e">
        <v>#N/A</v>
      </c>
      <c r="H460" s="2131" t="e">
        <v>#N/A</v>
      </c>
      <c r="I460" s="2124" t="e">
        <v>#N/A</v>
      </c>
      <c r="J460" s="2131" t="e">
        <v>#N/A</v>
      </c>
      <c r="K460" s="2141" t="e">
        <v>#N/A</v>
      </c>
      <c r="L460" s="2156" t="e">
        <v>#N/A</v>
      </c>
      <c r="M460" s="2131" t="e">
        <v>#N/A</v>
      </c>
      <c r="N460" s="2164" t="e">
        <v>#N/A</v>
      </c>
    </row>
    <row r="461" spans="1:14">
      <c r="A461" s="2765">
        <v>2030.08</v>
      </c>
      <c r="B461" s="2149" t="e">
        <v>#N/A</v>
      </c>
      <c r="C461" s="2131" t="e">
        <v>#N/A</v>
      </c>
      <c r="D461" s="2124" t="e">
        <v>#N/A</v>
      </c>
      <c r="E461" s="2131" t="e">
        <v>#N/A</v>
      </c>
      <c r="F461" s="2141" t="e">
        <v>#N/A</v>
      </c>
      <c r="G461" s="2156" t="e">
        <v>#N/A</v>
      </c>
      <c r="H461" s="2131" t="e">
        <v>#N/A</v>
      </c>
      <c r="I461" s="2124" t="e">
        <v>#N/A</v>
      </c>
      <c r="J461" s="2131" t="e">
        <v>#N/A</v>
      </c>
      <c r="K461" s="2141" t="e">
        <v>#N/A</v>
      </c>
      <c r="L461" s="2156" t="e">
        <v>#N/A</v>
      </c>
      <c r="M461" s="2131" t="e">
        <v>#N/A</v>
      </c>
      <c r="N461" s="2164" t="e">
        <v>#N/A</v>
      </c>
    </row>
    <row r="462" spans="1:14">
      <c r="A462" s="2765">
        <v>2030.09</v>
      </c>
      <c r="B462" s="2149" t="e">
        <v>#N/A</v>
      </c>
      <c r="C462" s="2131" t="e">
        <v>#N/A</v>
      </c>
      <c r="D462" s="2124" t="e">
        <v>#N/A</v>
      </c>
      <c r="E462" s="2131" t="e">
        <v>#N/A</v>
      </c>
      <c r="F462" s="2141" t="e">
        <v>#N/A</v>
      </c>
      <c r="G462" s="2156" t="e">
        <v>#N/A</v>
      </c>
      <c r="H462" s="2131" t="e">
        <v>#N/A</v>
      </c>
      <c r="I462" s="2124" t="e">
        <v>#N/A</v>
      </c>
      <c r="J462" s="2131" t="e">
        <v>#N/A</v>
      </c>
      <c r="K462" s="2141" t="e">
        <v>#N/A</v>
      </c>
      <c r="L462" s="2156" t="e">
        <v>#N/A</v>
      </c>
      <c r="M462" s="2131" t="e">
        <v>#N/A</v>
      </c>
      <c r="N462" s="2164" t="e">
        <v>#N/A</v>
      </c>
    </row>
    <row r="463" spans="1:14">
      <c r="A463" s="2765">
        <v>2030.1</v>
      </c>
      <c r="B463" s="2149" t="e">
        <v>#N/A</v>
      </c>
      <c r="C463" s="2131" t="e">
        <v>#N/A</v>
      </c>
      <c r="D463" s="2124" t="e">
        <v>#N/A</v>
      </c>
      <c r="E463" s="2131" t="e">
        <v>#N/A</v>
      </c>
      <c r="F463" s="2141" t="e">
        <v>#N/A</v>
      </c>
      <c r="G463" s="2156" t="e">
        <v>#N/A</v>
      </c>
      <c r="H463" s="2131" t="e">
        <v>#N/A</v>
      </c>
      <c r="I463" s="2124" t="e">
        <v>#N/A</v>
      </c>
      <c r="J463" s="2131" t="e">
        <v>#N/A</v>
      </c>
      <c r="K463" s="2141" t="e">
        <v>#N/A</v>
      </c>
      <c r="L463" s="2156" t="e">
        <v>#N/A</v>
      </c>
      <c r="M463" s="2131" t="e">
        <v>#N/A</v>
      </c>
      <c r="N463" s="2164" t="e">
        <v>#N/A</v>
      </c>
    </row>
    <row r="464" spans="1:14">
      <c r="A464" s="2765">
        <v>2030.11</v>
      </c>
      <c r="B464" s="2149" t="e">
        <v>#N/A</v>
      </c>
      <c r="C464" s="2131" t="e">
        <v>#N/A</v>
      </c>
      <c r="D464" s="2124" t="e">
        <v>#N/A</v>
      </c>
      <c r="E464" s="2131" t="e">
        <v>#N/A</v>
      </c>
      <c r="F464" s="2141" t="e">
        <v>#N/A</v>
      </c>
      <c r="G464" s="2156" t="e">
        <v>#N/A</v>
      </c>
      <c r="H464" s="2131" t="e">
        <v>#N/A</v>
      </c>
      <c r="I464" s="2124" t="e">
        <v>#N/A</v>
      </c>
      <c r="J464" s="2131" t="e">
        <v>#N/A</v>
      </c>
      <c r="K464" s="2141" t="e">
        <v>#N/A</v>
      </c>
      <c r="L464" s="2156" t="e">
        <v>#N/A</v>
      </c>
      <c r="M464" s="2131" t="e">
        <v>#N/A</v>
      </c>
      <c r="N464" s="2164" t="e">
        <v>#N/A</v>
      </c>
    </row>
    <row r="465" spans="1:14">
      <c r="A465" s="2765">
        <v>2030.12</v>
      </c>
      <c r="B465" s="2149" t="e">
        <v>#N/A</v>
      </c>
      <c r="C465" s="2131" t="e">
        <v>#N/A</v>
      </c>
      <c r="D465" s="2124" t="e">
        <v>#N/A</v>
      </c>
      <c r="E465" s="2131" t="e">
        <v>#N/A</v>
      </c>
      <c r="F465" s="2141" t="e">
        <v>#N/A</v>
      </c>
      <c r="G465" s="2156" t="e">
        <v>#N/A</v>
      </c>
      <c r="H465" s="2131" t="e">
        <v>#N/A</v>
      </c>
      <c r="I465" s="2124" t="e">
        <v>#N/A</v>
      </c>
      <c r="J465" s="2131" t="e">
        <v>#N/A</v>
      </c>
      <c r="K465" s="2141" t="e">
        <v>#N/A</v>
      </c>
      <c r="L465" s="2156" t="e">
        <v>#N/A</v>
      </c>
      <c r="M465" s="2131" t="e">
        <v>#N/A</v>
      </c>
      <c r="N465" s="2164" t="e">
        <v>#N/A</v>
      </c>
    </row>
  </sheetData>
  <mergeCells count="5">
    <mergeCell ref="L5:L6"/>
    <mergeCell ref="K5:K6"/>
    <mergeCell ref="B5:B6"/>
    <mergeCell ref="F5:F6"/>
    <mergeCell ref="G5:G6"/>
  </mergeCells>
  <phoneticPr fontId="64" type="noConversion"/>
  <hyperlinks>
    <hyperlink ref="A1:A3" location="Indice!A1" display="ÍNDICE" xr:uid="{00000000-0004-0000-3700-000000000000}"/>
    <hyperlink ref="A5" location="INDICE!A13" display="VOLVER AL INDICE" xr:uid="{00000000-0004-0000-37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429"/>
  <sheetViews>
    <sheetView zoomScale="145" zoomScaleNormal="145" workbookViewId="0">
      <pane xSplit="1" ySplit="9" topLeftCell="B345" activePane="bottomRight" state="frozen"/>
      <selection sqref="A1:A5"/>
      <selection pane="topRight" sqref="A1:A5"/>
      <selection pane="bottomLeft" sqref="A1:A5"/>
      <selection pane="bottomRight" activeCell="A5" sqref="A5"/>
    </sheetView>
  </sheetViews>
  <sheetFormatPr baseColWidth="10" defaultColWidth="12.5703125" defaultRowHeight="12.75"/>
  <cols>
    <col min="1" max="1" width="11" style="222" customWidth="1"/>
    <col min="2" max="2" width="22.7109375" style="222" customWidth="1"/>
    <col min="3" max="16384" width="12.5703125" style="16"/>
  </cols>
  <sheetData>
    <row r="1" spans="1:3" s="14" customFormat="1" ht="3.75" customHeight="1">
      <c r="A1" s="37"/>
      <c r="B1" s="226"/>
      <c r="C1" s="335"/>
    </row>
    <row r="2" spans="1:3" s="14" customFormat="1" ht="33.75">
      <c r="A2" s="121" t="s">
        <v>212</v>
      </c>
      <c r="B2" s="237" t="s">
        <v>311</v>
      </c>
      <c r="C2" s="335"/>
    </row>
    <row r="3" spans="1:3" s="14" customFormat="1" ht="22.5">
      <c r="A3" s="121" t="s">
        <v>211</v>
      </c>
      <c r="B3" s="239" t="s">
        <v>250</v>
      </c>
      <c r="C3" s="335"/>
    </row>
    <row r="4" spans="1:3" s="14" customFormat="1" ht="2.25" customHeight="1">
      <c r="A4" s="224"/>
      <c r="B4" s="248"/>
      <c r="C4" s="335"/>
    </row>
    <row r="5" spans="1:3" s="14" customFormat="1" ht="22.5">
      <c r="A5" s="45" t="s">
        <v>213</v>
      </c>
      <c r="B5" s="244" t="s">
        <v>251</v>
      </c>
      <c r="C5" s="335"/>
    </row>
    <row r="6" spans="1:3" s="14" customFormat="1" ht="6" customHeight="1">
      <c r="A6" s="225"/>
      <c r="B6" s="244"/>
      <c r="C6" s="335"/>
    </row>
    <row r="7" spans="1:3" s="14" customFormat="1" ht="22.5">
      <c r="A7" s="47" t="s">
        <v>210</v>
      </c>
      <c r="B7" s="245" t="s">
        <v>954</v>
      </c>
      <c r="C7" s="335"/>
    </row>
    <row r="8" spans="1:3" s="14" customFormat="1">
      <c r="A8" s="225" t="s">
        <v>412</v>
      </c>
      <c r="B8" s="396" t="s">
        <v>703</v>
      </c>
      <c r="C8" s="335"/>
    </row>
    <row r="9" spans="1:3" s="15" customFormat="1" ht="11.85" customHeight="1" thickBot="1">
      <c r="A9" s="194"/>
      <c r="B9" s="352"/>
      <c r="C9" s="336"/>
    </row>
    <row r="10" spans="1:3" s="15" customFormat="1" ht="11.85" customHeight="1">
      <c r="A10" s="219">
        <v>1996.01</v>
      </c>
      <c r="B10" s="677">
        <v>121.9433540332504</v>
      </c>
      <c r="C10" s="336"/>
    </row>
    <row r="11" spans="1:3" s="15" customFormat="1" ht="11.85" customHeight="1">
      <c r="A11" s="219">
        <v>1996.02</v>
      </c>
      <c r="B11" s="677">
        <v>121.88931255512765</v>
      </c>
      <c r="C11" s="336"/>
    </row>
    <row r="12" spans="1:3" s="15" customFormat="1" ht="11.85" customHeight="1">
      <c r="A12" s="219">
        <v>1996.03</v>
      </c>
      <c r="B12" s="677">
        <v>123.92272589575512</v>
      </c>
      <c r="C12" s="336"/>
    </row>
    <row r="13" spans="1:3" s="15" customFormat="1" ht="11.85" customHeight="1">
      <c r="A13" s="219">
        <v>1996.04</v>
      </c>
      <c r="B13" s="677">
        <v>133.29752799254621</v>
      </c>
      <c r="C13" s="336"/>
    </row>
    <row r="14" spans="1:3" s="15" customFormat="1" ht="11.85" customHeight="1">
      <c r="A14" s="219">
        <v>1996.05</v>
      </c>
      <c r="B14" s="677">
        <v>132.62149251765041</v>
      </c>
      <c r="C14" s="336"/>
    </row>
    <row r="15" spans="1:3" s="15" customFormat="1" ht="11.85" customHeight="1">
      <c r="A15" s="219">
        <v>1996.06</v>
      </c>
      <c r="B15" s="677">
        <v>126.20412839304173</v>
      </c>
      <c r="C15" s="336"/>
    </row>
    <row r="16" spans="1:3" s="15" customFormat="1" ht="11.85" customHeight="1">
      <c r="A16" s="219">
        <v>1996.07</v>
      </c>
      <c r="B16" s="677">
        <v>125.32204735483761</v>
      </c>
      <c r="C16" s="336"/>
    </row>
    <row r="17" spans="1:3" s="15" customFormat="1" ht="11.85" customHeight="1">
      <c r="A17" s="219">
        <v>1996.08</v>
      </c>
      <c r="B17" s="677">
        <v>126.32700099826029</v>
      </c>
      <c r="C17" s="336"/>
    </row>
    <row r="18" spans="1:3" s="15" customFormat="1" ht="11.85" customHeight="1">
      <c r="A18" s="219">
        <v>1996.09</v>
      </c>
      <c r="B18" s="677">
        <v>125.21143827872713</v>
      </c>
      <c r="C18" s="336"/>
    </row>
    <row r="19" spans="1:3" s="15" customFormat="1" ht="11.85" customHeight="1">
      <c r="A19" s="219">
        <v>1996.1</v>
      </c>
      <c r="B19" s="677">
        <v>122.2874420217195</v>
      </c>
      <c r="C19" s="336"/>
    </row>
    <row r="20" spans="1:3" s="15" customFormat="1" ht="11.85" customHeight="1">
      <c r="A20" s="219">
        <v>1996.11</v>
      </c>
      <c r="B20" s="677">
        <v>119.80385326875964</v>
      </c>
      <c r="C20" s="336"/>
    </row>
    <row r="21" spans="1:3" s="15" customFormat="1" ht="11.85" customHeight="1">
      <c r="A21" s="219">
        <v>1996.12</v>
      </c>
      <c r="B21" s="677">
        <v>121.68383295303835</v>
      </c>
      <c r="C21" s="336"/>
    </row>
    <row r="22" spans="1:3">
      <c r="A22" s="219">
        <v>1997.01</v>
      </c>
      <c r="B22" s="676">
        <v>154.6</v>
      </c>
      <c r="C22" s="337"/>
    </row>
    <row r="23" spans="1:3">
      <c r="A23" s="219">
        <v>1997.02</v>
      </c>
      <c r="B23" s="674">
        <v>150.80000000000001</v>
      </c>
      <c r="C23" s="337"/>
    </row>
    <row r="24" spans="1:3">
      <c r="A24" s="219">
        <v>1997.03</v>
      </c>
      <c r="B24" s="674">
        <v>153.30000000000001</v>
      </c>
      <c r="C24" s="337"/>
    </row>
    <row r="25" spans="1:3">
      <c r="A25" s="219">
        <v>1997.04</v>
      </c>
      <c r="B25" s="674">
        <v>149.9</v>
      </c>
      <c r="C25" s="337"/>
    </row>
    <row r="26" spans="1:3">
      <c r="A26" s="219">
        <v>1997.05</v>
      </c>
      <c r="B26" s="674">
        <v>149.30000000000001</v>
      </c>
      <c r="C26" s="337"/>
    </row>
    <row r="27" spans="1:3">
      <c r="A27" s="219">
        <v>1997.06</v>
      </c>
      <c r="B27" s="674">
        <v>138</v>
      </c>
      <c r="C27" s="337"/>
    </row>
    <row r="28" spans="1:3">
      <c r="A28" s="219">
        <v>1997.07</v>
      </c>
      <c r="B28" s="674">
        <v>134</v>
      </c>
      <c r="C28" s="337"/>
    </row>
    <row r="29" spans="1:3">
      <c r="A29" s="219">
        <v>1997.08</v>
      </c>
      <c r="B29" s="674">
        <v>139.19999999999999</v>
      </c>
      <c r="C29" s="337"/>
    </row>
    <row r="30" spans="1:3">
      <c r="A30" s="219">
        <v>1997.09</v>
      </c>
      <c r="B30" s="674">
        <v>139.6</v>
      </c>
      <c r="C30" s="337"/>
    </row>
    <row r="31" spans="1:3">
      <c r="A31" s="219">
        <v>1997.1</v>
      </c>
      <c r="B31" s="674">
        <v>144</v>
      </c>
      <c r="C31" s="337"/>
    </row>
    <row r="32" spans="1:3">
      <c r="A32" s="219">
        <v>1997.11</v>
      </c>
      <c r="B32" s="674">
        <v>145.6</v>
      </c>
      <c r="C32" s="337"/>
    </row>
    <row r="33" spans="1:3">
      <c r="A33" s="219">
        <v>1997.12</v>
      </c>
      <c r="B33" s="674">
        <v>137.5</v>
      </c>
      <c r="C33" s="337"/>
    </row>
    <row r="34" spans="1:3">
      <c r="A34" s="219">
        <v>1998.01</v>
      </c>
      <c r="B34" s="674">
        <v>128.6</v>
      </c>
      <c r="C34" s="337"/>
    </row>
    <row r="35" spans="1:3">
      <c r="A35" s="219">
        <v>1998.02</v>
      </c>
      <c r="B35" s="674">
        <v>124.6</v>
      </c>
      <c r="C35" s="337"/>
    </row>
    <row r="36" spans="1:3">
      <c r="A36" s="219">
        <v>1998.03</v>
      </c>
      <c r="B36" s="674">
        <v>118.7</v>
      </c>
      <c r="C36" s="337"/>
    </row>
    <row r="37" spans="1:3">
      <c r="A37" s="219">
        <v>1998.04</v>
      </c>
      <c r="B37" s="674">
        <v>114.5</v>
      </c>
      <c r="C37" s="337"/>
    </row>
    <row r="38" spans="1:3">
      <c r="A38" s="219">
        <v>1998.05</v>
      </c>
      <c r="B38" s="674">
        <v>115.2</v>
      </c>
      <c r="C38" s="337"/>
    </row>
    <row r="39" spans="1:3">
      <c r="A39" s="219">
        <v>1998.06</v>
      </c>
      <c r="B39" s="674">
        <v>107.9</v>
      </c>
      <c r="C39" s="337"/>
    </row>
    <row r="40" spans="1:3">
      <c r="A40" s="219">
        <v>1998.07</v>
      </c>
      <c r="B40" s="674">
        <v>106.1</v>
      </c>
      <c r="C40" s="337"/>
    </row>
    <row r="41" spans="1:3">
      <c r="A41" s="219">
        <v>1998.08</v>
      </c>
      <c r="B41" s="674">
        <v>99.9</v>
      </c>
      <c r="C41" s="337"/>
    </row>
    <row r="42" spans="1:3">
      <c r="A42" s="219">
        <v>1998.09</v>
      </c>
      <c r="B42" s="674">
        <v>102.2</v>
      </c>
      <c r="C42" s="337"/>
    </row>
    <row r="43" spans="1:3">
      <c r="A43" s="219">
        <v>1998.1</v>
      </c>
      <c r="B43" s="674">
        <v>105.6</v>
      </c>
      <c r="C43" s="337"/>
    </row>
    <row r="44" spans="1:3">
      <c r="A44" s="219">
        <v>1998.11</v>
      </c>
      <c r="B44" s="674">
        <v>105.6</v>
      </c>
      <c r="C44" s="337"/>
    </row>
    <row r="45" spans="1:3">
      <c r="A45" s="219">
        <v>1998.12</v>
      </c>
      <c r="B45" s="674">
        <v>102.2</v>
      </c>
      <c r="C45" s="337"/>
    </row>
    <row r="46" spans="1:3">
      <c r="A46" s="219">
        <v>1999.01</v>
      </c>
      <c r="B46" s="674">
        <v>100.7</v>
      </c>
      <c r="C46" s="337"/>
    </row>
    <row r="47" spans="1:3">
      <c r="A47" s="219">
        <v>1999.02</v>
      </c>
      <c r="B47" s="674">
        <v>94.7</v>
      </c>
      <c r="C47" s="337"/>
    </row>
    <row r="48" spans="1:3">
      <c r="A48" s="219">
        <v>1999.03</v>
      </c>
      <c r="B48" s="674">
        <v>96.1</v>
      </c>
      <c r="C48" s="337"/>
    </row>
    <row r="49" spans="1:3">
      <c r="A49" s="219">
        <v>1999.04</v>
      </c>
      <c r="B49" s="674">
        <v>98.4</v>
      </c>
      <c r="C49" s="337"/>
    </row>
    <row r="50" spans="1:3">
      <c r="A50" s="219">
        <v>1999.05</v>
      </c>
      <c r="B50" s="674">
        <v>97.3</v>
      </c>
      <c r="C50" s="337"/>
    </row>
    <row r="51" spans="1:3">
      <c r="A51" s="219">
        <v>1999.06</v>
      </c>
      <c r="B51" s="674">
        <v>96.5</v>
      </c>
      <c r="C51" s="337"/>
    </row>
    <row r="52" spans="1:3">
      <c r="A52" s="219">
        <v>1999.07</v>
      </c>
      <c r="B52" s="674">
        <v>96.6</v>
      </c>
      <c r="C52" s="337"/>
    </row>
    <row r="53" spans="1:3">
      <c r="A53" s="219">
        <v>1999.08</v>
      </c>
      <c r="B53" s="674">
        <v>103.2</v>
      </c>
      <c r="C53" s="337"/>
    </row>
    <row r="54" spans="1:3">
      <c r="A54" s="219">
        <v>1999.09</v>
      </c>
      <c r="B54" s="674">
        <v>107.6</v>
      </c>
      <c r="C54" s="337"/>
    </row>
    <row r="55" spans="1:3">
      <c r="A55" s="219">
        <v>1999.1</v>
      </c>
      <c r="B55" s="674">
        <v>106.7</v>
      </c>
      <c r="C55" s="337"/>
    </row>
    <row r="56" spans="1:3">
      <c r="A56" s="219">
        <v>1999.11</v>
      </c>
      <c r="B56" s="674">
        <v>107.3</v>
      </c>
      <c r="C56" s="337"/>
    </row>
    <row r="57" spans="1:3">
      <c r="A57" s="219">
        <v>1999.12</v>
      </c>
      <c r="B57" s="674">
        <v>107.3</v>
      </c>
      <c r="C57" s="337"/>
    </row>
    <row r="58" spans="1:3">
      <c r="A58" s="219">
        <v>2000.01</v>
      </c>
      <c r="B58" s="674">
        <v>110.1</v>
      </c>
      <c r="C58" s="337"/>
    </row>
    <row r="59" spans="1:3">
      <c r="A59" s="219">
        <v>2000.02</v>
      </c>
      <c r="B59" s="674">
        <v>113.2</v>
      </c>
      <c r="C59" s="337"/>
    </row>
    <row r="60" spans="1:3">
      <c r="A60" s="219">
        <v>2000.03</v>
      </c>
      <c r="B60" s="674">
        <v>112.1</v>
      </c>
      <c r="C60" s="337"/>
    </row>
    <row r="61" spans="1:3">
      <c r="A61" s="219">
        <v>2000.04</v>
      </c>
      <c r="B61" s="674">
        <v>107.4</v>
      </c>
      <c r="C61" s="337"/>
    </row>
    <row r="62" spans="1:3">
      <c r="A62" s="219">
        <v>2000.05</v>
      </c>
      <c r="B62" s="674">
        <v>113.8</v>
      </c>
      <c r="C62" s="337"/>
    </row>
    <row r="63" spans="1:3">
      <c r="A63" s="219">
        <v>2000.06</v>
      </c>
      <c r="B63" s="674">
        <v>113.1</v>
      </c>
      <c r="C63" s="337"/>
    </row>
    <row r="64" spans="1:3">
      <c r="A64" s="219">
        <v>2000.07</v>
      </c>
      <c r="B64" s="674">
        <v>108.9</v>
      </c>
      <c r="C64" s="337"/>
    </row>
    <row r="65" spans="1:3">
      <c r="A65" s="219">
        <v>2000.08</v>
      </c>
      <c r="B65" s="674">
        <v>109.5</v>
      </c>
      <c r="C65" s="337"/>
    </row>
    <row r="66" spans="1:3">
      <c r="A66" s="219">
        <v>2000.09</v>
      </c>
      <c r="B66" s="674">
        <v>116.1</v>
      </c>
      <c r="C66" s="337"/>
    </row>
    <row r="67" spans="1:3">
      <c r="A67" s="219">
        <v>2000.1</v>
      </c>
      <c r="B67" s="674">
        <v>115.8</v>
      </c>
      <c r="C67" s="337"/>
    </row>
    <row r="68" spans="1:3">
      <c r="A68" s="219">
        <v>2000.11</v>
      </c>
      <c r="B68" s="674">
        <v>119</v>
      </c>
      <c r="C68" s="337"/>
    </row>
    <row r="69" spans="1:3">
      <c r="A69" s="219">
        <v>2000.12</v>
      </c>
      <c r="B69" s="674">
        <v>115</v>
      </c>
      <c r="C69" s="337"/>
    </row>
    <row r="70" spans="1:3">
      <c r="A70" s="219">
        <v>2001.01</v>
      </c>
      <c r="B70" s="674">
        <v>114</v>
      </c>
      <c r="C70" s="337"/>
    </row>
    <row r="71" spans="1:3">
      <c r="A71" s="219">
        <v>2001.02</v>
      </c>
      <c r="B71" s="674">
        <v>110.8</v>
      </c>
      <c r="C71" s="337"/>
    </row>
    <row r="72" spans="1:3">
      <c r="A72" s="219">
        <v>2001.03</v>
      </c>
      <c r="B72" s="674">
        <v>106.2</v>
      </c>
      <c r="C72" s="337"/>
    </row>
    <row r="73" spans="1:3">
      <c r="A73" s="219">
        <v>2001.04</v>
      </c>
      <c r="B73" s="674">
        <v>105.3</v>
      </c>
      <c r="C73" s="337"/>
    </row>
    <row r="74" spans="1:3">
      <c r="A74" s="219">
        <v>2001.05</v>
      </c>
      <c r="B74" s="674">
        <v>109</v>
      </c>
      <c r="C74" s="337"/>
    </row>
    <row r="75" spans="1:3">
      <c r="A75" s="219">
        <v>2001.06</v>
      </c>
      <c r="B75" s="674">
        <v>109.2</v>
      </c>
      <c r="C75" s="337"/>
    </row>
    <row r="76" spans="1:3">
      <c r="A76" s="219">
        <v>2001.07</v>
      </c>
      <c r="B76" s="674">
        <v>110.1</v>
      </c>
      <c r="C76" s="337"/>
    </row>
    <row r="77" spans="1:3">
      <c r="A77" s="219">
        <v>2001.08</v>
      </c>
      <c r="B77" s="674">
        <v>111.3</v>
      </c>
      <c r="C77" s="337"/>
    </row>
    <row r="78" spans="1:3">
      <c r="A78" s="219">
        <v>2001.09</v>
      </c>
      <c r="B78" s="674">
        <v>109.4</v>
      </c>
      <c r="C78" s="337"/>
    </row>
    <row r="79" spans="1:3">
      <c r="A79" s="219">
        <v>2001.1</v>
      </c>
      <c r="B79" s="674">
        <v>101.9</v>
      </c>
      <c r="C79" s="337"/>
    </row>
    <row r="80" spans="1:3">
      <c r="A80" s="219">
        <v>2001.11</v>
      </c>
      <c r="B80" s="674">
        <v>101.2</v>
      </c>
      <c r="C80" s="337"/>
    </row>
    <row r="81" spans="1:3">
      <c r="A81" s="219">
        <v>2001.12</v>
      </c>
      <c r="B81" s="674">
        <v>100</v>
      </c>
      <c r="C81" s="337"/>
    </row>
    <row r="82" spans="1:3">
      <c r="A82" s="219">
        <v>2002.01</v>
      </c>
      <c r="B82" s="674">
        <v>100.3950095758574</v>
      </c>
      <c r="C82" s="337"/>
    </row>
    <row r="83" spans="1:3">
      <c r="A83" s="219">
        <v>2002.02</v>
      </c>
      <c r="B83" s="674">
        <v>100.69058197198839</v>
      </c>
      <c r="C83" s="337"/>
    </row>
    <row r="84" spans="1:3">
      <c r="A84" s="219">
        <v>2002.03</v>
      </c>
      <c r="B84" s="674">
        <v>106.4217351006214</v>
      </c>
      <c r="C84" s="337"/>
    </row>
    <row r="85" spans="1:3">
      <c r="A85" s="219">
        <v>2002.04</v>
      </c>
      <c r="B85" s="674">
        <v>108.2834678398476</v>
      </c>
      <c r="C85" s="337"/>
    </row>
    <row r="86" spans="1:3">
      <c r="A86" s="219">
        <v>2002.05</v>
      </c>
      <c r="B86" s="674">
        <v>110.6518596398806</v>
      </c>
      <c r="C86" s="337"/>
    </row>
    <row r="87" spans="1:3">
      <c r="A87" s="219">
        <v>2002.06</v>
      </c>
      <c r="B87" s="674">
        <v>114.3591588906134</v>
      </c>
      <c r="C87" s="337"/>
    </row>
    <row r="88" spans="1:3">
      <c r="A88" s="219">
        <v>2002.07</v>
      </c>
      <c r="B88" s="674">
        <v>121.9227430066356</v>
      </c>
      <c r="C88" s="337"/>
    </row>
    <row r="89" spans="1:3">
      <c r="A89" s="219">
        <v>2002.08</v>
      </c>
      <c r="B89" s="674">
        <v>127.07108956040641</v>
      </c>
      <c r="C89" s="337"/>
    </row>
    <row r="90" spans="1:3">
      <c r="A90" s="219">
        <v>2002.09</v>
      </c>
      <c r="B90" s="674">
        <v>129.17984024974291</v>
      </c>
      <c r="C90" s="337"/>
    </row>
    <row r="91" spans="1:3">
      <c r="A91" s="219">
        <v>2002.1</v>
      </c>
      <c r="B91" s="674">
        <v>125.3520738363887</v>
      </c>
      <c r="C91" s="337"/>
    </row>
    <row r="92" spans="1:3">
      <c r="A92" s="219">
        <v>2002.11</v>
      </c>
      <c r="B92" s="674">
        <v>122.39643023894919</v>
      </c>
      <c r="C92" s="337"/>
    </row>
    <row r="93" spans="1:3">
      <c r="A93" s="219">
        <v>2002.12</v>
      </c>
      <c r="B93" s="674">
        <v>125.298314976386</v>
      </c>
      <c r="C93" s="337"/>
    </row>
    <row r="94" spans="1:3">
      <c r="A94" s="219">
        <v>2003.01</v>
      </c>
      <c r="B94" s="674">
        <v>128.38710279729821</v>
      </c>
      <c r="C94" s="337"/>
    </row>
    <row r="95" spans="1:3">
      <c r="A95" s="219">
        <v>2003.02</v>
      </c>
      <c r="B95" s="674">
        <v>129.72711329211879</v>
      </c>
      <c r="C95" s="337"/>
    </row>
    <row r="96" spans="1:3">
      <c r="A96" s="219">
        <v>2003.03</v>
      </c>
      <c r="B96" s="674">
        <v>128.34722054786329</v>
      </c>
      <c r="C96" s="337"/>
    </row>
    <row r="97" spans="1:3">
      <c r="A97" s="219">
        <v>2003.04</v>
      </c>
      <c r="B97" s="674">
        <v>125.6135570594017</v>
      </c>
      <c r="C97" s="337"/>
    </row>
    <row r="98" spans="1:3">
      <c r="A98" s="219">
        <v>2003.05</v>
      </c>
      <c r="B98" s="674">
        <v>129.77580872911579</v>
      </c>
      <c r="C98" s="337"/>
    </row>
    <row r="99" spans="1:3">
      <c r="A99" s="219">
        <v>2003.06</v>
      </c>
      <c r="B99" s="674">
        <v>131.32680729539999</v>
      </c>
      <c r="C99" s="337"/>
    </row>
    <row r="100" spans="1:3">
      <c r="A100" s="219">
        <v>2003.07</v>
      </c>
      <c r="B100" s="674">
        <v>130.56231520675959</v>
      </c>
      <c r="C100" s="337"/>
    </row>
    <row r="101" spans="1:3">
      <c r="A101" s="219">
        <v>2003.08</v>
      </c>
      <c r="B101" s="674">
        <v>129.40513637349119</v>
      </c>
      <c r="C101" s="337"/>
    </row>
    <row r="102" spans="1:3">
      <c r="A102" s="219">
        <v>2003.09</v>
      </c>
      <c r="B102" s="674">
        <v>135.8051503523678</v>
      </c>
      <c r="C102" s="337"/>
    </row>
    <row r="103" spans="1:3">
      <c r="A103" s="219">
        <v>2003.1</v>
      </c>
      <c r="B103" s="674">
        <v>146.35844165793651</v>
      </c>
      <c r="C103" s="337"/>
    </row>
    <row r="104" spans="1:3">
      <c r="A104" s="219">
        <v>2003.11</v>
      </c>
      <c r="B104" s="674">
        <v>152.21504660870781</v>
      </c>
      <c r="C104" s="337"/>
    </row>
    <row r="105" spans="1:3">
      <c r="A105" s="219">
        <v>2003.12</v>
      </c>
      <c r="B105" s="674">
        <v>153.5855880437957</v>
      </c>
      <c r="C105" s="337"/>
    </row>
    <row r="106" spans="1:3">
      <c r="A106" s="219">
        <v>2004.01</v>
      </c>
      <c r="B106" s="674">
        <v>161.4490686185782</v>
      </c>
      <c r="C106" s="337"/>
    </row>
    <row r="107" spans="1:3">
      <c r="A107" s="219">
        <v>2004.02</v>
      </c>
      <c r="B107" s="674">
        <v>167.80729010354631</v>
      </c>
      <c r="C107" s="337"/>
    </row>
    <row r="108" spans="1:3">
      <c r="A108" s="219">
        <v>2004.03</v>
      </c>
      <c r="B108" s="674">
        <v>183.6843268501338</v>
      </c>
      <c r="C108" s="337"/>
    </row>
    <row r="109" spans="1:3">
      <c r="A109" s="219">
        <v>2004.04</v>
      </c>
      <c r="B109" s="674">
        <v>184.54931640356389</v>
      </c>
      <c r="C109" s="337"/>
    </row>
    <row r="110" spans="1:3">
      <c r="A110" s="219">
        <v>2004.05</v>
      </c>
      <c r="B110" s="674">
        <v>181.8979974213272</v>
      </c>
      <c r="C110" s="337"/>
    </row>
    <row r="111" spans="1:3">
      <c r="A111" s="219">
        <v>2004.06</v>
      </c>
      <c r="B111" s="674">
        <v>172.26714122652601</v>
      </c>
      <c r="C111" s="337"/>
    </row>
    <row r="112" spans="1:3">
      <c r="A112" s="219">
        <v>2004.07</v>
      </c>
      <c r="B112" s="674">
        <v>170.30398985711381</v>
      </c>
      <c r="C112" s="337"/>
    </row>
    <row r="113" spans="1:3">
      <c r="A113" s="219">
        <v>2004.08</v>
      </c>
      <c r="B113" s="674">
        <v>150.98753107522271</v>
      </c>
      <c r="C113" s="337"/>
    </row>
    <row r="114" spans="1:3">
      <c r="A114" s="219">
        <v>2004.09</v>
      </c>
      <c r="B114" s="674">
        <v>143.69874827219979</v>
      </c>
      <c r="C114" s="337"/>
    </row>
    <row r="115" spans="1:3">
      <c r="A115" s="219">
        <v>2004.1</v>
      </c>
      <c r="B115" s="674">
        <v>136.05491586385179</v>
      </c>
      <c r="C115" s="337"/>
    </row>
    <row r="116" spans="1:3">
      <c r="A116" s="219">
        <v>2004.11</v>
      </c>
      <c r="B116" s="674">
        <v>133.00211982719179</v>
      </c>
      <c r="C116" s="337"/>
    </row>
    <row r="117" spans="1:3">
      <c r="A117" s="219">
        <v>2004.12</v>
      </c>
      <c r="B117" s="674">
        <v>132.26097287607959</v>
      </c>
      <c r="C117" s="337"/>
    </row>
    <row r="118" spans="1:3">
      <c r="A118" s="219">
        <v>2005.01</v>
      </c>
      <c r="B118" s="674">
        <v>134.69762382437119</v>
      </c>
      <c r="C118" s="337"/>
    </row>
    <row r="119" spans="1:3">
      <c r="A119" s="219">
        <v>2005.02</v>
      </c>
      <c r="B119" s="674">
        <v>136.28570791446671</v>
      </c>
      <c r="C119" s="337"/>
    </row>
    <row r="120" spans="1:3">
      <c r="A120" s="219">
        <v>2005.03</v>
      </c>
      <c r="B120" s="674">
        <v>148.90606398009919</v>
      </c>
      <c r="C120" s="337"/>
    </row>
    <row r="121" spans="1:3">
      <c r="A121" s="219">
        <v>2005.04</v>
      </c>
      <c r="B121" s="674">
        <v>148.65673953930451</v>
      </c>
      <c r="C121" s="337"/>
    </row>
    <row r="122" spans="1:3">
      <c r="A122" s="219">
        <v>2005.05</v>
      </c>
      <c r="B122" s="674">
        <v>148.19622156933789</v>
      </c>
      <c r="C122" s="337"/>
    </row>
    <row r="123" spans="1:3">
      <c r="A123" s="219">
        <v>2005.06</v>
      </c>
      <c r="B123" s="674">
        <v>157.1784303370392</v>
      </c>
      <c r="C123" s="337"/>
    </row>
    <row r="124" spans="1:3">
      <c r="A124" s="219">
        <v>2005.07</v>
      </c>
      <c r="B124" s="674">
        <v>157.74196673192739</v>
      </c>
      <c r="C124" s="337"/>
    </row>
    <row r="125" spans="1:3">
      <c r="A125" s="219">
        <v>2005.08</v>
      </c>
      <c r="B125" s="674">
        <v>151.48564059983181</v>
      </c>
      <c r="C125" s="337"/>
    </row>
    <row r="126" spans="1:3">
      <c r="A126" s="219">
        <v>2005.09</v>
      </c>
      <c r="B126" s="674">
        <v>144.47377923052511</v>
      </c>
      <c r="C126" s="337"/>
    </row>
    <row r="127" spans="1:3">
      <c r="A127" s="219">
        <v>2005.1</v>
      </c>
      <c r="B127" s="674">
        <v>142.93785095607981</v>
      </c>
      <c r="C127" s="337"/>
    </row>
    <row r="128" spans="1:3">
      <c r="A128" s="219">
        <v>2005.11</v>
      </c>
      <c r="B128" s="674">
        <v>142.17693828471269</v>
      </c>
      <c r="C128" s="337"/>
    </row>
    <row r="129" spans="1:3">
      <c r="A129" s="219">
        <v>2005.12</v>
      </c>
      <c r="B129" s="674">
        <v>147.7206026336485</v>
      </c>
      <c r="C129" s="337"/>
    </row>
    <row r="130" spans="1:3">
      <c r="A130" s="219">
        <v>2006.01</v>
      </c>
      <c r="B130" s="674">
        <v>151.38650175077339</v>
      </c>
      <c r="C130" s="337"/>
    </row>
    <row r="131" spans="1:3">
      <c r="A131" s="219">
        <v>2006.02</v>
      </c>
      <c r="B131" s="674">
        <v>150.03745135762259</v>
      </c>
      <c r="C131" s="337"/>
    </row>
    <row r="132" spans="1:3">
      <c r="A132" s="219">
        <v>2006.03</v>
      </c>
      <c r="B132" s="674">
        <v>150.94975418539661</v>
      </c>
      <c r="C132" s="337"/>
    </row>
    <row r="133" spans="1:3">
      <c r="A133" s="219">
        <v>2006.04</v>
      </c>
      <c r="B133" s="674">
        <v>157.26009399922381</v>
      </c>
      <c r="C133" s="337"/>
    </row>
    <row r="134" spans="1:3">
      <c r="A134" s="219">
        <v>2006.05</v>
      </c>
      <c r="B134" s="674">
        <v>163.846361369985</v>
      </c>
      <c r="C134" s="337"/>
    </row>
    <row r="135" spans="1:3">
      <c r="A135" s="219">
        <v>2006.06</v>
      </c>
      <c r="B135" s="674">
        <v>161.02511595253469</v>
      </c>
      <c r="C135" s="337"/>
    </row>
    <row r="136" spans="1:3">
      <c r="A136" s="219">
        <v>2006.07</v>
      </c>
      <c r="B136" s="674">
        <v>163.979857071319</v>
      </c>
      <c r="C136" s="337"/>
    </row>
    <row r="137" spans="1:3">
      <c r="A137" s="219">
        <v>2006.08</v>
      </c>
      <c r="B137" s="674">
        <v>159.64317841089061</v>
      </c>
      <c r="C137" s="337"/>
    </row>
    <row r="138" spans="1:3">
      <c r="A138" s="219">
        <v>2006.09</v>
      </c>
      <c r="B138" s="674">
        <v>159.15954804765951</v>
      </c>
      <c r="C138" s="337"/>
    </row>
    <row r="139" spans="1:3">
      <c r="A139" s="219">
        <v>2006.1</v>
      </c>
      <c r="B139" s="674">
        <v>164.1143698731035</v>
      </c>
      <c r="C139" s="337"/>
    </row>
    <row r="140" spans="1:3">
      <c r="A140" s="219">
        <v>2006.11</v>
      </c>
      <c r="B140" s="674">
        <v>172.63254920685091</v>
      </c>
      <c r="C140" s="337"/>
    </row>
    <row r="141" spans="1:3">
      <c r="A141" s="219">
        <v>2006.12</v>
      </c>
      <c r="B141" s="674">
        <v>171.35062511342201</v>
      </c>
      <c r="C141" s="337"/>
    </row>
    <row r="142" spans="1:3">
      <c r="A142" s="219">
        <v>2007.01</v>
      </c>
      <c r="B142" s="674">
        <v>168.94103436873661</v>
      </c>
      <c r="C142" s="337"/>
    </row>
    <row r="143" spans="1:3">
      <c r="A143" s="219">
        <v>2007.02</v>
      </c>
      <c r="B143" s="674">
        <v>176.7017829888762</v>
      </c>
      <c r="C143" s="337"/>
    </row>
    <row r="144" spans="1:3">
      <c r="A144" s="219">
        <v>2007.03</v>
      </c>
      <c r="B144" s="674">
        <v>182.6500559888558</v>
      </c>
      <c r="C144" s="337"/>
    </row>
    <row r="145" spans="1:3">
      <c r="A145" s="219">
        <v>2007.04</v>
      </c>
      <c r="B145" s="674">
        <v>185.04669962954969</v>
      </c>
      <c r="C145" s="337"/>
    </row>
    <row r="146" spans="1:3">
      <c r="A146" s="219">
        <v>2007.05</v>
      </c>
      <c r="B146" s="674">
        <v>191.22829392816351</v>
      </c>
      <c r="C146" s="337"/>
    </row>
    <row r="147" spans="1:3">
      <c r="A147" s="219">
        <v>2007.06</v>
      </c>
      <c r="B147" s="674">
        <v>202.77366270495679</v>
      </c>
      <c r="C147" s="337"/>
    </row>
    <row r="148" spans="1:3">
      <c r="A148" s="219">
        <v>2007.07</v>
      </c>
      <c r="B148" s="674">
        <v>205.80926486347079</v>
      </c>
      <c r="C148" s="337"/>
    </row>
    <row r="149" spans="1:3">
      <c r="A149" s="219">
        <v>2007.08</v>
      </c>
      <c r="B149" s="674">
        <v>206.35058629529371</v>
      </c>
      <c r="C149" s="337"/>
    </row>
    <row r="150" spans="1:3">
      <c r="A150" s="219">
        <v>2007.09</v>
      </c>
      <c r="B150" s="674">
        <v>222.2199891247823</v>
      </c>
      <c r="C150" s="337"/>
    </row>
    <row r="151" spans="1:3">
      <c r="A151" s="219">
        <v>2007.1</v>
      </c>
      <c r="B151" s="674">
        <v>227.96581723175561</v>
      </c>
      <c r="C151" s="337"/>
    </row>
    <row r="152" spans="1:3">
      <c r="A152" s="219">
        <v>2007.11</v>
      </c>
      <c r="B152" s="674">
        <v>245.30208290610801</v>
      </c>
      <c r="C152" s="337"/>
    </row>
    <row r="153" spans="1:3">
      <c r="A153" s="219">
        <v>2007.12</v>
      </c>
      <c r="B153" s="674">
        <v>258.86662564083048</v>
      </c>
      <c r="C153" s="337"/>
    </row>
    <row r="154" spans="1:3">
      <c r="A154" s="219">
        <f t="shared" ref="A154:A217" si="0">A142+1</f>
        <v>2008.01</v>
      </c>
      <c r="B154" s="674">
        <v>278.09242825355722</v>
      </c>
      <c r="C154" s="337"/>
    </row>
    <row r="155" spans="1:3">
      <c r="A155" s="219">
        <f t="shared" si="0"/>
        <v>2008.02</v>
      </c>
      <c r="B155" s="674">
        <v>294.07576707078152</v>
      </c>
      <c r="C155" s="337"/>
    </row>
    <row r="156" spans="1:3">
      <c r="A156" s="219">
        <f t="shared" si="0"/>
        <v>2008.03</v>
      </c>
      <c r="B156" s="674">
        <v>289.93088767412388</v>
      </c>
      <c r="C156" s="337"/>
    </row>
    <row r="157" spans="1:3">
      <c r="A157" s="219">
        <f t="shared" si="0"/>
        <v>2008.04</v>
      </c>
      <c r="B157" s="674">
        <v>286.72245562591922</v>
      </c>
      <c r="C157" s="337"/>
    </row>
    <row r="158" spans="1:3">
      <c r="A158" s="219">
        <f t="shared" si="0"/>
        <v>2008.05</v>
      </c>
      <c r="B158" s="674">
        <v>290.85001036557878</v>
      </c>
      <c r="C158" s="337"/>
    </row>
    <row r="159" spans="1:3">
      <c r="A159" s="219">
        <f t="shared" si="0"/>
        <v>2008.06</v>
      </c>
      <c r="B159" s="674">
        <v>319.15626696640851</v>
      </c>
      <c r="C159" s="337"/>
    </row>
    <row r="160" spans="1:3">
      <c r="A160" s="219">
        <f t="shared" si="0"/>
        <v>2008.07</v>
      </c>
      <c r="B160" s="674">
        <v>324.40099016927002</v>
      </c>
      <c r="C160" s="337"/>
    </row>
    <row r="161" spans="1:3">
      <c r="A161" s="219">
        <f t="shared" si="0"/>
        <v>2008.08</v>
      </c>
      <c r="B161" s="674">
        <v>278.59904228171962</v>
      </c>
      <c r="C161" s="337"/>
    </row>
    <row r="162" spans="1:3">
      <c r="A162" s="219">
        <f t="shared" si="0"/>
        <v>2008.09</v>
      </c>
      <c r="B162" s="674">
        <v>257.90004892152467</v>
      </c>
      <c r="C162" s="337"/>
    </row>
    <row r="163" spans="1:3">
      <c r="A163" s="219">
        <f t="shared" si="0"/>
        <v>2008.1</v>
      </c>
      <c r="B163" s="674">
        <v>201.34288862324379</v>
      </c>
      <c r="C163" s="337"/>
    </row>
    <row r="164" spans="1:3">
      <c r="A164" s="219">
        <f t="shared" si="0"/>
        <v>2008.11</v>
      </c>
      <c r="B164" s="674">
        <v>188.701302639261</v>
      </c>
      <c r="C164" s="337"/>
    </row>
    <row r="165" spans="1:3">
      <c r="A165" s="219">
        <f t="shared" si="0"/>
        <v>2008.12</v>
      </c>
      <c r="B165" s="674">
        <v>182.26335894197061</v>
      </c>
      <c r="C165" s="337"/>
    </row>
    <row r="166" spans="1:3">
      <c r="A166" s="219">
        <f t="shared" si="0"/>
        <v>2009.01</v>
      </c>
      <c r="B166" s="674">
        <v>199.9468199701279</v>
      </c>
      <c r="C166" s="337"/>
    </row>
    <row r="167" spans="1:3">
      <c r="A167" s="219">
        <f t="shared" si="0"/>
        <v>2009.02</v>
      </c>
      <c r="B167" s="674">
        <v>191.999275199393</v>
      </c>
      <c r="C167" s="337"/>
    </row>
    <row r="168" spans="1:3">
      <c r="A168" s="219">
        <f t="shared" si="0"/>
        <v>2009.03</v>
      </c>
      <c r="B168" s="674">
        <v>191.29231165756411</v>
      </c>
      <c r="C168" s="337"/>
    </row>
    <row r="169" spans="1:3">
      <c r="A169" s="219">
        <f t="shared" si="0"/>
        <v>2009.04</v>
      </c>
      <c r="B169" s="674">
        <v>210.8941013015137</v>
      </c>
      <c r="C169" s="337"/>
    </row>
    <row r="170" spans="1:3">
      <c r="A170" s="219">
        <f t="shared" si="0"/>
        <v>2009.05</v>
      </c>
      <c r="B170" s="674">
        <v>232.39168308759349</v>
      </c>
      <c r="C170" s="337"/>
    </row>
    <row r="171" spans="1:3">
      <c r="A171" s="219">
        <f t="shared" si="0"/>
        <v>2009.06</v>
      </c>
      <c r="B171" s="674">
        <v>242.99421366850319</v>
      </c>
      <c r="C171" s="337"/>
    </row>
    <row r="172" spans="1:3">
      <c r="A172" s="219">
        <f t="shared" si="0"/>
        <v>2009.07</v>
      </c>
      <c r="B172" s="674">
        <v>219.32850532392791</v>
      </c>
      <c r="C172" s="337"/>
    </row>
    <row r="173" spans="1:3">
      <c r="A173" s="219">
        <f t="shared" si="0"/>
        <v>2009.08</v>
      </c>
      <c r="B173" s="674">
        <v>227.64412640225581</v>
      </c>
      <c r="C173" s="337"/>
    </row>
    <row r="174" spans="1:3">
      <c r="A174" s="219">
        <f t="shared" si="0"/>
        <v>2009.09</v>
      </c>
      <c r="B174" s="674">
        <v>217.6271998370099</v>
      </c>
      <c r="C174" s="337"/>
    </row>
    <row r="175" spans="1:3">
      <c r="A175" s="219">
        <f t="shared" si="0"/>
        <v>2009.1</v>
      </c>
      <c r="B175" s="674">
        <v>213.00687100767959</v>
      </c>
      <c r="C175" s="337"/>
    </row>
    <row r="176" spans="1:3">
      <c r="A176" s="219">
        <f t="shared" si="0"/>
        <v>2009.11</v>
      </c>
      <c r="B176" s="674">
        <v>221.03995638748859</v>
      </c>
      <c r="C176" s="337"/>
    </row>
    <row r="177" spans="1:3">
      <c r="A177" s="219">
        <f t="shared" si="0"/>
        <v>2009.12</v>
      </c>
      <c r="B177" s="674">
        <v>223.44160508471941</v>
      </c>
      <c r="C177" s="337"/>
    </row>
    <row r="178" spans="1:3">
      <c r="A178" s="219">
        <f t="shared" si="0"/>
        <v>2010.01</v>
      </c>
      <c r="B178" s="674">
        <v>219.43972784749641</v>
      </c>
      <c r="C178" s="337"/>
    </row>
    <row r="179" spans="1:3">
      <c r="A179" s="219">
        <f t="shared" si="0"/>
        <v>2010.02</v>
      </c>
      <c r="B179" s="674">
        <v>210.77260128760059</v>
      </c>
      <c r="C179" s="337"/>
    </row>
    <row r="180" spans="1:3">
      <c r="A180" s="219">
        <f t="shared" si="0"/>
        <v>2010.03</v>
      </c>
      <c r="B180" s="674">
        <v>210.55041094259019</v>
      </c>
      <c r="C180" s="337"/>
    </row>
    <row r="181" spans="1:3">
      <c r="A181" s="219">
        <f t="shared" si="0"/>
        <v>2010.04</v>
      </c>
      <c r="B181" s="674">
        <v>219.61107553792411</v>
      </c>
      <c r="C181" s="337"/>
    </row>
    <row r="182" spans="1:3">
      <c r="A182" s="219">
        <f t="shared" si="0"/>
        <v>2010.05</v>
      </c>
      <c r="B182" s="674">
        <v>215.51808842778979</v>
      </c>
      <c r="C182" s="337"/>
    </row>
    <row r="183" spans="1:3">
      <c r="A183" s="219">
        <f t="shared" si="0"/>
        <v>2010.06</v>
      </c>
      <c r="B183" s="674">
        <v>216.64823380128001</v>
      </c>
      <c r="C183" s="337"/>
    </row>
    <row r="184" spans="1:3">
      <c r="A184" s="219">
        <f t="shared" si="0"/>
        <v>2010.07</v>
      </c>
      <c r="B184" s="674">
        <v>226.06724309169789</v>
      </c>
      <c r="C184" s="337"/>
    </row>
    <row r="185" spans="1:3">
      <c r="A185" s="219">
        <f t="shared" si="0"/>
        <v>2010.08</v>
      </c>
      <c r="B185" s="674">
        <v>234.29930970564311</v>
      </c>
      <c r="C185" s="337"/>
    </row>
    <row r="186" spans="1:3">
      <c r="A186" s="219">
        <f t="shared" si="0"/>
        <v>2010.09</v>
      </c>
      <c r="B186" s="674">
        <v>238.29756148412619</v>
      </c>
      <c r="C186" s="337"/>
    </row>
    <row r="187" spans="1:3">
      <c r="A187" s="219">
        <f t="shared" si="0"/>
        <v>2010.1</v>
      </c>
      <c r="B187" s="674">
        <v>252.2598040681911</v>
      </c>
      <c r="C187" s="337"/>
    </row>
    <row r="188" spans="1:3">
      <c r="A188" s="219">
        <f t="shared" si="0"/>
        <v>2010.11</v>
      </c>
      <c r="B188" s="674">
        <v>269.04131105198923</v>
      </c>
      <c r="C188" s="337"/>
    </row>
    <row r="189" spans="1:3">
      <c r="A189" s="219">
        <f t="shared" si="0"/>
        <v>2010.12</v>
      </c>
      <c r="B189" s="674">
        <v>281.72117524492188</v>
      </c>
      <c r="C189" s="337"/>
    </row>
    <row r="190" spans="1:3">
      <c r="A190" s="219">
        <f t="shared" si="0"/>
        <v>2011.01</v>
      </c>
      <c r="B190" s="674">
        <v>295.88389993177958</v>
      </c>
      <c r="C190" s="337"/>
    </row>
    <row r="191" spans="1:3">
      <c r="A191" s="219">
        <f t="shared" si="0"/>
        <v>2011.02</v>
      </c>
      <c r="B191" s="674">
        <v>299.01611819732841</v>
      </c>
      <c r="C191" s="337"/>
    </row>
    <row r="192" spans="1:3">
      <c r="A192" s="219">
        <f t="shared" si="0"/>
        <v>2011.03</v>
      </c>
      <c r="B192" s="674">
        <v>297.76075707358928</v>
      </c>
      <c r="C192" s="337"/>
    </row>
    <row r="193" spans="1:3">
      <c r="A193" s="219">
        <f t="shared" si="0"/>
        <v>2011.04</v>
      </c>
      <c r="B193" s="674">
        <v>304.39214257467802</v>
      </c>
      <c r="C193" s="337"/>
    </row>
    <row r="194" spans="1:3">
      <c r="A194" s="219">
        <f t="shared" si="0"/>
        <v>2011.05</v>
      </c>
      <c r="B194" s="674">
        <v>300.80296475392822</v>
      </c>
      <c r="C194" s="337"/>
    </row>
    <row r="195" spans="1:3">
      <c r="A195" s="219">
        <f t="shared" si="0"/>
        <v>2011.06</v>
      </c>
      <c r="B195" s="674">
        <v>302.04584324114711</v>
      </c>
      <c r="C195" s="337"/>
    </row>
    <row r="196" spans="1:3">
      <c r="A196" s="219">
        <f t="shared" si="0"/>
        <v>2011.07</v>
      </c>
      <c r="B196" s="674">
        <v>302.04120233319679</v>
      </c>
      <c r="C196" s="337"/>
    </row>
    <row r="197" spans="1:3">
      <c r="A197" s="219">
        <f t="shared" si="0"/>
        <v>2011.08</v>
      </c>
      <c r="B197" s="674">
        <v>301.48659749898599</v>
      </c>
      <c r="C197" s="337"/>
    </row>
    <row r="198" spans="1:3">
      <c r="A198" s="219">
        <f t="shared" si="0"/>
        <v>2011.09</v>
      </c>
      <c r="B198" s="674">
        <v>295.21441046410001</v>
      </c>
      <c r="C198" s="337"/>
    </row>
    <row r="199" spans="1:3">
      <c r="A199" s="219">
        <f t="shared" si="0"/>
        <v>2011.1</v>
      </c>
      <c r="B199" s="674">
        <v>272.06737089479623</v>
      </c>
      <c r="C199" s="337"/>
    </row>
    <row r="200" spans="1:3">
      <c r="A200" s="219">
        <f t="shared" si="0"/>
        <v>2011.11</v>
      </c>
      <c r="B200" s="674">
        <v>268.15510912748988</v>
      </c>
      <c r="C200" s="337"/>
    </row>
    <row r="201" spans="1:3">
      <c r="A201" s="219">
        <f t="shared" si="0"/>
        <v>2011.12</v>
      </c>
      <c r="B201" s="674">
        <v>263.28403255895722</v>
      </c>
      <c r="C201" s="337"/>
    </row>
    <row r="202" spans="1:3">
      <c r="A202" s="219">
        <f t="shared" si="0"/>
        <v>2012.01</v>
      </c>
      <c r="B202" s="674">
        <v>276.41117996800091</v>
      </c>
      <c r="C202" s="337"/>
    </row>
    <row r="203" spans="1:3">
      <c r="A203" s="219">
        <f t="shared" si="0"/>
        <v>2012.02</v>
      </c>
      <c r="B203" s="674">
        <v>289.09840468805788</v>
      </c>
      <c r="C203" s="337"/>
    </row>
    <row r="204" spans="1:3">
      <c r="A204" s="219">
        <f t="shared" si="0"/>
        <v>2012.03</v>
      </c>
      <c r="B204" s="674">
        <v>303.07815643258789</v>
      </c>
      <c r="C204" s="337"/>
    </row>
    <row r="205" spans="1:3">
      <c r="A205" s="219">
        <f t="shared" si="0"/>
        <v>2012.04</v>
      </c>
      <c r="B205" s="674">
        <v>309.66729522453949</v>
      </c>
      <c r="C205" s="337"/>
    </row>
    <row r="206" spans="1:3">
      <c r="A206" s="219">
        <f t="shared" si="0"/>
        <v>2012.05</v>
      </c>
      <c r="B206" s="674">
        <v>305.72203532948589</v>
      </c>
      <c r="C206" s="337"/>
    </row>
    <row r="207" spans="1:3">
      <c r="A207" s="219">
        <f t="shared" si="0"/>
        <v>2012.06</v>
      </c>
      <c r="B207" s="674">
        <v>304.96937389213872</v>
      </c>
      <c r="C207" s="337"/>
    </row>
    <row r="208" spans="1:3">
      <c r="A208" s="219">
        <f t="shared" si="0"/>
        <v>2012.07</v>
      </c>
      <c r="B208" s="674">
        <v>341.39350208330688</v>
      </c>
      <c r="C208" s="337"/>
    </row>
    <row r="209" spans="1:3">
      <c r="A209" s="219">
        <f t="shared" si="0"/>
        <v>2012.08</v>
      </c>
      <c r="B209" s="674">
        <v>357.4718714046457</v>
      </c>
      <c r="C209" s="337"/>
    </row>
    <row r="210" spans="1:3">
      <c r="A210" s="219">
        <f t="shared" si="0"/>
        <v>2012.09</v>
      </c>
      <c r="B210" s="674">
        <v>353.95947825110892</v>
      </c>
      <c r="C210" s="337"/>
    </row>
    <row r="211" spans="1:3">
      <c r="A211" s="219">
        <f t="shared" si="0"/>
        <v>2012.1</v>
      </c>
      <c r="B211" s="674">
        <v>337.76597185484388</v>
      </c>
      <c r="C211" s="337"/>
    </row>
    <row r="212" spans="1:3">
      <c r="A212" s="219">
        <f t="shared" si="0"/>
        <v>2012.11</v>
      </c>
      <c r="B212" s="674">
        <v>326.52427718919972</v>
      </c>
      <c r="C212" s="337"/>
    </row>
    <row r="213" spans="1:3">
      <c r="A213" s="219">
        <f t="shared" si="0"/>
        <v>2012.12</v>
      </c>
      <c r="B213" s="674">
        <v>326.53593548068022</v>
      </c>
      <c r="C213" s="337"/>
    </row>
    <row r="214" spans="1:3">
      <c r="A214" s="219">
        <f t="shared" si="0"/>
        <v>2013.01</v>
      </c>
      <c r="B214" s="674">
        <v>321.7673498091695</v>
      </c>
      <c r="C214" s="337"/>
    </row>
    <row r="215" spans="1:3">
      <c r="A215" s="219">
        <f t="shared" si="0"/>
        <v>2013.02</v>
      </c>
      <c r="B215" s="674">
        <v>322.9442314804059</v>
      </c>
      <c r="C215" s="337"/>
    </row>
    <row r="216" spans="1:3">
      <c r="A216" s="219">
        <f t="shared" si="0"/>
        <v>2013.03</v>
      </c>
      <c r="B216" s="674">
        <v>317.68971629098922</v>
      </c>
      <c r="C216" s="337"/>
    </row>
    <row r="217" spans="1:3">
      <c r="A217" s="219">
        <f t="shared" si="0"/>
        <v>2013.04</v>
      </c>
      <c r="B217" s="674">
        <v>303.51301452205172</v>
      </c>
      <c r="C217" s="337"/>
    </row>
    <row r="218" spans="1:3">
      <c r="A218" s="219">
        <f t="shared" ref="A218:A281" si="1">A206+1</f>
        <v>2013.05</v>
      </c>
      <c r="B218" s="674">
        <v>312.81071574910982</v>
      </c>
      <c r="C218" s="337"/>
    </row>
    <row r="219" spans="1:3">
      <c r="A219" s="219">
        <f t="shared" si="1"/>
        <v>2013.06</v>
      </c>
      <c r="B219" s="674">
        <v>317.74060777633241</v>
      </c>
      <c r="C219" s="337"/>
    </row>
    <row r="220" spans="1:3">
      <c r="A220" s="219">
        <f t="shared" si="1"/>
        <v>2013.07</v>
      </c>
      <c r="B220" s="674">
        <v>317.7676332429553</v>
      </c>
      <c r="C220" s="337"/>
    </row>
    <row r="221" spans="1:3">
      <c r="A221" s="219">
        <f t="shared" si="1"/>
        <v>2013.08</v>
      </c>
      <c r="B221" s="674">
        <v>292.71011520124011</v>
      </c>
      <c r="C221" s="337"/>
    </row>
    <row r="222" spans="1:3">
      <c r="A222" s="219">
        <f t="shared" si="1"/>
        <v>2013.09</v>
      </c>
      <c r="B222" s="674">
        <v>295.25221727738068</v>
      </c>
      <c r="C222" s="337"/>
    </row>
    <row r="223" spans="1:3">
      <c r="A223" s="219">
        <f t="shared" si="1"/>
        <v>2013.1</v>
      </c>
      <c r="B223" s="674">
        <v>275.35522893000672</v>
      </c>
      <c r="C223" s="337"/>
    </row>
    <row r="224" spans="1:3">
      <c r="A224" s="219">
        <f t="shared" si="1"/>
        <v>2013.11</v>
      </c>
      <c r="B224" s="674">
        <v>273.20049713127611</v>
      </c>
      <c r="C224" s="337"/>
    </row>
    <row r="225" spans="1:2">
      <c r="A225" s="219">
        <f t="shared" si="1"/>
        <v>2013.12</v>
      </c>
      <c r="B225" s="675">
        <v>279.94090855303142</v>
      </c>
    </row>
    <row r="226" spans="1:2">
      <c r="A226" s="219">
        <f t="shared" si="1"/>
        <v>2014.01</v>
      </c>
      <c r="B226" s="675">
        <v>274.12571985686708</v>
      </c>
    </row>
    <row r="227" spans="1:2">
      <c r="A227" s="219">
        <f t="shared" si="1"/>
        <v>2014.02</v>
      </c>
      <c r="B227" s="675">
        <v>284.81943529803982</v>
      </c>
    </row>
    <row r="228" spans="1:2">
      <c r="A228" s="219">
        <f t="shared" si="1"/>
        <v>2014.03</v>
      </c>
      <c r="B228" s="675">
        <v>291.77606448538921</v>
      </c>
    </row>
    <row r="229" spans="1:2">
      <c r="A229" s="219">
        <f t="shared" si="1"/>
        <v>2014.04</v>
      </c>
      <c r="B229" s="675">
        <v>299.98495916307633</v>
      </c>
    </row>
    <row r="230" spans="1:2">
      <c r="A230" s="219">
        <f t="shared" si="1"/>
        <v>2014.05</v>
      </c>
      <c r="B230" s="675">
        <v>298.99172120866029</v>
      </c>
    </row>
    <row r="231" spans="1:2">
      <c r="A231" s="219">
        <f t="shared" si="1"/>
        <v>2014.06</v>
      </c>
      <c r="B231" s="675">
        <v>290.9279484065359</v>
      </c>
    </row>
    <row r="232" spans="1:2">
      <c r="A232" s="219">
        <f t="shared" si="1"/>
        <v>2014.07</v>
      </c>
      <c r="B232" s="675">
        <v>268.9068670496618</v>
      </c>
    </row>
    <row r="233" spans="1:2">
      <c r="A233" s="219">
        <f t="shared" si="1"/>
        <v>2014.08</v>
      </c>
      <c r="B233" s="675">
        <v>264.76849250434509</v>
      </c>
    </row>
    <row r="234" spans="1:2">
      <c r="A234" s="219">
        <f t="shared" si="1"/>
        <v>2014.09</v>
      </c>
      <c r="B234" s="675">
        <v>265.92920725373273</v>
      </c>
    </row>
    <row r="235" spans="1:2">
      <c r="A235" s="219">
        <f t="shared" si="1"/>
        <v>2014.1</v>
      </c>
      <c r="B235" s="675">
        <v>228.86919472834481</v>
      </c>
    </row>
    <row r="236" spans="1:2">
      <c r="A236" s="219">
        <f t="shared" si="1"/>
        <v>2014.11</v>
      </c>
      <c r="B236" s="675">
        <v>248.62909550455211</v>
      </c>
    </row>
    <row r="237" spans="1:2">
      <c r="A237" s="219">
        <f t="shared" si="1"/>
        <v>2014.12</v>
      </c>
      <c r="B237" s="675">
        <v>242.75994192950779</v>
      </c>
    </row>
    <row r="238" spans="1:2">
      <c r="A238" s="219">
        <f t="shared" si="1"/>
        <v>2015.01</v>
      </c>
      <c r="B238" s="675">
        <v>225.28394463914501</v>
      </c>
    </row>
    <row r="239" spans="1:2">
      <c r="A239" s="219">
        <f t="shared" si="1"/>
        <v>2015.02</v>
      </c>
      <c r="B239" s="675">
        <v>220.7683220606541</v>
      </c>
    </row>
    <row r="240" spans="1:2">
      <c r="A240" s="219">
        <f t="shared" si="1"/>
        <v>2015.03</v>
      </c>
      <c r="B240" s="675">
        <v>216.77712577883651</v>
      </c>
    </row>
    <row r="241" spans="1:2">
      <c r="A241" s="219">
        <f t="shared" si="1"/>
        <v>2015.04</v>
      </c>
      <c r="B241" s="675">
        <v>211.2354412794007</v>
      </c>
    </row>
    <row r="242" spans="1:2">
      <c r="A242" s="219">
        <f t="shared" si="1"/>
        <v>2015.05</v>
      </c>
      <c r="B242" s="675">
        <v>208.73830470879551</v>
      </c>
    </row>
    <row r="243" spans="1:2">
      <c r="A243" s="219">
        <f t="shared" si="1"/>
        <v>2015.06</v>
      </c>
      <c r="B243" s="675">
        <v>211.79828701235181</v>
      </c>
    </row>
    <row r="244" spans="1:2">
      <c r="A244" s="219">
        <f t="shared" si="1"/>
        <v>2015.07</v>
      </c>
      <c r="B244" s="675">
        <v>221.89612703044651</v>
      </c>
    </row>
    <row r="245" spans="1:2">
      <c r="A245" s="219">
        <f t="shared" si="1"/>
        <v>2015.08</v>
      </c>
      <c r="B245" s="675">
        <v>208.91323459463121</v>
      </c>
    </row>
    <row r="246" spans="1:2">
      <c r="A246" s="219">
        <f t="shared" si="1"/>
        <v>2015.09</v>
      </c>
      <c r="B246" s="675">
        <v>198.04178014211249</v>
      </c>
    </row>
    <row r="247" spans="1:2">
      <c r="A247" s="219">
        <f t="shared" si="1"/>
        <v>2015.1</v>
      </c>
      <c r="B247" s="675">
        <v>199.137543532265</v>
      </c>
    </row>
    <row r="248" spans="1:2">
      <c r="A248" s="219">
        <f t="shared" si="1"/>
        <v>2015.11</v>
      </c>
      <c r="B248" s="675">
        <v>190.4504617603103</v>
      </c>
    </row>
    <row r="249" spans="1:2">
      <c r="A249" s="219">
        <f t="shared" si="1"/>
        <v>2015.12</v>
      </c>
      <c r="B249" s="675">
        <v>187.8533970494791</v>
      </c>
    </row>
    <row r="250" spans="1:2">
      <c r="A250" s="219">
        <f t="shared" si="1"/>
        <v>2016.01</v>
      </c>
      <c r="B250" s="675">
        <v>183.74243142171409</v>
      </c>
    </row>
    <row r="251" spans="1:2">
      <c r="A251" s="219">
        <f t="shared" si="1"/>
        <v>2016.02</v>
      </c>
      <c r="B251" s="675">
        <v>184.8391681036189</v>
      </c>
    </row>
    <row r="252" spans="1:2">
      <c r="A252" s="219">
        <f t="shared" si="1"/>
        <v>2016.03</v>
      </c>
      <c r="B252" s="675">
        <v>188.67794250490161</v>
      </c>
    </row>
    <row r="253" spans="1:2">
      <c r="A253" s="219">
        <f t="shared" si="1"/>
        <v>2016.04</v>
      </c>
      <c r="B253" s="675">
        <v>198.6498321112272</v>
      </c>
    </row>
    <row r="254" spans="1:2">
      <c r="A254" s="219">
        <f t="shared" si="1"/>
        <v>2016.05</v>
      </c>
      <c r="B254" s="675">
        <v>217.26580081813421</v>
      </c>
    </row>
    <row r="255" spans="1:2">
      <c r="A255" s="219">
        <f t="shared" si="1"/>
        <v>2016.06</v>
      </c>
      <c r="B255" s="675">
        <v>226.99341637750811</v>
      </c>
    </row>
    <row r="256" spans="1:2">
      <c r="A256" s="219">
        <f t="shared" si="1"/>
        <v>2016.07</v>
      </c>
      <c r="B256" s="675">
        <v>212.17101814245331</v>
      </c>
    </row>
    <row r="257" spans="1:2">
      <c r="A257" s="219">
        <f t="shared" si="1"/>
        <v>2016.08</v>
      </c>
      <c r="B257" s="675">
        <v>204.28264734334911</v>
      </c>
    </row>
    <row r="258" spans="1:2">
      <c r="A258" s="219">
        <f t="shared" si="1"/>
        <v>2016.09</v>
      </c>
      <c r="B258" s="675">
        <v>201.86641505436751</v>
      </c>
    </row>
    <row r="259" spans="1:2">
      <c r="A259" s="219">
        <f t="shared" si="1"/>
        <v>2016.1</v>
      </c>
      <c r="B259" s="675">
        <v>201.81017094688531</v>
      </c>
    </row>
    <row r="260" spans="1:2">
      <c r="A260" s="219">
        <f t="shared" si="1"/>
        <v>2016.11</v>
      </c>
      <c r="B260" s="675">
        <v>203.3742351730879</v>
      </c>
    </row>
    <row r="261" spans="1:2">
      <c r="A261" s="219">
        <f t="shared" si="1"/>
        <v>2016.12</v>
      </c>
      <c r="B261" s="675">
        <v>205.25153955247791</v>
      </c>
    </row>
    <row r="262" spans="1:2">
      <c r="A262" s="219">
        <f t="shared" si="1"/>
        <v>2017.01</v>
      </c>
      <c r="B262" s="675">
        <v>208.61959613492951</v>
      </c>
    </row>
    <row r="263" spans="1:2">
      <c r="A263" s="219">
        <f t="shared" si="1"/>
        <v>2017.02</v>
      </c>
      <c r="B263" s="675">
        <v>208.15514342573709</v>
      </c>
    </row>
    <row r="264" spans="1:2">
      <c r="A264" s="219">
        <f t="shared" si="1"/>
        <v>2017.03</v>
      </c>
      <c r="B264" s="675">
        <v>203.26830173330299</v>
      </c>
    </row>
    <row r="265" spans="1:2">
      <c r="A265" s="219">
        <f t="shared" si="1"/>
        <v>2017.04</v>
      </c>
      <c r="B265" s="675">
        <v>197.7366079123162</v>
      </c>
    </row>
    <row r="266" spans="1:2">
      <c r="A266" s="219">
        <f t="shared" si="1"/>
        <v>2017.05</v>
      </c>
      <c r="B266" s="675">
        <v>200.1196492707162</v>
      </c>
    </row>
    <row r="267" spans="1:2">
      <c r="A267" s="219">
        <f t="shared" si="1"/>
        <v>2017.06</v>
      </c>
      <c r="B267" s="675">
        <v>198.86672898912761</v>
      </c>
    </row>
    <row r="268" spans="1:2">
      <c r="A268" s="219">
        <f t="shared" si="1"/>
        <v>2017.07</v>
      </c>
      <c r="B268" s="675">
        <v>204.3384241050301</v>
      </c>
    </row>
    <row r="269" spans="1:2">
      <c r="A269" s="219">
        <f t="shared" si="1"/>
        <v>2017.08</v>
      </c>
      <c r="B269" s="675">
        <v>199.70943442997131</v>
      </c>
    </row>
    <row r="270" spans="1:2">
      <c r="A270" s="219">
        <f t="shared" si="1"/>
        <v>2017.09</v>
      </c>
      <c r="B270" s="675">
        <v>202.16727735183181</v>
      </c>
    </row>
    <row r="271" spans="1:2">
      <c r="A271" s="219">
        <f t="shared" si="1"/>
        <v>2017.1</v>
      </c>
      <c r="B271" s="675">
        <v>203.7070534273937</v>
      </c>
    </row>
    <row r="272" spans="1:2">
      <c r="A272" s="219">
        <f t="shared" si="1"/>
        <v>2017.11</v>
      </c>
      <c r="B272" s="675">
        <v>203.9191860432006</v>
      </c>
    </row>
    <row r="273" spans="1:2">
      <c r="A273" s="219">
        <f t="shared" si="1"/>
        <v>2017.12</v>
      </c>
      <c r="B273" s="675">
        <v>204.3014541877867</v>
      </c>
    </row>
    <row r="274" spans="1:2">
      <c r="A274" s="219">
        <f t="shared" si="1"/>
        <v>2018.01</v>
      </c>
      <c r="B274" s="675">
        <v>210.0940503543259</v>
      </c>
    </row>
    <row r="275" spans="1:2">
      <c r="A275" s="219">
        <f t="shared" si="1"/>
        <v>2018.02</v>
      </c>
      <c r="B275" s="675">
        <v>215.7731009766928</v>
      </c>
    </row>
    <row r="276" spans="1:2">
      <c r="A276" s="219">
        <f t="shared" si="1"/>
        <v>2018.03</v>
      </c>
      <c r="B276" s="675">
        <v>221.56188118667399</v>
      </c>
    </row>
    <row r="277" spans="1:2">
      <c r="A277" s="219">
        <f t="shared" si="1"/>
        <v>2018.04</v>
      </c>
      <c r="B277" s="675">
        <v>224.3343115264708</v>
      </c>
    </row>
    <row r="278" spans="1:2">
      <c r="A278" s="219">
        <f t="shared" si="1"/>
        <v>2018.05</v>
      </c>
      <c r="B278" s="675">
        <v>226.9493965756229</v>
      </c>
    </row>
    <row r="279" spans="1:2">
      <c r="A279" s="219">
        <f t="shared" si="1"/>
        <v>2018.06</v>
      </c>
      <c r="B279" s="675">
        <v>214.9973258376196</v>
      </c>
    </row>
    <row r="280" spans="1:2">
      <c r="A280" s="219">
        <f t="shared" si="1"/>
        <v>2018.07</v>
      </c>
      <c r="B280" s="675">
        <v>207.1330712403884</v>
      </c>
    </row>
    <row r="281" spans="1:2">
      <c r="A281" s="219">
        <f t="shared" si="1"/>
        <v>2018.08</v>
      </c>
      <c r="B281" s="675">
        <v>204.75859480117541</v>
      </c>
    </row>
    <row r="282" spans="1:2">
      <c r="A282" s="219">
        <f t="shared" ref="A282:A345" si="2">A270+1</f>
        <v>2018.09</v>
      </c>
      <c r="B282" s="675">
        <v>199.99345517562091</v>
      </c>
    </row>
    <row r="283" spans="1:2">
      <c r="A283" s="219">
        <f t="shared" si="2"/>
        <v>2018.1</v>
      </c>
      <c r="B283" s="675">
        <v>203.91284445455071</v>
      </c>
    </row>
    <row r="284" spans="1:2">
      <c r="A284" s="219">
        <f t="shared" si="2"/>
        <v>2018.11</v>
      </c>
      <c r="B284" s="675">
        <v>200.98658481820439</v>
      </c>
    </row>
    <row r="285" spans="1:2">
      <c r="A285" s="219">
        <f t="shared" si="2"/>
        <v>2018.12</v>
      </c>
      <c r="B285" s="675">
        <v>201.71747130169999</v>
      </c>
    </row>
    <row r="286" spans="1:2">
      <c r="A286" s="219">
        <f t="shared" si="2"/>
        <v>2019.01</v>
      </c>
      <c r="B286" s="675">
        <v>204.58468490209941</v>
      </c>
    </row>
    <row r="287" spans="1:2">
      <c r="A287" s="219">
        <f t="shared" si="2"/>
        <v>2019.02</v>
      </c>
      <c r="B287" s="675">
        <v>210.54134992608959</v>
      </c>
    </row>
    <row r="288" spans="1:2">
      <c r="A288" s="219">
        <f t="shared" si="2"/>
        <v>2019.03</v>
      </c>
      <c r="B288" s="675">
        <v>204.08230883238519</v>
      </c>
    </row>
    <row r="289" spans="1:2">
      <c r="A289" s="219">
        <f t="shared" si="2"/>
        <v>2019.04</v>
      </c>
      <c r="B289" s="675">
        <v>200.2335075248879</v>
      </c>
    </row>
    <row r="290" spans="1:2">
      <c r="A290" s="219">
        <f t="shared" si="2"/>
        <v>2019.05</v>
      </c>
      <c r="B290" s="675">
        <v>199.9390849386682</v>
      </c>
    </row>
    <row r="291" spans="1:2">
      <c r="A291" s="219">
        <f t="shared" si="2"/>
        <v>2019.06</v>
      </c>
      <c r="B291" s="675">
        <v>211.4723115672806</v>
      </c>
    </row>
    <row r="292" spans="1:2">
      <c r="A292" s="219">
        <f t="shared" si="2"/>
        <v>2019.07</v>
      </c>
      <c r="B292" s="675">
        <v>209.310394132516</v>
      </c>
    </row>
    <row r="293" spans="1:2">
      <c r="A293" s="219">
        <f t="shared" si="2"/>
        <v>2019.08</v>
      </c>
      <c r="B293" s="675">
        <v>199.4952420380238</v>
      </c>
    </row>
    <row r="294" spans="1:2">
      <c r="A294" s="219">
        <f t="shared" si="2"/>
        <v>2019.09</v>
      </c>
      <c r="B294" s="675">
        <v>200.66280512141969</v>
      </c>
    </row>
    <row r="295" spans="1:2">
      <c r="A295" s="219">
        <f t="shared" si="2"/>
        <v>2019.1</v>
      </c>
      <c r="B295" s="675">
        <v>210.0099037197067</v>
      </c>
    </row>
    <row r="296" spans="1:2">
      <c r="A296" s="219">
        <f t="shared" si="2"/>
        <v>2019.11</v>
      </c>
      <c r="B296" s="675">
        <v>207.20256625507821</v>
      </c>
    </row>
    <row r="297" spans="1:2">
      <c r="A297" s="219">
        <f t="shared" si="2"/>
        <v>2019.12</v>
      </c>
      <c r="B297" s="675">
        <v>209.5971468589087</v>
      </c>
    </row>
    <row r="298" spans="1:2">
      <c r="A298" s="219">
        <f t="shared" si="2"/>
        <v>2020.01</v>
      </c>
      <c r="B298" s="675">
        <v>214.20736732406661</v>
      </c>
    </row>
    <row r="299" spans="1:2">
      <c r="A299" s="219">
        <f t="shared" si="2"/>
        <v>2020.02</v>
      </c>
      <c r="B299" s="675">
        <v>205.5255033828355</v>
      </c>
    </row>
    <row r="300" spans="1:2">
      <c r="A300" s="219">
        <f t="shared" si="2"/>
        <v>2020.03</v>
      </c>
      <c r="B300" s="675">
        <v>193.54970654924031</v>
      </c>
    </row>
    <row r="301" spans="1:2">
      <c r="A301" s="219">
        <f t="shared" si="2"/>
        <v>2020.04</v>
      </c>
      <c r="B301" s="675">
        <v>182.49967545544331</v>
      </c>
    </row>
    <row r="302" spans="1:2">
      <c r="A302" s="219">
        <f t="shared" si="2"/>
        <v>2020.05</v>
      </c>
      <c r="B302" s="675">
        <v>182.60877119717489</v>
      </c>
    </row>
    <row r="303" spans="1:2">
      <c r="A303" s="219">
        <f t="shared" si="2"/>
        <v>2020.06</v>
      </c>
      <c r="B303" s="675">
        <v>188.6153571906774</v>
      </c>
    </row>
    <row r="304" spans="1:2">
      <c r="A304" s="219">
        <f t="shared" si="2"/>
        <v>2020.07</v>
      </c>
      <c r="B304" s="675">
        <v>194.67146700070279</v>
      </c>
    </row>
    <row r="305" spans="1:2">
      <c r="A305" s="219">
        <f t="shared" si="2"/>
        <v>2020.08</v>
      </c>
      <c r="B305" s="675">
        <v>198.17485587382379</v>
      </c>
    </row>
    <row r="306" spans="1:2">
      <c r="A306" s="219">
        <f t="shared" si="2"/>
        <v>2020.09</v>
      </c>
      <c r="B306" s="675">
        <v>210.0154365760456</v>
      </c>
    </row>
    <row r="307" spans="1:2">
      <c r="A307" s="219">
        <f t="shared" si="2"/>
        <v>2020.1</v>
      </c>
      <c r="B307" s="675">
        <v>224.52591616719499</v>
      </c>
    </row>
    <row r="308" spans="1:2">
      <c r="A308" s="219">
        <f t="shared" si="2"/>
        <v>2020.11</v>
      </c>
      <c r="B308" s="675">
        <v>237.53609585947299</v>
      </c>
    </row>
    <row r="309" spans="1:2">
      <c r="A309" s="219">
        <f t="shared" si="2"/>
        <v>2020.12</v>
      </c>
      <c r="B309" s="675">
        <v>247.3610014164822</v>
      </c>
    </row>
    <row r="310" spans="1:2">
      <c r="A310" s="219">
        <f t="shared" si="2"/>
        <v>2021.01</v>
      </c>
      <c r="B310" s="675">
        <v>270.6342143763269</v>
      </c>
    </row>
    <row r="311" spans="1:2">
      <c r="A311" s="219">
        <f t="shared" si="2"/>
        <v>2021.02</v>
      </c>
      <c r="B311" s="675">
        <v>278.30588879145341</v>
      </c>
    </row>
    <row r="312" spans="1:2">
      <c r="A312" s="219">
        <f t="shared" si="2"/>
        <v>2021.03</v>
      </c>
      <c r="B312" s="675">
        <v>281.22708688160958</v>
      </c>
    </row>
    <row r="313" spans="1:2">
      <c r="A313" s="219">
        <f t="shared" si="2"/>
        <v>2021.04</v>
      </c>
      <c r="B313" s="675">
        <v>292.13626459427161</v>
      </c>
    </row>
    <row r="314" spans="1:2">
      <c r="A314" s="219">
        <f t="shared" si="2"/>
        <v>2021.05</v>
      </c>
      <c r="B314" s="675">
        <v>317.37071589615749</v>
      </c>
    </row>
    <row r="315" spans="1:2">
      <c r="A315" s="219">
        <f t="shared" si="2"/>
        <v>2021.06</v>
      </c>
      <c r="B315" s="675">
        <v>309.38490990497922</v>
      </c>
    </row>
    <row r="316" spans="1:2">
      <c r="A316" s="219">
        <f t="shared" si="2"/>
        <v>2021.07</v>
      </c>
      <c r="B316" s="675">
        <v>295.47207680297947</v>
      </c>
    </row>
    <row r="317" spans="1:2">
      <c r="A317" s="219">
        <f t="shared" si="2"/>
        <v>2021.08</v>
      </c>
      <c r="B317" s="675">
        <v>290.64277893201353</v>
      </c>
    </row>
    <row r="318" spans="1:2">
      <c r="A318" s="219">
        <f t="shared" si="2"/>
        <v>2021.09</v>
      </c>
      <c r="B318" s="675">
        <v>276.8038784643789</v>
      </c>
    </row>
    <row r="319" spans="1:2">
      <c r="A319" s="219">
        <f t="shared" si="2"/>
        <v>2021.1</v>
      </c>
      <c r="B319" s="675">
        <v>279.19212152621571</v>
      </c>
    </row>
    <row r="320" spans="1:2">
      <c r="A320" s="219">
        <f t="shared" si="2"/>
        <v>2021.11</v>
      </c>
      <c r="B320" s="675">
        <v>289.54378950728301</v>
      </c>
    </row>
    <row r="321" spans="1:2">
      <c r="A321" s="219">
        <f t="shared" si="2"/>
        <v>2021.12</v>
      </c>
      <c r="B321" s="675">
        <v>295.27888772452468</v>
      </c>
    </row>
    <row r="322" spans="1:2">
      <c r="A322" s="219">
        <f t="shared" si="2"/>
        <v>2022.01</v>
      </c>
      <c r="B322" s="675">
        <v>310.329261495249</v>
      </c>
    </row>
    <row r="323" spans="1:2">
      <c r="A323" s="219">
        <f t="shared" si="2"/>
        <v>2022.02</v>
      </c>
      <c r="B323" s="675">
        <v>330.54359100346312</v>
      </c>
    </row>
    <row r="324" spans="1:2">
      <c r="A324" s="219">
        <f t="shared" si="2"/>
        <v>2022.03</v>
      </c>
      <c r="B324" s="675">
        <v>367.59842050375181</v>
      </c>
    </row>
    <row r="325" spans="1:2">
      <c r="A325" s="219">
        <f t="shared" si="2"/>
        <v>2022.04</v>
      </c>
      <c r="B325" s="675">
        <v>371.64300472272038</v>
      </c>
    </row>
    <row r="326" spans="1:2">
      <c r="A326" s="219">
        <f t="shared" si="2"/>
        <v>2022.05</v>
      </c>
      <c r="B326" s="675">
        <v>372.45733820920589</v>
      </c>
    </row>
    <row r="327" spans="1:2">
      <c r="A327" s="219">
        <f t="shared" si="2"/>
        <v>2022.06</v>
      </c>
      <c r="B327" s="675">
        <v>365.61183685366109</v>
      </c>
    </row>
    <row r="328" spans="1:2">
      <c r="A328" s="219">
        <f t="shared" si="2"/>
        <v>2022.07</v>
      </c>
      <c r="B328" s="675">
        <v>337.6640451326287</v>
      </c>
    </row>
    <row r="329" spans="1:2">
      <c r="A329" s="219">
        <f t="shared" si="2"/>
        <v>2022.08</v>
      </c>
      <c r="B329" s="675">
        <v>340.65046862400811</v>
      </c>
    </row>
    <row r="330" spans="1:2">
      <c r="A330" s="219">
        <f t="shared" si="2"/>
        <v>2022.09</v>
      </c>
      <c r="B330" s="675">
        <v>331.12254157772912</v>
      </c>
    </row>
    <row r="331" spans="1:2">
      <c r="A331" s="219">
        <f t="shared" si="2"/>
        <v>2022.1</v>
      </c>
      <c r="B331" s="675">
        <v>327.19622472515789</v>
      </c>
    </row>
    <row r="332" spans="1:2">
      <c r="A332" s="219">
        <f t="shared" si="2"/>
        <v>2022.11</v>
      </c>
      <c r="B332" s="675">
        <v>330.19120459570752</v>
      </c>
    </row>
    <row r="333" spans="1:2">
      <c r="A333" s="219">
        <f t="shared" si="2"/>
        <v>2022.12</v>
      </c>
      <c r="B333" s="675">
        <v>321.18785202237382</v>
      </c>
    </row>
    <row r="334" spans="1:2">
      <c r="A334" s="219">
        <f t="shared" si="2"/>
        <v>2023.01</v>
      </c>
      <c r="B334" s="675">
        <v>327.70025017064819</v>
      </c>
    </row>
    <row r="335" spans="1:2">
      <c r="A335" s="219">
        <f t="shared" si="2"/>
        <v>2023.02</v>
      </c>
      <c r="B335" s="675">
        <v>325.8655047623123</v>
      </c>
    </row>
    <row r="336" spans="1:2">
      <c r="A336" s="219">
        <f t="shared" si="2"/>
        <v>2023.03</v>
      </c>
      <c r="B336" s="675">
        <v>313.73334766311132</v>
      </c>
    </row>
    <row r="337" spans="1:2">
      <c r="A337" s="219">
        <f t="shared" si="2"/>
        <v>2023.04</v>
      </c>
      <c r="B337" s="675">
        <v>311.01035179606993</v>
      </c>
    </row>
    <row r="338" spans="1:2">
      <c r="A338" s="219">
        <f t="shared" si="2"/>
        <v>2023.05</v>
      </c>
      <c r="B338" s="675">
        <v>291.6650651875355</v>
      </c>
    </row>
    <row r="339" spans="1:2">
      <c r="A339" s="219">
        <f t="shared" si="2"/>
        <v>2023.06</v>
      </c>
      <c r="B339" s="675">
        <v>297.75278030366218</v>
      </c>
    </row>
    <row r="340" spans="1:2">
      <c r="A340" s="219">
        <f t="shared" si="2"/>
        <v>2023.07</v>
      </c>
      <c r="B340" s="675">
        <v>308.05845920645618</v>
      </c>
    </row>
    <row r="341" spans="1:2">
      <c r="A341" s="219">
        <f t="shared" si="2"/>
        <v>2023.08</v>
      </c>
      <c r="B341" s="675">
        <v>298.27049198514948</v>
      </c>
    </row>
    <row r="342" spans="1:2">
      <c r="A342" s="219">
        <f t="shared" si="2"/>
        <v>2023.09</v>
      </c>
      <c r="B342" s="675">
        <v>291.38860598896667</v>
      </c>
    </row>
    <row r="343" spans="1:2">
      <c r="A343" s="219">
        <f t="shared" si="2"/>
        <v>2023.1</v>
      </c>
      <c r="B343" s="675">
        <v>285.26006017665469</v>
      </c>
    </row>
    <row r="344" spans="1:2">
      <c r="A344" s="219">
        <f t="shared" si="2"/>
        <v>2023.11</v>
      </c>
      <c r="B344" s="675">
        <v>287.42871225748348</v>
      </c>
    </row>
    <row r="345" spans="1:2">
      <c r="A345" s="219">
        <f t="shared" si="2"/>
        <v>2023.12</v>
      </c>
      <c r="B345" s="675">
        <v>279.75251888884532</v>
      </c>
    </row>
    <row r="346" spans="1:2">
      <c r="A346" s="219">
        <f t="shared" ref="A346:A369" si="3">A334+1</f>
        <v>2024.01</v>
      </c>
      <c r="B346" s="675">
        <v>267.5259307998399</v>
      </c>
    </row>
    <row r="347" spans="1:2">
      <c r="A347" s="219">
        <f t="shared" si="3"/>
        <v>2024.02</v>
      </c>
      <c r="B347" s="675">
        <v>262.03932888041612</v>
      </c>
    </row>
    <row r="348" spans="1:2">
      <c r="A348" s="219">
        <f t="shared" si="3"/>
        <v>2024.03</v>
      </c>
      <c r="B348" s="675">
        <v>262.14133327446632</v>
      </c>
    </row>
    <row r="349" spans="1:2">
      <c r="A349" s="219">
        <f t="shared" si="3"/>
        <v>2024.04</v>
      </c>
      <c r="B349" s="675" t="e">
        <v>#N/A</v>
      </c>
    </row>
    <row r="350" spans="1:2">
      <c r="A350" s="219">
        <f t="shared" si="3"/>
        <v>2024.05</v>
      </c>
      <c r="B350" s="675" t="e">
        <v>#N/A</v>
      </c>
    </row>
    <row r="351" spans="1:2">
      <c r="A351" s="219">
        <f t="shared" si="3"/>
        <v>2024.06</v>
      </c>
      <c r="B351" s="675" t="e">
        <v>#N/A</v>
      </c>
    </row>
    <row r="352" spans="1:2">
      <c r="A352" s="219">
        <f t="shared" si="3"/>
        <v>2024.07</v>
      </c>
      <c r="B352" s="675" t="e">
        <v>#N/A</v>
      </c>
    </row>
    <row r="353" spans="1:2">
      <c r="A353" s="219">
        <f t="shared" si="3"/>
        <v>2024.08</v>
      </c>
      <c r="B353" s="675" t="e">
        <v>#N/A</v>
      </c>
    </row>
    <row r="354" spans="1:2">
      <c r="A354" s="219">
        <f t="shared" si="3"/>
        <v>2024.09</v>
      </c>
      <c r="B354" s="675" t="e">
        <v>#N/A</v>
      </c>
    </row>
    <row r="355" spans="1:2">
      <c r="A355" s="219">
        <f t="shared" si="3"/>
        <v>2024.1</v>
      </c>
      <c r="B355" s="675" t="e">
        <v>#N/A</v>
      </c>
    </row>
    <row r="356" spans="1:2">
      <c r="A356" s="219">
        <f t="shared" si="3"/>
        <v>2024.11</v>
      </c>
      <c r="B356" s="675" t="e">
        <v>#N/A</v>
      </c>
    </row>
    <row r="357" spans="1:2">
      <c r="A357" s="219">
        <f t="shared" si="3"/>
        <v>2024.12</v>
      </c>
      <c r="B357" s="675" t="e">
        <v>#N/A</v>
      </c>
    </row>
    <row r="358" spans="1:2">
      <c r="A358" s="219">
        <f t="shared" si="3"/>
        <v>2025.01</v>
      </c>
      <c r="B358" s="675" t="e">
        <v>#N/A</v>
      </c>
    </row>
    <row r="359" spans="1:2">
      <c r="A359" s="219">
        <f t="shared" si="3"/>
        <v>2025.02</v>
      </c>
      <c r="B359" s="675" t="e">
        <v>#N/A</v>
      </c>
    </row>
    <row r="360" spans="1:2">
      <c r="A360" s="219">
        <f t="shared" si="3"/>
        <v>2025.03</v>
      </c>
      <c r="B360" s="675" t="e">
        <v>#N/A</v>
      </c>
    </row>
    <row r="361" spans="1:2">
      <c r="A361" s="219">
        <f t="shared" si="3"/>
        <v>2025.04</v>
      </c>
      <c r="B361" s="675" t="e">
        <v>#N/A</v>
      </c>
    </row>
    <row r="362" spans="1:2">
      <c r="A362" s="219">
        <f t="shared" si="3"/>
        <v>2025.05</v>
      </c>
      <c r="B362" s="675" t="e">
        <v>#N/A</v>
      </c>
    </row>
    <row r="363" spans="1:2">
      <c r="A363" s="219">
        <f t="shared" si="3"/>
        <v>2025.06</v>
      </c>
      <c r="B363" s="675" t="e">
        <v>#N/A</v>
      </c>
    </row>
    <row r="364" spans="1:2">
      <c r="A364" s="219">
        <f t="shared" si="3"/>
        <v>2025.07</v>
      </c>
      <c r="B364" s="675" t="e">
        <v>#N/A</v>
      </c>
    </row>
    <row r="365" spans="1:2">
      <c r="A365" s="219">
        <f t="shared" si="3"/>
        <v>2025.08</v>
      </c>
      <c r="B365" s="675" t="e">
        <v>#N/A</v>
      </c>
    </row>
    <row r="366" spans="1:2">
      <c r="A366" s="219">
        <f t="shared" si="3"/>
        <v>2025.09</v>
      </c>
      <c r="B366" s="675" t="e">
        <v>#N/A</v>
      </c>
    </row>
    <row r="367" spans="1:2">
      <c r="A367" s="219">
        <f t="shared" si="3"/>
        <v>2025.1</v>
      </c>
      <c r="B367" s="675" t="e">
        <v>#N/A</v>
      </c>
    </row>
    <row r="368" spans="1:2">
      <c r="A368" s="219">
        <f t="shared" si="3"/>
        <v>2025.11</v>
      </c>
      <c r="B368" s="675" t="e">
        <v>#N/A</v>
      </c>
    </row>
    <row r="369" spans="1:2">
      <c r="A369" s="219">
        <f t="shared" si="3"/>
        <v>2025.12</v>
      </c>
      <c r="B369" s="675" t="e">
        <v>#N/A</v>
      </c>
    </row>
    <row r="370" spans="1:2">
      <c r="A370" s="2765">
        <v>2026.01</v>
      </c>
      <c r="B370" s="675" t="e">
        <v>#N/A</v>
      </c>
    </row>
    <row r="371" spans="1:2">
      <c r="A371" s="2765">
        <v>2026.02</v>
      </c>
      <c r="B371" s="675" t="e">
        <v>#N/A</v>
      </c>
    </row>
    <row r="372" spans="1:2">
      <c r="A372" s="2765">
        <v>2026.03</v>
      </c>
      <c r="B372" s="675" t="e">
        <v>#N/A</v>
      </c>
    </row>
    <row r="373" spans="1:2">
      <c r="A373" s="2765">
        <v>2026.04</v>
      </c>
      <c r="B373" s="675" t="e">
        <v>#N/A</v>
      </c>
    </row>
    <row r="374" spans="1:2">
      <c r="A374" s="2765">
        <v>2026.05</v>
      </c>
      <c r="B374" s="675" t="e">
        <v>#N/A</v>
      </c>
    </row>
    <row r="375" spans="1:2">
      <c r="A375" s="2765">
        <v>2026.06</v>
      </c>
      <c r="B375" s="675" t="e">
        <v>#N/A</v>
      </c>
    </row>
    <row r="376" spans="1:2">
      <c r="A376" s="2765">
        <v>2026.07</v>
      </c>
      <c r="B376" s="675" t="e">
        <v>#N/A</v>
      </c>
    </row>
    <row r="377" spans="1:2">
      <c r="A377" s="2765">
        <v>2026.08</v>
      </c>
      <c r="B377" s="675" t="e">
        <v>#N/A</v>
      </c>
    </row>
    <row r="378" spans="1:2">
      <c r="A378" s="2765">
        <v>2026.09</v>
      </c>
      <c r="B378" s="675" t="e">
        <v>#N/A</v>
      </c>
    </row>
    <row r="379" spans="1:2">
      <c r="A379" s="2765">
        <v>2026.1</v>
      </c>
      <c r="B379" s="675" t="e">
        <v>#N/A</v>
      </c>
    </row>
    <row r="380" spans="1:2">
      <c r="A380" s="2765">
        <v>2026.11</v>
      </c>
      <c r="B380" s="675" t="e">
        <v>#N/A</v>
      </c>
    </row>
    <row r="381" spans="1:2">
      <c r="A381" s="2765">
        <v>2026.12</v>
      </c>
      <c r="B381" s="675" t="e">
        <v>#N/A</v>
      </c>
    </row>
    <row r="382" spans="1:2">
      <c r="A382" s="2765">
        <v>2027.01</v>
      </c>
      <c r="B382" s="675" t="e">
        <v>#N/A</v>
      </c>
    </row>
    <row r="383" spans="1:2">
      <c r="A383" s="2765">
        <v>2027.02</v>
      </c>
      <c r="B383" s="675" t="e">
        <v>#N/A</v>
      </c>
    </row>
    <row r="384" spans="1:2">
      <c r="A384" s="2765">
        <v>2027.03</v>
      </c>
      <c r="B384" s="675" t="e">
        <v>#N/A</v>
      </c>
    </row>
    <row r="385" spans="1:2">
      <c r="A385" s="2765">
        <v>2027.04</v>
      </c>
      <c r="B385" s="675" t="e">
        <v>#N/A</v>
      </c>
    </row>
    <row r="386" spans="1:2">
      <c r="A386" s="2765">
        <v>2027.05</v>
      </c>
      <c r="B386" s="675" t="e">
        <v>#N/A</v>
      </c>
    </row>
    <row r="387" spans="1:2">
      <c r="A387" s="2765">
        <v>2027.06</v>
      </c>
      <c r="B387" s="675" t="e">
        <v>#N/A</v>
      </c>
    </row>
    <row r="388" spans="1:2">
      <c r="A388" s="2765">
        <v>2027.07</v>
      </c>
      <c r="B388" s="675" t="e">
        <v>#N/A</v>
      </c>
    </row>
    <row r="389" spans="1:2">
      <c r="A389" s="2765">
        <v>2027.08</v>
      </c>
      <c r="B389" s="675" t="e">
        <v>#N/A</v>
      </c>
    </row>
    <row r="390" spans="1:2">
      <c r="A390" s="2765">
        <v>2027.09</v>
      </c>
      <c r="B390" s="675" t="e">
        <v>#N/A</v>
      </c>
    </row>
    <row r="391" spans="1:2">
      <c r="A391" s="2765">
        <v>2027.1</v>
      </c>
      <c r="B391" s="675" t="e">
        <v>#N/A</v>
      </c>
    </row>
    <row r="392" spans="1:2">
      <c r="A392" s="2765">
        <v>2027.11</v>
      </c>
      <c r="B392" s="675" t="e">
        <v>#N/A</v>
      </c>
    </row>
    <row r="393" spans="1:2">
      <c r="A393" s="2765">
        <v>2027.12</v>
      </c>
      <c r="B393" s="675" t="e">
        <v>#N/A</v>
      </c>
    </row>
    <row r="394" spans="1:2">
      <c r="A394" s="2765">
        <v>2028.01</v>
      </c>
      <c r="B394" s="675" t="e">
        <v>#N/A</v>
      </c>
    </row>
    <row r="395" spans="1:2">
      <c r="A395" s="2765">
        <v>2028.02</v>
      </c>
      <c r="B395" s="675" t="e">
        <v>#N/A</v>
      </c>
    </row>
    <row r="396" spans="1:2">
      <c r="A396" s="2765">
        <v>2028.03</v>
      </c>
      <c r="B396" s="675" t="e">
        <v>#N/A</v>
      </c>
    </row>
    <row r="397" spans="1:2">
      <c r="A397" s="2765">
        <v>2028.04</v>
      </c>
      <c r="B397" s="675" t="e">
        <v>#N/A</v>
      </c>
    </row>
    <row r="398" spans="1:2">
      <c r="A398" s="2765">
        <v>2028.05</v>
      </c>
      <c r="B398" s="675" t="e">
        <v>#N/A</v>
      </c>
    </row>
    <row r="399" spans="1:2">
      <c r="A399" s="2765">
        <v>2028.06</v>
      </c>
      <c r="B399" s="675" t="e">
        <v>#N/A</v>
      </c>
    </row>
    <row r="400" spans="1:2">
      <c r="A400" s="2765">
        <v>2028.07</v>
      </c>
      <c r="B400" s="675" t="e">
        <v>#N/A</v>
      </c>
    </row>
    <row r="401" spans="1:2">
      <c r="A401" s="2765">
        <v>2028.08</v>
      </c>
      <c r="B401" s="675" t="e">
        <v>#N/A</v>
      </c>
    </row>
    <row r="402" spans="1:2">
      <c r="A402" s="2765">
        <v>2028.09</v>
      </c>
      <c r="B402" s="675" t="e">
        <v>#N/A</v>
      </c>
    </row>
    <row r="403" spans="1:2">
      <c r="A403" s="2765">
        <v>2028.1</v>
      </c>
      <c r="B403" s="675" t="e">
        <v>#N/A</v>
      </c>
    </row>
    <row r="404" spans="1:2">
      <c r="A404" s="2765">
        <v>2028.11</v>
      </c>
      <c r="B404" s="675" t="e">
        <v>#N/A</v>
      </c>
    </row>
    <row r="405" spans="1:2">
      <c r="A405" s="2765">
        <v>2028.12</v>
      </c>
      <c r="B405" s="675" t="e">
        <v>#N/A</v>
      </c>
    </row>
    <row r="406" spans="1:2">
      <c r="A406" s="2765">
        <v>2029.01</v>
      </c>
      <c r="B406" s="675" t="e">
        <v>#N/A</v>
      </c>
    </row>
    <row r="407" spans="1:2">
      <c r="A407" s="2765">
        <v>2029.02</v>
      </c>
      <c r="B407" s="675" t="e">
        <v>#N/A</v>
      </c>
    </row>
    <row r="408" spans="1:2">
      <c r="A408" s="2765">
        <v>2029.03</v>
      </c>
      <c r="B408" s="675" t="e">
        <v>#N/A</v>
      </c>
    </row>
    <row r="409" spans="1:2">
      <c r="A409" s="2765">
        <v>2029.04</v>
      </c>
      <c r="B409" s="675" t="e">
        <v>#N/A</v>
      </c>
    </row>
    <row r="410" spans="1:2">
      <c r="A410" s="2765">
        <v>2029.05</v>
      </c>
      <c r="B410" s="675" t="e">
        <v>#N/A</v>
      </c>
    </row>
    <row r="411" spans="1:2">
      <c r="A411" s="2765">
        <v>2029.06</v>
      </c>
      <c r="B411" s="675" t="e">
        <v>#N/A</v>
      </c>
    </row>
    <row r="412" spans="1:2">
      <c r="A412" s="2765">
        <v>2029.07</v>
      </c>
      <c r="B412" s="675" t="e">
        <v>#N/A</v>
      </c>
    </row>
    <row r="413" spans="1:2">
      <c r="A413" s="2765">
        <v>2029.08</v>
      </c>
      <c r="B413" s="675" t="e">
        <v>#N/A</v>
      </c>
    </row>
    <row r="414" spans="1:2">
      <c r="A414" s="2765">
        <v>2029.09</v>
      </c>
      <c r="B414" s="675" t="e">
        <v>#N/A</v>
      </c>
    </row>
    <row r="415" spans="1:2">
      <c r="A415" s="2765">
        <v>2029.1</v>
      </c>
      <c r="B415" s="675" t="e">
        <v>#N/A</v>
      </c>
    </row>
    <row r="416" spans="1:2">
      <c r="A416" s="2765">
        <v>2029.11</v>
      </c>
      <c r="B416" s="675" t="e">
        <v>#N/A</v>
      </c>
    </row>
    <row r="417" spans="1:2">
      <c r="A417" s="2765">
        <v>2029.12</v>
      </c>
      <c r="B417" s="675" t="e">
        <v>#N/A</v>
      </c>
    </row>
    <row r="418" spans="1:2">
      <c r="A418" s="2765">
        <v>2030.01</v>
      </c>
      <c r="B418" s="675" t="e">
        <v>#N/A</v>
      </c>
    </row>
    <row r="419" spans="1:2">
      <c r="A419" s="2765">
        <v>2030.02</v>
      </c>
      <c r="B419" s="675" t="e">
        <v>#N/A</v>
      </c>
    </row>
    <row r="420" spans="1:2">
      <c r="A420" s="2765">
        <v>2030.03</v>
      </c>
      <c r="B420" s="675" t="e">
        <v>#N/A</v>
      </c>
    </row>
    <row r="421" spans="1:2">
      <c r="A421" s="2765">
        <v>2030.04</v>
      </c>
      <c r="B421" s="675" t="e">
        <v>#N/A</v>
      </c>
    </row>
    <row r="422" spans="1:2">
      <c r="A422" s="2765">
        <v>2030.05</v>
      </c>
      <c r="B422" s="675" t="e">
        <v>#N/A</v>
      </c>
    </row>
    <row r="423" spans="1:2">
      <c r="A423" s="2765">
        <v>2030.06</v>
      </c>
      <c r="B423" s="675" t="e">
        <v>#N/A</v>
      </c>
    </row>
    <row r="424" spans="1:2">
      <c r="A424" s="2765">
        <v>2030.07</v>
      </c>
      <c r="B424" s="675" t="e">
        <v>#N/A</v>
      </c>
    </row>
    <row r="425" spans="1:2">
      <c r="A425" s="2765">
        <v>2030.08</v>
      </c>
      <c r="B425" s="675" t="e">
        <v>#N/A</v>
      </c>
    </row>
    <row r="426" spans="1:2">
      <c r="A426" s="2765">
        <v>2030.09</v>
      </c>
      <c r="B426" s="675" t="e">
        <v>#N/A</v>
      </c>
    </row>
    <row r="427" spans="1:2">
      <c r="A427" s="2765">
        <v>2030.1</v>
      </c>
      <c r="B427" s="675" t="e">
        <v>#N/A</v>
      </c>
    </row>
    <row r="428" spans="1:2">
      <c r="A428" s="2765">
        <v>2030.11</v>
      </c>
      <c r="B428" s="675" t="e">
        <v>#N/A</v>
      </c>
    </row>
    <row r="429" spans="1:2">
      <c r="A429" s="2765">
        <v>2030.12</v>
      </c>
      <c r="B429" s="675" t="e">
        <v>#N/A</v>
      </c>
    </row>
  </sheetData>
  <hyperlinks>
    <hyperlink ref="A1:A3" location="Indice!A1" display="ÍNDICE" xr:uid="{00000000-0004-0000-3800-000000000000}"/>
    <hyperlink ref="A5" location="INDICE!A13" display="VOLVER AL INDICE" xr:uid="{00000000-0004-0000-38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4"/>
  <dimension ref="A1:K501"/>
  <sheetViews>
    <sheetView zoomScale="130" zoomScaleNormal="130" workbookViewId="0">
      <pane xSplit="1" ySplit="9" topLeftCell="B418" activePane="bottomRight" state="frozen"/>
      <selection sqref="A1:A5"/>
      <selection pane="topRight" sqref="A1:A5"/>
      <selection pane="bottomLeft" sqref="A1:A5"/>
      <selection pane="bottomRight" activeCell="A5" sqref="A5"/>
    </sheetView>
  </sheetViews>
  <sheetFormatPr baseColWidth="10" defaultColWidth="12.5703125" defaultRowHeight="12.75"/>
  <cols>
    <col min="1" max="11" width="11" style="222" customWidth="1"/>
    <col min="12" max="16384" width="12.5703125" style="16"/>
  </cols>
  <sheetData>
    <row r="1" spans="1:11" s="14" customFormat="1" ht="3.75" customHeight="1">
      <c r="A1" s="37"/>
      <c r="B1" s="226"/>
      <c r="C1" s="327"/>
      <c r="D1" s="327"/>
      <c r="E1" s="327"/>
      <c r="F1" s="327"/>
      <c r="G1" s="327"/>
      <c r="H1" s="327"/>
      <c r="I1" s="327"/>
      <c r="J1" s="327"/>
      <c r="K1" s="220"/>
    </row>
    <row r="2" spans="1:11" s="14" customFormat="1">
      <c r="A2" s="121" t="s">
        <v>212</v>
      </c>
      <c r="B2" s="237" t="s">
        <v>329</v>
      </c>
      <c r="C2" s="338"/>
      <c r="D2" s="238"/>
      <c r="E2" s="234"/>
      <c r="F2" s="338"/>
      <c r="G2" s="338"/>
      <c r="H2" s="338"/>
      <c r="I2" s="238"/>
      <c r="J2" s="234"/>
      <c r="K2" s="400"/>
    </row>
    <row r="3" spans="1:11" s="14" customFormat="1">
      <c r="A3" s="121" t="s">
        <v>330</v>
      </c>
      <c r="B3" s="239" t="s">
        <v>331</v>
      </c>
      <c r="C3" s="324"/>
      <c r="D3" s="240"/>
      <c r="E3" s="339"/>
      <c r="F3" s="324"/>
      <c r="G3" s="324"/>
      <c r="H3" s="324"/>
      <c r="I3" s="240"/>
      <c r="J3" s="339"/>
      <c r="K3" s="401"/>
    </row>
    <row r="4" spans="1:11" s="14" customFormat="1" ht="2.25" customHeight="1">
      <c r="A4" s="224"/>
      <c r="B4" s="248"/>
      <c r="C4" s="323"/>
      <c r="D4" s="323"/>
      <c r="E4" s="323"/>
      <c r="F4" s="323"/>
      <c r="G4" s="323"/>
      <c r="H4" s="323"/>
      <c r="I4" s="323"/>
      <c r="J4" s="323"/>
      <c r="K4" s="250"/>
    </row>
    <row r="5" spans="1:11" s="14" customFormat="1" ht="22.5">
      <c r="A5" s="45" t="s">
        <v>213</v>
      </c>
      <c r="B5" s="242" t="s">
        <v>332</v>
      </c>
      <c r="C5" s="340"/>
      <c r="D5" s="243"/>
      <c r="E5" s="246" t="s">
        <v>333</v>
      </c>
      <c r="F5" s="340"/>
      <c r="G5" s="246" t="s">
        <v>337</v>
      </c>
      <c r="H5" s="340"/>
      <c r="I5" s="243"/>
      <c r="J5" s="246" t="s">
        <v>338</v>
      </c>
      <c r="K5" s="402"/>
    </row>
    <row r="6" spans="1:11" s="14" customFormat="1" ht="2.25" customHeight="1">
      <c r="A6" s="224"/>
      <c r="B6" s="248"/>
      <c r="C6" s="323"/>
      <c r="D6" s="323"/>
      <c r="E6" s="249"/>
      <c r="F6" s="323"/>
      <c r="G6" s="323"/>
      <c r="H6" s="323"/>
      <c r="I6" s="323"/>
      <c r="J6" s="249"/>
      <c r="K6" s="250"/>
    </row>
    <row r="7" spans="1:11" s="14" customFormat="1" ht="22.5">
      <c r="A7" s="47" t="s">
        <v>210</v>
      </c>
      <c r="B7" s="242" t="s">
        <v>339</v>
      </c>
      <c r="C7" s="2013" t="s">
        <v>340</v>
      </c>
      <c r="D7" s="340" t="s">
        <v>341</v>
      </c>
      <c r="E7" s="246" t="s">
        <v>339</v>
      </c>
      <c r="F7" s="2178" t="s">
        <v>342</v>
      </c>
      <c r="G7" s="246" t="s">
        <v>339</v>
      </c>
      <c r="H7" s="2013" t="s">
        <v>343</v>
      </c>
      <c r="I7" s="340" t="s">
        <v>341</v>
      </c>
      <c r="J7" s="246" t="s">
        <v>339</v>
      </c>
      <c r="K7" s="2189" t="s">
        <v>344</v>
      </c>
    </row>
    <row r="8" spans="1:11" s="14" customFormat="1" ht="13.5" customHeight="1">
      <c r="A8" s="225" t="s">
        <v>412</v>
      </c>
      <c r="B8" s="397" t="s">
        <v>705</v>
      </c>
      <c r="C8" s="1290" t="s">
        <v>706</v>
      </c>
      <c r="D8" s="396" t="s">
        <v>825</v>
      </c>
      <c r="E8" s="398" t="s">
        <v>826</v>
      </c>
      <c r="F8" s="1156" t="s">
        <v>827</v>
      </c>
      <c r="G8" s="398" t="s">
        <v>828</v>
      </c>
      <c r="H8" s="1290" t="s">
        <v>829</v>
      </c>
      <c r="I8" s="396" t="s">
        <v>830</v>
      </c>
      <c r="J8" s="398" t="s">
        <v>831</v>
      </c>
      <c r="K8" s="1319" t="s">
        <v>832</v>
      </c>
    </row>
    <row r="9" spans="1:11" s="15" customFormat="1" ht="13.5" thickBot="1">
      <c r="A9" s="194"/>
      <c r="B9" s="237"/>
      <c r="C9" s="2170"/>
      <c r="D9" s="2166"/>
      <c r="E9" s="2174"/>
      <c r="F9" s="2179"/>
      <c r="G9" s="2174"/>
      <c r="H9" s="2170"/>
      <c r="I9" s="2166"/>
      <c r="J9" s="2174"/>
      <c r="K9" s="2190"/>
    </row>
    <row r="10" spans="1:11">
      <c r="A10" s="341">
        <v>1990.01</v>
      </c>
      <c r="B10" s="502">
        <v>2000</v>
      </c>
      <c r="C10" s="2171">
        <v>34.799999999999997</v>
      </c>
      <c r="D10" s="2167"/>
      <c r="E10" s="2175">
        <v>750</v>
      </c>
      <c r="F10" s="2180">
        <v>8.6</v>
      </c>
      <c r="G10" s="2183">
        <v>750</v>
      </c>
      <c r="H10" s="2185">
        <v>1412</v>
      </c>
      <c r="I10" s="2167"/>
      <c r="J10" s="2188">
        <v>250</v>
      </c>
      <c r="K10" s="2191">
        <v>400</v>
      </c>
    </row>
    <row r="11" spans="1:11">
      <c r="A11" s="341">
        <v>1990.02</v>
      </c>
      <c r="B11" s="2165">
        <v>2000</v>
      </c>
      <c r="C11" s="2172">
        <v>32.700000000000003</v>
      </c>
      <c r="D11" s="2167"/>
      <c r="E11" s="2176">
        <v>750</v>
      </c>
      <c r="F11" s="2181">
        <v>9.1999999999999993</v>
      </c>
      <c r="G11" s="2176">
        <v>750</v>
      </c>
      <c r="H11" s="2186">
        <v>1838</v>
      </c>
      <c r="I11" s="2167"/>
      <c r="J11" s="2176">
        <v>250</v>
      </c>
      <c r="K11" s="2192">
        <v>583</v>
      </c>
    </row>
    <row r="12" spans="1:11">
      <c r="A12" s="341">
        <v>1990.03</v>
      </c>
      <c r="B12" s="2165">
        <v>2000</v>
      </c>
      <c r="C12" s="2172">
        <v>30.6</v>
      </c>
      <c r="D12" s="2167"/>
      <c r="E12" s="2176">
        <v>750</v>
      </c>
      <c r="F12" s="2181">
        <v>9.8000000000000007</v>
      </c>
      <c r="G12" s="2176">
        <v>750</v>
      </c>
      <c r="H12" s="2186">
        <v>1361</v>
      </c>
      <c r="I12" s="2167"/>
      <c r="J12" s="2176">
        <v>250</v>
      </c>
      <c r="K12" s="2192">
        <v>422</v>
      </c>
    </row>
    <row r="13" spans="1:11">
      <c r="A13" s="341">
        <v>1990.04</v>
      </c>
      <c r="B13" s="2165">
        <v>2000</v>
      </c>
      <c r="C13" s="2172">
        <v>28.3</v>
      </c>
      <c r="D13" s="2167"/>
      <c r="E13" s="2176">
        <v>750</v>
      </c>
      <c r="F13" s="2181">
        <v>8.3000000000000007</v>
      </c>
      <c r="G13" s="2176">
        <v>750</v>
      </c>
      <c r="H13" s="2186">
        <v>1523</v>
      </c>
      <c r="I13" s="2167"/>
      <c r="J13" s="2176">
        <v>250</v>
      </c>
      <c r="K13" s="2192">
        <v>486</v>
      </c>
    </row>
    <row r="14" spans="1:11">
      <c r="A14" s="341">
        <v>1990.05</v>
      </c>
      <c r="B14" s="2165">
        <v>2100</v>
      </c>
      <c r="C14" s="2172">
        <v>27.1</v>
      </c>
      <c r="D14" s="2167"/>
      <c r="E14" s="2176">
        <v>800</v>
      </c>
      <c r="F14" s="2181">
        <v>6.9</v>
      </c>
      <c r="G14" s="2176">
        <v>800</v>
      </c>
      <c r="H14" s="2186">
        <v>1633</v>
      </c>
      <c r="I14" s="2167"/>
      <c r="J14" s="2176">
        <v>270</v>
      </c>
      <c r="K14" s="2192">
        <v>529</v>
      </c>
    </row>
    <row r="15" spans="1:11">
      <c r="A15" s="341">
        <v>1990.06</v>
      </c>
      <c r="B15" s="2165">
        <v>2000</v>
      </c>
      <c r="C15" s="2172">
        <v>24.4</v>
      </c>
      <c r="D15" s="2167"/>
      <c r="E15" s="2176">
        <v>750</v>
      </c>
      <c r="F15" s="2181">
        <v>6.4</v>
      </c>
      <c r="G15" s="2176">
        <v>750</v>
      </c>
      <c r="H15" s="2186">
        <v>1339</v>
      </c>
      <c r="I15" s="2167"/>
      <c r="J15" s="2176">
        <v>260</v>
      </c>
      <c r="K15" s="2192">
        <v>433</v>
      </c>
    </row>
    <row r="16" spans="1:11">
      <c r="A16" s="341">
        <v>1990.07</v>
      </c>
      <c r="B16" s="2165">
        <v>2000</v>
      </c>
      <c r="C16" s="2172">
        <v>21.8</v>
      </c>
      <c r="D16" s="2167"/>
      <c r="E16" s="2176">
        <v>750</v>
      </c>
      <c r="F16" s="2181">
        <v>6.2</v>
      </c>
      <c r="G16" s="2176">
        <v>750</v>
      </c>
      <c r="H16" s="2186">
        <v>1371</v>
      </c>
      <c r="I16" s="2167"/>
      <c r="J16" s="2176">
        <v>260</v>
      </c>
      <c r="K16" s="2192">
        <v>459</v>
      </c>
    </row>
    <row r="17" spans="1:11">
      <c r="A17" s="341">
        <v>1990.08</v>
      </c>
      <c r="B17" s="2165">
        <v>1900</v>
      </c>
      <c r="C17" s="2172">
        <v>22</v>
      </c>
      <c r="D17" s="2167"/>
      <c r="E17" s="2176">
        <v>720</v>
      </c>
      <c r="F17" s="2181">
        <v>5.5</v>
      </c>
      <c r="G17" s="2176">
        <v>720</v>
      </c>
      <c r="H17" s="2186">
        <v>1006</v>
      </c>
      <c r="I17" s="2167"/>
      <c r="J17" s="2176">
        <v>250</v>
      </c>
      <c r="K17" s="2192">
        <v>341</v>
      </c>
    </row>
    <row r="18" spans="1:11">
      <c r="A18" s="341">
        <v>1990.09</v>
      </c>
      <c r="B18" s="2165">
        <v>2000</v>
      </c>
      <c r="C18" s="2172">
        <v>22.2</v>
      </c>
      <c r="D18" s="2167"/>
      <c r="E18" s="2176">
        <v>750</v>
      </c>
      <c r="F18" s="2181">
        <v>5.6</v>
      </c>
      <c r="G18" s="2176">
        <v>750</v>
      </c>
      <c r="H18" s="2186">
        <v>1064</v>
      </c>
      <c r="I18" s="2167"/>
      <c r="J18" s="2176">
        <v>260</v>
      </c>
      <c r="K18" s="2192">
        <v>345</v>
      </c>
    </row>
    <row r="19" spans="1:11">
      <c r="A19" s="341">
        <v>1990.1</v>
      </c>
      <c r="B19" s="2165">
        <v>2100</v>
      </c>
      <c r="C19" s="2172">
        <v>23.5</v>
      </c>
      <c r="D19" s="2167"/>
      <c r="E19" s="2176">
        <v>800</v>
      </c>
      <c r="F19" s="2181">
        <v>5.8</v>
      </c>
      <c r="G19" s="2176">
        <v>800</v>
      </c>
      <c r="H19" s="2186">
        <v>1169</v>
      </c>
      <c r="I19" s="2167"/>
      <c r="J19" s="2176">
        <v>300</v>
      </c>
      <c r="K19" s="2192">
        <v>417</v>
      </c>
    </row>
    <row r="20" spans="1:11">
      <c r="A20" s="341">
        <v>1990.11</v>
      </c>
      <c r="B20" s="2165">
        <v>2300</v>
      </c>
      <c r="C20" s="2172">
        <v>24.9</v>
      </c>
      <c r="D20" s="2167"/>
      <c r="E20" s="2176">
        <v>830</v>
      </c>
      <c r="F20" s="2181">
        <v>5.4</v>
      </c>
      <c r="G20" s="2176">
        <v>850</v>
      </c>
      <c r="H20" s="2186">
        <v>1237</v>
      </c>
      <c r="I20" s="2167"/>
      <c r="J20" s="2176">
        <v>320</v>
      </c>
      <c r="K20" s="2192">
        <v>454</v>
      </c>
    </row>
    <row r="21" spans="1:11">
      <c r="A21" s="341">
        <v>1990.12</v>
      </c>
      <c r="B21" s="2165">
        <v>2300</v>
      </c>
      <c r="C21" s="2172">
        <v>23.8</v>
      </c>
      <c r="D21" s="2167"/>
      <c r="E21" s="2176">
        <v>750</v>
      </c>
      <c r="F21" s="2181">
        <v>11.5</v>
      </c>
      <c r="G21" s="2176">
        <v>850</v>
      </c>
      <c r="H21" s="2186">
        <v>1234</v>
      </c>
      <c r="I21" s="2167"/>
      <c r="J21" s="2176">
        <v>320</v>
      </c>
      <c r="K21" s="2192">
        <v>452</v>
      </c>
    </row>
    <row r="22" spans="1:11">
      <c r="A22" s="341">
        <v>1991.01</v>
      </c>
      <c r="B22" s="2165">
        <v>2200</v>
      </c>
      <c r="C22" s="2172">
        <v>22.2</v>
      </c>
      <c r="D22" s="2167"/>
      <c r="E22" s="2176">
        <v>700</v>
      </c>
      <c r="F22" s="2181">
        <v>11.6</v>
      </c>
      <c r="G22" s="2176">
        <v>800</v>
      </c>
      <c r="H22" s="2186">
        <v>1337</v>
      </c>
      <c r="I22" s="2167"/>
      <c r="J22" s="2176">
        <v>300</v>
      </c>
      <c r="K22" s="2192">
        <v>488</v>
      </c>
    </row>
    <row r="23" spans="1:11">
      <c r="A23" s="341">
        <v>1991.02</v>
      </c>
      <c r="B23" s="2165">
        <v>2100</v>
      </c>
      <c r="C23" s="2172">
        <v>23.3</v>
      </c>
      <c r="D23" s="2167"/>
      <c r="E23" s="2176">
        <v>680</v>
      </c>
      <c r="F23" s="2181">
        <v>11.8</v>
      </c>
      <c r="G23" s="2176">
        <v>770</v>
      </c>
      <c r="H23" s="2186">
        <v>1208</v>
      </c>
      <c r="I23" s="2167"/>
      <c r="J23" s="2176">
        <v>280</v>
      </c>
      <c r="K23" s="2192">
        <v>425</v>
      </c>
    </row>
    <row r="24" spans="1:11">
      <c r="A24" s="341">
        <v>1991.03</v>
      </c>
      <c r="B24" s="2165">
        <v>2100</v>
      </c>
      <c r="C24" s="2172">
        <v>28.5</v>
      </c>
      <c r="D24" s="2167"/>
      <c r="E24" s="2176">
        <v>680</v>
      </c>
      <c r="F24" s="2181">
        <v>9</v>
      </c>
      <c r="G24" s="2176">
        <v>770</v>
      </c>
      <c r="H24" s="2186">
        <v>1152</v>
      </c>
      <c r="I24" s="2167"/>
      <c r="J24" s="2176">
        <v>280</v>
      </c>
      <c r="K24" s="2192">
        <v>412</v>
      </c>
    </row>
    <row r="25" spans="1:11">
      <c r="A25" s="341">
        <v>1991.04</v>
      </c>
      <c r="B25" s="2165">
        <v>2200</v>
      </c>
      <c r="C25" s="2172">
        <v>27.2</v>
      </c>
      <c r="D25" s="2167"/>
      <c r="E25" s="2176">
        <v>700</v>
      </c>
      <c r="F25" s="2181">
        <v>8.8000000000000007</v>
      </c>
      <c r="G25" s="2176">
        <v>800</v>
      </c>
      <c r="H25" s="2186">
        <v>1333</v>
      </c>
      <c r="I25" s="2167"/>
      <c r="J25" s="2176">
        <v>300</v>
      </c>
      <c r="K25" s="2192">
        <v>492</v>
      </c>
    </row>
    <row r="26" spans="1:11">
      <c r="A26" s="341">
        <v>1991.05</v>
      </c>
      <c r="B26" s="2165">
        <v>2300</v>
      </c>
      <c r="C26" s="2172">
        <v>26.7</v>
      </c>
      <c r="D26" s="2167"/>
      <c r="E26" s="2176">
        <v>750</v>
      </c>
      <c r="F26" s="2181">
        <v>7</v>
      </c>
      <c r="G26" s="2176">
        <v>850</v>
      </c>
      <c r="H26" s="2186">
        <v>1417</v>
      </c>
      <c r="I26" s="2167"/>
      <c r="J26" s="2176">
        <v>320</v>
      </c>
      <c r="K26" s="2192">
        <v>516</v>
      </c>
    </row>
    <row r="27" spans="1:11">
      <c r="A27" s="341">
        <v>1991.06</v>
      </c>
      <c r="B27" s="2165">
        <v>2300</v>
      </c>
      <c r="C27" s="2172">
        <v>26</v>
      </c>
      <c r="D27" s="2167"/>
      <c r="E27" s="2176">
        <v>800</v>
      </c>
      <c r="F27" s="2181">
        <v>8.4</v>
      </c>
      <c r="G27" s="2176">
        <v>850</v>
      </c>
      <c r="H27" s="2186">
        <v>1250</v>
      </c>
      <c r="I27" s="2167"/>
      <c r="J27" s="2176">
        <v>320</v>
      </c>
      <c r="K27" s="2192">
        <v>485</v>
      </c>
    </row>
    <row r="28" spans="1:11">
      <c r="A28" s="341">
        <v>1991.07</v>
      </c>
      <c r="B28" s="2165">
        <v>2200</v>
      </c>
      <c r="C28" s="2172">
        <v>24.9</v>
      </c>
      <c r="D28" s="2167"/>
      <c r="E28" s="2176">
        <v>800</v>
      </c>
      <c r="F28" s="2181">
        <v>8.5</v>
      </c>
      <c r="G28" s="2176">
        <v>850</v>
      </c>
      <c r="H28" s="2186">
        <v>1012</v>
      </c>
      <c r="I28" s="2167"/>
      <c r="J28" s="2176">
        <v>340</v>
      </c>
      <c r="K28" s="2192">
        <v>453</v>
      </c>
    </row>
    <row r="29" spans="1:11">
      <c r="A29" s="341">
        <v>1991.08</v>
      </c>
      <c r="B29" s="2165">
        <v>2200</v>
      </c>
      <c r="C29" s="2172">
        <v>23.3</v>
      </c>
      <c r="D29" s="2167"/>
      <c r="E29" s="2176">
        <v>800</v>
      </c>
      <c r="F29" s="2181">
        <v>8.9</v>
      </c>
      <c r="G29" s="2176">
        <v>850</v>
      </c>
      <c r="H29" s="2186">
        <v>1012</v>
      </c>
      <c r="I29" s="2167"/>
      <c r="J29" s="2176">
        <v>340</v>
      </c>
      <c r="K29" s="2192">
        <v>453</v>
      </c>
    </row>
    <row r="30" spans="1:11">
      <c r="A30" s="341">
        <v>1991.09</v>
      </c>
      <c r="B30" s="2165">
        <v>2400</v>
      </c>
      <c r="C30" s="2172">
        <v>24.5</v>
      </c>
      <c r="D30" s="2167"/>
      <c r="E30" s="2176">
        <v>800</v>
      </c>
      <c r="F30" s="2181">
        <v>8.8000000000000007</v>
      </c>
      <c r="G30" s="2176">
        <v>920</v>
      </c>
      <c r="H30" s="2186">
        <v>1070</v>
      </c>
      <c r="I30" s="2167"/>
      <c r="J30" s="2176">
        <v>380</v>
      </c>
      <c r="K30" s="2192">
        <v>475</v>
      </c>
    </row>
    <row r="31" spans="1:11">
      <c r="A31" s="341">
        <v>1991.1</v>
      </c>
      <c r="B31" s="2165">
        <v>2500</v>
      </c>
      <c r="C31" s="2172">
        <v>25.3</v>
      </c>
      <c r="D31" s="2167"/>
      <c r="E31" s="2176">
        <v>850</v>
      </c>
      <c r="F31" s="2181">
        <v>9.1999999999999993</v>
      </c>
      <c r="G31" s="2176">
        <v>950</v>
      </c>
      <c r="H31" s="2186">
        <v>1033</v>
      </c>
      <c r="I31" s="2167"/>
      <c r="J31" s="2176">
        <v>400</v>
      </c>
      <c r="K31" s="2192">
        <v>444</v>
      </c>
    </row>
    <row r="32" spans="1:11">
      <c r="A32" s="341">
        <v>1991.11</v>
      </c>
      <c r="B32" s="2165">
        <v>2500</v>
      </c>
      <c r="C32" s="2172">
        <v>20</v>
      </c>
      <c r="D32" s="2167"/>
      <c r="E32" s="2176">
        <v>900</v>
      </c>
      <c r="F32" s="2181">
        <v>8.6999999999999993</v>
      </c>
      <c r="G32" s="2176">
        <v>950</v>
      </c>
      <c r="H32" s="2186">
        <v>1033</v>
      </c>
      <c r="I32" s="2167"/>
      <c r="J32" s="2176">
        <v>400</v>
      </c>
      <c r="K32" s="2192">
        <v>440</v>
      </c>
    </row>
    <row r="33" spans="1:11">
      <c r="A33" s="341">
        <v>1991.12</v>
      </c>
      <c r="B33" s="2165">
        <v>2500</v>
      </c>
      <c r="C33" s="2172">
        <v>21.4</v>
      </c>
      <c r="D33" s="2167"/>
      <c r="E33" s="2176">
        <v>900</v>
      </c>
      <c r="F33" s="2181">
        <v>9.5</v>
      </c>
      <c r="G33" s="2176">
        <v>950</v>
      </c>
      <c r="H33" s="2186">
        <v>1118</v>
      </c>
      <c r="I33" s="2167"/>
      <c r="J33" s="2176">
        <v>400</v>
      </c>
      <c r="K33" s="2192">
        <v>465</v>
      </c>
    </row>
    <row r="34" spans="1:11">
      <c r="A34" s="341">
        <v>1992.01</v>
      </c>
      <c r="B34" s="2165">
        <v>2500</v>
      </c>
      <c r="C34" s="2172">
        <v>23.8</v>
      </c>
      <c r="D34" s="2167"/>
      <c r="E34" s="2176">
        <v>900</v>
      </c>
      <c r="F34" s="2181">
        <v>8.5</v>
      </c>
      <c r="G34" s="2176">
        <v>950</v>
      </c>
      <c r="H34" s="2186">
        <v>1080</v>
      </c>
      <c r="I34" s="2167"/>
      <c r="J34" s="2176">
        <v>400</v>
      </c>
      <c r="K34" s="2192">
        <v>444</v>
      </c>
    </row>
    <row r="35" spans="1:11">
      <c r="A35" s="341">
        <v>1992.02</v>
      </c>
      <c r="B35" s="2165">
        <v>2500</v>
      </c>
      <c r="C35" s="2172">
        <v>26.3</v>
      </c>
      <c r="D35" s="2167"/>
      <c r="E35" s="2176">
        <v>900</v>
      </c>
      <c r="F35" s="2181">
        <v>7.6</v>
      </c>
      <c r="G35" s="2176">
        <v>950</v>
      </c>
      <c r="H35" s="2186">
        <v>1022</v>
      </c>
      <c r="I35" s="2167"/>
      <c r="J35" s="2176">
        <v>400</v>
      </c>
      <c r="K35" s="2192">
        <v>400</v>
      </c>
    </row>
    <row r="36" spans="1:11">
      <c r="A36" s="341">
        <v>1992.03</v>
      </c>
      <c r="B36" s="2165">
        <v>2700</v>
      </c>
      <c r="C36" s="2172">
        <v>28.5</v>
      </c>
      <c r="D36" s="2167"/>
      <c r="E36" s="2176">
        <v>900</v>
      </c>
      <c r="F36" s="2181">
        <v>7.2</v>
      </c>
      <c r="G36" s="2176">
        <v>1000</v>
      </c>
      <c r="H36" s="2186">
        <v>1020</v>
      </c>
      <c r="I36" s="2167"/>
      <c r="J36" s="2176">
        <v>450</v>
      </c>
      <c r="K36" s="2192">
        <v>409</v>
      </c>
    </row>
    <row r="37" spans="1:11">
      <c r="A37" s="341">
        <v>1992.04</v>
      </c>
      <c r="B37" s="2165">
        <v>2700</v>
      </c>
      <c r="C37" s="2172">
        <v>31</v>
      </c>
      <c r="D37" s="2167"/>
      <c r="E37" s="2176">
        <v>900</v>
      </c>
      <c r="F37" s="2181">
        <v>8</v>
      </c>
      <c r="G37" s="2176">
        <v>1000</v>
      </c>
      <c r="H37" s="2186">
        <v>1031</v>
      </c>
      <c r="I37" s="2167"/>
      <c r="J37" s="2176">
        <v>450</v>
      </c>
      <c r="K37" s="2192">
        <v>429</v>
      </c>
    </row>
    <row r="38" spans="1:11">
      <c r="A38" s="341">
        <v>1992.05</v>
      </c>
      <c r="B38" s="2165">
        <v>2700</v>
      </c>
      <c r="C38" s="2172">
        <v>32.299999999999997</v>
      </c>
      <c r="D38" s="2167"/>
      <c r="E38" s="2176">
        <v>900</v>
      </c>
      <c r="F38" s="2181">
        <v>8</v>
      </c>
      <c r="G38" s="2176">
        <v>1000</v>
      </c>
      <c r="H38" s="2186">
        <v>1075</v>
      </c>
      <c r="I38" s="2167"/>
      <c r="J38" s="2176">
        <v>450</v>
      </c>
      <c r="K38" s="2192">
        <v>450</v>
      </c>
    </row>
    <row r="39" spans="1:11">
      <c r="A39" s="341">
        <v>1992.06</v>
      </c>
      <c r="B39" s="2165">
        <v>2700</v>
      </c>
      <c r="C39" s="2172">
        <v>29</v>
      </c>
      <c r="D39" s="2167"/>
      <c r="E39" s="2176">
        <v>1000</v>
      </c>
      <c r="F39" s="2181">
        <v>8.8000000000000007</v>
      </c>
      <c r="G39" s="2176">
        <v>1000</v>
      </c>
      <c r="H39" s="2186">
        <v>1087</v>
      </c>
      <c r="I39" s="2167"/>
      <c r="J39" s="2176">
        <v>480</v>
      </c>
      <c r="K39" s="2192">
        <v>505</v>
      </c>
    </row>
    <row r="40" spans="1:11">
      <c r="A40" s="341">
        <v>1992.07</v>
      </c>
      <c r="B40" s="2165">
        <v>2700</v>
      </c>
      <c r="C40" s="2172">
        <v>28.1</v>
      </c>
      <c r="D40" s="2167"/>
      <c r="E40" s="2176">
        <v>1000</v>
      </c>
      <c r="F40" s="2181">
        <v>8</v>
      </c>
      <c r="G40" s="2176">
        <v>1000</v>
      </c>
      <c r="H40" s="2186">
        <v>1075</v>
      </c>
      <c r="I40" s="2167"/>
      <c r="J40" s="2176">
        <v>480</v>
      </c>
      <c r="K40" s="2192">
        <v>500</v>
      </c>
    </row>
    <row r="41" spans="1:11">
      <c r="A41" s="341">
        <v>1992.08</v>
      </c>
      <c r="B41" s="2165">
        <v>2600</v>
      </c>
      <c r="C41" s="2172">
        <v>26.8</v>
      </c>
      <c r="D41" s="2167"/>
      <c r="E41" s="2176">
        <v>1000</v>
      </c>
      <c r="F41" s="2181">
        <v>8.1</v>
      </c>
      <c r="G41" s="2176">
        <v>1000</v>
      </c>
      <c r="H41" s="2186">
        <v>1064</v>
      </c>
      <c r="I41" s="2167"/>
      <c r="J41" s="2176">
        <v>480</v>
      </c>
      <c r="K41" s="2192">
        <v>490</v>
      </c>
    </row>
    <row r="42" spans="1:11">
      <c r="A42" s="341">
        <v>1992.09</v>
      </c>
      <c r="B42" s="2165">
        <v>2600</v>
      </c>
      <c r="C42" s="2172">
        <v>27.7</v>
      </c>
      <c r="D42" s="2167"/>
      <c r="E42" s="2176">
        <v>1000</v>
      </c>
      <c r="F42" s="2181">
        <v>8.5</v>
      </c>
      <c r="G42" s="2176">
        <v>1000</v>
      </c>
      <c r="H42" s="2186">
        <v>1075</v>
      </c>
      <c r="I42" s="2167"/>
      <c r="J42" s="2176">
        <v>480</v>
      </c>
      <c r="K42" s="2192">
        <v>505</v>
      </c>
    </row>
    <row r="43" spans="1:11">
      <c r="A43" s="341">
        <v>1992.1</v>
      </c>
      <c r="B43" s="2165">
        <v>2600</v>
      </c>
      <c r="C43" s="2172">
        <v>28.9</v>
      </c>
      <c r="D43" s="2167"/>
      <c r="E43" s="2176">
        <v>1000</v>
      </c>
      <c r="F43" s="2181">
        <v>8.4</v>
      </c>
      <c r="G43" s="2176">
        <v>1000</v>
      </c>
      <c r="H43" s="2186">
        <v>1042</v>
      </c>
      <c r="I43" s="2167"/>
      <c r="J43" s="2176">
        <v>480</v>
      </c>
      <c r="K43" s="2192">
        <v>480</v>
      </c>
    </row>
    <row r="44" spans="1:11">
      <c r="A44" s="341">
        <v>1992.11</v>
      </c>
      <c r="B44" s="2165">
        <v>2500</v>
      </c>
      <c r="C44" s="2172">
        <v>24.5</v>
      </c>
      <c r="D44" s="2167"/>
      <c r="E44" s="2176">
        <v>950</v>
      </c>
      <c r="F44" s="2181">
        <v>7.3</v>
      </c>
      <c r="G44" s="2176">
        <v>950</v>
      </c>
      <c r="H44" s="2186">
        <v>1000</v>
      </c>
      <c r="I44" s="2167"/>
      <c r="J44" s="2176">
        <v>450</v>
      </c>
      <c r="K44" s="2192">
        <v>455</v>
      </c>
    </row>
    <row r="45" spans="1:11">
      <c r="A45" s="341">
        <v>1992.12</v>
      </c>
      <c r="B45" s="2165">
        <v>2300</v>
      </c>
      <c r="C45" s="2172">
        <v>19.2</v>
      </c>
      <c r="D45" s="2167"/>
      <c r="E45" s="2176">
        <v>950</v>
      </c>
      <c r="F45" s="2181">
        <v>7.4</v>
      </c>
      <c r="G45" s="2176">
        <v>950</v>
      </c>
      <c r="H45" s="2186">
        <v>1105</v>
      </c>
      <c r="I45" s="2167"/>
      <c r="J45" s="2176">
        <v>420</v>
      </c>
      <c r="K45" s="2192">
        <v>467</v>
      </c>
    </row>
    <row r="46" spans="1:11">
      <c r="A46" s="341">
        <v>1993.01</v>
      </c>
      <c r="B46" s="2165">
        <v>2300</v>
      </c>
      <c r="C46" s="2172">
        <v>17.7</v>
      </c>
      <c r="D46" s="2167"/>
      <c r="E46" s="2176">
        <v>950</v>
      </c>
      <c r="F46" s="2181">
        <v>8.1999999999999993</v>
      </c>
      <c r="G46" s="2176">
        <v>950</v>
      </c>
      <c r="H46" s="2186">
        <v>1159</v>
      </c>
      <c r="I46" s="2167"/>
      <c r="J46" s="2176">
        <v>400</v>
      </c>
      <c r="K46" s="2192">
        <v>444</v>
      </c>
    </row>
    <row r="47" spans="1:11">
      <c r="A47" s="341">
        <v>1993.02</v>
      </c>
      <c r="B47" s="2165">
        <v>2200</v>
      </c>
      <c r="C47" s="2172">
        <v>17.600000000000001</v>
      </c>
      <c r="D47" s="2167"/>
      <c r="E47" s="2176">
        <v>900</v>
      </c>
      <c r="F47" s="2181">
        <v>7.3</v>
      </c>
      <c r="G47" s="2176">
        <v>950</v>
      </c>
      <c r="H47" s="2186">
        <v>1131</v>
      </c>
      <c r="I47" s="2167"/>
      <c r="J47" s="2176">
        <v>400</v>
      </c>
      <c r="K47" s="2192">
        <v>444</v>
      </c>
    </row>
    <row r="48" spans="1:11">
      <c r="A48" s="341">
        <v>1993.03</v>
      </c>
      <c r="B48" s="2165">
        <v>2200</v>
      </c>
      <c r="C48" s="2172">
        <v>27.5</v>
      </c>
      <c r="D48" s="2167"/>
      <c r="E48" s="2176">
        <v>900</v>
      </c>
      <c r="F48" s="2181">
        <v>7.3</v>
      </c>
      <c r="G48" s="2176">
        <v>950</v>
      </c>
      <c r="H48" s="2186">
        <v>1159</v>
      </c>
      <c r="I48" s="2167"/>
      <c r="J48" s="2176">
        <v>400</v>
      </c>
      <c r="K48" s="2192">
        <v>471</v>
      </c>
    </row>
    <row r="49" spans="1:11">
      <c r="A49" s="341">
        <v>1993.04</v>
      </c>
      <c r="B49" s="2165">
        <v>2200</v>
      </c>
      <c r="C49" s="2172">
        <v>26.5</v>
      </c>
      <c r="D49" s="2167"/>
      <c r="E49" s="2176">
        <v>900</v>
      </c>
      <c r="F49" s="2181">
        <v>7.4</v>
      </c>
      <c r="G49" s="2176">
        <v>950</v>
      </c>
      <c r="H49" s="2186">
        <v>1188</v>
      </c>
      <c r="I49" s="2167"/>
      <c r="J49" s="2176">
        <v>400</v>
      </c>
      <c r="K49" s="2192">
        <v>494</v>
      </c>
    </row>
    <row r="50" spans="1:11">
      <c r="A50" s="341">
        <v>1993.05</v>
      </c>
      <c r="B50" s="2165">
        <v>2100</v>
      </c>
      <c r="C50" s="2172">
        <v>23.3</v>
      </c>
      <c r="D50" s="2167"/>
      <c r="E50" s="2176">
        <v>880</v>
      </c>
      <c r="F50" s="2181">
        <v>6.6</v>
      </c>
      <c r="G50" s="2176">
        <v>900</v>
      </c>
      <c r="H50" s="2186">
        <v>1139</v>
      </c>
      <c r="I50" s="2167"/>
      <c r="J50" s="2176">
        <v>370</v>
      </c>
      <c r="K50" s="2192">
        <v>463</v>
      </c>
    </row>
    <row r="51" spans="1:11">
      <c r="A51" s="341">
        <v>1993.06</v>
      </c>
      <c r="B51" s="2165">
        <v>2100</v>
      </c>
      <c r="C51" s="2172">
        <v>22.1</v>
      </c>
      <c r="D51" s="2167"/>
      <c r="E51" s="2176">
        <v>880</v>
      </c>
      <c r="F51" s="2181">
        <v>6</v>
      </c>
      <c r="G51" s="2176">
        <v>900</v>
      </c>
      <c r="H51" s="2186">
        <v>1084</v>
      </c>
      <c r="I51" s="2167"/>
      <c r="J51" s="2176">
        <v>370</v>
      </c>
      <c r="K51" s="2192">
        <v>457</v>
      </c>
    </row>
    <row r="52" spans="1:11">
      <c r="A52" s="341">
        <v>1993.07</v>
      </c>
      <c r="B52" s="2165">
        <v>2100</v>
      </c>
      <c r="C52" s="2172">
        <v>22.3</v>
      </c>
      <c r="D52" s="2167"/>
      <c r="E52" s="2176">
        <v>880</v>
      </c>
      <c r="F52" s="2181">
        <v>5.9</v>
      </c>
      <c r="G52" s="2176">
        <v>900</v>
      </c>
      <c r="H52" s="2186">
        <v>1084</v>
      </c>
      <c r="I52" s="2167"/>
      <c r="J52" s="2176">
        <v>370</v>
      </c>
      <c r="K52" s="2192">
        <v>451</v>
      </c>
    </row>
    <row r="53" spans="1:11">
      <c r="A53" s="341">
        <v>1993.08</v>
      </c>
      <c r="B53" s="2165">
        <v>2100</v>
      </c>
      <c r="C53" s="2172">
        <v>18.399999999999999</v>
      </c>
      <c r="D53" s="2167"/>
      <c r="E53" s="2176">
        <v>850</v>
      </c>
      <c r="F53" s="2181">
        <v>5.7</v>
      </c>
      <c r="G53" s="2176">
        <v>900</v>
      </c>
      <c r="H53" s="2186">
        <v>1071</v>
      </c>
      <c r="I53" s="2167"/>
      <c r="J53" s="2176">
        <v>370</v>
      </c>
      <c r="K53" s="2192">
        <v>451</v>
      </c>
    </row>
    <row r="54" spans="1:11">
      <c r="A54" s="341">
        <v>1993.09</v>
      </c>
      <c r="B54" s="2165">
        <v>2100</v>
      </c>
      <c r="C54" s="2172">
        <v>16.899999999999999</v>
      </c>
      <c r="D54" s="2167"/>
      <c r="E54" s="2176">
        <v>850</v>
      </c>
      <c r="F54" s="2181">
        <v>5.7</v>
      </c>
      <c r="G54" s="2176">
        <v>900</v>
      </c>
      <c r="H54" s="2186">
        <v>1111</v>
      </c>
      <c r="I54" s="2167"/>
      <c r="J54" s="2176">
        <v>370</v>
      </c>
      <c r="K54" s="2192">
        <v>446</v>
      </c>
    </row>
    <row r="55" spans="1:11">
      <c r="A55" s="341">
        <v>1993.1</v>
      </c>
      <c r="B55" s="2165">
        <v>2100</v>
      </c>
      <c r="C55" s="2172">
        <v>16.8</v>
      </c>
      <c r="D55" s="2167"/>
      <c r="E55" s="2176">
        <v>830</v>
      </c>
      <c r="F55" s="2181">
        <v>6.3</v>
      </c>
      <c r="G55" s="2176">
        <v>870</v>
      </c>
      <c r="H55" s="2186">
        <v>1074</v>
      </c>
      <c r="I55" s="2167"/>
      <c r="J55" s="2176">
        <v>360</v>
      </c>
      <c r="K55" s="2192">
        <v>429</v>
      </c>
    </row>
    <row r="56" spans="1:11">
      <c r="A56" s="341">
        <v>1993.11</v>
      </c>
      <c r="B56" s="2165">
        <v>2100</v>
      </c>
      <c r="C56" s="2172">
        <v>16</v>
      </c>
      <c r="D56" s="2167"/>
      <c r="E56" s="2176">
        <v>830</v>
      </c>
      <c r="F56" s="2181">
        <v>6.6</v>
      </c>
      <c r="G56" s="2176">
        <v>870</v>
      </c>
      <c r="H56" s="2186">
        <v>1088</v>
      </c>
      <c r="I56" s="2167"/>
      <c r="J56" s="2176">
        <v>340</v>
      </c>
      <c r="K56" s="2192">
        <v>410</v>
      </c>
    </row>
    <row r="57" spans="1:11">
      <c r="A57" s="341">
        <v>1993.12</v>
      </c>
      <c r="B57" s="2165">
        <v>2100</v>
      </c>
      <c r="C57" s="2172">
        <v>15.3</v>
      </c>
      <c r="D57" s="2167"/>
      <c r="E57" s="2176">
        <v>800</v>
      </c>
      <c r="F57" s="2181">
        <v>6.2</v>
      </c>
      <c r="G57" s="2176">
        <v>850</v>
      </c>
      <c r="H57" s="2186">
        <v>1076</v>
      </c>
      <c r="I57" s="2167"/>
      <c r="J57" s="2176">
        <v>340</v>
      </c>
      <c r="K57" s="2192">
        <v>415</v>
      </c>
    </row>
    <row r="58" spans="1:11">
      <c r="A58" s="341">
        <v>1994.01</v>
      </c>
      <c r="B58" s="2165">
        <v>2150</v>
      </c>
      <c r="C58" s="2172">
        <v>16.5</v>
      </c>
      <c r="D58" s="2167"/>
      <c r="E58" s="2176">
        <v>800</v>
      </c>
      <c r="F58" s="2181">
        <v>6.2</v>
      </c>
      <c r="G58" s="2176">
        <v>900</v>
      </c>
      <c r="H58" s="2186">
        <v>1154</v>
      </c>
      <c r="I58" s="2167"/>
      <c r="J58" s="2176">
        <v>340</v>
      </c>
      <c r="K58" s="2192">
        <v>425</v>
      </c>
    </row>
    <row r="59" spans="1:11">
      <c r="A59" s="341">
        <v>1994.02</v>
      </c>
      <c r="B59" s="2165">
        <v>2150</v>
      </c>
      <c r="C59" s="2172">
        <v>18.7</v>
      </c>
      <c r="D59" s="2167"/>
      <c r="E59" s="2176">
        <v>800</v>
      </c>
      <c r="F59" s="2181">
        <v>6.9</v>
      </c>
      <c r="G59" s="2176">
        <v>900</v>
      </c>
      <c r="H59" s="2186">
        <v>1169</v>
      </c>
      <c r="I59" s="2167"/>
      <c r="J59" s="2176">
        <v>340</v>
      </c>
      <c r="K59" s="2192">
        <v>436</v>
      </c>
    </row>
    <row r="60" spans="1:11">
      <c r="A60" s="341">
        <v>1994.03</v>
      </c>
      <c r="B60" s="2165">
        <v>2200</v>
      </c>
      <c r="C60" s="2172">
        <v>21</v>
      </c>
      <c r="D60" s="2167"/>
      <c r="E60" s="2176">
        <v>800</v>
      </c>
      <c r="F60" s="2181">
        <v>7.1</v>
      </c>
      <c r="G60" s="2176">
        <v>900</v>
      </c>
      <c r="H60" s="2186">
        <v>1184</v>
      </c>
      <c r="I60" s="2167"/>
      <c r="J60" s="2176">
        <v>320</v>
      </c>
      <c r="K60" s="2192">
        <v>421</v>
      </c>
    </row>
    <row r="61" spans="1:11">
      <c r="A61" s="341">
        <v>1994.04</v>
      </c>
      <c r="B61" s="2165">
        <v>2250</v>
      </c>
      <c r="C61" s="2172">
        <v>22.1</v>
      </c>
      <c r="D61" s="2167"/>
      <c r="E61" s="2176">
        <v>850</v>
      </c>
      <c r="F61" s="2181">
        <v>7.5</v>
      </c>
      <c r="G61" s="2176">
        <v>900</v>
      </c>
      <c r="H61" s="2186">
        <v>1200</v>
      </c>
      <c r="I61" s="2167"/>
      <c r="J61" s="2176">
        <v>320</v>
      </c>
      <c r="K61" s="2192">
        <v>432</v>
      </c>
    </row>
    <row r="62" spans="1:11">
      <c r="A62" s="341">
        <v>1994.05</v>
      </c>
      <c r="B62" s="2165">
        <v>2250</v>
      </c>
      <c r="C62" s="2172">
        <v>22.1</v>
      </c>
      <c r="D62" s="2167"/>
      <c r="E62" s="2176">
        <v>850</v>
      </c>
      <c r="F62" s="2181">
        <v>6.8</v>
      </c>
      <c r="G62" s="2176">
        <v>950</v>
      </c>
      <c r="H62" s="2186">
        <v>1267</v>
      </c>
      <c r="I62" s="2167"/>
      <c r="J62" s="2176">
        <v>320</v>
      </c>
      <c r="K62" s="2192">
        <v>444</v>
      </c>
    </row>
    <row r="63" spans="1:11">
      <c r="A63" s="341">
        <v>1994.06</v>
      </c>
      <c r="B63" s="2165">
        <v>2250</v>
      </c>
      <c r="C63" s="2172">
        <v>20.8</v>
      </c>
      <c r="D63" s="2167"/>
      <c r="E63" s="2176">
        <v>850</v>
      </c>
      <c r="F63" s="2181">
        <v>6.9</v>
      </c>
      <c r="G63" s="2176">
        <v>970</v>
      </c>
      <c r="H63" s="2186">
        <v>1141</v>
      </c>
      <c r="I63" s="2167"/>
      <c r="J63" s="2176">
        <v>320</v>
      </c>
      <c r="K63" s="2192">
        <v>410</v>
      </c>
    </row>
    <row r="64" spans="1:11">
      <c r="A64" s="341">
        <v>1994.07</v>
      </c>
      <c r="B64" s="2165">
        <v>2300</v>
      </c>
      <c r="C64" s="2172">
        <v>21.7</v>
      </c>
      <c r="D64" s="2167"/>
      <c r="E64" s="2176">
        <v>850</v>
      </c>
      <c r="F64" s="2181">
        <v>7</v>
      </c>
      <c r="G64" s="2176">
        <v>1000</v>
      </c>
      <c r="H64" s="2186">
        <v>1136</v>
      </c>
      <c r="I64" s="2167"/>
      <c r="J64" s="2176">
        <v>320</v>
      </c>
      <c r="K64" s="2192">
        <v>390</v>
      </c>
    </row>
    <row r="65" spans="1:11">
      <c r="A65" s="341">
        <v>1994.08</v>
      </c>
      <c r="B65" s="2165">
        <v>2300</v>
      </c>
      <c r="C65" s="2172">
        <v>23.5</v>
      </c>
      <c r="D65" s="2167"/>
      <c r="E65" s="2176">
        <v>850</v>
      </c>
      <c r="F65" s="2181">
        <v>7.5</v>
      </c>
      <c r="G65" s="2176">
        <v>1000</v>
      </c>
      <c r="H65" s="2186">
        <v>1163</v>
      </c>
      <c r="I65" s="2167"/>
      <c r="J65" s="2176">
        <v>320</v>
      </c>
      <c r="K65" s="2192">
        <v>376</v>
      </c>
    </row>
    <row r="66" spans="1:11">
      <c r="A66" s="341">
        <v>1994.09</v>
      </c>
      <c r="B66" s="2165">
        <v>2300</v>
      </c>
      <c r="C66" s="2172">
        <v>22.5</v>
      </c>
      <c r="D66" s="2167"/>
      <c r="E66" s="2176">
        <v>850</v>
      </c>
      <c r="F66" s="2181">
        <v>7.2</v>
      </c>
      <c r="G66" s="2176">
        <v>1000</v>
      </c>
      <c r="H66" s="2186">
        <v>1220</v>
      </c>
      <c r="I66" s="2167"/>
      <c r="J66" s="2176">
        <v>320</v>
      </c>
      <c r="K66" s="2192">
        <v>400</v>
      </c>
    </row>
    <row r="67" spans="1:11">
      <c r="A67" s="341">
        <v>1994.1</v>
      </c>
      <c r="B67" s="2165">
        <v>2300</v>
      </c>
      <c r="C67" s="2172">
        <v>20.9</v>
      </c>
      <c r="D67" s="2167"/>
      <c r="E67" s="2176">
        <v>850</v>
      </c>
      <c r="F67" s="2181">
        <v>5.9</v>
      </c>
      <c r="G67" s="2176">
        <v>1000</v>
      </c>
      <c r="H67" s="2186">
        <v>1250</v>
      </c>
      <c r="I67" s="2167"/>
      <c r="J67" s="2176">
        <v>320</v>
      </c>
      <c r="K67" s="2192">
        <v>405</v>
      </c>
    </row>
    <row r="68" spans="1:11">
      <c r="A68" s="341">
        <v>1994.11</v>
      </c>
      <c r="B68" s="2165">
        <v>2300</v>
      </c>
      <c r="C68" s="2172">
        <v>19.5</v>
      </c>
      <c r="D68" s="2167"/>
      <c r="E68" s="2176">
        <v>850</v>
      </c>
      <c r="F68" s="2181">
        <v>6.3</v>
      </c>
      <c r="G68" s="2176">
        <v>1000</v>
      </c>
      <c r="H68" s="2186">
        <v>1235</v>
      </c>
      <c r="I68" s="2167"/>
      <c r="J68" s="2176">
        <v>320</v>
      </c>
      <c r="K68" s="2192">
        <v>390</v>
      </c>
    </row>
    <row r="69" spans="1:11">
      <c r="A69" s="341">
        <v>1994.12</v>
      </c>
      <c r="B69" s="2165">
        <v>2300</v>
      </c>
      <c r="C69" s="2172">
        <v>19.3</v>
      </c>
      <c r="D69" s="2167"/>
      <c r="E69" s="2176">
        <v>850</v>
      </c>
      <c r="F69" s="2181">
        <v>6.7</v>
      </c>
      <c r="G69" s="2176">
        <v>1000</v>
      </c>
      <c r="H69" s="2186">
        <v>1235</v>
      </c>
      <c r="I69" s="2167"/>
      <c r="J69" s="2176">
        <v>320</v>
      </c>
      <c r="K69" s="2192">
        <v>390</v>
      </c>
    </row>
    <row r="70" spans="1:11">
      <c r="A70" s="341">
        <v>1995.01</v>
      </c>
      <c r="B70" s="2165">
        <v>2300</v>
      </c>
      <c r="C70" s="2172">
        <v>20.7</v>
      </c>
      <c r="D70" s="2167"/>
      <c r="E70" s="2176">
        <v>850</v>
      </c>
      <c r="F70" s="2181">
        <v>7.11</v>
      </c>
      <c r="G70" s="2176">
        <v>1000</v>
      </c>
      <c r="H70" s="2186">
        <v>1190</v>
      </c>
      <c r="I70" s="2167"/>
      <c r="J70" s="2176">
        <v>320</v>
      </c>
      <c r="K70" s="2192">
        <v>348</v>
      </c>
    </row>
    <row r="71" spans="1:11">
      <c r="A71" s="341">
        <v>1995.02</v>
      </c>
      <c r="B71" s="2165">
        <v>2300</v>
      </c>
      <c r="C71" s="2172">
        <v>21.7</v>
      </c>
      <c r="D71" s="2167"/>
      <c r="E71" s="2176">
        <v>900</v>
      </c>
      <c r="F71" s="2181">
        <v>7.4</v>
      </c>
      <c r="G71" s="2176">
        <v>1000</v>
      </c>
      <c r="H71" s="2186">
        <v>1149</v>
      </c>
      <c r="I71" s="2167"/>
      <c r="J71" s="2176">
        <v>320</v>
      </c>
      <c r="K71" s="2192">
        <v>337</v>
      </c>
    </row>
    <row r="72" spans="1:11">
      <c r="A72" s="341">
        <v>1995.03</v>
      </c>
      <c r="B72" s="2165">
        <v>2300</v>
      </c>
      <c r="C72" s="2172">
        <v>25</v>
      </c>
      <c r="D72" s="2167"/>
      <c r="E72" s="2176">
        <v>900</v>
      </c>
      <c r="F72" s="2181">
        <v>7.2</v>
      </c>
      <c r="G72" s="2176">
        <v>1000</v>
      </c>
      <c r="H72" s="2186">
        <v>1163</v>
      </c>
      <c r="I72" s="2167"/>
      <c r="J72" s="2176">
        <v>320</v>
      </c>
      <c r="K72" s="2192">
        <v>356</v>
      </c>
    </row>
    <row r="73" spans="1:11">
      <c r="A73" s="341">
        <v>1995.04</v>
      </c>
      <c r="B73" s="2165">
        <v>2400</v>
      </c>
      <c r="C73" s="2172">
        <v>27.3</v>
      </c>
      <c r="D73" s="2167"/>
      <c r="E73" s="2176">
        <v>950</v>
      </c>
      <c r="F73" s="2181">
        <v>7.5</v>
      </c>
      <c r="G73" s="2176">
        <v>1000</v>
      </c>
      <c r="H73" s="2186">
        <v>1220</v>
      </c>
      <c r="I73" s="2167"/>
      <c r="J73" s="2176">
        <v>320</v>
      </c>
      <c r="K73" s="2192">
        <v>400</v>
      </c>
    </row>
    <row r="74" spans="1:11">
      <c r="A74" s="341">
        <v>1995.05</v>
      </c>
      <c r="B74" s="2165">
        <v>2400</v>
      </c>
      <c r="C74" s="2172">
        <v>25.3</v>
      </c>
      <c r="D74" s="2167"/>
      <c r="E74" s="2176">
        <v>950</v>
      </c>
      <c r="F74" s="2181">
        <v>7.3</v>
      </c>
      <c r="G74" s="2176">
        <v>1000</v>
      </c>
      <c r="H74" s="2186">
        <v>1205</v>
      </c>
      <c r="I74" s="2167"/>
      <c r="J74" s="2176">
        <v>320</v>
      </c>
      <c r="K74" s="2192">
        <v>416</v>
      </c>
    </row>
    <row r="75" spans="1:11">
      <c r="A75" s="341">
        <v>1995.06</v>
      </c>
      <c r="B75" s="2165">
        <v>2400</v>
      </c>
      <c r="C75" s="2172">
        <v>22</v>
      </c>
      <c r="D75" s="2167"/>
      <c r="E75" s="2176">
        <v>950</v>
      </c>
      <c r="F75" s="2181">
        <v>6.2</v>
      </c>
      <c r="G75" s="2176">
        <v>1000</v>
      </c>
      <c r="H75" s="2186">
        <v>1190</v>
      </c>
      <c r="I75" s="2167"/>
      <c r="J75" s="2176">
        <v>320</v>
      </c>
      <c r="K75" s="2192">
        <v>395</v>
      </c>
    </row>
    <row r="76" spans="1:11">
      <c r="A76" s="341">
        <v>1995.07</v>
      </c>
      <c r="B76" s="2165">
        <v>2400</v>
      </c>
      <c r="C76" s="2172">
        <v>19.5</v>
      </c>
      <c r="D76" s="2167"/>
      <c r="E76" s="2176">
        <v>950</v>
      </c>
      <c r="F76" s="2181">
        <v>4.8</v>
      </c>
      <c r="G76" s="2176">
        <v>1000</v>
      </c>
      <c r="H76" s="2186">
        <v>1266</v>
      </c>
      <c r="I76" s="2167"/>
      <c r="J76" s="2176">
        <v>320</v>
      </c>
      <c r="K76" s="2192">
        <v>421</v>
      </c>
    </row>
    <row r="77" spans="1:11">
      <c r="A77" s="341">
        <v>1995.08</v>
      </c>
      <c r="B77" s="2165">
        <v>2400</v>
      </c>
      <c r="C77" s="2172">
        <v>18.899999999999999</v>
      </c>
      <c r="D77" s="2167"/>
      <c r="E77" s="2176">
        <v>950</v>
      </c>
      <c r="F77" s="2181">
        <v>4.2</v>
      </c>
      <c r="G77" s="2176">
        <v>1000</v>
      </c>
      <c r="H77" s="2186">
        <v>1333</v>
      </c>
      <c r="I77" s="2167"/>
      <c r="J77" s="2176">
        <v>300</v>
      </c>
      <c r="K77" s="2192">
        <v>429</v>
      </c>
    </row>
    <row r="78" spans="1:11">
      <c r="A78" s="341">
        <v>1995.09</v>
      </c>
      <c r="B78" s="2165">
        <v>2400</v>
      </c>
      <c r="C78" s="2172">
        <v>18.2</v>
      </c>
      <c r="D78" s="2167"/>
      <c r="E78" s="2176">
        <v>950</v>
      </c>
      <c r="F78" s="2181">
        <v>4.3</v>
      </c>
      <c r="G78" s="2176">
        <v>1000</v>
      </c>
      <c r="H78" s="2186">
        <v>1190</v>
      </c>
      <c r="I78" s="2167"/>
      <c r="J78" s="2176">
        <v>300</v>
      </c>
      <c r="K78" s="2192">
        <v>366</v>
      </c>
    </row>
    <row r="79" spans="1:11">
      <c r="A79" s="341">
        <v>1995.1</v>
      </c>
      <c r="B79" s="2165">
        <v>2500</v>
      </c>
      <c r="C79" s="2172">
        <v>17.5</v>
      </c>
      <c r="D79" s="2167"/>
      <c r="E79" s="2176">
        <v>950</v>
      </c>
      <c r="F79" s="2181">
        <v>4.2</v>
      </c>
      <c r="G79" s="2176">
        <v>1000</v>
      </c>
      <c r="H79" s="2186">
        <v>1176</v>
      </c>
      <c r="I79" s="2167"/>
      <c r="J79" s="2176">
        <v>300</v>
      </c>
      <c r="K79" s="2192">
        <v>357</v>
      </c>
    </row>
    <row r="80" spans="1:11">
      <c r="A80" s="341">
        <v>1995.11</v>
      </c>
      <c r="B80" s="2165">
        <v>2500</v>
      </c>
      <c r="C80" s="2172">
        <v>17.2</v>
      </c>
      <c r="D80" s="2167"/>
      <c r="E80" s="2176">
        <v>950</v>
      </c>
      <c r="F80" s="2181">
        <v>4.2</v>
      </c>
      <c r="G80" s="2176">
        <v>1100</v>
      </c>
      <c r="H80" s="2186">
        <v>1250</v>
      </c>
      <c r="I80" s="2167"/>
      <c r="J80" s="2176">
        <v>300</v>
      </c>
      <c r="K80" s="2192">
        <v>345</v>
      </c>
    </row>
    <row r="81" spans="1:11">
      <c r="A81" s="341">
        <v>1995.12</v>
      </c>
      <c r="B81" s="2165">
        <v>2500</v>
      </c>
      <c r="C81" s="2172">
        <v>18.7</v>
      </c>
      <c r="D81" s="2167"/>
      <c r="E81" s="2176">
        <v>950</v>
      </c>
      <c r="F81" s="2181">
        <v>4.8</v>
      </c>
      <c r="G81" s="2176">
        <v>1100</v>
      </c>
      <c r="H81" s="2186">
        <v>1196</v>
      </c>
      <c r="I81" s="2167"/>
      <c r="J81" s="2176">
        <v>300</v>
      </c>
      <c r="K81" s="2192">
        <v>341</v>
      </c>
    </row>
    <row r="82" spans="1:11">
      <c r="A82" s="341">
        <v>1996.01</v>
      </c>
      <c r="B82" s="2165">
        <v>2700</v>
      </c>
      <c r="C82" s="2172">
        <v>18.899999999999999</v>
      </c>
      <c r="D82" s="2167"/>
      <c r="E82" s="2176">
        <v>1150</v>
      </c>
      <c r="F82" s="2181">
        <v>5.6</v>
      </c>
      <c r="G82" s="2176">
        <v>1100</v>
      </c>
      <c r="H82" s="2186">
        <v>1209</v>
      </c>
      <c r="I82" s="2167"/>
      <c r="J82" s="2176">
        <v>300</v>
      </c>
      <c r="K82" s="2192">
        <v>341</v>
      </c>
    </row>
    <row r="83" spans="1:11">
      <c r="A83" s="341">
        <v>1996.02</v>
      </c>
      <c r="B83" s="2165">
        <v>2700</v>
      </c>
      <c r="C83" s="2172">
        <v>17.600000000000001</v>
      </c>
      <c r="D83" s="2167"/>
      <c r="E83" s="2176">
        <v>1250</v>
      </c>
      <c r="F83" s="2181">
        <v>5.6</v>
      </c>
      <c r="G83" s="2176">
        <v>1100</v>
      </c>
      <c r="H83" s="2186">
        <v>1222</v>
      </c>
      <c r="I83" s="2167"/>
      <c r="J83" s="2176">
        <v>300</v>
      </c>
      <c r="K83" s="2192">
        <v>349</v>
      </c>
    </row>
    <row r="84" spans="1:11">
      <c r="A84" s="341">
        <v>1996.03</v>
      </c>
      <c r="B84" s="2165">
        <v>2700</v>
      </c>
      <c r="C84" s="2172">
        <v>17</v>
      </c>
      <c r="D84" s="2167"/>
      <c r="E84" s="2176">
        <v>1300</v>
      </c>
      <c r="F84" s="2181">
        <v>5.4</v>
      </c>
      <c r="G84" s="2176">
        <v>1100</v>
      </c>
      <c r="H84" s="2186">
        <v>1222</v>
      </c>
      <c r="I84" s="2167"/>
      <c r="J84" s="2176">
        <v>320</v>
      </c>
      <c r="K84" s="2192">
        <v>376</v>
      </c>
    </row>
    <row r="85" spans="1:11">
      <c r="A85" s="341">
        <v>1996.04</v>
      </c>
      <c r="B85" s="2165">
        <v>2900</v>
      </c>
      <c r="C85" s="2172">
        <v>17.5</v>
      </c>
      <c r="D85" s="2167"/>
      <c r="E85" s="2176">
        <v>1400</v>
      </c>
      <c r="F85" s="2181">
        <v>5.8</v>
      </c>
      <c r="G85" s="2176">
        <v>1300</v>
      </c>
      <c r="H85" s="2186">
        <v>1429</v>
      </c>
      <c r="I85" s="2167"/>
      <c r="J85" s="2176">
        <v>320</v>
      </c>
      <c r="K85" s="2192">
        <v>376</v>
      </c>
    </row>
    <row r="86" spans="1:11">
      <c r="A86" s="341">
        <v>1996.05</v>
      </c>
      <c r="B86" s="2165">
        <v>3300</v>
      </c>
      <c r="C86" s="2172">
        <v>19.2</v>
      </c>
      <c r="D86" s="2167"/>
      <c r="E86" s="2176">
        <v>1400</v>
      </c>
      <c r="F86" s="2181">
        <v>5.2</v>
      </c>
      <c r="G86" s="2176">
        <v>1300</v>
      </c>
      <c r="H86" s="2186">
        <v>1413</v>
      </c>
      <c r="I86" s="2167"/>
      <c r="J86" s="2176">
        <v>350</v>
      </c>
      <c r="K86" s="2192">
        <v>407</v>
      </c>
    </row>
    <row r="87" spans="1:11">
      <c r="A87" s="341">
        <v>1996.06</v>
      </c>
      <c r="B87" s="2165">
        <v>3500</v>
      </c>
      <c r="C87" s="2172">
        <v>20</v>
      </c>
      <c r="D87" s="2167"/>
      <c r="E87" s="2176">
        <v>1500</v>
      </c>
      <c r="F87" s="2181">
        <v>5.7</v>
      </c>
      <c r="G87" s="2176">
        <v>1400</v>
      </c>
      <c r="H87" s="2186">
        <v>1591</v>
      </c>
      <c r="I87" s="2167"/>
      <c r="J87" s="2176">
        <v>350</v>
      </c>
      <c r="K87" s="2192">
        <v>427</v>
      </c>
    </row>
    <row r="88" spans="1:11">
      <c r="A88" s="341">
        <v>1996.07</v>
      </c>
      <c r="B88" s="2165">
        <v>3400</v>
      </c>
      <c r="C88" s="2172">
        <v>19</v>
      </c>
      <c r="D88" s="2167"/>
      <c r="E88" s="2176">
        <v>1400</v>
      </c>
      <c r="F88" s="2181">
        <v>6</v>
      </c>
      <c r="G88" s="2176">
        <v>1350</v>
      </c>
      <c r="H88" s="2186">
        <v>1627</v>
      </c>
      <c r="I88" s="2167"/>
      <c r="J88" s="2176">
        <v>350</v>
      </c>
      <c r="K88" s="2192">
        <v>438</v>
      </c>
    </row>
    <row r="89" spans="1:11">
      <c r="A89" s="341">
        <v>1996.08</v>
      </c>
      <c r="B89" s="2165">
        <v>3300</v>
      </c>
      <c r="C89" s="2172">
        <v>20.2</v>
      </c>
      <c r="D89" s="2167"/>
      <c r="E89" s="2176">
        <v>1400</v>
      </c>
      <c r="F89" s="2181">
        <v>7.2</v>
      </c>
      <c r="G89" s="2176">
        <v>1350</v>
      </c>
      <c r="H89" s="2186">
        <v>1709</v>
      </c>
      <c r="I89" s="2167"/>
      <c r="J89" s="2176">
        <v>350</v>
      </c>
      <c r="K89" s="2192">
        <v>443</v>
      </c>
    </row>
    <row r="90" spans="1:11">
      <c r="A90" s="341">
        <v>1996.09</v>
      </c>
      <c r="B90" s="2165">
        <v>3300</v>
      </c>
      <c r="C90" s="2172">
        <v>21.3</v>
      </c>
      <c r="D90" s="2167"/>
      <c r="E90" s="2176">
        <v>1400</v>
      </c>
      <c r="F90" s="2181">
        <v>7.3</v>
      </c>
      <c r="G90" s="2176">
        <v>1350</v>
      </c>
      <c r="H90" s="2186">
        <v>1646</v>
      </c>
      <c r="I90" s="2167"/>
      <c r="J90" s="2176">
        <v>350</v>
      </c>
      <c r="K90" s="2192">
        <v>427</v>
      </c>
    </row>
    <row r="91" spans="1:11">
      <c r="A91" s="341">
        <v>1996.1</v>
      </c>
      <c r="B91" s="2165">
        <v>3300</v>
      </c>
      <c r="C91" s="2172">
        <v>23.9</v>
      </c>
      <c r="D91" s="2167"/>
      <c r="E91" s="2176">
        <v>1400</v>
      </c>
      <c r="F91" s="2181">
        <v>8.4</v>
      </c>
      <c r="G91" s="2176">
        <v>1350</v>
      </c>
      <c r="H91" s="2186">
        <v>1646</v>
      </c>
      <c r="I91" s="2167"/>
      <c r="J91" s="2176">
        <v>350</v>
      </c>
      <c r="K91" s="2192">
        <v>422</v>
      </c>
    </row>
    <row r="92" spans="1:11">
      <c r="A92" s="341">
        <v>1996.11</v>
      </c>
      <c r="B92" s="2165">
        <v>3300</v>
      </c>
      <c r="C92" s="2172">
        <v>27.7</v>
      </c>
      <c r="D92" s="2167"/>
      <c r="E92" s="2176">
        <v>1400</v>
      </c>
      <c r="F92" s="2181">
        <v>9.1999999999999993</v>
      </c>
      <c r="G92" s="2176">
        <v>1350</v>
      </c>
      <c r="H92" s="2186">
        <v>1646</v>
      </c>
      <c r="I92" s="2167"/>
      <c r="J92" s="2176">
        <v>350</v>
      </c>
      <c r="K92" s="2192">
        <v>422</v>
      </c>
    </row>
    <row r="93" spans="1:11">
      <c r="A93" s="341">
        <v>1996.12</v>
      </c>
      <c r="B93" s="2165">
        <v>3300</v>
      </c>
      <c r="C93" s="2172">
        <v>28.6</v>
      </c>
      <c r="D93" s="2167"/>
      <c r="E93" s="2176">
        <v>1400</v>
      </c>
      <c r="F93" s="2181">
        <v>10.8</v>
      </c>
      <c r="G93" s="2176">
        <v>1350</v>
      </c>
      <c r="H93" s="2186">
        <v>1646</v>
      </c>
      <c r="I93" s="2167"/>
      <c r="J93" s="2176">
        <v>350</v>
      </c>
      <c r="K93" s="2192">
        <v>417</v>
      </c>
    </row>
    <row r="94" spans="1:11">
      <c r="A94" s="341">
        <v>1997.01</v>
      </c>
      <c r="B94" s="2165">
        <v>3300</v>
      </c>
      <c r="C94" s="2172">
        <v>28.3</v>
      </c>
      <c r="D94" s="2167"/>
      <c r="E94" s="2176">
        <v>1400</v>
      </c>
      <c r="F94" s="2181">
        <v>10.9</v>
      </c>
      <c r="G94" s="2176">
        <v>1350</v>
      </c>
      <c r="H94" s="2186">
        <v>1570</v>
      </c>
      <c r="I94" s="2167"/>
      <c r="J94" s="2176">
        <v>350</v>
      </c>
      <c r="K94" s="2192">
        <v>389</v>
      </c>
    </row>
    <row r="95" spans="1:11">
      <c r="A95" s="341">
        <v>1997.02</v>
      </c>
      <c r="B95" s="2165">
        <v>3300</v>
      </c>
      <c r="C95" s="2172">
        <v>31.1</v>
      </c>
      <c r="D95" s="2167"/>
      <c r="E95" s="2176">
        <v>1400</v>
      </c>
      <c r="F95" s="2181">
        <v>10.7</v>
      </c>
      <c r="G95" s="2176">
        <v>1350</v>
      </c>
      <c r="H95" s="2186">
        <v>1517</v>
      </c>
      <c r="I95" s="2167"/>
      <c r="J95" s="2176">
        <v>350</v>
      </c>
      <c r="K95" s="2192">
        <v>368</v>
      </c>
    </row>
    <row r="96" spans="1:11">
      <c r="A96" s="341">
        <v>1997.03</v>
      </c>
      <c r="B96" s="2165">
        <v>3500</v>
      </c>
      <c r="C96" s="2172">
        <v>31.8</v>
      </c>
      <c r="D96" s="2167"/>
      <c r="E96" s="2176">
        <v>1500</v>
      </c>
      <c r="F96" s="2181">
        <v>10.1</v>
      </c>
      <c r="G96" s="2176">
        <v>1500</v>
      </c>
      <c r="H96" s="2186">
        <v>1648</v>
      </c>
      <c r="I96" s="2167"/>
      <c r="J96" s="2176">
        <v>350</v>
      </c>
      <c r="K96" s="2192">
        <v>372</v>
      </c>
    </row>
    <row r="97" spans="1:11">
      <c r="A97" s="341">
        <v>1997.04</v>
      </c>
      <c r="B97" s="2165">
        <v>3500</v>
      </c>
      <c r="C97" s="2172">
        <v>31.8</v>
      </c>
      <c r="D97" s="2167"/>
      <c r="E97" s="2176">
        <v>1500</v>
      </c>
      <c r="F97" s="2181">
        <v>10.1</v>
      </c>
      <c r="G97" s="2176">
        <v>1500</v>
      </c>
      <c r="H97" s="2186">
        <v>1648</v>
      </c>
      <c r="I97" s="2167"/>
      <c r="J97" s="2176">
        <v>400</v>
      </c>
      <c r="K97" s="2192">
        <v>421</v>
      </c>
    </row>
    <row r="98" spans="1:11">
      <c r="A98" s="341">
        <v>1997.05</v>
      </c>
      <c r="B98" s="2165">
        <v>3700</v>
      </c>
      <c r="C98" s="2172">
        <v>32.700000000000003</v>
      </c>
      <c r="D98" s="2167"/>
      <c r="E98" s="2176">
        <v>1600</v>
      </c>
      <c r="F98" s="2181">
        <v>8.9</v>
      </c>
      <c r="G98" s="2176">
        <v>1600</v>
      </c>
      <c r="H98" s="2186">
        <v>1758</v>
      </c>
      <c r="I98" s="2167"/>
      <c r="J98" s="2176">
        <v>430</v>
      </c>
      <c r="K98" s="2192">
        <v>453</v>
      </c>
    </row>
    <row r="99" spans="1:11">
      <c r="A99" s="341">
        <v>1997.06</v>
      </c>
      <c r="B99" s="2165">
        <v>4200</v>
      </c>
      <c r="C99" s="2172">
        <v>39.4</v>
      </c>
      <c r="D99" s="2167"/>
      <c r="E99" s="2176">
        <v>1800</v>
      </c>
      <c r="F99" s="2181">
        <v>11.8</v>
      </c>
      <c r="G99" s="2176">
        <v>1750</v>
      </c>
      <c r="H99" s="2186">
        <v>1902</v>
      </c>
      <c r="I99" s="2167"/>
      <c r="J99" s="2176">
        <v>460</v>
      </c>
      <c r="K99" s="2192">
        <v>484</v>
      </c>
    </row>
    <row r="100" spans="1:11">
      <c r="A100" s="341">
        <v>1997.07</v>
      </c>
      <c r="B100" s="2165">
        <v>4200</v>
      </c>
      <c r="C100" s="2172">
        <v>43.3</v>
      </c>
      <c r="D100" s="2167"/>
      <c r="E100" s="2176">
        <v>1800</v>
      </c>
      <c r="F100" s="2181">
        <v>12.6</v>
      </c>
      <c r="G100" s="2176">
        <v>1750</v>
      </c>
      <c r="H100" s="2186">
        <v>1823</v>
      </c>
      <c r="I100" s="2167"/>
      <c r="J100" s="2176">
        <v>460</v>
      </c>
      <c r="K100" s="2192">
        <v>460</v>
      </c>
    </row>
    <row r="101" spans="1:11">
      <c r="A101" s="341">
        <v>1997.08</v>
      </c>
      <c r="B101" s="2165">
        <v>4500</v>
      </c>
      <c r="C101" s="2172">
        <v>43.3</v>
      </c>
      <c r="D101" s="2167"/>
      <c r="E101" s="2176">
        <v>1800</v>
      </c>
      <c r="F101" s="2181">
        <v>12.5</v>
      </c>
      <c r="G101" s="2176">
        <v>1750</v>
      </c>
      <c r="H101" s="2186">
        <v>1786</v>
      </c>
      <c r="I101" s="2167"/>
      <c r="J101" s="2176">
        <v>550</v>
      </c>
      <c r="K101" s="2192">
        <v>539</v>
      </c>
    </row>
    <row r="102" spans="1:11">
      <c r="A102" s="341">
        <v>1997.09</v>
      </c>
      <c r="B102" s="2165">
        <v>4500</v>
      </c>
      <c r="C102" s="2172">
        <v>42.7</v>
      </c>
      <c r="D102" s="2167"/>
      <c r="E102" s="2176">
        <v>1800</v>
      </c>
      <c r="F102" s="2181">
        <v>12.9</v>
      </c>
      <c r="G102" s="2176">
        <v>1750</v>
      </c>
      <c r="H102" s="2186">
        <v>1716</v>
      </c>
      <c r="I102" s="2167"/>
      <c r="J102" s="2176">
        <v>600</v>
      </c>
      <c r="K102" s="2192">
        <v>500</v>
      </c>
    </row>
    <row r="103" spans="1:11">
      <c r="A103" s="341">
        <v>1997.1</v>
      </c>
      <c r="B103" s="2165">
        <v>4500</v>
      </c>
      <c r="C103" s="2172">
        <v>42.7</v>
      </c>
      <c r="D103" s="2167"/>
      <c r="E103" s="2176">
        <v>1800</v>
      </c>
      <c r="F103" s="2181">
        <v>13.1</v>
      </c>
      <c r="G103" s="2176">
        <v>1750</v>
      </c>
      <c r="H103" s="2186">
        <v>1716</v>
      </c>
      <c r="I103" s="2167"/>
      <c r="J103" s="2176">
        <v>600</v>
      </c>
      <c r="K103" s="2192">
        <v>500</v>
      </c>
    </row>
    <row r="104" spans="1:11">
      <c r="A104" s="341">
        <v>1997.11</v>
      </c>
      <c r="B104" s="2165">
        <v>4500</v>
      </c>
      <c r="C104" s="2172">
        <v>40</v>
      </c>
      <c r="D104" s="2167"/>
      <c r="E104" s="2176">
        <v>1800</v>
      </c>
      <c r="F104" s="2181">
        <v>12.8</v>
      </c>
      <c r="G104" s="2176">
        <v>1750</v>
      </c>
      <c r="H104" s="2186">
        <v>1716</v>
      </c>
      <c r="I104" s="2167"/>
      <c r="J104" s="2176">
        <v>600</v>
      </c>
      <c r="K104" s="2192">
        <v>492</v>
      </c>
    </row>
    <row r="105" spans="1:11">
      <c r="A105" s="341">
        <v>1997.12</v>
      </c>
      <c r="B105" s="2165">
        <v>4500</v>
      </c>
      <c r="C105" s="2172">
        <v>40.9</v>
      </c>
      <c r="D105" s="2167"/>
      <c r="E105" s="2176">
        <v>1700</v>
      </c>
      <c r="F105" s="2181">
        <v>13.4</v>
      </c>
      <c r="G105" s="2176">
        <v>1700</v>
      </c>
      <c r="H105" s="2186">
        <v>1650</v>
      </c>
      <c r="I105" s="2167"/>
      <c r="J105" s="2176">
        <v>600</v>
      </c>
      <c r="K105" s="2192">
        <v>492</v>
      </c>
    </row>
    <row r="106" spans="1:11">
      <c r="A106" s="341">
        <v>1998.01</v>
      </c>
      <c r="B106" s="2165">
        <v>5000</v>
      </c>
      <c r="C106" s="2172">
        <v>45</v>
      </c>
      <c r="D106" s="2167"/>
      <c r="E106" s="2176">
        <v>1700</v>
      </c>
      <c r="F106" s="2181">
        <v>14.8</v>
      </c>
      <c r="G106" s="2176">
        <v>1800</v>
      </c>
      <c r="H106" s="2186">
        <v>1714</v>
      </c>
      <c r="I106" s="2167"/>
      <c r="J106" s="2176">
        <v>600</v>
      </c>
      <c r="K106" s="2192">
        <v>480</v>
      </c>
    </row>
    <row r="107" spans="1:11">
      <c r="A107" s="341">
        <v>1998.02</v>
      </c>
      <c r="B107" s="2165">
        <v>5000</v>
      </c>
      <c r="C107" s="2172">
        <v>47.2</v>
      </c>
      <c r="D107" s="2167"/>
      <c r="E107" s="2176">
        <v>1700</v>
      </c>
      <c r="F107" s="2181">
        <v>14.2</v>
      </c>
      <c r="G107" s="2176">
        <v>1800</v>
      </c>
      <c r="H107" s="2186">
        <v>1651</v>
      </c>
      <c r="I107" s="2167"/>
      <c r="J107" s="2176">
        <v>600</v>
      </c>
      <c r="K107" s="2192">
        <v>472</v>
      </c>
    </row>
    <row r="108" spans="1:11">
      <c r="A108" s="341">
        <v>1998.03</v>
      </c>
      <c r="B108" s="2165">
        <v>5000</v>
      </c>
      <c r="C108" s="2172">
        <v>53.2</v>
      </c>
      <c r="D108" s="2167"/>
      <c r="E108" s="2176">
        <v>1700</v>
      </c>
      <c r="F108" s="2181">
        <v>15.2</v>
      </c>
      <c r="G108" s="2176">
        <v>1800</v>
      </c>
      <c r="H108" s="2186">
        <v>1607</v>
      </c>
      <c r="I108" s="2167"/>
      <c r="J108" s="2176">
        <v>600</v>
      </c>
      <c r="K108" s="2192">
        <v>469</v>
      </c>
    </row>
    <row r="109" spans="1:11">
      <c r="A109" s="341">
        <v>1998.04</v>
      </c>
      <c r="B109" s="2165">
        <v>4800</v>
      </c>
      <c r="C109" s="2172">
        <v>54.5</v>
      </c>
      <c r="D109" s="2167"/>
      <c r="E109" s="2176">
        <v>1700</v>
      </c>
      <c r="F109" s="2181">
        <v>14.4</v>
      </c>
      <c r="G109" s="2176">
        <v>1800</v>
      </c>
      <c r="H109" s="2186">
        <v>1636</v>
      </c>
      <c r="I109" s="2167"/>
      <c r="J109" s="2176">
        <v>600</v>
      </c>
      <c r="K109" s="2192">
        <v>469</v>
      </c>
    </row>
    <row r="110" spans="1:11">
      <c r="A110" s="341">
        <v>1998.05</v>
      </c>
      <c r="B110" s="2165">
        <v>4800</v>
      </c>
      <c r="C110" s="2172">
        <v>52.7</v>
      </c>
      <c r="D110" s="2167"/>
      <c r="E110" s="2176">
        <v>1700</v>
      </c>
      <c r="F110" s="2181">
        <v>14.9</v>
      </c>
      <c r="G110" s="2176">
        <v>1850</v>
      </c>
      <c r="H110" s="2186">
        <v>1623</v>
      </c>
      <c r="I110" s="2167"/>
      <c r="J110" s="2176">
        <v>650</v>
      </c>
      <c r="K110" s="2192">
        <v>508</v>
      </c>
    </row>
    <row r="111" spans="1:11">
      <c r="A111" s="341">
        <v>1998.06</v>
      </c>
      <c r="B111" s="2165">
        <v>5000</v>
      </c>
      <c r="C111" s="2172">
        <v>53.8</v>
      </c>
      <c r="D111" s="2167"/>
      <c r="E111" s="2176">
        <v>1700</v>
      </c>
      <c r="F111" s="2181">
        <v>14.8</v>
      </c>
      <c r="G111" s="2176">
        <v>1850</v>
      </c>
      <c r="H111" s="2186">
        <v>1568</v>
      </c>
      <c r="I111" s="2167"/>
      <c r="J111" s="2176">
        <v>650</v>
      </c>
      <c r="K111" s="2192">
        <v>500</v>
      </c>
    </row>
    <row r="112" spans="1:11">
      <c r="A112" s="341">
        <v>1998.07</v>
      </c>
      <c r="B112" s="2165">
        <v>5000</v>
      </c>
      <c r="C112" s="2172">
        <v>53.2</v>
      </c>
      <c r="D112" s="2167"/>
      <c r="E112" s="2176">
        <v>1700</v>
      </c>
      <c r="F112" s="2181">
        <v>15.7</v>
      </c>
      <c r="G112" s="2176">
        <v>1850</v>
      </c>
      <c r="H112" s="2186">
        <v>1542</v>
      </c>
      <c r="I112" s="2167"/>
      <c r="J112" s="2176">
        <v>650</v>
      </c>
      <c r="K112" s="2192">
        <v>492</v>
      </c>
    </row>
    <row r="113" spans="1:11">
      <c r="A113" s="341">
        <v>1998.08</v>
      </c>
      <c r="B113" s="2165">
        <v>5000</v>
      </c>
      <c r="C113" s="2172">
        <v>53.8</v>
      </c>
      <c r="D113" s="2167"/>
      <c r="E113" s="2176">
        <v>1700</v>
      </c>
      <c r="F113" s="2181">
        <v>15.7</v>
      </c>
      <c r="G113" s="2176">
        <v>1850</v>
      </c>
      <c r="H113" s="2186">
        <v>1423</v>
      </c>
      <c r="I113" s="2167"/>
      <c r="J113" s="2176">
        <v>650</v>
      </c>
      <c r="K113" s="2192">
        <v>448</v>
      </c>
    </row>
    <row r="114" spans="1:11">
      <c r="A114" s="341">
        <v>1998.09</v>
      </c>
      <c r="B114" s="2165">
        <v>4800</v>
      </c>
      <c r="C114" s="2172">
        <v>53.9</v>
      </c>
      <c r="D114" s="2167"/>
      <c r="E114" s="2176">
        <v>1600</v>
      </c>
      <c r="F114" s="2181">
        <v>16</v>
      </c>
      <c r="G114" s="2176">
        <v>1800</v>
      </c>
      <c r="H114" s="2186">
        <v>1565</v>
      </c>
      <c r="I114" s="2167"/>
      <c r="J114" s="2176">
        <v>650</v>
      </c>
      <c r="K114" s="2192">
        <v>433</v>
      </c>
    </row>
    <row r="115" spans="1:11">
      <c r="A115" s="341">
        <v>1998.1</v>
      </c>
      <c r="B115" s="2165">
        <v>4800</v>
      </c>
      <c r="C115" s="2172">
        <v>53.6</v>
      </c>
      <c r="D115" s="2167"/>
      <c r="E115" s="2176">
        <v>1600</v>
      </c>
      <c r="F115" s="2181">
        <v>14.7</v>
      </c>
      <c r="G115" s="2176">
        <v>1800</v>
      </c>
      <c r="H115" s="2186">
        <v>1875</v>
      </c>
      <c r="I115" s="2167"/>
      <c r="J115" s="2176">
        <v>600</v>
      </c>
      <c r="K115" s="2192">
        <v>500</v>
      </c>
    </row>
    <row r="116" spans="1:11">
      <c r="A116" s="341">
        <v>1998.11</v>
      </c>
      <c r="B116" s="2165">
        <v>4800</v>
      </c>
      <c r="C116" s="2172">
        <v>47.1</v>
      </c>
      <c r="D116" s="2167"/>
      <c r="E116" s="2176">
        <v>1600</v>
      </c>
      <c r="F116" s="2181">
        <v>12.7</v>
      </c>
      <c r="G116" s="2176">
        <v>1750</v>
      </c>
      <c r="H116" s="2186">
        <v>1902</v>
      </c>
      <c r="I116" s="2167"/>
      <c r="J116" s="2176">
        <v>600</v>
      </c>
      <c r="K116" s="2192">
        <v>500</v>
      </c>
    </row>
    <row r="117" spans="1:11">
      <c r="A117" s="341">
        <v>1998.12</v>
      </c>
      <c r="B117" s="2165">
        <v>4300</v>
      </c>
      <c r="C117" s="2172">
        <v>41.3</v>
      </c>
      <c r="D117" s="2167"/>
      <c r="E117" s="2176">
        <v>1400</v>
      </c>
      <c r="F117" s="2181">
        <v>12.6</v>
      </c>
      <c r="G117" s="2176">
        <v>1600</v>
      </c>
      <c r="H117" s="2186">
        <v>1778</v>
      </c>
      <c r="I117" s="2167"/>
      <c r="J117" s="2176">
        <v>550</v>
      </c>
      <c r="K117" s="2192">
        <v>458</v>
      </c>
    </row>
    <row r="118" spans="1:11">
      <c r="A118" s="341">
        <v>1999.01</v>
      </c>
      <c r="B118" s="2165">
        <v>4000</v>
      </c>
      <c r="C118" s="2172">
        <v>34.799999999999997</v>
      </c>
      <c r="D118" s="2167"/>
      <c r="E118" s="2176">
        <v>1400</v>
      </c>
      <c r="F118" s="2181">
        <v>13.2</v>
      </c>
      <c r="G118" s="2176">
        <v>1600</v>
      </c>
      <c r="H118" s="2186">
        <v>1839</v>
      </c>
      <c r="I118" s="2167"/>
      <c r="J118" s="2176">
        <v>550</v>
      </c>
      <c r="K118" s="2192">
        <v>478</v>
      </c>
    </row>
    <row r="119" spans="1:11">
      <c r="A119" s="341">
        <v>1999.02</v>
      </c>
      <c r="B119" s="2165">
        <v>4000</v>
      </c>
      <c r="C119" s="2172">
        <v>35.200000000000003</v>
      </c>
      <c r="D119" s="2167"/>
      <c r="E119" s="2176">
        <v>1400</v>
      </c>
      <c r="F119" s="2181">
        <v>13.9</v>
      </c>
      <c r="G119" s="2176">
        <v>1600</v>
      </c>
      <c r="H119" s="2186">
        <v>1905</v>
      </c>
      <c r="I119" s="2167"/>
      <c r="J119" s="2176">
        <v>550</v>
      </c>
      <c r="K119" s="2192">
        <v>500</v>
      </c>
    </row>
    <row r="120" spans="1:11">
      <c r="A120" s="341">
        <v>1999.03</v>
      </c>
      <c r="B120" s="2165">
        <v>4000</v>
      </c>
      <c r="C120" s="2172">
        <v>50.3</v>
      </c>
      <c r="D120" s="2167"/>
      <c r="E120" s="2176">
        <v>1400</v>
      </c>
      <c r="F120" s="2181">
        <v>14.9</v>
      </c>
      <c r="G120" s="2176">
        <v>1600</v>
      </c>
      <c r="H120" s="2186">
        <v>1882</v>
      </c>
      <c r="I120" s="2167"/>
      <c r="J120" s="2176">
        <v>550</v>
      </c>
      <c r="K120" s="2192">
        <v>579</v>
      </c>
    </row>
    <row r="121" spans="1:11">
      <c r="A121" s="341">
        <v>1999.04</v>
      </c>
      <c r="B121" s="2165">
        <v>4000</v>
      </c>
      <c r="C121" s="2172">
        <v>47.6</v>
      </c>
      <c r="D121" s="2167"/>
      <c r="E121" s="2176">
        <v>1400</v>
      </c>
      <c r="F121" s="2181">
        <v>12.3</v>
      </c>
      <c r="G121" s="2176">
        <v>1600</v>
      </c>
      <c r="H121" s="2186">
        <v>1882</v>
      </c>
      <c r="I121" s="2167"/>
      <c r="J121" s="2176">
        <v>550</v>
      </c>
      <c r="K121" s="2192">
        <v>579</v>
      </c>
    </row>
    <row r="122" spans="1:11">
      <c r="A122" s="341">
        <v>1999.05</v>
      </c>
      <c r="B122" s="2165">
        <v>4000</v>
      </c>
      <c r="C122" s="2172">
        <v>45.5</v>
      </c>
      <c r="D122" s="2167"/>
      <c r="E122" s="2176">
        <v>1400</v>
      </c>
      <c r="F122" s="2181">
        <v>12.2</v>
      </c>
      <c r="G122" s="2176">
        <v>1600</v>
      </c>
      <c r="H122" s="2186">
        <v>1778</v>
      </c>
      <c r="I122" s="2167"/>
      <c r="J122" s="2176">
        <v>550</v>
      </c>
      <c r="K122" s="2192">
        <v>550</v>
      </c>
    </row>
    <row r="123" spans="1:11">
      <c r="A123" s="341">
        <v>1999.06</v>
      </c>
      <c r="B123" s="2165">
        <v>4000</v>
      </c>
      <c r="C123" s="2172">
        <v>43.7</v>
      </c>
      <c r="D123" s="2167"/>
      <c r="E123" s="2176">
        <v>1400</v>
      </c>
      <c r="F123" s="2181">
        <v>11.9</v>
      </c>
      <c r="G123" s="2176">
        <v>1600</v>
      </c>
      <c r="H123" s="2186">
        <v>1860</v>
      </c>
      <c r="I123" s="2167"/>
      <c r="J123" s="2176">
        <v>550</v>
      </c>
      <c r="K123" s="2192">
        <v>550</v>
      </c>
    </row>
    <row r="124" spans="1:11">
      <c r="A124" s="341">
        <v>1999.07</v>
      </c>
      <c r="B124" s="2165">
        <v>4000</v>
      </c>
      <c r="C124" s="2172">
        <v>42.6</v>
      </c>
      <c r="D124" s="2167"/>
      <c r="E124" s="2176">
        <v>1400</v>
      </c>
      <c r="F124" s="2181">
        <v>11.3</v>
      </c>
      <c r="G124" s="2176">
        <v>1600</v>
      </c>
      <c r="H124" s="2186">
        <v>1951</v>
      </c>
      <c r="I124" s="2167"/>
      <c r="J124" s="2176">
        <v>550</v>
      </c>
      <c r="K124" s="2192">
        <v>585</v>
      </c>
    </row>
    <row r="125" spans="1:11">
      <c r="A125" s="341">
        <v>1999.08</v>
      </c>
      <c r="B125" s="2165">
        <v>4000</v>
      </c>
      <c r="C125" s="2172">
        <v>44</v>
      </c>
      <c r="D125" s="2167"/>
      <c r="E125" s="2176">
        <v>1400</v>
      </c>
      <c r="F125" s="2181">
        <v>11.7</v>
      </c>
      <c r="G125" s="2176">
        <v>1600</v>
      </c>
      <c r="H125" s="2186">
        <v>1928</v>
      </c>
      <c r="I125" s="2167"/>
      <c r="J125" s="2176">
        <v>550</v>
      </c>
      <c r="K125" s="2192">
        <v>573</v>
      </c>
    </row>
    <row r="126" spans="1:11">
      <c r="A126" s="341">
        <v>1999.09</v>
      </c>
      <c r="B126" s="2165">
        <v>4000</v>
      </c>
      <c r="C126" s="2172">
        <v>44.9</v>
      </c>
      <c r="D126" s="2167"/>
      <c r="E126" s="2176">
        <v>1300</v>
      </c>
      <c r="F126" s="2181">
        <v>10.4</v>
      </c>
      <c r="G126" s="2176">
        <v>1550</v>
      </c>
      <c r="H126" s="2186">
        <v>1938</v>
      </c>
      <c r="I126" s="2167"/>
      <c r="J126" s="2176">
        <v>550</v>
      </c>
      <c r="K126" s="2192">
        <v>598</v>
      </c>
    </row>
    <row r="127" spans="1:11">
      <c r="A127" s="341">
        <v>1999.1</v>
      </c>
      <c r="B127" s="2165">
        <v>4000</v>
      </c>
      <c r="C127" s="2172">
        <v>44.4</v>
      </c>
      <c r="D127" s="2167"/>
      <c r="E127" s="2176">
        <v>1300</v>
      </c>
      <c r="F127" s="2181">
        <v>11.2</v>
      </c>
      <c r="G127" s="2176">
        <v>1550</v>
      </c>
      <c r="H127" s="2186">
        <v>1938</v>
      </c>
      <c r="I127" s="2167"/>
      <c r="J127" s="2176">
        <v>550</v>
      </c>
      <c r="K127" s="2192">
        <v>579</v>
      </c>
    </row>
    <row r="128" spans="1:11">
      <c r="A128" s="341">
        <v>1999.11</v>
      </c>
      <c r="B128" s="2165">
        <v>4000</v>
      </c>
      <c r="C128" s="2172">
        <v>43.7</v>
      </c>
      <c r="D128" s="2167"/>
      <c r="E128" s="2176">
        <v>1300</v>
      </c>
      <c r="F128" s="2181">
        <v>12.1</v>
      </c>
      <c r="G128" s="2176">
        <v>1550</v>
      </c>
      <c r="H128" s="2186">
        <v>1914</v>
      </c>
      <c r="I128" s="2167"/>
      <c r="J128" s="2176">
        <v>550</v>
      </c>
      <c r="K128" s="2192">
        <v>579</v>
      </c>
    </row>
    <row r="129" spans="1:11">
      <c r="A129" s="341">
        <v>1999.12</v>
      </c>
      <c r="B129" s="2165">
        <v>4000</v>
      </c>
      <c r="C129" s="2172">
        <v>48.3</v>
      </c>
      <c r="D129" s="2167"/>
      <c r="E129" s="2176">
        <v>1250</v>
      </c>
      <c r="F129" s="2181">
        <v>15.4</v>
      </c>
      <c r="G129" s="2176">
        <v>1500</v>
      </c>
      <c r="H129" s="2186">
        <v>1948</v>
      </c>
      <c r="I129" s="2167"/>
      <c r="J129" s="2176">
        <v>550</v>
      </c>
      <c r="K129" s="2192">
        <v>567</v>
      </c>
    </row>
    <row r="130" spans="1:11">
      <c r="A130" s="341">
        <v>2000.01</v>
      </c>
      <c r="B130" s="2165">
        <v>4000</v>
      </c>
      <c r="C130" s="2172">
        <v>42.6</v>
      </c>
      <c r="D130" s="2167"/>
      <c r="E130" s="2176">
        <v>1250</v>
      </c>
      <c r="F130" s="2181">
        <v>14.6</v>
      </c>
      <c r="G130" s="2176">
        <v>1500</v>
      </c>
      <c r="H130" s="2186">
        <v>1899</v>
      </c>
      <c r="I130" s="2167"/>
      <c r="J130" s="2176">
        <v>550</v>
      </c>
      <c r="K130" s="2192">
        <v>585</v>
      </c>
    </row>
    <row r="131" spans="1:11">
      <c r="A131" s="341">
        <v>2000.02</v>
      </c>
      <c r="B131" s="2165">
        <v>4000</v>
      </c>
      <c r="C131" s="2172">
        <v>44.7</v>
      </c>
      <c r="D131" s="2167"/>
      <c r="E131" s="2176">
        <v>1250</v>
      </c>
      <c r="F131" s="2181">
        <v>14</v>
      </c>
      <c r="G131" s="2176">
        <v>1500</v>
      </c>
      <c r="H131" s="2186">
        <v>1807</v>
      </c>
      <c r="I131" s="2167"/>
      <c r="J131" s="2176">
        <v>550</v>
      </c>
      <c r="K131" s="2192">
        <v>598</v>
      </c>
    </row>
    <row r="132" spans="1:11">
      <c r="A132" s="341">
        <v>2000.03</v>
      </c>
      <c r="B132" s="2165">
        <v>4000</v>
      </c>
      <c r="C132" s="2172">
        <v>47.1</v>
      </c>
      <c r="D132" s="2167"/>
      <c r="E132" s="2176">
        <v>1200</v>
      </c>
      <c r="F132" s="2181">
        <v>13.3</v>
      </c>
      <c r="G132" s="2176">
        <v>1500</v>
      </c>
      <c r="H132" s="2186">
        <v>1705</v>
      </c>
      <c r="I132" s="2167"/>
      <c r="J132" s="2176">
        <v>550</v>
      </c>
      <c r="K132" s="2192">
        <v>567</v>
      </c>
    </row>
    <row r="133" spans="1:11">
      <c r="A133" s="341">
        <v>2000.04</v>
      </c>
      <c r="B133" s="2165">
        <v>4000</v>
      </c>
      <c r="C133" s="2172">
        <v>47.1</v>
      </c>
      <c r="D133" s="2167"/>
      <c r="E133" s="2176">
        <v>1200</v>
      </c>
      <c r="F133" s="2181">
        <v>11.4</v>
      </c>
      <c r="G133" s="2176">
        <v>1500</v>
      </c>
      <c r="H133" s="2186">
        <v>1685</v>
      </c>
      <c r="I133" s="2167"/>
      <c r="J133" s="2176">
        <v>550</v>
      </c>
      <c r="K133" s="2192">
        <v>550</v>
      </c>
    </row>
    <row r="134" spans="1:11">
      <c r="A134" s="341">
        <v>2000.05</v>
      </c>
      <c r="B134" s="2165">
        <v>4000</v>
      </c>
      <c r="C134" s="2172">
        <v>47.3</v>
      </c>
      <c r="D134" s="2167"/>
      <c r="E134" s="2176">
        <v>1200</v>
      </c>
      <c r="F134" s="2181">
        <v>11.5</v>
      </c>
      <c r="G134" s="2176">
        <v>1500</v>
      </c>
      <c r="H134" s="2186">
        <v>1648</v>
      </c>
      <c r="I134" s="2167"/>
      <c r="J134" s="2176">
        <v>550</v>
      </c>
      <c r="K134" s="2192">
        <v>550</v>
      </c>
    </row>
    <row r="135" spans="1:11">
      <c r="A135" s="341">
        <v>2000.06</v>
      </c>
      <c r="B135" s="2165">
        <v>4000</v>
      </c>
      <c r="C135" s="2172">
        <v>46.5</v>
      </c>
      <c r="D135" s="2167"/>
      <c r="E135" s="2176">
        <v>1200</v>
      </c>
      <c r="F135" s="2181">
        <v>10.5</v>
      </c>
      <c r="G135" s="2176">
        <v>1500</v>
      </c>
      <c r="H135" s="2186">
        <v>1596</v>
      </c>
      <c r="I135" s="2167"/>
      <c r="J135" s="2176">
        <v>550</v>
      </c>
      <c r="K135" s="2192">
        <v>550</v>
      </c>
    </row>
    <row r="136" spans="1:11">
      <c r="A136" s="341">
        <v>2000.07</v>
      </c>
      <c r="B136" s="2165">
        <v>4000</v>
      </c>
      <c r="C136" s="2172">
        <v>53.1</v>
      </c>
      <c r="D136" s="2167"/>
      <c r="E136" s="2176">
        <v>1200</v>
      </c>
      <c r="F136" s="2181">
        <v>10.4</v>
      </c>
      <c r="G136" s="2176">
        <v>1500</v>
      </c>
      <c r="H136" s="2186">
        <v>1596</v>
      </c>
      <c r="I136" s="2167"/>
      <c r="J136" s="2176">
        <v>550</v>
      </c>
      <c r="K136" s="2192">
        <v>550</v>
      </c>
    </row>
    <row r="137" spans="1:11">
      <c r="A137" s="341">
        <v>2000.08</v>
      </c>
      <c r="B137" s="2165">
        <v>4000</v>
      </c>
      <c r="C137" s="2172">
        <v>51.3</v>
      </c>
      <c r="D137" s="2167"/>
      <c r="E137" s="2176">
        <v>1200</v>
      </c>
      <c r="F137" s="2181">
        <v>10.4</v>
      </c>
      <c r="G137" s="2176">
        <v>1500</v>
      </c>
      <c r="H137" s="2186">
        <v>1630</v>
      </c>
      <c r="I137" s="2167"/>
      <c r="J137" s="2176">
        <v>550</v>
      </c>
      <c r="K137" s="2192">
        <v>550</v>
      </c>
    </row>
    <row r="138" spans="1:11">
      <c r="A138" s="341">
        <v>2000.09</v>
      </c>
      <c r="B138" s="2165">
        <v>4000</v>
      </c>
      <c r="C138" s="2172">
        <v>55.2</v>
      </c>
      <c r="D138" s="2167"/>
      <c r="E138" s="2176">
        <v>1200</v>
      </c>
      <c r="F138" s="2181">
        <v>11</v>
      </c>
      <c r="G138" s="2176">
        <v>1500</v>
      </c>
      <c r="H138" s="2186">
        <v>1667</v>
      </c>
      <c r="I138" s="2167"/>
      <c r="J138" s="2176">
        <v>550</v>
      </c>
      <c r="K138" s="2192">
        <v>561</v>
      </c>
    </row>
    <row r="139" spans="1:11">
      <c r="A139" s="341">
        <v>2000.1</v>
      </c>
      <c r="B139" s="2165">
        <v>3800</v>
      </c>
      <c r="C139" s="2172">
        <v>53.3</v>
      </c>
      <c r="D139" s="2167"/>
      <c r="E139" s="2176">
        <v>1200</v>
      </c>
      <c r="F139" s="2181">
        <v>10.4</v>
      </c>
      <c r="G139" s="2176">
        <v>1450</v>
      </c>
      <c r="H139" s="2186">
        <v>1630</v>
      </c>
      <c r="I139" s="2167"/>
      <c r="J139" s="2176">
        <v>550</v>
      </c>
      <c r="K139" s="2192">
        <v>550</v>
      </c>
    </row>
    <row r="140" spans="1:11">
      <c r="A140" s="341">
        <v>2000.11</v>
      </c>
      <c r="B140" s="2165">
        <v>3800</v>
      </c>
      <c r="C140" s="2172">
        <v>50</v>
      </c>
      <c r="D140" s="2167"/>
      <c r="E140" s="2176">
        <v>1200</v>
      </c>
      <c r="F140" s="2181">
        <v>9.3000000000000007</v>
      </c>
      <c r="G140" s="2176">
        <v>1450</v>
      </c>
      <c r="H140" s="2186">
        <v>1611</v>
      </c>
      <c r="I140" s="2167"/>
      <c r="J140" s="2176">
        <v>550</v>
      </c>
      <c r="K140" s="2192">
        <v>514</v>
      </c>
    </row>
    <row r="141" spans="1:11">
      <c r="A141" s="341">
        <v>2000.12</v>
      </c>
      <c r="B141" s="2165">
        <v>3800</v>
      </c>
      <c r="C141" s="2172">
        <v>44.2</v>
      </c>
      <c r="D141" s="2167"/>
      <c r="E141" s="2176">
        <v>1200</v>
      </c>
      <c r="F141" s="2181">
        <v>9.4</v>
      </c>
      <c r="G141" s="2176">
        <v>1450</v>
      </c>
      <c r="H141" s="2186">
        <v>1593</v>
      </c>
      <c r="I141" s="2167"/>
      <c r="J141" s="2176">
        <v>550</v>
      </c>
      <c r="K141" s="2192">
        <v>500</v>
      </c>
    </row>
    <row r="142" spans="1:11">
      <c r="A142" s="341">
        <v>2001.01</v>
      </c>
      <c r="B142" s="2165">
        <v>3800</v>
      </c>
      <c r="C142" s="2172">
        <v>42.7</v>
      </c>
      <c r="D142" s="2167"/>
      <c r="E142" s="2176">
        <v>1200</v>
      </c>
      <c r="F142" s="2181">
        <v>10.5</v>
      </c>
      <c r="G142" s="2176">
        <v>1450</v>
      </c>
      <c r="H142" s="2186">
        <v>1576</v>
      </c>
      <c r="I142" s="2167"/>
      <c r="J142" s="2176">
        <v>550</v>
      </c>
      <c r="K142" s="2192">
        <v>539</v>
      </c>
    </row>
    <row r="143" spans="1:11">
      <c r="A143" s="341">
        <v>2001.02</v>
      </c>
      <c r="B143" s="2165">
        <v>3800</v>
      </c>
      <c r="C143" s="2172">
        <v>49.7</v>
      </c>
      <c r="D143" s="2167"/>
      <c r="E143" s="2176">
        <v>1200</v>
      </c>
      <c r="F143" s="2181">
        <v>10</v>
      </c>
      <c r="G143" s="2176">
        <v>1450</v>
      </c>
      <c r="H143" s="2186">
        <v>1576</v>
      </c>
      <c r="I143" s="2167"/>
      <c r="J143" s="2176">
        <v>550</v>
      </c>
      <c r="K143" s="2192">
        <v>539</v>
      </c>
    </row>
    <row r="144" spans="1:11">
      <c r="A144" s="341">
        <v>2001.03</v>
      </c>
      <c r="B144" s="343">
        <f>(B143+B146)/2</f>
        <v>3662.5</v>
      </c>
      <c r="C144" s="2173">
        <f>(C143+C146)/2</f>
        <v>47.487500000000004</v>
      </c>
      <c r="D144" s="2168"/>
      <c r="E144" s="2177">
        <f>(E143+E146)/2</f>
        <v>1170</v>
      </c>
      <c r="F144" s="2182">
        <f>(F143+F146)/2</f>
        <v>10.125</v>
      </c>
      <c r="G144" s="2177">
        <f>(G143+G146)/2</f>
        <v>1393.75</v>
      </c>
      <c r="H144" s="2187">
        <f>(H143+H146)/2</f>
        <v>1629</v>
      </c>
      <c r="I144" s="2184"/>
      <c r="J144" s="2177">
        <f>(J143+J146)/2</f>
        <v>531.25</v>
      </c>
      <c r="K144" s="2193">
        <f>(K143+K146)/2</f>
        <v>560.875</v>
      </c>
    </row>
    <row r="145" spans="1:11">
      <c r="A145" s="341">
        <v>2001.04</v>
      </c>
      <c r="B145" s="343">
        <f>B144</f>
        <v>3662.5</v>
      </c>
      <c r="C145" s="2173">
        <f>C144</f>
        <v>47.487500000000004</v>
      </c>
      <c r="D145" s="2168"/>
      <c r="E145" s="2177">
        <f>E144</f>
        <v>1170</v>
      </c>
      <c r="F145" s="2182">
        <f>F144</f>
        <v>10.125</v>
      </c>
      <c r="G145" s="2177">
        <f>G144</f>
        <v>1393.75</v>
      </c>
      <c r="H145" s="2187">
        <f>H144</f>
        <v>1629</v>
      </c>
      <c r="I145" s="2184"/>
      <c r="J145" s="2177">
        <f>J144</f>
        <v>531.25</v>
      </c>
      <c r="K145" s="2193">
        <f>K144</f>
        <v>560.875</v>
      </c>
    </row>
    <row r="146" spans="1:11">
      <c r="A146" s="341">
        <v>2001.05</v>
      </c>
      <c r="B146" s="343">
        <f>(B148+B143)/2</f>
        <v>3525</v>
      </c>
      <c r="C146" s="2173">
        <f>(C148+C143)/2</f>
        <v>45.275000000000006</v>
      </c>
      <c r="D146" s="2168"/>
      <c r="E146" s="2177">
        <f>(E148+E143)/2</f>
        <v>1140</v>
      </c>
      <c r="F146" s="2182">
        <f>(F148+F143)/2</f>
        <v>10.25</v>
      </c>
      <c r="G146" s="2177">
        <f>(G148+G143)/2</f>
        <v>1337.5</v>
      </c>
      <c r="H146" s="2187">
        <f>(H148+H143)/2</f>
        <v>1682</v>
      </c>
      <c r="I146" s="2184"/>
      <c r="J146" s="2177">
        <f>(J148+J143)/2</f>
        <v>512.5</v>
      </c>
      <c r="K146" s="2193">
        <f>(K148+K143)/2</f>
        <v>582.75</v>
      </c>
    </row>
    <row r="147" spans="1:11">
      <c r="A147" s="341">
        <v>2001.06</v>
      </c>
      <c r="B147" s="343">
        <f>B146</f>
        <v>3525</v>
      </c>
      <c r="C147" s="2173">
        <f>C146</f>
        <v>45.275000000000006</v>
      </c>
      <c r="D147" s="2168"/>
      <c r="E147" s="2177">
        <f>E146</f>
        <v>1140</v>
      </c>
      <c r="F147" s="2182">
        <f>F146</f>
        <v>10.25</v>
      </c>
      <c r="G147" s="2177">
        <f>G146</f>
        <v>1337.5</v>
      </c>
      <c r="H147" s="2187">
        <f>H146</f>
        <v>1682</v>
      </c>
      <c r="I147" s="2184"/>
      <c r="J147" s="2177">
        <f>J146</f>
        <v>512.5</v>
      </c>
      <c r="K147" s="2193">
        <f>K146</f>
        <v>582.75</v>
      </c>
    </row>
    <row r="148" spans="1:11">
      <c r="A148" s="341">
        <v>2001.07</v>
      </c>
      <c r="B148" s="343">
        <f>(B143+B154)/2</f>
        <v>3250</v>
      </c>
      <c r="C148" s="2173">
        <f>(C143+C154)/2</f>
        <v>40.85</v>
      </c>
      <c r="D148" s="2168"/>
      <c r="E148" s="2177">
        <f>(E143+E154)/2</f>
        <v>1080</v>
      </c>
      <c r="F148" s="2182">
        <f>(F143+F154)/2</f>
        <v>10.5</v>
      </c>
      <c r="G148" s="2177">
        <f>(G143+G154)/2</f>
        <v>1225</v>
      </c>
      <c r="H148" s="2187">
        <f>(H143+H154)/2</f>
        <v>1788</v>
      </c>
      <c r="I148" s="2184"/>
      <c r="J148" s="2177">
        <f>(J143+J154)/2</f>
        <v>475</v>
      </c>
      <c r="K148" s="2193">
        <f>(K143+K154)/2</f>
        <v>626.5</v>
      </c>
    </row>
    <row r="149" spans="1:11">
      <c r="A149" s="341">
        <v>2001.08</v>
      </c>
      <c r="B149" s="343">
        <f>B148</f>
        <v>3250</v>
      </c>
      <c r="C149" s="2173">
        <f>C148</f>
        <v>40.85</v>
      </c>
      <c r="D149" s="2168"/>
      <c r="E149" s="2177">
        <f>E148</f>
        <v>1080</v>
      </c>
      <c r="F149" s="2182">
        <f>F148</f>
        <v>10.5</v>
      </c>
      <c r="G149" s="2177">
        <f>G148</f>
        <v>1225</v>
      </c>
      <c r="H149" s="2187">
        <f>H148</f>
        <v>1788</v>
      </c>
      <c r="I149" s="2184"/>
      <c r="J149" s="2177">
        <f>J148</f>
        <v>475</v>
      </c>
      <c r="K149" s="2193">
        <f>K148</f>
        <v>626.5</v>
      </c>
    </row>
    <row r="150" spans="1:11">
      <c r="A150" s="341">
        <v>2001.09</v>
      </c>
      <c r="B150" s="343">
        <f>(B154+B149)/2</f>
        <v>2975</v>
      </c>
      <c r="C150" s="2173">
        <f>(C154+C149)/2</f>
        <v>36.424999999999997</v>
      </c>
      <c r="D150" s="2168"/>
      <c r="E150" s="2177">
        <f>(E154+E149)/2</f>
        <v>1020</v>
      </c>
      <c r="F150" s="2182">
        <f>(F154+F149)/2</f>
        <v>10.75</v>
      </c>
      <c r="G150" s="2177">
        <f>(G154+G149)/2</f>
        <v>1112.5</v>
      </c>
      <c r="H150" s="2187">
        <f>(H154+H149)/2</f>
        <v>1894</v>
      </c>
      <c r="I150" s="2184"/>
      <c r="J150" s="2177">
        <f>(J154+J149)/2</f>
        <v>437.5</v>
      </c>
      <c r="K150" s="2193">
        <f>(K154+K149)/2</f>
        <v>670.25</v>
      </c>
    </row>
    <row r="151" spans="1:11">
      <c r="A151" s="341">
        <v>2001.1</v>
      </c>
      <c r="B151" s="343">
        <f>B150</f>
        <v>2975</v>
      </c>
      <c r="C151" s="2173">
        <f>C150</f>
        <v>36.424999999999997</v>
      </c>
      <c r="D151" s="2168"/>
      <c r="E151" s="2177">
        <f>E150</f>
        <v>1020</v>
      </c>
      <c r="F151" s="2182">
        <f>F150</f>
        <v>10.75</v>
      </c>
      <c r="G151" s="2177">
        <f>G150</f>
        <v>1112.5</v>
      </c>
      <c r="H151" s="2187">
        <f>H150</f>
        <v>1894</v>
      </c>
      <c r="I151" s="2184"/>
      <c r="J151" s="2177">
        <f>J150</f>
        <v>437.5</v>
      </c>
      <c r="K151" s="2193">
        <f>K150</f>
        <v>670.25</v>
      </c>
    </row>
    <row r="152" spans="1:11">
      <c r="A152" s="341">
        <v>2001.11</v>
      </c>
      <c r="B152" s="343">
        <f>(B151+B154)/2</f>
        <v>2837.5</v>
      </c>
      <c r="C152" s="2173">
        <f>(C151+C154)/2</f>
        <v>34.212499999999999</v>
      </c>
      <c r="D152" s="2168"/>
      <c r="E152" s="2177">
        <f>(E151+E154)/2</f>
        <v>990</v>
      </c>
      <c r="F152" s="2182">
        <f>(F151+F154)/2</f>
        <v>10.875</v>
      </c>
      <c r="G152" s="2177">
        <f>(G151+G154)/2</f>
        <v>1056.25</v>
      </c>
      <c r="H152" s="2187">
        <f>(H151+H154)/2</f>
        <v>1947</v>
      </c>
      <c r="I152" s="2184"/>
      <c r="J152" s="2177">
        <f>(J151+J154)/2</f>
        <v>418.75</v>
      </c>
      <c r="K152" s="2193">
        <f>(K151+K154)/2</f>
        <v>692.125</v>
      </c>
    </row>
    <row r="153" spans="1:11">
      <c r="A153" s="341">
        <v>2001.12</v>
      </c>
      <c r="B153" s="343">
        <f>B152</f>
        <v>2837.5</v>
      </c>
      <c r="C153" s="2173">
        <f>C152</f>
        <v>34.212499999999999</v>
      </c>
      <c r="D153" s="2168"/>
      <c r="E153" s="2177">
        <f>E152</f>
        <v>990</v>
      </c>
      <c r="F153" s="2182">
        <f>F152</f>
        <v>10.875</v>
      </c>
      <c r="G153" s="2177">
        <f>G152</f>
        <v>1056.25</v>
      </c>
      <c r="H153" s="2187">
        <f>H152</f>
        <v>1947</v>
      </c>
      <c r="I153" s="2184"/>
      <c r="J153" s="2177">
        <f>J152</f>
        <v>418.75</v>
      </c>
      <c r="K153" s="2193">
        <f>K152</f>
        <v>692.125</v>
      </c>
    </row>
    <row r="154" spans="1:11">
      <c r="A154" s="219">
        <v>2002.01</v>
      </c>
      <c r="B154" s="2165">
        <v>2700</v>
      </c>
      <c r="C154" s="2172">
        <v>32</v>
      </c>
      <c r="D154" s="2167"/>
      <c r="E154" s="2176">
        <v>960</v>
      </c>
      <c r="F154" s="2181">
        <v>11</v>
      </c>
      <c r="G154" s="2176">
        <v>1000</v>
      </c>
      <c r="H154" s="2186">
        <v>2000</v>
      </c>
      <c r="I154" s="2167"/>
      <c r="J154" s="2176">
        <v>400</v>
      </c>
      <c r="K154" s="2192">
        <v>714</v>
      </c>
    </row>
    <row r="155" spans="1:11">
      <c r="A155" s="219">
        <v>2002.02</v>
      </c>
      <c r="B155" s="2165">
        <v>2700</v>
      </c>
      <c r="C155" s="2172">
        <v>30.2</v>
      </c>
      <c r="D155" s="2167"/>
      <c r="E155" s="2176">
        <v>960</v>
      </c>
      <c r="F155" s="2181">
        <v>9.4</v>
      </c>
      <c r="G155" s="2176">
        <v>1000</v>
      </c>
      <c r="H155" s="2186">
        <v>1852</v>
      </c>
      <c r="I155" s="2167"/>
      <c r="J155" s="2176">
        <v>400</v>
      </c>
      <c r="K155" s="2192">
        <v>714</v>
      </c>
    </row>
    <row r="156" spans="1:11">
      <c r="A156" s="219">
        <v>2002.03</v>
      </c>
      <c r="B156" s="2165">
        <v>2600</v>
      </c>
      <c r="C156" s="2172">
        <v>38.1</v>
      </c>
      <c r="D156" s="2167"/>
      <c r="E156" s="2176">
        <v>900</v>
      </c>
      <c r="F156" s="2181">
        <v>9.5</v>
      </c>
      <c r="G156" s="2176">
        <v>950</v>
      </c>
      <c r="H156" s="2186">
        <v>2065</v>
      </c>
      <c r="I156" s="2167"/>
      <c r="J156" s="2176">
        <v>350</v>
      </c>
      <c r="K156" s="2192">
        <v>700</v>
      </c>
    </row>
    <row r="157" spans="1:11">
      <c r="A157" s="219">
        <v>2002.04</v>
      </c>
      <c r="B157" s="2165">
        <v>2500</v>
      </c>
      <c r="C157" s="2172">
        <v>38.200000000000003</v>
      </c>
      <c r="D157" s="2167"/>
      <c r="E157" s="2176">
        <v>850</v>
      </c>
      <c r="F157" s="2181">
        <v>9.4</v>
      </c>
      <c r="G157" s="2176">
        <v>950</v>
      </c>
      <c r="H157" s="2186">
        <v>2010</v>
      </c>
      <c r="I157" s="2167"/>
      <c r="J157" s="2176">
        <v>330</v>
      </c>
      <c r="K157" s="2192">
        <v>672</v>
      </c>
    </row>
    <row r="158" spans="1:11">
      <c r="A158" s="219">
        <v>2002.05</v>
      </c>
      <c r="B158" s="2165">
        <v>2500</v>
      </c>
      <c r="C158" s="2172">
        <v>37.799999999999997</v>
      </c>
      <c r="D158" s="2167"/>
      <c r="E158" s="2176">
        <v>850</v>
      </c>
      <c r="F158" s="2181">
        <v>7.3</v>
      </c>
      <c r="G158" s="2176">
        <v>950</v>
      </c>
      <c r="H158" s="2186">
        <v>2184</v>
      </c>
      <c r="I158" s="2167"/>
      <c r="J158" s="2176">
        <v>330</v>
      </c>
      <c r="K158" s="2192">
        <v>750</v>
      </c>
    </row>
    <row r="159" spans="1:11">
      <c r="A159" s="219">
        <v>2002.06</v>
      </c>
      <c r="B159" s="2165">
        <v>2500</v>
      </c>
      <c r="C159" s="2172">
        <v>32.200000000000003</v>
      </c>
      <c r="D159" s="2167"/>
      <c r="E159" s="2176">
        <v>850</v>
      </c>
      <c r="F159" s="2181">
        <v>7.5</v>
      </c>
      <c r="G159" s="2176">
        <v>950</v>
      </c>
      <c r="H159" s="2186">
        <v>2448</v>
      </c>
      <c r="I159" s="2167"/>
      <c r="J159" s="2176">
        <v>330</v>
      </c>
      <c r="K159" s="2192">
        <v>902</v>
      </c>
    </row>
    <row r="160" spans="1:11">
      <c r="A160" s="219">
        <v>2002.07</v>
      </c>
      <c r="B160" s="2165">
        <v>2700</v>
      </c>
      <c r="C160" s="2172">
        <v>34.700000000000003</v>
      </c>
      <c r="D160" s="2167"/>
      <c r="E160" s="2176">
        <v>950</v>
      </c>
      <c r="F160" s="2181">
        <v>8.3000000000000007</v>
      </c>
      <c r="G160" s="2176">
        <v>1000</v>
      </c>
      <c r="H160" s="2186">
        <v>2577</v>
      </c>
      <c r="I160" s="2167"/>
      <c r="J160" s="2176">
        <v>370</v>
      </c>
      <c r="K160" s="2192">
        <v>1011</v>
      </c>
    </row>
    <row r="161" spans="1:11">
      <c r="A161" s="219">
        <v>2002.08</v>
      </c>
      <c r="B161" s="2165">
        <v>2700</v>
      </c>
      <c r="C161" s="2172">
        <v>34.4</v>
      </c>
      <c r="D161" s="2167"/>
      <c r="E161" s="2176">
        <v>950</v>
      </c>
      <c r="F161" s="2181">
        <v>7.5</v>
      </c>
      <c r="G161" s="2176">
        <v>1000</v>
      </c>
      <c r="H161" s="2186">
        <v>1887</v>
      </c>
      <c r="I161" s="2167"/>
      <c r="J161" s="2176">
        <v>370</v>
      </c>
      <c r="K161" s="2192">
        <v>669</v>
      </c>
    </row>
    <row r="162" spans="1:11">
      <c r="A162" s="219">
        <v>2002.09</v>
      </c>
      <c r="B162" s="2165">
        <v>2750</v>
      </c>
      <c r="C162" s="2172">
        <v>35.299999999999997</v>
      </c>
      <c r="D162" s="2167"/>
      <c r="E162" s="2176">
        <v>1000</v>
      </c>
      <c r="F162" s="2181">
        <v>7.8</v>
      </c>
      <c r="G162" s="2176">
        <v>1100</v>
      </c>
      <c r="H162" s="2186">
        <v>1930</v>
      </c>
      <c r="I162" s="2167"/>
      <c r="J162" s="2176">
        <v>400</v>
      </c>
      <c r="K162" s="2192">
        <v>702</v>
      </c>
    </row>
    <row r="163" spans="1:11">
      <c r="A163" s="219">
        <v>2002.1</v>
      </c>
      <c r="B163" s="2165">
        <v>2750</v>
      </c>
      <c r="C163" s="2172">
        <v>34.799999999999997</v>
      </c>
      <c r="D163" s="2167"/>
      <c r="E163" s="2176">
        <v>1000</v>
      </c>
      <c r="F163" s="2181">
        <v>6.8</v>
      </c>
      <c r="G163" s="2176">
        <v>1100</v>
      </c>
      <c r="H163" s="2186">
        <v>2000</v>
      </c>
      <c r="I163" s="2167"/>
      <c r="J163" s="2176">
        <v>400</v>
      </c>
      <c r="K163" s="2192">
        <v>727</v>
      </c>
    </row>
    <row r="164" spans="1:11">
      <c r="A164" s="219">
        <v>2002.11</v>
      </c>
      <c r="B164" s="2165">
        <v>2900</v>
      </c>
      <c r="C164" s="2172">
        <v>35.799999999999997</v>
      </c>
      <c r="D164" s="2167"/>
      <c r="E164" s="2176">
        <v>1100</v>
      </c>
      <c r="F164" s="2181">
        <v>8.6999999999999993</v>
      </c>
      <c r="G164" s="2176">
        <v>1100</v>
      </c>
      <c r="H164" s="2186">
        <v>1864</v>
      </c>
      <c r="I164" s="2167"/>
      <c r="J164" s="2176">
        <v>400</v>
      </c>
      <c r="K164" s="2192">
        <v>678</v>
      </c>
    </row>
    <row r="165" spans="1:11">
      <c r="A165" s="219">
        <v>2002.12</v>
      </c>
      <c r="B165" s="2165">
        <v>3000</v>
      </c>
      <c r="C165" s="2172">
        <v>37</v>
      </c>
      <c r="D165" s="2167"/>
      <c r="E165" s="2176">
        <v>1200</v>
      </c>
      <c r="F165" s="2181">
        <v>10.3</v>
      </c>
      <c r="G165" s="2176">
        <v>1200</v>
      </c>
      <c r="H165" s="2186">
        <v>2037</v>
      </c>
      <c r="I165" s="2167"/>
      <c r="J165" s="2176">
        <v>440</v>
      </c>
      <c r="K165" s="2192">
        <v>733</v>
      </c>
    </row>
    <row r="166" spans="1:11">
      <c r="A166" s="219">
        <v>2003.01</v>
      </c>
      <c r="B166" s="2165">
        <v>3000</v>
      </c>
      <c r="C166" s="2172">
        <v>37.299999999999997</v>
      </c>
      <c r="D166" s="2167"/>
      <c r="E166" s="2176">
        <v>1200</v>
      </c>
      <c r="F166" s="2181">
        <v>10.9</v>
      </c>
      <c r="G166" s="2176">
        <v>1200</v>
      </c>
      <c r="H166" s="2186">
        <v>1943</v>
      </c>
      <c r="I166" s="2167"/>
      <c r="J166" s="2176">
        <v>440</v>
      </c>
      <c r="K166" s="2192">
        <v>696</v>
      </c>
    </row>
    <row r="167" spans="1:11">
      <c r="A167" s="219">
        <v>2003.02</v>
      </c>
      <c r="B167" s="2165">
        <v>3200</v>
      </c>
      <c r="C167" s="2172">
        <v>42.1</v>
      </c>
      <c r="D167" s="2167"/>
      <c r="E167" s="2176">
        <v>1250</v>
      </c>
      <c r="F167" s="2181">
        <v>10.5</v>
      </c>
      <c r="G167" s="2176">
        <v>1300</v>
      </c>
      <c r="H167" s="2186">
        <v>2031</v>
      </c>
      <c r="I167" s="2167"/>
      <c r="J167" s="2176">
        <v>460</v>
      </c>
      <c r="K167" s="2192">
        <v>692</v>
      </c>
    </row>
    <row r="168" spans="1:11">
      <c r="A168" s="219">
        <v>2003.03</v>
      </c>
      <c r="B168" s="2165">
        <v>3500</v>
      </c>
      <c r="C168" s="2172">
        <v>47.3</v>
      </c>
      <c r="D168" s="2167"/>
      <c r="E168" s="2176">
        <v>1300</v>
      </c>
      <c r="F168" s="2181">
        <v>10.8</v>
      </c>
      <c r="G168" s="2176">
        <v>1400</v>
      </c>
      <c r="H168" s="2186">
        <v>2090</v>
      </c>
      <c r="I168" s="2167"/>
      <c r="J168" s="2176">
        <v>500</v>
      </c>
      <c r="K168" s="2192">
        <v>741</v>
      </c>
    </row>
    <row r="169" spans="1:11">
      <c r="A169" s="219">
        <v>2003.04</v>
      </c>
      <c r="B169" s="2165">
        <v>3600</v>
      </c>
      <c r="C169" s="2172">
        <v>50</v>
      </c>
      <c r="D169" s="2167"/>
      <c r="E169" s="2176">
        <v>1400</v>
      </c>
      <c r="F169" s="2181">
        <v>12</v>
      </c>
      <c r="G169" s="2176">
        <v>1400</v>
      </c>
      <c r="H169" s="2186">
        <v>2065</v>
      </c>
      <c r="I169" s="2167"/>
      <c r="J169" s="2176">
        <v>550</v>
      </c>
      <c r="K169" s="2192">
        <v>811</v>
      </c>
    </row>
    <row r="170" spans="1:11">
      <c r="A170" s="219">
        <v>2003.05</v>
      </c>
      <c r="B170" s="2165">
        <v>3600</v>
      </c>
      <c r="C170" s="2172">
        <v>45.6</v>
      </c>
      <c r="D170" s="2167"/>
      <c r="E170" s="2176">
        <v>1400</v>
      </c>
      <c r="F170" s="2181">
        <v>11.1</v>
      </c>
      <c r="G170" s="2176">
        <v>1400</v>
      </c>
      <c r="H170" s="2186">
        <v>2050</v>
      </c>
      <c r="I170" s="2167"/>
      <c r="J170" s="2176">
        <v>550</v>
      </c>
      <c r="K170" s="2192">
        <v>850</v>
      </c>
    </row>
    <row r="171" spans="1:11">
      <c r="A171" s="219">
        <v>2003.06</v>
      </c>
      <c r="B171" s="2165">
        <v>3800</v>
      </c>
      <c r="C171" s="2172">
        <v>47.5</v>
      </c>
      <c r="D171" s="2167"/>
      <c r="E171" s="2176">
        <v>1600</v>
      </c>
      <c r="F171" s="2181">
        <v>11.9</v>
      </c>
      <c r="G171" s="2176">
        <v>1500</v>
      </c>
      <c r="H171" s="2186">
        <v>2259</v>
      </c>
      <c r="I171" s="2167"/>
      <c r="J171" s="2176">
        <v>550</v>
      </c>
      <c r="K171" s="2192">
        <v>874</v>
      </c>
    </row>
    <row r="172" spans="1:11">
      <c r="A172" s="219">
        <v>2003.07</v>
      </c>
      <c r="B172" s="2165">
        <v>4200</v>
      </c>
      <c r="C172" s="2172">
        <v>52.2</v>
      </c>
      <c r="D172" s="2167"/>
      <c r="E172" s="2176">
        <v>1700</v>
      </c>
      <c r="F172" s="2181">
        <v>12.5</v>
      </c>
      <c r="G172" s="2176">
        <v>1600</v>
      </c>
      <c r="H172" s="2186">
        <v>2388</v>
      </c>
      <c r="I172" s="2167"/>
      <c r="J172" s="2176">
        <v>600</v>
      </c>
      <c r="K172" s="2192">
        <v>896</v>
      </c>
    </row>
    <row r="173" spans="1:11">
      <c r="A173" s="219">
        <v>2003.08</v>
      </c>
      <c r="B173" s="2165">
        <v>4200</v>
      </c>
      <c r="C173" s="2172">
        <v>57.9</v>
      </c>
      <c r="D173" s="2167"/>
      <c r="E173" s="2176">
        <v>1700</v>
      </c>
      <c r="F173" s="2181">
        <v>13.4</v>
      </c>
      <c r="G173" s="2176">
        <v>1600</v>
      </c>
      <c r="H173" s="2186">
        <v>2424</v>
      </c>
      <c r="I173" s="2167"/>
      <c r="J173" s="2176">
        <v>600</v>
      </c>
      <c r="K173" s="2192">
        <v>909</v>
      </c>
    </row>
    <row r="174" spans="1:11">
      <c r="A174" s="219">
        <v>2003.09</v>
      </c>
      <c r="B174" s="2165">
        <v>4200</v>
      </c>
      <c r="C174" s="2172">
        <v>52.2</v>
      </c>
      <c r="D174" s="2167"/>
      <c r="E174" s="2176">
        <v>1700</v>
      </c>
      <c r="F174" s="2181">
        <v>13.6</v>
      </c>
      <c r="G174" s="2176">
        <v>1600</v>
      </c>
      <c r="H174" s="2186">
        <v>2413</v>
      </c>
      <c r="I174" s="2167"/>
      <c r="J174" s="2176">
        <v>600</v>
      </c>
      <c r="K174" s="2192">
        <v>882</v>
      </c>
    </row>
    <row r="175" spans="1:11">
      <c r="A175" s="219">
        <v>2003.1</v>
      </c>
      <c r="B175" s="2165">
        <v>4500</v>
      </c>
      <c r="C175" s="2172">
        <v>57.7</v>
      </c>
      <c r="D175" s="2167"/>
      <c r="E175" s="2176">
        <v>1700</v>
      </c>
      <c r="F175" s="2181">
        <v>13.4</v>
      </c>
      <c r="G175" s="2176">
        <v>1700</v>
      </c>
      <c r="H175" s="2186">
        <v>2665</v>
      </c>
      <c r="I175" s="2167"/>
      <c r="J175" s="2176">
        <v>600</v>
      </c>
      <c r="K175" s="2192">
        <v>923</v>
      </c>
    </row>
    <row r="176" spans="1:11">
      <c r="A176" s="219">
        <v>2003.11</v>
      </c>
      <c r="B176" s="2165">
        <v>4800</v>
      </c>
      <c r="C176" s="2172">
        <v>57.8</v>
      </c>
      <c r="D176" s="2167"/>
      <c r="E176" s="2176">
        <v>1700</v>
      </c>
      <c r="F176" s="2181">
        <v>13.2</v>
      </c>
      <c r="G176" s="2176">
        <v>1800</v>
      </c>
      <c r="H176" s="2186">
        <v>2703</v>
      </c>
      <c r="I176" s="2167"/>
      <c r="J176" s="2176">
        <v>640</v>
      </c>
      <c r="K176" s="2192">
        <v>928</v>
      </c>
    </row>
    <row r="177" spans="1:11">
      <c r="A177" s="219">
        <v>2003.12</v>
      </c>
      <c r="B177" s="2165">
        <v>4800</v>
      </c>
      <c r="C177" s="2172">
        <v>57.8</v>
      </c>
      <c r="D177" s="2167"/>
      <c r="E177" s="2176">
        <v>1700</v>
      </c>
      <c r="F177" s="2181">
        <v>13.2</v>
      </c>
      <c r="G177" s="2176">
        <v>1800</v>
      </c>
      <c r="H177" s="2186">
        <v>2703</v>
      </c>
      <c r="I177" s="2167"/>
      <c r="J177" s="2176">
        <v>640</v>
      </c>
      <c r="K177" s="2192">
        <v>928</v>
      </c>
    </row>
    <row r="178" spans="1:11">
      <c r="A178" s="219">
        <v>2004.01</v>
      </c>
      <c r="B178" s="2165">
        <v>4800</v>
      </c>
      <c r="C178" s="2172">
        <v>56.8</v>
      </c>
      <c r="D178" s="2167"/>
      <c r="E178" s="2176">
        <v>1700</v>
      </c>
      <c r="F178" s="2181">
        <v>13.8</v>
      </c>
      <c r="G178" s="2176">
        <v>1800</v>
      </c>
      <c r="H178" s="2186">
        <v>2647</v>
      </c>
      <c r="I178" s="2167"/>
      <c r="J178" s="2176">
        <v>640</v>
      </c>
      <c r="K178" s="2192">
        <v>914</v>
      </c>
    </row>
    <row r="179" spans="1:11">
      <c r="A179" s="219">
        <v>2004.02</v>
      </c>
      <c r="B179" s="2165">
        <v>5200</v>
      </c>
      <c r="C179" s="2172">
        <v>60.7</v>
      </c>
      <c r="D179" s="2167"/>
      <c r="E179" s="2176">
        <v>1900</v>
      </c>
      <c r="F179" s="2181">
        <v>15.3</v>
      </c>
      <c r="G179" s="2176">
        <v>2200</v>
      </c>
      <c r="H179" s="2186">
        <v>3235</v>
      </c>
      <c r="I179" s="2167"/>
      <c r="J179" s="2176">
        <v>680</v>
      </c>
      <c r="K179" s="2192">
        <v>986</v>
      </c>
    </row>
    <row r="180" spans="1:11">
      <c r="A180" s="219">
        <v>2004.03</v>
      </c>
      <c r="B180" s="2165">
        <v>5200</v>
      </c>
      <c r="C180" s="2172">
        <v>61.2</v>
      </c>
      <c r="D180" s="2167"/>
      <c r="E180" s="2176">
        <v>1900</v>
      </c>
      <c r="F180" s="2181">
        <v>15.4</v>
      </c>
      <c r="G180" s="2176">
        <v>2200</v>
      </c>
      <c r="H180" s="2186">
        <v>3001</v>
      </c>
      <c r="I180" s="2167"/>
      <c r="J180" s="2176">
        <v>700</v>
      </c>
      <c r="K180" s="2192">
        <v>933</v>
      </c>
    </row>
    <row r="181" spans="1:11">
      <c r="A181" s="219">
        <v>2004.04</v>
      </c>
      <c r="B181" s="2165">
        <v>5400</v>
      </c>
      <c r="C181" s="2172">
        <v>58.5</v>
      </c>
      <c r="D181" s="2167"/>
      <c r="E181" s="2176">
        <v>2000</v>
      </c>
      <c r="F181" s="2181">
        <v>15.5</v>
      </c>
      <c r="G181" s="2176">
        <v>2200</v>
      </c>
      <c r="H181" s="2186">
        <v>3081</v>
      </c>
      <c r="I181" s="2167"/>
      <c r="J181" s="2176">
        <v>700</v>
      </c>
      <c r="K181" s="2192">
        <v>949</v>
      </c>
    </row>
    <row r="182" spans="1:11">
      <c r="A182" s="219">
        <v>2004.05</v>
      </c>
      <c r="B182" s="2165">
        <v>5400</v>
      </c>
      <c r="C182" s="2172">
        <v>55.1</v>
      </c>
      <c r="D182" s="2167"/>
      <c r="E182" s="2176">
        <v>2000</v>
      </c>
      <c r="F182" s="2181">
        <v>15.2</v>
      </c>
      <c r="G182" s="2176">
        <v>2200</v>
      </c>
      <c r="H182" s="2186">
        <v>2941</v>
      </c>
      <c r="I182" s="2167"/>
      <c r="J182" s="2176">
        <v>700</v>
      </c>
      <c r="K182" s="2192">
        <v>967</v>
      </c>
    </row>
    <row r="183" spans="1:11">
      <c r="A183" s="219">
        <v>2004.06</v>
      </c>
      <c r="B183" s="2165">
        <v>5400</v>
      </c>
      <c r="C183" s="2172">
        <v>58.1</v>
      </c>
      <c r="D183" s="2167"/>
      <c r="E183" s="2176">
        <v>2000</v>
      </c>
      <c r="F183" s="2181">
        <v>16.399999999999999</v>
      </c>
      <c r="G183" s="2176">
        <v>2200</v>
      </c>
      <c r="H183" s="2186">
        <v>3099</v>
      </c>
      <c r="I183" s="2167"/>
      <c r="J183" s="2176">
        <v>700</v>
      </c>
      <c r="K183" s="2192">
        <v>1000</v>
      </c>
    </row>
    <row r="184" spans="1:11">
      <c r="A184" s="219">
        <v>2004.07</v>
      </c>
      <c r="B184" s="2165">
        <v>5400</v>
      </c>
      <c r="C184" s="2172">
        <v>61.4</v>
      </c>
      <c r="D184" s="2167"/>
      <c r="E184" s="2176">
        <v>2000</v>
      </c>
      <c r="F184" s="2181">
        <v>19</v>
      </c>
      <c r="G184" s="2176">
        <v>2200</v>
      </c>
      <c r="H184" s="2186">
        <v>3112</v>
      </c>
      <c r="I184" s="2167"/>
      <c r="J184" s="2176">
        <v>700</v>
      </c>
      <c r="K184" s="2192">
        <v>1004</v>
      </c>
    </row>
    <row r="185" spans="1:11">
      <c r="A185" s="219">
        <v>2004.08</v>
      </c>
      <c r="B185" s="2165">
        <v>5400</v>
      </c>
      <c r="C185" s="2172">
        <v>72</v>
      </c>
      <c r="D185" s="2167"/>
      <c r="E185" s="2176">
        <v>2000</v>
      </c>
      <c r="F185" s="2181">
        <v>19.600000000000001</v>
      </c>
      <c r="G185" s="2176">
        <v>2200</v>
      </c>
      <c r="H185" s="2186">
        <v>3165</v>
      </c>
      <c r="I185" s="2167"/>
      <c r="J185" s="2176">
        <v>700</v>
      </c>
      <c r="K185" s="2192">
        <v>997</v>
      </c>
    </row>
    <row r="186" spans="1:11">
      <c r="A186" s="219">
        <v>2004.09</v>
      </c>
      <c r="B186" s="2165">
        <v>5400</v>
      </c>
      <c r="C186" s="2172">
        <v>71.099999999999994</v>
      </c>
      <c r="D186" s="2167"/>
      <c r="E186" s="2176">
        <v>2000</v>
      </c>
      <c r="F186" s="2181">
        <v>20.2</v>
      </c>
      <c r="G186" s="2176">
        <v>2200</v>
      </c>
      <c r="H186" s="2186">
        <v>3090</v>
      </c>
      <c r="I186" s="2167"/>
      <c r="J186" s="2176">
        <v>700</v>
      </c>
      <c r="K186" s="2192">
        <v>909</v>
      </c>
    </row>
    <row r="187" spans="1:11">
      <c r="A187" s="219">
        <v>2004.1</v>
      </c>
      <c r="B187" s="2165">
        <v>5400</v>
      </c>
      <c r="C187" s="2172">
        <v>73</v>
      </c>
      <c r="D187" s="2167"/>
      <c r="E187" s="2176">
        <v>2000</v>
      </c>
      <c r="F187" s="2181">
        <v>20</v>
      </c>
      <c r="G187" s="2176">
        <v>2200</v>
      </c>
      <c r="H187" s="2186">
        <v>3116</v>
      </c>
      <c r="I187" s="2167"/>
      <c r="J187" s="2176">
        <v>700</v>
      </c>
      <c r="K187" s="2192">
        <v>897</v>
      </c>
    </row>
    <row r="188" spans="1:11">
      <c r="A188" s="219">
        <v>2004.11</v>
      </c>
      <c r="B188" s="2165">
        <v>5400</v>
      </c>
      <c r="C188" s="2172">
        <v>79.400000000000006</v>
      </c>
      <c r="D188" s="2167"/>
      <c r="E188" s="2176">
        <v>2000</v>
      </c>
      <c r="F188" s="2181">
        <v>22.2</v>
      </c>
      <c r="G188" s="2176">
        <v>2200</v>
      </c>
      <c r="H188" s="2186">
        <v>3152</v>
      </c>
      <c r="I188" s="2167"/>
      <c r="J188" s="2176">
        <v>700</v>
      </c>
      <c r="K188" s="2192">
        <v>897</v>
      </c>
    </row>
    <row r="189" spans="1:11">
      <c r="A189" s="219">
        <v>2004.12</v>
      </c>
      <c r="B189" s="2165">
        <v>5400</v>
      </c>
      <c r="C189" s="2172">
        <v>77.7</v>
      </c>
      <c r="D189" s="2167"/>
      <c r="E189" s="2176">
        <v>2000</v>
      </c>
      <c r="F189" s="2181">
        <v>22.7</v>
      </c>
      <c r="G189" s="2176">
        <v>2200</v>
      </c>
      <c r="H189" s="2186">
        <v>3099</v>
      </c>
      <c r="I189" s="2167"/>
      <c r="J189" s="2176">
        <v>700</v>
      </c>
      <c r="K189" s="2192">
        <v>897</v>
      </c>
    </row>
    <row r="190" spans="1:11">
      <c r="A190" s="219">
        <v>2005.01</v>
      </c>
      <c r="B190" s="2165">
        <v>5400</v>
      </c>
      <c r="C190" s="2172">
        <v>85.7</v>
      </c>
      <c r="D190" s="2167"/>
      <c r="E190" s="2176">
        <v>2000</v>
      </c>
      <c r="F190" s="2181">
        <v>24.1</v>
      </c>
      <c r="G190" s="2176">
        <v>2200</v>
      </c>
      <c r="H190" s="2186">
        <v>3056</v>
      </c>
      <c r="I190" s="2167"/>
      <c r="J190" s="2176">
        <v>750</v>
      </c>
      <c r="K190" s="2192">
        <v>893</v>
      </c>
    </row>
    <row r="191" spans="1:11">
      <c r="A191" s="219">
        <v>2005.02</v>
      </c>
      <c r="B191" s="2165">
        <v>5400</v>
      </c>
      <c r="C191" s="2172">
        <v>86.4</v>
      </c>
      <c r="D191" s="2167"/>
      <c r="E191" s="2176">
        <v>2000</v>
      </c>
      <c r="F191" s="2181">
        <v>25.5</v>
      </c>
      <c r="G191" s="2176">
        <v>2200</v>
      </c>
      <c r="H191" s="2186">
        <v>3014</v>
      </c>
      <c r="I191" s="2167"/>
      <c r="J191" s="2176">
        <v>750</v>
      </c>
      <c r="K191" s="2192">
        <v>882</v>
      </c>
    </row>
    <row r="192" spans="1:11">
      <c r="A192" s="219">
        <v>2005.03</v>
      </c>
      <c r="B192" s="2165">
        <v>5800</v>
      </c>
      <c r="C192" s="2172">
        <v>90.3</v>
      </c>
      <c r="D192" s="2167"/>
      <c r="E192" s="2176">
        <v>2200</v>
      </c>
      <c r="F192" s="2181">
        <v>22</v>
      </c>
      <c r="G192" s="2176">
        <v>2500</v>
      </c>
      <c r="H192" s="2186">
        <v>3226</v>
      </c>
      <c r="I192" s="2167"/>
      <c r="J192" s="2176">
        <v>800</v>
      </c>
      <c r="K192" s="2192">
        <v>879</v>
      </c>
    </row>
    <row r="193" spans="1:11">
      <c r="A193" s="219">
        <v>2005.04</v>
      </c>
      <c r="B193" s="2165">
        <v>5800</v>
      </c>
      <c r="C193" s="2172">
        <v>89.2</v>
      </c>
      <c r="D193" s="2167"/>
      <c r="E193" s="2176">
        <v>2200</v>
      </c>
      <c r="F193" s="2181">
        <v>20.6</v>
      </c>
      <c r="G193" s="2176">
        <v>2500</v>
      </c>
      <c r="H193" s="2186">
        <v>3086</v>
      </c>
      <c r="I193" s="2167"/>
      <c r="J193" s="2176">
        <v>800</v>
      </c>
      <c r="K193" s="2192">
        <v>851</v>
      </c>
    </row>
    <row r="194" spans="1:11">
      <c r="A194" s="219">
        <v>2005.05</v>
      </c>
      <c r="B194" s="2165">
        <v>5800</v>
      </c>
      <c r="C194" s="2172">
        <v>91.6</v>
      </c>
      <c r="D194" s="2167"/>
      <c r="E194" s="2176">
        <v>2200</v>
      </c>
      <c r="F194" s="2181">
        <v>21.4</v>
      </c>
      <c r="G194" s="2176">
        <v>2500</v>
      </c>
      <c r="H194" s="2186">
        <v>3205</v>
      </c>
      <c r="I194" s="2167"/>
      <c r="J194" s="2176">
        <v>800</v>
      </c>
      <c r="K194" s="2192">
        <v>851</v>
      </c>
    </row>
    <row r="195" spans="1:11">
      <c r="A195" s="219">
        <v>2005.06</v>
      </c>
      <c r="B195" s="2165">
        <v>5800</v>
      </c>
      <c r="C195" s="2172">
        <v>84.1</v>
      </c>
      <c r="D195" s="2167"/>
      <c r="E195" s="2176">
        <v>2200</v>
      </c>
      <c r="F195" s="2181">
        <v>21.4</v>
      </c>
      <c r="G195" s="2176">
        <v>2500</v>
      </c>
      <c r="H195" s="2186">
        <v>3169</v>
      </c>
      <c r="I195" s="2167"/>
      <c r="J195" s="2176">
        <v>800</v>
      </c>
      <c r="K195" s="2192">
        <v>876</v>
      </c>
    </row>
    <row r="196" spans="1:11">
      <c r="A196" s="219">
        <v>2005.07</v>
      </c>
      <c r="B196" s="2165">
        <v>5800</v>
      </c>
      <c r="C196" s="2172">
        <v>81.7</v>
      </c>
      <c r="D196" s="2167"/>
      <c r="E196" s="2176">
        <v>2300</v>
      </c>
      <c r="F196" s="2181">
        <v>21.1</v>
      </c>
      <c r="G196" s="2176">
        <v>2600</v>
      </c>
      <c r="H196" s="2186">
        <v>3210</v>
      </c>
      <c r="I196" s="2167"/>
      <c r="J196" s="2176">
        <v>850</v>
      </c>
      <c r="K196" s="2192">
        <v>924</v>
      </c>
    </row>
    <row r="197" spans="1:11">
      <c r="A197" s="219">
        <v>2005.08</v>
      </c>
      <c r="B197" s="2165">
        <v>6000</v>
      </c>
      <c r="C197" s="2172">
        <v>75.900000000000006</v>
      </c>
      <c r="D197" s="2167"/>
      <c r="E197" s="2176">
        <v>2500</v>
      </c>
      <c r="F197" s="2181">
        <v>22.5</v>
      </c>
      <c r="G197" s="2176">
        <v>2800</v>
      </c>
      <c r="H197" s="2186">
        <v>3419</v>
      </c>
      <c r="I197" s="2167"/>
      <c r="J197" s="2176">
        <v>900</v>
      </c>
      <c r="K197" s="2192">
        <v>891</v>
      </c>
    </row>
    <row r="198" spans="1:11">
      <c r="A198" s="219">
        <v>2005.09</v>
      </c>
      <c r="B198" s="2165">
        <v>6000</v>
      </c>
      <c r="C198" s="2172">
        <v>78.400000000000006</v>
      </c>
      <c r="D198" s="2167"/>
      <c r="E198" s="2176">
        <v>2500</v>
      </c>
      <c r="F198" s="2181">
        <v>22.8</v>
      </c>
      <c r="G198" s="2176">
        <v>2800</v>
      </c>
      <c r="H198" s="2186">
        <v>3500</v>
      </c>
      <c r="I198" s="2167"/>
      <c r="J198" s="2176">
        <v>900</v>
      </c>
      <c r="K198" s="2192">
        <v>874</v>
      </c>
    </row>
    <row r="199" spans="1:11">
      <c r="A199" s="219">
        <v>2005.1</v>
      </c>
      <c r="B199" s="2165">
        <v>7000</v>
      </c>
      <c r="C199" s="2172">
        <v>95.9</v>
      </c>
      <c r="D199" s="2167"/>
      <c r="E199" s="2176">
        <v>2800</v>
      </c>
      <c r="F199" s="2181">
        <v>26.7</v>
      </c>
      <c r="G199" s="2176">
        <v>3000</v>
      </c>
      <c r="H199" s="2186">
        <v>3750</v>
      </c>
      <c r="I199" s="2167"/>
      <c r="J199" s="2176">
        <v>1000</v>
      </c>
      <c r="K199" s="2192">
        <v>990</v>
      </c>
    </row>
    <row r="200" spans="1:11">
      <c r="A200" s="219">
        <v>2005.11</v>
      </c>
      <c r="B200" s="2165">
        <v>7000</v>
      </c>
      <c r="C200" s="2172">
        <v>97.6</v>
      </c>
      <c r="D200" s="2167"/>
      <c r="E200" s="2176">
        <v>2800</v>
      </c>
      <c r="F200" s="2181">
        <v>25.9</v>
      </c>
      <c r="G200" s="2176">
        <v>3000</v>
      </c>
      <c r="H200" s="2186">
        <v>3584</v>
      </c>
      <c r="I200" s="2167"/>
      <c r="J200" s="2176">
        <v>1000</v>
      </c>
      <c r="K200" s="2192">
        <v>971</v>
      </c>
    </row>
    <row r="201" spans="1:11">
      <c r="A201" s="219">
        <v>2005.12</v>
      </c>
      <c r="B201" s="2165">
        <v>7000</v>
      </c>
      <c r="C201" s="2172">
        <v>102.9</v>
      </c>
      <c r="D201" s="2167"/>
      <c r="E201" s="2176">
        <v>2800</v>
      </c>
      <c r="F201" s="2181">
        <v>26.7</v>
      </c>
      <c r="G201" s="2176">
        <v>3000</v>
      </c>
      <c r="H201" s="2186">
        <v>3529</v>
      </c>
      <c r="I201" s="2167"/>
      <c r="J201" s="2176">
        <v>1000</v>
      </c>
      <c r="K201" s="2192">
        <v>990</v>
      </c>
    </row>
    <row r="202" spans="1:11">
      <c r="A202" s="219">
        <v>2006.01</v>
      </c>
      <c r="B202" s="2165">
        <v>7000</v>
      </c>
      <c r="C202" s="2172">
        <v>88.6</v>
      </c>
      <c r="D202" s="2167"/>
      <c r="E202" s="2176">
        <v>2800</v>
      </c>
      <c r="F202" s="2181">
        <v>26.4</v>
      </c>
      <c r="G202" s="2176">
        <v>3000</v>
      </c>
      <c r="H202" s="2186">
        <v>3797</v>
      </c>
      <c r="I202" s="2167"/>
      <c r="J202" s="2176">
        <v>1000</v>
      </c>
      <c r="K202" s="2192">
        <v>1000</v>
      </c>
    </row>
    <row r="203" spans="1:11">
      <c r="A203" s="219">
        <v>2006.02</v>
      </c>
      <c r="B203" s="2165">
        <v>7500</v>
      </c>
      <c r="C203" s="2172">
        <v>88.2</v>
      </c>
      <c r="D203" s="2167"/>
      <c r="E203" s="2176">
        <v>2800</v>
      </c>
      <c r="F203" s="2181">
        <v>25.5</v>
      </c>
      <c r="G203" s="2176">
        <v>3000</v>
      </c>
      <c r="H203" s="2186">
        <v>3623</v>
      </c>
      <c r="I203" s="2167"/>
      <c r="J203" s="2176">
        <v>1000</v>
      </c>
      <c r="K203" s="2192">
        <v>1027</v>
      </c>
    </row>
    <row r="204" spans="1:11">
      <c r="A204" s="219">
        <v>2006.03</v>
      </c>
      <c r="B204" s="2165">
        <v>7500</v>
      </c>
      <c r="C204" s="2172">
        <v>92.7</v>
      </c>
      <c r="D204" s="2167"/>
      <c r="E204" s="2176">
        <v>2800</v>
      </c>
      <c r="F204" s="2181">
        <v>26.7</v>
      </c>
      <c r="G204" s="2176">
        <v>3000</v>
      </c>
      <c r="H204" s="2186">
        <v>3501</v>
      </c>
      <c r="I204" s="2167"/>
      <c r="J204" s="2176">
        <v>1000</v>
      </c>
      <c r="K204" s="2192">
        <v>1000</v>
      </c>
    </row>
    <row r="205" spans="1:11">
      <c r="A205" s="219">
        <v>2006.04</v>
      </c>
      <c r="B205" s="2165">
        <v>7500</v>
      </c>
      <c r="C205" s="2172">
        <v>93.1</v>
      </c>
      <c r="D205" s="2167"/>
      <c r="E205" s="2176">
        <v>2800</v>
      </c>
      <c r="F205" s="2181">
        <v>27.5</v>
      </c>
      <c r="G205" s="2176">
        <v>3000</v>
      </c>
      <c r="H205" s="2186">
        <v>3722</v>
      </c>
      <c r="I205" s="2167"/>
      <c r="J205" s="2176">
        <v>1000</v>
      </c>
      <c r="K205" s="2192">
        <v>1087</v>
      </c>
    </row>
    <row r="206" spans="1:11">
      <c r="A206" s="219">
        <v>2006.05</v>
      </c>
      <c r="B206" s="2165">
        <v>7500</v>
      </c>
      <c r="C206" s="2172">
        <v>86.2</v>
      </c>
      <c r="D206" s="2167"/>
      <c r="E206" s="2176">
        <v>2800</v>
      </c>
      <c r="F206" s="2181">
        <v>24.8</v>
      </c>
      <c r="G206" s="2176">
        <v>3000</v>
      </c>
      <c r="H206" s="2186">
        <v>3659</v>
      </c>
      <c r="I206" s="2167"/>
      <c r="J206" s="2176">
        <v>1000</v>
      </c>
      <c r="K206" s="2192">
        <v>1124</v>
      </c>
    </row>
    <row r="207" spans="1:11">
      <c r="A207" s="219">
        <v>2006.06</v>
      </c>
      <c r="B207" s="2165">
        <v>7500</v>
      </c>
      <c r="C207" s="2172">
        <v>87.2</v>
      </c>
      <c r="D207" s="2167"/>
      <c r="E207" s="2176">
        <v>2800</v>
      </c>
      <c r="F207" s="2181">
        <v>26.4</v>
      </c>
      <c r="G207" s="2176">
        <v>3200</v>
      </c>
      <c r="H207" s="2186">
        <v>4222</v>
      </c>
      <c r="I207" s="2167"/>
      <c r="J207" s="2176">
        <v>1000</v>
      </c>
      <c r="K207" s="2192">
        <v>1171</v>
      </c>
    </row>
    <row r="208" spans="1:11">
      <c r="A208" s="219">
        <v>2006.07</v>
      </c>
      <c r="B208" s="2165">
        <v>7500</v>
      </c>
      <c r="C208" s="2172">
        <v>86.7</v>
      </c>
      <c r="D208" s="2167"/>
      <c r="E208" s="2176">
        <v>2800</v>
      </c>
      <c r="F208" s="2181">
        <v>28</v>
      </c>
      <c r="G208" s="2176">
        <v>3200</v>
      </c>
      <c r="H208" s="2186">
        <v>4444</v>
      </c>
      <c r="I208" s="2167"/>
      <c r="J208" s="2176">
        <v>1050</v>
      </c>
      <c r="K208" s="2192">
        <v>1280</v>
      </c>
    </row>
    <row r="209" spans="1:11">
      <c r="A209" s="219">
        <v>2006.08</v>
      </c>
      <c r="B209" s="2165">
        <v>7500</v>
      </c>
      <c r="C209" s="2172">
        <v>86.2</v>
      </c>
      <c r="D209" s="2167"/>
      <c r="E209" s="2176">
        <v>2800</v>
      </c>
      <c r="F209" s="2181">
        <v>26.9</v>
      </c>
      <c r="G209" s="2176">
        <v>3200</v>
      </c>
      <c r="H209" s="2186">
        <v>4000</v>
      </c>
      <c r="I209" s="2167"/>
      <c r="J209" s="2176">
        <v>1050</v>
      </c>
      <c r="K209" s="2192">
        <v>1207</v>
      </c>
    </row>
    <row r="210" spans="1:11">
      <c r="A210" s="219">
        <v>2006.09</v>
      </c>
      <c r="B210" s="2165">
        <v>8200</v>
      </c>
      <c r="C210" s="2172">
        <v>94.3</v>
      </c>
      <c r="D210" s="2167"/>
      <c r="E210" s="2176">
        <v>3000</v>
      </c>
      <c r="F210" s="2181">
        <v>28</v>
      </c>
      <c r="G210" s="2176">
        <v>3400</v>
      </c>
      <c r="H210" s="2186">
        <v>4533</v>
      </c>
      <c r="I210" s="2167"/>
      <c r="J210" s="2176">
        <v>1100</v>
      </c>
      <c r="K210" s="2192">
        <v>1222</v>
      </c>
    </row>
    <row r="211" spans="1:11">
      <c r="A211" s="219">
        <v>2006.1</v>
      </c>
      <c r="B211" s="2165">
        <v>8200</v>
      </c>
      <c r="C211" s="2172">
        <v>86.8</v>
      </c>
      <c r="D211" s="2167"/>
      <c r="E211" s="2176">
        <v>3000</v>
      </c>
      <c r="F211" s="2181">
        <v>25.3</v>
      </c>
      <c r="G211" s="2176">
        <v>3400</v>
      </c>
      <c r="H211" s="2186">
        <v>4595</v>
      </c>
      <c r="I211" s="2167"/>
      <c r="J211" s="2176">
        <v>1100</v>
      </c>
      <c r="K211" s="2192">
        <v>1250</v>
      </c>
    </row>
    <row r="212" spans="1:11">
      <c r="A212" s="219">
        <v>2006.11</v>
      </c>
      <c r="B212" s="2165">
        <v>8200</v>
      </c>
      <c r="C212" s="2172">
        <v>71.3</v>
      </c>
      <c r="D212" s="2167"/>
      <c r="E212" s="2176">
        <v>3000</v>
      </c>
      <c r="F212" s="2181">
        <v>24.4</v>
      </c>
      <c r="G212" s="2176">
        <v>3400</v>
      </c>
      <c r="H212" s="2186">
        <v>4304</v>
      </c>
      <c r="I212" s="2167"/>
      <c r="J212" s="2176">
        <v>1100</v>
      </c>
      <c r="K212" s="2192">
        <v>1250</v>
      </c>
    </row>
    <row r="213" spans="1:11">
      <c r="A213" s="219">
        <v>2006.12</v>
      </c>
      <c r="B213" s="2165">
        <v>8400</v>
      </c>
      <c r="C213" s="2172">
        <v>65.099999999999994</v>
      </c>
      <c r="D213" s="2167"/>
      <c r="E213" s="2176">
        <v>3200</v>
      </c>
      <c r="F213" s="2181">
        <v>26.4</v>
      </c>
      <c r="G213" s="2176">
        <v>3700</v>
      </c>
      <c r="H213" s="2186">
        <v>4405</v>
      </c>
      <c r="I213" s="2167"/>
      <c r="J213" s="2176">
        <v>1200</v>
      </c>
      <c r="K213" s="2192">
        <v>1237</v>
      </c>
    </row>
    <row r="214" spans="1:11">
      <c r="A214" s="219">
        <v>2007.01</v>
      </c>
      <c r="B214" s="2165">
        <v>8400</v>
      </c>
      <c r="C214" s="2172">
        <v>63</v>
      </c>
      <c r="D214" s="2169">
        <v>41</v>
      </c>
      <c r="E214" s="2176">
        <v>3300</v>
      </c>
      <c r="F214" s="2181">
        <v>28</v>
      </c>
      <c r="G214" s="2176">
        <v>3700</v>
      </c>
      <c r="H214" s="2186">
        <v>4421</v>
      </c>
      <c r="I214" s="2169">
        <v>18</v>
      </c>
      <c r="J214" s="2176">
        <v>1200</v>
      </c>
      <c r="K214" s="2192">
        <v>1277</v>
      </c>
    </row>
    <row r="215" spans="1:11">
      <c r="A215" s="219">
        <v>2007.02</v>
      </c>
      <c r="B215" s="2165">
        <v>8400</v>
      </c>
      <c r="C215" s="2172">
        <v>67</v>
      </c>
      <c r="D215" s="342">
        <v>44</v>
      </c>
      <c r="E215" s="2176">
        <v>3300</v>
      </c>
      <c r="F215" s="2181">
        <v>27</v>
      </c>
      <c r="G215" s="2176">
        <v>3700</v>
      </c>
      <c r="H215" s="2186">
        <v>4442</v>
      </c>
      <c r="I215" s="342">
        <v>19</v>
      </c>
      <c r="J215" s="2176">
        <v>1200</v>
      </c>
      <c r="K215" s="2192">
        <v>1333</v>
      </c>
    </row>
    <row r="216" spans="1:11">
      <c r="A216" s="219">
        <v>2007.03</v>
      </c>
      <c r="B216" s="2165">
        <v>8700</v>
      </c>
      <c r="C216" s="2172">
        <v>68</v>
      </c>
      <c r="D216" s="342">
        <v>45</v>
      </c>
      <c r="E216" s="2176">
        <v>3300</v>
      </c>
      <c r="F216" s="2181">
        <v>28</v>
      </c>
      <c r="G216" s="2176">
        <v>3900</v>
      </c>
      <c r="H216" s="2186">
        <v>4483</v>
      </c>
      <c r="I216" s="342">
        <v>20</v>
      </c>
      <c r="J216" s="2176">
        <v>1200</v>
      </c>
      <c r="K216" s="2192">
        <v>1333</v>
      </c>
    </row>
    <row r="217" spans="1:11">
      <c r="A217" s="219">
        <v>2007.04</v>
      </c>
      <c r="B217" s="2165">
        <v>8700</v>
      </c>
      <c r="C217" s="2172">
        <v>82</v>
      </c>
      <c r="D217" s="342">
        <v>45</v>
      </c>
      <c r="E217" s="2176">
        <v>3500</v>
      </c>
      <c r="F217" s="2181">
        <v>30</v>
      </c>
      <c r="G217" s="2176">
        <v>4000</v>
      </c>
      <c r="H217" s="2186">
        <v>4444</v>
      </c>
      <c r="I217" s="342">
        <v>21</v>
      </c>
      <c r="J217" s="2176">
        <v>1250</v>
      </c>
      <c r="K217" s="2192">
        <v>1369</v>
      </c>
    </row>
    <row r="218" spans="1:11">
      <c r="A218" s="219">
        <v>2007.05</v>
      </c>
      <c r="B218" s="2165">
        <v>8700</v>
      </c>
      <c r="C218" s="2172">
        <v>78</v>
      </c>
      <c r="D218" s="342">
        <v>46</v>
      </c>
      <c r="E218" s="2176">
        <v>3500</v>
      </c>
      <c r="F218" s="2181">
        <v>29</v>
      </c>
      <c r="G218" s="2176">
        <v>4000</v>
      </c>
      <c r="H218" s="2186">
        <v>4301</v>
      </c>
      <c r="I218" s="342">
        <v>21</v>
      </c>
      <c r="J218" s="2176">
        <v>1250</v>
      </c>
      <c r="K218" s="2192">
        <v>1369</v>
      </c>
    </row>
    <row r="219" spans="1:11">
      <c r="A219" s="219">
        <v>2007.06</v>
      </c>
      <c r="B219" s="2165">
        <v>8700</v>
      </c>
      <c r="C219" s="2172">
        <v>71</v>
      </c>
      <c r="D219" s="342">
        <v>44</v>
      </c>
      <c r="E219" s="2176">
        <v>3500</v>
      </c>
      <c r="F219" s="2181">
        <v>27</v>
      </c>
      <c r="G219" s="2176">
        <v>4000</v>
      </c>
      <c r="H219" s="2186">
        <v>4219</v>
      </c>
      <c r="I219" s="342">
        <v>20</v>
      </c>
      <c r="J219" s="2176">
        <v>1250</v>
      </c>
      <c r="K219" s="2192">
        <v>1337</v>
      </c>
    </row>
    <row r="220" spans="1:11">
      <c r="A220" s="219">
        <v>2007.07</v>
      </c>
      <c r="B220" s="2165">
        <v>9200</v>
      </c>
      <c r="C220" s="2172">
        <v>85</v>
      </c>
      <c r="D220" s="342">
        <v>45</v>
      </c>
      <c r="E220" s="2176">
        <v>3700</v>
      </c>
      <c r="F220" s="2181">
        <v>26</v>
      </c>
      <c r="G220" s="2176">
        <v>4300</v>
      </c>
      <c r="H220" s="2186">
        <v>4536</v>
      </c>
      <c r="I220" s="342">
        <v>21</v>
      </c>
      <c r="J220" s="2176">
        <v>1350</v>
      </c>
      <c r="K220" s="2192">
        <v>1500</v>
      </c>
    </row>
    <row r="221" spans="1:11">
      <c r="A221" s="219">
        <v>2007.08</v>
      </c>
      <c r="B221" s="2165">
        <v>9500</v>
      </c>
      <c r="C221" s="2172">
        <v>85</v>
      </c>
      <c r="D221" s="342">
        <v>47</v>
      </c>
      <c r="E221" s="2176">
        <v>4000</v>
      </c>
      <c r="F221" s="2181">
        <v>26</v>
      </c>
      <c r="G221" s="2176">
        <v>4700</v>
      </c>
      <c r="H221" s="2186">
        <v>5341</v>
      </c>
      <c r="I221" s="342">
        <v>23</v>
      </c>
      <c r="J221" s="2176">
        <v>1500</v>
      </c>
      <c r="K221" s="2192">
        <v>1744</v>
      </c>
    </row>
    <row r="222" spans="1:11">
      <c r="A222" s="219">
        <v>2007.09</v>
      </c>
      <c r="B222" s="2165">
        <v>9700</v>
      </c>
      <c r="C222" s="2172">
        <v>84</v>
      </c>
      <c r="D222" s="342">
        <v>44</v>
      </c>
      <c r="E222" s="2176">
        <v>4000</v>
      </c>
      <c r="F222" s="2181">
        <v>22</v>
      </c>
      <c r="G222" s="2176">
        <v>4700</v>
      </c>
      <c r="H222" s="2186">
        <v>5000</v>
      </c>
      <c r="I222" s="342">
        <v>21</v>
      </c>
      <c r="J222" s="2176">
        <v>1500</v>
      </c>
      <c r="K222" s="2192">
        <v>1630</v>
      </c>
    </row>
    <row r="223" spans="1:11">
      <c r="A223" s="219">
        <v>2007.1</v>
      </c>
      <c r="B223" s="2165">
        <v>10000</v>
      </c>
      <c r="C223" s="2172">
        <v>84</v>
      </c>
      <c r="D223" s="342">
        <v>40</v>
      </c>
      <c r="E223" s="2176">
        <v>4200</v>
      </c>
      <c r="F223" s="2181">
        <v>20</v>
      </c>
      <c r="G223" s="2176">
        <v>4800</v>
      </c>
      <c r="H223" s="2186">
        <v>5106</v>
      </c>
      <c r="I223" s="342">
        <v>19</v>
      </c>
      <c r="J223" s="2176">
        <v>1600</v>
      </c>
      <c r="K223" s="2192">
        <v>1649</v>
      </c>
    </row>
    <row r="224" spans="1:11">
      <c r="A224" s="219">
        <v>2007.11</v>
      </c>
      <c r="B224" s="2165">
        <v>10000</v>
      </c>
      <c r="C224" s="2172">
        <v>89</v>
      </c>
      <c r="D224" s="342">
        <v>39</v>
      </c>
      <c r="E224" s="2176">
        <v>4200</v>
      </c>
      <c r="F224" s="2181">
        <v>23</v>
      </c>
      <c r="G224" s="2176">
        <v>4800</v>
      </c>
      <c r="H224" s="2186">
        <v>4898</v>
      </c>
      <c r="I224" s="342">
        <v>19</v>
      </c>
      <c r="J224" s="2176">
        <v>1600</v>
      </c>
      <c r="K224" s="2192">
        <v>1584</v>
      </c>
    </row>
    <row r="225" spans="1:11">
      <c r="A225" s="219">
        <v>2007.12</v>
      </c>
      <c r="B225" s="2165">
        <v>10000</v>
      </c>
      <c r="C225" s="2172">
        <v>99</v>
      </c>
      <c r="D225" s="342">
        <v>39</v>
      </c>
      <c r="E225" s="2176">
        <v>4200</v>
      </c>
      <c r="F225" s="2181">
        <v>23</v>
      </c>
      <c r="G225" s="2176">
        <v>4800</v>
      </c>
      <c r="H225" s="2186">
        <v>4848</v>
      </c>
      <c r="I225" s="342">
        <v>18</v>
      </c>
      <c r="J225" s="2176">
        <v>1600</v>
      </c>
      <c r="K225" s="2192">
        <v>1524</v>
      </c>
    </row>
    <row r="226" spans="1:11">
      <c r="A226" s="219">
        <f t="shared" ref="A226:A289" si="0">A214+1</f>
        <v>2008.01</v>
      </c>
      <c r="B226" s="2165">
        <v>10700</v>
      </c>
      <c r="C226" s="2172">
        <v>85</v>
      </c>
      <c r="D226" s="342">
        <v>37</v>
      </c>
      <c r="E226" s="2176">
        <v>4800</v>
      </c>
      <c r="F226" s="2181">
        <v>30</v>
      </c>
      <c r="G226" s="2176">
        <v>5500</v>
      </c>
      <c r="H226" s="2186">
        <v>5500</v>
      </c>
      <c r="I226" s="342">
        <v>19</v>
      </c>
      <c r="J226" s="2176">
        <v>1800</v>
      </c>
      <c r="K226" s="2192">
        <v>1731</v>
      </c>
    </row>
    <row r="227" spans="1:11">
      <c r="A227" s="219">
        <f t="shared" si="0"/>
        <v>2008.02</v>
      </c>
      <c r="B227" s="2165">
        <v>11000</v>
      </c>
      <c r="C227" s="2172">
        <v>74</v>
      </c>
      <c r="D227" s="342">
        <v>32</v>
      </c>
      <c r="E227" s="2176">
        <v>4800</v>
      </c>
      <c r="F227" s="2181">
        <v>25</v>
      </c>
      <c r="G227" s="2176">
        <v>5500</v>
      </c>
      <c r="H227" s="2186">
        <v>5288</v>
      </c>
      <c r="I227" s="342">
        <v>16</v>
      </c>
      <c r="J227" s="2176">
        <v>1900</v>
      </c>
      <c r="K227" s="2192">
        <v>1881</v>
      </c>
    </row>
    <row r="228" spans="1:11">
      <c r="A228" s="219">
        <f t="shared" si="0"/>
        <v>2008.03</v>
      </c>
      <c r="B228" s="2165">
        <v>11500</v>
      </c>
      <c r="C228" s="2172">
        <v>72</v>
      </c>
      <c r="D228" s="342">
        <v>32</v>
      </c>
      <c r="E228" s="2176">
        <v>5000</v>
      </c>
      <c r="F228" s="2181">
        <v>26</v>
      </c>
      <c r="G228" s="2176">
        <v>6000</v>
      </c>
      <c r="H228" s="2186">
        <v>5505</v>
      </c>
      <c r="I228" s="342">
        <v>17</v>
      </c>
      <c r="J228" s="2176">
        <v>2000</v>
      </c>
      <c r="K228" s="2192">
        <v>1835</v>
      </c>
    </row>
    <row r="229" spans="1:11">
      <c r="A229" s="219">
        <f t="shared" si="0"/>
        <v>2008.04</v>
      </c>
      <c r="B229" s="2165">
        <v>12000</v>
      </c>
      <c r="C229" s="2172">
        <v>71</v>
      </c>
      <c r="D229" s="342">
        <v>42</v>
      </c>
      <c r="E229" s="2176">
        <v>5000</v>
      </c>
      <c r="F229" s="2181">
        <v>26</v>
      </c>
      <c r="G229" s="2176">
        <v>6000</v>
      </c>
      <c r="H229" s="2186">
        <v>5172</v>
      </c>
      <c r="I229" s="342">
        <v>21</v>
      </c>
      <c r="J229" s="2176">
        <v>2000</v>
      </c>
      <c r="K229" s="2192">
        <v>1724</v>
      </c>
    </row>
    <row r="230" spans="1:11">
      <c r="A230" s="219">
        <f t="shared" si="0"/>
        <v>2008.05</v>
      </c>
      <c r="B230" s="2165">
        <v>12500</v>
      </c>
      <c r="C230" s="2172">
        <v>76</v>
      </c>
      <c r="D230" s="342">
        <v>44</v>
      </c>
      <c r="E230" s="2176">
        <v>5500</v>
      </c>
      <c r="F230" s="2181">
        <v>23</v>
      </c>
      <c r="G230" s="2176">
        <v>6500</v>
      </c>
      <c r="H230" s="2186">
        <v>5652</v>
      </c>
      <c r="I230" s="342">
        <v>23</v>
      </c>
      <c r="J230" s="2176">
        <v>2000</v>
      </c>
      <c r="K230" s="2192">
        <v>1786</v>
      </c>
    </row>
    <row r="231" spans="1:11">
      <c r="A231" s="219">
        <f t="shared" si="0"/>
        <v>2008.06</v>
      </c>
      <c r="B231" s="2165">
        <v>12500</v>
      </c>
      <c r="C231" s="2172">
        <v>77</v>
      </c>
      <c r="D231" s="342">
        <v>43</v>
      </c>
      <c r="E231" s="2176">
        <v>6000</v>
      </c>
      <c r="F231" s="2181">
        <v>25</v>
      </c>
      <c r="G231" s="2176">
        <v>6500</v>
      </c>
      <c r="H231" s="2186">
        <v>5804</v>
      </c>
      <c r="I231" s="342">
        <v>22</v>
      </c>
      <c r="J231" s="2176">
        <v>2000</v>
      </c>
      <c r="K231" s="2192">
        <v>1835</v>
      </c>
    </row>
    <row r="232" spans="1:11">
      <c r="A232" s="219">
        <f t="shared" si="0"/>
        <v>2008.07</v>
      </c>
      <c r="B232" s="2165">
        <v>12500</v>
      </c>
      <c r="C232" s="2172">
        <v>74</v>
      </c>
      <c r="D232" s="342">
        <v>41</v>
      </c>
      <c r="E232" s="2176">
        <v>6000</v>
      </c>
      <c r="F232" s="2181">
        <v>25</v>
      </c>
      <c r="G232" s="2176">
        <v>6500</v>
      </c>
      <c r="H232" s="2186">
        <v>5804</v>
      </c>
      <c r="I232" s="342">
        <v>22</v>
      </c>
      <c r="J232" s="2176">
        <v>2000</v>
      </c>
      <c r="K232" s="2192">
        <v>1786</v>
      </c>
    </row>
    <row r="233" spans="1:11">
      <c r="A233" s="219">
        <f t="shared" si="0"/>
        <v>2008.08</v>
      </c>
      <c r="B233" s="2165">
        <v>12500</v>
      </c>
      <c r="C233" s="2172">
        <v>91</v>
      </c>
      <c r="D233" s="342">
        <v>42</v>
      </c>
      <c r="E233" s="2176">
        <v>6000</v>
      </c>
      <c r="F233" s="2181">
        <v>31</v>
      </c>
      <c r="G233" s="2176">
        <v>6500</v>
      </c>
      <c r="H233" s="2186">
        <v>5603</v>
      </c>
      <c r="I233" s="342">
        <v>22</v>
      </c>
      <c r="J233" s="2176">
        <v>2000</v>
      </c>
      <c r="K233" s="2192">
        <v>1754</v>
      </c>
    </row>
    <row r="234" spans="1:11">
      <c r="A234" s="219">
        <f t="shared" si="0"/>
        <v>2008.09</v>
      </c>
      <c r="B234" s="2165">
        <v>12500</v>
      </c>
      <c r="C234" s="2172">
        <v>89</v>
      </c>
      <c r="D234" s="342">
        <v>44</v>
      </c>
      <c r="E234" s="2176">
        <v>6000</v>
      </c>
      <c r="F234" s="2181">
        <v>32</v>
      </c>
      <c r="G234" s="2176">
        <v>6500</v>
      </c>
      <c r="H234" s="2186">
        <v>5417</v>
      </c>
      <c r="I234" s="342">
        <v>23</v>
      </c>
      <c r="J234" s="2176">
        <v>2000</v>
      </c>
      <c r="K234" s="2192">
        <v>1653</v>
      </c>
    </row>
    <row r="235" spans="1:11">
      <c r="A235" s="219">
        <f t="shared" si="0"/>
        <v>2008.1</v>
      </c>
      <c r="B235" s="2165">
        <v>12000</v>
      </c>
      <c r="C235" s="2172">
        <v>103</v>
      </c>
      <c r="D235" s="342">
        <v>47</v>
      </c>
      <c r="E235" s="2176">
        <v>5500</v>
      </c>
      <c r="F235" s="2181">
        <v>32</v>
      </c>
      <c r="G235" s="2176">
        <v>6000</v>
      </c>
      <c r="H235" s="2186">
        <v>5263</v>
      </c>
      <c r="I235" s="342">
        <v>24</v>
      </c>
      <c r="J235" s="2176">
        <v>2000</v>
      </c>
      <c r="K235" s="2192">
        <v>1754</v>
      </c>
    </row>
    <row r="236" spans="1:11">
      <c r="A236" s="219">
        <f t="shared" si="0"/>
        <v>2008.11</v>
      </c>
      <c r="B236" s="2165">
        <v>11500</v>
      </c>
      <c r="C236" s="2172">
        <v>122</v>
      </c>
      <c r="D236" s="342">
        <v>52</v>
      </c>
      <c r="E236" s="2176">
        <v>5000</v>
      </c>
      <c r="F236" s="2181">
        <v>40</v>
      </c>
      <c r="G236" s="2176">
        <v>5800</v>
      </c>
      <c r="H236" s="2186">
        <v>6237</v>
      </c>
      <c r="I236" s="342">
        <v>26</v>
      </c>
      <c r="J236" s="2176">
        <v>1900</v>
      </c>
      <c r="K236" s="2192">
        <v>2088</v>
      </c>
    </row>
    <row r="237" spans="1:11">
      <c r="A237" s="219">
        <f t="shared" si="0"/>
        <v>2008.12</v>
      </c>
      <c r="B237" s="2165">
        <v>10700</v>
      </c>
      <c r="C237" s="2172">
        <v>134</v>
      </c>
      <c r="D237" s="342">
        <v>53</v>
      </c>
      <c r="E237" s="2176">
        <v>4800</v>
      </c>
      <c r="F237" s="2181">
        <v>42</v>
      </c>
      <c r="G237" s="2176">
        <v>5800</v>
      </c>
      <c r="H237" s="2186">
        <v>6667</v>
      </c>
      <c r="I237" s="342">
        <v>29</v>
      </c>
      <c r="J237" s="2176">
        <v>1800</v>
      </c>
      <c r="K237" s="2192">
        <v>2105</v>
      </c>
    </row>
    <row r="238" spans="1:11">
      <c r="A238" s="219">
        <f t="shared" si="0"/>
        <v>2009.01</v>
      </c>
      <c r="B238" s="2165">
        <v>10200</v>
      </c>
      <c r="C238" s="2172">
        <v>114.6</v>
      </c>
      <c r="D238" s="342">
        <v>42.9</v>
      </c>
      <c r="E238" s="2176">
        <v>4800</v>
      </c>
      <c r="F238" s="2181">
        <v>40.700000000000003</v>
      </c>
      <c r="G238" s="2176">
        <v>5500</v>
      </c>
      <c r="H238" s="2186">
        <v>6627</v>
      </c>
      <c r="I238" s="342">
        <v>23.1</v>
      </c>
      <c r="J238" s="2176">
        <v>1800</v>
      </c>
      <c r="K238" s="2192">
        <v>2093</v>
      </c>
    </row>
    <row r="239" spans="1:11">
      <c r="A239" s="219">
        <f t="shared" si="0"/>
        <v>2009.02</v>
      </c>
      <c r="B239" s="2165">
        <v>10200</v>
      </c>
      <c r="C239" s="2172">
        <v>94.4</v>
      </c>
      <c r="D239" s="342">
        <v>40.5</v>
      </c>
      <c r="E239" s="2176">
        <v>4800</v>
      </c>
      <c r="F239" s="2181">
        <v>43.2</v>
      </c>
      <c r="G239" s="2176">
        <v>5500</v>
      </c>
      <c r="H239" s="2186">
        <v>6044</v>
      </c>
      <c r="I239" s="342">
        <v>21.8</v>
      </c>
      <c r="J239" s="2176">
        <v>1800</v>
      </c>
      <c r="K239" s="2192">
        <v>2100</v>
      </c>
    </row>
    <row r="240" spans="1:11">
      <c r="A240" s="219">
        <f t="shared" si="0"/>
        <v>2009.03</v>
      </c>
      <c r="B240" s="2165">
        <v>10200</v>
      </c>
      <c r="C240" s="2172">
        <v>94.7</v>
      </c>
      <c r="D240" s="342">
        <v>50.2</v>
      </c>
      <c r="E240" s="2176">
        <v>4800</v>
      </c>
      <c r="F240" s="2181">
        <v>41.9</v>
      </c>
      <c r="G240" s="2176">
        <v>5500</v>
      </c>
      <c r="H240" s="2186">
        <v>5729</v>
      </c>
      <c r="I240" s="342">
        <v>27.1</v>
      </c>
      <c r="J240" s="2176">
        <v>1800</v>
      </c>
      <c r="K240" s="2192">
        <v>2045</v>
      </c>
    </row>
    <row r="241" spans="1:11">
      <c r="A241" s="219">
        <f t="shared" si="0"/>
        <v>2009.04</v>
      </c>
      <c r="B241" s="2165">
        <v>10200</v>
      </c>
      <c r="C241" s="2172">
        <v>96.6</v>
      </c>
      <c r="D241" s="342">
        <v>43.9</v>
      </c>
      <c r="E241" s="2176">
        <v>4800</v>
      </c>
      <c r="F241" s="2181">
        <v>35.799999999999997</v>
      </c>
      <c r="G241" s="2176">
        <v>5500</v>
      </c>
      <c r="H241" s="2186">
        <v>5612</v>
      </c>
      <c r="I241" s="342">
        <v>23.6</v>
      </c>
      <c r="J241" s="2176">
        <v>1800</v>
      </c>
      <c r="K241" s="2192">
        <v>1875</v>
      </c>
    </row>
    <row r="242" spans="1:11">
      <c r="A242" s="219">
        <f t="shared" si="0"/>
        <v>2009.05</v>
      </c>
      <c r="B242" s="2165">
        <v>10200</v>
      </c>
      <c r="C242" s="2172">
        <v>96.2</v>
      </c>
      <c r="D242" s="342">
        <v>37.9</v>
      </c>
      <c r="E242" s="2176">
        <v>4500</v>
      </c>
      <c r="F242" s="2181">
        <v>31.7</v>
      </c>
      <c r="G242" s="2176">
        <v>5500</v>
      </c>
      <c r="H242" s="2186">
        <v>5851</v>
      </c>
      <c r="I242" s="342">
        <v>20.399999999999999</v>
      </c>
      <c r="J242" s="2176">
        <v>1600</v>
      </c>
      <c r="K242" s="2192">
        <v>1798</v>
      </c>
    </row>
    <row r="243" spans="1:11">
      <c r="A243" s="219">
        <f t="shared" si="0"/>
        <v>2009.06</v>
      </c>
      <c r="B243" s="2165">
        <v>10200</v>
      </c>
      <c r="C243" s="2172">
        <v>96.2</v>
      </c>
      <c r="D243" s="342">
        <v>35.9</v>
      </c>
      <c r="E243" s="2176">
        <v>4500</v>
      </c>
      <c r="F243" s="2181">
        <v>28.7</v>
      </c>
      <c r="G243" s="2176">
        <v>5500</v>
      </c>
      <c r="H243" s="2186">
        <v>6271</v>
      </c>
      <c r="I243" s="342">
        <v>19.3</v>
      </c>
      <c r="J243" s="2176">
        <v>1600</v>
      </c>
      <c r="K243" s="2192">
        <v>1912</v>
      </c>
    </row>
    <row r="244" spans="1:11">
      <c r="A244" s="219">
        <f t="shared" si="0"/>
        <v>2009.07</v>
      </c>
      <c r="B244" s="2165">
        <v>10200</v>
      </c>
      <c r="C244" s="2172">
        <v>90.4</v>
      </c>
      <c r="D244" s="342">
        <v>37.4</v>
      </c>
      <c r="E244" s="2176">
        <v>4500</v>
      </c>
      <c r="F244" s="2181">
        <v>29.6</v>
      </c>
      <c r="G244" s="2176">
        <v>5500</v>
      </c>
      <c r="H244" s="2186">
        <v>6132</v>
      </c>
      <c r="I244" s="342">
        <v>20.2</v>
      </c>
      <c r="J244" s="2176">
        <v>1500</v>
      </c>
      <c r="K244" s="2192">
        <v>1732</v>
      </c>
    </row>
    <row r="245" spans="1:11">
      <c r="A245" s="219">
        <f t="shared" si="0"/>
        <v>2009.08</v>
      </c>
      <c r="B245" s="2165">
        <v>10200</v>
      </c>
      <c r="C245" s="2172">
        <v>89.1</v>
      </c>
      <c r="D245" s="342">
        <v>38.4</v>
      </c>
      <c r="E245" s="2176">
        <v>4500</v>
      </c>
      <c r="F245" s="2181">
        <v>28.8</v>
      </c>
      <c r="G245" s="2176">
        <v>5500</v>
      </c>
      <c r="H245" s="2186">
        <v>6180</v>
      </c>
      <c r="I245" s="342">
        <v>20.7</v>
      </c>
      <c r="J245" s="2176">
        <v>1500</v>
      </c>
      <c r="K245" s="2192">
        <v>1515</v>
      </c>
    </row>
    <row r="246" spans="1:11">
      <c r="A246" s="219">
        <f t="shared" si="0"/>
        <v>2009.09</v>
      </c>
      <c r="B246" s="2165">
        <v>10200</v>
      </c>
      <c r="C246" s="2172">
        <v>93.6</v>
      </c>
      <c r="D246" s="342">
        <v>39.5</v>
      </c>
      <c r="E246" s="2176">
        <v>4500</v>
      </c>
      <c r="F246" s="2181">
        <v>29</v>
      </c>
      <c r="G246" s="2176">
        <v>5500</v>
      </c>
      <c r="H246" s="2186">
        <v>6180</v>
      </c>
      <c r="I246" s="342">
        <v>21.3</v>
      </c>
      <c r="J246" s="2176">
        <v>1500</v>
      </c>
      <c r="K246" s="2192">
        <v>1531</v>
      </c>
    </row>
    <row r="247" spans="1:11">
      <c r="A247" s="219">
        <f t="shared" si="0"/>
        <v>2009.1</v>
      </c>
      <c r="B247" s="2165">
        <v>10200</v>
      </c>
      <c r="C247" s="2172">
        <v>90.3</v>
      </c>
      <c r="D247" s="342">
        <v>41.7</v>
      </c>
      <c r="E247" s="2176">
        <v>4500</v>
      </c>
      <c r="F247" s="2181">
        <v>32.1</v>
      </c>
      <c r="G247" s="2176">
        <v>5500</v>
      </c>
      <c r="H247" s="2186">
        <v>5978</v>
      </c>
      <c r="I247" s="342">
        <v>22.5</v>
      </c>
      <c r="J247" s="2176">
        <v>1500</v>
      </c>
      <c r="K247" s="2192">
        <v>1442</v>
      </c>
    </row>
    <row r="248" spans="1:11">
      <c r="A248" s="219">
        <f t="shared" si="0"/>
        <v>2009.11</v>
      </c>
      <c r="B248" s="2165">
        <v>11000</v>
      </c>
      <c r="C248" s="2172">
        <v>90.9</v>
      </c>
      <c r="D248" s="342">
        <v>43.5</v>
      </c>
      <c r="E248" s="2176">
        <v>4500</v>
      </c>
      <c r="F248" s="2181">
        <v>32.6</v>
      </c>
      <c r="G248" s="2176">
        <v>6000</v>
      </c>
      <c r="H248" s="2186">
        <v>6593</v>
      </c>
      <c r="I248" s="342">
        <v>23.7</v>
      </c>
      <c r="J248" s="2176">
        <v>1500</v>
      </c>
      <c r="K248" s="2192">
        <v>1485</v>
      </c>
    </row>
    <row r="249" spans="1:11">
      <c r="A249" s="219">
        <f t="shared" si="0"/>
        <v>2009.12</v>
      </c>
      <c r="B249" s="2165">
        <v>11000</v>
      </c>
      <c r="C249" s="2172">
        <v>89.4</v>
      </c>
      <c r="D249" s="342">
        <v>40.9</v>
      </c>
      <c r="E249" s="2176">
        <v>4500</v>
      </c>
      <c r="F249" s="2181">
        <v>30.2</v>
      </c>
      <c r="G249" s="2176">
        <v>6000</v>
      </c>
      <c r="H249" s="2186">
        <v>5970</v>
      </c>
      <c r="I249" s="342">
        <v>22.3</v>
      </c>
      <c r="J249" s="2176">
        <v>1500</v>
      </c>
      <c r="K249" s="2192">
        <v>1415</v>
      </c>
    </row>
    <row r="250" spans="1:11">
      <c r="A250" s="219">
        <f t="shared" si="0"/>
        <v>2010.01</v>
      </c>
      <c r="B250" s="2165">
        <v>11000</v>
      </c>
      <c r="C250" s="2172">
        <v>84</v>
      </c>
      <c r="D250" s="342">
        <v>41.6</v>
      </c>
      <c r="E250" s="2176">
        <v>4500</v>
      </c>
      <c r="F250" s="2181">
        <v>32.799999999999997</v>
      </c>
      <c r="G250" s="2176">
        <v>6000</v>
      </c>
      <c r="H250" s="2186">
        <v>5455</v>
      </c>
      <c r="I250" s="342">
        <v>22.7</v>
      </c>
      <c r="J250" s="2176">
        <v>1500</v>
      </c>
      <c r="K250" s="2192">
        <v>1154</v>
      </c>
    </row>
    <row r="251" spans="1:11">
      <c r="A251" s="219">
        <f t="shared" si="0"/>
        <v>2010.02</v>
      </c>
      <c r="B251" s="2165">
        <v>11000</v>
      </c>
      <c r="C251" s="2172">
        <v>88.7</v>
      </c>
      <c r="D251" s="342">
        <v>45.2</v>
      </c>
      <c r="E251" s="2176">
        <v>4500</v>
      </c>
      <c r="F251" s="2181">
        <v>34.4</v>
      </c>
      <c r="G251" s="2176">
        <v>6000</v>
      </c>
      <c r="H251" s="2186">
        <v>4878</v>
      </c>
      <c r="I251" s="342">
        <v>24.6</v>
      </c>
      <c r="J251" s="2176">
        <v>1500</v>
      </c>
      <c r="K251" s="2192">
        <v>1049</v>
      </c>
    </row>
    <row r="252" spans="1:11">
      <c r="A252" s="219">
        <f t="shared" si="0"/>
        <v>2010.03</v>
      </c>
      <c r="B252" s="2165">
        <v>12000</v>
      </c>
      <c r="C252" s="2172">
        <v>106.2</v>
      </c>
      <c r="D252" s="342">
        <v>54.3</v>
      </c>
      <c r="E252" s="2176">
        <v>4800</v>
      </c>
      <c r="F252" s="2181">
        <v>36.6</v>
      </c>
      <c r="G252" s="2176">
        <v>6500</v>
      </c>
      <c r="H252" s="2186">
        <v>4452</v>
      </c>
      <c r="I252" s="342">
        <v>29.4</v>
      </c>
      <c r="J252" s="2176">
        <v>1900</v>
      </c>
      <c r="K252" s="2192">
        <v>1138</v>
      </c>
    </row>
    <row r="253" spans="1:11">
      <c r="A253" s="219">
        <f t="shared" si="0"/>
        <v>2010.04</v>
      </c>
      <c r="B253" s="2165">
        <v>12000</v>
      </c>
      <c r="C253" s="2172">
        <v>116.5</v>
      </c>
      <c r="D253" s="342">
        <v>56.9</v>
      </c>
      <c r="E253" s="2176">
        <v>5000</v>
      </c>
      <c r="F253" s="2181">
        <v>38.5</v>
      </c>
      <c r="G253" s="2176">
        <v>6500</v>
      </c>
      <c r="H253" s="2186">
        <v>3736</v>
      </c>
      <c r="I253" s="342">
        <v>30.8</v>
      </c>
      <c r="J253" s="2176">
        <v>2000</v>
      </c>
      <c r="K253" s="2192">
        <v>1130</v>
      </c>
    </row>
    <row r="254" spans="1:11">
      <c r="A254" s="219">
        <f t="shared" si="0"/>
        <v>2010.05</v>
      </c>
      <c r="B254" s="2165">
        <v>12000</v>
      </c>
      <c r="C254" s="2172">
        <v>106.4</v>
      </c>
      <c r="D254" s="342">
        <v>53.2</v>
      </c>
      <c r="E254" s="2176">
        <v>5000</v>
      </c>
      <c r="F254" s="2181">
        <v>34.200000000000003</v>
      </c>
      <c r="G254" s="2176">
        <v>6500</v>
      </c>
      <c r="H254" s="2186">
        <v>3533</v>
      </c>
      <c r="I254" s="342">
        <v>28.8</v>
      </c>
      <c r="J254" s="2176">
        <v>2000</v>
      </c>
      <c r="K254" s="2192">
        <v>1015</v>
      </c>
    </row>
    <row r="255" spans="1:11">
      <c r="A255" s="219">
        <f t="shared" si="0"/>
        <v>2010.06</v>
      </c>
      <c r="B255" s="2165">
        <v>12000</v>
      </c>
      <c r="C255" s="2172">
        <v>102.5</v>
      </c>
      <c r="D255" s="342">
        <v>54.5</v>
      </c>
      <c r="E255" s="2176">
        <v>5000</v>
      </c>
      <c r="F255" s="2181">
        <v>32.9</v>
      </c>
      <c r="G255" s="2176">
        <v>6500</v>
      </c>
      <c r="H255" s="2186">
        <v>3757</v>
      </c>
      <c r="I255" s="342">
        <v>29.5</v>
      </c>
      <c r="J255" s="2176">
        <v>2000</v>
      </c>
      <c r="K255" s="2192">
        <v>990</v>
      </c>
    </row>
    <row r="256" spans="1:11">
      <c r="A256" s="219">
        <f t="shared" si="0"/>
        <v>2010.07</v>
      </c>
      <c r="B256" s="2165">
        <v>13000</v>
      </c>
      <c r="C256" s="2172">
        <v>105.7</v>
      </c>
      <c r="D256" s="342">
        <v>56.5</v>
      </c>
      <c r="E256" s="2176">
        <v>5000</v>
      </c>
      <c r="F256" s="2181">
        <v>33.6</v>
      </c>
      <c r="G256" s="2176">
        <v>7000</v>
      </c>
      <c r="H256" s="2186">
        <v>4268</v>
      </c>
      <c r="I256" s="342">
        <v>30.4</v>
      </c>
      <c r="J256" s="2176">
        <v>2000</v>
      </c>
      <c r="K256" s="2192">
        <v>990</v>
      </c>
    </row>
    <row r="257" spans="1:11">
      <c r="A257" s="219">
        <f t="shared" si="0"/>
        <v>2010.08</v>
      </c>
      <c r="B257" s="2165">
        <v>13000</v>
      </c>
      <c r="C257" s="2172">
        <v>99.2</v>
      </c>
      <c r="D257" s="342">
        <v>50.6</v>
      </c>
      <c r="E257" s="2176">
        <v>5500</v>
      </c>
      <c r="F257" s="2181">
        <v>32</v>
      </c>
      <c r="G257" s="2176">
        <v>7000</v>
      </c>
      <c r="H257" s="2186">
        <v>4403</v>
      </c>
      <c r="I257" s="342">
        <v>27.2</v>
      </c>
      <c r="J257" s="2176">
        <v>2200</v>
      </c>
      <c r="K257" s="2192">
        <v>1053</v>
      </c>
    </row>
    <row r="258" spans="1:11">
      <c r="A258" s="219">
        <f t="shared" si="0"/>
        <v>2010.09</v>
      </c>
      <c r="B258" s="2165">
        <v>13000</v>
      </c>
      <c r="C258" s="2172">
        <v>94.2</v>
      </c>
      <c r="D258" s="342">
        <v>50.2</v>
      </c>
      <c r="E258" s="2176">
        <v>5500</v>
      </c>
      <c r="F258" s="2181">
        <v>29.1</v>
      </c>
      <c r="G258" s="2176">
        <v>7000</v>
      </c>
      <c r="H258" s="2186">
        <v>4276</v>
      </c>
      <c r="I258" s="342">
        <v>27</v>
      </c>
      <c r="J258" s="2176">
        <v>2200</v>
      </c>
      <c r="K258" s="2192">
        <v>1028</v>
      </c>
    </row>
    <row r="259" spans="1:11">
      <c r="A259" s="219">
        <f t="shared" si="0"/>
        <v>2010.1</v>
      </c>
      <c r="B259" s="2165">
        <v>13500</v>
      </c>
      <c r="C259" s="2172">
        <v>94.1</v>
      </c>
      <c r="D259" s="342">
        <v>49.8</v>
      </c>
      <c r="E259" s="2176">
        <v>5800</v>
      </c>
      <c r="F259" s="2181">
        <v>31.2</v>
      </c>
      <c r="G259" s="2176">
        <v>7300</v>
      </c>
      <c r="H259" s="2186">
        <v>3883</v>
      </c>
      <c r="I259" s="342">
        <v>26.9</v>
      </c>
      <c r="J259" s="2176">
        <v>2300</v>
      </c>
      <c r="K259" s="2192">
        <v>943</v>
      </c>
    </row>
    <row r="260" spans="1:11">
      <c r="A260" s="219">
        <f t="shared" si="0"/>
        <v>2010.11</v>
      </c>
      <c r="B260" s="2165">
        <v>14000</v>
      </c>
      <c r="C260" s="2172">
        <v>86.4</v>
      </c>
      <c r="D260" s="342">
        <v>44.6</v>
      </c>
      <c r="E260" s="2176">
        <v>5800</v>
      </c>
      <c r="F260" s="2181">
        <v>30.5</v>
      </c>
      <c r="G260" s="2176">
        <v>7500</v>
      </c>
      <c r="H260" s="2186">
        <v>3641</v>
      </c>
      <c r="I260" s="342">
        <v>23.9</v>
      </c>
      <c r="J260" s="2176">
        <v>2400</v>
      </c>
      <c r="K260" s="2192">
        <v>833</v>
      </c>
    </row>
    <row r="261" spans="1:11">
      <c r="A261" s="219">
        <f t="shared" si="0"/>
        <v>2010.12</v>
      </c>
      <c r="B261" s="2165">
        <v>14000</v>
      </c>
      <c r="C261" s="2172">
        <v>87</v>
      </c>
      <c r="D261" s="342">
        <v>42.4</v>
      </c>
      <c r="E261" s="2176">
        <v>5800</v>
      </c>
      <c r="F261" s="2181">
        <v>33.700000000000003</v>
      </c>
      <c r="G261" s="2176">
        <v>7500</v>
      </c>
      <c r="H261" s="2186">
        <v>3538</v>
      </c>
      <c r="I261" s="342">
        <v>22.7</v>
      </c>
      <c r="J261" s="2176">
        <v>2400</v>
      </c>
      <c r="K261" s="2192">
        <v>836</v>
      </c>
    </row>
    <row r="262" spans="1:11">
      <c r="A262" s="219">
        <f t="shared" si="0"/>
        <v>2011.01</v>
      </c>
      <c r="B262" s="2165">
        <v>14000</v>
      </c>
      <c r="C262" s="2172">
        <v>82.8</v>
      </c>
      <c r="D262" s="342">
        <v>38.799999999999997</v>
      </c>
      <c r="E262" s="2176">
        <v>5800</v>
      </c>
      <c r="F262" s="2181">
        <v>35.799999999999997</v>
      </c>
      <c r="G262" s="2176">
        <v>7500</v>
      </c>
      <c r="H262" s="2186">
        <v>3570</v>
      </c>
      <c r="I262" s="342">
        <v>20.8</v>
      </c>
      <c r="J262" s="2176">
        <v>2400</v>
      </c>
      <c r="K262" s="2192">
        <v>916</v>
      </c>
    </row>
    <row r="263" spans="1:11">
      <c r="A263" s="219">
        <f t="shared" si="0"/>
        <v>2011.02</v>
      </c>
      <c r="B263" s="2165">
        <v>14000</v>
      </c>
      <c r="C263" s="2172">
        <v>76.099999999999994</v>
      </c>
      <c r="D263" s="342">
        <v>40</v>
      </c>
      <c r="E263" s="2176">
        <v>5800</v>
      </c>
      <c r="F263" s="2181">
        <v>31.7</v>
      </c>
      <c r="G263" s="2176">
        <v>7500</v>
      </c>
      <c r="H263" s="2186">
        <v>3827</v>
      </c>
      <c r="I263" s="342">
        <v>21.4</v>
      </c>
      <c r="J263" s="2176">
        <v>2400</v>
      </c>
      <c r="K263" s="2192">
        <v>968</v>
      </c>
    </row>
    <row r="264" spans="1:11">
      <c r="A264" s="219">
        <f t="shared" si="0"/>
        <v>2011.03</v>
      </c>
      <c r="B264" s="2165">
        <v>15000</v>
      </c>
      <c r="C264" s="2172">
        <v>79.8</v>
      </c>
      <c r="D264" s="342">
        <v>45.2</v>
      </c>
      <c r="E264" s="2176">
        <v>6000</v>
      </c>
      <c r="F264" s="2181">
        <v>34.5</v>
      </c>
      <c r="G264" s="2176">
        <v>7500</v>
      </c>
      <c r="H264" s="2186">
        <v>3538</v>
      </c>
      <c r="I264" s="342">
        <v>22.6</v>
      </c>
      <c r="J264" s="2176">
        <v>2500</v>
      </c>
      <c r="K264" s="2192">
        <v>877</v>
      </c>
    </row>
    <row r="265" spans="1:11">
      <c r="A265" s="219">
        <f t="shared" si="0"/>
        <v>2011.04</v>
      </c>
      <c r="B265" s="2165">
        <v>15000</v>
      </c>
      <c r="C265" s="2172">
        <v>78.900000000000006</v>
      </c>
      <c r="D265" s="342">
        <v>47.6</v>
      </c>
      <c r="E265" s="2176">
        <v>6000</v>
      </c>
      <c r="F265" s="2181">
        <v>32.6</v>
      </c>
      <c r="G265" s="2176">
        <v>7500</v>
      </c>
      <c r="H265" s="2186">
        <v>3589</v>
      </c>
      <c r="I265" s="342">
        <v>23.8</v>
      </c>
      <c r="J265" s="2176">
        <v>2500</v>
      </c>
      <c r="K265" s="2192">
        <v>847</v>
      </c>
    </row>
    <row r="266" spans="1:11">
      <c r="A266" s="219">
        <f t="shared" si="0"/>
        <v>2011.05</v>
      </c>
      <c r="B266" s="2165">
        <v>15000</v>
      </c>
      <c r="C266" s="2172">
        <v>81.7</v>
      </c>
      <c r="D266" s="342">
        <v>47.8</v>
      </c>
      <c r="E266" s="2176">
        <v>6000</v>
      </c>
      <c r="F266" s="2181">
        <v>31.7</v>
      </c>
      <c r="G266" s="2176">
        <v>8000</v>
      </c>
      <c r="H266" s="2186">
        <v>3922</v>
      </c>
      <c r="I266" s="342">
        <v>25.5</v>
      </c>
      <c r="J266" s="2176">
        <v>2600</v>
      </c>
      <c r="K266" s="2192">
        <v>929</v>
      </c>
    </row>
    <row r="267" spans="1:11">
      <c r="A267" s="219">
        <f t="shared" si="0"/>
        <v>2011.06</v>
      </c>
      <c r="B267" s="2165">
        <v>15000</v>
      </c>
      <c r="C267" s="2172">
        <v>83.5</v>
      </c>
      <c r="D267" s="342">
        <v>48.3</v>
      </c>
      <c r="E267" s="2176">
        <v>6000</v>
      </c>
      <c r="F267" s="2181">
        <v>34.799999999999997</v>
      </c>
      <c r="G267" s="2176">
        <v>8000</v>
      </c>
      <c r="H267" s="2186">
        <v>3980</v>
      </c>
      <c r="I267" s="342">
        <v>25.8</v>
      </c>
      <c r="J267" s="2176">
        <v>2600</v>
      </c>
      <c r="K267" s="2192">
        <v>952</v>
      </c>
    </row>
    <row r="268" spans="1:11">
      <c r="A268" s="219">
        <f t="shared" si="0"/>
        <v>2011.07</v>
      </c>
      <c r="B268" s="2165">
        <v>15000</v>
      </c>
      <c r="C268" s="2172">
        <v>93.2</v>
      </c>
      <c r="D268" s="342">
        <v>49.7</v>
      </c>
      <c r="E268" s="2176">
        <v>6000</v>
      </c>
      <c r="F268" s="2181">
        <v>38.200000000000003</v>
      </c>
      <c r="G268" s="2176">
        <v>8000</v>
      </c>
      <c r="H268" s="2186">
        <v>3756</v>
      </c>
      <c r="I268" s="342">
        <v>26.5</v>
      </c>
      <c r="J268" s="2176">
        <v>2600</v>
      </c>
      <c r="K268" s="2192">
        <v>922</v>
      </c>
    </row>
    <row r="269" spans="1:11">
      <c r="A269" s="219">
        <f t="shared" si="0"/>
        <v>2011.08</v>
      </c>
      <c r="B269" s="2165">
        <v>17000</v>
      </c>
      <c r="C269" s="2172">
        <v>103</v>
      </c>
      <c r="D269" s="342">
        <v>54.3</v>
      </c>
      <c r="E269" s="2176">
        <v>7000</v>
      </c>
      <c r="F269" s="2181">
        <v>41.7</v>
      </c>
      <c r="G269" s="2176">
        <v>8500</v>
      </c>
      <c r="H269" s="2186">
        <v>3899</v>
      </c>
      <c r="I269" s="342">
        <v>27.2</v>
      </c>
      <c r="J269" s="2176">
        <v>3000</v>
      </c>
      <c r="K269" s="2192">
        <v>1027</v>
      </c>
    </row>
    <row r="270" spans="1:11">
      <c r="A270" s="219">
        <f t="shared" si="0"/>
        <v>2011.09</v>
      </c>
      <c r="B270" s="2165">
        <v>17000</v>
      </c>
      <c r="C270" s="2172">
        <v>106.3</v>
      </c>
      <c r="D270" s="342">
        <v>52.3</v>
      </c>
      <c r="E270" s="2176">
        <v>7000</v>
      </c>
      <c r="F270" s="2181">
        <v>44.9</v>
      </c>
      <c r="G270" s="2176">
        <v>8500</v>
      </c>
      <c r="H270" s="2186">
        <v>3829</v>
      </c>
      <c r="I270" s="342">
        <v>26.2</v>
      </c>
      <c r="J270" s="2176">
        <v>3000</v>
      </c>
      <c r="K270" s="2192">
        <v>1014</v>
      </c>
    </row>
    <row r="271" spans="1:11">
      <c r="A271" s="219">
        <f t="shared" si="0"/>
        <v>2011.1</v>
      </c>
      <c r="B271" s="2165">
        <v>17500</v>
      </c>
      <c r="C271" s="2172">
        <v>106.1</v>
      </c>
      <c r="D271" s="342">
        <v>61.8</v>
      </c>
      <c r="E271" s="2176">
        <v>7000</v>
      </c>
      <c r="F271" s="2181">
        <v>47.9</v>
      </c>
      <c r="G271" s="2176">
        <v>8500</v>
      </c>
      <c r="H271" s="2186">
        <v>3939</v>
      </c>
      <c r="I271" s="342">
        <v>30</v>
      </c>
      <c r="J271" s="2176">
        <v>3100</v>
      </c>
      <c r="K271" s="2192">
        <v>1052</v>
      </c>
    </row>
    <row r="272" spans="1:11">
      <c r="A272" s="219">
        <f t="shared" si="0"/>
        <v>2011.11</v>
      </c>
      <c r="B272" s="2165">
        <v>17500</v>
      </c>
      <c r="C272" s="2172">
        <v>129.6</v>
      </c>
      <c r="D272" s="342">
        <v>61.4</v>
      </c>
      <c r="E272" s="2176">
        <v>7000</v>
      </c>
      <c r="F272" s="2181">
        <v>49.4</v>
      </c>
      <c r="G272" s="2176">
        <v>8500</v>
      </c>
      <c r="H272" s="2186">
        <v>3924</v>
      </c>
      <c r="I272" s="342">
        <v>29.8</v>
      </c>
      <c r="J272" s="2176">
        <v>3100</v>
      </c>
      <c r="K272" s="2192">
        <v>1059</v>
      </c>
    </row>
    <row r="273" spans="1:11">
      <c r="A273" s="219">
        <f t="shared" si="0"/>
        <v>2011.12</v>
      </c>
      <c r="B273" s="2165">
        <v>17500</v>
      </c>
      <c r="C273" s="2172">
        <v>136.80000000000001</v>
      </c>
      <c r="D273" s="342">
        <v>64.900000000000006</v>
      </c>
      <c r="E273" s="2176">
        <v>7000</v>
      </c>
      <c r="F273" s="2181">
        <v>59</v>
      </c>
      <c r="G273" s="2176">
        <v>8500</v>
      </c>
      <c r="H273" s="2186">
        <v>3996</v>
      </c>
      <c r="I273" s="342">
        <v>31.5</v>
      </c>
      <c r="J273" s="2176">
        <v>3100</v>
      </c>
      <c r="K273" s="2192">
        <v>1084</v>
      </c>
    </row>
    <row r="274" spans="1:11">
      <c r="A274" s="219">
        <f t="shared" si="0"/>
        <v>2012.01</v>
      </c>
      <c r="B274" s="2165">
        <v>17500</v>
      </c>
      <c r="C274" s="2172">
        <v>112.9</v>
      </c>
      <c r="D274" s="342">
        <v>59.9</v>
      </c>
      <c r="E274" s="2176">
        <v>7000</v>
      </c>
      <c r="F274" s="2181">
        <v>57.1</v>
      </c>
      <c r="G274" s="2176">
        <v>8500</v>
      </c>
      <c r="H274" s="2186">
        <v>4028</v>
      </c>
      <c r="I274" s="342">
        <v>29.1</v>
      </c>
      <c r="J274" s="2176">
        <v>3100</v>
      </c>
      <c r="K274" s="2192">
        <v>1220</v>
      </c>
    </row>
    <row r="275" spans="1:11">
      <c r="A275" s="219">
        <f t="shared" si="0"/>
        <v>2012.02</v>
      </c>
      <c r="B275" s="2165">
        <v>17500</v>
      </c>
      <c r="C275" s="2172">
        <v>105.4</v>
      </c>
      <c r="D275" s="342">
        <v>57.6</v>
      </c>
      <c r="E275" s="2176">
        <v>7000</v>
      </c>
      <c r="F275" s="2181">
        <v>51.9</v>
      </c>
      <c r="G275" s="2176">
        <v>9000</v>
      </c>
      <c r="H275" s="2186">
        <v>4265</v>
      </c>
      <c r="I275" s="342">
        <v>29.6</v>
      </c>
      <c r="J275" s="2176">
        <v>3300</v>
      </c>
      <c r="K275" s="2192">
        <v>1370</v>
      </c>
    </row>
    <row r="276" spans="1:11">
      <c r="A276" s="219">
        <f t="shared" si="0"/>
        <v>2012.03</v>
      </c>
      <c r="B276" s="2165">
        <v>17500</v>
      </c>
      <c r="C276" s="2172">
        <v>115.1</v>
      </c>
      <c r="D276" s="342">
        <v>55.6</v>
      </c>
      <c r="E276" s="2176">
        <v>7000</v>
      </c>
      <c r="F276" s="2181">
        <v>56.5</v>
      </c>
      <c r="G276" s="2176">
        <v>9000</v>
      </c>
      <c r="H276" s="2186">
        <v>3750</v>
      </c>
      <c r="I276" s="342">
        <v>28.6</v>
      </c>
      <c r="J276" s="2176">
        <v>3300</v>
      </c>
      <c r="K276" s="2192">
        <v>1200</v>
      </c>
    </row>
    <row r="277" spans="1:11">
      <c r="A277" s="219">
        <f t="shared" si="0"/>
        <v>2012.04</v>
      </c>
      <c r="B277" s="2165">
        <v>17500</v>
      </c>
      <c r="C277" s="2172">
        <v>108.7</v>
      </c>
      <c r="D277" s="342">
        <v>51.3</v>
      </c>
      <c r="E277" s="2176">
        <v>7000</v>
      </c>
      <c r="F277" s="2181">
        <v>47.9</v>
      </c>
      <c r="G277" s="2176">
        <v>9000</v>
      </c>
      <c r="H277" s="2186">
        <v>3462</v>
      </c>
      <c r="I277" s="342">
        <v>26.4</v>
      </c>
      <c r="J277" s="2176">
        <v>3300</v>
      </c>
      <c r="K277" s="2192">
        <v>1187</v>
      </c>
    </row>
    <row r="278" spans="1:11">
      <c r="A278" s="219">
        <f t="shared" si="0"/>
        <v>2012.05</v>
      </c>
      <c r="B278" s="2165">
        <v>17500</v>
      </c>
      <c r="C278" s="2172">
        <v>119.9</v>
      </c>
      <c r="D278" s="342">
        <v>49.7</v>
      </c>
      <c r="E278" s="2176">
        <v>7000</v>
      </c>
      <c r="F278" s="2181">
        <v>46.4</v>
      </c>
      <c r="G278" s="2176">
        <v>9000</v>
      </c>
      <c r="H278" s="2186">
        <v>3863</v>
      </c>
      <c r="I278" s="342">
        <v>25.6</v>
      </c>
      <c r="J278" s="2176">
        <v>3300</v>
      </c>
      <c r="K278" s="2192">
        <v>1250</v>
      </c>
    </row>
    <row r="279" spans="1:11">
      <c r="A279" s="219">
        <f t="shared" si="0"/>
        <v>2012.06</v>
      </c>
      <c r="B279" s="2165">
        <v>17500</v>
      </c>
      <c r="C279" s="2172">
        <v>117.6</v>
      </c>
      <c r="D279" s="342">
        <v>53.8</v>
      </c>
      <c r="E279" s="2176">
        <v>7000</v>
      </c>
      <c r="F279" s="2181">
        <v>44.4</v>
      </c>
      <c r="G279" s="2176">
        <v>9000</v>
      </c>
      <c r="H279" s="2186">
        <v>3830</v>
      </c>
      <c r="I279" s="342">
        <v>27.7</v>
      </c>
      <c r="J279" s="2176">
        <v>3300</v>
      </c>
      <c r="K279" s="2192">
        <v>1284</v>
      </c>
    </row>
    <row r="280" spans="1:11">
      <c r="A280" s="219">
        <f t="shared" si="0"/>
        <v>2012.07</v>
      </c>
      <c r="B280" s="2165">
        <v>17500</v>
      </c>
      <c r="C280" s="2172">
        <v>113.6</v>
      </c>
      <c r="D280" s="342">
        <v>48.7</v>
      </c>
      <c r="E280" s="2176">
        <v>7000</v>
      </c>
      <c r="F280" s="2181">
        <v>42.9</v>
      </c>
      <c r="G280" s="2176">
        <v>9000</v>
      </c>
      <c r="H280" s="2186">
        <v>3968</v>
      </c>
      <c r="I280" s="342">
        <v>25.1</v>
      </c>
      <c r="J280" s="2176">
        <v>3300</v>
      </c>
      <c r="K280" s="2192">
        <v>1249</v>
      </c>
    </row>
    <row r="281" spans="1:11">
      <c r="A281" s="219">
        <f t="shared" si="0"/>
        <v>2012.08</v>
      </c>
      <c r="B281" s="2165">
        <v>17500</v>
      </c>
      <c r="C281" s="2172">
        <v>107.4</v>
      </c>
      <c r="D281" s="342">
        <v>45.8</v>
      </c>
      <c r="E281" s="2176">
        <v>7000</v>
      </c>
      <c r="F281" s="2181">
        <v>38.9</v>
      </c>
      <c r="G281" s="2176">
        <v>9000</v>
      </c>
      <c r="H281" s="2186">
        <v>4225</v>
      </c>
      <c r="I281" s="342">
        <v>23.6</v>
      </c>
      <c r="J281" s="2176">
        <v>3300</v>
      </c>
      <c r="K281" s="2192">
        <v>1269</v>
      </c>
    </row>
    <row r="282" spans="1:11">
      <c r="A282" s="219">
        <f t="shared" si="0"/>
        <v>2012.09</v>
      </c>
      <c r="B282" s="2165">
        <v>17500</v>
      </c>
      <c r="C282" s="2172">
        <v>100</v>
      </c>
      <c r="D282" s="342">
        <v>41.5</v>
      </c>
      <c r="E282" s="2176">
        <v>7000</v>
      </c>
      <c r="F282" s="2181">
        <v>34</v>
      </c>
      <c r="G282" s="2176">
        <v>9000</v>
      </c>
      <c r="H282" s="2186">
        <v>4286</v>
      </c>
      <c r="I282" s="342">
        <v>21.3</v>
      </c>
      <c r="J282" s="2176">
        <v>3300</v>
      </c>
      <c r="K282" s="2192">
        <v>1341</v>
      </c>
    </row>
    <row r="283" spans="1:11">
      <c r="A283" s="219">
        <f t="shared" si="0"/>
        <v>2012.1</v>
      </c>
      <c r="B283" s="2165">
        <v>17000</v>
      </c>
      <c r="C283" s="2172">
        <v>122.3</v>
      </c>
      <c r="D283" s="342">
        <v>57.6</v>
      </c>
      <c r="E283" s="2176">
        <v>6800</v>
      </c>
      <c r="F283" s="2181">
        <v>46.4</v>
      </c>
      <c r="G283" s="2176">
        <v>9000</v>
      </c>
      <c r="H283" s="2186">
        <v>6273</v>
      </c>
      <c r="I283" s="342">
        <v>30.5</v>
      </c>
      <c r="J283" s="2176">
        <v>3200</v>
      </c>
      <c r="K283" s="2192">
        <v>1725</v>
      </c>
    </row>
    <row r="284" spans="1:11">
      <c r="A284" s="219">
        <f t="shared" si="0"/>
        <v>2012.11</v>
      </c>
      <c r="B284" s="2165">
        <v>17000</v>
      </c>
      <c r="C284" s="2172">
        <v>125.3</v>
      </c>
      <c r="D284" s="342">
        <v>55</v>
      </c>
      <c r="E284" s="2176">
        <v>6800</v>
      </c>
      <c r="F284" s="2181">
        <v>40.700000000000003</v>
      </c>
      <c r="G284" s="2176">
        <v>9000</v>
      </c>
      <c r="H284" s="2186">
        <v>6559</v>
      </c>
      <c r="I284" s="342">
        <v>29.1</v>
      </c>
      <c r="J284" s="2176">
        <v>3200</v>
      </c>
      <c r="K284" s="2192">
        <v>1764</v>
      </c>
    </row>
    <row r="285" spans="1:11">
      <c r="A285" s="219">
        <f t="shared" si="0"/>
        <v>2012.12</v>
      </c>
      <c r="B285" s="2165">
        <v>17000</v>
      </c>
      <c r="C285" s="2172">
        <v>112.9</v>
      </c>
      <c r="D285" s="342">
        <v>55.6</v>
      </c>
      <c r="E285" s="2176">
        <v>6800</v>
      </c>
      <c r="F285" s="2181">
        <v>40.9</v>
      </c>
      <c r="G285" s="2176">
        <v>9000</v>
      </c>
      <c r="H285" s="2186">
        <v>6232</v>
      </c>
      <c r="I285" s="342">
        <v>29.4</v>
      </c>
      <c r="J285" s="2176">
        <v>3200</v>
      </c>
      <c r="K285" s="2192">
        <v>1792</v>
      </c>
    </row>
    <row r="286" spans="1:11">
      <c r="A286" s="219">
        <f t="shared" si="0"/>
        <v>2013.01</v>
      </c>
      <c r="B286" s="2165">
        <v>17000</v>
      </c>
      <c r="C286" s="2172">
        <v>122.4</v>
      </c>
      <c r="D286" s="342">
        <v>63.8</v>
      </c>
      <c r="E286" s="2176">
        <v>6800</v>
      </c>
      <c r="F286" s="2181">
        <v>43.9</v>
      </c>
      <c r="G286" s="2176">
        <v>9000</v>
      </c>
      <c r="H286" s="2186">
        <v>6471</v>
      </c>
      <c r="I286" s="342">
        <v>33.799999999999997</v>
      </c>
      <c r="J286" s="2176">
        <v>3200</v>
      </c>
      <c r="K286" s="2192">
        <v>1874</v>
      </c>
    </row>
    <row r="287" spans="1:11">
      <c r="A287" s="219">
        <f t="shared" si="0"/>
        <v>2013.02</v>
      </c>
      <c r="B287" s="2165">
        <v>16500</v>
      </c>
      <c r="C287" s="2172">
        <v>139.19999999999999</v>
      </c>
      <c r="D287" s="342">
        <v>72.7</v>
      </c>
      <c r="E287" s="2176">
        <v>6500</v>
      </c>
      <c r="F287" s="2181">
        <v>43</v>
      </c>
      <c r="G287" s="2176">
        <v>9000</v>
      </c>
      <c r="H287" s="2186">
        <v>6863</v>
      </c>
      <c r="I287" s="342">
        <v>39.700000000000003</v>
      </c>
      <c r="J287" s="2176">
        <v>3000</v>
      </c>
      <c r="K287" s="2192">
        <v>1983</v>
      </c>
    </row>
    <row r="288" spans="1:11">
      <c r="A288" s="219">
        <f t="shared" si="0"/>
        <v>2013.03</v>
      </c>
      <c r="B288" s="2165">
        <v>16500</v>
      </c>
      <c r="C288" s="2172">
        <v>140.6</v>
      </c>
      <c r="D288" s="342">
        <v>73.900000000000006</v>
      </c>
      <c r="E288" s="2176">
        <v>6500</v>
      </c>
      <c r="F288" s="2181">
        <v>42</v>
      </c>
      <c r="G288" s="2176">
        <v>9000</v>
      </c>
      <c r="H288" s="2186">
        <v>6720</v>
      </c>
      <c r="I288" s="342">
        <v>40.299999999999997</v>
      </c>
      <c r="J288" s="2176">
        <v>3000</v>
      </c>
      <c r="K288" s="2192">
        <v>1960</v>
      </c>
    </row>
    <row r="289" spans="1:11">
      <c r="A289" s="219">
        <f t="shared" si="0"/>
        <v>2013.04</v>
      </c>
      <c r="B289" s="2165">
        <v>16500</v>
      </c>
      <c r="C289" s="2172">
        <v>164.4</v>
      </c>
      <c r="D289" s="342">
        <v>86.2</v>
      </c>
      <c r="E289" s="2176">
        <v>6500</v>
      </c>
      <c r="F289" s="2181">
        <v>45</v>
      </c>
      <c r="G289" s="2176">
        <v>9000</v>
      </c>
      <c r="H289" s="2186">
        <v>7087</v>
      </c>
      <c r="I289" s="342">
        <v>47</v>
      </c>
      <c r="J289" s="2176">
        <v>3000</v>
      </c>
      <c r="K289" s="2192">
        <v>2165</v>
      </c>
    </row>
    <row r="290" spans="1:11">
      <c r="A290" s="219">
        <f t="shared" ref="A290:A355" si="1">A278+1</f>
        <v>2013.05</v>
      </c>
      <c r="B290" s="2165">
        <v>16500</v>
      </c>
      <c r="C290" s="2172">
        <v>176</v>
      </c>
      <c r="D290" s="342">
        <v>96</v>
      </c>
      <c r="E290" s="2176">
        <v>6500</v>
      </c>
      <c r="F290" s="2181">
        <v>44.6</v>
      </c>
      <c r="G290" s="2176">
        <v>9000</v>
      </c>
      <c r="H290" s="2186">
        <v>8640</v>
      </c>
      <c r="I290" s="342">
        <v>52.4</v>
      </c>
      <c r="J290" s="2176">
        <v>3000</v>
      </c>
      <c r="K290" s="2192">
        <v>2571</v>
      </c>
    </row>
    <row r="291" spans="1:11">
      <c r="A291" s="219">
        <f t="shared" si="1"/>
        <v>2013.06</v>
      </c>
      <c r="B291" s="2165">
        <v>16500</v>
      </c>
      <c r="C291" s="2172">
        <v>132.6</v>
      </c>
      <c r="D291" s="342">
        <v>82.3</v>
      </c>
      <c r="E291" s="2176">
        <v>6500</v>
      </c>
      <c r="F291" s="2181">
        <v>29.3</v>
      </c>
      <c r="G291" s="2176">
        <v>9000</v>
      </c>
      <c r="H291" s="2186">
        <v>7898</v>
      </c>
      <c r="I291" s="342">
        <v>44.9</v>
      </c>
      <c r="J291" s="2176">
        <v>3000</v>
      </c>
      <c r="K291" s="2192">
        <v>2263</v>
      </c>
    </row>
    <row r="292" spans="1:11">
      <c r="A292" s="219">
        <f t="shared" si="1"/>
        <v>2013.07</v>
      </c>
      <c r="B292" s="2165">
        <v>15800</v>
      </c>
      <c r="C292" s="2172">
        <v>135.1</v>
      </c>
      <c r="D292" s="342">
        <v>72.900000000000006</v>
      </c>
      <c r="E292" s="2176">
        <v>6000</v>
      </c>
      <c r="F292" s="2181">
        <v>19.899999999999999</v>
      </c>
      <c r="G292" s="2176">
        <v>8000</v>
      </c>
      <c r="H292" s="2186">
        <v>6360</v>
      </c>
      <c r="I292" s="342">
        <v>36.9</v>
      </c>
      <c r="J292" s="2176">
        <v>3000</v>
      </c>
      <c r="K292" s="2192">
        <v>2129</v>
      </c>
    </row>
    <row r="293" spans="1:11">
      <c r="A293" s="219">
        <f t="shared" si="1"/>
        <v>2013.08</v>
      </c>
      <c r="B293" s="2165">
        <v>15800</v>
      </c>
      <c r="C293" s="2172">
        <v>155.1</v>
      </c>
      <c r="D293" s="342">
        <v>80.8</v>
      </c>
      <c r="E293" s="2176">
        <v>5800</v>
      </c>
      <c r="F293" s="2181">
        <v>20.2</v>
      </c>
      <c r="G293" s="2176">
        <v>7800</v>
      </c>
      <c r="H293" s="2186">
        <v>6531</v>
      </c>
      <c r="I293" s="342">
        <v>39.9</v>
      </c>
      <c r="J293" s="2176">
        <v>3000</v>
      </c>
      <c r="K293" s="2192">
        <v>2329</v>
      </c>
    </row>
    <row r="294" spans="1:11">
      <c r="A294" s="219">
        <f t="shared" si="1"/>
        <v>2013.09</v>
      </c>
      <c r="B294" s="2165">
        <v>15000</v>
      </c>
      <c r="C294" s="2172">
        <v>162.69999999999999</v>
      </c>
      <c r="D294" s="342">
        <v>74.8</v>
      </c>
      <c r="E294" s="2176">
        <v>5500</v>
      </c>
      <c r="F294" s="2181">
        <v>20.3</v>
      </c>
      <c r="G294" s="2176">
        <v>7500</v>
      </c>
      <c r="H294" s="2186">
        <v>6714</v>
      </c>
      <c r="I294" s="342">
        <v>37.4</v>
      </c>
      <c r="J294" s="2176">
        <v>2800</v>
      </c>
      <c r="K294" s="2192">
        <v>2206</v>
      </c>
    </row>
    <row r="295" spans="1:11">
      <c r="A295" s="219">
        <f t="shared" si="1"/>
        <v>2013.1</v>
      </c>
      <c r="B295" s="2165">
        <v>15000</v>
      </c>
      <c r="C295" s="2172">
        <v>167.3</v>
      </c>
      <c r="D295" s="342">
        <v>73.7</v>
      </c>
      <c r="E295" s="2176">
        <v>5500</v>
      </c>
      <c r="F295" s="2181">
        <v>18</v>
      </c>
      <c r="G295" s="2176">
        <v>7500</v>
      </c>
      <c r="H295" s="2186">
        <v>6771</v>
      </c>
      <c r="I295" s="342">
        <v>36.799999999999997</v>
      </c>
      <c r="J295" s="2176">
        <v>2700</v>
      </c>
      <c r="K295" s="2192">
        <v>2133</v>
      </c>
    </row>
    <row r="296" spans="1:11">
      <c r="A296" s="219">
        <f t="shared" si="1"/>
        <v>2013.11</v>
      </c>
      <c r="B296" s="2165">
        <v>15000</v>
      </c>
      <c r="C296" s="2172">
        <v>153.6</v>
      </c>
      <c r="D296" s="342">
        <v>75.2</v>
      </c>
      <c r="E296" s="2176">
        <v>5500</v>
      </c>
      <c r="F296" s="2181">
        <v>16.600000000000001</v>
      </c>
      <c r="G296" s="2176">
        <v>7500</v>
      </c>
      <c r="H296" s="2186">
        <v>6591</v>
      </c>
      <c r="I296" s="342">
        <v>37.6</v>
      </c>
      <c r="J296" s="2176">
        <v>2700</v>
      </c>
      <c r="K296" s="2192">
        <v>2111</v>
      </c>
    </row>
    <row r="297" spans="1:11">
      <c r="A297" s="219">
        <f t="shared" si="1"/>
        <v>2013.12</v>
      </c>
      <c r="B297" s="2165">
        <v>15000</v>
      </c>
      <c r="C297" s="2172">
        <v>142</v>
      </c>
      <c r="D297" s="342">
        <v>65.900000000000006</v>
      </c>
      <c r="E297" s="2176">
        <f t="shared" ref="E297:J297" si="2">(E298+E296)/2</f>
        <v>5500</v>
      </c>
      <c r="F297" s="2181">
        <v>37.4</v>
      </c>
      <c r="G297" s="2176">
        <f t="shared" si="2"/>
        <v>7500</v>
      </c>
      <c r="H297" s="2186">
        <v>5358</v>
      </c>
      <c r="I297" s="342">
        <v>32.9</v>
      </c>
      <c r="J297" s="2176">
        <f t="shared" si="2"/>
        <v>2700</v>
      </c>
      <c r="K297" s="2192">
        <v>1652</v>
      </c>
    </row>
    <row r="298" spans="1:11">
      <c r="A298" s="219">
        <f t="shared" si="1"/>
        <v>2014.01</v>
      </c>
      <c r="B298" s="2165">
        <v>15000</v>
      </c>
      <c r="C298" s="2172">
        <v>145.30000000000001</v>
      </c>
      <c r="D298" s="342">
        <v>72.599999999999994</v>
      </c>
      <c r="E298" s="2176">
        <v>5500</v>
      </c>
      <c r="F298" s="2181">
        <v>38.6</v>
      </c>
      <c r="G298" s="2176">
        <v>7500</v>
      </c>
      <c r="H298" s="2186">
        <v>5913</v>
      </c>
      <c r="I298" s="342">
        <v>36.299999999999997</v>
      </c>
      <c r="J298" s="2176">
        <v>2700</v>
      </c>
      <c r="K298" s="2192">
        <v>1831</v>
      </c>
    </row>
    <row r="299" spans="1:11">
      <c r="A299" s="219">
        <f t="shared" si="1"/>
        <v>2014.02</v>
      </c>
      <c r="B299" s="2165">
        <v>15000</v>
      </c>
      <c r="C299" s="2172">
        <v>154.30000000000001</v>
      </c>
      <c r="D299" s="342">
        <v>71.3</v>
      </c>
      <c r="E299" s="2176">
        <v>5500</v>
      </c>
      <c r="F299" s="2181">
        <v>40.6</v>
      </c>
      <c r="G299" s="2176">
        <v>7500</v>
      </c>
      <c r="H299" s="2186">
        <v>6403</v>
      </c>
      <c r="I299" s="342">
        <v>35.700000000000003</v>
      </c>
      <c r="J299" s="2176">
        <v>2700</v>
      </c>
      <c r="K299" s="2192">
        <v>2060</v>
      </c>
    </row>
    <row r="300" spans="1:11">
      <c r="A300" s="219">
        <f t="shared" si="1"/>
        <v>2014.03</v>
      </c>
      <c r="B300" s="2165">
        <v>15000</v>
      </c>
      <c r="C300" s="2172">
        <v>121.7</v>
      </c>
      <c r="D300" s="342">
        <v>56.5</v>
      </c>
      <c r="E300" s="2176">
        <v>5500</v>
      </c>
      <c r="F300" s="2181">
        <v>32</v>
      </c>
      <c r="G300" s="2176">
        <v>7500</v>
      </c>
      <c r="H300" s="2186">
        <v>5206</v>
      </c>
      <c r="I300" s="342">
        <v>28.3</v>
      </c>
      <c r="J300" s="2176">
        <v>2700</v>
      </c>
      <c r="K300" s="2192">
        <v>1726</v>
      </c>
    </row>
    <row r="301" spans="1:11">
      <c r="A301" s="219">
        <f t="shared" si="1"/>
        <v>2014.04</v>
      </c>
      <c r="B301" s="2165">
        <v>15000</v>
      </c>
      <c r="C301" s="2172">
        <v>122.7</v>
      </c>
      <c r="D301" s="342">
        <v>65.599999999999994</v>
      </c>
      <c r="E301" s="2176">
        <v>5500</v>
      </c>
      <c r="F301" s="2181">
        <v>32.5</v>
      </c>
      <c r="G301" s="2176">
        <v>7500</v>
      </c>
      <c r="H301" s="2186">
        <v>5000</v>
      </c>
      <c r="I301" s="342">
        <v>32.799999999999997</v>
      </c>
      <c r="J301" s="2176">
        <v>2700</v>
      </c>
      <c r="K301" s="2192">
        <v>1767</v>
      </c>
    </row>
    <row r="302" spans="1:11">
      <c r="A302" s="219">
        <f t="shared" si="1"/>
        <v>2014.05</v>
      </c>
      <c r="B302" s="2165">
        <v>15000</v>
      </c>
      <c r="C302" s="2172">
        <v>114.7</v>
      </c>
      <c r="D302" s="342">
        <v>63.8</v>
      </c>
      <c r="E302" s="2176">
        <v>5500</v>
      </c>
      <c r="F302" s="2181">
        <v>30.7</v>
      </c>
      <c r="G302" s="2176">
        <v>7500</v>
      </c>
      <c r="H302" s="2186">
        <v>5275</v>
      </c>
      <c r="I302" s="342">
        <v>31.9</v>
      </c>
      <c r="J302" s="2176">
        <v>2700</v>
      </c>
      <c r="K302" s="2192">
        <v>1726</v>
      </c>
    </row>
    <row r="303" spans="1:11">
      <c r="A303" s="219">
        <f t="shared" si="1"/>
        <v>2014.06</v>
      </c>
      <c r="B303" s="2165">
        <v>15000</v>
      </c>
      <c r="C303" s="2172">
        <v>136.80000000000001</v>
      </c>
      <c r="D303" s="342">
        <v>66</v>
      </c>
      <c r="E303" s="2176">
        <v>5500</v>
      </c>
      <c r="F303" s="2181">
        <v>30.7</v>
      </c>
      <c r="G303" s="2176">
        <v>7500</v>
      </c>
      <c r="H303" s="2186">
        <v>5411</v>
      </c>
      <c r="I303" s="342">
        <v>33</v>
      </c>
      <c r="J303" s="2176">
        <v>2700</v>
      </c>
      <c r="K303" s="2192">
        <v>1865</v>
      </c>
    </row>
    <row r="304" spans="1:11">
      <c r="A304" s="219">
        <f t="shared" si="1"/>
        <v>2014.07</v>
      </c>
      <c r="B304" s="2165">
        <v>15000</v>
      </c>
      <c r="C304" s="2172">
        <v>161.30000000000001</v>
      </c>
      <c r="D304" s="342">
        <v>75.900000000000006</v>
      </c>
      <c r="E304" s="2176">
        <v>5500</v>
      </c>
      <c r="F304" s="2181">
        <v>36.9</v>
      </c>
      <c r="G304" s="2176">
        <v>7500</v>
      </c>
      <c r="H304" s="2186">
        <v>5646</v>
      </c>
      <c r="I304" s="342">
        <v>38</v>
      </c>
      <c r="J304" s="2176">
        <v>2700</v>
      </c>
      <c r="K304" s="2192">
        <v>1930</v>
      </c>
    </row>
    <row r="305" spans="1:11">
      <c r="A305" s="219">
        <f t="shared" si="1"/>
        <v>2014.08</v>
      </c>
      <c r="B305" s="2165">
        <v>15000</v>
      </c>
      <c r="C305" s="2172">
        <v>174.5</v>
      </c>
      <c r="D305" s="342">
        <v>79.3</v>
      </c>
      <c r="E305" s="2176">
        <v>5500</v>
      </c>
      <c r="F305" s="2181">
        <v>45.7</v>
      </c>
      <c r="G305" s="2176">
        <v>7500</v>
      </c>
      <c r="H305" s="2186">
        <v>5424</v>
      </c>
      <c r="I305" s="342">
        <v>39.700000000000003</v>
      </c>
      <c r="J305" s="2176">
        <v>2700</v>
      </c>
      <c r="K305" s="2192">
        <v>1863</v>
      </c>
    </row>
    <row r="306" spans="1:11">
      <c r="A306" s="219">
        <f t="shared" si="1"/>
        <v>2014.09</v>
      </c>
      <c r="B306" s="2165">
        <v>15000</v>
      </c>
      <c r="C306" s="2172">
        <v>216.2</v>
      </c>
      <c r="D306" s="342">
        <v>88.8</v>
      </c>
      <c r="E306" s="2176">
        <v>5500</v>
      </c>
      <c r="F306" s="2181">
        <v>54.6</v>
      </c>
      <c r="G306" s="2176">
        <v>7500</v>
      </c>
      <c r="H306" s="2186">
        <v>5680</v>
      </c>
      <c r="I306" s="342">
        <v>44.4</v>
      </c>
      <c r="J306" s="2176">
        <v>2700</v>
      </c>
      <c r="K306" s="2192">
        <v>1783</v>
      </c>
    </row>
    <row r="307" spans="1:11">
      <c r="A307" s="219">
        <f t="shared" si="1"/>
        <v>2014.1</v>
      </c>
      <c r="B307" s="2165">
        <v>15000</v>
      </c>
      <c r="C307" s="2172">
        <v>275.3</v>
      </c>
      <c r="D307" s="342">
        <v>103.1</v>
      </c>
      <c r="E307" s="2176">
        <v>5500</v>
      </c>
      <c r="F307" s="2181">
        <v>63.6</v>
      </c>
      <c r="G307" s="2176">
        <v>7500</v>
      </c>
      <c r="H307" s="2186">
        <v>6882</v>
      </c>
      <c r="I307" s="342">
        <v>51.5</v>
      </c>
      <c r="J307" s="2176">
        <v>2700</v>
      </c>
      <c r="K307" s="2192">
        <v>1792</v>
      </c>
    </row>
    <row r="308" spans="1:11">
      <c r="A308" s="219">
        <f t="shared" si="1"/>
        <v>2014.11</v>
      </c>
      <c r="B308" s="2165">
        <v>15000</v>
      </c>
      <c r="C308" s="2172">
        <v>200.5</v>
      </c>
      <c r="D308" s="342">
        <v>83.7</v>
      </c>
      <c r="E308" s="2176">
        <v>5500</v>
      </c>
      <c r="F308" s="2181">
        <v>59.3</v>
      </c>
      <c r="G308" s="2176">
        <v>7500</v>
      </c>
      <c r="H308" s="2186">
        <v>6132</v>
      </c>
      <c r="I308" s="342">
        <v>41.9</v>
      </c>
      <c r="J308" s="2176">
        <v>2700</v>
      </c>
      <c r="K308" s="2192">
        <v>1597</v>
      </c>
    </row>
    <row r="309" spans="1:11">
      <c r="A309" s="219">
        <f t="shared" si="1"/>
        <v>2014.12</v>
      </c>
      <c r="B309" s="2165">
        <v>15000</v>
      </c>
      <c r="C309" s="2172">
        <v>183.6</v>
      </c>
      <c r="D309" s="342">
        <v>81.900000000000006</v>
      </c>
      <c r="E309" s="2176">
        <v>5500</v>
      </c>
      <c r="F309" s="2181">
        <v>64.900000000000006</v>
      </c>
      <c r="G309" s="2176">
        <v>7500</v>
      </c>
      <c r="H309" s="2186">
        <v>5955</v>
      </c>
      <c r="I309" s="342">
        <v>40.9</v>
      </c>
      <c r="J309" s="2176">
        <v>2700</v>
      </c>
      <c r="K309" s="2192">
        <v>1505</v>
      </c>
    </row>
    <row r="310" spans="1:11">
      <c r="A310" s="219">
        <f t="shared" si="1"/>
        <v>2015.01</v>
      </c>
      <c r="B310" s="2165">
        <v>15000</v>
      </c>
      <c r="C310" s="2172">
        <v>209.4</v>
      </c>
      <c r="D310" s="342">
        <v>82.5</v>
      </c>
      <c r="E310" s="2176">
        <v>5500</v>
      </c>
      <c r="F310" s="2181">
        <v>70</v>
      </c>
      <c r="G310" s="2176">
        <v>7500</v>
      </c>
      <c r="H310" s="2186">
        <v>6066</v>
      </c>
      <c r="I310" s="342">
        <v>41.3</v>
      </c>
      <c r="J310" s="2176">
        <v>2700</v>
      </c>
      <c r="K310" s="2192">
        <v>1614</v>
      </c>
    </row>
    <row r="311" spans="1:11">
      <c r="A311" s="219">
        <f t="shared" si="1"/>
        <v>2015.02</v>
      </c>
      <c r="B311" s="2165">
        <v>15000</v>
      </c>
      <c r="C311" s="2172">
        <v>200.7</v>
      </c>
      <c r="D311" s="342">
        <v>86.9</v>
      </c>
      <c r="E311" s="2176">
        <v>5500</v>
      </c>
      <c r="F311" s="2181">
        <v>65.400000000000006</v>
      </c>
      <c r="G311" s="2176">
        <v>7500</v>
      </c>
      <c r="H311" s="2186">
        <v>6175</v>
      </c>
      <c r="I311" s="342">
        <v>43.4</v>
      </c>
      <c r="J311" s="2176">
        <v>2700</v>
      </c>
      <c r="K311" s="2192">
        <v>1571</v>
      </c>
    </row>
    <row r="312" spans="1:11">
      <c r="A312" s="219">
        <f t="shared" si="1"/>
        <v>2015.03</v>
      </c>
      <c r="B312" s="2165">
        <v>15000</v>
      </c>
      <c r="C312" s="2172">
        <v>205.3</v>
      </c>
      <c r="D312" s="342">
        <v>86.7</v>
      </c>
      <c r="E312" s="2176">
        <v>5500</v>
      </c>
      <c r="F312" s="2181">
        <v>71.5</v>
      </c>
      <c r="G312" s="2176">
        <v>7500</v>
      </c>
      <c r="H312" s="2186">
        <v>5735</v>
      </c>
      <c r="I312" s="342">
        <v>43.3</v>
      </c>
      <c r="J312" s="2176">
        <v>2700</v>
      </c>
      <c r="K312" s="2192">
        <v>1494</v>
      </c>
    </row>
    <row r="313" spans="1:11">
      <c r="A313" s="219">
        <f t="shared" si="1"/>
        <v>2015.04</v>
      </c>
      <c r="B313" s="2165">
        <v>15000</v>
      </c>
      <c r="C313" s="2172">
        <v>200.3</v>
      </c>
      <c r="D313" s="342">
        <v>98</v>
      </c>
      <c r="E313" s="2176">
        <v>5500</v>
      </c>
      <c r="F313" s="2181">
        <v>74.2</v>
      </c>
      <c r="G313" s="2176">
        <v>7500</v>
      </c>
      <c r="H313" s="2186">
        <v>5229</v>
      </c>
      <c r="I313" s="342">
        <v>49</v>
      </c>
      <c r="J313" s="2176">
        <v>2700</v>
      </c>
      <c r="K313" s="2192">
        <v>1473</v>
      </c>
    </row>
    <row r="314" spans="1:11">
      <c r="A314" s="219">
        <f t="shared" si="1"/>
        <v>2015.05</v>
      </c>
      <c r="B314" s="2165">
        <v>15000</v>
      </c>
      <c r="C314" s="2172">
        <v>196.4</v>
      </c>
      <c r="D314" s="342">
        <v>101.9</v>
      </c>
      <c r="E314" s="2176">
        <v>5500</v>
      </c>
      <c r="F314" s="2181">
        <v>72</v>
      </c>
      <c r="G314" s="2176">
        <v>7500</v>
      </c>
      <c r="H314" s="2186">
        <v>5687</v>
      </c>
      <c r="I314" s="342">
        <v>50.9</v>
      </c>
      <c r="J314" s="2176">
        <v>2700</v>
      </c>
      <c r="K314" s="2192">
        <v>1559</v>
      </c>
    </row>
    <row r="315" spans="1:11">
      <c r="A315" s="219">
        <f t="shared" si="1"/>
        <v>2015.06</v>
      </c>
      <c r="B315" s="2165">
        <v>15000</v>
      </c>
      <c r="C315" s="2172">
        <v>197.7</v>
      </c>
      <c r="D315" s="342">
        <v>103.7</v>
      </c>
      <c r="E315" s="2176">
        <v>5500</v>
      </c>
      <c r="F315" s="2181">
        <v>68.5</v>
      </c>
      <c r="G315" s="2176">
        <v>7500</v>
      </c>
      <c r="H315" s="2186">
        <v>5484</v>
      </c>
      <c r="I315" s="342">
        <v>51.8</v>
      </c>
      <c r="J315" s="2176">
        <v>2700</v>
      </c>
      <c r="K315" s="2192">
        <v>1518</v>
      </c>
    </row>
    <row r="316" spans="1:11">
      <c r="A316" s="219">
        <f t="shared" si="1"/>
        <v>2015.07</v>
      </c>
      <c r="B316" s="2165">
        <v>15000</v>
      </c>
      <c r="C316" s="2172">
        <v>220.9</v>
      </c>
      <c r="D316" s="342">
        <v>103.7</v>
      </c>
      <c r="E316" s="2176">
        <v>5500</v>
      </c>
      <c r="F316" s="2181">
        <v>74.5</v>
      </c>
      <c r="G316" s="2176">
        <v>7500</v>
      </c>
      <c r="H316" s="2186">
        <v>5553</v>
      </c>
      <c r="I316" s="342">
        <v>51.8</v>
      </c>
      <c r="J316" s="2176">
        <v>2700</v>
      </c>
      <c r="K316" s="2192">
        <v>1557</v>
      </c>
    </row>
    <row r="317" spans="1:11">
      <c r="A317" s="219">
        <f t="shared" si="1"/>
        <v>2015.08</v>
      </c>
      <c r="B317" s="2165">
        <v>15000</v>
      </c>
      <c r="C317" s="2172">
        <v>253.4</v>
      </c>
      <c r="D317" s="342">
        <v>107.6</v>
      </c>
      <c r="E317" s="2176">
        <v>5500</v>
      </c>
      <c r="F317" s="2181">
        <v>82.5</v>
      </c>
      <c r="G317" s="2176">
        <v>7500</v>
      </c>
      <c r="H317" s="2186">
        <v>5959</v>
      </c>
      <c r="I317" s="342">
        <v>53.8</v>
      </c>
      <c r="J317" s="2176">
        <v>2700</v>
      </c>
      <c r="K317" s="2192">
        <v>1588</v>
      </c>
    </row>
    <row r="318" spans="1:11">
      <c r="A318" s="219">
        <f t="shared" si="1"/>
        <v>2015.09</v>
      </c>
      <c r="B318" s="2165">
        <v>15000</v>
      </c>
      <c r="C318" s="2172">
        <v>250.4</v>
      </c>
      <c r="D318" s="342">
        <v>107.7</v>
      </c>
      <c r="E318" s="2176">
        <v>5500</v>
      </c>
      <c r="F318" s="2181">
        <v>82.8</v>
      </c>
      <c r="G318" s="2176">
        <v>7500</v>
      </c>
      <c r="H318" s="2186">
        <v>5938</v>
      </c>
      <c r="I318" s="342">
        <v>53.9</v>
      </c>
      <c r="J318" s="2176">
        <v>2700</v>
      </c>
      <c r="K318" s="2192">
        <v>1635</v>
      </c>
    </row>
    <row r="319" spans="1:11">
      <c r="A319" s="219">
        <f t="shared" si="1"/>
        <v>2015.1</v>
      </c>
      <c r="B319" s="2165">
        <v>15000</v>
      </c>
      <c r="C319" s="2172">
        <v>238.2</v>
      </c>
      <c r="D319" s="342">
        <v>111.8</v>
      </c>
      <c r="E319" s="2176">
        <v>5500</v>
      </c>
      <c r="F319" s="2181">
        <v>87.3</v>
      </c>
      <c r="G319" s="2176">
        <v>7500</v>
      </c>
      <c r="H319" s="2186">
        <v>5955</v>
      </c>
      <c r="I319" s="342">
        <v>55.9</v>
      </c>
      <c r="J319" s="2176">
        <v>2700</v>
      </c>
      <c r="K319" s="2192">
        <v>1588</v>
      </c>
    </row>
    <row r="320" spans="1:11">
      <c r="A320" s="219">
        <f t="shared" si="1"/>
        <v>2015.11</v>
      </c>
      <c r="B320" s="2165">
        <v>15000</v>
      </c>
      <c r="C320" s="2172">
        <v>200</v>
      </c>
      <c r="D320" s="342">
        <v>102.2</v>
      </c>
      <c r="E320" s="2176">
        <v>5500</v>
      </c>
      <c r="F320" s="2181">
        <v>78.400000000000006</v>
      </c>
      <c r="G320" s="2176">
        <v>7500</v>
      </c>
      <c r="H320" s="2186">
        <v>5876</v>
      </c>
      <c r="I320" s="342">
        <v>51.1</v>
      </c>
      <c r="J320" s="2176">
        <v>2700</v>
      </c>
      <c r="K320" s="2192">
        <v>1511</v>
      </c>
    </row>
    <row r="321" spans="1:11">
      <c r="A321" s="219">
        <f t="shared" si="1"/>
        <v>2015.12</v>
      </c>
      <c r="B321" s="2165">
        <v>15000</v>
      </c>
      <c r="C321" s="2172">
        <v>157.5</v>
      </c>
      <c r="D321" s="342">
        <v>83.6</v>
      </c>
      <c r="E321" s="2176">
        <v>5500</v>
      </c>
      <c r="F321" s="2181">
        <v>56.9</v>
      </c>
      <c r="G321" s="2176">
        <v>7500</v>
      </c>
      <c r="H321" s="2186">
        <v>3684</v>
      </c>
      <c r="I321" s="342">
        <v>41.8</v>
      </c>
      <c r="J321" s="2176">
        <v>2700</v>
      </c>
      <c r="K321" s="2192">
        <v>1118</v>
      </c>
    </row>
    <row r="322" spans="1:11">
      <c r="A322" s="219">
        <f t="shared" si="1"/>
        <v>2016.01</v>
      </c>
      <c r="B322" s="2165">
        <v>15000</v>
      </c>
      <c r="C322" s="2172">
        <v>112.6</v>
      </c>
      <c r="D322" s="342">
        <v>69.900000000000006</v>
      </c>
      <c r="E322" s="2176">
        <v>5500</v>
      </c>
      <c r="F322" s="2181">
        <v>42.7</v>
      </c>
      <c r="G322" s="2176">
        <v>7500</v>
      </c>
      <c r="H322" s="2186">
        <v>3824</v>
      </c>
      <c r="I322" s="342">
        <v>34.9</v>
      </c>
      <c r="J322" s="2176">
        <v>2700</v>
      </c>
      <c r="K322" s="2192">
        <v>1057</v>
      </c>
    </row>
    <row r="323" spans="1:11">
      <c r="A323" s="219">
        <f t="shared" si="1"/>
        <v>2016.02</v>
      </c>
      <c r="B323" s="2165">
        <v>15000</v>
      </c>
      <c r="C323" s="2172">
        <v>104</v>
      </c>
      <c r="D323" s="342">
        <v>64.7</v>
      </c>
      <c r="E323" s="2176">
        <v>5500</v>
      </c>
      <c r="F323" s="2181">
        <v>39.9</v>
      </c>
      <c r="G323" s="2176">
        <v>7500</v>
      </c>
      <c r="H323" s="2186">
        <v>4601</v>
      </c>
      <c r="I323" s="342">
        <v>32.299999999999997</v>
      </c>
      <c r="J323" s="2176">
        <v>2700</v>
      </c>
      <c r="K323" s="2192">
        <v>1305</v>
      </c>
    </row>
    <row r="324" spans="1:11">
      <c r="A324" s="219">
        <f t="shared" si="1"/>
        <v>2016.03</v>
      </c>
      <c r="B324" s="2165">
        <v>15000</v>
      </c>
      <c r="C324" s="2172">
        <v>104</v>
      </c>
      <c r="D324" s="342">
        <v>64.7</v>
      </c>
      <c r="E324" s="2176">
        <v>5500</v>
      </c>
      <c r="F324" s="2181">
        <v>39.9</v>
      </c>
      <c r="G324" s="2176">
        <v>7500</v>
      </c>
      <c r="H324" s="2186">
        <v>4601</v>
      </c>
      <c r="I324" s="342">
        <v>32.299999999999997</v>
      </c>
      <c r="J324" s="2176">
        <v>2700</v>
      </c>
      <c r="K324" s="2192">
        <v>1305</v>
      </c>
    </row>
    <row r="325" spans="1:11">
      <c r="A325" s="219">
        <f t="shared" si="1"/>
        <v>2016.04</v>
      </c>
      <c r="B325" s="2165">
        <v>15000</v>
      </c>
      <c r="C325" s="2172">
        <v>107.1</v>
      </c>
      <c r="D325" s="342">
        <v>70.5</v>
      </c>
      <c r="E325" s="2176">
        <v>5500</v>
      </c>
      <c r="F325" s="2181">
        <v>38.4</v>
      </c>
      <c r="G325" s="2176">
        <v>7500</v>
      </c>
      <c r="H325" s="2186">
        <v>4018</v>
      </c>
      <c r="I325" s="342">
        <v>35.299999999999997</v>
      </c>
      <c r="J325" s="2176">
        <v>2700</v>
      </c>
      <c r="K325" s="2192">
        <v>1227</v>
      </c>
    </row>
    <row r="326" spans="1:11">
      <c r="A326" s="219">
        <f t="shared" si="1"/>
        <v>2016.05</v>
      </c>
      <c r="B326" s="2165">
        <v>15000</v>
      </c>
      <c r="C326" s="2172">
        <v>77.900000000000006</v>
      </c>
      <c r="D326" s="342">
        <v>60.6</v>
      </c>
      <c r="E326" s="2176">
        <v>5600</v>
      </c>
      <c r="F326" s="2181">
        <v>36.200000000000003</v>
      </c>
      <c r="G326" s="2176">
        <v>7500</v>
      </c>
      <c r="H326" s="2186">
        <v>3826</v>
      </c>
      <c r="I326" s="342">
        <v>30.3</v>
      </c>
      <c r="J326" s="2176">
        <v>2850</v>
      </c>
      <c r="K326" s="2192">
        <v>1256</v>
      </c>
    </row>
    <row r="327" spans="1:11">
      <c r="A327" s="219">
        <f t="shared" si="1"/>
        <v>2016.06</v>
      </c>
      <c r="B327" s="2165">
        <v>15000</v>
      </c>
      <c r="C327" s="2172">
        <v>76.400000000000006</v>
      </c>
      <c r="D327" s="342">
        <v>53.5</v>
      </c>
      <c r="E327" s="2176">
        <v>5600</v>
      </c>
      <c r="F327" s="2181">
        <v>30.7</v>
      </c>
      <c r="G327" s="2176">
        <v>7500</v>
      </c>
      <c r="H327" s="2186">
        <v>3628</v>
      </c>
      <c r="I327" s="342">
        <v>26.8</v>
      </c>
      <c r="J327" s="2176">
        <v>2850</v>
      </c>
      <c r="K327" s="2192">
        <v>1214</v>
      </c>
    </row>
    <row r="328" spans="1:11">
      <c r="A328" s="219">
        <f t="shared" si="1"/>
        <v>2016.07</v>
      </c>
      <c r="B328" s="2165">
        <v>15000</v>
      </c>
      <c r="C328" s="2172">
        <v>76.7</v>
      </c>
      <c r="D328" s="342">
        <v>51.1</v>
      </c>
      <c r="E328" s="2176">
        <v>5600</v>
      </c>
      <c r="F328" s="2181">
        <v>34.4</v>
      </c>
      <c r="G328" s="2176">
        <v>7500</v>
      </c>
      <c r="H328" s="2186">
        <v>3772</v>
      </c>
      <c r="I328" s="342">
        <v>25.6</v>
      </c>
      <c r="J328" s="2176">
        <v>2850</v>
      </c>
      <c r="K328" s="2192">
        <v>1286</v>
      </c>
    </row>
    <row r="329" spans="1:11">
      <c r="A329" s="219">
        <f t="shared" si="1"/>
        <v>2016.08</v>
      </c>
      <c r="B329" s="2165">
        <v>15000</v>
      </c>
      <c r="C329" s="2172">
        <v>86.4</v>
      </c>
      <c r="D329" s="342">
        <v>56.9</v>
      </c>
      <c r="E329" s="2176">
        <v>5600</v>
      </c>
      <c r="F329" s="2181">
        <v>36.4</v>
      </c>
      <c r="G329" s="2176">
        <v>7500</v>
      </c>
      <c r="H329" s="2186">
        <v>3752</v>
      </c>
      <c r="I329" s="342">
        <v>28.4</v>
      </c>
      <c r="J329" s="2176">
        <v>2850</v>
      </c>
      <c r="K329" s="2192">
        <v>1243</v>
      </c>
    </row>
    <row r="330" spans="1:11">
      <c r="A330" s="219">
        <f t="shared" si="1"/>
        <v>2016.09</v>
      </c>
      <c r="B330" s="2165">
        <v>15000</v>
      </c>
      <c r="C330" s="2172">
        <v>97.1</v>
      </c>
      <c r="D330" s="342">
        <v>59.5</v>
      </c>
      <c r="E330" s="2176">
        <v>5600</v>
      </c>
      <c r="F330" s="2181">
        <v>41.7</v>
      </c>
      <c r="G330" s="2176">
        <v>7500</v>
      </c>
      <c r="H330" s="2186">
        <v>3925</v>
      </c>
      <c r="I330" s="342">
        <v>29.8</v>
      </c>
      <c r="J330" s="2176">
        <v>2850</v>
      </c>
      <c r="K330" s="2192">
        <v>1227</v>
      </c>
    </row>
    <row r="331" spans="1:11">
      <c r="A331" s="219">
        <f t="shared" si="1"/>
        <v>2016.1</v>
      </c>
      <c r="B331" s="2165">
        <v>15000</v>
      </c>
      <c r="C331" s="2172">
        <v>96.6</v>
      </c>
      <c r="D331" s="342">
        <v>57.9</v>
      </c>
      <c r="E331" s="2176">
        <v>5600</v>
      </c>
      <c r="F331" s="2181">
        <v>41.2</v>
      </c>
      <c r="G331" s="2176">
        <v>7500</v>
      </c>
      <c r="H331" s="2186">
        <v>3863</v>
      </c>
      <c r="I331" s="342">
        <v>29</v>
      </c>
      <c r="J331" s="2176">
        <v>2850</v>
      </c>
      <c r="K331" s="2192">
        <v>1159</v>
      </c>
    </row>
    <row r="332" spans="1:11">
      <c r="A332" s="219">
        <f t="shared" si="1"/>
        <v>2016.11</v>
      </c>
      <c r="B332" s="2165">
        <v>15500</v>
      </c>
      <c r="C332" s="2172">
        <v>95.2</v>
      </c>
      <c r="D332" s="342">
        <v>58.3</v>
      </c>
      <c r="E332" s="2176">
        <v>5800</v>
      </c>
      <c r="F332" s="2181">
        <v>39.6</v>
      </c>
      <c r="G332" s="2176">
        <v>7500</v>
      </c>
      <c r="H332" s="2186">
        <v>3838</v>
      </c>
      <c r="I332" s="342">
        <v>28.2</v>
      </c>
      <c r="J332" s="2176">
        <v>3000</v>
      </c>
      <c r="K332" s="2192">
        <v>1212</v>
      </c>
    </row>
    <row r="333" spans="1:11">
      <c r="A333" s="219">
        <f t="shared" si="1"/>
        <v>2016.12</v>
      </c>
      <c r="B333" s="2165">
        <v>15500</v>
      </c>
      <c r="C333" s="2172">
        <v>99.1</v>
      </c>
      <c r="D333" s="342">
        <v>60.4</v>
      </c>
      <c r="E333" s="2176">
        <v>5800</v>
      </c>
      <c r="F333" s="2181">
        <v>42.5</v>
      </c>
      <c r="G333" s="2176">
        <v>7500</v>
      </c>
      <c r="H333" s="2186">
        <v>4394</v>
      </c>
      <c r="I333" s="342">
        <v>29.2</v>
      </c>
      <c r="J333" s="2176">
        <v>3000</v>
      </c>
      <c r="K333" s="2192">
        <v>1324</v>
      </c>
    </row>
    <row r="334" spans="1:11">
      <c r="A334" s="219">
        <f t="shared" si="1"/>
        <v>2017.01</v>
      </c>
      <c r="B334" s="2165">
        <v>15500</v>
      </c>
      <c r="C334" s="2172">
        <v>96.6</v>
      </c>
      <c r="D334" s="342">
        <v>59.8</v>
      </c>
      <c r="E334" s="2176">
        <v>5800</v>
      </c>
      <c r="F334" s="2181">
        <v>38.4</v>
      </c>
      <c r="G334" s="2176">
        <v>7500</v>
      </c>
      <c r="H334" s="2186">
        <v>4500</v>
      </c>
      <c r="I334" s="342">
        <v>28.9</v>
      </c>
      <c r="J334" s="2176">
        <v>3000</v>
      </c>
      <c r="K334" s="2192">
        <v>1369</v>
      </c>
    </row>
    <row r="335" spans="1:11">
      <c r="A335" s="219">
        <f t="shared" si="1"/>
        <v>2017.02</v>
      </c>
      <c r="B335" s="2165">
        <v>15500</v>
      </c>
      <c r="C335" s="2172">
        <v>106.3</v>
      </c>
      <c r="D335" s="342">
        <v>59.5</v>
      </c>
      <c r="E335" s="2176">
        <v>5800</v>
      </c>
      <c r="F335" s="2181">
        <v>36</v>
      </c>
      <c r="G335" s="2176">
        <v>7500</v>
      </c>
      <c r="H335" s="2186">
        <v>4318</v>
      </c>
      <c r="I335" s="342">
        <v>28.8</v>
      </c>
      <c r="J335" s="2176">
        <v>3000</v>
      </c>
      <c r="K335" s="2192">
        <v>1422</v>
      </c>
    </row>
    <row r="336" spans="1:11">
      <c r="A336" s="219">
        <f t="shared" si="1"/>
        <v>2017.03</v>
      </c>
      <c r="B336" s="2165">
        <v>15500</v>
      </c>
      <c r="C336" s="2172">
        <v>101.8</v>
      </c>
      <c r="D336" s="342">
        <v>61.1</v>
      </c>
      <c r="E336" s="2176">
        <v>5800</v>
      </c>
      <c r="F336" s="2181">
        <v>36.6</v>
      </c>
      <c r="G336" s="2176">
        <v>7500</v>
      </c>
      <c r="H336" s="2186">
        <v>4078</v>
      </c>
      <c r="I336" s="342">
        <v>29.6</v>
      </c>
      <c r="J336" s="2176">
        <v>3000</v>
      </c>
      <c r="K336" s="2192">
        <v>1352</v>
      </c>
    </row>
    <row r="337" spans="1:11">
      <c r="A337" s="219">
        <f t="shared" si="1"/>
        <v>2017.04</v>
      </c>
      <c r="B337" s="2165">
        <v>15500</v>
      </c>
      <c r="C337" s="2172">
        <v>105.9</v>
      </c>
      <c r="D337" s="342">
        <v>70.599999999999994</v>
      </c>
      <c r="E337" s="2176">
        <v>5800</v>
      </c>
      <c r="F337" s="2181">
        <v>38</v>
      </c>
      <c r="G337" s="2176">
        <v>7500</v>
      </c>
      <c r="H337" s="2186">
        <v>3928</v>
      </c>
      <c r="I337" s="342">
        <v>34.200000000000003</v>
      </c>
      <c r="J337" s="2176">
        <v>3000</v>
      </c>
      <c r="K337" s="2192">
        <v>1309</v>
      </c>
    </row>
    <row r="338" spans="1:11">
      <c r="A338" s="219">
        <f t="shared" si="1"/>
        <v>2017.05</v>
      </c>
      <c r="B338" s="2165">
        <v>15800</v>
      </c>
      <c r="C338" s="2172">
        <v>107.4</v>
      </c>
      <c r="D338" s="342">
        <v>68.599999999999994</v>
      </c>
      <c r="E338" s="2176">
        <v>5800</v>
      </c>
      <c r="F338" s="2181">
        <v>36.299999999999997</v>
      </c>
      <c r="G338" s="2176">
        <v>7500</v>
      </c>
      <c r="H338" s="2186">
        <v>3724</v>
      </c>
      <c r="I338" s="342">
        <v>32.6</v>
      </c>
      <c r="J338" s="2176">
        <v>3000</v>
      </c>
      <c r="K338" s="2192">
        <v>1285</v>
      </c>
    </row>
    <row r="339" spans="1:11">
      <c r="A339" s="219">
        <f t="shared" si="1"/>
        <v>2017.06</v>
      </c>
      <c r="B339" s="2165">
        <v>15800</v>
      </c>
      <c r="C339" s="2172">
        <v>109.8</v>
      </c>
      <c r="D339" s="342">
        <v>67</v>
      </c>
      <c r="E339" s="2176">
        <v>5800</v>
      </c>
      <c r="F339" s="2181">
        <v>36</v>
      </c>
      <c r="G339" s="2176">
        <v>7500</v>
      </c>
      <c r="H339" s="2186">
        <v>3951</v>
      </c>
      <c r="I339" s="342">
        <v>31.8</v>
      </c>
      <c r="J339" s="2176">
        <v>3000</v>
      </c>
      <c r="K339" s="2192">
        <v>1324</v>
      </c>
    </row>
    <row r="340" spans="1:11">
      <c r="A340" s="219">
        <f t="shared" si="1"/>
        <v>2017.07</v>
      </c>
      <c r="B340" s="2165">
        <v>15900</v>
      </c>
      <c r="C340" s="2172">
        <v>115.2</v>
      </c>
      <c r="D340" s="342">
        <v>68.599999999999994</v>
      </c>
      <c r="E340" s="2176">
        <v>5800</v>
      </c>
      <c r="F340" s="2181">
        <v>36.9</v>
      </c>
      <c r="G340" s="2176">
        <v>7500</v>
      </c>
      <c r="H340" s="2186">
        <v>4055</v>
      </c>
      <c r="I340" s="342">
        <v>32.299999999999997</v>
      </c>
      <c r="J340" s="2176">
        <v>3000</v>
      </c>
      <c r="K340" s="2192">
        <v>1381</v>
      </c>
    </row>
    <row r="341" spans="1:11">
      <c r="A341" s="219">
        <f t="shared" si="1"/>
        <v>2017.08</v>
      </c>
      <c r="B341" s="2165">
        <v>15900</v>
      </c>
      <c r="C341" s="2172">
        <v>120.4</v>
      </c>
      <c r="D341" s="342">
        <v>67.7</v>
      </c>
      <c r="E341" s="2176">
        <v>5800</v>
      </c>
      <c r="F341" s="2181">
        <v>35.700000000000003</v>
      </c>
      <c r="G341" s="2176">
        <v>7500</v>
      </c>
      <c r="H341" s="2186">
        <v>4188</v>
      </c>
      <c r="I341" s="342">
        <v>31.9</v>
      </c>
      <c r="J341" s="2176">
        <v>3000</v>
      </c>
      <c r="K341" s="2192">
        <v>1375</v>
      </c>
    </row>
    <row r="342" spans="1:11">
      <c r="A342" s="219">
        <f t="shared" si="1"/>
        <v>2017.09</v>
      </c>
      <c r="B342" s="2165">
        <v>15900</v>
      </c>
      <c r="C342" s="2172">
        <v>120.6</v>
      </c>
      <c r="D342" s="342">
        <v>64.599999999999994</v>
      </c>
      <c r="E342" s="2176">
        <v>5800</v>
      </c>
      <c r="F342" s="2181">
        <v>38.299999999999997</v>
      </c>
      <c r="G342" s="2176">
        <v>7500</v>
      </c>
      <c r="H342" s="2186">
        <v>3922</v>
      </c>
      <c r="I342" s="342">
        <v>30.5</v>
      </c>
      <c r="J342" s="2176">
        <v>3000</v>
      </c>
      <c r="K342" s="2192">
        <v>1314</v>
      </c>
    </row>
    <row r="343" spans="1:11">
      <c r="A343" s="219">
        <f t="shared" si="1"/>
        <v>2017.1</v>
      </c>
      <c r="B343" s="2165">
        <v>15900</v>
      </c>
      <c r="C343" s="2172">
        <v>117.3</v>
      </c>
      <c r="D343" s="342">
        <v>64.3</v>
      </c>
      <c r="E343" s="2176">
        <v>5800</v>
      </c>
      <c r="F343" s="2181">
        <v>36</v>
      </c>
      <c r="G343" s="2176">
        <v>7500</v>
      </c>
      <c r="H343" s="2186">
        <v>3907</v>
      </c>
      <c r="I343" s="342">
        <v>30.3</v>
      </c>
      <c r="J343" s="2176">
        <v>3000</v>
      </c>
      <c r="K343" s="2192">
        <v>1265</v>
      </c>
    </row>
    <row r="344" spans="1:11">
      <c r="A344" s="219">
        <f t="shared" si="1"/>
        <v>2017.11</v>
      </c>
      <c r="B344" s="2165">
        <v>15900</v>
      </c>
      <c r="C344" s="2172">
        <v>121.3</v>
      </c>
      <c r="D344" s="342">
        <v>64.099999999999994</v>
      </c>
      <c r="E344" s="2176">
        <v>5800</v>
      </c>
      <c r="F344" s="2181">
        <v>36.5</v>
      </c>
      <c r="G344" s="2176">
        <v>7500</v>
      </c>
      <c r="H344" s="2186">
        <v>4138</v>
      </c>
      <c r="I344" s="342">
        <v>30.2</v>
      </c>
      <c r="J344" s="2176">
        <v>3000</v>
      </c>
      <c r="K344" s="2192">
        <v>1281</v>
      </c>
    </row>
    <row r="345" spans="1:11">
      <c r="A345" s="219">
        <f t="shared" si="1"/>
        <v>2017.12</v>
      </c>
      <c r="B345" s="2165">
        <v>15900</v>
      </c>
      <c r="C345" s="2172">
        <v>111.8</v>
      </c>
      <c r="D345" s="342">
        <v>61.4</v>
      </c>
      <c r="E345" s="2176">
        <v>5800</v>
      </c>
      <c r="F345" s="2181">
        <v>40</v>
      </c>
      <c r="G345" s="2176">
        <v>7500</v>
      </c>
      <c r="H345" s="2186">
        <v>3995</v>
      </c>
      <c r="I345" s="342">
        <v>29</v>
      </c>
      <c r="J345" s="2176">
        <v>3000</v>
      </c>
      <c r="K345" s="2192">
        <v>1199</v>
      </c>
    </row>
    <row r="346" spans="1:11">
      <c r="A346" s="219">
        <f t="shared" si="1"/>
        <v>2018.01</v>
      </c>
      <c r="B346" s="2165">
        <v>15900</v>
      </c>
      <c r="C346" s="2172">
        <v>110.5</v>
      </c>
      <c r="D346" s="342">
        <v>63.5</v>
      </c>
      <c r="E346" s="2176">
        <v>5800</v>
      </c>
      <c r="F346" s="2181">
        <v>36.299999999999997</v>
      </c>
      <c r="G346" s="2176">
        <v>7500</v>
      </c>
      <c r="H346" s="2186">
        <v>4397</v>
      </c>
      <c r="I346" s="342">
        <v>29.9</v>
      </c>
      <c r="J346" s="2176">
        <v>3000</v>
      </c>
      <c r="K346" s="2192">
        <v>1340</v>
      </c>
    </row>
    <row r="347" spans="1:11">
      <c r="A347" s="219">
        <f t="shared" si="1"/>
        <v>2018.02</v>
      </c>
      <c r="B347" s="2165">
        <v>15900</v>
      </c>
      <c r="C347" s="2172">
        <v>101.3</v>
      </c>
      <c r="D347" s="342">
        <v>58.7</v>
      </c>
      <c r="E347" s="2176">
        <v>5800</v>
      </c>
      <c r="F347" s="2181">
        <v>34.200000000000003</v>
      </c>
      <c r="G347" s="2176">
        <v>7500</v>
      </c>
      <c r="H347" s="2186">
        <v>4359</v>
      </c>
      <c r="I347" s="342">
        <v>27.7</v>
      </c>
      <c r="J347" s="2176">
        <v>3000</v>
      </c>
      <c r="K347" s="2192">
        <v>1411</v>
      </c>
    </row>
    <row r="348" spans="1:11">
      <c r="A348" s="219">
        <f t="shared" si="1"/>
        <v>2018.03</v>
      </c>
      <c r="B348" s="2165">
        <v>15900</v>
      </c>
      <c r="C348" s="2172">
        <v>93</v>
      </c>
      <c r="D348" s="342">
        <v>51.7</v>
      </c>
      <c r="E348" s="2176">
        <v>5800</v>
      </c>
      <c r="F348" s="2181">
        <v>32.1</v>
      </c>
      <c r="G348" s="2176">
        <v>7500</v>
      </c>
      <c r="H348" s="2186">
        <v>4652</v>
      </c>
      <c r="I348" s="342">
        <v>24.4</v>
      </c>
      <c r="J348" s="2176">
        <v>3000</v>
      </c>
      <c r="K348" s="2192">
        <v>1462</v>
      </c>
    </row>
    <row r="349" spans="1:11">
      <c r="A349" s="219">
        <f t="shared" si="1"/>
        <v>2018.04</v>
      </c>
      <c r="B349" s="2165">
        <v>15900</v>
      </c>
      <c r="C349" s="2172">
        <v>94.2</v>
      </c>
      <c r="D349" s="342">
        <v>53.7</v>
      </c>
      <c r="E349" s="2176">
        <v>5800</v>
      </c>
      <c r="F349" s="2181">
        <v>30</v>
      </c>
      <c r="G349" s="2176">
        <v>7500</v>
      </c>
      <c r="H349" s="2186">
        <v>4511</v>
      </c>
      <c r="I349" s="342">
        <v>25.4</v>
      </c>
      <c r="J349" s="2176">
        <v>3000</v>
      </c>
      <c r="K349" s="2192">
        <v>1573</v>
      </c>
    </row>
    <row r="350" spans="1:11">
      <c r="A350" s="219">
        <f t="shared" si="1"/>
        <v>2018.05</v>
      </c>
      <c r="B350" s="2165">
        <v>15900</v>
      </c>
      <c r="C350" s="2172">
        <v>93.9</v>
      </c>
      <c r="D350" s="342">
        <v>53.2</v>
      </c>
      <c r="E350" s="2176">
        <v>5800</v>
      </c>
      <c r="F350" s="2181">
        <v>25.4</v>
      </c>
      <c r="G350" s="2176">
        <v>7500</v>
      </c>
      <c r="H350" s="2186">
        <v>4962</v>
      </c>
      <c r="I350" s="342">
        <v>25.1</v>
      </c>
      <c r="J350" s="2176">
        <v>3000</v>
      </c>
      <c r="K350" s="2192">
        <v>1613</v>
      </c>
    </row>
    <row r="351" spans="1:11">
      <c r="A351" s="219">
        <f t="shared" si="1"/>
        <v>2018.06</v>
      </c>
      <c r="B351" s="2165">
        <v>15900</v>
      </c>
      <c r="C351" s="2172">
        <v>96.3</v>
      </c>
      <c r="D351" s="342">
        <v>55.7</v>
      </c>
      <c r="E351" s="2176">
        <v>5800</v>
      </c>
      <c r="F351" s="2181">
        <v>24.3</v>
      </c>
      <c r="G351" s="2176">
        <v>7500</v>
      </c>
      <c r="H351" s="2186">
        <v>4919</v>
      </c>
      <c r="I351" s="342">
        <v>26.3</v>
      </c>
      <c r="J351" s="2176">
        <v>3000</v>
      </c>
      <c r="K351" s="2192">
        <v>1744</v>
      </c>
    </row>
    <row r="352" spans="1:11">
      <c r="A352" s="219">
        <f t="shared" si="1"/>
        <v>2018.07</v>
      </c>
      <c r="B352" s="2165">
        <v>15900</v>
      </c>
      <c r="C352" s="2172">
        <v>107.5</v>
      </c>
      <c r="D352" s="342">
        <v>57.4</v>
      </c>
      <c r="E352" s="2176">
        <v>5800</v>
      </c>
      <c r="F352" s="2181">
        <v>27.9</v>
      </c>
      <c r="G352" s="2176">
        <v>7500</v>
      </c>
      <c r="H352" s="2186">
        <v>5739</v>
      </c>
      <c r="I352" s="342">
        <v>27.1</v>
      </c>
      <c r="J352" s="2176">
        <v>3000</v>
      </c>
      <c r="K352" s="2192">
        <v>1897</v>
      </c>
    </row>
    <row r="353" spans="1:11">
      <c r="A353" s="219">
        <f t="shared" si="1"/>
        <v>2018.08</v>
      </c>
      <c r="B353" s="2165">
        <v>15500</v>
      </c>
      <c r="C353" s="2172">
        <v>96.2</v>
      </c>
      <c r="D353" s="342">
        <v>57.6</v>
      </c>
      <c r="E353" s="2176">
        <v>5800</v>
      </c>
      <c r="F353" s="2181">
        <v>27.5</v>
      </c>
      <c r="G353" s="2176">
        <v>7500</v>
      </c>
      <c r="H353" s="2186">
        <v>5164</v>
      </c>
      <c r="I353" s="342">
        <v>27.9</v>
      </c>
      <c r="J353" s="2176">
        <v>3000</v>
      </c>
      <c r="K353" s="2192">
        <v>1882</v>
      </c>
    </row>
    <row r="354" spans="1:11">
      <c r="A354" s="219">
        <f>A342+1</f>
        <v>2018.09</v>
      </c>
      <c r="B354" s="2165">
        <v>15500</v>
      </c>
      <c r="C354" s="2172">
        <v>119.2</v>
      </c>
      <c r="D354" s="342">
        <v>67.400000000000006</v>
      </c>
      <c r="E354" s="2176">
        <v>5800</v>
      </c>
      <c r="F354" s="2181">
        <v>28.8</v>
      </c>
      <c r="G354" s="2176">
        <v>7500</v>
      </c>
      <c r="H354" s="2186">
        <v>6335</v>
      </c>
      <c r="I354" s="342">
        <v>32.6</v>
      </c>
      <c r="J354" s="2176">
        <v>3000</v>
      </c>
      <c r="K354" s="2192">
        <v>2382</v>
      </c>
    </row>
    <row r="355" spans="1:11">
      <c r="A355" s="219">
        <f t="shared" si="1"/>
        <v>2018.1</v>
      </c>
      <c r="B355" s="2165">
        <v>15500</v>
      </c>
      <c r="C355" s="2172">
        <v>114.5</v>
      </c>
      <c r="D355" s="342">
        <v>62.2</v>
      </c>
      <c r="E355" s="2176">
        <v>5800</v>
      </c>
      <c r="F355" s="2181">
        <v>27.3</v>
      </c>
      <c r="G355" s="2176">
        <v>7500</v>
      </c>
      <c r="H355" s="2186">
        <v>6948</v>
      </c>
      <c r="I355" s="342">
        <v>30.1</v>
      </c>
      <c r="J355" s="2176">
        <v>3000</v>
      </c>
      <c r="K355" s="2192">
        <v>2307</v>
      </c>
    </row>
    <row r="356" spans="1:11">
      <c r="A356" s="219">
        <f t="shared" ref="A356:A419" si="3">A344+1</f>
        <v>2018.11</v>
      </c>
      <c r="B356" s="2165">
        <v>15500</v>
      </c>
      <c r="C356" s="2172">
        <v>118.7</v>
      </c>
      <c r="D356" s="342">
        <v>62.1</v>
      </c>
      <c r="E356" s="2176">
        <v>5800</v>
      </c>
      <c r="F356" s="2181">
        <v>32.299999999999997</v>
      </c>
      <c r="G356" s="2176">
        <v>7500</v>
      </c>
      <c r="H356" s="2186">
        <v>6266</v>
      </c>
      <c r="I356" s="342">
        <v>30</v>
      </c>
      <c r="J356" s="2176">
        <v>3000</v>
      </c>
      <c r="K356" s="2192">
        <v>2081</v>
      </c>
    </row>
    <row r="357" spans="1:11">
      <c r="A357" s="219">
        <f t="shared" si="3"/>
        <v>2018.12</v>
      </c>
      <c r="B357" s="2165">
        <v>15500</v>
      </c>
      <c r="C357" s="2172">
        <v>113.8</v>
      </c>
      <c r="D357" s="342">
        <v>64.7</v>
      </c>
      <c r="E357" s="2176">
        <v>5800</v>
      </c>
      <c r="F357" s="2181">
        <v>34.5</v>
      </c>
      <c r="G357" s="2176">
        <v>7500</v>
      </c>
      <c r="H357" s="2186">
        <v>6605</v>
      </c>
      <c r="I357" s="342">
        <v>31.3</v>
      </c>
      <c r="J357" s="2176">
        <v>3000</v>
      </c>
      <c r="K357" s="2192">
        <v>2272</v>
      </c>
    </row>
    <row r="358" spans="1:11">
      <c r="A358" s="219">
        <f t="shared" si="3"/>
        <v>2019.01</v>
      </c>
      <c r="B358" s="2165">
        <v>15500</v>
      </c>
      <c r="C358" s="2172">
        <v>111.3</v>
      </c>
      <c r="D358" s="342">
        <v>66.8</v>
      </c>
      <c r="E358" s="2176">
        <v>5800</v>
      </c>
      <c r="F358" s="2181">
        <v>29.4</v>
      </c>
      <c r="G358" s="2176">
        <v>7500</v>
      </c>
      <c r="H358" s="2186">
        <v>6058</v>
      </c>
      <c r="I358" s="342">
        <v>32.299999999999997</v>
      </c>
      <c r="J358" s="2176">
        <v>3000</v>
      </c>
      <c r="K358" s="2192">
        <v>2237</v>
      </c>
    </row>
    <row r="359" spans="1:11">
      <c r="A359" s="219">
        <f t="shared" si="3"/>
        <v>2019.02</v>
      </c>
      <c r="B359" s="2165">
        <v>15500</v>
      </c>
      <c r="C359" s="2172">
        <v>106.7</v>
      </c>
      <c r="D359" s="342">
        <v>63.4</v>
      </c>
      <c r="E359" s="2176">
        <v>5800</v>
      </c>
      <c r="F359" s="2181">
        <v>28.8</v>
      </c>
      <c r="G359" s="2176">
        <v>7500</v>
      </c>
      <c r="H359" s="2186">
        <v>4928</v>
      </c>
      <c r="I359" s="342">
        <v>30.7</v>
      </c>
      <c r="J359" s="2176">
        <v>3000</v>
      </c>
      <c r="K359" s="2192">
        <v>1876</v>
      </c>
    </row>
    <row r="360" spans="1:11">
      <c r="A360" s="219">
        <f t="shared" si="3"/>
        <v>2019.03</v>
      </c>
      <c r="B360" s="2165">
        <v>15500</v>
      </c>
      <c r="C360" s="2172">
        <v>119.3</v>
      </c>
      <c r="D360" s="342">
        <v>68.7</v>
      </c>
      <c r="E360" s="2176">
        <v>5800</v>
      </c>
      <c r="F360" s="2181">
        <v>33.799999999999997</v>
      </c>
      <c r="G360" s="2176">
        <v>7500</v>
      </c>
      <c r="H360" s="2186">
        <v>4857</v>
      </c>
      <c r="I360" s="342">
        <v>33.299999999999997</v>
      </c>
      <c r="J360" s="2176">
        <v>3000</v>
      </c>
      <c r="K360" s="2192">
        <v>1883</v>
      </c>
    </row>
    <row r="361" spans="1:11">
      <c r="A361" s="219">
        <f t="shared" si="3"/>
        <v>2019.04</v>
      </c>
      <c r="B361" s="2165">
        <v>15500</v>
      </c>
      <c r="C361" s="2172">
        <v>121.5</v>
      </c>
      <c r="D361" s="342">
        <v>71.599999999999994</v>
      </c>
      <c r="E361" s="2176">
        <v>5800</v>
      </c>
      <c r="F361" s="2181">
        <v>33.5</v>
      </c>
      <c r="G361" s="2176">
        <v>7500</v>
      </c>
      <c r="H361" s="2186">
        <v>5488</v>
      </c>
      <c r="I361" s="342">
        <v>34.700000000000003</v>
      </c>
      <c r="J361" s="2176">
        <v>3000</v>
      </c>
      <c r="K361" s="2192">
        <v>2090</v>
      </c>
    </row>
    <row r="362" spans="1:11">
      <c r="A362" s="219">
        <f t="shared" si="3"/>
        <v>2019.05</v>
      </c>
      <c r="B362" s="2165">
        <v>15500</v>
      </c>
      <c r="C362" s="2172">
        <v>116.6</v>
      </c>
      <c r="D362" s="342">
        <v>77.599999999999994</v>
      </c>
      <c r="E362" s="2176">
        <v>5800</v>
      </c>
      <c r="F362" s="2181">
        <v>31.4</v>
      </c>
      <c r="G362" s="2176">
        <v>7500</v>
      </c>
      <c r="H362" s="2186">
        <v>5544</v>
      </c>
      <c r="I362" s="342">
        <v>37.6</v>
      </c>
      <c r="J362" s="2176">
        <v>3000</v>
      </c>
      <c r="K362" s="2192">
        <v>2148</v>
      </c>
    </row>
    <row r="363" spans="1:11">
      <c r="A363" s="219">
        <f t="shared" si="3"/>
        <v>2019.06</v>
      </c>
      <c r="B363" s="2165">
        <v>15500</v>
      </c>
      <c r="C363" s="2172">
        <v>103.5</v>
      </c>
      <c r="D363" s="342">
        <v>68</v>
      </c>
      <c r="E363" s="2176">
        <v>5800</v>
      </c>
      <c r="F363" s="2181">
        <v>29.1</v>
      </c>
      <c r="G363" s="2176">
        <v>7500</v>
      </c>
      <c r="H363" s="2186">
        <v>5760</v>
      </c>
      <c r="I363" s="342">
        <v>32.9</v>
      </c>
      <c r="J363" s="2176">
        <v>3000</v>
      </c>
      <c r="K363" s="2192">
        <v>1975</v>
      </c>
    </row>
    <row r="364" spans="1:11">
      <c r="A364" s="219">
        <f t="shared" si="3"/>
        <v>2019.07</v>
      </c>
      <c r="B364" s="2165">
        <v>15500</v>
      </c>
      <c r="C364" s="2172">
        <v>103.1</v>
      </c>
      <c r="D364" s="342">
        <v>70.599999999999994</v>
      </c>
      <c r="E364" s="2176">
        <v>5800</v>
      </c>
      <c r="F364" s="2181">
        <v>28.5</v>
      </c>
      <c r="G364" s="2176">
        <v>7500</v>
      </c>
      <c r="H364" s="2186">
        <v>5406</v>
      </c>
      <c r="I364" s="342">
        <v>34.1</v>
      </c>
      <c r="J364" s="2176">
        <v>3000</v>
      </c>
      <c r="K364" s="2192">
        <v>1854</v>
      </c>
    </row>
    <row r="365" spans="1:11">
      <c r="A365" s="219">
        <f t="shared" si="3"/>
        <v>2019.08</v>
      </c>
      <c r="B365" s="2165">
        <v>15500</v>
      </c>
      <c r="C365" s="2172">
        <v>112.3</v>
      </c>
      <c r="D365" s="342">
        <v>69.5</v>
      </c>
      <c r="E365" s="2176">
        <v>5800</v>
      </c>
      <c r="F365" s="2181">
        <v>27.6</v>
      </c>
      <c r="G365" s="2176">
        <v>7500</v>
      </c>
      <c r="H365" s="2186">
        <v>5504</v>
      </c>
      <c r="I365" s="342">
        <v>33.6</v>
      </c>
      <c r="J365" s="2176">
        <v>3000</v>
      </c>
      <c r="K365" s="2192">
        <v>1896</v>
      </c>
    </row>
    <row r="366" spans="1:11">
      <c r="A366" s="219">
        <f t="shared" si="3"/>
        <v>2019.09</v>
      </c>
      <c r="B366" s="2165">
        <v>15000</v>
      </c>
      <c r="C366" s="2172">
        <v>120</v>
      </c>
      <c r="D366" s="342">
        <v>69.400000000000006</v>
      </c>
      <c r="E366" s="2176">
        <v>5800</v>
      </c>
      <c r="F366" s="2181">
        <v>30.5</v>
      </c>
      <c r="G366" s="2176">
        <v>7300</v>
      </c>
      <c r="H366" s="2186">
        <v>6504</v>
      </c>
      <c r="I366" s="342">
        <v>33.799999999999997</v>
      </c>
      <c r="J366" s="2176">
        <v>2800</v>
      </c>
      <c r="K366" s="2192">
        <v>2111</v>
      </c>
    </row>
    <row r="367" spans="1:11">
      <c r="A367" s="219">
        <f t="shared" si="3"/>
        <v>2019.1</v>
      </c>
      <c r="B367" s="2165">
        <v>15000</v>
      </c>
      <c r="C367" s="2172">
        <v>118.1</v>
      </c>
      <c r="D367" s="342">
        <v>64.900000000000006</v>
      </c>
      <c r="E367" s="2176">
        <v>5800</v>
      </c>
      <c r="F367" s="2181">
        <v>29</v>
      </c>
      <c r="G367" s="2176">
        <v>7300</v>
      </c>
      <c r="H367" s="2186">
        <v>6738</v>
      </c>
      <c r="I367" s="342">
        <v>31.6</v>
      </c>
      <c r="J367" s="2176">
        <v>2800</v>
      </c>
      <c r="K367" s="2192">
        <v>2100</v>
      </c>
    </row>
    <row r="368" spans="1:11">
      <c r="A368" s="219">
        <f t="shared" si="3"/>
        <v>2019.11</v>
      </c>
      <c r="B368" s="2165">
        <v>15000</v>
      </c>
      <c r="C368" s="2172">
        <v>120.7</v>
      </c>
      <c r="D368" s="342">
        <v>67.599999999999994</v>
      </c>
      <c r="E368" s="2176">
        <v>5800</v>
      </c>
      <c r="F368" s="2181">
        <v>36.1</v>
      </c>
      <c r="G368" s="2176">
        <v>7300</v>
      </c>
      <c r="H368" s="2186">
        <v>6521</v>
      </c>
      <c r="I368" s="342">
        <v>32.9</v>
      </c>
      <c r="J368" s="2176">
        <v>2800</v>
      </c>
      <c r="K368" s="2192">
        <v>2181</v>
      </c>
    </row>
    <row r="369" spans="1:11">
      <c r="A369" s="219">
        <f t="shared" si="3"/>
        <v>2019.12</v>
      </c>
      <c r="B369" s="2165">
        <v>15000</v>
      </c>
      <c r="C369" s="2172">
        <v>120</v>
      </c>
      <c r="D369" s="342">
        <v>71.7</v>
      </c>
      <c r="E369" s="2176">
        <v>5800</v>
      </c>
      <c r="F369" s="2181">
        <v>41</v>
      </c>
      <c r="G369" s="2176">
        <v>7300</v>
      </c>
      <c r="H369" s="2186">
        <v>6724</v>
      </c>
      <c r="I369" s="342">
        <v>34.9</v>
      </c>
      <c r="J369" s="2176">
        <v>2800</v>
      </c>
      <c r="K369" s="2192">
        <v>2063</v>
      </c>
    </row>
    <row r="370" spans="1:11">
      <c r="A370" s="219">
        <f t="shared" si="3"/>
        <v>2020.01</v>
      </c>
      <c r="B370" s="2165">
        <v>15000</v>
      </c>
      <c r="C370" s="2172">
        <v>137.6</v>
      </c>
      <c r="D370" s="342">
        <v>74.5</v>
      </c>
      <c r="E370" s="2176">
        <v>5800</v>
      </c>
      <c r="F370" s="2181">
        <v>42.5</v>
      </c>
      <c r="G370" s="2176">
        <v>7300</v>
      </c>
      <c r="H370" s="2186">
        <v>6205</v>
      </c>
      <c r="I370" s="342">
        <v>36.299999999999997</v>
      </c>
      <c r="J370" s="2176">
        <v>2800</v>
      </c>
      <c r="K370" s="2192">
        <v>2255</v>
      </c>
    </row>
    <row r="371" spans="1:11">
      <c r="A371" s="219">
        <f t="shared" si="3"/>
        <v>2020.02</v>
      </c>
      <c r="B371" s="2165">
        <v>15000</v>
      </c>
      <c r="C371" s="2172">
        <v>128.4</v>
      </c>
      <c r="D371" s="342">
        <v>79.400000000000006</v>
      </c>
      <c r="E371" s="2176">
        <v>5800</v>
      </c>
      <c r="F371" s="2181">
        <v>38.299999999999997</v>
      </c>
      <c r="G371" s="2176">
        <v>7300</v>
      </c>
      <c r="H371" s="2186">
        <v>6720</v>
      </c>
      <c r="I371" s="342">
        <v>38.6</v>
      </c>
      <c r="J371" s="2176">
        <v>2800</v>
      </c>
      <c r="K371" s="2192">
        <v>2408</v>
      </c>
    </row>
    <row r="372" spans="1:11">
      <c r="A372" s="219">
        <f t="shared" si="3"/>
        <v>2020.03</v>
      </c>
      <c r="B372" s="2165">
        <v>14500</v>
      </c>
      <c r="C372" s="2172">
        <v>140</v>
      </c>
      <c r="D372" s="342">
        <v>83.1</v>
      </c>
      <c r="E372" s="2176">
        <v>5700</v>
      </c>
      <c r="F372" s="2181">
        <v>36.1</v>
      </c>
      <c r="G372" s="2176">
        <v>7200</v>
      </c>
      <c r="H372" s="2186">
        <v>6077</v>
      </c>
      <c r="I372" s="342">
        <v>41.3</v>
      </c>
      <c r="J372" s="2176">
        <v>2600</v>
      </c>
      <c r="K372" s="2192">
        <v>2001</v>
      </c>
    </row>
    <row r="373" spans="1:11">
      <c r="A373" s="219">
        <f t="shared" si="3"/>
        <v>2020.04</v>
      </c>
      <c r="B373" s="2165">
        <v>14500</v>
      </c>
      <c r="C373" s="2172">
        <v>130.19999999999999</v>
      </c>
      <c r="D373" s="342">
        <v>85.9</v>
      </c>
      <c r="E373" s="2176">
        <v>5700</v>
      </c>
      <c r="F373" s="2181">
        <v>37.5</v>
      </c>
      <c r="G373" s="2176">
        <v>7200</v>
      </c>
      <c r="H373" s="2186">
        <v>6328</v>
      </c>
      <c r="I373" s="342">
        <v>42.6</v>
      </c>
      <c r="J373" s="2176">
        <v>2600</v>
      </c>
      <c r="K373" s="2192">
        <v>2068</v>
      </c>
    </row>
    <row r="374" spans="1:11">
      <c r="A374" s="219">
        <f t="shared" si="3"/>
        <v>2020.05</v>
      </c>
      <c r="B374" s="2165">
        <v>14000</v>
      </c>
      <c r="C374" s="2172">
        <v>190.1</v>
      </c>
      <c r="D374" s="342">
        <v>110.2</v>
      </c>
      <c r="E374" s="2176">
        <v>5700</v>
      </c>
      <c r="F374" s="2181">
        <v>49.5</v>
      </c>
      <c r="G374" s="2176">
        <v>7000</v>
      </c>
      <c r="H374" s="2186">
        <v>9167</v>
      </c>
      <c r="I374" s="342">
        <v>55.1</v>
      </c>
      <c r="J374" s="2176">
        <v>2500</v>
      </c>
      <c r="K374" s="2192">
        <v>2750</v>
      </c>
    </row>
    <row r="375" spans="1:11">
      <c r="A375" s="219">
        <f t="shared" si="3"/>
        <v>2020.06</v>
      </c>
      <c r="B375" s="2165">
        <v>14000</v>
      </c>
      <c r="C375" s="2172">
        <v>201.3</v>
      </c>
      <c r="D375" s="342">
        <v>107.8</v>
      </c>
      <c r="E375" s="2176">
        <v>5700</v>
      </c>
      <c r="F375" s="2181">
        <v>54.7</v>
      </c>
      <c r="G375" s="2176">
        <v>7000</v>
      </c>
      <c r="H375" s="2186">
        <v>8944</v>
      </c>
      <c r="I375" s="342">
        <v>53.9</v>
      </c>
      <c r="J375" s="2176">
        <v>2500</v>
      </c>
      <c r="K375" s="2192">
        <v>2500</v>
      </c>
    </row>
    <row r="376" spans="1:11">
      <c r="A376" s="219">
        <f t="shared" si="3"/>
        <v>2020.07</v>
      </c>
      <c r="B376" s="2165">
        <v>14000</v>
      </c>
      <c r="C376" s="2172">
        <v>196.1</v>
      </c>
      <c r="D376" s="342">
        <v>112.7</v>
      </c>
      <c r="E376" s="2176">
        <v>5700</v>
      </c>
      <c r="F376" s="2181">
        <v>55.5</v>
      </c>
      <c r="G376" s="2176">
        <v>7000</v>
      </c>
      <c r="H376" s="2186">
        <v>9333</v>
      </c>
      <c r="I376" s="342">
        <v>56.4</v>
      </c>
      <c r="J376" s="2176">
        <v>2500</v>
      </c>
      <c r="K376" s="2192">
        <v>2462</v>
      </c>
    </row>
    <row r="377" spans="1:11">
      <c r="A377" s="219">
        <f t="shared" si="3"/>
        <v>2020.08</v>
      </c>
      <c r="B377" s="2165">
        <v>14000</v>
      </c>
      <c r="C377" s="2172">
        <v>194.6</v>
      </c>
      <c r="D377" s="342">
        <v>105.7</v>
      </c>
      <c r="E377" s="2176">
        <v>5700</v>
      </c>
      <c r="F377" s="2181">
        <v>54.3</v>
      </c>
      <c r="G377" s="2176">
        <v>7000</v>
      </c>
      <c r="H377" s="2186">
        <v>9357</v>
      </c>
      <c r="I377" s="342">
        <v>52.9</v>
      </c>
      <c r="J377" s="2176">
        <v>2500</v>
      </c>
      <c r="K377" s="2192">
        <v>2408</v>
      </c>
    </row>
    <row r="378" spans="1:11">
      <c r="A378" s="219">
        <f t="shared" si="3"/>
        <v>2020.09</v>
      </c>
      <c r="B378" s="2165">
        <v>14000</v>
      </c>
      <c r="C378" s="2172">
        <v>164.3</v>
      </c>
      <c r="D378" s="342">
        <v>97.7</v>
      </c>
      <c r="E378" s="2176">
        <v>5700</v>
      </c>
      <c r="F378" s="2181">
        <v>52.5</v>
      </c>
      <c r="G378" s="2176">
        <v>7000</v>
      </c>
      <c r="H378" s="2186">
        <v>9310</v>
      </c>
      <c r="I378" s="342">
        <v>48.9</v>
      </c>
      <c r="J378" s="2176">
        <v>2500</v>
      </c>
      <c r="K378" s="2192">
        <v>2293</v>
      </c>
    </row>
    <row r="379" spans="1:11">
      <c r="A379" s="219">
        <f t="shared" si="3"/>
        <v>2020.1</v>
      </c>
      <c r="B379" s="2165">
        <v>14000</v>
      </c>
      <c r="C379" s="2172">
        <v>155.69999999999999</v>
      </c>
      <c r="D379" s="342">
        <v>88.2</v>
      </c>
      <c r="E379" s="2176">
        <v>5700</v>
      </c>
      <c r="F379" s="2181">
        <v>54.7</v>
      </c>
      <c r="G379" s="2176">
        <v>7000</v>
      </c>
      <c r="H379" s="2186">
        <v>10080</v>
      </c>
      <c r="I379" s="342">
        <v>44.1</v>
      </c>
      <c r="J379" s="2176">
        <v>2500</v>
      </c>
      <c r="K379" s="2192">
        <v>2571</v>
      </c>
    </row>
    <row r="380" spans="1:11">
      <c r="A380" s="219">
        <f t="shared" si="3"/>
        <v>2020.11</v>
      </c>
      <c r="B380" s="2165">
        <v>14000</v>
      </c>
      <c r="C380" s="2172">
        <v>160.19999999999999</v>
      </c>
      <c r="D380" s="342">
        <v>93.2</v>
      </c>
      <c r="E380" s="2176">
        <v>5700</v>
      </c>
      <c r="F380" s="2181">
        <v>58.7</v>
      </c>
      <c r="G380" s="2176">
        <v>7000</v>
      </c>
      <c r="H380" s="2186">
        <v>10500</v>
      </c>
      <c r="I380" s="342">
        <v>46.6</v>
      </c>
      <c r="J380" s="2176">
        <v>2500</v>
      </c>
      <c r="K380" s="2192">
        <v>2800</v>
      </c>
    </row>
    <row r="381" spans="1:11">
      <c r="A381" s="219">
        <f t="shared" si="3"/>
        <v>2020.12</v>
      </c>
      <c r="B381" s="2165">
        <v>14000</v>
      </c>
      <c r="C381" s="2172">
        <v>134.9</v>
      </c>
      <c r="D381" s="342">
        <v>77.7</v>
      </c>
      <c r="E381" s="2176">
        <v>5700</v>
      </c>
      <c r="F381" s="2181">
        <v>50.9</v>
      </c>
      <c r="G381" s="2176">
        <v>7000</v>
      </c>
      <c r="H381" s="2186">
        <v>8238</v>
      </c>
      <c r="I381" s="342">
        <v>38.799999999999997</v>
      </c>
      <c r="J381" s="2176">
        <v>2500</v>
      </c>
      <c r="K381" s="2192">
        <v>2391</v>
      </c>
    </row>
    <row r="382" spans="1:11">
      <c r="A382" s="219">
        <f t="shared" si="3"/>
        <v>2021.01</v>
      </c>
      <c r="B382" s="2165">
        <v>14000</v>
      </c>
      <c r="C382" s="2172">
        <v>136.6</v>
      </c>
      <c r="D382" s="342">
        <v>79.3</v>
      </c>
      <c r="E382" s="2176">
        <v>5700</v>
      </c>
      <c r="F382" s="2181">
        <v>49.2</v>
      </c>
      <c r="G382" s="2176">
        <v>7000</v>
      </c>
      <c r="H382" s="2186">
        <v>7700</v>
      </c>
      <c r="I382" s="342">
        <v>39.6</v>
      </c>
      <c r="J382" s="2176">
        <v>2500</v>
      </c>
      <c r="K382" s="2192">
        <v>2115</v>
      </c>
    </row>
    <row r="383" spans="1:11">
      <c r="A383" s="219">
        <f t="shared" si="3"/>
        <v>2021.02</v>
      </c>
      <c r="B383" s="2165">
        <v>14000</v>
      </c>
      <c r="C383" s="2172">
        <v>122.5</v>
      </c>
      <c r="D383" s="342">
        <v>74.400000000000006</v>
      </c>
      <c r="E383" s="2176">
        <v>5700</v>
      </c>
      <c r="F383" s="2181">
        <v>45.3</v>
      </c>
      <c r="G383" s="2176">
        <v>7000</v>
      </c>
      <c r="H383" s="2186">
        <v>6910</v>
      </c>
      <c r="I383" s="342">
        <v>37.200000000000003</v>
      </c>
      <c r="J383" s="2176">
        <v>2500</v>
      </c>
      <c r="K383" s="2192">
        <v>2013</v>
      </c>
    </row>
    <row r="384" spans="1:11">
      <c r="A384" s="219">
        <f t="shared" si="3"/>
        <v>2021.03</v>
      </c>
      <c r="B384" s="2165">
        <v>14000</v>
      </c>
      <c r="C384" s="2172">
        <v>117.2</v>
      </c>
      <c r="D384" s="342">
        <v>69.900000000000006</v>
      </c>
      <c r="E384" s="2176">
        <v>5700</v>
      </c>
      <c r="F384" s="2181">
        <v>44.1</v>
      </c>
      <c r="G384" s="2176">
        <v>7000</v>
      </c>
      <c r="H384" s="2186">
        <v>6194</v>
      </c>
      <c r="I384" s="342">
        <v>34.9</v>
      </c>
      <c r="J384" s="2176">
        <v>2500</v>
      </c>
      <c r="K384" s="2192">
        <v>1738</v>
      </c>
    </row>
    <row r="385" spans="1:11">
      <c r="A385" s="219">
        <f t="shared" si="3"/>
        <v>2021.04</v>
      </c>
      <c r="B385" s="2165">
        <v>14000</v>
      </c>
      <c r="C385" s="2172">
        <v>108</v>
      </c>
      <c r="D385" s="342">
        <v>66.5</v>
      </c>
      <c r="E385" s="2176">
        <v>5700</v>
      </c>
      <c r="F385" s="2181">
        <v>41.9</v>
      </c>
      <c r="G385" s="2176">
        <v>7000</v>
      </c>
      <c r="H385" s="2186">
        <v>5680</v>
      </c>
      <c r="I385" s="342">
        <v>33.200000000000003</v>
      </c>
      <c r="J385" s="2176">
        <v>2500</v>
      </c>
      <c r="K385" s="2192">
        <v>1690</v>
      </c>
    </row>
    <row r="386" spans="1:11">
      <c r="A386" s="219">
        <f t="shared" si="3"/>
        <v>2021.05</v>
      </c>
      <c r="B386" s="2165">
        <v>14000</v>
      </c>
      <c r="C386" s="2172">
        <v>102.3</v>
      </c>
      <c r="D386" s="342">
        <v>69.3</v>
      </c>
      <c r="E386" s="2176">
        <v>5700</v>
      </c>
      <c r="F386" s="2181">
        <v>42.4</v>
      </c>
      <c r="G386" s="2176">
        <v>7000</v>
      </c>
      <c r="H386" s="2186">
        <v>5950</v>
      </c>
      <c r="I386" s="342">
        <v>34.700000000000003</v>
      </c>
      <c r="J386" s="2176">
        <v>2500</v>
      </c>
      <c r="K386" s="2192">
        <v>1821</v>
      </c>
    </row>
    <row r="387" spans="1:11">
      <c r="A387" s="219">
        <f t="shared" si="3"/>
        <v>2021.06</v>
      </c>
      <c r="B387" s="2165">
        <v>14000</v>
      </c>
      <c r="C387" s="2172">
        <v>108.1</v>
      </c>
      <c r="D387" s="342">
        <v>67.900000000000006</v>
      </c>
      <c r="E387" s="2176">
        <v>5700</v>
      </c>
      <c r="F387" s="2181">
        <v>43.2</v>
      </c>
      <c r="G387" s="2176">
        <v>7000</v>
      </c>
      <c r="H387" s="2186">
        <v>6106</v>
      </c>
      <c r="I387" s="342">
        <v>34</v>
      </c>
      <c r="J387" s="2176">
        <v>2500</v>
      </c>
      <c r="K387" s="2192">
        <v>1869</v>
      </c>
    </row>
    <row r="388" spans="1:11">
      <c r="A388" s="219">
        <f t="shared" si="3"/>
        <v>2021.07</v>
      </c>
      <c r="B388" s="2165">
        <v>14000</v>
      </c>
      <c r="C388" s="2172">
        <v>127.1</v>
      </c>
      <c r="D388" s="342">
        <v>76.2</v>
      </c>
      <c r="E388" s="2176">
        <v>5700</v>
      </c>
      <c r="F388" s="2181">
        <v>49.6</v>
      </c>
      <c r="G388" s="2176">
        <v>7000</v>
      </c>
      <c r="H388" s="2186">
        <v>6319</v>
      </c>
      <c r="I388" s="342">
        <v>38.1</v>
      </c>
      <c r="J388" s="2176">
        <v>2500</v>
      </c>
      <c r="K388" s="2192">
        <v>1898</v>
      </c>
    </row>
    <row r="389" spans="1:11">
      <c r="A389" s="219">
        <f t="shared" si="3"/>
        <v>2021.08</v>
      </c>
      <c r="B389" s="2165">
        <v>14000</v>
      </c>
      <c r="C389" s="2172">
        <v>138.80000000000001</v>
      </c>
      <c r="D389" s="342">
        <v>78.3</v>
      </c>
      <c r="E389" s="2176">
        <v>5700</v>
      </c>
      <c r="F389" s="2181">
        <v>48.7</v>
      </c>
      <c r="G389" s="2176">
        <v>7000</v>
      </c>
      <c r="H389" s="2186">
        <v>7200</v>
      </c>
      <c r="I389" s="342">
        <v>39.1</v>
      </c>
      <c r="J389" s="2176">
        <v>2500</v>
      </c>
      <c r="K389" s="2192">
        <v>2045</v>
      </c>
    </row>
    <row r="390" spans="1:11">
      <c r="A390" s="219">
        <f t="shared" si="3"/>
        <v>2021.09</v>
      </c>
      <c r="B390" s="2165">
        <v>14000</v>
      </c>
      <c r="C390" s="2172">
        <v>138.80000000000001</v>
      </c>
      <c r="D390" s="342">
        <v>77.400000000000006</v>
      </c>
      <c r="E390" s="2176">
        <v>5700</v>
      </c>
      <c r="F390" s="2181">
        <v>46.2</v>
      </c>
      <c r="G390" s="2176">
        <v>7000</v>
      </c>
      <c r="H390" s="2186">
        <v>7200</v>
      </c>
      <c r="I390" s="342">
        <v>38.700000000000003</v>
      </c>
      <c r="J390" s="2176">
        <v>2500</v>
      </c>
      <c r="K390" s="2192">
        <v>1915</v>
      </c>
    </row>
    <row r="391" spans="1:11">
      <c r="A391" s="219">
        <f t="shared" si="3"/>
        <v>2021.1</v>
      </c>
      <c r="B391" s="2165">
        <v>14000</v>
      </c>
      <c r="C391" s="2172">
        <v>134.1</v>
      </c>
      <c r="D391" s="342">
        <v>77</v>
      </c>
      <c r="E391" s="2176">
        <v>5700</v>
      </c>
      <c r="F391" s="2181">
        <v>44.2</v>
      </c>
      <c r="G391" s="2176">
        <v>7000</v>
      </c>
      <c r="H391" s="2186">
        <v>1440</v>
      </c>
      <c r="I391" s="342">
        <v>38.5</v>
      </c>
      <c r="J391" s="2176">
        <v>2500</v>
      </c>
      <c r="K391" s="2192">
        <v>1898</v>
      </c>
    </row>
    <row r="392" spans="1:11">
      <c r="A392" s="219">
        <f t="shared" si="3"/>
        <v>2021.11</v>
      </c>
      <c r="B392" s="2165">
        <v>14000</v>
      </c>
      <c r="C392" s="2172">
        <v>144.1</v>
      </c>
      <c r="D392" s="342">
        <v>79.099999999999994</v>
      </c>
      <c r="E392" s="2176">
        <v>5700</v>
      </c>
      <c r="F392" s="2181">
        <v>48.7</v>
      </c>
      <c r="G392" s="2176">
        <v>7000</v>
      </c>
      <c r="H392" s="2186">
        <v>7492</v>
      </c>
      <c r="I392" s="342">
        <v>39.5</v>
      </c>
      <c r="J392" s="2176">
        <v>2500</v>
      </c>
      <c r="K392" s="2192">
        <v>1833</v>
      </c>
    </row>
    <row r="393" spans="1:11">
      <c r="A393" s="219">
        <f t="shared" si="3"/>
        <v>2021.12</v>
      </c>
      <c r="B393" s="2165">
        <v>14000</v>
      </c>
      <c r="C393" s="2172">
        <v>135.5</v>
      </c>
      <c r="D393" s="342">
        <v>80.599999999999994</v>
      </c>
      <c r="E393" s="2176">
        <v>5700</v>
      </c>
      <c r="F393" s="2181">
        <v>49.6</v>
      </c>
      <c r="G393" s="2176">
        <v>7000</v>
      </c>
      <c r="H393" s="2186">
        <v>6544</v>
      </c>
      <c r="I393" s="2681" t="s">
        <v>1468</v>
      </c>
      <c r="J393" s="2176">
        <v>2500</v>
      </c>
      <c r="K393" s="2192">
        <v>1675</v>
      </c>
    </row>
    <row r="394" spans="1:11">
      <c r="A394" s="219">
        <f t="shared" si="3"/>
        <v>2022.01</v>
      </c>
      <c r="B394" s="2165">
        <v>14000</v>
      </c>
      <c r="C394" s="2172">
        <v>125.1</v>
      </c>
      <c r="D394" s="342">
        <v>75.3</v>
      </c>
      <c r="E394" s="2176">
        <v>5700</v>
      </c>
      <c r="F394" s="2181">
        <v>48.1</v>
      </c>
      <c r="G394" s="2176">
        <v>7000</v>
      </c>
      <c r="H394" s="2186">
        <v>6555</v>
      </c>
      <c r="I394" s="342">
        <v>37.700000000000003</v>
      </c>
      <c r="J394" s="2176">
        <v>2500</v>
      </c>
      <c r="K394" s="2192">
        <v>1609</v>
      </c>
    </row>
    <row r="395" spans="1:11">
      <c r="A395" s="219">
        <f t="shared" si="3"/>
        <v>2022.02</v>
      </c>
      <c r="B395" s="2165">
        <v>14000</v>
      </c>
      <c r="C395" s="2172">
        <v>119.6</v>
      </c>
      <c r="D395" s="342">
        <v>70.5</v>
      </c>
      <c r="E395" s="2176">
        <v>5700</v>
      </c>
      <c r="F395" s="2181">
        <v>48.3</v>
      </c>
      <c r="G395" s="2176">
        <v>7000</v>
      </c>
      <c r="H395" s="2186">
        <v>6658</v>
      </c>
      <c r="I395" s="342">
        <v>35.299999999999997</v>
      </c>
      <c r="J395" s="2176">
        <v>2500</v>
      </c>
      <c r="K395" s="2192">
        <v>1672</v>
      </c>
    </row>
    <row r="396" spans="1:11">
      <c r="A396" s="219">
        <f t="shared" si="3"/>
        <v>2022.03</v>
      </c>
      <c r="B396" s="2165">
        <v>14000</v>
      </c>
      <c r="C396" s="2172">
        <v>97.4</v>
      </c>
      <c r="D396" s="342">
        <v>58.5</v>
      </c>
      <c r="E396" s="2176">
        <v>5700</v>
      </c>
      <c r="F396" s="2181">
        <v>36.1</v>
      </c>
      <c r="G396" s="2176">
        <v>7000</v>
      </c>
      <c r="H396" s="2186">
        <v>5546</v>
      </c>
      <c r="I396" s="342">
        <v>29.2</v>
      </c>
      <c r="J396" s="2176">
        <v>2500</v>
      </c>
      <c r="K396" s="2192">
        <v>1515</v>
      </c>
    </row>
    <row r="397" spans="1:11">
      <c r="A397" s="219">
        <f t="shared" si="3"/>
        <v>2022.04</v>
      </c>
      <c r="B397" s="2165">
        <v>14000</v>
      </c>
      <c r="C397" s="2172">
        <v>101.8</v>
      </c>
      <c r="D397" s="342">
        <v>60.8</v>
      </c>
      <c r="E397" s="2176">
        <v>5700</v>
      </c>
      <c r="F397" s="2181">
        <v>33.200000000000003</v>
      </c>
      <c r="G397" s="2176">
        <v>7000</v>
      </c>
      <c r="H397" s="2186">
        <v>5185</v>
      </c>
      <c r="I397" s="342">
        <v>30.4</v>
      </c>
      <c r="J397" s="2176">
        <v>2500</v>
      </c>
      <c r="K397" s="2192">
        <v>1333</v>
      </c>
    </row>
    <row r="398" spans="1:11">
      <c r="A398" s="219">
        <f t="shared" si="3"/>
        <v>2022.05</v>
      </c>
      <c r="B398" s="2165">
        <v>14500</v>
      </c>
      <c r="C398" s="2172">
        <v>95.2</v>
      </c>
      <c r="D398" s="342">
        <v>59.6</v>
      </c>
      <c r="E398" s="2176">
        <v>5700</v>
      </c>
      <c r="F398" s="2181">
        <v>26.3</v>
      </c>
      <c r="G398" s="2176">
        <v>7000</v>
      </c>
      <c r="H398" s="2186">
        <v>4539</v>
      </c>
      <c r="I398" s="342">
        <v>28.8</v>
      </c>
      <c r="J398" s="2176">
        <v>2500</v>
      </c>
      <c r="K398" s="2192">
        <v>1340</v>
      </c>
    </row>
    <row r="399" spans="1:11">
      <c r="A399" s="219">
        <f t="shared" si="3"/>
        <v>2022.06</v>
      </c>
      <c r="B399" s="2165">
        <v>14500</v>
      </c>
      <c r="C399" s="2172">
        <v>93.2</v>
      </c>
      <c r="D399" s="342">
        <v>59.8</v>
      </c>
      <c r="E399" s="2176">
        <v>5700</v>
      </c>
      <c r="F399" s="2181">
        <v>27.1</v>
      </c>
      <c r="G399" s="2176">
        <v>7000</v>
      </c>
      <c r="H399" s="2186">
        <v>4807</v>
      </c>
      <c r="I399" s="342">
        <v>28.9</v>
      </c>
      <c r="J399" s="2176">
        <v>2500</v>
      </c>
      <c r="K399" s="2192">
        <v>1338</v>
      </c>
    </row>
    <row r="400" spans="1:11">
      <c r="A400" s="219">
        <f t="shared" si="3"/>
        <v>2022.07</v>
      </c>
      <c r="B400" s="2165">
        <v>14500</v>
      </c>
      <c r="C400" s="2172">
        <v>126.6</v>
      </c>
      <c r="D400" s="342">
        <v>72.3</v>
      </c>
      <c r="E400" s="2176">
        <v>5700</v>
      </c>
      <c r="F400" s="2181">
        <v>34.5</v>
      </c>
      <c r="G400" s="2176">
        <v>7000</v>
      </c>
      <c r="H400" s="2186">
        <v>6170</v>
      </c>
      <c r="I400" s="342">
        <v>34.9</v>
      </c>
      <c r="J400" s="2176">
        <v>2500</v>
      </c>
      <c r="K400" s="2192">
        <v>1630</v>
      </c>
    </row>
    <row r="401" spans="1:11">
      <c r="A401" s="219">
        <f t="shared" si="3"/>
        <v>2022.08</v>
      </c>
      <c r="B401" s="2165">
        <v>14500</v>
      </c>
      <c r="C401" s="2172">
        <v>141.6</v>
      </c>
      <c r="D401" s="342">
        <v>83</v>
      </c>
      <c r="E401" s="2176">
        <v>5700</v>
      </c>
      <c r="F401" s="2181">
        <v>41.1</v>
      </c>
      <c r="G401" s="2176">
        <v>7000</v>
      </c>
      <c r="H401" s="2186">
        <v>7024</v>
      </c>
      <c r="I401" s="342">
        <v>40.1</v>
      </c>
      <c r="J401" s="2176">
        <v>2500</v>
      </c>
      <c r="K401" s="2192">
        <v>1865</v>
      </c>
    </row>
    <row r="402" spans="1:11">
      <c r="A402" s="219">
        <f t="shared" si="3"/>
        <v>2022.09</v>
      </c>
      <c r="B402" s="2165">
        <v>14500</v>
      </c>
      <c r="C402" s="2172">
        <v>132.30000000000001</v>
      </c>
      <c r="D402" s="342">
        <v>79.3</v>
      </c>
      <c r="E402" s="2176">
        <v>5700</v>
      </c>
      <c r="F402" s="2181">
        <v>41.3</v>
      </c>
      <c r="G402" s="2176">
        <v>7000</v>
      </c>
      <c r="H402" s="2186">
        <v>6673</v>
      </c>
      <c r="I402" s="342">
        <v>38.299999999999997</v>
      </c>
      <c r="J402" s="2176">
        <v>2500</v>
      </c>
      <c r="K402" s="2192">
        <v>1682</v>
      </c>
    </row>
    <row r="403" spans="1:11">
      <c r="A403" s="219">
        <f t="shared" si="3"/>
        <v>2022.1</v>
      </c>
      <c r="B403" s="2165">
        <v>14500</v>
      </c>
      <c r="C403" s="2172">
        <v>115.9</v>
      </c>
      <c r="D403" s="342">
        <v>83.2</v>
      </c>
      <c r="E403" s="2176">
        <v>5700</v>
      </c>
      <c r="F403" s="2181">
        <v>34.5</v>
      </c>
      <c r="G403" s="2176">
        <v>7000</v>
      </c>
      <c r="H403" s="2186">
        <v>6627</v>
      </c>
      <c r="I403" s="342">
        <v>40.200000000000003</v>
      </c>
      <c r="J403" s="2176">
        <v>2500</v>
      </c>
      <c r="K403" s="2192">
        <v>1775</v>
      </c>
    </row>
    <row r="404" spans="1:11">
      <c r="A404" s="219">
        <f t="shared" si="3"/>
        <v>2022.11</v>
      </c>
      <c r="B404" s="2165">
        <v>14500</v>
      </c>
      <c r="C404" s="2172">
        <v>107.9</v>
      </c>
      <c r="D404" s="342">
        <v>67.8</v>
      </c>
      <c r="E404" s="2176">
        <v>5700</v>
      </c>
      <c r="F404" s="2181">
        <v>29.2</v>
      </c>
      <c r="G404" s="2176">
        <v>7000</v>
      </c>
      <c r="H404" s="2186">
        <v>7000</v>
      </c>
      <c r="I404" s="342">
        <v>32.700000000000003</v>
      </c>
      <c r="J404" s="2176">
        <v>2500</v>
      </c>
      <c r="K404" s="2192">
        <v>1959</v>
      </c>
    </row>
    <row r="405" spans="1:11">
      <c r="A405" s="219">
        <f t="shared" si="3"/>
        <v>2022.12</v>
      </c>
      <c r="B405" s="2165">
        <v>14500</v>
      </c>
      <c r="C405" s="2172">
        <v>110.9</v>
      </c>
      <c r="D405" s="342">
        <v>53.5</v>
      </c>
      <c r="E405" s="2176">
        <v>5700</v>
      </c>
      <c r="F405" s="2181">
        <v>31.4</v>
      </c>
      <c r="G405" s="2176">
        <v>7000</v>
      </c>
      <c r="H405" s="2186">
        <v>7579</v>
      </c>
      <c r="I405" s="342">
        <v>25.8</v>
      </c>
      <c r="J405" s="2176">
        <v>2500</v>
      </c>
      <c r="K405" s="2192">
        <v>2066</v>
      </c>
    </row>
    <row r="406" spans="1:11">
      <c r="A406" s="219">
        <f t="shared" si="3"/>
        <v>2023.01</v>
      </c>
      <c r="B406" s="2165">
        <v>14500</v>
      </c>
      <c r="C406" s="2172">
        <v>110.6</v>
      </c>
      <c r="D406" s="342">
        <v>66.8</v>
      </c>
      <c r="E406" s="2176">
        <v>5700</v>
      </c>
      <c r="F406" s="2181">
        <v>36</v>
      </c>
      <c r="G406" s="2176">
        <v>7000</v>
      </c>
      <c r="H406" s="2186">
        <v>8167</v>
      </c>
      <c r="I406" s="342">
        <v>32.200000000000003</v>
      </c>
      <c r="J406" s="2176">
        <v>2500</v>
      </c>
      <c r="K406" s="2192">
        <v>2244</v>
      </c>
    </row>
    <row r="407" spans="1:11">
      <c r="A407" s="219">
        <f t="shared" si="3"/>
        <v>2023.02</v>
      </c>
      <c r="B407" s="2165">
        <v>14500</v>
      </c>
      <c r="C407" s="2172">
        <v>110.2</v>
      </c>
      <c r="D407" s="342">
        <v>64.3</v>
      </c>
      <c r="E407" s="2176">
        <v>5700</v>
      </c>
      <c r="F407" s="2181">
        <v>37.1</v>
      </c>
      <c r="G407" s="2176">
        <v>7000</v>
      </c>
      <c r="H407" s="2186">
        <v>6209</v>
      </c>
      <c r="I407" s="342">
        <v>31.1</v>
      </c>
      <c r="J407" s="2176">
        <v>2500</v>
      </c>
      <c r="K407" s="2192">
        <v>1964</v>
      </c>
    </row>
    <row r="408" spans="1:11">
      <c r="A408" s="219">
        <f t="shared" si="3"/>
        <v>2023.03</v>
      </c>
      <c r="B408" s="2165">
        <v>14500</v>
      </c>
      <c r="C408" s="2172">
        <v>110.2</v>
      </c>
      <c r="D408" s="342">
        <v>61.1</v>
      </c>
      <c r="E408" s="2176">
        <v>5700</v>
      </c>
      <c r="F408" s="2181">
        <v>36.6</v>
      </c>
      <c r="G408" s="2176">
        <v>7000</v>
      </c>
      <c r="H408" s="2186">
        <v>5833</v>
      </c>
      <c r="I408" s="342">
        <v>29.5</v>
      </c>
      <c r="J408" s="2176">
        <v>2500</v>
      </c>
      <c r="K408" s="2192">
        <v>1995</v>
      </c>
    </row>
    <row r="409" spans="1:11">
      <c r="A409" s="219">
        <f t="shared" si="3"/>
        <v>2023.04</v>
      </c>
      <c r="B409" s="2165">
        <v>14500</v>
      </c>
      <c r="C409" s="2172">
        <v>108.9</v>
      </c>
      <c r="D409" s="342">
        <v>51.8</v>
      </c>
      <c r="E409" s="2176">
        <v>5700</v>
      </c>
      <c r="F409" s="2181">
        <v>37.4</v>
      </c>
      <c r="G409" s="2176">
        <v>7000</v>
      </c>
      <c r="H409" s="2186">
        <v>5838</v>
      </c>
      <c r="I409" s="342">
        <v>25</v>
      </c>
      <c r="J409" s="2176">
        <v>2500</v>
      </c>
      <c r="K409" s="2192">
        <v>2063</v>
      </c>
    </row>
    <row r="410" spans="1:11">
      <c r="A410" s="219">
        <f t="shared" si="3"/>
        <v>2023.05</v>
      </c>
      <c r="B410" s="2165">
        <v>14500</v>
      </c>
      <c r="C410" s="2172">
        <v>145.9</v>
      </c>
      <c r="D410" s="342">
        <v>68</v>
      </c>
      <c r="E410" s="2176">
        <v>5700</v>
      </c>
      <c r="F410" s="2181">
        <v>43</v>
      </c>
      <c r="G410" s="2176">
        <v>7000</v>
      </c>
      <c r="H410" s="2186">
        <v>6913</v>
      </c>
      <c r="I410" s="342">
        <v>32.799999999999997</v>
      </c>
      <c r="J410" s="2176">
        <v>2500</v>
      </c>
      <c r="K410" s="2192">
        <v>2418</v>
      </c>
    </row>
    <row r="411" spans="1:11">
      <c r="A411" s="219">
        <f t="shared" si="3"/>
        <v>2023.06</v>
      </c>
      <c r="B411" s="2165">
        <v>14500</v>
      </c>
      <c r="C411" s="2172">
        <v>144.5</v>
      </c>
      <c r="D411" s="342">
        <v>78.900000000000006</v>
      </c>
      <c r="E411" s="2176">
        <v>5700</v>
      </c>
      <c r="F411" s="2181">
        <v>36.4</v>
      </c>
      <c r="G411" s="2176">
        <v>7000</v>
      </c>
      <c r="H411" s="2186">
        <v>7298</v>
      </c>
      <c r="I411" s="342">
        <v>38.1</v>
      </c>
      <c r="J411" s="2176">
        <v>2500</v>
      </c>
      <c r="K411" s="2192">
        <v>2552</v>
      </c>
    </row>
    <row r="412" spans="1:11">
      <c r="A412" s="219">
        <f t="shared" si="3"/>
        <v>2023.07</v>
      </c>
      <c r="B412" s="2165">
        <v>14500</v>
      </c>
      <c r="C412" s="2172">
        <v>154.69999999999999</v>
      </c>
      <c r="D412" s="342">
        <v>76.099999999999994</v>
      </c>
      <c r="E412" s="2176">
        <v>5700</v>
      </c>
      <c r="F412" s="2181">
        <v>39.5</v>
      </c>
      <c r="G412" s="2176">
        <v>7000</v>
      </c>
      <c r="H412" s="2186">
        <v>7204</v>
      </c>
      <c r="I412" s="342">
        <v>36.700000000000003</v>
      </c>
      <c r="J412" s="2176">
        <v>2500</v>
      </c>
      <c r="K412" s="2192">
        <v>2470</v>
      </c>
    </row>
    <row r="413" spans="1:11">
      <c r="A413" s="219">
        <f t="shared" si="3"/>
        <v>2023.08</v>
      </c>
      <c r="B413" s="2165">
        <v>14500</v>
      </c>
      <c r="C413" s="2172">
        <v>134.9</v>
      </c>
      <c r="D413" s="342">
        <v>80.900000000000006</v>
      </c>
      <c r="E413" s="2176">
        <v>5700</v>
      </c>
      <c r="F413" s="2181">
        <v>43.6</v>
      </c>
      <c r="G413" s="2176">
        <v>7000</v>
      </c>
      <c r="H413" s="2186">
        <v>6403</v>
      </c>
      <c r="I413" s="342">
        <v>39.1</v>
      </c>
      <c r="J413" s="2176">
        <v>2500</v>
      </c>
      <c r="K413" s="2192">
        <v>1993</v>
      </c>
    </row>
    <row r="414" spans="1:11">
      <c r="A414" s="219">
        <f t="shared" si="3"/>
        <v>2023.09</v>
      </c>
      <c r="B414" s="2165">
        <v>14500</v>
      </c>
      <c r="C414" s="2172">
        <v>159.80000000000001</v>
      </c>
      <c r="D414" s="342">
        <v>77.2</v>
      </c>
      <c r="E414" s="2176">
        <v>5700</v>
      </c>
      <c r="F414" s="2181">
        <v>48.7</v>
      </c>
      <c r="G414" s="2176">
        <v>7000</v>
      </c>
      <c r="H414" s="2186">
        <v>6860</v>
      </c>
      <c r="I414" s="342">
        <v>37.299999999999997</v>
      </c>
      <c r="J414" s="2176">
        <v>2500</v>
      </c>
      <c r="K414" s="2192">
        <v>1934</v>
      </c>
    </row>
    <row r="415" spans="1:11">
      <c r="A415" s="219">
        <f t="shared" si="3"/>
        <v>2023.1</v>
      </c>
      <c r="B415" s="2165">
        <v>14500</v>
      </c>
      <c r="C415" s="2172">
        <v>161.1</v>
      </c>
      <c r="D415" s="342">
        <v>71.400000000000006</v>
      </c>
      <c r="E415" s="2176">
        <v>5700</v>
      </c>
      <c r="F415" s="2181">
        <v>52.7</v>
      </c>
      <c r="G415" s="2176">
        <v>7000</v>
      </c>
      <c r="H415" s="2186">
        <v>8615</v>
      </c>
      <c r="I415" s="342">
        <v>34.5</v>
      </c>
      <c r="J415" s="2176">
        <v>2500</v>
      </c>
      <c r="K415" s="2192">
        <v>2222</v>
      </c>
    </row>
    <row r="416" spans="1:11">
      <c r="A416" s="219">
        <f t="shared" si="3"/>
        <v>2023.11</v>
      </c>
      <c r="B416" s="2165">
        <v>15000</v>
      </c>
      <c r="C416" s="2172">
        <v>150.80000000000001</v>
      </c>
      <c r="D416" s="342">
        <v>75.400000000000006</v>
      </c>
      <c r="E416" s="2176">
        <v>6500</v>
      </c>
      <c r="F416" s="2181">
        <v>53.1</v>
      </c>
      <c r="G416" s="2176">
        <v>7500</v>
      </c>
      <c r="H416" s="2186">
        <v>8578</v>
      </c>
      <c r="I416" s="342">
        <v>37.700000000000003</v>
      </c>
      <c r="J416" s="2176">
        <v>2550</v>
      </c>
      <c r="K416" s="2192">
        <v>1944</v>
      </c>
    </row>
    <row r="417" spans="1:11">
      <c r="A417" s="219">
        <f t="shared" si="3"/>
        <v>2023.12</v>
      </c>
      <c r="B417" s="2165">
        <v>15000</v>
      </c>
      <c r="C417" s="2172">
        <v>135.1</v>
      </c>
      <c r="D417" s="342">
        <v>66.599999999999994</v>
      </c>
      <c r="E417" s="2176">
        <v>6500</v>
      </c>
      <c r="F417" s="2181">
        <v>51.7</v>
      </c>
      <c r="G417" s="2176">
        <v>7500</v>
      </c>
      <c r="H417" s="2186">
        <v>7163</v>
      </c>
      <c r="I417" s="342">
        <v>33.299999999999997</v>
      </c>
      <c r="J417" s="2176">
        <v>2550</v>
      </c>
      <c r="K417" s="2192">
        <v>1804</v>
      </c>
    </row>
    <row r="418" spans="1:11">
      <c r="A418" s="219">
        <f t="shared" si="3"/>
        <v>2024.01</v>
      </c>
      <c r="B418" s="2165">
        <v>15000</v>
      </c>
      <c r="C418" s="2172">
        <v>100.5</v>
      </c>
      <c r="D418" s="342">
        <v>57.8</v>
      </c>
      <c r="E418" s="2176">
        <v>6500</v>
      </c>
      <c r="F418" s="2181">
        <v>35.5</v>
      </c>
      <c r="G418" s="2176">
        <v>7500</v>
      </c>
      <c r="H418" s="2186">
        <v>5502</v>
      </c>
      <c r="I418" s="342">
        <v>28.9</v>
      </c>
      <c r="J418" s="2176">
        <v>2550</v>
      </c>
      <c r="K418" s="2192">
        <v>1585</v>
      </c>
    </row>
    <row r="419" spans="1:11">
      <c r="A419" s="219">
        <f t="shared" si="3"/>
        <v>2024.02</v>
      </c>
      <c r="B419" s="2165">
        <v>15000</v>
      </c>
      <c r="C419" s="2172">
        <v>115.7</v>
      </c>
      <c r="D419" s="342">
        <v>67.5</v>
      </c>
      <c r="E419" s="2176">
        <v>6500</v>
      </c>
      <c r="F419" s="2181">
        <v>42.4</v>
      </c>
      <c r="G419" s="2176">
        <v>7500</v>
      </c>
      <c r="H419" s="2186">
        <v>5432</v>
      </c>
      <c r="I419" s="342">
        <v>33.799999999999997</v>
      </c>
      <c r="J419" s="2176">
        <v>2550</v>
      </c>
      <c r="K419" s="2192">
        <v>1604</v>
      </c>
    </row>
    <row r="420" spans="1:11">
      <c r="A420" s="219">
        <f t="shared" ref="A420:A441" si="4">A408+1</f>
        <v>2024.03</v>
      </c>
      <c r="B420" s="2165">
        <v>15500</v>
      </c>
      <c r="C420" s="2172">
        <v>113</v>
      </c>
      <c r="D420" s="342">
        <v>65.599999999999994</v>
      </c>
      <c r="E420" s="2176">
        <v>6800</v>
      </c>
      <c r="F420" s="2181">
        <v>42.1</v>
      </c>
      <c r="G420" s="2176">
        <v>7700</v>
      </c>
      <c r="H420" s="2186">
        <v>4620</v>
      </c>
      <c r="I420" s="342">
        <v>32.6</v>
      </c>
      <c r="J420" s="2176">
        <v>2650</v>
      </c>
      <c r="K420" s="2192">
        <v>1294</v>
      </c>
    </row>
    <row r="421" spans="1:11">
      <c r="A421" s="219">
        <f t="shared" si="4"/>
        <v>2024.04</v>
      </c>
      <c r="B421" s="2165">
        <v>15500</v>
      </c>
      <c r="C421" s="2172">
        <v>108.4</v>
      </c>
      <c r="D421" s="342">
        <v>64.400000000000006</v>
      </c>
      <c r="E421" s="2176">
        <v>6800</v>
      </c>
      <c r="F421" s="2181">
        <v>40</v>
      </c>
      <c r="G421" s="2176">
        <v>7700</v>
      </c>
      <c r="H421" s="2186">
        <v>4422</v>
      </c>
      <c r="I421" s="342">
        <v>32</v>
      </c>
      <c r="J421" s="2176">
        <v>2650</v>
      </c>
      <c r="K421" s="2192">
        <v>1239</v>
      </c>
    </row>
    <row r="422" spans="1:11">
      <c r="A422" s="219">
        <f t="shared" si="4"/>
        <v>2024.05</v>
      </c>
      <c r="B422" s="2165">
        <v>16000</v>
      </c>
      <c r="C422" s="2172">
        <v>104</v>
      </c>
      <c r="D422" s="342">
        <v>65.3</v>
      </c>
      <c r="E422" s="2176">
        <v>7000</v>
      </c>
      <c r="F422" s="2181">
        <v>36.4</v>
      </c>
      <c r="G422" s="2176">
        <v>8000</v>
      </c>
      <c r="H422" s="2186">
        <v>4379</v>
      </c>
      <c r="I422" s="342">
        <v>32.6</v>
      </c>
      <c r="J422" s="2176">
        <v>2700</v>
      </c>
      <c r="K422" s="2192">
        <v>1337</v>
      </c>
    </row>
    <row r="423" spans="1:11">
      <c r="A423" s="219">
        <f t="shared" si="4"/>
        <v>2024.06</v>
      </c>
      <c r="B423" s="2165" t="e">
        <v>#N/A</v>
      </c>
      <c r="C423" s="2172" t="e">
        <v>#N/A</v>
      </c>
      <c r="D423" s="342" t="e">
        <v>#N/A</v>
      </c>
      <c r="E423" s="2176" t="e">
        <v>#N/A</v>
      </c>
      <c r="F423" s="2181" t="e">
        <v>#N/A</v>
      </c>
      <c r="G423" s="2176" t="e">
        <v>#N/A</v>
      </c>
      <c r="H423" s="2186" t="e">
        <v>#N/A</v>
      </c>
      <c r="I423" s="342" t="e">
        <v>#N/A</v>
      </c>
      <c r="J423" s="2176" t="e">
        <v>#N/A</v>
      </c>
      <c r="K423" s="2192" t="e">
        <v>#N/A</v>
      </c>
    </row>
    <row r="424" spans="1:11">
      <c r="A424" s="219">
        <f t="shared" si="4"/>
        <v>2024.07</v>
      </c>
      <c r="B424" s="2165" t="e">
        <v>#N/A</v>
      </c>
      <c r="C424" s="2172" t="e">
        <v>#N/A</v>
      </c>
      <c r="D424" s="342" t="e">
        <v>#N/A</v>
      </c>
      <c r="E424" s="2176" t="e">
        <v>#N/A</v>
      </c>
      <c r="F424" s="2181" t="e">
        <v>#N/A</v>
      </c>
      <c r="G424" s="2176" t="e">
        <v>#N/A</v>
      </c>
      <c r="H424" s="2186" t="e">
        <v>#N/A</v>
      </c>
      <c r="I424" s="342" t="e">
        <v>#N/A</v>
      </c>
      <c r="J424" s="2176" t="e">
        <v>#N/A</v>
      </c>
      <c r="K424" s="2192" t="e">
        <v>#N/A</v>
      </c>
    </row>
    <row r="425" spans="1:11">
      <c r="A425" s="219">
        <f t="shared" si="4"/>
        <v>2024.08</v>
      </c>
      <c r="B425" s="2165" t="e">
        <v>#N/A</v>
      </c>
      <c r="C425" s="2172" t="e">
        <v>#N/A</v>
      </c>
      <c r="D425" s="342" t="e">
        <v>#N/A</v>
      </c>
      <c r="E425" s="2176" t="e">
        <v>#N/A</v>
      </c>
      <c r="F425" s="2181" t="e">
        <v>#N/A</v>
      </c>
      <c r="G425" s="2176" t="e">
        <v>#N/A</v>
      </c>
      <c r="H425" s="2186" t="e">
        <v>#N/A</v>
      </c>
      <c r="I425" s="342" t="e">
        <v>#N/A</v>
      </c>
      <c r="J425" s="2176" t="e">
        <v>#N/A</v>
      </c>
      <c r="K425" s="2192" t="e">
        <v>#N/A</v>
      </c>
    </row>
    <row r="426" spans="1:11">
      <c r="A426" s="219">
        <f t="shared" si="4"/>
        <v>2024.09</v>
      </c>
      <c r="B426" s="2165" t="e">
        <v>#N/A</v>
      </c>
      <c r="C426" s="2172" t="e">
        <v>#N/A</v>
      </c>
      <c r="D426" s="342" t="e">
        <v>#N/A</v>
      </c>
      <c r="E426" s="2176" t="e">
        <v>#N/A</v>
      </c>
      <c r="F426" s="2181" t="e">
        <v>#N/A</v>
      </c>
      <c r="G426" s="2176" t="e">
        <v>#N/A</v>
      </c>
      <c r="H426" s="2186" t="e">
        <v>#N/A</v>
      </c>
      <c r="I426" s="342" t="e">
        <v>#N/A</v>
      </c>
      <c r="J426" s="2176" t="e">
        <v>#N/A</v>
      </c>
      <c r="K426" s="2192" t="e">
        <v>#N/A</v>
      </c>
    </row>
    <row r="427" spans="1:11">
      <c r="A427" s="219">
        <f t="shared" si="4"/>
        <v>2024.1</v>
      </c>
      <c r="B427" s="2165" t="e">
        <v>#N/A</v>
      </c>
      <c r="C427" s="2172" t="e">
        <v>#N/A</v>
      </c>
      <c r="D427" s="342" t="e">
        <v>#N/A</v>
      </c>
      <c r="E427" s="2176" t="e">
        <v>#N/A</v>
      </c>
      <c r="F427" s="2181" t="e">
        <v>#N/A</v>
      </c>
      <c r="G427" s="2176" t="e">
        <v>#N/A</v>
      </c>
      <c r="H427" s="2186" t="e">
        <v>#N/A</v>
      </c>
      <c r="I427" s="342" t="e">
        <v>#N/A</v>
      </c>
      <c r="J427" s="2176" t="e">
        <v>#N/A</v>
      </c>
      <c r="K427" s="2192" t="e">
        <v>#N/A</v>
      </c>
    </row>
    <row r="428" spans="1:11">
      <c r="A428" s="219">
        <f t="shared" si="4"/>
        <v>2024.11</v>
      </c>
      <c r="B428" s="2165" t="e">
        <v>#N/A</v>
      </c>
      <c r="C428" s="2172" t="e">
        <v>#N/A</v>
      </c>
      <c r="D428" s="342" t="e">
        <v>#N/A</v>
      </c>
      <c r="E428" s="2176" t="e">
        <v>#N/A</v>
      </c>
      <c r="F428" s="2181" t="e">
        <v>#N/A</v>
      </c>
      <c r="G428" s="2176" t="e">
        <v>#N/A</v>
      </c>
      <c r="H428" s="2186" t="e">
        <v>#N/A</v>
      </c>
      <c r="I428" s="342" t="e">
        <v>#N/A</v>
      </c>
      <c r="J428" s="2176" t="e">
        <v>#N/A</v>
      </c>
      <c r="K428" s="2192" t="e">
        <v>#N/A</v>
      </c>
    </row>
    <row r="429" spans="1:11">
      <c r="A429" s="219">
        <f t="shared" si="4"/>
        <v>2024.12</v>
      </c>
      <c r="B429" s="2165" t="e">
        <v>#N/A</v>
      </c>
      <c r="C429" s="2172" t="e">
        <v>#N/A</v>
      </c>
      <c r="D429" s="342" t="e">
        <v>#N/A</v>
      </c>
      <c r="E429" s="2176" t="e">
        <v>#N/A</v>
      </c>
      <c r="F429" s="2181" t="e">
        <v>#N/A</v>
      </c>
      <c r="G429" s="2176" t="e">
        <v>#N/A</v>
      </c>
      <c r="H429" s="2186" t="e">
        <v>#N/A</v>
      </c>
      <c r="I429" s="342" t="e">
        <v>#N/A</v>
      </c>
      <c r="J429" s="2176" t="e">
        <v>#N/A</v>
      </c>
      <c r="K429" s="2192" t="e">
        <v>#N/A</v>
      </c>
    </row>
    <row r="430" spans="1:11">
      <c r="A430" s="219">
        <f t="shared" si="4"/>
        <v>2025.01</v>
      </c>
      <c r="B430" s="2165" t="e">
        <v>#N/A</v>
      </c>
      <c r="C430" s="2172" t="e">
        <v>#N/A</v>
      </c>
      <c r="D430" s="342" t="e">
        <v>#N/A</v>
      </c>
      <c r="E430" s="2176" t="e">
        <v>#N/A</v>
      </c>
      <c r="F430" s="2181" t="e">
        <v>#N/A</v>
      </c>
      <c r="G430" s="2176" t="e">
        <v>#N/A</v>
      </c>
      <c r="H430" s="2186" t="e">
        <v>#N/A</v>
      </c>
      <c r="I430" s="342" t="e">
        <v>#N/A</v>
      </c>
      <c r="J430" s="2176" t="e">
        <v>#N/A</v>
      </c>
      <c r="K430" s="2192" t="e">
        <v>#N/A</v>
      </c>
    </row>
    <row r="431" spans="1:11">
      <c r="A431" s="219">
        <f t="shared" si="4"/>
        <v>2025.02</v>
      </c>
      <c r="B431" s="2165" t="e">
        <v>#N/A</v>
      </c>
      <c r="C431" s="2172" t="e">
        <v>#N/A</v>
      </c>
      <c r="D431" s="342" t="e">
        <v>#N/A</v>
      </c>
      <c r="E431" s="2176" t="e">
        <v>#N/A</v>
      </c>
      <c r="F431" s="2181" t="e">
        <v>#N/A</v>
      </c>
      <c r="G431" s="2176" t="e">
        <v>#N/A</v>
      </c>
      <c r="H431" s="2186" t="e">
        <v>#N/A</v>
      </c>
      <c r="I431" s="342" t="e">
        <v>#N/A</v>
      </c>
      <c r="J431" s="2176" t="e">
        <v>#N/A</v>
      </c>
      <c r="K431" s="2192" t="e">
        <v>#N/A</v>
      </c>
    </row>
    <row r="432" spans="1:11">
      <c r="A432" s="219">
        <f t="shared" si="4"/>
        <v>2025.03</v>
      </c>
      <c r="B432" s="2165" t="e">
        <v>#N/A</v>
      </c>
      <c r="C432" s="2172" t="e">
        <v>#N/A</v>
      </c>
      <c r="D432" s="342" t="e">
        <v>#N/A</v>
      </c>
      <c r="E432" s="2176" t="e">
        <v>#N/A</v>
      </c>
      <c r="F432" s="2181" t="e">
        <v>#N/A</v>
      </c>
      <c r="G432" s="2176" t="e">
        <v>#N/A</v>
      </c>
      <c r="H432" s="2186" t="e">
        <v>#N/A</v>
      </c>
      <c r="I432" s="342" t="e">
        <v>#N/A</v>
      </c>
      <c r="J432" s="2176" t="e">
        <v>#N/A</v>
      </c>
      <c r="K432" s="2192" t="e">
        <v>#N/A</v>
      </c>
    </row>
    <row r="433" spans="1:11">
      <c r="A433" s="219">
        <f t="shared" si="4"/>
        <v>2025.04</v>
      </c>
      <c r="B433" s="2165" t="e">
        <v>#N/A</v>
      </c>
      <c r="C433" s="2172" t="e">
        <v>#N/A</v>
      </c>
      <c r="D433" s="342" t="e">
        <v>#N/A</v>
      </c>
      <c r="E433" s="2176" t="e">
        <v>#N/A</v>
      </c>
      <c r="F433" s="2181" t="e">
        <v>#N/A</v>
      </c>
      <c r="G433" s="2176" t="e">
        <v>#N/A</v>
      </c>
      <c r="H433" s="2186" t="e">
        <v>#N/A</v>
      </c>
      <c r="I433" s="342" t="e">
        <v>#N/A</v>
      </c>
      <c r="J433" s="2176" t="e">
        <v>#N/A</v>
      </c>
      <c r="K433" s="2192" t="e">
        <v>#N/A</v>
      </c>
    </row>
    <row r="434" spans="1:11">
      <c r="A434" s="219">
        <f t="shared" si="4"/>
        <v>2025.05</v>
      </c>
      <c r="B434" s="2165" t="e">
        <v>#N/A</v>
      </c>
      <c r="C434" s="2172" t="e">
        <v>#N/A</v>
      </c>
      <c r="D434" s="342" t="e">
        <v>#N/A</v>
      </c>
      <c r="E434" s="2176" t="e">
        <v>#N/A</v>
      </c>
      <c r="F434" s="2181" t="e">
        <v>#N/A</v>
      </c>
      <c r="G434" s="2176" t="e">
        <v>#N/A</v>
      </c>
      <c r="H434" s="2186" t="e">
        <v>#N/A</v>
      </c>
      <c r="I434" s="342" t="e">
        <v>#N/A</v>
      </c>
      <c r="J434" s="2176" t="e">
        <v>#N/A</v>
      </c>
      <c r="K434" s="2192" t="e">
        <v>#N/A</v>
      </c>
    </row>
    <row r="435" spans="1:11">
      <c r="A435" s="219">
        <f t="shared" si="4"/>
        <v>2025.06</v>
      </c>
      <c r="B435" s="2165" t="e">
        <v>#N/A</v>
      </c>
      <c r="C435" s="2172" t="e">
        <v>#N/A</v>
      </c>
      <c r="D435" s="342" t="e">
        <v>#N/A</v>
      </c>
      <c r="E435" s="2176" t="e">
        <v>#N/A</v>
      </c>
      <c r="F435" s="2181" t="e">
        <v>#N/A</v>
      </c>
      <c r="G435" s="2176" t="e">
        <v>#N/A</v>
      </c>
      <c r="H435" s="2186" t="e">
        <v>#N/A</v>
      </c>
      <c r="I435" s="342" t="e">
        <v>#N/A</v>
      </c>
      <c r="J435" s="2176" t="e">
        <v>#N/A</v>
      </c>
      <c r="K435" s="2192" t="e">
        <v>#N/A</v>
      </c>
    </row>
    <row r="436" spans="1:11">
      <c r="A436" s="219">
        <f t="shared" si="4"/>
        <v>2025.07</v>
      </c>
      <c r="B436" s="2165" t="e">
        <v>#N/A</v>
      </c>
      <c r="C436" s="2172" t="e">
        <v>#N/A</v>
      </c>
      <c r="D436" s="342" t="e">
        <v>#N/A</v>
      </c>
      <c r="E436" s="2176" t="e">
        <v>#N/A</v>
      </c>
      <c r="F436" s="2181" t="e">
        <v>#N/A</v>
      </c>
      <c r="G436" s="2176" t="e">
        <v>#N/A</v>
      </c>
      <c r="H436" s="2186" t="e">
        <v>#N/A</v>
      </c>
      <c r="I436" s="342" t="e">
        <v>#N/A</v>
      </c>
      <c r="J436" s="2176" t="e">
        <v>#N/A</v>
      </c>
      <c r="K436" s="2192" t="e">
        <v>#N/A</v>
      </c>
    </row>
    <row r="437" spans="1:11">
      <c r="A437" s="219">
        <f t="shared" si="4"/>
        <v>2025.08</v>
      </c>
      <c r="B437" s="2165" t="e">
        <v>#N/A</v>
      </c>
      <c r="C437" s="2172" t="e">
        <v>#N/A</v>
      </c>
      <c r="D437" s="342" t="e">
        <v>#N/A</v>
      </c>
      <c r="E437" s="2176" t="e">
        <v>#N/A</v>
      </c>
      <c r="F437" s="2181" t="e">
        <v>#N/A</v>
      </c>
      <c r="G437" s="2176" t="e">
        <v>#N/A</v>
      </c>
      <c r="H437" s="2186" t="e">
        <v>#N/A</v>
      </c>
      <c r="I437" s="342" t="e">
        <v>#N/A</v>
      </c>
      <c r="J437" s="2176" t="e">
        <v>#N/A</v>
      </c>
      <c r="K437" s="2192" t="e">
        <v>#N/A</v>
      </c>
    </row>
    <row r="438" spans="1:11">
      <c r="A438" s="219">
        <f t="shared" si="4"/>
        <v>2025.09</v>
      </c>
      <c r="B438" s="2165" t="e">
        <v>#N/A</v>
      </c>
      <c r="C438" s="2172" t="e">
        <v>#N/A</v>
      </c>
      <c r="D438" s="342" t="e">
        <v>#N/A</v>
      </c>
      <c r="E438" s="2176" t="e">
        <v>#N/A</v>
      </c>
      <c r="F438" s="2181" t="e">
        <v>#N/A</v>
      </c>
      <c r="G438" s="2176" t="e">
        <v>#N/A</v>
      </c>
      <c r="H438" s="2186" t="e">
        <v>#N/A</v>
      </c>
      <c r="I438" s="342" t="e">
        <v>#N/A</v>
      </c>
      <c r="J438" s="2176" t="e">
        <v>#N/A</v>
      </c>
      <c r="K438" s="2192" t="e">
        <v>#N/A</v>
      </c>
    </row>
    <row r="439" spans="1:11">
      <c r="A439" s="219">
        <f t="shared" si="4"/>
        <v>2025.1</v>
      </c>
      <c r="B439" s="2165" t="e">
        <v>#N/A</v>
      </c>
      <c r="C439" s="2172" t="e">
        <v>#N/A</v>
      </c>
      <c r="D439" s="342" t="e">
        <v>#N/A</v>
      </c>
      <c r="E439" s="2176" t="e">
        <v>#N/A</v>
      </c>
      <c r="F439" s="2181" t="e">
        <v>#N/A</v>
      </c>
      <c r="G439" s="2176" t="e">
        <v>#N/A</v>
      </c>
      <c r="H439" s="2186" t="e">
        <v>#N/A</v>
      </c>
      <c r="I439" s="342" t="e">
        <v>#N/A</v>
      </c>
      <c r="J439" s="2176" t="e">
        <v>#N/A</v>
      </c>
      <c r="K439" s="2192" t="e">
        <v>#N/A</v>
      </c>
    </row>
    <row r="440" spans="1:11">
      <c r="A440" s="219">
        <f t="shared" si="4"/>
        <v>2025.11</v>
      </c>
      <c r="B440" s="2165" t="e">
        <v>#N/A</v>
      </c>
      <c r="C440" s="2172" t="e">
        <v>#N/A</v>
      </c>
      <c r="D440" s="342" t="e">
        <v>#N/A</v>
      </c>
      <c r="E440" s="2176" t="e">
        <v>#N/A</v>
      </c>
      <c r="F440" s="2181" t="e">
        <v>#N/A</v>
      </c>
      <c r="G440" s="2176" t="e">
        <v>#N/A</v>
      </c>
      <c r="H440" s="2186" t="e">
        <v>#N/A</v>
      </c>
      <c r="I440" s="342" t="e">
        <v>#N/A</v>
      </c>
      <c r="J440" s="2176" t="e">
        <v>#N/A</v>
      </c>
      <c r="K440" s="2192" t="e">
        <v>#N/A</v>
      </c>
    </row>
    <row r="441" spans="1:11">
      <c r="A441" s="219">
        <f t="shared" si="4"/>
        <v>2025.12</v>
      </c>
      <c r="B441" s="2165" t="e">
        <v>#N/A</v>
      </c>
      <c r="C441" s="2172" t="e">
        <v>#N/A</v>
      </c>
      <c r="D441" s="342" t="e">
        <v>#N/A</v>
      </c>
      <c r="E441" s="2176" t="e">
        <v>#N/A</v>
      </c>
      <c r="F441" s="2181" t="e">
        <v>#N/A</v>
      </c>
      <c r="G441" s="2176" t="e">
        <v>#N/A</v>
      </c>
      <c r="H441" s="2186" t="e">
        <v>#N/A</v>
      </c>
      <c r="I441" s="342" t="e">
        <v>#N/A</v>
      </c>
      <c r="J441" s="2176" t="e">
        <v>#N/A</v>
      </c>
      <c r="K441" s="2192" t="e">
        <v>#N/A</v>
      </c>
    </row>
    <row r="442" spans="1:11">
      <c r="A442" s="2765">
        <v>2026.01</v>
      </c>
      <c r="B442" s="2165" t="e">
        <v>#N/A</v>
      </c>
      <c r="C442" s="2172" t="e">
        <v>#N/A</v>
      </c>
      <c r="D442" s="342" t="e">
        <v>#N/A</v>
      </c>
      <c r="E442" s="2176" t="e">
        <v>#N/A</v>
      </c>
      <c r="F442" s="2181" t="e">
        <v>#N/A</v>
      </c>
      <c r="G442" s="2176" t="e">
        <v>#N/A</v>
      </c>
      <c r="H442" s="2186" t="e">
        <v>#N/A</v>
      </c>
      <c r="I442" s="342" t="e">
        <v>#N/A</v>
      </c>
      <c r="J442" s="2176" t="e">
        <v>#N/A</v>
      </c>
      <c r="K442" s="2192" t="e">
        <v>#N/A</v>
      </c>
    </row>
    <row r="443" spans="1:11">
      <c r="A443" s="2765">
        <v>2026.02</v>
      </c>
      <c r="B443" s="2165" t="e">
        <v>#N/A</v>
      </c>
      <c r="C443" s="2172" t="e">
        <v>#N/A</v>
      </c>
      <c r="D443" s="342" t="e">
        <v>#N/A</v>
      </c>
      <c r="E443" s="2176" t="e">
        <v>#N/A</v>
      </c>
      <c r="F443" s="2181" t="e">
        <v>#N/A</v>
      </c>
      <c r="G443" s="2176" t="e">
        <v>#N/A</v>
      </c>
      <c r="H443" s="2186" t="e">
        <v>#N/A</v>
      </c>
      <c r="I443" s="342" t="e">
        <v>#N/A</v>
      </c>
      <c r="J443" s="2176" t="e">
        <v>#N/A</v>
      </c>
      <c r="K443" s="2192" t="e">
        <v>#N/A</v>
      </c>
    </row>
    <row r="444" spans="1:11">
      <c r="A444" s="2765">
        <v>2026.03</v>
      </c>
      <c r="B444" s="2165" t="e">
        <v>#N/A</v>
      </c>
      <c r="C444" s="2172" t="e">
        <v>#N/A</v>
      </c>
      <c r="D444" s="342" t="e">
        <v>#N/A</v>
      </c>
      <c r="E444" s="2176" t="e">
        <v>#N/A</v>
      </c>
      <c r="F444" s="2181" t="e">
        <v>#N/A</v>
      </c>
      <c r="G444" s="2176" t="e">
        <v>#N/A</v>
      </c>
      <c r="H444" s="2186" t="e">
        <v>#N/A</v>
      </c>
      <c r="I444" s="342" t="e">
        <v>#N/A</v>
      </c>
      <c r="J444" s="2176" t="e">
        <v>#N/A</v>
      </c>
      <c r="K444" s="2192" t="e">
        <v>#N/A</v>
      </c>
    </row>
    <row r="445" spans="1:11">
      <c r="A445" s="2765">
        <v>2026.04</v>
      </c>
      <c r="B445" s="2165" t="e">
        <v>#N/A</v>
      </c>
      <c r="C445" s="2172" t="e">
        <v>#N/A</v>
      </c>
      <c r="D445" s="342" t="e">
        <v>#N/A</v>
      </c>
      <c r="E445" s="2176" t="e">
        <v>#N/A</v>
      </c>
      <c r="F445" s="2181" t="e">
        <v>#N/A</v>
      </c>
      <c r="G445" s="2176" t="e">
        <v>#N/A</v>
      </c>
      <c r="H445" s="2186" t="e">
        <v>#N/A</v>
      </c>
      <c r="I445" s="342" t="e">
        <v>#N/A</v>
      </c>
      <c r="J445" s="2176" t="e">
        <v>#N/A</v>
      </c>
      <c r="K445" s="2192" t="e">
        <v>#N/A</v>
      </c>
    </row>
    <row r="446" spans="1:11">
      <c r="A446" s="2765">
        <v>2026.05</v>
      </c>
      <c r="B446" s="2165" t="e">
        <v>#N/A</v>
      </c>
      <c r="C446" s="2172" t="e">
        <v>#N/A</v>
      </c>
      <c r="D446" s="342" t="e">
        <v>#N/A</v>
      </c>
      <c r="E446" s="2176" t="e">
        <v>#N/A</v>
      </c>
      <c r="F446" s="2181" t="e">
        <v>#N/A</v>
      </c>
      <c r="G446" s="2176" t="e">
        <v>#N/A</v>
      </c>
      <c r="H446" s="2186" t="e">
        <v>#N/A</v>
      </c>
      <c r="I446" s="342" t="e">
        <v>#N/A</v>
      </c>
      <c r="J446" s="2176" t="e">
        <v>#N/A</v>
      </c>
      <c r="K446" s="2192" t="e">
        <v>#N/A</v>
      </c>
    </row>
    <row r="447" spans="1:11">
      <c r="A447" s="2765">
        <v>2026.06</v>
      </c>
      <c r="B447" s="2165" t="e">
        <v>#N/A</v>
      </c>
      <c r="C447" s="2172" t="e">
        <v>#N/A</v>
      </c>
      <c r="D447" s="342" t="e">
        <v>#N/A</v>
      </c>
      <c r="E447" s="2176" t="e">
        <v>#N/A</v>
      </c>
      <c r="F447" s="2181" t="e">
        <v>#N/A</v>
      </c>
      <c r="G447" s="2176" t="e">
        <v>#N/A</v>
      </c>
      <c r="H447" s="2186" t="e">
        <v>#N/A</v>
      </c>
      <c r="I447" s="342" t="e">
        <v>#N/A</v>
      </c>
      <c r="J447" s="2176" t="e">
        <v>#N/A</v>
      </c>
      <c r="K447" s="2192" t="e">
        <v>#N/A</v>
      </c>
    </row>
    <row r="448" spans="1:11">
      <c r="A448" s="2765">
        <v>2026.07</v>
      </c>
      <c r="B448" s="2165" t="e">
        <v>#N/A</v>
      </c>
      <c r="C448" s="2172" t="e">
        <v>#N/A</v>
      </c>
      <c r="D448" s="342" t="e">
        <v>#N/A</v>
      </c>
      <c r="E448" s="2176" t="e">
        <v>#N/A</v>
      </c>
      <c r="F448" s="2181" t="e">
        <v>#N/A</v>
      </c>
      <c r="G448" s="2176" t="e">
        <v>#N/A</v>
      </c>
      <c r="H448" s="2186" t="e">
        <v>#N/A</v>
      </c>
      <c r="I448" s="342" t="e">
        <v>#N/A</v>
      </c>
      <c r="J448" s="2176" t="e">
        <v>#N/A</v>
      </c>
      <c r="K448" s="2192" t="e">
        <v>#N/A</v>
      </c>
    </row>
    <row r="449" spans="1:11">
      <c r="A449" s="2765">
        <v>2026.08</v>
      </c>
      <c r="B449" s="2165" t="e">
        <v>#N/A</v>
      </c>
      <c r="C449" s="2172" t="e">
        <v>#N/A</v>
      </c>
      <c r="D449" s="342" t="e">
        <v>#N/A</v>
      </c>
      <c r="E449" s="2176" t="e">
        <v>#N/A</v>
      </c>
      <c r="F449" s="2181" t="e">
        <v>#N/A</v>
      </c>
      <c r="G449" s="2176" t="e">
        <v>#N/A</v>
      </c>
      <c r="H449" s="2186" t="e">
        <v>#N/A</v>
      </c>
      <c r="I449" s="342" t="e">
        <v>#N/A</v>
      </c>
      <c r="J449" s="2176" t="e">
        <v>#N/A</v>
      </c>
      <c r="K449" s="2192" t="e">
        <v>#N/A</v>
      </c>
    </row>
    <row r="450" spans="1:11">
      <c r="A450" s="2765">
        <v>2026.09</v>
      </c>
      <c r="B450" s="2165" t="e">
        <v>#N/A</v>
      </c>
      <c r="C450" s="2172" t="e">
        <v>#N/A</v>
      </c>
      <c r="D450" s="342" t="e">
        <v>#N/A</v>
      </c>
      <c r="E450" s="2176" t="e">
        <v>#N/A</v>
      </c>
      <c r="F450" s="2181" t="e">
        <v>#N/A</v>
      </c>
      <c r="G450" s="2176" t="e">
        <v>#N/A</v>
      </c>
      <c r="H450" s="2186" t="e">
        <v>#N/A</v>
      </c>
      <c r="I450" s="342" t="e">
        <v>#N/A</v>
      </c>
      <c r="J450" s="2176" t="e">
        <v>#N/A</v>
      </c>
      <c r="K450" s="2192" t="e">
        <v>#N/A</v>
      </c>
    </row>
    <row r="451" spans="1:11">
      <c r="A451" s="2765">
        <v>2026.1</v>
      </c>
      <c r="B451" s="2165" t="e">
        <v>#N/A</v>
      </c>
      <c r="C451" s="2172" t="e">
        <v>#N/A</v>
      </c>
      <c r="D451" s="342" t="e">
        <v>#N/A</v>
      </c>
      <c r="E451" s="2176" t="e">
        <v>#N/A</v>
      </c>
      <c r="F451" s="2181" t="e">
        <v>#N/A</v>
      </c>
      <c r="G451" s="2176" t="e">
        <v>#N/A</v>
      </c>
      <c r="H451" s="2186" t="e">
        <v>#N/A</v>
      </c>
      <c r="I451" s="342" t="e">
        <v>#N/A</v>
      </c>
      <c r="J451" s="2176" t="e">
        <v>#N/A</v>
      </c>
      <c r="K451" s="2192" t="e">
        <v>#N/A</v>
      </c>
    </row>
    <row r="452" spans="1:11">
      <c r="A452" s="2765">
        <v>2026.11</v>
      </c>
      <c r="B452" s="2165" t="e">
        <v>#N/A</v>
      </c>
      <c r="C452" s="2172" t="e">
        <v>#N/A</v>
      </c>
      <c r="D452" s="342" t="e">
        <v>#N/A</v>
      </c>
      <c r="E452" s="2176" t="e">
        <v>#N/A</v>
      </c>
      <c r="F452" s="2181" t="e">
        <v>#N/A</v>
      </c>
      <c r="G452" s="2176" t="e">
        <v>#N/A</v>
      </c>
      <c r="H452" s="2186" t="e">
        <v>#N/A</v>
      </c>
      <c r="I452" s="342" t="e">
        <v>#N/A</v>
      </c>
      <c r="J452" s="2176" t="e">
        <v>#N/A</v>
      </c>
      <c r="K452" s="2192" t="e">
        <v>#N/A</v>
      </c>
    </row>
    <row r="453" spans="1:11">
      <c r="A453" s="2765">
        <v>2026.12</v>
      </c>
      <c r="B453" s="2165" t="e">
        <v>#N/A</v>
      </c>
      <c r="C453" s="2172" t="e">
        <v>#N/A</v>
      </c>
      <c r="D453" s="342" t="e">
        <v>#N/A</v>
      </c>
      <c r="E453" s="2176" t="e">
        <v>#N/A</v>
      </c>
      <c r="F453" s="2181" t="e">
        <v>#N/A</v>
      </c>
      <c r="G453" s="2176" t="e">
        <v>#N/A</v>
      </c>
      <c r="H453" s="2186" t="e">
        <v>#N/A</v>
      </c>
      <c r="I453" s="342" t="e">
        <v>#N/A</v>
      </c>
      <c r="J453" s="2176" t="e">
        <v>#N/A</v>
      </c>
      <c r="K453" s="2192" t="e">
        <v>#N/A</v>
      </c>
    </row>
    <row r="454" spans="1:11">
      <c r="A454" s="2765">
        <v>2027.01</v>
      </c>
      <c r="B454" s="2165" t="e">
        <v>#N/A</v>
      </c>
      <c r="C454" s="2172" t="e">
        <v>#N/A</v>
      </c>
      <c r="D454" s="342" t="e">
        <v>#N/A</v>
      </c>
      <c r="E454" s="2176" t="e">
        <v>#N/A</v>
      </c>
      <c r="F454" s="2181" t="e">
        <v>#N/A</v>
      </c>
      <c r="G454" s="2176" t="e">
        <v>#N/A</v>
      </c>
      <c r="H454" s="2186" t="e">
        <v>#N/A</v>
      </c>
      <c r="I454" s="342" t="e">
        <v>#N/A</v>
      </c>
      <c r="J454" s="2176" t="e">
        <v>#N/A</v>
      </c>
      <c r="K454" s="2192" t="e">
        <v>#N/A</v>
      </c>
    </row>
    <row r="455" spans="1:11">
      <c r="A455" s="2765">
        <v>2027.02</v>
      </c>
      <c r="B455" s="2165" t="e">
        <v>#N/A</v>
      </c>
      <c r="C455" s="2172" t="e">
        <v>#N/A</v>
      </c>
      <c r="D455" s="342" t="e">
        <v>#N/A</v>
      </c>
      <c r="E455" s="2176" t="e">
        <v>#N/A</v>
      </c>
      <c r="F455" s="2181" t="e">
        <v>#N/A</v>
      </c>
      <c r="G455" s="2176" t="e">
        <v>#N/A</v>
      </c>
      <c r="H455" s="2186" t="e">
        <v>#N/A</v>
      </c>
      <c r="I455" s="342" t="e">
        <v>#N/A</v>
      </c>
      <c r="J455" s="2176" t="e">
        <v>#N/A</v>
      </c>
      <c r="K455" s="2192" t="e">
        <v>#N/A</v>
      </c>
    </row>
    <row r="456" spans="1:11">
      <c r="A456" s="2765">
        <v>2027.03</v>
      </c>
      <c r="B456" s="2165" t="e">
        <v>#N/A</v>
      </c>
      <c r="C456" s="2172" t="e">
        <v>#N/A</v>
      </c>
      <c r="D456" s="342" t="e">
        <v>#N/A</v>
      </c>
      <c r="E456" s="2176" t="e">
        <v>#N/A</v>
      </c>
      <c r="F456" s="2181" t="e">
        <v>#N/A</v>
      </c>
      <c r="G456" s="2176" t="e">
        <v>#N/A</v>
      </c>
      <c r="H456" s="2186" t="e">
        <v>#N/A</v>
      </c>
      <c r="I456" s="342" t="e">
        <v>#N/A</v>
      </c>
      <c r="J456" s="2176" t="e">
        <v>#N/A</v>
      </c>
      <c r="K456" s="2192" t="e">
        <v>#N/A</v>
      </c>
    </row>
    <row r="457" spans="1:11">
      <c r="A457" s="2765">
        <v>2027.04</v>
      </c>
      <c r="B457" s="2165" t="e">
        <v>#N/A</v>
      </c>
      <c r="C457" s="2172" t="e">
        <v>#N/A</v>
      </c>
      <c r="D457" s="342" t="e">
        <v>#N/A</v>
      </c>
      <c r="E457" s="2176" t="e">
        <v>#N/A</v>
      </c>
      <c r="F457" s="2181" t="e">
        <v>#N/A</v>
      </c>
      <c r="G457" s="2176" t="e">
        <v>#N/A</v>
      </c>
      <c r="H457" s="2186" t="e">
        <v>#N/A</v>
      </c>
      <c r="I457" s="342" t="e">
        <v>#N/A</v>
      </c>
      <c r="J457" s="2176" t="e">
        <v>#N/A</v>
      </c>
      <c r="K457" s="2192" t="e">
        <v>#N/A</v>
      </c>
    </row>
    <row r="458" spans="1:11">
      <c r="A458" s="2765">
        <v>2027.05</v>
      </c>
      <c r="B458" s="2165" t="e">
        <v>#N/A</v>
      </c>
      <c r="C458" s="2172" t="e">
        <v>#N/A</v>
      </c>
      <c r="D458" s="342" t="e">
        <v>#N/A</v>
      </c>
      <c r="E458" s="2176" t="e">
        <v>#N/A</v>
      </c>
      <c r="F458" s="2181" t="e">
        <v>#N/A</v>
      </c>
      <c r="G458" s="2176" t="e">
        <v>#N/A</v>
      </c>
      <c r="H458" s="2186" t="e">
        <v>#N/A</v>
      </c>
      <c r="I458" s="342" t="e">
        <v>#N/A</v>
      </c>
      <c r="J458" s="2176" t="e">
        <v>#N/A</v>
      </c>
      <c r="K458" s="2192" t="e">
        <v>#N/A</v>
      </c>
    </row>
    <row r="459" spans="1:11">
      <c r="A459" s="2765">
        <v>2027.06</v>
      </c>
      <c r="B459" s="2165" t="e">
        <v>#N/A</v>
      </c>
      <c r="C459" s="2172" t="e">
        <v>#N/A</v>
      </c>
      <c r="D459" s="342" t="e">
        <v>#N/A</v>
      </c>
      <c r="E459" s="2176" t="e">
        <v>#N/A</v>
      </c>
      <c r="F459" s="2181" t="e">
        <v>#N/A</v>
      </c>
      <c r="G459" s="2176" t="e">
        <v>#N/A</v>
      </c>
      <c r="H459" s="2186" t="e">
        <v>#N/A</v>
      </c>
      <c r="I459" s="342" t="e">
        <v>#N/A</v>
      </c>
      <c r="J459" s="2176" t="e">
        <v>#N/A</v>
      </c>
      <c r="K459" s="2192" t="e">
        <v>#N/A</v>
      </c>
    </row>
    <row r="460" spans="1:11">
      <c r="A460" s="2765">
        <v>2027.07</v>
      </c>
      <c r="B460" s="2165" t="e">
        <v>#N/A</v>
      </c>
      <c r="C460" s="2172" t="e">
        <v>#N/A</v>
      </c>
      <c r="D460" s="342" t="e">
        <v>#N/A</v>
      </c>
      <c r="E460" s="2176" t="e">
        <v>#N/A</v>
      </c>
      <c r="F460" s="2181" t="e">
        <v>#N/A</v>
      </c>
      <c r="G460" s="2176" t="e">
        <v>#N/A</v>
      </c>
      <c r="H460" s="2186" t="e">
        <v>#N/A</v>
      </c>
      <c r="I460" s="342" t="e">
        <v>#N/A</v>
      </c>
      <c r="J460" s="2176" t="e">
        <v>#N/A</v>
      </c>
      <c r="K460" s="2192" t="e">
        <v>#N/A</v>
      </c>
    </row>
    <row r="461" spans="1:11">
      <c r="A461" s="2765">
        <v>2027.08</v>
      </c>
      <c r="B461" s="2165" t="e">
        <v>#N/A</v>
      </c>
      <c r="C461" s="2172" t="e">
        <v>#N/A</v>
      </c>
      <c r="D461" s="342" t="e">
        <v>#N/A</v>
      </c>
      <c r="E461" s="2176" t="e">
        <v>#N/A</v>
      </c>
      <c r="F461" s="2181" t="e">
        <v>#N/A</v>
      </c>
      <c r="G461" s="2176" t="e">
        <v>#N/A</v>
      </c>
      <c r="H461" s="2186" t="e">
        <v>#N/A</v>
      </c>
      <c r="I461" s="342" t="e">
        <v>#N/A</v>
      </c>
      <c r="J461" s="2176" t="e">
        <v>#N/A</v>
      </c>
      <c r="K461" s="2192" t="e">
        <v>#N/A</v>
      </c>
    </row>
    <row r="462" spans="1:11">
      <c r="A462" s="2765">
        <v>2027.09</v>
      </c>
      <c r="B462" s="2165" t="e">
        <v>#N/A</v>
      </c>
      <c r="C462" s="2172" t="e">
        <v>#N/A</v>
      </c>
      <c r="D462" s="342" t="e">
        <v>#N/A</v>
      </c>
      <c r="E462" s="2176" t="e">
        <v>#N/A</v>
      </c>
      <c r="F462" s="2181" t="e">
        <v>#N/A</v>
      </c>
      <c r="G462" s="2176" t="e">
        <v>#N/A</v>
      </c>
      <c r="H462" s="2186" t="e">
        <v>#N/A</v>
      </c>
      <c r="I462" s="342" t="e">
        <v>#N/A</v>
      </c>
      <c r="J462" s="2176" t="e">
        <v>#N/A</v>
      </c>
      <c r="K462" s="2192" t="e">
        <v>#N/A</v>
      </c>
    </row>
    <row r="463" spans="1:11">
      <c r="A463" s="2765">
        <v>2027.1</v>
      </c>
      <c r="B463" s="2165" t="e">
        <v>#N/A</v>
      </c>
      <c r="C463" s="2172" t="e">
        <v>#N/A</v>
      </c>
      <c r="D463" s="342" t="e">
        <v>#N/A</v>
      </c>
      <c r="E463" s="2176" t="e">
        <v>#N/A</v>
      </c>
      <c r="F463" s="2181" t="e">
        <v>#N/A</v>
      </c>
      <c r="G463" s="2176" t="e">
        <v>#N/A</v>
      </c>
      <c r="H463" s="2186" t="e">
        <v>#N/A</v>
      </c>
      <c r="I463" s="342" t="e">
        <v>#N/A</v>
      </c>
      <c r="J463" s="2176" t="e">
        <v>#N/A</v>
      </c>
      <c r="K463" s="2192" t="e">
        <v>#N/A</v>
      </c>
    </row>
    <row r="464" spans="1:11">
      <c r="A464" s="2765">
        <v>2027.11</v>
      </c>
      <c r="B464" s="2165" t="e">
        <v>#N/A</v>
      </c>
      <c r="C464" s="2172" t="e">
        <v>#N/A</v>
      </c>
      <c r="D464" s="342" t="e">
        <v>#N/A</v>
      </c>
      <c r="E464" s="2176" t="e">
        <v>#N/A</v>
      </c>
      <c r="F464" s="2181" t="e">
        <v>#N/A</v>
      </c>
      <c r="G464" s="2176" t="e">
        <v>#N/A</v>
      </c>
      <c r="H464" s="2186" t="e">
        <v>#N/A</v>
      </c>
      <c r="I464" s="342" t="e">
        <v>#N/A</v>
      </c>
      <c r="J464" s="2176" t="e">
        <v>#N/A</v>
      </c>
      <c r="K464" s="2192" t="e">
        <v>#N/A</v>
      </c>
    </row>
    <row r="465" spans="1:11">
      <c r="A465" s="2765">
        <v>2027.12</v>
      </c>
      <c r="B465" s="2165" t="e">
        <v>#N/A</v>
      </c>
      <c r="C465" s="2172" t="e">
        <v>#N/A</v>
      </c>
      <c r="D465" s="342" t="e">
        <v>#N/A</v>
      </c>
      <c r="E465" s="2176" t="e">
        <v>#N/A</v>
      </c>
      <c r="F465" s="2181" t="e">
        <v>#N/A</v>
      </c>
      <c r="G465" s="2176" t="e">
        <v>#N/A</v>
      </c>
      <c r="H465" s="2186" t="e">
        <v>#N/A</v>
      </c>
      <c r="I465" s="342" t="e">
        <v>#N/A</v>
      </c>
      <c r="J465" s="2176" t="e">
        <v>#N/A</v>
      </c>
      <c r="K465" s="2192" t="e">
        <v>#N/A</v>
      </c>
    </row>
    <row r="466" spans="1:11">
      <c r="A466" s="2765">
        <v>2028.01</v>
      </c>
      <c r="B466" s="2165" t="e">
        <v>#N/A</v>
      </c>
      <c r="C466" s="2172" t="e">
        <v>#N/A</v>
      </c>
      <c r="D466" s="342" t="e">
        <v>#N/A</v>
      </c>
      <c r="E466" s="2176" t="e">
        <v>#N/A</v>
      </c>
      <c r="F466" s="2181" t="e">
        <v>#N/A</v>
      </c>
      <c r="G466" s="2176" t="e">
        <v>#N/A</v>
      </c>
      <c r="H466" s="2186" t="e">
        <v>#N/A</v>
      </c>
      <c r="I466" s="342" t="e">
        <v>#N/A</v>
      </c>
      <c r="J466" s="2176" t="e">
        <v>#N/A</v>
      </c>
      <c r="K466" s="2192" t="e">
        <v>#N/A</v>
      </c>
    </row>
    <row r="467" spans="1:11">
      <c r="A467" s="2765">
        <v>2028.02</v>
      </c>
      <c r="B467" s="2165" t="e">
        <v>#N/A</v>
      </c>
      <c r="C467" s="2172" t="e">
        <v>#N/A</v>
      </c>
      <c r="D467" s="342" t="e">
        <v>#N/A</v>
      </c>
      <c r="E467" s="2176" t="e">
        <v>#N/A</v>
      </c>
      <c r="F467" s="2181" t="e">
        <v>#N/A</v>
      </c>
      <c r="G467" s="2176" t="e">
        <v>#N/A</v>
      </c>
      <c r="H467" s="2186" t="e">
        <v>#N/A</v>
      </c>
      <c r="I467" s="342" t="e">
        <v>#N/A</v>
      </c>
      <c r="J467" s="2176" t="e">
        <v>#N/A</v>
      </c>
      <c r="K467" s="2192" t="e">
        <v>#N/A</v>
      </c>
    </row>
    <row r="468" spans="1:11">
      <c r="A468" s="2765">
        <v>2028.03</v>
      </c>
      <c r="B468" s="2165" t="e">
        <v>#N/A</v>
      </c>
      <c r="C468" s="2172" t="e">
        <v>#N/A</v>
      </c>
      <c r="D468" s="342" t="e">
        <v>#N/A</v>
      </c>
      <c r="E468" s="2176" t="e">
        <v>#N/A</v>
      </c>
      <c r="F468" s="2181" t="e">
        <v>#N/A</v>
      </c>
      <c r="G468" s="2176" t="e">
        <v>#N/A</v>
      </c>
      <c r="H468" s="2186" t="e">
        <v>#N/A</v>
      </c>
      <c r="I468" s="342" t="e">
        <v>#N/A</v>
      </c>
      <c r="J468" s="2176" t="e">
        <v>#N/A</v>
      </c>
      <c r="K468" s="2192" t="e">
        <v>#N/A</v>
      </c>
    </row>
    <row r="469" spans="1:11">
      <c r="A469" s="2765">
        <v>2028.04</v>
      </c>
      <c r="B469" s="2165" t="e">
        <v>#N/A</v>
      </c>
      <c r="C469" s="2172" t="e">
        <v>#N/A</v>
      </c>
      <c r="D469" s="342" t="e">
        <v>#N/A</v>
      </c>
      <c r="E469" s="2176" t="e">
        <v>#N/A</v>
      </c>
      <c r="F469" s="2181" t="e">
        <v>#N/A</v>
      </c>
      <c r="G469" s="2176" t="e">
        <v>#N/A</v>
      </c>
      <c r="H469" s="2186" t="e">
        <v>#N/A</v>
      </c>
      <c r="I469" s="342" t="e">
        <v>#N/A</v>
      </c>
      <c r="J469" s="2176" t="e">
        <v>#N/A</v>
      </c>
      <c r="K469" s="2192" t="e">
        <v>#N/A</v>
      </c>
    </row>
    <row r="470" spans="1:11">
      <c r="A470" s="2765">
        <v>2028.05</v>
      </c>
      <c r="B470" s="2165" t="e">
        <v>#N/A</v>
      </c>
      <c r="C470" s="2172" t="e">
        <v>#N/A</v>
      </c>
      <c r="D470" s="342" t="e">
        <v>#N/A</v>
      </c>
      <c r="E470" s="2176" t="e">
        <v>#N/A</v>
      </c>
      <c r="F470" s="2181" t="e">
        <v>#N/A</v>
      </c>
      <c r="G470" s="2176" t="e">
        <v>#N/A</v>
      </c>
      <c r="H470" s="2186" t="e">
        <v>#N/A</v>
      </c>
      <c r="I470" s="342" t="e">
        <v>#N/A</v>
      </c>
      <c r="J470" s="2176" t="e">
        <v>#N/A</v>
      </c>
      <c r="K470" s="2192" t="e">
        <v>#N/A</v>
      </c>
    </row>
    <row r="471" spans="1:11">
      <c r="A471" s="2765">
        <v>2028.06</v>
      </c>
      <c r="B471" s="2165" t="e">
        <v>#N/A</v>
      </c>
      <c r="C471" s="2172" t="e">
        <v>#N/A</v>
      </c>
      <c r="D471" s="342" t="e">
        <v>#N/A</v>
      </c>
      <c r="E471" s="2176" t="e">
        <v>#N/A</v>
      </c>
      <c r="F471" s="2181" t="e">
        <v>#N/A</v>
      </c>
      <c r="G471" s="2176" t="e">
        <v>#N/A</v>
      </c>
      <c r="H471" s="2186" t="e">
        <v>#N/A</v>
      </c>
      <c r="I471" s="342" t="e">
        <v>#N/A</v>
      </c>
      <c r="J471" s="2176" t="e">
        <v>#N/A</v>
      </c>
      <c r="K471" s="2192" t="e">
        <v>#N/A</v>
      </c>
    </row>
    <row r="472" spans="1:11">
      <c r="A472" s="2765">
        <v>2028.07</v>
      </c>
      <c r="B472" s="2165" t="e">
        <v>#N/A</v>
      </c>
      <c r="C472" s="2172" t="e">
        <v>#N/A</v>
      </c>
      <c r="D472" s="342" t="e">
        <v>#N/A</v>
      </c>
      <c r="E472" s="2176" t="e">
        <v>#N/A</v>
      </c>
      <c r="F472" s="2181" t="e">
        <v>#N/A</v>
      </c>
      <c r="G472" s="2176" t="e">
        <v>#N/A</v>
      </c>
      <c r="H472" s="2186" t="e">
        <v>#N/A</v>
      </c>
      <c r="I472" s="342" t="e">
        <v>#N/A</v>
      </c>
      <c r="J472" s="2176" t="e">
        <v>#N/A</v>
      </c>
      <c r="K472" s="2192" t="e">
        <v>#N/A</v>
      </c>
    </row>
    <row r="473" spans="1:11">
      <c r="A473" s="2765">
        <v>2028.08</v>
      </c>
      <c r="B473" s="2165" t="e">
        <v>#N/A</v>
      </c>
      <c r="C473" s="2172" t="e">
        <v>#N/A</v>
      </c>
      <c r="D473" s="342" t="e">
        <v>#N/A</v>
      </c>
      <c r="E473" s="2176" t="e">
        <v>#N/A</v>
      </c>
      <c r="F473" s="2181" t="e">
        <v>#N/A</v>
      </c>
      <c r="G473" s="2176" t="e">
        <v>#N/A</v>
      </c>
      <c r="H473" s="2186" t="e">
        <v>#N/A</v>
      </c>
      <c r="I473" s="342" t="e">
        <v>#N/A</v>
      </c>
      <c r="J473" s="2176" t="e">
        <v>#N/A</v>
      </c>
      <c r="K473" s="2192" t="e">
        <v>#N/A</v>
      </c>
    </row>
    <row r="474" spans="1:11">
      <c r="A474" s="2765">
        <v>2028.09</v>
      </c>
      <c r="B474" s="2165" t="e">
        <v>#N/A</v>
      </c>
      <c r="C474" s="2172" t="e">
        <v>#N/A</v>
      </c>
      <c r="D474" s="342" t="e">
        <v>#N/A</v>
      </c>
      <c r="E474" s="2176" t="e">
        <v>#N/A</v>
      </c>
      <c r="F474" s="2181" t="e">
        <v>#N/A</v>
      </c>
      <c r="G474" s="2176" t="e">
        <v>#N/A</v>
      </c>
      <c r="H474" s="2186" t="e">
        <v>#N/A</v>
      </c>
      <c r="I474" s="342" t="e">
        <v>#N/A</v>
      </c>
      <c r="J474" s="2176" t="e">
        <v>#N/A</v>
      </c>
      <c r="K474" s="2192" t="e">
        <v>#N/A</v>
      </c>
    </row>
    <row r="475" spans="1:11">
      <c r="A475" s="2765">
        <v>2028.1</v>
      </c>
      <c r="B475" s="2165" t="e">
        <v>#N/A</v>
      </c>
      <c r="C475" s="2172" t="e">
        <v>#N/A</v>
      </c>
      <c r="D475" s="342" t="e">
        <v>#N/A</v>
      </c>
      <c r="E475" s="2176" t="e">
        <v>#N/A</v>
      </c>
      <c r="F475" s="2181" t="e">
        <v>#N/A</v>
      </c>
      <c r="G475" s="2176" t="e">
        <v>#N/A</v>
      </c>
      <c r="H475" s="2186" t="e">
        <v>#N/A</v>
      </c>
      <c r="I475" s="342" t="e">
        <v>#N/A</v>
      </c>
      <c r="J475" s="2176" t="e">
        <v>#N/A</v>
      </c>
      <c r="K475" s="2192" t="e">
        <v>#N/A</v>
      </c>
    </row>
    <row r="476" spans="1:11">
      <c r="A476" s="2765">
        <v>2028.11</v>
      </c>
      <c r="B476" s="2165" t="e">
        <v>#N/A</v>
      </c>
      <c r="C476" s="2172" t="e">
        <v>#N/A</v>
      </c>
      <c r="D476" s="342" t="e">
        <v>#N/A</v>
      </c>
      <c r="E476" s="2176" t="e">
        <v>#N/A</v>
      </c>
      <c r="F476" s="2181" t="e">
        <v>#N/A</v>
      </c>
      <c r="G476" s="2176" t="e">
        <v>#N/A</v>
      </c>
      <c r="H476" s="2186" t="e">
        <v>#N/A</v>
      </c>
      <c r="I476" s="342" t="e">
        <v>#N/A</v>
      </c>
      <c r="J476" s="2176" t="e">
        <v>#N/A</v>
      </c>
      <c r="K476" s="2192" t="e">
        <v>#N/A</v>
      </c>
    </row>
    <row r="477" spans="1:11">
      <c r="A477" s="2765">
        <v>2028.12</v>
      </c>
      <c r="B477" s="2165" t="e">
        <v>#N/A</v>
      </c>
      <c r="C477" s="2172" t="e">
        <v>#N/A</v>
      </c>
      <c r="D477" s="342" t="e">
        <v>#N/A</v>
      </c>
      <c r="E477" s="2176" t="e">
        <v>#N/A</v>
      </c>
      <c r="F477" s="2181" t="e">
        <v>#N/A</v>
      </c>
      <c r="G477" s="2176" t="e">
        <v>#N/A</v>
      </c>
      <c r="H477" s="2186" t="e">
        <v>#N/A</v>
      </c>
      <c r="I477" s="342" t="e">
        <v>#N/A</v>
      </c>
      <c r="J477" s="2176" t="e">
        <v>#N/A</v>
      </c>
      <c r="K477" s="2192" t="e">
        <v>#N/A</v>
      </c>
    </row>
    <row r="478" spans="1:11">
      <c r="A478" s="2765">
        <v>2029.01</v>
      </c>
      <c r="B478" s="2165" t="e">
        <v>#N/A</v>
      </c>
      <c r="C478" s="2172" t="e">
        <v>#N/A</v>
      </c>
      <c r="D478" s="342" t="e">
        <v>#N/A</v>
      </c>
      <c r="E478" s="2176" t="e">
        <v>#N/A</v>
      </c>
      <c r="F478" s="2181" t="e">
        <v>#N/A</v>
      </c>
      <c r="G478" s="2176" t="e">
        <v>#N/A</v>
      </c>
      <c r="H478" s="2186" t="e">
        <v>#N/A</v>
      </c>
      <c r="I478" s="342" t="e">
        <v>#N/A</v>
      </c>
      <c r="J478" s="2176" t="e">
        <v>#N/A</v>
      </c>
      <c r="K478" s="2192" t="e">
        <v>#N/A</v>
      </c>
    </row>
    <row r="479" spans="1:11">
      <c r="A479" s="2765">
        <v>2029.02</v>
      </c>
      <c r="B479" s="2165" t="e">
        <v>#N/A</v>
      </c>
      <c r="C479" s="2172" t="e">
        <v>#N/A</v>
      </c>
      <c r="D479" s="342" t="e">
        <v>#N/A</v>
      </c>
      <c r="E479" s="2176" t="e">
        <v>#N/A</v>
      </c>
      <c r="F479" s="2181" t="e">
        <v>#N/A</v>
      </c>
      <c r="G479" s="2176" t="e">
        <v>#N/A</v>
      </c>
      <c r="H479" s="2186" t="e">
        <v>#N/A</v>
      </c>
      <c r="I479" s="342" t="e">
        <v>#N/A</v>
      </c>
      <c r="J479" s="2176" t="e">
        <v>#N/A</v>
      </c>
      <c r="K479" s="2192" t="e">
        <v>#N/A</v>
      </c>
    </row>
    <row r="480" spans="1:11">
      <c r="A480" s="2765">
        <v>2029.03</v>
      </c>
      <c r="B480" s="2165" t="e">
        <v>#N/A</v>
      </c>
      <c r="C480" s="2172" t="e">
        <v>#N/A</v>
      </c>
      <c r="D480" s="342" t="e">
        <v>#N/A</v>
      </c>
      <c r="E480" s="2176" t="e">
        <v>#N/A</v>
      </c>
      <c r="F480" s="2181" t="e">
        <v>#N/A</v>
      </c>
      <c r="G480" s="2176" t="e">
        <v>#N/A</v>
      </c>
      <c r="H480" s="2186" t="e">
        <v>#N/A</v>
      </c>
      <c r="I480" s="342" t="e">
        <v>#N/A</v>
      </c>
      <c r="J480" s="2176" t="e">
        <v>#N/A</v>
      </c>
      <c r="K480" s="2192" t="e">
        <v>#N/A</v>
      </c>
    </row>
    <row r="481" spans="1:11">
      <c r="A481" s="2765">
        <v>2029.04</v>
      </c>
      <c r="B481" s="2165" t="e">
        <v>#N/A</v>
      </c>
      <c r="C481" s="2172" t="e">
        <v>#N/A</v>
      </c>
      <c r="D481" s="342" t="e">
        <v>#N/A</v>
      </c>
      <c r="E481" s="2176" t="e">
        <v>#N/A</v>
      </c>
      <c r="F481" s="2181" t="e">
        <v>#N/A</v>
      </c>
      <c r="G481" s="2176" t="e">
        <v>#N/A</v>
      </c>
      <c r="H481" s="2186" t="e">
        <v>#N/A</v>
      </c>
      <c r="I481" s="342" t="e">
        <v>#N/A</v>
      </c>
      <c r="J481" s="2176" t="e">
        <v>#N/A</v>
      </c>
      <c r="K481" s="2192" t="e">
        <v>#N/A</v>
      </c>
    </row>
    <row r="482" spans="1:11">
      <c r="A482" s="2765">
        <v>2029.05</v>
      </c>
      <c r="B482" s="2165" t="e">
        <v>#N/A</v>
      </c>
      <c r="C482" s="2172" t="e">
        <v>#N/A</v>
      </c>
      <c r="D482" s="342" t="e">
        <v>#N/A</v>
      </c>
      <c r="E482" s="2176" t="e">
        <v>#N/A</v>
      </c>
      <c r="F482" s="2181" t="e">
        <v>#N/A</v>
      </c>
      <c r="G482" s="2176" t="e">
        <v>#N/A</v>
      </c>
      <c r="H482" s="2186" t="e">
        <v>#N/A</v>
      </c>
      <c r="I482" s="342" t="e">
        <v>#N/A</v>
      </c>
      <c r="J482" s="2176" t="e">
        <v>#N/A</v>
      </c>
      <c r="K482" s="2192" t="e">
        <v>#N/A</v>
      </c>
    </row>
    <row r="483" spans="1:11">
      <c r="A483" s="2765">
        <v>2029.06</v>
      </c>
      <c r="B483" s="2165" t="e">
        <v>#N/A</v>
      </c>
      <c r="C483" s="2172" t="e">
        <v>#N/A</v>
      </c>
      <c r="D483" s="342" t="e">
        <v>#N/A</v>
      </c>
      <c r="E483" s="2176" t="e">
        <v>#N/A</v>
      </c>
      <c r="F483" s="2181" t="e">
        <v>#N/A</v>
      </c>
      <c r="G483" s="2176" t="e">
        <v>#N/A</v>
      </c>
      <c r="H483" s="2186" t="e">
        <v>#N/A</v>
      </c>
      <c r="I483" s="342" t="e">
        <v>#N/A</v>
      </c>
      <c r="J483" s="2176" t="e">
        <v>#N/A</v>
      </c>
      <c r="K483" s="2192" t="e">
        <v>#N/A</v>
      </c>
    </row>
    <row r="484" spans="1:11">
      <c r="A484" s="2765">
        <v>2029.07</v>
      </c>
      <c r="B484" s="2165" t="e">
        <v>#N/A</v>
      </c>
      <c r="C484" s="2172" t="e">
        <v>#N/A</v>
      </c>
      <c r="D484" s="342" t="e">
        <v>#N/A</v>
      </c>
      <c r="E484" s="2176" t="e">
        <v>#N/A</v>
      </c>
      <c r="F484" s="2181" t="e">
        <v>#N/A</v>
      </c>
      <c r="G484" s="2176" t="e">
        <v>#N/A</v>
      </c>
      <c r="H484" s="2186" t="e">
        <v>#N/A</v>
      </c>
      <c r="I484" s="342" t="e">
        <v>#N/A</v>
      </c>
      <c r="J484" s="2176" t="e">
        <v>#N/A</v>
      </c>
      <c r="K484" s="2192" t="e">
        <v>#N/A</v>
      </c>
    </row>
    <row r="485" spans="1:11">
      <c r="A485" s="2765">
        <v>2029.08</v>
      </c>
      <c r="B485" s="2165" t="e">
        <v>#N/A</v>
      </c>
      <c r="C485" s="2172" t="e">
        <v>#N/A</v>
      </c>
      <c r="D485" s="342" t="e">
        <v>#N/A</v>
      </c>
      <c r="E485" s="2176" t="e">
        <v>#N/A</v>
      </c>
      <c r="F485" s="2181" t="e">
        <v>#N/A</v>
      </c>
      <c r="G485" s="2176" t="e">
        <v>#N/A</v>
      </c>
      <c r="H485" s="2186" t="e">
        <v>#N/A</v>
      </c>
      <c r="I485" s="342" t="e">
        <v>#N/A</v>
      </c>
      <c r="J485" s="2176" t="e">
        <v>#N/A</v>
      </c>
      <c r="K485" s="2192" t="e">
        <v>#N/A</v>
      </c>
    </row>
    <row r="486" spans="1:11">
      <c r="A486" s="2765">
        <v>2029.09</v>
      </c>
      <c r="B486" s="2165" t="e">
        <v>#N/A</v>
      </c>
      <c r="C486" s="2172" t="e">
        <v>#N/A</v>
      </c>
      <c r="D486" s="342" t="e">
        <v>#N/A</v>
      </c>
      <c r="E486" s="2176" t="e">
        <v>#N/A</v>
      </c>
      <c r="F486" s="2181" t="e">
        <v>#N/A</v>
      </c>
      <c r="G486" s="2176" t="e">
        <v>#N/A</v>
      </c>
      <c r="H486" s="2186" t="e">
        <v>#N/A</v>
      </c>
      <c r="I486" s="342" t="e">
        <v>#N/A</v>
      </c>
      <c r="J486" s="2176" t="e">
        <v>#N/A</v>
      </c>
      <c r="K486" s="2192" t="e">
        <v>#N/A</v>
      </c>
    </row>
    <row r="487" spans="1:11">
      <c r="A487" s="2765">
        <v>2029.1</v>
      </c>
      <c r="B487" s="2165" t="e">
        <v>#N/A</v>
      </c>
      <c r="C487" s="2172" t="e">
        <v>#N/A</v>
      </c>
      <c r="D487" s="342" t="e">
        <v>#N/A</v>
      </c>
      <c r="E487" s="2176" t="e">
        <v>#N/A</v>
      </c>
      <c r="F487" s="2181" t="e">
        <v>#N/A</v>
      </c>
      <c r="G487" s="2176" t="e">
        <v>#N/A</v>
      </c>
      <c r="H487" s="2186" t="e">
        <v>#N/A</v>
      </c>
      <c r="I487" s="342" t="e">
        <v>#N/A</v>
      </c>
      <c r="J487" s="2176" t="e">
        <v>#N/A</v>
      </c>
      <c r="K487" s="2192" t="e">
        <v>#N/A</v>
      </c>
    </row>
    <row r="488" spans="1:11">
      <c r="A488" s="2765">
        <v>2029.11</v>
      </c>
      <c r="B488" s="2165" t="e">
        <v>#N/A</v>
      </c>
      <c r="C488" s="2172" t="e">
        <v>#N/A</v>
      </c>
      <c r="D488" s="342" t="e">
        <v>#N/A</v>
      </c>
      <c r="E488" s="2176" t="e">
        <v>#N/A</v>
      </c>
      <c r="F488" s="2181" t="e">
        <v>#N/A</v>
      </c>
      <c r="G488" s="2176" t="e">
        <v>#N/A</v>
      </c>
      <c r="H488" s="2186" t="e">
        <v>#N/A</v>
      </c>
      <c r="I488" s="342" t="e">
        <v>#N/A</v>
      </c>
      <c r="J488" s="2176" t="e">
        <v>#N/A</v>
      </c>
      <c r="K488" s="2192" t="e">
        <v>#N/A</v>
      </c>
    </row>
    <row r="489" spans="1:11">
      <c r="A489" s="2765">
        <v>2029.12</v>
      </c>
      <c r="B489" s="2165" t="e">
        <v>#N/A</v>
      </c>
      <c r="C489" s="2172" t="e">
        <v>#N/A</v>
      </c>
      <c r="D489" s="342" t="e">
        <v>#N/A</v>
      </c>
      <c r="E489" s="2176" t="e">
        <v>#N/A</v>
      </c>
      <c r="F489" s="2181" t="e">
        <v>#N/A</v>
      </c>
      <c r="G489" s="2176" t="e">
        <v>#N/A</v>
      </c>
      <c r="H489" s="2186" t="e">
        <v>#N/A</v>
      </c>
      <c r="I489" s="342" t="e">
        <v>#N/A</v>
      </c>
      <c r="J489" s="2176" t="e">
        <v>#N/A</v>
      </c>
      <c r="K489" s="2192" t="e">
        <v>#N/A</v>
      </c>
    </row>
    <row r="490" spans="1:11">
      <c r="A490" s="2765">
        <v>2030.01</v>
      </c>
      <c r="B490" s="2165" t="e">
        <v>#N/A</v>
      </c>
      <c r="C490" s="2172" t="e">
        <v>#N/A</v>
      </c>
      <c r="D490" s="342" t="e">
        <v>#N/A</v>
      </c>
      <c r="E490" s="2176" t="e">
        <v>#N/A</v>
      </c>
      <c r="F490" s="2181" t="e">
        <v>#N/A</v>
      </c>
      <c r="G490" s="2176" t="e">
        <v>#N/A</v>
      </c>
      <c r="H490" s="2186" t="e">
        <v>#N/A</v>
      </c>
      <c r="I490" s="342" t="e">
        <v>#N/A</v>
      </c>
      <c r="J490" s="2176" t="e">
        <v>#N/A</v>
      </c>
      <c r="K490" s="2192" t="e">
        <v>#N/A</v>
      </c>
    </row>
    <row r="491" spans="1:11">
      <c r="A491" s="2765">
        <v>2030.02</v>
      </c>
      <c r="B491" s="2165" t="e">
        <v>#N/A</v>
      </c>
      <c r="C491" s="2172" t="e">
        <v>#N/A</v>
      </c>
      <c r="D491" s="342" t="e">
        <v>#N/A</v>
      </c>
      <c r="E491" s="2176" t="e">
        <v>#N/A</v>
      </c>
      <c r="F491" s="2181" t="e">
        <v>#N/A</v>
      </c>
      <c r="G491" s="2176" t="e">
        <v>#N/A</v>
      </c>
      <c r="H491" s="2186" t="e">
        <v>#N/A</v>
      </c>
      <c r="I491" s="342" t="e">
        <v>#N/A</v>
      </c>
      <c r="J491" s="2176" t="e">
        <v>#N/A</v>
      </c>
      <c r="K491" s="2192" t="e">
        <v>#N/A</v>
      </c>
    </row>
    <row r="492" spans="1:11">
      <c r="A492" s="2765">
        <v>2030.03</v>
      </c>
      <c r="B492" s="2165" t="e">
        <v>#N/A</v>
      </c>
      <c r="C492" s="2172" t="e">
        <v>#N/A</v>
      </c>
      <c r="D492" s="342" t="e">
        <v>#N/A</v>
      </c>
      <c r="E492" s="2176" t="e">
        <v>#N/A</v>
      </c>
      <c r="F492" s="2181" t="e">
        <v>#N/A</v>
      </c>
      <c r="G492" s="2176" t="e">
        <v>#N/A</v>
      </c>
      <c r="H492" s="2186" t="e">
        <v>#N/A</v>
      </c>
      <c r="I492" s="342" t="e">
        <v>#N/A</v>
      </c>
      <c r="J492" s="2176" t="e">
        <v>#N/A</v>
      </c>
      <c r="K492" s="2192" t="e">
        <v>#N/A</v>
      </c>
    </row>
    <row r="493" spans="1:11">
      <c r="A493" s="2765">
        <v>2030.04</v>
      </c>
      <c r="B493" s="2165" t="e">
        <v>#N/A</v>
      </c>
      <c r="C493" s="2172" t="e">
        <v>#N/A</v>
      </c>
      <c r="D493" s="342" t="e">
        <v>#N/A</v>
      </c>
      <c r="E493" s="2176" t="e">
        <v>#N/A</v>
      </c>
      <c r="F493" s="2181" t="e">
        <v>#N/A</v>
      </c>
      <c r="G493" s="2176" t="e">
        <v>#N/A</v>
      </c>
      <c r="H493" s="2186" t="e">
        <v>#N/A</v>
      </c>
      <c r="I493" s="342" t="e">
        <v>#N/A</v>
      </c>
      <c r="J493" s="2176" t="e">
        <v>#N/A</v>
      </c>
      <c r="K493" s="2192" t="e">
        <v>#N/A</v>
      </c>
    </row>
    <row r="494" spans="1:11">
      <c r="A494" s="2765">
        <v>2030.05</v>
      </c>
      <c r="B494" s="2165" t="e">
        <v>#N/A</v>
      </c>
      <c r="C494" s="2172" t="e">
        <v>#N/A</v>
      </c>
      <c r="D494" s="342" t="e">
        <v>#N/A</v>
      </c>
      <c r="E494" s="2176" t="e">
        <v>#N/A</v>
      </c>
      <c r="F494" s="2181" t="e">
        <v>#N/A</v>
      </c>
      <c r="G494" s="2176" t="e">
        <v>#N/A</v>
      </c>
      <c r="H494" s="2186" t="e">
        <v>#N/A</v>
      </c>
      <c r="I494" s="342" t="e">
        <v>#N/A</v>
      </c>
      <c r="J494" s="2176" t="e">
        <v>#N/A</v>
      </c>
      <c r="K494" s="2192" t="e">
        <v>#N/A</v>
      </c>
    </row>
    <row r="495" spans="1:11">
      <c r="A495" s="2765">
        <v>2030.06</v>
      </c>
      <c r="B495" s="2165" t="e">
        <v>#N/A</v>
      </c>
      <c r="C495" s="2172" t="e">
        <v>#N/A</v>
      </c>
      <c r="D495" s="342" t="e">
        <v>#N/A</v>
      </c>
      <c r="E495" s="2176" t="e">
        <v>#N/A</v>
      </c>
      <c r="F495" s="2181" t="e">
        <v>#N/A</v>
      </c>
      <c r="G495" s="2176" t="e">
        <v>#N/A</v>
      </c>
      <c r="H495" s="2186" t="e">
        <v>#N/A</v>
      </c>
      <c r="I495" s="342" t="e">
        <v>#N/A</v>
      </c>
      <c r="J495" s="2176" t="e">
        <v>#N/A</v>
      </c>
      <c r="K495" s="2192" t="e">
        <v>#N/A</v>
      </c>
    </row>
    <row r="496" spans="1:11">
      <c r="A496" s="2765">
        <v>2030.07</v>
      </c>
      <c r="B496" s="2165" t="e">
        <v>#N/A</v>
      </c>
      <c r="C496" s="2172" t="e">
        <v>#N/A</v>
      </c>
      <c r="D496" s="342" t="e">
        <v>#N/A</v>
      </c>
      <c r="E496" s="2176" t="e">
        <v>#N/A</v>
      </c>
      <c r="F496" s="2181" t="e">
        <v>#N/A</v>
      </c>
      <c r="G496" s="2176" t="e">
        <v>#N/A</v>
      </c>
      <c r="H496" s="2186" t="e">
        <v>#N/A</v>
      </c>
      <c r="I496" s="342" t="e">
        <v>#N/A</v>
      </c>
      <c r="J496" s="2176" t="e">
        <v>#N/A</v>
      </c>
      <c r="K496" s="2192" t="e">
        <v>#N/A</v>
      </c>
    </row>
    <row r="497" spans="1:11">
      <c r="A497" s="2765">
        <v>2030.08</v>
      </c>
      <c r="B497" s="2165" t="e">
        <v>#N/A</v>
      </c>
      <c r="C497" s="2172" t="e">
        <v>#N/A</v>
      </c>
      <c r="D497" s="342" t="e">
        <v>#N/A</v>
      </c>
      <c r="E497" s="2176" t="e">
        <v>#N/A</v>
      </c>
      <c r="F497" s="2181" t="e">
        <v>#N/A</v>
      </c>
      <c r="G497" s="2176" t="e">
        <v>#N/A</v>
      </c>
      <c r="H497" s="2186" t="e">
        <v>#N/A</v>
      </c>
      <c r="I497" s="342" t="e">
        <v>#N/A</v>
      </c>
      <c r="J497" s="2176" t="e">
        <v>#N/A</v>
      </c>
      <c r="K497" s="2192" t="e">
        <v>#N/A</v>
      </c>
    </row>
    <row r="498" spans="1:11">
      <c r="A498" s="2765">
        <v>2030.09</v>
      </c>
      <c r="B498" s="2165" t="e">
        <v>#N/A</v>
      </c>
      <c r="C498" s="2172" t="e">
        <v>#N/A</v>
      </c>
      <c r="D498" s="342" t="e">
        <v>#N/A</v>
      </c>
      <c r="E498" s="2176" t="e">
        <v>#N/A</v>
      </c>
      <c r="F498" s="2181" t="e">
        <v>#N/A</v>
      </c>
      <c r="G498" s="2176" t="e">
        <v>#N/A</v>
      </c>
      <c r="H498" s="2186" t="e">
        <v>#N/A</v>
      </c>
      <c r="I498" s="342" t="e">
        <v>#N/A</v>
      </c>
      <c r="J498" s="2176" t="e">
        <v>#N/A</v>
      </c>
      <c r="K498" s="2192" t="e">
        <v>#N/A</v>
      </c>
    </row>
    <row r="499" spans="1:11">
      <c r="A499" s="2765">
        <v>2030.1</v>
      </c>
      <c r="B499" s="2165" t="e">
        <v>#N/A</v>
      </c>
      <c r="C499" s="2172" t="e">
        <v>#N/A</v>
      </c>
      <c r="D499" s="342" t="e">
        <v>#N/A</v>
      </c>
      <c r="E499" s="2176" t="e">
        <v>#N/A</v>
      </c>
      <c r="F499" s="2181" t="e">
        <v>#N/A</v>
      </c>
      <c r="G499" s="2176" t="e">
        <v>#N/A</v>
      </c>
      <c r="H499" s="2186" t="e">
        <v>#N/A</v>
      </c>
      <c r="I499" s="342" t="e">
        <v>#N/A</v>
      </c>
      <c r="J499" s="2176" t="e">
        <v>#N/A</v>
      </c>
      <c r="K499" s="2192" t="e">
        <v>#N/A</v>
      </c>
    </row>
    <row r="500" spans="1:11">
      <c r="A500" s="2765">
        <v>2030.11</v>
      </c>
      <c r="B500" s="2165" t="e">
        <v>#N/A</v>
      </c>
      <c r="C500" s="2172" t="e">
        <v>#N/A</v>
      </c>
      <c r="D500" s="342" t="e">
        <v>#N/A</v>
      </c>
      <c r="E500" s="2176" t="e">
        <v>#N/A</v>
      </c>
      <c r="F500" s="2181" t="e">
        <v>#N/A</v>
      </c>
      <c r="G500" s="2176" t="e">
        <v>#N/A</v>
      </c>
      <c r="H500" s="2186" t="e">
        <v>#N/A</v>
      </c>
      <c r="I500" s="342" t="e">
        <v>#N/A</v>
      </c>
      <c r="J500" s="2176" t="e">
        <v>#N/A</v>
      </c>
      <c r="K500" s="2192" t="e">
        <v>#N/A</v>
      </c>
    </row>
    <row r="501" spans="1:11">
      <c r="A501" s="2765">
        <v>2030.12</v>
      </c>
      <c r="B501" s="2165" t="e">
        <v>#N/A</v>
      </c>
      <c r="C501" s="2172" t="e">
        <v>#N/A</v>
      </c>
      <c r="D501" s="342" t="e">
        <v>#N/A</v>
      </c>
      <c r="E501" s="2176" t="e">
        <v>#N/A</v>
      </c>
      <c r="F501" s="2181" t="e">
        <v>#N/A</v>
      </c>
      <c r="G501" s="2176" t="e">
        <v>#N/A</v>
      </c>
      <c r="H501" s="2186" t="e">
        <v>#N/A</v>
      </c>
      <c r="I501" s="342" t="e">
        <v>#N/A</v>
      </c>
      <c r="J501" s="2176" t="e">
        <v>#N/A</v>
      </c>
      <c r="K501" s="2192" t="e">
        <v>#N/A</v>
      </c>
    </row>
  </sheetData>
  <phoneticPr fontId="64" type="noConversion"/>
  <hyperlinks>
    <hyperlink ref="A1:A3" location="Indice!A1" display="ÍNDICE" xr:uid="{00000000-0004-0000-3900-000000000000}"/>
    <hyperlink ref="A5" location="INDICE!A13" display="VOLVER AL INDICE" xr:uid="{00000000-0004-0000-3900-000001000000}"/>
  </hyperlinks>
  <printOptions gridLines="1" gridLinesSet="0"/>
  <pageMargins left="0.75" right="0.75" top="0.26"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45"/>
  <dimension ref="A1:V705"/>
  <sheetViews>
    <sheetView zoomScale="115" zoomScaleNormal="115" workbookViewId="0">
      <pane xSplit="1" ySplit="9" topLeftCell="B622" activePane="bottomRight" state="frozen"/>
      <selection pane="topRight" activeCell="B1" sqref="B1"/>
      <selection pane="bottomLeft" activeCell="A10" sqref="A10"/>
      <selection pane="bottomRight" activeCell="A5" sqref="A5"/>
    </sheetView>
  </sheetViews>
  <sheetFormatPr baseColWidth="10" defaultColWidth="12.5703125" defaultRowHeight="12.75"/>
  <cols>
    <col min="1" max="1" width="11" style="222" customWidth="1"/>
    <col min="2" max="7" width="14.42578125" style="222" customWidth="1"/>
    <col min="8" max="8" width="16.42578125" style="16" customWidth="1"/>
    <col min="9" max="9" width="17.7109375" style="16" customWidth="1"/>
    <col min="10" max="10" width="16.42578125" style="16" customWidth="1"/>
    <col min="11" max="12" width="20" style="16" customWidth="1"/>
    <col min="13" max="14" width="16.42578125" style="16" customWidth="1"/>
    <col min="15" max="15" width="18.140625" style="723" customWidth="1"/>
    <col min="16" max="16" width="18.140625" style="16" customWidth="1"/>
    <col min="17" max="16384" width="12.5703125" style="16"/>
  </cols>
  <sheetData>
    <row r="1" spans="1:17" s="14" customFormat="1" ht="3.75" customHeight="1">
      <c r="A1" s="37"/>
      <c r="B1" s="226"/>
      <c r="C1" s="327"/>
      <c r="D1" s="327"/>
      <c r="E1" s="327"/>
      <c r="F1" s="327"/>
      <c r="G1" s="215"/>
      <c r="H1" s="448"/>
      <c r="I1" s="448"/>
      <c r="J1" s="762"/>
      <c r="K1" s="771"/>
      <c r="L1" s="1132"/>
      <c r="M1" s="771"/>
      <c r="N1" s="771"/>
      <c r="O1" s="1132"/>
      <c r="P1" s="2435"/>
    </row>
    <row r="2" spans="1:17" s="14" customFormat="1" ht="22.5">
      <c r="A2" s="121" t="s">
        <v>212</v>
      </c>
      <c r="B2" s="237" t="s">
        <v>714</v>
      </c>
      <c r="C2" s="338"/>
      <c r="D2" s="338"/>
      <c r="E2" s="234"/>
      <c r="F2" s="338"/>
      <c r="G2" s="338"/>
      <c r="H2" s="234" t="s">
        <v>397</v>
      </c>
      <c r="I2" s="234" t="s">
        <v>397</v>
      </c>
      <c r="J2" s="763" t="s">
        <v>399</v>
      </c>
      <c r="K2" s="763" t="s">
        <v>1362</v>
      </c>
      <c r="L2" s="763" t="s">
        <v>1364</v>
      </c>
      <c r="M2" s="775" t="s">
        <v>1018</v>
      </c>
      <c r="N2" s="1069"/>
      <c r="O2" s="1133" t="s">
        <v>1204</v>
      </c>
      <c r="P2" s="776" t="s">
        <v>1232</v>
      </c>
    </row>
    <row r="3" spans="1:17" s="14" customFormat="1" ht="31.5" customHeight="1">
      <c r="A3" s="121" t="s">
        <v>330</v>
      </c>
      <c r="B3" s="239" t="s">
        <v>1125</v>
      </c>
      <c r="C3" s="324"/>
      <c r="D3" s="324"/>
      <c r="E3" s="339"/>
      <c r="F3" s="324"/>
      <c r="G3" s="324"/>
      <c r="H3" s="339" t="s">
        <v>331</v>
      </c>
      <c r="I3" s="1166" t="s">
        <v>963</v>
      </c>
      <c r="J3" s="763" t="s">
        <v>962</v>
      </c>
      <c r="K3" s="2432" t="s">
        <v>1363</v>
      </c>
      <c r="L3" s="2432" t="s">
        <v>1363</v>
      </c>
      <c r="M3" s="775" t="s">
        <v>250</v>
      </c>
      <c r="N3" s="1069"/>
      <c r="O3" s="3416" t="s">
        <v>1199</v>
      </c>
      <c r="P3" s="3417"/>
    </row>
    <row r="4" spans="1:17" s="14" customFormat="1" ht="3" customHeight="1">
      <c r="A4" s="390"/>
      <c r="B4" s="398"/>
      <c r="C4" s="397"/>
      <c r="D4" s="396"/>
      <c r="E4" s="398"/>
      <c r="F4" s="397"/>
      <c r="G4" s="396"/>
      <c r="H4" s="398"/>
      <c r="I4" s="394"/>
      <c r="J4" s="394"/>
      <c r="K4" s="394"/>
      <c r="L4" s="394"/>
      <c r="M4" s="398"/>
      <c r="N4" s="396"/>
      <c r="O4" s="398"/>
      <c r="P4" s="391"/>
    </row>
    <row r="5" spans="1:17" s="14" customFormat="1" ht="33.75">
      <c r="A5" s="45" t="s">
        <v>213</v>
      </c>
      <c r="B5" s="242" t="s">
        <v>1126</v>
      </c>
      <c r="C5" s="340"/>
      <c r="D5" s="340"/>
      <c r="E5" s="246" t="s">
        <v>1127</v>
      </c>
      <c r="F5" s="340"/>
      <c r="G5" s="340"/>
      <c r="H5" s="246" t="s">
        <v>398</v>
      </c>
      <c r="I5" s="246" t="s">
        <v>398</v>
      </c>
      <c r="J5" s="764" t="s">
        <v>398</v>
      </c>
      <c r="K5" s="2433" t="s">
        <v>398</v>
      </c>
      <c r="L5" s="2433" t="s">
        <v>398</v>
      </c>
      <c r="M5" s="3418" t="s">
        <v>398</v>
      </c>
      <c r="N5" s="3419"/>
      <c r="O5" s="2209" t="s">
        <v>1203</v>
      </c>
      <c r="P5" s="761" t="s">
        <v>1230</v>
      </c>
    </row>
    <row r="6" spans="1:17" s="14" customFormat="1" ht="108.75" customHeight="1">
      <c r="A6" s="224"/>
      <c r="B6" s="1172" t="s">
        <v>1128</v>
      </c>
      <c r="C6" s="2201" t="s">
        <v>1134</v>
      </c>
      <c r="D6" s="2196" t="s">
        <v>1129</v>
      </c>
      <c r="E6" s="246" t="s">
        <v>1128</v>
      </c>
      <c r="F6" s="2013" t="s">
        <v>1135</v>
      </c>
      <c r="G6" s="340" t="s">
        <v>1129</v>
      </c>
      <c r="H6" s="755" t="s">
        <v>1011</v>
      </c>
      <c r="I6" s="755" t="s">
        <v>1012</v>
      </c>
      <c r="J6" s="764" t="s">
        <v>1013</v>
      </c>
      <c r="K6" s="2433" t="s">
        <v>1367</v>
      </c>
      <c r="L6" s="2433" t="s">
        <v>1367</v>
      </c>
      <c r="M6" s="2209" t="s">
        <v>1022</v>
      </c>
      <c r="N6" s="1070" t="s">
        <v>1020</v>
      </c>
      <c r="O6" s="2209" t="s">
        <v>1200</v>
      </c>
      <c r="P6" s="761" t="s">
        <v>1229</v>
      </c>
    </row>
    <row r="7" spans="1:17" s="14" customFormat="1" ht="22.5">
      <c r="A7" s="47" t="s">
        <v>210</v>
      </c>
      <c r="B7" s="985" t="s">
        <v>1130</v>
      </c>
      <c r="C7" s="2012"/>
      <c r="D7" s="672"/>
      <c r="E7" s="755" t="s">
        <v>1130</v>
      </c>
      <c r="F7" s="2012"/>
      <c r="G7" s="2208"/>
      <c r="H7" s="449" t="s">
        <v>229</v>
      </c>
      <c r="I7" s="717" t="s">
        <v>229</v>
      </c>
      <c r="J7" s="765" t="s">
        <v>229</v>
      </c>
      <c r="K7" s="765" t="s">
        <v>229</v>
      </c>
      <c r="L7" s="765" t="s">
        <v>229</v>
      </c>
      <c r="M7" s="2210" t="s">
        <v>229</v>
      </c>
      <c r="N7" s="1071" t="s">
        <v>229</v>
      </c>
      <c r="O7" s="2210" t="s">
        <v>1201</v>
      </c>
      <c r="P7" s="774" t="s">
        <v>1231</v>
      </c>
    </row>
    <row r="8" spans="1:17" s="14" customFormat="1" ht="24.75" customHeight="1">
      <c r="A8" s="225" t="s">
        <v>412</v>
      </c>
      <c r="B8" s="397" t="s">
        <v>834</v>
      </c>
      <c r="C8" s="1290" t="s">
        <v>835</v>
      </c>
      <c r="D8" s="396" t="s">
        <v>836</v>
      </c>
      <c r="E8" s="398" t="s">
        <v>837</v>
      </c>
      <c r="F8" s="1290" t="s">
        <v>838</v>
      </c>
      <c r="G8" s="397" t="s">
        <v>839</v>
      </c>
      <c r="H8" s="398" t="s">
        <v>964</v>
      </c>
      <c r="I8" s="394" t="s">
        <v>1019</v>
      </c>
      <c r="J8" s="394" t="s">
        <v>1315</v>
      </c>
      <c r="K8" s="394" t="s">
        <v>1131</v>
      </c>
      <c r="L8" s="394" t="s">
        <v>1132</v>
      </c>
      <c r="M8" s="398" t="s">
        <v>1133</v>
      </c>
      <c r="N8" s="1156" t="s">
        <v>1202</v>
      </c>
      <c r="O8" s="1588" t="s">
        <v>1365</v>
      </c>
      <c r="P8" s="391" t="s">
        <v>1366</v>
      </c>
    </row>
    <row r="9" spans="1:17" s="15" customFormat="1" ht="13.5" thickBot="1">
      <c r="A9" s="194"/>
      <c r="B9" s="237"/>
      <c r="C9" s="2170"/>
      <c r="D9" s="2197"/>
      <c r="E9" s="2174"/>
      <c r="F9" s="2170"/>
      <c r="G9" s="216"/>
      <c r="H9" s="450"/>
      <c r="I9" s="718"/>
      <c r="J9" s="766"/>
      <c r="K9" s="2434"/>
      <c r="L9" s="2434"/>
      <c r="M9" s="2211"/>
      <c r="N9" s="2214"/>
      <c r="O9" s="2211"/>
      <c r="P9" s="1068"/>
    </row>
    <row r="10" spans="1:17" s="15" customFormat="1">
      <c r="A10" s="474">
        <v>1973.01</v>
      </c>
      <c r="B10" s="2194"/>
      <c r="C10" s="2202"/>
      <c r="D10" s="2198"/>
      <c r="E10" s="772"/>
      <c r="F10" s="2203"/>
      <c r="G10" s="2198"/>
      <c r="H10" s="451"/>
      <c r="I10" s="719"/>
      <c r="J10" s="767"/>
      <c r="K10" s="715"/>
      <c r="L10" s="715"/>
      <c r="M10" s="2218"/>
      <c r="N10" s="2198"/>
      <c r="O10" s="3275">
        <v>42.6</v>
      </c>
      <c r="P10" s="3283">
        <v>41.6</v>
      </c>
      <c r="Q10" s="16"/>
    </row>
    <row r="11" spans="1:17" s="15" customFormat="1">
      <c r="A11" s="219">
        <v>1973.02</v>
      </c>
      <c r="B11" s="2194" t="s">
        <v>74</v>
      </c>
      <c r="C11" s="2203"/>
      <c r="D11" s="2198"/>
      <c r="E11" s="772"/>
      <c r="F11" s="2203"/>
      <c r="G11" s="2198"/>
      <c r="H11" s="451"/>
      <c r="I11" s="715"/>
      <c r="J11" s="767"/>
      <c r="K11" s="715"/>
      <c r="L11" s="715"/>
      <c r="M11" s="2218"/>
      <c r="N11" s="2198"/>
      <c r="O11" s="2212">
        <v>42.9</v>
      </c>
      <c r="P11" s="3284">
        <v>42.4</v>
      </c>
      <c r="Q11" s="16"/>
    </row>
    <row r="12" spans="1:17" s="15" customFormat="1">
      <c r="A12" s="341">
        <v>1973.03</v>
      </c>
      <c r="B12" s="983">
        <v>27.153596470171099</v>
      </c>
      <c r="C12" s="2204">
        <v>114.027883490177</v>
      </c>
      <c r="D12" s="2199">
        <v>1.08821409805355</v>
      </c>
      <c r="E12" s="2206">
        <v>101.921989141023</v>
      </c>
      <c r="F12" s="2204">
        <v>106.343194240039</v>
      </c>
      <c r="G12" s="984">
        <v>91.163218167306894</v>
      </c>
      <c r="H12" s="982"/>
      <c r="I12" s="715"/>
      <c r="J12" s="767"/>
      <c r="K12" s="715"/>
      <c r="L12" s="715"/>
      <c r="M12" s="2218"/>
      <c r="N12" s="2198"/>
      <c r="O12" s="2212">
        <v>43.3</v>
      </c>
      <c r="P12" s="3284">
        <v>43.4</v>
      </c>
      <c r="Q12" s="16"/>
    </row>
    <row r="13" spans="1:17" s="15" customFormat="1">
      <c r="A13" s="341">
        <v>1973.04</v>
      </c>
      <c r="B13" s="2195">
        <v>27.337378990423002</v>
      </c>
      <c r="C13" s="2205">
        <v>114.99012595948901</v>
      </c>
      <c r="D13" s="2200">
        <v>1.08972691138629</v>
      </c>
      <c r="E13" s="2207">
        <v>102.280727742243</v>
      </c>
      <c r="F13" s="2205">
        <v>107.04715774711801</v>
      </c>
      <c r="G13" s="2200">
        <v>90.578309992920595</v>
      </c>
      <c r="H13" s="451"/>
      <c r="I13" s="715"/>
      <c r="J13" s="767"/>
      <c r="K13" s="715"/>
      <c r="L13" s="715"/>
      <c r="M13" s="2218"/>
      <c r="N13" s="2198"/>
      <c r="O13" s="2212">
        <v>43.6</v>
      </c>
      <c r="P13" s="3284">
        <v>43.6</v>
      </c>
      <c r="Q13" s="16"/>
    </row>
    <row r="14" spans="1:17" s="15" customFormat="1">
      <c r="A14" s="341">
        <v>1973.05</v>
      </c>
      <c r="B14" s="2195">
        <v>27.187815270361199</v>
      </c>
      <c r="C14" s="2205">
        <v>114.149033526922</v>
      </c>
      <c r="D14" s="2200">
        <v>1.09028879529828</v>
      </c>
      <c r="E14" s="2207">
        <v>100.934686432373</v>
      </c>
      <c r="F14" s="2205">
        <v>105.706513385357</v>
      </c>
      <c r="G14" s="2200">
        <v>89.200567590234002</v>
      </c>
      <c r="H14" s="451"/>
      <c r="I14" s="715"/>
      <c r="J14" s="767"/>
      <c r="K14" s="715"/>
      <c r="L14" s="715"/>
      <c r="M14" s="2218"/>
      <c r="N14" s="2198"/>
      <c r="O14" s="2212">
        <v>43.9</v>
      </c>
      <c r="P14" s="3284">
        <v>44.5</v>
      </c>
      <c r="Q14" s="16"/>
    </row>
    <row r="15" spans="1:17" s="15" customFormat="1">
      <c r="A15" s="341">
        <v>1973.06</v>
      </c>
      <c r="B15" s="2195">
        <v>26.7724572986141</v>
      </c>
      <c r="C15" s="2205">
        <v>112.02936449325399</v>
      </c>
      <c r="D15" s="2200">
        <v>1.08528445301406</v>
      </c>
      <c r="E15" s="2207">
        <v>99.162997593790607</v>
      </c>
      <c r="F15" s="2205">
        <v>103.72052457400601</v>
      </c>
      <c r="G15" s="2200">
        <v>87.991163309953393</v>
      </c>
      <c r="H15" s="451"/>
      <c r="I15" s="715"/>
      <c r="J15" s="767"/>
      <c r="K15" s="715"/>
      <c r="L15" s="715"/>
      <c r="M15" s="2218"/>
      <c r="N15" s="2198"/>
      <c r="O15" s="2212">
        <v>44.2</v>
      </c>
      <c r="P15" s="3284">
        <v>45.5</v>
      </c>
      <c r="Q15" s="16"/>
    </row>
    <row r="16" spans="1:17" s="15" customFormat="1">
      <c r="A16" s="341">
        <v>1973.07</v>
      </c>
      <c r="B16" s="2195">
        <v>26.386883363517899</v>
      </c>
      <c r="C16" s="2205">
        <v>109.931160776703</v>
      </c>
      <c r="D16" s="2200">
        <v>1.08494479420127</v>
      </c>
      <c r="E16" s="2207">
        <v>96.5490774315914</v>
      </c>
      <c r="F16" s="2205">
        <v>100.90309234847599</v>
      </c>
      <c r="G16" s="2200">
        <v>85.900314850510298</v>
      </c>
      <c r="H16" s="451"/>
      <c r="I16" s="715"/>
      <c r="J16" s="767"/>
      <c r="K16" s="715"/>
      <c r="L16" s="715"/>
      <c r="M16" s="2218"/>
      <c r="N16" s="2198"/>
      <c r="O16" s="2212">
        <v>44.3</v>
      </c>
      <c r="P16" s="3284">
        <v>44.9</v>
      </c>
      <c r="Q16" s="16"/>
    </row>
    <row r="17" spans="1:17" s="15" customFormat="1">
      <c r="A17" s="341">
        <v>1973.08</v>
      </c>
      <c r="B17" s="2195">
        <v>26.678088453348899</v>
      </c>
      <c r="C17" s="2205">
        <v>111.483471954276</v>
      </c>
      <c r="D17" s="2200">
        <v>1.08619838631111</v>
      </c>
      <c r="E17" s="2207">
        <v>98.277198334364599</v>
      </c>
      <c r="F17" s="2205">
        <v>103.19225584047101</v>
      </c>
      <c r="G17" s="2200">
        <v>86.124109746299297</v>
      </c>
      <c r="H17" s="451"/>
      <c r="I17" s="715"/>
      <c r="J17" s="767"/>
      <c r="K17" s="715"/>
      <c r="L17" s="715"/>
      <c r="M17" s="2218"/>
      <c r="N17" s="2198"/>
      <c r="O17" s="2212">
        <v>45.1</v>
      </c>
      <c r="P17" s="3284">
        <v>47.5</v>
      </c>
      <c r="Q17" s="16"/>
    </row>
    <row r="18" spans="1:17" s="15" customFormat="1">
      <c r="A18" s="341">
        <v>1973.09</v>
      </c>
      <c r="B18" s="2195">
        <v>26.741461297623001</v>
      </c>
      <c r="C18" s="2205">
        <v>111.691444395459</v>
      </c>
      <c r="D18" s="2200">
        <v>1.09055534079441</v>
      </c>
      <c r="E18" s="2207">
        <v>97.787680179782001</v>
      </c>
      <c r="F18" s="2205">
        <v>102.87973316714</v>
      </c>
      <c r="G18" s="2200">
        <v>85.154899610444602</v>
      </c>
      <c r="H18" s="451"/>
      <c r="I18" s="715"/>
      <c r="J18" s="767"/>
      <c r="K18" s="715"/>
      <c r="L18" s="715"/>
      <c r="M18" s="2218"/>
      <c r="N18" s="2198"/>
      <c r="O18" s="2212">
        <v>45.2</v>
      </c>
      <c r="P18" s="3284">
        <v>46.7</v>
      </c>
      <c r="Q18" s="16"/>
    </row>
    <row r="19" spans="1:17" s="15" customFormat="1">
      <c r="A19" s="341">
        <v>1973.1</v>
      </c>
      <c r="B19" s="2195">
        <v>26.637921154124601</v>
      </c>
      <c r="C19" s="2205">
        <v>111.120251463755</v>
      </c>
      <c r="D19" s="2200">
        <v>1.0907135381561399</v>
      </c>
      <c r="E19" s="2207">
        <v>97.716977413611403</v>
      </c>
      <c r="F19" s="2205">
        <v>102.514149971234</v>
      </c>
      <c r="G19" s="2200">
        <v>85.875577702685604</v>
      </c>
      <c r="H19" s="451"/>
      <c r="I19" s="715"/>
      <c r="J19" s="767"/>
      <c r="K19" s="715"/>
      <c r="L19" s="715"/>
      <c r="M19" s="2218"/>
      <c r="N19" s="2198"/>
      <c r="O19" s="2212">
        <v>45.6</v>
      </c>
      <c r="P19" s="3284">
        <v>46.3</v>
      </c>
      <c r="Q19" s="16"/>
    </row>
    <row r="20" spans="1:17" s="15" customFormat="1">
      <c r="A20" s="341">
        <v>1973.11</v>
      </c>
      <c r="B20" s="2195">
        <v>27.377257925415801</v>
      </c>
      <c r="C20" s="2205">
        <v>114.19921101215699</v>
      </c>
      <c r="D20" s="2200">
        <v>1.12118479397991</v>
      </c>
      <c r="E20" s="2207">
        <v>99.444682533610205</v>
      </c>
      <c r="F20" s="2205">
        <v>104.952846517227</v>
      </c>
      <c r="G20" s="2200">
        <v>85.722959632969605</v>
      </c>
      <c r="H20" s="451"/>
      <c r="I20" s="715"/>
      <c r="J20" s="767"/>
      <c r="K20" s="715"/>
      <c r="L20" s="715"/>
      <c r="M20" s="2218"/>
      <c r="N20" s="2198"/>
      <c r="O20" s="2212">
        <v>45.9</v>
      </c>
      <c r="P20" s="3284">
        <v>46.5</v>
      </c>
      <c r="Q20" s="16"/>
    </row>
    <row r="21" spans="1:17" s="15" customFormat="1">
      <c r="A21" s="341">
        <v>1973.12</v>
      </c>
      <c r="B21" s="2195">
        <v>27.720529660422201</v>
      </c>
      <c r="C21" s="2205">
        <v>116.029349970106</v>
      </c>
      <c r="D21" s="2200">
        <v>1.12268503290993</v>
      </c>
      <c r="E21" s="2207">
        <v>99.984594970528093</v>
      </c>
      <c r="F21" s="2205">
        <v>105.975039875946</v>
      </c>
      <c r="G21" s="2200">
        <v>85.0071014403551</v>
      </c>
      <c r="H21" s="451"/>
      <c r="I21" s="715"/>
      <c r="J21" s="767"/>
      <c r="K21" s="715"/>
      <c r="L21" s="715"/>
      <c r="M21" s="2218"/>
      <c r="N21" s="2198"/>
      <c r="O21" s="2212">
        <v>46.2</v>
      </c>
      <c r="P21" s="3284">
        <v>47.4</v>
      </c>
      <c r="Q21" s="16"/>
    </row>
    <row r="22" spans="1:17" s="15" customFormat="1">
      <c r="A22" s="341">
        <v>1974.01</v>
      </c>
      <c r="B22" s="2195">
        <v>28.485888921420202</v>
      </c>
      <c r="C22" s="2205">
        <v>119.92286560983599</v>
      </c>
      <c r="D22" s="2200">
        <v>1.13405917118933</v>
      </c>
      <c r="E22" s="2207">
        <v>101.717925686904</v>
      </c>
      <c r="F22" s="2205">
        <v>109.147996485875</v>
      </c>
      <c r="G22" s="2200">
        <v>83.393359703631404</v>
      </c>
      <c r="H22" s="451"/>
      <c r="I22" s="715"/>
      <c r="J22" s="767"/>
      <c r="K22" s="715"/>
      <c r="L22" s="715"/>
      <c r="M22" s="2218"/>
      <c r="N22" s="2198"/>
      <c r="O22" s="2212">
        <v>46.6</v>
      </c>
      <c r="P22" s="3284">
        <v>49</v>
      </c>
      <c r="Q22" s="16"/>
    </row>
    <row r="23" spans="1:17" s="15" customFormat="1">
      <c r="A23" s="341">
        <v>1974.02</v>
      </c>
      <c r="B23" s="2195">
        <v>28.103334623299599</v>
      </c>
      <c r="C23" s="2205">
        <v>117.685811410414</v>
      </c>
      <c r="D23" s="2200">
        <v>1.13649293879665</v>
      </c>
      <c r="E23" s="2207">
        <v>99.1538010923976</v>
      </c>
      <c r="F23" s="2205">
        <v>106.52026310161899</v>
      </c>
      <c r="G23" s="2200">
        <v>81.012801848708705</v>
      </c>
      <c r="H23" s="451"/>
      <c r="I23" s="715"/>
      <c r="J23" s="767"/>
      <c r="K23" s="715"/>
      <c r="L23" s="715"/>
      <c r="M23" s="2218"/>
      <c r="N23" s="2198"/>
      <c r="O23" s="2212">
        <v>47.2</v>
      </c>
      <c r="P23" s="3284">
        <v>50</v>
      </c>
      <c r="Q23" s="16"/>
    </row>
    <row r="24" spans="1:17" s="15" customFormat="1">
      <c r="A24" s="341">
        <v>1974.03</v>
      </c>
      <c r="B24" s="2195">
        <v>27.6816167549254</v>
      </c>
      <c r="C24" s="2205">
        <v>115.250305118572</v>
      </c>
      <c r="D24" s="2200">
        <v>1.1387401342866501</v>
      </c>
      <c r="E24" s="2207">
        <v>97.460026535116</v>
      </c>
      <c r="F24" s="2205">
        <v>104.372990293911</v>
      </c>
      <c r="G24" s="2200">
        <v>80.369198723278501</v>
      </c>
      <c r="H24" s="451"/>
      <c r="I24" s="715"/>
      <c r="J24" s="767"/>
      <c r="K24" s="715"/>
      <c r="L24" s="715"/>
      <c r="M24" s="2218"/>
      <c r="N24" s="2198"/>
      <c r="O24" s="2212">
        <v>47.8</v>
      </c>
      <c r="P24" s="3284">
        <v>50.6</v>
      </c>
      <c r="Q24" s="16"/>
    </row>
    <row r="25" spans="1:17" s="15" customFormat="1">
      <c r="A25" s="341">
        <v>1974.04</v>
      </c>
      <c r="B25" s="2195">
        <v>27.413548775372799</v>
      </c>
      <c r="C25" s="2205">
        <v>113.70950888106</v>
      </c>
      <c r="D25" s="2200">
        <v>1.1401686466560501</v>
      </c>
      <c r="E25" s="2207">
        <v>95.989031307549794</v>
      </c>
      <c r="F25" s="2205">
        <v>102.518577323239</v>
      </c>
      <c r="G25" s="2200">
        <v>79.794011892894702</v>
      </c>
      <c r="H25" s="451"/>
      <c r="I25" s="715"/>
      <c r="J25" s="767"/>
      <c r="K25" s="715"/>
      <c r="L25" s="715"/>
      <c r="M25" s="2218"/>
      <c r="N25" s="2198"/>
      <c r="O25" s="2212">
        <v>48</v>
      </c>
      <c r="P25" s="3284">
        <v>51</v>
      </c>
      <c r="Q25" s="16"/>
    </row>
    <row r="26" spans="1:17" s="15" customFormat="1">
      <c r="A26" s="341">
        <v>1974.05</v>
      </c>
      <c r="B26" s="2195">
        <v>27.2436110415344</v>
      </c>
      <c r="C26" s="2205">
        <v>112.688261805899</v>
      </c>
      <c r="D26" s="2200">
        <v>1.1425151396395901</v>
      </c>
      <c r="E26" s="2207">
        <v>95.199480681568303</v>
      </c>
      <c r="F26" s="2205">
        <v>101.396477873926</v>
      </c>
      <c r="G26" s="2200">
        <v>79.781899805771502</v>
      </c>
      <c r="H26" s="451"/>
      <c r="I26" s="715"/>
      <c r="J26" s="767"/>
      <c r="K26" s="715"/>
      <c r="L26" s="715"/>
      <c r="M26" s="2218"/>
      <c r="N26" s="2198"/>
      <c r="O26" s="2212">
        <v>48.6</v>
      </c>
      <c r="P26" s="3284">
        <v>51.8</v>
      </c>
      <c r="Q26" s="16"/>
    </row>
    <row r="27" spans="1:17" s="15" customFormat="1">
      <c r="A27" s="341">
        <v>1974.06</v>
      </c>
      <c r="B27" s="2195">
        <v>27.5104027145697</v>
      </c>
      <c r="C27" s="2205">
        <v>113.981026329778</v>
      </c>
      <c r="D27" s="2200">
        <v>1.1480549847164201</v>
      </c>
      <c r="E27" s="2207">
        <v>95.917039405702695</v>
      </c>
      <c r="F27" s="2205">
        <v>102.438472243977</v>
      </c>
      <c r="G27" s="2200">
        <v>79.741556707469996</v>
      </c>
      <c r="H27" s="451"/>
      <c r="I27" s="715"/>
      <c r="J27" s="767"/>
      <c r="K27" s="715"/>
      <c r="L27" s="715"/>
      <c r="M27" s="2218"/>
      <c r="N27" s="2198"/>
      <c r="O27" s="2212">
        <v>49</v>
      </c>
      <c r="P27" s="3284">
        <v>52</v>
      </c>
      <c r="Q27" s="16"/>
    </row>
    <row r="28" spans="1:17" s="15" customFormat="1">
      <c r="A28" s="341">
        <v>1974.07</v>
      </c>
      <c r="B28" s="2195">
        <v>27.725624588317402</v>
      </c>
      <c r="C28" s="2205">
        <v>114.878911749506</v>
      </c>
      <c r="D28" s="2200">
        <v>1.15685040162871</v>
      </c>
      <c r="E28" s="2207">
        <v>95.962439371411506</v>
      </c>
      <c r="F28" s="2205">
        <v>102.70326785605501</v>
      </c>
      <c r="G28" s="2200">
        <v>79.284255151124995</v>
      </c>
      <c r="H28" s="451"/>
      <c r="I28" s="715"/>
      <c r="J28" s="767"/>
      <c r="K28" s="715"/>
      <c r="L28" s="715"/>
      <c r="M28" s="2218"/>
      <c r="N28" s="2198"/>
      <c r="O28" s="2212">
        <v>49.4</v>
      </c>
      <c r="P28" s="3284">
        <v>54</v>
      </c>
      <c r="Q28" s="16"/>
    </row>
    <row r="29" spans="1:17" s="15" customFormat="1">
      <c r="A29" s="341">
        <v>1974.08</v>
      </c>
      <c r="B29" s="2195">
        <v>28.093478270637799</v>
      </c>
      <c r="C29" s="2205">
        <v>116.793744391552</v>
      </c>
      <c r="D29" s="2200">
        <v>1.1606704014865099</v>
      </c>
      <c r="E29" s="2207">
        <v>97.275496814453007</v>
      </c>
      <c r="F29" s="2205">
        <v>104.538723749531</v>
      </c>
      <c r="G29" s="2200">
        <v>79.396676171127396</v>
      </c>
      <c r="H29" s="451"/>
      <c r="I29" s="715"/>
      <c r="J29" s="767"/>
      <c r="K29" s="715"/>
      <c r="L29" s="715"/>
      <c r="M29" s="2218"/>
      <c r="N29" s="2198"/>
      <c r="O29" s="2212">
        <v>50</v>
      </c>
      <c r="P29" s="3284">
        <v>55.9</v>
      </c>
      <c r="Q29" s="16"/>
    </row>
    <row r="30" spans="1:17" s="15" customFormat="1">
      <c r="A30" s="341">
        <v>1974.09</v>
      </c>
      <c r="B30" s="2195">
        <v>28.2485552301269</v>
      </c>
      <c r="C30" s="2205">
        <v>117.51371454189901</v>
      </c>
      <c r="D30" s="2200">
        <v>1.16486257286654</v>
      </c>
      <c r="E30" s="2207">
        <v>98.091385249358098</v>
      </c>
      <c r="F30" s="2205">
        <v>105.53181761477499</v>
      </c>
      <c r="G30" s="2200">
        <v>79.802433904434594</v>
      </c>
      <c r="H30" s="451"/>
      <c r="I30" s="715"/>
      <c r="J30" s="767"/>
      <c r="K30" s="715"/>
      <c r="L30" s="715"/>
      <c r="M30" s="2218"/>
      <c r="N30" s="2198"/>
      <c r="O30" s="2212">
        <v>50.6</v>
      </c>
      <c r="P30" s="3284">
        <v>55.9</v>
      </c>
      <c r="Q30" s="16"/>
    </row>
    <row r="31" spans="1:17" s="15" customFormat="1">
      <c r="A31" s="341">
        <v>1974.1</v>
      </c>
      <c r="B31" s="2195">
        <v>28.186865325926501</v>
      </c>
      <c r="C31" s="2205">
        <v>116.94755305013</v>
      </c>
      <c r="D31" s="2200">
        <v>1.1714225353865899</v>
      </c>
      <c r="E31" s="2207">
        <v>97.153857911747806</v>
      </c>
      <c r="F31" s="2205">
        <v>104.402004572941</v>
      </c>
      <c r="G31" s="2200">
        <v>79.310844295964699</v>
      </c>
      <c r="H31" s="451"/>
      <c r="I31" s="715"/>
      <c r="J31" s="767"/>
      <c r="K31" s="715"/>
      <c r="L31" s="715"/>
      <c r="M31" s="2218"/>
      <c r="N31" s="2198"/>
      <c r="O31" s="2212">
        <v>51.1</v>
      </c>
      <c r="P31" s="3284">
        <v>56.9</v>
      </c>
      <c r="Q31" s="16"/>
    </row>
    <row r="32" spans="1:17" s="15" customFormat="1">
      <c r="A32" s="341">
        <v>1974.11</v>
      </c>
      <c r="B32" s="2195">
        <v>28.1319747457798</v>
      </c>
      <c r="C32" s="2205">
        <v>116.367300571554</v>
      </c>
      <c r="D32" s="2200">
        <v>1.17963273571259</v>
      </c>
      <c r="E32" s="2207">
        <v>96.653783271421801</v>
      </c>
      <c r="F32" s="2205">
        <v>103.705956124888</v>
      </c>
      <c r="G32" s="2200">
        <v>79.259537258154396</v>
      </c>
      <c r="H32" s="451"/>
      <c r="I32" s="715"/>
      <c r="J32" s="767"/>
      <c r="K32" s="715"/>
      <c r="L32" s="715"/>
      <c r="M32" s="2218"/>
      <c r="N32" s="2198"/>
      <c r="O32" s="2212">
        <v>51.5</v>
      </c>
      <c r="P32" s="3284">
        <v>57.4</v>
      </c>
      <c r="Q32" s="16"/>
    </row>
    <row r="33" spans="1:17" s="15" customFormat="1">
      <c r="A33" s="341">
        <v>1974.12</v>
      </c>
      <c r="B33" s="2195">
        <v>28.121447331553</v>
      </c>
      <c r="C33" s="2205">
        <v>115.394652184332</v>
      </c>
      <c r="D33" s="2200">
        <v>1.20744158503642</v>
      </c>
      <c r="E33" s="2207">
        <v>96.224220066943303</v>
      </c>
      <c r="F33" s="2205">
        <v>102.55192765565999</v>
      </c>
      <c r="G33" s="2200">
        <v>80.492185175063099</v>
      </c>
      <c r="H33" s="451"/>
      <c r="I33" s="715"/>
      <c r="J33" s="767"/>
      <c r="K33" s="715"/>
      <c r="L33" s="715"/>
      <c r="M33" s="2218"/>
      <c r="N33" s="2198"/>
      <c r="O33" s="2212">
        <v>51.9</v>
      </c>
      <c r="P33" s="3284">
        <v>57.3</v>
      </c>
      <c r="Q33" s="16"/>
    </row>
    <row r="34" spans="1:17" s="15" customFormat="1">
      <c r="A34" s="341">
        <v>1975.01</v>
      </c>
      <c r="B34" s="2195">
        <v>28.124557168681299</v>
      </c>
      <c r="C34" s="2205">
        <v>114.245650482424</v>
      </c>
      <c r="D34" s="2200">
        <v>1.24272397805593</v>
      </c>
      <c r="E34" s="2207">
        <v>96.123718648985999</v>
      </c>
      <c r="F34" s="2205">
        <v>101.680146725548</v>
      </c>
      <c r="G34" s="2200">
        <v>82.124546664412094</v>
      </c>
      <c r="H34" s="451"/>
      <c r="I34" s="715"/>
      <c r="J34" s="767"/>
      <c r="K34" s="715"/>
      <c r="L34" s="715"/>
      <c r="M34" s="2218"/>
      <c r="N34" s="2198"/>
      <c r="O34" s="2212">
        <v>52.1</v>
      </c>
      <c r="P34" s="3284">
        <v>57.4</v>
      </c>
      <c r="Q34" s="16"/>
    </row>
    <row r="35" spans="1:17" s="15" customFormat="1">
      <c r="A35" s="341">
        <v>1975.02</v>
      </c>
      <c r="B35" s="2195">
        <v>27.911725641763599</v>
      </c>
      <c r="C35" s="2205">
        <v>113.051986362752</v>
      </c>
      <c r="D35" s="2200">
        <v>1.2434825854051299</v>
      </c>
      <c r="E35" s="2207">
        <v>95.040077951682903</v>
      </c>
      <c r="F35" s="2205">
        <v>100.33045509484199</v>
      </c>
      <c r="G35" s="2200">
        <v>81.663681860749904</v>
      </c>
      <c r="H35" s="451"/>
      <c r="I35" s="715"/>
      <c r="J35" s="767"/>
      <c r="K35" s="715"/>
      <c r="L35" s="715"/>
      <c r="M35" s="2218"/>
      <c r="N35" s="2198"/>
      <c r="O35" s="2212">
        <v>52.5</v>
      </c>
      <c r="P35" s="3284">
        <v>57.2</v>
      </c>
      <c r="Q35" s="16"/>
    </row>
    <row r="36" spans="1:17" s="15" customFormat="1">
      <c r="A36" s="341">
        <v>1975.03</v>
      </c>
      <c r="B36" s="2195">
        <v>27.8758284912583</v>
      </c>
      <c r="C36" s="2205">
        <v>112.271139568732</v>
      </c>
      <c r="D36" s="2200">
        <v>1.26178416585997</v>
      </c>
      <c r="E36" s="2207">
        <v>94.530942573739097</v>
      </c>
      <c r="F36" s="2205">
        <v>99.324740872790599</v>
      </c>
      <c r="G36" s="2200">
        <v>82.310350546094</v>
      </c>
      <c r="H36" s="451"/>
      <c r="I36" s="715"/>
      <c r="J36" s="767"/>
      <c r="K36" s="715"/>
      <c r="L36" s="715"/>
      <c r="M36" s="2218"/>
      <c r="N36" s="2198"/>
      <c r="O36" s="2212">
        <v>52.7</v>
      </c>
      <c r="P36" s="3284">
        <v>56.9</v>
      </c>
      <c r="Q36" s="16"/>
    </row>
    <row r="37" spans="1:17" s="15" customFormat="1">
      <c r="A37" s="341">
        <v>1975.04</v>
      </c>
      <c r="B37" s="2195">
        <v>28.239705265991098</v>
      </c>
      <c r="C37" s="2205">
        <v>113.856151007937</v>
      </c>
      <c r="D37" s="2200">
        <v>1.27447300579388</v>
      </c>
      <c r="E37" s="2207">
        <v>95.110073363414898</v>
      </c>
      <c r="F37" s="2205">
        <v>100.226721926891</v>
      </c>
      <c r="G37" s="2200">
        <v>82.132794865736003</v>
      </c>
      <c r="H37" s="451"/>
      <c r="I37" s="715"/>
      <c r="J37" s="767"/>
      <c r="K37" s="715"/>
      <c r="L37" s="715"/>
      <c r="M37" s="2218"/>
      <c r="N37" s="2198"/>
      <c r="O37" s="2212">
        <v>52.9</v>
      </c>
      <c r="P37" s="3284">
        <v>57.5</v>
      </c>
      <c r="Q37" s="16"/>
    </row>
    <row r="38" spans="1:17" s="15" customFormat="1">
      <c r="A38" s="341">
        <v>1975.05</v>
      </c>
      <c r="B38" s="2195">
        <v>28.3277060234605</v>
      </c>
      <c r="C38" s="2205">
        <v>114.156789733686</v>
      </c>
      <c r="D38" s="2200">
        <v>1.28015288672289</v>
      </c>
      <c r="E38" s="2207">
        <v>94.387487227105595</v>
      </c>
      <c r="F38" s="2205">
        <v>99.578761452939403</v>
      </c>
      <c r="G38" s="2200">
        <v>81.247164289852094</v>
      </c>
      <c r="H38" s="451"/>
      <c r="I38" s="715"/>
      <c r="J38" s="767"/>
      <c r="K38" s="715"/>
      <c r="L38" s="715"/>
      <c r="M38" s="2218"/>
      <c r="N38" s="2198"/>
      <c r="O38" s="2212">
        <v>53.2</v>
      </c>
      <c r="P38" s="3284">
        <v>57.9</v>
      </c>
      <c r="Q38" s="16"/>
    </row>
    <row r="39" spans="1:17" s="15" customFormat="1">
      <c r="A39" s="341">
        <v>1975.06</v>
      </c>
      <c r="B39" s="2195">
        <v>28.507463771864799</v>
      </c>
      <c r="C39" s="2205">
        <v>114.29667649274</v>
      </c>
      <c r="D39" s="2200">
        <v>1.30693767902388</v>
      </c>
      <c r="E39" s="2207">
        <v>94.5131313075712</v>
      </c>
      <c r="F39" s="2205">
        <v>99.484228924899199</v>
      </c>
      <c r="G39" s="2200">
        <v>81.8799392146055</v>
      </c>
      <c r="H39" s="451"/>
      <c r="I39" s="715"/>
      <c r="J39" s="767"/>
      <c r="K39" s="715"/>
      <c r="L39" s="715"/>
      <c r="M39" s="2218"/>
      <c r="N39" s="2198"/>
      <c r="O39" s="2212">
        <v>53.6</v>
      </c>
      <c r="P39" s="3284">
        <v>58</v>
      </c>
      <c r="Q39" s="16"/>
    </row>
    <row r="40" spans="1:17" s="15" customFormat="1">
      <c r="A40" s="341">
        <v>1975.07</v>
      </c>
      <c r="B40" s="2195">
        <v>29.162337316471799</v>
      </c>
      <c r="C40" s="2205">
        <v>117.145029537868</v>
      </c>
      <c r="D40" s="2200">
        <v>1.3298354406244299</v>
      </c>
      <c r="E40" s="2207">
        <v>96.673010339643298</v>
      </c>
      <c r="F40" s="2205">
        <v>102.16804347931</v>
      </c>
      <c r="G40" s="2200">
        <v>82.806303501457194</v>
      </c>
      <c r="H40" s="451"/>
      <c r="I40" s="715"/>
      <c r="J40" s="767"/>
      <c r="K40" s="715"/>
      <c r="L40" s="715"/>
      <c r="M40" s="2218"/>
      <c r="N40" s="2198"/>
      <c r="O40" s="2212">
        <v>54.2</v>
      </c>
      <c r="P40" s="3284">
        <v>58.7</v>
      </c>
      <c r="Q40" s="16"/>
    </row>
    <row r="41" spans="1:17" s="15" customFormat="1">
      <c r="A41" s="341">
        <v>1975.08</v>
      </c>
      <c r="B41" s="2195">
        <v>29.675939718851598</v>
      </c>
      <c r="C41" s="2205">
        <v>119.316545446448</v>
      </c>
      <c r="D41" s="2200">
        <v>1.34976151366877</v>
      </c>
      <c r="E41" s="2207">
        <v>97.725274207563203</v>
      </c>
      <c r="F41" s="2205">
        <v>103.613027469603</v>
      </c>
      <c r="G41" s="2200">
        <v>82.951623052475</v>
      </c>
      <c r="H41" s="451"/>
      <c r="I41" s="715"/>
      <c r="J41" s="767"/>
      <c r="K41" s="715"/>
      <c r="L41" s="715"/>
      <c r="M41" s="2218"/>
      <c r="N41" s="2198"/>
      <c r="O41" s="2212">
        <v>54.3</v>
      </c>
      <c r="P41" s="3284">
        <v>59</v>
      </c>
      <c r="Q41" s="16"/>
    </row>
    <row r="42" spans="1:17" s="15" customFormat="1">
      <c r="A42" s="341">
        <v>1975.09</v>
      </c>
      <c r="B42" s="2195">
        <v>29.9349601696515</v>
      </c>
      <c r="C42" s="2205">
        <v>120.038258602203</v>
      </c>
      <c r="D42" s="2200">
        <v>1.37180889223115</v>
      </c>
      <c r="E42" s="2207">
        <v>98.502547503484607</v>
      </c>
      <c r="F42" s="2205">
        <v>104.26439357983099</v>
      </c>
      <c r="G42" s="2200">
        <v>84.002493007989898</v>
      </c>
      <c r="H42" s="451"/>
      <c r="I42" s="715"/>
      <c r="J42" s="767"/>
      <c r="K42" s="715"/>
      <c r="L42" s="715"/>
      <c r="M42" s="2218"/>
      <c r="N42" s="2198"/>
      <c r="O42" s="2212">
        <v>54.6</v>
      </c>
      <c r="P42" s="3284">
        <v>59.4</v>
      </c>
      <c r="Q42" s="16"/>
    </row>
    <row r="43" spans="1:17" s="15" customFormat="1">
      <c r="A43" s="341">
        <v>1975.1</v>
      </c>
      <c r="B43" s="2195">
        <v>30.003846859657902</v>
      </c>
      <c r="C43" s="2205">
        <v>119.9660348252</v>
      </c>
      <c r="D43" s="2200">
        <v>1.3862429360027599</v>
      </c>
      <c r="E43" s="2207">
        <v>98.238499564563995</v>
      </c>
      <c r="F43" s="2205">
        <v>103.953549031704</v>
      </c>
      <c r="G43" s="2200">
        <v>83.848563960828599</v>
      </c>
      <c r="H43" s="451"/>
      <c r="I43" s="715"/>
      <c r="J43" s="767"/>
      <c r="K43" s="715"/>
      <c r="L43" s="715"/>
      <c r="M43" s="2218"/>
      <c r="N43" s="2198"/>
      <c r="O43" s="2212">
        <v>54.9</v>
      </c>
      <c r="P43" s="3284">
        <v>59.8</v>
      </c>
      <c r="Q43" s="16"/>
    </row>
    <row r="44" spans="1:17" s="15" customFormat="1">
      <c r="A44" s="341">
        <v>1975.11</v>
      </c>
      <c r="B44" s="2195">
        <v>29.984148507470099</v>
      </c>
      <c r="C44" s="2205">
        <v>119.60549317979201</v>
      </c>
      <c r="D44" s="2200">
        <v>1.39454944335341</v>
      </c>
      <c r="E44" s="2207">
        <v>98.028574409436999</v>
      </c>
      <c r="F44" s="2205">
        <v>103.541669534758</v>
      </c>
      <c r="G44" s="2200">
        <v>84.102360788286106</v>
      </c>
      <c r="H44" s="451"/>
      <c r="I44" s="715"/>
      <c r="J44" s="767"/>
      <c r="K44" s="715"/>
      <c r="L44" s="715"/>
      <c r="M44" s="2218"/>
      <c r="N44" s="2198"/>
      <c r="O44" s="2212">
        <v>55.3</v>
      </c>
      <c r="P44" s="3284">
        <v>59.5</v>
      </c>
      <c r="Q44" s="16"/>
    </row>
    <row r="45" spans="1:17" s="15" customFormat="1">
      <c r="A45" s="341">
        <v>1975.12</v>
      </c>
      <c r="B45" s="2195">
        <v>30.200596739453399</v>
      </c>
      <c r="C45" s="2205">
        <v>120.415380173632</v>
      </c>
      <c r="D45" s="2200">
        <v>1.40637417862237</v>
      </c>
      <c r="E45" s="2207">
        <v>98.479620463580403</v>
      </c>
      <c r="F45" s="2205">
        <v>104.077596487601</v>
      </c>
      <c r="G45" s="2200">
        <v>84.3531976907406</v>
      </c>
      <c r="H45" s="451"/>
      <c r="I45" s="715"/>
      <c r="J45" s="767"/>
      <c r="K45" s="715"/>
      <c r="L45" s="715"/>
      <c r="M45" s="2218"/>
      <c r="N45" s="2198"/>
      <c r="O45" s="2212">
        <v>55.5</v>
      </c>
      <c r="P45" s="3284">
        <v>59.7</v>
      </c>
      <c r="Q45" s="16"/>
    </row>
    <row r="46" spans="1:17" s="15" customFormat="1">
      <c r="A46" s="341">
        <v>1976.01</v>
      </c>
      <c r="B46" s="2195">
        <v>30.173644690246199</v>
      </c>
      <c r="C46" s="2205">
        <v>120.021944862768</v>
      </c>
      <c r="D46" s="2200">
        <v>1.4144534959424699</v>
      </c>
      <c r="E46" s="2207">
        <v>97.818524004118999</v>
      </c>
      <c r="F46" s="2205">
        <v>103.265614818022</v>
      </c>
      <c r="G46" s="2200">
        <v>84.043172517833099</v>
      </c>
      <c r="H46" s="451"/>
      <c r="I46" s="715"/>
      <c r="J46" s="767"/>
      <c r="K46" s="715"/>
      <c r="L46" s="715"/>
      <c r="M46" s="2218"/>
      <c r="N46" s="2198"/>
      <c r="O46" s="2212">
        <v>55.6</v>
      </c>
      <c r="P46" s="3284">
        <v>59.9</v>
      </c>
      <c r="Q46" s="16"/>
    </row>
    <row r="47" spans="1:17" s="15" customFormat="1">
      <c r="A47" s="341">
        <v>1976.02</v>
      </c>
      <c r="B47" s="2195">
        <v>30.1523276639833</v>
      </c>
      <c r="C47" s="2205">
        <v>119.65906318062601</v>
      </c>
      <c r="D47" s="2200">
        <v>1.4226193753226299</v>
      </c>
      <c r="E47" s="2207">
        <v>96.936534599873397</v>
      </c>
      <c r="F47" s="2205">
        <v>102.393968428035</v>
      </c>
      <c r="G47" s="2200">
        <v>83.150796581862807</v>
      </c>
      <c r="H47" s="451"/>
      <c r="I47" s="715"/>
      <c r="J47" s="767"/>
      <c r="K47" s="715"/>
      <c r="L47" s="715"/>
      <c r="M47" s="2218"/>
      <c r="N47" s="2198"/>
      <c r="O47" s="2212">
        <v>55.8</v>
      </c>
      <c r="P47" s="3284">
        <v>59.9</v>
      </c>
      <c r="Q47" s="16"/>
    </row>
    <row r="48" spans="1:17" s="15" customFormat="1">
      <c r="A48" s="341">
        <v>1976.03</v>
      </c>
      <c r="B48" s="2195">
        <v>30.363308304578101</v>
      </c>
      <c r="C48" s="2205">
        <v>120.533332591479</v>
      </c>
      <c r="D48" s="2200">
        <v>1.4313525831571501</v>
      </c>
      <c r="E48" s="2207">
        <v>96.894557983831106</v>
      </c>
      <c r="F48" s="2205">
        <v>102.754327583378</v>
      </c>
      <c r="G48" s="2200">
        <v>82.206483196761596</v>
      </c>
      <c r="H48" s="451"/>
      <c r="I48" s="715"/>
      <c r="J48" s="767"/>
      <c r="K48" s="715"/>
      <c r="L48" s="715"/>
      <c r="M48" s="2218"/>
      <c r="N48" s="2198"/>
      <c r="O48" s="2212">
        <v>55.9</v>
      </c>
      <c r="P48" s="3284">
        <v>60</v>
      </c>
      <c r="Q48" s="16"/>
    </row>
    <row r="49" spans="1:17" s="15" customFormat="1">
      <c r="A49" s="341">
        <v>1976.04</v>
      </c>
      <c r="B49" s="2195">
        <v>30.580803125557701</v>
      </c>
      <c r="C49" s="2205">
        <v>121.196049749078</v>
      </c>
      <c r="D49" s="2200">
        <v>1.4482602039641199</v>
      </c>
      <c r="E49" s="2207">
        <v>96.712822216884504</v>
      </c>
      <c r="F49" s="2205">
        <v>102.68202145355001</v>
      </c>
      <c r="G49" s="2200">
        <v>81.784632023582304</v>
      </c>
      <c r="H49" s="451"/>
      <c r="I49" s="715"/>
      <c r="J49" s="767"/>
      <c r="K49" s="715"/>
      <c r="L49" s="715"/>
      <c r="M49" s="2218"/>
      <c r="N49" s="2198"/>
      <c r="O49" s="2212">
        <v>56.1</v>
      </c>
      <c r="P49" s="3284">
        <v>60.6</v>
      </c>
      <c r="Q49" s="16"/>
    </row>
    <row r="50" spans="1:17" s="15" customFormat="1">
      <c r="A50" s="341">
        <v>1976.05</v>
      </c>
      <c r="B50" s="2195">
        <v>30.659876908658401</v>
      </c>
      <c r="C50" s="2205">
        <v>121.39780247381</v>
      </c>
      <c r="D50" s="2200">
        <v>1.4557278049701601</v>
      </c>
      <c r="E50" s="2207">
        <v>96.618515230282497</v>
      </c>
      <c r="F50" s="2205">
        <v>102.665040589852</v>
      </c>
      <c r="G50" s="2200">
        <v>81.520759485027</v>
      </c>
      <c r="H50" s="451"/>
      <c r="I50" s="715"/>
      <c r="J50" s="767"/>
      <c r="K50" s="715"/>
      <c r="L50" s="715"/>
      <c r="M50" s="2218"/>
      <c r="N50" s="2198"/>
      <c r="O50" s="2212">
        <v>56.5</v>
      </c>
      <c r="P50" s="3284">
        <v>60.8</v>
      </c>
      <c r="Q50" s="16"/>
    </row>
    <row r="51" spans="1:17" s="15" customFormat="1">
      <c r="A51" s="341">
        <v>1976.06</v>
      </c>
      <c r="B51" s="2195">
        <v>30.733802618980299</v>
      </c>
      <c r="C51" s="2205">
        <v>121.580623166349</v>
      </c>
      <c r="D51" s="2200">
        <v>1.46291316652437</v>
      </c>
      <c r="E51" s="2207">
        <v>96.644956235368696</v>
      </c>
      <c r="F51" s="2205">
        <v>102.789778499744</v>
      </c>
      <c r="G51" s="2200">
        <v>81.329769770508094</v>
      </c>
      <c r="H51" s="451"/>
      <c r="I51" s="715"/>
      <c r="J51" s="767"/>
      <c r="K51" s="715"/>
      <c r="L51" s="715"/>
      <c r="M51" s="2218"/>
      <c r="N51" s="2198"/>
      <c r="O51" s="2212">
        <v>56.8</v>
      </c>
      <c r="P51" s="3284">
        <v>61.2</v>
      </c>
      <c r="Q51" s="16"/>
    </row>
    <row r="52" spans="1:17" s="15" customFormat="1">
      <c r="A52" s="341">
        <v>1976.07</v>
      </c>
      <c r="B52" s="2195">
        <v>30.634025277663699</v>
      </c>
      <c r="C52" s="2205">
        <v>121.034061684638</v>
      </c>
      <c r="D52" s="2200">
        <v>1.4632608527050299</v>
      </c>
      <c r="E52" s="2207">
        <v>96.228593229871905</v>
      </c>
      <c r="F52" s="2205">
        <v>102.36704008058901</v>
      </c>
      <c r="G52" s="2200">
        <v>80.935125279780493</v>
      </c>
      <c r="H52" s="451"/>
      <c r="I52" s="715"/>
      <c r="J52" s="767"/>
      <c r="K52" s="715"/>
      <c r="L52" s="715"/>
      <c r="M52" s="2218"/>
      <c r="N52" s="2198"/>
      <c r="O52" s="2212">
        <v>57.1</v>
      </c>
      <c r="P52" s="3284">
        <v>61.6</v>
      </c>
      <c r="Q52" s="16"/>
    </row>
    <row r="53" spans="1:17" s="15" customFormat="1">
      <c r="A53" s="341">
        <v>1976.08</v>
      </c>
      <c r="B53" s="2195">
        <v>30.6473015662677</v>
      </c>
      <c r="C53" s="2205">
        <v>121.00000321690401</v>
      </c>
      <c r="D53" s="2200">
        <v>1.46681328250939</v>
      </c>
      <c r="E53" s="2207">
        <v>96.087040261105798</v>
      </c>
      <c r="F53" s="2205">
        <v>102.401995616145</v>
      </c>
      <c r="G53" s="2200">
        <v>80.408998583236894</v>
      </c>
      <c r="H53" s="451"/>
      <c r="I53" s="715"/>
      <c r="J53" s="767"/>
      <c r="K53" s="715"/>
      <c r="L53" s="715"/>
      <c r="M53" s="2218"/>
      <c r="N53" s="2198"/>
      <c r="O53" s="2212">
        <v>57.4</v>
      </c>
      <c r="P53" s="3284">
        <v>61.4</v>
      </c>
      <c r="Q53" s="16"/>
    </row>
    <row r="54" spans="1:17" s="15" customFormat="1">
      <c r="A54" s="341">
        <v>1976.09</v>
      </c>
      <c r="B54" s="2195">
        <v>31.2425010939568</v>
      </c>
      <c r="C54" s="2205">
        <v>120.213979068561</v>
      </c>
      <c r="D54" s="2200">
        <v>1.6064590243686001</v>
      </c>
      <c r="E54" s="2207">
        <v>97.359244964757494</v>
      </c>
      <c r="F54" s="2205">
        <v>101.23777115359501</v>
      </c>
      <c r="G54" s="2200">
        <v>87.247039796268893</v>
      </c>
      <c r="H54" s="451"/>
      <c r="I54" s="715"/>
      <c r="J54" s="767"/>
      <c r="K54" s="715"/>
      <c r="L54" s="715"/>
      <c r="M54" s="2218"/>
      <c r="N54" s="2198"/>
      <c r="O54" s="2212">
        <v>57.6</v>
      </c>
      <c r="P54" s="3284">
        <v>61.8</v>
      </c>
      <c r="Q54" s="16"/>
    </row>
    <row r="55" spans="1:17" s="15" customFormat="1">
      <c r="A55" s="341">
        <v>1976.1</v>
      </c>
      <c r="B55" s="2195">
        <v>31.3749540414777</v>
      </c>
      <c r="C55" s="2205">
        <v>120.632147931788</v>
      </c>
      <c r="D55" s="2200">
        <v>1.6166812163309201</v>
      </c>
      <c r="E55" s="2207">
        <v>97.226795986916798</v>
      </c>
      <c r="F55" s="2205">
        <v>101.30527290880499</v>
      </c>
      <c r="G55" s="2200">
        <v>86.637749068456998</v>
      </c>
      <c r="H55" s="451"/>
      <c r="I55" s="715"/>
      <c r="J55" s="767"/>
      <c r="K55" s="715"/>
      <c r="L55" s="715"/>
      <c r="M55" s="2218"/>
      <c r="N55" s="2198"/>
      <c r="O55" s="2212">
        <v>57.9</v>
      </c>
      <c r="P55" s="3284">
        <v>61.9</v>
      </c>
      <c r="Q55" s="16"/>
    </row>
    <row r="56" spans="1:17" s="15" customFormat="1">
      <c r="A56" s="341">
        <v>1976.11</v>
      </c>
      <c r="B56" s="2195">
        <v>31.839937433141699</v>
      </c>
      <c r="C56" s="2205">
        <v>121.495196702822</v>
      </c>
      <c r="D56" s="2200">
        <v>1.67567260312727</v>
      </c>
      <c r="E56" s="2207">
        <v>97.947716993754796</v>
      </c>
      <c r="F56" s="2205">
        <v>101.538582196663</v>
      </c>
      <c r="G56" s="2200">
        <v>88.525283865917501</v>
      </c>
      <c r="H56" s="451"/>
      <c r="I56" s="715"/>
      <c r="J56" s="767"/>
      <c r="K56" s="715"/>
      <c r="L56" s="715"/>
      <c r="M56" s="2218"/>
      <c r="N56" s="2198"/>
      <c r="O56" s="2212">
        <v>58</v>
      </c>
      <c r="P56" s="3284">
        <v>62</v>
      </c>
      <c r="Q56" s="16"/>
    </row>
    <row r="57" spans="1:17" s="15" customFormat="1">
      <c r="A57" s="341">
        <v>1976.12</v>
      </c>
      <c r="B57" s="2195">
        <v>31.929232445057799</v>
      </c>
      <c r="C57" s="2205">
        <v>122.721416071989</v>
      </c>
      <c r="D57" s="2200">
        <v>1.6468231497919199</v>
      </c>
      <c r="E57" s="2207">
        <v>97.649754361593295</v>
      </c>
      <c r="F57" s="2205">
        <v>102.10482644296</v>
      </c>
      <c r="G57" s="2200">
        <v>86.165757322780706</v>
      </c>
      <c r="H57" s="451"/>
      <c r="I57" s="715"/>
      <c r="J57" s="767"/>
      <c r="K57" s="715"/>
      <c r="L57" s="715"/>
      <c r="M57" s="2218"/>
      <c r="N57" s="2198"/>
      <c r="O57" s="2212">
        <v>58.2</v>
      </c>
      <c r="P57" s="3284">
        <v>62.5</v>
      </c>
      <c r="Q57" s="16"/>
    </row>
    <row r="58" spans="1:17" s="15" customFormat="1">
      <c r="A58" s="341">
        <v>1977.01</v>
      </c>
      <c r="B58" s="2195">
        <v>31.869788917624401</v>
      </c>
      <c r="C58" s="2205">
        <v>121.984726165616</v>
      </c>
      <c r="D58" s="2200">
        <v>1.6627913185649099</v>
      </c>
      <c r="E58" s="2207">
        <v>96.962268675028298</v>
      </c>
      <c r="F58" s="2205">
        <v>101.150249509373</v>
      </c>
      <c r="G58" s="2200">
        <v>86.109548772263693</v>
      </c>
      <c r="H58" s="451"/>
      <c r="I58" s="715"/>
      <c r="J58" s="767"/>
      <c r="K58" s="715"/>
      <c r="L58" s="715"/>
      <c r="M58" s="2218"/>
      <c r="N58" s="2198"/>
      <c r="O58" s="2212">
        <v>58.5</v>
      </c>
      <c r="P58" s="3284">
        <v>62.8</v>
      </c>
      <c r="Q58" s="16"/>
    </row>
    <row r="59" spans="1:17" s="15" customFormat="1">
      <c r="A59" s="341">
        <v>1977.02</v>
      </c>
      <c r="B59" s="2195">
        <v>32.089545271775698</v>
      </c>
      <c r="C59" s="2205">
        <v>122.337346994542</v>
      </c>
      <c r="D59" s="2200">
        <v>1.6927336654714</v>
      </c>
      <c r="E59" s="2207">
        <v>97.679299270243703</v>
      </c>
      <c r="F59" s="2205">
        <v>101.851839479605</v>
      </c>
      <c r="G59" s="2200">
        <v>86.855261372661005</v>
      </c>
      <c r="H59" s="451"/>
      <c r="I59" s="715"/>
      <c r="J59" s="767"/>
      <c r="K59" s="715"/>
      <c r="L59" s="715"/>
      <c r="M59" s="2218"/>
      <c r="N59" s="2198"/>
      <c r="O59" s="2212">
        <v>59.1</v>
      </c>
      <c r="P59" s="3284">
        <v>63.5</v>
      </c>
      <c r="Q59" s="16"/>
    </row>
    <row r="60" spans="1:17" s="15" customFormat="1">
      <c r="A60" s="341">
        <v>1977.03</v>
      </c>
      <c r="B60" s="2195">
        <v>32.210189791020198</v>
      </c>
      <c r="C60" s="2205">
        <v>122.760519443093</v>
      </c>
      <c r="D60" s="2200">
        <v>1.7005003044911</v>
      </c>
      <c r="E60" s="2207">
        <v>97.590155883468398</v>
      </c>
      <c r="F60" s="2205">
        <v>101.84612422600399</v>
      </c>
      <c r="G60" s="2200">
        <v>86.571385170147394</v>
      </c>
      <c r="H60" s="451"/>
      <c r="I60" s="715"/>
      <c r="J60" s="767"/>
      <c r="K60" s="715"/>
      <c r="L60" s="715"/>
      <c r="M60" s="2218"/>
      <c r="N60" s="2198"/>
      <c r="O60" s="2212">
        <v>59.5</v>
      </c>
      <c r="P60" s="3284">
        <v>64.099999999999994</v>
      </c>
      <c r="Q60" s="16"/>
    </row>
    <row r="61" spans="1:17" s="15" customFormat="1">
      <c r="A61" s="341">
        <v>1977.04</v>
      </c>
      <c r="B61" s="2195">
        <v>32.124700907806201</v>
      </c>
      <c r="C61" s="2205">
        <v>122.14597186468001</v>
      </c>
      <c r="D61" s="2200">
        <v>1.70705318490183</v>
      </c>
      <c r="E61" s="2207">
        <v>97.089856581957704</v>
      </c>
      <c r="F61" s="2205">
        <v>101.23391330561</v>
      </c>
      <c r="G61" s="2200">
        <v>86.338899433903293</v>
      </c>
      <c r="H61" s="451"/>
      <c r="I61" s="715"/>
      <c r="J61" s="767"/>
      <c r="K61" s="715"/>
      <c r="L61" s="715"/>
      <c r="M61" s="2218"/>
      <c r="N61" s="2198"/>
      <c r="O61" s="2212">
        <v>60</v>
      </c>
      <c r="P61" s="3284">
        <v>64.900000000000006</v>
      </c>
      <c r="Q61" s="16"/>
    </row>
    <row r="62" spans="1:17" s="15" customFormat="1">
      <c r="A62" s="341">
        <v>1977.05</v>
      </c>
      <c r="B62" s="2195">
        <v>32.165002287516899</v>
      </c>
      <c r="C62" s="2205">
        <v>122.105864834787</v>
      </c>
      <c r="D62" s="2200">
        <v>1.71666001233773</v>
      </c>
      <c r="E62" s="2207">
        <v>96.622635145062304</v>
      </c>
      <c r="F62" s="2205">
        <v>100.699501054091</v>
      </c>
      <c r="G62" s="2200">
        <v>86.034525034985805</v>
      </c>
      <c r="H62" s="451"/>
      <c r="I62" s="715"/>
      <c r="J62" s="767"/>
      <c r="K62" s="715"/>
      <c r="L62" s="715"/>
      <c r="M62" s="2218"/>
      <c r="N62" s="2198"/>
      <c r="O62" s="2212">
        <v>60.3</v>
      </c>
      <c r="P62" s="3284">
        <v>65.2</v>
      </c>
      <c r="Q62" s="16"/>
    </row>
    <row r="63" spans="1:17" s="15" customFormat="1">
      <c r="A63" s="341">
        <v>1977.06</v>
      </c>
      <c r="B63" s="2195">
        <v>32.200246018289</v>
      </c>
      <c r="C63" s="2205">
        <v>122.024849901992</v>
      </c>
      <c r="D63" s="2200">
        <v>1.7268892578433399</v>
      </c>
      <c r="E63" s="2207">
        <v>96.361746835076701</v>
      </c>
      <c r="F63" s="2205">
        <v>100.60793623859701</v>
      </c>
      <c r="G63" s="2200">
        <v>85.379207707461205</v>
      </c>
      <c r="H63" s="451"/>
      <c r="I63" s="715"/>
      <c r="J63" s="767"/>
      <c r="K63" s="715"/>
      <c r="L63" s="715"/>
      <c r="M63" s="2218"/>
      <c r="N63" s="2198"/>
      <c r="O63" s="2212">
        <v>60.7</v>
      </c>
      <c r="P63" s="3284">
        <v>65</v>
      </c>
      <c r="Q63" s="16"/>
    </row>
    <row r="64" spans="1:17" s="15" customFormat="1">
      <c r="A64" s="341">
        <v>1977.07</v>
      </c>
      <c r="B64" s="2195">
        <v>32.020009051996098</v>
      </c>
      <c r="C64" s="2205">
        <v>120.945415466848</v>
      </c>
      <c r="D64" s="2200">
        <v>1.73277488181908</v>
      </c>
      <c r="E64" s="2207">
        <v>95.567612165544404</v>
      </c>
      <c r="F64" s="2205">
        <v>99.587621516894203</v>
      </c>
      <c r="G64" s="2200">
        <v>85.124167922384302</v>
      </c>
      <c r="H64" s="451"/>
      <c r="I64" s="715"/>
      <c r="J64" s="767"/>
      <c r="K64" s="715"/>
      <c r="L64" s="715"/>
      <c r="M64" s="2218"/>
      <c r="N64" s="2198"/>
      <c r="O64" s="2212">
        <v>61</v>
      </c>
      <c r="P64" s="3284">
        <v>65.099999999999994</v>
      </c>
      <c r="Q64" s="16"/>
    </row>
    <row r="65" spans="1:17" s="15" customFormat="1">
      <c r="A65" s="341">
        <v>1977.08</v>
      </c>
      <c r="B65" s="2195">
        <v>32.255362652482603</v>
      </c>
      <c r="C65" s="2205">
        <v>121.989279583057</v>
      </c>
      <c r="D65" s="2200">
        <v>1.73941213966548</v>
      </c>
      <c r="E65" s="2207">
        <v>95.907049582026701</v>
      </c>
      <c r="F65" s="2205">
        <v>100.424029091362</v>
      </c>
      <c r="G65" s="2200">
        <v>84.300103450671003</v>
      </c>
      <c r="H65" s="451"/>
      <c r="I65" s="715"/>
      <c r="J65" s="767"/>
      <c r="K65" s="715"/>
      <c r="L65" s="715"/>
      <c r="M65" s="2218"/>
      <c r="N65" s="2198"/>
      <c r="O65" s="2212">
        <v>61.2</v>
      </c>
      <c r="P65" s="3284">
        <v>65</v>
      </c>
      <c r="Q65" s="16"/>
    </row>
    <row r="66" spans="1:17" s="15" customFormat="1">
      <c r="A66" s="341">
        <v>1977.09</v>
      </c>
      <c r="B66" s="2195">
        <v>32.341403061458202</v>
      </c>
      <c r="C66" s="2205">
        <v>122.204760447523</v>
      </c>
      <c r="D66" s="2200">
        <v>1.7483749794532999</v>
      </c>
      <c r="E66" s="2207">
        <v>95.726528905036801</v>
      </c>
      <c r="F66" s="2205">
        <v>100.199699223604</v>
      </c>
      <c r="G66" s="2200">
        <v>84.223134101115505</v>
      </c>
      <c r="H66" s="451"/>
      <c r="I66" s="715"/>
      <c r="J66" s="767"/>
      <c r="K66" s="715"/>
      <c r="L66" s="715"/>
      <c r="M66" s="2218"/>
      <c r="N66" s="2198"/>
      <c r="O66" s="2212">
        <v>61.4</v>
      </c>
      <c r="P66" s="3284">
        <v>65.3</v>
      </c>
      <c r="Q66" s="16"/>
    </row>
    <row r="67" spans="1:17" s="15" customFormat="1">
      <c r="A67" s="341">
        <v>1977.1</v>
      </c>
      <c r="B67" s="2195">
        <v>32.1600430578968</v>
      </c>
      <c r="C67" s="2205">
        <v>121.162636904</v>
      </c>
      <c r="D67" s="2200">
        <v>1.75271550063073</v>
      </c>
      <c r="E67" s="2207">
        <v>94.9858823197399</v>
      </c>
      <c r="F67" s="2205">
        <v>99.192287516808705</v>
      </c>
      <c r="G67" s="2200">
        <v>84.111442847737806</v>
      </c>
      <c r="H67" s="451"/>
      <c r="I67" s="715"/>
      <c r="J67" s="767"/>
      <c r="K67" s="715"/>
      <c r="L67" s="715"/>
      <c r="M67" s="2218"/>
      <c r="N67" s="2198"/>
      <c r="O67" s="2212">
        <v>61.6</v>
      </c>
      <c r="P67" s="3284">
        <v>65.599999999999994</v>
      </c>
      <c r="Q67" s="16"/>
    </row>
    <row r="68" spans="1:17" s="15" customFormat="1">
      <c r="A68" s="341">
        <v>1977.11</v>
      </c>
      <c r="B68" s="2195">
        <v>32.024379277827101</v>
      </c>
      <c r="C68" s="2205">
        <v>119.795233454474</v>
      </c>
      <c r="D68" s="2200">
        <v>1.77991172357296</v>
      </c>
      <c r="E68" s="2207">
        <v>94.590865858377796</v>
      </c>
      <c r="F68" s="2205">
        <v>98.284175545457202</v>
      </c>
      <c r="G68" s="2200">
        <v>84.930392869414703</v>
      </c>
      <c r="H68" s="451"/>
      <c r="I68" s="715"/>
      <c r="J68" s="767"/>
      <c r="K68" s="715"/>
      <c r="L68" s="715"/>
      <c r="M68" s="2218"/>
      <c r="N68" s="2198"/>
      <c r="O68" s="2212">
        <v>61.9</v>
      </c>
      <c r="P68" s="3284">
        <v>65.8</v>
      </c>
      <c r="Q68" s="16"/>
    </row>
    <row r="69" spans="1:17" s="15" customFormat="1">
      <c r="A69" s="341">
        <v>1977.12</v>
      </c>
      <c r="B69" s="2195">
        <v>31.623967020373701</v>
      </c>
      <c r="C69" s="2205">
        <v>117.615907059292</v>
      </c>
      <c r="D69" s="2200">
        <v>1.7858774415279901</v>
      </c>
      <c r="E69" s="2207">
        <v>93.236278180934903</v>
      </c>
      <c r="F69" s="2205">
        <v>96.434413113392296</v>
      </c>
      <c r="G69" s="2200">
        <v>84.776135169310606</v>
      </c>
      <c r="H69" s="451"/>
      <c r="I69" s="715"/>
      <c r="J69" s="767"/>
      <c r="K69" s="715"/>
      <c r="L69" s="715"/>
      <c r="M69" s="2218"/>
      <c r="N69" s="2198"/>
      <c r="O69" s="2212">
        <v>62.1</v>
      </c>
      <c r="P69" s="3284">
        <v>66.2</v>
      </c>
      <c r="Q69" s="16"/>
    </row>
    <row r="70" spans="1:17" s="15" customFormat="1">
      <c r="A70" s="341">
        <v>1978.01</v>
      </c>
      <c r="B70" s="2195">
        <v>31.426547276291299</v>
      </c>
      <c r="C70" s="2205">
        <v>116.537585701013</v>
      </c>
      <c r="D70" s="2200">
        <v>1.7891959374425801</v>
      </c>
      <c r="E70" s="2207">
        <v>92.686868481210496</v>
      </c>
      <c r="F70" s="2205">
        <v>95.820787140853696</v>
      </c>
      <c r="G70" s="2200">
        <v>84.382060393776399</v>
      </c>
      <c r="H70" s="451"/>
      <c r="I70" s="715"/>
      <c r="J70" s="767"/>
      <c r="K70" s="715"/>
      <c r="L70" s="715"/>
      <c r="M70" s="2218"/>
      <c r="N70" s="2198"/>
      <c r="O70" s="2212">
        <v>62.5</v>
      </c>
      <c r="P70" s="3284">
        <v>66.8</v>
      </c>
      <c r="Q70" s="16"/>
    </row>
    <row r="71" spans="1:17" s="15" customFormat="1">
      <c r="A71" s="341">
        <v>1978.02</v>
      </c>
      <c r="B71" s="2195">
        <v>31.440367543279098</v>
      </c>
      <c r="C71" s="2205">
        <v>116.48522188893899</v>
      </c>
      <c r="D71" s="2200">
        <v>1.79419028047705</v>
      </c>
      <c r="E71" s="2207">
        <v>92.522474391941202</v>
      </c>
      <c r="F71" s="2205">
        <v>95.693452250491802</v>
      </c>
      <c r="G71" s="2200">
        <v>84.133309523216795</v>
      </c>
      <c r="H71" s="451"/>
      <c r="I71" s="715"/>
      <c r="J71" s="767"/>
      <c r="K71" s="715"/>
      <c r="L71" s="715"/>
      <c r="M71" s="2218"/>
      <c r="N71" s="2198"/>
      <c r="O71" s="2212">
        <v>62.9</v>
      </c>
      <c r="P71" s="3284">
        <v>67.5</v>
      </c>
      <c r="Q71" s="16"/>
    </row>
    <row r="72" spans="1:17" s="15" customFormat="1">
      <c r="A72" s="341">
        <v>1978.03</v>
      </c>
      <c r="B72" s="2195">
        <v>31.282447585698801</v>
      </c>
      <c r="C72" s="2205">
        <v>115.48574563086</v>
      </c>
      <c r="D72" s="2200">
        <v>1.80214982859075</v>
      </c>
      <c r="E72" s="2207">
        <v>91.933334251488105</v>
      </c>
      <c r="F72" s="2205">
        <v>94.807273113468298</v>
      </c>
      <c r="G72" s="2200">
        <v>84.244165638157796</v>
      </c>
      <c r="H72" s="451"/>
      <c r="I72" s="715"/>
      <c r="J72" s="767"/>
      <c r="K72" s="715"/>
      <c r="L72" s="715"/>
      <c r="M72" s="2218"/>
      <c r="N72" s="2198"/>
      <c r="O72" s="2212">
        <v>63.4</v>
      </c>
      <c r="P72" s="3284">
        <v>68.099999999999994</v>
      </c>
      <c r="Q72" s="16"/>
    </row>
    <row r="73" spans="1:17" s="15" customFormat="1">
      <c r="A73" s="341">
        <v>1978.04</v>
      </c>
      <c r="B73" s="2195">
        <v>31.274015663226901</v>
      </c>
      <c r="C73" s="2205">
        <v>115.202822082891</v>
      </c>
      <c r="D73" s="2200">
        <v>1.81211442445122</v>
      </c>
      <c r="E73" s="2207">
        <v>92.054043039008405</v>
      </c>
      <c r="F73" s="2205">
        <v>94.942284716968302</v>
      </c>
      <c r="G73" s="2200">
        <v>84.330061388775306</v>
      </c>
      <c r="H73" s="451"/>
      <c r="I73" s="715"/>
      <c r="J73" s="767"/>
      <c r="K73" s="715"/>
      <c r="L73" s="715"/>
      <c r="M73" s="2218"/>
      <c r="N73" s="2198"/>
      <c r="O73" s="2212">
        <v>63.9</v>
      </c>
      <c r="P73" s="3284">
        <v>69</v>
      </c>
      <c r="Q73" s="16"/>
    </row>
    <row r="74" spans="1:17" s="15" customFormat="1">
      <c r="A74" s="341">
        <v>1978.05</v>
      </c>
      <c r="B74" s="2195">
        <v>31.507761500251199</v>
      </c>
      <c r="C74" s="2205">
        <v>116.119253112867</v>
      </c>
      <c r="D74" s="2200">
        <v>1.82332707298545</v>
      </c>
      <c r="E74" s="2207">
        <v>92.870506991003595</v>
      </c>
      <c r="F74" s="2205">
        <v>95.956883273722895</v>
      </c>
      <c r="G74" s="2200">
        <v>84.674446802101002</v>
      </c>
      <c r="H74" s="451"/>
      <c r="I74" s="715"/>
      <c r="J74" s="767"/>
      <c r="K74" s="715"/>
      <c r="L74" s="715"/>
      <c r="M74" s="2218"/>
      <c r="N74" s="2198"/>
      <c r="O74" s="2212">
        <v>64.5</v>
      </c>
      <c r="P74" s="3284">
        <v>69.5</v>
      </c>
      <c r="Q74" s="16"/>
    </row>
    <row r="75" spans="1:17" s="15" customFormat="1">
      <c r="A75" s="341">
        <v>1978.06</v>
      </c>
      <c r="B75" s="2195">
        <v>31.156095401661599</v>
      </c>
      <c r="C75" s="2205">
        <v>114.195690540396</v>
      </c>
      <c r="D75" s="2200">
        <v>1.8293062612736199</v>
      </c>
      <c r="E75" s="2207">
        <v>91.806322376824696</v>
      </c>
      <c r="F75" s="2205">
        <v>94.555450708351998</v>
      </c>
      <c r="G75" s="2200">
        <v>84.412161604615804</v>
      </c>
      <c r="H75" s="451"/>
      <c r="I75" s="715"/>
      <c r="J75" s="767"/>
      <c r="K75" s="715"/>
      <c r="L75" s="715"/>
      <c r="M75" s="2218"/>
      <c r="N75" s="2198"/>
      <c r="O75" s="2212">
        <v>65.2</v>
      </c>
      <c r="P75" s="3284">
        <v>70</v>
      </c>
      <c r="Q75" s="16"/>
    </row>
    <row r="76" spans="1:17" s="15" customFormat="1">
      <c r="A76" s="341">
        <v>1978.07</v>
      </c>
      <c r="B76" s="2195">
        <v>30.604913291151501</v>
      </c>
      <c r="C76" s="2205">
        <v>111.539056100292</v>
      </c>
      <c r="D76" s="2200">
        <v>1.82415306025418</v>
      </c>
      <c r="E76" s="2207">
        <v>89.9772830238838</v>
      </c>
      <c r="F76" s="2205">
        <v>92.272834223733696</v>
      </c>
      <c r="G76" s="2200">
        <v>83.678593618254695</v>
      </c>
      <c r="H76" s="451"/>
      <c r="I76" s="715"/>
      <c r="J76" s="767"/>
      <c r="K76" s="715"/>
      <c r="L76" s="715"/>
      <c r="M76" s="2218"/>
      <c r="N76" s="2198"/>
      <c r="O76" s="2212">
        <v>65.7</v>
      </c>
      <c r="P76" s="3284">
        <v>70.400000000000006</v>
      </c>
      <c r="Q76" s="16"/>
    </row>
    <row r="77" spans="1:17" s="15" customFormat="1">
      <c r="A77" s="341">
        <v>1978.08</v>
      </c>
      <c r="B77" s="2195">
        <v>30.150299043095</v>
      </c>
      <c r="C77" s="2205">
        <v>109.315507719365</v>
      </c>
      <c r="D77" s="2200">
        <v>1.82178505761124</v>
      </c>
      <c r="E77" s="2207">
        <v>88.496433040477697</v>
      </c>
      <c r="F77" s="2205">
        <v>90.482607159203894</v>
      </c>
      <c r="G77" s="2200">
        <v>82.9557783071551</v>
      </c>
      <c r="H77" s="451"/>
      <c r="I77" s="715"/>
      <c r="J77" s="767"/>
      <c r="K77" s="715"/>
      <c r="L77" s="715"/>
      <c r="M77" s="2218"/>
      <c r="N77" s="2198"/>
      <c r="O77" s="2212">
        <v>66</v>
      </c>
      <c r="P77" s="3284">
        <v>70.400000000000006</v>
      </c>
      <c r="Q77" s="16"/>
    </row>
    <row r="78" spans="1:17" s="15" customFormat="1">
      <c r="A78" s="341">
        <v>1978.09</v>
      </c>
      <c r="B78" s="2195">
        <v>30.250680396101799</v>
      </c>
      <c r="C78" s="2205">
        <v>109.69553674687999</v>
      </c>
      <c r="D78" s="2200">
        <v>1.8271145650366301</v>
      </c>
      <c r="E78" s="2207">
        <v>89.218511377224104</v>
      </c>
      <c r="F78" s="2205">
        <v>91.501212144500798</v>
      </c>
      <c r="G78" s="2200">
        <v>82.957346263720297</v>
      </c>
      <c r="H78" s="451"/>
      <c r="I78" s="715"/>
      <c r="J78" s="767"/>
      <c r="K78" s="715"/>
      <c r="L78" s="715"/>
      <c r="M78" s="2218"/>
      <c r="N78" s="2198"/>
      <c r="O78" s="2212">
        <v>66.5</v>
      </c>
      <c r="P78" s="3284">
        <v>71</v>
      </c>
      <c r="Q78" s="16"/>
    </row>
    <row r="79" spans="1:17" s="15" customFormat="1">
      <c r="A79" s="341">
        <v>1978.1</v>
      </c>
      <c r="B79" s="2195">
        <v>29.763962416037</v>
      </c>
      <c r="C79" s="2205">
        <v>107.32714999249301</v>
      </c>
      <c r="D79" s="2200">
        <v>1.8246839090817299</v>
      </c>
      <c r="E79" s="2207">
        <v>87.689894652072795</v>
      </c>
      <c r="F79" s="2205">
        <v>89.612878848467801</v>
      </c>
      <c r="G79" s="2200">
        <v>82.309064148200804</v>
      </c>
      <c r="H79" s="451"/>
      <c r="I79" s="715"/>
      <c r="J79" s="767"/>
      <c r="K79" s="715"/>
      <c r="L79" s="715"/>
      <c r="M79" s="2218"/>
      <c r="N79" s="2198"/>
      <c r="O79" s="2212">
        <v>67.099999999999994</v>
      </c>
      <c r="P79" s="3284">
        <v>71.8</v>
      </c>
      <c r="Q79" s="16"/>
    </row>
    <row r="80" spans="1:17" s="15" customFormat="1">
      <c r="A80" s="341">
        <v>1978.11</v>
      </c>
      <c r="B80" s="2195">
        <v>30.335871805301501</v>
      </c>
      <c r="C80" s="2205">
        <v>109.672655690691</v>
      </c>
      <c r="D80" s="2200">
        <v>1.8469945026087999</v>
      </c>
      <c r="E80" s="2207">
        <v>89.374483873450203</v>
      </c>
      <c r="F80" s="2205">
        <v>91.793071639059207</v>
      </c>
      <c r="G80" s="2200">
        <v>82.787227611189394</v>
      </c>
      <c r="H80" s="451"/>
      <c r="I80" s="715"/>
      <c r="J80" s="767"/>
      <c r="K80" s="715"/>
      <c r="L80" s="715"/>
      <c r="M80" s="2218"/>
      <c r="N80" s="2198"/>
      <c r="O80" s="2212">
        <v>67.400000000000006</v>
      </c>
      <c r="P80" s="3284">
        <v>72.099999999999994</v>
      </c>
      <c r="Q80" s="16"/>
    </row>
    <row r="81" spans="1:17" s="15" customFormat="1">
      <c r="A81" s="341">
        <v>1978.12</v>
      </c>
      <c r="B81" s="2195">
        <v>30.453870671892101</v>
      </c>
      <c r="C81" s="2205">
        <v>109.890901311319</v>
      </c>
      <c r="D81" s="2200">
        <v>1.8634674852754001</v>
      </c>
      <c r="E81" s="2207">
        <v>89.720283880760803</v>
      </c>
      <c r="F81" s="2205">
        <v>92.053889732227404</v>
      </c>
      <c r="G81" s="2200">
        <v>83.332780674667603</v>
      </c>
      <c r="H81" s="451"/>
      <c r="I81" s="715"/>
      <c r="J81" s="767"/>
      <c r="K81" s="715"/>
      <c r="L81" s="715"/>
      <c r="M81" s="2218"/>
      <c r="N81" s="2198"/>
      <c r="O81" s="2212">
        <v>67.7</v>
      </c>
      <c r="P81" s="3284">
        <v>72.7</v>
      </c>
      <c r="Q81" s="16"/>
    </row>
    <row r="82" spans="1:17" s="15" customFormat="1">
      <c r="A82" s="341">
        <v>1979.01</v>
      </c>
      <c r="B82" s="2195">
        <v>30.450665424999599</v>
      </c>
      <c r="C82" s="2205">
        <v>109.777856210658</v>
      </c>
      <c r="D82" s="2200">
        <v>1.8684729279508501</v>
      </c>
      <c r="E82" s="2207">
        <v>89.773333997988701</v>
      </c>
      <c r="F82" s="2205">
        <v>92.312041611523895</v>
      </c>
      <c r="G82" s="2200">
        <v>82.923695358262094</v>
      </c>
      <c r="H82" s="451"/>
      <c r="I82" s="715"/>
      <c r="J82" s="767"/>
      <c r="K82" s="715"/>
      <c r="L82" s="715"/>
      <c r="M82" s="2218"/>
      <c r="N82" s="2198"/>
      <c r="O82" s="2212">
        <v>68.3</v>
      </c>
      <c r="P82" s="3284">
        <v>73.8</v>
      </c>
      <c r="Q82" s="16"/>
    </row>
    <row r="83" spans="1:17" s="15" customFormat="1">
      <c r="A83" s="341">
        <v>1979.02</v>
      </c>
      <c r="B83" s="2195">
        <v>30.6421733803259</v>
      </c>
      <c r="C83" s="2205">
        <v>110.483104187283</v>
      </c>
      <c r="D83" s="2200">
        <v>1.87958650606654</v>
      </c>
      <c r="E83" s="2207">
        <v>90.545591358334207</v>
      </c>
      <c r="F83" s="2205">
        <v>93.305611976233095</v>
      </c>
      <c r="G83" s="2200">
        <v>83.191626669030001</v>
      </c>
      <c r="H83" s="451"/>
      <c r="I83" s="715"/>
      <c r="J83" s="767"/>
      <c r="K83" s="715"/>
      <c r="L83" s="715"/>
      <c r="M83" s="2218"/>
      <c r="N83" s="2198"/>
      <c r="O83" s="2212">
        <v>69.099999999999994</v>
      </c>
      <c r="P83" s="3284">
        <v>74.900000000000006</v>
      </c>
      <c r="Q83" s="16"/>
    </row>
    <row r="84" spans="1:17" s="15" customFormat="1">
      <c r="A84" s="341">
        <v>1979.03</v>
      </c>
      <c r="B84" s="2195">
        <v>30.720242933290699</v>
      </c>
      <c r="C84" s="2205">
        <v>110.488483633912</v>
      </c>
      <c r="D84" s="2200">
        <v>1.8961376147262099</v>
      </c>
      <c r="E84" s="2207">
        <v>90.578864579066206</v>
      </c>
      <c r="F84" s="2205">
        <v>93.391241286891997</v>
      </c>
      <c r="G84" s="2200">
        <v>83.108094722194295</v>
      </c>
      <c r="H84" s="451"/>
      <c r="I84" s="715"/>
      <c r="J84" s="767"/>
      <c r="K84" s="715"/>
      <c r="L84" s="715"/>
      <c r="M84" s="2218"/>
      <c r="N84" s="2198"/>
      <c r="O84" s="2212">
        <v>69.8</v>
      </c>
      <c r="P84" s="3284">
        <v>75.8</v>
      </c>
      <c r="Q84" s="16"/>
    </row>
    <row r="85" spans="1:17" s="15" customFormat="1">
      <c r="A85" s="341">
        <v>1979.04</v>
      </c>
      <c r="B85" s="2195">
        <v>30.974385779759199</v>
      </c>
      <c r="C85" s="2205">
        <v>111.23364359276</v>
      </c>
      <c r="D85" s="2200">
        <v>1.9190769379362</v>
      </c>
      <c r="E85" s="2207">
        <v>91.319716459049801</v>
      </c>
      <c r="F85" s="2205">
        <v>94.37492572859</v>
      </c>
      <c r="G85" s="2200">
        <v>83.301743569878397</v>
      </c>
      <c r="H85" s="451"/>
      <c r="I85" s="715"/>
      <c r="J85" s="767"/>
      <c r="K85" s="715"/>
      <c r="L85" s="715"/>
      <c r="M85" s="2218"/>
      <c r="N85" s="2198"/>
      <c r="O85" s="2212">
        <v>70.599999999999994</v>
      </c>
      <c r="P85" s="3284">
        <v>76.900000000000006</v>
      </c>
      <c r="Q85" s="16"/>
    </row>
    <row r="86" spans="1:17" s="15" customFormat="1">
      <c r="A86" s="341">
        <v>1979.05</v>
      </c>
      <c r="B86" s="2195">
        <v>31.229571126710599</v>
      </c>
      <c r="C86" s="2205">
        <v>112.15976220621999</v>
      </c>
      <c r="D86" s="2200">
        <v>1.93447984167999</v>
      </c>
      <c r="E86" s="2207">
        <v>92.207551173257897</v>
      </c>
      <c r="F86" s="2205">
        <v>95.615398052489695</v>
      </c>
      <c r="G86" s="2200">
        <v>83.404632690289802</v>
      </c>
      <c r="H86" s="451"/>
      <c r="I86" s="715"/>
      <c r="J86" s="767"/>
      <c r="K86" s="715"/>
      <c r="L86" s="715"/>
      <c r="M86" s="2218"/>
      <c r="N86" s="2198"/>
      <c r="O86" s="2212">
        <v>71.5</v>
      </c>
      <c r="P86" s="3284">
        <v>77.5</v>
      </c>
      <c r="Q86" s="16"/>
    </row>
    <row r="87" spans="1:17" s="15" customFormat="1">
      <c r="A87" s="341">
        <v>1979.06</v>
      </c>
      <c r="B87" s="2195">
        <v>31.2522374866303</v>
      </c>
      <c r="C87" s="2205">
        <v>111.99387003960599</v>
      </c>
      <c r="D87" s="2200">
        <v>1.94660311642267</v>
      </c>
      <c r="E87" s="2207">
        <v>92.403329564531305</v>
      </c>
      <c r="F87" s="2205">
        <v>95.804466778370696</v>
      </c>
      <c r="G87" s="2200">
        <v>83.612078304246396</v>
      </c>
      <c r="H87" s="451"/>
      <c r="I87" s="715"/>
      <c r="J87" s="767"/>
      <c r="K87" s="715"/>
      <c r="L87" s="715"/>
      <c r="M87" s="2218"/>
      <c r="N87" s="2198"/>
      <c r="O87" s="2212">
        <v>72.3</v>
      </c>
      <c r="P87" s="3284">
        <v>78</v>
      </c>
      <c r="Q87" s="16"/>
    </row>
    <row r="88" spans="1:17" s="15" customFormat="1">
      <c r="A88" s="341">
        <v>1979.07</v>
      </c>
      <c r="B88" s="2195">
        <v>30.806783731226901</v>
      </c>
      <c r="C88" s="2205">
        <v>109.679036222642</v>
      </c>
      <c r="D88" s="2200">
        <v>1.95033926815388</v>
      </c>
      <c r="E88" s="2207">
        <v>90.822983636917598</v>
      </c>
      <c r="F88" s="2205">
        <v>93.670164701322193</v>
      </c>
      <c r="G88" s="2200">
        <v>83.271663566189702</v>
      </c>
      <c r="H88" s="451"/>
      <c r="I88" s="715"/>
      <c r="J88" s="767"/>
      <c r="K88" s="715"/>
      <c r="L88" s="715"/>
      <c r="M88" s="2218"/>
      <c r="N88" s="2198"/>
      <c r="O88" s="2212">
        <v>73.099999999999994</v>
      </c>
      <c r="P88" s="3284">
        <v>79.2</v>
      </c>
      <c r="Q88" s="16"/>
    </row>
    <row r="89" spans="1:17" s="15" customFormat="1">
      <c r="A89" s="341">
        <v>1979.08</v>
      </c>
      <c r="B89" s="2195">
        <v>30.943148248608601</v>
      </c>
      <c r="C89" s="2205">
        <v>110.152559734311</v>
      </c>
      <c r="D89" s="2200">
        <v>1.9594902335618001</v>
      </c>
      <c r="E89" s="2207">
        <v>91.319405377546801</v>
      </c>
      <c r="F89" s="2205">
        <v>94.685686403900306</v>
      </c>
      <c r="G89" s="2200">
        <v>82.620304379541494</v>
      </c>
      <c r="H89" s="451"/>
      <c r="I89" s="715"/>
      <c r="J89" s="767"/>
      <c r="K89" s="715"/>
      <c r="L89" s="715"/>
      <c r="M89" s="2218"/>
      <c r="N89" s="2198"/>
      <c r="O89" s="2212">
        <v>73.8</v>
      </c>
      <c r="P89" s="3284">
        <v>79.599999999999994</v>
      </c>
      <c r="Q89" s="16"/>
    </row>
    <row r="90" spans="1:17" s="15" customFormat="1">
      <c r="A90" s="341">
        <v>1979.09</v>
      </c>
      <c r="B90" s="2195">
        <v>30.993227104485399</v>
      </c>
      <c r="C90" s="2205">
        <v>110.102945949635</v>
      </c>
      <c r="D90" s="2200">
        <v>1.9728197052654</v>
      </c>
      <c r="E90" s="2207">
        <v>91.192908557586605</v>
      </c>
      <c r="F90" s="2205">
        <v>94.725755017924001</v>
      </c>
      <c r="G90" s="2200">
        <v>82.134257660212498</v>
      </c>
      <c r="H90" s="451"/>
      <c r="I90" s="715"/>
      <c r="J90" s="767"/>
      <c r="K90" s="715"/>
      <c r="L90" s="715"/>
      <c r="M90" s="2218"/>
      <c r="N90" s="2198"/>
      <c r="O90" s="2212">
        <v>74.599999999999994</v>
      </c>
      <c r="P90" s="3284">
        <v>80.900000000000006</v>
      </c>
      <c r="Q90" s="16"/>
    </row>
    <row r="91" spans="1:17" s="15" customFormat="1">
      <c r="A91" s="341">
        <v>1979.1</v>
      </c>
      <c r="B91" s="2195">
        <v>31.354177585475899</v>
      </c>
      <c r="C91" s="2205">
        <v>111.613380781537</v>
      </c>
      <c r="D91" s="2200">
        <v>1.9857139486322399</v>
      </c>
      <c r="E91" s="2207">
        <v>92.239491449795807</v>
      </c>
      <c r="F91" s="2205">
        <v>96.270107414201107</v>
      </c>
      <c r="G91" s="2200">
        <v>82.095932477172198</v>
      </c>
      <c r="H91" s="451"/>
      <c r="I91" s="715"/>
      <c r="J91" s="767"/>
      <c r="K91" s="715"/>
      <c r="L91" s="715"/>
      <c r="M91" s="2218"/>
      <c r="N91" s="2198"/>
      <c r="O91" s="2212">
        <v>75.2</v>
      </c>
      <c r="P91" s="3284">
        <v>82.1</v>
      </c>
      <c r="Q91" s="16"/>
    </row>
    <row r="92" spans="1:17" s="15" customFormat="1">
      <c r="A92" s="341">
        <v>1979.11</v>
      </c>
      <c r="B92" s="2195">
        <v>31.7575441067032</v>
      </c>
      <c r="C92" s="2205">
        <v>113.245459757593</v>
      </c>
      <c r="D92" s="2200">
        <v>2.0024957904824401</v>
      </c>
      <c r="E92" s="2207">
        <v>93.362150296596297</v>
      </c>
      <c r="F92" s="2205">
        <v>97.846061299366198</v>
      </c>
      <c r="G92" s="2200">
        <v>82.241252378510296</v>
      </c>
      <c r="H92" s="451"/>
      <c r="I92" s="715"/>
      <c r="J92" s="767"/>
      <c r="K92" s="715"/>
      <c r="L92" s="715"/>
      <c r="M92" s="2218"/>
      <c r="N92" s="2198"/>
      <c r="O92" s="2212">
        <v>75.900000000000006</v>
      </c>
      <c r="P92" s="3284">
        <v>82.6</v>
      </c>
      <c r="Q92" s="16"/>
    </row>
    <row r="93" spans="1:17" s="15" customFormat="1">
      <c r="A93" s="341">
        <v>1979.12</v>
      </c>
      <c r="B93" s="2195">
        <v>31.553662814440798</v>
      </c>
      <c r="C93" s="2205">
        <v>111.34647109138901</v>
      </c>
      <c r="D93" s="2200">
        <v>2.0422989444867299</v>
      </c>
      <c r="E93" s="2207">
        <v>92.719633321615305</v>
      </c>
      <c r="F93" s="2205">
        <v>96.5459749466375</v>
      </c>
      <c r="G93" s="2200">
        <v>83.004493985277094</v>
      </c>
      <c r="H93" s="451"/>
      <c r="I93" s="715"/>
      <c r="J93" s="767"/>
      <c r="K93" s="715"/>
      <c r="L93" s="715"/>
      <c r="M93" s="2218"/>
      <c r="N93" s="2198"/>
      <c r="O93" s="2212">
        <v>76.7</v>
      </c>
      <c r="P93" s="3284">
        <v>83.4</v>
      </c>
      <c r="Q93" s="16"/>
    </row>
    <row r="94" spans="1:17" s="15" customFormat="1">
      <c r="A94" s="341">
        <v>1980.01</v>
      </c>
      <c r="B94" s="2195">
        <v>31.531585567924001</v>
      </c>
      <c r="C94" s="2205">
        <v>110.383688002854</v>
      </c>
      <c r="D94" s="2200">
        <v>2.0790832023644601</v>
      </c>
      <c r="E94" s="2207">
        <v>92.594599906634997</v>
      </c>
      <c r="F94" s="2205">
        <v>96.096531849073997</v>
      </c>
      <c r="G94" s="2200">
        <v>83.527063534717996</v>
      </c>
      <c r="H94" s="451"/>
      <c r="I94" s="715"/>
      <c r="J94" s="767"/>
      <c r="K94" s="715"/>
      <c r="L94" s="715"/>
      <c r="M94" s="2218"/>
      <c r="N94" s="2198"/>
      <c r="O94" s="2212">
        <v>77.8</v>
      </c>
      <c r="P94" s="3284">
        <v>85.2</v>
      </c>
      <c r="Q94" s="16"/>
    </row>
    <row r="95" spans="1:17" s="15" customFormat="1">
      <c r="A95" s="341">
        <v>1980.02</v>
      </c>
      <c r="B95" s="2195">
        <v>31.783906063485102</v>
      </c>
      <c r="C95" s="2205">
        <v>111.146823387935</v>
      </c>
      <c r="D95" s="2200">
        <v>2.1009412717218998</v>
      </c>
      <c r="E95" s="2207">
        <v>93.175132162786895</v>
      </c>
      <c r="F95" s="2205">
        <v>97.029033118451594</v>
      </c>
      <c r="G95" s="2200">
        <v>83.394949388132105</v>
      </c>
      <c r="H95" s="451"/>
      <c r="I95" s="715"/>
      <c r="J95" s="767"/>
      <c r="K95" s="715"/>
      <c r="L95" s="715"/>
      <c r="M95" s="2218"/>
      <c r="N95" s="2198"/>
      <c r="O95" s="2212">
        <v>78.900000000000006</v>
      </c>
      <c r="P95" s="3284">
        <v>86.9</v>
      </c>
      <c r="Q95" s="16"/>
    </row>
    <row r="96" spans="1:17" s="15" customFormat="1">
      <c r="A96" s="341">
        <v>1980.03</v>
      </c>
      <c r="B96" s="2195">
        <v>32.619997849297697</v>
      </c>
      <c r="C96" s="2205">
        <v>114.78522032257899</v>
      </c>
      <c r="D96" s="2200">
        <v>2.1255994216123</v>
      </c>
      <c r="E96" s="2207">
        <v>95.828744764827505</v>
      </c>
      <c r="F96" s="2205">
        <v>100.92600601199899</v>
      </c>
      <c r="G96" s="2200">
        <v>83.571281077657702</v>
      </c>
      <c r="H96" s="451"/>
      <c r="I96" s="715"/>
      <c r="J96" s="767"/>
      <c r="K96" s="715"/>
      <c r="L96" s="715"/>
      <c r="M96" s="2218"/>
      <c r="N96" s="2198"/>
      <c r="O96" s="2212">
        <v>80.099999999999994</v>
      </c>
      <c r="P96" s="3284">
        <v>87.5</v>
      </c>
      <c r="Q96" s="16"/>
    </row>
    <row r="97" spans="1:17" s="15" customFormat="1">
      <c r="A97" s="341">
        <v>1980.04</v>
      </c>
      <c r="B97" s="2195">
        <v>32.895587789832298</v>
      </c>
      <c r="C97" s="2205">
        <v>115.84087648549399</v>
      </c>
      <c r="D97" s="2200">
        <v>2.13998867173708</v>
      </c>
      <c r="E97" s="2207">
        <v>96.433426798983007</v>
      </c>
      <c r="F97" s="2205">
        <v>101.78542748392699</v>
      </c>
      <c r="G97" s="2200">
        <v>83.676414890483997</v>
      </c>
      <c r="H97" s="451"/>
      <c r="I97" s="715"/>
      <c r="J97" s="767"/>
      <c r="K97" s="715"/>
      <c r="L97" s="715"/>
      <c r="M97" s="2218"/>
      <c r="N97" s="2198"/>
      <c r="O97" s="2212">
        <v>81</v>
      </c>
      <c r="P97" s="3284">
        <v>87.8</v>
      </c>
      <c r="Q97" s="16"/>
    </row>
    <row r="98" spans="1:17" s="15" customFormat="1">
      <c r="A98" s="341">
        <v>1980.05</v>
      </c>
      <c r="B98" s="2195">
        <v>31.880774242056201</v>
      </c>
      <c r="C98" s="2205">
        <v>110.80089854723001</v>
      </c>
      <c r="D98" s="2200">
        <v>2.13749195263753</v>
      </c>
      <c r="E98" s="2207">
        <v>93.369216807986305</v>
      </c>
      <c r="F98" s="2205">
        <v>97.719480002572993</v>
      </c>
      <c r="G98" s="2200">
        <v>82.611629877829898</v>
      </c>
      <c r="H98" s="451"/>
      <c r="I98" s="715"/>
      <c r="J98" s="767"/>
      <c r="K98" s="715"/>
      <c r="L98" s="715"/>
      <c r="M98" s="2218"/>
      <c r="N98" s="2198"/>
      <c r="O98" s="2212">
        <v>81.8</v>
      </c>
      <c r="P98" s="3284">
        <v>88.3</v>
      </c>
      <c r="Q98" s="16"/>
    </row>
    <row r="99" spans="1:17" s="15" customFormat="1">
      <c r="A99" s="341">
        <v>1980.06</v>
      </c>
      <c r="B99" s="2195">
        <v>31.419339989654102</v>
      </c>
      <c r="C99" s="2205">
        <v>108.301055305144</v>
      </c>
      <c r="D99" s="2200">
        <v>2.1467554053619602</v>
      </c>
      <c r="E99" s="2207">
        <v>91.831467206928394</v>
      </c>
      <c r="F99" s="2205">
        <v>95.582177172937506</v>
      </c>
      <c r="G99" s="2200">
        <v>82.286488472704804</v>
      </c>
      <c r="H99" s="451"/>
      <c r="I99" s="715"/>
      <c r="J99" s="767"/>
      <c r="K99" s="715"/>
      <c r="L99" s="715"/>
      <c r="M99" s="2218"/>
      <c r="N99" s="2198"/>
      <c r="O99" s="2212">
        <v>82.7</v>
      </c>
      <c r="P99" s="3284">
        <v>88.7</v>
      </c>
      <c r="Q99" s="16"/>
    </row>
    <row r="100" spans="1:17" s="15" customFormat="1">
      <c r="A100" s="341">
        <v>1980.07</v>
      </c>
      <c r="B100" s="2195">
        <v>31.425334390662901</v>
      </c>
      <c r="C100" s="2205">
        <v>108.068581783984</v>
      </c>
      <c r="D100" s="2200">
        <v>2.1587612323773202</v>
      </c>
      <c r="E100" s="2207">
        <v>90.976660553028196</v>
      </c>
      <c r="F100" s="2205">
        <v>94.821759951348596</v>
      </c>
      <c r="G100" s="2200">
        <v>81.265178361605805</v>
      </c>
      <c r="H100" s="451"/>
      <c r="I100" s="715"/>
      <c r="J100" s="767"/>
      <c r="K100" s="715"/>
      <c r="L100" s="715"/>
      <c r="M100" s="2218"/>
      <c r="N100" s="2198"/>
      <c r="O100" s="2212">
        <v>82.7</v>
      </c>
      <c r="P100" s="3284">
        <v>90.3</v>
      </c>
      <c r="Q100" s="16"/>
    </row>
    <row r="101" spans="1:17" s="15" customFormat="1">
      <c r="A101" s="341">
        <v>1980.08</v>
      </c>
      <c r="B101" s="2195">
        <v>31.7884780487624</v>
      </c>
      <c r="C101" s="2205">
        <v>109.452962807196</v>
      </c>
      <c r="D101" s="2200">
        <v>2.1774707773814099</v>
      </c>
      <c r="E101" s="2207">
        <v>91.629535262677607</v>
      </c>
      <c r="F101" s="2205">
        <v>95.991938314841804</v>
      </c>
      <c r="G101" s="2200">
        <v>80.891537871021299</v>
      </c>
      <c r="H101" s="451"/>
      <c r="I101" s="715"/>
      <c r="J101" s="767"/>
      <c r="K101" s="715"/>
      <c r="L101" s="715"/>
      <c r="M101" s="2218"/>
      <c r="N101" s="2198"/>
      <c r="O101" s="2212">
        <v>83.3</v>
      </c>
      <c r="P101" s="3284">
        <v>91.5</v>
      </c>
      <c r="Q101" s="16"/>
    </row>
    <row r="102" spans="1:17" s="15" customFormat="1">
      <c r="A102" s="341">
        <v>1980.09</v>
      </c>
      <c r="B102" s="2195">
        <v>31.617196758278698</v>
      </c>
      <c r="C102" s="2205">
        <v>108.410137807833</v>
      </c>
      <c r="D102" s="2200">
        <v>2.18660256142722</v>
      </c>
      <c r="E102" s="2207">
        <v>90.9279351799983</v>
      </c>
      <c r="F102" s="2205">
        <v>95.176097691379496</v>
      </c>
      <c r="G102" s="2200">
        <v>80.428995310466107</v>
      </c>
      <c r="H102" s="451"/>
      <c r="I102" s="715"/>
      <c r="J102" s="767"/>
      <c r="K102" s="715"/>
      <c r="L102" s="715"/>
      <c r="M102" s="2218"/>
      <c r="N102" s="2198"/>
      <c r="O102" s="2212">
        <v>84</v>
      </c>
      <c r="P102" s="3284">
        <v>91.7</v>
      </c>
      <c r="Q102" s="16"/>
    </row>
    <row r="103" spans="1:17" s="15" customFormat="1">
      <c r="A103" s="341">
        <v>1980.1</v>
      </c>
      <c r="B103" s="2195">
        <v>31.786418747291101</v>
      </c>
      <c r="C103" s="2205">
        <v>108.78488373008599</v>
      </c>
      <c r="D103" s="2200">
        <v>2.2079001500892099</v>
      </c>
      <c r="E103" s="2207">
        <v>91.203743526148401</v>
      </c>
      <c r="F103" s="2205">
        <v>95.878135200392094</v>
      </c>
      <c r="G103" s="2200">
        <v>79.875587318283394</v>
      </c>
      <c r="H103" s="451"/>
      <c r="I103" s="715"/>
      <c r="J103" s="767"/>
      <c r="K103" s="715"/>
      <c r="L103" s="715"/>
      <c r="M103" s="2218"/>
      <c r="N103" s="2198"/>
      <c r="O103" s="2212">
        <v>84.8</v>
      </c>
      <c r="P103" s="3284">
        <v>92.8</v>
      </c>
      <c r="Q103" s="16"/>
    </row>
    <row r="104" spans="1:17" s="15" customFormat="1">
      <c r="A104" s="341">
        <v>1980.11</v>
      </c>
      <c r="B104" s="2195">
        <v>32.431247703661803</v>
      </c>
      <c r="C104" s="2205">
        <v>111.34734108855</v>
      </c>
      <c r="D104" s="2200">
        <v>2.23616021040396</v>
      </c>
      <c r="E104" s="2207">
        <v>92.753623358797398</v>
      </c>
      <c r="F104" s="2205">
        <v>98.176849358858505</v>
      </c>
      <c r="G104" s="2200">
        <v>79.965191590318099</v>
      </c>
      <c r="H104" s="451"/>
      <c r="I104" s="715"/>
      <c r="J104" s="767"/>
      <c r="K104" s="715"/>
      <c r="L104" s="715"/>
      <c r="M104" s="2218"/>
      <c r="N104" s="2198"/>
      <c r="O104" s="2212">
        <v>85.5</v>
      </c>
      <c r="P104" s="3284">
        <v>93.2</v>
      </c>
      <c r="Q104" s="16"/>
    </row>
    <row r="105" spans="1:17" s="15" customFormat="1">
      <c r="A105" s="341">
        <v>1980.12</v>
      </c>
      <c r="B105" s="2195">
        <v>32.779496077848101</v>
      </c>
      <c r="C105" s="2205">
        <v>112.55555436039199</v>
      </c>
      <c r="D105" s="2200">
        <v>2.25961297749248</v>
      </c>
      <c r="E105" s="2207">
        <v>93.556588330960096</v>
      </c>
      <c r="F105" s="2205">
        <v>99.455137018069294</v>
      </c>
      <c r="G105" s="2200">
        <v>79.860954206455702</v>
      </c>
      <c r="H105" s="451"/>
      <c r="I105" s="715"/>
      <c r="J105" s="767"/>
      <c r="K105" s="715"/>
      <c r="L105" s="715"/>
      <c r="M105" s="2218"/>
      <c r="N105" s="2198"/>
      <c r="O105" s="2212">
        <v>86.3</v>
      </c>
      <c r="P105" s="3284">
        <v>93.8</v>
      </c>
      <c r="Q105" s="16"/>
    </row>
    <row r="106" spans="1:17" s="15" customFormat="1">
      <c r="A106" s="341">
        <v>1981.01</v>
      </c>
      <c r="B106" s="2195">
        <v>32.756355764691698</v>
      </c>
      <c r="C106" s="2205">
        <v>111.971549621164</v>
      </c>
      <c r="D106" s="2200">
        <v>2.2813102160739498</v>
      </c>
      <c r="E106" s="2207">
        <v>93.079749222018606</v>
      </c>
      <c r="F106" s="2205">
        <v>98.795405240461307</v>
      </c>
      <c r="G106" s="2200">
        <v>79.730310096021597</v>
      </c>
      <c r="H106" s="451"/>
      <c r="I106" s="715"/>
      <c r="J106" s="767"/>
      <c r="K106" s="715"/>
      <c r="L106" s="715"/>
      <c r="M106" s="2218"/>
      <c r="N106" s="2198"/>
      <c r="O106" s="2212">
        <v>87</v>
      </c>
      <c r="P106" s="3284">
        <v>95.2</v>
      </c>
      <c r="Q106" s="16"/>
    </row>
    <row r="107" spans="1:17" s="15" customFormat="1">
      <c r="A107" s="341">
        <v>1981.02</v>
      </c>
      <c r="B107" s="2195">
        <v>33.664741432169798</v>
      </c>
      <c r="C107" s="2205">
        <v>115.702877998254</v>
      </c>
      <c r="D107" s="2200">
        <v>2.31613987131648</v>
      </c>
      <c r="E107" s="2207">
        <v>95.420747660177298</v>
      </c>
      <c r="F107" s="2205">
        <v>102.2335655481</v>
      </c>
      <c r="G107" s="2200">
        <v>80.033056947412703</v>
      </c>
      <c r="H107" s="451"/>
      <c r="I107" s="715"/>
      <c r="J107" s="767"/>
      <c r="K107" s="715"/>
      <c r="L107" s="715"/>
      <c r="M107" s="2218"/>
      <c r="N107" s="2198"/>
      <c r="O107" s="2212">
        <v>87.9</v>
      </c>
      <c r="P107" s="3284">
        <v>96.1</v>
      </c>
      <c r="Q107" s="16"/>
    </row>
    <row r="108" spans="1:17" s="15" customFormat="1">
      <c r="A108" s="341">
        <v>1981.03</v>
      </c>
      <c r="B108" s="2195">
        <v>33.838694461734697</v>
      </c>
      <c r="C108" s="2205">
        <v>116.007700251692</v>
      </c>
      <c r="D108" s="2200">
        <v>2.3413359613066298</v>
      </c>
      <c r="E108" s="2207">
        <v>95.450262816945298</v>
      </c>
      <c r="F108" s="2205">
        <v>102.371259693038</v>
      </c>
      <c r="G108" s="2200">
        <v>79.871575509868407</v>
      </c>
      <c r="H108" s="451"/>
      <c r="I108" s="715"/>
      <c r="J108" s="767"/>
      <c r="K108" s="715"/>
      <c r="L108" s="715"/>
      <c r="M108" s="2218"/>
      <c r="N108" s="2198"/>
      <c r="O108" s="2212">
        <v>88.5</v>
      </c>
      <c r="P108" s="3284">
        <v>97</v>
      </c>
      <c r="Q108" s="16"/>
    </row>
    <row r="109" spans="1:17" s="15" customFormat="1">
      <c r="A109" s="341">
        <v>1981.04</v>
      </c>
      <c r="B109" s="2195">
        <v>34.519141278359299</v>
      </c>
      <c r="C109" s="2205">
        <v>118.29861643026599</v>
      </c>
      <c r="D109" s="2200">
        <v>2.3903198909171901</v>
      </c>
      <c r="E109" s="2207">
        <v>96.879031638978503</v>
      </c>
      <c r="F109" s="2205">
        <v>104.25078894246801</v>
      </c>
      <c r="G109" s="2200">
        <v>80.461926312557594</v>
      </c>
      <c r="H109" s="451"/>
      <c r="I109" s="715"/>
      <c r="J109" s="767"/>
      <c r="K109" s="715"/>
      <c r="L109" s="715"/>
      <c r="M109" s="2218"/>
      <c r="N109" s="2198"/>
      <c r="O109" s="2212">
        <v>89.1</v>
      </c>
      <c r="P109" s="3284">
        <v>98</v>
      </c>
      <c r="Q109" s="16"/>
    </row>
    <row r="110" spans="1:17" s="15" customFormat="1">
      <c r="A110" s="341">
        <v>1981.05</v>
      </c>
      <c r="B110" s="2195">
        <v>35.480905187737903</v>
      </c>
      <c r="C110" s="2205">
        <v>122.20639422291001</v>
      </c>
      <c r="D110" s="2200">
        <v>2.4293773221355499</v>
      </c>
      <c r="E110" s="2207">
        <v>99.195626053140302</v>
      </c>
      <c r="F110" s="2205">
        <v>107.686180924917</v>
      </c>
      <c r="G110" s="2200">
        <v>80.774815310267101</v>
      </c>
      <c r="H110" s="451"/>
      <c r="I110" s="715"/>
      <c r="J110" s="767"/>
      <c r="K110" s="715"/>
      <c r="L110" s="715"/>
      <c r="M110" s="2218"/>
      <c r="N110" s="2198"/>
      <c r="O110" s="2212">
        <v>89.8</v>
      </c>
      <c r="P110" s="3284">
        <v>98.3</v>
      </c>
      <c r="Q110" s="16"/>
    </row>
    <row r="111" spans="1:17" s="15" customFormat="1">
      <c r="A111" s="341">
        <v>1981.06</v>
      </c>
      <c r="B111" s="2195">
        <v>36.282400151958001</v>
      </c>
      <c r="C111" s="2205">
        <v>124.789252702968</v>
      </c>
      <c r="D111" s="2200">
        <v>2.4921985702070102</v>
      </c>
      <c r="E111" s="2207">
        <v>101.130147072634</v>
      </c>
      <c r="F111" s="2205">
        <v>110.007819527647</v>
      </c>
      <c r="G111" s="2200">
        <v>81.977994479156095</v>
      </c>
      <c r="H111" s="451"/>
      <c r="I111" s="715"/>
      <c r="J111" s="767"/>
      <c r="K111" s="715"/>
      <c r="L111" s="715"/>
      <c r="M111" s="2218"/>
      <c r="N111" s="2198"/>
      <c r="O111" s="2212">
        <v>90.6</v>
      </c>
      <c r="P111" s="3284">
        <v>98.5</v>
      </c>
      <c r="Q111" s="16"/>
    </row>
    <row r="112" spans="1:17" s="15" customFormat="1">
      <c r="A112" s="341">
        <v>1981.07</v>
      </c>
      <c r="B112" s="2195">
        <v>37.011599698530297</v>
      </c>
      <c r="C112" s="2205">
        <v>127.747619788449</v>
      </c>
      <c r="D112" s="2200">
        <v>2.5222036414844999</v>
      </c>
      <c r="E112" s="2207">
        <v>103.194254128857</v>
      </c>
      <c r="F112" s="2205">
        <v>113.065739818507</v>
      </c>
      <c r="G112" s="2200">
        <v>82.306579321095896</v>
      </c>
      <c r="H112" s="451"/>
      <c r="I112" s="715"/>
      <c r="J112" s="767"/>
      <c r="K112" s="715"/>
      <c r="L112" s="715"/>
      <c r="M112" s="2218"/>
      <c r="N112" s="2198"/>
      <c r="O112" s="2212">
        <v>91.6</v>
      </c>
      <c r="P112" s="3284">
        <v>99</v>
      </c>
      <c r="Q112" s="16"/>
    </row>
    <row r="113" spans="1:17" s="15" customFormat="1">
      <c r="A113" s="341">
        <v>1981.08</v>
      </c>
      <c r="B113" s="2195">
        <v>37.633406117467104</v>
      </c>
      <c r="C113" s="2205">
        <v>129.758371909933</v>
      </c>
      <c r="D113" s="2200">
        <v>2.5706953605465901</v>
      </c>
      <c r="E113" s="2207">
        <v>104.59126983335101</v>
      </c>
      <c r="F113" s="2205">
        <v>114.897367098069</v>
      </c>
      <c r="G113" s="2200">
        <v>82.930700166387595</v>
      </c>
      <c r="H113" s="451"/>
      <c r="I113" s="715"/>
      <c r="J113" s="767"/>
      <c r="K113" s="715"/>
      <c r="L113" s="715"/>
      <c r="M113" s="2218"/>
      <c r="N113" s="2198"/>
      <c r="O113" s="2212">
        <v>92.3</v>
      </c>
      <c r="P113" s="3284">
        <v>99</v>
      </c>
      <c r="Q113" s="16"/>
    </row>
    <row r="114" spans="1:17" s="15" customFormat="1">
      <c r="A114" s="341">
        <v>1981.09</v>
      </c>
      <c r="B114" s="2195">
        <v>37.044178441697198</v>
      </c>
      <c r="C114" s="2205">
        <v>126.22491564447699</v>
      </c>
      <c r="D114" s="2200">
        <v>2.5985390596807401</v>
      </c>
      <c r="E114" s="2207">
        <v>102.837704480659</v>
      </c>
      <c r="F114" s="2205">
        <v>111.9151230011</v>
      </c>
      <c r="G114" s="2200">
        <v>83.278778436787206</v>
      </c>
      <c r="H114" s="451"/>
      <c r="I114" s="715"/>
      <c r="J114" s="767"/>
      <c r="K114" s="715"/>
      <c r="L114" s="715"/>
      <c r="M114" s="2218"/>
      <c r="N114" s="2198"/>
      <c r="O114" s="2212">
        <v>93.2</v>
      </c>
      <c r="P114" s="3284">
        <v>98.8</v>
      </c>
      <c r="Q114" s="16"/>
    </row>
    <row r="115" spans="1:17" s="15" customFormat="1">
      <c r="A115" s="341">
        <v>1981.1</v>
      </c>
      <c r="B115" s="2195">
        <v>36.950215168201801</v>
      </c>
      <c r="C115" s="2205">
        <v>125.262467715353</v>
      </c>
      <c r="D115" s="2200">
        <v>2.6218781862189902</v>
      </c>
      <c r="E115" s="2207">
        <v>101.963709302415</v>
      </c>
      <c r="F115" s="2205">
        <v>110.70924877912501</v>
      </c>
      <c r="G115" s="2200">
        <v>82.998446250081798</v>
      </c>
      <c r="H115" s="451"/>
      <c r="I115" s="715"/>
      <c r="J115" s="767"/>
      <c r="K115" s="715"/>
      <c r="L115" s="715"/>
      <c r="M115" s="2218"/>
      <c r="N115" s="2198"/>
      <c r="O115" s="2212">
        <v>93.4</v>
      </c>
      <c r="P115" s="3284">
        <v>98.9</v>
      </c>
      <c r="Q115" s="16"/>
    </row>
    <row r="116" spans="1:17" s="15" customFormat="1">
      <c r="A116" s="341">
        <v>1981.11</v>
      </c>
      <c r="B116" s="2195">
        <v>36.551248162592103</v>
      </c>
      <c r="C116" s="2205">
        <v>122.978457247531</v>
      </c>
      <c r="D116" s="2200">
        <v>2.6378895800817199</v>
      </c>
      <c r="E116" s="2207">
        <v>100.218920110106</v>
      </c>
      <c r="F116" s="2205">
        <v>108.17188254608</v>
      </c>
      <c r="G116" s="2200">
        <v>82.671508878515596</v>
      </c>
      <c r="H116" s="451"/>
      <c r="I116" s="715"/>
      <c r="J116" s="767"/>
      <c r="K116" s="715"/>
      <c r="L116" s="715"/>
      <c r="M116" s="2218"/>
      <c r="N116" s="2198"/>
      <c r="O116" s="2212">
        <v>93.7</v>
      </c>
      <c r="P116" s="3284">
        <v>98.8</v>
      </c>
      <c r="Q116" s="16"/>
    </row>
    <row r="117" spans="1:17" s="15" customFormat="1">
      <c r="A117" s="341">
        <v>1981.12</v>
      </c>
      <c r="B117" s="2195">
        <v>36.676715983665801</v>
      </c>
      <c r="C117" s="2205">
        <v>122.967690841145</v>
      </c>
      <c r="D117" s="2200">
        <v>2.66789913989399</v>
      </c>
      <c r="E117" s="2207">
        <v>99.950735299654397</v>
      </c>
      <c r="F117" s="2205">
        <v>107.809486502708</v>
      </c>
      <c r="G117" s="2200">
        <v>82.575635535320899</v>
      </c>
      <c r="H117" s="451"/>
      <c r="I117" s="715"/>
      <c r="J117" s="767"/>
      <c r="K117" s="715"/>
      <c r="L117" s="715"/>
      <c r="M117" s="2218"/>
      <c r="N117" s="2198"/>
      <c r="O117" s="2212">
        <v>94</v>
      </c>
      <c r="P117" s="3284">
        <v>98.8</v>
      </c>
      <c r="Q117" s="16"/>
    </row>
    <row r="118" spans="1:17" s="15" customFormat="1">
      <c r="A118" s="341">
        <v>1982.01</v>
      </c>
      <c r="B118" s="2195">
        <v>37.291459216217</v>
      </c>
      <c r="C118" s="2205">
        <v>124.758935027898</v>
      </c>
      <c r="D118" s="2200">
        <v>2.7260085240038299</v>
      </c>
      <c r="E118" s="2207">
        <v>101.02150049597201</v>
      </c>
      <c r="F118" s="2205">
        <v>109.286284863456</v>
      </c>
      <c r="G118" s="2200">
        <v>82.896296464817695</v>
      </c>
      <c r="H118" s="451"/>
      <c r="I118" s="715"/>
      <c r="J118" s="767"/>
      <c r="K118" s="715"/>
      <c r="L118" s="715"/>
      <c r="M118" s="2218"/>
      <c r="N118" s="2198"/>
      <c r="O118" s="2212">
        <v>94.3</v>
      </c>
      <c r="P118" s="3284">
        <v>99.7</v>
      </c>
      <c r="Q118" s="16"/>
    </row>
    <row r="119" spans="1:17" s="15" customFormat="1">
      <c r="A119" s="341">
        <v>1982.02</v>
      </c>
      <c r="B119" s="2195">
        <v>38.616761725114998</v>
      </c>
      <c r="C119" s="2205">
        <v>128.62900683688</v>
      </c>
      <c r="D119" s="2200">
        <v>2.8513804414027399</v>
      </c>
      <c r="E119" s="2207">
        <v>104.01702509602499</v>
      </c>
      <c r="F119" s="2205">
        <v>112.40941401348699</v>
      </c>
      <c r="G119" s="2200">
        <v>85.5595556354819</v>
      </c>
      <c r="H119" s="451"/>
      <c r="I119" s="715"/>
      <c r="J119" s="767"/>
      <c r="K119" s="715"/>
      <c r="L119" s="715"/>
      <c r="M119" s="2218"/>
      <c r="N119" s="2198"/>
      <c r="O119" s="2212">
        <v>94.6</v>
      </c>
      <c r="P119" s="3284">
        <v>99.8</v>
      </c>
      <c r="Q119" s="16"/>
    </row>
    <row r="120" spans="1:17" s="15" customFormat="1">
      <c r="A120" s="341">
        <v>1982.03</v>
      </c>
      <c r="B120" s="2195">
        <v>40.041602963244301</v>
      </c>
      <c r="C120" s="2205">
        <v>130.84664286504201</v>
      </c>
      <c r="D120" s="2200">
        <v>3.0896321521711898</v>
      </c>
      <c r="E120" s="2207">
        <v>106.815720308979</v>
      </c>
      <c r="F120" s="2205">
        <v>113.616217942736</v>
      </c>
      <c r="G120" s="2200">
        <v>91.126781914962095</v>
      </c>
      <c r="H120" s="451"/>
      <c r="I120" s="715"/>
      <c r="J120" s="767"/>
      <c r="K120" s="715"/>
      <c r="L120" s="715"/>
      <c r="M120" s="2218"/>
      <c r="N120" s="2198"/>
      <c r="O120" s="2212">
        <v>94.5</v>
      </c>
      <c r="P120" s="3284">
        <v>99.6</v>
      </c>
      <c r="Q120" s="16"/>
    </row>
    <row r="121" spans="1:17" s="15" customFormat="1">
      <c r="A121" s="341">
        <v>1982.04</v>
      </c>
      <c r="B121" s="2195">
        <v>40.532601378854302</v>
      </c>
      <c r="C121" s="2205">
        <v>132.36997933022101</v>
      </c>
      <c r="D121" s="2200">
        <v>3.1319052622092101</v>
      </c>
      <c r="E121" s="2207">
        <v>107.372026639331</v>
      </c>
      <c r="F121" s="2205">
        <v>114.557830777768</v>
      </c>
      <c r="G121" s="2200">
        <v>90.959472816623503</v>
      </c>
      <c r="H121" s="451"/>
      <c r="I121" s="715"/>
      <c r="J121" s="767"/>
      <c r="K121" s="715"/>
      <c r="L121" s="715"/>
      <c r="M121" s="2218"/>
      <c r="N121" s="2198"/>
      <c r="O121" s="2212">
        <v>94.9</v>
      </c>
      <c r="P121" s="3284">
        <v>99.6</v>
      </c>
      <c r="Q121" s="16"/>
    </row>
    <row r="122" spans="1:17" s="15" customFormat="1">
      <c r="A122" s="341">
        <v>1982.05</v>
      </c>
      <c r="B122" s="2195">
        <v>40.161911238701997</v>
      </c>
      <c r="C122" s="2205">
        <v>130.03550550030701</v>
      </c>
      <c r="D122" s="2200">
        <v>3.1652585845825798</v>
      </c>
      <c r="E122" s="2207">
        <v>106.048463783443</v>
      </c>
      <c r="F122" s="2205">
        <v>112.68800534726</v>
      </c>
      <c r="G122" s="2200">
        <v>90.679271850984705</v>
      </c>
      <c r="H122" s="451"/>
      <c r="I122" s="715"/>
      <c r="J122" s="767"/>
      <c r="K122" s="715"/>
      <c r="L122" s="715"/>
      <c r="M122" s="2218"/>
      <c r="N122" s="2198"/>
      <c r="O122" s="2212">
        <v>95.8</v>
      </c>
      <c r="P122" s="3284">
        <v>99.8</v>
      </c>
      <c r="Q122" s="16"/>
    </row>
    <row r="123" spans="1:17" s="15" customFormat="1">
      <c r="A123" s="341">
        <v>1982.06</v>
      </c>
      <c r="B123" s="2195">
        <v>41.773363513263497</v>
      </c>
      <c r="C123" s="2205">
        <v>136.25932749877001</v>
      </c>
      <c r="D123" s="2200">
        <v>3.23685019598526</v>
      </c>
      <c r="E123" s="2207">
        <v>110.263919842346</v>
      </c>
      <c r="F123" s="2205">
        <v>118.637154593811</v>
      </c>
      <c r="G123" s="2200">
        <v>91.620084387211193</v>
      </c>
      <c r="H123" s="451"/>
      <c r="I123" s="715"/>
      <c r="J123" s="767"/>
      <c r="K123" s="715"/>
      <c r="L123" s="715"/>
      <c r="M123" s="2218"/>
      <c r="N123" s="2198"/>
      <c r="O123" s="2212">
        <v>97</v>
      </c>
      <c r="P123" s="3284">
        <v>100</v>
      </c>
      <c r="Q123" s="16"/>
    </row>
    <row r="124" spans="1:17" s="15" customFormat="1">
      <c r="A124" s="341">
        <v>1982.07</v>
      </c>
      <c r="B124" s="2195">
        <v>42.5632368139308</v>
      </c>
      <c r="C124" s="2205">
        <v>137.848340437969</v>
      </c>
      <c r="D124" s="2200">
        <v>3.3524130853753098</v>
      </c>
      <c r="E124" s="2207">
        <v>111.788025557144</v>
      </c>
      <c r="F124" s="2205">
        <v>120.176343223988</v>
      </c>
      <c r="G124" s="2200">
        <v>93.065438077746606</v>
      </c>
      <c r="H124" s="451"/>
      <c r="I124" s="715"/>
      <c r="J124" s="767"/>
      <c r="K124" s="715"/>
      <c r="L124" s="715"/>
      <c r="M124" s="2218"/>
      <c r="N124" s="2198"/>
      <c r="O124" s="2212">
        <v>97.5</v>
      </c>
      <c r="P124" s="3284">
        <v>100.4</v>
      </c>
      <c r="Q124" s="16"/>
    </row>
    <row r="125" spans="1:17" s="15" customFormat="1">
      <c r="A125" s="341">
        <v>1982.08</v>
      </c>
      <c r="B125" s="2195">
        <v>44.016797878716403</v>
      </c>
      <c r="C125" s="2205">
        <v>138.093289811044</v>
      </c>
      <c r="D125" s="2200">
        <v>3.7298994421939602</v>
      </c>
      <c r="E125" s="2207">
        <v>114.057773808538</v>
      </c>
      <c r="F125" s="2205">
        <v>119.857254544184</v>
      </c>
      <c r="G125" s="2200">
        <v>100.05557297855199</v>
      </c>
      <c r="H125" s="451"/>
      <c r="I125" s="715"/>
      <c r="J125" s="767"/>
      <c r="K125" s="715"/>
      <c r="L125" s="715"/>
      <c r="M125" s="2218"/>
      <c r="N125" s="2198"/>
      <c r="O125" s="2212">
        <v>97.7</v>
      </c>
      <c r="P125" s="3284">
        <v>100.3</v>
      </c>
      <c r="Q125" s="16"/>
    </row>
    <row r="126" spans="1:17" s="15" customFormat="1">
      <c r="A126" s="341">
        <v>1982.09</v>
      </c>
      <c r="B126" s="2195">
        <v>44.651022903875699</v>
      </c>
      <c r="C126" s="2205">
        <v>139.033208660068</v>
      </c>
      <c r="D126" s="2200">
        <v>3.8495895851587001</v>
      </c>
      <c r="E126" s="2207">
        <v>114.53230468224299</v>
      </c>
      <c r="F126" s="2205">
        <v>120.053189576028</v>
      </c>
      <c r="G126" s="2200">
        <v>101.055232956637</v>
      </c>
      <c r="H126" s="451"/>
      <c r="I126" s="715"/>
      <c r="J126" s="767"/>
      <c r="K126" s="715"/>
      <c r="L126" s="715"/>
      <c r="M126" s="2218"/>
      <c r="N126" s="2198"/>
      <c r="O126" s="2212">
        <v>97.9</v>
      </c>
      <c r="P126" s="3284">
        <v>100</v>
      </c>
      <c r="Q126" s="16"/>
    </row>
    <row r="127" spans="1:17" s="15" customFormat="1">
      <c r="A127" s="341">
        <v>1982.1</v>
      </c>
      <c r="B127" s="2195">
        <v>44.749339781570299</v>
      </c>
      <c r="C127" s="2205">
        <v>141.116664062681</v>
      </c>
      <c r="D127" s="2200">
        <v>3.7472544115846</v>
      </c>
      <c r="E127" s="2207">
        <v>114.08472646296499</v>
      </c>
      <c r="F127" s="2205">
        <v>121.714262423921</v>
      </c>
      <c r="G127" s="2200">
        <v>96.656151140236503</v>
      </c>
      <c r="H127" s="451"/>
      <c r="I127" s="715"/>
      <c r="J127" s="767"/>
      <c r="K127" s="715"/>
      <c r="L127" s="715"/>
      <c r="M127" s="2218"/>
      <c r="N127" s="2198"/>
      <c r="O127" s="2212">
        <v>98.2</v>
      </c>
      <c r="P127" s="3284">
        <v>100.2</v>
      </c>
      <c r="Q127" s="16"/>
    </row>
    <row r="128" spans="1:17" s="15" customFormat="1">
      <c r="A128" s="341">
        <v>1982.11</v>
      </c>
      <c r="B128" s="2195">
        <v>44.946095225760899</v>
      </c>
      <c r="C128" s="2205">
        <v>141.24852390679101</v>
      </c>
      <c r="D128" s="2200">
        <v>3.7938182461085002</v>
      </c>
      <c r="E128" s="2207">
        <v>113.453839082485</v>
      </c>
      <c r="F128" s="2205">
        <v>121.279125271569</v>
      </c>
      <c r="G128" s="2200">
        <v>95.688653675239394</v>
      </c>
      <c r="H128" s="451"/>
      <c r="I128" s="715"/>
      <c r="J128" s="767"/>
      <c r="K128" s="715"/>
      <c r="L128" s="715"/>
      <c r="M128" s="2218"/>
      <c r="N128" s="2198"/>
      <c r="O128" s="2212">
        <v>98</v>
      </c>
      <c r="P128" s="3284">
        <v>100.3</v>
      </c>
      <c r="Q128" s="16"/>
    </row>
    <row r="129" spans="1:17" s="15" customFormat="1">
      <c r="A129" s="341">
        <v>1982.12</v>
      </c>
      <c r="B129" s="2195">
        <v>44.341850099421798</v>
      </c>
      <c r="C129" s="2205">
        <v>136.72299622019199</v>
      </c>
      <c r="D129" s="2200">
        <v>3.91013522749989</v>
      </c>
      <c r="E129" s="2207">
        <v>110.2677831228</v>
      </c>
      <c r="F129" s="2205">
        <v>116.563056517482</v>
      </c>
      <c r="G129" s="2200">
        <v>95.422377180490798</v>
      </c>
      <c r="H129" s="451"/>
      <c r="I129" s="715"/>
      <c r="J129" s="767"/>
      <c r="K129" s="715"/>
      <c r="L129" s="715"/>
      <c r="M129" s="2218"/>
      <c r="N129" s="2198"/>
      <c r="O129" s="2212">
        <v>97.6</v>
      </c>
      <c r="P129" s="3284">
        <v>100.5</v>
      </c>
      <c r="Q129" s="16"/>
    </row>
    <row r="130" spans="1:17" s="15" customFormat="1">
      <c r="A130" s="341">
        <v>1983.01</v>
      </c>
      <c r="B130" s="2195">
        <v>44.470027896248702</v>
      </c>
      <c r="C130" s="2205">
        <v>134.77993887663001</v>
      </c>
      <c r="D130" s="2200">
        <v>4.0824753777589198</v>
      </c>
      <c r="E130" s="2207">
        <v>109.80313692655901</v>
      </c>
      <c r="F130" s="2205">
        <v>114.932167099404</v>
      </c>
      <c r="G130" s="2200">
        <v>97.249572609052905</v>
      </c>
      <c r="H130" s="451"/>
      <c r="I130" s="715"/>
      <c r="J130" s="767"/>
      <c r="K130" s="715"/>
      <c r="L130" s="715"/>
      <c r="M130" s="2218"/>
      <c r="N130" s="2198"/>
      <c r="O130" s="2212">
        <v>97.8</v>
      </c>
      <c r="P130" s="3284">
        <v>100.2</v>
      </c>
      <c r="Q130" s="16"/>
    </row>
    <row r="131" spans="1:17" s="15" customFormat="1">
      <c r="A131" s="341">
        <v>1983.02</v>
      </c>
      <c r="B131" s="2195">
        <v>45.213523648370099</v>
      </c>
      <c r="C131" s="2205">
        <v>136.37976453118</v>
      </c>
      <c r="D131" s="2200">
        <v>4.1975133258162796</v>
      </c>
      <c r="E131" s="2207">
        <v>110.853150800497</v>
      </c>
      <c r="F131" s="2205">
        <v>116.157087619782</v>
      </c>
      <c r="G131" s="2200">
        <v>97.929715380468295</v>
      </c>
      <c r="H131" s="451"/>
      <c r="I131" s="715"/>
      <c r="J131" s="767"/>
      <c r="K131" s="715"/>
      <c r="L131" s="715"/>
      <c r="M131" s="2218"/>
      <c r="N131" s="2198"/>
      <c r="O131" s="2212">
        <v>97.9</v>
      </c>
      <c r="P131" s="3284">
        <v>100.5</v>
      </c>
      <c r="Q131" s="16"/>
    </row>
    <row r="132" spans="1:17" s="15" customFormat="1">
      <c r="A132" s="341">
        <v>1983.03</v>
      </c>
      <c r="B132" s="2195">
        <v>45.919097290208398</v>
      </c>
      <c r="C132" s="2205">
        <v>137.73914726522901</v>
      </c>
      <c r="D132" s="2200">
        <v>4.3191389914749001</v>
      </c>
      <c r="E132" s="2207">
        <v>111.45548714361</v>
      </c>
      <c r="F132" s="2205">
        <v>116.72800642399901</v>
      </c>
      <c r="G132" s="2200">
        <v>98.581284906263505</v>
      </c>
      <c r="H132" s="451"/>
      <c r="I132" s="715"/>
      <c r="J132" s="767"/>
      <c r="K132" s="715"/>
      <c r="L132" s="715"/>
      <c r="M132" s="2218"/>
      <c r="N132" s="2198"/>
      <c r="O132" s="2212">
        <v>97.9</v>
      </c>
      <c r="P132" s="3284">
        <v>100.4</v>
      </c>
      <c r="Q132" s="16"/>
    </row>
    <row r="133" spans="1:17" s="15" customFormat="1">
      <c r="A133" s="341">
        <v>1983.04</v>
      </c>
      <c r="B133" s="2195">
        <v>46.4789250758257</v>
      </c>
      <c r="C133" s="2205">
        <v>138.41263192398</v>
      </c>
      <c r="D133" s="2200">
        <v>4.4467780113631097</v>
      </c>
      <c r="E133" s="2207">
        <v>112.601585784318</v>
      </c>
      <c r="F133" s="2205">
        <v>117.805553209894</v>
      </c>
      <c r="G133" s="2200">
        <v>99.839093685450294</v>
      </c>
      <c r="H133" s="451"/>
      <c r="I133" s="715"/>
      <c r="J133" s="767"/>
      <c r="K133" s="715"/>
      <c r="L133" s="715"/>
      <c r="M133" s="2218"/>
      <c r="N133" s="2198"/>
      <c r="O133" s="2212">
        <v>98.6</v>
      </c>
      <c r="P133" s="3284">
        <v>100.4</v>
      </c>
      <c r="Q133" s="16"/>
    </row>
    <row r="134" spans="1:17" s="15" customFormat="1">
      <c r="A134" s="341">
        <v>1983.05</v>
      </c>
      <c r="B134" s="2195">
        <v>46.642040154528303</v>
      </c>
      <c r="C134" s="2205">
        <v>138.01590495604199</v>
      </c>
      <c r="D134" s="2200">
        <v>4.5297423699922996</v>
      </c>
      <c r="E134" s="2207">
        <v>112.518004769889</v>
      </c>
      <c r="F134" s="2205">
        <v>117.455121991005</v>
      </c>
      <c r="G134" s="2200">
        <v>100.290749761811</v>
      </c>
      <c r="H134" s="451"/>
      <c r="I134" s="715"/>
      <c r="J134" s="767"/>
      <c r="K134" s="715"/>
      <c r="L134" s="715"/>
      <c r="M134" s="2218"/>
      <c r="N134" s="2198"/>
      <c r="O134" s="2212">
        <v>99.2</v>
      </c>
      <c r="P134" s="3284">
        <v>100.8</v>
      </c>
      <c r="Q134" s="16"/>
    </row>
    <row r="135" spans="1:17" s="15" customFormat="1">
      <c r="A135" s="341">
        <v>1983.06</v>
      </c>
      <c r="B135" s="2195">
        <v>47.576869862977901</v>
      </c>
      <c r="C135" s="2205">
        <v>140.53211499169001</v>
      </c>
      <c r="D135" s="2200">
        <v>4.6398572422040099</v>
      </c>
      <c r="E135" s="2207">
        <v>113.944360599378</v>
      </c>
      <c r="F135" s="2205">
        <v>119.35395795818</v>
      </c>
      <c r="G135" s="2200">
        <v>100.744295189735</v>
      </c>
      <c r="H135" s="451"/>
      <c r="I135" s="715"/>
      <c r="J135" s="767"/>
      <c r="K135" s="715"/>
      <c r="L135" s="715"/>
      <c r="M135" s="2218"/>
      <c r="N135" s="2198"/>
      <c r="O135" s="2212">
        <v>99.5</v>
      </c>
      <c r="P135" s="3284">
        <v>101</v>
      </c>
      <c r="Q135" s="16"/>
    </row>
    <row r="136" spans="1:17" s="15" customFormat="1">
      <c r="A136" s="341">
        <v>1983.07</v>
      </c>
      <c r="B136" s="2195">
        <v>48.079806092647203</v>
      </c>
      <c r="C136" s="2205">
        <v>141.52899145391899</v>
      </c>
      <c r="D136" s="2200">
        <v>4.7270491134550197</v>
      </c>
      <c r="E136" s="2207">
        <v>114.601387895225</v>
      </c>
      <c r="F136" s="2205">
        <v>120.214374635838</v>
      </c>
      <c r="G136" s="2200">
        <v>100.98444016793199</v>
      </c>
      <c r="H136" s="451"/>
      <c r="I136" s="715"/>
      <c r="J136" s="767"/>
      <c r="K136" s="715"/>
      <c r="L136" s="715"/>
      <c r="M136" s="2218"/>
      <c r="N136" s="2198"/>
      <c r="O136" s="2212">
        <v>99.9</v>
      </c>
      <c r="P136" s="3284">
        <v>101.3</v>
      </c>
      <c r="Q136" s="16"/>
    </row>
    <row r="137" spans="1:17" s="15" customFormat="1">
      <c r="A137" s="341">
        <v>1983.08</v>
      </c>
      <c r="B137" s="2195">
        <v>49.021841179868296</v>
      </c>
      <c r="C137" s="2205">
        <v>143.87007206236001</v>
      </c>
      <c r="D137" s="2200">
        <v>4.85376607331923</v>
      </c>
      <c r="E137" s="2207">
        <v>116.023837563096</v>
      </c>
      <c r="F137" s="2205">
        <v>121.85732221430899</v>
      </c>
      <c r="G137" s="2200">
        <v>101.940725063673</v>
      </c>
      <c r="H137" s="451"/>
      <c r="I137" s="715"/>
      <c r="J137" s="767"/>
      <c r="K137" s="715"/>
      <c r="L137" s="715"/>
      <c r="M137" s="2218"/>
      <c r="N137" s="2198"/>
      <c r="O137" s="2212">
        <v>100.2</v>
      </c>
      <c r="P137" s="3284">
        <v>101.8</v>
      </c>
      <c r="Q137" s="16"/>
    </row>
    <row r="138" spans="1:17" s="15" customFormat="1">
      <c r="A138" s="341">
        <v>1983.09</v>
      </c>
      <c r="B138" s="2195">
        <v>49.316557157359497</v>
      </c>
      <c r="C138" s="2205">
        <v>143.63632875039201</v>
      </c>
      <c r="D138" s="2200">
        <v>4.97124854054056</v>
      </c>
      <c r="E138" s="2207">
        <v>115.932989867996</v>
      </c>
      <c r="F138" s="2205">
        <v>121.518886550001</v>
      </c>
      <c r="G138" s="2200">
        <v>102.34029102533999</v>
      </c>
      <c r="H138" s="451"/>
      <c r="I138" s="715"/>
      <c r="J138" s="767"/>
      <c r="K138" s="715"/>
      <c r="L138" s="715"/>
      <c r="M138" s="2218"/>
      <c r="N138" s="2198"/>
      <c r="O138" s="2212">
        <v>100.7</v>
      </c>
      <c r="P138" s="3284">
        <v>102</v>
      </c>
      <c r="Q138" s="16"/>
    </row>
    <row r="139" spans="1:17" s="15" customFormat="1">
      <c r="A139" s="341">
        <v>1983.1</v>
      </c>
      <c r="B139" s="2195">
        <v>49.160293488348501</v>
      </c>
      <c r="C139" s="2205">
        <v>141.18126053547499</v>
      </c>
      <c r="D139" s="2200">
        <v>5.1219721686628699</v>
      </c>
      <c r="E139" s="2207">
        <v>114.770205678159</v>
      </c>
      <c r="F139" s="2205">
        <v>119.37583421668501</v>
      </c>
      <c r="G139" s="2200">
        <v>103.166934351731</v>
      </c>
      <c r="H139" s="451"/>
      <c r="I139" s="715"/>
      <c r="J139" s="767"/>
      <c r="K139" s="715"/>
      <c r="L139" s="715"/>
      <c r="M139" s="2218"/>
      <c r="N139" s="2198"/>
      <c r="O139" s="2212">
        <v>101</v>
      </c>
      <c r="P139" s="3284">
        <v>102.2</v>
      </c>
      <c r="Q139" s="16"/>
    </row>
    <row r="140" spans="1:17" s="15" customFormat="1">
      <c r="A140" s="341">
        <v>1983.11</v>
      </c>
      <c r="B140" s="2195">
        <v>49.921719606546603</v>
      </c>
      <c r="C140" s="2205">
        <v>143.184151047554</v>
      </c>
      <c r="D140" s="2200">
        <v>5.2170008654172504</v>
      </c>
      <c r="E140" s="2207">
        <v>115.668786246105</v>
      </c>
      <c r="F140" s="2205">
        <v>121.02511601655</v>
      </c>
      <c r="G140" s="2200">
        <v>102.537523662403</v>
      </c>
      <c r="H140" s="451"/>
      <c r="I140" s="715"/>
      <c r="J140" s="767"/>
      <c r="K140" s="715"/>
      <c r="L140" s="715"/>
      <c r="M140" s="2218"/>
      <c r="N140" s="2198"/>
      <c r="O140" s="2212">
        <v>101.2</v>
      </c>
      <c r="P140" s="3284">
        <v>102.1</v>
      </c>
      <c r="Q140" s="16"/>
    </row>
    <row r="141" spans="1:17" s="15" customFormat="1">
      <c r="A141" s="341">
        <v>1983.12</v>
      </c>
      <c r="B141" s="2195">
        <v>50.727480560429697</v>
      </c>
      <c r="C141" s="2205">
        <v>145.07097936471399</v>
      </c>
      <c r="D141" s="2200">
        <v>5.3377125400435004</v>
      </c>
      <c r="E141" s="2207">
        <v>116.87190426585001</v>
      </c>
      <c r="F141" s="2205">
        <v>122.561093126587</v>
      </c>
      <c r="G141" s="2200">
        <v>103.054311625308</v>
      </c>
      <c r="H141" s="451"/>
      <c r="I141" s="715"/>
      <c r="J141" s="767"/>
      <c r="K141" s="715"/>
      <c r="L141" s="715"/>
      <c r="M141" s="2218"/>
      <c r="N141" s="2198"/>
      <c r="O141" s="2212">
        <v>101.3</v>
      </c>
      <c r="P141" s="3284">
        <v>102.3</v>
      </c>
      <c r="Q141" s="16"/>
    </row>
    <row r="142" spans="1:17" s="15" customFormat="1">
      <c r="A142" s="341">
        <v>1984.01</v>
      </c>
      <c r="B142" s="2195">
        <v>51.331458575320099</v>
      </c>
      <c r="C142" s="2205">
        <v>146.15607425890099</v>
      </c>
      <c r="D142" s="2200">
        <v>5.4578844995995404</v>
      </c>
      <c r="E142" s="2207">
        <v>117.927741944649</v>
      </c>
      <c r="F142" s="2205">
        <v>123.935031233777</v>
      </c>
      <c r="G142" s="2200">
        <v>103.44528640293601</v>
      </c>
      <c r="H142" s="451"/>
      <c r="I142" s="715"/>
      <c r="J142" s="767"/>
      <c r="K142" s="715"/>
      <c r="L142" s="715"/>
      <c r="M142" s="2218"/>
      <c r="N142" s="2198"/>
      <c r="O142" s="2212">
        <v>101.9</v>
      </c>
      <c r="P142" s="3284">
        <v>102.9</v>
      </c>
      <c r="Q142" s="16"/>
    </row>
    <row r="143" spans="1:17" s="15" customFormat="1">
      <c r="A143" s="341">
        <v>1984.02</v>
      </c>
      <c r="B143" s="2195">
        <v>51.206128247131502</v>
      </c>
      <c r="C143" s="2205">
        <v>144.27513866315101</v>
      </c>
      <c r="D143" s="2200">
        <v>5.5846777543966901</v>
      </c>
      <c r="E143" s="2207">
        <v>116.801841175465</v>
      </c>
      <c r="F143" s="2205">
        <v>122.176169734773</v>
      </c>
      <c r="G143" s="2200">
        <v>103.628253727816</v>
      </c>
      <c r="H143" s="451"/>
      <c r="I143" s="715"/>
      <c r="J143" s="767"/>
      <c r="K143" s="715"/>
      <c r="L143" s="715"/>
      <c r="M143" s="2218"/>
      <c r="N143" s="2198"/>
      <c r="O143" s="2212">
        <v>102.4</v>
      </c>
      <c r="P143" s="3284">
        <v>103.2</v>
      </c>
      <c r="Q143" s="16"/>
    </row>
    <row r="144" spans="1:17" s="15" customFormat="1">
      <c r="A144" s="341">
        <v>1984.03</v>
      </c>
      <c r="B144" s="2195">
        <v>51.053539010134003</v>
      </c>
      <c r="C144" s="2205">
        <v>141.84533793279601</v>
      </c>
      <c r="D144" s="2200">
        <v>5.7596540242487304</v>
      </c>
      <c r="E144" s="2207">
        <v>115.816675013401</v>
      </c>
      <c r="F144" s="2205">
        <v>120.212046175917</v>
      </c>
      <c r="G144" s="2200">
        <v>104.693687688845</v>
      </c>
      <c r="H144" s="451"/>
      <c r="I144" s="715"/>
      <c r="J144" s="767"/>
      <c r="K144" s="715"/>
      <c r="L144" s="715"/>
      <c r="M144" s="2218"/>
      <c r="N144" s="2198"/>
      <c r="O144" s="2212">
        <v>102.6</v>
      </c>
      <c r="P144" s="3284">
        <v>103.9</v>
      </c>
      <c r="Q144" s="16"/>
    </row>
    <row r="145" spans="1:17" s="15" customFormat="1">
      <c r="A145" s="341">
        <v>1984.04</v>
      </c>
      <c r="B145" s="2195">
        <v>51.718331677269497</v>
      </c>
      <c r="C145" s="2205">
        <v>143.35665884644001</v>
      </c>
      <c r="D145" s="2200">
        <v>5.8677145564174999</v>
      </c>
      <c r="E145" s="2207">
        <v>116.714585468533</v>
      </c>
      <c r="F145" s="2205">
        <v>121.72356009437</v>
      </c>
      <c r="G145" s="2200">
        <v>104.295370080579</v>
      </c>
      <c r="H145" s="451"/>
      <c r="I145" s="715"/>
      <c r="J145" s="767"/>
      <c r="K145" s="715"/>
      <c r="L145" s="715"/>
      <c r="M145" s="2218"/>
      <c r="N145" s="2198"/>
      <c r="O145" s="2212">
        <v>103.1</v>
      </c>
      <c r="P145" s="3284">
        <v>104</v>
      </c>
      <c r="Q145" s="16"/>
    </row>
    <row r="146" spans="1:17" s="15" customFormat="1">
      <c r="A146" s="341">
        <v>1984.05</v>
      </c>
      <c r="B146" s="2195">
        <v>52.919868555167902</v>
      </c>
      <c r="C146" s="2205">
        <v>146.71422377148201</v>
      </c>
      <c r="D146" s="2200">
        <v>6.0013373824682601</v>
      </c>
      <c r="E146" s="2207">
        <v>118.612072166628</v>
      </c>
      <c r="F146" s="2205">
        <v>124.522496935258</v>
      </c>
      <c r="G146" s="2200">
        <v>104.31179753983101</v>
      </c>
      <c r="H146" s="451"/>
      <c r="I146" s="715"/>
      <c r="J146" s="767"/>
      <c r="K146" s="715"/>
      <c r="L146" s="715"/>
      <c r="M146" s="2218"/>
      <c r="N146" s="2198"/>
      <c r="O146" s="2212">
        <v>103.4</v>
      </c>
      <c r="P146" s="3284">
        <v>104.1</v>
      </c>
      <c r="Q146" s="16"/>
    </row>
    <row r="147" spans="1:17" s="15" customFormat="1">
      <c r="A147" s="341">
        <v>1984.06</v>
      </c>
      <c r="B147" s="2195">
        <v>53.585761906631703</v>
      </c>
      <c r="C147" s="2205">
        <v>147.73666285939899</v>
      </c>
      <c r="D147" s="2200">
        <v>6.1592208175587198</v>
      </c>
      <c r="E147" s="2207">
        <v>119.20715508247601</v>
      </c>
      <c r="F147" s="2205">
        <v>125.310497442512</v>
      </c>
      <c r="G147" s="2200">
        <v>104.505307931497</v>
      </c>
      <c r="H147" s="451"/>
      <c r="I147" s="715"/>
      <c r="J147" s="767"/>
      <c r="K147" s="715"/>
      <c r="L147" s="715"/>
      <c r="M147" s="2218"/>
      <c r="N147" s="2198"/>
      <c r="O147" s="2212">
        <v>103.7</v>
      </c>
      <c r="P147" s="3284">
        <v>104</v>
      </c>
      <c r="Q147" s="16"/>
    </row>
    <row r="148" spans="1:17" s="15" customFormat="1">
      <c r="A148" s="341">
        <v>1984.07</v>
      </c>
      <c r="B148" s="2195">
        <v>55.225070881123202</v>
      </c>
      <c r="C148" s="2205">
        <v>152.53556135391301</v>
      </c>
      <c r="D148" s="2200">
        <v>6.3194536019666998</v>
      </c>
      <c r="E148" s="2207">
        <v>122.19525805549</v>
      </c>
      <c r="F148" s="2205">
        <v>129.512349406548</v>
      </c>
      <c r="G148" s="2200">
        <v>105.016513910979</v>
      </c>
      <c r="H148" s="451"/>
      <c r="I148" s="715"/>
      <c r="J148" s="767"/>
      <c r="K148" s="715"/>
      <c r="L148" s="715"/>
      <c r="M148" s="2218"/>
      <c r="N148" s="2198"/>
      <c r="O148" s="2212">
        <v>104.1</v>
      </c>
      <c r="P148" s="3284">
        <v>104.2</v>
      </c>
      <c r="Q148" s="16"/>
    </row>
    <row r="149" spans="1:17" s="15" customFormat="1">
      <c r="A149" s="341">
        <v>1984.08</v>
      </c>
      <c r="B149" s="2195">
        <v>55.5222800002621</v>
      </c>
      <c r="C149" s="2205">
        <v>152.33163088139301</v>
      </c>
      <c r="D149" s="2200">
        <v>6.4572495392619897</v>
      </c>
      <c r="E149" s="2207">
        <v>122.155206654133</v>
      </c>
      <c r="F149" s="2205">
        <v>129.440322320739</v>
      </c>
      <c r="G149" s="2200">
        <v>105.040082936489</v>
      </c>
      <c r="H149" s="451"/>
      <c r="I149" s="715"/>
      <c r="J149" s="767"/>
      <c r="K149" s="715"/>
      <c r="L149" s="715"/>
      <c r="M149" s="2218"/>
      <c r="N149" s="2198"/>
      <c r="O149" s="2212">
        <v>104.5</v>
      </c>
      <c r="P149" s="3284">
        <v>103.8</v>
      </c>
      <c r="Q149" s="16"/>
    </row>
    <row r="150" spans="1:17" s="15" customFormat="1">
      <c r="A150" s="341">
        <v>1984.09</v>
      </c>
      <c r="B150" s="2195">
        <v>56.934451799926002</v>
      </c>
      <c r="C150" s="2205">
        <v>156.01619326034501</v>
      </c>
      <c r="D150" s="2200">
        <v>6.6411062194668196</v>
      </c>
      <c r="E150" s="2207">
        <v>124.378228297116</v>
      </c>
      <c r="F150" s="2205">
        <v>132.532413953125</v>
      </c>
      <c r="G150" s="2200">
        <v>105.52077508312099</v>
      </c>
      <c r="H150" s="451"/>
      <c r="I150" s="715"/>
      <c r="J150" s="767"/>
      <c r="K150" s="715"/>
      <c r="L150" s="715"/>
      <c r="M150" s="2218"/>
      <c r="N150" s="2198"/>
      <c r="O150" s="2212">
        <v>105</v>
      </c>
      <c r="P150" s="3284">
        <v>103.4</v>
      </c>
      <c r="Q150" s="16"/>
    </row>
    <row r="151" spans="1:17" s="15" customFormat="1">
      <c r="A151" s="341">
        <v>1984.1</v>
      </c>
      <c r="B151" s="2195">
        <v>57.857905664860901</v>
      </c>
      <c r="C151" s="2205">
        <v>157.59783413567001</v>
      </c>
      <c r="D151" s="2200">
        <v>6.8473671123484303</v>
      </c>
      <c r="E151" s="2207">
        <v>125.349987460432</v>
      </c>
      <c r="F151" s="2205">
        <v>133.68603570699699</v>
      </c>
      <c r="G151" s="2200">
        <v>106.118170770121</v>
      </c>
      <c r="H151" s="451"/>
      <c r="I151" s="715"/>
      <c r="J151" s="767"/>
      <c r="K151" s="715"/>
      <c r="L151" s="715"/>
      <c r="M151" s="2218"/>
      <c r="N151" s="2198"/>
      <c r="O151" s="2212">
        <v>105.3</v>
      </c>
      <c r="P151" s="3284">
        <v>103.4</v>
      </c>
      <c r="Q151" s="16"/>
    </row>
    <row r="152" spans="1:17" s="15" customFormat="1">
      <c r="A152" s="341">
        <v>1984.11</v>
      </c>
      <c r="B152" s="2195">
        <v>57.773353030649503</v>
      </c>
      <c r="C152" s="2205">
        <v>155.497605092361</v>
      </c>
      <c r="D152" s="2200">
        <v>7.03784270071945</v>
      </c>
      <c r="E152" s="2207">
        <v>124.277918637065</v>
      </c>
      <c r="F152" s="2205">
        <v>131.773674934128</v>
      </c>
      <c r="G152" s="2200">
        <v>106.70071617823599</v>
      </c>
      <c r="H152" s="451"/>
      <c r="I152" s="715"/>
      <c r="J152" s="767"/>
      <c r="K152" s="715"/>
      <c r="L152" s="715"/>
      <c r="M152" s="2218"/>
      <c r="N152" s="2198"/>
      <c r="O152" s="2212">
        <v>105.3</v>
      </c>
      <c r="P152" s="3284">
        <v>103.7</v>
      </c>
      <c r="Q152" s="16"/>
    </row>
    <row r="153" spans="1:17" s="15" customFormat="1">
      <c r="A153" s="341">
        <v>1984.12</v>
      </c>
      <c r="B153" s="2195">
        <v>59.043192796394898</v>
      </c>
      <c r="C153" s="2205">
        <v>158.77745853396101</v>
      </c>
      <c r="D153" s="2200">
        <v>7.20754758408036</v>
      </c>
      <c r="E153" s="2207">
        <v>126.137344244977</v>
      </c>
      <c r="F153" s="2205">
        <v>134.22452063524199</v>
      </c>
      <c r="G153" s="2200">
        <v>107.364884608098</v>
      </c>
      <c r="H153" s="451"/>
      <c r="I153" s="715"/>
      <c r="J153" s="767"/>
      <c r="K153" s="715"/>
      <c r="L153" s="715"/>
      <c r="M153" s="2218"/>
      <c r="N153" s="2198"/>
      <c r="O153" s="2212">
        <v>105.3</v>
      </c>
      <c r="P153" s="3284">
        <v>103.5</v>
      </c>
      <c r="Q153" s="16"/>
    </row>
    <row r="154" spans="1:17" s="15" customFormat="1">
      <c r="A154" s="341">
        <v>1985.01</v>
      </c>
      <c r="B154" s="2195">
        <v>60.249779757213297</v>
      </c>
      <c r="C154" s="2205">
        <v>161.876801499382</v>
      </c>
      <c r="D154" s="2200">
        <v>7.37430652499466</v>
      </c>
      <c r="E154" s="2207">
        <v>127.711946123678</v>
      </c>
      <c r="F154" s="2205">
        <v>136.60342749922901</v>
      </c>
      <c r="G154" s="2200">
        <v>107.288850825042</v>
      </c>
      <c r="H154" s="451"/>
      <c r="I154" s="715"/>
      <c r="J154" s="767"/>
      <c r="K154" s="715"/>
      <c r="L154" s="715"/>
      <c r="M154" s="2218"/>
      <c r="N154" s="2198"/>
      <c r="O154" s="2212">
        <v>105.5</v>
      </c>
      <c r="P154" s="3284">
        <v>103.4</v>
      </c>
      <c r="Q154" s="16"/>
    </row>
    <row r="155" spans="1:17" s="15" customFormat="1">
      <c r="A155" s="341">
        <v>1985.02</v>
      </c>
      <c r="B155" s="2195">
        <v>62.029877929785201</v>
      </c>
      <c r="C155" s="2205">
        <v>167.05659533854299</v>
      </c>
      <c r="D155" s="2200">
        <v>7.5469056595501298</v>
      </c>
      <c r="E155" s="2207">
        <v>131.07106981219599</v>
      </c>
      <c r="F155" s="2205">
        <v>141.29775256123699</v>
      </c>
      <c r="G155" s="2200">
        <v>107.94349596408399</v>
      </c>
      <c r="H155" s="451"/>
      <c r="I155" s="715"/>
      <c r="J155" s="767"/>
      <c r="K155" s="715"/>
      <c r="L155" s="715"/>
      <c r="M155" s="2218"/>
      <c r="N155" s="2198"/>
      <c r="O155" s="2212">
        <v>106</v>
      </c>
      <c r="P155" s="3284">
        <v>103.3</v>
      </c>
      <c r="Q155" s="16"/>
    </row>
    <row r="156" spans="1:17" s="15" customFormat="1">
      <c r="A156" s="341">
        <v>1985.03</v>
      </c>
      <c r="B156" s="2195">
        <v>62.692689165275702</v>
      </c>
      <c r="C156" s="2205">
        <v>167.756954617882</v>
      </c>
      <c r="D156" s="2200">
        <v>7.7538959992022098</v>
      </c>
      <c r="E156" s="2207">
        <v>131.627696369939</v>
      </c>
      <c r="F156" s="2205">
        <v>141.905059424401</v>
      </c>
      <c r="G156" s="2200">
        <v>108.38783575975999</v>
      </c>
      <c r="H156" s="451"/>
      <c r="I156" s="715"/>
      <c r="J156" s="767"/>
      <c r="K156" s="715"/>
      <c r="L156" s="715"/>
      <c r="M156" s="2218"/>
      <c r="N156" s="2198"/>
      <c r="O156" s="2212">
        <v>106.4</v>
      </c>
      <c r="P156" s="3284">
        <v>103.1</v>
      </c>
      <c r="Q156" s="16"/>
    </row>
    <row r="157" spans="1:17" s="15" customFormat="1">
      <c r="A157" s="341">
        <v>1985.04</v>
      </c>
      <c r="B157" s="2195">
        <v>61.438245585801099</v>
      </c>
      <c r="C157" s="2205">
        <v>161.588123346174</v>
      </c>
      <c r="D157" s="2200">
        <v>7.9385850440494803</v>
      </c>
      <c r="E157" s="2207">
        <v>127.970039306513</v>
      </c>
      <c r="F157" s="2205">
        <v>136.35676810642701</v>
      </c>
      <c r="G157" s="2200">
        <v>108.555753742017</v>
      </c>
      <c r="H157" s="451"/>
      <c r="I157" s="715"/>
      <c r="J157" s="767"/>
      <c r="K157" s="715"/>
      <c r="L157" s="715"/>
      <c r="M157" s="2218"/>
      <c r="N157" s="2198"/>
      <c r="O157" s="2212">
        <v>106.9</v>
      </c>
      <c r="P157" s="3284">
        <v>103.3</v>
      </c>
      <c r="Q157" s="16"/>
    </row>
    <row r="158" spans="1:17" s="15" customFormat="1">
      <c r="A158" s="341">
        <v>1985.05</v>
      </c>
      <c r="B158" s="2195">
        <v>61.964490812680197</v>
      </c>
      <c r="C158" s="2205">
        <v>161.91906199872599</v>
      </c>
      <c r="D158" s="2200">
        <v>8.1393889654414995</v>
      </c>
      <c r="E158" s="2207">
        <v>128.397358182126</v>
      </c>
      <c r="F158" s="2205">
        <v>136.606802379654</v>
      </c>
      <c r="G158" s="2200">
        <v>109.334552632437</v>
      </c>
      <c r="H158" s="451"/>
      <c r="I158" s="715"/>
      <c r="J158" s="767"/>
      <c r="K158" s="715"/>
      <c r="L158" s="715"/>
      <c r="M158" s="2218"/>
      <c r="N158" s="2198"/>
      <c r="O158" s="2212">
        <v>107.3</v>
      </c>
      <c r="P158" s="3284">
        <v>103.5</v>
      </c>
      <c r="Q158" s="16"/>
    </row>
    <row r="159" spans="1:17" s="15" customFormat="1">
      <c r="A159" s="341">
        <v>1985.06</v>
      </c>
      <c r="B159" s="2195">
        <v>61.899585559765001</v>
      </c>
      <c r="C159" s="2205">
        <v>160.10928684288601</v>
      </c>
      <c r="D159" s="2200">
        <v>8.3439990937696997</v>
      </c>
      <c r="E159" s="2207">
        <v>127.40475882461099</v>
      </c>
      <c r="F159" s="2205">
        <v>134.976844778772</v>
      </c>
      <c r="G159" s="2200">
        <v>109.665024248884</v>
      </c>
      <c r="H159" s="451"/>
      <c r="I159" s="715"/>
      <c r="J159" s="767"/>
      <c r="K159" s="715"/>
      <c r="L159" s="715"/>
      <c r="M159" s="2218"/>
      <c r="N159" s="2198"/>
      <c r="O159" s="2212">
        <v>107.6</v>
      </c>
      <c r="P159" s="3284">
        <v>103.3</v>
      </c>
      <c r="Q159" s="16"/>
    </row>
    <row r="160" spans="1:17" s="15" customFormat="1">
      <c r="A160" s="341">
        <v>1985.07</v>
      </c>
      <c r="B160" s="2195">
        <v>60.933002256001302</v>
      </c>
      <c r="C160" s="2205">
        <v>154.73317786877601</v>
      </c>
      <c r="D160" s="2200">
        <v>8.6077393076381803</v>
      </c>
      <c r="E160" s="2207">
        <v>124.331173518376</v>
      </c>
      <c r="F160" s="2205">
        <v>130.14956024855201</v>
      </c>
      <c r="G160" s="2200">
        <v>110.331844819648</v>
      </c>
      <c r="H160" s="451"/>
      <c r="I160" s="715"/>
      <c r="J160" s="767"/>
      <c r="K160" s="715"/>
      <c r="L160" s="715"/>
      <c r="M160" s="2218"/>
      <c r="N160" s="2198"/>
      <c r="O160" s="2212">
        <v>107.8</v>
      </c>
      <c r="P160" s="3284">
        <v>103.2</v>
      </c>
      <c r="Q160" s="16"/>
    </row>
    <row r="161" spans="1:17" s="15" customFormat="1">
      <c r="A161" s="341">
        <v>1985.08</v>
      </c>
      <c r="B161" s="2195">
        <v>61.056325254622401</v>
      </c>
      <c r="C161" s="2205">
        <v>152.38074126573201</v>
      </c>
      <c r="D161" s="2200">
        <v>9.0130426417604195</v>
      </c>
      <c r="E161" s="2207">
        <v>124.00052537700201</v>
      </c>
      <c r="F161" s="2205">
        <v>128.31354371731999</v>
      </c>
      <c r="G161" s="2200">
        <v>113.31348991917601</v>
      </c>
      <c r="H161" s="451"/>
      <c r="I161" s="715"/>
      <c r="J161" s="767"/>
      <c r="K161" s="715"/>
      <c r="L161" s="715"/>
      <c r="M161" s="2218"/>
      <c r="N161" s="2198"/>
      <c r="O161" s="2212">
        <v>108</v>
      </c>
      <c r="P161" s="3284">
        <v>102.7</v>
      </c>
      <c r="Q161" s="16"/>
    </row>
    <row r="162" spans="1:17" s="15" customFormat="1">
      <c r="A162" s="341">
        <v>1985.09</v>
      </c>
      <c r="B162" s="2195">
        <v>61.7893314889862</v>
      </c>
      <c r="C162" s="2205">
        <v>153.70878063684299</v>
      </c>
      <c r="D162" s="2200">
        <v>9.1984401848996509</v>
      </c>
      <c r="E162" s="2207">
        <v>124.90946465885</v>
      </c>
      <c r="F162" s="2205">
        <v>129.665554894373</v>
      </c>
      <c r="G162" s="2200">
        <v>113.226164600606</v>
      </c>
      <c r="H162" s="451"/>
      <c r="I162" s="715"/>
      <c r="J162" s="767"/>
      <c r="K162" s="715"/>
      <c r="L162" s="715"/>
      <c r="M162" s="2218"/>
      <c r="N162" s="2198"/>
      <c r="O162" s="2212">
        <v>108.3</v>
      </c>
      <c r="P162" s="3284">
        <v>102.1</v>
      </c>
      <c r="Q162" s="16"/>
    </row>
    <row r="163" spans="1:17" s="15" customFormat="1">
      <c r="A163" s="341">
        <v>1985.1</v>
      </c>
      <c r="B163" s="2195">
        <v>59.805128710658302</v>
      </c>
      <c r="C163" s="2205">
        <v>145.97418021576399</v>
      </c>
      <c r="D163" s="2200">
        <v>9.3416265383178807</v>
      </c>
      <c r="E163" s="2207">
        <v>120.30730053932901</v>
      </c>
      <c r="F163" s="2205">
        <v>123.140820407917</v>
      </c>
      <c r="G163" s="2200">
        <v>113.028829111799</v>
      </c>
      <c r="H163" s="451"/>
      <c r="I163" s="715"/>
      <c r="J163" s="767"/>
      <c r="K163" s="715"/>
      <c r="L163" s="715"/>
      <c r="M163" s="2218"/>
      <c r="N163" s="2198"/>
      <c r="O163" s="2212">
        <v>108.7</v>
      </c>
      <c r="P163" s="3284">
        <v>102.9</v>
      </c>
      <c r="Q163" s="16"/>
    </row>
    <row r="164" spans="1:17" s="15" customFormat="1">
      <c r="A164" s="341">
        <v>1985.11</v>
      </c>
      <c r="B164" s="2195">
        <v>59.356113515433698</v>
      </c>
      <c r="C164" s="2205">
        <v>143.402265871347</v>
      </c>
      <c r="D164" s="2200">
        <v>9.5159216800995399</v>
      </c>
      <c r="E164" s="2207">
        <v>119.20772780826501</v>
      </c>
      <c r="F164" s="2205">
        <v>121.317525801714</v>
      </c>
      <c r="G164" s="2200">
        <v>113.639633876292</v>
      </c>
      <c r="H164" s="451"/>
      <c r="I164" s="715"/>
      <c r="J164" s="767"/>
      <c r="K164" s="715"/>
      <c r="L164" s="715"/>
      <c r="M164" s="2218"/>
      <c r="N164" s="2198"/>
      <c r="O164" s="2212">
        <v>109</v>
      </c>
      <c r="P164" s="3284">
        <v>103.4</v>
      </c>
      <c r="Q164" s="16"/>
    </row>
    <row r="165" spans="1:17" s="15" customFormat="1">
      <c r="A165" s="341">
        <v>1985.12</v>
      </c>
      <c r="B165" s="2195">
        <v>59.500115190413503</v>
      </c>
      <c r="C165" s="2205">
        <v>142.493044219365</v>
      </c>
      <c r="D165" s="2200">
        <v>9.7541497450685899</v>
      </c>
      <c r="E165" s="2207">
        <v>118.899993872487</v>
      </c>
      <c r="F165" s="2205">
        <v>120.56304077731799</v>
      </c>
      <c r="G165" s="2200">
        <v>114.40326751388299</v>
      </c>
      <c r="H165" s="451"/>
      <c r="I165" s="715"/>
      <c r="J165" s="767"/>
      <c r="K165" s="715"/>
      <c r="L165" s="715"/>
      <c r="M165" s="2218"/>
      <c r="N165" s="2198"/>
      <c r="O165" s="2212">
        <v>109.3</v>
      </c>
      <c r="P165" s="3284">
        <v>103.6</v>
      </c>
      <c r="Q165" s="16"/>
    </row>
    <row r="166" spans="1:17" s="15" customFormat="1">
      <c r="A166" s="341">
        <v>1986.01</v>
      </c>
      <c r="B166" s="2195">
        <v>59.570538466606997</v>
      </c>
      <c r="C166" s="2205">
        <v>141.18176713876099</v>
      </c>
      <c r="D166" s="2200">
        <v>10.024117345443599</v>
      </c>
      <c r="E166" s="2207">
        <v>118.322332040633</v>
      </c>
      <c r="F166" s="2205">
        <v>119.391524617572</v>
      </c>
      <c r="G166" s="2200">
        <v>115.243736013193</v>
      </c>
      <c r="H166" s="451"/>
      <c r="I166" s="715"/>
      <c r="J166" s="767"/>
      <c r="K166" s="715"/>
      <c r="L166" s="715"/>
      <c r="M166" s="2218"/>
      <c r="N166" s="2198"/>
      <c r="O166" s="2212">
        <v>109.6</v>
      </c>
      <c r="P166" s="3284">
        <v>103.2</v>
      </c>
      <c r="Q166" s="16"/>
    </row>
    <row r="167" spans="1:17" s="15" customFormat="1">
      <c r="A167" s="341">
        <v>1986.02</v>
      </c>
      <c r="B167" s="2195">
        <v>58.442987319278998</v>
      </c>
      <c r="C167" s="2205">
        <v>135.98061340455999</v>
      </c>
      <c r="D167" s="2200">
        <v>10.297204034192699</v>
      </c>
      <c r="E167" s="2207">
        <v>115.149066192085</v>
      </c>
      <c r="F167" s="2205">
        <v>114.605462525684</v>
      </c>
      <c r="G167" s="2200">
        <v>116.05391122240501</v>
      </c>
      <c r="H167" s="451"/>
      <c r="I167" s="715"/>
      <c r="J167" s="767"/>
      <c r="K167" s="715"/>
      <c r="L167" s="715"/>
      <c r="M167" s="2218"/>
      <c r="N167" s="2198"/>
      <c r="O167" s="2212">
        <v>109.3</v>
      </c>
      <c r="P167" s="3284">
        <v>101.7</v>
      </c>
      <c r="Q167" s="16"/>
    </row>
    <row r="168" spans="1:17" s="15" customFormat="1">
      <c r="A168" s="341">
        <v>1986.03</v>
      </c>
      <c r="B168" s="2195">
        <v>57.937910309538303</v>
      </c>
      <c r="C168" s="2205">
        <v>133.20384129503199</v>
      </c>
      <c r="D168" s="2200">
        <v>10.5156884590919</v>
      </c>
      <c r="E168" s="2207">
        <v>113.008448070348</v>
      </c>
      <c r="F168" s="2205">
        <v>111.646690527153</v>
      </c>
      <c r="G168" s="2200">
        <v>116.012566985059</v>
      </c>
      <c r="H168" s="451"/>
      <c r="I168" s="715"/>
      <c r="J168" s="767"/>
      <c r="K168" s="715"/>
      <c r="L168" s="715"/>
      <c r="M168" s="2218"/>
      <c r="N168" s="2198"/>
      <c r="O168" s="2212">
        <v>108.8</v>
      </c>
      <c r="P168" s="3284">
        <v>100.3</v>
      </c>
      <c r="Q168" s="16"/>
    </row>
    <row r="169" spans="1:17" s="15" customFormat="1">
      <c r="A169" s="341">
        <v>1986.04</v>
      </c>
      <c r="B169" s="2195">
        <v>57.778246604996703</v>
      </c>
      <c r="C169" s="2205">
        <v>131.97718899931601</v>
      </c>
      <c r="D169" s="2200">
        <v>10.659088884343101</v>
      </c>
      <c r="E169" s="2207">
        <v>111.87150093312501</v>
      </c>
      <c r="F169" s="2205">
        <v>110.180008092056</v>
      </c>
      <c r="G169" s="2200">
        <v>115.739053752882</v>
      </c>
      <c r="H169" s="451"/>
      <c r="I169" s="715"/>
      <c r="J169" s="767"/>
      <c r="K169" s="715"/>
      <c r="L169" s="715"/>
      <c r="M169" s="2218"/>
      <c r="N169" s="2198"/>
      <c r="O169" s="2212">
        <v>108.6</v>
      </c>
      <c r="P169" s="3284">
        <v>99.6</v>
      </c>
      <c r="Q169" s="16"/>
    </row>
    <row r="170" spans="1:17" s="15" customFormat="1">
      <c r="A170" s="341">
        <v>1986.05</v>
      </c>
      <c r="B170" s="2195">
        <v>57.0707195737738</v>
      </c>
      <c r="C170" s="2205">
        <v>128.981713566004</v>
      </c>
      <c r="D170" s="2200">
        <v>10.8101280275981</v>
      </c>
      <c r="E170" s="2207">
        <v>110.083467284253</v>
      </c>
      <c r="F170" s="2205">
        <v>107.690268303571</v>
      </c>
      <c r="G170" s="2200">
        <v>115.8183883703</v>
      </c>
      <c r="H170" s="451"/>
      <c r="I170" s="715"/>
      <c r="J170" s="767"/>
      <c r="K170" s="715"/>
      <c r="L170" s="715"/>
      <c r="M170" s="2218"/>
      <c r="N170" s="2198"/>
      <c r="O170" s="2212">
        <v>108.9</v>
      </c>
      <c r="P170" s="3284">
        <v>100</v>
      </c>
      <c r="Q170" s="16"/>
    </row>
    <row r="171" spans="1:17" s="15" customFormat="1">
      <c r="A171" s="341">
        <v>1986.06</v>
      </c>
      <c r="B171" s="2195">
        <v>57.569660048563001</v>
      </c>
      <c r="C171" s="2205">
        <v>129.797179200833</v>
      </c>
      <c r="D171" s="2200">
        <v>10.9697779175862</v>
      </c>
      <c r="E171" s="2207">
        <v>110.84811469352501</v>
      </c>
      <c r="F171" s="2205">
        <v>108.724254548082</v>
      </c>
      <c r="G171" s="2200">
        <v>115.86040432575101</v>
      </c>
      <c r="H171" s="451"/>
      <c r="I171" s="715"/>
      <c r="J171" s="767"/>
      <c r="K171" s="715"/>
      <c r="L171" s="715"/>
      <c r="M171" s="2218"/>
      <c r="N171" s="2198"/>
      <c r="O171" s="2212">
        <v>109.5</v>
      </c>
      <c r="P171" s="3284">
        <v>99.9</v>
      </c>
      <c r="Q171" s="16"/>
    </row>
    <row r="172" spans="1:17" s="15" customFormat="1">
      <c r="A172" s="341">
        <v>1986.07</v>
      </c>
      <c r="B172" s="2195">
        <v>56.864456598510699</v>
      </c>
      <c r="C172" s="2205">
        <v>126.443407922904</v>
      </c>
      <c r="D172" s="2200">
        <v>11.2158013592993</v>
      </c>
      <c r="E172" s="2207">
        <v>108.96089270220899</v>
      </c>
      <c r="F172" s="2205">
        <v>105.797933536061</v>
      </c>
      <c r="G172" s="2200">
        <v>116.792554910479</v>
      </c>
      <c r="H172" s="451"/>
      <c r="I172" s="715"/>
      <c r="J172" s="767"/>
      <c r="K172" s="715"/>
      <c r="L172" s="715"/>
      <c r="M172" s="2218"/>
      <c r="N172" s="2198"/>
      <c r="O172" s="2212">
        <v>109.5</v>
      </c>
      <c r="P172" s="3284">
        <v>99.4</v>
      </c>
      <c r="Q172" s="16"/>
    </row>
    <row r="173" spans="1:17" s="15" customFormat="1">
      <c r="A173" s="341">
        <v>1986.08</v>
      </c>
      <c r="B173" s="2195">
        <v>56.498249003554001</v>
      </c>
      <c r="C173" s="2205">
        <v>124.39274993604801</v>
      </c>
      <c r="D173" s="2200">
        <v>11.4211921986986</v>
      </c>
      <c r="E173" s="2207">
        <v>107.517016181317</v>
      </c>
      <c r="F173" s="2205">
        <v>104.029119548566</v>
      </c>
      <c r="G173" s="2200">
        <v>116.25975284016999</v>
      </c>
      <c r="H173" s="451"/>
      <c r="I173" s="715"/>
      <c r="J173" s="767"/>
      <c r="K173" s="715"/>
      <c r="L173" s="715"/>
      <c r="M173" s="2218"/>
      <c r="N173" s="2198"/>
      <c r="O173" s="2212">
        <v>109.7</v>
      </c>
      <c r="P173" s="3284">
        <v>99.3</v>
      </c>
      <c r="Q173" s="16"/>
    </row>
    <row r="174" spans="1:17" s="15" customFormat="1">
      <c r="A174" s="341">
        <v>1986.09</v>
      </c>
      <c r="B174" s="2195">
        <v>56.813091218933401</v>
      </c>
      <c r="C174" s="2205">
        <v>124.26774391171899</v>
      </c>
      <c r="D174" s="2200">
        <v>11.6741742042061</v>
      </c>
      <c r="E174" s="2207">
        <v>107.61154072846401</v>
      </c>
      <c r="F174" s="2205">
        <v>104.101555273522</v>
      </c>
      <c r="G174" s="2200">
        <v>116.41492818280901</v>
      </c>
      <c r="H174" s="451"/>
      <c r="I174" s="715"/>
      <c r="J174" s="767"/>
      <c r="K174" s="715"/>
      <c r="L174" s="715"/>
      <c r="M174" s="2218"/>
      <c r="N174" s="2198"/>
      <c r="O174" s="2212">
        <v>110.2</v>
      </c>
      <c r="P174" s="3284">
        <v>99.4</v>
      </c>
      <c r="Q174" s="16"/>
    </row>
    <row r="175" spans="1:17" s="15" customFormat="1">
      <c r="A175" s="341">
        <v>1986.1</v>
      </c>
      <c r="B175" s="2195">
        <v>57.108629915368397</v>
      </c>
      <c r="C175" s="2205">
        <v>124.30758549330901</v>
      </c>
      <c r="D175" s="2200">
        <v>11.878370691231201</v>
      </c>
      <c r="E175" s="2207">
        <v>107.710904942612</v>
      </c>
      <c r="F175" s="2205">
        <v>104.196173919377</v>
      </c>
      <c r="G175" s="2200">
        <v>116.526611794883</v>
      </c>
      <c r="H175" s="451"/>
      <c r="I175" s="715"/>
      <c r="J175" s="767"/>
      <c r="K175" s="715"/>
      <c r="L175" s="715"/>
      <c r="M175" s="2218"/>
      <c r="N175" s="2198"/>
      <c r="O175" s="2212">
        <v>110.3</v>
      </c>
      <c r="P175" s="3284">
        <v>99.7</v>
      </c>
      <c r="Q175" s="16"/>
    </row>
    <row r="176" spans="1:17" s="15" customFormat="1">
      <c r="A176" s="341">
        <v>1986.11</v>
      </c>
      <c r="B176" s="2195">
        <v>57.953662352980402</v>
      </c>
      <c r="C176" s="2205">
        <v>126.132295816352</v>
      </c>
      <c r="D176" s="2200">
        <v>12.0573096895774</v>
      </c>
      <c r="E176" s="2207">
        <v>108.679067056512</v>
      </c>
      <c r="F176" s="2205">
        <v>105.605383606365</v>
      </c>
      <c r="G176" s="2200">
        <v>116.267806035448</v>
      </c>
      <c r="H176" s="451"/>
      <c r="I176" s="715"/>
      <c r="J176" s="767"/>
      <c r="K176" s="715"/>
      <c r="L176" s="715"/>
      <c r="M176" s="2218"/>
      <c r="N176" s="2198"/>
      <c r="O176" s="2212">
        <v>110.4</v>
      </c>
      <c r="P176" s="3284">
        <v>99.8</v>
      </c>
      <c r="Q176" s="16"/>
    </row>
    <row r="177" spans="1:17" s="15" customFormat="1">
      <c r="A177" s="341">
        <v>1986.12</v>
      </c>
      <c r="B177" s="2195">
        <v>58.141629453944297</v>
      </c>
      <c r="C177" s="2205">
        <v>124.95629871225</v>
      </c>
      <c r="D177" s="2200">
        <v>12.482253517031699</v>
      </c>
      <c r="E177" s="2207">
        <v>108.539792137338</v>
      </c>
      <c r="F177" s="2205">
        <v>104.71586854245299</v>
      </c>
      <c r="G177" s="2200">
        <v>118.212913920105</v>
      </c>
      <c r="H177" s="451"/>
      <c r="I177" s="715"/>
      <c r="J177" s="767"/>
      <c r="K177" s="715"/>
      <c r="L177" s="715"/>
      <c r="M177" s="2218"/>
      <c r="N177" s="2198"/>
      <c r="O177" s="2212">
        <v>110.5</v>
      </c>
      <c r="P177" s="3284">
        <v>99.7</v>
      </c>
      <c r="Q177" s="16"/>
    </row>
    <row r="178" spans="1:17" s="15" customFormat="1">
      <c r="A178" s="341">
        <v>1987.01</v>
      </c>
      <c r="B178" s="2195">
        <v>56.814481107083601</v>
      </c>
      <c r="C178" s="2205">
        <v>120.17227530784101</v>
      </c>
      <c r="D178" s="2200">
        <v>12.681294386413899</v>
      </c>
      <c r="E178" s="2207">
        <v>105.928675168469</v>
      </c>
      <c r="F178" s="2205">
        <v>101.074169316789</v>
      </c>
      <c r="G178" s="2200">
        <v>118.487576215527</v>
      </c>
      <c r="H178" s="451"/>
      <c r="I178" s="715"/>
      <c r="J178" s="767"/>
      <c r="K178" s="715"/>
      <c r="L178" s="715"/>
      <c r="M178" s="2218"/>
      <c r="N178" s="2198"/>
      <c r="O178" s="2212">
        <v>111.2</v>
      </c>
      <c r="P178" s="3284">
        <v>100.5</v>
      </c>
      <c r="Q178" s="16"/>
    </row>
    <row r="179" spans="1:17" s="15" customFormat="1">
      <c r="A179" s="341">
        <v>1987.02</v>
      </c>
      <c r="B179" s="2195">
        <v>56.556035447175802</v>
      </c>
      <c r="C179" s="2205">
        <v>118.253481287844</v>
      </c>
      <c r="D179" s="2200">
        <v>12.9793949497084</v>
      </c>
      <c r="E179" s="2207">
        <v>104.957712870259</v>
      </c>
      <c r="F179" s="2205">
        <v>99.603035365696996</v>
      </c>
      <c r="G179" s="2200">
        <v>118.957774464998</v>
      </c>
      <c r="H179" s="451"/>
      <c r="I179" s="715"/>
      <c r="J179" s="767"/>
      <c r="K179" s="715"/>
      <c r="L179" s="715"/>
      <c r="M179" s="2218"/>
      <c r="N179" s="2198"/>
      <c r="O179" s="2212">
        <v>111.6</v>
      </c>
      <c r="P179" s="3284">
        <v>101</v>
      </c>
      <c r="Q179" s="16"/>
    </row>
    <row r="180" spans="1:17" s="15" customFormat="1">
      <c r="A180" s="341">
        <v>1987.03</v>
      </c>
      <c r="B180" s="2195">
        <v>56.512469235645497</v>
      </c>
      <c r="C180" s="2205">
        <v>117.07595273104</v>
      </c>
      <c r="D180" s="2200">
        <v>13.262175900686501</v>
      </c>
      <c r="E180" s="2207">
        <v>104.31425052499</v>
      </c>
      <c r="F180" s="2205">
        <v>98.787247204964999</v>
      </c>
      <c r="G180" s="2200">
        <v>118.82224585246701</v>
      </c>
      <c r="H180" s="451"/>
      <c r="I180" s="715"/>
      <c r="J180" s="767"/>
      <c r="K180" s="715"/>
      <c r="L180" s="715"/>
      <c r="M180" s="2218"/>
      <c r="N180" s="2198"/>
      <c r="O180" s="2212">
        <v>112.1</v>
      </c>
      <c r="P180" s="3284">
        <v>101.2</v>
      </c>
      <c r="Q180" s="16"/>
    </row>
    <row r="181" spans="1:17" s="15" customFormat="1">
      <c r="A181" s="341">
        <v>1987.04</v>
      </c>
      <c r="B181" s="2195">
        <v>55.801045261987397</v>
      </c>
      <c r="C181" s="2205">
        <v>114.365067766059</v>
      </c>
      <c r="D181" s="2200">
        <v>13.439656383157001</v>
      </c>
      <c r="E181" s="2207">
        <v>102.20966469750699</v>
      </c>
      <c r="F181" s="2205">
        <v>96.602530443533098</v>
      </c>
      <c r="G181" s="2200">
        <v>116.983463431971</v>
      </c>
      <c r="H181" s="451"/>
      <c r="I181" s="715"/>
      <c r="J181" s="767"/>
      <c r="K181" s="715"/>
      <c r="L181" s="715"/>
      <c r="M181" s="2218"/>
      <c r="N181" s="2198"/>
      <c r="O181" s="2212">
        <v>112.7</v>
      </c>
      <c r="P181" s="3284">
        <v>101.9</v>
      </c>
      <c r="Q181" s="16"/>
    </row>
    <row r="182" spans="1:17" s="15" customFormat="1">
      <c r="A182" s="341">
        <v>1987.05</v>
      </c>
      <c r="B182" s="2195">
        <v>55.898747290623497</v>
      </c>
      <c r="C182" s="2205">
        <v>113.712706375675</v>
      </c>
      <c r="D182" s="2200">
        <v>13.7085621251959</v>
      </c>
      <c r="E182" s="2207">
        <v>101.523788757307</v>
      </c>
      <c r="F182" s="2205">
        <v>96.154510269668904</v>
      </c>
      <c r="G182" s="2200">
        <v>115.615011819559</v>
      </c>
      <c r="H182" s="451"/>
      <c r="I182" s="715"/>
      <c r="J182" s="767"/>
      <c r="K182" s="715"/>
      <c r="L182" s="715"/>
      <c r="M182" s="2218"/>
      <c r="N182" s="2198"/>
      <c r="O182" s="2212">
        <v>113.1</v>
      </c>
      <c r="P182" s="3284">
        <v>102.6</v>
      </c>
      <c r="Q182" s="16"/>
    </row>
    <row r="183" spans="1:17" s="15" customFormat="1">
      <c r="A183" s="341">
        <v>1987.06</v>
      </c>
      <c r="B183" s="2195">
        <v>56.867515904047401</v>
      </c>
      <c r="C183" s="2205">
        <v>115.42360372949901</v>
      </c>
      <c r="D183" s="2200">
        <v>14.0218178459142</v>
      </c>
      <c r="E183" s="2207">
        <v>102.581366762711</v>
      </c>
      <c r="F183" s="2205">
        <v>97.793119266336603</v>
      </c>
      <c r="G183" s="2200">
        <v>114.990468271541</v>
      </c>
      <c r="H183" s="451"/>
      <c r="I183" s="715"/>
      <c r="J183" s="767"/>
      <c r="K183" s="715"/>
      <c r="L183" s="715"/>
      <c r="M183" s="2218"/>
      <c r="N183" s="2198"/>
      <c r="O183" s="2212">
        <v>113.5</v>
      </c>
      <c r="P183" s="3284">
        <v>103</v>
      </c>
      <c r="Q183" s="16"/>
    </row>
    <row r="184" spans="1:17" s="15" customFormat="1">
      <c r="A184" s="341">
        <v>1987.07</v>
      </c>
      <c r="B184" s="2195">
        <v>57.781428725395003</v>
      </c>
      <c r="C184" s="2205">
        <v>117.08744272647399</v>
      </c>
      <c r="D184" s="2200">
        <v>14.3033252755622</v>
      </c>
      <c r="E184" s="2207">
        <v>103.46343793843199</v>
      </c>
      <c r="F184" s="2205">
        <v>99.2873443424416</v>
      </c>
      <c r="G184" s="2200">
        <v>114.144952471929</v>
      </c>
      <c r="H184" s="451"/>
      <c r="I184" s="715"/>
      <c r="J184" s="767"/>
      <c r="K184" s="715"/>
      <c r="L184" s="715"/>
      <c r="M184" s="2218"/>
      <c r="N184" s="2198"/>
      <c r="O184" s="2212">
        <v>113.8</v>
      </c>
      <c r="P184" s="3284">
        <v>103.5</v>
      </c>
      <c r="Q184" s="16"/>
    </row>
    <row r="185" spans="1:17" s="15" customFormat="1">
      <c r="A185" s="341">
        <v>1987.08</v>
      </c>
      <c r="B185" s="2195">
        <v>57.807301754358598</v>
      </c>
      <c r="C185" s="2205">
        <v>116.65800947110201</v>
      </c>
      <c r="D185" s="2200">
        <v>14.4538206492168</v>
      </c>
      <c r="E185" s="2207">
        <v>102.841229954534</v>
      </c>
      <c r="F185" s="2205">
        <v>99.025993864430802</v>
      </c>
      <c r="G185" s="2200">
        <v>112.531831125279</v>
      </c>
      <c r="H185" s="451"/>
      <c r="I185" s="715"/>
      <c r="J185" s="767"/>
      <c r="K185" s="715"/>
      <c r="L185" s="715"/>
      <c r="M185" s="2218"/>
      <c r="N185" s="2198"/>
      <c r="O185" s="2212">
        <v>114.4</v>
      </c>
      <c r="P185" s="3284">
        <v>103.8</v>
      </c>
      <c r="Q185" s="16"/>
    </row>
    <row r="186" spans="1:17" s="15" customFormat="1">
      <c r="A186" s="341">
        <v>1987.09</v>
      </c>
      <c r="B186" s="2195">
        <v>57.197111663145499</v>
      </c>
      <c r="C186" s="2205">
        <v>114.244621945768</v>
      </c>
      <c r="D186" s="2200">
        <v>14.660236681727801</v>
      </c>
      <c r="E186" s="2207">
        <v>101.205503532783</v>
      </c>
      <c r="F186" s="2205">
        <v>97.126837627703296</v>
      </c>
      <c r="G186" s="2200">
        <v>111.63644819228701</v>
      </c>
      <c r="H186" s="451"/>
      <c r="I186" s="715"/>
      <c r="J186" s="767"/>
      <c r="K186" s="715"/>
      <c r="L186" s="715"/>
      <c r="M186" s="2218"/>
      <c r="N186" s="2198"/>
      <c r="O186" s="2212">
        <v>115</v>
      </c>
      <c r="P186" s="3284">
        <v>103.7</v>
      </c>
      <c r="Q186" s="16"/>
    </row>
    <row r="187" spans="1:17" s="15" customFormat="1">
      <c r="A187" s="341">
        <v>1987.1</v>
      </c>
      <c r="B187" s="2195">
        <v>57.3690743054105</v>
      </c>
      <c r="C187" s="2205">
        <v>113.828747665961</v>
      </c>
      <c r="D187" s="2200">
        <v>14.942718088104501</v>
      </c>
      <c r="E187" s="2207">
        <v>100.787343390636</v>
      </c>
      <c r="F187" s="2205">
        <v>96.876229194283795</v>
      </c>
      <c r="G187" s="2200">
        <v>110.758032227736</v>
      </c>
      <c r="H187" s="451"/>
      <c r="I187" s="715"/>
      <c r="J187" s="767"/>
      <c r="K187" s="715"/>
      <c r="L187" s="715"/>
      <c r="M187" s="2218"/>
      <c r="N187" s="2198"/>
      <c r="O187" s="2212">
        <v>115.3</v>
      </c>
      <c r="P187" s="3284">
        <v>104.1</v>
      </c>
      <c r="Q187" s="16"/>
    </row>
    <row r="188" spans="1:17" s="15" customFormat="1">
      <c r="A188" s="341">
        <v>1987.11</v>
      </c>
      <c r="B188" s="2195">
        <v>56.009452741780201</v>
      </c>
      <c r="C188" s="2205">
        <v>109.375251588073</v>
      </c>
      <c r="D188" s="2200">
        <v>15.160215405377601</v>
      </c>
      <c r="E188" s="2207">
        <v>97.738318840114204</v>
      </c>
      <c r="F188" s="2205">
        <v>93.224265117193298</v>
      </c>
      <c r="G188" s="2200">
        <v>109.425018010488</v>
      </c>
      <c r="H188" s="451"/>
      <c r="I188" s="715"/>
      <c r="J188" s="767"/>
      <c r="K188" s="715"/>
      <c r="L188" s="715"/>
      <c r="M188" s="2218"/>
      <c r="N188" s="2198"/>
      <c r="O188" s="2212">
        <v>115.4</v>
      </c>
      <c r="P188" s="3284">
        <v>104.2</v>
      </c>
      <c r="Q188" s="16"/>
    </row>
    <row r="189" spans="1:17" s="15" customFormat="1">
      <c r="A189" s="341">
        <v>1987.12</v>
      </c>
      <c r="B189" s="2195">
        <v>55.422741426775097</v>
      </c>
      <c r="C189" s="2205">
        <v>106.185922164944</v>
      </c>
      <c r="D189" s="2200">
        <v>15.708618808036</v>
      </c>
      <c r="E189" s="2207">
        <v>95.607396681192199</v>
      </c>
      <c r="F189" s="2205">
        <v>90.403405033879096</v>
      </c>
      <c r="G189" s="2200">
        <v>109.307228506318</v>
      </c>
      <c r="H189" s="451"/>
      <c r="I189" s="715"/>
      <c r="J189" s="767"/>
      <c r="K189" s="715"/>
      <c r="L189" s="715"/>
      <c r="M189" s="2218"/>
      <c r="N189" s="2198"/>
      <c r="O189" s="2212">
        <v>115.4</v>
      </c>
      <c r="P189" s="3284">
        <v>104.2</v>
      </c>
      <c r="Q189" s="16"/>
    </row>
    <row r="190" spans="1:17" s="15" customFormat="1">
      <c r="A190" s="341">
        <v>1988.01</v>
      </c>
      <c r="B190" s="2195">
        <v>55.782288777900099</v>
      </c>
      <c r="C190" s="2205">
        <v>105.965080568358</v>
      </c>
      <c r="D190" s="2200">
        <v>16.139686719756099</v>
      </c>
      <c r="E190" s="2207">
        <v>95.682108740188895</v>
      </c>
      <c r="F190" s="2205">
        <v>90.617631980690007</v>
      </c>
      <c r="G190" s="2200">
        <v>108.992241805821</v>
      </c>
      <c r="H190" s="451"/>
      <c r="I190" s="715"/>
      <c r="J190" s="767"/>
      <c r="K190" s="715"/>
      <c r="L190" s="715"/>
      <c r="M190" s="2218"/>
      <c r="N190" s="2198"/>
      <c r="O190" s="2212">
        <v>115.7</v>
      </c>
      <c r="P190" s="3284">
        <v>104.6</v>
      </c>
      <c r="Q190" s="16"/>
    </row>
    <row r="191" spans="1:17" s="15" customFormat="1">
      <c r="A191" s="341">
        <v>1988.02</v>
      </c>
      <c r="B191" s="2195">
        <v>56.433525005006203</v>
      </c>
      <c r="C191" s="2205">
        <v>107.09899481328399</v>
      </c>
      <c r="D191" s="2200">
        <v>16.364087723998299</v>
      </c>
      <c r="E191" s="2207">
        <v>95.852711092716405</v>
      </c>
      <c r="F191" s="2205">
        <v>91.456510753710603</v>
      </c>
      <c r="G191" s="2200">
        <v>107.32576509832199</v>
      </c>
      <c r="H191" s="451"/>
      <c r="I191" s="715"/>
      <c r="J191" s="767"/>
      <c r="K191" s="715"/>
      <c r="L191" s="715"/>
      <c r="M191" s="2218"/>
      <c r="N191" s="2198"/>
      <c r="O191" s="2212">
        <v>116</v>
      </c>
      <c r="P191" s="3284">
        <v>104.8</v>
      </c>
      <c r="Q191" s="16"/>
    </row>
    <row r="192" spans="1:17" s="15" customFormat="1">
      <c r="A192" s="341">
        <v>1988.03</v>
      </c>
      <c r="B192" s="2195">
        <v>55.949232391889304</v>
      </c>
      <c r="C192" s="2205">
        <v>105.28854463615301</v>
      </c>
      <c r="D192" s="2200">
        <v>16.543242973048699</v>
      </c>
      <c r="E192" s="2207">
        <v>94.309933530381699</v>
      </c>
      <c r="F192" s="2205">
        <v>89.882589402162196</v>
      </c>
      <c r="G192" s="2200">
        <v>105.875378775773</v>
      </c>
      <c r="H192" s="451"/>
      <c r="I192" s="715"/>
      <c r="J192" s="767"/>
      <c r="K192" s="715"/>
      <c r="L192" s="715"/>
      <c r="M192" s="2218"/>
      <c r="N192" s="2198"/>
      <c r="O192" s="2212">
        <v>116.5</v>
      </c>
      <c r="P192" s="3284">
        <v>104.9</v>
      </c>
      <c r="Q192" s="16"/>
    </row>
    <row r="193" spans="1:17" s="15" customFormat="1">
      <c r="A193" s="341">
        <v>1988.04</v>
      </c>
      <c r="B193" s="2195">
        <v>55.654588811566001</v>
      </c>
      <c r="C193" s="2205">
        <v>104.02152163963</v>
      </c>
      <c r="D193" s="2200">
        <v>16.7178099344139</v>
      </c>
      <c r="E193" s="2207">
        <v>93.567828501684502</v>
      </c>
      <c r="F193" s="2205">
        <v>89.185190714590306</v>
      </c>
      <c r="G193" s="2200">
        <v>105.01539150444</v>
      </c>
      <c r="H193" s="451"/>
      <c r="I193" s="715"/>
      <c r="J193" s="767"/>
      <c r="K193" s="715"/>
      <c r="L193" s="715"/>
      <c r="M193" s="2218"/>
      <c r="N193" s="2198"/>
      <c r="O193" s="2212">
        <v>117.1</v>
      </c>
      <c r="P193" s="3284">
        <v>105.8</v>
      </c>
      <c r="Q193" s="16"/>
    </row>
    <row r="194" spans="1:17" s="15" customFormat="1">
      <c r="A194" s="341">
        <v>1988.05</v>
      </c>
      <c r="B194" s="2195">
        <v>56.036563496627501</v>
      </c>
      <c r="C194" s="2205">
        <v>104.444044682962</v>
      </c>
      <c r="D194" s="2200">
        <v>16.941294912385999</v>
      </c>
      <c r="E194" s="2207">
        <v>93.629496371436602</v>
      </c>
      <c r="F194" s="2205">
        <v>89.5814316995978</v>
      </c>
      <c r="G194" s="2200">
        <v>104.171442739802</v>
      </c>
      <c r="H194" s="451"/>
      <c r="I194" s="715"/>
      <c r="J194" s="767"/>
      <c r="K194" s="715"/>
      <c r="L194" s="715"/>
      <c r="M194" s="2218"/>
      <c r="N194" s="2198"/>
      <c r="O194" s="2212">
        <v>117.5</v>
      </c>
      <c r="P194" s="3284">
        <v>106.5</v>
      </c>
      <c r="Q194" s="16"/>
    </row>
    <row r="195" spans="1:17" s="15" customFormat="1">
      <c r="A195" s="341">
        <v>1988.06</v>
      </c>
      <c r="B195" s="2195">
        <v>56.939808676798599</v>
      </c>
      <c r="C195" s="2205">
        <v>106.184743025835</v>
      </c>
      <c r="D195" s="2200">
        <v>17.193697983730299</v>
      </c>
      <c r="E195" s="2207">
        <v>94.581174371503494</v>
      </c>
      <c r="F195" s="2205">
        <v>91.217094982636297</v>
      </c>
      <c r="G195" s="2200">
        <v>103.305905125473</v>
      </c>
      <c r="H195" s="451"/>
      <c r="I195" s="715"/>
      <c r="J195" s="767"/>
      <c r="K195" s="715"/>
      <c r="L195" s="715"/>
      <c r="M195" s="2218"/>
      <c r="N195" s="2198"/>
      <c r="O195" s="2212">
        <v>118</v>
      </c>
      <c r="P195" s="3284">
        <v>107.2</v>
      </c>
      <c r="Q195" s="16"/>
    </row>
    <row r="196" spans="1:17" s="15" customFormat="1">
      <c r="A196" s="341">
        <v>1988.07</v>
      </c>
      <c r="B196" s="2195">
        <v>58.3909112377127</v>
      </c>
      <c r="C196" s="2205">
        <v>109.29610830611099</v>
      </c>
      <c r="D196" s="2200">
        <v>17.480408196480798</v>
      </c>
      <c r="E196" s="2207">
        <v>96.346906938559997</v>
      </c>
      <c r="F196" s="2205">
        <v>93.956725112439301</v>
      </c>
      <c r="G196" s="2200">
        <v>102.56883788375799</v>
      </c>
      <c r="H196" s="451"/>
      <c r="I196" s="715"/>
      <c r="J196" s="767"/>
      <c r="K196" s="715"/>
      <c r="L196" s="715"/>
      <c r="M196" s="2218"/>
      <c r="N196" s="2198"/>
      <c r="O196" s="2212">
        <v>118.5</v>
      </c>
      <c r="P196" s="3284">
        <v>107.9</v>
      </c>
      <c r="Q196" s="16"/>
    </row>
    <row r="197" spans="1:17" s="15" customFormat="1">
      <c r="A197" s="341">
        <v>1988.08</v>
      </c>
      <c r="B197" s="2195">
        <v>59.222025234234799</v>
      </c>
      <c r="C197" s="2205">
        <v>110.73198594583199</v>
      </c>
      <c r="D197" s="2200">
        <v>17.773600168221598</v>
      </c>
      <c r="E197" s="2207">
        <v>97.099255338355206</v>
      </c>
      <c r="F197" s="2205">
        <v>95.280811170132395</v>
      </c>
      <c r="G197" s="2200">
        <v>101.89459483382301</v>
      </c>
      <c r="H197" s="451"/>
      <c r="I197" s="715"/>
      <c r="J197" s="767"/>
      <c r="K197" s="715"/>
      <c r="L197" s="715"/>
      <c r="M197" s="2218"/>
      <c r="N197" s="2198"/>
      <c r="O197" s="2212">
        <v>119</v>
      </c>
      <c r="P197" s="3284">
        <v>108</v>
      </c>
      <c r="Q197" s="16"/>
    </row>
    <row r="198" spans="1:17" s="15" customFormat="1">
      <c r="A198" s="341">
        <v>1988.09</v>
      </c>
      <c r="B198" s="2195">
        <v>59.4956287532396</v>
      </c>
      <c r="C198" s="2205">
        <v>110.798379654104</v>
      </c>
      <c r="D198" s="2200">
        <v>18.021914387115</v>
      </c>
      <c r="E198" s="2207">
        <v>96.999411240707801</v>
      </c>
      <c r="F198" s="2205">
        <v>95.441047088390803</v>
      </c>
      <c r="G198" s="2200">
        <v>101.154126582846</v>
      </c>
      <c r="H198" s="451"/>
      <c r="I198" s="715"/>
      <c r="J198" s="767"/>
      <c r="K198" s="715"/>
      <c r="L198" s="715"/>
      <c r="M198" s="2218"/>
      <c r="N198" s="2198"/>
      <c r="O198" s="2212">
        <v>119.8</v>
      </c>
      <c r="P198" s="3284">
        <v>108.1</v>
      </c>
      <c r="Q198" s="16"/>
    </row>
    <row r="199" spans="1:17" s="15" customFormat="1">
      <c r="A199" s="341">
        <v>1988.1</v>
      </c>
      <c r="B199" s="2195">
        <v>58.546197444050598</v>
      </c>
      <c r="C199" s="2205">
        <v>107.71873196448</v>
      </c>
      <c r="D199" s="2200">
        <v>18.2385797533396</v>
      </c>
      <c r="E199" s="2207">
        <v>94.832044031273398</v>
      </c>
      <c r="F199" s="2205">
        <v>92.725385687189501</v>
      </c>
      <c r="G199" s="2200">
        <v>100.33800558462499</v>
      </c>
      <c r="H199" s="451"/>
      <c r="I199" s="715"/>
      <c r="J199" s="767"/>
      <c r="K199" s="715"/>
      <c r="L199" s="715"/>
      <c r="M199" s="2218"/>
      <c r="N199" s="2198"/>
      <c r="O199" s="2212">
        <v>120.2</v>
      </c>
      <c r="P199" s="3284">
        <v>108.2</v>
      </c>
      <c r="Q199" s="16"/>
    </row>
    <row r="200" spans="1:17" s="15" customFormat="1">
      <c r="A200" s="341">
        <v>1988.11</v>
      </c>
      <c r="B200" s="2195">
        <v>57.5640841198271</v>
      </c>
      <c r="C200" s="2205">
        <v>104.834259408821</v>
      </c>
      <c r="D200" s="2200">
        <v>18.3615361859061</v>
      </c>
      <c r="E200" s="2207">
        <v>92.863802323619595</v>
      </c>
      <c r="F200" s="2205">
        <v>90.453601425585006</v>
      </c>
      <c r="G200" s="2200">
        <v>99.1299948232529</v>
      </c>
      <c r="H200" s="451"/>
      <c r="I200" s="715"/>
      <c r="J200" s="767"/>
      <c r="K200" s="715"/>
      <c r="L200" s="715"/>
      <c r="M200" s="2218"/>
      <c r="N200" s="2198"/>
      <c r="O200" s="2212">
        <v>120.3</v>
      </c>
      <c r="P200" s="3284">
        <v>108.3</v>
      </c>
      <c r="Q200" s="16"/>
    </row>
    <row r="201" spans="1:17" s="15" customFormat="1">
      <c r="A201" s="341">
        <v>1988.12</v>
      </c>
      <c r="B201" s="2195">
        <v>57.646313385065397</v>
      </c>
      <c r="C201" s="2205">
        <v>104.40703913612001</v>
      </c>
      <c r="D201" s="2200">
        <v>18.6232069413815</v>
      </c>
      <c r="E201" s="2207">
        <v>92.500501392494201</v>
      </c>
      <c r="F201" s="2205">
        <v>90.106086863607004</v>
      </c>
      <c r="G201" s="2200">
        <v>98.726070253972196</v>
      </c>
      <c r="H201" s="451"/>
      <c r="I201" s="715"/>
      <c r="J201" s="767"/>
      <c r="K201" s="715"/>
      <c r="L201" s="715"/>
      <c r="M201" s="2218"/>
      <c r="N201" s="2198"/>
      <c r="O201" s="2212">
        <v>120.5</v>
      </c>
      <c r="P201" s="3284">
        <v>109</v>
      </c>
      <c r="Q201" s="16"/>
    </row>
    <row r="202" spans="1:17" s="15" customFormat="1">
      <c r="A202" s="341">
        <v>1989.01</v>
      </c>
      <c r="B202" s="2195">
        <v>58.867322393242702</v>
      </c>
      <c r="C202" s="2205">
        <v>106.62961919761</v>
      </c>
      <c r="D202" s="2200">
        <v>19.012895219593499</v>
      </c>
      <c r="E202" s="2207">
        <v>94.189533246946198</v>
      </c>
      <c r="F202" s="2205">
        <v>92.250715017363802</v>
      </c>
      <c r="G202" s="2200">
        <v>99.280303337791906</v>
      </c>
      <c r="H202" s="451"/>
      <c r="I202" s="715"/>
      <c r="J202" s="767"/>
      <c r="K202" s="715"/>
      <c r="L202" s="715"/>
      <c r="M202" s="2218"/>
      <c r="N202" s="2198"/>
      <c r="O202" s="2212">
        <v>121.1</v>
      </c>
      <c r="P202" s="3284">
        <v>110.5</v>
      </c>
      <c r="Q202" s="16"/>
    </row>
    <row r="203" spans="1:17" s="15" customFormat="1">
      <c r="A203" s="341">
        <v>1989.02</v>
      </c>
      <c r="B203" s="2195">
        <v>59.197664736149299</v>
      </c>
      <c r="C203" s="2205">
        <v>107.141133280654</v>
      </c>
      <c r="D203" s="2200">
        <v>19.1548319913523</v>
      </c>
      <c r="E203" s="2207">
        <v>94.279529814984002</v>
      </c>
      <c r="F203" s="2205">
        <v>92.713621236111194</v>
      </c>
      <c r="G203" s="2200">
        <v>98.452675246696899</v>
      </c>
      <c r="H203" s="451"/>
      <c r="I203" s="715"/>
      <c r="J203" s="767"/>
      <c r="K203" s="715"/>
      <c r="L203" s="715"/>
      <c r="M203" s="2218"/>
      <c r="N203" s="2198"/>
      <c r="O203" s="2212">
        <v>121.6</v>
      </c>
      <c r="P203" s="3284">
        <v>110.8</v>
      </c>
      <c r="Q203" s="16"/>
    </row>
    <row r="204" spans="1:17" s="15" customFormat="1">
      <c r="A204" s="341">
        <v>1989.03</v>
      </c>
      <c r="B204" s="2195">
        <v>60.181756880013097</v>
      </c>
      <c r="C204" s="2205">
        <v>108.676857197217</v>
      </c>
      <c r="D204" s="2200">
        <v>19.574821574600598</v>
      </c>
      <c r="E204" s="2207">
        <v>95.639757197293505</v>
      </c>
      <c r="F204" s="2205">
        <v>94.173156303136295</v>
      </c>
      <c r="G204" s="2200">
        <v>99.575688270531003</v>
      </c>
      <c r="H204" s="451"/>
      <c r="I204" s="715"/>
      <c r="J204" s="767"/>
      <c r="K204" s="715"/>
      <c r="L204" s="715"/>
      <c r="M204" s="2218"/>
      <c r="N204" s="2198"/>
      <c r="O204" s="2212">
        <v>122.3</v>
      </c>
      <c r="P204" s="3284">
        <v>111.5</v>
      </c>
      <c r="Q204" s="16"/>
    </row>
    <row r="205" spans="1:17" s="15" customFormat="1">
      <c r="A205" s="341">
        <v>1989.04</v>
      </c>
      <c r="B205" s="2195">
        <v>60.737924955458404</v>
      </c>
      <c r="C205" s="2205">
        <v>108.983519830237</v>
      </c>
      <c r="D205" s="2200">
        <v>20.047942916515201</v>
      </c>
      <c r="E205" s="2207">
        <v>96.162617294829502</v>
      </c>
      <c r="F205" s="2205">
        <v>94.530165323308594</v>
      </c>
      <c r="G205" s="2200">
        <v>100.50539936497</v>
      </c>
      <c r="H205" s="451"/>
      <c r="I205" s="715"/>
      <c r="J205" s="767"/>
      <c r="K205" s="715"/>
      <c r="L205" s="715"/>
      <c r="M205" s="2218"/>
      <c r="N205" s="2198"/>
      <c r="O205" s="2212">
        <v>123.1</v>
      </c>
      <c r="P205" s="3284">
        <v>112.3</v>
      </c>
      <c r="Q205" s="16"/>
    </row>
    <row r="206" spans="1:17" s="15" customFormat="1">
      <c r="A206" s="341">
        <v>1989.05</v>
      </c>
      <c r="B206" s="2195">
        <v>62.307455280651702</v>
      </c>
      <c r="C206" s="2205">
        <v>112.400511804391</v>
      </c>
      <c r="D206" s="2200">
        <v>20.315922803761701</v>
      </c>
      <c r="E206" s="2207">
        <v>97.756985498738899</v>
      </c>
      <c r="F206" s="2205">
        <v>97.358988659842197</v>
      </c>
      <c r="G206" s="2200">
        <v>99.149112279615494</v>
      </c>
      <c r="H206" s="451"/>
      <c r="I206" s="715"/>
      <c r="J206" s="767"/>
      <c r="K206" s="715"/>
      <c r="L206" s="715"/>
      <c r="M206" s="2218"/>
      <c r="N206" s="2198"/>
      <c r="O206" s="2212">
        <v>123.8</v>
      </c>
      <c r="P206" s="3284">
        <v>113.2</v>
      </c>
      <c r="Q206" s="16"/>
    </row>
    <row r="207" spans="1:17" s="15" customFormat="1">
      <c r="A207" s="341">
        <v>1989.06</v>
      </c>
      <c r="B207" s="2195">
        <v>63.800340279766203</v>
      </c>
      <c r="C207" s="2205">
        <v>114.98141461381201</v>
      </c>
      <c r="D207" s="2200">
        <v>20.847934194016599</v>
      </c>
      <c r="E207" s="2207">
        <v>99.221923247456402</v>
      </c>
      <c r="F207" s="2205">
        <v>99.655026067382593</v>
      </c>
      <c r="G207" s="2200">
        <v>98.699189120837701</v>
      </c>
      <c r="H207" s="451"/>
      <c r="I207" s="715"/>
      <c r="J207" s="767"/>
      <c r="K207" s="715"/>
      <c r="L207" s="715"/>
      <c r="M207" s="2218"/>
      <c r="N207" s="2198"/>
      <c r="O207" s="2212">
        <v>124.1</v>
      </c>
      <c r="P207" s="3284">
        <v>112.9</v>
      </c>
      <c r="Q207" s="16"/>
    </row>
    <row r="208" spans="1:17" s="15" customFormat="1">
      <c r="A208" s="341">
        <v>1989.07</v>
      </c>
      <c r="B208" s="2195">
        <v>63.2982592940118</v>
      </c>
      <c r="C208" s="2205">
        <v>111.846579097203</v>
      </c>
      <c r="D208" s="2200">
        <v>21.6452927711893</v>
      </c>
      <c r="E208" s="2207">
        <v>97.335207567572397</v>
      </c>
      <c r="F208" s="2205">
        <v>96.831429226431993</v>
      </c>
      <c r="G208" s="2200">
        <v>98.973866179333001</v>
      </c>
      <c r="H208" s="451"/>
      <c r="I208" s="715"/>
      <c r="J208" s="767"/>
      <c r="K208" s="715"/>
      <c r="L208" s="715"/>
      <c r="M208" s="2218"/>
      <c r="N208" s="2198"/>
      <c r="O208" s="2212">
        <v>124.4</v>
      </c>
      <c r="P208" s="3284">
        <v>112.8</v>
      </c>
      <c r="Q208" s="16"/>
    </row>
    <row r="209" spans="1:17" s="15" customFormat="1">
      <c r="A209" s="341">
        <v>1989.08</v>
      </c>
      <c r="B209" s="2195">
        <v>63.928012451094197</v>
      </c>
      <c r="C209" s="2205">
        <v>112.440989070336</v>
      </c>
      <c r="D209" s="2200">
        <v>22.094136139344201</v>
      </c>
      <c r="E209" s="2207">
        <v>97.325982467103501</v>
      </c>
      <c r="F209" s="2205">
        <v>97.223972712704494</v>
      </c>
      <c r="G209" s="2200">
        <v>98.025463284572595</v>
      </c>
      <c r="H209" s="451"/>
      <c r="I209" s="715"/>
      <c r="J209" s="767"/>
      <c r="K209" s="715"/>
      <c r="L209" s="715"/>
      <c r="M209" s="2218"/>
      <c r="N209" s="2198"/>
      <c r="O209" s="2212">
        <v>124.6</v>
      </c>
      <c r="P209" s="3284">
        <v>112</v>
      </c>
      <c r="Q209" s="16"/>
    </row>
    <row r="210" spans="1:17" s="15" customFormat="1">
      <c r="A210" s="341">
        <v>1989.09</v>
      </c>
      <c r="B210" s="2195">
        <v>64.964459951684702</v>
      </c>
      <c r="C210" s="2205">
        <v>114.013823349215</v>
      </c>
      <c r="D210" s="2200">
        <v>22.566070075561498</v>
      </c>
      <c r="E210" s="2207">
        <v>97.938270842698699</v>
      </c>
      <c r="F210" s="2205">
        <v>98.436199354155207</v>
      </c>
      <c r="G210" s="2200">
        <v>97.261876292293096</v>
      </c>
      <c r="H210" s="451"/>
      <c r="I210" s="715"/>
      <c r="J210" s="767"/>
      <c r="K210" s="715"/>
      <c r="L210" s="715"/>
      <c r="M210" s="2218"/>
      <c r="N210" s="2198"/>
      <c r="O210" s="2212">
        <v>125</v>
      </c>
      <c r="P210" s="3284">
        <v>112.4</v>
      </c>
      <c r="Q210" s="16"/>
    </row>
    <row r="211" spans="1:17" s="15" customFormat="1">
      <c r="A211" s="341">
        <v>1989.1</v>
      </c>
      <c r="B211" s="2195">
        <v>64.461812495199894</v>
      </c>
      <c r="C211" s="2205">
        <v>111.712459150524</v>
      </c>
      <c r="D211" s="2200">
        <v>23.0509623755493</v>
      </c>
      <c r="E211" s="2207">
        <v>96.489586225841407</v>
      </c>
      <c r="F211" s="2205">
        <v>96.517912018843603</v>
      </c>
      <c r="G211" s="2200">
        <v>96.883173821944297</v>
      </c>
      <c r="H211" s="451"/>
      <c r="I211" s="715"/>
      <c r="J211" s="767"/>
      <c r="K211" s="715"/>
      <c r="L211" s="715"/>
      <c r="M211" s="2218"/>
      <c r="N211" s="2198"/>
      <c r="O211" s="2212">
        <v>125.6</v>
      </c>
      <c r="P211" s="3284">
        <v>112.8</v>
      </c>
      <c r="Q211" s="16"/>
    </row>
    <row r="212" spans="1:17" s="15" customFormat="1">
      <c r="A212" s="341">
        <v>1989.11</v>
      </c>
      <c r="B212" s="2195">
        <v>64.794307284427703</v>
      </c>
      <c r="C212" s="2205">
        <v>111.282838305593</v>
      </c>
      <c r="D212" s="2200">
        <v>23.654758681500699</v>
      </c>
      <c r="E212" s="2207">
        <v>96.657931817362893</v>
      </c>
      <c r="F212" s="2205">
        <v>96.475537812864303</v>
      </c>
      <c r="G212" s="2200">
        <v>97.541115585939707</v>
      </c>
      <c r="H212" s="451"/>
      <c r="I212" s="715"/>
      <c r="J212" s="767"/>
      <c r="K212" s="715"/>
      <c r="L212" s="715"/>
      <c r="M212" s="2218"/>
      <c r="N212" s="2198"/>
      <c r="O212" s="2212">
        <v>125.9</v>
      </c>
      <c r="P212" s="3284">
        <v>112.7</v>
      </c>
      <c r="Q212" s="16"/>
    </row>
    <row r="213" spans="1:17" s="15" customFormat="1">
      <c r="A213" s="341">
        <v>1989.12</v>
      </c>
      <c r="B213" s="2195">
        <v>64.880130493075001</v>
      </c>
      <c r="C213" s="2205">
        <v>109.295413975356</v>
      </c>
      <c r="D213" s="2200">
        <v>24.766732257951801</v>
      </c>
      <c r="E213" s="2207">
        <v>95.906888231708393</v>
      </c>
      <c r="F213" s="2205">
        <v>94.709986207943899</v>
      </c>
      <c r="G213" s="2200">
        <v>99.190387548680604</v>
      </c>
      <c r="H213" s="451"/>
      <c r="I213" s="715"/>
      <c r="J213" s="767"/>
      <c r="K213" s="715"/>
      <c r="L213" s="715"/>
      <c r="M213" s="2218"/>
      <c r="N213" s="2198"/>
      <c r="O213" s="2212">
        <v>126.1</v>
      </c>
      <c r="P213" s="3284">
        <v>113</v>
      </c>
      <c r="Q213" s="16"/>
    </row>
    <row r="214" spans="1:17">
      <c r="A214" s="341">
        <v>1990.01</v>
      </c>
      <c r="B214" s="2195">
        <v>65.286864805587996</v>
      </c>
      <c r="C214" s="2205">
        <v>108.53080951480599</v>
      </c>
      <c r="D214" s="2200">
        <v>25.6933231292413</v>
      </c>
      <c r="E214" s="2207">
        <v>95.763925348680999</v>
      </c>
      <c r="F214" s="2205">
        <v>94.395982048895107</v>
      </c>
      <c r="G214" s="2200">
        <v>99.460488598619705</v>
      </c>
      <c r="H214" s="452"/>
      <c r="I214" s="716"/>
      <c r="J214" s="767"/>
      <c r="K214" s="715"/>
      <c r="L214" s="715"/>
      <c r="M214" s="2218"/>
      <c r="N214" s="2198"/>
      <c r="O214" s="2212">
        <v>127.4</v>
      </c>
      <c r="P214" s="3284">
        <v>114.9</v>
      </c>
    </row>
    <row r="215" spans="1:17">
      <c r="A215" s="341">
        <v>1990.02</v>
      </c>
      <c r="B215" s="2195">
        <v>66.187935649988802</v>
      </c>
      <c r="C215" s="2205">
        <v>108.72047324780399</v>
      </c>
      <c r="D215" s="2200">
        <v>26.775068759192202</v>
      </c>
      <c r="E215" s="2207">
        <v>95.876678424127604</v>
      </c>
      <c r="F215" s="2205">
        <v>94.548576368797697</v>
      </c>
      <c r="G215" s="2200">
        <v>99.477117058365295</v>
      </c>
      <c r="H215" s="452"/>
      <c r="I215" s="716"/>
      <c r="J215" s="767"/>
      <c r="K215" s="715"/>
      <c r="L215" s="715"/>
      <c r="M215" s="2218"/>
      <c r="N215" s="2198"/>
      <c r="O215" s="2212">
        <v>128</v>
      </c>
      <c r="P215" s="3284">
        <v>114.4</v>
      </c>
    </row>
    <row r="216" spans="1:17">
      <c r="A216" s="341">
        <v>1990.03</v>
      </c>
      <c r="B216" s="2195">
        <v>67.764021039621099</v>
      </c>
      <c r="C216" s="2205">
        <v>110.72148157763399</v>
      </c>
      <c r="D216" s="2200">
        <v>27.7488684373239</v>
      </c>
      <c r="E216" s="2207">
        <v>96.946590932770306</v>
      </c>
      <c r="F216" s="2205">
        <v>96.452283517608095</v>
      </c>
      <c r="G216" s="2200">
        <v>98.561447448632407</v>
      </c>
      <c r="H216" s="452"/>
      <c r="I216" s="716"/>
      <c r="J216" s="767"/>
      <c r="K216" s="715"/>
      <c r="L216" s="715"/>
      <c r="M216" s="2218"/>
      <c r="N216" s="2198"/>
      <c r="O216" s="2212">
        <v>128.69999999999999</v>
      </c>
      <c r="P216" s="3284">
        <v>114.2</v>
      </c>
    </row>
    <row r="217" spans="1:17">
      <c r="A217" s="341">
        <v>1990.04</v>
      </c>
      <c r="B217" s="2195">
        <v>68.104203753922306</v>
      </c>
      <c r="C217" s="2205">
        <v>110.610546274841</v>
      </c>
      <c r="D217" s="2200">
        <v>28.276696963876802</v>
      </c>
      <c r="E217" s="2207">
        <v>96.850562930247904</v>
      </c>
      <c r="F217" s="2205">
        <v>96.296356044002295</v>
      </c>
      <c r="G217" s="2200">
        <v>98.6060339114144</v>
      </c>
      <c r="H217" s="452"/>
      <c r="I217" s="716"/>
      <c r="J217" s="767"/>
      <c r="K217" s="715"/>
      <c r="L217" s="715"/>
      <c r="M217" s="2218"/>
      <c r="N217" s="2198"/>
      <c r="O217" s="2212">
        <v>128.9</v>
      </c>
      <c r="P217" s="3284">
        <v>114.1</v>
      </c>
    </row>
    <row r="218" spans="1:17">
      <c r="A218" s="341">
        <v>1990.05</v>
      </c>
      <c r="B218" s="2195">
        <v>67.739233418284201</v>
      </c>
      <c r="C218" s="2205">
        <v>109.230481301826</v>
      </c>
      <c r="D218" s="2200">
        <v>28.594486723113999</v>
      </c>
      <c r="E218" s="2207">
        <v>95.682303041503602</v>
      </c>
      <c r="F218" s="2205">
        <v>94.9522467216932</v>
      </c>
      <c r="G218" s="2200">
        <v>97.848272682818703</v>
      </c>
      <c r="H218" s="452"/>
      <c r="I218" s="716"/>
      <c r="J218" s="767"/>
      <c r="K218" s="715"/>
      <c r="L218" s="715"/>
      <c r="M218" s="2218"/>
      <c r="N218" s="2198"/>
      <c r="O218" s="2212">
        <v>129.19999999999999</v>
      </c>
      <c r="P218" s="3284">
        <v>114.6</v>
      </c>
    </row>
    <row r="219" spans="1:17">
      <c r="A219" s="341">
        <v>1990.06</v>
      </c>
      <c r="B219" s="2195">
        <v>67.975722198208601</v>
      </c>
      <c r="C219" s="2205">
        <v>109.22306389852299</v>
      </c>
      <c r="D219" s="2200">
        <v>28.929596717341202</v>
      </c>
      <c r="E219" s="2207">
        <v>95.947338073937502</v>
      </c>
      <c r="F219" s="2205">
        <v>95.283776290425195</v>
      </c>
      <c r="G219" s="2200">
        <v>97.956951206262602</v>
      </c>
      <c r="H219" s="452"/>
      <c r="I219" s="716"/>
      <c r="J219" s="767"/>
      <c r="K219" s="715"/>
      <c r="L219" s="715"/>
      <c r="M219" s="2218"/>
      <c r="N219" s="2198"/>
      <c r="O219" s="2212">
        <v>129.9</v>
      </c>
      <c r="P219" s="3284">
        <v>114.3</v>
      </c>
    </row>
    <row r="220" spans="1:17">
      <c r="A220" s="341">
        <v>1990.07</v>
      </c>
      <c r="B220" s="2195">
        <v>66.931390614762805</v>
      </c>
      <c r="C220" s="2205">
        <v>106.348953243124</v>
      </c>
      <c r="D220" s="2200">
        <v>29.228470282205599</v>
      </c>
      <c r="E220" s="2207">
        <v>94.154100200536107</v>
      </c>
      <c r="F220" s="2205">
        <v>92.918105978396696</v>
      </c>
      <c r="G220" s="2200">
        <v>97.524746048255395</v>
      </c>
      <c r="H220" s="452"/>
      <c r="I220" s="716"/>
      <c r="J220" s="767"/>
      <c r="K220" s="715"/>
      <c r="L220" s="715"/>
      <c r="M220" s="2218"/>
      <c r="N220" s="2198"/>
      <c r="O220" s="2212">
        <v>130.4</v>
      </c>
      <c r="P220" s="3284">
        <v>114.5</v>
      </c>
    </row>
    <row r="221" spans="1:17">
      <c r="A221" s="341">
        <v>1990.08</v>
      </c>
      <c r="B221" s="2195">
        <v>65.905176698095303</v>
      </c>
      <c r="C221" s="2205">
        <v>103.67712841818199</v>
      </c>
      <c r="D221" s="2200">
        <v>29.4505430486739</v>
      </c>
      <c r="E221" s="2207">
        <v>92.611025281220094</v>
      </c>
      <c r="F221" s="2205">
        <v>90.904354225339304</v>
      </c>
      <c r="G221" s="2200">
        <v>97.123284036267606</v>
      </c>
      <c r="H221" s="452"/>
      <c r="I221" s="716"/>
      <c r="J221" s="767"/>
      <c r="K221" s="715"/>
      <c r="L221" s="715"/>
      <c r="M221" s="2218"/>
      <c r="N221" s="2198"/>
      <c r="O221" s="2212">
        <v>131.6</v>
      </c>
      <c r="P221" s="3284">
        <v>116.5</v>
      </c>
    </row>
    <row r="222" spans="1:17">
      <c r="A222" s="341">
        <v>1990.09</v>
      </c>
      <c r="B222" s="2195">
        <v>65.521813045607402</v>
      </c>
      <c r="C222" s="2205">
        <v>102.53115386420301</v>
      </c>
      <c r="D222" s="2200">
        <v>29.636813371854998</v>
      </c>
      <c r="E222" s="2207">
        <v>91.6886683045648</v>
      </c>
      <c r="F222" s="2205">
        <v>90.003682886686505</v>
      </c>
      <c r="G222" s="2200">
        <v>96.144457126373098</v>
      </c>
      <c r="H222" s="452"/>
      <c r="I222" s="716"/>
      <c r="J222" s="767"/>
      <c r="K222" s="715"/>
      <c r="L222" s="715"/>
      <c r="M222" s="2218"/>
      <c r="N222" s="2198"/>
      <c r="O222" s="2212">
        <v>132.69999999999999</v>
      </c>
      <c r="P222" s="3284">
        <v>118.4</v>
      </c>
    </row>
    <row r="223" spans="1:17">
      <c r="A223" s="341">
        <v>1990.1</v>
      </c>
      <c r="B223" s="2195">
        <v>64.450652722800598</v>
      </c>
      <c r="C223" s="2205">
        <v>99.620049452732999</v>
      </c>
      <c r="D223" s="2200">
        <v>29.9913713609441</v>
      </c>
      <c r="E223" s="2207">
        <v>89.897786666589795</v>
      </c>
      <c r="F223" s="2205">
        <v>87.431871106099806</v>
      </c>
      <c r="G223" s="2200">
        <v>96.298873253984596</v>
      </c>
      <c r="H223" s="452"/>
      <c r="I223" s="716"/>
      <c r="J223" s="767"/>
      <c r="K223" s="715"/>
      <c r="L223" s="715"/>
      <c r="M223" s="2218"/>
      <c r="N223" s="2198"/>
      <c r="O223" s="2212">
        <v>133.5</v>
      </c>
      <c r="P223" s="3284">
        <v>120.8</v>
      </c>
    </row>
    <row r="224" spans="1:17">
      <c r="A224" s="341">
        <v>1990.11</v>
      </c>
      <c r="B224" s="2195">
        <v>64.508994851568701</v>
      </c>
      <c r="C224" s="2205">
        <v>98.858927187721605</v>
      </c>
      <c r="D224" s="2200">
        <v>30.6165974834358</v>
      </c>
      <c r="E224" s="2207">
        <v>89.585732075882703</v>
      </c>
      <c r="F224" s="2205">
        <v>86.712552821648103</v>
      </c>
      <c r="G224" s="2200">
        <v>97.027352042524797</v>
      </c>
      <c r="H224" s="452"/>
      <c r="I224" s="716"/>
      <c r="J224" s="767"/>
      <c r="K224" s="715"/>
      <c r="L224" s="715"/>
      <c r="M224" s="2218"/>
      <c r="N224" s="2198"/>
      <c r="O224" s="2212">
        <v>133.80000000000001</v>
      </c>
      <c r="P224" s="3284">
        <v>120.1</v>
      </c>
    </row>
    <row r="225" spans="1:16">
      <c r="A225" s="341">
        <v>1990.12</v>
      </c>
      <c r="B225" s="2195">
        <v>65.603748252726604</v>
      </c>
      <c r="C225" s="2205">
        <v>100.410217264575</v>
      </c>
      <c r="D225" s="2200">
        <v>31.226815935586199</v>
      </c>
      <c r="E225" s="2207">
        <v>90.789355693812098</v>
      </c>
      <c r="F225" s="2205">
        <v>88.174695157763296</v>
      </c>
      <c r="G225" s="2200">
        <v>97.569814421962704</v>
      </c>
      <c r="H225" s="452"/>
      <c r="I225" s="716"/>
      <c r="J225" s="767"/>
      <c r="K225" s="715"/>
      <c r="L225" s="715"/>
      <c r="M225" s="2218"/>
      <c r="N225" s="2198"/>
      <c r="O225" s="2212">
        <v>133.80000000000001</v>
      </c>
      <c r="P225" s="3284">
        <v>118.7</v>
      </c>
    </row>
    <row r="226" spans="1:16">
      <c r="A226" s="341">
        <v>1991.01</v>
      </c>
      <c r="B226" s="2195">
        <v>65.890008813539296</v>
      </c>
      <c r="C226" s="2205">
        <v>100.23706324164</v>
      </c>
      <c r="D226" s="2200">
        <v>31.772720730324799</v>
      </c>
      <c r="E226" s="2207">
        <v>90.476048322234703</v>
      </c>
      <c r="F226" s="2205">
        <v>87.506323435134405</v>
      </c>
      <c r="G226" s="2200">
        <v>98.104913578118598</v>
      </c>
      <c r="H226" s="452"/>
      <c r="I226" s="716"/>
      <c r="J226" s="767"/>
      <c r="K226" s="715"/>
      <c r="L226" s="715"/>
      <c r="M226" s="2218"/>
      <c r="N226" s="2198"/>
      <c r="O226" s="2212">
        <v>134.6</v>
      </c>
      <c r="P226" s="3284">
        <v>119</v>
      </c>
    </row>
    <row r="227" spans="1:16">
      <c r="A227" s="341">
        <v>1991.02</v>
      </c>
      <c r="B227" s="2195">
        <v>65.542101631735903</v>
      </c>
      <c r="C227" s="2205">
        <v>98.821590375009094</v>
      </c>
      <c r="D227" s="2200">
        <v>32.217724334664602</v>
      </c>
      <c r="E227" s="2207">
        <v>89.398929833504596</v>
      </c>
      <c r="F227" s="2205">
        <v>86.249849115002107</v>
      </c>
      <c r="G227" s="2200">
        <v>97.456498862292506</v>
      </c>
      <c r="H227" s="452"/>
      <c r="I227" s="716"/>
      <c r="J227" s="767"/>
      <c r="K227" s="715"/>
      <c r="L227" s="715"/>
      <c r="M227" s="2218"/>
      <c r="N227" s="2198"/>
      <c r="O227" s="2212">
        <v>134.80000000000001</v>
      </c>
      <c r="P227" s="3284">
        <v>117.2</v>
      </c>
    </row>
    <row r="228" spans="1:16">
      <c r="A228" s="341">
        <v>1991.03</v>
      </c>
      <c r="B228" s="2195">
        <v>67.998163799574996</v>
      </c>
      <c r="C228" s="2205">
        <v>103.812918498245</v>
      </c>
      <c r="D228" s="2200">
        <v>32.541645670416003</v>
      </c>
      <c r="E228" s="2207">
        <v>92.214143621182501</v>
      </c>
      <c r="F228" s="2205">
        <v>90.398085812944103</v>
      </c>
      <c r="G228" s="2200">
        <v>97.132730569745704</v>
      </c>
      <c r="H228" s="452"/>
      <c r="I228" s="716"/>
      <c r="J228" s="767"/>
      <c r="K228" s="715"/>
      <c r="L228" s="715"/>
      <c r="M228" s="2218"/>
      <c r="N228" s="2198"/>
      <c r="O228" s="2212">
        <v>135</v>
      </c>
      <c r="P228" s="3284">
        <v>116.2</v>
      </c>
    </row>
    <row r="229" spans="1:16">
      <c r="A229" s="341">
        <v>1991.04</v>
      </c>
      <c r="B229" s="2195">
        <v>69.096144354949999</v>
      </c>
      <c r="C229" s="2205">
        <v>105.76473048666099</v>
      </c>
      <c r="D229" s="2200">
        <v>32.880484871565798</v>
      </c>
      <c r="E229" s="2207">
        <v>93.313855556413799</v>
      </c>
      <c r="F229" s="2205">
        <v>91.950414700420396</v>
      </c>
      <c r="G229" s="2200">
        <v>97.204418050753304</v>
      </c>
      <c r="H229" s="452"/>
      <c r="I229" s="716"/>
      <c r="J229" s="767"/>
      <c r="K229" s="715"/>
      <c r="L229" s="715"/>
      <c r="M229" s="2218"/>
      <c r="N229" s="2198"/>
      <c r="O229" s="2212">
        <v>135.19999999999999</v>
      </c>
      <c r="P229" s="3284">
        <v>116</v>
      </c>
    </row>
    <row r="230" spans="1:16">
      <c r="A230" s="341">
        <v>1991.05</v>
      </c>
      <c r="B230" s="2195">
        <v>69.566942775819498</v>
      </c>
      <c r="C230" s="2205">
        <v>106.434410632447</v>
      </c>
      <c r="D230" s="2200">
        <v>33.1376602730315</v>
      </c>
      <c r="E230" s="2207">
        <v>93.594980880835493</v>
      </c>
      <c r="F230" s="2205">
        <v>92.566390938091203</v>
      </c>
      <c r="G230" s="2200">
        <v>96.731364520705498</v>
      </c>
      <c r="H230" s="452"/>
      <c r="I230" s="716"/>
      <c r="J230" s="767"/>
      <c r="K230" s="715"/>
      <c r="L230" s="715"/>
      <c r="M230" s="2218"/>
      <c r="N230" s="2198"/>
      <c r="O230" s="2212">
        <v>135.6</v>
      </c>
      <c r="P230" s="3284">
        <v>116.5</v>
      </c>
    </row>
    <row r="231" spans="1:16">
      <c r="A231" s="341">
        <v>1991.06</v>
      </c>
      <c r="B231" s="2195">
        <v>70.630347037612793</v>
      </c>
      <c r="C231" s="2205">
        <v>108.45271187193001</v>
      </c>
      <c r="D231" s="2200">
        <v>33.383928726948596</v>
      </c>
      <c r="E231" s="2207">
        <v>94.6540785849147</v>
      </c>
      <c r="F231" s="2205">
        <v>94.236551127856998</v>
      </c>
      <c r="G231" s="2200">
        <v>96.441545842657305</v>
      </c>
      <c r="H231" s="452"/>
      <c r="I231" s="716"/>
      <c r="J231" s="767"/>
      <c r="K231" s="715"/>
      <c r="L231" s="715"/>
      <c r="M231" s="2218"/>
      <c r="N231" s="2198"/>
      <c r="O231" s="2212">
        <v>136</v>
      </c>
      <c r="P231" s="3284">
        <v>116.4</v>
      </c>
    </row>
    <row r="232" spans="1:16">
      <c r="A232" s="341">
        <v>1991.07</v>
      </c>
      <c r="B232" s="2195">
        <v>70.811025905945101</v>
      </c>
      <c r="C232" s="2205">
        <v>108.319908008101</v>
      </c>
      <c r="D232" s="2200">
        <v>33.742752433199897</v>
      </c>
      <c r="E232" s="2207">
        <v>94.307298613651895</v>
      </c>
      <c r="F232" s="2205">
        <v>93.867718395696002</v>
      </c>
      <c r="G232" s="2200">
        <v>96.140121909012805</v>
      </c>
      <c r="H232" s="452"/>
      <c r="I232" s="716"/>
      <c r="J232" s="767"/>
      <c r="K232" s="715"/>
      <c r="L232" s="715"/>
      <c r="M232" s="2218"/>
      <c r="N232" s="2198"/>
      <c r="O232" s="2212">
        <v>136.19999999999999</v>
      </c>
      <c r="P232" s="3284">
        <v>116.1</v>
      </c>
    </row>
    <row r="233" spans="1:16">
      <c r="A233" s="341">
        <v>1991.08</v>
      </c>
      <c r="B233" s="2195">
        <v>70.277866552072297</v>
      </c>
      <c r="C233" s="2205">
        <v>106.896645404189</v>
      </c>
      <c r="D233" s="2200">
        <v>33.898999398125099</v>
      </c>
      <c r="E233" s="2207">
        <v>93.245584275761203</v>
      </c>
      <c r="F233" s="2205">
        <v>92.726061887185907</v>
      </c>
      <c r="G233" s="2200">
        <v>95.244961289817496</v>
      </c>
      <c r="H233" s="452"/>
      <c r="I233" s="716"/>
      <c r="J233" s="767"/>
      <c r="K233" s="715"/>
      <c r="L233" s="715"/>
      <c r="M233" s="2218"/>
      <c r="N233" s="2198"/>
      <c r="O233" s="2212">
        <v>136.6</v>
      </c>
      <c r="P233" s="3284">
        <v>116.2</v>
      </c>
    </row>
    <row r="234" spans="1:16">
      <c r="A234" s="341">
        <v>1991.09</v>
      </c>
      <c r="B234" s="2195">
        <v>69.582353697878503</v>
      </c>
      <c r="C234" s="2205">
        <v>104.977519611025</v>
      </c>
      <c r="D234" s="2200">
        <v>34.158634391158998</v>
      </c>
      <c r="E234" s="2207">
        <v>92.100359666200404</v>
      </c>
      <c r="F234" s="2205">
        <v>91.227815752159202</v>
      </c>
      <c r="G234" s="2200">
        <v>94.873750082016201</v>
      </c>
      <c r="H234" s="452"/>
      <c r="I234" s="716"/>
      <c r="J234" s="767"/>
      <c r="K234" s="715"/>
      <c r="L234" s="715"/>
      <c r="M234" s="2218"/>
      <c r="N234" s="2198"/>
      <c r="O234" s="2212">
        <v>137.19999999999999</v>
      </c>
      <c r="P234" s="3284">
        <v>116.1</v>
      </c>
    </row>
    <row r="235" spans="1:16">
      <c r="A235" s="341">
        <v>1991.1</v>
      </c>
      <c r="B235" s="2195">
        <v>69.474683266306897</v>
      </c>
      <c r="C235" s="2205">
        <v>103.87586869846</v>
      </c>
      <c r="D235" s="2200">
        <v>34.7714844116392</v>
      </c>
      <c r="E235" s="2207">
        <v>91.315400639134396</v>
      </c>
      <c r="F235" s="2205">
        <v>90.048778281146298</v>
      </c>
      <c r="G235" s="2200">
        <v>94.969149301967406</v>
      </c>
      <c r="H235" s="452"/>
      <c r="I235" s="716"/>
      <c r="J235" s="767"/>
      <c r="K235" s="715"/>
      <c r="L235" s="715"/>
      <c r="M235" s="2218"/>
      <c r="N235" s="2198"/>
      <c r="O235" s="2212">
        <v>137.4</v>
      </c>
      <c r="P235" s="3284">
        <v>116.4</v>
      </c>
    </row>
    <row r="236" spans="1:16">
      <c r="A236" s="341">
        <v>1991.11</v>
      </c>
      <c r="B236" s="2195">
        <v>68.884446424727699</v>
      </c>
      <c r="C236" s="2205">
        <v>102.14124309429501</v>
      </c>
      <c r="D236" s="2200">
        <v>35.0974911922765</v>
      </c>
      <c r="E236" s="2207">
        <v>90.062117424009301</v>
      </c>
      <c r="F236" s="2205">
        <v>88.517894750074902</v>
      </c>
      <c r="G236" s="2200">
        <v>94.338047652827996</v>
      </c>
      <c r="H236" s="452"/>
      <c r="I236" s="716"/>
      <c r="J236" s="767"/>
      <c r="K236" s="715"/>
      <c r="L236" s="715"/>
      <c r="M236" s="2218"/>
      <c r="N236" s="2198"/>
      <c r="O236" s="2212">
        <v>137.80000000000001</v>
      </c>
      <c r="P236" s="3284">
        <v>116.4</v>
      </c>
    </row>
    <row r="237" spans="1:16">
      <c r="A237" s="341">
        <v>1991.12</v>
      </c>
      <c r="B237" s="2195">
        <v>68.5179136163663</v>
      </c>
      <c r="C237" s="2205">
        <v>100.789431316033</v>
      </c>
      <c r="D237" s="2200">
        <v>35.516038821255201</v>
      </c>
      <c r="E237" s="2207">
        <v>89.451569343587906</v>
      </c>
      <c r="F237" s="2205">
        <v>87.685945586420402</v>
      </c>
      <c r="G237" s="2200">
        <v>94.231979604078006</v>
      </c>
      <c r="H237" s="452"/>
      <c r="I237" s="716"/>
      <c r="J237" s="767"/>
      <c r="K237" s="715"/>
      <c r="L237" s="715"/>
      <c r="M237" s="2218"/>
      <c r="N237" s="2198"/>
      <c r="O237" s="2212">
        <v>137.9</v>
      </c>
      <c r="P237" s="3284">
        <v>115.9</v>
      </c>
    </row>
    <row r="238" spans="1:16">
      <c r="A238" s="341">
        <v>1992.01</v>
      </c>
      <c r="B238" s="2195">
        <v>68.770111838992804</v>
      </c>
      <c r="C238" s="2205">
        <v>100.99991701928801</v>
      </c>
      <c r="D238" s="2200">
        <v>35.786599099587498</v>
      </c>
      <c r="E238" s="2207">
        <v>89.409120465190099</v>
      </c>
      <c r="F238" s="2205">
        <v>87.854171716225295</v>
      </c>
      <c r="G238" s="2200">
        <v>93.740392504108996</v>
      </c>
      <c r="H238" s="353">
        <v>0.99</v>
      </c>
      <c r="I238" s="716"/>
      <c r="J238" s="767"/>
      <c r="K238" s="715"/>
      <c r="L238" s="715"/>
      <c r="M238" s="2218"/>
      <c r="N238" s="2198"/>
      <c r="O238" s="2212">
        <v>138.1</v>
      </c>
      <c r="P238" s="3284">
        <v>115.6</v>
      </c>
    </row>
    <row r="239" spans="1:16">
      <c r="A239" s="341">
        <v>1992.02</v>
      </c>
      <c r="B239" s="2195">
        <v>69.919069028238397</v>
      </c>
      <c r="C239" s="2205">
        <v>103.128831850442</v>
      </c>
      <c r="D239" s="2200">
        <v>36.074411783601697</v>
      </c>
      <c r="E239" s="2207">
        <v>90.517725148550397</v>
      </c>
      <c r="F239" s="2205">
        <v>89.686168458771803</v>
      </c>
      <c r="G239" s="2200">
        <v>93.346196557814693</v>
      </c>
      <c r="H239" s="354">
        <v>0.99</v>
      </c>
      <c r="I239" s="716"/>
      <c r="J239" s="767"/>
      <c r="K239" s="715"/>
      <c r="L239" s="715"/>
      <c r="M239" s="2218"/>
      <c r="N239" s="2198"/>
      <c r="O239" s="2212">
        <v>138.6</v>
      </c>
      <c r="P239" s="3284">
        <v>116</v>
      </c>
    </row>
    <row r="240" spans="1:16">
      <c r="A240" s="341">
        <v>1992.03</v>
      </c>
      <c r="B240" s="2195">
        <v>71.418459749283301</v>
      </c>
      <c r="C240" s="2205">
        <v>105.64546543130299</v>
      </c>
      <c r="D240" s="2200">
        <v>36.635780464690903</v>
      </c>
      <c r="E240" s="2207">
        <v>92.118560670924495</v>
      </c>
      <c r="F240" s="2205">
        <v>91.9068574520645</v>
      </c>
      <c r="G240" s="2200">
        <v>93.697089398811599</v>
      </c>
      <c r="H240" s="354">
        <v>0.99</v>
      </c>
      <c r="I240" s="716"/>
      <c r="J240" s="767"/>
      <c r="K240" s="715"/>
      <c r="L240" s="715"/>
      <c r="M240" s="2218"/>
      <c r="N240" s="2198"/>
      <c r="O240" s="2212">
        <v>139.30000000000001</v>
      </c>
      <c r="P240" s="3284">
        <v>116.1</v>
      </c>
    </row>
    <row r="241" spans="1:16">
      <c r="A241" s="341">
        <v>1992.04</v>
      </c>
      <c r="B241" s="2195">
        <v>71.420647005017599</v>
      </c>
      <c r="C241" s="2205">
        <v>105.185428029335</v>
      </c>
      <c r="D241" s="2200">
        <v>36.958428407276998</v>
      </c>
      <c r="E241" s="2207">
        <v>91.689266743719699</v>
      </c>
      <c r="F241" s="2205">
        <v>91.476055703115804</v>
      </c>
      <c r="G241" s="2200">
        <v>93.265496769587998</v>
      </c>
      <c r="H241" s="354">
        <v>0.99</v>
      </c>
      <c r="I241" s="716"/>
      <c r="J241" s="767"/>
      <c r="K241" s="715"/>
      <c r="L241" s="715"/>
      <c r="M241" s="2218"/>
      <c r="N241" s="2198"/>
      <c r="O241" s="2212">
        <v>139.5</v>
      </c>
      <c r="P241" s="3284">
        <v>116.3</v>
      </c>
    </row>
    <row r="242" spans="1:16">
      <c r="A242" s="341">
        <v>1992.05</v>
      </c>
      <c r="B242" s="2195">
        <v>71.103204140924703</v>
      </c>
      <c r="C242" s="2205">
        <v>103.96998321651</v>
      </c>
      <c r="D242" s="2200">
        <v>37.322816509934498</v>
      </c>
      <c r="E242" s="2207">
        <v>90.862927392554795</v>
      </c>
      <c r="F242" s="2205">
        <v>90.476946732100302</v>
      </c>
      <c r="G242" s="2200">
        <v>92.780189045135998</v>
      </c>
      <c r="H242" s="354">
        <v>0.99</v>
      </c>
      <c r="I242" s="716"/>
      <c r="J242" s="767"/>
      <c r="K242" s="715"/>
      <c r="L242" s="715"/>
      <c r="M242" s="2218"/>
      <c r="N242" s="2198"/>
      <c r="O242" s="2212">
        <v>139.69999999999999</v>
      </c>
      <c r="P242" s="3284">
        <v>117.2</v>
      </c>
    </row>
    <row r="243" spans="1:16">
      <c r="A243" s="341">
        <v>1992.06</v>
      </c>
      <c r="B243" s="2195">
        <v>70.321696117565907</v>
      </c>
      <c r="C243" s="2205">
        <v>101.80994371110199</v>
      </c>
      <c r="D243" s="2200">
        <v>37.649874209821597</v>
      </c>
      <c r="E243" s="2207">
        <v>89.530310956703701</v>
      </c>
      <c r="F243" s="2205">
        <v>88.615525988658305</v>
      </c>
      <c r="G243" s="2200">
        <v>92.519277412587101</v>
      </c>
      <c r="H243" s="354">
        <v>0.99</v>
      </c>
      <c r="I243" s="716"/>
      <c r="J243" s="767"/>
      <c r="K243" s="715"/>
      <c r="L243" s="715"/>
      <c r="M243" s="2218"/>
      <c r="N243" s="2198"/>
      <c r="O243" s="2212">
        <v>140.19999999999999</v>
      </c>
      <c r="P243" s="3284">
        <v>118</v>
      </c>
    </row>
    <row r="244" spans="1:16">
      <c r="A244" s="341">
        <v>1992.07</v>
      </c>
      <c r="B244" s="2195">
        <v>69.396595461381096</v>
      </c>
      <c r="C244" s="2205">
        <v>99.484344172114604</v>
      </c>
      <c r="D244" s="2200">
        <v>37.890267669105697</v>
      </c>
      <c r="E244" s="2207">
        <v>88.157749177495006</v>
      </c>
      <c r="F244" s="2205">
        <v>86.832474505770605</v>
      </c>
      <c r="G244" s="2200">
        <v>91.988790021756202</v>
      </c>
      <c r="H244" s="354">
        <v>0.99</v>
      </c>
      <c r="I244" s="716"/>
      <c r="J244" s="767"/>
      <c r="K244" s="715"/>
      <c r="L244" s="715"/>
      <c r="M244" s="2218"/>
      <c r="N244" s="2198"/>
      <c r="O244" s="2212">
        <v>140.5</v>
      </c>
      <c r="P244" s="3284">
        <v>117.9</v>
      </c>
    </row>
    <row r="245" spans="1:16">
      <c r="A245" s="341">
        <v>1992.08</v>
      </c>
      <c r="B245" s="2195">
        <v>69.153407452147206</v>
      </c>
      <c r="C245" s="2205">
        <v>98.553408302491306</v>
      </c>
      <c r="D245" s="2200">
        <v>38.203115244801801</v>
      </c>
      <c r="E245" s="2207">
        <v>87.531500703639296</v>
      </c>
      <c r="F245" s="2205">
        <v>86.109131004454298</v>
      </c>
      <c r="G245" s="2200">
        <v>91.560141718319798</v>
      </c>
      <c r="H245" s="354">
        <v>0.99</v>
      </c>
      <c r="I245" s="716"/>
      <c r="J245" s="767"/>
      <c r="K245" s="715"/>
      <c r="L245" s="715"/>
      <c r="M245" s="2218"/>
      <c r="N245" s="2198"/>
      <c r="O245" s="2212">
        <v>140.9</v>
      </c>
      <c r="P245" s="3284">
        <v>117.7</v>
      </c>
    </row>
    <row r="246" spans="1:16">
      <c r="A246" s="341">
        <v>1992.09</v>
      </c>
      <c r="B246" s="2195">
        <v>69.812903190159602</v>
      </c>
      <c r="C246" s="2205">
        <v>99.440820338854195</v>
      </c>
      <c r="D246" s="2200">
        <v>38.610744845442497</v>
      </c>
      <c r="E246" s="2207">
        <v>87.942443775265403</v>
      </c>
      <c r="F246" s="2205">
        <v>87.022980786643998</v>
      </c>
      <c r="G246" s="2200">
        <v>90.921815602262399</v>
      </c>
      <c r="H246" s="354">
        <v>0.99</v>
      </c>
      <c r="I246" s="716"/>
      <c r="J246" s="767"/>
      <c r="K246" s="715"/>
      <c r="L246" s="715"/>
      <c r="M246" s="2218"/>
      <c r="N246" s="2198"/>
      <c r="O246" s="2212">
        <v>141.30000000000001</v>
      </c>
      <c r="P246" s="3284">
        <v>118</v>
      </c>
    </row>
    <row r="247" spans="1:16">
      <c r="A247" s="341">
        <v>1992.1</v>
      </c>
      <c r="B247" s="2195">
        <v>71.459011840958695</v>
      </c>
      <c r="C247" s="2205">
        <v>102.138327467113</v>
      </c>
      <c r="D247" s="2200">
        <v>39.248472490500298</v>
      </c>
      <c r="E247" s="2207">
        <v>89.719270408035797</v>
      </c>
      <c r="F247" s="2205">
        <v>89.551803100006694</v>
      </c>
      <c r="G247" s="2200">
        <v>91.178227383141504</v>
      </c>
      <c r="H247" s="354">
        <v>0.99</v>
      </c>
      <c r="I247" s="716"/>
      <c r="J247" s="767"/>
      <c r="K247" s="715"/>
      <c r="L247" s="715"/>
      <c r="M247" s="2218"/>
      <c r="N247" s="2198"/>
      <c r="O247" s="2212">
        <v>141.80000000000001</v>
      </c>
      <c r="P247" s="3284">
        <v>118.1</v>
      </c>
    </row>
    <row r="248" spans="1:16">
      <c r="A248" s="341">
        <v>1992.11</v>
      </c>
      <c r="B248" s="2195">
        <v>73.877826671776006</v>
      </c>
      <c r="C248" s="2205">
        <v>106.49415031145701</v>
      </c>
      <c r="D248" s="2200">
        <v>39.897318406295199</v>
      </c>
      <c r="E248" s="2207">
        <v>92.423419690685506</v>
      </c>
      <c r="F248" s="2205">
        <v>93.389648282914095</v>
      </c>
      <c r="G248" s="2200">
        <v>91.662381139598196</v>
      </c>
      <c r="H248" s="354">
        <v>0.99</v>
      </c>
      <c r="I248" s="716"/>
      <c r="J248" s="767"/>
      <c r="K248" s="715"/>
      <c r="L248" s="715"/>
      <c r="M248" s="2218"/>
      <c r="N248" s="2198"/>
      <c r="O248" s="2212">
        <v>142</v>
      </c>
      <c r="P248" s="3284">
        <v>117.8</v>
      </c>
    </row>
    <row r="249" spans="1:16">
      <c r="A249" s="341">
        <v>1992.12</v>
      </c>
      <c r="B249" s="2195">
        <v>74.3782293501922</v>
      </c>
      <c r="C249" s="2205">
        <v>106.704652984514</v>
      </c>
      <c r="D249" s="2200">
        <v>40.550869713214801</v>
      </c>
      <c r="E249" s="2207">
        <v>92.611836841572298</v>
      </c>
      <c r="F249" s="2205">
        <v>93.528865807843104</v>
      </c>
      <c r="G249" s="2200">
        <v>91.949209903868194</v>
      </c>
      <c r="H249" s="354">
        <v>1</v>
      </c>
      <c r="I249" s="716"/>
      <c r="J249" s="767"/>
      <c r="K249" s="715"/>
      <c r="L249" s="715"/>
      <c r="M249" s="2218"/>
      <c r="N249" s="2198"/>
      <c r="O249" s="2212">
        <v>141.9</v>
      </c>
      <c r="P249" s="3284">
        <v>117.6</v>
      </c>
    </row>
    <row r="250" spans="1:16">
      <c r="A250" s="341">
        <v>1993.01</v>
      </c>
      <c r="B250" s="2195">
        <v>75.431597151456302</v>
      </c>
      <c r="C250" s="2205">
        <v>108.190040792216</v>
      </c>
      <c r="D250" s="2200">
        <v>41.123064543990502</v>
      </c>
      <c r="E250" s="2207">
        <v>93.480131015169505</v>
      </c>
      <c r="F250" s="2205">
        <v>94.840918261367307</v>
      </c>
      <c r="G250" s="2200">
        <v>92.016471497654706</v>
      </c>
      <c r="H250" s="354">
        <v>1</v>
      </c>
      <c r="I250" s="716"/>
      <c r="J250" s="767"/>
      <c r="K250" s="715"/>
      <c r="L250" s="715"/>
      <c r="M250" s="2218"/>
      <c r="N250" s="2198"/>
      <c r="O250" s="2212">
        <v>142.6</v>
      </c>
      <c r="P250" s="3284">
        <v>118</v>
      </c>
    </row>
    <row r="251" spans="1:16">
      <c r="A251" s="341">
        <v>1993.02</v>
      </c>
      <c r="B251" s="2195">
        <v>75.875945499724693</v>
      </c>
      <c r="C251" s="2205">
        <v>108.267338876485</v>
      </c>
      <c r="D251" s="2200">
        <v>41.766747388299997</v>
      </c>
      <c r="E251" s="2207">
        <v>93.5161927386321</v>
      </c>
      <c r="F251" s="2205">
        <v>94.822970145604799</v>
      </c>
      <c r="G251" s="2200">
        <v>92.151002528090004</v>
      </c>
      <c r="H251" s="354">
        <v>1</v>
      </c>
      <c r="I251" s="716"/>
      <c r="J251" s="767"/>
      <c r="K251" s="715"/>
      <c r="L251" s="715"/>
      <c r="M251" s="2218"/>
      <c r="N251" s="2198"/>
      <c r="O251" s="2212">
        <v>143.1</v>
      </c>
      <c r="P251" s="3284">
        <v>118.4</v>
      </c>
    </row>
    <row r="252" spans="1:16">
      <c r="A252" s="341">
        <v>1993.03</v>
      </c>
      <c r="B252" s="2195">
        <v>75.6646765024649</v>
      </c>
      <c r="C252" s="2205">
        <v>107.017489829919</v>
      </c>
      <c r="D252" s="2200">
        <v>42.342932101963498</v>
      </c>
      <c r="E252" s="2207">
        <v>92.668010968741797</v>
      </c>
      <c r="F252" s="2205">
        <v>93.737135279556398</v>
      </c>
      <c r="G252" s="2200">
        <v>91.727010104332095</v>
      </c>
      <c r="H252" s="354">
        <v>1</v>
      </c>
      <c r="I252" s="716"/>
      <c r="J252" s="767"/>
      <c r="K252" s="715"/>
      <c r="L252" s="715"/>
      <c r="M252" s="2218"/>
      <c r="N252" s="2198"/>
      <c r="O252" s="2212">
        <v>143.6</v>
      </c>
      <c r="P252" s="3284">
        <v>118.7</v>
      </c>
    </row>
    <row r="253" spans="1:16">
      <c r="A253" s="341">
        <v>1993.04</v>
      </c>
      <c r="B253" s="2195">
        <v>74.755018591269106</v>
      </c>
      <c r="C253" s="2205">
        <v>104.591409131041</v>
      </c>
      <c r="D253" s="2200">
        <v>42.690430294535602</v>
      </c>
      <c r="E253" s="2207">
        <v>91.142843328258806</v>
      </c>
      <c r="F253" s="2205">
        <v>91.766676600355297</v>
      </c>
      <c r="G253" s="2200">
        <v>91.005283969420404</v>
      </c>
      <c r="H253" s="354">
        <v>1</v>
      </c>
      <c r="I253" s="716"/>
      <c r="J253" s="767"/>
      <c r="K253" s="715"/>
      <c r="L253" s="715"/>
      <c r="M253" s="2218"/>
      <c r="N253" s="2198"/>
      <c r="O253" s="2212">
        <v>144</v>
      </c>
      <c r="P253" s="3284">
        <v>119.3</v>
      </c>
    </row>
    <row r="254" spans="1:16">
      <c r="A254" s="341">
        <v>1993.05</v>
      </c>
      <c r="B254" s="2195">
        <v>75.032304171384396</v>
      </c>
      <c r="C254" s="2205">
        <v>104.24656441493499</v>
      </c>
      <c r="D254" s="2200">
        <v>43.413692140535602</v>
      </c>
      <c r="E254" s="2207">
        <v>91.100428283425799</v>
      </c>
      <c r="F254" s="2205">
        <v>91.676361501551398</v>
      </c>
      <c r="G254" s="2200">
        <v>91.051298548771697</v>
      </c>
      <c r="H254" s="354">
        <v>1</v>
      </c>
      <c r="I254" s="716"/>
      <c r="J254" s="767"/>
      <c r="K254" s="715"/>
      <c r="L254" s="715"/>
      <c r="M254" s="2218"/>
      <c r="N254" s="2198"/>
      <c r="O254" s="2212">
        <v>144.19999999999999</v>
      </c>
      <c r="P254" s="3284">
        <v>119.7</v>
      </c>
    </row>
    <row r="255" spans="1:16">
      <c r="A255" s="341">
        <v>1993.06</v>
      </c>
      <c r="B255" s="2195">
        <v>75.812005849328898</v>
      </c>
      <c r="C255" s="2205">
        <v>105.02529796276499</v>
      </c>
      <c r="D255" s="2200">
        <v>44.103700693459999</v>
      </c>
      <c r="E255" s="2207">
        <v>91.265718682032002</v>
      </c>
      <c r="F255" s="2205">
        <v>92.248377093427294</v>
      </c>
      <c r="G255" s="2200">
        <v>90.4677291145086</v>
      </c>
      <c r="H255" s="354">
        <v>1</v>
      </c>
      <c r="I255" s="716"/>
      <c r="J255" s="767"/>
      <c r="K255" s="715"/>
      <c r="L255" s="715"/>
      <c r="M255" s="2218"/>
      <c r="N255" s="2198"/>
      <c r="O255" s="2212">
        <v>144.4</v>
      </c>
      <c r="P255" s="3284">
        <v>119.5</v>
      </c>
    </row>
    <row r="256" spans="1:16">
      <c r="A256" s="341">
        <v>1993.07</v>
      </c>
      <c r="B256" s="2195">
        <v>76.996721471414105</v>
      </c>
      <c r="C256" s="2205">
        <v>106.682177425402</v>
      </c>
      <c r="D256" s="2200">
        <v>44.779538561760901</v>
      </c>
      <c r="E256" s="2207">
        <v>91.968373078472695</v>
      </c>
      <c r="F256" s="2205">
        <v>93.487910808319796</v>
      </c>
      <c r="G256" s="2200">
        <v>90.201313312092196</v>
      </c>
      <c r="H256" s="354">
        <v>1</v>
      </c>
      <c r="I256" s="716"/>
      <c r="J256" s="767"/>
      <c r="K256" s="715"/>
      <c r="L256" s="715"/>
      <c r="M256" s="2218"/>
      <c r="N256" s="2198"/>
      <c r="O256" s="2212">
        <v>144.4</v>
      </c>
      <c r="P256" s="3284">
        <v>119.2</v>
      </c>
    </row>
    <row r="257" spans="1:16">
      <c r="A257" s="341">
        <v>1993.08</v>
      </c>
      <c r="B257" s="2195">
        <v>77.207320015845596</v>
      </c>
      <c r="C257" s="2205">
        <v>106.380401588376</v>
      </c>
      <c r="D257" s="2200">
        <v>45.371700210022901</v>
      </c>
      <c r="E257" s="2207">
        <v>91.602860400478704</v>
      </c>
      <c r="F257" s="2205">
        <v>93.244880392599896</v>
      </c>
      <c r="G257" s="2200">
        <v>89.611374369613003</v>
      </c>
      <c r="H257" s="354">
        <v>1</v>
      </c>
      <c r="I257" s="716"/>
      <c r="J257" s="767"/>
      <c r="K257" s="715"/>
      <c r="L257" s="715"/>
      <c r="M257" s="2218"/>
      <c r="N257" s="2198"/>
      <c r="O257" s="2212">
        <v>144.80000000000001</v>
      </c>
      <c r="P257" s="3284">
        <v>118.7</v>
      </c>
    </row>
    <row r="258" spans="1:16">
      <c r="A258" s="341">
        <v>1993.09</v>
      </c>
      <c r="B258" s="2195">
        <v>77.288679428070495</v>
      </c>
      <c r="C258" s="2205">
        <v>105.764371083871</v>
      </c>
      <c r="D258" s="2200">
        <v>46.006362223535298</v>
      </c>
      <c r="E258" s="2207">
        <v>91.015162825830998</v>
      </c>
      <c r="F258" s="2205">
        <v>92.757926709207794</v>
      </c>
      <c r="G258" s="2200">
        <v>88.836796827261395</v>
      </c>
      <c r="H258" s="354">
        <v>1</v>
      </c>
      <c r="I258" s="716"/>
      <c r="J258" s="767"/>
      <c r="K258" s="715"/>
      <c r="L258" s="715"/>
      <c r="M258" s="2218"/>
      <c r="N258" s="2198"/>
      <c r="O258" s="2212">
        <v>145.1</v>
      </c>
      <c r="P258" s="3284">
        <v>118.7</v>
      </c>
    </row>
    <row r="259" spans="1:16">
      <c r="A259" s="341">
        <v>1993.1</v>
      </c>
      <c r="B259" s="2195">
        <v>78.165799322801803</v>
      </c>
      <c r="C259" s="2205">
        <v>106.758718293714</v>
      </c>
      <c r="D259" s="2200">
        <v>46.696638694694101</v>
      </c>
      <c r="E259" s="2207">
        <v>91.675082200062207</v>
      </c>
      <c r="F259" s="2205">
        <v>94.000457069468695</v>
      </c>
      <c r="G259" s="2200">
        <v>88.468897571856203</v>
      </c>
      <c r="H259" s="354">
        <v>1</v>
      </c>
      <c r="I259" s="716"/>
      <c r="J259" s="767"/>
      <c r="K259" s="715"/>
      <c r="L259" s="715"/>
      <c r="M259" s="2218"/>
      <c r="N259" s="2198"/>
      <c r="O259" s="2212">
        <v>145.69999999999999</v>
      </c>
      <c r="P259" s="3284">
        <v>119.1</v>
      </c>
    </row>
    <row r="260" spans="1:16">
      <c r="A260" s="341">
        <v>1993.11</v>
      </c>
      <c r="B260" s="2195">
        <v>79.258421742556195</v>
      </c>
      <c r="C260" s="2205">
        <v>108.019518311741</v>
      </c>
      <c r="D260" s="2200">
        <v>47.5396104066226</v>
      </c>
      <c r="E260" s="2207">
        <v>92.450536373631806</v>
      </c>
      <c r="F260" s="2205">
        <v>95.285215787299293</v>
      </c>
      <c r="G260" s="2200">
        <v>88.361760100044407</v>
      </c>
      <c r="H260" s="354">
        <v>1</v>
      </c>
      <c r="I260" s="716"/>
      <c r="J260" s="767"/>
      <c r="K260" s="715"/>
      <c r="L260" s="715"/>
      <c r="M260" s="2218"/>
      <c r="N260" s="2198"/>
      <c r="O260" s="2212">
        <v>145.80000000000001</v>
      </c>
      <c r="P260" s="3284">
        <v>119</v>
      </c>
    </row>
    <row r="261" spans="1:16">
      <c r="A261" s="341">
        <v>1993.12</v>
      </c>
      <c r="B261" s="2195">
        <v>79.936108870271994</v>
      </c>
      <c r="C261" s="2205">
        <v>108.782208765813</v>
      </c>
      <c r="D261" s="2200">
        <v>48.078156170086302</v>
      </c>
      <c r="E261" s="2207">
        <v>92.617893860009005</v>
      </c>
      <c r="F261" s="2205">
        <v>96.011216069161094</v>
      </c>
      <c r="G261" s="2200">
        <v>87.569696864296503</v>
      </c>
      <c r="H261" s="354">
        <v>0.99</v>
      </c>
      <c r="I261" s="716"/>
      <c r="J261" s="767"/>
      <c r="K261" s="715"/>
      <c r="L261" s="715"/>
      <c r="M261" s="2218"/>
      <c r="N261" s="2198"/>
      <c r="O261" s="2212">
        <v>145.80000000000001</v>
      </c>
      <c r="P261" s="3284">
        <v>118.6</v>
      </c>
    </row>
    <row r="262" spans="1:16">
      <c r="A262" s="341">
        <v>1994.01</v>
      </c>
      <c r="B262" s="2195">
        <v>81.980598326055599</v>
      </c>
      <c r="C262" s="2205">
        <v>109.144362022876</v>
      </c>
      <c r="D262" s="2200">
        <v>51.271160023548603</v>
      </c>
      <c r="E262" s="2207">
        <v>94.199483395107407</v>
      </c>
      <c r="F262" s="2205">
        <v>96.222807693623295</v>
      </c>
      <c r="G262" s="2200">
        <v>91.442364832102797</v>
      </c>
      <c r="H262" s="354">
        <v>0.99</v>
      </c>
      <c r="I262" s="716"/>
      <c r="J262" s="767"/>
      <c r="K262" s="715"/>
      <c r="L262" s="715"/>
      <c r="M262" s="2218"/>
      <c r="N262" s="2198"/>
      <c r="O262" s="2212">
        <v>146.19999999999999</v>
      </c>
      <c r="P262" s="3284">
        <v>119.1</v>
      </c>
    </row>
    <row r="263" spans="1:16">
      <c r="A263" s="341">
        <v>1994.02</v>
      </c>
      <c r="B263" s="2195">
        <v>82.061990705759897</v>
      </c>
      <c r="C263" s="2205">
        <v>108.210553112984</v>
      </c>
      <c r="D263" s="2200">
        <v>52.2098998731203</v>
      </c>
      <c r="E263" s="2207">
        <v>93.8790776149051</v>
      </c>
      <c r="F263" s="2205">
        <v>95.812516813595195</v>
      </c>
      <c r="G263" s="2200">
        <v>91.272557711800403</v>
      </c>
      <c r="H263" s="354">
        <v>0.99</v>
      </c>
      <c r="I263" s="716"/>
      <c r="J263" s="767"/>
      <c r="K263" s="715"/>
      <c r="L263" s="715"/>
      <c r="M263" s="2218"/>
      <c r="N263" s="2198"/>
      <c r="O263" s="2212">
        <v>146.69999999999999</v>
      </c>
      <c r="P263" s="3284">
        <v>119.3</v>
      </c>
    </row>
    <row r="264" spans="1:16">
      <c r="A264" s="341">
        <v>1994.03</v>
      </c>
      <c r="B264" s="2195">
        <v>82.620819671252704</v>
      </c>
      <c r="C264" s="2205">
        <v>107.727220099779</v>
      </c>
      <c r="D264" s="2200">
        <v>53.634146527324901</v>
      </c>
      <c r="E264" s="2207">
        <v>93.926554984628496</v>
      </c>
      <c r="F264" s="2205">
        <v>95.487746459880498</v>
      </c>
      <c r="G264" s="2200">
        <v>91.957954567141897</v>
      </c>
      <c r="H264" s="354">
        <v>0.99</v>
      </c>
      <c r="I264" s="716"/>
      <c r="J264" s="767"/>
      <c r="K264" s="715"/>
      <c r="L264" s="715"/>
      <c r="M264" s="2218"/>
      <c r="N264" s="2198"/>
      <c r="O264" s="2212">
        <v>147.19999999999999</v>
      </c>
      <c r="P264" s="3284">
        <v>119.7</v>
      </c>
    </row>
    <row r="265" spans="1:16">
      <c r="A265" s="341">
        <v>1994.04</v>
      </c>
      <c r="B265" s="2195">
        <v>83.251027328800205</v>
      </c>
      <c r="C265" s="2205">
        <v>107.81623024202599</v>
      </c>
      <c r="D265" s="2200">
        <v>54.701654854243799</v>
      </c>
      <c r="E265" s="2207">
        <v>93.9749536880188</v>
      </c>
      <c r="F265" s="2205">
        <v>95.627574314795595</v>
      </c>
      <c r="G265" s="2200">
        <v>91.849482416363898</v>
      </c>
      <c r="H265" s="354">
        <v>0.99</v>
      </c>
      <c r="I265" s="716"/>
      <c r="J265" s="767"/>
      <c r="K265" s="715"/>
      <c r="L265" s="715"/>
      <c r="M265" s="2218"/>
      <c r="N265" s="2198"/>
      <c r="O265" s="2212">
        <v>147.4</v>
      </c>
      <c r="P265" s="3284">
        <v>119.7</v>
      </c>
    </row>
    <row r="266" spans="1:16">
      <c r="A266" s="341">
        <v>1994.05</v>
      </c>
      <c r="B266" s="2195">
        <v>83.265180725053597</v>
      </c>
      <c r="C266" s="2205">
        <v>106.893019095489</v>
      </c>
      <c r="D266" s="2200">
        <v>55.575527952502298</v>
      </c>
      <c r="E266" s="2207">
        <v>93.346968218834903</v>
      </c>
      <c r="F266" s="2205">
        <v>94.961211877932399</v>
      </c>
      <c r="G266" s="2200">
        <v>91.282665063987693</v>
      </c>
      <c r="H266" s="354">
        <v>0.99</v>
      </c>
      <c r="I266" s="716"/>
      <c r="J266" s="767"/>
      <c r="K266" s="715"/>
      <c r="L266" s="715"/>
      <c r="M266" s="2218"/>
      <c r="N266" s="2198"/>
      <c r="O266" s="2212">
        <v>147.5</v>
      </c>
      <c r="P266" s="3284">
        <v>119.9</v>
      </c>
    </row>
    <row r="267" spans="1:16">
      <c r="A267" s="341">
        <v>1994.06</v>
      </c>
      <c r="B267" s="2195">
        <v>83.228306132174197</v>
      </c>
      <c r="C267" s="2205">
        <v>105.936922620201</v>
      </c>
      <c r="D267" s="2200">
        <v>56.408403379190098</v>
      </c>
      <c r="E267" s="2207">
        <v>92.573841224016903</v>
      </c>
      <c r="F267" s="2205">
        <v>94.284457543043999</v>
      </c>
      <c r="G267" s="2200">
        <v>90.338304295812506</v>
      </c>
      <c r="H267" s="354">
        <v>0.99</v>
      </c>
      <c r="I267" s="716"/>
      <c r="J267" s="767"/>
      <c r="K267" s="715"/>
      <c r="L267" s="715"/>
      <c r="M267" s="2218"/>
      <c r="N267" s="2198"/>
      <c r="O267" s="2212">
        <v>148</v>
      </c>
      <c r="P267" s="3284">
        <v>120.5</v>
      </c>
    </row>
    <row r="268" spans="1:16">
      <c r="A268" s="341">
        <v>1994.07</v>
      </c>
      <c r="B268" s="2195">
        <v>82.273467810150507</v>
      </c>
      <c r="C268" s="2205">
        <v>103.63606285674901</v>
      </c>
      <c r="D268" s="2200">
        <v>56.8078866080252</v>
      </c>
      <c r="E268" s="2207">
        <v>91.247502149666801</v>
      </c>
      <c r="F268" s="2205">
        <v>92.344029321166801</v>
      </c>
      <c r="G268" s="2200">
        <v>90.063150004405102</v>
      </c>
      <c r="H268" s="354">
        <v>0.99</v>
      </c>
      <c r="I268" s="716"/>
      <c r="J268" s="767"/>
      <c r="K268" s="715"/>
      <c r="L268" s="715"/>
      <c r="M268" s="2218"/>
      <c r="N268" s="2198"/>
      <c r="O268" s="2212">
        <v>148.4</v>
      </c>
      <c r="P268" s="3284">
        <v>120.7</v>
      </c>
    </row>
    <row r="269" spans="1:16">
      <c r="A269" s="341">
        <v>1994.08</v>
      </c>
      <c r="B269" s="2195">
        <v>82.233277420106404</v>
      </c>
      <c r="C269" s="2205">
        <v>103.93722046698301</v>
      </c>
      <c r="D269" s="2200">
        <v>56.436713500921101</v>
      </c>
      <c r="E269" s="2207">
        <v>91.035766253840805</v>
      </c>
      <c r="F269" s="2205">
        <v>92.776488551371997</v>
      </c>
      <c r="G269" s="2200">
        <v>88.737183359608295</v>
      </c>
      <c r="H269" s="354">
        <v>0.99</v>
      </c>
      <c r="I269" s="716"/>
      <c r="J269" s="767"/>
      <c r="K269" s="715"/>
      <c r="L269" s="715"/>
      <c r="M269" s="2218"/>
      <c r="N269" s="2198"/>
      <c r="O269" s="2212">
        <v>149</v>
      </c>
      <c r="P269" s="3284">
        <v>121.2</v>
      </c>
    </row>
    <row r="270" spans="1:16">
      <c r="A270" s="341">
        <v>1994.09</v>
      </c>
      <c r="B270" s="2195">
        <v>81.469932426917694</v>
      </c>
      <c r="C270" s="2205">
        <v>102.515323892711</v>
      </c>
      <c r="D270" s="2200">
        <v>56.359628418232496</v>
      </c>
      <c r="E270" s="2207">
        <v>89.977801178163205</v>
      </c>
      <c r="F270" s="2205">
        <v>91.591683467048199</v>
      </c>
      <c r="G270" s="2200">
        <v>87.888565248091993</v>
      </c>
      <c r="H270" s="354">
        <v>0.99</v>
      </c>
      <c r="I270" s="716"/>
      <c r="J270" s="767"/>
      <c r="K270" s="715"/>
      <c r="L270" s="715"/>
      <c r="M270" s="2218"/>
      <c r="N270" s="2198"/>
      <c r="O270" s="2212">
        <v>149.4</v>
      </c>
      <c r="P270" s="3284">
        <v>121</v>
      </c>
    </row>
    <row r="271" spans="1:16">
      <c r="A271" s="341">
        <v>1994.1</v>
      </c>
      <c r="B271" s="2195">
        <v>80.992722874047203</v>
      </c>
      <c r="C271" s="2205">
        <v>101.472364762704</v>
      </c>
      <c r="D271" s="2200">
        <v>56.467808809561902</v>
      </c>
      <c r="E271" s="2207">
        <v>89.095962762513594</v>
      </c>
      <c r="F271" s="2205">
        <v>90.618098328323995</v>
      </c>
      <c r="G271" s="2200">
        <v>87.157641084675603</v>
      </c>
      <c r="H271" s="354">
        <v>0.99</v>
      </c>
      <c r="I271" s="716"/>
      <c r="J271" s="767"/>
      <c r="K271" s="715"/>
      <c r="L271" s="715"/>
      <c r="M271" s="2218"/>
      <c r="N271" s="2198"/>
      <c r="O271" s="2212">
        <v>149.5</v>
      </c>
      <c r="P271" s="3284">
        <v>120.9</v>
      </c>
    </row>
    <row r="272" spans="1:16">
      <c r="A272" s="341">
        <v>1994.11</v>
      </c>
      <c r="B272" s="2195">
        <v>81.3964533682759</v>
      </c>
      <c r="C272" s="2205">
        <v>102.23538358027101</v>
      </c>
      <c r="D272" s="2200">
        <v>56.494216684937001</v>
      </c>
      <c r="E272" s="2207">
        <v>89.356944118737204</v>
      </c>
      <c r="F272" s="2205">
        <v>91.389658926379795</v>
      </c>
      <c r="G272" s="2200">
        <v>86.549182757123205</v>
      </c>
      <c r="H272" s="354">
        <v>0.99</v>
      </c>
      <c r="I272" s="716"/>
      <c r="J272" s="767"/>
      <c r="K272" s="715"/>
      <c r="L272" s="715"/>
      <c r="M272" s="2218"/>
      <c r="N272" s="2198"/>
      <c r="O272" s="2212">
        <v>149.69999999999999</v>
      </c>
      <c r="P272" s="3284">
        <v>121.5</v>
      </c>
    </row>
    <row r="273" spans="1:16">
      <c r="A273" s="341">
        <v>1994.12</v>
      </c>
      <c r="B273" s="2195">
        <v>83.466984346631506</v>
      </c>
      <c r="C273" s="2205">
        <v>104.270458572198</v>
      </c>
      <c r="D273" s="2200">
        <v>58.525869916264497</v>
      </c>
      <c r="E273" s="2207">
        <v>91.508891271723201</v>
      </c>
      <c r="F273" s="2205">
        <v>93.241904863306701</v>
      </c>
      <c r="G273" s="2200">
        <v>89.227026796274004</v>
      </c>
      <c r="H273" s="354">
        <v>0.99</v>
      </c>
      <c r="I273" s="716"/>
      <c r="J273" s="767"/>
      <c r="K273" s="715"/>
      <c r="L273" s="715"/>
      <c r="M273" s="2218"/>
      <c r="N273" s="2198"/>
      <c r="O273" s="2212">
        <v>149.69999999999999</v>
      </c>
      <c r="P273" s="3284">
        <v>121.9</v>
      </c>
    </row>
    <row r="274" spans="1:16">
      <c r="A274" s="341">
        <v>1995.01</v>
      </c>
      <c r="B274" s="2195">
        <v>85.825272936814102</v>
      </c>
      <c r="C274" s="2205">
        <v>103.91177473066899</v>
      </c>
      <c r="D274" s="2200">
        <v>63.577240451171903</v>
      </c>
      <c r="E274" s="2207">
        <v>93.581717359168906</v>
      </c>
      <c r="F274" s="2205">
        <v>92.958964100247499</v>
      </c>
      <c r="G274" s="2200">
        <v>95.352724214180398</v>
      </c>
      <c r="H274" s="354">
        <v>1</v>
      </c>
      <c r="I274" s="716"/>
      <c r="J274" s="767"/>
      <c r="K274" s="715"/>
      <c r="L274" s="715"/>
      <c r="M274" s="2218"/>
      <c r="N274" s="2198"/>
      <c r="O274" s="2212">
        <v>150.30000000000001</v>
      </c>
      <c r="P274" s="3284">
        <v>122.9</v>
      </c>
    </row>
    <row r="275" spans="1:16">
      <c r="A275" s="341">
        <v>1995.02</v>
      </c>
      <c r="B275" s="2195">
        <v>85.4359885731334</v>
      </c>
      <c r="C275" s="2205">
        <v>102.84041218597</v>
      </c>
      <c r="D275" s="2200">
        <v>63.930355194353602</v>
      </c>
      <c r="E275" s="2207">
        <v>92.758958140619598</v>
      </c>
      <c r="F275" s="2205">
        <v>92.036242414382201</v>
      </c>
      <c r="G275" s="2200">
        <v>94.701758573927606</v>
      </c>
      <c r="H275" s="354">
        <v>1</v>
      </c>
      <c r="I275" s="716"/>
      <c r="J275" s="767"/>
      <c r="K275" s="715"/>
      <c r="L275" s="715"/>
      <c r="M275" s="2218"/>
      <c r="N275" s="2198"/>
      <c r="O275" s="2212">
        <v>150.9</v>
      </c>
      <c r="P275" s="3284">
        <v>123.5</v>
      </c>
    </row>
    <row r="276" spans="1:16">
      <c r="A276" s="341">
        <v>1995.03</v>
      </c>
      <c r="B276" s="2195">
        <v>84.8004327077374</v>
      </c>
      <c r="C276" s="2205">
        <v>99.344548335104804</v>
      </c>
      <c r="D276" s="2200">
        <v>66.505227382717294</v>
      </c>
      <c r="E276" s="2207">
        <v>91.628993563941705</v>
      </c>
      <c r="F276" s="2205">
        <v>89.001849203671199</v>
      </c>
      <c r="G276" s="2200">
        <v>97.053710480480902</v>
      </c>
      <c r="H276" s="354">
        <v>1</v>
      </c>
      <c r="I276" s="716"/>
      <c r="J276" s="767"/>
      <c r="K276" s="715"/>
      <c r="L276" s="715"/>
      <c r="M276" s="2218"/>
      <c r="N276" s="2198"/>
      <c r="O276" s="2212">
        <v>151.4</v>
      </c>
      <c r="P276" s="3284">
        <v>123.9</v>
      </c>
    </row>
    <row r="277" spans="1:16">
      <c r="A277" s="341">
        <v>1995.04</v>
      </c>
      <c r="B277" s="2195">
        <v>82.338688517654703</v>
      </c>
      <c r="C277" s="2205">
        <v>96.139894888964093</v>
      </c>
      <c r="D277" s="2200">
        <v>64.939919469477601</v>
      </c>
      <c r="E277" s="2207">
        <v>88.505336013107794</v>
      </c>
      <c r="F277" s="2205">
        <v>86.378062464698004</v>
      </c>
      <c r="G277" s="2200">
        <v>92.976214582503601</v>
      </c>
      <c r="H277" s="354">
        <v>1</v>
      </c>
      <c r="I277" s="716"/>
      <c r="J277" s="767"/>
      <c r="K277" s="715"/>
      <c r="L277" s="715"/>
      <c r="M277" s="2218"/>
      <c r="N277" s="2198"/>
      <c r="O277" s="2212">
        <v>151.9</v>
      </c>
      <c r="P277" s="3284">
        <v>124.6</v>
      </c>
    </row>
    <row r="278" spans="1:16">
      <c r="A278" s="341">
        <v>1995.05</v>
      </c>
      <c r="B278" s="2195">
        <v>82.258384707742493</v>
      </c>
      <c r="C278" s="2205">
        <v>96.673153658475798</v>
      </c>
      <c r="D278" s="2200">
        <v>64.152616687656007</v>
      </c>
      <c r="E278" s="2207">
        <v>87.992134269230405</v>
      </c>
      <c r="F278" s="2205">
        <v>86.912644958987698</v>
      </c>
      <c r="G278" s="2200">
        <v>90.540521071802004</v>
      </c>
      <c r="H278" s="354">
        <v>1</v>
      </c>
      <c r="I278" s="716"/>
      <c r="J278" s="767"/>
      <c r="K278" s="715"/>
      <c r="L278" s="715"/>
      <c r="M278" s="2218"/>
      <c r="N278" s="2198"/>
      <c r="O278" s="2212">
        <v>152.19999999999999</v>
      </c>
      <c r="P278" s="3284">
        <v>124.9</v>
      </c>
    </row>
    <row r="279" spans="1:16">
      <c r="A279" s="341">
        <v>1995.06</v>
      </c>
      <c r="B279" s="2195">
        <v>82.526458047541993</v>
      </c>
      <c r="C279" s="2205">
        <v>96.685125745222095</v>
      </c>
      <c r="D279" s="2200">
        <v>64.708183334056102</v>
      </c>
      <c r="E279" s="2207">
        <v>87.922127202983205</v>
      </c>
      <c r="F279" s="2205">
        <v>86.931048626543799</v>
      </c>
      <c r="G279" s="2200">
        <v>90.310943770155305</v>
      </c>
      <c r="H279" s="354">
        <v>1</v>
      </c>
      <c r="I279" s="716"/>
      <c r="J279" s="767"/>
      <c r="K279" s="715"/>
      <c r="L279" s="715"/>
      <c r="M279" s="2218"/>
      <c r="N279" s="2198"/>
      <c r="O279" s="2212">
        <v>152.5</v>
      </c>
      <c r="P279" s="3284">
        <v>125.3</v>
      </c>
    </row>
    <row r="280" spans="1:16">
      <c r="A280" s="341">
        <v>1995.07</v>
      </c>
      <c r="B280" s="2195">
        <v>82.5077548432632</v>
      </c>
      <c r="C280" s="2205">
        <v>96.727405860618205</v>
      </c>
      <c r="D280" s="2200">
        <v>64.619364444155494</v>
      </c>
      <c r="E280" s="2207">
        <v>87.636782710390193</v>
      </c>
      <c r="F280" s="2205">
        <v>87.050048247260406</v>
      </c>
      <c r="G280" s="2200">
        <v>89.301569243729503</v>
      </c>
      <c r="H280" s="354">
        <v>1</v>
      </c>
      <c r="I280" s="716"/>
      <c r="J280" s="767"/>
      <c r="K280" s="715"/>
      <c r="L280" s="715"/>
      <c r="M280" s="2218"/>
      <c r="N280" s="2198"/>
      <c r="O280" s="2212">
        <v>152.5</v>
      </c>
      <c r="P280" s="3284">
        <v>125.3</v>
      </c>
    </row>
    <row r="281" spans="1:16">
      <c r="A281" s="341">
        <v>1995.08</v>
      </c>
      <c r="B281" s="2195">
        <v>84.462676030288307</v>
      </c>
      <c r="C281" s="2205">
        <v>99.699837366485497</v>
      </c>
      <c r="D281" s="2200">
        <v>65.373048125116199</v>
      </c>
      <c r="E281" s="2207">
        <v>89.504391959516198</v>
      </c>
      <c r="F281" s="2205">
        <v>89.850932289028606</v>
      </c>
      <c r="G281" s="2200">
        <v>89.550482077933793</v>
      </c>
      <c r="H281" s="354">
        <v>1</v>
      </c>
      <c r="I281" s="716"/>
      <c r="J281" s="767"/>
      <c r="K281" s="715"/>
      <c r="L281" s="715"/>
      <c r="M281" s="2218"/>
      <c r="N281" s="2198"/>
      <c r="O281" s="2212">
        <v>152.9</v>
      </c>
      <c r="P281" s="3284">
        <v>125.1</v>
      </c>
    </row>
    <row r="282" spans="1:16">
      <c r="A282" s="341">
        <v>1995.09</v>
      </c>
      <c r="B282" s="2195">
        <v>85.672700376721394</v>
      </c>
      <c r="C282" s="2205">
        <v>101.357452362475</v>
      </c>
      <c r="D282" s="2200">
        <v>66.050199347183906</v>
      </c>
      <c r="E282" s="2207">
        <v>90.401451627698506</v>
      </c>
      <c r="F282" s="2205">
        <v>91.311009212682904</v>
      </c>
      <c r="G282" s="2200">
        <v>89.491453877797298</v>
      </c>
      <c r="H282" s="354">
        <v>1</v>
      </c>
      <c r="I282" s="716"/>
      <c r="J282" s="767"/>
      <c r="K282" s="715"/>
      <c r="L282" s="715"/>
      <c r="M282" s="2218"/>
      <c r="N282" s="2198"/>
      <c r="O282" s="2212">
        <v>153.19999999999999</v>
      </c>
      <c r="P282" s="3284">
        <v>125.2</v>
      </c>
    </row>
    <row r="283" spans="1:16">
      <c r="A283" s="341">
        <v>1995.1</v>
      </c>
      <c r="B283" s="2195">
        <v>85.580727890202596</v>
      </c>
      <c r="C283" s="2205">
        <v>100.406997097568</v>
      </c>
      <c r="D283" s="2200">
        <v>66.937401267382896</v>
      </c>
      <c r="E283" s="2207">
        <v>90.225984098464394</v>
      </c>
      <c r="F283" s="2205">
        <v>90.748640455346802</v>
      </c>
      <c r="G283" s="2200">
        <v>89.974431895249396</v>
      </c>
      <c r="H283" s="354">
        <v>1</v>
      </c>
      <c r="I283" s="716"/>
      <c r="J283" s="767"/>
      <c r="K283" s="715"/>
      <c r="L283" s="715"/>
      <c r="M283" s="2218"/>
      <c r="N283" s="2198"/>
      <c r="O283" s="2212">
        <v>153.69999999999999</v>
      </c>
      <c r="P283" s="3284">
        <v>125.3</v>
      </c>
    </row>
    <row r="284" spans="1:16">
      <c r="A284" s="341">
        <v>1995.11</v>
      </c>
      <c r="B284" s="2195">
        <v>86.846689642546195</v>
      </c>
      <c r="C284" s="2205">
        <v>100.871834270496</v>
      </c>
      <c r="D284" s="2200">
        <v>69.121324302818095</v>
      </c>
      <c r="E284" s="2207">
        <v>91.2229862590805</v>
      </c>
      <c r="F284" s="2205">
        <v>91.170114830424893</v>
      </c>
      <c r="G284" s="2200">
        <v>91.974243509505499</v>
      </c>
      <c r="H284" s="354">
        <v>1</v>
      </c>
      <c r="I284" s="716"/>
      <c r="J284" s="767"/>
      <c r="K284" s="715"/>
      <c r="L284" s="715"/>
      <c r="M284" s="2218"/>
      <c r="N284" s="2198"/>
      <c r="O284" s="2212">
        <v>153.6</v>
      </c>
      <c r="P284" s="3284">
        <v>125.4</v>
      </c>
    </row>
    <row r="285" spans="1:16">
      <c r="A285" s="341">
        <v>1995.12</v>
      </c>
      <c r="B285" s="2195">
        <v>87.598845679144006</v>
      </c>
      <c r="C285" s="2205">
        <v>101.800675974787</v>
      </c>
      <c r="D285" s="2200">
        <v>69.6537282674213</v>
      </c>
      <c r="E285" s="2207">
        <v>91.691544941164693</v>
      </c>
      <c r="F285" s="2205">
        <v>92.001571757466706</v>
      </c>
      <c r="G285" s="2200">
        <v>91.816357568814098</v>
      </c>
      <c r="H285" s="354">
        <v>1</v>
      </c>
      <c r="I285" s="716"/>
      <c r="J285" s="767"/>
      <c r="K285" s="715"/>
      <c r="L285" s="715"/>
      <c r="M285" s="2218"/>
      <c r="N285" s="2198"/>
      <c r="O285" s="2212">
        <v>153.5</v>
      </c>
      <c r="P285" s="3284">
        <v>125.7</v>
      </c>
    </row>
    <row r="286" spans="1:16">
      <c r="A286" s="341">
        <v>1996.01</v>
      </c>
      <c r="B286" s="2195">
        <v>88.318502823765598</v>
      </c>
      <c r="C286" s="2205">
        <v>103.0577657478</v>
      </c>
      <c r="D286" s="2200">
        <v>69.768278185133298</v>
      </c>
      <c r="E286" s="2207">
        <v>92.462178382224394</v>
      </c>
      <c r="F286" s="2205">
        <v>93.551402701399198</v>
      </c>
      <c r="G286" s="2200">
        <v>91.323723821621101</v>
      </c>
      <c r="H286" s="354">
        <v>1</v>
      </c>
      <c r="I286" s="716"/>
      <c r="J286" s="767"/>
      <c r="K286" s="715"/>
      <c r="L286" s="715"/>
      <c r="M286" s="2218"/>
      <c r="N286" s="2198"/>
      <c r="O286" s="2212">
        <v>154.4</v>
      </c>
      <c r="P286" s="3284">
        <v>126.3</v>
      </c>
    </row>
    <row r="287" spans="1:16">
      <c r="A287" s="341">
        <v>1996.02</v>
      </c>
      <c r="B287" s="2195">
        <v>88.519950651594201</v>
      </c>
      <c r="C287" s="2205">
        <v>103.378920075083</v>
      </c>
      <c r="D287" s="2200">
        <v>69.829395080136294</v>
      </c>
      <c r="E287" s="2207">
        <v>92.401928703311995</v>
      </c>
      <c r="F287" s="2205">
        <v>93.821779794040395</v>
      </c>
      <c r="G287" s="2200">
        <v>90.733210115737705</v>
      </c>
      <c r="H287" s="354">
        <v>1</v>
      </c>
      <c r="I287" s="716"/>
      <c r="J287" s="767"/>
      <c r="K287" s="715"/>
      <c r="L287" s="715"/>
      <c r="M287" s="2218"/>
      <c r="N287" s="2198"/>
      <c r="O287" s="2212">
        <v>154.9</v>
      </c>
      <c r="P287" s="3284">
        <v>126.2</v>
      </c>
    </row>
    <row r="288" spans="1:16">
      <c r="A288" s="341">
        <v>1996.03</v>
      </c>
      <c r="B288" s="2195">
        <v>88.516747890584696</v>
      </c>
      <c r="C288" s="2205">
        <v>103.299783922752</v>
      </c>
      <c r="D288" s="2200">
        <v>69.910332885637402</v>
      </c>
      <c r="E288" s="2207">
        <v>92.213380976124995</v>
      </c>
      <c r="F288" s="2205">
        <v>93.794045357410994</v>
      </c>
      <c r="G288" s="2200">
        <v>90.287532541687995</v>
      </c>
      <c r="H288" s="354">
        <v>1</v>
      </c>
      <c r="I288" s="716"/>
      <c r="J288" s="767"/>
      <c r="K288" s="715"/>
      <c r="L288" s="715"/>
      <c r="M288" s="2218"/>
      <c r="N288" s="2198"/>
      <c r="O288" s="2212">
        <v>155.69999999999999</v>
      </c>
      <c r="P288" s="3284">
        <v>126.4</v>
      </c>
    </row>
    <row r="289" spans="1:16">
      <c r="A289" s="341">
        <v>1996.04</v>
      </c>
      <c r="B289" s="2195">
        <v>88.785959449455007</v>
      </c>
      <c r="C289" s="2205">
        <v>103.879272773392</v>
      </c>
      <c r="D289" s="2200">
        <v>69.828209992689096</v>
      </c>
      <c r="E289" s="2207">
        <v>92.3631157920763</v>
      </c>
      <c r="F289" s="2205">
        <v>94.535247947479206</v>
      </c>
      <c r="G289" s="2200">
        <v>89.506813701944395</v>
      </c>
      <c r="H289" s="354">
        <v>0.99995000000000001</v>
      </c>
      <c r="I289" s="716"/>
      <c r="J289" s="767"/>
      <c r="K289" s="715"/>
      <c r="L289" s="715"/>
      <c r="M289" s="2218"/>
      <c r="N289" s="2198"/>
      <c r="O289" s="2212">
        <v>156.30000000000001</v>
      </c>
      <c r="P289" s="3284">
        <v>127.4</v>
      </c>
    </row>
    <row r="290" spans="1:16">
      <c r="A290" s="341">
        <v>1996.05</v>
      </c>
      <c r="B290" s="2195">
        <v>89.287685660366606</v>
      </c>
      <c r="C290" s="2205">
        <v>104.41125036819</v>
      </c>
      <c r="D290" s="2200">
        <v>70.283848688506396</v>
      </c>
      <c r="E290" s="2207">
        <v>92.606128747297802</v>
      </c>
      <c r="F290" s="2205">
        <v>95.066429115373495</v>
      </c>
      <c r="G290" s="2200">
        <v>89.302943082363001</v>
      </c>
      <c r="H290" s="354">
        <v>0.99950000000000006</v>
      </c>
      <c r="I290" s="716"/>
      <c r="J290" s="767"/>
      <c r="K290" s="715"/>
      <c r="L290" s="715"/>
      <c r="M290" s="2218"/>
      <c r="N290" s="2198"/>
      <c r="O290" s="2212">
        <v>156.6</v>
      </c>
      <c r="P290" s="3284">
        <v>128.1</v>
      </c>
    </row>
    <row r="291" spans="1:16">
      <c r="A291" s="341">
        <v>1996.06</v>
      </c>
      <c r="B291" s="2195">
        <v>89.689566518696793</v>
      </c>
      <c r="C291" s="2205">
        <v>104.628841403401</v>
      </c>
      <c r="D291" s="2200">
        <v>70.881129870596496</v>
      </c>
      <c r="E291" s="2207">
        <v>92.885438886847297</v>
      </c>
      <c r="F291" s="2205">
        <v>95.439651021251294</v>
      </c>
      <c r="G291" s="2200">
        <v>89.438439724092007</v>
      </c>
      <c r="H291" s="354">
        <v>0.99950000000000006</v>
      </c>
      <c r="I291" s="716"/>
      <c r="J291" s="767"/>
      <c r="K291" s="715"/>
      <c r="L291" s="715"/>
      <c r="M291" s="2218"/>
      <c r="N291" s="2198"/>
      <c r="O291" s="2212">
        <v>156.69999999999999</v>
      </c>
      <c r="P291" s="3284">
        <v>128</v>
      </c>
    </row>
    <row r="292" spans="1:16">
      <c r="A292" s="341">
        <v>1996.07</v>
      </c>
      <c r="B292" s="2195">
        <v>89.581916826656098</v>
      </c>
      <c r="C292" s="2205">
        <v>104.20906036222</v>
      </c>
      <c r="D292" s="2200">
        <v>71.126444744797993</v>
      </c>
      <c r="E292" s="2207">
        <v>92.6260962162997</v>
      </c>
      <c r="F292" s="2205">
        <v>95.125595761825096</v>
      </c>
      <c r="G292" s="2200">
        <v>89.262316390403797</v>
      </c>
      <c r="H292" s="354">
        <v>0.99950000000000006</v>
      </c>
      <c r="I292" s="716"/>
      <c r="J292" s="767"/>
      <c r="K292" s="715"/>
      <c r="L292" s="715"/>
      <c r="M292" s="2218"/>
      <c r="N292" s="2198"/>
      <c r="O292" s="2212">
        <v>157</v>
      </c>
      <c r="P292" s="3284">
        <v>128</v>
      </c>
    </row>
    <row r="293" spans="1:16">
      <c r="A293" s="341">
        <v>1996.08</v>
      </c>
      <c r="B293" s="2195">
        <v>89.176229578621104</v>
      </c>
      <c r="C293" s="2205">
        <v>103.62537781134699</v>
      </c>
      <c r="D293" s="2200">
        <v>70.929739250175999</v>
      </c>
      <c r="E293" s="2207">
        <v>91.9698912874846</v>
      </c>
      <c r="F293" s="2205">
        <v>94.727602101533805</v>
      </c>
      <c r="G293" s="2200">
        <v>88.204533799700997</v>
      </c>
      <c r="H293" s="354">
        <v>0.99950000000000006</v>
      </c>
      <c r="I293" s="716"/>
      <c r="J293" s="767"/>
      <c r="K293" s="715"/>
      <c r="L293" s="715"/>
      <c r="M293" s="2218"/>
      <c r="N293" s="2198"/>
      <c r="O293" s="2212">
        <v>157.30000000000001</v>
      </c>
      <c r="P293" s="3284">
        <v>128.30000000000001</v>
      </c>
    </row>
    <row r="294" spans="1:16">
      <c r="A294" s="341">
        <v>1996.09</v>
      </c>
      <c r="B294" s="2195">
        <v>89.633067020830396</v>
      </c>
      <c r="C294" s="2205">
        <v>104.340757949566</v>
      </c>
      <c r="D294" s="2200">
        <v>71.085481666373695</v>
      </c>
      <c r="E294" s="2207">
        <v>92.3959760839127</v>
      </c>
      <c r="F294" s="2205">
        <v>95.590735821442493</v>
      </c>
      <c r="G294" s="2200">
        <v>87.965386550923</v>
      </c>
      <c r="H294" s="354">
        <v>0.99950000000000006</v>
      </c>
      <c r="I294" s="716"/>
      <c r="J294" s="767"/>
      <c r="K294" s="715"/>
      <c r="L294" s="715"/>
      <c r="M294" s="2218"/>
      <c r="N294" s="2198"/>
      <c r="O294" s="2212">
        <v>157.80000000000001</v>
      </c>
      <c r="P294" s="3284">
        <v>128.19999999999999</v>
      </c>
    </row>
    <row r="295" spans="1:16">
      <c r="A295" s="341">
        <v>1996.1</v>
      </c>
      <c r="B295" s="2195">
        <v>90.039267032670494</v>
      </c>
      <c r="C295" s="2205">
        <v>104.631869381557</v>
      </c>
      <c r="D295" s="2200">
        <v>71.613321616798601</v>
      </c>
      <c r="E295" s="2207">
        <v>92.741786725528499</v>
      </c>
      <c r="F295" s="2205">
        <v>95.960128504406995</v>
      </c>
      <c r="G295" s="2200">
        <v>88.276972678539295</v>
      </c>
      <c r="H295" s="354">
        <v>0.99950000000000006</v>
      </c>
      <c r="I295" s="716"/>
      <c r="J295" s="767"/>
      <c r="K295" s="715"/>
      <c r="L295" s="715"/>
      <c r="M295" s="2218"/>
      <c r="N295" s="2198"/>
      <c r="O295" s="2212">
        <v>158.30000000000001</v>
      </c>
      <c r="P295" s="3284">
        <v>128</v>
      </c>
    </row>
    <row r="296" spans="1:16">
      <c r="A296" s="341">
        <v>1996.11</v>
      </c>
      <c r="B296" s="2195">
        <v>89.654978312662394</v>
      </c>
      <c r="C296" s="2205">
        <v>103.522838711742</v>
      </c>
      <c r="D296" s="2200">
        <v>72.0609909996098</v>
      </c>
      <c r="E296" s="2207">
        <v>92.2378730835418</v>
      </c>
      <c r="F296" s="2205">
        <v>95.042672727561495</v>
      </c>
      <c r="G296" s="2200">
        <v>88.401596944149702</v>
      </c>
      <c r="H296" s="354">
        <v>0.99950000000000006</v>
      </c>
      <c r="I296" s="716"/>
      <c r="J296" s="767"/>
      <c r="K296" s="715"/>
      <c r="L296" s="715"/>
      <c r="M296" s="2218"/>
      <c r="N296" s="2198"/>
      <c r="O296" s="2212">
        <v>158.6</v>
      </c>
      <c r="P296" s="3284">
        <v>128.19999999999999</v>
      </c>
    </row>
    <row r="297" spans="1:16">
      <c r="A297" s="341">
        <v>1996.12</v>
      </c>
      <c r="B297" s="2195">
        <v>90.652040581736898</v>
      </c>
      <c r="C297" s="2205">
        <v>105.277892020995</v>
      </c>
      <c r="D297" s="2200">
        <v>72.174189243994604</v>
      </c>
      <c r="E297" s="2207">
        <v>93.0597961998226</v>
      </c>
      <c r="F297" s="2205">
        <v>96.695206722061499</v>
      </c>
      <c r="G297" s="2200">
        <v>87.966998499656498</v>
      </c>
      <c r="H297" s="354">
        <v>0.99950000000000006</v>
      </c>
      <c r="I297" s="716"/>
      <c r="J297" s="767"/>
      <c r="K297" s="715"/>
      <c r="L297" s="715"/>
      <c r="M297" s="2218"/>
      <c r="N297" s="2198"/>
      <c r="O297" s="2212">
        <v>158.6</v>
      </c>
      <c r="P297" s="3284">
        <v>129.1</v>
      </c>
    </row>
    <row r="298" spans="1:16">
      <c r="A298" s="341">
        <v>1997.01</v>
      </c>
      <c r="B298" s="2195">
        <v>91.526855231007005</v>
      </c>
      <c r="C298" s="2205">
        <v>106.90023588255499</v>
      </c>
      <c r="D298" s="2200">
        <v>72.221615641679406</v>
      </c>
      <c r="E298" s="2207">
        <v>93.8578290105946</v>
      </c>
      <c r="F298" s="2205">
        <v>98.2609728786597</v>
      </c>
      <c r="G298" s="2200">
        <v>87.671792799417403</v>
      </c>
      <c r="H298" s="354">
        <v>0.99950000000000006</v>
      </c>
      <c r="I298" s="716"/>
      <c r="J298" s="767"/>
      <c r="K298" s="715"/>
      <c r="L298" s="715"/>
      <c r="M298" s="2218"/>
      <c r="N298" s="2198"/>
      <c r="O298" s="2212">
        <v>159.1</v>
      </c>
      <c r="P298" s="3284">
        <v>129.69999999999999</v>
      </c>
    </row>
    <row r="299" spans="1:16">
      <c r="A299" s="341">
        <v>1997.02</v>
      </c>
      <c r="B299" s="2195">
        <v>93.251154244616103</v>
      </c>
      <c r="C299" s="2205">
        <v>109.98252815361801</v>
      </c>
      <c r="D299" s="2200">
        <v>72.453308624984203</v>
      </c>
      <c r="E299" s="2207">
        <v>95.465880002693098</v>
      </c>
      <c r="F299" s="2205">
        <v>101.138086202121</v>
      </c>
      <c r="G299" s="2200">
        <v>87.515040641486493</v>
      </c>
      <c r="H299" s="354">
        <v>0.99950000000000006</v>
      </c>
      <c r="I299" s="716"/>
      <c r="J299" s="767"/>
      <c r="K299" s="715"/>
      <c r="L299" s="715"/>
      <c r="M299" s="2218"/>
      <c r="N299" s="2198"/>
      <c r="O299" s="2212">
        <v>159.6</v>
      </c>
      <c r="P299" s="3284">
        <v>128.5</v>
      </c>
    </row>
    <row r="300" spans="1:16">
      <c r="A300" s="341">
        <v>1997.03</v>
      </c>
      <c r="B300" s="2195">
        <v>94.018684728570605</v>
      </c>
      <c r="C300" s="2205">
        <v>110.907864149391</v>
      </c>
      <c r="D300" s="2200">
        <v>73.0281620174122</v>
      </c>
      <c r="E300" s="2207">
        <v>96.191617920574203</v>
      </c>
      <c r="F300" s="2205">
        <v>102.066004039584</v>
      </c>
      <c r="G300" s="2200">
        <v>87.963086976468702</v>
      </c>
      <c r="H300" s="354">
        <v>0.99950000000000006</v>
      </c>
      <c r="I300" s="716"/>
      <c r="J300" s="767"/>
      <c r="K300" s="715"/>
      <c r="L300" s="715"/>
      <c r="M300" s="2218"/>
      <c r="N300" s="2198"/>
      <c r="O300" s="2212">
        <v>160</v>
      </c>
      <c r="P300" s="3284">
        <v>127.3</v>
      </c>
    </row>
    <row r="301" spans="1:16">
      <c r="A301" s="341">
        <v>1997.04</v>
      </c>
      <c r="B301" s="2195">
        <v>94.758666764309893</v>
      </c>
      <c r="C301" s="2205">
        <v>112.22698268892501</v>
      </c>
      <c r="D301" s="2200">
        <v>73.141498051296793</v>
      </c>
      <c r="E301" s="2207">
        <v>96.616549311342894</v>
      </c>
      <c r="F301" s="2205">
        <v>102.967494241624</v>
      </c>
      <c r="G301" s="2200">
        <v>87.740916707775497</v>
      </c>
      <c r="H301" s="354">
        <v>0.99950000000000006</v>
      </c>
      <c r="I301" s="716"/>
      <c r="J301" s="767"/>
      <c r="K301" s="715"/>
      <c r="L301" s="715"/>
      <c r="M301" s="2218"/>
      <c r="N301" s="2198"/>
      <c r="O301" s="2212">
        <v>160.19999999999999</v>
      </c>
      <c r="P301" s="3284">
        <v>127</v>
      </c>
    </row>
    <row r="302" spans="1:16">
      <c r="A302" s="341">
        <v>1997.05</v>
      </c>
      <c r="B302" s="2195">
        <v>93.809077627781406</v>
      </c>
      <c r="C302" s="2205">
        <v>110.34632781716</v>
      </c>
      <c r="D302" s="2200">
        <v>73.196421602707304</v>
      </c>
      <c r="E302" s="2207">
        <v>95.458497337026301</v>
      </c>
      <c r="F302" s="2205">
        <v>101.251430640775</v>
      </c>
      <c r="G302" s="2200">
        <v>87.342703152939194</v>
      </c>
      <c r="H302" s="354">
        <v>0.99950000000000006</v>
      </c>
      <c r="I302" s="716"/>
      <c r="J302" s="767"/>
      <c r="K302" s="715"/>
      <c r="L302" s="715"/>
      <c r="M302" s="2218"/>
      <c r="N302" s="2198"/>
      <c r="O302" s="2212">
        <v>160.1</v>
      </c>
      <c r="P302" s="3284">
        <v>127.4</v>
      </c>
    </row>
    <row r="303" spans="1:16">
      <c r="A303" s="341">
        <v>1997.06</v>
      </c>
      <c r="B303" s="2195">
        <v>93.5545880848575</v>
      </c>
      <c r="C303" s="2205">
        <v>109.821203274604</v>
      </c>
      <c r="D303" s="2200">
        <v>73.232936870665796</v>
      </c>
      <c r="E303" s="2207">
        <v>94.990359847553805</v>
      </c>
      <c r="F303" s="2205">
        <v>100.735969732529</v>
      </c>
      <c r="G303" s="2200">
        <v>86.940178529762605</v>
      </c>
      <c r="H303" s="354">
        <v>0.99950000000000006</v>
      </c>
      <c r="I303" s="716"/>
      <c r="J303" s="767"/>
      <c r="K303" s="715"/>
      <c r="L303" s="715"/>
      <c r="M303" s="2218"/>
      <c r="N303" s="2198"/>
      <c r="O303" s="2212">
        <v>160.30000000000001</v>
      </c>
      <c r="P303" s="3284">
        <v>127.2</v>
      </c>
    </row>
    <row r="304" spans="1:16">
      <c r="A304" s="341">
        <v>1997.07</v>
      </c>
      <c r="B304" s="2195">
        <v>94.476907924154602</v>
      </c>
      <c r="C304" s="2205">
        <v>110.839310625218</v>
      </c>
      <c r="D304" s="2200">
        <v>74.024286548192194</v>
      </c>
      <c r="E304" s="2207">
        <v>95.764016822729701</v>
      </c>
      <c r="F304" s="2205">
        <v>101.71981577005199</v>
      </c>
      <c r="G304" s="2200">
        <v>87.425696516835302</v>
      </c>
      <c r="H304" s="354">
        <v>0.99950000000000006</v>
      </c>
      <c r="I304" s="716"/>
      <c r="J304" s="767"/>
      <c r="K304" s="715"/>
      <c r="L304" s="715"/>
      <c r="M304" s="2218"/>
      <c r="N304" s="2198"/>
      <c r="O304" s="2212">
        <v>160.5</v>
      </c>
      <c r="P304" s="3284">
        <v>126.9</v>
      </c>
    </row>
    <row r="305" spans="1:16">
      <c r="A305" s="341">
        <v>1997.08</v>
      </c>
      <c r="B305" s="2195">
        <v>96.172763906679194</v>
      </c>
      <c r="C305" s="2205">
        <v>113.202617851524</v>
      </c>
      <c r="D305" s="2200">
        <v>74.9600752351502</v>
      </c>
      <c r="E305" s="2207">
        <v>97.332344231827093</v>
      </c>
      <c r="F305" s="2205">
        <v>103.943826679019</v>
      </c>
      <c r="G305" s="2200">
        <v>88.103994550134203</v>
      </c>
      <c r="H305" s="354">
        <v>0.99950000000000006</v>
      </c>
      <c r="I305" s="716"/>
      <c r="J305" s="767"/>
      <c r="K305" s="715"/>
      <c r="L305" s="715"/>
      <c r="M305" s="2218"/>
      <c r="N305" s="2198"/>
      <c r="O305" s="2212">
        <v>160.80000000000001</v>
      </c>
      <c r="P305" s="3284">
        <v>127.2</v>
      </c>
    </row>
    <row r="306" spans="1:16">
      <c r="A306" s="341">
        <v>1997.09</v>
      </c>
      <c r="B306" s="2195">
        <v>96.538519590796696</v>
      </c>
      <c r="C306" s="2205">
        <v>112.769990963295</v>
      </c>
      <c r="D306" s="2200">
        <v>76.157554318461806</v>
      </c>
      <c r="E306" s="2207">
        <v>97.626648151400104</v>
      </c>
      <c r="F306" s="2205">
        <v>103.67829685888999</v>
      </c>
      <c r="G306" s="2200">
        <v>89.153328754776894</v>
      </c>
      <c r="H306" s="354">
        <v>0.99950000000000006</v>
      </c>
      <c r="I306" s="716"/>
      <c r="J306" s="767"/>
      <c r="K306" s="715"/>
      <c r="L306" s="715"/>
      <c r="M306" s="2218"/>
      <c r="N306" s="2198"/>
      <c r="O306" s="2212">
        <v>161.19999999999999</v>
      </c>
      <c r="P306" s="3284">
        <v>127.5</v>
      </c>
    </row>
    <row r="307" spans="1:16">
      <c r="A307" s="341">
        <v>1997.1</v>
      </c>
      <c r="B307" s="2195">
        <v>96.956015478244396</v>
      </c>
      <c r="C307" s="2205">
        <v>112.03709748315499</v>
      </c>
      <c r="D307" s="2200">
        <v>77.814031065204503</v>
      </c>
      <c r="E307" s="2207">
        <v>98.051539958627302</v>
      </c>
      <c r="F307" s="2205">
        <v>103.146571649737</v>
      </c>
      <c r="G307" s="2200">
        <v>90.894683113279996</v>
      </c>
      <c r="H307" s="354">
        <v>0.99950000000000006</v>
      </c>
      <c r="I307" s="716"/>
      <c r="J307" s="767"/>
      <c r="K307" s="715"/>
      <c r="L307" s="715"/>
      <c r="M307" s="2218"/>
      <c r="N307" s="2198"/>
      <c r="O307" s="2212">
        <v>161.6</v>
      </c>
      <c r="P307" s="3284">
        <v>127.8</v>
      </c>
    </row>
    <row r="308" spans="1:16">
      <c r="A308" s="341">
        <v>1997.11</v>
      </c>
      <c r="B308" s="2195">
        <v>98.624466988662206</v>
      </c>
      <c r="C308" s="2205">
        <v>112.785708775109</v>
      </c>
      <c r="D308" s="2200">
        <v>80.460296377727801</v>
      </c>
      <c r="E308" s="2207">
        <v>99.605381289787402</v>
      </c>
      <c r="F308" s="2205">
        <v>103.92126264220499</v>
      </c>
      <c r="G308" s="2200">
        <v>93.546412730167006</v>
      </c>
      <c r="H308" s="354">
        <v>0.99950000000000006</v>
      </c>
      <c r="I308" s="716"/>
      <c r="J308" s="767"/>
      <c r="K308" s="715"/>
      <c r="L308" s="715"/>
      <c r="M308" s="2218"/>
      <c r="N308" s="2198"/>
      <c r="O308" s="2212">
        <v>161.5</v>
      </c>
      <c r="P308" s="3284">
        <v>127.9</v>
      </c>
    </row>
    <row r="309" spans="1:16">
      <c r="A309" s="341">
        <v>1997.12</v>
      </c>
      <c r="B309" s="2195">
        <v>102.231024013365</v>
      </c>
      <c r="C309" s="2205">
        <v>115.347665098574</v>
      </c>
      <c r="D309" s="2200">
        <v>85.205342206856301</v>
      </c>
      <c r="E309" s="2207">
        <v>103.03252742822301</v>
      </c>
      <c r="F309" s="2205">
        <v>106.34130993552201</v>
      </c>
      <c r="G309" s="2200">
        <v>98.433467708095606</v>
      </c>
      <c r="H309" s="354">
        <v>0.99950000000000006</v>
      </c>
      <c r="I309" s="716"/>
      <c r="J309" s="767"/>
      <c r="K309" s="715"/>
      <c r="L309" s="715"/>
      <c r="M309" s="2218"/>
      <c r="N309" s="2198"/>
      <c r="O309" s="2212">
        <v>161.30000000000001</v>
      </c>
      <c r="P309" s="3284">
        <v>126.8</v>
      </c>
    </row>
    <row r="310" spans="1:16">
      <c r="A310" s="341">
        <v>1998.01</v>
      </c>
      <c r="B310" s="2195">
        <v>105.103793063778</v>
      </c>
      <c r="C310" s="2205">
        <v>116.772620284662</v>
      </c>
      <c r="D310" s="2200">
        <v>89.7892601320154</v>
      </c>
      <c r="E310" s="2207">
        <v>105.602095360273</v>
      </c>
      <c r="F310" s="2205">
        <v>107.659551204355</v>
      </c>
      <c r="G310" s="2200">
        <v>102.911687434854</v>
      </c>
      <c r="H310" s="354">
        <v>0.99950000000000006</v>
      </c>
      <c r="I310" s="716"/>
      <c r="J310" s="767"/>
      <c r="K310" s="715"/>
      <c r="L310" s="715"/>
      <c r="M310" s="2218"/>
      <c r="N310" s="2198"/>
      <c r="O310" s="2212">
        <v>161.6</v>
      </c>
      <c r="P310" s="3284">
        <v>125.4</v>
      </c>
    </row>
    <row r="311" spans="1:16">
      <c r="A311" s="341">
        <v>1998.02</v>
      </c>
      <c r="B311" s="2195">
        <v>104.077605776563</v>
      </c>
      <c r="C311" s="2205">
        <v>115.759873064076</v>
      </c>
      <c r="D311" s="2200">
        <v>88.749541896976794</v>
      </c>
      <c r="E311" s="2207">
        <v>104.000791899682</v>
      </c>
      <c r="F311" s="2205">
        <v>106.58734376506401</v>
      </c>
      <c r="G311" s="2200">
        <v>100.493404759093</v>
      </c>
      <c r="H311" s="354">
        <v>0.99950000000000006</v>
      </c>
      <c r="I311" s="716"/>
      <c r="J311" s="767"/>
      <c r="K311" s="715"/>
      <c r="L311" s="715"/>
      <c r="M311" s="2218"/>
      <c r="N311" s="2198"/>
      <c r="O311" s="2212">
        <v>161.9</v>
      </c>
      <c r="P311" s="3284">
        <v>125</v>
      </c>
    </row>
    <row r="312" spans="1:16">
      <c r="A312" s="341">
        <v>1998.03</v>
      </c>
      <c r="B312" s="2195">
        <v>103.850571216925</v>
      </c>
      <c r="C312" s="2205">
        <v>116.056571096307</v>
      </c>
      <c r="D312" s="2200">
        <v>87.884544007109</v>
      </c>
      <c r="E312" s="2207">
        <v>103.476096148655</v>
      </c>
      <c r="F312" s="2205">
        <v>106.821277900718</v>
      </c>
      <c r="G312" s="2200">
        <v>98.824175600130104</v>
      </c>
      <c r="H312" s="354">
        <v>0.99950000000000006</v>
      </c>
      <c r="I312" s="716"/>
      <c r="J312" s="767"/>
      <c r="K312" s="715"/>
      <c r="L312" s="715"/>
      <c r="M312" s="2218"/>
      <c r="N312" s="2198"/>
      <c r="O312" s="2212">
        <v>162.19999999999999</v>
      </c>
      <c r="P312" s="3284">
        <v>124.7</v>
      </c>
    </row>
    <row r="313" spans="1:16">
      <c r="A313" s="341">
        <v>1998.04</v>
      </c>
      <c r="B313" s="2195">
        <v>103.760263564448</v>
      </c>
      <c r="C313" s="2205">
        <v>116.601916061179</v>
      </c>
      <c r="D313" s="2200">
        <v>87.020713354875099</v>
      </c>
      <c r="E313" s="2207">
        <v>103.280962487815</v>
      </c>
      <c r="F313" s="2205">
        <v>107.45668717192601</v>
      </c>
      <c r="G313" s="2200">
        <v>97.401996710904498</v>
      </c>
      <c r="H313" s="354">
        <v>0.99950000000000006</v>
      </c>
      <c r="I313" s="716"/>
      <c r="J313" s="767"/>
      <c r="K313" s="715"/>
      <c r="L313" s="715"/>
      <c r="M313" s="2218"/>
      <c r="N313" s="2198"/>
      <c r="O313" s="2212">
        <v>162.5</v>
      </c>
      <c r="P313" s="3284">
        <v>124.9</v>
      </c>
    </row>
    <row r="314" spans="1:16">
      <c r="A314" s="341">
        <v>1998.05</v>
      </c>
      <c r="B314" s="2195">
        <v>104.53755340689899</v>
      </c>
      <c r="C314" s="2205">
        <v>117.11850677109</v>
      </c>
      <c r="D314" s="2200">
        <v>88.104202582154798</v>
      </c>
      <c r="E314" s="2207">
        <v>104.00087066661099</v>
      </c>
      <c r="F314" s="2205">
        <v>108.06753487837901</v>
      </c>
      <c r="G314" s="2200">
        <v>98.283227113832794</v>
      </c>
      <c r="H314" s="354">
        <v>0.99950000000000006</v>
      </c>
      <c r="I314" s="716"/>
      <c r="J314" s="767"/>
      <c r="K314" s="715"/>
      <c r="L314" s="715"/>
      <c r="M314" s="2218"/>
      <c r="N314" s="2198"/>
      <c r="O314" s="2212">
        <v>162.80000000000001</v>
      </c>
      <c r="P314" s="3284">
        <v>125.1</v>
      </c>
    </row>
    <row r="315" spans="1:16">
      <c r="A315" s="341">
        <v>1998.06</v>
      </c>
      <c r="B315" s="2195">
        <v>106.731477066403</v>
      </c>
      <c r="C315" s="2205">
        <v>119.044553183896</v>
      </c>
      <c r="D315" s="2200">
        <v>90.602098882076106</v>
      </c>
      <c r="E315" s="2207">
        <v>105.96155837970799</v>
      </c>
      <c r="F315" s="2205">
        <v>109.932824270681</v>
      </c>
      <c r="G315" s="2200">
        <v>100.388993849304</v>
      </c>
      <c r="H315" s="354">
        <v>0.99950000000000006</v>
      </c>
      <c r="I315" s="716"/>
      <c r="J315" s="767"/>
      <c r="K315" s="715"/>
      <c r="L315" s="715"/>
      <c r="M315" s="2218"/>
      <c r="N315" s="2198"/>
      <c r="O315" s="2212">
        <v>163</v>
      </c>
      <c r="P315" s="3284">
        <v>124.8</v>
      </c>
    </row>
    <row r="316" spans="1:16">
      <c r="A316" s="341">
        <v>1998.07</v>
      </c>
      <c r="B316" s="2195">
        <v>107.072175726784</v>
      </c>
      <c r="C316" s="2205">
        <v>119.83604285696001</v>
      </c>
      <c r="D316" s="2200">
        <v>90.389117254679803</v>
      </c>
      <c r="E316" s="2207">
        <v>106.30352800249401</v>
      </c>
      <c r="F316" s="2205">
        <v>110.9363833717</v>
      </c>
      <c r="G316" s="2200">
        <v>99.764867614030607</v>
      </c>
      <c r="H316" s="354">
        <v>0.99950000000000006</v>
      </c>
      <c r="I316" s="716"/>
      <c r="J316" s="767"/>
      <c r="K316" s="715"/>
      <c r="L316" s="715"/>
      <c r="M316" s="2218"/>
      <c r="N316" s="2198"/>
      <c r="O316" s="2212">
        <v>163.19999999999999</v>
      </c>
      <c r="P316" s="3284">
        <v>124.9</v>
      </c>
    </row>
    <row r="317" spans="1:16">
      <c r="A317" s="341">
        <v>1998.08</v>
      </c>
      <c r="B317" s="2195">
        <v>108.995154514681</v>
      </c>
      <c r="C317" s="2205">
        <v>121.744681194089</v>
      </c>
      <c r="D317" s="2200">
        <v>92.313381187400793</v>
      </c>
      <c r="E317" s="2207">
        <v>108.126060021779</v>
      </c>
      <c r="F317" s="2205">
        <v>112.829796749062</v>
      </c>
      <c r="G317" s="2200">
        <v>101.48769343111999</v>
      </c>
      <c r="H317" s="354">
        <v>0.99950000000000006</v>
      </c>
      <c r="I317" s="716"/>
      <c r="J317" s="767"/>
      <c r="K317" s="715"/>
      <c r="L317" s="715"/>
      <c r="M317" s="2218"/>
      <c r="N317" s="2198"/>
      <c r="O317" s="2212">
        <v>163.4</v>
      </c>
      <c r="P317" s="3284">
        <v>124.2</v>
      </c>
    </row>
    <row r="318" spans="1:16">
      <c r="A318" s="341">
        <v>1998.09</v>
      </c>
      <c r="B318" s="2195">
        <v>107.88643724606899</v>
      </c>
      <c r="C318" s="2205">
        <v>117.257094570465</v>
      </c>
      <c r="D318" s="2200">
        <v>95.491689817362797</v>
      </c>
      <c r="E318" s="2207">
        <v>106.527596214143</v>
      </c>
      <c r="F318" s="2205">
        <v>108.66044689352</v>
      </c>
      <c r="G318" s="2200">
        <v>103.725244402806</v>
      </c>
      <c r="H318" s="354">
        <v>0.99950000000000006</v>
      </c>
      <c r="I318" s="716"/>
      <c r="J318" s="767"/>
      <c r="K318" s="715"/>
      <c r="L318" s="715"/>
      <c r="M318" s="2218"/>
      <c r="N318" s="2198"/>
      <c r="O318" s="2212">
        <v>163.6</v>
      </c>
      <c r="P318" s="3284">
        <v>123.8</v>
      </c>
    </row>
    <row r="319" spans="1:16">
      <c r="A319" s="341">
        <v>1998.1</v>
      </c>
      <c r="B319" s="2195">
        <v>105.22642317813499</v>
      </c>
      <c r="C319" s="2205">
        <v>113.616777938288</v>
      </c>
      <c r="D319" s="2200">
        <v>94.127446355035403</v>
      </c>
      <c r="E319" s="2207">
        <v>103.76984029098899</v>
      </c>
      <c r="F319" s="2205">
        <v>105.321742857877</v>
      </c>
      <c r="G319" s="2200">
        <v>101.854624228555</v>
      </c>
      <c r="H319" s="354">
        <v>0.99950000000000006</v>
      </c>
      <c r="I319" s="716"/>
      <c r="J319" s="767"/>
      <c r="K319" s="715"/>
      <c r="L319" s="715"/>
      <c r="M319" s="2218"/>
      <c r="N319" s="2198"/>
      <c r="O319" s="2212">
        <v>164</v>
      </c>
      <c r="P319" s="3284">
        <v>124</v>
      </c>
    </row>
    <row r="320" spans="1:16">
      <c r="A320" s="341">
        <v>1998.11</v>
      </c>
      <c r="B320" s="2195">
        <v>105.330539468282</v>
      </c>
      <c r="C320" s="2205">
        <v>114.729032371386</v>
      </c>
      <c r="D320" s="2200">
        <v>92.900910868585797</v>
      </c>
      <c r="E320" s="2207">
        <v>103.534527631993</v>
      </c>
      <c r="F320" s="2205">
        <v>106.219311809077</v>
      </c>
      <c r="G320" s="2200">
        <v>99.876103985073897</v>
      </c>
      <c r="H320" s="354">
        <v>1</v>
      </c>
      <c r="I320" s="716"/>
      <c r="J320" s="767"/>
      <c r="K320" s="715"/>
      <c r="L320" s="715"/>
      <c r="M320" s="2218"/>
      <c r="N320" s="2198"/>
      <c r="O320" s="2212">
        <v>164</v>
      </c>
      <c r="P320" s="3284">
        <v>123.6</v>
      </c>
    </row>
    <row r="321" spans="1:16">
      <c r="A321" s="341">
        <v>1998.12</v>
      </c>
      <c r="B321" s="2195">
        <v>104.60011950212601</v>
      </c>
      <c r="C321" s="2205">
        <v>113.788077260973</v>
      </c>
      <c r="D321" s="2200">
        <v>92.444269337848596</v>
      </c>
      <c r="E321" s="2207">
        <v>102.822628792152</v>
      </c>
      <c r="F321" s="2205">
        <v>105.650175214656</v>
      </c>
      <c r="G321" s="2200">
        <v>98.945381301475805</v>
      </c>
      <c r="H321" s="354">
        <v>1</v>
      </c>
      <c r="I321" s="716"/>
      <c r="J321" s="767"/>
      <c r="K321" s="715"/>
      <c r="L321" s="715"/>
      <c r="M321" s="2218"/>
      <c r="N321" s="2198"/>
      <c r="O321" s="2212">
        <v>163.9</v>
      </c>
      <c r="P321" s="3284">
        <v>122.8</v>
      </c>
    </row>
    <row r="322" spans="1:16">
      <c r="A322" s="341">
        <v>1999.01</v>
      </c>
      <c r="B322" s="2195">
        <v>104.72398061964699</v>
      </c>
      <c r="C322" s="2205">
        <v>112.896023155761</v>
      </c>
      <c r="D322" s="2200">
        <v>93.914095173848494</v>
      </c>
      <c r="E322" s="2207">
        <v>102.857196723323</v>
      </c>
      <c r="F322" s="2205">
        <v>104.951935618506</v>
      </c>
      <c r="G322" s="2200">
        <v>100.09209221490801</v>
      </c>
      <c r="H322" s="354">
        <v>1</v>
      </c>
      <c r="I322" s="716"/>
      <c r="J322" s="767"/>
      <c r="K322" s="715"/>
      <c r="L322" s="715"/>
      <c r="M322" s="2218"/>
      <c r="N322" s="2198"/>
      <c r="O322" s="2212">
        <v>164.3</v>
      </c>
      <c r="P322" s="3284">
        <v>122.9</v>
      </c>
    </row>
    <row r="323" spans="1:16">
      <c r="A323" s="341">
        <v>1999.02</v>
      </c>
      <c r="B323" s="2195">
        <v>106.04061053205901</v>
      </c>
      <c r="C323" s="2205">
        <v>114.343619745686</v>
      </c>
      <c r="D323" s="2200">
        <v>95.055442145050705</v>
      </c>
      <c r="E323" s="2207">
        <v>103.994395165149</v>
      </c>
      <c r="F323" s="2205">
        <v>106.357631887563</v>
      </c>
      <c r="G323" s="2200">
        <v>100.824164318356</v>
      </c>
      <c r="H323" s="354">
        <v>1</v>
      </c>
      <c r="I323" s="716"/>
      <c r="J323" s="767"/>
      <c r="K323" s="715"/>
      <c r="L323" s="715"/>
      <c r="M323" s="2218"/>
      <c r="N323" s="2198"/>
      <c r="O323" s="2212">
        <v>164.5</v>
      </c>
      <c r="P323" s="3284">
        <v>122.3</v>
      </c>
    </row>
    <row r="324" spans="1:16">
      <c r="A324" s="341">
        <v>1999.03</v>
      </c>
      <c r="B324" s="2195">
        <v>107.265058049684</v>
      </c>
      <c r="C324" s="2205">
        <v>116.639607829563</v>
      </c>
      <c r="D324" s="2200">
        <v>94.864163082698198</v>
      </c>
      <c r="E324" s="2207">
        <v>105.020709328423</v>
      </c>
      <c r="F324" s="2205">
        <v>108.37879026668</v>
      </c>
      <c r="G324" s="2200">
        <v>100.35767548792499</v>
      </c>
      <c r="H324" s="354">
        <v>1</v>
      </c>
      <c r="I324" s="716"/>
      <c r="J324" s="767"/>
      <c r="K324" s="715"/>
      <c r="L324" s="715"/>
      <c r="M324" s="2218"/>
      <c r="N324" s="2198"/>
      <c r="O324" s="2212">
        <v>165</v>
      </c>
      <c r="P324" s="3284">
        <v>122.6</v>
      </c>
    </row>
    <row r="325" spans="1:16">
      <c r="A325" s="341">
        <v>1999.04</v>
      </c>
      <c r="B325" s="2195">
        <v>106.613274640184</v>
      </c>
      <c r="C325" s="2205">
        <v>116.658373306523</v>
      </c>
      <c r="D325" s="2200">
        <v>93.344944014286796</v>
      </c>
      <c r="E325" s="2207">
        <v>104.78856771638</v>
      </c>
      <c r="F325" s="2205">
        <v>108.82799537246299</v>
      </c>
      <c r="G325" s="2200">
        <v>99.1202083434397</v>
      </c>
      <c r="H325" s="354">
        <v>1</v>
      </c>
      <c r="I325" s="716"/>
      <c r="J325" s="767"/>
      <c r="K325" s="715"/>
      <c r="L325" s="715"/>
      <c r="M325" s="2218"/>
      <c r="N325" s="2198"/>
      <c r="O325" s="2212">
        <v>166.2</v>
      </c>
      <c r="P325" s="3284">
        <v>123.6</v>
      </c>
    </row>
    <row r="326" spans="1:16">
      <c r="A326" s="341">
        <v>1999.05</v>
      </c>
      <c r="B326" s="2195">
        <v>106.425569802447</v>
      </c>
      <c r="C326" s="2205">
        <v>116.56560832223001</v>
      </c>
      <c r="D326" s="2200">
        <v>93.035808536565398</v>
      </c>
      <c r="E326" s="2207">
        <v>104.446150173229</v>
      </c>
      <c r="F326" s="2205">
        <v>108.76114962536499</v>
      </c>
      <c r="G326" s="2200">
        <v>98.375470921332195</v>
      </c>
      <c r="H326" s="354">
        <v>1</v>
      </c>
      <c r="I326" s="716"/>
      <c r="J326" s="767"/>
      <c r="K326" s="715"/>
      <c r="L326" s="715"/>
      <c r="M326" s="2218"/>
      <c r="N326" s="2198"/>
      <c r="O326" s="2212">
        <v>166.2</v>
      </c>
      <c r="P326" s="3284">
        <v>124.7</v>
      </c>
    </row>
    <row r="327" spans="1:16">
      <c r="A327" s="341">
        <v>1999.06</v>
      </c>
      <c r="B327" s="2195">
        <v>107.057318615339</v>
      </c>
      <c r="C327" s="2205">
        <v>117.578888178875</v>
      </c>
      <c r="D327" s="2200">
        <v>93.178935444877396</v>
      </c>
      <c r="E327" s="2207">
        <v>104.97524439147899</v>
      </c>
      <c r="F327" s="2205">
        <v>109.72799338628801</v>
      </c>
      <c r="G327" s="2200">
        <v>98.272788434052998</v>
      </c>
      <c r="H327" s="354">
        <v>1</v>
      </c>
      <c r="I327" s="716"/>
      <c r="J327" s="767"/>
      <c r="K327" s="715"/>
      <c r="L327" s="715"/>
      <c r="M327" s="2218"/>
      <c r="N327" s="2198"/>
      <c r="O327" s="2212">
        <v>166.2</v>
      </c>
      <c r="P327" s="3284">
        <v>125.2</v>
      </c>
    </row>
    <row r="328" spans="1:16">
      <c r="A328" s="341">
        <v>1999.07</v>
      </c>
      <c r="B328" s="2195">
        <v>107.198860173423</v>
      </c>
      <c r="C328" s="2205">
        <v>118.021558209909</v>
      </c>
      <c r="D328" s="2200">
        <v>92.938768197026107</v>
      </c>
      <c r="E328" s="2207">
        <v>105.30349364019401</v>
      </c>
      <c r="F328" s="2205">
        <v>110.411933516792</v>
      </c>
      <c r="G328" s="2200">
        <v>98.091931511755902</v>
      </c>
      <c r="H328" s="354">
        <v>1</v>
      </c>
      <c r="I328" s="716"/>
      <c r="J328" s="767"/>
      <c r="K328" s="715"/>
      <c r="L328" s="715"/>
      <c r="M328" s="2218"/>
      <c r="N328" s="2198"/>
      <c r="O328" s="2212">
        <v>166.7</v>
      </c>
      <c r="P328" s="3284">
        <v>125.7</v>
      </c>
    </row>
    <row r="329" spans="1:16">
      <c r="A329" s="341">
        <v>1999.08</v>
      </c>
      <c r="B329" s="2195">
        <v>106.24630485454099</v>
      </c>
      <c r="C329" s="2205">
        <v>115.802459952761</v>
      </c>
      <c r="D329" s="2200">
        <v>93.610128561415195</v>
      </c>
      <c r="E329" s="2207">
        <v>104.26083021491399</v>
      </c>
      <c r="F329" s="2205">
        <v>108.33740919892701</v>
      </c>
      <c r="G329" s="2200">
        <v>98.536995113312997</v>
      </c>
      <c r="H329" s="354">
        <v>1</v>
      </c>
      <c r="I329" s="716"/>
      <c r="J329" s="767"/>
      <c r="K329" s="715"/>
      <c r="L329" s="715"/>
      <c r="M329" s="2218"/>
      <c r="N329" s="2198"/>
      <c r="O329" s="2212">
        <v>167.1</v>
      </c>
      <c r="P329" s="3284">
        <v>126.9</v>
      </c>
    </row>
    <row r="330" spans="1:16">
      <c r="A330" s="341">
        <v>1999.09</v>
      </c>
      <c r="B330" s="2195">
        <v>105.572715255426</v>
      </c>
      <c r="C330" s="2205">
        <v>114.28299953745901</v>
      </c>
      <c r="D330" s="2200">
        <v>94.046395185776305</v>
      </c>
      <c r="E330" s="2207">
        <v>103.746480992442</v>
      </c>
      <c r="F330" s="2205">
        <v>107.184090947832</v>
      </c>
      <c r="G330" s="2200">
        <v>98.961463141043396</v>
      </c>
      <c r="H330" s="354">
        <v>1</v>
      </c>
      <c r="I330" s="716"/>
      <c r="J330" s="767"/>
      <c r="K330" s="715"/>
      <c r="L330" s="715"/>
      <c r="M330" s="2218"/>
      <c r="N330" s="2198"/>
      <c r="O330" s="2212">
        <v>167.9</v>
      </c>
      <c r="P330" s="3284">
        <v>128</v>
      </c>
    </row>
    <row r="331" spans="1:16">
      <c r="A331" s="341">
        <v>1999.1</v>
      </c>
      <c r="B331" s="2195">
        <v>105.165528248559</v>
      </c>
      <c r="C331" s="2205">
        <v>113.099705168344</v>
      </c>
      <c r="D331" s="2200">
        <v>94.671968306465203</v>
      </c>
      <c r="E331" s="2207">
        <v>103.318311678748</v>
      </c>
      <c r="F331" s="2205">
        <v>106.189816906293</v>
      </c>
      <c r="G331" s="2200">
        <v>99.376784596102098</v>
      </c>
      <c r="H331" s="354">
        <v>1</v>
      </c>
      <c r="I331" s="716"/>
      <c r="J331" s="767"/>
      <c r="K331" s="715"/>
      <c r="L331" s="715"/>
      <c r="M331" s="2218"/>
      <c r="N331" s="2198"/>
      <c r="O331" s="2212">
        <v>168.2</v>
      </c>
      <c r="P331" s="3284">
        <v>127.7</v>
      </c>
    </row>
    <row r="332" spans="1:16">
      <c r="A332" s="341">
        <v>1999.11</v>
      </c>
      <c r="B332" s="2195">
        <v>105.411923221192</v>
      </c>
      <c r="C332" s="2205">
        <v>114.21997476426699</v>
      </c>
      <c r="D332" s="2200">
        <v>93.755991233479307</v>
      </c>
      <c r="E332" s="2207">
        <v>103.58979683655301</v>
      </c>
      <c r="F332" s="2205">
        <v>107.333699940242</v>
      </c>
      <c r="G332" s="2200">
        <v>98.351986065205594</v>
      </c>
      <c r="H332" s="354">
        <v>1</v>
      </c>
      <c r="I332" s="716"/>
      <c r="J332" s="767"/>
      <c r="K332" s="715"/>
      <c r="L332" s="715"/>
      <c r="M332" s="2218"/>
      <c r="N332" s="2198"/>
      <c r="O332" s="2212">
        <v>168.3</v>
      </c>
      <c r="P332" s="3284">
        <v>128.30000000000001</v>
      </c>
    </row>
    <row r="333" spans="1:16">
      <c r="A333" s="341">
        <v>1999.12</v>
      </c>
      <c r="B333" s="2195">
        <v>105.491517380536</v>
      </c>
      <c r="C333" s="2205">
        <v>114.712283784126</v>
      </c>
      <c r="D333" s="2200">
        <v>93.293584038852003</v>
      </c>
      <c r="E333" s="2207">
        <v>103.71061926806</v>
      </c>
      <c r="F333" s="2205">
        <v>107.888832190722</v>
      </c>
      <c r="G333" s="2200">
        <v>97.837415014059701</v>
      </c>
      <c r="H333" s="354">
        <v>1</v>
      </c>
      <c r="I333" s="716"/>
      <c r="J333" s="767"/>
      <c r="K333" s="715"/>
      <c r="L333" s="715"/>
      <c r="M333" s="2218"/>
      <c r="N333" s="2198"/>
      <c r="O333" s="2212">
        <v>168.3</v>
      </c>
      <c r="P333" s="3284">
        <v>127.8</v>
      </c>
    </row>
    <row r="334" spans="1:16">
      <c r="A334" s="341">
        <v>2000.01</v>
      </c>
      <c r="B334" s="2195">
        <v>105.24060467048599</v>
      </c>
      <c r="C334" s="2205">
        <v>114.396361182997</v>
      </c>
      <c r="D334" s="2200">
        <v>93.144992479861799</v>
      </c>
      <c r="E334" s="2207">
        <v>103.572801627022</v>
      </c>
      <c r="F334" s="2205">
        <v>107.808721841481</v>
      </c>
      <c r="G334" s="2200">
        <v>97.621277246584995</v>
      </c>
      <c r="H334" s="354">
        <v>1</v>
      </c>
      <c r="I334" s="716"/>
      <c r="J334" s="767"/>
      <c r="K334" s="715"/>
      <c r="L334" s="715"/>
      <c r="M334" s="2218"/>
      <c r="N334" s="2198"/>
      <c r="O334" s="2212">
        <v>168.8</v>
      </c>
      <c r="P334" s="3284">
        <v>128.30000000000001</v>
      </c>
    </row>
    <row r="335" spans="1:16">
      <c r="A335" s="341">
        <v>2000.02</v>
      </c>
      <c r="B335" s="2195">
        <v>106.55483280423501</v>
      </c>
      <c r="C335" s="2205">
        <v>116.90383883112899</v>
      </c>
      <c r="D335" s="2200">
        <v>93.003126483230105</v>
      </c>
      <c r="E335" s="2207">
        <v>104.982722366435</v>
      </c>
      <c r="F335" s="2205">
        <v>110.44518791986</v>
      </c>
      <c r="G335" s="2200">
        <v>97.380992948937205</v>
      </c>
      <c r="H335" s="354">
        <v>1</v>
      </c>
      <c r="I335" s="716"/>
      <c r="J335" s="767"/>
      <c r="K335" s="715"/>
      <c r="L335" s="715"/>
      <c r="M335" s="2218"/>
      <c r="N335" s="2198"/>
      <c r="O335" s="2212">
        <v>169.8</v>
      </c>
      <c r="P335" s="3284">
        <v>129.80000000000001</v>
      </c>
    </row>
    <row r="336" spans="1:16">
      <c r="A336" s="341">
        <v>2000.03</v>
      </c>
      <c r="B336" s="2195">
        <v>106.58445202439999</v>
      </c>
      <c r="C336" s="2205">
        <v>117.425950171407</v>
      </c>
      <c r="D336" s="2200">
        <v>92.446404152391906</v>
      </c>
      <c r="E336" s="2207">
        <v>105.469606047779</v>
      </c>
      <c r="F336" s="2205">
        <v>111.37923926422501</v>
      </c>
      <c r="G336" s="2200">
        <v>97.2764613535374</v>
      </c>
      <c r="H336" s="354">
        <v>1</v>
      </c>
      <c r="I336" s="716"/>
      <c r="J336" s="767"/>
      <c r="K336" s="715"/>
      <c r="L336" s="715"/>
      <c r="M336" s="2218"/>
      <c r="N336" s="2198"/>
      <c r="O336" s="2212">
        <v>171.2</v>
      </c>
      <c r="P336" s="3284">
        <v>130.80000000000001</v>
      </c>
    </row>
    <row r="337" spans="1:16">
      <c r="A337" s="341">
        <v>2000.04</v>
      </c>
      <c r="B337" s="2195">
        <v>107.229923947948</v>
      </c>
      <c r="C337" s="2205">
        <v>118.25850507628699</v>
      </c>
      <c r="D337" s="2200">
        <v>92.864137177751402</v>
      </c>
      <c r="E337" s="2207">
        <v>106.090210006074</v>
      </c>
      <c r="F337" s="2205">
        <v>112.30953665479601</v>
      </c>
      <c r="G337" s="2200">
        <v>97.489212974893206</v>
      </c>
      <c r="H337" s="354">
        <v>1</v>
      </c>
      <c r="I337" s="716"/>
      <c r="J337" s="767"/>
      <c r="K337" s="715"/>
      <c r="L337" s="715"/>
      <c r="M337" s="2218"/>
      <c r="N337" s="2198"/>
      <c r="O337" s="2212">
        <v>171.3</v>
      </c>
      <c r="P337" s="3284">
        <v>130.69999999999999</v>
      </c>
    </row>
    <row r="338" spans="1:16">
      <c r="A338" s="341">
        <v>2000.05</v>
      </c>
      <c r="B338" s="2195">
        <v>109.68038148448299</v>
      </c>
      <c r="C338" s="2205">
        <v>121.900127109135</v>
      </c>
      <c r="D338" s="2200">
        <v>93.888698110845596</v>
      </c>
      <c r="E338" s="2207">
        <v>108.489434885667</v>
      </c>
      <c r="F338" s="2205">
        <v>115.875254388923</v>
      </c>
      <c r="G338" s="2200">
        <v>98.370855824209499</v>
      </c>
      <c r="H338" s="354">
        <v>1</v>
      </c>
      <c r="I338" s="716"/>
      <c r="J338" s="767"/>
      <c r="K338" s="715"/>
      <c r="L338" s="715"/>
      <c r="M338" s="2218"/>
      <c r="N338" s="2198"/>
      <c r="O338" s="2212">
        <v>171.5</v>
      </c>
      <c r="P338" s="3284">
        <v>131.6</v>
      </c>
    </row>
    <row r="339" spans="1:16">
      <c r="A339" s="341">
        <v>2000.06</v>
      </c>
      <c r="B339" s="2195">
        <v>108.572887483003</v>
      </c>
      <c r="C339" s="2205">
        <v>118.944340660055</v>
      </c>
      <c r="D339" s="2200">
        <v>94.973595750456695</v>
      </c>
      <c r="E339" s="2207">
        <v>107.547217019318</v>
      </c>
      <c r="F339" s="2205">
        <v>113.230634882863</v>
      </c>
      <c r="G339" s="2200">
        <v>99.643972707342797</v>
      </c>
      <c r="H339" s="354">
        <v>1</v>
      </c>
      <c r="I339" s="716"/>
      <c r="J339" s="767"/>
      <c r="K339" s="715"/>
      <c r="L339" s="715"/>
      <c r="M339" s="2218"/>
      <c r="N339" s="2198"/>
      <c r="O339" s="2212">
        <v>172.4</v>
      </c>
      <c r="P339" s="3284">
        <v>133.80000000000001</v>
      </c>
    </row>
    <row r="340" spans="1:16">
      <c r="A340" s="341">
        <v>2000.07</v>
      </c>
      <c r="B340" s="2195">
        <v>108.720533948013</v>
      </c>
      <c r="C340" s="2205">
        <v>119.93136972879</v>
      </c>
      <c r="D340" s="2200">
        <v>94.120535700124606</v>
      </c>
      <c r="E340" s="2207">
        <v>107.693922766865</v>
      </c>
      <c r="F340" s="2205">
        <v>114.288322793305</v>
      </c>
      <c r="G340" s="2200">
        <v>98.597489003844998</v>
      </c>
      <c r="H340" s="354">
        <v>1</v>
      </c>
      <c r="I340" s="716"/>
      <c r="J340" s="767"/>
      <c r="K340" s="715"/>
      <c r="L340" s="715"/>
      <c r="M340" s="2218"/>
      <c r="N340" s="2198"/>
      <c r="O340" s="2212">
        <v>172.8</v>
      </c>
      <c r="P340" s="3284">
        <v>133.69999999999999</v>
      </c>
    </row>
    <row r="341" spans="1:16">
      <c r="A341" s="341">
        <v>2000.08</v>
      </c>
      <c r="B341" s="2195">
        <v>109.49960990133999</v>
      </c>
      <c r="C341" s="2205">
        <v>121.774593552692</v>
      </c>
      <c r="D341" s="2200">
        <v>93.645714405002096</v>
      </c>
      <c r="E341" s="2207">
        <v>108.228246376953</v>
      </c>
      <c r="F341" s="2205">
        <v>115.93399202610701</v>
      </c>
      <c r="G341" s="2200">
        <v>97.704863067327906</v>
      </c>
      <c r="H341" s="354">
        <v>1</v>
      </c>
      <c r="I341" s="716"/>
      <c r="J341" s="767"/>
      <c r="K341" s="715"/>
      <c r="L341" s="715"/>
      <c r="M341" s="2218"/>
      <c r="N341" s="2198"/>
      <c r="O341" s="2212">
        <v>172.8</v>
      </c>
      <c r="P341" s="3284">
        <v>132.9</v>
      </c>
    </row>
    <row r="342" spans="1:16">
      <c r="A342" s="341">
        <v>2000.09</v>
      </c>
      <c r="B342" s="2195">
        <v>110.817635620419</v>
      </c>
      <c r="C342" s="2205">
        <v>123.691264887866</v>
      </c>
      <c r="D342" s="2200">
        <v>94.255210163044097</v>
      </c>
      <c r="E342" s="2207">
        <v>109.804449817885</v>
      </c>
      <c r="F342" s="2205">
        <v>118.200574760046</v>
      </c>
      <c r="G342" s="2200">
        <v>98.400231001708406</v>
      </c>
      <c r="H342" s="354">
        <v>1</v>
      </c>
      <c r="I342" s="716"/>
      <c r="J342" s="767"/>
      <c r="K342" s="715"/>
      <c r="L342" s="715"/>
      <c r="M342" s="2218"/>
      <c r="N342" s="2198"/>
      <c r="O342" s="2212">
        <v>173.7</v>
      </c>
      <c r="P342" s="3284">
        <v>134.69999999999999</v>
      </c>
    </row>
    <row r="343" spans="1:16">
      <c r="A343" s="341">
        <v>2000.1</v>
      </c>
      <c r="B343" s="2195">
        <v>112.462403894468</v>
      </c>
      <c r="C343" s="2205">
        <v>125.631007926474</v>
      </c>
      <c r="D343" s="2200">
        <v>95.534347827001</v>
      </c>
      <c r="E343" s="2207">
        <v>111.375020438676</v>
      </c>
      <c r="F343" s="2205">
        <v>120.03958674160999</v>
      </c>
      <c r="G343" s="2200">
        <v>99.622423488962994</v>
      </c>
      <c r="H343" s="354">
        <v>1</v>
      </c>
      <c r="I343" s="716"/>
      <c r="J343" s="767"/>
      <c r="K343" s="715"/>
      <c r="L343" s="715"/>
      <c r="M343" s="2218"/>
      <c r="N343" s="2198"/>
      <c r="O343" s="2212">
        <v>174</v>
      </c>
      <c r="P343" s="3284">
        <v>135.4</v>
      </c>
    </row>
    <row r="344" spans="1:16">
      <c r="A344" s="341">
        <v>2000.11</v>
      </c>
      <c r="B344" s="2195">
        <v>113.404841735688</v>
      </c>
      <c r="C344" s="2205">
        <v>126.86202780179499</v>
      </c>
      <c r="D344" s="2200">
        <v>96.132957140789998</v>
      </c>
      <c r="E344" s="2207">
        <v>112.027285150404</v>
      </c>
      <c r="F344" s="2205">
        <v>120.930926710416</v>
      </c>
      <c r="G344" s="2200">
        <v>99.971489895219193</v>
      </c>
      <c r="H344" s="354">
        <v>1</v>
      </c>
      <c r="I344" s="716"/>
      <c r="J344" s="767"/>
      <c r="K344" s="715"/>
      <c r="L344" s="715"/>
      <c r="M344" s="2218"/>
      <c r="N344" s="2198"/>
      <c r="O344" s="2212">
        <v>174.1</v>
      </c>
      <c r="P344" s="3284">
        <v>135</v>
      </c>
    </row>
    <row r="345" spans="1:16">
      <c r="A345" s="341">
        <v>2000.12</v>
      </c>
      <c r="B345" s="2195">
        <v>112.324928649245</v>
      </c>
      <c r="C345" s="2205">
        <v>124.39811273924199</v>
      </c>
      <c r="D345" s="2200">
        <v>96.668353470211102</v>
      </c>
      <c r="E345" s="2207">
        <v>110.972013020947</v>
      </c>
      <c r="F345" s="2205">
        <v>118.770326521201</v>
      </c>
      <c r="G345" s="2200">
        <v>100.312131220144</v>
      </c>
      <c r="H345" s="354">
        <v>1</v>
      </c>
      <c r="I345" s="716"/>
      <c r="J345" s="767"/>
      <c r="K345" s="715"/>
      <c r="L345" s="715"/>
      <c r="M345" s="2218"/>
      <c r="N345" s="2198"/>
      <c r="O345" s="2212">
        <v>174</v>
      </c>
      <c r="P345" s="3284">
        <v>136.19999999999999</v>
      </c>
    </row>
    <row r="346" spans="1:16">
      <c r="A346" s="341">
        <v>2001.01</v>
      </c>
      <c r="B346" s="2195">
        <v>112.14246289050701</v>
      </c>
      <c r="C346" s="2205">
        <v>122.97141810543</v>
      </c>
      <c r="D346" s="2200">
        <v>97.955851852852902</v>
      </c>
      <c r="E346" s="2207">
        <v>111.337990518335</v>
      </c>
      <c r="F346" s="2205">
        <v>118.062181498589</v>
      </c>
      <c r="G346" s="2200">
        <v>102.06319364263101</v>
      </c>
      <c r="H346" s="354">
        <v>1</v>
      </c>
      <c r="I346" s="716"/>
      <c r="J346" s="767"/>
      <c r="K346" s="715"/>
      <c r="L346" s="715"/>
      <c r="M346" s="2218"/>
      <c r="N346" s="2198"/>
      <c r="O346" s="2212">
        <v>175.1</v>
      </c>
      <c r="P346" s="3284">
        <v>140</v>
      </c>
    </row>
    <row r="347" spans="1:16">
      <c r="A347" s="341">
        <v>2001.02</v>
      </c>
      <c r="B347" s="2195">
        <v>112.864946085653</v>
      </c>
      <c r="C347" s="2205">
        <v>124.61559846068501</v>
      </c>
      <c r="D347" s="2200">
        <v>97.570663508429504</v>
      </c>
      <c r="E347" s="2207">
        <v>112.218751801243</v>
      </c>
      <c r="F347" s="2205">
        <v>119.714169258797</v>
      </c>
      <c r="G347" s="2200">
        <v>101.93958101173</v>
      </c>
      <c r="H347" s="354">
        <v>1</v>
      </c>
      <c r="I347" s="716"/>
      <c r="J347" s="767"/>
      <c r="K347" s="715"/>
      <c r="L347" s="715"/>
      <c r="M347" s="2218"/>
      <c r="N347" s="2198"/>
      <c r="O347" s="2212">
        <v>175.8</v>
      </c>
      <c r="P347" s="3284">
        <v>137.4</v>
      </c>
    </row>
    <row r="348" spans="1:16">
      <c r="A348" s="341">
        <v>2001.03</v>
      </c>
      <c r="B348" s="2195">
        <v>114.688969919822</v>
      </c>
      <c r="C348" s="2205">
        <v>127.510964559039</v>
      </c>
      <c r="D348" s="2200">
        <v>98.114862625895796</v>
      </c>
      <c r="E348" s="2207">
        <v>113.839863276033</v>
      </c>
      <c r="F348" s="2205">
        <v>122.45210466570499</v>
      </c>
      <c r="G348" s="2200">
        <v>102.127763558514</v>
      </c>
      <c r="H348" s="354">
        <v>1</v>
      </c>
      <c r="I348" s="716"/>
      <c r="J348" s="767"/>
      <c r="K348" s="715"/>
      <c r="L348" s="715"/>
      <c r="M348" s="2218"/>
      <c r="N348" s="2198"/>
      <c r="O348" s="2212">
        <v>176.2</v>
      </c>
      <c r="P348" s="3284">
        <v>135.9</v>
      </c>
    </row>
    <row r="349" spans="1:16">
      <c r="A349" s="341">
        <v>2001.04</v>
      </c>
      <c r="B349" s="2195">
        <v>115.438517555902</v>
      </c>
      <c r="C349" s="2205">
        <v>128.78542978197299</v>
      </c>
      <c r="D349" s="2200">
        <v>98.243011060674704</v>
      </c>
      <c r="E349" s="2207">
        <v>114.34253436594599</v>
      </c>
      <c r="F349" s="2205">
        <v>123.435460571015</v>
      </c>
      <c r="G349" s="2200">
        <v>102.023308457993</v>
      </c>
      <c r="H349" s="354">
        <v>1</v>
      </c>
      <c r="I349" s="716"/>
      <c r="J349" s="767"/>
      <c r="K349" s="715"/>
      <c r="L349" s="715"/>
      <c r="M349" s="2218"/>
      <c r="N349" s="2198"/>
      <c r="O349" s="2212">
        <v>176.9</v>
      </c>
      <c r="P349" s="3284">
        <v>136.4</v>
      </c>
    </row>
    <row r="350" spans="1:16">
      <c r="A350" s="341">
        <v>2001.05</v>
      </c>
      <c r="B350" s="2195">
        <v>115.25880680531699</v>
      </c>
      <c r="C350" s="2205">
        <v>128.84018722924699</v>
      </c>
      <c r="D350" s="2200">
        <v>97.796548855621197</v>
      </c>
      <c r="E350" s="2207">
        <v>114.29457771894501</v>
      </c>
      <c r="F350" s="2205">
        <v>123.593304241393</v>
      </c>
      <c r="G350" s="2200">
        <v>101.719252990342</v>
      </c>
      <c r="H350" s="354">
        <v>1</v>
      </c>
      <c r="I350" s="716"/>
      <c r="J350" s="767"/>
      <c r="K350" s="715"/>
      <c r="L350" s="715"/>
      <c r="M350" s="2218"/>
      <c r="N350" s="2198"/>
      <c r="O350" s="2212">
        <v>177.7</v>
      </c>
      <c r="P350" s="3284">
        <v>136.80000000000001</v>
      </c>
    </row>
    <row r="351" spans="1:16">
      <c r="A351" s="341">
        <v>2001.06</v>
      </c>
      <c r="B351" s="2195">
        <v>115.94725497802099</v>
      </c>
      <c r="C351" s="2205">
        <v>129.881649687205</v>
      </c>
      <c r="D351" s="2200">
        <v>98.068492125964596</v>
      </c>
      <c r="E351" s="2207">
        <v>115.07867370469801</v>
      </c>
      <c r="F351" s="2205">
        <v>124.804314782063</v>
      </c>
      <c r="G351" s="2200">
        <v>101.967090596936</v>
      </c>
      <c r="H351" s="354">
        <v>1</v>
      </c>
      <c r="I351" s="716"/>
      <c r="J351" s="767"/>
      <c r="K351" s="715"/>
      <c r="L351" s="715"/>
      <c r="M351" s="2218"/>
      <c r="N351" s="2198"/>
      <c r="O351" s="2212">
        <v>178</v>
      </c>
      <c r="P351" s="3284">
        <v>135.5</v>
      </c>
    </row>
    <row r="352" spans="1:16">
      <c r="A352" s="341">
        <v>2001.07</v>
      </c>
      <c r="B352" s="2195">
        <v>116.333018613566</v>
      </c>
      <c r="C352" s="2205">
        <v>129.96001305500101</v>
      </c>
      <c r="D352" s="2200">
        <v>98.800901049036696</v>
      </c>
      <c r="E352" s="2207">
        <v>115.248149049228</v>
      </c>
      <c r="F352" s="2205">
        <v>124.804130624972</v>
      </c>
      <c r="G352" s="2200">
        <v>102.344838721215</v>
      </c>
      <c r="H352" s="354">
        <v>1</v>
      </c>
      <c r="I352" s="716"/>
      <c r="J352" s="767"/>
      <c r="K352" s="715"/>
      <c r="L352" s="715"/>
      <c r="M352" s="2218"/>
      <c r="N352" s="2198"/>
      <c r="O352" s="2212">
        <v>177.5</v>
      </c>
      <c r="P352" s="3284">
        <v>133.4</v>
      </c>
    </row>
    <row r="353" spans="1:16">
      <c r="A353" s="341">
        <v>2001.08</v>
      </c>
      <c r="B353" s="2195">
        <v>114.541063411064</v>
      </c>
      <c r="C353" s="2205">
        <v>127.25839720014901</v>
      </c>
      <c r="D353" s="2200">
        <v>98.088662411672303</v>
      </c>
      <c r="E353" s="2207">
        <v>113.28695952263401</v>
      </c>
      <c r="F353" s="2205">
        <v>122.126169056123</v>
      </c>
      <c r="G353" s="2200">
        <v>101.293890624244</v>
      </c>
      <c r="H353" s="354">
        <v>1</v>
      </c>
      <c r="I353" s="716"/>
      <c r="J353" s="767"/>
      <c r="K353" s="715"/>
      <c r="L353" s="715"/>
      <c r="M353" s="2218"/>
      <c r="N353" s="2198"/>
      <c r="O353" s="2212">
        <v>177.5</v>
      </c>
      <c r="P353" s="3284">
        <v>133.4</v>
      </c>
    </row>
    <row r="354" spans="1:16">
      <c r="A354" s="341">
        <v>2001.09</v>
      </c>
      <c r="B354" s="2195">
        <v>114.944007552607</v>
      </c>
      <c r="C354" s="2205">
        <v>126.87218235925</v>
      </c>
      <c r="D354" s="2200">
        <v>99.414955320928399</v>
      </c>
      <c r="E354" s="2207">
        <v>113.979145297866</v>
      </c>
      <c r="F354" s="2205">
        <v>122.118817475151</v>
      </c>
      <c r="G354" s="2200">
        <v>102.864645820734</v>
      </c>
      <c r="H354" s="354">
        <v>1</v>
      </c>
      <c r="I354" s="716"/>
      <c r="J354" s="767"/>
      <c r="K354" s="715"/>
      <c r="L354" s="715"/>
      <c r="M354" s="2218"/>
      <c r="N354" s="2198"/>
      <c r="O354" s="2212">
        <v>178.3</v>
      </c>
      <c r="P354" s="3284">
        <v>133.30000000000001</v>
      </c>
    </row>
    <row r="355" spans="1:16">
      <c r="A355" s="341">
        <v>2001.1</v>
      </c>
      <c r="B355" s="2195">
        <v>115.6559349474</v>
      </c>
      <c r="C355" s="2205">
        <v>127.853842411524</v>
      </c>
      <c r="D355" s="2200">
        <v>99.799091250759204</v>
      </c>
      <c r="E355" s="2207">
        <v>114.325296440036</v>
      </c>
      <c r="F355" s="2205">
        <v>122.92896740637801</v>
      </c>
      <c r="G355" s="2200">
        <v>102.620369560387</v>
      </c>
      <c r="H355" s="354">
        <v>1</v>
      </c>
      <c r="I355" s="716"/>
      <c r="J355" s="767"/>
      <c r="K355" s="715"/>
      <c r="L355" s="715"/>
      <c r="M355" s="2218"/>
      <c r="N355" s="2198"/>
      <c r="O355" s="2212">
        <v>177.7</v>
      </c>
      <c r="P355" s="3284">
        <v>130.30000000000001</v>
      </c>
    </row>
    <row r="356" spans="1:16">
      <c r="A356" s="341">
        <v>2001.11</v>
      </c>
      <c r="B356" s="2195">
        <v>116.174827524035</v>
      </c>
      <c r="C356" s="2205">
        <v>129.54361059809199</v>
      </c>
      <c r="D356" s="2200">
        <v>98.943265755626598</v>
      </c>
      <c r="E356" s="2207">
        <v>114.872305357164</v>
      </c>
      <c r="F356" s="2205">
        <v>124.688376610064</v>
      </c>
      <c r="G356" s="2200">
        <v>101.651192241739</v>
      </c>
      <c r="H356" s="354">
        <v>1</v>
      </c>
      <c r="I356" s="716"/>
      <c r="J356" s="767"/>
      <c r="K356" s="715"/>
      <c r="L356" s="715"/>
      <c r="M356" s="2218"/>
      <c r="N356" s="2198"/>
      <c r="O356" s="2212">
        <v>177.4</v>
      </c>
      <c r="P356" s="3284">
        <v>129.80000000000001</v>
      </c>
    </row>
    <row r="357" spans="1:16">
      <c r="A357" s="341">
        <v>2001.12</v>
      </c>
      <c r="B357" s="2195">
        <v>116.23212464204801</v>
      </c>
      <c r="C357" s="2205">
        <v>130.07781779514301</v>
      </c>
      <c r="D357" s="2200">
        <v>98.451025027960299</v>
      </c>
      <c r="E357" s="2207">
        <v>114.731657213189</v>
      </c>
      <c r="F357" s="2205">
        <v>124.834314795506</v>
      </c>
      <c r="G357" s="2200">
        <v>101.159951640301</v>
      </c>
      <c r="H357" s="354">
        <v>1</v>
      </c>
      <c r="I357" s="716"/>
      <c r="J357" s="767"/>
      <c r="K357" s="715"/>
      <c r="L357" s="715"/>
      <c r="M357" s="2218"/>
      <c r="N357" s="2198"/>
      <c r="O357" s="2212">
        <v>176.7</v>
      </c>
      <c r="P357" s="3284">
        <v>128.1</v>
      </c>
    </row>
    <row r="358" spans="1:16">
      <c r="A358" s="219">
        <v>2002.01</v>
      </c>
      <c r="B358" s="2195">
        <v>117.581394400417</v>
      </c>
      <c r="C358" s="2205">
        <v>131.94812329331899</v>
      </c>
      <c r="D358" s="2200">
        <v>99.188503552223395</v>
      </c>
      <c r="E358" s="2207">
        <v>115.955783724962</v>
      </c>
      <c r="F358" s="2205">
        <v>126.514131400173</v>
      </c>
      <c r="G358" s="2200">
        <v>101.829460421958</v>
      </c>
      <c r="H358" s="354">
        <v>1.95</v>
      </c>
      <c r="I358" s="716"/>
      <c r="J358" s="767"/>
      <c r="K358" s="715"/>
      <c r="L358" s="715"/>
      <c r="M358" s="2218"/>
      <c r="N358" s="2198"/>
      <c r="O358" s="2212">
        <v>177.1</v>
      </c>
      <c r="P358" s="3284">
        <v>128.5</v>
      </c>
    </row>
    <row r="359" spans="1:16">
      <c r="A359" s="219">
        <v>2002.02</v>
      </c>
      <c r="B359" s="2195">
        <v>118.232190048585</v>
      </c>
      <c r="C359" s="2205">
        <v>132.82562544982801</v>
      </c>
      <c r="D359" s="2200">
        <v>99.575644602743097</v>
      </c>
      <c r="E359" s="2207">
        <v>116.606276781967</v>
      </c>
      <c r="F359" s="2205">
        <v>127.475902906185</v>
      </c>
      <c r="G359" s="2200">
        <v>102.10552551143699</v>
      </c>
      <c r="H359" s="354">
        <v>2.1800000000000002</v>
      </c>
      <c r="I359" s="716"/>
      <c r="J359" s="767"/>
      <c r="K359" s="715"/>
      <c r="L359" s="715"/>
      <c r="M359" s="2218"/>
      <c r="N359" s="2198"/>
      <c r="O359" s="2212">
        <v>177.8</v>
      </c>
      <c r="P359" s="3284">
        <v>128.4</v>
      </c>
    </row>
    <row r="360" spans="1:16">
      <c r="A360" s="219">
        <v>2002.03</v>
      </c>
      <c r="B360" s="2195">
        <v>117.544886279435</v>
      </c>
      <c r="C360" s="2205">
        <v>131.69661342828499</v>
      </c>
      <c r="D360" s="2200">
        <v>99.388569542643197</v>
      </c>
      <c r="E360" s="2207">
        <v>115.945657524471</v>
      </c>
      <c r="F360" s="2205">
        <v>126.423354120239</v>
      </c>
      <c r="G360" s="2200">
        <v>101.914241177639</v>
      </c>
      <c r="H360" s="354">
        <v>2.95</v>
      </c>
      <c r="I360" s="716"/>
      <c r="J360" s="767"/>
      <c r="K360" s="715"/>
      <c r="L360" s="715"/>
      <c r="M360" s="2218"/>
      <c r="N360" s="2198"/>
      <c r="O360" s="2212">
        <v>178.8</v>
      </c>
      <c r="P360" s="3284">
        <v>129.80000000000001</v>
      </c>
    </row>
    <row r="361" spans="1:16">
      <c r="A361" s="219">
        <v>2002.04</v>
      </c>
      <c r="B361" s="2195">
        <v>117.17338140291599</v>
      </c>
      <c r="C361" s="2205">
        <v>130.73966604924701</v>
      </c>
      <c r="D361" s="2200">
        <v>99.675751594036896</v>
      </c>
      <c r="E361" s="2207">
        <v>115.690573234358</v>
      </c>
      <c r="F361" s="2205">
        <v>125.644249150089</v>
      </c>
      <c r="G361" s="2200">
        <v>102.281958658202</v>
      </c>
      <c r="H361" s="354">
        <v>3.01</v>
      </c>
      <c r="I361" s="720">
        <v>2.9416666666666664</v>
      </c>
      <c r="J361" s="767"/>
      <c r="K361" s="715"/>
      <c r="L361" s="715"/>
      <c r="M361" s="2218"/>
      <c r="N361" s="2198"/>
      <c r="O361" s="2212">
        <v>179.8</v>
      </c>
      <c r="P361" s="3284">
        <v>130.80000000000001</v>
      </c>
    </row>
    <row r="362" spans="1:16">
      <c r="A362" s="219">
        <v>2002.05</v>
      </c>
      <c r="B362" s="2195">
        <v>115.759774800652</v>
      </c>
      <c r="C362" s="2205">
        <v>127.206928733696</v>
      </c>
      <c r="D362" s="2200">
        <v>100.68886705361101</v>
      </c>
      <c r="E362" s="2207">
        <v>114.21648349124</v>
      </c>
      <c r="F362" s="2205">
        <v>122.380457735435</v>
      </c>
      <c r="G362" s="2200">
        <v>102.986207663714</v>
      </c>
      <c r="H362" s="354">
        <v>3.63</v>
      </c>
      <c r="I362" s="721">
        <v>3.3063636363636362</v>
      </c>
      <c r="J362" s="767"/>
      <c r="K362" s="715"/>
      <c r="L362" s="715"/>
      <c r="M362" s="2218"/>
      <c r="N362" s="2198"/>
      <c r="O362" s="2212">
        <v>179.8</v>
      </c>
      <c r="P362" s="3284">
        <v>130.80000000000001</v>
      </c>
    </row>
    <row r="363" spans="1:16">
      <c r="A363" s="219">
        <v>2002.06</v>
      </c>
      <c r="B363" s="2195">
        <v>114.503599283185</v>
      </c>
      <c r="C363" s="2205">
        <v>124.006476567429</v>
      </c>
      <c r="D363" s="2200">
        <v>101.740115565724</v>
      </c>
      <c r="E363" s="2207">
        <v>112.761280623803</v>
      </c>
      <c r="F363" s="2205">
        <v>119.187784333698</v>
      </c>
      <c r="G363" s="2200">
        <v>103.71288150673701</v>
      </c>
      <c r="H363" s="354">
        <v>3.85</v>
      </c>
      <c r="I363" s="721">
        <v>3.620625</v>
      </c>
      <c r="J363" s="767"/>
      <c r="K363" s="715"/>
      <c r="L363" s="715"/>
      <c r="M363" s="2218"/>
      <c r="N363" s="2198"/>
      <c r="O363" s="2212">
        <v>179.9</v>
      </c>
      <c r="P363" s="3284">
        <v>130.9</v>
      </c>
    </row>
    <row r="364" spans="1:16">
      <c r="A364" s="219">
        <v>2002.07</v>
      </c>
      <c r="B364" s="2195">
        <v>112.925274260392</v>
      </c>
      <c r="C364" s="2205">
        <v>121.144638257202</v>
      </c>
      <c r="D364" s="2200">
        <v>101.72582672814001</v>
      </c>
      <c r="E364" s="2207">
        <v>111.089809106807</v>
      </c>
      <c r="F364" s="2205">
        <v>116.34542378961901</v>
      </c>
      <c r="G364" s="2200">
        <v>103.55625779241601</v>
      </c>
      <c r="H364" s="354">
        <v>3.7</v>
      </c>
      <c r="I364" s="721">
        <v>3.5718181818181809</v>
      </c>
      <c r="J364" s="767"/>
      <c r="K364" s="715"/>
      <c r="L364" s="715"/>
      <c r="M364" s="2218"/>
      <c r="N364" s="2198"/>
      <c r="O364" s="2212">
        <v>180.1</v>
      </c>
      <c r="P364" s="3284">
        <v>131.19999999999999</v>
      </c>
    </row>
    <row r="365" spans="1:16">
      <c r="A365" s="219">
        <v>2002.08</v>
      </c>
      <c r="B365" s="2195">
        <v>114.26197285806499</v>
      </c>
      <c r="C365" s="2205">
        <v>122.851750881979</v>
      </c>
      <c r="D365" s="2200">
        <v>102.596979169077</v>
      </c>
      <c r="E365" s="2207">
        <v>112.48634483425499</v>
      </c>
      <c r="F365" s="2205">
        <v>118.103829974761</v>
      </c>
      <c r="G365" s="2200">
        <v>104.475248381269</v>
      </c>
      <c r="H365" s="354">
        <v>3.62</v>
      </c>
      <c r="I365" s="721">
        <v>3.5749999999999997</v>
      </c>
      <c r="J365" s="767"/>
      <c r="K365" s="715"/>
      <c r="L365" s="715"/>
      <c r="M365" s="2218"/>
      <c r="N365" s="2198"/>
      <c r="O365" s="2212">
        <v>180.7</v>
      </c>
      <c r="P365" s="3284">
        <v>131.5</v>
      </c>
    </row>
    <row r="366" spans="1:16">
      <c r="A366" s="219">
        <v>2002.09</v>
      </c>
      <c r="B366" s="2195">
        <v>115.074088772191</v>
      </c>
      <c r="C366" s="2205">
        <v>123.05180437938699</v>
      </c>
      <c r="D366" s="2200">
        <v>104.152056252656</v>
      </c>
      <c r="E366" s="2207">
        <v>113.359139594141</v>
      </c>
      <c r="F366" s="2205">
        <v>118.445570024372</v>
      </c>
      <c r="G366" s="2200">
        <v>106.03174720338799</v>
      </c>
      <c r="H366" s="354">
        <v>3.73</v>
      </c>
      <c r="I366" s="721">
        <v>3.5933333333333328</v>
      </c>
      <c r="J366" s="767"/>
      <c r="K366" s="715"/>
      <c r="L366" s="715"/>
      <c r="M366" s="2218"/>
      <c r="N366" s="2198"/>
      <c r="O366" s="2212">
        <v>181</v>
      </c>
      <c r="P366" s="3284">
        <v>132.30000000000001</v>
      </c>
    </row>
    <row r="367" spans="1:16">
      <c r="A367" s="219">
        <v>2002.1</v>
      </c>
      <c r="B367" s="2195">
        <v>115.91850720884899</v>
      </c>
      <c r="C367" s="2205">
        <v>123.60165846147299</v>
      </c>
      <c r="D367" s="2200">
        <v>105.35234386564601</v>
      </c>
      <c r="E367" s="2207">
        <v>114.111232685033</v>
      </c>
      <c r="F367" s="2205">
        <v>118.931714654735</v>
      </c>
      <c r="G367" s="2200">
        <v>107.127752142085</v>
      </c>
      <c r="H367" s="354">
        <v>3.54</v>
      </c>
      <c r="I367" s="721">
        <v>3.6059090909090901</v>
      </c>
      <c r="J367" s="767"/>
      <c r="K367" s="715"/>
      <c r="L367" s="715"/>
      <c r="M367" s="2218"/>
      <c r="N367" s="2198"/>
      <c r="O367" s="2212">
        <v>181.3</v>
      </c>
      <c r="P367" s="3284">
        <v>133.19999999999999</v>
      </c>
    </row>
    <row r="368" spans="1:16">
      <c r="A368" s="219">
        <v>2002.11</v>
      </c>
      <c r="B368" s="2195">
        <v>114.741397839352</v>
      </c>
      <c r="C368" s="2205">
        <v>121.928527511022</v>
      </c>
      <c r="D368" s="2200">
        <v>104.80537061852399</v>
      </c>
      <c r="E368" s="2207">
        <v>112.845159301313</v>
      </c>
      <c r="F368" s="2205">
        <v>117.27245335254599</v>
      </c>
      <c r="G368" s="2200">
        <v>106.38705807001</v>
      </c>
      <c r="H368" s="354">
        <v>3.63</v>
      </c>
      <c r="I368" s="721">
        <v>3.4885714285714289</v>
      </c>
      <c r="J368" s="767"/>
      <c r="K368" s="715"/>
      <c r="L368" s="715"/>
      <c r="M368" s="2218"/>
      <c r="N368" s="2198"/>
      <c r="O368" s="2212">
        <v>181.3</v>
      </c>
      <c r="P368" s="3284">
        <v>133.1</v>
      </c>
    </row>
    <row r="369" spans="1:16">
      <c r="A369" s="219">
        <v>2002.12</v>
      </c>
      <c r="B369" s="2195">
        <v>114.093973648551</v>
      </c>
      <c r="C369" s="2205">
        <v>120.72175046683201</v>
      </c>
      <c r="D369" s="2200">
        <v>104.868668400098</v>
      </c>
      <c r="E369" s="2207">
        <v>112.20969941529199</v>
      </c>
      <c r="F369" s="2205">
        <v>116.219903879383</v>
      </c>
      <c r="G369" s="2200">
        <v>106.309017735541</v>
      </c>
      <c r="H369" s="354">
        <v>3.39</v>
      </c>
      <c r="I369" s="721">
        <v>3.44</v>
      </c>
      <c r="J369" s="767"/>
      <c r="K369" s="715"/>
      <c r="L369" s="715"/>
      <c r="M369" s="2218"/>
      <c r="N369" s="2198"/>
      <c r="O369" s="2212">
        <v>180.9</v>
      </c>
      <c r="P369" s="3284">
        <v>132.9</v>
      </c>
    </row>
    <row r="370" spans="1:16">
      <c r="A370" s="219">
        <v>2003.01</v>
      </c>
      <c r="B370" s="2195">
        <v>112.77885753861599</v>
      </c>
      <c r="C370" s="2205">
        <v>117.694887302146</v>
      </c>
      <c r="D370" s="2200">
        <v>105.771480929712</v>
      </c>
      <c r="E370" s="2207">
        <v>110.89452737750101</v>
      </c>
      <c r="F370" s="2205">
        <v>113.252104255712</v>
      </c>
      <c r="G370" s="2200">
        <v>107.237410315999</v>
      </c>
      <c r="H370" s="354">
        <v>3.21</v>
      </c>
      <c r="I370" s="721">
        <v>3.2113636363636373</v>
      </c>
      <c r="J370" s="767"/>
      <c r="K370" s="715"/>
      <c r="L370" s="715"/>
      <c r="M370" s="2218"/>
      <c r="N370" s="2198"/>
      <c r="O370" s="2212">
        <v>181.7</v>
      </c>
      <c r="P370" s="3284">
        <v>135.30000000000001</v>
      </c>
    </row>
    <row r="371" spans="1:16">
      <c r="A371" s="219">
        <v>2003.02</v>
      </c>
      <c r="B371" s="2195">
        <v>112.599682737786</v>
      </c>
      <c r="C371" s="2205">
        <v>116.36720307401799</v>
      </c>
      <c r="D371" s="2200">
        <v>107.104622727758</v>
      </c>
      <c r="E371" s="2207">
        <v>110.98782264275501</v>
      </c>
      <c r="F371" s="2205">
        <v>112.29426082203901</v>
      </c>
      <c r="G371" s="2200">
        <v>108.795386408805</v>
      </c>
      <c r="H371" s="354">
        <v>3.19</v>
      </c>
      <c r="I371" s="721">
        <v>3.1136842105263152</v>
      </c>
      <c r="J371" s="767"/>
      <c r="K371" s="715"/>
      <c r="L371" s="715"/>
      <c r="M371" s="2218"/>
      <c r="N371" s="2198"/>
      <c r="O371" s="2212">
        <v>183.1</v>
      </c>
      <c r="P371" s="3284">
        <v>137.6</v>
      </c>
    </row>
    <row r="372" spans="1:16">
      <c r="A372" s="219">
        <v>2003.03</v>
      </c>
      <c r="B372" s="2195">
        <v>112.07887658380901</v>
      </c>
      <c r="C372" s="2205">
        <v>115.469257143186</v>
      </c>
      <c r="D372" s="2200">
        <v>107.097211230093</v>
      </c>
      <c r="E372" s="2207">
        <v>110.39604009090699</v>
      </c>
      <c r="F372" s="2205">
        <v>111.46928322700001</v>
      </c>
      <c r="G372" s="2200">
        <v>108.535021219836</v>
      </c>
      <c r="H372" s="354">
        <v>2.99</v>
      </c>
      <c r="I372" s="721">
        <v>3.0214999999999996</v>
      </c>
      <c r="J372" s="767"/>
      <c r="K372" s="715"/>
      <c r="L372" s="715"/>
      <c r="M372" s="2218"/>
      <c r="N372" s="2198"/>
      <c r="O372" s="2212">
        <v>184.2</v>
      </c>
      <c r="P372" s="3284">
        <v>141.19999999999999</v>
      </c>
    </row>
    <row r="373" spans="1:16">
      <c r="A373" s="219">
        <v>2003.04</v>
      </c>
      <c r="B373" s="2195">
        <v>111.129854627665</v>
      </c>
      <c r="C373" s="2205">
        <v>115.020186234965</v>
      </c>
      <c r="D373" s="2200">
        <v>105.47629886967199</v>
      </c>
      <c r="E373" s="2207">
        <v>109.13974018439001</v>
      </c>
      <c r="F373" s="2205">
        <v>110.91172409868901</v>
      </c>
      <c r="G373" s="2200">
        <v>106.300529957338</v>
      </c>
      <c r="H373" s="354">
        <v>2.79</v>
      </c>
      <c r="I373" s="721">
        <v>2.8410526315789477</v>
      </c>
      <c r="J373" s="767"/>
      <c r="K373" s="715"/>
      <c r="L373" s="715"/>
      <c r="M373" s="2218"/>
      <c r="N373" s="2198"/>
      <c r="O373" s="2212">
        <v>183.8</v>
      </c>
      <c r="P373" s="3284">
        <v>136.80000000000001</v>
      </c>
    </row>
    <row r="374" spans="1:16">
      <c r="A374" s="219">
        <v>2003.05</v>
      </c>
      <c r="B374" s="2195">
        <v>107.21152516508199</v>
      </c>
      <c r="C374" s="2205">
        <v>109.57917546821901</v>
      </c>
      <c r="D374" s="2200">
        <v>103.639222353414</v>
      </c>
      <c r="E374" s="2207">
        <v>105.214665913986</v>
      </c>
      <c r="F374" s="2205">
        <v>105.672353990983</v>
      </c>
      <c r="G374" s="2200">
        <v>104.247012267513</v>
      </c>
      <c r="H374" s="354">
        <v>2.86</v>
      </c>
      <c r="I374" s="721">
        <v>2.7864999999999993</v>
      </c>
      <c r="J374" s="767"/>
      <c r="K374" s="715"/>
      <c r="L374" s="715"/>
      <c r="M374" s="2218"/>
      <c r="N374" s="2198"/>
      <c r="O374" s="2212">
        <v>183.5</v>
      </c>
      <c r="P374" s="3284">
        <v>136.69999999999999</v>
      </c>
    </row>
    <row r="375" spans="1:16">
      <c r="A375" s="219">
        <v>2003.06</v>
      </c>
      <c r="B375" s="2195">
        <v>106.612393376721</v>
      </c>
      <c r="C375" s="2205">
        <v>108.241488629976</v>
      </c>
      <c r="D375" s="2200">
        <v>104.063685362767</v>
      </c>
      <c r="E375" s="2207">
        <v>104.626696138008</v>
      </c>
      <c r="F375" s="2205">
        <v>104.333179032234</v>
      </c>
      <c r="G375" s="2200">
        <v>104.74860099937101</v>
      </c>
      <c r="H375" s="354">
        <v>2.8</v>
      </c>
      <c r="I375" s="721">
        <v>2.758</v>
      </c>
      <c r="J375" s="767"/>
      <c r="K375" s="715"/>
      <c r="L375" s="715"/>
      <c r="M375" s="2218"/>
      <c r="N375" s="2198"/>
      <c r="O375" s="2212">
        <v>183.7</v>
      </c>
      <c r="P375" s="3284">
        <v>138</v>
      </c>
    </row>
    <row r="376" spans="1:16">
      <c r="A376" s="219">
        <v>2003.07</v>
      </c>
      <c r="B376" s="2195">
        <v>107.769484532135</v>
      </c>
      <c r="C376" s="2205">
        <v>110.388491582893</v>
      </c>
      <c r="D376" s="2200">
        <v>103.84872224336</v>
      </c>
      <c r="E376" s="2207">
        <v>106.02976726038101</v>
      </c>
      <c r="F376" s="2205">
        <v>106.67077860677099</v>
      </c>
      <c r="G376" s="2200">
        <v>104.79708242378599</v>
      </c>
      <c r="H376" s="354">
        <v>2.94</v>
      </c>
      <c r="I376" s="721">
        <v>2.7518181818181815</v>
      </c>
      <c r="J376" s="767"/>
      <c r="K376" s="715"/>
      <c r="L376" s="715"/>
      <c r="M376" s="2218"/>
      <c r="N376" s="2198"/>
      <c r="O376" s="2212">
        <v>183.9</v>
      </c>
      <c r="P376" s="3284">
        <v>137.69999999999999</v>
      </c>
    </row>
    <row r="377" spans="1:16">
      <c r="A377" s="219">
        <v>2003.08</v>
      </c>
      <c r="B377" s="2195">
        <v>109.13037949994801</v>
      </c>
      <c r="C377" s="2205">
        <v>111.85961912869099</v>
      </c>
      <c r="D377" s="2200">
        <v>105.05245068395099</v>
      </c>
      <c r="E377" s="2207">
        <v>107.552873592533</v>
      </c>
      <c r="F377" s="2205">
        <v>108.270589493126</v>
      </c>
      <c r="G377" s="2200">
        <v>106.20606520616801</v>
      </c>
      <c r="H377" s="354">
        <v>2.96</v>
      </c>
      <c r="I377" s="721">
        <v>2.8765000000000001</v>
      </c>
      <c r="J377" s="767"/>
      <c r="K377" s="715"/>
      <c r="L377" s="715"/>
      <c r="M377" s="2218"/>
      <c r="N377" s="2198"/>
      <c r="O377" s="2212">
        <v>184.6</v>
      </c>
      <c r="P377" s="3284">
        <v>138</v>
      </c>
    </row>
    <row r="378" spans="1:16">
      <c r="A378" s="219">
        <v>2003.09</v>
      </c>
      <c r="B378" s="2195">
        <v>107.949042822287</v>
      </c>
      <c r="C378" s="2205">
        <v>109.84158825564199</v>
      </c>
      <c r="D378" s="2200">
        <v>105.03274138849</v>
      </c>
      <c r="E378" s="2207">
        <v>106.42323643193799</v>
      </c>
      <c r="F378" s="2205">
        <v>106.366030349588</v>
      </c>
      <c r="G378" s="2200">
        <v>106.19562447237</v>
      </c>
      <c r="H378" s="354">
        <v>2.92</v>
      </c>
      <c r="I378" s="721">
        <v>2.8713636363636366</v>
      </c>
      <c r="J378" s="767"/>
      <c r="K378" s="715"/>
      <c r="L378" s="715"/>
      <c r="M378" s="2218"/>
      <c r="N378" s="2198"/>
      <c r="O378" s="2212">
        <v>185.2</v>
      </c>
      <c r="P378" s="3284">
        <v>138.5</v>
      </c>
    </row>
    <row r="379" spans="1:16">
      <c r="A379" s="219">
        <v>2003.1</v>
      </c>
      <c r="B379" s="2195">
        <v>105.63390683523301</v>
      </c>
      <c r="C379" s="2205">
        <v>105.63112760098799</v>
      </c>
      <c r="D379" s="2200">
        <v>105.4125948809</v>
      </c>
      <c r="E379" s="2207">
        <v>103.97889706937301</v>
      </c>
      <c r="F379" s="2205">
        <v>102.29943483909599</v>
      </c>
      <c r="G379" s="2200">
        <v>106.161272551197</v>
      </c>
      <c r="H379" s="354">
        <v>2.87</v>
      </c>
      <c r="I379" s="721">
        <v>2.8081818181818177</v>
      </c>
      <c r="J379" s="767"/>
      <c r="K379" s="715"/>
      <c r="L379" s="715"/>
      <c r="M379" s="2218"/>
      <c r="N379" s="2198"/>
      <c r="O379" s="2212">
        <v>185</v>
      </c>
      <c r="P379" s="3284">
        <v>139.30000000000001</v>
      </c>
    </row>
    <row r="380" spans="1:16">
      <c r="A380" s="219">
        <v>2003.11</v>
      </c>
      <c r="B380" s="2195">
        <v>105.473387772726</v>
      </c>
      <c r="C380" s="2205">
        <v>105.22313525487201</v>
      </c>
      <c r="D380" s="2200">
        <v>105.61752223692901</v>
      </c>
      <c r="E380" s="2207">
        <v>103.55627040426801</v>
      </c>
      <c r="F380" s="2205">
        <v>101.813074620234</v>
      </c>
      <c r="G380" s="2200">
        <v>105.83641473816201</v>
      </c>
      <c r="H380" s="354">
        <v>2.98</v>
      </c>
      <c r="I380" s="721">
        <v>2.838947368421052</v>
      </c>
      <c r="J380" s="767"/>
      <c r="K380" s="715"/>
      <c r="L380" s="715"/>
      <c r="M380" s="2218"/>
      <c r="N380" s="2198"/>
      <c r="O380" s="2212">
        <v>184.5</v>
      </c>
      <c r="P380" s="3284">
        <v>138.9</v>
      </c>
    </row>
    <row r="381" spans="1:16">
      <c r="A381" s="219">
        <v>2003.12</v>
      </c>
      <c r="B381" s="2195">
        <v>103.980622203031</v>
      </c>
      <c r="C381" s="2205">
        <v>102.61377501171199</v>
      </c>
      <c r="D381" s="2200">
        <v>105.77565688449801</v>
      </c>
      <c r="E381" s="2207">
        <v>102.10579310146601</v>
      </c>
      <c r="F381" s="2205">
        <v>99.335239956570206</v>
      </c>
      <c r="G381" s="2200">
        <v>105.965642129892</v>
      </c>
      <c r="H381" s="354">
        <v>2.93</v>
      </c>
      <c r="I381" s="721">
        <v>2.9268421052631579</v>
      </c>
      <c r="J381" s="767"/>
      <c r="K381" s="715"/>
      <c r="L381" s="715"/>
      <c r="M381" s="2218"/>
      <c r="N381" s="2198"/>
      <c r="O381" s="2212">
        <v>184.3</v>
      </c>
      <c r="P381" s="3284">
        <v>139.5</v>
      </c>
    </row>
    <row r="382" spans="1:16">
      <c r="A382" s="219">
        <v>2004.01</v>
      </c>
      <c r="B382" s="2195">
        <v>102.19760839886</v>
      </c>
      <c r="C382" s="2205">
        <v>100.510824206717</v>
      </c>
      <c r="D382" s="2200">
        <v>104.496037587437</v>
      </c>
      <c r="E382" s="2207">
        <v>100.453476245362</v>
      </c>
      <c r="F382" s="2205">
        <v>97.489944729119799</v>
      </c>
      <c r="G382" s="2200">
        <v>104.606810147518</v>
      </c>
      <c r="H382" s="354">
        <v>2.92</v>
      </c>
      <c r="I382" s="721">
        <v>2.8752380952380956</v>
      </c>
      <c r="J382" s="767"/>
      <c r="K382" s="715"/>
      <c r="L382" s="715"/>
      <c r="M382" s="2218"/>
      <c r="N382" s="2198"/>
      <c r="O382" s="2212">
        <v>185.2</v>
      </c>
      <c r="P382" s="3284">
        <v>141.4</v>
      </c>
    </row>
    <row r="383" spans="1:16">
      <c r="A383" s="219">
        <v>2004.02</v>
      </c>
      <c r="B383" s="2195">
        <v>102.65775021234001</v>
      </c>
      <c r="C383" s="2205">
        <v>101.08586277905199</v>
      </c>
      <c r="D383" s="2200">
        <v>104.78858435876499</v>
      </c>
      <c r="E383" s="2207">
        <v>101.104815073842</v>
      </c>
      <c r="F383" s="2205">
        <v>98.2763693104109</v>
      </c>
      <c r="G383" s="2200">
        <v>105.053888655401</v>
      </c>
      <c r="H383" s="354">
        <v>2.92</v>
      </c>
      <c r="I383" s="721">
        <v>2.9129999999999998</v>
      </c>
      <c r="J383" s="767"/>
      <c r="K383" s="715"/>
      <c r="L383" s="715"/>
      <c r="M383" s="2218"/>
      <c r="N383" s="2198"/>
      <c r="O383" s="2212">
        <v>186.2</v>
      </c>
      <c r="P383" s="3284">
        <v>142.1</v>
      </c>
    </row>
    <row r="384" spans="1:16">
      <c r="A384" s="219">
        <v>2004.03</v>
      </c>
      <c r="B384" s="2195">
        <v>103.75078448833</v>
      </c>
      <c r="C384" s="2205">
        <v>102.863656795829</v>
      </c>
      <c r="D384" s="2200">
        <v>104.894942501434</v>
      </c>
      <c r="E384" s="2207">
        <v>102.12714904316699</v>
      </c>
      <c r="F384" s="2205">
        <v>100.102399607355</v>
      </c>
      <c r="G384" s="2200">
        <v>104.883867433246</v>
      </c>
      <c r="H384" s="354">
        <v>2.86</v>
      </c>
      <c r="I384" s="721">
        <v>2.8769565217391304</v>
      </c>
      <c r="J384" s="767"/>
      <c r="K384" s="715"/>
      <c r="L384" s="715"/>
      <c r="M384" s="2218"/>
      <c r="N384" s="2198"/>
      <c r="O384" s="2212">
        <v>187.4</v>
      </c>
      <c r="P384" s="3284">
        <v>143.1</v>
      </c>
    </row>
    <row r="385" spans="1:18">
      <c r="A385" s="219">
        <v>2004.04</v>
      </c>
      <c r="B385" s="2195">
        <v>104.61521112201601</v>
      </c>
      <c r="C385" s="2205">
        <v>104.06227754046699</v>
      </c>
      <c r="D385" s="2200">
        <v>105.285305529491</v>
      </c>
      <c r="E385" s="2207">
        <v>102.88033514096701</v>
      </c>
      <c r="F385" s="2205">
        <v>101.275184444187</v>
      </c>
      <c r="G385" s="2200">
        <v>105.02371236787501</v>
      </c>
      <c r="H385" s="354">
        <v>2.85</v>
      </c>
      <c r="I385" s="721">
        <v>2.812727272727273</v>
      </c>
      <c r="J385" s="767"/>
      <c r="K385" s="715"/>
      <c r="L385" s="715"/>
      <c r="M385" s="2218"/>
      <c r="N385" s="2198"/>
      <c r="O385" s="2212">
        <v>188</v>
      </c>
      <c r="P385" s="3284">
        <v>144.80000000000001</v>
      </c>
    </row>
    <row r="386" spans="1:18">
      <c r="A386" s="219">
        <v>2004.05</v>
      </c>
      <c r="B386" s="2195">
        <v>106.322550179212</v>
      </c>
      <c r="C386" s="2205">
        <v>105.820243899533</v>
      </c>
      <c r="D386" s="2200">
        <v>106.917899031809</v>
      </c>
      <c r="E386" s="2207">
        <v>104.728158356623</v>
      </c>
      <c r="F386" s="2205">
        <v>103.169544625765</v>
      </c>
      <c r="G386" s="2200">
        <v>106.800787140225</v>
      </c>
      <c r="H386" s="354">
        <v>2.95</v>
      </c>
      <c r="I386" s="721">
        <v>2.9042857142857148</v>
      </c>
      <c r="J386" s="767"/>
      <c r="K386" s="715"/>
      <c r="L386" s="715"/>
      <c r="M386" s="2218"/>
      <c r="N386" s="2198"/>
      <c r="O386" s="2212">
        <v>189.1</v>
      </c>
      <c r="P386" s="3284">
        <v>146.80000000000001</v>
      </c>
    </row>
    <row r="387" spans="1:18">
      <c r="A387" s="219">
        <v>2004.06</v>
      </c>
      <c r="B387" s="2195">
        <v>105.234397997183</v>
      </c>
      <c r="C387" s="2205">
        <v>104.18319812795301</v>
      </c>
      <c r="D387" s="2200">
        <v>106.610666740544</v>
      </c>
      <c r="E387" s="2207">
        <v>103.73818990481</v>
      </c>
      <c r="F387" s="2205">
        <v>101.724964107471</v>
      </c>
      <c r="G387" s="2200">
        <v>106.47471736105</v>
      </c>
      <c r="H387" s="354">
        <v>2.96</v>
      </c>
      <c r="I387" s="721">
        <v>2.9413636363636368</v>
      </c>
      <c r="J387" s="767"/>
      <c r="K387" s="715"/>
      <c r="L387" s="715"/>
      <c r="M387" s="2218"/>
      <c r="N387" s="2198"/>
      <c r="O387" s="2212">
        <v>189.7</v>
      </c>
      <c r="P387" s="3284">
        <v>147.19999999999999</v>
      </c>
    </row>
    <row r="388" spans="1:18">
      <c r="A388" s="219">
        <v>2004.07</v>
      </c>
      <c r="B388" s="2195">
        <v>104.411196677937</v>
      </c>
      <c r="C388" s="2205">
        <v>102.76652972686399</v>
      </c>
      <c r="D388" s="2200">
        <v>106.644848713871</v>
      </c>
      <c r="E388" s="2207">
        <v>102.8778926526</v>
      </c>
      <c r="F388" s="2205">
        <v>100.41976385927001</v>
      </c>
      <c r="G388" s="2200">
        <v>106.27138629404701</v>
      </c>
      <c r="H388" s="354">
        <v>2.97</v>
      </c>
      <c r="I388" s="721">
        <v>2.936363636363637</v>
      </c>
      <c r="J388" s="767"/>
      <c r="K388" s="715"/>
      <c r="L388" s="715"/>
      <c r="M388" s="2218"/>
      <c r="N388" s="2198"/>
      <c r="O388" s="2212">
        <v>189.4</v>
      </c>
      <c r="P388" s="3284">
        <v>147.4</v>
      </c>
    </row>
    <row r="389" spans="1:18">
      <c r="A389" s="219">
        <v>2004.08</v>
      </c>
      <c r="B389" s="2195">
        <v>104.545930101615</v>
      </c>
      <c r="C389" s="2205">
        <v>103.044494324517</v>
      </c>
      <c r="D389" s="2200">
        <v>106.571235511034</v>
      </c>
      <c r="E389" s="2207">
        <v>102.842343103248</v>
      </c>
      <c r="F389" s="2205">
        <v>100.708294041803</v>
      </c>
      <c r="G389" s="2200">
        <v>105.757954812913</v>
      </c>
      <c r="H389" s="354">
        <v>3</v>
      </c>
      <c r="I389" s="721">
        <v>2.9950000000000006</v>
      </c>
      <c r="J389" s="767"/>
      <c r="K389" s="715"/>
      <c r="L389" s="715"/>
      <c r="M389" s="2218"/>
      <c r="N389" s="2198"/>
      <c r="O389" s="2212">
        <v>189.5</v>
      </c>
      <c r="P389" s="3284">
        <v>148</v>
      </c>
    </row>
    <row r="390" spans="1:18">
      <c r="A390" s="219">
        <v>2004.09</v>
      </c>
      <c r="B390" s="2195">
        <v>104.15866900634499</v>
      </c>
      <c r="C390" s="2205">
        <v>102.504296725957</v>
      </c>
      <c r="D390" s="2200">
        <v>106.40601314514601</v>
      </c>
      <c r="E390" s="2207">
        <v>102.568541560919</v>
      </c>
      <c r="F390" s="2205">
        <v>100.363666605367</v>
      </c>
      <c r="G390" s="2200">
        <v>105.588894782414</v>
      </c>
      <c r="H390" s="354">
        <v>2.99</v>
      </c>
      <c r="I390" s="721">
        <v>2.9740909090909082</v>
      </c>
      <c r="J390" s="767"/>
      <c r="K390" s="715"/>
      <c r="L390" s="715"/>
      <c r="M390" s="2218"/>
      <c r="N390" s="2198"/>
      <c r="O390" s="2212">
        <v>189.9</v>
      </c>
      <c r="P390" s="3284">
        <v>147.69999999999999</v>
      </c>
    </row>
    <row r="391" spans="1:18">
      <c r="A391" s="219">
        <v>2004.1</v>
      </c>
      <c r="B391" s="2195">
        <v>102.54484091479399</v>
      </c>
      <c r="C391" s="2205">
        <v>100.146897660663</v>
      </c>
      <c r="D391" s="2200">
        <v>105.890408653517</v>
      </c>
      <c r="E391" s="2207">
        <v>101.22128552949</v>
      </c>
      <c r="F391" s="2205">
        <v>98.241696158021298</v>
      </c>
      <c r="G391" s="2200">
        <v>105.396467942219</v>
      </c>
      <c r="H391" s="354">
        <v>2.98</v>
      </c>
      <c r="I391" s="721">
        <v>2.9490476190476191</v>
      </c>
      <c r="J391" s="767"/>
      <c r="K391" s="715"/>
      <c r="L391" s="715"/>
      <c r="M391" s="2218"/>
      <c r="N391" s="2198"/>
      <c r="O391" s="2212">
        <v>190.9</v>
      </c>
      <c r="P391" s="3284">
        <v>150</v>
      </c>
    </row>
    <row r="392" spans="1:18">
      <c r="A392" s="219">
        <v>2004.11</v>
      </c>
      <c r="B392" s="2195">
        <v>99.765128453840703</v>
      </c>
      <c r="C392" s="2205">
        <v>96.264438803216507</v>
      </c>
      <c r="D392" s="2200">
        <v>104.767210648261</v>
      </c>
      <c r="E392" s="2207">
        <v>98.770226379626806</v>
      </c>
      <c r="F392" s="2205">
        <v>94.668168246116295</v>
      </c>
      <c r="G392" s="2200">
        <v>104.664485259732</v>
      </c>
      <c r="H392" s="354">
        <v>2.96</v>
      </c>
      <c r="I392" s="721">
        <v>2.933636363636364</v>
      </c>
      <c r="J392" s="767"/>
      <c r="K392" s="715"/>
      <c r="L392" s="715"/>
      <c r="M392" s="2218"/>
      <c r="N392" s="2198"/>
      <c r="O392" s="2212">
        <v>191</v>
      </c>
      <c r="P392" s="3284">
        <v>151.4</v>
      </c>
    </row>
    <row r="393" spans="1:18">
      <c r="A393" s="219">
        <v>2004.12</v>
      </c>
      <c r="B393" s="2195">
        <v>98.669384555663896</v>
      </c>
      <c r="C393" s="2205">
        <v>95.2895064037927</v>
      </c>
      <c r="D393" s="2200">
        <v>103.491063438316</v>
      </c>
      <c r="E393" s="2207">
        <v>97.593938165460997</v>
      </c>
      <c r="F393" s="2205">
        <v>93.644768864956603</v>
      </c>
      <c r="G393" s="2200">
        <v>103.25729916946101</v>
      </c>
      <c r="H393" s="354">
        <v>2.97</v>
      </c>
      <c r="I393" s="721">
        <v>2.9531818181818181</v>
      </c>
      <c r="J393" s="767"/>
      <c r="K393" s="715"/>
      <c r="L393" s="715"/>
      <c r="M393" s="2218"/>
      <c r="N393" s="2198"/>
      <c r="O393" s="2212">
        <v>190.3</v>
      </c>
      <c r="P393" s="3284">
        <v>150.19999999999999</v>
      </c>
    </row>
    <row r="394" spans="1:18">
      <c r="A394" s="219">
        <v>2005.01</v>
      </c>
      <c r="B394" s="2195">
        <v>99.291464291195396</v>
      </c>
      <c r="C394" s="2205">
        <v>96.425162139548206</v>
      </c>
      <c r="D394" s="2200">
        <v>103.363559323723</v>
      </c>
      <c r="E394" s="2207">
        <v>98.107042635559793</v>
      </c>
      <c r="F394" s="2205">
        <v>94.722477334053593</v>
      </c>
      <c r="G394" s="2200">
        <v>102.927180335304</v>
      </c>
      <c r="H394" s="354">
        <v>2.93</v>
      </c>
      <c r="I394" s="721">
        <v>2.9252380952380954</v>
      </c>
      <c r="J394" s="767"/>
      <c r="K394" s="715"/>
      <c r="L394" s="715"/>
      <c r="M394" s="2218"/>
      <c r="N394" s="2198"/>
      <c r="O394" s="2212">
        <v>190.7</v>
      </c>
      <c r="P394" s="3284">
        <v>150.9</v>
      </c>
    </row>
    <row r="395" spans="1:18">
      <c r="A395" s="219">
        <v>2005.02</v>
      </c>
      <c r="B395" s="2195">
        <v>99.5191933751547</v>
      </c>
      <c r="C395" s="2205">
        <v>97.299641751918401</v>
      </c>
      <c r="D395" s="2200">
        <v>102.65342880746999</v>
      </c>
      <c r="E395" s="2207">
        <v>98.442483239112207</v>
      </c>
      <c r="F395" s="2205">
        <v>95.835254342343205</v>
      </c>
      <c r="G395" s="2200">
        <v>102.122478155416</v>
      </c>
      <c r="H395" s="354">
        <v>2.93</v>
      </c>
      <c r="I395" s="721">
        <v>2.8988888888888891</v>
      </c>
      <c r="J395" s="767"/>
      <c r="K395" s="715"/>
      <c r="L395" s="715"/>
      <c r="M395" s="2218"/>
      <c r="N395" s="2198"/>
      <c r="O395" s="2212">
        <v>191.8</v>
      </c>
      <c r="P395" s="3284">
        <v>151.6</v>
      </c>
    </row>
    <row r="396" spans="1:18">
      <c r="A396" s="219">
        <v>2005.03</v>
      </c>
      <c r="B396" s="2195">
        <v>98.898581171535199</v>
      </c>
      <c r="C396" s="2205">
        <v>96.155213816753999</v>
      </c>
      <c r="D396" s="2200">
        <v>102.792307354397</v>
      </c>
      <c r="E396" s="2207">
        <v>97.941683129378006</v>
      </c>
      <c r="F396" s="2205">
        <v>94.827454561183004</v>
      </c>
      <c r="G396" s="2200">
        <v>102.363203146589</v>
      </c>
      <c r="H396" s="354">
        <v>2.92</v>
      </c>
      <c r="I396" s="721">
        <v>2.9066666666666658</v>
      </c>
      <c r="J396" s="767"/>
      <c r="K396" s="715"/>
      <c r="L396" s="715"/>
      <c r="M396" s="2218"/>
      <c r="N396" s="2198"/>
      <c r="O396" s="2212">
        <v>193.3</v>
      </c>
      <c r="P396" s="3284">
        <v>153.69999999999999</v>
      </c>
    </row>
    <row r="397" spans="1:18">
      <c r="A397" s="219">
        <v>2005.04</v>
      </c>
      <c r="B397" s="2195">
        <v>99.805994074441102</v>
      </c>
      <c r="C397" s="2205">
        <v>97.720128528486597</v>
      </c>
      <c r="D397" s="2200">
        <v>102.747823228855</v>
      </c>
      <c r="E397" s="2207">
        <v>98.970516794319295</v>
      </c>
      <c r="F397" s="2205">
        <v>96.584690191325095</v>
      </c>
      <c r="G397" s="2200">
        <v>102.329485904858</v>
      </c>
      <c r="H397" s="354">
        <v>2.9</v>
      </c>
      <c r="I397" s="721">
        <v>2.8800000000000008</v>
      </c>
      <c r="J397" s="767"/>
      <c r="K397" s="715"/>
      <c r="L397" s="715"/>
      <c r="M397" s="2218"/>
      <c r="N397" s="2198"/>
      <c r="O397" s="2212">
        <v>194.6</v>
      </c>
      <c r="P397" s="3284">
        <v>155</v>
      </c>
    </row>
    <row r="398" spans="1:18">
      <c r="A398" s="219">
        <v>2005.05</v>
      </c>
      <c r="B398" s="2195">
        <v>100.36556018773901</v>
      </c>
      <c r="C398" s="2205">
        <v>99.142622461052397</v>
      </c>
      <c r="D398" s="2200">
        <v>102.086539228666</v>
      </c>
      <c r="E398" s="2207">
        <v>99.333565017139307</v>
      </c>
      <c r="F398" s="2205">
        <v>97.884883059472699</v>
      </c>
      <c r="G398" s="2200">
        <v>101.355011047031</v>
      </c>
      <c r="H398" s="354">
        <v>2.88</v>
      </c>
      <c r="I398" s="721">
        <v>2.871999999999999</v>
      </c>
      <c r="J398" s="767"/>
      <c r="K398" s="715"/>
      <c r="L398" s="715"/>
      <c r="M398" s="2218"/>
      <c r="N398" s="2198"/>
      <c r="O398" s="2212">
        <v>194.4</v>
      </c>
      <c r="P398" s="3284">
        <v>154.30000000000001</v>
      </c>
      <c r="R398" s="1167"/>
    </row>
    <row r="399" spans="1:18">
      <c r="A399" s="219">
        <v>2005.06</v>
      </c>
      <c r="B399" s="2195">
        <v>101.33194686177499</v>
      </c>
      <c r="C399" s="2205">
        <v>100.846436355088</v>
      </c>
      <c r="D399" s="2200">
        <v>102.025119137255</v>
      </c>
      <c r="E399" s="2207">
        <v>100.228467612598</v>
      </c>
      <c r="F399" s="2205">
        <v>99.544202034844503</v>
      </c>
      <c r="G399" s="2200">
        <v>101.181403839312</v>
      </c>
      <c r="H399" s="354">
        <v>2.89</v>
      </c>
      <c r="I399" s="721">
        <v>2.8636363636363638</v>
      </c>
      <c r="J399" s="767"/>
      <c r="K399" s="715"/>
      <c r="L399" s="715"/>
      <c r="M399" s="2218"/>
      <c r="N399" s="2198"/>
      <c r="O399" s="2212">
        <v>194.5</v>
      </c>
      <c r="P399" s="3284">
        <v>154.30000000000001</v>
      </c>
      <c r="R399" s="1167"/>
    </row>
    <row r="400" spans="1:18">
      <c r="A400" s="219">
        <v>2005.07</v>
      </c>
      <c r="B400" s="2195">
        <v>101.766509546637</v>
      </c>
      <c r="C400" s="2205">
        <v>101.734227026222</v>
      </c>
      <c r="D400" s="2200">
        <v>101.83894036080601</v>
      </c>
      <c r="E400" s="2207">
        <v>100.934009343561</v>
      </c>
      <c r="F400" s="2205">
        <v>100.79281543158299</v>
      </c>
      <c r="G400" s="2200">
        <v>101.13976217039701</v>
      </c>
      <c r="H400" s="354">
        <v>2.87</v>
      </c>
      <c r="I400" s="721">
        <v>2.8485714285714296</v>
      </c>
      <c r="J400" s="767"/>
      <c r="K400" s="715"/>
      <c r="L400" s="715"/>
      <c r="M400" s="2218"/>
      <c r="N400" s="2198"/>
      <c r="O400" s="2212">
        <v>195.4</v>
      </c>
      <c r="P400" s="3284">
        <v>156.30000000000001</v>
      </c>
    </row>
    <row r="401" spans="1:18">
      <c r="A401" s="219">
        <v>2005.08</v>
      </c>
      <c r="B401" s="2195">
        <v>100.417296828066</v>
      </c>
      <c r="C401" s="2205">
        <v>99.889342889720794</v>
      </c>
      <c r="D401" s="2200">
        <v>101.17022082089601</v>
      </c>
      <c r="E401" s="2207">
        <v>100.039225566757</v>
      </c>
      <c r="F401" s="2205">
        <v>99.393329966779802</v>
      </c>
      <c r="G401" s="2200">
        <v>100.93903654706899</v>
      </c>
      <c r="H401" s="354">
        <v>2.9</v>
      </c>
      <c r="I401" s="721">
        <v>2.8686363636363641</v>
      </c>
      <c r="J401" s="767"/>
      <c r="K401" s="715"/>
      <c r="L401" s="715"/>
      <c r="M401" s="2218"/>
      <c r="N401" s="2198"/>
      <c r="O401" s="2212">
        <v>196.4</v>
      </c>
      <c r="P401" s="3284">
        <v>157.6</v>
      </c>
      <c r="R401" s="1167"/>
    </row>
    <row r="402" spans="1:18">
      <c r="A402" s="219">
        <v>2005.09</v>
      </c>
      <c r="B402" s="2195">
        <v>100.24145241677699</v>
      </c>
      <c r="C402" s="2205">
        <v>99.286425537312795</v>
      </c>
      <c r="D402" s="2200">
        <v>101.585783935105</v>
      </c>
      <c r="E402" s="2207">
        <v>100.86532597687901</v>
      </c>
      <c r="F402" s="2205">
        <v>99.646107023628204</v>
      </c>
      <c r="G402" s="2200">
        <v>102.563767612101</v>
      </c>
      <c r="H402" s="354">
        <v>2.9</v>
      </c>
      <c r="I402" s="721">
        <v>2.8918181818181816</v>
      </c>
      <c r="J402" s="767"/>
      <c r="K402" s="715"/>
      <c r="L402" s="715"/>
      <c r="M402" s="2218"/>
      <c r="N402" s="2198"/>
      <c r="O402" s="2212">
        <v>198.8</v>
      </c>
      <c r="P402" s="3284">
        <v>162.19999999999999</v>
      </c>
      <c r="R402" s="1167"/>
    </row>
    <row r="403" spans="1:18">
      <c r="A403" s="219">
        <v>2005.1</v>
      </c>
      <c r="B403" s="2195">
        <v>101.259068338519</v>
      </c>
      <c r="C403" s="2205">
        <v>100.761870520529</v>
      </c>
      <c r="D403" s="2200">
        <v>101.96832504669</v>
      </c>
      <c r="E403" s="2207">
        <v>101.884363526793</v>
      </c>
      <c r="F403" s="2205">
        <v>101.23716490801201</v>
      </c>
      <c r="G403" s="2200">
        <v>102.78609196630801</v>
      </c>
      <c r="H403" s="354">
        <v>3.01</v>
      </c>
      <c r="I403" s="721">
        <v>2.9471428571428571</v>
      </c>
      <c r="J403" s="767"/>
      <c r="K403" s="715"/>
      <c r="L403" s="715"/>
      <c r="M403" s="2218"/>
      <c r="N403" s="2198"/>
      <c r="O403" s="2212">
        <v>199.2</v>
      </c>
      <c r="P403" s="3284">
        <v>166.2</v>
      </c>
      <c r="R403" s="1167"/>
    </row>
    <row r="404" spans="1:18">
      <c r="A404" s="219">
        <v>2005.11</v>
      </c>
      <c r="B404" s="2195">
        <v>102.031994637347</v>
      </c>
      <c r="C404" s="2205">
        <v>102.417002609771</v>
      </c>
      <c r="D404" s="2200">
        <v>101.53846281952499</v>
      </c>
      <c r="E404" s="2207">
        <v>102.07163246063899</v>
      </c>
      <c r="F404" s="2205">
        <v>102.407759493917</v>
      </c>
      <c r="G404" s="2200">
        <v>101.62856835556499</v>
      </c>
      <c r="H404" s="354">
        <v>2.98</v>
      </c>
      <c r="I404" s="721">
        <v>2.9454545454545453</v>
      </c>
      <c r="J404" s="767"/>
      <c r="K404" s="715"/>
      <c r="L404" s="715"/>
      <c r="M404" s="2218"/>
      <c r="N404" s="2198"/>
      <c r="O404" s="2212">
        <v>197.6</v>
      </c>
      <c r="P404" s="3284">
        <v>163.69999999999999</v>
      </c>
    </row>
    <row r="405" spans="1:18">
      <c r="A405" s="219">
        <v>2005.12</v>
      </c>
      <c r="B405" s="2195">
        <v>101.329606824064</v>
      </c>
      <c r="C405" s="2205">
        <v>101.48907154814199</v>
      </c>
      <c r="D405" s="2200">
        <v>101.141708640757</v>
      </c>
      <c r="E405" s="2207">
        <v>101.194078070494</v>
      </c>
      <c r="F405" s="2205">
        <v>101.366194355697</v>
      </c>
      <c r="G405" s="2200">
        <v>100.973084788074</v>
      </c>
      <c r="H405" s="354">
        <v>3.03</v>
      </c>
      <c r="I405" s="721">
        <v>2.9945454545454551</v>
      </c>
      <c r="J405" s="767"/>
      <c r="K405" s="715"/>
      <c r="L405" s="715"/>
      <c r="M405" s="2218"/>
      <c r="N405" s="2198"/>
      <c r="O405" s="2212">
        <v>196.8</v>
      </c>
      <c r="P405" s="3284">
        <v>163</v>
      </c>
    </row>
    <row r="406" spans="1:18">
      <c r="A406" s="219">
        <v>2006.01</v>
      </c>
      <c r="B406" s="2195">
        <v>100</v>
      </c>
      <c r="C406" s="2205">
        <v>100</v>
      </c>
      <c r="D406" s="2200">
        <v>100</v>
      </c>
      <c r="E406" s="2207">
        <v>100</v>
      </c>
      <c r="F406" s="2205">
        <v>100</v>
      </c>
      <c r="G406" s="2200">
        <v>100</v>
      </c>
      <c r="H406" s="354">
        <v>3.06</v>
      </c>
      <c r="I406" s="721">
        <v>3.0290909090909097</v>
      </c>
      <c r="J406" s="767"/>
      <c r="K406" s="715"/>
      <c r="L406" s="715"/>
      <c r="M406" s="2218"/>
      <c r="N406" s="2198"/>
      <c r="O406" s="2212">
        <v>198.3</v>
      </c>
      <c r="P406" s="3284">
        <v>164.3</v>
      </c>
    </row>
    <row r="407" spans="1:18">
      <c r="A407" s="219">
        <v>2006.02</v>
      </c>
      <c r="B407" s="2195">
        <v>100.21120000000001</v>
      </c>
      <c r="C407" s="2205">
        <v>100.7907</v>
      </c>
      <c r="D407" s="2200">
        <v>99.467299999999994</v>
      </c>
      <c r="E407" s="2207">
        <v>100.26309999999999</v>
      </c>
      <c r="F407" s="2205">
        <v>100.9186</v>
      </c>
      <c r="G407" s="2200">
        <v>99.422200000000004</v>
      </c>
      <c r="H407" s="354">
        <v>3.08</v>
      </c>
      <c r="I407" s="721">
        <v>3.0509999999999993</v>
      </c>
      <c r="J407" s="767"/>
      <c r="K407" s="715"/>
      <c r="L407" s="715"/>
      <c r="M407" s="2218"/>
      <c r="N407" s="2198"/>
      <c r="O407" s="2212">
        <v>198.7</v>
      </c>
      <c r="P407" s="3284">
        <v>161.80000000000001</v>
      </c>
    </row>
    <row r="408" spans="1:18">
      <c r="A408" s="219">
        <v>2006.03</v>
      </c>
      <c r="B408" s="2195">
        <v>100.4281</v>
      </c>
      <c r="C408" s="2205">
        <v>100.7567</v>
      </c>
      <c r="D408" s="2200">
        <v>100.0048</v>
      </c>
      <c r="E408" s="2207">
        <v>100.53919999999999</v>
      </c>
      <c r="F408" s="2205">
        <v>101.0025</v>
      </c>
      <c r="G408" s="2200">
        <v>99.943600000000004</v>
      </c>
      <c r="H408" s="354">
        <v>3.08</v>
      </c>
      <c r="I408" s="721">
        <v>3.0565217391304347</v>
      </c>
      <c r="J408" s="767"/>
      <c r="K408" s="715"/>
      <c r="L408" s="715"/>
      <c r="M408" s="2218"/>
      <c r="N408" s="2198"/>
      <c r="O408" s="2212">
        <v>199.8</v>
      </c>
      <c r="P408" s="3284">
        <v>162.19999999999999</v>
      </c>
    </row>
    <row r="409" spans="1:18">
      <c r="A409" s="219">
        <v>2006.04</v>
      </c>
      <c r="B409" s="2195">
        <v>99.743499999999997</v>
      </c>
      <c r="C409" s="2205">
        <v>99.411799999999999</v>
      </c>
      <c r="D409" s="2200">
        <v>100.1765</v>
      </c>
      <c r="E409" s="2207">
        <v>100.05249999999999</v>
      </c>
      <c r="F409" s="2205">
        <v>99.851299999999995</v>
      </c>
      <c r="G409" s="2200">
        <v>100.31319999999999</v>
      </c>
      <c r="H409" s="354">
        <v>3.05</v>
      </c>
      <c r="I409" s="721">
        <v>3.0472222222222225</v>
      </c>
      <c r="J409" s="767"/>
      <c r="K409" s="715"/>
      <c r="L409" s="715"/>
      <c r="M409" s="2218"/>
      <c r="N409" s="2198"/>
      <c r="O409" s="2212">
        <v>201.5</v>
      </c>
      <c r="P409" s="3284">
        <v>164.3</v>
      </c>
    </row>
    <row r="410" spans="1:18">
      <c r="A410" s="219">
        <v>2006.05</v>
      </c>
      <c r="B410" s="2195">
        <v>97.511799999999994</v>
      </c>
      <c r="C410" s="2205">
        <v>95.556899999999999</v>
      </c>
      <c r="D410" s="2200">
        <v>100.0994</v>
      </c>
      <c r="E410" s="2207">
        <v>97.865799999999993</v>
      </c>
      <c r="F410" s="2205">
        <v>96.095100000000002</v>
      </c>
      <c r="G410" s="2200">
        <v>100.2025</v>
      </c>
      <c r="H410" s="354">
        <v>3.09</v>
      </c>
      <c r="I410" s="721">
        <v>3.0360869565217392</v>
      </c>
      <c r="J410" s="767"/>
      <c r="K410" s="715"/>
      <c r="L410" s="715"/>
      <c r="M410" s="2218"/>
      <c r="N410" s="2198"/>
      <c r="O410" s="2212">
        <v>202.5</v>
      </c>
      <c r="P410" s="3284">
        <v>165.8</v>
      </c>
    </row>
    <row r="411" spans="1:18">
      <c r="A411" s="219">
        <v>2006.06</v>
      </c>
      <c r="B411" s="2195">
        <v>98.692700000000002</v>
      </c>
      <c r="C411" s="2205">
        <v>96.561700000000002</v>
      </c>
      <c r="D411" s="2200">
        <v>101.51739999999999</v>
      </c>
      <c r="E411" s="2207">
        <v>99.196899999999999</v>
      </c>
      <c r="F411" s="2205">
        <v>97.286799999999999</v>
      </c>
      <c r="G411" s="2200">
        <v>101.721</v>
      </c>
      <c r="H411" s="354">
        <v>3.09</v>
      </c>
      <c r="I411" s="721">
        <v>3.0622727272727275</v>
      </c>
      <c r="J411" s="767"/>
      <c r="K411" s="715"/>
      <c r="L411" s="715"/>
      <c r="M411" s="2218"/>
      <c r="N411" s="2198"/>
      <c r="O411" s="2212">
        <v>202.9</v>
      </c>
      <c r="P411" s="3284">
        <v>166.1</v>
      </c>
    </row>
    <row r="412" spans="1:18">
      <c r="A412" s="219">
        <v>2006.07</v>
      </c>
      <c r="B412" s="2195">
        <v>98.438699999999997</v>
      </c>
      <c r="C412" s="2205">
        <v>97.031599999999997</v>
      </c>
      <c r="D412" s="2200">
        <v>100.28830000000001</v>
      </c>
      <c r="E412" s="2207">
        <v>99.374700000000004</v>
      </c>
      <c r="F412" s="2205">
        <v>98.191900000000004</v>
      </c>
      <c r="G412" s="2200">
        <v>100.92449999999999</v>
      </c>
      <c r="H412" s="354">
        <v>3.09</v>
      </c>
      <c r="I412" s="721">
        <v>3.0619047619047626</v>
      </c>
      <c r="J412" s="767"/>
      <c r="K412" s="715"/>
      <c r="L412" s="715"/>
      <c r="M412" s="2218"/>
      <c r="N412" s="2198"/>
      <c r="O412" s="2212">
        <v>203.5</v>
      </c>
      <c r="P412" s="3284">
        <v>166.8</v>
      </c>
    </row>
    <row r="413" spans="1:18">
      <c r="A413" s="219">
        <v>2006.08</v>
      </c>
      <c r="B413" s="2195">
        <v>97.713800000000006</v>
      </c>
      <c r="C413" s="2205">
        <v>96.115499999999997</v>
      </c>
      <c r="D413" s="2200">
        <v>99.8185</v>
      </c>
      <c r="E413" s="2207">
        <v>98.831900000000005</v>
      </c>
      <c r="F413" s="2205">
        <v>97.483000000000004</v>
      </c>
      <c r="G413" s="2200">
        <v>100.6027</v>
      </c>
      <c r="H413" s="354">
        <v>3.1</v>
      </c>
      <c r="I413" s="721">
        <v>3.0608695652173914</v>
      </c>
      <c r="J413" s="767"/>
      <c r="K413" s="715"/>
      <c r="L413" s="715"/>
      <c r="M413" s="2218"/>
      <c r="N413" s="2198"/>
      <c r="O413" s="2212">
        <v>203.9</v>
      </c>
      <c r="P413" s="3284">
        <v>167.9</v>
      </c>
    </row>
    <row r="414" spans="1:18">
      <c r="A414" s="219">
        <v>2006.09</v>
      </c>
      <c r="B414" s="2195">
        <v>97.981399999999994</v>
      </c>
      <c r="C414" s="2205">
        <v>96.546099999999996</v>
      </c>
      <c r="D414" s="2200">
        <v>99.867900000000006</v>
      </c>
      <c r="E414" s="2207">
        <v>98.566100000000006</v>
      </c>
      <c r="F414" s="2205">
        <v>97.600300000000004</v>
      </c>
      <c r="G414" s="2200">
        <v>99.828299999999999</v>
      </c>
      <c r="H414" s="354">
        <v>3.1</v>
      </c>
      <c r="I414" s="721">
        <v>3.0799999999999992</v>
      </c>
      <c r="J414" s="767"/>
      <c r="K414" s="715"/>
      <c r="L414" s="715"/>
      <c r="M414" s="2218"/>
      <c r="N414" s="2198"/>
      <c r="O414" s="2212">
        <v>202.9</v>
      </c>
      <c r="P414" s="3284">
        <v>165.4</v>
      </c>
    </row>
    <row r="415" spans="1:18">
      <c r="A415" s="219">
        <v>2006.1</v>
      </c>
      <c r="B415" s="2195">
        <v>98.315600000000003</v>
      </c>
      <c r="C415" s="2205">
        <v>97.481899999999996</v>
      </c>
      <c r="D415" s="2200">
        <v>99.404300000000006</v>
      </c>
      <c r="E415" s="2207">
        <v>98.354799999999997</v>
      </c>
      <c r="F415" s="2205">
        <v>98.060299999999998</v>
      </c>
      <c r="G415" s="2200">
        <v>98.736599999999996</v>
      </c>
      <c r="H415" s="354">
        <v>3.1</v>
      </c>
      <c r="I415" s="721">
        <v>3.0774999999999997</v>
      </c>
      <c r="J415" s="767"/>
      <c r="K415" s="715"/>
      <c r="L415" s="715"/>
      <c r="M415" s="2218"/>
      <c r="N415" s="2198"/>
      <c r="O415" s="2212">
        <v>201.8</v>
      </c>
      <c r="P415" s="3284">
        <v>162.19999999999999</v>
      </c>
    </row>
    <row r="416" spans="1:18">
      <c r="A416" s="219">
        <v>2006.11</v>
      </c>
      <c r="B416" s="2195">
        <v>97.513300000000001</v>
      </c>
      <c r="C416" s="2205">
        <v>96.464100000000002</v>
      </c>
      <c r="D416" s="2200">
        <v>98.887100000000004</v>
      </c>
      <c r="E416" s="2207">
        <v>97.365899999999996</v>
      </c>
      <c r="F416" s="2205">
        <v>96.865399999999994</v>
      </c>
      <c r="G416" s="2200">
        <v>98.016599999999997</v>
      </c>
      <c r="H416" s="354">
        <v>3.08</v>
      </c>
      <c r="I416" s="721">
        <v>3.0552380952380949</v>
      </c>
      <c r="J416" s="767"/>
      <c r="K416" s="715"/>
      <c r="L416" s="715"/>
      <c r="M416" s="2218"/>
      <c r="N416" s="2198"/>
      <c r="O416" s="2212">
        <v>201.5</v>
      </c>
      <c r="P416" s="3284">
        <v>164.6</v>
      </c>
    </row>
    <row r="417" spans="1:16">
      <c r="A417" s="219">
        <v>2006.12</v>
      </c>
      <c r="B417" s="2195">
        <v>96.795100000000005</v>
      </c>
      <c r="C417" s="2205">
        <v>95.783100000000005</v>
      </c>
      <c r="D417" s="2200">
        <v>98.119600000000005</v>
      </c>
      <c r="E417" s="2207">
        <v>96.787099999999995</v>
      </c>
      <c r="F417" s="2205">
        <v>96.435500000000005</v>
      </c>
      <c r="G417" s="2200">
        <v>97.243300000000005</v>
      </c>
      <c r="H417" s="354">
        <v>3.08</v>
      </c>
      <c r="I417" s="721">
        <v>3.0405263157894735</v>
      </c>
      <c r="J417" s="767"/>
      <c r="K417" s="715"/>
      <c r="L417" s="715"/>
      <c r="M417" s="2218"/>
      <c r="N417" s="2198"/>
      <c r="O417" s="2212">
        <v>201.8</v>
      </c>
      <c r="P417" s="3284">
        <v>165.6</v>
      </c>
    </row>
    <row r="418" spans="1:16">
      <c r="A418" s="219">
        <v>2007.01</v>
      </c>
      <c r="B418" s="2195">
        <v>97.833799999999997</v>
      </c>
      <c r="C418" s="2205">
        <v>97.485299999999995</v>
      </c>
      <c r="D418" s="2200">
        <v>98.288200000000003</v>
      </c>
      <c r="E418" s="2207">
        <v>97.832499999999996</v>
      </c>
      <c r="F418" s="2205">
        <v>98.143299999999996</v>
      </c>
      <c r="G418" s="2200">
        <v>97.437299999999993</v>
      </c>
      <c r="H418" s="354">
        <v>3.08</v>
      </c>
      <c r="I418" s="721">
        <v>3.0672727272727274</v>
      </c>
      <c r="J418" s="767"/>
      <c r="K418" s="715"/>
      <c r="L418" s="715"/>
      <c r="M418" s="2218"/>
      <c r="N418" s="2198"/>
      <c r="O418" s="2212">
        <v>202.416</v>
      </c>
      <c r="P418" s="3284">
        <v>164</v>
      </c>
    </row>
    <row r="419" spans="1:16">
      <c r="A419" s="219">
        <v>2007.02</v>
      </c>
      <c r="B419" s="2195">
        <v>97.476399999999998</v>
      </c>
      <c r="C419" s="2205">
        <v>97.075299999999999</v>
      </c>
      <c r="D419" s="2200">
        <v>97.999899999999997</v>
      </c>
      <c r="E419" s="2207">
        <v>97.676100000000005</v>
      </c>
      <c r="F419" s="2205">
        <v>97.977400000000003</v>
      </c>
      <c r="G419" s="2200">
        <v>97.293099999999995</v>
      </c>
      <c r="H419" s="354">
        <v>3.08</v>
      </c>
      <c r="I419" s="721">
        <v>3.0819999999999994</v>
      </c>
      <c r="J419" s="767"/>
      <c r="K419" s="715"/>
      <c r="L419" s="715"/>
      <c r="M419" s="2218"/>
      <c r="N419" s="2198"/>
      <c r="O419" s="2212">
        <v>203.499</v>
      </c>
      <c r="P419" s="3284">
        <v>166.8</v>
      </c>
    </row>
    <row r="420" spans="1:16">
      <c r="A420" s="219">
        <v>2007.03</v>
      </c>
      <c r="B420" s="2195">
        <v>97.011799999999994</v>
      </c>
      <c r="C420" s="2205">
        <v>96.183000000000007</v>
      </c>
      <c r="D420" s="2200">
        <v>98.091899999999995</v>
      </c>
      <c r="E420" s="2207">
        <v>97.432400000000001</v>
      </c>
      <c r="F420" s="2205">
        <v>97.313199999999995</v>
      </c>
      <c r="G420" s="2200">
        <v>97.588499999999996</v>
      </c>
      <c r="H420" s="354">
        <v>3.08</v>
      </c>
      <c r="I420" s="721">
        <v>3.0813636363636352</v>
      </c>
      <c r="J420" s="767"/>
      <c r="K420" s="715"/>
      <c r="L420" s="715"/>
      <c r="M420" s="2218"/>
      <c r="N420" s="2198"/>
      <c r="O420" s="2212">
        <v>205.352</v>
      </c>
      <c r="P420" s="3284">
        <v>169.3</v>
      </c>
    </row>
    <row r="421" spans="1:16">
      <c r="A421" s="219">
        <v>2007.04</v>
      </c>
      <c r="B421" s="2195">
        <v>95.632199999999997</v>
      </c>
      <c r="C421" s="2205">
        <v>94.475700000000003</v>
      </c>
      <c r="D421" s="2200">
        <v>97.144599999999997</v>
      </c>
      <c r="E421" s="2207">
        <v>96.131</v>
      </c>
      <c r="F421" s="2205">
        <v>95.667299999999997</v>
      </c>
      <c r="G421" s="2200">
        <v>96.732799999999997</v>
      </c>
      <c r="H421" s="354">
        <v>3.08</v>
      </c>
      <c r="I421" s="721">
        <v>3.0700000000000003</v>
      </c>
      <c r="J421" s="767"/>
      <c r="K421" s="715"/>
      <c r="L421" s="715"/>
      <c r="M421" s="2218"/>
      <c r="N421" s="2198"/>
      <c r="O421" s="2212">
        <v>206.68600000000001</v>
      </c>
      <c r="P421" s="3284">
        <v>171.4</v>
      </c>
    </row>
    <row r="422" spans="1:16">
      <c r="A422" s="219">
        <v>2007.05</v>
      </c>
      <c r="B422" s="2195">
        <v>94.722499999999997</v>
      </c>
      <c r="C422" s="2205">
        <v>93.628699999999995</v>
      </c>
      <c r="D422" s="2200">
        <v>96.151700000000005</v>
      </c>
      <c r="E422" s="2207">
        <v>95.401399999999995</v>
      </c>
      <c r="F422" s="2205">
        <v>95.097700000000003</v>
      </c>
      <c r="G422" s="2200">
        <v>95.795699999999997</v>
      </c>
      <c r="H422" s="354">
        <v>3.08</v>
      </c>
      <c r="I422" s="721">
        <v>3.0604761904761908</v>
      </c>
      <c r="J422" s="767"/>
      <c r="K422" s="715"/>
      <c r="L422" s="715"/>
      <c r="M422" s="2218"/>
      <c r="N422" s="2198"/>
      <c r="O422" s="2212">
        <v>207.94900000000001</v>
      </c>
      <c r="P422" s="3284">
        <v>173.3</v>
      </c>
    </row>
    <row r="423" spans="1:16">
      <c r="A423" s="219">
        <v>2007.06</v>
      </c>
      <c r="B423" s="2195">
        <v>94.444900000000004</v>
      </c>
      <c r="C423" s="2205">
        <v>93.253200000000007</v>
      </c>
      <c r="D423" s="2200">
        <v>96.003399999999999</v>
      </c>
      <c r="E423" s="2207">
        <v>95.133899999999997</v>
      </c>
      <c r="F423" s="2205">
        <v>94.941800000000001</v>
      </c>
      <c r="G423" s="2200">
        <v>95.383799999999994</v>
      </c>
      <c r="H423" s="354">
        <v>3.09</v>
      </c>
      <c r="I423" s="721">
        <v>3.0590000000000002</v>
      </c>
      <c r="J423" s="767"/>
      <c r="K423" s="715"/>
      <c r="L423" s="715"/>
      <c r="M423" s="2218"/>
      <c r="N423" s="2198"/>
      <c r="O423" s="2212">
        <v>208.352</v>
      </c>
      <c r="P423" s="3284">
        <v>173.8</v>
      </c>
    </row>
    <row r="424" spans="1:16">
      <c r="A424" s="219">
        <v>2007.07</v>
      </c>
      <c r="B424" s="2195">
        <v>93.2059</v>
      </c>
      <c r="C424" s="2205">
        <v>91.574399999999997</v>
      </c>
      <c r="D424" s="2200">
        <v>95.349800000000002</v>
      </c>
      <c r="E424" s="2207">
        <v>93.729900000000001</v>
      </c>
      <c r="F424" s="2205">
        <v>93.267600000000002</v>
      </c>
      <c r="G424" s="2200">
        <v>94.329899999999995</v>
      </c>
      <c r="H424" s="354">
        <v>3.14</v>
      </c>
      <c r="I424" s="721">
        <v>3.0928571428571425</v>
      </c>
      <c r="J424" s="767"/>
      <c r="K424" s="715"/>
      <c r="L424" s="715"/>
      <c r="M424" s="2218"/>
      <c r="N424" s="2198"/>
      <c r="O424" s="2212">
        <v>208.29900000000001</v>
      </c>
      <c r="P424" s="3284">
        <v>175.1</v>
      </c>
    </row>
    <row r="425" spans="1:16">
      <c r="A425" s="219">
        <v>2007.08</v>
      </c>
      <c r="B425" s="2195">
        <v>93.760300000000001</v>
      </c>
      <c r="C425" s="2205">
        <v>91.693899999999999</v>
      </c>
      <c r="D425" s="2200">
        <v>96.488799999999998</v>
      </c>
      <c r="E425" s="2207">
        <v>94.067499999999995</v>
      </c>
      <c r="F425" s="2205">
        <v>93.433400000000006</v>
      </c>
      <c r="G425" s="2200">
        <v>94.891000000000005</v>
      </c>
      <c r="H425" s="354">
        <v>3.18</v>
      </c>
      <c r="I425" s="721">
        <v>3.1331818181818178</v>
      </c>
      <c r="J425" s="767"/>
      <c r="K425" s="715"/>
      <c r="L425" s="715"/>
      <c r="M425" s="2218"/>
      <c r="N425" s="2198"/>
      <c r="O425" s="2212">
        <v>207.917</v>
      </c>
      <c r="P425" s="3284">
        <v>172.4</v>
      </c>
    </row>
    <row r="426" spans="1:16">
      <c r="A426" s="219">
        <v>2007.09</v>
      </c>
      <c r="B426" s="2195">
        <v>92.436599999999999</v>
      </c>
      <c r="C426" s="2205">
        <v>89.817700000000002</v>
      </c>
      <c r="D426" s="2200">
        <v>95.919399999999996</v>
      </c>
      <c r="E426" s="2207">
        <v>92.866900000000001</v>
      </c>
      <c r="F426" s="2205">
        <v>91.662700000000001</v>
      </c>
      <c r="G426" s="2200">
        <v>94.439800000000005</v>
      </c>
      <c r="H426" s="354">
        <v>3.16</v>
      </c>
      <c r="I426" s="721">
        <v>3.1290000000000004</v>
      </c>
      <c r="J426" s="767"/>
      <c r="K426" s="715"/>
      <c r="L426" s="715"/>
      <c r="M426" s="2218"/>
      <c r="N426" s="2198"/>
      <c r="O426" s="2212">
        <v>208.49</v>
      </c>
      <c r="P426" s="3284">
        <v>173.5</v>
      </c>
    </row>
    <row r="427" spans="1:16">
      <c r="A427" s="219">
        <v>2007.1</v>
      </c>
      <c r="B427" s="2195">
        <v>90.400199999999998</v>
      </c>
      <c r="C427" s="2205">
        <v>87.408699999999996</v>
      </c>
      <c r="D427" s="2200">
        <v>94.399799999999999</v>
      </c>
      <c r="E427" s="2207">
        <v>90.742500000000007</v>
      </c>
      <c r="F427" s="2205">
        <v>89.184799999999996</v>
      </c>
      <c r="G427" s="2200">
        <v>92.786199999999994</v>
      </c>
      <c r="H427" s="354">
        <v>3.16</v>
      </c>
      <c r="I427" s="721">
        <v>3.1404545454545456</v>
      </c>
      <c r="J427" s="767"/>
      <c r="K427" s="715"/>
      <c r="L427" s="715"/>
      <c r="M427" s="2218"/>
      <c r="N427" s="2198"/>
      <c r="O427" s="2212">
        <v>208.93600000000001</v>
      </c>
      <c r="P427" s="3284">
        <v>174.7</v>
      </c>
    </row>
    <row r="428" spans="1:16">
      <c r="A428" s="219">
        <v>2007.11</v>
      </c>
      <c r="B428" s="2195">
        <v>89.052999999999997</v>
      </c>
      <c r="C428" s="2205">
        <v>85.383899999999997</v>
      </c>
      <c r="D428" s="2200">
        <v>94.004900000000006</v>
      </c>
      <c r="E428" s="2207">
        <v>89.673199999999994</v>
      </c>
      <c r="F428" s="2205">
        <v>87.462999999999994</v>
      </c>
      <c r="G428" s="2200">
        <v>92.5976</v>
      </c>
      <c r="H428" s="354">
        <v>3.15</v>
      </c>
      <c r="I428" s="721">
        <v>3.1168181818181817</v>
      </c>
      <c r="J428" s="767"/>
      <c r="K428" s="715"/>
      <c r="L428" s="715"/>
      <c r="M428" s="2218"/>
      <c r="N428" s="2198"/>
      <c r="O428" s="2212">
        <v>210.17699999999999</v>
      </c>
      <c r="P428" s="3284">
        <v>179</v>
      </c>
    </row>
    <row r="429" spans="1:16">
      <c r="A429" s="219">
        <v>2007.12</v>
      </c>
      <c r="B429" s="2195">
        <v>90.004999999999995</v>
      </c>
      <c r="C429" s="2205">
        <v>87.229100000000003</v>
      </c>
      <c r="D429" s="2200">
        <v>93.706800000000001</v>
      </c>
      <c r="E429" s="2207">
        <v>90.524900000000002</v>
      </c>
      <c r="F429" s="2205">
        <v>89.285799999999995</v>
      </c>
      <c r="G429" s="2200">
        <v>92.1447</v>
      </c>
      <c r="H429" s="354">
        <v>3.15</v>
      </c>
      <c r="I429" s="721">
        <v>3.1194444444444445</v>
      </c>
      <c r="J429" s="767"/>
      <c r="K429" s="715"/>
      <c r="L429" s="715"/>
      <c r="M429" s="2218"/>
      <c r="N429" s="2198"/>
      <c r="O429" s="2212">
        <v>210.036</v>
      </c>
      <c r="P429" s="3284">
        <v>178.6</v>
      </c>
    </row>
    <row r="430" spans="1:16">
      <c r="A430" s="219">
        <f t="shared" ref="A430:A493" si="0">A418+1</f>
        <v>2008.01</v>
      </c>
      <c r="B430" s="2195">
        <v>89.397099999999995</v>
      </c>
      <c r="C430" s="2205">
        <v>86.629099999999994</v>
      </c>
      <c r="D430" s="2200">
        <v>93.091200000000001</v>
      </c>
      <c r="E430" s="2207">
        <v>90.002600000000001</v>
      </c>
      <c r="F430" s="2205">
        <v>88.851900000000001</v>
      </c>
      <c r="G430" s="2200">
        <v>91.507499999999993</v>
      </c>
      <c r="H430" s="354">
        <v>3.16</v>
      </c>
      <c r="I430" s="721">
        <v>3.1265217391304354</v>
      </c>
      <c r="J430" s="767"/>
      <c r="K430" s="715"/>
      <c r="L430" s="715"/>
      <c r="M430" s="2218"/>
      <c r="N430" s="2198"/>
      <c r="O430" s="2212">
        <v>211.08</v>
      </c>
      <c r="P430" s="3284">
        <v>181</v>
      </c>
    </row>
    <row r="431" spans="1:16">
      <c r="A431" s="219">
        <f t="shared" si="0"/>
        <v>2008.02</v>
      </c>
      <c r="B431" s="2195">
        <v>88.6434</v>
      </c>
      <c r="C431" s="2205">
        <v>86.054199999999994</v>
      </c>
      <c r="D431" s="2200">
        <v>92.097200000000001</v>
      </c>
      <c r="E431" s="2207">
        <v>89.002399999999994</v>
      </c>
      <c r="F431" s="2205">
        <v>88.302300000000002</v>
      </c>
      <c r="G431" s="2200">
        <v>89.9255</v>
      </c>
      <c r="H431" s="354">
        <v>3.16</v>
      </c>
      <c r="I431" s="721">
        <v>3.1395000000000008</v>
      </c>
      <c r="J431" s="767"/>
      <c r="K431" s="715"/>
      <c r="L431" s="715"/>
      <c r="M431" s="2218"/>
      <c r="N431" s="2198"/>
      <c r="O431" s="2212">
        <v>211.69300000000001</v>
      </c>
      <c r="P431" s="3284">
        <v>182.7</v>
      </c>
    </row>
    <row r="432" spans="1:16">
      <c r="A432" s="219">
        <f t="shared" si="0"/>
        <v>2008.03</v>
      </c>
      <c r="B432" s="2195">
        <v>86.8399</v>
      </c>
      <c r="C432" s="2205">
        <v>83.408900000000003</v>
      </c>
      <c r="D432" s="2200">
        <v>91.444500000000005</v>
      </c>
      <c r="E432" s="2207">
        <v>87.2136</v>
      </c>
      <c r="F432" s="2205">
        <v>85.706699999999998</v>
      </c>
      <c r="G432" s="2200">
        <v>89.183099999999996</v>
      </c>
      <c r="H432" s="354">
        <v>3.16</v>
      </c>
      <c r="I432" s="721">
        <v>3.1366666666666663</v>
      </c>
      <c r="J432" s="767"/>
      <c r="K432" s="715"/>
      <c r="L432" s="715"/>
      <c r="M432" s="2218"/>
      <c r="N432" s="2198"/>
      <c r="O432" s="2212">
        <v>213.52799999999999</v>
      </c>
      <c r="P432" s="3284">
        <v>187.9</v>
      </c>
    </row>
    <row r="433" spans="1:16">
      <c r="A433" s="219">
        <f t="shared" si="0"/>
        <v>2008.04</v>
      </c>
      <c r="B433" s="2195">
        <v>86.547499999999999</v>
      </c>
      <c r="C433" s="2205">
        <v>83.517099999999999</v>
      </c>
      <c r="D433" s="2200">
        <v>90.601100000000002</v>
      </c>
      <c r="E433" s="2207">
        <v>86.830799999999996</v>
      </c>
      <c r="F433" s="2205">
        <v>85.879499999999993</v>
      </c>
      <c r="G433" s="2200">
        <v>88.076800000000006</v>
      </c>
      <c r="H433" s="354">
        <v>3.18</v>
      </c>
      <c r="I433" s="721">
        <v>3.1461904761904753</v>
      </c>
      <c r="J433" s="767"/>
      <c r="K433" s="715"/>
      <c r="L433" s="715"/>
      <c r="M433" s="2218"/>
      <c r="N433" s="2198"/>
      <c r="O433" s="2212">
        <v>214.82300000000001</v>
      </c>
      <c r="P433" s="3284">
        <v>190.9</v>
      </c>
    </row>
    <row r="434" spans="1:16">
      <c r="A434" s="219">
        <f t="shared" si="0"/>
        <v>2008.05</v>
      </c>
      <c r="B434" s="2195">
        <v>86.8245</v>
      </c>
      <c r="C434" s="2205">
        <v>83.810100000000006</v>
      </c>
      <c r="D434" s="2200">
        <v>90.856399999999994</v>
      </c>
      <c r="E434" s="2207">
        <v>87.158900000000003</v>
      </c>
      <c r="F434" s="2205">
        <v>86.211600000000004</v>
      </c>
      <c r="G434" s="2200">
        <v>88.399900000000002</v>
      </c>
      <c r="H434" s="354">
        <v>3.11</v>
      </c>
      <c r="I434" s="721">
        <v>3.1304761904761902</v>
      </c>
      <c r="J434" s="767"/>
      <c r="K434" s="715"/>
      <c r="L434" s="715"/>
      <c r="M434" s="2218"/>
      <c r="N434" s="2198"/>
      <c r="O434" s="2212">
        <v>216.63200000000001</v>
      </c>
      <c r="P434" s="3284">
        <v>196.6</v>
      </c>
    </row>
    <row r="435" spans="1:16">
      <c r="A435" s="219">
        <f t="shared" si="0"/>
        <v>2008.06</v>
      </c>
      <c r="B435" s="2195">
        <v>87.072800000000001</v>
      </c>
      <c r="C435" s="2205">
        <v>84.555800000000005</v>
      </c>
      <c r="D435" s="2200">
        <v>90.429199999999994</v>
      </c>
      <c r="E435" s="2207">
        <v>87.741200000000006</v>
      </c>
      <c r="F435" s="2205">
        <v>87.378299999999996</v>
      </c>
      <c r="G435" s="2200">
        <v>88.233000000000004</v>
      </c>
      <c r="H435" s="354">
        <v>3.03</v>
      </c>
      <c r="I435" s="721">
        <v>3.0270000000000001</v>
      </c>
      <c r="J435" s="767"/>
      <c r="K435" s="715"/>
      <c r="L435" s="715"/>
      <c r="M435" s="2218"/>
      <c r="N435" s="2198"/>
      <c r="O435" s="2212">
        <v>218.815</v>
      </c>
      <c r="P435" s="3284">
        <v>200.5</v>
      </c>
    </row>
    <row r="436" spans="1:16">
      <c r="A436" s="219">
        <f t="shared" si="0"/>
        <v>2008.07</v>
      </c>
      <c r="B436" s="2195">
        <v>86.453800000000001</v>
      </c>
      <c r="C436" s="2205">
        <v>83.927300000000002</v>
      </c>
      <c r="D436" s="2200">
        <v>89.824399999999997</v>
      </c>
      <c r="E436" s="2207">
        <v>87.340999999999994</v>
      </c>
      <c r="F436" s="2205">
        <v>86.988799999999998</v>
      </c>
      <c r="G436" s="2200">
        <v>87.819199999999995</v>
      </c>
      <c r="H436" s="354">
        <v>3.03</v>
      </c>
      <c r="I436" s="721">
        <v>3.002727272727272</v>
      </c>
      <c r="J436" s="767"/>
      <c r="K436" s="715"/>
      <c r="L436" s="715"/>
      <c r="M436" s="2218"/>
      <c r="N436" s="2198"/>
      <c r="O436" s="2212">
        <v>219.964</v>
      </c>
      <c r="P436" s="3284">
        <v>205.5</v>
      </c>
    </row>
    <row r="437" spans="1:16">
      <c r="A437" s="219">
        <f t="shared" si="0"/>
        <v>2008.08</v>
      </c>
      <c r="B437" s="2195">
        <v>88.944999999999993</v>
      </c>
      <c r="C437" s="2205">
        <v>87.791300000000007</v>
      </c>
      <c r="D437" s="2200">
        <v>90.498999999999995</v>
      </c>
      <c r="E437" s="2207">
        <v>89.688500000000005</v>
      </c>
      <c r="F437" s="2205">
        <v>90.878500000000003</v>
      </c>
      <c r="G437" s="2200">
        <v>88.243499999999997</v>
      </c>
      <c r="H437" s="354">
        <v>3.04</v>
      </c>
      <c r="I437" s="721">
        <v>3.0144999999999991</v>
      </c>
      <c r="J437" s="767"/>
      <c r="K437" s="715"/>
      <c r="L437" s="715"/>
      <c r="M437" s="2218"/>
      <c r="N437" s="2198"/>
      <c r="O437" s="2212">
        <v>219.08600000000001</v>
      </c>
      <c r="P437" s="3284">
        <v>199</v>
      </c>
    </row>
    <row r="438" spans="1:16">
      <c r="A438" s="219">
        <f t="shared" si="0"/>
        <v>2008.09</v>
      </c>
      <c r="B438" s="2195">
        <v>91.265100000000004</v>
      </c>
      <c r="C438" s="2205">
        <v>89.686999999999998</v>
      </c>
      <c r="D438" s="2200">
        <v>93.3797</v>
      </c>
      <c r="E438" s="2207">
        <v>92.041799999999995</v>
      </c>
      <c r="F438" s="2205">
        <v>92.829599999999999</v>
      </c>
      <c r="G438" s="2200">
        <v>91.092100000000002</v>
      </c>
      <c r="H438" s="354">
        <v>3.13</v>
      </c>
      <c r="I438" s="721">
        <v>3.0650000000000004</v>
      </c>
      <c r="J438" s="767"/>
      <c r="K438" s="715"/>
      <c r="L438" s="715"/>
      <c r="M438" s="2218"/>
      <c r="N438" s="2198"/>
      <c r="O438" s="2212">
        <v>218.78299999999999</v>
      </c>
      <c r="P438" s="3284">
        <v>196.9</v>
      </c>
    </row>
    <row r="439" spans="1:16">
      <c r="A439" s="219">
        <f t="shared" si="0"/>
        <v>2008.1</v>
      </c>
      <c r="B439" s="2195">
        <v>98.04</v>
      </c>
      <c r="C439" s="2205">
        <v>96.041300000000007</v>
      </c>
      <c r="D439" s="2200">
        <v>100.7111</v>
      </c>
      <c r="E439" s="2207">
        <v>98.007300000000001</v>
      </c>
      <c r="F439" s="2205">
        <v>98.787300000000002</v>
      </c>
      <c r="G439" s="2200">
        <v>97.068700000000007</v>
      </c>
      <c r="H439" s="354">
        <v>3.38</v>
      </c>
      <c r="I439" s="721">
        <v>3.2227272727272731</v>
      </c>
      <c r="J439" s="767"/>
      <c r="K439" s="715"/>
      <c r="L439" s="715"/>
      <c r="M439" s="2218"/>
      <c r="N439" s="2198"/>
      <c r="O439" s="2212">
        <v>216.57300000000001</v>
      </c>
      <c r="P439" s="3284">
        <v>186.4</v>
      </c>
    </row>
    <row r="440" spans="1:16">
      <c r="A440" s="219">
        <f t="shared" si="0"/>
        <v>2008.11</v>
      </c>
      <c r="B440" s="2195">
        <v>100.7667</v>
      </c>
      <c r="C440" s="2205">
        <v>99.173100000000005</v>
      </c>
      <c r="D440" s="2200">
        <v>102.901</v>
      </c>
      <c r="E440" s="2207">
        <v>99.177400000000006</v>
      </c>
      <c r="F440" s="2205">
        <v>100.5686</v>
      </c>
      <c r="G440" s="2200">
        <v>97.487399999999994</v>
      </c>
      <c r="H440" s="354">
        <v>3.38</v>
      </c>
      <c r="I440" s="721">
        <v>3.31</v>
      </c>
      <c r="J440" s="767"/>
      <c r="K440" s="715"/>
      <c r="L440" s="715"/>
      <c r="M440" s="2218"/>
      <c r="N440" s="2198"/>
      <c r="O440" s="2212">
        <v>212.42500000000001</v>
      </c>
      <c r="P440" s="3284">
        <v>176.8</v>
      </c>
    </row>
    <row r="441" spans="1:16">
      <c r="A441" s="219">
        <f t="shared" si="0"/>
        <v>2008.12</v>
      </c>
      <c r="B441" s="2195">
        <v>99.662199999999999</v>
      </c>
      <c r="C441" s="2205">
        <v>96.818200000000004</v>
      </c>
      <c r="D441" s="2200">
        <v>103.4603</v>
      </c>
      <c r="E441" s="2207">
        <v>97.574200000000005</v>
      </c>
      <c r="F441" s="2205">
        <v>97.732399999999998</v>
      </c>
      <c r="G441" s="2200">
        <v>97.410899999999998</v>
      </c>
      <c r="H441" s="354">
        <v>3.45</v>
      </c>
      <c r="I441" s="721">
        <v>3.4085000000000001</v>
      </c>
      <c r="J441" s="767"/>
      <c r="K441" s="715"/>
      <c r="L441" s="715"/>
      <c r="M441" s="2218"/>
      <c r="N441" s="2198"/>
      <c r="O441" s="2212">
        <v>210.22800000000001</v>
      </c>
      <c r="P441" s="3284">
        <v>170.9</v>
      </c>
    </row>
    <row r="442" spans="1:16">
      <c r="A442" s="219">
        <f t="shared" si="0"/>
        <v>2009.01</v>
      </c>
      <c r="B442" s="2195">
        <v>100.35209999999999</v>
      </c>
      <c r="C442" s="2205">
        <v>97.412199999999999</v>
      </c>
      <c r="D442" s="2200">
        <v>104.3126</v>
      </c>
      <c r="E442" s="2207">
        <v>98.495599999999996</v>
      </c>
      <c r="F442" s="2205">
        <v>98.675299999999993</v>
      </c>
      <c r="G442" s="2200">
        <v>98.307199999999995</v>
      </c>
      <c r="H442" s="354">
        <v>3.5</v>
      </c>
      <c r="I442" s="721">
        <v>3.4447619047619051</v>
      </c>
      <c r="J442" s="767"/>
      <c r="K442" s="715"/>
      <c r="L442" s="715"/>
      <c r="M442" s="2218"/>
      <c r="N442" s="2198"/>
      <c r="O442" s="2212">
        <v>211.143</v>
      </c>
      <c r="P442" s="3284">
        <v>171.2</v>
      </c>
    </row>
    <row r="443" spans="1:16">
      <c r="A443" s="219">
        <f t="shared" si="0"/>
        <v>2009.02</v>
      </c>
      <c r="B443" s="2195">
        <v>102.97369999999999</v>
      </c>
      <c r="C443" s="2205">
        <v>100.0127</v>
      </c>
      <c r="D443" s="2200">
        <v>106.96429999999999</v>
      </c>
      <c r="E443" s="2207">
        <v>101.2731</v>
      </c>
      <c r="F443" s="2205">
        <v>101.3308</v>
      </c>
      <c r="G443" s="2200">
        <v>101.22969999999999</v>
      </c>
      <c r="H443" s="354">
        <v>3.57</v>
      </c>
      <c r="I443" s="721">
        <v>3.4939999999999998</v>
      </c>
      <c r="J443" s="767"/>
      <c r="K443" s="715"/>
      <c r="L443" s="715"/>
      <c r="M443" s="2218"/>
      <c r="N443" s="2198"/>
      <c r="O443" s="2212">
        <v>212.19300000000001</v>
      </c>
      <c r="P443" s="3284">
        <v>169.3</v>
      </c>
    </row>
    <row r="444" spans="1:16">
      <c r="A444" s="219">
        <f t="shared" si="0"/>
        <v>2009.03</v>
      </c>
      <c r="B444" s="2195">
        <v>103.4397</v>
      </c>
      <c r="C444" s="2205">
        <v>100.55710000000001</v>
      </c>
      <c r="D444" s="2200">
        <v>107.3343</v>
      </c>
      <c r="E444" s="2207">
        <v>101.55119999999999</v>
      </c>
      <c r="F444" s="2205">
        <v>101.9474</v>
      </c>
      <c r="G444" s="2200">
        <v>101.1083</v>
      </c>
      <c r="H444" s="354">
        <v>3.72</v>
      </c>
      <c r="I444" s="721">
        <v>3.6366666666666676</v>
      </c>
      <c r="J444" s="767"/>
      <c r="K444" s="715"/>
      <c r="L444" s="715"/>
      <c r="M444" s="2218"/>
      <c r="N444" s="2198"/>
      <c r="O444" s="2212">
        <v>212.709</v>
      </c>
      <c r="P444" s="3284">
        <v>168.1</v>
      </c>
    </row>
    <row r="445" spans="1:16">
      <c r="A445" s="219">
        <f t="shared" si="0"/>
        <v>2009.04</v>
      </c>
      <c r="B445" s="2195">
        <v>100.7162</v>
      </c>
      <c r="C445" s="2205">
        <v>98.585999999999999</v>
      </c>
      <c r="D445" s="2200">
        <v>103.65770000000001</v>
      </c>
      <c r="E445" s="2207">
        <v>98.906999999999996</v>
      </c>
      <c r="F445" s="2205">
        <v>100.1431</v>
      </c>
      <c r="G445" s="2200">
        <v>97.485500000000002</v>
      </c>
      <c r="H445" s="354">
        <v>3.71</v>
      </c>
      <c r="I445" s="721">
        <v>3.6721052631578952</v>
      </c>
      <c r="J445" s="767"/>
      <c r="K445" s="715"/>
      <c r="L445" s="715"/>
      <c r="M445" s="2218"/>
      <c r="N445" s="2198"/>
      <c r="O445" s="2212">
        <v>213.24</v>
      </c>
      <c r="P445" s="3284">
        <v>169.1</v>
      </c>
    </row>
    <row r="446" spans="1:16">
      <c r="A446" s="219">
        <f t="shared" si="0"/>
        <v>2009.05</v>
      </c>
      <c r="B446" s="2195">
        <v>97.551900000000003</v>
      </c>
      <c r="C446" s="2205">
        <v>94.473299999999995</v>
      </c>
      <c r="D446" s="2200">
        <v>101.6853</v>
      </c>
      <c r="E446" s="2207">
        <v>95.748999999999995</v>
      </c>
      <c r="F446" s="2205">
        <v>95.948099999999997</v>
      </c>
      <c r="G446" s="2200">
        <v>95.537000000000006</v>
      </c>
      <c r="H446" s="354">
        <v>3.75</v>
      </c>
      <c r="I446" s="721">
        <v>3.7073684210526316</v>
      </c>
      <c r="J446" s="767"/>
      <c r="K446" s="715"/>
      <c r="L446" s="715"/>
      <c r="M446" s="2218"/>
      <c r="N446" s="2198"/>
      <c r="O446" s="2212">
        <v>213.85599999999999</v>
      </c>
      <c r="P446" s="3284">
        <v>170.8</v>
      </c>
    </row>
    <row r="447" spans="1:16">
      <c r="A447" s="219">
        <f t="shared" si="0"/>
        <v>2009.06</v>
      </c>
      <c r="B447" s="2195">
        <v>96.042599999999993</v>
      </c>
      <c r="C447" s="2205">
        <v>92.031000000000006</v>
      </c>
      <c r="D447" s="2200">
        <v>101.37350000000001</v>
      </c>
      <c r="E447" s="2207">
        <v>94.834199999999996</v>
      </c>
      <c r="F447" s="2205">
        <v>94.0227</v>
      </c>
      <c r="G447" s="2200">
        <v>95.828900000000004</v>
      </c>
      <c r="H447" s="354">
        <v>3.8</v>
      </c>
      <c r="I447" s="721">
        <v>3.7500000000000009</v>
      </c>
      <c r="J447" s="767"/>
      <c r="K447" s="715"/>
      <c r="L447" s="715"/>
      <c r="M447" s="2218"/>
      <c r="N447" s="2198"/>
      <c r="O447" s="2212">
        <v>215.69300000000001</v>
      </c>
      <c r="P447" s="3284">
        <v>174.1</v>
      </c>
    </row>
    <row r="448" spans="1:16">
      <c r="A448" s="219">
        <f t="shared" si="0"/>
        <v>2009.07</v>
      </c>
      <c r="B448" s="2195">
        <v>95.660499999999999</v>
      </c>
      <c r="C448" s="2205">
        <v>91.362799999999993</v>
      </c>
      <c r="D448" s="2200">
        <v>101.367</v>
      </c>
      <c r="E448" s="2207">
        <v>94.398600000000002</v>
      </c>
      <c r="F448" s="2205">
        <v>93.466200000000001</v>
      </c>
      <c r="G448" s="2200">
        <v>95.539500000000004</v>
      </c>
      <c r="H448" s="354">
        <v>3.83</v>
      </c>
      <c r="I448" s="721">
        <v>3.7909523809523811</v>
      </c>
      <c r="J448" s="767"/>
      <c r="K448" s="715"/>
      <c r="L448" s="715"/>
      <c r="M448" s="2218"/>
      <c r="N448" s="2198"/>
      <c r="O448" s="2212">
        <v>215.351</v>
      </c>
      <c r="P448" s="3284">
        <v>172.5</v>
      </c>
    </row>
    <row r="449" spans="1:16">
      <c r="A449" s="219">
        <f t="shared" si="0"/>
        <v>2009.08</v>
      </c>
      <c r="B449" s="2195">
        <v>94.373000000000005</v>
      </c>
      <c r="C449" s="2205">
        <v>89.907799999999995</v>
      </c>
      <c r="D449" s="2200">
        <v>100.29900000000001</v>
      </c>
      <c r="E449" s="2207">
        <v>93.162700000000001</v>
      </c>
      <c r="F449" s="2205">
        <v>92.023600000000002</v>
      </c>
      <c r="G449" s="2200">
        <v>94.554599999999994</v>
      </c>
      <c r="H449" s="354">
        <v>3.85</v>
      </c>
      <c r="I449" s="721">
        <v>3.8204999999999991</v>
      </c>
      <c r="J449" s="767"/>
      <c r="K449" s="715"/>
      <c r="L449" s="715"/>
      <c r="M449" s="2218"/>
      <c r="N449" s="2198"/>
      <c r="O449" s="2212">
        <v>215.834</v>
      </c>
      <c r="P449" s="3284">
        <v>175</v>
      </c>
    </row>
    <row r="450" spans="1:16">
      <c r="A450" s="219">
        <f t="shared" si="0"/>
        <v>2009.09</v>
      </c>
      <c r="B450" s="2195">
        <v>93.663799999999995</v>
      </c>
      <c r="C450" s="2205">
        <v>88.501400000000004</v>
      </c>
      <c r="D450" s="2200">
        <v>100.51949999999999</v>
      </c>
      <c r="E450" s="2207">
        <v>92.513300000000001</v>
      </c>
      <c r="F450" s="2205">
        <v>90.757999999999996</v>
      </c>
      <c r="G450" s="2200">
        <v>94.661600000000007</v>
      </c>
      <c r="H450" s="354">
        <v>3.84</v>
      </c>
      <c r="I450" s="721">
        <v>3.822727272727271</v>
      </c>
      <c r="J450" s="767"/>
      <c r="K450" s="715"/>
      <c r="L450" s="715"/>
      <c r="M450" s="2218"/>
      <c r="N450" s="2198"/>
      <c r="O450" s="2212">
        <v>215.96899999999999</v>
      </c>
      <c r="P450" s="3284">
        <v>174.1</v>
      </c>
    </row>
    <row r="451" spans="1:16">
      <c r="A451" s="219">
        <f t="shared" si="0"/>
        <v>2009.1</v>
      </c>
      <c r="B451" s="2195">
        <v>92.259799999999998</v>
      </c>
      <c r="C451" s="2205">
        <v>87.045699999999997</v>
      </c>
      <c r="D451" s="2200">
        <v>99.186400000000006</v>
      </c>
      <c r="E451" s="2207">
        <v>91.260199999999998</v>
      </c>
      <c r="F451" s="2205">
        <v>89.460099999999997</v>
      </c>
      <c r="G451" s="2200">
        <v>93.464200000000005</v>
      </c>
      <c r="H451" s="354">
        <v>3.82</v>
      </c>
      <c r="I451" s="721">
        <v>3.8052380952380935</v>
      </c>
      <c r="J451" s="767"/>
      <c r="K451" s="715"/>
      <c r="L451" s="715"/>
      <c r="M451" s="2218"/>
      <c r="N451" s="2198"/>
      <c r="O451" s="2212">
        <v>216.17699999999999</v>
      </c>
      <c r="P451" s="3284">
        <v>175.2</v>
      </c>
    </row>
    <row r="452" spans="1:16">
      <c r="A452" s="219">
        <f t="shared" si="0"/>
        <v>2009.11</v>
      </c>
      <c r="B452" s="2195">
        <v>91.799599999999998</v>
      </c>
      <c r="C452" s="2205">
        <v>86.521699999999996</v>
      </c>
      <c r="D452" s="2200">
        <v>98.813199999999995</v>
      </c>
      <c r="E452" s="2207">
        <v>90.786799999999999</v>
      </c>
      <c r="F452" s="2205">
        <v>88.905199999999994</v>
      </c>
      <c r="G452" s="2200">
        <v>93.091899999999995</v>
      </c>
      <c r="H452" s="354">
        <v>3.81</v>
      </c>
      <c r="I452" s="721">
        <v>3.7910000000000013</v>
      </c>
      <c r="J452" s="767"/>
      <c r="K452" s="715"/>
      <c r="L452" s="715"/>
      <c r="M452" s="2218"/>
      <c r="N452" s="2198"/>
      <c r="O452" s="2212">
        <v>216.33</v>
      </c>
      <c r="P452" s="3284">
        <v>177.4</v>
      </c>
    </row>
    <row r="453" spans="1:16">
      <c r="A453" s="219">
        <f t="shared" si="0"/>
        <v>2009.12</v>
      </c>
      <c r="B453" s="2195">
        <v>92.258600000000001</v>
      </c>
      <c r="C453" s="2205">
        <v>87.531899999999993</v>
      </c>
      <c r="D453" s="2200">
        <v>98.533100000000005</v>
      </c>
      <c r="E453" s="2207">
        <v>91.133300000000006</v>
      </c>
      <c r="F453" s="2205">
        <v>89.971400000000003</v>
      </c>
      <c r="G453" s="2200">
        <v>92.552999999999997</v>
      </c>
      <c r="H453" s="354">
        <v>3.81</v>
      </c>
      <c r="I453" s="721">
        <v>3.7861904761904763</v>
      </c>
      <c r="J453" s="767"/>
      <c r="K453" s="715"/>
      <c r="L453" s="715"/>
      <c r="M453" s="2218"/>
      <c r="N453" s="2198"/>
      <c r="O453" s="2212">
        <v>215.94900000000001</v>
      </c>
      <c r="P453" s="3284">
        <v>178.1</v>
      </c>
    </row>
    <row r="454" spans="1:16">
      <c r="A454" s="219">
        <f t="shared" si="0"/>
        <v>2010.01</v>
      </c>
      <c r="B454" s="2195">
        <v>92.440299999999993</v>
      </c>
      <c r="C454" s="2205">
        <v>88.192800000000005</v>
      </c>
      <c r="D454" s="2200">
        <v>98.100499999999997</v>
      </c>
      <c r="E454" s="2207">
        <v>91.012100000000004</v>
      </c>
      <c r="F454" s="2205">
        <v>90.416600000000003</v>
      </c>
      <c r="G454" s="2200">
        <v>91.8001</v>
      </c>
      <c r="H454" s="354">
        <v>3.83</v>
      </c>
      <c r="I454" s="721">
        <v>3.7850000000000001</v>
      </c>
      <c r="J454" s="768">
        <v>3.8750999999999998</v>
      </c>
      <c r="K454" s="715"/>
      <c r="L454" s="715"/>
      <c r="M454" s="2218"/>
      <c r="N454" s="2198"/>
      <c r="O454" s="2212">
        <v>216.68700000000001</v>
      </c>
      <c r="P454" s="3284">
        <v>181.9</v>
      </c>
    </row>
    <row r="455" spans="1:16">
      <c r="A455" s="219">
        <f t="shared" si="0"/>
        <v>2010.02</v>
      </c>
      <c r="B455" s="2195">
        <v>93.886700000000005</v>
      </c>
      <c r="C455" s="2205">
        <v>90.285300000000007</v>
      </c>
      <c r="D455" s="2200">
        <v>98.778099999999995</v>
      </c>
      <c r="E455" s="2207">
        <v>92.198099999999997</v>
      </c>
      <c r="F455" s="2205">
        <v>92.423100000000005</v>
      </c>
      <c r="G455" s="2200">
        <v>92.087500000000006</v>
      </c>
      <c r="H455" s="354">
        <v>3.86</v>
      </c>
      <c r="I455" s="721">
        <v>3.8305000000000016</v>
      </c>
      <c r="J455" s="769">
        <v>3.9215999999999993</v>
      </c>
      <c r="K455" s="715"/>
      <c r="L455" s="768">
        <v>3.9315799999999999</v>
      </c>
      <c r="M455" s="2218"/>
      <c r="N455" s="2198"/>
      <c r="O455" s="2212">
        <v>216.74100000000001</v>
      </c>
      <c r="P455" s="3284">
        <v>181</v>
      </c>
    </row>
    <row r="456" spans="1:16">
      <c r="A456" s="219">
        <f t="shared" si="0"/>
        <v>2010.03</v>
      </c>
      <c r="B456" s="2195">
        <v>93.149900000000002</v>
      </c>
      <c r="C456" s="2205">
        <v>89.945999999999998</v>
      </c>
      <c r="D456" s="2200">
        <v>97.564499999999995</v>
      </c>
      <c r="E456" s="2207">
        <v>91.3035</v>
      </c>
      <c r="F456" s="2205">
        <v>92.041700000000006</v>
      </c>
      <c r="G456" s="2200">
        <v>90.637200000000007</v>
      </c>
      <c r="H456" s="354">
        <v>3.87</v>
      </c>
      <c r="I456" s="721">
        <v>3.8436363636363637</v>
      </c>
      <c r="J456" s="769">
        <v>3.9006363636363632</v>
      </c>
      <c r="K456" s="715"/>
      <c r="L456" s="769">
        <v>3.8500299999999998</v>
      </c>
      <c r="M456" s="2218"/>
      <c r="N456" s="2198"/>
      <c r="O456" s="2212">
        <v>217.631</v>
      </c>
      <c r="P456" s="3284">
        <v>183.3</v>
      </c>
    </row>
    <row r="457" spans="1:16">
      <c r="A457" s="219">
        <f t="shared" si="0"/>
        <v>2010.04</v>
      </c>
      <c r="B457" s="2195">
        <v>92.639099999999999</v>
      </c>
      <c r="C457" s="2205">
        <v>90.0137</v>
      </c>
      <c r="D457" s="2200">
        <v>96.369799999999998</v>
      </c>
      <c r="E457" s="2207">
        <v>90.653099999999995</v>
      </c>
      <c r="F457" s="2205">
        <v>92.036199999999994</v>
      </c>
      <c r="G457" s="2200">
        <v>89.298299999999998</v>
      </c>
      <c r="H457" s="354">
        <v>3.88</v>
      </c>
      <c r="I457" s="721">
        <v>3.8565000000000005</v>
      </c>
      <c r="J457" s="769">
        <v>3.9028333333333323</v>
      </c>
      <c r="K457" s="715"/>
      <c r="L457" s="769">
        <v>3.8550499999999999</v>
      </c>
      <c r="M457" s="2218"/>
      <c r="N457" s="2198"/>
      <c r="O457" s="2212">
        <v>218.00899999999999</v>
      </c>
      <c r="P457" s="3284">
        <v>184.4</v>
      </c>
    </row>
    <row r="458" spans="1:16">
      <c r="A458" s="219">
        <f t="shared" si="0"/>
        <v>2010.05</v>
      </c>
      <c r="B458" s="2195">
        <v>95.530600000000007</v>
      </c>
      <c r="C458" s="2205">
        <v>93.832400000000007</v>
      </c>
      <c r="D458" s="2200">
        <v>98.212800000000001</v>
      </c>
      <c r="E458" s="2207">
        <v>93.278000000000006</v>
      </c>
      <c r="F458" s="2205">
        <v>95.816000000000003</v>
      </c>
      <c r="G458" s="2200">
        <v>90.718199999999996</v>
      </c>
      <c r="H458" s="354">
        <v>3.91</v>
      </c>
      <c r="I458" s="721">
        <v>3.8852631578947374</v>
      </c>
      <c r="J458" s="769">
        <v>3.938078947368421</v>
      </c>
      <c r="K458" s="715"/>
      <c r="L458" s="769">
        <v>3.8881999999999999</v>
      </c>
      <c r="M458" s="2218"/>
      <c r="N458" s="2198"/>
      <c r="O458" s="2212">
        <v>218.178</v>
      </c>
      <c r="P458" s="3284">
        <v>184.8</v>
      </c>
    </row>
    <row r="459" spans="1:16">
      <c r="A459" s="219">
        <f t="shared" si="0"/>
        <v>2010.06</v>
      </c>
      <c r="B459" s="2195">
        <v>96.060599999999994</v>
      </c>
      <c r="C459" s="2205">
        <v>94.4833</v>
      </c>
      <c r="D459" s="2200">
        <v>98.608699999999999</v>
      </c>
      <c r="E459" s="2207">
        <v>93.650999999999996</v>
      </c>
      <c r="F459" s="2205">
        <v>96.335700000000003</v>
      </c>
      <c r="G459" s="2200">
        <v>90.940100000000001</v>
      </c>
      <c r="H459" s="354">
        <v>3.93</v>
      </c>
      <c r="I459" s="721">
        <v>3.906666666666665</v>
      </c>
      <c r="J459" s="769">
        <v>4.0079047619047614</v>
      </c>
      <c r="K459" s="715"/>
      <c r="L459" s="769">
        <v>3.9919899999999999</v>
      </c>
      <c r="M459" s="2218"/>
      <c r="N459" s="2198"/>
      <c r="O459" s="2212">
        <v>217.965</v>
      </c>
      <c r="P459" s="3284">
        <v>183.5</v>
      </c>
    </row>
    <row r="460" spans="1:16">
      <c r="A460" s="219">
        <f t="shared" si="0"/>
        <v>2010.07</v>
      </c>
      <c r="B460" s="2195">
        <v>94.454700000000003</v>
      </c>
      <c r="C460" s="2205">
        <v>91.790599999999998</v>
      </c>
      <c r="D460" s="2200">
        <v>98.243700000000004</v>
      </c>
      <c r="E460" s="2207">
        <v>92.035799999999995</v>
      </c>
      <c r="F460" s="2205">
        <v>93.570099999999996</v>
      </c>
      <c r="G460" s="2200">
        <v>90.5227</v>
      </c>
      <c r="H460" s="354">
        <v>3.94</v>
      </c>
      <c r="I460" s="721">
        <v>3.9147619047619044</v>
      </c>
      <c r="J460" s="769">
        <v>4.0051666666666668</v>
      </c>
      <c r="K460" s="715"/>
      <c r="L460" s="769">
        <v>3.9655200000000002</v>
      </c>
      <c r="M460" s="2218"/>
      <c r="N460" s="2198"/>
      <c r="O460" s="2212">
        <v>218.011</v>
      </c>
      <c r="P460" s="3284">
        <v>184.1</v>
      </c>
    </row>
    <row r="461" spans="1:16">
      <c r="A461" s="219">
        <f t="shared" si="0"/>
        <v>2010.08</v>
      </c>
      <c r="B461" s="2195">
        <v>93.682199999999995</v>
      </c>
      <c r="C461" s="2205">
        <v>90.824100000000001</v>
      </c>
      <c r="D461" s="2200">
        <v>97.693100000000001</v>
      </c>
      <c r="E461" s="2207">
        <v>91.2286</v>
      </c>
      <c r="F461" s="2205">
        <v>92.682699999999997</v>
      </c>
      <c r="G461" s="2200">
        <v>89.799300000000002</v>
      </c>
      <c r="H461" s="354">
        <v>3.95</v>
      </c>
      <c r="I461" s="721">
        <v>3.9166666666666679</v>
      </c>
      <c r="J461" s="769">
        <v>4.0064523809523802</v>
      </c>
      <c r="K461" s="715"/>
      <c r="L461" s="769">
        <v>3.9318200000000001</v>
      </c>
      <c r="M461" s="2218"/>
      <c r="N461" s="2198"/>
      <c r="O461" s="2212">
        <v>218.31200000000001</v>
      </c>
      <c r="P461" s="3284">
        <v>184.9</v>
      </c>
    </row>
    <row r="462" spans="1:16">
      <c r="A462" s="219">
        <f t="shared" si="0"/>
        <v>2010.09</v>
      </c>
      <c r="B462" s="2195">
        <v>92.762600000000006</v>
      </c>
      <c r="C462" s="2205">
        <v>89.714100000000002</v>
      </c>
      <c r="D462" s="2200">
        <v>96.990700000000004</v>
      </c>
      <c r="E462" s="2207">
        <v>90.245099999999994</v>
      </c>
      <c r="F462" s="2205">
        <v>91.577100000000002</v>
      </c>
      <c r="G462" s="2200">
        <v>88.943799999999996</v>
      </c>
      <c r="H462" s="354">
        <v>3.97</v>
      </c>
      <c r="I462" s="721">
        <v>3.9327272727272726</v>
      </c>
      <c r="J462" s="769">
        <v>4.0068636363636356</v>
      </c>
      <c r="K462" s="715"/>
      <c r="L462" s="769">
        <v>3.93018</v>
      </c>
      <c r="M462" s="2218"/>
      <c r="N462" s="2198"/>
      <c r="O462" s="2212">
        <v>218.43899999999999</v>
      </c>
      <c r="P462" s="3284">
        <v>184.9</v>
      </c>
    </row>
    <row r="463" spans="1:16">
      <c r="A463" s="219">
        <f t="shared" si="0"/>
        <v>2010.1</v>
      </c>
      <c r="B463" s="2195">
        <v>90.229100000000003</v>
      </c>
      <c r="C463" s="2205">
        <v>86.587000000000003</v>
      </c>
      <c r="D463" s="2200">
        <v>95.146199999999993</v>
      </c>
      <c r="E463" s="2207">
        <v>87.694299999999998</v>
      </c>
      <c r="F463" s="2205">
        <v>88.397800000000004</v>
      </c>
      <c r="G463" s="2200">
        <v>87.060299999999998</v>
      </c>
      <c r="H463" s="354">
        <v>3.97</v>
      </c>
      <c r="I463" s="721">
        <v>3.9384210526315782</v>
      </c>
      <c r="J463" s="769">
        <v>4.0231315789473685</v>
      </c>
      <c r="K463" s="715"/>
      <c r="L463" s="769">
        <v>3.9538600000000002</v>
      </c>
      <c r="M463" s="2218"/>
      <c r="N463" s="2198"/>
      <c r="O463" s="2212">
        <v>218.71100000000001</v>
      </c>
      <c r="P463" s="3284">
        <v>186.6</v>
      </c>
    </row>
    <row r="464" spans="1:16">
      <c r="A464" s="219">
        <f t="shared" si="0"/>
        <v>2010.11</v>
      </c>
      <c r="B464" s="2195">
        <v>90.509500000000003</v>
      </c>
      <c r="C464" s="2205">
        <v>87.158000000000001</v>
      </c>
      <c r="D464" s="2200">
        <v>95.083399999999997</v>
      </c>
      <c r="E464" s="2207">
        <v>87.811700000000002</v>
      </c>
      <c r="F464" s="2205">
        <v>88.977199999999996</v>
      </c>
      <c r="G464" s="2200">
        <v>86.684100000000001</v>
      </c>
      <c r="H464" s="354">
        <v>3.98</v>
      </c>
      <c r="I464" s="721">
        <v>3.9485714285714288</v>
      </c>
      <c r="J464" s="769">
        <v>4.0398809523809529</v>
      </c>
      <c r="K464" s="715"/>
      <c r="L464" s="769">
        <v>3.9674800000000001</v>
      </c>
      <c r="M464" s="2218"/>
      <c r="N464" s="2198"/>
      <c r="O464" s="2212">
        <v>218.803</v>
      </c>
      <c r="P464" s="3284">
        <v>187.7</v>
      </c>
    </row>
    <row r="465" spans="1:16">
      <c r="A465" s="219">
        <f t="shared" si="0"/>
        <v>2010.12</v>
      </c>
      <c r="B465" s="2195">
        <v>91.183499999999995</v>
      </c>
      <c r="C465" s="2205">
        <v>88.284099999999995</v>
      </c>
      <c r="D465" s="2200">
        <v>95.224800000000002</v>
      </c>
      <c r="E465" s="2207">
        <v>88.515299999999996</v>
      </c>
      <c r="F465" s="2205">
        <v>90.193200000000004</v>
      </c>
      <c r="G465" s="2200">
        <v>86.847099999999998</v>
      </c>
      <c r="H465" s="354">
        <v>3.99</v>
      </c>
      <c r="I465" s="721">
        <v>3.9584210526315786</v>
      </c>
      <c r="J465" s="769">
        <v>4.0667500000000008</v>
      </c>
      <c r="K465" s="715"/>
      <c r="L465" s="769">
        <v>3.9794900000000002</v>
      </c>
      <c r="M465" s="2218"/>
      <c r="N465" s="2198"/>
      <c r="O465" s="2212">
        <v>219.179</v>
      </c>
      <c r="P465" s="3284">
        <v>189.7</v>
      </c>
    </row>
    <row r="466" spans="1:16">
      <c r="A466" s="219">
        <f t="shared" si="0"/>
        <v>2011.01</v>
      </c>
      <c r="B466" s="2195">
        <v>90.111199999999997</v>
      </c>
      <c r="C466" s="2205">
        <v>87.2483</v>
      </c>
      <c r="D466" s="2200">
        <v>94.102599999999995</v>
      </c>
      <c r="E466" s="2207">
        <v>87.430499999999995</v>
      </c>
      <c r="F466" s="2205">
        <v>89.208299999999994</v>
      </c>
      <c r="G466" s="2200">
        <v>85.659899999999993</v>
      </c>
      <c r="H466" s="354">
        <v>4</v>
      </c>
      <c r="I466" s="721">
        <v>3.9628571428571435</v>
      </c>
      <c r="J466" s="769">
        <v>4.1334999999999997</v>
      </c>
      <c r="K466" s="715"/>
      <c r="L466" s="769">
        <v>4.08995</v>
      </c>
      <c r="M466" s="2218"/>
      <c r="N466" s="2198"/>
      <c r="O466" s="2212">
        <v>220.22300000000001</v>
      </c>
      <c r="P466" s="3284">
        <v>192.7</v>
      </c>
    </row>
    <row r="467" spans="1:16">
      <c r="A467" s="219">
        <f t="shared" si="0"/>
        <v>2011.02</v>
      </c>
      <c r="B467" s="2195">
        <v>89.396699999999996</v>
      </c>
      <c r="C467" s="2205">
        <v>86.106899999999996</v>
      </c>
      <c r="D467" s="2200">
        <v>93.873099999999994</v>
      </c>
      <c r="E467" s="2207">
        <v>86.805400000000006</v>
      </c>
      <c r="F467" s="2205">
        <v>88.232600000000005</v>
      </c>
      <c r="G467" s="2200">
        <v>85.392799999999994</v>
      </c>
      <c r="H467" s="354">
        <v>4.04</v>
      </c>
      <c r="I467" s="721">
        <v>4.0026315789473692</v>
      </c>
      <c r="J467" s="769">
        <v>4.1456</v>
      </c>
      <c r="K467" s="715"/>
      <c r="L467" s="769">
        <v>4.2063499999999996</v>
      </c>
      <c r="M467" s="2218"/>
      <c r="N467" s="2198"/>
      <c r="O467" s="2212">
        <v>221.309</v>
      </c>
      <c r="P467" s="3284">
        <v>195.8</v>
      </c>
    </row>
    <row r="468" spans="1:16">
      <c r="A468" s="219">
        <f t="shared" si="0"/>
        <v>2011.03</v>
      </c>
      <c r="B468" s="2195">
        <v>88.487200000000001</v>
      </c>
      <c r="C468" s="2205">
        <v>84.707300000000004</v>
      </c>
      <c r="D468" s="2200">
        <v>93.526600000000002</v>
      </c>
      <c r="E468" s="2207">
        <v>86.029200000000003</v>
      </c>
      <c r="F468" s="2205">
        <v>86.8934</v>
      </c>
      <c r="G468" s="2200">
        <v>85.197599999999994</v>
      </c>
      <c r="H468" s="354">
        <v>4.04</v>
      </c>
      <c r="I468" s="721">
        <v>4.0178947368421039</v>
      </c>
      <c r="J468" s="769">
        <v>4.1484473684210528</v>
      </c>
      <c r="K468" s="715"/>
      <c r="L468" s="769">
        <v>4.18581</v>
      </c>
      <c r="M468" s="2218"/>
      <c r="N468" s="2198"/>
      <c r="O468" s="2212">
        <v>223.46700000000001</v>
      </c>
      <c r="P468" s="3284">
        <v>199.2</v>
      </c>
    </row>
    <row r="469" spans="1:16">
      <c r="A469" s="219">
        <f t="shared" si="0"/>
        <v>2011.04</v>
      </c>
      <c r="B469" s="2195">
        <v>86.921400000000006</v>
      </c>
      <c r="C469" s="2205">
        <v>83.144000000000005</v>
      </c>
      <c r="D469" s="2200">
        <v>91.947199999999995</v>
      </c>
      <c r="E469" s="2207">
        <v>84.5745</v>
      </c>
      <c r="F469" s="2205">
        <v>85.383899999999997</v>
      </c>
      <c r="G469" s="2200">
        <v>83.7988</v>
      </c>
      <c r="H469" s="354">
        <v>4.09</v>
      </c>
      <c r="I469" s="721">
        <v>4.045789473684211</v>
      </c>
      <c r="J469" s="769">
        <v>4.2054999999999989</v>
      </c>
      <c r="K469" s="715"/>
      <c r="L469" s="769">
        <v>4.2389599999999996</v>
      </c>
      <c r="M469" s="2218"/>
      <c r="N469" s="2198"/>
      <c r="O469" s="2212">
        <v>224.90600000000001</v>
      </c>
      <c r="P469" s="3284">
        <v>203.1</v>
      </c>
    </row>
    <row r="470" spans="1:16">
      <c r="A470" s="219">
        <f t="shared" si="0"/>
        <v>2011.05</v>
      </c>
      <c r="B470" s="2195">
        <v>86.946399999999997</v>
      </c>
      <c r="C470" s="2205">
        <v>83.304699999999997</v>
      </c>
      <c r="D470" s="2200">
        <v>91.814300000000003</v>
      </c>
      <c r="E470" s="2207">
        <v>84.665999999999997</v>
      </c>
      <c r="F470" s="2205">
        <v>85.710700000000003</v>
      </c>
      <c r="G470" s="2200">
        <v>83.646199999999993</v>
      </c>
      <c r="H470" s="354">
        <v>4.0999999999999996</v>
      </c>
      <c r="I470" s="721">
        <v>4.0647619047619044</v>
      </c>
      <c r="J470" s="769">
        <v>4.300023809523811</v>
      </c>
      <c r="K470" s="715"/>
      <c r="L470" s="769">
        <v>4.4605800000000002</v>
      </c>
      <c r="M470" s="2218"/>
      <c r="N470" s="2198"/>
      <c r="O470" s="2212">
        <v>225.964</v>
      </c>
      <c r="P470" s="3284">
        <v>204.1</v>
      </c>
    </row>
    <row r="471" spans="1:16">
      <c r="A471" s="219">
        <f t="shared" si="0"/>
        <v>2011.06</v>
      </c>
      <c r="B471" s="2195">
        <v>86.941199999999995</v>
      </c>
      <c r="C471" s="2205">
        <v>83.228099999999998</v>
      </c>
      <c r="D471" s="2200">
        <v>91.8917</v>
      </c>
      <c r="E471" s="2207">
        <v>84.514600000000002</v>
      </c>
      <c r="F471" s="2205">
        <v>85.689700000000002</v>
      </c>
      <c r="G471" s="2200">
        <v>83.359899999999996</v>
      </c>
      <c r="H471" s="354">
        <v>4.12</v>
      </c>
      <c r="I471" s="721">
        <v>4.0752380952380953</v>
      </c>
      <c r="J471" s="769">
        <v>4.2839285714285706</v>
      </c>
      <c r="K471" s="715"/>
      <c r="L471" s="769">
        <v>4.2272699999999999</v>
      </c>
      <c r="M471" s="2218"/>
      <c r="N471" s="2198"/>
      <c r="O471" s="2212">
        <v>225.72200000000001</v>
      </c>
      <c r="P471" s="3284">
        <v>203.9</v>
      </c>
    </row>
    <row r="472" spans="1:16">
      <c r="A472" s="219">
        <f t="shared" si="0"/>
        <v>2011.07</v>
      </c>
      <c r="B472" s="2195">
        <v>86.317800000000005</v>
      </c>
      <c r="C472" s="2205">
        <v>82.678299999999993</v>
      </c>
      <c r="D472" s="2200">
        <v>91.178200000000004</v>
      </c>
      <c r="E472" s="2207">
        <v>83.915300000000002</v>
      </c>
      <c r="F472" s="2205">
        <v>85.241</v>
      </c>
      <c r="G472" s="2200">
        <v>82.605199999999996</v>
      </c>
      <c r="H472" s="354">
        <v>4.1500000000000004</v>
      </c>
      <c r="I472" s="721">
        <v>4.10952380952381</v>
      </c>
      <c r="J472" s="769">
        <v>4.2945952380952388</v>
      </c>
      <c r="K472" s="715"/>
      <c r="L472" s="769">
        <v>4.1865699999999997</v>
      </c>
      <c r="M472" s="2218"/>
      <c r="N472" s="2198"/>
      <c r="O472" s="2212">
        <v>225.922</v>
      </c>
      <c r="P472" s="3284">
        <v>204.6</v>
      </c>
    </row>
    <row r="473" spans="1:16">
      <c r="A473" s="219">
        <f t="shared" si="0"/>
        <v>2011.08</v>
      </c>
      <c r="B473" s="2195">
        <v>86.898300000000006</v>
      </c>
      <c r="C473" s="2205">
        <v>82.693799999999996</v>
      </c>
      <c r="D473" s="2200">
        <v>92.427499999999995</v>
      </c>
      <c r="E473" s="2207">
        <v>84.577699999999993</v>
      </c>
      <c r="F473" s="2205">
        <v>85.409400000000005</v>
      </c>
      <c r="G473" s="2200">
        <v>83.778800000000004</v>
      </c>
      <c r="H473" s="354">
        <v>4.2</v>
      </c>
      <c r="I473" s="721">
        <v>4.1490909090909094</v>
      </c>
      <c r="J473" s="769">
        <v>4.3627272727272732</v>
      </c>
      <c r="K473" s="715"/>
      <c r="L473" s="769">
        <v>4.4289399999999999</v>
      </c>
      <c r="M473" s="2218"/>
      <c r="N473" s="2198"/>
      <c r="O473" s="2212">
        <v>226.54499999999999</v>
      </c>
      <c r="P473" s="3284">
        <v>203.2</v>
      </c>
    </row>
    <row r="474" spans="1:16">
      <c r="A474" s="219">
        <f t="shared" si="0"/>
        <v>2011.09</v>
      </c>
      <c r="B474" s="2195">
        <v>89.725300000000004</v>
      </c>
      <c r="C474" s="2205">
        <v>85.338200000000001</v>
      </c>
      <c r="D474" s="2200">
        <v>95.489599999999996</v>
      </c>
      <c r="E474" s="2207">
        <v>87.280900000000003</v>
      </c>
      <c r="F474" s="2205">
        <v>88.034899999999993</v>
      </c>
      <c r="G474" s="2200">
        <v>86.565100000000001</v>
      </c>
      <c r="H474" s="354">
        <v>4.22</v>
      </c>
      <c r="I474" s="721">
        <v>4.1854545454545447</v>
      </c>
      <c r="J474" s="769">
        <v>4.4359999999999999</v>
      </c>
      <c r="K474" s="715"/>
      <c r="L474" s="769">
        <v>4.6909599999999996</v>
      </c>
      <c r="M474" s="2218"/>
      <c r="N474" s="2198"/>
      <c r="O474" s="2212">
        <v>226.88900000000001</v>
      </c>
      <c r="P474" s="3284">
        <v>203.7</v>
      </c>
    </row>
    <row r="475" spans="1:16">
      <c r="A475" s="219">
        <f t="shared" si="0"/>
        <v>2011.1</v>
      </c>
      <c r="B475" s="2195">
        <v>90.609800000000007</v>
      </c>
      <c r="C475" s="2205">
        <v>85.899100000000004</v>
      </c>
      <c r="D475" s="2200">
        <v>96.765000000000001</v>
      </c>
      <c r="E475" s="2207">
        <v>87.941900000000004</v>
      </c>
      <c r="F475" s="2205">
        <v>88.476399999999998</v>
      </c>
      <c r="G475" s="2200">
        <v>87.456000000000003</v>
      </c>
      <c r="H475" s="354">
        <v>4.24</v>
      </c>
      <c r="I475" s="721">
        <v>4.2060000000000004</v>
      </c>
      <c r="J475" s="769">
        <v>4.4382000000000001</v>
      </c>
      <c r="K475" s="715"/>
      <c r="L475" s="769">
        <v>5.0611100000000002</v>
      </c>
      <c r="M475" s="2218"/>
      <c r="N475" s="2198"/>
      <c r="O475" s="2212">
        <v>226.42099999999999</v>
      </c>
      <c r="P475" s="3284">
        <v>201.1</v>
      </c>
    </row>
    <row r="476" spans="1:16">
      <c r="A476" s="219">
        <f t="shared" si="0"/>
        <v>2011.11</v>
      </c>
      <c r="B476" s="2195">
        <v>91.264899999999997</v>
      </c>
      <c r="C476" s="2205">
        <v>86.620199999999997</v>
      </c>
      <c r="D476" s="2200">
        <v>97.343299999999999</v>
      </c>
      <c r="E476" s="2207">
        <v>88.557400000000001</v>
      </c>
      <c r="F476" s="2205">
        <v>89.284400000000005</v>
      </c>
      <c r="G476" s="2200">
        <v>87.870699999999999</v>
      </c>
      <c r="H476" s="354">
        <v>4.28</v>
      </c>
      <c r="I476" s="721">
        <v>4.241428571428572</v>
      </c>
      <c r="J476" s="769">
        <v>4.714047619047621</v>
      </c>
      <c r="K476" s="715"/>
      <c r="L476" s="769">
        <v>4.5910099999999998</v>
      </c>
      <c r="M476" s="2218"/>
      <c r="N476" s="2198"/>
      <c r="O476" s="2212">
        <v>226.23</v>
      </c>
      <c r="P476" s="3284">
        <v>201.4</v>
      </c>
    </row>
    <row r="477" spans="1:16">
      <c r="A477" s="219">
        <f t="shared" si="0"/>
        <v>2011.12</v>
      </c>
      <c r="B477" s="2195">
        <v>92.205600000000004</v>
      </c>
      <c r="C477" s="2205">
        <v>87.818200000000004</v>
      </c>
      <c r="D477" s="2200">
        <v>97.9846</v>
      </c>
      <c r="E477" s="2207">
        <v>89.361000000000004</v>
      </c>
      <c r="F477" s="2205">
        <v>90.529899999999998</v>
      </c>
      <c r="G477" s="2200">
        <v>88.216099999999997</v>
      </c>
      <c r="H477" s="354">
        <v>4.3</v>
      </c>
      <c r="I477" s="721">
        <v>4.2678947368421039</v>
      </c>
      <c r="J477" s="769">
        <v>4.6531578947368422</v>
      </c>
      <c r="K477" s="715"/>
      <c r="L477" s="769">
        <v>4.6074099999999998</v>
      </c>
      <c r="M477" s="2218"/>
      <c r="N477" s="2198"/>
      <c r="O477" s="2212">
        <v>225.672</v>
      </c>
      <c r="P477" s="3284">
        <v>199.8</v>
      </c>
    </row>
    <row r="478" spans="1:16">
      <c r="A478" s="219">
        <f t="shared" si="0"/>
        <v>2012.01</v>
      </c>
      <c r="B478" s="2195">
        <v>91.646299999999997</v>
      </c>
      <c r="C478" s="2205">
        <v>87.963099999999997</v>
      </c>
      <c r="D478" s="2200">
        <v>96.613</v>
      </c>
      <c r="E478" s="2207">
        <v>88.69</v>
      </c>
      <c r="F478" s="2205">
        <v>90.613100000000003</v>
      </c>
      <c r="G478" s="2200">
        <v>86.787800000000004</v>
      </c>
      <c r="H478" s="354">
        <v>4.34</v>
      </c>
      <c r="I478" s="721">
        <v>4.3014285714285689</v>
      </c>
      <c r="J478" s="769">
        <v>4.8040476190476182</v>
      </c>
      <c r="K478" s="715"/>
      <c r="L478" s="769">
        <v>4.6055999999999999</v>
      </c>
      <c r="M478" s="2218"/>
      <c r="N478" s="2198"/>
      <c r="O478" s="2212">
        <v>226.66499999999999</v>
      </c>
      <c r="P478" s="3284">
        <v>200.7</v>
      </c>
    </row>
    <row r="479" spans="1:16">
      <c r="A479" s="219">
        <f t="shared" si="0"/>
        <v>2012.02</v>
      </c>
      <c r="B479" s="2195">
        <v>89.960499999999996</v>
      </c>
      <c r="C479" s="2205">
        <v>86.618600000000001</v>
      </c>
      <c r="D479" s="2200">
        <v>94.524199999999993</v>
      </c>
      <c r="E479" s="2207">
        <v>87.241</v>
      </c>
      <c r="F479" s="2205">
        <v>89.322500000000005</v>
      </c>
      <c r="G479" s="2200">
        <v>85.1815</v>
      </c>
      <c r="H479" s="354">
        <v>4.3499999999999996</v>
      </c>
      <c r="I479" s="721">
        <v>4.3266666666666662</v>
      </c>
      <c r="J479" s="769">
        <v>4.7418055555555556</v>
      </c>
      <c r="K479" s="715"/>
      <c r="L479" s="769">
        <v>4.8047300000000002</v>
      </c>
      <c r="M479" s="2218"/>
      <c r="N479" s="2198"/>
      <c r="O479" s="2212">
        <v>227.66300000000001</v>
      </c>
      <c r="P479" s="3284">
        <v>201.6</v>
      </c>
    </row>
    <row r="480" spans="1:16">
      <c r="A480" s="219">
        <f t="shared" si="0"/>
        <v>2012.03</v>
      </c>
      <c r="B480" s="2195">
        <v>90.511200000000002</v>
      </c>
      <c r="C480" s="2205">
        <v>87.316599999999994</v>
      </c>
      <c r="D480" s="2200">
        <v>94.913200000000003</v>
      </c>
      <c r="E480" s="2207">
        <v>87.666499999999999</v>
      </c>
      <c r="F480" s="2205">
        <v>90.0428</v>
      </c>
      <c r="G480" s="2200">
        <v>85.315600000000003</v>
      </c>
      <c r="H480" s="354">
        <v>4.38</v>
      </c>
      <c r="I480" s="721">
        <v>4.337727272727272</v>
      </c>
      <c r="J480" s="769">
        <v>4.7915909090909086</v>
      </c>
      <c r="K480" s="715"/>
      <c r="L480" s="769">
        <v>5.0599999999999996</v>
      </c>
      <c r="M480" s="2218"/>
      <c r="N480" s="2198"/>
      <c r="O480" s="2212">
        <v>229.392</v>
      </c>
      <c r="P480" s="3284">
        <v>204.2</v>
      </c>
    </row>
    <row r="481" spans="1:16">
      <c r="A481" s="219">
        <f t="shared" si="0"/>
        <v>2012.04</v>
      </c>
      <c r="B481" s="2195">
        <v>90.815600000000003</v>
      </c>
      <c r="C481" s="2205">
        <v>87.161000000000001</v>
      </c>
      <c r="D481" s="2200">
        <v>95.742999999999995</v>
      </c>
      <c r="E481" s="2207">
        <v>87.887699999999995</v>
      </c>
      <c r="F481" s="2205">
        <v>89.812600000000003</v>
      </c>
      <c r="G481" s="2200">
        <v>85.983599999999996</v>
      </c>
      <c r="H481" s="354">
        <v>4.41</v>
      </c>
      <c r="I481" s="721">
        <v>4.3788235294117657</v>
      </c>
      <c r="J481" s="769">
        <v>4.9823529411764707</v>
      </c>
      <c r="K481" s="715"/>
      <c r="L481" s="769">
        <v>5.3535899999999996</v>
      </c>
      <c r="M481" s="2218"/>
      <c r="N481" s="2198"/>
      <c r="O481" s="2212">
        <v>230.08500000000001</v>
      </c>
      <c r="P481" s="3284">
        <v>203.7</v>
      </c>
    </row>
    <row r="482" spans="1:16">
      <c r="A482" s="219">
        <f t="shared" si="0"/>
        <v>2012.05</v>
      </c>
      <c r="B482" s="2195">
        <v>92.492800000000003</v>
      </c>
      <c r="C482" s="2205">
        <v>88.510800000000003</v>
      </c>
      <c r="D482" s="2200">
        <v>97.8078</v>
      </c>
      <c r="E482" s="2207">
        <v>89.287899999999993</v>
      </c>
      <c r="F482" s="2205">
        <v>91.186599999999999</v>
      </c>
      <c r="G482" s="2200">
        <v>87.41</v>
      </c>
      <c r="H482" s="354">
        <v>4.4800000000000004</v>
      </c>
      <c r="I482" s="721">
        <v>4.4319047619047627</v>
      </c>
      <c r="J482" s="769">
        <v>5.4885714285714284</v>
      </c>
      <c r="K482" s="715"/>
      <c r="L482" s="769">
        <v>6.1710500000000001</v>
      </c>
      <c r="M482" s="2218"/>
      <c r="N482" s="2198"/>
      <c r="O482" s="2212">
        <v>229.815</v>
      </c>
      <c r="P482" s="3284">
        <v>201.9</v>
      </c>
    </row>
    <row r="483" spans="1:16">
      <c r="A483" s="219">
        <f t="shared" si="0"/>
        <v>2012.06</v>
      </c>
      <c r="B483" s="2195">
        <v>93.880899999999997</v>
      </c>
      <c r="C483" s="2205">
        <v>89.888400000000004</v>
      </c>
      <c r="D483" s="2200">
        <v>99.219300000000004</v>
      </c>
      <c r="E483" s="2207">
        <v>90.521199999999993</v>
      </c>
      <c r="F483" s="2205">
        <v>92.670100000000005</v>
      </c>
      <c r="G483" s="2200">
        <v>88.394900000000007</v>
      </c>
      <c r="H483" s="354">
        <v>4.5199999999999996</v>
      </c>
      <c r="I483" s="721">
        <v>4.479000000000001</v>
      </c>
      <c r="J483" s="769">
        <v>5.9324999999999983</v>
      </c>
      <c r="K483" s="715"/>
      <c r="L483" s="769">
        <v>6.5620900000000004</v>
      </c>
      <c r="M483" s="2218"/>
      <c r="N483" s="2198"/>
      <c r="O483" s="2212">
        <v>229.47800000000001</v>
      </c>
      <c r="P483" s="3284">
        <v>199.8</v>
      </c>
    </row>
    <row r="484" spans="1:16">
      <c r="A484" s="219">
        <f t="shared" si="0"/>
        <v>2012.07</v>
      </c>
      <c r="B484" s="2195">
        <v>93.406199999999998</v>
      </c>
      <c r="C484" s="2205">
        <v>90.070099999999996</v>
      </c>
      <c r="D484" s="2200">
        <v>97.993300000000005</v>
      </c>
      <c r="E484" s="2207">
        <v>89.960300000000004</v>
      </c>
      <c r="F484" s="2205">
        <v>92.802599999999998</v>
      </c>
      <c r="G484" s="2200">
        <v>87.152100000000004</v>
      </c>
      <c r="H484" s="354">
        <v>4.58</v>
      </c>
      <c r="I484" s="721">
        <v>4.5347619047619041</v>
      </c>
      <c r="J484" s="769">
        <v>6.2509523809523815</v>
      </c>
      <c r="K484" s="715"/>
      <c r="L484" s="769">
        <v>6.7145400000000004</v>
      </c>
      <c r="M484" s="2218"/>
      <c r="N484" s="2198"/>
      <c r="O484" s="2212">
        <v>229.10400000000001</v>
      </c>
      <c r="P484" s="3284">
        <v>200.1</v>
      </c>
    </row>
    <row r="485" spans="1:16">
      <c r="A485" s="219">
        <f t="shared" si="0"/>
        <v>2012.08</v>
      </c>
      <c r="B485" s="2195">
        <v>92.528300000000002</v>
      </c>
      <c r="C485" s="2205">
        <v>88.892200000000003</v>
      </c>
      <c r="D485" s="2200">
        <v>97.448499999999996</v>
      </c>
      <c r="E485" s="2207">
        <v>89.3078</v>
      </c>
      <c r="F485" s="2205">
        <v>91.874499999999998</v>
      </c>
      <c r="G485" s="2200">
        <v>86.769400000000005</v>
      </c>
      <c r="H485" s="354">
        <v>4.6399999999999997</v>
      </c>
      <c r="I485" s="721">
        <v>4.5922727272727277</v>
      </c>
      <c r="J485" s="769">
        <v>6.3011363636363633</v>
      </c>
      <c r="K485" s="715"/>
      <c r="L485" s="769">
        <v>6.4772699999999999</v>
      </c>
      <c r="M485" s="2218"/>
      <c r="N485" s="2198"/>
      <c r="O485" s="2212">
        <v>230.37899999999999</v>
      </c>
      <c r="P485" s="3284">
        <v>202.7</v>
      </c>
    </row>
    <row r="486" spans="1:16">
      <c r="A486" s="219">
        <f t="shared" si="0"/>
        <v>2012.09</v>
      </c>
      <c r="B486" s="2195">
        <v>90.980199999999996</v>
      </c>
      <c r="C486" s="2205">
        <v>86.9071</v>
      </c>
      <c r="D486" s="2200">
        <v>96.388300000000001</v>
      </c>
      <c r="E486" s="2207">
        <v>87.994299999999996</v>
      </c>
      <c r="F486" s="2205">
        <v>90.045699999999997</v>
      </c>
      <c r="G486" s="2200">
        <v>85.964500000000001</v>
      </c>
      <c r="H486" s="354">
        <v>4.6900000000000004</v>
      </c>
      <c r="I486" s="721">
        <v>4.6510526315789473</v>
      </c>
      <c r="J486" s="769">
        <v>6.3078947368421057</v>
      </c>
      <c r="K486" s="715"/>
      <c r="L486" s="769">
        <v>6.3054600000000001</v>
      </c>
      <c r="M486" s="2218"/>
      <c r="N486" s="2198"/>
      <c r="O486" s="2212">
        <v>231.40700000000001</v>
      </c>
      <c r="P486" s="3284">
        <v>204.4</v>
      </c>
    </row>
    <row r="487" spans="1:16">
      <c r="A487" s="219">
        <f t="shared" si="0"/>
        <v>2012.1</v>
      </c>
      <c r="B487" s="2195">
        <v>90.756600000000006</v>
      </c>
      <c r="C487" s="2205">
        <v>87.062700000000007</v>
      </c>
      <c r="D487" s="2200">
        <v>95.727699999999999</v>
      </c>
      <c r="E487" s="2207">
        <v>87.860699999999994</v>
      </c>
      <c r="F487" s="2205">
        <v>90.340500000000006</v>
      </c>
      <c r="G487" s="2200">
        <v>85.408100000000005</v>
      </c>
      <c r="H487" s="354">
        <v>4.75</v>
      </c>
      <c r="I487" s="721">
        <v>4.7109090909090918</v>
      </c>
      <c r="J487" s="769">
        <v>6.2677272727272735</v>
      </c>
      <c r="K487" s="715"/>
      <c r="L487" s="769">
        <v>6.6208999999999998</v>
      </c>
      <c r="M487" s="2218"/>
      <c r="N487" s="2198"/>
      <c r="O487" s="2212">
        <v>231.31700000000001</v>
      </c>
      <c r="P487" s="3284">
        <v>203.5</v>
      </c>
    </row>
    <row r="488" spans="1:16">
      <c r="A488" s="219">
        <f t="shared" si="0"/>
        <v>2012.11</v>
      </c>
      <c r="B488" s="2195">
        <v>91.475099999999998</v>
      </c>
      <c r="C488" s="2205">
        <v>88.103399999999993</v>
      </c>
      <c r="D488" s="2200">
        <v>96.085400000000007</v>
      </c>
      <c r="E488" s="2207">
        <v>88.268600000000006</v>
      </c>
      <c r="F488" s="2205">
        <v>91.211500000000001</v>
      </c>
      <c r="G488" s="2200">
        <v>85.363200000000006</v>
      </c>
      <c r="H488" s="354">
        <v>4.83</v>
      </c>
      <c r="I488" s="721">
        <v>4.778999999999999</v>
      </c>
      <c r="J488" s="769">
        <v>6.3639999999999999</v>
      </c>
      <c r="K488" s="715"/>
      <c r="L488" s="769">
        <v>6.75</v>
      </c>
      <c r="M488" s="2218"/>
      <c r="N488" s="2198"/>
      <c r="O488" s="2212">
        <v>230.221</v>
      </c>
      <c r="P488" s="3284">
        <v>201.8</v>
      </c>
    </row>
    <row r="489" spans="1:16">
      <c r="A489" s="219">
        <f t="shared" si="0"/>
        <v>2012.12</v>
      </c>
      <c r="B489" s="2195">
        <v>90.880399999999995</v>
      </c>
      <c r="C489" s="2205">
        <v>87.468800000000002</v>
      </c>
      <c r="D489" s="2200">
        <v>95.530900000000003</v>
      </c>
      <c r="E489" s="2207">
        <v>87.497</v>
      </c>
      <c r="F489" s="2205">
        <v>90.481700000000004</v>
      </c>
      <c r="G489" s="2200">
        <v>84.551299999999998</v>
      </c>
      <c r="H489" s="354">
        <v>4.9000000000000004</v>
      </c>
      <c r="I489" s="721">
        <v>4.8610526315789482</v>
      </c>
      <c r="J489" s="769">
        <v>6.5431578947368427</v>
      </c>
      <c r="K489" s="715"/>
      <c r="L489" s="769">
        <v>6.5478699999999996</v>
      </c>
      <c r="M489" s="2218"/>
      <c r="N489" s="2198"/>
      <c r="O489" s="2212">
        <v>229.601</v>
      </c>
      <c r="P489" s="3284">
        <v>201.5</v>
      </c>
    </row>
    <row r="490" spans="1:16">
      <c r="A490" s="219">
        <f t="shared" si="0"/>
        <v>2013.01</v>
      </c>
      <c r="B490" s="2195">
        <v>90.825500000000005</v>
      </c>
      <c r="C490" s="2205">
        <v>87.957999999999998</v>
      </c>
      <c r="D490" s="2200">
        <v>94.877200000000002</v>
      </c>
      <c r="E490" s="2207">
        <v>87.412899999999993</v>
      </c>
      <c r="F490" s="2205">
        <v>91.050700000000006</v>
      </c>
      <c r="G490" s="2200">
        <v>83.860299999999995</v>
      </c>
      <c r="H490" s="354">
        <v>4.9800000000000004</v>
      </c>
      <c r="I490" s="721">
        <v>4.93047619047619</v>
      </c>
      <c r="J490" s="769">
        <v>7.3571428571428568</v>
      </c>
      <c r="K490" s="715"/>
      <c r="L490" s="769">
        <v>7.7102300000000001</v>
      </c>
      <c r="M490" s="2218"/>
      <c r="N490" s="2198"/>
      <c r="O490" s="2212">
        <v>230.28</v>
      </c>
      <c r="P490" s="3284">
        <v>202.5</v>
      </c>
    </row>
    <row r="491" spans="1:16">
      <c r="A491" s="219">
        <f t="shared" si="0"/>
        <v>2013.02</v>
      </c>
      <c r="B491" s="2195">
        <v>91.550899999999999</v>
      </c>
      <c r="C491" s="2205">
        <v>89.197800000000001</v>
      </c>
      <c r="D491" s="2200">
        <v>95.058899999999994</v>
      </c>
      <c r="E491" s="2207">
        <v>88.290800000000004</v>
      </c>
      <c r="F491" s="2205">
        <v>92.590299999999999</v>
      </c>
      <c r="G491" s="2200">
        <v>84.129199999999997</v>
      </c>
      <c r="H491" s="354">
        <v>5.03</v>
      </c>
      <c r="I491" s="721">
        <v>4.9923529411764704</v>
      </c>
      <c r="J491" s="769">
        <v>7.7364705882352949</v>
      </c>
      <c r="K491" s="715"/>
      <c r="L491" s="769">
        <v>8.0176999999999996</v>
      </c>
      <c r="M491" s="2218"/>
      <c r="N491" s="2198"/>
      <c r="O491" s="2212">
        <v>232.166</v>
      </c>
      <c r="P491" s="3284">
        <v>204.3</v>
      </c>
    </row>
    <row r="492" spans="1:16">
      <c r="A492" s="219">
        <f t="shared" si="0"/>
        <v>2013.03</v>
      </c>
      <c r="B492" s="2195">
        <v>92.413200000000003</v>
      </c>
      <c r="C492" s="2205">
        <v>91.150999999999996</v>
      </c>
      <c r="D492" s="2200">
        <v>94.778700000000001</v>
      </c>
      <c r="E492" s="2207">
        <v>88.779200000000003</v>
      </c>
      <c r="F492" s="2205">
        <v>94.296499999999995</v>
      </c>
      <c r="G492" s="2200">
        <v>83.521100000000004</v>
      </c>
      <c r="H492" s="354">
        <v>5.0999999999999996</v>
      </c>
      <c r="I492" s="721">
        <v>5.0663157894736841</v>
      </c>
      <c r="J492" s="769">
        <v>8.0697368421052627</v>
      </c>
      <c r="K492" s="715"/>
      <c r="L492" s="769">
        <v>8.4152100000000001</v>
      </c>
      <c r="M492" s="2218"/>
      <c r="N492" s="2198"/>
      <c r="O492" s="2212">
        <v>232.773</v>
      </c>
      <c r="P492" s="3284">
        <v>204</v>
      </c>
    </row>
    <row r="493" spans="1:16">
      <c r="A493" s="219">
        <f t="shared" si="0"/>
        <v>2013.04</v>
      </c>
      <c r="B493" s="2195">
        <v>92.047799999999995</v>
      </c>
      <c r="C493" s="2205">
        <v>91.018900000000002</v>
      </c>
      <c r="D493" s="2200">
        <v>94.166700000000006</v>
      </c>
      <c r="E493" s="2207">
        <v>88.029799999999994</v>
      </c>
      <c r="F493" s="2205">
        <v>94.145799999999994</v>
      </c>
      <c r="G493" s="2200">
        <v>82.247299999999996</v>
      </c>
      <c r="H493" s="354">
        <v>5.16</v>
      </c>
      <c r="I493" s="721">
        <v>5.136000000000001</v>
      </c>
      <c r="J493" s="769">
        <v>8.6660000000000004</v>
      </c>
      <c r="K493" s="715"/>
      <c r="L493" s="769">
        <v>9.1824399999999997</v>
      </c>
      <c r="M493" s="2218"/>
      <c r="N493" s="2198"/>
      <c r="O493" s="2212">
        <v>232.53100000000001</v>
      </c>
      <c r="P493" s="3284">
        <v>203.5</v>
      </c>
    </row>
    <row r="494" spans="1:16">
      <c r="A494" s="219">
        <f t="shared" ref="A494:A559" si="1">A482+1</f>
        <v>2013.05</v>
      </c>
      <c r="B494" s="2195">
        <v>92.528999999999996</v>
      </c>
      <c r="C494" s="2205">
        <v>91.811300000000003</v>
      </c>
      <c r="D494" s="2200">
        <v>94.332700000000003</v>
      </c>
      <c r="E494" s="2207">
        <v>88.429500000000004</v>
      </c>
      <c r="F494" s="2205">
        <v>94.940399999999997</v>
      </c>
      <c r="G494" s="2200">
        <v>82.300600000000003</v>
      </c>
      <c r="H494" s="354">
        <v>5.26</v>
      </c>
      <c r="I494" s="721">
        <v>5.2213636363636367</v>
      </c>
      <c r="J494" s="769">
        <v>9.2565909090909084</v>
      </c>
      <c r="K494" s="715"/>
      <c r="L494" s="769">
        <v>8.4621099999999991</v>
      </c>
      <c r="M494" s="2218"/>
      <c r="N494" s="2198"/>
      <c r="O494" s="2212">
        <v>232.94499999999999</v>
      </c>
      <c r="P494" s="3284">
        <v>204.1</v>
      </c>
    </row>
    <row r="495" spans="1:16">
      <c r="A495" s="219">
        <f t="shared" si="1"/>
        <v>2013.06</v>
      </c>
      <c r="B495" s="2195">
        <v>93.283600000000007</v>
      </c>
      <c r="C495" s="2205">
        <v>91.045299999999997</v>
      </c>
      <c r="D495" s="2200">
        <v>96.688599999999994</v>
      </c>
      <c r="E495" s="2207">
        <v>89.148300000000006</v>
      </c>
      <c r="F495" s="2205">
        <v>94.208699999999993</v>
      </c>
      <c r="G495" s="2200">
        <v>84.296499999999995</v>
      </c>
      <c r="H495" s="354">
        <v>5.38</v>
      </c>
      <c r="I495" s="721">
        <v>5.3122222222222231</v>
      </c>
      <c r="J495" s="769">
        <v>8.2122222222222216</v>
      </c>
      <c r="K495" s="715"/>
      <c r="L495" s="769">
        <v>7.7657100000000003</v>
      </c>
      <c r="M495" s="2218"/>
      <c r="N495" s="2198"/>
      <c r="O495" s="2212">
        <v>233.50399999999999</v>
      </c>
      <c r="P495" s="3284">
        <v>204.3</v>
      </c>
    </row>
    <row r="496" spans="1:16">
      <c r="A496" s="219">
        <f t="shared" si="1"/>
        <v>2013.07</v>
      </c>
      <c r="B496" s="2195">
        <v>93.872399999999999</v>
      </c>
      <c r="C496" s="2205">
        <v>92.220399999999998</v>
      </c>
      <c r="D496" s="2200">
        <v>96.663399999999996</v>
      </c>
      <c r="E496" s="2207">
        <v>89.702500000000001</v>
      </c>
      <c r="F496" s="2205">
        <v>95.4452</v>
      </c>
      <c r="G496" s="2200">
        <v>84.241</v>
      </c>
      <c r="H496" s="354">
        <v>5.48</v>
      </c>
      <c r="I496" s="721">
        <v>5.4204999999999988</v>
      </c>
      <c r="J496" s="769">
        <v>8.3293181818181825</v>
      </c>
      <c r="K496" s="715"/>
      <c r="L496" s="769">
        <v>8.5299999999999994</v>
      </c>
      <c r="M496" s="2218"/>
      <c r="N496" s="2198"/>
      <c r="O496" s="2212">
        <v>233.596</v>
      </c>
      <c r="P496" s="3284">
        <v>204.4</v>
      </c>
    </row>
    <row r="497" spans="1:16">
      <c r="A497" s="219">
        <f t="shared" si="1"/>
        <v>2013.08</v>
      </c>
      <c r="B497" s="2195">
        <v>93.7149</v>
      </c>
      <c r="C497" s="2205">
        <v>91.166700000000006</v>
      </c>
      <c r="D497" s="2200">
        <v>97.454999999999998</v>
      </c>
      <c r="E497" s="2207">
        <v>89.6143</v>
      </c>
      <c r="F497" s="2205">
        <v>94.490600000000001</v>
      </c>
      <c r="G497" s="2200">
        <v>84.926299999999998</v>
      </c>
      <c r="H497" s="354">
        <v>5.64</v>
      </c>
      <c r="I497" s="721">
        <v>5.5619047619047617</v>
      </c>
      <c r="J497" s="769">
        <v>8.8634999999999984</v>
      </c>
      <c r="K497" s="715"/>
      <c r="L497" s="769">
        <v>8.5500000000000007</v>
      </c>
      <c r="M497" s="2218"/>
      <c r="N497" s="2198"/>
      <c r="O497" s="2212">
        <v>233.87700000000001</v>
      </c>
      <c r="P497" s="3284">
        <v>204.2</v>
      </c>
    </row>
    <row r="498" spans="1:16">
      <c r="A498" s="219">
        <f t="shared" si="1"/>
        <v>2013.09</v>
      </c>
      <c r="B498" s="2195">
        <v>93.470600000000005</v>
      </c>
      <c r="C498" s="2205">
        <v>90.724100000000007</v>
      </c>
      <c r="D498" s="2200">
        <v>97.419700000000006</v>
      </c>
      <c r="E498" s="2207">
        <v>89.164400000000001</v>
      </c>
      <c r="F498" s="2205">
        <v>93.915599999999998</v>
      </c>
      <c r="G498" s="2200">
        <v>84.590699999999998</v>
      </c>
      <c r="H498" s="354">
        <v>5.77</v>
      </c>
      <c r="I498" s="721">
        <v>5.7166666666666668</v>
      </c>
      <c r="J498" s="769">
        <v>9.2826190476190487</v>
      </c>
      <c r="K498" s="715"/>
      <c r="L498" s="769">
        <v>9</v>
      </c>
      <c r="M498" s="2218"/>
      <c r="N498" s="2198"/>
      <c r="O498" s="2212">
        <v>234.149</v>
      </c>
      <c r="P498" s="3284">
        <v>203.9</v>
      </c>
    </row>
    <row r="499" spans="1:16">
      <c r="A499" s="219">
        <f t="shared" si="1"/>
        <v>2013.1</v>
      </c>
      <c r="B499" s="2195">
        <v>92.499300000000005</v>
      </c>
      <c r="C499" s="2205">
        <v>89.622200000000007</v>
      </c>
      <c r="D499" s="2200">
        <v>96.579099999999997</v>
      </c>
      <c r="E499" s="2207">
        <v>88.159000000000006</v>
      </c>
      <c r="F499" s="2205">
        <v>92.895099999999999</v>
      </c>
      <c r="G499" s="2200">
        <v>83.602199999999996</v>
      </c>
      <c r="H499" s="354">
        <v>5.9</v>
      </c>
      <c r="I499" s="721">
        <v>5.828181818181819</v>
      </c>
      <c r="J499" s="769">
        <v>9.734</v>
      </c>
      <c r="K499" s="715"/>
      <c r="L499" s="769">
        <v>9.16</v>
      </c>
      <c r="M499" s="2218"/>
      <c r="N499" s="2198"/>
      <c r="O499" s="2212">
        <v>233.54599999999999</v>
      </c>
      <c r="P499" s="3284">
        <v>202.5</v>
      </c>
    </row>
    <row r="500" spans="1:16">
      <c r="A500" s="219">
        <f t="shared" si="1"/>
        <v>2013.11</v>
      </c>
      <c r="B500" s="2195">
        <v>93.373699999999999</v>
      </c>
      <c r="C500" s="2205">
        <v>90.750799999999998</v>
      </c>
      <c r="D500" s="2200">
        <v>97.188699999999997</v>
      </c>
      <c r="E500" s="2207">
        <v>88.912099999999995</v>
      </c>
      <c r="F500" s="2205">
        <v>94.057199999999995</v>
      </c>
      <c r="G500" s="2200">
        <v>83.985200000000006</v>
      </c>
      <c r="H500" s="354">
        <v>6.12</v>
      </c>
      <c r="I500" s="721">
        <v>5.9989473684210539</v>
      </c>
      <c r="J500" s="769">
        <v>9.8177500000000002</v>
      </c>
      <c r="K500" s="715"/>
      <c r="L500" s="769">
        <v>8.7200000000000006</v>
      </c>
      <c r="M500" s="2218"/>
      <c r="N500" s="2198"/>
      <c r="O500" s="2212">
        <v>233.06899999999999</v>
      </c>
      <c r="P500" s="3284">
        <v>201.2</v>
      </c>
    </row>
    <row r="501" spans="1:16">
      <c r="A501" s="219">
        <f t="shared" si="1"/>
        <v>2013.12</v>
      </c>
      <c r="B501" s="2195">
        <v>93.534000000000006</v>
      </c>
      <c r="C501" s="2205">
        <v>90.932000000000002</v>
      </c>
      <c r="D501" s="2200">
        <v>97.328400000000002</v>
      </c>
      <c r="E501" s="2207">
        <v>89.088499999999996</v>
      </c>
      <c r="F501" s="2205">
        <v>94.285899999999998</v>
      </c>
      <c r="G501" s="2200">
        <v>84.114099999999993</v>
      </c>
      <c r="H501" s="354">
        <v>6.5</v>
      </c>
      <c r="I501" s="721">
        <v>6.3031578947368425</v>
      </c>
      <c r="J501" s="769">
        <v>9.6165789473684207</v>
      </c>
      <c r="K501" s="715"/>
      <c r="L501" s="769">
        <v>8.8514900000000001</v>
      </c>
      <c r="M501" s="2218"/>
      <c r="N501" s="2198"/>
      <c r="O501" s="2212">
        <v>233.04900000000001</v>
      </c>
      <c r="P501" s="3284">
        <v>202</v>
      </c>
    </row>
    <row r="502" spans="1:16">
      <c r="A502" s="219">
        <f t="shared" si="1"/>
        <v>2014.01</v>
      </c>
      <c r="B502" s="2195">
        <v>94.464799999999997</v>
      </c>
      <c r="C502" s="2205">
        <v>91.994399999999999</v>
      </c>
      <c r="D502" s="2200">
        <v>98.131500000000003</v>
      </c>
      <c r="E502" s="2207">
        <v>89.981099999999998</v>
      </c>
      <c r="F502" s="2205">
        <v>95.5197</v>
      </c>
      <c r="G502" s="2200">
        <v>84.701899999999995</v>
      </c>
      <c r="H502" s="354">
        <v>8</v>
      </c>
      <c r="I502" s="721">
        <v>7.0831818181818189</v>
      </c>
      <c r="J502" s="769">
        <v>11.291818181818183</v>
      </c>
      <c r="K502" s="715"/>
      <c r="L502" s="769">
        <v>12.2989</v>
      </c>
      <c r="M502" s="2218"/>
      <c r="N502" s="2198"/>
      <c r="O502" s="2212">
        <v>233.916</v>
      </c>
      <c r="P502" s="3284">
        <v>203.8</v>
      </c>
    </row>
    <row r="503" spans="1:16">
      <c r="A503" s="219">
        <f t="shared" si="1"/>
        <v>2014.02</v>
      </c>
      <c r="B503" s="2195">
        <v>94.645600000000002</v>
      </c>
      <c r="C503" s="2205">
        <v>91.848500000000001</v>
      </c>
      <c r="D503" s="2200">
        <v>98.661000000000001</v>
      </c>
      <c r="E503" s="2207">
        <v>90.107799999999997</v>
      </c>
      <c r="F503" s="2205">
        <v>95.319800000000001</v>
      </c>
      <c r="G503" s="2200">
        <v>85.116399999999999</v>
      </c>
      <c r="H503" s="354">
        <v>7.85</v>
      </c>
      <c r="I503" s="721">
        <v>7.7944999999999993</v>
      </c>
      <c r="J503" s="769">
        <v>11.762</v>
      </c>
      <c r="K503" s="715"/>
      <c r="L503" s="769">
        <v>10.34</v>
      </c>
      <c r="M503" s="2218"/>
      <c r="N503" s="2198"/>
      <c r="O503" s="2212">
        <v>234.78100000000001</v>
      </c>
      <c r="P503" s="3284">
        <v>205.7</v>
      </c>
    </row>
    <row r="504" spans="1:16">
      <c r="A504" s="219">
        <f t="shared" si="1"/>
        <v>2014.03</v>
      </c>
      <c r="B504" s="2195">
        <v>94.440799999999996</v>
      </c>
      <c r="C504" s="2205">
        <v>91.47</v>
      </c>
      <c r="D504" s="2200">
        <v>98.639600000000002</v>
      </c>
      <c r="E504" s="2207">
        <v>89.935599999999994</v>
      </c>
      <c r="F504" s="2205">
        <v>95.046099999999996</v>
      </c>
      <c r="G504" s="2200">
        <v>85.034899999999993</v>
      </c>
      <c r="H504" s="354">
        <v>7.98</v>
      </c>
      <c r="I504" s="721">
        <v>7.8827777777777772</v>
      </c>
      <c r="J504" s="769">
        <v>10.847222222222221</v>
      </c>
      <c r="K504" s="715"/>
      <c r="L504" s="769">
        <v>10</v>
      </c>
      <c r="M504" s="2218"/>
      <c r="N504" s="2198"/>
      <c r="O504" s="2212">
        <v>236.29300000000001</v>
      </c>
      <c r="P504" s="3284">
        <v>207</v>
      </c>
    </row>
    <row r="505" spans="1:16">
      <c r="A505" s="219">
        <f t="shared" si="1"/>
        <v>2014.04</v>
      </c>
      <c r="B505" s="2195">
        <v>93.995599999999996</v>
      </c>
      <c r="C505" s="2205">
        <v>91.104699999999994</v>
      </c>
      <c r="D505" s="2200">
        <v>98.103999999999999</v>
      </c>
      <c r="E505" s="2207">
        <v>89.404300000000006</v>
      </c>
      <c r="F505" s="2205">
        <v>94.497500000000002</v>
      </c>
      <c r="G505" s="2200">
        <v>84.521000000000001</v>
      </c>
      <c r="H505" s="354">
        <v>7.99</v>
      </c>
      <c r="I505" s="721">
        <v>7.95</v>
      </c>
      <c r="J505" s="769">
        <v>10.468421052631578</v>
      </c>
      <c r="K505" s="715"/>
      <c r="L505" s="769">
        <v>10.119999999999999</v>
      </c>
      <c r="M505" s="2218"/>
      <c r="N505" s="2198"/>
      <c r="O505" s="2212">
        <v>237.072</v>
      </c>
      <c r="P505" s="3284">
        <v>208.3</v>
      </c>
    </row>
    <row r="506" spans="1:16">
      <c r="A506" s="219">
        <f t="shared" si="1"/>
        <v>2014.05</v>
      </c>
      <c r="B506" s="2195">
        <v>93.67</v>
      </c>
      <c r="C506" s="2205">
        <v>90.928299999999993</v>
      </c>
      <c r="D506" s="2200">
        <v>97.616200000000006</v>
      </c>
      <c r="E506" s="2207">
        <v>89.087900000000005</v>
      </c>
      <c r="F506" s="2205">
        <v>94.494100000000003</v>
      </c>
      <c r="G506" s="2200">
        <v>83.929199999999994</v>
      </c>
      <c r="H506" s="354">
        <v>8.07</v>
      </c>
      <c r="I506" s="721">
        <v>7.9947368421052651</v>
      </c>
      <c r="J506" s="769">
        <v>11.1275</v>
      </c>
      <c r="K506" s="715"/>
      <c r="L506" s="769">
        <v>11.13</v>
      </c>
      <c r="M506" s="2218"/>
      <c r="N506" s="2198"/>
      <c r="O506" s="2212">
        <v>237.9</v>
      </c>
      <c r="P506" s="3284">
        <v>208</v>
      </c>
    </row>
    <row r="507" spans="1:16">
      <c r="A507" s="219">
        <f t="shared" si="1"/>
        <v>2014.06</v>
      </c>
      <c r="B507" s="2195">
        <v>93.827399999999997</v>
      </c>
      <c r="C507" s="2205">
        <v>91.148799999999994</v>
      </c>
      <c r="D507" s="2200">
        <v>97.707899999999995</v>
      </c>
      <c r="E507" s="2207">
        <v>89.191900000000004</v>
      </c>
      <c r="F507" s="2205">
        <v>94.692499999999995</v>
      </c>
      <c r="G507" s="2200">
        <v>83.949600000000004</v>
      </c>
      <c r="H507" s="354">
        <v>8.1300000000000008</v>
      </c>
      <c r="I507" s="721">
        <v>8.0755000000000017</v>
      </c>
      <c r="J507" s="769">
        <v>11.779999999999998</v>
      </c>
      <c r="K507" s="715"/>
      <c r="L507" s="769">
        <v>10.28</v>
      </c>
      <c r="M507" s="2218"/>
      <c r="N507" s="2198"/>
      <c r="O507" s="2212">
        <v>238.34299999999999</v>
      </c>
      <c r="P507" s="3284">
        <v>208.3</v>
      </c>
    </row>
    <row r="508" spans="1:16">
      <c r="A508" s="219">
        <f t="shared" si="1"/>
        <v>2014.07</v>
      </c>
      <c r="B508" s="2195">
        <v>93.603899999999996</v>
      </c>
      <c r="C508" s="2205">
        <v>90.9619</v>
      </c>
      <c r="D508" s="2200">
        <v>97.442999999999998</v>
      </c>
      <c r="E508" s="2207">
        <v>88.947999999999993</v>
      </c>
      <c r="F508" s="2205">
        <v>94.595100000000002</v>
      </c>
      <c r="G508" s="2200">
        <v>83.578199999999995</v>
      </c>
      <c r="H508" s="354">
        <v>8.1999999999999993</v>
      </c>
      <c r="I508" s="721">
        <v>8.1113636363636363</v>
      </c>
      <c r="J508" s="769">
        <v>12.214545454545453</v>
      </c>
      <c r="K508" s="715"/>
      <c r="L508" s="769">
        <v>10.119999999999999</v>
      </c>
      <c r="M508" s="2218"/>
      <c r="N508" s="2198"/>
      <c r="O508" s="2212">
        <v>238.25</v>
      </c>
      <c r="P508" s="3284">
        <v>208</v>
      </c>
    </row>
    <row r="509" spans="1:16">
      <c r="A509" s="219">
        <f t="shared" si="1"/>
        <v>2014.08</v>
      </c>
      <c r="B509" s="2195">
        <v>94.580799999999996</v>
      </c>
      <c r="C509" s="2205">
        <v>92.4375</v>
      </c>
      <c r="D509" s="2200">
        <v>97.904200000000003</v>
      </c>
      <c r="E509" s="2207">
        <v>89.761600000000001</v>
      </c>
      <c r="F509" s="2205">
        <v>96.047399999999996</v>
      </c>
      <c r="G509" s="2200">
        <v>83.831299999999999</v>
      </c>
      <c r="H509" s="354">
        <v>8.4</v>
      </c>
      <c r="I509" s="721">
        <v>8.2699999999999978</v>
      </c>
      <c r="J509" s="769">
        <v>13.270526315789477</v>
      </c>
      <c r="K509" s="715"/>
      <c r="L509" s="769">
        <v>12.95</v>
      </c>
      <c r="M509" s="2218"/>
      <c r="N509" s="2198"/>
      <c r="O509" s="2212">
        <v>237.852</v>
      </c>
      <c r="P509" s="3284">
        <v>207</v>
      </c>
    </row>
    <row r="510" spans="1:16">
      <c r="A510" s="219">
        <f t="shared" si="1"/>
        <v>2014.09</v>
      </c>
      <c r="B510" s="2195">
        <v>96.120900000000006</v>
      </c>
      <c r="C510" s="2205">
        <v>94.805999999999997</v>
      </c>
      <c r="D510" s="2200">
        <v>98.5989</v>
      </c>
      <c r="E510" s="2207">
        <v>91.079099999999997</v>
      </c>
      <c r="F510" s="2205">
        <v>98.433199999999999</v>
      </c>
      <c r="G510" s="2200">
        <v>84.224800000000002</v>
      </c>
      <c r="H510" s="354">
        <v>8.42</v>
      </c>
      <c r="I510" s="721">
        <v>8.3659090909090903</v>
      </c>
      <c r="J510" s="769">
        <v>14.746818181818183</v>
      </c>
      <c r="K510" s="715"/>
      <c r="L510" s="769">
        <v>14.91</v>
      </c>
      <c r="M510" s="2218"/>
      <c r="N510" s="2198"/>
      <c r="O510" s="2212">
        <v>238.03100000000001</v>
      </c>
      <c r="P510" s="3284">
        <v>206.4</v>
      </c>
    </row>
    <row r="511" spans="1:16">
      <c r="A511" s="219">
        <f t="shared" si="1"/>
        <v>2014.1</v>
      </c>
      <c r="B511" s="2195">
        <v>97.439599999999999</v>
      </c>
      <c r="C511" s="2205">
        <v>96.294300000000007</v>
      </c>
      <c r="D511" s="2200">
        <v>99.758600000000001</v>
      </c>
      <c r="E511" s="2207">
        <v>92.194199999999995</v>
      </c>
      <c r="F511" s="2205">
        <v>99.986999999999995</v>
      </c>
      <c r="G511" s="2200">
        <v>84.961100000000002</v>
      </c>
      <c r="H511" s="354">
        <v>8.49</v>
      </c>
      <c r="I511" s="721">
        <v>8.4281818181818142</v>
      </c>
      <c r="J511" s="769">
        <v>14.731363636363637</v>
      </c>
      <c r="K511" s="715"/>
      <c r="L511" s="769">
        <v>13.05</v>
      </c>
      <c r="M511" s="2218"/>
      <c r="N511" s="2198"/>
      <c r="O511" s="2212">
        <v>237.43299999999999</v>
      </c>
      <c r="P511" s="3284">
        <v>203.4</v>
      </c>
    </row>
    <row r="512" spans="1:16">
      <c r="A512" s="219">
        <f t="shared" si="1"/>
        <v>2014.11</v>
      </c>
      <c r="B512" s="2195">
        <v>99.114699999999999</v>
      </c>
      <c r="C512" s="2205">
        <v>98.461600000000004</v>
      </c>
      <c r="D512" s="2200">
        <v>100.9498</v>
      </c>
      <c r="E512" s="2207">
        <v>93.539400000000001</v>
      </c>
      <c r="F512" s="2205">
        <v>102.06870000000001</v>
      </c>
      <c r="G512" s="2200">
        <v>85.678700000000006</v>
      </c>
      <c r="H512" s="354">
        <v>8.52</v>
      </c>
      <c r="I512" s="721">
        <v>8.4635294117647071</v>
      </c>
      <c r="J512" s="769">
        <v>13.332631578947369</v>
      </c>
      <c r="K512" s="715"/>
      <c r="L512" s="769">
        <v>11.97</v>
      </c>
      <c r="M512" s="2218"/>
      <c r="N512" s="2198"/>
      <c r="O512" s="2212">
        <v>236.15100000000001</v>
      </c>
      <c r="P512" s="3284">
        <v>200.9</v>
      </c>
    </row>
    <row r="513" spans="1:16">
      <c r="A513" s="219">
        <f t="shared" si="1"/>
        <v>2014.12</v>
      </c>
      <c r="B513" s="2195">
        <v>101.44410000000001</v>
      </c>
      <c r="C513" s="2205">
        <v>100.0838</v>
      </c>
      <c r="D513" s="2200">
        <v>104.03189999999999</v>
      </c>
      <c r="E513" s="2207">
        <v>95.409599999999998</v>
      </c>
      <c r="F513" s="2205">
        <v>103.5993</v>
      </c>
      <c r="G513" s="2200">
        <v>87.818799999999996</v>
      </c>
      <c r="H513" s="354">
        <v>8.5399999999999991</v>
      </c>
      <c r="I513" s="721">
        <v>8.4984210526315795</v>
      </c>
      <c r="J513" s="769">
        <v>13.036666666666669</v>
      </c>
      <c r="K513" s="715"/>
      <c r="L513" s="769">
        <v>11.26</v>
      </c>
      <c r="M513" s="2218"/>
      <c r="N513" s="2198"/>
      <c r="O513" s="2212">
        <v>234.81200000000001</v>
      </c>
      <c r="P513" s="3284">
        <v>197</v>
      </c>
    </row>
    <row r="514" spans="1:16">
      <c r="A514" s="219">
        <f t="shared" si="1"/>
        <v>2015.01</v>
      </c>
      <c r="B514" s="2195">
        <v>103.7607</v>
      </c>
      <c r="C514" s="2205">
        <v>104.05929999999999</v>
      </c>
      <c r="D514" s="2200">
        <v>104.742</v>
      </c>
      <c r="E514" s="2207">
        <v>97.158600000000007</v>
      </c>
      <c r="F514" s="2205">
        <v>107.32559999999999</v>
      </c>
      <c r="G514" s="2200">
        <v>87.966700000000003</v>
      </c>
      <c r="H514" s="354">
        <v>8.64</v>
      </c>
      <c r="I514" s="721">
        <v>8.5542857142857169</v>
      </c>
      <c r="J514" s="769">
        <v>13.633333333333335</v>
      </c>
      <c r="K514" s="715"/>
      <c r="L514" s="769">
        <v>12.19</v>
      </c>
      <c r="M514" s="2218"/>
      <c r="N514" s="2198"/>
      <c r="O514" s="2212">
        <v>233.70699999999999</v>
      </c>
      <c r="P514" s="3284">
        <v>192</v>
      </c>
    </row>
    <row r="515" spans="1:16">
      <c r="A515" s="219">
        <f t="shared" si="1"/>
        <v>2015.02</v>
      </c>
      <c r="B515" s="2195">
        <v>105.16849999999999</v>
      </c>
      <c r="C515" s="2205">
        <v>105.9354</v>
      </c>
      <c r="D515" s="2200">
        <v>105.71210000000001</v>
      </c>
      <c r="E515" s="2207">
        <v>98.518000000000001</v>
      </c>
      <c r="F515" s="2205">
        <v>109.2992</v>
      </c>
      <c r="G515" s="2200">
        <v>88.827699999999993</v>
      </c>
      <c r="H515" s="354">
        <v>8.7200000000000006</v>
      </c>
      <c r="I515" s="721">
        <v>8.6377777777777762</v>
      </c>
      <c r="J515" s="769">
        <v>13.09611111111111</v>
      </c>
      <c r="K515" s="715"/>
      <c r="L515" s="769">
        <v>11.68</v>
      </c>
      <c r="M515" s="2218"/>
      <c r="N515" s="2198"/>
      <c r="O515" s="2212">
        <v>234.72200000000001</v>
      </c>
      <c r="P515" s="3284">
        <v>191.1</v>
      </c>
    </row>
    <row r="516" spans="1:16">
      <c r="A516" s="219">
        <f t="shared" si="1"/>
        <v>2015.03</v>
      </c>
      <c r="B516" s="2195">
        <v>107.3647</v>
      </c>
      <c r="C516" s="2205">
        <v>109.0181</v>
      </c>
      <c r="D516" s="2200">
        <v>107.0934</v>
      </c>
      <c r="E516" s="2207">
        <v>100.4903</v>
      </c>
      <c r="F516" s="2205">
        <v>112.4303</v>
      </c>
      <c r="G516" s="2200">
        <v>89.876599999999996</v>
      </c>
      <c r="H516" s="354">
        <v>8.82</v>
      </c>
      <c r="I516" s="721">
        <v>8.7289473684210517</v>
      </c>
      <c r="J516" s="769">
        <v>12.788500000000001</v>
      </c>
      <c r="K516" s="715"/>
      <c r="L516" s="769">
        <v>11.97</v>
      </c>
      <c r="M516" s="2218"/>
      <c r="N516" s="2198"/>
      <c r="O516" s="2212">
        <v>236.119</v>
      </c>
      <c r="P516" s="3284">
        <v>191.5</v>
      </c>
    </row>
    <row r="517" spans="1:16">
      <c r="A517" s="219">
        <f t="shared" si="1"/>
        <v>2015.04</v>
      </c>
      <c r="B517" s="2195">
        <v>106.3523</v>
      </c>
      <c r="C517" s="2205">
        <v>108.01600000000001</v>
      </c>
      <c r="D517" s="2200">
        <v>106.0605</v>
      </c>
      <c r="E517" s="2207">
        <v>99.576700000000002</v>
      </c>
      <c r="F517" s="2205">
        <v>111.5401</v>
      </c>
      <c r="G517" s="2200">
        <v>88.958200000000005</v>
      </c>
      <c r="H517" s="354">
        <v>8.89</v>
      </c>
      <c r="I517" s="721">
        <v>8.8189999999999973</v>
      </c>
      <c r="J517" s="769">
        <v>12.575500000000002</v>
      </c>
      <c r="K517" s="715"/>
      <c r="L517" s="769">
        <v>11.94</v>
      </c>
      <c r="M517" s="2218"/>
      <c r="N517" s="2198"/>
      <c r="O517" s="2212">
        <v>236.59899999999999</v>
      </c>
      <c r="P517" s="3284">
        <v>190.9</v>
      </c>
    </row>
    <row r="518" spans="1:16">
      <c r="A518" s="219">
        <f t="shared" si="1"/>
        <v>2015.05</v>
      </c>
      <c r="B518" s="2195">
        <v>105.40649999999999</v>
      </c>
      <c r="C518" s="2205">
        <v>105.8434</v>
      </c>
      <c r="D518" s="2200">
        <v>106.27209999999999</v>
      </c>
      <c r="E518" s="2207">
        <v>98.781199999999998</v>
      </c>
      <c r="F518" s="2205">
        <v>109.41589999999999</v>
      </c>
      <c r="G518" s="2200">
        <v>89.202100000000002</v>
      </c>
      <c r="H518" s="354">
        <v>8.98</v>
      </c>
      <c r="I518" s="721">
        <v>8.9011111111111116</v>
      </c>
      <c r="J518" s="769">
        <v>12.578421052631576</v>
      </c>
      <c r="K518" s="715"/>
      <c r="L518" s="769">
        <v>11.71</v>
      </c>
      <c r="M518" s="2218"/>
      <c r="N518" s="2198"/>
      <c r="O518" s="2212">
        <v>237.80500000000001</v>
      </c>
      <c r="P518" s="3284">
        <v>193.4</v>
      </c>
    </row>
    <row r="519" spans="1:16">
      <c r="A519" s="219">
        <f t="shared" si="1"/>
        <v>2015.06</v>
      </c>
      <c r="B519" s="2195">
        <v>106.179</v>
      </c>
      <c r="C519" s="2205">
        <v>106.4023</v>
      </c>
      <c r="D519" s="2200">
        <v>107.2589</v>
      </c>
      <c r="E519" s="2207">
        <v>99.566999999999993</v>
      </c>
      <c r="F519" s="2205">
        <v>110.1652</v>
      </c>
      <c r="G519" s="2200">
        <v>90.006500000000003</v>
      </c>
      <c r="H519" s="354">
        <v>9.07</v>
      </c>
      <c r="I519" s="721">
        <v>8.9922727272727272</v>
      </c>
      <c r="J519" s="769">
        <v>12.881363636363641</v>
      </c>
      <c r="K519" s="715"/>
      <c r="L519" s="769">
        <v>12.87</v>
      </c>
      <c r="M519" s="2218"/>
      <c r="N519" s="2198"/>
      <c r="O519" s="2212">
        <v>238.63800000000001</v>
      </c>
      <c r="P519" s="3284">
        <v>194.8</v>
      </c>
    </row>
    <row r="520" spans="1:16">
      <c r="A520" s="219">
        <f t="shared" si="1"/>
        <v>2015.07</v>
      </c>
      <c r="B520" s="2195">
        <v>108.1236</v>
      </c>
      <c r="C520" s="2205">
        <v>108.7243</v>
      </c>
      <c r="D520" s="2200">
        <v>108.8631</v>
      </c>
      <c r="E520" s="2207">
        <v>101.38639999999999</v>
      </c>
      <c r="F520" s="2205">
        <v>112.6784</v>
      </c>
      <c r="G520" s="2200">
        <v>91.2607</v>
      </c>
      <c r="H520" s="354">
        <v>9.18</v>
      </c>
      <c r="I520" s="721">
        <v>9.0936363636363637</v>
      </c>
      <c r="J520" s="769">
        <v>14.149545454545455</v>
      </c>
      <c r="K520" s="715"/>
      <c r="L520" s="769">
        <v>13.28</v>
      </c>
      <c r="M520" s="2218"/>
      <c r="N520" s="2198"/>
      <c r="O520" s="2212">
        <v>238.654</v>
      </c>
      <c r="P520" s="3284">
        <v>193.9</v>
      </c>
    </row>
    <row r="521" spans="1:16">
      <c r="A521" s="219">
        <f t="shared" si="1"/>
        <v>2015.08</v>
      </c>
      <c r="B521" s="2195">
        <v>109.9768</v>
      </c>
      <c r="C521" s="2205">
        <v>108.98139999999999</v>
      </c>
      <c r="D521" s="2200">
        <v>112.30540000000001</v>
      </c>
      <c r="E521" s="2207">
        <v>103.0189</v>
      </c>
      <c r="F521" s="2205">
        <v>112.9653</v>
      </c>
      <c r="G521" s="2200">
        <v>93.933300000000003</v>
      </c>
      <c r="H521" s="354">
        <v>9.2899999999999991</v>
      </c>
      <c r="I521" s="721">
        <v>9.1905555555555551</v>
      </c>
      <c r="J521" s="769">
        <v>15.161499999999998</v>
      </c>
      <c r="K521" s="715"/>
      <c r="L521" s="769">
        <v>13.89</v>
      </c>
      <c r="M521" s="2218"/>
      <c r="N521" s="2198"/>
      <c r="O521" s="2212">
        <v>238.316</v>
      </c>
      <c r="P521" s="3284">
        <v>191.9</v>
      </c>
    </row>
    <row r="522" spans="1:16">
      <c r="A522" s="219">
        <f t="shared" si="1"/>
        <v>2015.09</v>
      </c>
      <c r="B522" s="2195">
        <v>110.85129999999999</v>
      </c>
      <c r="C522" s="2205">
        <v>108.88420000000001</v>
      </c>
      <c r="D522" s="2200">
        <v>114.149</v>
      </c>
      <c r="E522" s="2207">
        <v>103.6127</v>
      </c>
      <c r="F522" s="2205">
        <v>112.7161</v>
      </c>
      <c r="G522" s="2200">
        <v>95.198999999999998</v>
      </c>
      <c r="H522" s="354">
        <v>9.42</v>
      </c>
      <c r="I522" s="721">
        <v>9.3142105263157884</v>
      </c>
      <c r="J522" s="769">
        <v>15.679545454545456</v>
      </c>
      <c r="K522" s="715"/>
      <c r="L522" s="769">
        <v>13.94</v>
      </c>
      <c r="M522" s="2218"/>
      <c r="N522" s="2198"/>
      <c r="O522" s="2212">
        <v>237.94499999999999</v>
      </c>
      <c r="P522" s="3284">
        <v>189.1</v>
      </c>
    </row>
    <row r="523" spans="1:16">
      <c r="A523" s="219">
        <f t="shared" si="1"/>
        <v>2015.1</v>
      </c>
      <c r="B523" s="2195">
        <v>109.9036</v>
      </c>
      <c r="C523" s="2205">
        <v>108.32299999999999</v>
      </c>
      <c r="D523" s="2200">
        <v>112.8038</v>
      </c>
      <c r="E523" s="2207">
        <v>102.651</v>
      </c>
      <c r="F523" s="2205">
        <v>112.13630000000001</v>
      </c>
      <c r="G523" s="2200">
        <v>93.938900000000004</v>
      </c>
      <c r="H523" s="354">
        <v>9.5299999999999994</v>
      </c>
      <c r="I523" s="721">
        <v>9.4488888888888898</v>
      </c>
      <c r="J523" s="769">
        <v>15.79452380952381</v>
      </c>
      <c r="K523" s="715"/>
      <c r="L523" s="769">
        <v>13.66</v>
      </c>
      <c r="M523" s="2218"/>
      <c r="N523" s="2198"/>
      <c r="O523" s="2212">
        <v>237.83799999999999</v>
      </c>
      <c r="P523" s="3284">
        <v>187.5</v>
      </c>
    </row>
    <row r="524" spans="1:16">
      <c r="A524" s="219">
        <f t="shared" si="1"/>
        <v>2015.11</v>
      </c>
      <c r="B524" s="2195">
        <v>111.69159999999999</v>
      </c>
      <c r="C524" s="2205">
        <v>111.44159999999999</v>
      </c>
      <c r="D524" s="2200">
        <v>113.2985</v>
      </c>
      <c r="E524" s="2207">
        <v>104.35590000000001</v>
      </c>
      <c r="F524" s="2205">
        <v>115.5235</v>
      </c>
      <c r="G524" s="2200">
        <v>94.288799999999995</v>
      </c>
      <c r="H524" s="354">
        <v>9.69</v>
      </c>
      <c r="I524" s="721">
        <v>9.5789473684210531</v>
      </c>
      <c r="J524" s="769">
        <v>15.078684210526315</v>
      </c>
      <c r="K524" s="715"/>
      <c r="L524" s="769">
        <v>14.51</v>
      </c>
      <c r="M524" s="2218"/>
      <c r="N524" s="2198"/>
      <c r="O524" s="2212">
        <v>237.33600000000001</v>
      </c>
      <c r="P524" s="3284">
        <v>185.7</v>
      </c>
    </row>
    <row r="525" spans="1:16">
      <c r="A525" s="219">
        <f t="shared" si="1"/>
        <v>2015.12</v>
      </c>
      <c r="B525" s="2195">
        <v>112.78570000000001</v>
      </c>
      <c r="C525" s="2205">
        <v>111.7345</v>
      </c>
      <c r="D525" s="2200">
        <v>115.1947</v>
      </c>
      <c r="E525" s="2207">
        <v>105.1532</v>
      </c>
      <c r="F525" s="2205">
        <v>115.7675</v>
      </c>
      <c r="G525" s="2200">
        <v>95.512200000000007</v>
      </c>
      <c r="H525" s="354">
        <v>13.26</v>
      </c>
      <c r="I525" s="721">
        <v>11.44</v>
      </c>
      <c r="J525" s="769">
        <v>14.372</v>
      </c>
      <c r="K525" s="715"/>
      <c r="L525" s="769">
        <v>14.14</v>
      </c>
      <c r="M525" s="2218"/>
      <c r="N525" s="2198"/>
      <c r="O525" s="2212">
        <v>236.52500000000001</v>
      </c>
      <c r="P525" s="3284">
        <v>183.5</v>
      </c>
    </row>
    <row r="526" spans="1:16">
      <c r="A526" s="219">
        <f t="shared" si="1"/>
        <v>2016.01</v>
      </c>
      <c r="B526" s="2195">
        <v>115.23439999999999</v>
      </c>
      <c r="C526" s="2205">
        <v>113.245</v>
      </c>
      <c r="D526" s="2200">
        <v>118.6131</v>
      </c>
      <c r="E526" s="2207">
        <v>107.44799999999999</v>
      </c>
      <c r="F526" s="2205">
        <v>117.4529</v>
      </c>
      <c r="G526" s="2200">
        <v>98.271799999999999</v>
      </c>
      <c r="H526" s="354">
        <v>14</v>
      </c>
      <c r="I526" s="721">
        <v>13.595263157894736</v>
      </c>
      <c r="J526" s="769">
        <v>14.175499999999996</v>
      </c>
      <c r="K526" s="715"/>
      <c r="L526" s="769">
        <v>13.98</v>
      </c>
      <c r="M526" s="2218"/>
      <c r="N526" s="2198"/>
      <c r="O526" s="2212">
        <v>236.916</v>
      </c>
      <c r="P526" s="3284">
        <v>182.6</v>
      </c>
    </row>
    <row r="527" spans="1:16">
      <c r="A527" s="219">
        <f t="shared" si="1"/>
        <v>2016.02</v>
      </c>
      <c r="B527" s="2195">
        <v>114.2817</v>
      </c>
      <c r="C527" s="2205">
        <v>110.88549999999999</v>
      </c>
      <c r="D527" s="2200">
        <v>119.09269999999999</v>
      </c>
      <c r="E527" s="2207">
        <v>106.1116</v>
      </c>
      <c r="F527" s="2205">
        <v>114.88120000000001</v>
      </c>
      <c r="G527" s="2200">
        <v>97.956199999999995</v>
      </c>
      <c r="H527" s="354">
        <v>15.85</v>
      </c>
      <c r="I527" s="721">
        <v>14.770666666666665</v>
      </c>
      <c r="J527" s="769">
        <v>14.819473684210529</v>
      </c>
      <c r="K527" s="715"/>
      <c r="L527" s="769">
        <v>15.57</v>
      </c>
      <c r="M527" s="2218"/>
      <c r="N527" s="2198"/>
      <c r="O527" s="2212">
        <v>237.11099999999999</v>
      </c>
      <c r="P527" s="3284">
        <v>181.3</v>
      </c>
    </row>
    <row r="528" spans="1:16">
      <c r="A528" s="219">
        <f t="shared" si="1"/>
        <v>2016.03</v>
      </c>
      <c r="B528" s="2195">
        <v>111.8934</v>
      </c>
      <c r="C528" s="2205">
        <v>108.99720000000001</v>
      </c>
      <c r="D528" s="2200">
        <v>116.15779999999999</v>
      </c>
      <c r="E528" s="2207">
        <v>103.97020000000001</v>
      </c>
      <c r="F528" s="2205">
        <v>112.9876</v>
      </c>
      <c r="G528" s="2200">
        <v>95.630600000000001</v>
      </c>
      <c r="H528" s="354">
        <v>14.85</v>
      </c>
      <c r="I528" s="721">
        <v>14.872999999999999</v>
      </c>
      <c r="J528" s="769">
        <v>15.355238095238096</v>
      </c>
      <c r="K528" s="715"/>
      <c r="L528" s="769">
        <v>14.79</v>
      </c>
      <c r="M528" s="2218"/>
      <c r="N528" s="2198"/>
      <c r="O528" s="2212">
        <v>238.13200000000001</v>
      </c>
      <c r="P528" s="3284">
        <v>182.1</v>
      </c>
    </row>
    <row r="529" spans="1:16">
      <c r="A529" s="219">
        <f t="shared" si="1"/>
        <v>2016.04</v>
      </c>
      <c r="B529" s="2195">
        <v>110.0171</v>
      </c>
      <c r="C529" s="2205">
        <v>106.563</v>
      </c>
      <c r="D529" s="2200">
        <v>114.8381</v>
      </c>
      <c r="E529" s="2207">
        <v>102.49169999999999</v>
      </c>
      <c r="F529" s="2205">
        <v>110.88720000000001</v>
      </c>
      <c r="G529" s="2200">
        <v>94.676400000000001</v>
      </c>
      <c r="H529" s="354">
        <v>14.35</v>
      </c>
      <c r="I529" s="721">
        <v>14.326499999999999</v>
      </c>
      <c r="J529" s="769">
        <v>14.695238095238093</v>
      </c>
      <c r="K529" s="715"/>
      <c r="L529" s="769">
        <v>14.26</v>
      </c>
      <c r="M529" s="2218"/>
      <c r="N529" s="2198"/>
      <c r="O529" s="2212">
        <v>239.261</v>
      </c>
      <c r="P529" s="3284">
        <v>183.2</v>
      </c>
    </row>
    <row r="530" spans="1:16">
      <c r="A530" s="219">
        <f t="shared" si="1"/>
        <v>2016.05</v>
      </c>
      <c r="B530" s="2195">
        <v>111.1405</v>
      </c>
      <c r="C530" s="2205">
        <v>106.97199999999999</v>
      </c>
      <c r="D530" s="2200">
        <v>116.7221</v>
      </c>
      <c r="E530" s="2207">
        <v>103.5625</v>
      </c>
      <c r="F530" s="2205">
        <v>111.34139999999999</v>
      </c>
      <c r="G530" s="2200">
        <v>96.250100000000003</v>
      </c>
      <c r="H530" s="354">
        <v>14.15</v>
      </c>
      <c r="I530" s="721">
        <v>14.086842105263159</v>
      </c>
      <c r="J530" s="769">
        <v>14.434999999999999</v>
      </c>
      <c r="K530" s="715"/>
      <c r="L530" s="769">
        <v>14.05</v>
      </c>
      <c r="M530" s="2218"/>
      <c r="N530" s="2198"/>
      <c r="O530" s="2212">
        <v>240.22900000000001</v>
      </c>
      <c r="P530" s="3284">
        <v>185.3</v>
      </c>
    </row>
    <row r="531" spans="1:16">
      <c r="A531" s="219">
        <f t="shared" si="1"/>
        <v>2016.06</v>
      </c>
      <c r="B531" s="2195">
        <v>111.5596</v>
      </c>
      <c r="C531" s="2205">
        <v>106.8843</v>
      </c>
      <c r="D531" s="2200">
        <v>117.6835</v>
      </c>
      <c r="E531" s="2207">
        <v>104.0115</v>
      </c>
      <c r="F531" s="2205">
        <v>111.3511</v>
      </c>
      <c r="G531" s="2200">
        <v>97.0642</v>
      </c>
      <c r="H531" s="354">
        <v>15.15</v>
      </c>
      <c r="I531" s="721">
        <v>14.096842105263157</v>
      </c>
      <c r="J531" s="769">
        <v>14.358500000000001</v>
      </c>
      <c r="K531" s="715"/>
      <c r="L531" s="769">
        <v>15.2</v>
      </c>
      <c r="M531" s="2219">
        <v>17.55</v>
      </c>
      <c r="N531" s="773">
        <v>17.520543395310987</v>
      </c>
      <c r="O531" s="2212">
        <v>241.018</v>
      </c>
      <c r="P531" s="3284">
        <v>187.6</v>
      </c>
    </row>
    <row r="532" spans="1:16">
      <c r="A532" s="219">
        <f t="shared" si="1"/>
        <v>2016.07</v>
      </c>
      <c r="B532" s="2195">
        <v>112.4773</v>
      </c>
      <c r="C532" s="2205">
        <v>108.7294</v>
      </c>
      <c r="D532" s="2200">
        <v>117.6327</v>
      </c>
      <c r="E532" s="2207">
        <v>104.6888</v>
      </c>
      <c r="F532" s="2205">
        <v>113.2037</v>
      </c>
      <c r="G532" s="2200">
        <v>96.755799999999994</v>
      </c>
      <c r="H532" s="354">
        <v>15.05</v>
      </c>
      <c r="I532" s="721">
        <v>14.83578947368421</v>
      </c>
      <c r="J532" s="769">
        <v>15.041999999999998</v>
      </c>
      <c r="K532" s="715"/>
      <c r="L532" s="769">
        <v>15.11</v>
      </c>
      <c r="M532" s="2220">
        <v>17.726709681840063</v>
      </c>
      <c r="N532" s="2215">
        <v>17.69374138722398</v>
      </c>
      <c r="O532" s="2212">
        <v>240.62799999999999</v>
      </c>
      <c r="P532" s="3284">
        <v>187.7</v>
      </c>
    </row>
    <row r="533" spans="1:16">
      <c r="A533" s="219">
        <f t="shared" si="1"/>
        <v>2016.08</v>
      </c>
      <c r="B533" s="2195">
        <v>111.4384</v>
      </c>
      <c r="C533" s="2205">
        <v>107.53449999999999</v>
      </c>
      <c r="D533" s="2200">
        <v>116.74590000000001</v>
      </c>
      <c r="E533" s="2207">
        <v>103.86490000000001</v>
      </c>
      <c r="F533" s="2205">
        <v>112.1427</v>
      </c>
      <c r="G533" s="2200">
        <v>96.135000000000005</v>
      </c>
      <c r="H533" s="354">
        <v>15.2</v>
      </c>
      <c r="I533" s="721">
        <v>14.790555555555557</v>
      </c>
      <c r="J533" s="769">
        <v>15.202727272727271</v>
      </c>
      <c r="K533" s="715"/>
      <c r="L533" s="769">
        <v>15.1</v>
      </c>
      <c r="M533" s="2220">
        <v>17.75</v>
      </c>
      <c r="N533" s="2215">
        <v>17.735650883559263</v>
      </c>
      <c r="O533" s="2212">
        <v>240.84899999999999</v>
      </c>
      <c r="P533" s="3284">
        <v>186.6</v>
      </c>
    </row>
    <row r="534" spans="1:16">
      <c r="A534" s="219">
        <f t="shared" si="1"/>
        <v>2016.09</v>
      </c>
      <c r="B534" s="2195">
        <v>112.3169</v>
      </c>
      <c r="C534" s="2205">
        <v>107.8257</v>
      </c>
      <c r="D534" s="2200">
        <v>118.2525</v>
      </c>
      <c r="E534" s="2207">
        <v>104.7424</v>
      </c>
      <c r="F534" s="2205">
        <v>112.60939999999999</v>
      </c>
      <c r="G534" s="2200">
        <v>97.347200000000001</v>
      </c>
      <c r="H534" s="354">
        <v>15.35</v>
      </c>
      <c r="I534" s="721">
        <v>15.073999999999998</v>
      </c>
      <c r="J534" s="769">
        <v>15.337727272727276</v>
      </c>
      <c r="K534" s="715"/>
      <c r="L534" s="769">
        <v>15.39</v>
      </c>
      <c r="M534" s="2220">
        <v>17.8</v>
      </c>
      <c r="N534" s="2215">
        <v>17.815105327179783</v>
      </c>
      <c r="O534" s="2212">
        <v>241.428</v>
      </c>
      <c r="P534" s="3284">
        <v>186.9</v>
      </c>
    </row>
    <row r="535" spans="1:16">
      <c r="A535" s="219">
        <f t="shared" si="1"/>
        <v>2016.1</v>
      </c>
      <c r="B535" s="2195">
        <v>113.4747</v>
      </c>
      <c r="C535" s="2205">
        <v>110.1048</v>
      </c>
      <c r="D535" s="2200">
        <v>118.2488</v>
      </c>
      <c r="E535" s="2207">
        <v>105.8182</v>
      </c>
      <c r="F535" s="2205">
        <v>115.0051</v>
      </c>
      <c r="G535" s="2200">
        <v>97.323099999999997</v>
      </c>
      <c r="H535" s="354">
        <v>15.32</v>
      </c>
      <c r="I535" s="721">
        <v>15.128421052631579</v>
      </c>
      <c r="J535" s="769">
        <v>15.387</v>
      </c>
      <c r="K535" s="715"/>
      <c r="L535" s="769">
        <v>15.29</v>
      </c>
      <c r="M535" s="2220">
        <v>18</v>
      </c>
      <c r="N535" s="2215">
        <v>17.81515127096484</v>
      </c>
      <c r="O535" s="2212">
        <v>241.72900000000001</v>
      </c>
      <c r="P535" s="3284">
        <v>186.7</v>
      </c>
    </row>
    <row r="536" spans="1:16">
      <c r="A536" s="219">
        <f t="shared" si="1"/>
        <v>2016.11</v>
      </c>
      <c r="B536" s="2195">
        <v>116.1075</v>
      </c>
      <c r="C536" s="2205">
        <v>112.06010000000001</v>
      </c>
      <c r="D536" s="2200">
        <v>121.6163</v>
      </c>
      <c r="E536" s="2207">
        <v>108.2358</v>
      </c>
      <c r="F536" s="2205">
        <v>117.15730000000001</v>
      </c>
      <c r="G536" s="2200">
        <v>99.936700000000002</v>
      </c>
      <c r="H536" s="354">
        <v>15.9</v>
      </c>
      <c r="I536" s="721">
        <v>15.306666666666665</v>
      </c>
      <c r="J536" s="769">
        <v>15.507142857142856</v>
      </c>
      <c r="K536" s="715"/>
      <c r="L536" s="769">
        <v>15.79</v>
      </c>
      <c r="M536" s="2220">
        <v>18.299251692948417</v>
      </c>
      <c r="N536" s="2215">
        <v>18.116913918064473</v>
      </c>
      <c r="O536" s="2212">
        <v>241.35300000000001</v>
      </c>
      <c r="P536" s="3284">
        <v>186.3</v>
      </c>
    </row>
    <row r="537" spans="1:16">
      <c r="A537" s="219">
        <f t="shared" si="1"/>
        <v>2016.12</v>
      </c>
      <c r="B537" s="2195">
        <v>117.90479999999999</v>
      </c>
      <c r="C537" s="2205">
        <v>114.0189</v>
      </c>
      <c r="D537" s="2200">
        <v>123.26479999999999</v>
      </c>
      <c r="E537" s="2207">
        <v>109.9513</v>
      </c>
      <c r="F537" s="2205">
        <v>119.1996</v>
      </c>
      <c r="G537" s="2200">
        <v>101.36799999999999</v>
      </c>
      <c r="H537" s="714">
        <v>15.97</v>
      </c>
      <c r="I537" s="721">
        <v>15.765714285714285</v>
      </c>
      <c r="J537" s="769">
        <v>16.361499999999999</v>
      </c>
      <c r="K537" s="715"/>
      <c r="L537" s="769">
        <v>15.87</v>
      </c>
      <c r="M537" s="2220">
        <v>18.4925</v>
      </c>
      <c r="N537" s="2215">
        <v>18.389248150219093</v>
      </c>
      <c r="O537" s="2212">
        <v>241.43199999999999</v>
      </c>
      <c r="P537" s="3284">
        <v>188.2</v>
      </c>
    </row>
    <row r="538" spans="1:16">
      <c r="A538" s="219">
        <f t="shared" si="1"/>
        <v>2017.01</v>
      </c>
      <c r="B538" s="2195">
        <v>117.78579999999999</v>
      </c>
      <c r="C538" s="2205">
        <v>113.08159999999999</v>
      </c>
      <c r="D538" s="2200">
        <v>123.99420000000001</v>
      </c>
      <c r="E538" s="2207">
        <v>109.7376</v>
      </c>
      <c r="F538" s="2205">
        <v>118.31570000000001</v>
      </c>
      <c r="G538" s="2200">
        <v>101.7034</v>
      </c>
      <c r="H538" s="354">
        <v>16.010000000000002</v>
      </c>
      <c r="I538" s="721">
        <v>15.860000000000001</v>
      </c>
      <c r="J538" s="769">
        <v>16.653181818181821</v>
      </c>
      <c r="K538" s="715"/>
      <c r="L538" s="769">
        <v>16.010000000000002</v>
      </c>
      <c r="M538" s="2220">
        <v>18.600000000000001</v>
      </c>
      <c r="N538" s="2215">
        <v>18.576325462994642</v>
      </c>
      <c r="O538" s="2212">
        <v>242.839</v>
      </c>
      <c r="P538" s="3284">
        <v>190.7</v>
      </c>
    </row>
    <row r="539" spans="1:16">
      <c r="A539" s="219">
        <f t="shared" si="1"/>
        <v>2017.02</v>
      </c>
      <c r="B539" s="2195">
        <v>116.1204</v>
      </c>
      <c r="C539" s="2205">
        <v>112.3228</v>
      </c>
      <c r="D539" s="2200">
        <v>121.369</v>
      </c>
      <c r="E539" s="2207">
        <v>108.3368</v>
      </c>
      <c r="F539" s="2205">
        <v>117.6087</v>
      </c>
      <c r="G539" s="2200">
        <v>99.750299999999996</v>
      </c>
      <c r="H539" s="354">
        <v>15.6</v>
      </c>
      <c r="I539" s="721">
        <v>15.55</v>
      </c>
      <c r="J539" s="769">
        <v>16.23</v>
      </c>
      <c r="K539" s="715"/>
      <c r="L539" s="769">
        <v>15.62</v>
      </c>
      <c r="M539" s="2220">
        <v>18.3</v>
      </c>
      <c r="N539" s="2215">
        <v>18.318727647475651</v>
      </c>
      <c r="O539" s="2212">
        <v>243.60300000000001</v>
      </c>
      <c r="P539" s="3284">
        <v>191.6</v>
      </c>
    </row>
    <row r="540" spans="1:16">
      <c r="A540" s="219">
        <f t="shared" si="1"/>
        <v>2017.03</v>
      </c>
      <c r="B540" s="2195">
        <v>115.6558</v>
      </c>
      <c r="C540" s="2205">
        <v>112.9909</v>
      </c>
      <c r="D540" s="2200">
        <v>119.7403</v>
      </c>
      <c r="E540" s="2207">
        <v>107.643</v>
      </c>
      <c r="F540" s="2205">
        <v>118.2906</v>
      </c>
      <c r="G540" s="2200">
        <v>97.963399999999993</v>
      </c>
      <c r="H540" s="354">
        <v>15.5</v>
      </c>
      <c r="I540" s="721">
        <v>15.48</v>
      </c>
      <c r="J540" s="769">
        <v>15.86</v>
      </c>
      <c r="K540" s="715"/>
      <c r="L540" s="769">
        <v>15.49</v>
      </c>
      <c r="M540" s="2220">
        <v>18.39</v>
      </c>
      <c r="N540" s="2215">
        <v>18.316772524895391</v>
      </c>
      <c r="O540" s="2212">
        <v>243.80099999999999</v>
      </c>
      <c r="P540" s="3284">
        <v>191.5</v>
      </c>
    </row>
    <row r="541" spans="1:16">
      <c r="A541" s="219">
        <f t="shared" si="1"/>
        <v>2017.04</v>
      </c>
      <c r="B541" s="2195">
        <v>114.7698</v>
      </c>
      <c r="C541" s="2205">
        <v>112.395</v>
      </c>
      <c r="D541" s="2200">
        <v>118.55110000000001</v>
      </c>
      <c r="E541" s="2207">
        <v>106.642</v>
      </c>
      <c r="F541" s="2205">
        <v>117.54040000000001</v>
      </c>
      <c r="G541" s="2200">
        <v>96.776600000000002</v>
      </c>
      <c r="H541" s="354">
        <v>15.44</v>
      </c>
      <c r="I541" s="721">
        <v>15.3</v>
      </c>
      <c r="J541" s="769">
        <v>15.72</v>
      </c>
      <c r="K541" s="715"/>
      <c r="L541" s="769">
        <v>15.48</v>
      </c>
      <c r="M541" s="2220">
        <v>18.314999999999998</v>
      </c>
      <c r="N541" s="2215">
        <v>18.203155622809405</v>
      </c>
      <c r="O541" s="2212">
        <v>244.524</v>
      </c>
      <c r="P541" s="3284">
        <v>193</v>
      </c>
    </row>
    <row r="542" spans="1:16">
      <c r="A542" s="219">
        <f t="shared" si="1"/>
        <v>2017.05</v>
      </c>
      <c r="B542" s="2195">
        <v>114.2591</v>
      </c>
      <c r="C542" s="2205">
        <v>111.3986</v>
      </c>
      <c r="D542" s="2200">
        <v>118.52630000000001</v>
      </c>
      <c r="E542" s="2207">
        <v>106.0047</v>
      </c>
      <c r="F542" s="2205">
        <v>116.5164</v>
      </c>
      <c r="G542" s="2200">
        <v>96.451700000000002</v>
      </c>
      <c r="H542" s="354">
        <v>16.100000000000001</v>
      </c>
      <c r="I542" s="721">
        <v>15.69</v>
      </c>
      <c r="J542" s="769">
        <v>15.9</v>
      </c>
      <c r="K542" s="715"/>
      <c r="L542" s="769">
        <v>16.22</v>
      </c>
      <c r="M542" s="2220">
        <v>18.568547724648131</v>
      </c>
      <c r="N542" s="2215">
        <v>18.579919577797572</v>
      </c>
      <c r="O542" s="2212">
        <v>244.733</v>
      </c>
      <c r="P542" s="3284">
        <v>192.8</v>
      </c>
    </row>
    <row r="543" spans="1:16">
      <c r="A543" s="219">
        <f t="shared" si="1"/>
        <v>2017.06</v>
      </c>
      <c r="B543" s="2195">
        <v>112.7603</v>
      </c>
      <c r="C543" s="2205">
        <v>109.7338</v>
      </c>
      <c r="D543" s="2200">
        <v>117.17789999999999</v>
      </c>
      <c r="E543" s="2207">
        <v>104.59480000000001</v>
      </c>
      <c r="F543" s="2205">
        <v>114.8228</v>
      </c>
      <c r="G543" s="2200">
        <v>95.282600000000002</v>
      </c>
      <c r="H543" s="354">
        <v>16.68</v>
      </c>
      <c r="I543" s="721">
        <v>16.100000000000001</v>
      </c>
      <c r="J543" s="769">
        <v>16.309999999999999</v>
      </c>
      <c r="K543" s="715"/>
      <c r="L543" s="769">
        <v>16.45</v>
      </c>
      <c r="M543" s="2220">
        <v>18.809999999999999</v>
      </c>
      <c r="N543" s="2215">
        <v>18.803151850606561</v>
      </c>
      <c r="O543" s="2212">
        <v>244.95500000000001</v>
      </c>
      <c r="P543" s="3284">
        <v>193.6</v>
      </c>
    </row>
    <row r="544" spans="1:16">
      <c r="A544" s="219">
        <f t="shared" si="1"/>
        <v>2017.07</v>
      </c>
      <c r="B544" s="2195">
        <v>111.06059999999999</v>
      </c>
      <c r="C544" s="2205">
        <v>107.06270000000001</v>
      </c>
      <c r="D544" s="2200">
        <v>116.4584</v>
      </c>
      <c r="E544" s="2207">
        <v>102.87139999999999</v>
      </c>
      <c r="F544" s="2205">
        <v>111.93470000000001</v>
      </c>
      <c r="G544" s="2200">
        <v>94.508700000000005</v>
      </c>
      <c r="H544" s="354">
        <v>17.7</v>
      </c>
      <c r="I544" s="721">
        <v>17.14</v>
      </c>
      <c r="J544" s="769">
        <v>17.46</v>
      </c>
      <c r="K544" s="715"/>
      <c r="L544" s="769">
        <v>17.87</v>
      </c>
      <c r="M544" s="2220">
        <v>19.8</v>
      </c>
      <c r="N544" s="2215">
        <v>19.852094101840823</v>
      </c>
      <c r="O544" s="2212">
        <v>244.786</v>
      </c>
      <c r="P544" s="3284">
        <v>193.5</v>
      </c>
    </row>
    <row r="545" spans="1:16">
      <c r="A545" s="219">
        <f t="shared" si="1"/>
        <v>2017.08</v>
      </c>
      <c r="B545" s="2195">
        <v>109.9059</v>
      </c>
      <c r="C545" s="2205">
        <v>105.5474</v>
      </c>
      <c r="D545" s="2200">
        <v>115.66589999999999</v>
      </c>
      <c r="E545" s="2207">
        <v>101.9156</v>
      </c>
      <c r="F545" s="2205">
        <v>110.5621</v>
      </c>
      <c r="G545" s="2200">
        <v>93.899500000000003</v>
      </c>
      <c r="H545" s="354">
        <v>17.399999999999999</v>
      </c>
      <c r="I545" s="721">
        <v>17.372727272727275</v>
      </c>
      <c r="J545" s="769">
        <v>18.079999999999998</v>
      </c>
      <c r="K545" s="715"/>
      <c r="L545" s="769">
        <v>17.5</v>
      </c>
      <c r="M545" s="2220">
        <v>19.86</v>
      </c>
      <c r="N545" s="2215">
        <v>19.796894765617008</v>
      </c>
      <c r="O545" s="2212">
        <v>245.51900000000001</v>
      </c>
      <c r="P545" s="3284">
        <v>193.8</v>
      </c>
    </row>
    <row r="546" spans="1:16">
      <c r="A546" s="219">
        <f t="shared" si="1"/>
        <v>2017.09</v>
      </c>
      <c r="B546" s="2195">
        <v>108.85420000000001</v>
      </c>
      <c r="C546" s="2205">
        <v>104.1614</v>
      </c>
      <c r="D546" s="2200">
        <v>114.9538</v>
      </c>
      <c r="E546" s="2207">
        <v>101.27849999999999</v>
      </c>
      <c r="F546" s="2205">
        <v>109.45140000000001</v>
      </c>
      <c r="G546" s="2200">
        <v>93.653999999999996</v>
      </c>
      <c r="H546" s="354">
        <v>17.600000000000001</v>
      </c>
      <c r="I546" s="721">
        <v>17.189523809523809</v>
      </c>
      <c r="J546" s="769">
        <v>17.747619047619001</v>
      </c>
      <c r="K546" s="715"/>
      <c r="L546" s="769">
        <v>17.600000000000001</v>
      </c>
      <c r="M546" s="2220">
        <v>19.899999999999999</v>
      </c>
      <c r="N546" s="2215">
        <v>19.864901960784302</v>
      </c>
      <c r="O546" s="2212">
        <v>246.81899999999999</v>
      </c>
      <c r="P546" s="3284">
        <v>194.8</v>
      </c>
    </row>
    <row r="547" spans="1:16">
      <c r="A547" s="219">
        <f t="shared" si="1"/>
        <v>2017.1</v>
      </c>
      <c r="B547" s="2195">
        <v>110.8892</v>
      </c>
      <c r="C547" s="2205">
        <v>106.07259999999999</v>
      </c>
      <c r="D547" s="2200">
        <v>117.14109999999999</v>
      </c>
      <c r="E547" s="2207">
        <v>103.0825</v>
      </c>
      <c r="F547" s="2205">
        <v>111.4923</v>
      </c>
      <c r="G547" s="2200">
        <v>95.247600000000006</v>
      </c>
      <c r="H547" s="354">
        <v>17.73</v>
      </c>
      <c r="I547" s="769">
        <v>17.414285714285715</v>
      </c>
      <c r="J547" s="769">
        <v>17.774999999999999</v>
      </c>
      <c r="K547" s="715"/>
      <c r="L547" s="769">
        <v>17.73</v>
      </c>
      <c r="M547" s="2220">
        <v>20.100000000000001</v>
      </c>
      <c r="N547" s="2215">
        <v>19.960392156862699</v>
      </c>
      <c r="O547" s="2212">
        <v>246.66300000000001</v>
      </c>
      <c r="P547" s="3284">
        <v>194.9</v>
      </c>
    </row>
    <row r="548" spans="1:16">
      <c r="A548" s="219">
        <f t="shared" si="1"/>
        <v>2017.11</v>
      </c>
      <c r="B548" s="2195">
        <v>111.1635</v>
      </c>
      <c r="C548" s="2205">
        <v>106.6396</v>
      </c>
      <c r="D548" s="2200">
        <v>117.1105</v>
      </c>
      <c r="E548" s="2207">
        <v>103.24720000000001</v>
      </c>
      <c r="F548" s="2205">
        <v>111.9722</v>
      </c>
      <c r="G548" s="2200">
        <v>95.154300000000006</v>
      </c>
      <c r="H548" s="354">
        <v>17.48</v>
      </c>
      <c r="I548" s="769">
        <v>17.427499999999998</v>
      </c>
      <c r="J548" s="769">
        <v>17.8535</v>
      </c>
      <c r="K548" s="715"/>
      <c r="L548" s="769">
        <v>17.43</v>
      </c>
      <c r="M548" s="2220">
        <v>20.2</v>
      </c>
      <c r="N548" s="2215">
        <v>20</v>
      </c>
      <c r="O548" s="2212">
        <v>246.66900000000001</v>
      </c>
      <c r="P548" s="3284">
        <v>195.9</v>
      </c>
    </row>
    <row r="549" spans="1:16">
      <c r="A549" s="219">
        <f t="shared" si="1"/>
        <v>2017.12</v>
      </c>
      <c r="B549" s="2195">
        <v>110.8758</v>
      </c>
      <c r="C549" s="2205">
        <v>106.1181</v>
      </c>
      <c r="D549" s="2200">
        <v>117.06610000000001</v>
      </c>
      <c r="E549" s="2207">
        <v>102.9341</v>
      </c>
      <c r="F549" s="2205">
        <v>111.43989999999999</v>
      </c>
      <c r="G549" s="2200">
        <v>95.022400000000005</v>
      </c>
      <c r="H549" s="354">
        <v>18.75</v>
      </c>
      <c r="I549" s="769">
        <v>17.685789473684213</v>
      </c>
      <c r="J549" s="769">
        <v>18.095263157894699</v>
      </c>
      <c r="K549" s="715"/>
      <c r="L549" s="769">
        <v>18.93</v>
      </c>
      <c r="M549" s="2220">
        <v>20.399999999999999</v>
      </c>
      <c r="N549" s="2215">
        <v>20.399999999999999</v>
      </c>
      <c r="O549" s="2212">
        <v>246.524</v>
      </c>
      <c r="P549" s="3284">
        <v>196.3</v>
      </c>
    </row>
    <row r="550" spans="1:16">
      <c r="A550" s="219">
        <f t="shared" si="1"/>
        <v>2018.01</v>
      </c>
      <c r="B550" s="2195">
        <v>108.3567</v>
      </c>
      <c r="C550" s="2205">
        <v>103.1943</v>
      </c>
      <c r="D550" s="2200">
        <v>114.94970000000001</v>
      </c>
      <c r="E550" s="2207">
        <v>100.7814</v>
      </c>
      <c r="F550" s="2205">
        <v>108.5795</v>
      </c>
      <c r="G550" s="2200">
        <v>93.466300000000004</v>
      </c>
      <c r="H550" s="354">
        <v>19.75</v>
      </c>
      <c r="I550" s="769">
        <v>18.989090909090912</v>
      </c>
      <c r="J550" s="769">
        <v>19.476086956521733</v>
      </c>
      <c r="K550" s="715"/>
      <c r="L550" s="769">
        <v>19.68</v>
      </c>
      <c r="M550" s="2220">
        <v>22.2</v>
      </c>
      <c r="N550" s="2215">
        <v>22</v>
      </c>
      <c r="O550" s="2212">
        <v>247.86699999999999</v>
      </c>
      <c r="P550" s="3284">
        <v>197.9</v>
      </c>
    </row>
    <row r="551" spans="1:16">
      <c r="A551" s="219">
        <f t="shared" si="1"/>
        <v>2018.02</v>
      </c>
      <c r="B551" s="2195">
        <v>107.65</v>
      </c>
      <c r="C551" s="2205">
        <v>102.5035</v>
      </c>
      <c r="D551" s="2200">
        <v>114.2188</v>
      </c>
      <c r="E551" s="2207">
        <v>100.1905</v>
      </c>
      <c r="F551" s="2205">
        <v>108.051</v>
      </c>
      <c r="G551" s="2200">
        <v>92.830100000000002</v>
      </c>
      <c r="H551" s="354">
        <v>20.239999999999998</v>
      </c>
      <c r="I551" s="769">
        <v>19.783888888888885</v>
      </c>
      <c r="J551" s="769">
        <v>19.91611111111111</v>
      </c>
      <c r="K551" s="715"/>
      <c r="L551" s="769">
        <v>20.309999999999999</v>
      </c>
      <c r="M551" s="2220">
        <v>22.6</v>
      </c>
      <c r="N551" s="2215">
        <v>22.6</v>
      </c>
      <c r="O551" s="2212">
        <v>248.99100000000001</v>
      </c>
      <c r="P551" s="3284">
        <v>199.3</v>
      </c>
    </row>
    <row r="552" spans="1:16">
      <c r="A552" s="219">
        <f t="shared" si="1"/>
        <v>2018.03</v>
      </c>
      <c r="B552" s="2195">
        <v>107.9473</v>
      </c>
      <c r="C552" s="2205">
        <v>103.1641</v>
      </c>
      <c r="D552" s="2200">
        <v>114.136</v>
      </c>
      <c r="E552" s="2207">
        <v>100.4114</v>
      </c>
      <c r="F552" s="2205">
        <v>108.66370000000001</v>
      </c>
      <c r="G552" s="2200">
        <v>92.73</v>
      </c>
      <c r="H552" s="354">
        <v>20.25</v>
      </c>
      <c r="I552" s="769">
        <v>20.193999999999999</v>
      </c>
      <c r="J552" s="769">
        <v>20.5443</v>
      </c>
      <c r="K552" s="715"/>
      <c r="L552" s="769">
        <v>20.149999999999999</v>
      </c>
      <c r="M552" s="2220">
        <v>23.2</v>
      </c>
      <c r="N552" s="2215">
        <v>23.1</v>
      </c>
      <c r="O552" s="2212">
        <v>249.554</v>
      </c>
      <c r="P552" s="3284">
        <v>199.3</v>
      </c>
    </row>
    <row r="553" spans="1:16">
      <c r="A553" s="219">
        <f t="shared" si="1"/>
        <v>2018.04</v>
      </c>
      <c r="B553" s="2195">
        <v>107.94280000000001</v>
      </c>
      <c r="C553" s="2205">
        <v>103.23990000000001</v>
      </c>
      <c r="D553" s="2200">
        <v>114.04730000000001</v>
      </c>
      <c r="E553" s="2207">
        <v>100.5364</v>
      </c>
      <c r="F553" s="2205">
        <v>108.992</v>
      </c>
      <c r="G553" s="2200">
        <v>92.689300000000003</v>
      </c>
      <c r="H553" s="354">
        <v>20.7</v>
      </c>
      <c r="I553" s="769">
        <v>20.18</v>
      </c>
      <c r="J553" s="769">
        <v>20.47157</v>
      </c>
      <c r="K553" s="715"/>
      <c r="L553" s="769">
        <v>20.83</v>
      </c>
      <c r="M553" s="2220">
        <v>23.4</v>
      </c>
      <c r="N553" s="2215">
        <v>23.4</v>
      </c>
      <c r="O553" s="2212">
        <v>250.54599999999999</v>
      </c>
      <c r="P553" s="3284">
        <v>200.3</v>
      </c>
    </row>
    <row r="554" spans="1:16">
      <c r="A554" s="219">
        <f t="shared" si="1"/>
        <v>2018.05</v>
      </c>
      <c r="B554" s="2195">
        <v>111.04600000000001</v>
      </c>
      <c r="C554" s="2205">
        <v>106.0902</v>
      </c>
      <c r="D554" s="2200">
        <v>117.4495</v>
      </c>
      <c r="E554" s="2207">
        <v>103.515</v>
      </c>
      <c r="F554" s="2205">
        <v>111.93470000000001</v>
      </c>
      <c r="G554" s="2200">
        <v>95.667400000000001</v>
      </c>
      <c r="H554" s="354">
        <v>25.15</v>
      </c>
      <c r="I554" s="769">
        <v>23.68</v>
      </c>
      <c r="J554" s="769">
        <v>24.245000000000001</v>
      </c>
      <c r="K554" s="715"/>
      <c r="L554" s="769">
        <v>24.96</v>
      </c>
      <c r="M554" s="2220">
        <v>29.2</v>
      </c>
      <c r="N554" s="2215">
        <v>29.1</v>
      </c>
      <c r="O554" s="2212">
        <v>251.58799999999999</v>
      </c>
      <c r="P554" s="3284">
        <v>203.2</v>
      </c>
    </row>
    <row r="555" spans="1:16">
      <c r="A555" s="219">
        <f t="shared" si="1"/>
        <v>2018.06</v>
      </c>
      <c r="B555" s="2195">
        <v>112.84350000000001</v>
      </c>
      <c r="C555" s="2205">
        <v>107.3633</v>
      </c>
      <c r="D555" s="2200">
        <v>119.8197</v>
      </c>
      <c r="E555" s="2207">
        <v>105.06359999999999</v>
      </c>
      <c r="F555" s="2205">
        <v>113.2847</v>
      </c>
      <c r="G555" s="2200">
        <v>97.362799999999993</v>
      </c>
      <c r="H555" s="354">
        <v>28.58</v>
      </c>
      <c r="I555" s="769">
        <v>26.595000000000006</v>
      </c>
      <c r="J555" s="769">
        <v>26.972499999999997</v>
      </c>
      <c r="K555" s="715"/>
      <c r="L555" s="769">
        <v>28.23</v>
      </c>
      <c r="M555" s="2220">
        <v>32.9</v>
      </c>
      <c r="N555" s="2215">
        <v>33.1</v>
      </c>
      <c r="O555" s="2212">
        <v>251.989</v>
      </c>
      <c r="P555" s="3284">
        <v>204.2</v>
      </c>
    </row>
    <row r="556" spans="1:16">
      <c r="A556" s="219">
        <f t="shared" si="1"/>
        <v>2018.07</v>
      </c>
      <c r="B556" s="2195">
        <v>113.0594</v>
      </c>
      <c r="C556" s="2205">
        <v>107.7347</v>
      </c>
      <c r="D556" s="2200">
        <v>119.8733</v>
      </c>
      <c r="E556" s="2207">
        <v>105.0445</v>
      </c>
      <c r="F556" s="2205">
        <v>113.429</v>
      </c>
      <c r="G556" s="2200">
        <v>97.210700000000003</v>
      </c>
      <c r="H556" s="354">
        <v>27.55</v>
      </c>
      <c r="I556" s="769">
        <v>27.524699999999999</v>
      </c>
      <c r="J556" s="769">
        <v>28.24</v>
      </c>
      <c r="K556" s="715"/>
      <c r="L556" s="769">
        <v>27.33</v>
      </c>
      <c r="M556" s="2220">
        <v>33.5</v>
      </c>
      <c r="N556" s="2215">
        <v>33.4</v>
      </c>
      <c r="O556" s="2212">
        <v>252.006</v>
      </c>
      <c r="P556" s="3284">
        <v>204.3</v>
      </c>
    </row>
    <row r="557" spans="1:16">
      <c r="A557" s="219">
        <f t="shared" si="1"/>
        <v>2018.08</v>
      </c>
      <c r="B557" s="2195">
        <v>113.8309</v>
      </c>
      <c r="C557" s="2205">
        <v>108.2546</v>
      </c>
      <c r="D557" s="2200">
        <v>120.92</v>
      </c>
      <c r="E557" s="2207">
        <v>105.6238</v>
      </c>
      <c r="F557" s="2205">
        <v>113.93819999999999</v>
      </c>
      <c r="G557" s="2200">
        <v>97.841499999999996</v>
      </c>
      <c r="H557" s="354">
        <v>37</v>
      </c>
      <c r="I557" s="769">
        <v>30.11363636363636</v>
      </c>
      <c r="J557" s="769">
        <v>30.4522727272727</v>
      </c>
      <c r="K557" s="715"/>
      <c r="L557" s="769">
        <v>39.5</v>
      </c>
      <c r="M557" s="2220">
        <v>46.67</v>
      </c>
      <c r="N557" s="2215">
        <v>46.713333333333303</v>
      </c>
      <c r="O557" s="2212">
        <v>252.14599999999999</v>
      </c>
      <c r="P557" s="3284">
        <v>203.4</v>
      </c>
    </row>
    <row r="558" spans="1:16">
      <c r="A558" s="219">
        <f>A546+1</f>
        <v>2018.09</v>
      </c>
      <c r="B558" s="2195">
        <v>114.0783</v>
      </c>
      <c r="C558" s="2205">
        <v>107.6764</v>
      </c>
      <c r="D558" s="2200">
        <v>122.05110000000001</v>
      </c>
      <c r="E558" s="2207">
        <v>105.8365</v>
      </c>
      <c r="F558" s="2205">
        <v>113.48139999999999</v>
      </c>
      <c r="G558" s="2200">
        <v>98.601699999999994</v>
      </c>
      <c r="H558" s="354">
        <v>39.5</v>
      </c>
      <c r="I558" s="769">
        <v>38.433999999999997</v>
      </c>
      <c r="J558" s="769">
        <v>38.35</v>
      </c>
      <c r="K558" s="715"/>
      <c r="L558" s="769">
        <v>39.770000000000003</v>
      </c>
      <c r="M558" s="2220">
        <v>48.2</v>
      </c>
      <c r="N558" s="2215">
        <v>49.6</v>
      </c>
      <c r="O558" s="2212">
        <v>252.43899999999999</v>
      </c>
      <c r="P558" s="3284">
        <v>203.6</v>
      </c>
    </row>
    <row r="559" spans="1:16">
      <c r="A559" s="219">
        <f t="shared" si="1"/>
        <v>2018.1</v>
      </c>
      <c r="B559" s="2195">
        <v>114.8301</v>
      </c>
      <c r="C559" s="2205">
        <v>108.59690000000001</v>
      </c>
      <c r="D559" s="2200">
        <v>122.62909999999999</v>
      </c>
      <c r="E559" s="2207">
        <v>106.5585</v>
      </c>
      <c r="F559" s="2205">
        <v>114.4841</v>
      </c>
      <c r="G559" s="2200">
        <v>99.086100000000002</v>
      </c>
      <c r="H559" s="354">
        <v>35.700000000000003</v>
      </c>
      <c r="I559" s="769">
        <v>36.956818181818178</v>
      </c>
      <c r="J559" s="769">
        <v>36.83</v>
      </c>
      <c r="K559" s="768">
        <v>35.93</v>
      </c>
      <c r="L559" s="769">
        <v>36.68</v>
      </c>
      <c r="M559" s="2220">
        <v>47.2</v>
      </c>
      <c r="N559" s="2215">
        <v>46.8</v>
      </c>
      <c r="O559" s="2212">
        <v>252.88499999999999</v>
      </c>
      <c r="P559" s="3284">
        <v>204.6</v>
      </c>
    </row>
    <row r="560" spans="1:16">
      <c r="A560" s="219">
        <f t="shared" ref="A560:A623" si="2">A548+1</f>
        <v>2018.11</v>
      </c>
      <c r="B560" s="2195">
        <v>116.1678</v>
      </c>
      <c r="C560" s="2205">
        <v>109.68470000000001</v>
      </c>
      <c r="D560" s="2200">
        <v>124.2479</v>
      </c>
      <c r="E560" s="2207">
        <v>107.72020000000001</v>
      </c>
      <c r="F560" s="2205">
        <v>115.63809999999999</v>
      </c>
      <c r="G560" s="2200">
        <v>100.24379999999999</v>
      </c>
      <c r="H560" s="354">
        <v>37.82</v>
      </c>
      <c r="I560" s="769">
        <v>36.340000000000003</v>
      </c>
      <c r="J560" s="769">
        <v>35.529000000000003</v>
      </c>
      <c r="K560" s="721">
        <v>37.68</v>
      </c>
      <c r="L560" s="769">
        <v>37.68</v>
      </c>
      <c r="M560" s="2220">
        <v>47.7</v>
      </c>
      <c r="N560" s="2215">
        <v>48</v>
      </c>
      <c r="O560" s="2212">
        <v>252.03800000000001</v>
      </c>
      <c r="P560" s="3284">
        <v>202.3</v>
      </c>
    </row>
    <row r="561" spans="1:17">
      <c r="A561" s="219">
        <f t="shared" si="2"/>
        <v>2018.12</v>
      </c>
      <c r="B561" s="2195">
        <v>116.2111</v>
      </c>
      <c r="C561" s="2205">
        <v>110.2118</v>
      </c>
      <c r="D561" s="2200">
        <v>123.7735</v>
      </c>
      <c r="E561" s="2207">
        <v>107.768</v>
      </c>
      <c r="F561" s="2205">
        <v>116.2817</v>
      </c>
      <c r="G561" s="2200">
        <v>99.802999999999997</v>
      </c>
      <c r="H561" s="354">
        <v>37.83</v>
      </c>
      <c r="I561" s="769">
        <v>37.734999999999999</v>
      </c>
      <c r="J561" s="769">
        <v>37.22</v>
      </c>
      <c r="K561" s="721">
        <v>38.11</v>
      </c>
      <c r="L561" s="769">
        <v>38.04</v>
      </c>
      <c r="M561" s="2212">
        <v>48.349999999999902</v>
      </c>
      <c r="N561" s="2216">
        <v>48.636249999999997</v>
      </c>
      <c r="O561" s="2212">
        <v>251.233</v>
      </c>
      <c r="P561" s="3284">
        <v>201</v>
      </c>
    </row>
    <row r="562" spans="1:17">
      <c r="A562" s="219">
        <f t="shared" si="2"/>
        <v>2019.01</v>
      </c>
      <c r="B562" s="2195">
        <v>114.44029999999999</v>
      </c>
      <c r="C562" s="2205">
        <v>109.1527</v>
      </c>
      <c r="D562" s="2200">
        <v>121.2135</v>
      </c>
      <c r="E562" s="2207">
        <v>106.057</v>
      </c>
      <c r="F562" s="2205">
        <v>115.1071</v>
      </c>
      <c r="G562" s="2200">
        <v>97.643299999999996</v>
      </c>
      <c r="H562" s="354">
        <v>37.31</v>
      </c>
      <c r="I562" s="769">
        <v>37.272499999999994</v>
      </c>
      <c r="J562" s="769">
        <v>37.436363636363637</v>
      </c>
      <c r="K562" s="721">
        <v>37.54</v>
      </c>
      <c r="L562" s="769">
        <v>37.409999999999997</v>
      </c>
      <c r="M562" s="2212">
        <v>48.4</v>
      </c>
      <c r="N562" s="2216">
        <v>48.4</v>
      </c>
      <c r="O562" s="2212">
        <v>251.71199999999999</v>
      </c>
      <c r="P562" s="3284">
        <v>199.1</v>
      </c>
    </row>
    <row r="563" spans="1:17">
      <c r="A563" s="219">
        <f t="shared" si="2"/>
        <v>2019.02</v>
      </c>
      <c r="B563" s="2195">
        <v>114.4106</v>
      </c>
      <c r="C563" s="2205">
        <v>109.4097</v>
      </c>
      <c r="D563" s="2200">
        <v>120.86450000000001</v>
      </c>
      <c r="E563" s="2207">
        <v>106.1455</v>
      </c>
      <c r="F563" s="2205">
        <v>115.5348</v>
      </c>
      <c r="G563" s="2200">
        <v>97.443299999999994</v>
      </c>
      <c r="H563" s="354">
        <v>39.1</v>
      </c>
      <c r="I563" s="769">
        <v>38.3035</v>
      </c>
      <c r="J563" s="769">
        <v>37.787999999999997</v>
      </c>
      <c r="K563" s="721">
        <v>39.33</v>
      </c>
      <c r="L563" s="769">
        <v>39.04</v>
      </c>
      <c r="M563" s="2212">
        <v>49.3</v>
      </c>
      <c r="N563" s="2216">
        <v>49.6</v>
      </c>
      <c r="O563" s="2212">
        <v>252.77600000000001</v>
      </c>
      <c r="P563" s="3284">
        <v>199.2</v>
      </c>
    </row>
    <row r="564" spans="1:17">
      <c r="A564" s="219">
        <f t="shared" si="2"/>
        <v>2019.03</v>
      </c>
      <c r="B564" s="2195">
        <v>114.78230000000001</v>
      </c>
      <c r="C564" s="2205">
        <v>109.94759999999999</v>
      </c>
      <c r="D564" s="2200">
        <v>121.0553</v>
      </c>
      <c r="E564" s="2207">
        <v>106.565</v>
      </c>
      <c r="F564" s="2205">
        <v>116.2962</v>
      </c>
      <c r="G564" s="2200">
        <v>97.571100000000001</v>
      </c>
      <c r="H564" s="354">
        <v>43.2</v>
      </c>
      <c r="I564" s="769">
        <v>41.415700000000001</v>
      </c>
      <c r="J564" s="769">
        <v>40.981499999999997</v>
      </c>
      <c r="K564" s="721">
        <v>43.66</v>
      </c>
      <c r="L564" s="769">
        <v>43.67</v>
      </c>
      <c r="M564" s="2212">
        <v>52.7</v>
      </c>
      <c r="N564" s="2216">
        <v>53.5</v>
      </c>
      <c r="O564" s="2212">
        <v>254.202</v>
      </c>
      <c r="P564" s="3284">
        <v>200.8</v>
      </c>
    </row>
    <row r="565" spans="1:17">
      <c r="A565" s="219">
        <f t="shared" si="2"/>
        <v>2019.04</v>
      </c>
      <c r="B565" s="2195">
        <v>114.9024</v>
      </c>
      <c r="C565" s="2205">
        <v>110.4379</v>
      </c>
      <c r="D565" s="2200">
        <v>120.7688</v>
      </c>
      <c r="E565" s="2207">
        <v>106.6795</v>
      </c>
      <c r="F565" s="2205">
        <v>116.9109</v>
      </c>
      <c r="G565" s="2200">
        <v>97.265299999999996</v>
      </c>
      <c r="H565" s="714">
        <v>44.26</v>
      </c>
      <c r="I565" s="769">
        <v>43.16</v>
      </c>
      <c r="J565" s="769">
        <v>43.747100000000003</v>
      </c>
      <c r="K565" s="721">
        <v>44.27</v>
      </c>
      <c r="L565" s="769">
        <v>46.46</v>
      </c>
      <c r="M565" s="2212">
        <v>54.6</v>
      </c>
      <c r="N565" s="2216">
        <v>54.8</v>
      </c>
      <c r="O565" s="2212">
        <v>255.548</v>
      </c>
      <c r="P565" s="3284">
        <v>202.1</v>
      </c>
    </row>
    <row r="566" spans="1:17">
      <c r="A566" s="219">
        <f t="shared" si="2"/>
        <v>2019.05</v>
      </c>
      <c r="B566" s="2195">
        <v>115.95699999999999</v>
      </c>
      <c r="C566" s="2205">
        <v>110.8764</v>
      </c>
      <c r="D566" s="2200">
        <v>122.51220000000001</v>
      </c>
      <c r="E566" s="2207">
        <v>107.4436</v>
      </c>
      <c r="F566" s="2205">
        <v>117.2611</v>
      </c>
      <c r="G566" s="2200">
        <v>98.370500000000007</v>
      </c>
      <c r="H566" s="354">
        <v>45.1</v>
      </c>
      <c r="I566" s="769">
        <v>44.78</v>
      </c>
      <c r="J566" s="769">
        <v>45.41</v>
      </c>
      <c r="K566" s="721">
        <v>44.84</v>
      </c>
      <c r="L566" s="769">
        <v>44.86</v>
      </c>
      <c r="M566" s="2212">
        <v>55.5</v>
      </c>
      <c r="N566" s="2216">
        <v>55.7</v>
      </c>
      <c r="O566" s="2212">
        <v>256.09199999999998</v>
      </c>
      <c r="P566" s="3284">
        <v>201.7</v>
      </c>
    </row>
    <row r="567" spans="1:17">
      <c r="A567" s="219">
        <f t="shared" si="2"/>
        <v>2019.06</v>
      </c>
      <c r="B567" s="2195">
        <v>115.42789999999999</v>
      </c>
      <c r="C567" s="2205">
        <v>109.8312</v>
      </c>
      <c r="D567" s="2200">
        <v>122.5539</v>
      </c>
      <c r="E567" s="2207">
        <v>106.8223</v>
      </c>
      <c r="F567" s="2205">
        <v>116.0829</v>
      </c>
      <c r="G567" s="2200">
        <v>98.224400000000003</v>
      </c>
      <c r="H567" s="354">
        <v>42.15</v>
      </c>
      <c r="I567" s="769">
        <v>43.63</v>
      </c>
      <c r="J567" s="769">
        <v>44.22</v>
      </c>
      <c r="K567" s="721">
        <v>42.48</v>
      </c>
      <c r="L567" s="769">
        <v>42.56</v>
      </c>
      <c r="M567" s="2212">
        <v>55</v>
      </c>
      <c r="N567" s="2216">
        <v>55.2</v>
      </c>
      <c r="O567" s="2212">
        <v>256.14299999999997</v>
      </c>
      <c r="P567" s="3284">
        <v>200.3</v>
      </c>
    </row>
    <row r="568" spans="1:17">
      <c r="A568" s="219">
        <f t="shared" si="2"/>
        <v>2019.07</v>
      </c>
      <c r="B568" s="2195">
        <v>115.07850000000001</v>
      </c>
      <c r="C568" s="2205">
        <v>109.97410000000001</v>
      </c>
      <c r="D568" s="2200">
        <v>121.6529</v>
      </c>
      <c r="E568" s="2207">
        <v>106.572</v>
      </c>
      <c r="F568" s="2205">
        <v>116.34399999999999</v>
      </c>
      <c r="G568" s="2200">
        <v>97.543800000000005</v>
      </c>
      <c r="H568" s="354">
        <v>43.92</v>
      </c>
      <c r="I568" s="354">
        <v>43.78</v>
      </c>
      <c r="J568" s="769">
        <v>43.23</v>
      </c>
      <c r="K568" s="721">
        <v>44.07</v>
      </c>
      <c r="L568" s="769">
        <v>44.04</v>
      </c>
      <c r="M568" s="2212">
        <v>56</v>
      </c>
      <c r="N568" s="2216">
        <v>56.169287505739398</v>
      </c>
      <c r="O568" s="2212">
        <v>256.57100000000003</v>
      </c>
      <c r="P568" s="3284">
        <v>200.7</v>
      </c>
    </row>
    <row r="569" spans="1:17">
      <c r="A569" s="219">
        <f t="shared" si="2"/>
        <v>2019.08</v>
      </c>
      <c r="B569" s="2195">
        <v>117.102</v>
      </c>
      <c r="C569" s="2205">
        <v>110.75709999999999</v>
      </c>
      <c r="D569" s="2200">
        <v>125.08450000000001</v>
      </c>
      <c r="E569" s="2207">
        <v>108.38290000000001</v>
      </c>
      <c r="F569" s="2205">
        <v>117.1656</v>
      </c>
      <c r="G569" s="2200">
        <v>100.1829</v>
      </c>
      <c r="H569" s="354">
        <v>59</v>
      </c>
      <c r="I569" s="354">
        <v>52.49</v>
      </c>
      <c r="J569" s="769">
        <v>53.41</v>
      </c>
      <c r="K569" s="721">
        <v>61.96</v>
      </c>
      <c r="L569" s="769">
        <v>63.3</v>
      </c>
      <c r="M569" s="2212">
        <v>80</v>
      </c>
      <c r="N569" s="2216">
        <v>83.0137513888195</v>
      </c>
      <c r="O569" s="2212">
        <v>256.55799999999999</v>
      </c>
      <c r="P569" s="3284">
        <v>199.2</v>
      </c>
    </row>
    <row r="570" spans="1:17">
      <c r="A570" s="219">
        <f t="shared" si="2"/>
        <v>2019.09</v>
      </c>
      <c r="B570" s="2195">
        <v>117.32559999999999</v>
      </c>
      <c r="C570" s="2205">
        <v>111.19670000000001</v>
      </c>
      <c r="D570" s="2200">
        <v>125.0637</v>
      </c>
      <c r="E570" s="2207">
        <v>108.56480000000001</v>
      </c>
      <c r="F570" s="2205">
        <v>117.7925</v>
      </c>
      <c r="G570" s="2200">
        <v>99.983199999999997</v>
      </c>
      <c r="H570" s="354">
        <v>57.25</v>
      </c>
      <c r="I570" s="354">
        <v>56.36</v>
      </c>
      <c r="J570" s="354">
        <v>59.220238095238095</v>
      </c>
      <c r="K570" s="2207">
        <v>61.02</v>
      </c>
      <c r="L570" s="769">
        <v>62.58</v>
      </c>
      <c r="M570" s="2212">
        <v>82.2</v>
      </c>
      <c r="N570" s="2216">
        <v>82.8</v>
      </c>
      <c r="O570" s="2212">
        <v>256.75900000000001</v>
      </c>
      <c r="P570" s="3284">
        <v>198.4</v>
      </c>
    </row>
    <row r="571" spans="1:17">
      <c r="A571" s="219">
        <f t="shared" si="2"/>
        <v>2019.1</v>
      </c>
      <c r="B571" s="2195">
        <v>116.7479</v>
      </c>
      <c r="C571" s="2205">
        <v>110.7273</v>
      </c>
      <c r="D571" s="2200">
        <v>124.35939999999999</v>
      </c>
      <c r="E571" s="2207">
        <v>108.03360000000001</v>
      </c>
      <c r="F571" s="2205">
        <v>117.5104</v>
      </c>
      <c r="G571" s="2200">
        <v>99.243899999999996</v>
      </c>
      <c r="H571" s="354">
        <v>60.5</v>
      </c>
      <c r="I571" s="354">
        <v>58.44</v>
      </c>
      <c r="J571" s="354">
        <v>64.13636363636364</v>
      </c>
      <c r="K571" s="2207">
        <v>76.27</v>
      </c>
      <c r="L571" s="769">
        <v>78.540000000000006</v>
      </c>
      <c r="M571" s="2212">
        <v>83</v>
      </c>
      <c r="N571" s="2216">
        <v>84.2</v>
      </c>
      <c r="O571" s="2212">
        <v>257.346</v>
      </c>
      <c r="P571" s="3284">
        <v>198.6</v>
      </c>
      <c r="Q571" s="3282"/>
    </row>
    <row r="572" spans="1:17">
      <c r="A572" s="219">
        <f t="shared" si="2"/>
        <v>2019.11</v>
      </c>
      <c r="B572" s="2195">
        <v>116.5605</v>
      </c>
      <c r="C572" s="2205">
        <v>110.7073</v>
      </c>
      <c r="D572" s="2200">
        <v>123.9824</v>
      </c>
      <c r="E572" s="2207">
        <v>107.8813</v>
      </c>
      <c r="F572" s="2205">
        <v>117.6848</v>
      </c>
      <c r="G572" s="2200">
        <v>98.816699999999997</v>
      </c>
      <c r="H572" s="354">
        <v>60.86</v>
      </c>
      <c r="I572" s="354">
        <v>59.64050000000001</v>
      </c>
      <c r="J572" s="354">
        <v>65.25</v>
      </c>
      <c r="K572" s="2207">
        <v>72.7</v>
      </c>
      <c r="L572" s="769">
        <v>74.81</v>
      </c>
      <c r="M572" s="2212">
        <v>82.5</v>
      </c>
      <c r="N572" s="2216">
        <v>83</v>
      </c>
      <c r="O572" s="2212">
        <v>257.20800000000003</v>
      </c>
      <c r="P572" s="3284">
        <v>199</v>
      </c>
      <c r="Q572" s="3282"/>
    </row>
    <row r="573" spans="1:17">
      <c r="A573" s="219">
        <f t="shared" si="2"/>
        <v>2019.12</v>
      </c>
      <c r="B573" s="2195">
        <v>115.91070000000001</v>
      </c>
      <c r="C573" s="2205">
        <v>109.99809999999999</v>
      </c>
      <c r="D573" s="2200">
        <v>123.3951</v>
      </c>
      <c r="E573" s="2207">
        <v>107.2167</v>
      </c>
      <c r="F573" s="2205">
        <v>117.00109999999999</v>
      </c>
      <c r="G573" s="2200">
        <v>98.173199999999994</v>
      </c>
      <c r="H573" s="354">
        <v>60.5</v>
      </c>
      <c r="I573" s="354">
        <v>59.777894736842114</v>
      </c>
      <c r="J573" s="354">
        <v>70.236842105263165</v>
      </c>
      <c r="K573" s="2207">
        <v>72.430000000000007</v>
      </c>
      <c r="L573" s="769">
        <v>74.41</v>
      </c>
      <c r="M573" s="2212">
        <v>80.5</v>
      </c>
      <c r="N573" s="2216">
        <v>79.599999999999994</v>
      </c>
      <c r="O573" s="2212">
        <v>256.97399999999999</v>
      </c>
      <c r="P573" s="3284">
        <v>199</v>
      </c>
      <c r="Q573" s="3282"/>
    </row>
    <row r="574" spans="1:17">
      <c r="A574" s="219">
        <f t="shared" si="2"/>
        <v>2020.01</v>
      </c>
      <c r="B574" s="2195">
        <v>115.2786</v>
      </c>
      <c r="C574" s="2205">
        <v>109.87949999999999</v>
      </c>
      <c r="D574" s="2200">
        <v>122.21210000000001</v>
      </c>
      <c r="E574" s="2207">
        <v>106.5569</v>
      </c>
      <c r="F574" s="2205">
        <v>116.9645</v>
      </c>
      <c r="G574" s="2200">
        <v>97.023200000000003</v>
      </c>
      <c r="H574" s="354">
        <v>60.5</v>
      </c>
      <c r="I574" s="354">
        <v>59.952800000000003</v>
      </c>
      <c r="J574" s="354">
        <v>73.113636400000004</v>
      </c>
      <c r="K574" s="2207">
        <v>83.79</v>
      </c>
      <c r="L574" s="769">
        <v>84.88</v>
      </c>
      <c r="M574" s="2212">
        <v>80.5</v>
      </c>
      <c r="N574" s="2216">
        <v>79.7</v>
      </c>
      <c r="O574" s="2212">
        <v>257.971</v>
      </c>
      <c r="P574" s="3284">
        <v>199.3</v>
      </c>
      <c r="Q574" s="3282"/>
    </row>
    <row r="575" spans="1:17">
      <c r="A575" s="219">
        <f t="shared" si="2"/>
        <v>2020.02</v>
      </c>
      <c r="B575" s="2195">
        <v>116.70950000000001</v>
      </c>
      <c r="C575" s="2205">
        <v>111.4348</v>
      </c>
      <c r="D575" s="2200">
        <v>123.5265</v>
      </c>
      <c r="E575" s="2207">
        <v>107.9302</v>
      </c>
      <c r="F575" s="2205">
        <v>118.7675</v>
      </c>
      <c r="G575" s="2200">
        <v>98.039500000000004</v>
      </c>
      <c r="H575" s="354">
        <v>61.9</v>
      </c>
      <c r="I575" s="354">
        <v>61.238117600000002</v>
      </c>
      <c r="J575" s="354">
        <v>76.191666666666663</v>
      </c>
      <c r="K575" s="2207">
        <v>80.87</v>
      </c>
      <c r="L575" s="769">
        <v>82.03</v>
      </c>
      <c r="M575" s="2212">
        <v>83</v>
      </c>
      <c r="N575" s="2216">
        <v>82.4</v>
      </c>
      <c r="O575" s="2212">
        <v>258.678</v>
      </c>
      <c r="P575" s="3284">
        <v>196.7</v>
      </c>
      <c r="Q575" s="3282"/>
    </row>
    <row r="576" spans="1:17">
      <c r="A576" s="219">
        <f t="shared" si="2"/>
        <v>2020.03</v>
      </c>
      <c r="B576" s="2195">
        <v>121.02849999999999</v>
      </c>
      <c r="C576" s="2205">
        <v>112.7139</v>
      </c>
      <c r="D576" s="2200">
        <v>131.19589999999999</v>
      </c>
      <c r="E576" s="2207">
        <v>111.81619999999999</v>
      </c>
      <c r="F576" s="2205">
        <v>120.06950000000001</v>
      </c>
      <c r="G576" s="2200">
        <v>103.97620000000001</v>
      </c>
      <c r="H576" s="354">
        <v>64.08</v>
      </c>
      <c r="I576" s="354">
        <v>62.85733333333333</v>
      </c>
      <c r="J576" s="354">
        <v>80.276315789473685</v>
      </c>
      <c r="K576" s="2207">
        <v>85.96</v>
      </c>
      <c r="L576" s="769">
        <v>86.92</v>
      </c>
      <c r="M576" s="2212">
        <v>88</v>
      </c>
      <c r="N576" s="2216">
        <v>88</v>
      </c>
      <c r="O576" s="2212">
        <v>258.11500000000001</v>
      </c>
      <c r="P576" s="3284">
        <v>193.1</v>
      </c>
      <c r="Q576" s="3282"/>
    </row>
    <row r="577" spans="1:18">
      <c r="A577" s="219">
        <f t="shared" si="2"/>
        <v>2020.04</v>
      </c>
      <c r="B577" s="2195">
        <v>123.2894</v>
      </c>
      <c r="C577" s="2205">
        <v>113.6233</v>
      </c>
      <c r="D577" s="2200">
        <v>134.9863</v>
      </c>
      <c r="E577" s="2207">
        <v>113.4366</v>
      </c>
      <c r="F577" s="2205">
        <v>120.5142</v>
      </c>
      <c r="G577" s="2200">
        <v>106.5681</v>
      </c>
      <c r="H577" s="354">
        <v>66.66</v>
      </c>
      <c r="I577" s="354">
        <v>65.400000000000006</v>
      </c>
      <c r="J577" s="354">
        <v>97.41</v>
      </c>
      <c r="K577" s="2207">
        <v>112.31</v>
      </c>
      <c r="L577" s="769">
        <v>114.65</v>
      </c>
      <c r="M577" s="2212">
        <v>96.14</v>
      </c>
      <c r="N577" s="2216">
        <v>95.855346378162238</v>
      </c>
      <c r="O577" s="2212">
        <v>256.38900000000001</v>
      </c>
      <c r="P577" s="3284">
        <v>185.5</v>
      </c>
      <c r="Q577" s="3282"/>
    </row>
    <row r="578" spans="1:18">
      <c r="A578" s="219">
        <f t="shared" si="2"/>
        <v>2020.05</v>
      </c>
      <c r="B578" s="2195">
        <v>122.6238</v>
      </c>
      <c r="C578" s="2205">
        <v>113.2055</v>
      </c>
      <c r="D578" s="2200">
        <v>134.036</v>
      </c>
      <c r="E578" s="2207">
        <v>112.7407</v>
      </c>
      <c r="F578" s="2205">
        <v>120.0973</v>
      </c>
      <c r="G578" s="2200">
        <v>105.642</v>
      </c>
      <c r="H578" s="354">
        <v>68.22</v>
      </c>
      <c r="I578" s="354">
        <v>67.72</v>
      </c>
      <c r="J578" s="354">
        <v>121.23684210526316</v>
      </c>
      <c r="K578" s="2207">
        <v>107.71</v>
      </c>
      <c r="L578" s="769">
        <v>113.42</v>
      </c>
      <c r="M578" s="2212">
        <v>104.1</v>
      </c>
      <c r="N578" s="2216">
        <v>103</v>
      </c>
      <c r="O578" s="2212">
        <v>256.39400000000001</v>
      </c>
      <c r="P578" s="3284">
        <v>188.6</v>
      </c>
      <c r="Q578" s="3282"/>
    </row>
    <row r="579" spans="1:18">
      <c r="A579" s="219">
        <f t="shared" si="2"/>
        <v>2020.06</v>
      </c>
      <c r="B579" s="2195">
        <v>119.6845</v>
      </c>
      <c r="C579" s="2205">
        <v>110.3417</v>
      </c>
      <c r="D579" s="2200">
        <v>130.99359999999999</v>
      </c>
      <c r="E579" s="2207">
        <v>110.10469999999999</v>
      </c>
      <c r="F579" s="2205">
        <v>117.16289999999999</v>
      </c>
      <c r="G579" s="2200">
        <v>103.2786</v>
      </c>
      <c r="H579" s="354">
        <v>71</v>
      </c>
      <c r="I579" s="354">
        <v>69.723571428571432</v>
      </c>
      <c r="J579" s="354">
        <v>120.85714285714286</v>
      </c>
      <c r="K579" s="2207">
        <v>100.53</v>
      </c>
      <c r="L579" s="769">
        <v>104.14</v>
      </c>
      <c r="M579" s="2212">
        <v>105.32</v>
      </c>
      <c r="N579" s="2216">
        <v>104.4834177248007</v>
      </c>
      <c r="O579" s="2212">
        <v>257.79700000000003</v>
      </c>
      <c r="P579" s="3284">
        <v>191.2</v>
      </c>
      <c r="Q579" s="3282"/>
    </row>
    <row r="580" spans="1:18">
      <c r="A580" s="219">
        <f t="shared" si="2"/>
        <v>2020.07</v>
      </c>
      <c r="B580" s="2195">
        <v>118.7004</v>
      </c>
      <c r="C580" s="2205">
        <v>108.82640000000001</v>
      </c>
      <c r="D580" s="2200">
        <v>130.61250000000001</v>
      </c>
      <c r="E580" s="2207">
        <v>109.5074</v>
      </c>
      <c r="F580" s="2205">
        <v>115.9709</v>
      </c>
      <c r="G580" s="2200">
        <v>103.19</v>
      </c>
      <c r="H580" s="354">
        <v>73</v>
      </c>
      <c r="I580" s="354">
        <v>71.22499999999998</v>
      </c>
      <c r="J580" s="354">
        <v>126.68181800000001</v>
      </c>
      <c r="K580" s="2207">
        <v>122.21</v>
      </c>
      <c r="L580" s="769">
        <v>124.1</v>
      </c>
      <c r="M580" s="2212">
        <v>105.1</v>
      </c>
      <c r="N580" s="2216">
        <v>104.9896777923114</v>
      </c>
      <c r="O580" s="2212">
        <v>259.101</v>
      </c>
      <c r="P580" s="3284">
        <v>193</v>
      </c>
      <c r="Q580" s="3282"/>
    </row>
    <row r="581" spans="1:18">
      <c r="A581" s="219">
        <f t="shared" si="2"/>
        <v>2020.08</v>
      </c>
      <c r="B581" s="2195">
        <v>116.9576</v>
      </c>
      <c r="C581" s="2205">
        <v>106.22</v>
      </c>
      <c r="D581" s="2200">
        <v>129.8622</v>
      </c>
      <c r="E581" s="2207">
        <v>108.2002</v>
      </c>
      <c r="F581" s="2205">
        <v>113.8036</v>
      </c>
      <c r="G581" s="2200">
        <v>102.62949999999999</v>
      </c>
      <c r="H581" s="354">
        <v>76</v>
      </c>
      <c r="I581" s="354">
        <v>73.067222222222213</v>
      </c>
      <c r="J581" s="354">
        <v>131.04</v>
      </c>
      <c r="K581" s="2207">
        <v>121.57</v>
      </c>
      <c r="L581" s="769">
        <v>125.79</v>
      </c>
      <c r="M581" s="2212">
        <v>108.1</v>
      </c>
      <c r="N581" s="2216">
        <v>108.65</v>
      </c>
      <c r="O581" s="2212">
        <v>259.91800000000001</v>
      </c>
      <c r="P581" s="3284">
        <v>194.3</v>
      </c>
      <c r="Q581" s="3282"/>
    </row>
    <row r="582" spans="1:18">
      <c r="A582" s="219">
        <f t="shared" si="2"/>
        <v>2020.09</v>
      </c>
      <c r="B582" s="2195">
        <v>116.35339999999999</v>
      </c>
      <c r="C582" s="2205">
        <v>106.554</v>
      </c>
      <c r="D582" s="2200">
        <v>128.1678</v>
      </c>
      <c r="E582" s="2207">
        <v>107.7848</v>
      </c>
      <c r="F582" s="2205">
        <v>114.3488</v>
      </c>
      <c r="G582" s="2200">
        <v>101.39490000000001</v>
      </c>
      <c r="H582" s="354">
        <v>78.3</v>
      </c>
      <c r="I582" s="354">
        <v>75.104761904761929</v>
      </c>
      <c r="J582" s="354">
        <v>135.36363636363637</v>
      </c>
      <c r="K582" s="2207">
        <v>138.79</v>
      </c>
      <c r="L582" s="769">
        <v>145.65</v>
      </c>
      <c r="M582" s="2212">
        <v>109.85</v>
      </c>
      <c r="N582" s="2216">
        <v>110.0032285444881</v>
      </c>
      <c r="O582" s="2212">
        <v>260.27999999999997</v>
      </c>
      <c r="P582" s="3284">
        <v>195.5</v>
      </c>
      <c r="Q582" s="3282"/>
    </row>
    <row r="583" spans="1:18">
      <c r="A583" s="219">
        <f t="shared" si="2"/>
        <v>2020.1</v>
      </c>
      <c r="B583" s="2195">
        <v>115.7882</v>
      </c>
      <c r="C583" s="2205">
        <v>106.5321</v>
      </c>
      <c r="D583" s="2200">
        <v>126.9764</v>
      </c>
      <c r="E583" s="2207">
        <v>107.25230000000001</v>
      </c>
      <c r="F583" s="2205">
        <v>114.3845</v>
      </c>
      <c r="G583" s="2200">
        <v>100.3867</v>
      </c>
      <c r="H583" s="354">
        <v>81</v>
      </c>
      <c r="I583" s="354">
        <v>77.37833333333333</v>
      </c>
      <c r="J583" s="354">
        <v>167.61904761904762</v>
      </c>
      <c r="K583" s="2207">
        <v>143.22999999999999</v>
      </c>
      <c r="L583" s="769">
        <v>147.69999999999999</v>
      </c>
      <c r="M583" s="2212">
        <v>117.4</v>
      </c>
      <c r="N583" s="2216">
        <v>118.59</v>
      </c>
      <c r="O583" s="2212">
        <v>260.38799999999998</v>
      </c>
      <c r="P583" s="3284">
        <v>196.5</v>
      </c>
      <c r="Q583" s="3282"/>
    </row>
    <row r="584" spans="1:18">
      <c r="A584" s="219">
        <f t="shared" si="2"/>
        <v>2020.11</v>
      </c>
      <c r="B584" s="2195">
        <v>114.1033</v>
      </c>
      <c r="C584" s="2205">
        <v>105.634</v>
      </c>
      <c r="D584" s="2200">
        <v>124.3896</v>
      </c>
      <c r="E584" s="2207">
        <v>105.9361</v>
      </c>
      <c r="F584" s="2205">
        <v>113.58540000000001</v>
      </c>
      <c r="G584" s="2200">
        <v>98.649600000000007</v>
      </c>
      <c r="H584" s="2436">
        <v>83.72</v>
      </c>
      <c r="I584" s="354">
        <v>80.852000000000004</v>
      </c>
      <c r="J584" s="354">
        <v>157.4</v>
      </c>
      <c r="K584" s="2207">
        <v>144.55000000000001</v>
      </c>
      <c r="L584" s="769">
        <v>148.04</v>
      </c>
      <c r="M584" s="2212">
        <v>121.1408880683679</v>
      </c>
      <c r="N584" s="2216">
        <v>124.26525704994719</v>
      </c>
      <c r="O584" s="2212">
        <v>260.22899999999998</v>
      </c>
      <c r="P584" s="3284">
        <v>198.3</v>
      </c>
      <c r="Q584" s="3282"/>
    </row>
    <row r="585" spans="1:18">
      <c r="A585" s="219">
        <f t="shared" si="2"/>
        <v>2020.12</v>
      </c>
      <c r="B585" s="2195">
        <v>111.9051</v>
      </c>
      <c r="C585" s="2205">
        <v>103.2852</v>
      </c>
      <c r="D585" s="2200">
        <v>122.3475</v>
      </c>
      <c r="E585" s="2207">
        <v>103.95740000000001</v>
      </c>
      <c r="F585" s="2205">
        <v>111.2129</v>
      </c>
      <c r="G585" s="2200">
        <v>97.016000000000005</v>
      </c>
      <c r="H585" s="2436">
        <v>86.25</v>
      </c>
      <c r="I585" s="354">
        <v>82.538333333333355</v>
      </c>
      <c r="J585" s="354">
        <v>150.05263157894737</v>
      </c>
      <c r="K585" s="2207">
        <v>139.99</v>
      </c>
      <c r="L585" s="769">
        <v>140.26</v>
      </c>
      <c r="M585" s="2212">
        <v>125.8</v>
      </c>
      <c r="N585" s="2216">
        <v>126.0821535708475</v>
      </c>
      <c r="O585" s="2212">
        <v>260.47399999999999</v>
      </c>
      <c r="P585" s="3284">
        <v>200.5</v>
      </c>
      <c r="Q585" s="3282"/>
    </row>
    <row r="586" spans="1:18">
      <c r="A586" s="219">
        <f t="shared" si="2"/>
        <v>2021.01</v>
      </c>
      <c r="B586" s="2195">
        <v>111.4953</v>
      </c>
      <c r="C586" s="2205">
        <v>102.80589999999999</v>
      </c>
      <c r="D586" s="2200">
        <v>122.0179</v>
      </c>
      <c r="E586" s="2207">
        <v>103.2495</v>
      </c>
      <c r="F586" s="2205">
        <v>110.2454</v>
      </c>
      <c r="G586" s="2200">
        <v>96.521799999999999</v>
      </c>
      <c r="H586" s="2436">
        <v>89.7</v>
      </c>
      <c r="I586" s="354">
        <v>85.875499999999988</v>
      </c>
      <c r="J586" s="354">
        <v>154.25</v>
      </c>
      <c r="K586" s="2207">
        <v>147.88</v>
      </c>
      <c r="L586" s="769">
        <v>150.52000000000001</v>
      </c>
      <c r="M586" s="2212">
        <v>129</v>
      </c>
      <c r="N586" s="2216">
        <v>127.9103938627772</v>
      </c>
      <c r="O586" s="2212">
        <v>261.58199999999999</v>
      </c>
      <c r="P586" s="3284">
        <v>204.8</v>
      </c>
      <c r="Q586" s="3282"/>
    </row>
    <row r="587" spans="1:18">
      <c r="A587" s="219">
        <f t="shared" si="2"/>
        <v>2021.02</v>
      </c>
      <c r="B587" s="2195">
        <v>112.0275</v>
      </c>
      <c r="C587" s="2205">
        <v>103.131</v>
      </c>
      <c r="D587" s="2200">
        <v>122.78</v>
      </c>
      <c r="E587" s="2207">
        <v>103.923</v>
      </c>
      <c r="F587" s="2205">
        <v>111.0123</v>
      </c>
      <c r="G587" s="2200">
        <v>97.113600000000005</v>
      </c>
      <c r="H587" s="2436">
        <v>92.4</v>
      </c>
      <c r="I587" s="354">
        <v>88.574444444444438</v>
      </c>
      <c r="J587" s="354">
        <v>147</v>
      </c>
      <c r="K587" s="2207">
        <v>141.91999999999999</v>
      </c>
      <c r="L587" s="769">
        <v>145.32</v>
      </c>
      <c r="M587" s="2212">
        <v>125</v>
      </c>
      <c r="N587" s="2216">
        <v>126.1321480300201</v>
      </c>
      <c r="O587" s="2212">
        <v>263.01400000000001</v>
      </c>
      <c r="P587" s="3284">
        <v>210.6</v>
      </c>
      <c r="Q587" s="3282"/>
      <c r="R587" s="512"/>
    </row>
    <row r="588" spans="1:18">
      <c r="A588" s="219">
        <f t="shared" si="2"/>
        <v>2021.03</v>
      </c>
      <c r="B588" s="2195">
        <v>113.3497</v>
      </c>
      <c r="C588" s="2205">
        <v>104.16930000000001</v>
      </c>
      <c r="D588" s="2200">
        <v>124.4216</v>
      </c>
      <c r="E588" s="2207">
        <v>105.3939</v>
      </c>
      <c r="F588" s="2205">
        <v>112.5334</v>
      </c>
      <c r="G588" s="2200">
        <v>98.527799999999999</v>
      </c>
      <c r="H588" s="2436">
        <v>94.7</v>
      </c>
      <c r="I588" s="354">
        <v>91.065909090909088</v>
      </c>
      <c r="J588" s="354">
        <v>141.11538461538461</v>
      </c>
      <c r="K588" s="2207">
        <v>142.19</v>
      </c>
      <c r="L588" s="769">
        <v>147.16</v>
      </c>
      <c r="M588" s="2212">
        <v>125.57964568669939</v>
      </c>
      <c r="N588" s="2216">
        <v>126.6774881729896</v>
      </c>
      <c r="O588" s="2212">
        <v>264.87700000000001</v>
      </c>
      <c r="P588" s="3284">
        <v>215</v>
      </c>
      <c r="Q588" s="3282"/>
    </row>
    <row r="589" spans="1:18">
      <c r="A589" s="219">
        <f t="shared" si="2"/>
        <v>2021.04</v>
      </c>
      <c r="B589" s="2195">
        <v>112.6426</v>
      </c>
      <c r="C589" s="2205">
        <v>103.7628</v>
      </c>
      <c r="D589" s="2200">
        <v>123.3822</v>
      </c>
      <c r="E589" s="2207">
        <v>105.23139999999999</v>
      </c>
      <c r="F589" s="2205">
        <v>112.7758</v>
      </c>
      <c r="G589" s="2200">
        <v>98.047200000000004</v>
      </c>
      <c r="H589" s="2436">
        <v>95.97</v>
      </c>
      <c r="I589" s="354">
        <v>92.764000000000024</v>
      </c>
      <c r="J589" s="354">
        <v>143.75</v>
      </c>
      <c r="K589" s="2207">
        <v>152.19</v>
      </c>
      <c r="L589" s="769">
        <v>155.63999999999999</v>
      </c>
      <c r="M589" s="2212">
        <v>126.6454607445169</v>
      </c>
      <c r="N589" s="2216">
        <v>128.2287222895057</v>
      </c>
      <c r="O589" s="2212">
        <v>267.05399999999997</v>
      </c>
      <c r="P589" s="3284">
        <v>217.9</v>
      </c>
      <c r="Q589" s="3282"/>
    </row>
    <row r="590" spans="1:18">
      <c r="A590" s="219">
        <f t="shared" si="2"/>
        <v>2021.05</v>
      </c>
      <c r="B590" s="2195">
        <v>111.2252</v>
      </c>
      <c r="C590" s="2205">
        <v>101.9286</v>
      </c>
      <c r="D590" s="2200">
        <v>122.40179999999999</v>
      </c>
      <c r="E590" s="2207">
        <v>104.2424</v>
      </c>
      <c r="F590" s="2205">
        <v>111.1778</v>
      </c>
      <c r="G590" s="2200">
        <v>97.551400000000001</v>
      </c>
      <c r="H590" s="2436">
        <v>96.19</v>
      </c>
      <c r="I590" s="354">
        <v>94.004210526315788</v>
      </c>
      <c r="J590" s="354">
        <v>150.94999999999999</v>
      </c>
      <c r="K590" s="2207">
        <v>160.22999999999999</v>
      </c>
      <c r="L590" s="769">
        <v>165.72</v>
      </c>
      <c r="M590" s="2212">
        <v>128</v>
      </c>
      <c r="N590" s="2216">
        <v>129.74623578582549</v>
      </c>
      <c r="O590" s="2212">
        <v>269.19499999999999</v>
      </c>
      <c r="P590" s="3284">
        <v>224.9</v>
      </c>
      <c r="Q590" s="3282"/>
    </row>
    <row r="591" spans="1:18">
      <c r="A591" s="219">
        <f t="shared" si="2"/>
        <v>2021.06</v>
      </c>
      <c r="B591" s="2195">
        <v>111.58880000000001</v>
      </c>
      <c r="C591" s="2205">
        <v>102.72620000000001</v>
      </c>
      <c r="D591" s="2200">
        <v>122.2996</v>
      </c>
      <c r="E591" s="2207">
        <v>105.1581</v>
      </c>
      <c r="F591" s="2205">
        <v>112.68129999999999</v>
      </c>
      <c r="G591" s="2200">
        <v>97.991399999999999</v>
      </c>
      <c r="H591" s="354">
        <v>98.17</v>
      </c>
      <c r="I591" s="354">
        <v>95.085555555555558</v>
      </c>
      <c r="J591" s="354">
        <v>159.5</v>
      </c>
      <c r="K591" s="2207">
        <v>163.57</v>
      </c>
      <c r="L591" s="769">
        <v>165.92</v>
      </c>
      <c r="M591" s="2212">
        <v>130.4634376995453</v>
      </c>
      <c r="N591" s="2216">
        <v>128.77287800378099</v>
      </c>
      <c r="O591" s="2212">
        <v>271.69600000000003</v>
      </c>
      <c r="P591" s="3284">
        <v>228.9</v>
      </c>
      <c r="Q591" s="3282"/>
    </row>
    <row r="592" spans="1:18">
      <c r="A592" s="219">
        <f t="shared" si="2"/>
        <v>2021.07</v>
      </c>
      <c r="B592" s="2195">
        <v>113.07210000000001</v>
      </c>
      <c r="C592" s="2205">
        <v>104.59650000000001</v>
      </c>
      <c r="D592" s="2200">
        <v>123.3826</v>
      </c>
      <c r="E592" s="2207">
        <v>106.6681</v>
      </c>
      <c r="F592" s="2205">
        <v>114.8813</v>
      </c>
      <c r="G592" s="2200">
        <v>98.9422</v>
      </c>
      <c r="H592" s="354">
        <v>99.1</v>
      </c>
      <c r="I592" s="354">
        <v>96.134761904761888</v>
      </c>
      <c r="J592" s="354">
        <v>175.97826086956522</v>
      </c>
      <c r="K592" s="2207">
        <v>168.19</v>
      </c>
      <c r="L592" s="769">
        <v>168.85</v>
      </c>
      <c r="M592" s="2212">
        <v>133.0305617614716</v>
      </c>
      <c r="N592" s="2216">
        <v>135.15144490759101</v>
      </c>
      <c r="O592" s="2212">
        <v>273.00299999999999</v>
      </c>
      <c r="P592" s="3284">
        <v>231.85</v>
      </c>
      <c r="Q592" s="3282"/>
    </row>
    <row r="593" spans="1:17">
      <c r="A593" s="219">
        <f t="shared" si="2"/>
        <v>2021.08</v>
      </c>
      <c r="B593" s="2195">
        <v>113.41240000000001</v>
      </c>
      <c r="C593" s="2205">
        <v>104.9485</v>
      </c>
      <c r="D593" s="2200">
        <v>123.71420000000001</v>
      </c>
      <c r="E593" s="2207">
        <v>106.9658</v>
      </c>
      <c r="F593" s="2205">
        <v>115.1473</v>
      </c>
      <c r="G593" s="2200">
        <v>99.260999999999996</v>
      </c>
      <c r="H593" s="354">
        <v>100.2</v>
      </c>
      <c r="I593" s="354">
        <v>97.110952380952384</v>
      </c>
      <c r="J593" s="354">
        <v>178.37878787878788</v>
      </c>
      <c r="K593" s="2207">
        <v>170.26</v>
      </c>
      <c r="L593" s="769">
        <v>170.4</v>
      </c>
      <c r="M593" s="2212">
        <v>139.04499999999999</v>
      </c>
      <c r="N593" s="2216">
        <v>138.5418935711408</v>
      </c>
      <c r="O593" s="2212">
        <v>273.56700000000001</v>
      </c>
      <c r="P593" s="3284">
        <v>233.41499999999999</v>
      </c>
      <c r="Q593" s="3282"/>
    </row>
    <row r="594" spans="1:17">
      <c r="A594" s="219">
        <f t="shared" si="2"/>
        <v>2021.09</v>
      </c>
      <c r="B594" s="2195">
        <v>113.4532</v>
      </c>
      <c r="C594" s="2205">
        <v>105.2595</v>
      </c>
      <c r="D594" s="2200">
        <v>123.4676</v>
      </c>
      <c r="E594" s="2207">
        <v>107.10129999999999</v>
      </c>
      <c r="F594" s="2205">
        <v>115.4832</v>
      </c>
      <c r="G594" s="2200">
        <v>99.238500000000002</v>
      </c>
      <c r="H594" s="354">
        <v>101.3</v>
      </c>
      <c r="I594" s="354">
        <v>98.179090909090917</v>
      </c>
      <c r="J594" s="354">
        <v>182.36363636363637</v>
      </c>
      <c r="K594" s="2207">
        <v>175.03</v>
      </c>
      <c r="L594" s="769">
        <v>175.12</v>
      </c>
      <c r="M594" s="2212">
        <v>143</v>
      </c>
      <c r="N594" s="2216">
        <v>146.8767748523334</v>
      </c>
      <c r="O594" s="2212">
        <v>274.31</v>
      </c>
      <c r="P594" s="3284">
        <v>235.678</v>
      </c>
      <c r="Q594" s="3282"/>
    </row>
    <row r="595" spans="1:17">
      <c r="A595" s="219">
        <f t="shared" si="2"/>
        <v>2021.1</v>
      </c>
      <c r="B595" s="2195">
        <v>114.0758</v>
      </c>
      <c r="C595" s="2205">
        <v>105.6189</v>
      </c>
      <c r="D595" s="2200">
        <v>124.37739999999999</v>
      </c>
      <c r="E595" s="2207">
        <v>108.0334</v>
      </c>
      <c r="F595" s="2205">
        <v>116.3584</v>
      </c>
      <c r="G595" s="2200">
        <v>100.2034</v>
      </c>
      <c r="H595" s="354">
        <v>102.3</v>
      </c>
      <c r="I595" s="354">
        <v>99.149473684210506</v>
      </c>
      <c r="J595" s="354">
        <v>187.31578947368422</v>
      </c>
      <c r="K595" s="2207">
        <v>179.22</v>
      </c>
      <c r="L595" s="769">
        <v>179.32</v>
      </c>
      <c r="M595" s="2212">
        <v>149.02000000000001</v>
      </c>
      <c r="N595" s="2216">
        <v>150.0817772898836</v>
      </c>
      <c r="O595" s="2212">
        <v>276.589</v>
      </c>
      <c r="P595" s="3284">
        <v>240.465</v>
      </c>
      <c r="Q595" s="3282"/>
    </row>
    <row r="596" spans="1:17">
      <c r="A596" s="219">
        <f t="shared" si="2"/>
        <v>2021.11</v>
      </c>
      <c r="B596" s="2195">
        <v>115.00360000000001</v>
      </c>
      <c r="C596" s="2205">
        <v>106.9534</v>
      </c>
      <c r="D596" s="2200">
        <v>124.88509999999999</v>
      </c>
      <c r="E596" s="2207">
        <v>109.18729999999999</v>
      </c>
      <c r="F596" s="2205">
        <v>118.09990000000001</v>
      </c>
      <c r="G596" s="2200">
        <v>100.8861</v>
      </c>
      <c r="H596" s="354">
        <v>103.3</v>
      </c>
      <c r="I596" s="354">
        <v>100.21238095238093</v>
      </c>
      <c r="J596" s="354">
        <v>198.52380952380952</v>
      </c>
      <c r="K596" s="2207">
        <v>200.72</v>
      </c>
      <c r="L596" s="769">
        <v>214.15</v>
      </c>
      <c r="M596" s="2212">
        <v>154.505</v>
      </c>
      <c r="N596" s="2216">
        <v>155.36740245944961</v>
      </c>
      <c r="O596" s="2212">
        <v>277.94799999999998</v>
      </c>
      <c r="P596" s="3284">
        <v>243.28700000000001</v>
      </c>
      <c r="Q596" s="3282"/>
    </row>
    <row r="597" spans="1:17">
      <c r="A597" s="219">
        <f t="shared" si="2"/>
        <v>2021.12</v>
      </c>
      <c r="B597" s="2195">
        <v>115.8172</v>
      </c>
      <c r="C597" s="2205">
        <v>108.1473</v>
      </c>
      <c r="D597" s="2200">
        <v>125.3066</v>
      </c>
      <c r="E597" s="2207">
        <v>110.3246</v>
      </c>
      <c r="F597" s="2205">
        <v>119.7236</v>
      </c>
      <c r="G597" s="2200">
        <v>101.63339999999999</v>
      </c>
      <c r="H597" s="354">
        <v>104.8</v>
      </c>
      <c r="I597" s="354">
        <v>101.78600000000002</v>
      </c>
      <c r="J597" s="354">
        <v>198.5</v>
      </c>
      <c r="K597" s="2207">
        <v>197.8</v>
      </c>
      <c r="L597" s="769">
        <v>202.13</v>
      </c>
      <c r="M597" s="2212">
        <v>163.7438682036352</v>
      </c>
      <c r="N597" s="2216">
        <v>160.7209053044418</v>
      </c>
      <c r="O597" s="2212">
        <v>278.80200000000002</v>
      </c>
      <c r="P597" s="3284">
        <v>241.33799999999999</v>
      </c>
      <c r="Q597" s="3282"/>
    </row>
    <row r="598" spans="1:17">
      <c r="A598" s="219">
        <f t="shared" si="2"/>
        <v>2022.01</v>
      </c>
      <c r="B598" s="2195">
        <v>115.05070000000001</v>
      </c>
      <c r="C598" s="2205">
        <v>107.5673</v>
      </c>
      <c r="D598" s="2200">
        <v>124.3387</v>
      </c>
      <c r="E598" s="2207">
        <v>109.68940000000001</v>
      </c>
      <c r="F598" s="2205">
        <v>118.8625</v>
      </c>
      <c r="G598" s="2200">
        <v>101.184</v>
      </c>
      <c r="H598" s="354">
        <v>107.5</v>
      </c>
      <c r="I598" s="354">
        <v>103.88809523809526</v>
      </c>
      <c r="J598" s="354">
        <v>210.02380952380952</v>
      </c>
      <c r="K598" s="2207">
        <v>211.88</v>
      </c>
      <c r="L598" s="769">
        <v>220.24</v>
      </c>
      <c r="M598" s="2212">
        <v>163.93212285210089</v>
      </c>
      <c r="N598" s="2216">
        <v>162.8331764077281</v>
      </c>
      <c r="O598" s="2212">
        <v>281.14800000000002</v>
      </c>
      <c r="P598" s="3284">
        <v>246.453</v>
      </c>
      <c r="Q598" s="3282"/>
    </row>
    <row r="599" spans="1:17">
      <c r="A599" s="219">
        <f t="shared" si="2"/>
        <v>2022.02</v>
      </c>
      <c r="B599" s="2195">
        <v>115.0057</v>
      </c>
      <c r="C599" s="2205">
        <v>107.7568</v>
      </c>
      <c r="D599" s="2200">
        <v>124.0419</v>
      </c>
      <c r="E599" s="2207">
        <v>109.80289999999999</v>
      </c>
      <c r="F599" s="2205">
        <v>119.2752</v>
      </c>
      <c r="G599" s="2200">
        <v>101.0598</v>
      </c>
      <c r="H599" s="354">
        <v>110</v>
      </c>
      <c r="I599" s="354">
        <v>106.20473684210526</v>
      </c>
      <c r="J599" s="354">
        <v>211.68421052631578</v>
      </c>
      <c r="K599" s="2207">
        <v>196.51</v>
      </c>
      <c r="L599" s="769">
        <v>201.14</v>
      </c>
      <c r="M599" s="2212">
        <v>163.065</v>
      </c>
      <c r="N599" s="2216">
        <v>163.47949848782289</v>
      </c>
      <c r="O599" s="2212">
        <v>283.71600000000001</v>
      </c>
      <c r="P599" s="3284">
        <v>252.66</v>
      </c>
      <c r="Q599" s="3282"/>
    </row>
    <row r="600" spans="1:17">
      <c r="A600" s="219">
        <f t="shared" si="2"/>
        <v>2022.03</v>
      </c>
      <c r="B600" s="2195">
        <v>116.2984</v>
      </c>
      <c r="C600" s="2205">
        <v>109.6053</v>
      </c>
      <c r="D600" s="2200">
        <v>124.7578</v>
      </c>
      <c r="E600" s="2207">
        <v>111.0573</v>
      </c>
      <c r="F600" s="2205">
        <v>121.1503</v>
      </c>
      <c r="G600" s="2200">
        <v>101.8122</v>
      </c>
      <c r="H600" s="354">
        <v>113.5</v>
      </c>
      <c r="I600" s="354">
        <v>109.35523809523811</v>
      </c>
      <c r="J600" s="354">
        <v>199.67</v>
      </c>
      <c r="K600" s="769">
        <v>190.43</v>
      </c>
      <c r="L600" s="769">
        <v>190.28</v>
      </c>
      <c r="M600" s="2212">
        <v>168</v>
      </c>
      <c r="N600" s="2216">
        <v>168.94</v>
      </c>
      <c r="O600" s="2212">
        <v>287.50400000000002</v>
      </c>
      <c r="P600" s="3284">
        <v>260.01400000000001</v>
      </c>
      <c r="Q600" s="3282"/>
    </row>
    <row r="601" spans="1:17">
      <c r="A601" s="219">
        <f t="shared" si="2"/>
        <v>2022.04</v>
      </c>
      <c r="B601" s="2195">
        <v>117.17019999999999</v>
      </c>
      <c r="C601" s="2205">
        <v>111.5351</v>
      </c>
      <c r="D601" s="2200">
        <v>124.53100000000001</v>
      </c>
      <c r="E601" s="2207">
        <v>111.69929999999999</v>
      </c>
      <c r="F601" s="2205">
        <v>123.2478</v>
      </c>
      <c r="G601" s="2200">
        <v>101.32089999999999</v>
      </c>
      <c r="H601" s="354">
        <v>117</v>
      </c>
      <c r="I601" s="354">
        <v>113.23736842105264</v>
      </c>
      <c r="J601" s="354">
        <v>197.73684210526315</v>
      </c>
      <c r="K601" s="769">
        <v>206.53</v>
      </c>
      <c r="L601" s="769">
        <v>206.96</v>
      </c>
      <c r="M601" s="2212">
        <v>176.75054549597519</v>
      </c>
      <c r="N601" s="2216">
        <v>174.07208554910011</v>
      </c>
      <c r="O601" s="2212">
        <v>289.10899999999998</v>
      </c>
      <c r="P601" s="3284">
        <v>265.31</v>
      </c>
      <c r="Q601" s="3282"/>
    </row>
    <row r="602" spans="1:17">
      <c r="A602" s="219">
        <f t="shared" si="2"/>
        <v>2022.05</v>
      </c>
      <c r="B602" s="2195">
        <v>119.6926</v>
      </c>
      <c r="C602" s="2205">
        <v>114.253</v>
      </c>
      <c r="D602" s="2200">
        <v>126.8835</v>
      </c>
      <c r="E602" s="2207">
        <v>114.2839</v>
      </c>
      <c r="F602" s="2205">
        <v>126.3378</v>
      </c>
      <c r="G602" s="2200">
        <v>103.4836</v>
      </c>
      <c r="H602" s="354">
        <v>122.6</v>
      </c>
      <c r="I602" s="354">
        <v>117.67449999999999</v>
      </c>
      <c r="J602" s="354">
        <v>202.35</v>
      </c>
      <c r="K602" s="769">
        <v>207.67</v>
      </c>
      <c r="L602" s="769">
        <v>210.51</v>
      </c>
      <c r="M602" s="2212">
        <v>186.85</v>
      </c>
      <c r="N602" s="2216">
        <v>187.37967602311491</v>
      </c>
      <c r="O602" s="2212">
        <v>292.29599999999999</v>
      </c>
      <c r="P602" s="3284">
        <v>273.25099999999998</v>
      </c>
      <c r="Q602" s="3282"/>
    </row>
    <row r="603" spans="1:17">
      <c r="A603" s="219">
        <f t="shared" si="2"/>
        <v>2022.06</v>
      </c>
      <c r="B603" s="2195">
        <v>120.0269</v>
      </c>
      <c r="C603" s="2205">
        <v>114.6669</v>
      </c>
      <c r="D603" s="2200">
        <v>127.1401</v>
      </c>
      <c r="E603" s="2207">
        <v>115.25</v>
      </c>
      <c r="F603" s="2205">
        <v>127.56780000000001</v>
      </c>
      <c r="G603" s="2200">
        <v>104.235</v>
      </c>
      <c r="H603" s="354">
        <v>127</v>
      </c>
      <c r="I603" s="354">
        <v>122.64250000000001</v>
      </c>
      <c r="J603" s="354">
        <v>216.45</v>
      </c>
      <c r="K603" s="769">
        <v>248.14</v>
      </c>
      <c r="L603" s="769">
        <v>252.71</v>
      </c>
      <c r="M603" s="2212">
        <v>197.5</v>
      </c>
      <c r="N603" s="2216">
        <v>200.19710119463781</v>
      </c>
      <c r="O603" s="2212">
        <v>296.31099999999998</v>
      </c>
      <c r="P603" s="3284">
        <v>280.25099999999998</v>
      </c>
      <c r="Q603" s="3282"/>
    </row>
    <row r="604" spans="1:17">
      <c r="A604" s="219">
        <f t="shared" si="2"/>
        <v>2022.07</v>
      </c>
      <c r="B604" s="2195">
        <v>122.76090000000001</v>
      </c>
      <c r="C604" s="2205">
        <v>117.5436</v>
      </c>
      <c r="D604" s="2200">
        <v>129.7638</v>
      </c>
      <c r="E604" s="2207">
        <v>117.24469999999999</v>
      </c>
      <c r="F604" s="2205">
        <v>130.1609</v>
      </c>
      <c r="G604" s="2200">
        <v>105.7473</v>
      </c>
      <c r="H604" s="354">
        <v>135</v>
      </c>
      <c r="I604" s="354">
        <v>128.45189999999999</v>
      </c>
      <c r="J604" s="354">
        <v>285.89999999999998</v>
      </c>
      <c r="K604" s="769">
        <v>283.48</v>
      </c>
      <c r="L604" s="769">
        <v>291.11</v>
      </c>
      <c r="M604" s="2212">
        <v>228.29</v>
      </c>
      <c r="N604" s="2216">
        <v>231.16046930442991</v>
      </c>
      <c r="O604" s="2212">
        <v>296.27600000000001</v>
      </c>
      <c r="P604" s="3284">
        <v>272.274</v>
      </c>
      <c r="Q604" s="3282"/>
    </row>
    <row r="605" spans="1:17">
      <c r="A605" s="219">
        <f t="shared" si="2"/>
        <v>2022.08</v>
      </c>
      <c r="B605" s="2195">
        <v>122.3262</v>
      </c>
      <c r="C605" s="2205">
        <v>117.414</v>
      </c>
      <c r="D605" s="2200">
        <v>129.01240000000001</v>
      </c>
      <c r="E605" s="2207">
        <v>116.6575</v>
      </c>
      <c r="F605" s="2205">
        <v>129.6678</v>
      </c>
      <c r="G605" s="2200">
        <v>105.09780000000001</v>
      </c>
      <c r="H605" s="354">
        <v>142.80000000000001</v>
      </c>
      <c r="I605" s="354">
        <v>135.20409090000001</v>
      </c>
      <c r="J605" s="354">
        <v>289.11363636363637</v>
      </c>
      <c r="K605" s="769">
        <v>284.77999999999997</v>
      </c>
      <c r="L605" s="769">
        <v>292.83</v>
      </c>
      <c r="M605" s="2212">
        <v>237.91249999999999</v>
      </c>
      <c r="N605" s="2216">
        <v>239.0929152370652</v>
      </c>
      <c r="O605" s="2212">
        <v>296.17099999999999</v>
      </c>
      <c r="P605" s="3284">
        <v>269.54599999999999</v>
      </c>
      <c r="Q605" s="3282"/>
    </row>
    <row r="606" spans="1:17">
      <c r="A606" s="219">
        <f t="shared" si="2"/>
        <v>2022.09</v>
      </c>
      <c r="B606" s="2195">
        <v>125.59990000000001</v>
      </c>
      <c r="C606" s="2205">
        <v>121.3802</v>
      </c>
      <c r="D606" s="2200">
        <v>131.62780000000001</v>
      </c>
      <c r="E606" s="2207">
        <v>119.491</v>
      </c>
      <c r="F606" s="2205">
        <v>133.61969999999999</v>
      </c>
      <c r="G606" s="2200">
        <v>107.04940000000001</v>
      </c>
      <c r="H606" s="354">
        <v>150.30000000000001</v>
      </c>
      <c r="I606" s="354">
        <v>143.346</v>
      </c>
      <c r="J606" s="354">
        <v>279.73913043478262</v>
      </c>
      <c r="K606" s="769">
        <v>300.82</v>
      </c>
      <c r="L606" s="769">
        <v>308.95999999999998</v>
      </c>
      <c r="M606" s="2212">
        <v>269.2</v>
      </c>
      <c r="N606" s="2216">
        <v>268.68874224102473</v>
      </c>
      <c r="O606" s="2212">
        <v>296.80799999999999</v>
      </c>
      <c r="P606" s="3284">
        <v>267.89800000000002</v>
      </c>
      <c r="Q606" s="3282"/>
    </row>
    <row r="607" spans="1:17">
      <c r="A607" s="219">
        <f t="shared" si="2"/>
        <v>2022.1</v>
      </c>
      <c r="B607" s="2195">
        <v>127.4828</v>
      </c>
      <c r="C607" s="2205">
        <v>123.15989999999999</v>
      </c>
      <c r="D607" s="2200">
        <v>133.6421</v>
      </c>
      <c r="E607" s="2207">
        <v>121.0753</v>
      </c>
      <c r="F607" s="2205">
        <v>134.9888</v>
      </c>
      <c r="G607" s="2200">
        <v>108.7694</v>
      </c>
      <c r="H607" s="354">
        <v>159.4</v>
      </c>
      <c r="I607" s="354">
        <v>152.48947368421051</v>
      </c>
      <c r="J607" s="354">
        <v>286.15789473684208</v>
      </c>
      <c r="K607" s="769">
        <v>291.17</v>
      </c>
      <c r="L607" s="769">
        <v>303.38</v>
      </c>
      <c r="M607" s="2212">
        <v>284.39999999999998</v>
      </c>
      <c r="N607" s="2216">
        <v>290.98362148150602</v>
      </c>
      <c r="O607" s="2212">
        <v>298.012</v>
      </c>
      <c r="P607" s="3284">
        <v>265.06099999999998</v>
      </c>
      <c r="Q607" s="3282"/>
    </row>
    <row r="608" spans="1:17">
      <c r="A608" s="219">
        <f t="shared" si="2"/>
        <v>2022.11</v>
      </c>
      <c r="B608" s="2195">
        <v>124.8627</v>
      </c>
      <c r="C608" s="2205">
        <v>119.6758</v>
      </c>
      <c r="D608" s="2200">
        <v>131.86529999999999</v>
      </c>
      <c r="E608" s="2207">
        <v>118.5878</v>
      </c>
      <c r="F608" s="2205">
        <v>131.02359999999999</v>
      </c>
      <c r="G608" s="2200">
        <v>107.43559999999999</v>
      </c>
      <c r="H608" s="354">
        <v>170.1</v>
      </c>
      <c r="I608" s="354">
        <v>162.02333333333334</v>
      </c>
      <c r="J608" s="354">
        <v>300.26086956521738</v>
      </c>
      <c r="K608" s="769">
        <v>312.51</v>
      </c>
      <c r="L608" s="769">
        <v>322.75</v>
      </c>
      <c r="M608" s="2212">
        <v>301.5288111500372</v>
      </c>
      <c r="N608" s="2216">
        <v>309.36834163881048</v>
      </c>
      <c r="O608" s="2212">
        <v>297.71100000000001</v>
      </c>
      <c r="P608" s="3284">
        <v>263.15699999999998</v>
      </c>
      <c r="Q608" s="3282"/>
    </row>
    <row r="609" spans="1:22">
      <c r="A609" s="219">
        <f t="shared" si="2"/>
        <v>2022.12</v>
      </c>
      <c r="B609" s="2195">
        <v>122.24760000000001</v>
      </c>
      <c r="C609" s="2205">
        <v>116.5498</v>
      </c>
      <c r="D609" s="2200">
        <v>129.73910000000001</v>
      </c>
      <c r="E609" s="2207">
        <v>116.04819999999999</v>
      </c>
      <c r="F609" s="2205">
        <v>127.64709999999999</v>
      </c>
      <c r="G609" s="2200">
        <v>105.57170000000001</v>
      </c>
      <c r="H609" s="354">
        <v>180.1</v>
      </c>
      <c r="I609" s="354">
        <v>172.69686842105264</v>
      </c>
      <c r="J609" s="354">
        <v>325.85000000000002</v>
      </c>
      <c r="K609" s="769">
        <v>327.94</v>
      </c>
      <c r="L609" s="769">
        <v>344.13</v>
      </c>
      <c r="M609" s="2212">
        <v>328.32</v>
      </c>
      <c r="N609" s="2216">
        <v>331.01</v>
      </c>
      <c r="O609" s="2212">
        <v>296.79700000000003</v>
      </c>
      <c r="P609" s="3284">
        <v>257.89699999999999</v>
      </c>
      <c r="Q609" s="3282"/>
    </row>
    <row r="610" spans="1:22">
      <c r="A610" s="219">
        <f t="shared" si="2"/>
        <v>2023.01</v>
      </c>
      <c r="B610" s="2195">
        <v>119.8133</v>
      </c>
      <c r="C610" s="2205">
        <v>114.7033</v>
      </c>
      <c r="D610" s="2200">
        <v>126.6658</v>
      </c>
      <c r="E610" s="2207">
        <v>113.95269999999999</v>
      </c>
      <c r="F610" s="2205">
        <v>125.7597</v>
      </c>
      <c r="G610" s="2200">
        <v>103.3451</v>
      </c>
      <c r="H610" s="354">
        <v>190</v>
      </c>
      <c r="I610" s="354">
        <v>182.14454545454544</v>
      </c>
      <c r="J610" s="354">
        <v>366.19</v>
      </c>
      <c r="K610" s="769">
        <v>354.81</v>
      </c>
      <c r="L610" s="769">
        <v>367.42</v>
      </c>
      <c r="M610" s="2212">
        <v>357.96</v>
      </c>
      <c r="N610" s="2216">
        <v>367.37635146951061</v>
      </c>
      <c r="O610" s="2212">
        <v>299.17</v>
      </c>
      <c r="P610" s="3284">
        <v>260.22699999999998</v>
      </c>
      <c r="Q610" s="3282"/>
    </row>
    <row r="611" spans="1:22">
      <c r="A611" s="219">
        <f t="shared" si="2"/>
        <v>2023.02</v>
      </c>
      <c r="B611" s="2195">
        <v>120.3366</v>
      </c>
      <c r="C611" s="2205">
        <v>115.553</v>
      </c>
      <c r="D611" s="2200">
        <v>126.8622</v>
      </c>
      <c r="E611" s="2207">
        <v>114.64409999999999</v>
      </c>
      <c r="F611" s="2205">
        <v>126.798</v>
      </c>
      <c r="G611" s="2200">
        <v>103.762</v>
      </c>
      <c r="H611" s="354">
        <v>200</v>
      </c>
      <c r="I611" s="354">
        <v>191.78777777777779</v>
      </c>
      <c r="J611" s="354">
        <v>375.94</v>
      </c>
      <c r="K611" s="769">
        <v>357.47</v>
      </c>
      <c r="L611" s="769">
        <v>366.41</v>
      </c>
      <c r="M611" s="2212">
        <v>409</v>
      </c>
      <c r="N611" s="2216">
        <v>421.45002642620739</v>
      </c>
      <c r="O611" s="2212">
        <v>300.83999999999997</v>
      </c>
      <c r="P611" s="3284">
        <v>258.66899999999998</v>
      </c>
      <c r="Q611" s="3282"/>
    </row>
    <row r="612" spans="1:22">
      <c r="A612" s="219">
        <f t="shared" si="2"/>
        <v>2023.03</v>
      </c>
      <c r="B612" s="2205">
        <v>120.80710000000001</v>
      </c>
      <c r="C612" s="2205">
        <v>116.1593</v>
      </c>
      <c r="D612" s="2200">
        <v>127.2021</v>
      </c>
      <c r="E612" s="2207">
        <v>114.8445</v>
      </c>
      <c r="F612" s="2205">
        <v>127.2441</v>
      </c>
      <c r="G612" s="2200">
        <v>103.7728</v>
      </c>
      <c r="H612" s="354">
        <v>211</v>
      </c>
      <c r="I612" s="354">
        <v>202.95090909090911</v>
      </c>
      <c r="J612" s="354">
        <v>380.195652173913</v>
      </c>
      <c r="K612" s="354">
        <v>397.37</v>
      </c>
      <c r="L612" s="354">
        <v>406.54</v>
      </c>
      <c r="M612" s="2212">
        <v>455</v>
      </c>
      <c r="N612" s="2216">
        <v>466.08416334371873</v>
      </c>
      <c r="O612" s="2212">
        <v>301.83600000000001</v>
      </c>
      <c r="P612" s="3284">
        <v>257.06200000000001</v>
      </c>
      <c r="Q612" s="3282"/>
    </row>
    <row r="613" spans="1:22">
      <c r="A613" s="219">
        <f t="shared" si="2"/>
        <v>2023.04</v>
      </c>
      <c r="B613" s="2195">
        <v>119.37439999999999</v>
      </c>
      <c r="C613" s="2205">
        <v>114.0521</v>
      </c>
      <c r="D613" s="2200">
        <v>126.43980000000001</v>
      </c>
      <c r="E613" s="2207">
        <v>113.64319999999999</v>
      </c>
      <c r="F613" s="2205">
        <v>125.0416</v>
      </c>
      <c r="G613" s="2200">
        <v>103.3531</v>
      </c>
      <c r="H613" s="354">
        <v>225</v>
      </c>
      <c r="I613" s="2776">
        <v>216.36611111111114</v>
      </c>
      <c r="J613" s="2775">
        <v>419.79411764705878</v>
      </c>
      <c r="K613" s="2775">
        <v>436.05</v>
      </c>
      <c r="L613" s="2775">
        <v>453.16</v>
      </c>
      <c r="M613" s="2212">
        <v>616.5</v>
      </c>
      <c r="N613" s="2216">
        <v>617.53683170912586</v>
      </c>
      <c r="O613" s="2212">
        <v>303.363</v>
      </c>
      <c r="P613" s="3284">
        <v>256.90800000000002</v>
      </c>
      <c r="Q613" s="3282"/>
    </row>
    <row r="614" spans="1:22">
      <c r="A614" s="219">
        <f t="shared" si="2"/>
        <v>2023.05</v>
      </c>
      <c r="B614" s="2195">
        <v>119.79559999999999</v>
      </c>
      <c r="C614" s="2205">
        <v>114.874</v>
      </c>
      <c r="D614" s="2200">
        <v>126.45529999999999</v>
      </c>
      <c r="E614" s="2207">
        <v>113.9629</v>
      </c>
      <c r="F614" s="2205">
        <v>125.89360000000001</v>
      </c>
      <c r="G614" s="2200">
        <v>103.2607</v>
      </c>
      <c r="H614" s="354">
        <v>244</v>
      </c>
      <c r="I614" s="354">
        <v>231.00750000000002</v>
      </c>
      <c r="J614" s="2775">
        <v>477.72727272727275</v>
      </c>
      <c r="K614" s="2775">
        <v>469.09</v>
      </c>
      <c r="L614" s="2775">
        <v>492.42</v>
      </c>
      <c r="M614" s="2212">
        <v>659.5</v>
      </c>
      <c r="N614" s="2216">
        <v>701.31</v>
      </c>
      <c r="O614" s="2212">
        <v>304.12700000000001</v>
      </c>
      <c r="P614" s="3284">
        <v>253.67</v>
      </c>
      <c r="Q614" s="3282"/>
    </row>
    <row r="615" spans="1:22">
      <c r="A615" s="219">
        <f t="shared" si="2"/>
        <v>2023.06</v>
      </c>
      <c r="B615" s="2195">
        <v>119.5789</v>
      </c>
      <c r="C615" s="2205">
        <v>114.7334</v>
      </c>
      <c r="D615" s="2200">
        <v>126.15779999999999</v>
      </c>
      <c r="E615" s="2207">
        <v>113.7667</v>
      </c>
      <c r="F615" s="2205">
        <v>125.77079999999999</v>
      </c>
      <c r="G615" s="2200">
        <v>103.01130000000001</v>
      </c>
      <c r="H615" s="354">
        <v>265</v>
      </c>
      <c r="I615" s="2776">
        <v>248.57499999999999</v>
      </c>
      <c r="J615" s="2775">
        <v>487.61904761904759</v>
      </c>
      <c r="K615" s="2775">
        <v>482.52</v>
      </c>
      <c r="L615" s="2775">
        <v>512.04</v>
      </c>
      <c r="M615" s="2212">
        <v>690.92499999999995</v>
      </c>
      <c r="N615" s="2216">
        <v>725.06230557511719</v>
      </c>
      <c r="O615" s="2212">
        <v>305.10899999999998</v>
      </c>
      <c r="P615" s="3284">
        <v>253.86</v>
      </c>
      <c r="Q615" s="3282"/>
      <c r="R615" s="512"/>
      <c r="S615" s="512"/>
    </row>
    <row r="616" spans="1:22">
      <c r="A616" s="219">
        <f t="shared" si="2"/>
        <v>2023.07</v>
      </c>
      <c r="B616" s="2195">
        <v>118.4119</v>
      </c>
      <c r="C616" s="2205">
        <v>113.0386</v>
      </c>
      <c r="D616" s="2200">
        <v>125.518</v>
      </c>
      <c r="E616" s="2207">
        <v>112.43899999999999</v>
      </c>
      <c r="F616" s="2205">
        <v>123.6858</v>
      </c>
      <c r="G616" s="2200">
        <v>102.2818</v>
      </c>
      <c r="H616" s="354">
        <v>284</v>
      </c>
      <c r="I616" s="2776">
        <v>266.22619047619048</v>
      </c>
      <c r="J616" s="2775">
        <v>515.02499999999998</v>
      </c>
      <c r="K616" s="2775">
        <v>509.99</v>
      </c>
      <c r="L616" s="2775">
        <v>551.27</v>
      </c>
      <c r="M616" s="2212">
        <v>740.28</v>
      </c>
      <c r="N616" s="2216">
        <v>787.56791560804925</v>
      </c>
      <c r="O616" s="2212">
        <v>305.69099999999997</v>
      </c>
      <c r="P616" s="3284">
        <v>253.83500000000001</v>
      </c>
      <c r="Q616" s="3282"/>
      <c r="R616" s="512"/>
      <c r="S616" s="512"/>
    </row>
    <row r="617" spans="1:22">
      <c r="A617" s="219">
        <f t="shared" si="2"/>
        <v>2023.08</v>
      </c>
      <c r="B617" s="2195">
        <v>120.21769999999999</v>
      </c>
      <c r="C617" s="2205">
        <v>115.05459999999999</v>
      </c>
      <c r="D617" s="2200">
        <v>127.1309</v>
      </c>
      <c r="E617" s="2207">
        <v>114.0367</v>
      </c>
      <c r="F617" s="2205">
        <v>125.9915</v>
      </c>
      <c r="G617" s="2200">
        <v>103.315</v>
      </c>
      <c r="H617" s="354">
        <v>357</v>
      </c>
      <c r="I617" s="2776">
        <v>321.75227272727273</v>
      </c>
      <c r="J617" s="2775">
        <v>672.83333333333326</v>
      </c>
      <c r="K617" s="2775">
        <v>670.83</v>
      </c>
      <c r="L617" s="2775">
        <v>780.54</v>
      </c>
      <c r="M617" s="2212">
        <v>975.50122448137404</v>
      </c>
      <c r="N617" s="2216">
        <v>1000.724810631316</v>
      </c>
      <c r="O617" s="2212">
        <v>307.02600000000001</v>
      </c>
      <c r="P617" s="3284">
        <v>257.68</v>
      </c>
      <c r="Q617" s="3282"/>
      <c r="R617" s="512"/>
      <c r="S617" s="512"/>
    </row>
    <row r="618" spans="1:22">
      <c r="A618" s="219">
        <f t="shared" si="2"/>
        <v>2023.09</v>
      </c>
      <c r="B618" s="2195">
        <v>121.98269999999999</v>
      </c>
      <c r="C618" s="2205">
        <v>117.04179999999999</v>
      </c>
      <c r="D618" s="2200">
        <v>128.69120000000001</v>
      </c>
      <c r="E618" s="2207">
        <v>115.73309999999999</v>
      </c>
      <c r="F618" s="2205">
        <v>128.27940000000001</v>
      </c>
      <c r="G618" s="2200">
        <v>104.5372</v>
      </c>
      <c r="H618" s="354">
        <v>357</v>
      </c>
      <c r="I618" s="2776">
        <v>349.50476190476195</v>
      </c>
      <c r="J618" s="2775">
        <v>734.96428571428567</v>
      </c>
      <c r="K618" s="2775">
        <v>701.01</v>
      </c>
      <c r="L618" s="2775">
        <v>822.53</v>
      </c>
      <c r="M618" s="2212">
        <v>1074.76</v>
      </c>
      <c r="N618" s="2216">
        <v>1116.653410078464</v>
      </c>
      <c r="O618" s="2212">
        <v>307.78899999999999</v>
      </c>
      <c r="P618" s="3284">
        <v>258.93400000000003</v>
      </c>
      <c r="Q618" s="3282"/>
      <c r="R618" s="512"/>
      <c r="S618" s="512"/>
    </row>
    <row r="619" spans="1:22">
      <c r="A619" s="219">
        <f t="shared" si="2"/>
        <v>2023.1</v>
      </c>
      <c r="B619" s="2195">
        <v>123.7914</v>
      </c>
      <c r="C619" s="2205">
        <v>118.3751</v>
      </c>
      <c r="D619" s="2200">
        <v>131.01249999999999</v>
      </c>
      <c r="E619" s="2207">
        <v>117.3656</v>
      </c>
      <c r="F619" s="2205">
        <v>129.83600000000001</v>
      </c>
      <c r="G619" s="2200">
        <v>106.2039</v>
      </c>
      <c r="H619" s="354">
        <v>358</v>
      </c>
      <c r="I619" s="2776">
        <v>349.51666666666659</v>
      </c>
      <c r="J619" s="2775">
        <v>932.4</v>
      </c>
      <c r="K619" s="2775">
        <v>852.85</v>
      </c>
      <c r="L619" s="2775">
        <v>864.84</v>
      </c>
      <c r="M619" s="2212">
        <v>1204.9000000000001</v>
      </c>
      <c r="N619" s="2216">
        <v>1215.5</v>
      </c>
      <c r="O619" s="2212">
        <v>307.67099999999999</v>
      </c>
      <c r="P619" s="3284">
        <v>255.19200000000001</v>
      </c>
      <c r="Q619" s="512"/>
      <c r="R619" s="512"/>
      <c r="S619" s="512"/>
    </row>
    <row r="620" spans="1:22">
      <c r="A620" s="219">
        <f t="shared" si="2"/>
        <v>2023.11</v>
      </c>
      <c r="B620" s="2195">
        <v>121.5369</v>
      </c>
      <c r="C620" s="2205">
        <v>116.73269999999999</v>
      </c>
      <c r="D620" s="2200">
        <v>128.09950000000001</v>
      </c>
      <c r="E620" s="2207">
        <v>115.4787</v>
      </c>
      <c r="F620" s="2205">
        <v>128.2388</v>
      </c>
      <c r="G620" s="2200">
        <v>104.1247</v>
      </c>
      <c r="H620" s="354">
        <v>368</v>
      </c>
      <c r="I620" s="2776">
        <v>353.3175</v>
      </c>
      <c r="J620" s="2775">
        <v>931.75</v>
      </c>
      <c r="K620" s="2775">
        <v>858.82</v>
      </c>
      <c r="L620" s="2775">
        <v>834.4</v>
      </c>
      <c r="M620" s="2212">
        <v>1576</v>
      </c>
      <c r="N620" s="2216">
        <v>1652</v>
      </c>
      <c r="O620" s="2212">
        <v>307.05099999999999</v>
      </c>
      <c r="P620" s="3284">
        <v>252.85599999999999</v>
      </c>
      <c r="Q620" s="512"/>
      <c r="R620" s="512"/>
      <c r="S620" s="512"/>
    </row>
    <row r="621" spans="1:22">
      <c r="A621" s="219">
        <f t="shared" si="2"/>
        <v>2023.12</v>
      </c>
      <c r="B621" s="2195">
        <v>120.1585</v>
      </c>
      <c r="C621" s="2205">
        <v>114.60509999999999</v>
      </c>
      <c r="D621" s="2200">
        <v>127.47499999999999</v>
      </c>
      <c r="E621" s="2207">
        <v>113.8317</v>
      </c>
      <c r="F621" s="2205">
        <v>125.79040000000001</v>
      </c>
      <c r="G621" s="2200">
        <v>103.11</v>
      </c>
      <c r="H621" s="354">
        <v>808</v>
      </c>
      <c r="I621" s="2776">
        <v>641.93947368421061</v>
      </c>
      <c r="J621" s="2775">
        <v>960</v>
      </c>
      <c r="K621" s="2775">
        <v>995</v>
      </c>
      <c r="L621" s="2775">
        <v>973.15</v>
      </c>
      <c r="M621" s="2212">
        <v>1699.9649999999999</v>
      </c>
      <c r="N621" s="2216">
        <v>1779.9040396687319</v>
      </c>
      <c r="O621" s="2212">
        <v>306.74599999999998</v>
      </c>
      <c r="P621" s="3284">
        <v>249.84899999999999</v>
      </c>
      <c r="Q621" s="512"/>
      <c r="R621" s="512"/>
      <c r="S621" s="512"/>
    </row>
    <row r="622" spans="1:22">
      <c r="A622" s="219">
        <f t="shared" si="2"/>
        <v>2024.01</v>
      </c>
      <c r="B622" s="2195">
        <v>120.57689999999999</v>
      </c>
      <c r="C622" s="2205">
        <v>114.81619999999999</v>
      </c>
      <c r="D622" s="2200">
        <v>128.11150000000001</v>
      </c>
      <c r="E622" s="2207">
        <v>114.2236</v>
      </c>
      <c r="F622" s="2205">
        <v>126.24509999999999</v>
      </c>
      <c r="G622" s="2200">
        <v>103.4485</v>
      </c>
      <c r="H622" s="354">
        <v>846</v>
      </c>
      <c r="I622" s="2776">
        <v>816.81363636363642</v>
      </c>
      <c r="J622" s="2775">
        <v>1141.8</v>
      </c>
      <c r="K622" s="2775">
        <v>1175.67</v>
      </c>
      <c r="L622" s="2775">
        <v>1248.95</v>
      </c>
      <c r="M622" s="2212">
        <v>1770</v>
      </c>
      <c r="N622" s="2216">
        <v>1886</v>
      </c>
      <c r="O622" s="2212">
        <v>308.41699999999997</v>
      </c>
      <c r="P622" s="3284">
        <v>251.25</v>
      </c>
      <c r="Q622" s="512"/>
      <c r="R622" s="512"/>
      <c r="S622" s="3285"/>
      <c r="T622" s="3285"/>
    </row>
    <row r="623" spans="1:22">
      <c r="A623" s="219">
        <f t="shared" si="2"/>
        <v>2024.02</v>
      </c>
      <c r="B623" s="2195">
        <v>121.41549999999999</v>
      </c>
      <c r="C623" s="2205">
        <v>116.0261</v>
      </c>
      <c r="D623" s="2200">
        <v>128.5771</v>
      </c>
      <c r="E623" s="2207">
        <v>115.11279999999999</v>
      </c>
      <c r="F623" s="2205">
        <v>127.87179999999999</v>
      </c>
      <c r="G623" s="2200">
        <v>103.7651</v>
      </c>
      <c r="H623" s="354">
        <v>858</v>
      </c>
      <c r="I623" s="2776">
        <v>833.38421052631577</v>
      </c>
      <c r="J623" s="2775">
        <v>1081.354</v>
      </c>
      <c r="K623" s="2775">
        <v>1032.24</v>
      </c>
      <c r="L623" s="2775">
        <v>1071.73</v>
      </c>
      <c r="M623" s="2212">
        <v>1805.66</v>
      </c>
      <c r="N623" s="2216">
        <v>1813.4281014331959</v>
      </c>
      <c r="O623" s="2212">
        <v>310.32600000000002</v>
      </c>
      <c r="P623" s="3284">
        <v>254.95099999999999</v>
      </c>
      <c r="Q623" s="512"/>
      <c r="R623" s="512"/>
      <c r="S623" s="3285"/>
      <c r="T623" s="3285"/>
    </row>
    <row r="624" spans="1:22">
      <c r="A624" s="219">
        <f t="shared" ref="A624:A645" si="3">A612+1</f>
        <v>2024.03</v>
      </c>
      <c r="B624" s="2195">
        <v>121.04130000000001</v>
      </c>
      <c r="C624" s="2205">
        <v>115.7831</v>
      </c>
      <c r="D624" s="2200">
        <v>128.06290000000001</v>
      </c>
      <c r="E624" s="2207">
        <v>115.0672</v>
      </c>
      <c r="F624" s="2205">
        <v>127.86960000000001</v>
      </c>
      <c r="G624" s="2200">
        <v>103.6874</v>
      </c>
      <c r="H624" s="354">
        <v>872</v>
      </c>
      <c r="I624" s="2776">
        <v>848.68421052631584</v>
      </c>
      <c r="J624" s="2775">
        <v>1001.604</v>
      </c>
      <c r="K624" s="2775">
        <v>1016.09</v>
      </c>
      <c r="L624" s="2775">
        <v>1085.7</v>
      </c>
      <c r="M624" s="2212">
        <v>1628</v>
      </c>
      <c r="N624" s="2216">
        <v>1717.92</v>
      </c>
      <c r="O624" s="2212">
        <v>312.33199999999999</v>
      </c>
      <c r="P624" s="3284">
        <v>255.14</v>
      </c>
      <c r="Q624" s="512"/>
      <c r="R624" s="512"/>
      <c r="S624" s="3285"/>
      <c r="T624" s="3285"/>
      <c r="U624" s="512"/>
      <c r="V624" s="512"/>
    </row>
    <row r="625" spans="1:16">
      <c r="A625" s="219">
        <f t="shared" si="3"/>
        <v>2024.04</v>
      </c>
      <c r="B625" s="2195">
        <v>122.5142</v>
      </c>
      <c r="C625" s="2205">
        <v>117.53959999999999</v>
      </c>
      <c r="D625" s="2200">
        <v>129.2645</v>
      </c>
      <c r="E625" s="2207">
        <v>116.46339999999999</v>
      </c>
      <c r="F625" s="2205">
        <v>129.88409999999999</v>
      </c>
      <c r="G625" s="2200">
        <v>104.5973</v>
      </c>
      <c r="H625" s="354">
        <v>892</v>
      </c>
      <c r="I625" s="2776">
        <v>867.78947368421052</v>
      </c>
      <c r="J625" s="2775">
        <v>1004.75</v>
      </c>
      <c r="K625" s="2775">
        <v>1040.8900000000001</v>
      </c>
      <c r="L625" s="2775">
        <v>1091.95</v>
      </c>
      <c r="M625" s="2212">
        <v>1526</v>
      </c>
      <c r="N625" s="2216">
        <v>1568.3672172709339</v>
      </c>
      <c r="O625" s="2213" t="e">
        <v>#N/A</v>
      </c>
      <c r="P625" s="1134" t="e">
        <v>#N/A</v>
      </c>
    </row>
    <row r="626" spans="1:16">
      <c r="A626" s="219">
        <f t="shared" si="3"/>
        <v>2024.05</v>
      </c>
      <c r="B626" s="2195" t="e">
        <v>#N/A</v>
      </c>
      <c r="C626" s="2205" t="e">
        <v>#N/A</v>
      </c>
      <c r="D626" s="2200" t="e">
        <v>#N/A</v>
      </c>
      <c r="E626" s="2207" t="e">
        <v>#N/A</v>
      </c>
      <c r="F626" s="2205" t="e">
        <v>#N/A</v>
      </c>
      <c r="G626" s="2200" t="e">
        <v>#N/A</v>
      </c>
      <c r="H626" s="354" t="e">
        <v>#N/A</v>
      </c>
      <c r="I626" s="722" t="e">
        <v>#N/A</v>
      </c>
      <c r="J626" s="770" t="e">
        <v>#N/A</v>
      </c>
      <c r="K626" s="770" t="e">
        <v>#N/A</v>
      </c>
      <c r="L626" s="770" t="e">
        <v>#N/A</v>
      </c>
      <c r="M626" s="2213" t="e">
        <v>#N/A</v>
      </c>
      <c r="N626" s="2217" t="e">
        <v>#N/A</v>
      </c>
      <c r="O626" s="2213" t="e">
        <v>#N/A</v>
      </c>
      <c r="P626" s="1134" t="e">
        <v>#N/A</v>
      </c>
    </row>
    <row r="627" spans="1:16">
      <c r="A627" s="219">
        <f t="shared" si="3"/>
        <v>2024.06</v>
      </c>
      <c r="B627" s="2195" t="e">
        <v>#N/A</v>
      </c>
      <c r="C627" s="2205" t="e">
        <v>#N/A</v>
      </c>
      <c r="D627" s="2200" t="e">
        <v>#N/A</v>
      </c>
      <c r="E627" s="2207" t="e">
        <v>#N/A</v>
      </c>
      <c r="F627" s="2205" t="e">
        <v>#N/A</v>
      </c>
      <c r="G627" s="2200" t="e">
        <v>#N/A</v>
      </c>
      <c r="H627" s="354" t="e">
        <v>#N/A</v>
      </c>
      <c r="I627" s="722" t="e">
        <v>#N/A</v>
      </c>
      <c r="J627" s="770" t="e">
        <v>#N/A</v>
      </c>
      <c r="K627" s="770" t="e">
        <v>#N/A</v>
      </c>
      <c r="L627" s="770" t="e">
        <v>#N/A</v>
      </c>
      <c r="M627" s="2213" t="e">
        <v>#N/A</v>
      </c>
      <c r="N627" s="2217" t="e">
        <v>#N/A</v>
      </c>
      <c r="O627" s="2213" t="e">
        <v>#N/A</v>
      </c>
      <c r="P627" s="1134" t="e">
        <v>#N/A</v>
      </c>
    </row>
    <row r="628" spans="1:16">
      <c r="A628" s="219">
        <f t="shared" si="3"/>
        <v>2024.07</v>
      </c>
      <c r="B628" s="2195" t="e">
        <v>#N/A</v>
      </c>
      <c r="C628" s="2205" t="e">
        <v>#N/A</v>
      </c>
      <c r="D628" s="2200" t="e">
        <v>#N/A</v>
      </c>
      <c r="E628" s="2207" t="e">
        <v>#N/A</v>
      </c>
      <c r="F628" s="2205" t="e">
        <v>#N/A</v>
      </c>
      <c r="G628" s="2200" t="e">
        <v>#N/A</v>
      </c>
      <c r="H628" s="354" t="e">
        <v>#N/A</v>
      </c>
      <c r="I628" s="722" t="e">
        <v>#N/A</v>
      </c>
      <c r="J628" s="770" t="e">
        <v>#N/A</v>
      </c>
      <c r="K628" s="770" t="e">
        <v>#N/A</v>
      </c>
      <c r="L628" s="770" t="e">
        <v>#N/A</v>
      </c>
      <c r="M628" s="2213" t="e">
        <v>#N/A</v>
      </c>
      <c r="N628" s="2217" t="e">
        <v>#N/A</v>
      </c>
      <c r="O628" s="2213" t="e">
        <v>#N/A</v>
      </c>
      <c r="P628" s="1134" t="e">
        <v>#N/A</v>
      </c>
    </row>
    <row r="629" spans="1:16">
      <c r="A629" s="219">
        <f t="shared" si="3"/>
        <v>2024.08</v>
      </c>
      <c r="B629" s="2195" t="e">
        <v>#N/A</v>
      </c>
      <c r="C629" s="2205" t="e">
        <v>#N/A</v>
      </c>
      <c r="D629" s="2200" t="e">
        <v>#N/A</v>
      </c>
      <c r="E629" s="2207" t="e">
        <v>#N/A</v>
      </c>
      <c r="F629" s="2205" t="e">
        <v>#N/A</v>
      </c>
      <c r="G629" s="2200" t="e">
        <v>#N/A</v>
      </c>
      <c r="H629" s="354" t="e">
        <v>#N/A</v>
      </c>
      <c r="I629" s="722" t="e">
        <v>#N/A</v>
      </c>
      <c r="J629" s="770" t="e">
        <v>#N/A</v>
      </c>
      <c r="K629" s="770" t="e">
        <v>#N/A</v>
      </c>
      <c r="L629" s="770" t="e">
        <v>#N/A</v>
      </c>
      <c r="M629" s="2213" t="e">
        <v>#N/A</v>
      </c>
      <c r="N629" s="2217" t="e">
        <v>#N/A</v>
      </c>
      <c r="O629" s="2213" t="e">
        <v>#N/A</v>
      </c>
      <c r="P629" s="1134" t="e">
        <v>#N/A</v>
      </c>
    </row>
    <row r="630" spans="1:16">
      <c r="A630" s="219">
        <f t="shared" si="3"/>
        <v>2024.09</v>
      </c>
      <c r="B630" s="2195" t="e">
        <v>#N/A</v>
      </c>
      <c r="C630" s="2205" t="e">
        <v>#N/A</v>
      </c>
      <c r="D630" s="2200" t="e">
        <v>#N/A</v>
      </c>
      <c r="E630" s="2207" t="e">
        <v>#N/A</v>
      </c>
      <c r="F630" s="2205" t="e">
        <v>#N/A</v>
      </c>
      <c r="G630" s="2200" t="e">
        <v>#N/A</v>
      </c>
      <c r="H630" s="354" t="e">
        <v>#N/A</v>
      </c>
      <c r="I630" s="722" t="e">
        <v>#N/A</v>
      </c>
      <c r="J630" s="770" t="e">
        <v>#N/A</v>
      </c>
      <c r="K630" s="770" t="e">
        <v>#N/A</v>
      </c>
      <c r="L630" s="770" t="e">
        <v>#N/A</v>
      </c>
      <c r="M630" s="2213" t="e">
        <v>#N/A</v>
      </c>
      <c r="N630" s="2217" t="e">
        <v>#N/A</v>
      </c>
      <c r="O630" s="2213" t="e">
        <v>#N/A</v>
      </c>
      <c r="P630" s="1134" t="e">
        <v>#N/A</v>
      </c>
    </row>
    <row r="631" spans="1:16">
      <c r="A631" s="219">
        <f t="shared" si="3"/>
        <v>2024.1</v>
      </c>
      <c r="B631" s="2195" t="e">
        <v>#N/A</v>
      </c>
      <c r="C631" s="2205" t="e">
        <v>#N/A</v>
      </c>
      <c r="D631" s="2200" t="e">
        <v>#N/A</v>
      </c>
      <c r="E631" s="2207" t="e">
        <v>#N/A</v>
      </c>
      <c r="F631" s="2205" t="e">
        <v>#N/A</v>
      </c>
      <c r="G631" s="2200" t="e">
        <v>#N/A</v>
      </c>
      <c r="H631" s="354" t="e">
        <v>#N/A</v>
      </c>
      <c r="I631" s="722" t="e">
        <v>#N/A</v>
      </c>
      <c r="J631" s="770" t="e">
        <v>#N/A</v>
      </c>
      <c r="K631" s="770" t="e">
        <v>#N/A</v>
      </c>
      <c r="L631" s="770" t="e">
        <v>#N/A</v>
      </c>
      <c r="M631" s="2213" t="e">
        <v>#N/A</v>
      </c>
      <c r="N631" s="2217" t="e">
        <v>#N/A</v>
      </c>
      <c r="O631" s="2213" t="e">
        <v>#N/A</v>
      </c>
      <c r="P631" s="1134" t="e">
        <v>#N/A</v>
      </c>
    </row>
    <row r="632" spans="1:16">
      <c r="A632" s="219">
        <f t="shared" si="3"/>
        <v>2024.11</v>
      </c>
      <c r="B632" s="2195" t="e">
        <v>#N/A</v>
      </c>
      <c r="C632" s="2205" t="e">
        <v>#N/A</v>
      </c>
      <c r="D632" s="2200" t="e">
        <v>#N/A</v>
      </c>
      <c r="E632" s="2207" t="e">
        <v>#N/A</v>
      </c>
      <c r="F632" s="2205" t="e">
        <v>#N/A</v>
      </c>
      <c r="G632" s="2200" t="e">
        <v>#N/A</v>
      </c>
      <c r="H632" s="354" t="e">
        <v>#N/A</v>
      </c>
      <c r="I632" s="722" t="e">
        <v>#N/A</v>
      </c>
      <c r="J632" s="770" t="e">
        <v>#N/A</v>
      </c>
      <c r="K632" s="770" t="e">
        <v>#N/A</v>
      </c>
      <c r="L632" s="770" t="e">
        <v>#N/A</v>
      </c>
      <c r="M632" s="2213" t="e">
        <v>#N/A</v>
      </c>
      <c r="N632" s="2217" t="e">
        <v>#N/A</v>
      </c>
      <c r="O632" s="2213" t="e">
        <v>#N/A</v>
      </c>
      <c r="P632" s="1134" t="e">
        <v>#N/A</v>
      </c>
    </row>
    <row r="633" spans="1:16">
      <c r="A633" s="219">
        <f t="shared" si="3"/>
        <v>2024.12</v>
      </c>
      <c r="B633" s="2195" t="e">
        <v>#N/A</v>
      </c>
      <c r="C633" s="2205" t="e">
        <v>#N/A</v>
      </c>
      <c r="D633" s="2200" t="e">
        <v>#N/A</v>
      </c>
      <c r="E633" s="2207" t="e">
        <v>#N/A</v>
      </c>
      <c r="F633" s="2205" t="e">
        <v>#N/A</v>
      </c>
      <c r="G633" s="2200" t="e">
        <v>#N/A</v>
      </c>
      <c r="H633" s="354" t="e">
        <v>#N/A</v>
      </c>
      <c r="I633" s="722" t="e">
        <v>#N/A</v>
      </c>
      <c r="J633" s="770" t="e">
        <v>#N/A</v>
      </c>
      <c r="K633" s="770" t="e">
        <v>#N/A</v>
      </c>
      <c r="L633" s="770" t="e">
        <v>#N/A</v>
      </c>
      <c r="M633" s="2213" t="e">
        <v>#N/A</v>
      </c>
      <c r="N633" s="2217" t="e">
        <v>#N/A</v>
      </c>
      <c r="O633" s="2213" t="e">
        <v>#N/A</v>
      </c>
      <c r="P633" s="1134" t="e">
        <v>#N/A</v>
      </c>
    </row>
    <row r="634" spans="1:16">
      <c r="A634" s="219">
        <f t="shared" si="3"/>
        <v>2025.01</v>
      </c>
      <c r="B634" s="2195" t="e">
        <v>#N/A</v>
      </c>
      <c r="C634" s="2205" t="e">
        <v>#N/A</v>
      </c>
      <c r="D634" s="2200" t="e">
        <v>#N/A</v>
      </c>
      <c r="E634" s="2207" t="e">
        <v>#N/A</v>
      </c>
      <c r="F634" s="2205" t="e">
        <v>#N/A</v>
      </c>
      <c r="G634" s="2200" t="e">
        <v>#N/A</v>
      </c>
      <c r="H634" s="354" t="e">
        <v>#N/A</v>
      </c>
      <c r="I634" s="722" t="e">
        <v>#N/A</v>
      </c>
      <c r="J634" s="770" t="e">
        <v>#N/A</v>
      </c>
      <c r="K634" s="770" t="e">
        <v>#N/A</v>
      </c>
      <c r="L634" s="770" t="e">
        <v>#N/A</v>
      </c>
      <c r="M634" s="2213" t="e">
        <v>#N/A</v>
      </c>
      <c r="N634" s="2217" t="e">
        <v>#N/A</v>
      </c>
      <c r="O634" s="2213" t="e">
        <v>#N/A</v>
      </c>
      <c r="P634" s="1134" t="e">
        <v>#N/A</v>
      </c>
    </row>
    <row r="635" spans="1:16">
      <c r="A635" s="219">
        <f t="shared" si="3"/>
        <v>2025.02</v>
      </c>
      <c r="B635" s="2195" t="e">
        <v>#N/A</v>
      </c>
      <c r="C635" s="2205" t="e">
        <v>#N/A</v>
      </c>
      <c r="D635" s="2200" t="e">
        <v>#N/A</v>
      </c>
      <c r="E635" s="2207" t="e">
        <v>#N/A</v>
      </c>
      <c r="F635" s="2205" t="e">
        <v>#N/A</v>
      </c>
      <c r="G635" s="2200" t="e">
        <v>#N/A</v>
      </c>
      <c r="H635" s="354" t="e">
        <v>#N/A</v>
      </c>
      <c r="I635" s="722" t="e">
        <v>#N/A</v>
      </c>
      <c r="J635" s="770" t="e">
        <v>#N/A</v>
      </c>
      <c r="K635" s="770" t="e">
        <v>#N/A</v>
      </c>
      <c r="L635" s="770" t="e">
        <v>#N/A</v>
      </c>
      <c r="M635" s="2213" t="e">
        <v>#N/A</v>
      </c>
      <c r="N635" s="2217" t="e">
        <v>#N/A</v>
      </c>
      <c r="O635" s="2213" t="e">
        <v>#N/A</v>
      </c>
      <c r="P635" s="1134" t="e">
        <v>#N/A</v>
      </c>
    </row>
    <row r="636" spans="1:16">
      <c r="A636" s="219">
        <f t="shared" si="3"/>
        <v>2025.03</v>
      </c>
      <c r="B636" s="2195" t="e">
        <v>#N/A</v>
      </c>
      <c r="C636" s="2205" t="e">
        <v>#N/A</v>
      </c>
      <c r="D636" s="2200" t="e">
        <v>#N/A</v>
      </c>
      <c r="E636" s="2207" t="e">
        <v>#N/A</v>
      </c>
      <c r="F636" s="2205" t="e">
        <v>#N/A</v>
      </c>
      <c r="G636" s="2200" t="e">
        <v>#N/A</v>
      </c>
      <c r="H636" s="354" t="e">
        <v>#N/A</v>
      </c>
      <c r="I636" s="722" t="e">
        <v>#N/A</v>
      </c>
      <c r="J636" s="770" t="e">
        <v>#N/A</v>
      </c>
      <c r="K636" s="770" t="e">
        <v>#N/A</v>
      </c>
      <c r="L636" s="770" t="e">
        <v>#N/A</v>
      </c>
      <c r="M636" s="2213" t="e">
        <v>#N/A</v>
      </c>
      <c r="N636" s="2217" t="e">
        <v>#N/A</v>
      </c>
      <c r="O636" s="2213" t="e">
        <v>#N/A</v>
      </c>
      <c r="P636" s="1134" t="e">
        <v>#N/A</v>
      </c>
    </row>
    <row r="637" spans="1:16">
      <c r="A637" s="219">
        <f t="shared" si="3"/>
        <v>2025.04</v>
      </c>
      <c r="B637" s="2195" t="e">
        <v>#N/A</v>
      </c>
      <c r="C637" s="2205" t="e">
        <v>#N/A</v>
      </c>
      <c r="D637" s="2200" t="e">
        <v>#N/A</v>
      </c>
      <c r="E637" s="2207" t="e">
        <v>#N/A</v>
      </c>
      <c r="F637" s="2205" t="e">
        <v>#N/A</v>
      </c>
      <c r="G637" s="2200" t="e">
        <v>#N/A</v>
      </c>
      <c r="H637" s="354" t="e">
        <v>#N/A</v>
      </c>
      <c r="I637" s="722" t="e">
        <v>#N/A</v>
      </c>
      <c r="J637" s="770" t="e">
        <v>#N/A</v>
      </c>
      <c r="K637" s="770" t="e">
        <v>#N/A</v>
      </c>
      <c r="L637" s="770" t="e">
        <v>#N/A</v>
      </c>
      <c r="M637" s="2213" t="e">
        <v>#N/A</v>
      </c>
      <c r="N637" s="2217" t="e">
        <v>#N/A</v>
      </c>
      <c r="O637" s="2213" t="e">
        <v>#N/A</v>
      </c>
      <c r="P637" s="1134" t="e">
        <v>#N/A</v>
      </c>
    </row>
    <row r="638" spans="1:16">
      <c r="A638" s="219">
        <f t="shared" si="3"/>
        <v>2025.05</v>
      </c>
      <c r="B638" s="2195" t="e">
        <v>#N/A</v>
      </c>
      <c r="C638" s="2205" t="e">
        <v>#N/A</v>
      </c>
      <c r="D638" s="2200" t="e">
        <v>#N/A</v>
      </c>
      <c r="E638" s="2207" t="e">
        <v>#N/A</v>
      </c>
      <c r="F638" s="2205" t="e">
        <v>#N/A</v>
      </c>
      <c r="G638" s="2200" t="e">
        <v>#N/A</v>
      </c>
      <c r="H638" s="354" t="e">
        <v>#N/A</v>
      </c>
      <c r="I638" s="722" t="e">
        <v>#N/A</v>
      </c>
      <c r="J638" s="770" t="e">
        <v>#N/A</v>
      </c>
      <c r="K638" s="770" t="e">
        <v>#N/A</v>
      </c>
      <c r="L638" s="770" t="e">
        <v>#N/A</v>
      </c>
      <c r="M638" s="2213" t="e">
        <v>#N/A</v>
      </c>
      <c r="N638" s="2217" t="e">
        <v>#N/A</v>
      </c>
      <c r="O638" s="2213" t="e">
        <v>#N/A</v>
      </c>
      <c r="P638" s="1134" t="e">
        <v>#N/A</v>
      </c>
    </row>
    <row r="639" spans="1:16">
      <c r="A639" s="219">
        <f t="shared" si="3"/>
        <v>2025.06</v>
      </c>
      <c r="B639" s="2195" t="e">
        <v>#N/A</v>
      </c>
      <c r="C639" s="2205" t="e">
        <v>#N/A</v>
      </c>
      <c r="D639" s="2200" t="e">
        <v>#N/A</v>
      </c>
      <c r="E639" s="2207" t="e">
        <v>#N/A</v>
      </c>
      <c r="F639" s="2205" t="e">
        <v>#N/A</v>
      </c>
      <c r="G639" s="2200" t="e">
        <v>#N/A</v>
      </c>
      <c r="H639" s="354" t="e">
        <v>#N/A</v>
      </c>
      <c r="I639" s="722" t="e">
        <v>#N/A</v>
      </c>
      <c r="J639" s="770" t="e">
        <v>#N/A</v>
      </c>
      <c r="K639" s="770" t="e">
        <v>#N/A</v>
      </c>
      <c r="L639" s="770" t="e">
        <v>#N/A</v>
      </c>
      <c r="M639" s="2213" t="e">
        <v>#N/A</v>
      </c>
      <c r="N639" s="2217" t="e">
        <v>#N/A</v>
      </c>
      <c r="O639" s="2213" t="e">
        <v>#N/A</v>
      </c>
      <c r="P639" s="1134" t="e">
        <v>#N/A</v>
      </c>
    </row>
    <row r="640" spans="1:16">
      <c r="A640" s="219">
        <f t="shared" si="3"/>
        <v>2025.07</v>
      </c>
      <c r="B640" s="2195" t="e">
        <v>#N/A</v>
      </c>
      <c r="C640" s="2205" t="e">
        <v>#N/A</v>
      </c>
      <c r="D640" s="2200" t="e">
        <v>#N/A</v>
      </c>
      <c r="E640" s="2207" t="e">
        <v>#N/A</v>
      </c>
      <c r="F640" s="2205" t="e">
        <v>#N/A</v>
      </c>
      <c r="G640" s="2200" t="e">
        <v>#N/A</v>
      </c>
      <c r="H640" s="354" t="e">
        <v>#N/A</v>
      </c>
      <c r="I640" s="722" t="e">
        <v>#N/A</v>
      </c>
      <c r="J640" s="770" t="e">
        <v>#N/A</v>
      </c>
      <c r="K640" s="770" t="e">
        <v>#N/A</v>
      </c>
      <c r="L640" s="770" t="e">
        <v>#N/A</v>
      </c>
      <c r="M640" s="2213" t="e">
        <v>#N/A</v>
      </c>
      <c r="N640" s="2217" t="e">
        <v>#N/A</v>
      </c>
      <c r="O640" s="2213" t="e">
        <v>#N/A</v>
      </c>
      <c r="P640" s="1134" t="e">
        <v>#N/A</v>
      </c>
    </row>
    <row r="641" spans="1:16">
      <c r="A641" s="219">
        <f t="shared" si="3"/>
        <v>2025.08</v>
      </c>
      <c r="B641" s="2195" t="e">
        <v>#N/A</v>
      </c>
      <c r="C641" s="2205" t="e">
        <v>#N/A</v>
      </c>
      <c r="D641" s="2200" t="e">
        <v>#N/A</v>
      </c>
      <c r="E641" s="2207" t="e">
        <v>#N/A</v>
      </c>
      <c r="F641" s="2205" t="e">
        <v>#N/A</v>
      </c>
      <c r="G641" s="2200" t="e">
        <v>#N/A</v>
      </c>
      <c r="H641" s="354" t="e">
        <v>#N/A</v>
      </c>
      <c r="I641" s="722" t="e">
        <v>#N/A</v>
      </c>
      <c r="J641" s="770" t="e">
        <v>#N/A</v>
      </c>
      <c r="K641" s="770" t="e">
        <v>#N/A</v>
      </c>
      <c r="L641" s="770" t="e">
        <v>#N/A</v>
      </c>
      <c r="M641" s="2213" t="e">
        <v>#N/A</v>
      </c>
      <c r="N641" s="2217" t="e">
        <v>#N/A</v>
      </c>
      <c r="O641" s="2213" t="e">
        <v>#N/A</v>
      </c>
      <c r="P641" s="1134" t="e">
        <v>#N/A</v>
      </c>
    </row>
    <row r="642" spans="1:16">
      <c r="A642" s="219">
        <f t="shared" si="3"/>
        <v>2025.09</v>
      </c>
      <c r="B642" s="2195" t="e">
        <v>#N/A</v>
      </c>
      <c r="C642" s="2205" t="e">
        <v>#N/A</v>
      </c>
      <c r="D642" s="2200" t="e">
        <v>#N/A</v>
      </c>
      <c r="E642" s="2207" t="e">
        <v>#N/A</v>
      </c>
      <c r="F642" s="2205" t="e">
        <v>#N/A</v>
      </c>
      <c r="G642" s="2200" t="e">
        <v>#N/A</v>
      </c>
      <c r="H642" s="354" t="e">
        <v>#N/A</v>
      </c>
      <c r="I642" s="722" t="e">
        <v>#N/A</v>
      </c>
      <c r="J642" s="770" t="e">
        <v>#N/A</v>
      </c>
      <c r="K642" s="770" t="e">
        <v>#N/A</v>
      </c>
      <c r="L642" s="770" t="e">
        <v>#N/A</v>
      </c>
      <c r="M642" s="2213" t="e">
        <v>#N/A</v>
      </c>
      <c r="N642" s="2217" t="e">
        <v>#N/A</v>
      </c>
      <c r="O642" s="2213" t="e">
        <v>#N/A</v>
      </c>
      <c r="P642" s="1134" t="e">
        <v>#N/A</v>
      </c>
    </row>
    <row r="643" spans="1:16">
      <c r="A643" s="219">
        <f t="shared" si="3"/>
        <v>2025.1</v>
      </c>
      <c r="B643" s="2195" t="e">
        <v>#N/A</v>
      </c>
      <c r="C643" s="2205" t="e">
        <v>#N/A</v>
      </c>
      <c r="D643" s="2200" t="e">
        <v>#N/A</v>
      </c>
      <c r="E643" s="2207" t="e">
        <v>#N/A</v>
      </c>
      <c r="F643" s="2205" t="e">
        <v>#N/A</v>
      </c>
      <c r="G643" s="2200" t="e">
        <v>#N/A</v>
      </c>
      <c r="H643" s="354" t="e">
        <v>#N/A</v>
      </c>
      <c r="I643" s="722" t="e">
        <v>#N/A</v>
      </c>
      <c r="J643" s="770" t="e">
        <v>#N/A</v>
      </c>
      <c r="K643" s="770" t="e">
        <v>#N/A</v>
      </c>
      <c r="L643" s="770" t="e">
        <v>#N/A</v>
      </c>
      <c r="M643" s="2213" t="e">
        <v>#N/A</v>
      </c>
      <c r="N643" s="2217" t="e">
        <v>#N/A</v>
      </c>
      <c r="O643" s="2213" t="e">
        <v>#N/A</v>
      </c>
      <c r="P643" s="1134" t="e">
        <v>#N/A</v>
      </c>
    </row>
    <row r="644" spans="1:16">
      <c r="A644" s="219">
        <f t="shared" si="3"/>
        <v>2025.11</v>
      </c>
      <c r="B644" s="2195" t="e">
        <v>#N/A</v>
      </c>
      <c r="C644" s="2205" t="e">
        <v>#N/A</v>
      </c>
      <c r="D644" s="2200" t="e">
        <v>#N/A</v>
      </c>
      <c r="E644" s="2207" t="e">
        <v>#N/A</v>
      </c>
      <c r="F644" s="2205" t="e">
        <v>#N/A</v>
      </c>
      <c r="G644" s="2200" t="e">
        <v>#N/A</v>
      </c>
      <c r="H644" s="354" t="e">
        <v>#N/A</v>
      </c>
      <c r="I644" s="722" t="e">
        <v>#N/A</v>
      </c>
      <c r="J644" s="770" t="e">
        <v>#N/A</v>
      </c>
      <c r="K644" s="770" t="e">
        <v>#N/A</v>
      </c>
      <c r="L644" s="770" t="e">
        <v>#N/A</v>
      </c>
      <c r="M644" s="2213" t="e">
        <v>#N/A</v>
      </c>
      <c r="N644" s="2217" t="e">
        <v>#N/A</v>
      </c>
      <c r="O644" s="2213" t="e">
        <v>#N/A</v>
      </c>
      <c r="P644" s="1134" t="e">
        <v>#N/A</v>
      </c>
    </row>
    <row r="645" spans="1:16">
      <c r="A645" s="219">
        <f t="shared" si="3"/>
        <v>2025.12</v>
      </c>
      <c r="B645" s="2195" t="e">
        <v>#N/A</v>
      </c>
      <c r="C645" s="2205" t="e">
        <v>#N/A</v>
      </c>
      <c r="D645" s="2200" t="e">
        <v>#N/A</v>
      </c>
      <c r="E645" s="2207" t="e">
        <v>#N/A</v>
      </c>
      <c r="F645" s="2205" t="e">
        <v>#N/A</v>
      </c>
      <c r="G645" s="2200" t="e">
        <v>#N/A</v>
      </c>
      <c r="H645" s="354" t="e">
        <v>#N/A</v>
      </c>
      <c r="I645" s="722" t="e">
        <v>#N/A</v>
      </c>
      <c r="J645" s="770" t="e">
        <v>#N/A</v>
      </c>
      <c r="K645" s="770" t="e">
        <v>#N/A</v>
      </c>
      <c r="L645" s="770" t="e">
        <v>#N/A</v>
      </c>
      <c r="M645" s="2213" t="e">
        <v>#N/A</v>
      </c>
      <c r="N645" s="2217" t="e">
        <v>#N/A</v>
      </c>
      <c r="O645" s="2213" t="e">
        <v>#N/A</v>
      </c>
      <c r="P645" s="1134" t="e">
        <v>#N/A</v>
      </c>
    </row>
    <row r="646" spans="1:16">
      <c r="A646" s="2765">
        <v>2026.01</v>
      </c>
      <c r="B646" s="2195" t="e">
        <v>#N/A</v>
      </c>
      <c r="C646" s="2205" t="e">
        <v>#N/A</v>
      </c>
      <c r="D646" s="2200" t="e">
        <v>#N/A</v>
      </c>
      <c r="E646" s="2207" t="e">
        <v>#N/A</v>
      </c>
      <c r="F646" s="2205" t="e">
        <v>#N/A</v>
      </c>
      <c r="G646" s="2200" t="e">
        <v>#N/A</v>
      </c>
      <c r="H646" s="354" t="e">
        <v>#N/A</v>
      </c>
      <c r="I646" s="722" t="e">
        <v>#N/A</v>
      </c>
      <c r="J646" s="770" t="e">
        <v>#N/A</v>
      </c>
      <c r="K646" s="770" t="e">
        <v>#N/A</v>
      </c>
      <c r="L646" s="770" t="e">
        <v>#N/A</v>
      </c>
      <c r="M646" s="2213" t="e">
        <v>#N/A</v>
      </c>
      <c r="N646" s="2217" t="e">
        <v>#N/A</v>
      </c>
      <c r="O646" s="2213" t="e">
        <v>#N/A</v>
      </c>
      <c r="P646" s="1134" t="e">
        <v>#N/A</v>
      </c>
    </row>
    <row r="647" spans="1:16">
      <c r="A647" s="2765">
        <v>2026.02</v>
      </c>
      <c r="B647" s="2195" t="e">
        <v>#N/A</v>
      </c>
      <c r="C647" s="2205" t="e">
        <v>#N/A</v>
      </c>
      <c r="D647" s="2200" t="e">
        <v>#N/A</v>
      </c>
      <c r="E647" s="2207" t="e">
        <v>#N/A</v>
      </c>
      <c r="F647" s="2205" t="e">
        <v>#N/A</v>
      </c>
      <c r="G647" s="2200" t="e">
        <v>#N/A</v>
      </c>
      <c r="H647" s="354" t="e">
        <v>#N/A</v>
      </c>
      <c r="I647" s="722" t="e">
        <v>#N/A</v>
      </c>
      <c r="J647" s="770" t="e">
        <v>#N/A</v>
      </c>
      <c r="K647" s="770" t="e">
        <v>#N/A</v>
      </c>
      <c r="L647" s="770" t="e">
        <v>#N/A</v>
      </c>
      <c r="M647" s="2213" t="e">
        <v>#N/A</v>
      </c>
      <c r="N647" s="2217" t="e">
        <v>#N/A</v>
      </c>
      <c r="O647" s="2213" t="e">
        <v>#N/A</v>
      </c>
      <c r="P647" s="1134" t="e">
        <v>#N/A</v>
      </c>
    </row>
    <row r="648" spans="1:16">
      <c r="A648" s="2765">
        <v>2026.03</v>
      </c>
      <c r="B648" s="2195" t="e">
        <v>#N/A</v>
      </c>
      <c r="C648" s="2205" t="e">
        <v>#N/A</v>
      </c>
      <c r="D648" s="2200" t="e">
        <v>#N/A</v>
      </c>
      <c r="E648" s="2207" t="e">
        <v>#N/A</v>
      </c>
      <c r="F648" s="2205" t="e">
        <v>#N/A</v>
      </c>
      <c r="G648" s="2200" t="e">
        <v>#N/A</v>
      </c>
      <c r="H648" s="354" t="e">
        <v>#N/A</v>
      </c>
      <c r="I648" s="722" t="e">
        <v>#N/A</v>
      </c>
      <c r="J648" s="770" t="e">
        <v>#N/A</v>
      </c>
      <c r="K648" s="770" t="e">
        <v>#N/A</v>
      </c>
      <c r="L648" s="770" t="e">
        <v>#N/A</v>
      </c>
      <c r="M648" s="2213" t="e">
        <v>#N/A</v>
      </c>
      <c r="N648" s="2217" t="e">
        <v>#N/A</v>
      </c>
      <c r="O648" s="2213" t="e">
        <v>#N/A</v>
      </c>
      <c r="P648" s="1134" t="e">
        <v>#N/A</v>
      </c>
    </row>
    <row r="649" spans="1:16">
      <c r="A649" s="2765">
        <v>2026.04</v>
      </c>
      <c r="B649" s="2195" t="e">
        <v>#N/A</v>
      </c>
      <c r="C649" s="2205" t="e">
        <v>#N/A</v>
      </c>
      <c r="D649" s="2200" t="e">
        <v>#N/A</v>
      </c>
      <c r="E649" s="2207" t="e">
        <v>#N/A</v>
      </c>
      <c r="F649" s="2205" t="e">
        <v>#N/A</v>
      </c>
      <c r="G649" s="2200" t="e">
        <v>#N/A</v>
      </c>
      <c r="H649" s="354" t="e">
        <v>#N/A</v>
      </c>
      <c r="I649" s="722" t="e">
        <v>#N/A</v>
      </c>
      <c r="J649" s="770" t="e">
        <v>#N/A</v>
      </c>
      <c r="K649" s="770" t="e">
        <v>#N/A</v>
      </c>
      <c r="L649" s="770" t="e">
        <v>#N/A</v>
      </c>
      <c r="M649" s="2213" t="e">
        <v>#N/A</v>
      </c>
      <c r="N649" s="2217" t="e">
        <v>#N/A</v>
      </c>
      <c r="O649" s="2213" t="e">
        <v>#N/A</v>
      </c>
      <c r="P649" s="1134" t="e">
        <v>#N/A</v>
      </c>
    </row>
    <row r="650" spans="1:16">
      <c r="A650" s="2765">
        <v>2026.05</v>
      </c>
      <c r="B650" s="2195" t="e">
        <v>#N/A</v>
      </c>
      <c r="C650" s="2205" t="e">
        <v>#N/A</v>
      </c>
      <c r="D650" s="2200" t="e">
        <v>#N/A</v>
      </c>
      <c r="E650" s="2207" t="e">
        <v>#N/A</v>
      </c>
      <c r="F650" s="2205" t="e">
        <v>#N/A</v>
      </c>
      <c r="G650" s="2200" t="e">
        <v>#N/A</v>
      </c>
      <c r="H650" s="354" t="e">
        <v>#N/A</v>
      </c>
      <c r="I650" s="722" t="e">
        <v>#N/A</v>
      </c>
      <c r="J650" s="770" t="e">
        <v>#N/A</v>
      </c>
      <c r="K650" s="770" t="e">
        <v>#N/A</v>
      </c>
      <c r="L650" s="770" t="e">
        <v>#N/A</v>
      </c>
      <c r="M650" s="2213" t="e">
        <v>#N/A</v>
      </c>
      <c r="N650" s="2217" t="e">
        <v>#N/A</v>
      </c>
      <c r="O650" s="2213" t="e">
        <v>#N/A</v>
      </c>
      <c r="P650" s="1134" t="e">
        <v>#N/A</v>
      </c>
    </row>
    <row r="651" spans="1:16">
      <c r="A651" s="2765">
        <v>2026.06</v>
      </c>
      <c r="B651" s="2195" t="e">
        <v>#N/A</v>
      </c>
      <c r="C651" s="2205" t="e">
        <v>#N/A</v>
      </c>
      <c r="D651" s="2200" t="e">
        <v>#N/A</v>
      </c>
      <c r="E651" s="2207" t="e">
        <v>#N/A</v>
      </c>
      <c r="F651" s="2205" t="e">
        <v>#N/A</v>
      </c>
      <c r="G651" s="2200" t="e">
        <v>#N/A</v>
      </c>
      <c r="H651" s="354" t="e">
        <v>#N/A</v>
      </c>
      <c r="I651" s="722" t="e">
        <v>#N/A</v>
      </c>
      <c r="J651" s="770" t="e">
        <v>#N/A</v>
      </c>
      <c r="K651" s="770" t="e">
        <v>#N/A</v>
      </c>
      <c r="L651" s="770" t="e">
        <v>#N/A</v>
      </c>
      <c r="M651" s="2213" t="e">
        <v>#N/A</v>
      </c>
      <c r="N651" s="2217" t="e">
        <v>#N/A</v>
      </c>
      <c r="O651" s="2213" t="e">
        <v>#N/A</v>
      </c>
      <c r="P651" s="1134" t="e">
        <v>#N/A</v>
      </c>
    </row>
    <row r="652" spans="1:16">
      <c r="A652" s="2765">
        <v>2026.07</v>
      </c>
      <c r="B652" s="2195" t="e">
        <v>#N/A</v>
      </c>
      <c r="C652" s="2205" t="e">
        <v>#N/A</v>
      </c>
      <c r="D652" s="2200" t="e">
        <v>#N/A</v>
      </c>
      <c r="E652" s="2207" t="e">
        <v>#N/A</v>
      </c>
      <c r="F652" s="2205" t="e">
        <v>#N/A</v>
      </c>
      <c r="G652" s="2200" t="e">
        <v>#N/A</v>
      </c>
      <c r="H652" s="354" t="e">
        <v>#N/A</v>
      </c>
      <c r="I652" s="722" t="e">
        <v>#N/A</v>
      </c>
      <c r="J652" s="770" t="e">
        <v>#N/A</v>
      </c>
      <c r="K652" s="770" t="e">
        <v>#N/A</v>
      </c>
      <c r="L652" s="770" t="e">
        <v>#N/A</v>
      </c>
      <c r="M652" s="2213" t="e">
        <v>#N/A</v>
      </c>
      <c r="N652" s="2217" t="e">
        <v>#N/A</v>
      </c>
      <c r="O652" s="2213" t="e">
        <v>#N/A</v>
      </c>
      <c r="P652" s="1134" t="e">
        <v>#N/A</v>
      </c>
    </row>
    <row r="653" spans="1:16">
      <c r="A653" s="2765">
        <v>2026.08</v>
      </c>
      <c r="B653" s="2195" t="e">
        <v>#N/A</v>
      </c>
      <c r="C653" s="2205" t="e">
        <v>#N/A</v>
      </c>
      <c r="D653" s="2200" t="e">
        <v>#N/A</v>
      </c>
      <c r="E653" s="2207" t="e">
        <v>#N/A</v>
      </c>
      <c r="F653" s="2205" t="e">
        <v>#N/A</v>
      </c>
      <c r="G653" s="2200" t="e">
        <v>#N/A</v>
      </c>
      <c r="H653" s="354" t="e">
        <v>#N/A</v>
      </c>
      <c r="I653" s="722" t="e">
        <v>#N/A</v>
      </c>
      <c r="J653" s="770" t="e">
        <v>#N/A</v>
      </c>
      <c r="K653" s="770" t="e">
        <v>#N/A</v>
      </c>
      <c r="L653" s="770" t="e">
        <v>#N/A</v>
      </c>
      <c r="M653" s="2213" t="e">
        <v>#N/A</v>
      </c>
      <c r="N653" s="2217" t="e">
        <v>#N/A</v>
      </c>
      <c r="O653" s="2213" t="e">
        <v>#N/A</v>
      </c>
      <c r="P653" s="1134" t="e">
        <v>#N/A</v>
      </c>
    </row>
    <row r="654" spans="1:16">
      <c r="A654" s="2765">
        <v>2026.09</v>
      </c>
      <c r="B654" s="2195" t="e">
        <v>#N/A</v>
      </c>
      <c r="C654" s="2205" t="e">
        <v>#N/A</v>
      </c>
      <c r="D654" s="2200" t="e">
        <v>#N/A</v>
      </c>
      <c r="E654" s="2207" t="e">
        <v>#N/A</v>
      </c>
      <c r="F654" s="2205" t="e">
        <v>#N/A</v>
      </c>
      <c r="G654" s="2200" t="e">
        <v>#N/A</v>
      </c>
      <c r="H654" s="354" t="e">
        <v>#N/A</v>
      </c>
      <c r="I654" s="722" t="e">
        <v>#N/A</v>
      </c>
      <c r="J654" s="770" t="e">
        <v>#N/A</v>
      </c>
      <c r="K654" s="770" t="e">
        <v>#N/A</v>
      </c>
      <c r="L654" s="770" t="e">
        <v>#N/A</v>
      </c>
      <c r="M654" s="2213" t="e">
        <v>#N/A</v>
      </c>
      <c r="N654" s="2217" t="e">
        <v>#N/A</v>
      </c>
      <c r="O654" s="2213" t="e">
        <v>#N/A</v>
      </c>
      <c r="P654" s="1134" t="e">
        <v>#N/A</v>
      </c>
    </row>
    <row r="655" spans="1:16">
      <c r="A655" s="2765">
        <v>2026.1</v>
      </c>
      <c r="B655" s="2195" t="e">
        <v>#N/A</v>
      </c>
      <c r="C655" s="2205" t="e">
        <v>#N/A</v>
      </c>
      <c r="D655" s="2200" t="e">
        <v>#N/A</v>
      </c>
      <c r="E655" s="2207" t="e">
        <v>#N/A</v>
      </c>
      <c r="F655" s="2205" t="e">
        <v>#N/A</v>
      </c>
      <c r="G655" s="2200" t="e">
        <v>#N/A</v>
      </c>
      <c r="H655" s="354" t="e">
        <v>#N/A</v>
      </c>
      <c r="I655" s="722" t="e">
        <v>#N/A</v>
      </c>
      <c r="J655" s="770" t="e">
        <v>#N/A</v>
      </c>
      <c r="K655" s="770" t="e">
        <v>#N/A</v>
      </c>
      <c r="L655" s="770" t="e">
        <v>#N/A</v>
      </c>
      <c r="M655" s="2213" t="e">
        <v>#N/A</v>
      </c>
      <c r="N655" s="2217" t="e">
        <v>#N/A</v>
      </c>
      <c r="O655" s="2213" t="e">
        <v>#N/A</v>
      </c>
      <c r="P655" s="1134" t="e">
        <v>#N/A</v>
      </c>
    </row>
    <row r="656" spans="1:16">
      <c r="A656" s="2765">
        <v>2026.11</v>
      </c>
      <c r="B656" s="2195" t="e">
        <v>#N/A</v>
      </c>
      <c r="C656" s="2205" t="e">
        <v>#N/A</v>
      </c>
      <c r="D656" s="2200" t="e">
        <v>#N/A</v>
      </c>
      <c r="E656" s="2207" t="e">
        <v>#N/A</v>
      </c>
      <c r="F656" s="2205" t="e">
        <v>#N/A</v>
      </c>
      <c r="G656" s="2200" t="e">
        <v>#N/A</v>
      </c>
      <c r="H656" s="354" t="e">
        <v>#N/A</v>
      </c>
      <c r="I656" s="722" t="e">
        <v>#N/A</v>
      </c>
      <c r="J656" s="770" t="e">
        <v>#N/A</v>
      </c>
      <c r="K656" s="770" t="e">
        <v>#N/A</v>
      </c>
      <c r="L656" s="770" t="e">
        <v>#N/A</v>
      </c>
      <c r="M656" s="2213" t="e">
        <v>#N/A</v>
      </c>
      <c r="N656" s="2217" t="e">
        <v>#N/A</v>
      </c>
      <c r="O656" s="2213" t="e">
        <v>#N/A</v>
      </c>
      <c r="P656" s="1134" t="e">
        <v>#N/A</v>
      </c>
    </row>
    <row r="657" spans="1:16">
      <c r="A657" s="2765">
        <v>2026.12</v>
      </c>
      <c r="B657" s="2195" t="e">
        <v>#N/A</v>
      </c>
      <c r="C657" s="2205" t="e">
        <v>#N/A</v>
      </c>
      <c r="D657" s="2200" t="e">
        <v>#N/A</v>
      </c>
      <c r="E657" s="2207" t="e">
        <v>#N/A</v>
      </c>
      <c r="F657" s="2205" t="e">
        <v>#N/A</v>
      </c>
      <c r="G657" s="2200" t="e">
        <v>#N/A</v>
      </c>
      <c r="H657" s="354" t="e">
        <v>#N/A</v>
      </c>
      <c r="I657" s="722" t="e">
        <v>#N/A</v>
      </c>
      <c r="J657" s="770" t="e">
        <v>#N/A</v>
      </c>
      <c r="K657" s="770" t="e">
        <v>#N/A</v>
      </c>
      <c r="L657" s="770" t="e">
        <v>#N/A</v>
      </c>
      <c r="M657" s="2213" t="e">
        <v>#N/A</v>
      </c>
      <c r="N657" s="2217" t="e">
        <v>#N/A</v>
      </c>
      <c r="O657" s="2213" t="e">
        <v>#N/A</v>
      </c>
      <c r="P657" s="1134" t="e">
        <v>#N/A</v>
      </c>
    </row>
    <row r="658" spans="1:16">
      <c r="A658" s="2765">
        <v>2027.01</v>
      </c>
      <c r="B658" s="2195" t="e">
        <v>#N/A</v>
      </c>
      <c r="C658" s="2205" t="e">
        <v>#N/A</v>
      </c>
      <c r="D658" s="2200" t="e">
        <v>#N/A</v>
      </c>
      <c r="E658" s="2207" t="e">
        <v>#N/A</v>
      </c>
      <c r="F658" s="2205" t="e">
        <v>#N/A</v>
      </c>
      <c r="G658" s="2200" t="e">
        <v>#N/A</v>
      </c>
      <c r="H658" s="354" t="e">
        <v>#N/A</v>
      </c>
      <c r="I658" s="722" t="e">
        <v>#N/A</v>
      </c>
      <c r="J658" s="770" t="e">
        <v>#N/A</v>
      </c>
      <c r="K658" s="770" t="e">
        <v>#N/A</v>
      </c>
      <c r="L658" s="770" t="e">
        <v>#N/A</v>
      </c>
      <c r="M658" s="2213" t="e">
        <v>#N/A</v>
      </c>
      <c r="N658" s="2217" t="e">
        <v>#N/A</v>
      </c>
      <c r="O658" s="2213" t="e">
        <v>#N/A</v>
      </c>
      <c r="P658" s="1134" t="e">
        <v>#N/A</v>
      </c>
    </row>
    <row r="659" spans="1:16">
      <c r="A659" s="2765">
        <v>2027.02</v>
      </c>
      <c r="B659" s="2195" t="e">
        <v>#N/A</v>
      </c>
      <c r="C659" s="2205" t="e">
        <v>#N/A</v>
      </c>
      <c r="D659" s="2200" t="e">
        <v>#N/A</v>
      </c>
      <c r="E659" s="2207" t="e">
        <v>#N/A</v>
      </c>
      <c r="F659" s="2205" t="e">
        <v>#N/A</v>
      </c>
      <c r="G659" s="2200" t="e">
        <v>#N/A</v>
      </c>
      <c r="H659" s="354" t="e">
        <v>#N/A</v>
      </c>
      <c r="I659" s="722" t="e">
        <v>#N/A</v>
      </c>
      <c r="J659" s="770" t="e">
        <v>#N/A</v>
      </c>
      <c r="K659" s="770" t="e">
        <v>#N/A</v>
      </c>
      <c r="L659" s="770" t="e">
        <v>#N/A</v>
      </c>
      <c r="M659" s="2213" t="e">
        <v>#N/A</v>
      </c>
      <c r="N659" s="2217" t="e">
        <v>#N/A</v>
      </c>
      <c r="O659" s="2213" t="e">
        <v>#N/A</v>
      </c>
      <c r="P659" s="1134" t="e">
        <v>#N/A</v>
      </c>
    </row>
    <row r="660" spans="1:16">
      <c r="A660" s="2765">
        <v>2027.03</v>
      </c>
      <c r="B660" s="2195" t="e">
        <v>#N/A</v>
      </c>
      <c r="C660" s="2205" t="e">
        <v>#N/A</v>
      </c>
      <c r="D660" s="2200" t="e">
        <v>#N/A</v>
      </c>
      <c r="E660" s="2207" t="e">
        <v>#N/A</v>
      </c>
      <c r="F660" s="2205" t="e">
        <v>#N/A</v>
      </c>
      <c r="G660" s="2200" t="e">
        <v>#N/A</v>
      </c>
      <c r="H660" s="354" t="e">
        <v>#N/A</v>
      </c>
      <c r="I660" s="722" t="e">
        <v>#N/A</v>
      </c>
      <c r="J660" s="770" t="e">
        <v>#N/A</v>
      </c>
      <c r="K660" s="770" t="e">
        <v>#N/A</v>
      </c>
      <c r="L660" s="770" t="e">
        <v>#N/A</v>
      </c>
      <c r="M660" s="2213" t="e">
        <v>#N/A</v>
      </c>
      <c r="N660" s="2217" t="e">
        <v>#N/A</v>
      </c>
      <c r="O660" s="2213" t="e">
        <v>#N/A</v>
      </c>
      <c r="P660" s="1134" t="e">
        <v>#N/A</v>
      </c>
    </row>
    <row r="661" spans="1:16">
      <c r="A661" s="2765">
        <v>2027.04</v>
      </c>
      <c r="B661" s="2195" t="e">
        <v>#N/A</v>
      </c>
      <c r="C661" s="2205" t="e">
        <v>#N/A</v>
      </c>
      <c r="D661" s="2200" t="e">
        <v>#N/A</v>
      </c>
      <c r="E661" s="2207" t="e">
        <v>#N/A</v>
      </c>
      <c r="F661" s="2205" t="e">
        <v>#N/A</v>
      </c>
      <c r="G661" s="2200" t="e">
        <v>#N/A</v>
      </c>
      <c r="H661" s="354" t="e">
        <v>#N/A</v>
      </c>
      <c r="I661" s="722" t="e">
        <v>#N/A</v>
      </c>
      <c r="J661" s="770" t="e">
        <v>#N/A</v>
      </c>
      <c r="K661" s="770" t="e">
        <v>#N/A</v>
      </c>
      <c r="L661" s="770" t="e">
        <v>#N/A</v>
      </c>
      <c r="M661" s="2213" t="e">
        <v>#N/A</v>
      </c>
      <c r="N661" s="2217" t="e">
        <v>#N/A</v>
      </c>
      <c r="O661" s="2213" t="e">
        <v>#N/A</v>
      </c>
      <c r="P661" s="1134" t="e">
        <v>#N/A</v>
      </c>
    </row>
    <row r="662" spans="1:16">
      <c r="A662" s="2765">
        <v>2027.05</v>
      </c>
      <c r="B662" s="2195" t="e">
        <v>#N/A</v>
      </c>
      <c r="C662" s="2205" t="e">
        <v>#N/A</v>
      </c>
      <c r="D662" s="2200" t="e">
        <v>#N/A</v>
      </c>
      <c r="E662" s="2207" t="e">
        <v>#N/A</v>
      </c>
      <c r="F662" s="2205" t="e">
        <v>#N/A</v>
      </c>
      <c r="G662" s="2200" t="e">
        <v>#N/A</v>
      </c>
      <c r="H662" s="354" t="e">
        <v>#N/A</v>
      </c>
      <c r="I662" s="722" t="e">
        <v>#N/A</v>
      </c>
      <c r="J662" s="770" t="e">
        <v>#N/A</v>
      </c>
      <c r="K662" s="770" t="e">
        <v>#N/A</v>
      </c>
      <c r="L662" s="770" t="e">
        <v>#N/A</v>
      </c>
      <c r="M662" s="2213" t="e">
        <v>#N/A</v>
      </c>
      <c r="N662" s="2217" t="e">
        <v>#N/A</v>
      </c>
      <c r="O662" s="2213" t="e">
        <v>#N/A</v>
      </c>
      <c r="P662" s="1134" t="e">
        <v>#N/A</v>
      </c>
    </row>
    <row r="663" spans="1:16">
      <c r="A663" s="2765">
        <v>2027.06</v>
      </c>
      <c r="B663" s="2195" t="e">
        <v>#N/A</v>
      </c>
      <c r="C663" s="2205" t="e">
        <v>#N/A</v>
      </c>
      <c r="D663" s="2200" t="e">
        <v>#N/A</v>
      </c>
      <c r="E663" s="2207" t="e">
        <v>#N/A</v>
      </c>
      <c r="F663" s="2205" t="e">
        <v>#N/A</v>
      </c>
      <c r="G663" s="2200" t="e">
        <v>#N/A</v>
      </c>
      <c r="H663" s="354" t="e">
        <v>#N/A</v>
      </c>
      <c r="I663" s="722" t="e">
        <v>#N/A</v>
      </c>
      <c r="J663" s="770" t="e">
        <v>#N/A</v>
      </c>
      <c r="K663" s="770" t="e">
        <v>#N/A</v>
      </c>
      <c r="L663" s="770" t="e">
        <v>#N/A</v>
      </c>
      <c r="M663" s="2213" t="e">
        <v>#N/A</v>
      </c>
      <c r="N663" s="2217" t="e">
        <v>#N/A</v>
      </c>
      <c r="O663" s="2213" t="e">
        <v>#N/A</v>
      </c>
      <c r="P663" s="1134" t="e">
        <v>#N/A</v>
      </c>
    </row>
    <row r="664" spans="1:16">
      <c r="A664" s="2765">
        <v>2027.07</v>
      </c>
      <c r="B664" s="2195" t="e">
        <v>#N/A</v>
      </c>
      <c r="C664" s="2205" t="e">
        <v>#N/A</v>
      </c>
      <c r="D664" s="2200" t="e">
        <v>#N/A</v>
      </c>
      <c r="E664" s="2207" t="e">
        <v>#N/A</v>
      </c>
      <c r="F664" s="2205" t="e">
        <v>#N/A</v>
      </c>
      <c r="G664" s="2200" t="e">
        <v>#N/A</v>
      </c>
      <c r="H664" s="354" t="e">
        <v>#N/A</v>
      </c>
      <c r="I664" s="722" t="e">
        <v>#N/A</v>
      </c>
      <c r="J664" s="770" t="e">
        <v>#N/A</v>
      </c>
      <c r="K664" s="770" t="e">
        <v>#N/A</v>
      </c>
      <c r="L664" s="770" t="e">
        <v>#N/A</v>
      </c>
      <c r="M664" s="2213" t="e">
        <v>#N/A</v>
      </c>
      <c r="N664" s="2217" t="e">
        <v>#N/A</v>
      </c>
      <c r="O664" s="2213" t="e">
        <v>#N/A</v>
      </c>
      <c r="P664" s="1134" t="e">
        <v>#N/A</v>
      </c>
    </row>
    <row r="665" spans="1:16">
      <c r="A665" s="2765">
        <v>2027.08</v>
      </c>
      <c r="B665" s="2195" t="e">
        <v>#N/A</v>
      </c>
      <c r="C665" s="2205" t="e">
        <v>#N/A</v>
      </c>
      <c r="D665" s="2200" t="e">
        <v>#N/A</v>
      </c>
      <c r="E665" s="2207" t="e">
        <v>#N/A</v>
      </c>
      <c r="F665" s="2205" t="e">
        <v>#N/A</v>
      </c>
      <c r="G665" s="2200" t="e">
        <v>#N/A</v>
      </c>
      <c r="H665" s="354" t="e">
        <v>#N/A</v>
      </c>
      <c r="I665" s="722" t="e">
        <v>#N/A</v>
      </c>
      <c r="J665" s="770" t="e">
        <v>#N/A</v>
      </c>
      <c r="K665" s="770" t="e">
        <v>#N/A</v>
      </c>
      <c r="L665" s="770" t="e">
        <v>#N/A</v>
      </c>
      <c r="M665" s="2213" t="e">
        <v>#N/A</v>
      </c>
      <c r="N665" s="2217" t="e">
        <v>#N/A</v>
      </c>
      <c r="O665" s="2213" t="e">
        <v>#N/A</v>
      </c>
      <c r="P665" s="1134" t="e">
        <v>#N/A</v>
      </c>
    </row>
    <row r="666" spans="1:16">
      <c r="A666" s="2765">
        <v>2027.09</v>
      </c>
      <c r="B666" s="2195" t="e">
        <v>#N/A</v>
      </c>
      <c r="C666" s="2205" t="e">
        <v>#N/A</v>
      </c>
      <c r="D666" s="2200" t="e">
        <v>#N/A</v>
      </c>
      <c r="E666" s="2207" t="e">
        <v>#N/A</v>
      </c>
      <c r="F666" s="2205" t="e">
        <v>#N/A</v>
      </c>
      <c r="G666" s="2200" t="e">
        <v>#N/A</v>
      </c>
      <c r="H666" s="354" t="e">
        <v>#N/A</v>
      </c>
      <c r="I666" s="722" t="e">
        <v>#N/A</v>
      </c>
      <c r="J666" s="770" t="e">
        <v>#N/A</v>
      </c>
      <c r="K666" s="770" t="e">
        <v>#N/A</v>
      </c>
      <c r="L666" s="770" t="e">
        <v>#N/A</v>
      </c>
      <c r="M666" s="2213" t="e">
        <v>#N/A</v>
      </c>
      <c r="N666" s="2217" t="e">
        <v>#N/A</v>
      </c>
      <c r="O666" s="2213" t="e">
        <v>#N/A</v>
      </c>
      <c r="P666" s="1134" t="e">
        <v>#N/A</v>
      </c>
    </row>
    <row r="667" spans="1:16">
      <c r="A667" s="2765">
        <v>2027.1</v>
      </c>
      <c r="B667" s="2195" t="e">
        <v>#N/A</v>
      </c>
      <c r="C667" s="2205" t="e">
        <v>#N/A</v>
      </c>
      <c r="D667" s="2200" t="e">
        <v>#N/A</v>
      </c>
      <c r="E667" s="2207" t="e">
        <v>#N/A</v>
      </c>
      <c r="F667" s="2205" t="e">
        <v>#N/A</v>
      </c>
      <c r="G667" s="2200" t="e">
        <v>#N/A</v>
      </c>
      <c r="H667" s="354" t="e">
        <v>#N/A</v>
      </c>
      <c r="I667" s="722" t="e">
        <v>#N/A</v>
      </c>
      <c r="J667" s="770" t="e">
        <v>#N/A</v>
      </c>
      <c r="K667" s="770" t="e">
        <v>#N/A</v>
      </c>
      <c r="L667" s="770" t="e">
        <v>#N/A</v>
      </c>
      <c r="M667" s="2213" t="e">
        <v>#N/A</v>
      </c>
      <c r="N667" s="2217" t="e">
        <v>#N/A</v>
      </c>
      <c r="O667" s="2213" t="e">
        <v>#N/A</v>
      </c>
      <c r="P667" s="1134" t="e">
        <v>#N/A</v>
      </c>
    </row>
    <row r="668" spans="1:16">
      <c r="A668" s="2765">
        <v>2027.11</v>
      </c>
      <c r="B668" s="2195" t="e">
        <v>#N/A</v>
      </c>
      <c r="C668" s="2205" t="e">
        <v>#N/A</v>
      </c>
      <c r="D668" s="2200" t="e">
        <v>#N/A</v>
      </c>
      <c r="E668" s="2207" t="e">
        <v>#N/A</v>
      </c>
      <c r="F668" s="2205" t="e">
        <v>#N/A</v>
      </c>
      <c r="G668" s="2200" t="e">
        <v>#N/A</v>
      </c>
      <c r="H668" s="354" t="e">
        <v>#N/A</v>
      </c>
      <c r="I668" s="722" t="e">
        <v>#N/A</v>
      </c>
      <c r="J668" s="770" t="e">
        <v>#N/A</v>
      </c>
      <c r="K668" s="770" t="e">
        <v>#N/A</v>
      </c>
      <c r="L668" s="770" t="e">
        <v>#N/A</v>
      </c>
      <c r="M668" s="2213" t="e">
        <v>#N/A</v>
      </c>
      <c r="N668" s="2217" t="e">
        <v>#N/A</v>
      </c>
      <c r="O668" s="2213" t="e">
        <v>#N/A</v>
      </c>
      <c r="P668" s="1134" t="e">
        <v>#N/A</v>
      </c>
    </row>
    <row r="669" spans="1:16">
      <c r="A669" s="2765">
        <v>2027.12</v>
      </c>
      <c r="B669" s="2195" t="e">
        <v>#N/A</v>
      </c>
      <c r="C669" s="2205" t="e">
        <v>#N/A</v>
      </c>
      <c r="D669" s="2200" t="e">
        <v>#N/A</v>
      </c>
      <c r="E669" s="2207" t="e">
        <v>#N/A</v>
      </c>
      <c r="F669" s="2205" t="e">
        <v>#N/A</v>
      </c>
      <c r="G669" s="2200" t="e">
        <v>#N/A</v>
      </c>
      <c r="H669" s="354" t="e">
        <v>#N/A</v>
      </c>
      <c r="I669" s="722" t="e">
        <v>#N/A</v>
      </c>
      <c r="J669" s="770" t="e">
        <v>#N/A</v>
      </c>
      <c r="K669" s="770" t="e">
        <v>#N/A</v>
      </c>
      <c r="L669" s="770" t="e">
        <v>#N/A</v>
      </c>
      <c r="M669" s="2213" t="e">
        <v>#N/A</v>
      </c>
      <c r="N669" s="2217" t="e">
        <v>#N/A</v>
      </c>
      <c r="O669" s="2213" t="e">
        <v>#N/A</v>
      </c>
      <c r="P669" s="1134" t="e">
        <v>#N/A</v>
      </c>
    </row>
    <row r="670" spans="1:16">
      <c r="A670" s="2765">
        <v>2028.01</v>
      </c>
      <c r="B670" s="2195" t="e">
        <v>#N/A</v>
      </c>
      <c r="C670" s="2205" t="e">
        <v>#N/A</v>
      </c>
      <c r="D670" s="2200" t="e">
        <v>#N/A</v>
      </c>
      <c r="E670" s="2207" t="e">
        <v>#N/A</v>
      </c>
      <c r="F670" s="2205" t="e">
        <v>#N/A</v>
      </c>
      <c r="G670" s="2200" t="e">
        <v>#N/A</v>
      </c>
      <c r="H670" s="354" t="e">
        <v>#N/A</v>
      </c>
      <c r="I670" s="722" t="e">
        <v>#N/A</v>
      </c>
      <c r="J670" s="770" t="e">
        <v>#N/A</v>
      </c>
      <c r="K670" s="770" t="e">
        <v>#N/A</v>
      </c>
      <c r="L670" s="770" t="e">
        <v>#N/A</v>
      </c>
      <c r="M670" s="2213" t="e">
        <v>#N/A</v>
      </c>
      <c r="N670" s="2217" t="e">
        <v>#N/A</v>
      </c>
      <c r="O670" s="2213" t="e">
        <v>#N/A</v>
      </c>
      <c r="P670" s="1134" t="e">
        <v>#N/A</v>
      </c>
    </row>
    <row r="671" spans="1:16">
      <c r="A671" s="2765">
        <v>2028.02</v>
      </c>
      <c r="B671" s="2195" t="e">
        <v>#N/A</v>
      </c>
      <c r="C671" s="2205" t="e">
        <v>#N/A</v>
      </c>
      <c r="D671" s="2200" t="e">
        <v>#N/A</v>
      </c>
      <c r="E671" s="2207" t="e">
        <v>#N/A</v>
      </c>
      <c r="F671" s="2205" t="e">
        <v>#N/A</v>
      </c>
      <c r="G671" s="2200" t="e">
        <v>#N/A</v>
      </c>
      <c r="H671" s="354" t="e">
        <v>#N/A</v>
      </c>
      <c r="I671" s="722" t="e">
        <v>#N/A</v>
      </c>
      <c r="J671" s="770" t="e">
        <v>#N/A</v>
      </c>
      <c r="K671" s="770" t="e">
        <v>#N/A</v>
      </c>
      <c r="L671" s="770" t="e">
        <v>#N/A</v>
      </c>
      <c r="M671" s="2213" t="e">
        <v>#N/A</v>
      </c>
      <c r="N671" s="2217" t="e">
        <v>#N/A</v>
      </c>
      <c r="O671" s="2213" t="e">
        <v>#N/A</v>
      </c>
      <c r="P671" s="1134" t="e">
        <v>#N/A</v>
      </c>
    </row>
    <row r="672" spans="1:16">
      <c r="A672" s="2765">
        <v>2028.03</v>
      </c>
      <c r="B672" s="2195" t="e">
        <v>#N/A</v>
      </c>
      <c r="C672" s="2205" t="e">
        <v>#N/A</v>
      </c>
      <c r="D672" s="2200" t="e">
        <v>#N/A</v>
      </c>
      <c r="E672" s="2207" t="e">
        <v>#N/A</v>
      </c>
      <c r="F672" s="2205" t="e">
        <v>#N/A</v>
      </c>
      <c r="G672" s="2200" t="e">
        <v>#N/A</v>
      </c>
      <c r="H672" s="354" t="e">
        <v>#N/A</v>
      </c>
      <c r="I672" s="722" t="e">
        <v>#N/A</v>
      </c>
      <c r="J672" s="770" t="e">
        <v>#N/A</v>
      </c>
      <c r="K672" s="770" t="e">
        <v>#N/A</v>
      </c>
      <c r="L672" s="770" t="e">
        <v>#N/A</v>
      </c>
      <c r="M672" s="2213" t="e">
        <v>#N/A</v>
      </c>
      <c r="N672" s="2217" t="e">
        <v>#N/A</v>
      </c>
      <c r="O672" s="2213" t="e">
        <v>#N/A</v>
      </c>
      <c r="P672" s="1134" t="e">
        <v>#N/A</v>
      </c>
    </row>
    <row r="673" spans="1:16">
      <c r="A673" s="2765">
        <v>2028.04</v>
      </c>
      <c r="B673" s="2195" t="e">
        <v>#N/A</v>
      </c>
      <c r="C673" s="2205" t="e">
        <v>#N/A</v>
      </c>
      <c r="D673" s="2200" t="e">
        <v>#N/A</v>
      </c>
      <c r="E673" s="2207" t="e">
        <v>#N/A</v>
      </c>
      <c r="F673" s="2205" t="e">
        <v>#N/A</v>
      </c>
      <c r="G673" s="2200" t="e">
        <v>#N/A</v>
      </c>
      <c r="H673" s="354" t="e">
        <v>#N/A</v>
      </c>
      <c r="I673" s="722" t="e">
        <v>#N/A</v>
      </c>
      <c r="J673" s="770" t="e">
        <v>#N/A</v>
      </c>
      <c r="K673" s="770" t="e">
        <v>#N/A</v>
      </c>
      <c r="L673" s="770" t="e">
        <v>#N/A</v>
      </c>
      <c r="M673" s="2213" t="e">
        <v>#N/A</v>
      </c>
      <c r="N673" s="2217" t="e">
        <v>#N/A</v>
      </c>
      <c r="O673" s="2213" t="e">
        <v>#N/A</v>
      </c>
      <c r="P673" s="1134" t="e">
        <v>#N/A</v>
      </c>
    </row>
    <row r="674" spans="1:16">
      <c r="A674" s="2765">
        <v>2028.05</v>
      </c>
      <c r="B674" s="2195" t="e">
        <v>#N/A</v>
      </c>
      <c r="C674" s="2205" t="e">
        <v>#N/A</v>
      </c>
      <c r="D674" s="2200" t="e">
        <v>#N/A</v>
      </c>
      <c r="E674" s="2207" t="e">
        <v>#N/A</v>
      </c>
      <c r="F674" s="2205" t="e">
        <v>#N/A</v>
      </c>
      <c r="G674" s="2200" t="e">
        <v>#N/A</v>
      </c>
      <c r="H674" s="354" t="e">
        <v>#N/A</v>
      </c>
      <c r="I674" s="722" t="e">
        <v>#N/A</v>
      </c>
      <c r="J674" s="770" t="e">
        <v>#N/A</v>
      </c>
      <c r="K674" s="770" t="e">
        <v>#N/A</v>
      </c>
      <c r="L674" s="770" t="e">
        <v>#N/A</v>
      </c>
      <c r="M674" s="2213" t="e">
        <v>#N/A</v>
      </c>
      <c r="N674" s="2217" t="e">
        <v>#N/A</v>
      </c>
      <c r="O674" s="2213" t="e">
        <v>#N/A</v>
      </c>
      <c r="P674" s="1134" t="e">
        <v>#N/A</v>
      </c>
    </row>
    <row r="675" spans="1:16">
      <c r="A675" s="2765">
        <v>2028.06</v>
      </c>
      <c r="B675" s="2195" t="e">
        <v>#N/A</v>
      </c>
      <c r="C675" s="2205" t="e">
        <v>#N/A</v>
      </c>
      <c r="D675" s="2200" t="e">
        <v>#N/A</v>
      </c>
      <c r="E675" s="2207" t="e">
        <v>#N/A</v>
      </c>
      <c r="F675" s="2205" t="e">
        <v>#N/A</v>
      </c>
      <c r="G675" s="2200" t="e">
        <v>#N/A</v>
      </c>
      <c r="H675" s="354" t="e">
        <v>#N/A</v>
      </c>
      <c r="I675" s="722" t="e">
        <v>#N/A</v>
      </c>
      <c r="J675" s="770" t="e">
        <v>#N/A</v>
      </c>
      <c r="K675" s="770" t="e">
        <v>#N/A</v>
      </c>
      <c r="L675" s="770" t="e">
        <v>#N/A</v>
      </c>
      <c r="M675" s="2213" t="e">
        <v>#N/A</v>
      </c>
      <c r="N675" s="2217" t="e">
        <v>#N/A</v>
      </c>
      <c r="O675" s="2213" t="e">
        <v>#N/A</v>
      </c>
      <c r="P675" s="1134" t="e">
        <v>#N/A</v>
      </c>
    </row>
    <row r="676" spans="1:16">
      <c r="A676" s="2765">
        <v>2028.07</v>
      </c>
      <c r="B676" s="2195" t="e">
        <v>#N/A</v>
      </c>
      <c r="C676" s="2205" t="e">
        <v>#N/A</v>
      </c>
      <c r="D676" s="2200" t="e">
        <v>#N/A</v>
      </c>
      <c r="E676" s="2207" t="e">
        <v>#N/A</v>
      </c>
      <c r="F676" s="2205" t="e">
        <v>#N/A</v>
      </c>
      <c r="G676" s="2200" t="e">
        <v>#N/A</v>
      </c>
      <c r="H676" s="354" t="e">
        <v>#N/A</v>
      </c>
      <c r="I676" s="722" t="e">
        <v>#N/A</v>
      </c>
      <c r="J676" s="770" t="e">
        <v>#N/A</v>
      </c>
      <c r="K676" s="770" t="e">
        <v>#N/A</v>
      </c>
      <c r="L676" s="770" t="e">
        <v>#N/A</v>
      </c>
      <c r="M676" s="2213" t="e">
        <v>#N/A</v>
      </c>
      <c r="N676" s="2217" t="e">
        <v>#N/A</v>
      </c>
      <c r="O676" s="2213" t="e">
        <v>#N/A</v>
      </c>
      <c r="P676" s="1134" t="e">
        <v>#N/A</v>
      </c>
    </row>
    <row r="677" spans="1:16">
      <c r="A677" s="2765">
        <v>2028.08</v>
      </c>
      <c r="B677" s="2195" t="e">
        <v>#N/A</v>
      </c>
      <c r="C677" s="2205" t="e">
        <v>#N/A</v>
      </c>
      <c r="D677" s="2200" t="e">
        <v>#N/A</v>
      </c>
      <c r="E677" s="2207" t="e">
        <v>#N/A</v>
      </c>
      <c r="F677" s="2205" t="e">
        <v>#N/A</v>
      </c>
      <c r="G677" s="2200" t="e">
        <v>#N/A</v>
      </c>
      <c r="H677" s="354" t="e">
        <v>#N/A</v>
      </c>
      <c r="I677" s="722" t="e">
        <v>#N/A</v>
      </c>
      <c r="J677" s="770" t="e">
        <v>#N/A</v>
      </c>
      <c r="K677" s="770" t="e">
        <v>#N/A</v>
      </c>
      <c r="L677" s="770" t="e">
        <v>#N/A</v>
      </c>
      <c r="M677" s="2213" t="e">
        <v>#N/A</v>
      </c>
      <c r="N677" s="2217" t="e">
        <v>#N/A</v>
      </c>
      <c r="O677" s="2213" t="e">
        <v>#N/A</v>
      </c>
      <c r="P677" s="1134" t="e">
        <v>#N/A</v>
      </c>
    </row>
    <row r="678" spans="1:16">
      <c r="A678" s="2765">
        <v>2028.09</v>
      </c>
      <c r="B678" s="2195" t="e">
        <v>#N/A</v>
      </c>
      <c r="C678" s="2205" t="e">
        <v>#N/A</v>
      </c>
      <c r="D678" s="2200" t="e">
        <v>#N/A</v>
      </c>
      <c r="E678" s="2207" t="e">
        <v>#N/A</v>
      </c>
      <c r="F678" s="2205" t="e">
        <v>#N/A</v>
      </c>
      <c r="G678" s="2200" t="e">
        <v>#N/A</v>
      </c>
      <c r="H678" s="354" t="e">
        <v>#N/A</v>
      </c>
      <c r="I678" s="722" t="e">
        <v>#N/A</v>
      </c>
      <c r="J678" s="770" t="e">
        <v>#N/A</v>
      </c>
      <c r="K678" s="770" t="e">
        <v>#N/A</v>
      </c>
      <c r="L678" s="770" t="e">
        <v>#N/A</v>
      </c>
      <c r="M678" s="2213" t="e">
        <v>#N/A</v>
      </c>
      <c r="N678" s="2217" t="e">
        <v>#N/A</v>
      </c>
      <c r="O678" s="2213" t="e">
        <v>#N/A</v>
      </c>
      <c r="P678" s="1134" t="e">
        <v>#N/A</v>
      </c>
    </row>
    <row r="679" spans="1:16">
      <c r="A679" s="2765">
        <v>2028.1</v>
      </c>
      <c r="B679" s="2195" t="e">
        <v>#N/A</v>
      </c>
      <c r="C679" s="2205" t="e">
        <v>#N/A</v>
      </c>
      <c r="D679" s="2200" t="e">
        <v>#N/A</v>
      </c>
      <c r="E679" s="2207" t="e">
        <v>#N/A</v>
      </c>
      <c r="F679" s="2205" t="e">
        <v>#N/A</v>
      </c>
      <c r="G679" s="2200" t="e">
        <v>#N/A</v>
      </c>
      <c r="H679" s="354" t="e">
        <v>#N/A</v>
      </c>
      <c r="I679" s="722" t="e">
        <v>#N/A</v>
      </c>
      <c r="J679" s="770" t="e">
        <v>#N/A</v>
      </c>
      <c r="K679" s="770" t="e">
        <v>#N/A</v>
      </c>
      <c r="L679" s="770" t="e">
        <v>#N/A</v>
      </c>
      <c r="M679" s="2213" t="e">
        <v>#N/A</v>
      </c>
      <c r="N679" s="2217" t="e">
        <v>#N/A</v>
      </c>
      <c r="O679" s="2213" t="e">
        <v>#N/A</v>
      </c>
      <c r="P679" s="1134" t="e">
        <v>#N/A</v>
      </c>
    </row>
    <row r="680" spans="1:16">
      <c r="A680" s="2765">
        <v>2028.11</v>
      </c>
      <c r="B680" s="2195" t="e">
        <v>#N/A</v>
      </c>
      <c r="C680" s="2205" t="e">
        <v>#N/A</v>
      </c>
      <c r="D680" s="2200" t="e">
        <v>#N/A</v>
      </c>
      <c r="E680" s="2207" t="e">
        <v>#N/A</v>
      </c>
      <c r="F680" s="2205" t="e">
        <v>#N/A</v>
      </c>
      <c r="G680" s="2200" t="e">
        <v>#N/A</v>
      </c>
      <c r="H680" s="354" t="e">
        <v>#N/A</v>
      </c>
      <c r="I680" s="722" t="e">
        <v>#N/A</v>
      </c>
      <c r="J680" s="770" t="e">
        <v>#N/A</v>
      </c>
      <c r="K680" s="770" t="e">
        <v>#N/A</v>
      </c>
      <c r="L680" s="770" t="e">
        <v>#N/A</v>
      </c>
      <c r="M680" s="2213" t="e">
        <v>#N/A</v>
      </c>
      <c r="N680" s="2217" t="e">
        <v>#N/A</v>
      </c>
      <c r="O680" s="2213" t="e">
        <v>#N/A</v>
      </c>
      <c r="P680" s="1134" t="e">
        <v>#N/A</v>
      </c>
    </row>
    <row r="681" spans="1:16">
      <c r="A681" s="2765">
        <v>2028.12</v>
      </c>
      <c r="B681" s="2195" t="e">
        <v>#N/A</v>
      </c>
      <c r="C681" s="2205" t="e">
        <v>#N/A</v>
      </c>
      <c r="D681" s="2200" t="e">
        <v>#N/A</v>
      </c>
      <c r="E681" s="2207" t="e">
        <v>#N/A</v>
      </c>
      <c r="F681" s="2205" t="e">
        <v>#N/A</v>
      </c>
      <c r="G681" s="2200" t="e">
        <v>#N/A</v>
      </c>
      <c r="H681" s="354" t="e">
        <v>#N/A</v>
      </c>
      <c r="I681" s="722" t="e">
        <v>#N/A</v>
      </c>
      <c r="J681" s="770" t="e">
        <v>#N/A</v>
      </c>
      <c r="K681" s="770" t="e">
        <v>#N/A</v>
      </c>
      <c r="L681" s="770" t="e">
        <v>#N/A</v>
      </c>
      <c r="M681" s="2213" t="e">
        <v>#N/A</v>
      </c>
      <c r="N681" s="2217" t="e">
        <v>#N/A</v>
      </c>
      <c r="O681" s="2213" t="e">
        <v>#N/A</v>
      </c>
      <c r="P681" s="1134" t="e">
        <v>#N/A</v>
      </c>
    </row>
    <row r="682" spans="1:16">
      <c r="A682" s="2765">
        <v>2029.01</v>
      </c>
      <c r="B682" s="2195" t="e">
        <v>#N/A</v>
      </c>
      <c r="C682" s="2205" t="e">
        <v>#N/A</v>
      </c>
      <c r="D682" s="2200" t="e">
        <v>#N/A</v>
      </c>
      <c r="E682" s="2207" t="e">
        <v>#N/A</v>
      </c>
      <c r="F682" s="2205" t="e">
        <v>#N/A</v>
      </c>
      <c r="G682" s="2200" t="e">
        <v>#N/A</v>
      </c>
      <c r="H682" s="354" t="e">
        <v>#N/A</v>
      </c>
      <c r="I682" s="722" t="e">
        <v>#N/A</v>
      </c>
      <c r="J682" s="770" t="e">
        <v>#N/A</v>
      </c>
      <c r="K682" s="770" t="e">
        <v>#N/A</v>
      </c>
      <c r="L682" s="770" t="e">
        <v>#N/A</v>
      </c>
      <c r="M682" s="2213" t="e">
        <v>#N/A</v>
      </c>
      <c r="N682" s="2217" t="e">
        <v>#N/A</v>
      </c>
      <c r="O682" s="2213" t="e">
        <v>#N/A</v>
      </c>
      <c r="P682" s="1134" t="e">
        <v>#N/A</v>
      </c>
    </row>
    <row r="683" spans="1:16">
      <c r="A683" s="2765">
        <v>2029.02</v>
      </c>
      <c r="B683" s="2195" t="e">
        <v>#N/A</v>
      </c>
      <c r="C683" s="2205" t="e">
        <v>#N/A</v>
      </c>
      <c r="D683" s="2200" t="e">
        <v>#N/A</v>
      </c>
      <c r="E683" s="2207" t="e">
        <v>#N/A</v>
      </c>
      <c r="F683" s="2205" t="e">
        <v>#N/A</v>
      </c>
      <c r="G683" s="2200" t="e">
        <v>#N/A</v>
      </c>
      <c r="H683" s="354" t="e">
        <v>#N/A</v>
      </c>
      <c r="I683" s="722" t="e">
        <v>#N/A</v>
      </c>
      <c r="J683" s="770" t="e">
        <v>#N/A</v>
      </c>
      <c r="K683" s="770" t="e">
        <v>#N/A</v>
      </c>
      <c r="L683" s="770" t="e">
        <v>#N/A</v>
      </c>
      <c r="M683" s="2213" t="e">
        <v>#N/A</v>
      </c>
      <c r="N683" s="2217" t="e">
        <v>#N/A</v>
      </c>
      <c r="O683" s="2213" t="e">
        <v>#N/A</v>
      </c>
      <c r="P683" s="1134" t="e">
        <v>#N/A</v>
      </c>
    </row>
    <row r="684" spans="1:16">
      <c r="A684" s="2765">
        <v>2029.03</v>
      </c>
      <c r="B684" s="2195" t="e">
        <v>#N/A</v>
      </c>
      <c r="C684" s="2205" t="e">
        <v>#N/A</v>
      </c>
      <c r="D684" s="2200" t="e">
        <v>#N/A</v>
      </c>
      <c r="E684" s="2207" t="e">
        <v>#N/A</v>
      </c>
      <c r="F684" s="2205" t="e">
        <v>#N/A</v>
      </c>
      <c r="G684" s="2200" t="e">
        <v>#N/A</v>
      </c>
      <c r="H684" s="354" t="e">
        <v>#N/A</v>
      </c>
      <c r="I684" s="722" t="e">
        <v>#N/A</v>
      </c>
      <c r="J684" s="770" t="e">
        <v>#N/A</v>
      </c>
      <c r="K684" s="770" t="e">
        <v>#N/A</v>
      </c>
      <c r="L684" s="770" t="e">
        <v>#N/A</v>
      </c>
      <c r="M684" s="2213" t="e">
        <v>#N/A</v>
      </c>
      <c r="N684" s="2217" t="e">
        <v>#N/A</v>
      </c>
      <c r="O684" s="2213" t="e">
        <v>#N/A</v>
      </c>
      <c r="P684" s="1134" t="e">
        <v>#N/A</v>
      </c>
    </row>
    <row r="685" spans="1:16">
      <c r="A685" s="2765">
        <v>2029.04</v>
      </c>
      <c r="B685" s="2195" t="e">
        <v>#N/A</v>
      </c>
      <c r="C685" s="2205" t="e">
        <v>#N/A</v>
      </c>
      <c r="D685" s="2200" t="e">
        <v>#N/A</v>
      </c>
      <c r="E685" s="2207" t="e">
        <v>#N/A</v>
      </c>
      <c r="F685" s="2205" t="e">
        <v>#N/A</v>
      </c>
      <c r="G685" s="2200" t="e">
        <v>#N/A</v>
      </c>
      <c r="H685" s="354" t="e">
        <v>#N/A</v>
      </c>
      <c r="I685" s="722" t="e">
        <v>#N/A</v>
      </c>
      <c r="J685" s="770" t="e">
        <v>#N/A</v>
      </c>
      <c r="K685" s="770" t="e">
        <v>#N/A</v>
      </c>
      <c r="L685" s="770" t="e">
        <v>#N/A</v>
      </c>
      <c r="M685" s="2213" t="e">
        <v>#N/A</v>
      </c>
      <c r="N685" s="2217" t="e">
        <v>#N/A</v>
      </c>
      <c r="O685" s="2213" t="e">
        <v>#N/A</v>
      </c>
      <c r="P685" s="1134" t="e">
        <v>#N/A</v>
      </c>
    </row>
    <row r="686" spans="1:16">
      <c r="A686" s="2765">
        <v>2029.05</v>
      </c>
      <c r="B686" s="2195" t="e">
        <v>#N/A</v>
      </c>
      <c r="C686" s="2205" t="e">
        <v>#N/A</v>
      </c>
      <c r="D686" s="2200" t="e">
        <v>#N/A</v>
      </c>
      <c r="E686" s="2207" t="e">
        <v>#N/A</v>
      </c>
      <c r="F686" s="2205" t="e">
        <v>#N/A</v>
      </c>
      <c r="G686" s="2200" t="e">
        <v>#N/A</v>
      </c>
      <c r="H686" s="354" t="e">
        <v>#N/A</v>
      </c>
      <c r="I686" s="722" t="e">
        <v>#N/A</v>
      </c>
      <c r="J686" s="770" t="e">
        <v>#N/A</v>
      </c>
      <c r="K686" s="770" t="e">
        <v>#N/A</v>
      </c>
      <c r="L686" s="770" t="e">
        <v>#N/A</v>
      </c>
      <c r="M686" s="2213" t="e">
        <v>#N/A</v>
      </c>
      <c r="N686" s="2217" t="e">
        <v>#N/A</v>
      </c>
      <c r="O686" s="2213" t="e">
        <v>#N/A</v>
      </c>
      <c r="P686" s="1134" t="e">
        <v>#N/A</v>
      </c>
    </row>
    <row r="687" spans="1:16">
      <c r="A687" s="2765">
        <v>2029.06</v>
      </c>
      <c r="B687" s="2195" t="e">
        <v>#N/A</v>
      </c>
      <c r="C687" s="2205" t="e">
        <v>#N/A</v>
      </c>
      <c r="D687" s="2200" t="e">
        <v>#N/A</v>
      </c>
      <c r="E687" s="2207" t="e">
        <v>#N/A</v>
      </c>
      <c r="F687" s="2205" t="e">
        <v>#N/A</v>
      </c>
      <c r="G687" s="2200" t="e">
        <v>#N/A</v>
      </c>
      <c r="H687" s="354" t="e">
        <v>#N/A</v>
      </c>
      <c r="I687" s="722" t="e">
        <v>#N/A</v>
      </c>
      <c r="J687" s="770" t="e">
        <v>#N/A</v>
      </c>
      <c r="K687" s="770" t="e">
        <v>#N/A</v>
      </c>
      <c r="L687" s="770" t="e">
        <v>#N/A</v>
      </c>
      <c r="M687" s="2213" t="e">
        <v>#N/A</v>
      </c>
      <c r="N687" s="2217" t="e">
        <v>#N/A</v>
      </c>
      <c r="O687" s="2213" t="e">
        <v>#N/A</v>
      </c>
      <c r="P687" s="1134" t="e">
        <v>#N/A</v>
      </c>
    </row>
    <row r="688" spans="1:16">
      <c r="A688" s="2765">
        <v>2029.07</v>
      </c>
      <c r="B688" s="2195" t="e">
        <v>#N/A</v>
      </c>
      <c r="C688" s="2205" t="e">
        <v>#N/A</v>
      </c>
      <c r="D688" s="2200" t="e">
        <v>#N/A</v>
      </c>
      <c r="E688" s="2207" t="e">
        <v>#N/A</v>
      </c>
      <c r="F688" s="2205" t="e">
        <v>#N/A</v>
      </c>
      <c r="G688" s="2200" t="e">
        <v>#N/A</v>
      </c>
      <c r="H688" s="354" t="e">
        <v>#N/A</v>
      </c>
      <c r="I688" s="722" t="e">
        <v>#N/A</v>
      </c>
      <c r="J688" s="770" t="e">
        <v>#N/A</v>
      </c>
      <c r="K688" s="770" t="e">
        <v>#N/A</v>
      </c>
      <c r="L688" s="770" t="e">
        <v>#N/A</v>
      </c>
      <c r="M688" s="2213" t="e">
        <v>#N/A</v>
      </c>
      <c r="N688" s="2217" t="e">
        <v>#N/A</v>
      </c>
      <c r="O688" s="2213" t="e">
        <v>#N/A</v>
      </c>
      <c r="P688" s="1134" t="e">
        <v>#N/A</v>
      </c>
    </row>
    <row r="689" spans="1:16">
      <c r="A689" s="2765">
        <v>2029.08</v>
      </c>
      <c r="B689" s="2195" t="e">
        <v>#N/A</v>
      </c>
      <c r="C689" s="2205" t="e">
        <v>#N/A</v>
      </c>
      <c r="D689" s="2200" t="e">
        <v>#N/A</v>
      </c>
      <c r="E689" s="2207" t="e">
        <v>#N/A</v>
      </c>
      <c r="F689" s="2205" t="e">
        <v>#N/A</v>
      </c>
      <c r="G689" s="2200" t="e">
        <v>#N/A</v>
      </c>
      <c r="H689" s="354" t="e">
        <v>#N/A</v>
      </c>
      <c r="I689" s="722" t="e">
        <v>#N/A</v>
      </c>
      <c r="J689" s="770" t="e">
        <v>#N/A</v>
      </c>
      <c r="K689" s="770" t="e">
        <v>#N/A</v>
      </c>
      <c r="L689" s="770" t="e">
        <v>#N/A</v>
      </c>
      <c r="M689" s="2213" t="e">
        <v>#N/A</v>
      </c>
      <c r="N689" s="2217" t="e">
        <v>#N/A</v>
      </c>
      <c r="O689" s="2213" t="e">
        <v>#N/A</v>
      </c>
      <c r="P689" s="1134" t="e">
        <v>#N/A</v>
      </c>
    </row>
    <row r="690" spans="1:16">
      <c r="A690" s="2765">
        <v>2029.09</v>
      </c>
      <c r="B690" s="2195" t="e">
        <v>#N/A</v>
      </c>
      <c r="C690" s="2205" t="e">
        <v>#N/A</v>
      </c>
      <c r="D690" s="2200" t="e">
        <v>#N/A</v>
      </c>
      <c r="E690" s="2207" t="e">
        <v>#N/A</v>
      </c>
      <c r="F690" s="2205" t="e">
        <v>#N/A</v>
      </c>
      <c r="G690" s="2200" t="e">
        <v>#N/A</v>
      </c>
      <c r="H690" s="354" t="e">
        <v>#N/A</v>
      </c>
      <c r="I690" s="722" t="e">
        <v>#N/A</v>
      </c>
      <c r="J690" s="770" t="e">
        <v>#N/A</v>
      </c>
      <c r="K690" s="770" t="e">
        <v>#N/A</v>
      </c>
      <c r="L690" s="770" t="e">
        <v>#N/A</v>
      </c>
      <c r="M690" s="2213" t="e">
        <v>#N/A</v>
      </c>
      <c r="N690" s="2217" t="e">
        <v>#N/A</v>
      </c>
      <c r="O690" s="2213" t="e">
        <v>#N/A</v>
      </c>
      <c r="P690" s="1134" t="e">
        <v>#N/A</v>
      </c>
    </row>
    <row r="691" spans="1:16">
      <c r="A691" s="2765">
        <v>2029.1</v>
      </c>
      <c r="B691" s="2195" t="e">
        <v>#N/A</v>
      </c>
      <c r="C691" s="2205" t="e">
        <v>#N/A</v>
      </c>
      <c r="D691" s="2200" t="e">
        <v>#N/A</v>
      </c>
      <c r="E691" s="2207" t="e">
        <v>#N/A</v>
      </c>
      <c r="F691" s="2205" t="e">
        <v>#N/A</v>
      </c>
      <c r="G691" s="2200" t="e">
        <v>#N/A</v>
      </c>
      <c r="H691" s="354" t="e">
        <v>#N/A</v>
      </c>
      <c r="I691" s="722" t="e">
        <v>#N/A</v>
      </c>
      <c r="J691" s="770" t="e">
        <v>#N/A</v>
      </c>
      <c r="K691" s="770" t="e">
        <v>#N/A</v>
      </c>
      <c r="L691" s="770" t="e">
        <v>#N/A</v>
      </c>
      <c r="M691" s="2213" t="e">
        <v>#N/A</v>
      </c>
      <c r="N691" s="2217" t="e">
        <v>#N/A</v>
      </c>
      <c r="O691" s="2213" t="e">
        <v>#N/A</v>
      </c>
      <c r="P691" s="1134" t="e">
        <v>#N/A</v>
      </c>
    </row>
    <row r="692" spans="1:16">
      <c r="A692" s="2765">
        <v>2029.11</v>
      </c>
      <c r="B692" s="2195" t="e">
        <v>#N/A</v>
      </c>
      <c r="C692" s="2205" t="e">
        <v>#N/A</v>
      </c>
      <c r="D692" s="2200" t="e">
        <v>#N/A</v>
      </c>
      <c r="E692" s="2207" t="e">
        <v>#N/A</v>
      </c>
      <c r="F692" s="2205" t="e">
        <v>#N/A</v>
      </c>
      <c r="G692" s="2200" t="e">
        <v>#N/A</v>
      </c>
      <c r="H692" s="354" t="e">
        <v>#N/A</v>
      </c>
      <c r="I692" s="722" t="e">
        <v>#N/A</v>
      </c>
      <c r="J692" s="770" t="e">
        <v>#N/A</v>
      </c>
      <c r="K692" s="770" t="e">
        <v>#N/A</v>
      </c>
      <c r="L692" s="770" t="e">
        <v>#N/A</v>
      </c>
      <c r="M692" s="2213" t="e">
        <v>#N/A</v>
      </c>
      <c r="N692" s="2217" t="e">
        <v>#N/A</v>
      </c>
      <c r="O692" s="2213" t="e">
        <v>#N/A</v>
      </c>
      <c r="P692" s="1134" t="e">
        <v>#N/A</v>
      </c>
    </row>
    <row r="693" spans="1:16">
      <c r="A693" s="2765">
        <v>2029.12</v>
      </c>
      <c r="B693" s="2195" t="e">
        <v>#N/A</v>
      </c>
      <c r="C693" s="2205" t="e">
        <v>#N/A</v>
      </c>
      <c r="D693" s="2200" t="e">
        <v>#N/A</v>
      </c>
      <c r="E693" s="2207" t="e">
        <v>#N/A</v>
      </c>
      <c r="F693" s="2205" t="e">
        <v>#N/A</v>
      </c>
      <c r="G693" s="2200" t="e">
        <v>#N/A</v>
      </c>
      <c r="H693" s="354" t="e">
        <v>#N/A</v>
      </c>
      <c r="I693" s="722" t="e">
        <v>#N/A</v>
      </c>
      <c r="J693" s="770" t="e">
        <v>#N/A</v>
      </c>
      <c r="K693" s="770" t="e">
        <v>#N/A</v>
      </c>
      <c r="L693" s="770" t="e">
        <v>#N/A</v>
      </c>
      <c r="M693" s="2213" t="e">
        <v>#N/A</v>
      </c>
      <c r="N693" s="2217" t="e">
        <v>#N/A</v>
      </c>
      <c r="O693" s="2213" t="e">
        <v>#N/A</v>
      </c>
      <c r="P693" s="1134" t="e">
        <v>#N/A</v>
      </c>
    </row>
    <row r="694" spans="1:16">
      <c r="A694" s="2765">
        <v>2030.01</v>
      </c>
      <c r="B694" s="2195" t="e">
        <v>#N/A</v>
      </c>
      <c r="C694" s="2205" t="e">
        <v>#N/A</v>
      </c>
      <c r="D694" s="2200" t="e">
        <v>#N/A</v>
      </c>
      <c r="E694" s="2207" t="e">
        <v>#N/A</v>
      </c>
      <c r="F694" s="2205" t="e">
        <v>#N/A</v>
      </c>
      <c r="G694" s="2200" t="e">
        <v>#N/A</v>
      </c>
      <c r="H694" s="354" t="e">
        <v>#N/A</v>
      </c>
      <c r="I694" s="722" t="e">
        <v>#N/A</v>
      </c>
      <c r="J694" s="770" t="e">
        <v>#N/A</v>
      </c>
      <c r="K694" s="770" t="e">
        <v>#N/A</v>
      </c>
      <c r="L694" s="770" t="e">
        <v>#N/A</v>
      </c>
      <c r="M694" s="2213" t="e">
        <v>#N/A</v>
      </c>
      <c r="N694" s="2217" t="e">
        <v>#N/A</v>
      </c>
      <c r="O694" s="2213" t="e">
        <v>#N/A</v>
      </c>
      <c r="P694" s="1134" t="e">
        <v>#N/A</v>
      </c>
    </row>
    <row r="695" spans="1:16">
      <c r="A695" s="2765">
        <v>2030.02</v>
      </c>
      <c r="B695" s="2195" t="e">
        <v>#N/A</v>
      </c>
      <c r="C695" s="2205" t="e">
        <v>#N/A</v>
      </c>
      <c r="D695" s="2200" t="e">
        <v>#N/A</v>
      </c>
      <c r="E695" s="2207" t="e">
        <v>#N/A</v>
      </c>
      <c r="F695" s="2205" t="e">
        <v>#N/A</v>
      </c>
      <c r="G695" s="2200" t="e">
        <v>#N/A</v>
      </c>
      <c r="H695" s="354" t="e">
        <v>#N/A</v>
      </c>
      <c r="I695" s="722" t="e">
        <v>#N/A</v>
      </c>
      <c r="J695" s="770" t="e">
        <v>#N/A</v>
      </c>
      <c r="K695" s="770" t="e">
        <v>#N/A</v>
      </c>
      <c r="L695" s="770" t="e">
        <v>#N/A</v>
      </c>
      <c r="M695" s="2213" t="e">
        <v>#N/A</v>
      </c>
      <c r="N695" s="2217" t="e">
        <v>#N/A</v>
      </c>
      <c r="O695" s="2213" t="e">
        <v>#N/A</v>
      </c>
      <c r="P695" s="1134" t="e">
        <v>#N/A</v>
      </c>
    </row>
    <row r="696" spans="1:16">
      <c r="A696" s="2765">
        <v>2030.03</v>
      </c>
      <c r="B696" s="2195" t="e">
        <v>#N/A</v>
      </c>
      <c r="C696" s="2205" t="e">
        <v>#N/A</v>
      </c>
      <c r="D696" s="2200" t="e">
        <v>#N/A</v>
      </c>
      <c r="E696" s="2207" t="e">
        <v>#N/A</v>
      </c>
      <c r="F696" s="2205" t="e">
        <v>#N/A</v>
      </c>
      <c r="G696" s="2200" t="e">
        <v>#N/A</v>
      </c>
      <c r="H696" s="354" t="e">
        <v>#N/A</v>
      </c>
      <c r="I696" s="722" t="e">
        <v>#N/A</v>
      </c>
      <c r="J696" s="770" t="e">
        <v>#N/A</v>
      </c>
      <c r="K696" s="770" t="e">
        <v>#N/A</v>
      </c>
      <c r="L696" s="770" t="e">
        <v>#N/A</v>
      </c>
      <c r="M696" s="2213" t="e">
        <v>#N/A</v>
      </c>
      <c r="N696" s="2217" t="e">
        <v>#N/A</v>
      </c>
      <c r="O696" s="2213" t="e">
        <v>#N/A</v>
      </c>
      <c r="P696" s="1134" t="e">
        <v>#N/A</v>
      </c>
    </row>
    <row r="697" spans="1:16">
      <c r="A697" s="2765">
        <v>2030.04</v>
      </c>
      <c r="B697" s="2195" t="e">
        <v>#N/A</v>
      </c>
      <c r="C697" s="2205" t="e">
        <v>#N/A</v>
      </c>
      <c r="D697" s="2200" t="e">
        <v>#N/A</v>
      </c>
      <c r="E697" s="2207" t="e">
        <v>#N/A</v>
      </c>
      <c r="F697" s="2205" t="e">
        <v>#N/A</v>
      </c>
      <c r="G697" s="2200" t="e">
        <v>#N/A</v>
      </c>
      <c r="H697" s="354" t="e">
        <v>#N/A</v>
      </c>
      <c r="I697" s="722" t="e">
        <v>#N/A</v>
      </c>
      <c r="J697" s="770" t="e">
        <v>#N/A</v>
      </c>
      <c r="K697" s="770" t="e">
        <v>#N/A</v>
      </c>
      <c r="L697" s="770" t="e">
        <v>#N/A</v>
      </c>
      <c r="M697" s="2213" t="e">
        <v>#N/A</v>
      </c>
      <c r="N697" s="2217" t="e">
        <v>#N/A</v>
      </c>
      <c r="O697" s="2213" t="e">
        <v>#N/A</v>
      </c>
      <c r="P697" s="1134" t="e">
        <v>#N/A</v>
      </c>
    </row>
    <row r="698" spans="1:16">
      <c r="A698" s="2765">
        <v>2030.05</v>
      </c>
      <c r="B698" s="2195" t="e">
        <v>#N/A</v>
      </c>
      <c r="C698" s="2205" t="e">
        <v>#N/A</v>
      </c>
      <c r="D698" s="2200" t="e">
        <v>#N/A</v>
      </c>
      <c r="E698" s="2207" t="e">
        <v>#N/A</v>
      </c>
      <c r="F698" s="2205" t="e">
        <v>#N/A</v>
      </c>
      <c r="G698" s="2200" t="e">
        <v>#N/A</v>
      </c>
      <c r="H698" s="354" t="e">
        <v>#N/A</v>
      </c>
      <c r="I698" s="722" t="e">
        <v>#N/A</v>
      </c>
      <c r="J698" s="770" t="e">
        <v>#N/A</v>
      </c>
      <c r="K698" s="770" t="e">
        <v>#N/A</v>
      </c>
      <c r="L698" s="770" t="e">
        <v>#N/A</v>
      </c>
      <c r="M698" s="2213" t="e">
        <v>#N/A</v>
      </c>
      <c r="N698" s="2217" t="e">
        <v>#N/A</v>
      </c>
      <c r="O698" s="2213" t="e">
        <v>#N/A</v>
      </c>
      <c r="P698" s="1134" t="e">
        <v>#N/A</v>
      </c>
    </row>
    <row r="699" spans="1:16">
      <c r="A699" s="2765">
        <v>2030.06</v>
      </c>
      <c r="B699" s="2195" t="e">
        <v>#N/A</v>
      </c>
      <c r="C699" s="2205" t="e">
        <v>#N/A</v>
      </c>
      <c r="D699" s="2200" t="e">
        <v>#N/A</v>
      </c>
      <c r="E699" s="2207" t="e">
        <v>#N/A</v>
      </c>
      <c r="F699" s="2205" t="e">
        <v>#N/A</v>
      </c>
      <c r="G699" s="2200" t="e">
        <v>#N/A</v>
      </c>
      <c r="H699" s="354" t="e">
        <v>#N/A</v>
      </c>
      <c r="I699" s="722" t="e">
        <v>#N/A</v>
      </c>
      <c r="J699" s="770" t="e">
        <v>#N/A</v>
      </c>
      <c r="K699" s="770" t="e">
        <v>#N/A</v>
      </c>
      <c r="L699" s="770" t="e">
        <v>#N/A</v>
      </c>
      <c r="M699" s="2213" t="e">
        <v>#N/A</v>
      </c>
      <c r="N699" s="2217" t="e">
        <v>#N/A</v>
      </c>
      <c r="O699" s="2213" t="e">
        <v>#N/A</v>
      </c>
      <c r="P699" s="1134" t="e">
        <v>#N/A</v>
      </c>
    </row>
    <row r="700" spans="1:16">
      <c r="A700" s="2765">
        <v>2030.07</v>
      </c>
      <c r="B700" s="2195" t="e">
        <v>#N/A</v>
      </c>
      <c r="C700" s="2205" t="e">
        <v>#N/A</v>
      </c>
      <c r="D700" s="2200" t="e">
        <v>#N/A</v>
      </c>
      <c r="E700" s="2207" t="e">
        <v>#N/A</v>
      </c>
      <c r="F700" s="2205" t="e">
        <v>#N/A</v>
      </c>
      <c r="G700" s="2200" t="e">
        <v>#N/A</v>
      </c>
      <c r="H700" s="354" t="e">
        <v>#N/A</v>
      </c>
      <c r="I700" s="722" t="e">
        <v>#N/A</v>
      </c>
      <c r="J700" s="770" t="e">
        <v>#N/A</v>
      </c>
      <c r="K700" s="770" t="e">
        <v>#N/A</v>
      </c>
      <c r="L700" s="770" t="e">
        <v>#N/A</v>
      </c>
      <c r="M700" s="2213" t="e">
        <v>#N/A</v>
      </c>
      <c r="N700" s="2217" t="e">
        <v>#N/A</v>
      </c>
      <c r="O700" s="2213" t="e">
        <v>#N/A</v>
      </c>
      <c r="P700" s="1134" t="e">
        <v>#N/A</v>
      </c>
    </row>
    <row r="701" spans="1:16">
      <c r="A701" s="2765">
        <v>2030.08</v>
      </c>
      <c r="B701" s="2195" t="e">
        <v>#N/A</v>
      </c>
      <c r="C701" s="2205" t="e">
        <v>#N/A</v>
      </c>
      <c r="D701" s="2200" t="e">
        <v>#N/A</v>
      </c>
      <c r="E701" s="2207" t="e">
        <v>#N/A</v>
      </c>
      <c r="F701" s="2205" t="e">
        <v>#N/A</v>
      </c>
      <c r="G701" s="2200" t="e">
        <v>#N/A</v>
      </c>
      <c r="H701" s="354" t="e">
        <v>#N/A</v>
      </c>
      <c r="I701" s="722" t="e">
        <v>#N/A</v>
      </c>
      <c r="J701" s="770" t="e">
        <v>#N/A</v>
      </c>
      <c r="K701" s="770" t="e">
        <v>#N/A</v>
      </c>
      <c r="L701" s="770" t="e">
        <v>#N/A</v>
      </c>
      <c r="M701" s="2213" t="e">
        <v>#N/A</v>
      </c>
      <c r="N701" s="2217" t="e">
        <v>#N/A</v>
      </c>
      <c r="O701" s="2213" t="e">
        <v>#N/A</v>
      </c>
      <c r="P701" s="1134" t="e">
        <v>#N/A</v>
      </c>
    </row>
    <row r="702" spans="1:16">
      <c r="A702" s="2765">
        <v>2030.09</v>
      </c>
      <c r="B702" s="2195" t="e">
        <v>#N/A</v>
      </c>
      <c r="C702" s="2205" t="e">
        <v>#N/A</v>
      </c>
      <c r="D702" s="2200" t="e">
        <v>#N/A</v>
      </c>
      <c r="E702" s="2207" t="e">
        <v>#N/A</v>
      </c>
      <c r="F702" s="2205" t="e">
        <v>#N/A</v>
      </c>
      <c r="G702" s="2200" t="e">
        <v>#N/A</v>
      </c>
      <c r="H702" s="354" t="e">
        <v>#N/A</v>
      </c>
      <c r="I702" s="722" t="e">
        <v>#N/A</v>
      </c>
      <c r="J702" s="770" t="e">
        <v>#N/A</v>
      </c>
      <c r="K702" s="770" t="e">
        <v>#N/A</v>
      </c>
      <c r="L702" s="770" t="e">
        <v>#N/A</v>
      </c>
      <c r="M702" s="2213" t="e">
        <v>#N/A</v>
      </c>
      <c r="N702" s="2217" t="e">
        <v>#N/A</v>
      </c>
      <c r="O702" s="2213" t="e">
        <v>#N/A</v>
      </c>
      <c r="P702" s="1134" t="e">
        <v>#N/A</v>
      </c>
    </row>
    <row r="703" spans="1:16">
      <c r="A703" s="2765">
        <v>2030.1</v>
      </c>
      <c r="B703" s="2195" t="e">
        <v>#N/A</v>
      </c>
      <c r="C703" s="2205" t="e">
        <v>#N/A</v>
      </c>
      <c r="D703" s="2200" t="e">
        <v>#N/A</v>
      </c>
      <c r="E703" s="2207" t="e">
        <v>#N/A</v>
      </c>
      <c r="F703" s="2205" t="e">
        <v>#N/A</v>
      </c>
      <c r="G703" s="2200" t="e">
        <v>#N/A</v>
      </c>
      <c r="H703" s="354" t="e">
        <v>#N/A</v>
      </c>
      <c r="I703" s="722" t="e">
        <v>#N/A</v>
      </c>
      <c r="J703" s="770" t="e">
        <v>#N/A</v>
      </c>
      <c r="K703" s="770" t="e">
        <v>#N/A</v>
      </c>
      <c r="L703" s="770" t="e">
        <v>#N/A</v>
      </c>
      <c r="M703" s="2213" t="e">
        <v>#N/A</v>
      </c>
      <c r="N703" s="2217" t="e">
        <v>#N/A</v>
      </c>
      <c r="O703" s="2213" t="e">
        <v>#N/A</v>
      </c>
      <c r="P703" s="1134" t="e">
        <v>#N/A</v>
      </c>
    </row>
    <row r="704" spans="1:16">
      <c r="A704" s="2765">
        <v>2030.11</v>
      </c>
      <c r="B704" s="2195" t="e">
        <v>#N/A</v>
      </c>
      <c r="C704" s="2205" t="e">
        <v>#N/A</v>
      </c>
      <c r="D704" s="2200" t="e">
        <v>#N/A</v>
      </c>
      <c r="E704" s="2207" t="e">
        <v>#N/A</v>
      </c>
      <c r="F704" s="2205" t="e">
        <v>#N/A</v>
      </c>
      <c r="G704" s="2200" t="e">
        <v>#N/A</v>
      </c>
      <c r="H704" s="354" t="e">
        <v>#N/A</v>
      </c>
      <c r="I704" s="722" t="e">
        <v>#N/A</v>
      </c>
      <c r="J704" s="770" t="e">
        <v>#N/A</v>
      </c>
      <c r="K704" s="770" t="e">
        <v>#N/A</v>
      </c>
      <c r="L704" s="770" t="e">
        <v>#N/A</v>
      </c>
      <c r="M704" s="2213" t="e">
        <v>#N/A</v>
      </c>
      <c r="N704" s="2217" t="e">
        <v>#N/A</v>
      </c>
      <c r="O704" s="2213" t="e">
        <v>#N/A</v>
      </c>
      <c r="P704" s="1134" t="e">
        <v>#N/A</v>
      </c>
    </row>
    <row r="705" spans="1:16">
      <c r="A705" s="2765">
        <v>2030.12</v>
      </c>
      <c r="B705" s="2195" t="e">
        <v>#N/A</v>
      </c>
      <c r="C705" s="2205" t="e">
        <v>#N/A</v>
      </c>
      <c r="D705" s="2200" t="e">
        <v>#N/A</v>
      </c>
      <c r="E705" s="2207" t="e">
        <v>#N/A</v>
      </c>
      <c r="F705" s="2205" t="e">
        <v>#N/A</v>
      </c>
      <c r="G705" s="2200" t="e">
        <v>#N/A</v>
      </c>
      <c r="H705" s="354" t="e">
        <v>#N/A</v>
      </c>
      <c r="I705" s="722" t="e">
        <v>#N/A</v>
      </c>
      <c r="J705" s="770" t="e">
        <v>#N/A</v>
      </c>
      <c r="K705" s="770" t="e">
        <v>#N/A</v>
      </c>
      <c r="L705" s="770" t="e">
        <v>#N/A</v>
      </c>
      <c r="M705" s="2213" t="e">
        <v>#N/A</v>
      </c>
      <c r="N705" s="2217" t="e">
        <v>#N/A</v>
      </c>
      <c r="O705" s="2213" t="e">
        <v>#N/A</v>
      </c>
      <c r="P705" s="1134" t="e">
        <v>#N/A</v>
      </c>
    </row>
  </sheetData>
  <dataConsolidate link="1"/>
  <mergeCells count="2">
    <mergeCell ref="O3:P3"/>
    <mergeCell ref="M5:N5"/>
  </mergeCells>
  <phoneticPr fontId="64" type="noConversion"/>
  <hyperlinks>
    <hyperlink ref="A1:A3" location="Indice!A1" display="ÍNDICE" xr:uid="{00000000-0004-0000-3A00-000000000000}"/>
    <hyperlink ref="A5" location="INDICE!A13" display="VOLVER AL INDICE" xr:uid="{00000000-0004-0000-3A00-000001000000}"/>
  </hyperlinks>
  <printOptions gridLines="1" gridLinesSet="0"/>
  <pageMargins left="0.75" right="0.75" top="0.26"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autoPageBreaks="0" fitToPage="1"/>
  </sheetPr>
  <dimension ref="A1:B465"/>
  <sheetViews>
    <sheetView zoomScale="115" zoomScaleNormal="115" workbookViewId="0">
      <pane xSplit="1" ySplit="9" topLeftCell="B374"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5703125" style="19" customWidth="1"/>
    <col min="2" max="2" width="25" style="289" customWidth="1"/>
    <col min="3" max="16384" width="11.42578125" style="1"/>
  </cols>
  <sheetData>
    <row r="1" spans="1:2" s="8" customFormat="1" ht="3" customHeight="1">
      <c r="A1" s="37"/>
      <c r="B1" s="285"/>
    </row>
    <row r="2" spans="1:2" s="8" customFormat="1" ht="41.25" customHeight="1">
      <c r="A2" s="121" t="s">
        <v>212</v>
      </c>
      <c r="B2" s="286" t="s">
        <v>321</v>
      </c>
    </row>
    <row r="3" spans="1:2" s="8" customFormat="1" ht="22.5">
      <c r="A3" s="195" t="s">
        <v>211</v>
      </c>
      <c r="B3" s="286" t="s">
        <v>313</v>
      </c>
    </row>
    <row r="4" spans="1:2" s="8" customFormat="1" ht="3" customHeight="1">
      <c r="A4" s="37"/>
      <c r="B4" s="285"/>
    </row>
    <row r="5" spans="1:2" s="8" customFormat="1" ht="22.5">
      <c r="A5" s="45" t="s">
        <v>213</v>
      </c>
      <c r="B5" s="290"/>
    </row>
    <row r="6" spans="1:2" s="8" customFormat="1" ht="3" customHeight="1">
      <c r="A6" s="37"/>
      <c r="B6" s="285"/>
    </row>
    <row r="7" spans="1:2" s="8" customFormat="1" ht="22.5">
      <c r="A7" s="47" t="s">
        <v>210</v>
      </c>
      <c r="B7" s="290" t="s">
        <v>955</v>
      </c>
    </row>
    <row r="8" spans="1:2" s="8" customFormat="1">
      <c r="A8" s="390" t="s">
        <v>412</v>
      </c>
      <c r="B8" s="391" t="s">
        <v>416</v>
      </c>
    </row>
    <row r="9" spans="1:2" s="9" customFormat="1" ht="13.5" thickBot="1">
      <c r="A9" s="152"/>
      <c r="B9" s="331"/>
    </row>
    <row r="10" spans="1:2" s="9" customFormat="1">
      <c r="A10" s="49">
        <v>1993.01</v>
      </c>
      <c r="B10" s="542">
        <v>68.345343656302845</v>
      </c>
    </row>
    <row r="11" spans="1:2" s="9" customFormat="1">
      <c r="A11" s="49">
        <v>1993.02</v>
      </c>
      <c r="B11" s="543">
        <v>69.180613679817398</v>
      </c>
    </row>
    <row r="12" spans="1:2" s="9" customFormat="1">
      <c r="A12" s="49">
        <v>1993.03</v>
      </c>
      <c r="B12" s="543">
        <v>69.899925922622387</v>
      </c>
    </row>
    <row r="13" spans="1:2" s="9" customFormat="1">
      <c r="A13" s="49">
        <v>1993.04</v>
      </c>
      <c r="B13" s="543">
        <v>70.476986945786038</v>
      </c>
    </row>
    <row r="14" spans="1:2" s="9" customFormat="1">
      <c r="A14" s="49">
        <v>1993.05</v>
      </c>
      <c r="B14" s="543">
        <v>69.134512547313406</v>
      </c>
    </row>
    <row r="15" spans="1:2" s="9" customFormat="1">
      <c r="A15" s="49">
        <v>1993.06</v>
      </c>
      <c r="B15" s="543">
        <v>71.360065821886764</v>
      </c>
    </row>
    <row r="16" spans="1:2" s="9" customFormat="1">
      <c r="A16" s="49">
        <v>1993.07</v>
      </c>
      <c r="B16" s="543">
        <v>72.864102831727209</v>
      </c>
    </row>
    <row r="17" spans="1:2" s="9" customFormat="1">
      <c r="A17" s="49">
        <v>1993.08</v>
      </c>
      <c r="B17" s="543">
        <v>74.155187552784355</v>
      </c>
    </row>
    <row r="18" spans="1:2" s="9" customFormat="1">
      <c r="A18" s="49">
        <v>1993.09</v>
      </c>
      <c r="B18" s="543">
        <v>74.306235543680472</v>
      </c>
    </row>
    <row r="19" spans="1:2" s="9" customFormat="1">
      <c r="A19" s="49">
        <v>1993.1</v>
      </c>
      <c r="B19" s="543">
        <v>75.582797131624943</v>
      </c>
    </row>
    <row r="20" spans="1:2" s="9" customFormat="1">
      <c r="A20" s="49">
        <v>1993.11</v>
      </c>
      <c r="B20" s="543">
        <v>75.72355275925139</v>
      </c>
    </row>
    <row r="21" spans="1:2" s="9" customFormat="1">
      <c r="A21" s="49">
        <v>1993.12</v>
      </c>
      <c r="B21" s="543">
        <v>77.768932989086196</v>
      </c>
    </row>
    <row r="22" spans="1:2">
      <c r="A22" s="49">
        <v>1994.01</v>
      </c>
      <c r="B22" s="543">
        <v>79.769639554011718</v>
      </c>
    </row>
    <row r="23" spans="1:2">
      <c r="A23" s="49">
        <v>1994.02</v>
      </c>
      <c r="B23" s="543">
        <v>82.130033488513689</v>
      </c>
    </row>
    <row r="24" spans="1:2">
      <c r="A24" s="49">
        <v>1994.03</v>
      </c>
      <c r="B24" s="543">
        <v>80.221062195604418</v>
      </c>
    </row>
    <row r="25" spans="1:2">
      <c r="A25" s="49">
        <v>1994.04</v>
      </c>
      <c r="B25" s="543">
        <v>80.215485509641752</v>
      </c>
    </row>
    <row r="26" spans="1:2">
      <c r="A26" s="49">
        <v>1994.05</v>
      </c>
      <c r="B26" s="543">
        <v>80.771932805544935</v>
      </c>
    </row>
    <row r="27" spans="1:2">
      <c r="A27" s="49">
        <v>1994.06</v>
      </c>
      <c r="B27" s="543">
        <v>79.977673319783406</v>
      </c>
    </row>
    <row r="28" spans="1:2">
      <c r="A28" s="49">
        <v>1994.07</v>
      </c>
      <c r="B28" s="543">
        <v>79.735240724568527</v>
      </c>
    </row>
    <row r="29" spans="1:2">
      <c r="A29" s="49">
        <v>1994.08</v>
      </c>
      <c r="B29" s="543">
        <v>79.918955109064214</v>
      </c>
    </row>
    <row r="30" spans="1:2">
      <c r="A30" s="49">
        <v>1994.09</v>
      </c>
      <c r="B30" s="543">
        <v>80.497846739961432</v>
      </c>
    </row>
    <row r="31" spans="1:2">
      <c r="A31" s="49">
        <v>1994.1</v>
      </c>
      <c r="B31" s="543">
        <v>79.449050087582293</v>
      </c>
    </row>
    <row r="32" spans="1:2">
      <c r="A32" s="49">
        <v>1994.11</v>
      </c>
      <c r="B32" s="543">
        <v>78.5881223950921</v>
      </c>
    </row>
    <row r="33" spans="1:2">
      <c r="A33" s="49">
        <v>1994.12</v>
      </c>
      <c r="B33" s="543">
        <v>78.254570321914315</v>
      </c>
    </row>
    <row r="34" spans="1:2">
      <c r="A34" s="49">
        <v>1995.01</v>
      </c>
      <c r="B34" s="543">
        <v>76.670639133121313</v>
      </c>
    </row>
    <row r="35" spans="1:2">
      <c r="A35" s="49">
        <v>1995.02</v>
      </c>
      <c r="B35" s="543">
        <v>74.633537840927943</v>
      </c>
    </row>
    <row r="36" spans="1:2">
      <c r="A36" s="49">
        <v>1995.03</v>
      </c>
      <c r="B36" s="543">
        <v>74.790663548855505</v>
      </c>
    </row>
    <row r="37" spans="1:2">
      <c r="A37" s="49">
        <v>1995.04</v>
      </c>
      <c r="B37" s="543">
        <v>73.626109039787124</v>
      </c>
    </row>
    <row r="38" spans="1:2">
      <c r="A38" s="49">
        <v>1995.05</v>
      </c>
      <c r="B38" s="543">
        <v>73.798516591029639</v>
      </c>
    </row>
    <row r="39" spans="1:2">
      <c r="A39" s="49">
        <v>1995.06</v>
      </c>
      <c r="B39" s="543">
        <v>74.281816939401153</v>
      </c>
    </row>
    <row r="40" spans="1:2">
      <c r="A40" s="49">
        <v>1995.07</v>
      </c>
      <c r="B40" s="543">
        <v>76.060844676084059</v>
      </c>
    </row>
    <row r="41" spans="1:2">
      <c r="A41" s="49">
        <v>1995.08</v>
      </c>
      <c r="B41" s="543">
        <v>74.515518798810291</v>
      </c>
    </row>
    <row r="42" spans="1:2">
      <c r="A42" s="49">
        <v>1995.09</v>
      </c>
      <c r="B42" s="543">
        <v>74.633403008985638</v>
      </c>
    </row>
    <row r="43" spans="1:2">
      <c r="A43" s="49">
        <v>1995.1</v>
      </c>
      <c r="B43" s="543">
        <v>73.68092500493951</v>
      </c>
    </row>
    <row r="44" spans="1:2">
      <c r="A44" s="49">
        <v>1995.11</v>
      </c>
      <c r="B44" s="543">
        <v>75.427775753956226</v>
      </c>
    </row>
    <row r="45" spans="1:2">
      <c r="A45" s="49">
        <v>1995.12</v>
      </c>
      <c r="B45" s="543">
        <v>75.992555906589644</v>
      </c>
    </row>
    <row r="46" spans="1:2">
      <c r="A46" s="49">
        <v>1996.01</v>
      </c>
      <c r="B46" s="543">
        <v>77.208538189411556</v>
      </c>
    </row>
    <row r="47" spans="1:2">
      <c r="A47" s="49">
        <v>1996.02</v>
      </c>
      <c r="B47" s="543">
        <v>78.184819111263153</v>
      </c>
    </row>
    <row r="48" spans="1:2">
      <c r="A48" s="49">
        <v>1996.03</v>
      </c>
      <c r="B48" s="543">
        <v>79.282355609155587</v>
      </c>
    </row>
    <row r="49" spans="1:2">
      <c r="A49" s="49">
        <v>1996.04</v>
      </c>
      <c r="B49" s="543">
        <v>80.17160464805265</v>
      </c>
    </row>
    <row r="50" spans="1:2">
      <c r="A50" s="49">
        <v>1996.05</v>
      </c>
      <c r="B50" s="543">
        <v>80.745708091965099</v>
      </c>
    </row>
    <row r="51" spans="1:2">
      <c r="A51" s="49">
        <v>1996.06</v>
      </c>
      <c r="B51" s="543">
        <v>81.541463098753027</v>
      </c>
    </row>
    <row r="52" spans="1:2">
      <c r="A52" s="49">
        <v>1996.07</v>
      </c>
      <c r="B52" s="543">
        <v>81.142792321328898</v>
      </c>
    </row>
    <row r="53" spans="1:2">
      <c r="A53" s="49">
        <v>1996.08</v>
      </c>
      <c r="B53" s="543">
        <v>81.414552899451309</v>
      </c>
    </row>
    <row r="54" spans="1:2">
      <c r="A54" s="49">
        <v>1996.09</v>
      </c>
      <c r="B54" s="543">
        <v>81.841243113526787</v>
      </c>
    </row>
    <row r="55" spans="1:2">
      <c r="A55" s="49">
        <v>1996.1</v>
      </c>
      <c r="B55" s="543">
        <v>82.858746401440953</v>
      </c>
    </row>
    <row r="56" spans="1:2">
      <c r="A56" s="49">
        <v>1996.11</v>
      </c>
      <c r="B56" s="543">
        <v>85.149080750712997</v>
      </c>
    </row>
    <row r="57" spans="1:2">
      <c r="A57" s="49">
        <v>1996.12</v>
      </c>
      <c r="B57" s="543">
        <v>85.417007507489828</v>
      </c>
    </row>
    <row r="58" spans="1:2">
      <c r="A58" s="49">
        <v>1997.01</v>
      </c>
      <c r="B58" s="543">
        <v>86.014955596938094</v>
      </c>
    </row>
    <row r="59" spans="1:2">
      <c r="A59" s="49">
        <v>1997.02</v>
      </c>
      <c r="B59" s="543">
        <v>88.802773184989249</v>
      </c>
    </row>
    <row r="60" spans="1:2">
      <c r="A60" s="49">
        <v>1997.03</v>
      </c>
      <c r="B60" s="543">
        <v>89.233761797903753</v>
      </c>
    </row>
    <row r="61" spans="1:2">
      <c r="A61" s="49">
        <v>1997.04</v>
      </c>
      <c r="B61" s="543">
        <v>90.724495898741282</v>
      </c>
    </row>
    <row r="62" spans="1:2">
      <c r="A62" s="49">
        <v>1997.05</v>
      </c>
      <c r="B62" s="543">
        <v>91.167236261443449</v>
      </c>
    </row>
    <row r="63" spans="1:2">
      <c r="A63" s="49">
        <v>1997.06</v>
      </c>
      <c r="B63" s="543">
        <v>90.26779377934453</v>
      </c>
    </row>
    <row r="64" spans="1:2">
      <c r="A64" s="49">
        <v>1997.07</v>
      </c>
      <c r="B64" s="543">
        <v>92.544288697967218</v>
      </c>
    </row>
    <row r="65" spans="1:2">
      <c r="A65" s="49">
        <v>1997.08</v>
      </c>
      <c r="B65" s="543">
        <v>93.73240680337058</v>
      </c>
    </row>
    <row r="66" spans="1:2">
      <c r="A66" s="49">
        <v>1997.09</v>
      </c>
      <c r="B66" s="543">
        <v>94.045300630155566</v>
      </c>
    </row>
    <row r="67" spans="1:2">
      <c r="A67" s="49">
        <v>1997.1</v>
      </c>
      <c r="B67" s="543">
        <v>93.211491153399692</v>
      </c>
    </row>
    <row r="68" spans="1:2">
      <c r="A68" s="49">
        <v>1997.11</v>
      </c>
      <c r="B68" s="543">
        <v>92.274344695354969</v>
      </c>
    </row>
    <row r="69" spans="1:2">
      <c r="A69" s="49">
        <v>1997.12</v>
      </c>
      <c r="B69" s="543">
        <v>91.92853623410592</v>
      </c>
    </row>
    <row r="70" spans="1:2">
      <c r="A70" s="49">
        <v>1998.01</v>
      </c>
      <c r="B70" s="543">
        <v>92.26700904496002</v>
      </c>
    </row>
    <row r="71" spans="1:2">
      <c r="A71" s="49">
        <v>1998.02</v>
      </c>
      <c r="B71" s="543">
        <v>93.853662458926379</v>
      </c>
    </row>
    <row r="72" spans="1:2">
      <c r="A72" s="49">
        <v>1998.03</v>
      </c>
      <c r="B72" s="543">
        <v>90.3251397140059</v>
      </c>
    </row>
    <row r="73" spans="1:2">
      <c r="A73" s="49">
        <v>1998.04</v>
      </c>
      <c r="B73" s="543">
        <v>89.61266567934284</v>
      </c>
    </row>
    <row r="74" spans="1:2">
      <c r="A74" s="49">
        <v>1998.05</v>
      </c>
      <c r="B74" s="543">
        <v>87.977113320152</v>
      </c>
    </row>
    <row r="75" spans="1:2">
      <c r="A75" s="49">
        <v>1998.06</v>
      </c>
      <c r="B75" s="543">
        <v>88.274460079662234</v>
      </c>
    </row>
    <row r="76" spans="1:2">
      <c r="A76" s="49">
        <v>1998.07</v>
      </c>
      <c r="B76" s="543">
        <v>87.04781974706205</v>
      </c>
    </row>
    <row r="77" spans="1:2">
      <c r="A77" s="49">
        <v>1998.08</v>
      </c>
      <c r="B77" s="543">
        <v>84.358937972081904</v>
      </c>
    </row>
    <row r="78" spans="1:2">
      <c r="A78" s="49">
        <v>1998.09</v>
      </c>
      <c r="B78" s="543">
        <v>83.086686353115226</v>
      </c>
    </row>
    <row r="79" spans="1:2">
      <c r="A79" s="49">
        <v>1998.1</v>
      </c>
      <c r="B79" s="543">
        <v>83.918736815076088</v>
      </c>
    </row>
    <row r="80" spans="1:2">
      <c r="A80" s="49">
        <v>1998.11</v>
      </c>
      <c r="B80" s="543">
        <v>85.548578538908842</v>
      </c>
    </row>
    <row r="81" spans="1:2">
      <c r="A81" s="49">
        <v>1998.12</v>
      </c>
      <c r="B81" s="543">
        <v>82.593396630833041</v>
      </c>
    </row>
    <row r="82" spans="1:2">
      <c r="A82" s="49">
        <v>1999.01</v>
      </c>
      <c r="B82" s="543">
        <v>80.731654753122342</v>
      </c>
    </row>
    <row r="83" spans="1:2">
      <c r="A83" s="49">
        <v>1999.02</v>
      </c>
      <c r="B83" s="543">
        <v>80.137172292222203</v>
      </c>
    </row>
    <row r="84" spans="1:2">
      <c r="A84" s="49">
        <v>1999.03</v>
      </c>
      <c r="B84" s="543">
        <v>80.052980457859803</v>
      </c>
    </row>
    <row r="85" spans="1:2">
      <c r="A85" s="49">
        <v>1999.04</v>
      </c>
      <c r="B85" s="543">
        <v>82.008692994758789</v>
      </c>
    </row>
    <row r="86" spans="1:2">
      <c r="A86" s="49">
        <v>1999.05</v>
      </c>
      <c r="B86" s="543">
        <v>82.78272953793028</v>
      </c>
    </row>
    <row r="87" spans="1:2">
      <c r="A87" s="49">
        <v>1999.06</v>
      </c>
      <c r="B87" s="543">
        <v>82.360488749676961</v>
      </c>
    </row>
    <row r="88" spans="1:2">
      <c r="A88" s="49">
        <v>1999.07</v>
      </c>
      <c r="B88" s="543">
        <v>79.854075198831566</v>
      </c>
    </row>
    <row r="89" spans="1:2">
      <c r="A89" s="49">
        <v>1999.08</v>
      </c>
      <c r="B89" s="543">
        <v>82.513007322882501</v>
      </c>
    </row>
    <row r="90" spans="1:2">
      <c r="A90" s="49">
        <v>1999.09</v>
      </c>
      <c r="B90" s="543">
        <v>83.063293561879718</v>
      </c>
    </row>
    <row r="91" spans="1:2">
      <c r="A91" s="49">
        <v>1999.1</v>
      </c>
      <c r="B91" s="543">
        <v>84.602090639797837</v>
      </c>
    </row>
    <row r="92" spans="1:2">
      <c r="A92" s="49">
        <v>1999.11</v>
      </c>
      <c r="B92" s="543">
        <v>84.631986333403219</v>
      </c>
    </row>
    <row r="93" spans="1:2">
      <c r="A93" s="49">
        <v>1999.12</v>
      </c>
      <c r="B93" s="543">
        <v>83.731951559319924</v>
      </c>
    </row>
    <row r="94" spans="1:2">
      <c r="A94" s="49">
        <v>2000.01</v>
      </c>
      <c r="B94" s="543">
        <v>83.400631282437075</v>
      </c>
    </row>
    <row r="95" spans="1:2">
      <c r="A95" s="49">
        <v>2000.02</v>
      </c>
      <c r="B95" s="543">
        <v>81.895563811015933</v>
      </c>
    </row>
    <row r="96" spans="1:2">
      <c r="A96" s="49">
        <v>2000.03</v>
      </c>
      <c r="B96" s="543">
        <v>83.795807286278247</v>
      </c>
    </row>
    <row r="97" spans="1:2">
      <c r="A97" s="49">
        <v>2000.04</v>
      </c>
      <c r="B97" s="543">
        <v>81.149672580822298</v>
      </c>
    </row>
    <row r="98" spans="1:2">
      <c r="A98" s="49">
        <v>2000.05</v>
      </c>
      <c r="B98" s="543">
        <v>80.656103012139369</v>
      </c>
    </row>
    <row r="99" spans="1:2">
      <c r="A99" s="49">
        <v>2000.06</v>
      </c>
      <c r="B99" s="543">
        <v>80.639043344432437</v>
      </c>
    </row>
    <row r="100" spans="1:2">
      <c r="A100" s="49">
        <v>2000.07</v>
      </c>
      <c r="B100" s="543">
        <v>81.117519296001404</v>
      </c>
    </row>
    <row r="101" spans="1:2">
      <c r="A101" s="49">
        <v>2000.08</v>
      </c>
      <c r="B101" s="543">
        <v>82.138644749908678</v>
      </c>
    </row>
    <row r="102" spans="1:2">
      <c r="A102" s="49">
        <v>2000.09</v>
      </c>
      <c r="B102" s="543">
        <v>83.110999697207959</v>
      </c>
    </row>
    <row r="103" spans="1:2">
      <c r="A103" s="49">
        <v>2000.1</v>
      </c>
      <c r="B103" s="543">
        <v>81.48512352089962</v>
      </c>
    </row>
    <row r="104" spans="1:2">
      <c r="A104" s="49">
        <v>2000.11</v>
      </c>
      <c r="B104" s="543">
        <v>79.178345069287857</v>
      </c>
    </row>
    <row r="105" spans="1:2">
      <c r="A105" s="49">
        <v>2000.12</v>
      </c>
      <c r="B105" s="543">
        <v>80.350799363234316</v>
      </c>
    </row>
    <row r="106" spans="1:2">
      <c r="A106" s="49">
        <v>2001.01</v>
      </c>
      <c r="B106" s="543">
        <v>81.658949089910692</v>
      </c>
    </row>
    <row r="107" spans="1:2">
      <c r="A107" s="49">
        <v>2001.02</v>
      </c>
      <c r="B107" s="543">
        <v>78.935001336106538</v>
      </c>
    </row>
    <row r="108" spans="1:2">
      <c r="A108" s="49">
        <v>2001.03</v>
      </c>
      <c r="B108" s="543">
        <v>76.171509445370518</v>
      </c>
    </row>
    <row r="109" spans="1:2">
      <c r="A109" s="49">
        <v>2001.04</v>
      </c>
      <c r="B109" s="543">
        <v>76.344428695417434</v>
      </c>
    </row>
    <row r="110" spans="1:2">
      <c r="A110" s="49">
        <v>2001.05</v>
      </c>
      <c r="B110" s="543">
        <v>75.429820198613882</v>
      </c>
    </row>
    <row r="111" spans="1:2">
      <c r="A111" s="49">
        <v>2001.06</v>
      </c>
      <c r="B111" s="543">
        <v>74.620318549328971</v>
      </c>
    </row>
    <row r="112" spans="1:2">
      <c r="A112" s="49">
        <v>2001.07</v>
      </c>
      <c r="B112" s="543">
        <v>72.86357433648854</v>
      </c>
    </row>
    <row r="113" spans="1:2">
      <c r="A113" s="49">
        <v>2001.08</v>
      </c>
      <c r="B113" s="543">
        <v>70.852166655360264</v>
      </c>
    </row>
    <row r="114" spans="1:2">
      <c r="A114" s="49">
        <v>2001.09</v>
      </c>
      <c r="B114" s="543">
        <v>68.453020328568229</v>
      </c>
    </row>
    <row r="115" spans="1:2">
      <c r="A115" s="49">
        <v>2001.1</v>
      </c>
      <c r="B115" s="543">
        <v>65.819111885828463</v>
      </c>
    </row>
    <row r="116" spans="1:2">
      <c r="A116" s="49">
        <v>2001.11</v>
      </c>
      <c r="B116" s="543">
        <v>65.256166320873788</v>
      </c>
    </row>
    <row r="117" spans="1:2">
      <c r="A117" s="49">
        <v>2001.12</v>
      </c>
      <c r="B117" s="543">
        <v>65.63486272385056</v>
      </c>
    </row>
    <row r="118" spans="1:2">
      <c r="A118" s="49">
        <v>2002.01</v>
      </c>
      <c r="B118" s="543">
        <v>66.124035255586691</v>
      </c>
    </row>
    <row r="119" spans="1:2">
      <c r="A119" s="49">
        <v>2002.02</v>
      </c>
      <c r="B119" s="543">
        <v>69.857331161380642</v>
      </c>
    </row>
    <row r="120" spans="1:2">
      <c r="A120" s="49">
        <v>2002.03</v>
      </c>
      <c r="B120" s="543">
        <v>70.822890571411179</v>
      </c>
    </row>
    <row r="121" spans="1:2">
      <c r="A121" s="49">
        <v>2002.04</v>
      </c>
      <c r="B121" s="543">
        <v>67.683235720474286</v>
      </c>
    </row>
    <row r="122" spans="1:2">
      <c r="A122" s="49">
        <v>2002.05</v>
      </c>
      <c r="B122" s="543">
        <v>67.34450873903981</v>
      </c>
    </row>
    <row r="123" spans="1:2">
      <c r="A123" s="49">
        <v>2002.06</v>
      </c>
      <c r="B123" s="543">
        <v>66.94723051997282</v>
      </c>
    </row>
    <row r="124" spans="1:2">
      <c r="A124" s="49">
        <v>2002.07</v>
      </c>
      <c r="B124" s="543">
        <v>67.804635236875782</v>
      </c>
    </row>
    <row r="125" spans="1:2">
      <c r="A125" s="49">
        <v>2002.08</v>
      </c>
      <c r="B125" s="543">
        <v>68.98549307617364</v>
      </c>
    </row>
    <row r="126" spans="1:2">
      <c r="A126" s="49">
        <v>2002.09</v>
      </c>
      <c r="B126" s="543">
        <v>69.781543178552525</v>
      </c>
    </row>
    <row r="127" spans="1:2">
      <c r="A127" s="49">
        <v>2002.1</v>
      </c>
      <c r="B127" s="543">
        <v>70.638565239423301</v>
      </c>
    </row>
    <row r="128" spans="1:2">
      <c r="A128" s="49">
        <v>2002.11</v>
      </c>
      <c r="B128" s="543">
        <v>72.536615890945441</v>
      </c>
    </row>
    <row r="129" spans="1:2">
      <c r="A129" s="49">
        <v>2002.12</v>
      </c>
      <c r="B129" s="543">
        <v>73.028478932155764</v>
      </c>
    </row>
    <row r="130" spans="1:2">
      <c r="A130" s="49">
        <v>2003.01</v>
      </c>
      <c r="B130" s="543">
        <v>73.691326062131282</v>
      </c>
    </row>
    <row r="131" spans="1:2">
      <c r="A131" s="49">
        <v>2003.02</v>
      </c>
      <c r="B131" s="543">
        <v>74.685171197650348</v>
      </c>
    </row>
    <row r="132" spans="1:2">
      <c r="A132" s="49">
        <v>2003.03</v>
      </c>
      <c r="B132" s="543">
        <v>74.945917283029914</v>
      </c>
    </row>
    <row r="133" spans="1:2">
      <c r="A133" s="49">
        <v>2003.04</v>
      </c>
      <c r="B133" s="543">
        <v>77.172973994201158</v>
      </c>
    </row>
    <row r="134" spans="1:2">
      <c r="A134" s="49">
        <v>2003.05</v>
      </c>
      <c r="B134" s="543">
        <v>79.161673304011771</v>
      </c>
    </row>
    <row r="135" spans="1:2">
      <c r="A135" s="49">
        <v>2003.06</v>
      </c>
      <c r="B135" s="543">
        <v>82.158436769632402</v>
      </c>
    </row>
    <row r="136" spans="1:2">
      <c r="A136" s="49">
        <v>2003.07</v>
      </c>
      <c r="B136" s="543">
        <v>84.605632139398978</v>
      </c>
    </row>
    <row r="137" spans="1:2">
      <c r="A137" s="49">
        <v>2003.08</v>
      </c>
      <c r="B137" s="543">
        <v>84.899228010944896</v>
      </c>
    </row>
    <row r="138" spans="1:2">
      <c r="A138" s="49">
        <v>2003.09</v>
      </c>
      <c r="B138" s="543">
        <v>88.759666676283828</v>
      </c>
    </row>
    <row r="139" spans="1:2">
      <c r="A139" s="49">
        <v>2003.1</v>
      </c>
      <c r="B139" s="543">
        <v>93.913097641376467</v>
      </c>
    </row>
    <row r="140" spans="1:2">
      <c r="A140" s="49">
        <v>2003.11</v>
      </c>
      <c r="B140" s="543">
        <v>94.278024339412866</v>
      </c>
    </row>
    <row r="141" spans="1:2">
      <c r="A141" s="49">
        <v>2003.12</v>
      </c>
      <c r="B141" s="543">
        <v>94.697650336597334</v>
      </c>
    </row>
    <row r="142" spans="1:2">
      <c r="A142" s="49">
        <v>2004.01</v>
      </c>
      <c r="B142" s="543">
        <v>97.741581836945585</v>
      </c>
    </row>
    <row r="143" spans="1:2">
      <c r="A143" s="49">
        <v>2004.02</v>
      </c>
      <c r="B143" s="543">
        <v>97.707882113494321</v>
      </c>
    </row>
    <row r="144" spans="1:2">
      <c r="A144" s="49">
        <v>2004.03</v>
      </c>
      <c r="B144" s="543">
        <v>102.1677408206519</v>
      </c>
    </row>
    <row r="145" spans="1:2">
      <c r="A145" s="49">
        <v>2004.04</v>
      </c>
      <c r="B145" s="543">
        <v>98.061050554762602</v>
      </c>
    </row>
    <row r="146" spans="1:2">
      <c r="A146" s="49">
        <v>2004.05</v>
      </c>
      <c r="B146" s="543">
        <v>99.162854126033963</v>
      </c>
    </row>
    <row r="147" spans="1:2">
      <c r="A147" s="49">
        <v>2004.06</v>
      </c>
      <c r="B147" s="543">
        <v>99.337921559615452</v>
      </c>
    </row>
    <row r="148" spans="1:2">
      <c r="A148" s="49">
        <v>2004.07</v>
      </c>
      <c r="B148" s="543">
        <v>99.532401448411889</v>
      </c>
    </row>
    <row r="149" spans="1:2">
      <c r="A149" s="49">
        <v>2004.08</v>
      </c>
      <c r="B149" s="543">
        <v>99.220592022091026</v>
      </c>
    </row>
    <row r="150" spans="1:2">
      <c r="A150" s="49">
        <v>2004.09</v>
      </c>
      <c r="B150" s="543">
        <v>101.38612150826677</v>
      </c>
    </row>
    <row r="151" spans="1:2">
      <c r="A151" s="49">
        <v>2004.1</v>
      </c>
      <c r="B151" s="543">
        <v>101.44563820613075</v>
      </c>
    </row>
    <row r="152" spans="1:2">
      <c r="A152" s="49">
        <v>2004.11</v>
      </c>
      <c r="B152" s="543">
        <v>101.32782547265569</v>
      </c>
    </row>
    <row r="153" spans="1:2">
      <c r="A153" s="49">
        <v>2004.12</v>
      </c>
      <c r="B153" s="543">
        <v>102.90839033093995</v>
      </c>
    </row>
    <row r="154" spans="1:2">
      <c r="A154" s="49">
        <v>2005.01</v>
      </c>
      <c r="B154" s="543">
        <v>102.56391148213686</v>
      </c>
    </row>
    <row r="155" spans="1:2">
      <c r="A155" s="49">
        <v>2005.02</v>
      </c>
      <c r="B155" s="543">
        <v>102.56200411563145</v>
      </c>
    </row>
    <row r="156" spans="1:2">
      <c r="A156" s="49">
        <v>2005.03</v>
      </c>
      <c r="B156" s="543">
        <v>104.80719273789619</v>
      </c>
    </row>
    <row r="157" spans="1:2">
      <c r="A157" s="49">
        <v>2005.04</v>
      </c>
      <c r="B157" s="543">
        <v>105.94861999631971</v>
      </c>
    </row>
    <row r="158" spans="1:2">
      <c r="A158" s="49">
        <v>2005.05</v>
      </c>
      <c r="B158" s="543">
        <v>107.27403519123639</v>
      </c>
    </row>
    <row r="159" spans="1:2">
      <c r="A159" s="49">
        <v>2005.06</v>
      </c>
      <c r="B159" s="543">
        <v>104.57388803446</v>
      </c>
    </row>
    <row r="160" spans="1:2">
      <c r="A160" s="49">
        <v>2005.07</v>
      </c>
      <c r="B160" s="543">
        <v>108.2796550305102</v>
      </c>
    </row>
    <row r="161" spans="1:2">
      <c r="A161" s="49">
        <v>2005.08</v>
      </c>
      <c r="B161" s="543">
        <v>109.88326154301677</v>
      </c>
    </row>
    <row r="162" spans="1:2">
      <c r="A162" s="49">
        <v>2005.09</v>
      </c>
      <c r="B162" s="543">
        <v>109.55255156429349</v>
      </c>
    </row>
    <row r="163" spans="1:2">
      <c r="A163" s="49">
        <v>2005.1</v>
      </c>
      <c r="B163" s="543">
        <v>109.23924140044214</v>
      </c>
    </row>
    <row r="164" spans="1:2">
      <c r="A164" s="49">
        <v>2005.11</v>
      </c>
      <c r="B164" s="543">
        <v>108.94308789683461</v>
      </c>
    </row>
    <row r="165" spans="1:2">
      <c r="A165" s="49">
        <v>2005.12</v>
      </c>
      <c r="B165" s="543">
        <v>109.94744305569574</v>
      </c>
    </row>
    <row r="166" spans="1:2">
      <c r="A166" s="49">
        <v>2006.01</v>
      </c>
      <c r="B166" s="543">
        <v>111.85443441717938</v>
      </c>
    </row>
    <row r="167" spans="1:2">
      <c r="A167" s="49">
        <v>2006.02</v>
      </c>
      <c r="B167" s="543">
        <v>112.02939817938177</v>
      </c>
    </row>
    <row r="168" spans="1:2">
      <c r="A168" s="49">
        <v>2006.03</v>
      </c>
      <c r="B168" s="543">
        <v>112.48269758960444</v>
      </c>
    </row>
    <row r="169" spans="1:2">
      <c r="A169" s="49">
        <v>2006.04</v>
      </c>
      <c r="B169" s="543">
        <v>113.82440602440444</v>
      </c>
    </row>
    <row r="170" spans="1:2">
      <c r="A170" s="49">
        <v>2006.05</v>
      </c>
      <c r="B170" s="543">
        <v>112.62248206344364</v>
      </c>
    </row>
    <row r="171" spans="1:2">
      <c r="A171" s="49">
        <v>2006.06</v>
      </c>
      <c r="B171" s="543">
        <v>113.9356313202083</v>
      </c>
    </row>
    <row r="172" spans="1:2">
      <c r="A172" s="49">
        <v>2006.07</v>
      </c>
      <c r="B172" s="543">
        <v>114.38678693934997</v>
      </c>
    </row>
    <row r="173" spans="1:2">
      <c r="A173" s="49">
        <v>2006.08</v>
      </c>
      <c r="B173" s="543">
        <v>115.0158549706082</v>
      </c>
    </row>
    <row r="174" spans="1:2">
      <c r="A174" s="49">
        <v>2006.09</v>
      </c>
      <c r="B174" s="543">
        <v>115.7604182905756</v>
      </c>
    </row>
    <row r="175" spans="1:2">
      <c r="A175" s="49">
        <v>2006.1</v>
      </c>
      <c r="B175" s="543">
        <v>117.50415070907941</v>
      </c>
    </row>
    <row r="176" spans="1:2">
      <c r="A176" s="49">
        <v>2006.11</v>
      </c>
      <c r="B176" s="543">
        <v>119.4098413392931</v>
      </c>
    </row>
    <row r="177" spans="1:2">
      <c r="A177" s="49">
        <v>2006.12</v>
      </c>
      <c r="B177" s="543">
        <v>118.98621582334737</v>
      </c>
    </row>
    <row r="178" spans="1:2">
      <c r="A178" s="49">
        <v>2007.01</v>
      </c>
      <c r="B178" s="543">
        <v>118.44450102164838</v>
      </c>
    </row>
    <row r="179" spans="1:2">
      <c r="A179" s="49">
        <v>2007.02</v>
      </c>
      <c r="B179" s="543">
        <v>122.56623069834569</v>
      </c>
    </row>
    <row r="180" spans="1:2">
      <c r="A180" s="49">
        <v>2007.03</v>
      </c>
      <c r="B180" s="543">
        <v>121.97324988265112</v>
      </c>
    </row>
    <row r="181" spans="1:2">
      <c r="A181" s="49">
        <v>2007.04</v>
      </c>
      <c r="B181" s="543">
        <v>120.98884188940157</v>
      </c>
    </row>
    <row r="182" spans="1:2">
      <c r="A182" s="49">
        <v>2007.05</v>
      </c>
      <c r="B182" s="543">
        <v>123.32000195242043</v>
      </c>
    </row>
    <row r="183" spans="1:2">
      <c r="A183" s="49">
        <v>2007.06</v>
      </c>
      <c r="B183" s="543">
        <v>122.30143868241881</v>
      </c>
    </row>
    <row r="184" spans="1:2">
      <c r="A184" s="49">
        <v>2007.07</v>
      </c>
      <c r="B184" s="543">
        <v>121.15508945145615</v>
      </c>
    </row>
    <row r="185" spans="1:2">
      <c r="A185" s="49">
        <v>2007.08</v>
      </c>
      <c r="B185" s="543">
        <v>122.63339095626023</v>
      </c>
    </row>
    <row r="186" spans="1:2">
      <c r="A186" s="49">
        <v>2007.09</v>
      </c>
      <c r="B186" s="543">
        <v>123.67834114483612</v>
      </c>
    </row>
    <row r="187" spans="1:2">
      <c r="A187" s="49">
        <v>2007.1</v>
      </c>
      <c r="B187" s="543">
        <v>127.27840879776666</v>
      </c>
    </row>
    <row r="188" spans="1:2">
      <c r="A188" s="49">
        <v>2007.11</v>
      </c>
      <c r="B188" s="543">
        <v>130.04799978241462</v>
      </c>
    </row>
    <row r="189" spans="1:2">
      <c r="A189" s="49">
        <v>2007.12</v>
      </c>
      <c r="B189" s="543">
        <v>131.39962227685348</v>
      </c>
    </row>
    <row r="190" spans="1:2">
      <c r="A190" s="49">
        <f t="shared" ref="A190:A253" si="0">A178+1</f>
        <v>2008.01</v>
      </c>
      <c r="B190" s="543">
        <v>131.22647021666839</v>
      </c>
    </row>
    <row r="191" spans="1:2">
      <c r="A191" s="49">
        <f t="shared" si="0"/>
        <v>2008.02</v>
      </c>
      <c r="B191" s="543">
        <v>128.34017182218764</v>
      </c>
    </row>
    <row r="192" spans="1:2">
      <c r="A192" s="49">
        <f t="shared" si="0"/>
        <v>2008.03</v>
      </c>
      <c r="B192" s="543">
        <v>130.48622912212809</v>
      </c>
    </row>
    <row r="193" spans="1:2">
      <c r="A193" s="49">
        <f t="shared" si="0"/>
        <v>2008.04</v>
      </c>
      <c r="B193" s="543">
        <v>132.10807559891191</v>
      </c>
    </row>
    <row r="194" spans="1:2">
      <c r="A194" s="49">
        <f t="shared" si="0"/>
        <v>2008.05</v>
      </c>
      <c r="B194" s="543">
        <v>127.76998552309573</v>
      </c>
    </row>
    <row r="195" spans="1:2">
      <c r="A195" s="49">
        <f t="shared" si="0"/>
        <v>2008.06</v>
      </c>
      <c r="B195" s="543">
        <v>125.28863423181156</v>
      </c>
    </row>
    <row r="196" spans="1:2">
      <c r="A196" s="49">
        <f t="shared" si="0"/>
        <v>2008.07</v>
      </c>
      <c r="B196" s="543">
        <v>128.36888853896812</v>
      </c>
    </row>
    <row r="197" spans="1:2">
      <c r="A197" s="49">
        <f t="shared" si="0"/>
        <v>2008.08</v>
      </c>
      <c r="B197" s="543">
        <v>125.23501417607015</v>
      </c>
    </row>
    <row r="198" spans="1:2">
      <c r="A198" s="49">
        <f t="shared" si="0"/>
        <v>2008.09</v>
      </c>
      <c r="B198" s="543">
        <v>124.6734468378218</v>
      </c>
    </row>
    <row r="199" spans="1:2">
      <c r="A199" s="49">
        <f t="shared" si="0"/>
        <v>2008.1</v>
      </c>
      <c r="B199" s="543">
        <v>113.05447398838523</v>
      </c>
    </row>
    <row r="200" spans="1:2">
      <c r="A200" s="49">
        <f t="shared" si="0"/>
        <v>2008.11</v>
      </c>
      <c r="B200" s="543">
        <v>109.94579556801804</v>
      </c>
    </row>
    <row r="201" spans="1:2">
      <c r="A201" s="49">
        <f t="shared" si="0"/>
        <v>2008.12</v>
      </c>
      <c r="B201" s="543">
        <v>105.48143389871416</v>
      </c>
    </row>
    <row r="202" spans="1:2">
      <c r="A202" s="49">
        <f t="shared" si="0"/>
        <v>2009.01</v>
      </c>
      <c r="B202" s="543">
        <v>108.37351309282991</v>
      </c>
    </row>
    <row r="203" spans="1:2">
      <c r="A203" s="49">
        <f t="shared" si="0"/>
        <v>2009.02</v>
      </c>
      <c r="B203" s="543">
        <v>106.91854342578993</v>
      </c>
    </row>
    <row r="204" spans="1:2">
      <c r="A204" s="49">
        <f t="shared" si="0"/>
        <v>2009.03</v>
      </c>
      <c r="B204" s="543">
        <v>106.20384949558246</v>
      </c>
    </row>
    <row r="205" spans="1:2">
      <c r="A205" s="49">
        <f t="shared" si="0"/>
        <v>2009.04</v>
      </c>
      <c r="B205" s="543">
        <v>108.0059390330151</v>
      </c>
    </row>
    <row r="206" spans="1:2">
      <c r="A206" s="49">
        <f t="shared" si="0"/>
        <v>2009.05</v>
      </c>
      <c r="B206" s="543">
        <v>110.76769280167167</v>
      </c>
    </row>
    <row r="207" spans="1:2">
      <c r="A207" s="49">
        <f t="shared" si="0"/>
        <v>2009.06</v>
      </c>
      <c r="B207" s="543">
        <v>112.78353866781838</v>
      </c>
    </row>
    <row r="208" spans="1:2">
      <c r="A208" s="49">
        <f t="shared" si="0"/>
        <v>2009.07</v>
      </c>
      <c r="B208" s="543">
        <v>113.79157966628445</v>
      </c>
    </row>
    <row r="209" spans="1:2">
      <c r="A209" s="49">
        <f t="shared" si="0"/>
        <v>2009.08</v>
      </c>
      <c r="B209" s="543">
        <v>114.9010194419959</v>
      </c>
    </row>
    <row r="210" spans="1:2">
      <c r="A210" s="49">
        <f t="shared" si="0"/>
        <v>2009.09</v>
      </c>
      <c r="B210" s="543">
        <v>116.76802618658607</v>
      </c>
    </row>
    <row r="211" spans="1:2">
      <c r="A211" s="49">
        <f t="shared" si="0"/>
        <v>2009.1</v>
      </c>
      <c r="B211" s="543">
        <v>118.22200986538752</v>
      </c>
    </row>
    <row r="212" spans="1:2">
      <c r="A212" s="49">
        <f t="shared" si="0"/>
        <v>2009.11</v>
      </c>
      <c r="B212" s="543">
        <v>117.60661614063538</v>
      </c>
    </row>
    <row r="213" spans="1:2">
      <c r="A213" s="49">
        <f t="shared" si="0"/>
        <v>2009.12</v>
      </c>
      <c r="B213" s="543">
        <v>119.87335458012167</v>
      </c>
    </row>
    <row r="214" spans="1:2">
      <c r="A214" s="49">
        <f t="shared" si="0"/>
        <v>2010.01</v>
      </c>
      <c r="B214" s="543">
        <v>120.2812499008508</v>
      </c>
    </row>
    <row r="215" spans="1:2">
      <c r="A215" s="49">
        <f t="shared" si="0"/>
        <v>2010.02</v>
      </c>
      <c r="B215" s="543">
        <v>122.34755324424475</v>
      </c>
    </row>
    <row r="216" spans="1:2">
      <c r="A216" s="49">
        <f t="shared" si="0"/>
        <v>2010.03</v>
      </c>
      <c r="B216" s="543">
        <v>124.12123942204714</v>
      </c>
    </row>
    <row r="217" spans="1:2">
      <c r="A217" s="49">
        <f t="shared" si="0"/>
        <v>2010.04</v>
      </c>
      <c r="B217" s="543">
        <v>125.07181117299774</v>
      </c>
    </row>
    <row r="218" spans="1:2">
      <c r="A218" s="49">
        <f t="shared" si="0"/>
        <v>2010.05</v>
      </c>
      <c r="B218" s="543">
        <v>123.98300384585899</v>
      </c>
    </row>
    <row r="219" spans="1:2">
      <c r="A219" s="49">
        <f t="shared" si="0"/>
        <v>2010.06</v>
      </c>
      <c r="B219" s="543">
        <v>125.51856771092221</v>
      </c>
    </row>
    <row r="220" spans="1:2">
      <c r="A220" s="49">
        <f t="shared" si="0"/>
        <v>2010.07</v>
      </c>
      <c r="B220" s="543">
        <v>126.97015367244047</v>
      </c>
    </row>
    <row r="221" spans="1:2">
      <c r="A221" s="49">
        <f t="shared" si="0"/>
        <v>2010.08</v>
      </c>
      <c r="B221" s="543">
        <v>129.79749498266665</v>
      </c>
    </row>
    <row r="222" spans="1:2">
      <c r="A222" s="49">
        <f t="shared" si="0"/>
        <v>2010.09</v>
      </c>
      <c r="B222" s="543">
        <v>133.190967429056</v>
      </c>
    </row>
    <row r="223" spans="1:2">
      <c r="A223" s="49">
        <f t="shared" si="0"/>
        <v>2010.1</v>
      </c>
      <c r="B223" s="543">
        <v>136.19127179563964</v>
      </c>
    </row>
    <row r="224" spans="1:2">
      <c r="A224" s="49">
        <f t="shared" si="0"/>
        <v>2010.11</v>
      </c>
      <c r="B224" s="543">
        <v>142.64759632938768</v>
      </c>
    </row>
    <row r="225" spans="1:2">
      <c r="A225" s="49">
        <f t="shared" si="0"/>
        <v>2010.12</v>
      </c>
      <c r="B225" s="543">
        <v>144.58175200152959</v>
      </c>
    </row>
    <row r="226" spans="1:2">
      <c r="A226" s="49">
        <f t="shared" si="0"/>
        <v>2011.01</v>
      </c>
      <c r="B226" s="543">
        <v>145.14347299986983</v>
      </c>
    </row>
    <row r="227" spans="1:2">
      <c r="A227" s="49">
        <f t="shared" si="0"/>
        <v>2011.02</v>
      </c>
      <c r="B227" s="543">
        <v>146.66361311969834</v>
      </c>
    </row>
    <row r="228" spans="1:2">
      <c r="A228" s="49">
        <f t="shared" si="0"/>
        <v>2011.03</v>
      </c>
      <c r="B228" s="543">
        <v>146.26504569613209</v>
      </c>
    </row>
    <row r="229" spans="1:2">
      <c r="A229" s="49">
        <f t="shared" si="0"/>
        <v>2011.04</v>
      </c>
      <c r="B229" s="543">
        <v>145.36349383297042</v>
      </c>
    </row>
    <row r="230" spans="1:2">
      <c r="A230" s="49">
        <f t="shared" si="0"/>
        <v>2011.05</v>
      </c>
      <c r="B230" s="543">
        <v>147.44465317028931</v>
      </c>
    </row>
    <row r="231" spans="1:2">
      <c r="A231" s="49">
        <f t="shared" si="0"/>
        <v>2011.06</v>
      </c>
      <c r="B231" s="543">
        <v>144.76723384468718</v>
      </c>
    </row>
    <row r="232" spans="1:2">
      <c r="A232" s="49">
        <f t="shared" si="0"/>
        <v>2011.07</v>
      </c>
      <c r="B232" s="543">
        <v>145.25727600690595</v>
      </c>
    </row>
    <row r="233" spans="1:2">
      <c r="A233" s="49">
        <f t="shared" si="0"/>
        <v>2011.08</v>
      </c>
      <c r="B233" s="543">
        <v>143.66387652097387</v>
      </c>
    </row>
    <row r="234" spans="1:2">
      <c r="A234" s="49">
        <f t="shared" si="0"/>
        <v>2011.09</v>
      </c>
      <c r="B234" s="543">
        <v>141.74459315104011</v>
      </c>
    </row>
    <row r="235" spans="1:2">
      <c r="A235" s="49">
        <f t="shared" si="0"/>
        <v>2011.1</v>
      </c>
      <c r="B235" s="543">
        <v>140.66754138509259</v>
      </c>
    </row>
    <row r="236" spans="1:2">
      <c r="A236" s="49">
        <f t="shared" si="0"/>
        <v>2011.11</v>
      </c>
      <c r="B236" s="543">
        <v>138.46688332233546</v>
      </c>
    </row>
    <row r="237" spans="1:2">
      <c r="A237" s="49">
        <f t="shared" si="0"/>
        <v>2011.12</v>
      </c>
      <c r="B237" s="543">
        <v>136.22924011930496</v>
      </c>
    </row>
    <row r="238" spans="1:2">
      <c r="A238" s="49">
        <f t="shared" si="0"/>
        <v>2012.01</v>
      </c>
      <c r="B238" s="543">
        <v>136.228896693411</v>
      </c>
    </row>
    <row r="239" spans="1:2">
      <c r="A239" s="49">
        <f t="shared" si="0"/>
        <v>2012.02</v>
      </c>
      <c r="B239" s="543">
        <v>133.65500471354662</v>
      </c>
    </row>
    <row r="240" spans="1:2">
      <c r="A240" s="49">
        <f t="shared" si="0"/>
        <v>2012.03</v>
      </c>
      <c r="B240" s="543">
        <v>137.61899388764004</v>
      </c>
    </row>
    <row r="241" spans="1:2">
      <c r="A241" s="49">
        <f t="shared" si="0"/>
        <v>2012.04</v>
      </c>
      <c r="B241" s="543">
        <v>131.35574522579304</v>
      </c>
    </row>
    <row r="242" spans="1:2">
      <c r="A242" s="49">
        <f t="shared" si="0"/>
        <v>2012.05</v>
      </c>
      <c r="B242" s="543">
        <v>132.95408446282553</v>
      </c>
    </row>
    <row r="243" spans="1:2">
      <c r="A243" s="49">
        <f t="shared" si="0"/>
        <v>2012.06</v>
      </c>
      <c r="B243" s="543">
        <v>133.73201762164885</v>
      </c>
    </row>
    <row r="244" spans="1:2">
      <c r="A244" s="49">
        <f t="shared" si="0"/>
        <v>2012.07</v>
      </c>
      <c r="B244" s="543">
        <v>133.64793403674909</v>
      </c>
    </row>
    <row r="245" spans="1:2">
      <c r="A245" s="49">
        <f t="shared" si="0"/>
        <v>2012.08</v>
      </c>
      <c r="B245" s="543">
        <v>131.3117951008507</v>
      </c>
    </row>
    <row r="246" spans="1:2">
      <c r="A246" s="49">
        <f t="shared" si="0"/>
        <v>2012.09</v>
      </c>
      <c r="B246" s="543">
        <v>132.27364062492742</v>
      </c>
    </row>
    <row r="247" spans="1:2">
      <c r="A247" s="49">
        <f t="shared" si="0"/>
        <v>2012.1</v>
      </c>
      <c r="B247" s="543">
        <v>131.38145342530532</v>
      </c>
    </row>
    <row r="248" spans="1:2">
      <c r="A248" s="49">
        <f t="shared" si="0"/>
        <v>2012.11</v>
      </c>
      <c r="B248" s="543">
        <v>131.85808084848836</v>
      </c>
    </row>
    <row r="249" spans="1:2">
      <c r="A249" s="49">
        <f t="shared" si="0"/>
        <v>2012.12</v>
      </c>
      <c r="B249" s="543">
        <v>134.51543987763381</v>
      </c>
    </row>
    <row r="250" spans="1:2">
      <c r="A250" s="49">
        <f t="shared" si="0"/>
        <v>2013.01</v>
      </c>
      <c r="B250" s="543">
        <v>136.44117330816519</v>
      </c>
    </row>
    <row r="251" spans="1:2">
      <c r="A251" s="49">
        <f t="shared" si="0"/>
        <v>2013.02</v>
      </c>
      <c r="B251" s="543">
        <v>139.40180525444771</v>
      </c>
    </row>
    <row r="252" spans="1:2">
      <c r="A252" s="49">
        <f t="shared" si="0"/>
        <v>2013.03</v>
      </c>
      <c r="B252" s="543">
        <v>140.3403643945943</v>
      </c>
    </row>
    <row r="253" spans="1:2">
      <c r="A253" s="49">
        <f t="shared" si="0"/>
        <v>2013.04</v>
      </c>
      <c r="B253" s="543">
        <v>140.79383315059115</v>
      </c>
    </row>
    <row r="254" spans="1:2">
      <c r="A254" s="49">
        <f t="shared" ref="A254:A317" si="1">A242+1</f>
        <v>2013.05</v>
      </c>
      <c r="B254" s="543">
        <v>141.72928366648014</v>
      </c>
    </row>
    <row r="255" spans="1:2">
      <c r="A255" s="49">
        <f t="shared" si="1"/>
        <v>2013.06</v>
      </c>
      <c r="B255" s="543">
        <v>138.40585211286023</v>
      </c>
    </row>
    <row r="256" spans="1:2">
      <c r="A256" s="49">
        <f t="shared" si="1"/>
        <v>2013.07</v>
      </c>
      <c r="B256" s="543">
        <v>140.54797610750452</v>
      </c>
    </row>
    <row r="257" spans="1:2">
      <c r="A257" s="49">
        <f t="shared" si="1"/>
        <v>2013.08</v>
      </c>
      <c r="B257" s="543">
        <v>143.77273855699468</v>
      </c>
    </row>
    <row r="258" spans="1:2">
      <c r="A258" s="49">
        <f t="shared" si="1"/>
        <v>2013.09</v>
      </c>
      <c r="B258" s="543">
        <v>144.2586026476728</v>
      </c>
    </row>
    <row r="259" spans="1:2">
      <c r="A259" s="49">
        <f t="shared" si="1"/>
        <v>2013.1</v>
      </c>
      <c r="B259" s="543">
        <v>146.55467463991053</v>
      </c>
    </row>
    <row r="260" spans="1:2">
      <c r="A260" s="49">
        <f t="shared" si="1"/>
        <v>2013.11</v>
      </c>
      <c r="B260" s="543">
        <v>145.8138235085097</v>
      </c>
    </row>
    <row r="261" spans="1:2">
      <c r="A261" s="49">
        <f t="shared" si="1"/>
        <v>2013.12</v>
      </c>
      <c r="B261" s="543">
        <v>143.93342958602443</v>
      </c>
    </row>
    <row r="262" spans="1:2">
      <c r="A262" s="49">
        <f t="shared" si="1"/>
        <v>2014.01</v>
      </c>
      <c r="B262" s="543">
        <v>141.20266861132319</v>
      </c>
    </row>
    <row r="263" spans="1:2">
      <c r="A263" s="49">
        <f t="shared" si="1"/>
        <v>2014.02</v>
      </c>
      <c r="B263" s="543">
        <v>138.32007759170457</v>
      </c>
    </row>
    <row r="264" spans="1:2">
      <c r="A264" s="49">
        <f t="shared" si="1"/>
        <v>2014.03</v>
      </c>
      <c r="B264" s="543">
        <v>137.09694303395054</v>
      </c>
    </row>
    <row r="265" spans="1:2">
      <c r="A265" s="49">
        <f t="shared" si="1"/>
        <v>2014.04</v>
      </c>
      <c r="B265" s="543">
        <v>138.86026802085675</v>
      </c>
    </row>
    <row r="266" spans="1:2">
      <c r="A266" s="49">
        <f t="shared" si="1"/>
        <v>2014.05</v>
      </c>
      <c r="B266" s="543">
        <v>138.30371104464717</v>
      </c>
    </row>
    <row r="267" spans="1:2">
      <c r="A267" s="49">
        <f t="shared" si="1"/>
        <v>2014.06</v>
      </c>
      <c r="B267" s="543">
        <v>139.75851664833777</v>
      </c>
    </row>
    <row r="268" spans="1:2">
      <c r="A268" s="49">
        <f t="shared" si="1"/>
        <v>2014.07</v>
      </c>
      <c r="B268" s="543">
        <v>139.65364207122616</v>
      </c>
    </row>
    <row r="269" spans="1:2">
      <c r="A269" s="49">
        <f t="shared" si="1"/>
        <v>2014.08</v>
      </c>
      <c r="B269" s="543">
        <v>140.78126344386192</v>
      </c>
    </row>
    <row r="270" spans="1:2">
      <c r="A270" s="49">
        <f t="shared" si="1"/>
        <v>2014.09</v>
      </c>
      <c r="B270" s="543">
        <v>142.09934191360321</v>
      </c>
    </row>
    <row r="271" spans="1:2">
      <c r="A271" s="49">
        <f t="shared" si="1"/>
        <v>2014.1</v>
      </c>
      <c r="B271" s="543">
        <v>139.11394423920279</v>
      </c>
    </row>
    <row r="272" spans="1:2">
      <c r="A272" s="49">
        <f t="shared" si="1"/>
        <v>2014.11</v>
      </c>
      <c r="B272" s="543">
        <v>139.77293942729773</v>
      </c>
    </row>
    <row r="273" spans="1:2">
      <c r="A273" s="49">
        <f t="shared" si="1"/>
        <v>2014.12</v>
      </c>
      <c r="B273" s="543">
        <v>139.14998386294101</v>
      </c>
    </row>
    <row r="274" spans="1:2">
      <c r="A274" s="49">
        <f t="shared" si="1"/>
        <v>2015.01</v>
      </c>
      <c r="B274" s="543">
        <v>137.53103482420784</v>
      </c>
    </row>
    <row r="275" spans="1:2">
      <c r="A275" s="49">
        <f t="shared" si="1"/>
        <v>2015.02</v>
      </c>
      <c r="B275" s="543">
        <v>143.46036620282993</v>
      </c>
    </row>
    <row r="276" spans="1:2">
      <c r="A276" s="49">
        <f t="shared" si="1"/>
        <v>2015.03</v>
      </c>
      <c r="B276" s="543">
        <v>144.586614343044</v>
      </c>
    </row>
    <row r="277" spans="1:2">
      <c r="A277" s="49">
        <f t="shared" si="1"/>
        <v>2015.04</v>
      </c>
      <c r="B277" s="543">
        <v>142.55364426666722</v>
      </c>
    </row>
    <row r="278" spans="1:2">
      <c r="A278" s="49">
        <f t="shared" si="1"/>
        <v>2015.05</v>
      </c>
      <c r="B278" s="543">
        <v>138.32625758379072</v>
      </c>
    </row>
    <row r="279" spans="1:2">
      <c r="A279" s="49">
        <f t="shared" si="1"/>
        <v>2015.06</v>
      </c>
      <c r="B279" s="543">
        <v>141.77631626696399</v>
      </c>
    </row>
    <row r="280" spans="1:2">
      <c r="A280" s="49">
        <f t="shared" si="1"/>
        <v>2015.07</v>
      </c>
      <c r="B280" s="543">
        <v>142.14339995072385</v>
      </c>
    </row>
    <row r="281" spans="1:2">
      <c r="A281" s="49">
        <f t="shared" si="1"/>
        <v>2015.08</v>
      </c>
      <c r="B281" s="543">
        <v>140.54573188811702</v>
      </c>
    </row>
    <row r="282" spans="1:2">
      <c r="A282" s="49">
        <f t="shared" si="1"/>
        <v>2015.09</v>
      </c>
      <c r="B282" s="543">
        <v>137.87963829990721</v>
      </c>
    </row>
    <row r="283" spans="1:2">
      <c r="A283" s="49">
        <f t="shared" si="1"/>
        <v>2015.1</v>
      </c>
      <c r="B283" s="543">
        <v>142.52280333359278</v>
      </c>
    </row>
    <row r="284" spans="1:2">
      <c r="A284" s="49">
        <f t="shared" si="1"/>
        <v>2015.11</v>
      </c>
      <c r="B284" s="543">
        <v>142.17629341615117</v>
      </c>
    </row>
    <row r="285" spans="1:2">
      <c r="A285" s="49">
        <f t="shared" si="1"/>
        <v>2015.12</v>
      </c>
      <c r="B285" s="543">
        <v>136.27500926617006</v>
      </c>
    </row>
    <row r="286" spans="1:2">
      <c r="A286" s="49">
        <f t="shared" si="1"/>
        <v>2016.01</v>
      </c>
      <c r="B286" s="543">
        <v>135.84745125109632</v>
      </c>
    </row>
    <row r="287" spans="1:2">
      <c r="A287" s="49">
        <f t="shared" si="1"/>
        <v>2016.02</v>
      </c>
      <c r="B287" s="543">
        <v>132.44986459080175</v>
      </c>
    </row>
    <row r="288" spans="1:2">
      <c r="A288" s="49">
        <f t="shared" si="1"/>
        <v>2016.03</v>
      </c>
      <c r="B288" s="543">
        <v>131.39043007801067</v>
      </c>
    </row>
    <row r="289" spans="1:2">
      <c r="A289" s="49">
        <f t="shared" si="1"/>
        <v>2016.04</v>
      </c>
      <c r="B289" s="543">
        <v>129.72648761849146</v>
      </c>
    </row>
    <row r="290" spans="1:2">
      <c r="A290" s="49">
        <f t="shared" si="1"/>
        <v>2016.05</v>
      </c>
      <c r="B290" s="543">
        <v>130.43284413217802</v>
      </c>
    </row>
    <row r="291" spans="1:2">
      <c r="A291" s="49">
        <f t="shared" si="1"/>
        <v>2016.06</v>
      </c>
      <c r="B291" s="543">
        <v>132.01814214199715</v>
      </c>
    </row>
    <row r="292" spans="1:2">
      <c r="A292" s="49">
        <f t="shared" si="1"/>
        <v>2016.07</v>
      </c>
      <c r="B292" s="543">
        <v>131.06285215137981</v>
      </c>
    </row>
    <row r="293" spans="1:2">
      <c r="A293" s="49">
        <f t="shared" si="1"/>
        <v>2016.08</v>
      </c>
      <c r="B293" s="543">
        <v>130.70214760857556</v>
      </c>
    </row>
    <row r="294" spans="1:2">
      <c r="A294" s="49">
        <f t="shared" si="1"/>
        <v>2016.09</v>
      </c>
      <c r="B294" s="543">
        <v>131.34623827366664</v>
      </c>
    </row>
    <row r="295" spans="1:2">
      <c r="A295" s="49">
        <f t="shared" si="1"/>
        <v>2016.1</v>
      </c>
      <c r="B295" s="543">
        <v>130.09617410801366</v>
      </c>
    </row>
    <row r="296" spans="1:2">
      <c r="A296" s="49">
        <f t="shared" si="1"/>
        <v>2016.11</v>
      </c>
      <c r="B296" s="543">
        <v>132.77540829586118</v>
      </c>
    </row>
    <row r="297" spans="1:2">
      <c r="A297" s="49">
        <f t="shared" si="1"/>
        <v>2016.12</v>
      </c>
      <c r="B297" s="543">
        <v>135.62850299414561</v>
      </c>
    </row>
    <row r="298" spans="1:2">
      <c r="A298" s="49">
        <f t="shared" si="1"/>
        <v>2017.01</v>
      </c>
      <c r="B298" s="543">
        <v>135.41931009646018</v>
      </c>
    </row>
    <row r="299" spans="1:2">
      <c r="A299" s="49">
        <f t="shared" si="1"/>
        <v>2017.02</v>
      </c>
      <c r="B299" s="543">
        <v>135.23857102469302</v>
      </c>
    </row>
    <row r="300" spans="1:2">
      <c r="A300" s="49">
        <f t="shared" si="1"/>
        <v>2017.03</v>
      </c>
      <c r="B300" s="543">
        <v>136.87933733576469</v>
      </c>
    </row>
    <row r="301" spans="1:2">
      <c r="A301" s="49">
        <f t="shared" si="1"/>
        <v>2017.04</v>
      </c>
      <c r="B301" s="543">
        <v>138.11993324867379</v>
      </c>
    </row>
    <row r="302" spans="1:2">
      <c r="A302" s="49">
        <f t="shared" si="1"/>
        <v>2017.05</v>
      </c>
      <c r="B302" s="543">
        <v>138.99783801910854</v>
      </c>
    </row>
    <row r="303" spans="1:2">
      <c r="A303" s="49">
        <f t="shared" si="1"/>
        <v>2017.06</v>
      </c>
      <c r="B303" s="543">
        <v>138.96064111247608</v>
      </c>
    </row>
    <row r="304" spans="1:2">
      <c r="A304" s="49">
        <f t="shared" si="1"/>
        <v>2017.07</v>
      </c>
      <c r="B304" s="543">
        <v>139.75254572811016</v>
      </c>
    </row>
    <row r="305" spans="1:2">
      <c r="A305" s="49">
        <f t="shared" si="1"/>
        <v>2017.08</v>
      </c>
      <c r="B305" s="543">
        <v>140.9700337645034</v>
      </c>
    </row>
    <row r="306" spans="1:2">
      <c r="A306" s="49">
        <f t="shared" si="1"/>
        <v>2017.09</v>
      </c>
      <c r="B306" s="543">
        <v>142.96758767744808</v>
      </c>
    </row>
    <row r="307" spans="1:2">
      <c r="A307" s="49">
        <f t="shared" si="1"/>
        <v>2017.1</v>
      </c>
      <c r="B307" s="543">
        <v>145.97310977929442</v>
      </c>
    </row>
    <row r="308" spans="1:2">
      <c r="A308" s="49">
        <f t="shared" si="1"/>
        <v>2017.11</v>
      </c>
      <c r="B308" s="543">
        <v>146.96847820239483</v>
      </c>
    </row>
    <row r="309" spans="1:2">
      <c r="A309" s="49">
        <f t="shared" si="1"/>
        <v>2017.12</v>
      </c>
      <c r="B309" s="543">
        <v>145.03921140034723</v>
      </c>
    </row>
    <row r="310" spans="1:2">
      <c r="A310" s="49">
        <f t="shared" si="1"/>
        <v>2018.01</v>
      </c>
      <c r="B310" s="543">
        <v>146.77056993312277</v>
      </c>
    </row>
    <row r="311" spans="1:2">
      <c r="A311" s="49">
        <f t="shared" si="1"/>
        <v>2018.02</v>
      </c>
      <c r="B311" s="543">
        <v>149.4679406341626</v>
      </c>
    </row>
    <row r="312" spans="1:2">
      <c r="A312" s="49">
        <f t="shared" si="1"/>
        <v>2018.03</v>
      </c>
      <c r="B312" s="543">
        <v>147.73059475545111</v>
      </c>
    </row>
    <row r="313" spans="1:2">
      <c r="A313" s="49">
        <f t="shared" si="1"/>
        <v>2018.04</v>
      </c>
      <c r="B313" s="543">
        <v>147.59824676435773</v>
      </c>
    </row>
    <row r="314" spans="1:2">
      <c r="A314" s="49">
        <f t="shared" si="1"/>
        <v>2018.05</v>
      </c>
      <c r="B314" s="543">
        <v>141.49367423456718</v>
      </c>
    </row>
    <row r="315" spans="1:2">
      <c r="A315" s="49">
        <f t="shared" si="1"/>
        <v>2018.06</v>
      </c>
      <c r="B315" s="543">
        <v>137.72261176003872</v>
      </c>
    </row>
    <row r="316" spans="1:2">
      <c r="A316" s="49">
        <f t="shared" si="1"/>
        <v>2018.07</v>
      </c>
      <c r="B316" s="543">
        <v>134.16993947351006</v>
      </c>
    </row>
    <row r="317" spans="1:2">
      <c r="A317" s="49">
        <f t="shared" si="1"/>
        <v>2018.08</v>
      </c>
      <c r="B317" s="543">
        <v>135.67881811449888</v>
      </c>
    </row>
    <row r="318" spans="1:2">
      <c r="A318" s="49">
        <f t="shared" ref="A318:A381" si="2">A306+1</f>
        <v>2018.09</v>
      </c>
      <c r="B318" s="543">
        <v>131.34465710678853</v>
      </c>
    </row>
    <row r="319" spans="1:2">
      <c r="A319" s="49">
        <f t="shared" si="2"/>
        <v>2018.1</v>
      </c>
      <c r="B319" s="543">
        <v>125.70922769198535</v>
      </c>
    </row>
    <row r="320" spans="1:2">
      <c r="A320" s="49">
        <f t="shared" si="2"/>
        <v>2018.11</v>
      </c>
      <c r="B320" s="543">
        <v>123.7369646091976</v>
      </c>
    </row>
    <row r="321" spans="1:2">
      <c r="A321" s="49">
        <f t="shared" si="2"/>
        <v>2018.12</v>
      </c>
      <c r="B321" s="543">
        <v>123.43434391082933</v>
      </c>
    </row>
    <row r="322" spans="1:2">
      <c r="A322" s="49">
        <f t="shared" si="2"/>
        <v>2019.01</v>
      </c>
      <c r="B322" s="543">
        <v>120.88102861443211</v>
      </c>
    </row>
    <row r="323" spans="1:2">
      <c r="A323" s="49">
        <f t="shared" si="2"/>
        <v>2019.02</v>
      </c>
      <c r="B323" s="543">
        <v>124.36782561707741</v>
      </c>
    </row>
    <row r="324" spans="1:2">
      <c r="A324" s="49">
        <f t="shared" si="2"/>
        <v>2019.03</v>
      </c>
      <c r="B324" s="543">
        <v>120.01392930605024</v>
      </c>
    </row>
    <row r="325" spans="1:2">
      <c r="A325" s="49">
        <f t="shared" si="2"/>
        <v>2019.04</v>
      </c>
      <c r="B325" s="543">
        <v>118.80329527275697</v>
      </c>
    </row>
    <row r="326" spans="1:2">
      <c r="A326" s="49">
        <f t="shared" si="2"/>
        <v>2019.05</v>
      </c>
      <c r="B326" s="543">
        <v>119.56448476755298</v>
      </c>
    </row>
    <row r="327" spans="1:2">
      <c r="A327" s="49">
        <f t="shared" si="2"/>
        <v>2019.06</v>
      </c>
      <c r="B327" s="543">
        <v>124.47652303531679</v>
      </c>
    </row>
    <row r="328" spans="1:2">
      <c r="A328" s="49">
        <f t="shared" si="2"/>
        <v>2019.07</v>
      </c>
      <c r="B328" s="543">
        <v>124.49896596478071</v>
      </c>
    </row>
    <row r="329" spans="1:2">
      <c r="A329" s="49">
        <f t="shared" si="2"/>
        <v>2019.08</v>
      </c>
      <c r="B329" s="543">
        <v>117.73340011990436</v>
      </c>
    </row>
    <row r="330" spans="1:2">
      <c r="A330" s="49">
        <f t="shared" si="2"/>
        <v>2019.09</v>
      </c>
      <c r="B330" s="543">
        <v>114.9304753193796</v>
      </c>
    </row>
    <row r="331" spans="1:2">
      <c r="A331" s="49">
        <f t="shared" si="2"/>
        <v>2019.1</v>
      </c>
      <c r="B331" s="543">
        <v>115.48998970269358</v>
      </c>
    </row>
    <row r="332" spans="1:2">
      <c r="A332" s="49">
        <f t="shared" si="2"/>
        <v>2019.11</v>
      </c>
      <c r="B332" s="543">
        <v>112.71600618482049</v>
      </c>
    </row>
    <row r="333" spans="1:2">
      <c r="A333" s="49">
        <f t="shared" si="2"/>
        <v>2019.12</v>
      </c>
      <c r="B333" s="543">
        <v>113.39981644761781</v>
      </c>
    </row>
    <row r="334" spans="1:2">
      <c r="A334" s="49">
        <f t="shared" si="2"/>
        <v>2020.01</v>
      </c>
      <c r="B334" s="543">
        <v>115.68350625304166</v>
      </c>
    </row>
    <row r="335" spans="1:2">
      <c r="A335" s="49">
        <f t="shared" si="2"/>
        <v>2020.02</v>
      </c>
      <c r="B335" s="543">
        <v>111.7358946784899</v>
      </c>
    </row>
    <row r="336" spans="1:2">
      <c r="A336" s="49">
        <f t="shared" si="2"/>
        <v>2020.03</v>
      </c>
      <c r="B336" s="543">
        <v>100.49858028421973</v>
      </c>
    </row>
    <row r="337" spans="1:2">
      <c r="A337" s="49">
        <f t="shared" si="2"/>
        <v>2020.04</v>
      </c>
      <c r="B337" s="543">
        <v>91.844581882689482</v>
      </c>
    </row>
    <row r="338" spans="1:2">
      <c r="A338" s="49">
        <f t="shared" si="2"/>
        <v>2020.05</v>
      </c>
      <c r="B338" s="543">
        <v>105.16019130480939</v>
      </c>
    </row>
    <row r="339" spans="1:2">
      <c r="A339" s="49">
        <f t="shared" si="2"/>
        <v>2020.06</v>
      </c>
      <c r="B339" s="543">
        <v>113.81634475859616</v>
      </c>
    </row>
    <row r="340" spans="1:2">
      <c r="A340" s="49">
        <f t="shared" si="2"/>
        <v>2020.07</v>
      </c>
      <c r="B340" s="543">
        <v>117.63834116174493</v>
      </c>
    </row>
    <row r="341" spans="1:2">
      <c r="A341" s="49">
        <f t="shared" si="2"/>
        <v>2020.08</v>
      </c>
      <c r="B341" s="543">
        <v>119.80443381416464</v>
      </c>
    </row>
    <row r="342" spans="1:2">
      <c r="A342" s="49">
        <f t="shared" si="2"/>
        <v>2020.09</v>
      </c>
      <c r="B342" s="543">
        <v>121.65693911299603</v>
      </c>
    </row>
    <row r="343" spans="1:2">
      <c r="A343" s="49">
        <f t="shared" si="2"/>
        <v>2020.1</v>
      </c>
      <c r="B343" s="543">
        <v>125.13548935125306</v>
      </c>
    </row>
    <row r="344" spans="1:2">
      <c r="A344" s="49">
        <f t="shared" si="2"/>
        <v>2020.11</v>
      </c>
      <c r="B344" s="543">
        <v>130.24721763845901</v>
      </c>
    </row>
    <row r="345" spans="1:2">
      <c r="A345" s="49">
        <f t="shared" si="2"/>
        <v>2020.12</v>
      </c>
      <c r="B345" s="543">
        <v>127.76938389447075</v>
      </c>
    </row>
    <row r="346" spans="1:2">
      <c r="A346" s="49">
        <f t="shared" si="2"/>
        <v>2021.01</v>
      </c>
      <c r="B346" s="543">
        <v>128.116716115694</v>
      </c>
    </row>
    <row r="347" spans="1:2">
      <c r="A347" s="49">
        <f t="shared" si="2"/>
        <v>2021.02</v>
      </c>
      <c r="B347" s="543">
        <v>127.77462810399349</v>
      </c>
    </row>
    <row r="348" spans="1:2">
      <c r="A348" s="49">
        <f t="shared" si="2"/>
        <v>2021.03</v>
      </c>
      <c r="B348" s="543">
        <v>128.38992158751384</v>
      </c>
    </row>
    <row r="349" spans="1:2">
      <c r="A349" s="49">
        <f t="shared" si="2"/>
        <v>2021.04</v>
      </c>
      <c r="B349" s="543">
        <v>128.70587837409252</v>
      </c>
    </row>
    <row r="350" spans="1:2">
      <c r="A350" s="49">
        <f t="shared" si="2"/>
        <v>2021.05</v>
      </c>
      <c r="B350" s="543">
        <v>128.02260437697691</v>
      </c>
    </row>
    <row r="351" spans="1:2">
      <c r="A351" s="49">
        <f t="shared" si="2"/>
        <v>2021.06</v>
      </c>
      <c r="B351" s="543">
        <v>126.88689088632078</v>
      </c>
    </row>
    <row r="352" spans="1:2">
      <c r="A352" s="49">
        <f t="shared" si="2"/>
        <v>2021.07</v>
      </c>
      <c r="B352" s="543">
        <v>127.67468584515352</v>
      </c>
    </row>
    <row r="353" spans="1:2">
      <c r="A353" s="49">
        <f t="shared" si="2"/>
        <v>2021.08</v>
      </c>
      <c r="B353" s="543">
        <v>128.19790130901595</v>
      </c>
    </row>
    <row r="354" spans="1:2">
      <c r="A354" s="49">
        <f t="shared" si="2"/>
        <v>2021.09</v>
      </c>
      <c r="B354" s="543">
        <v>130.26739663658958</v>
      </c>
    </row>
    <row r="355" spans="1:2">
      <c r="A355" s="49">
        <f t="shared" si="2"/>
        <v>2021.1</v>
      </c>
      <c r="B355" s="543">
        <v>130.90509139465323</v>
      </c>
    </row>
    <row r="356" spans="1:2">
      <c r="A356" s="49">
        <f t="shared" si="2"/>
        <v>2021.11</v>
      </c>
      <c r="B356" s="543">
        <v>132.34031915362527</v>
      </c>
    </row>
    <row r="357" spans="1:2">
      <c r="A357" s="49">
        <f t="shared" si="2"/>
        <v>2021.12</v>
      </c>
      <c r="B357" s="543">
        <v>132.91604664820716</v>
      </c>
    </row>
    <row r="358" spans="1:2">
      <c r="A358" s="49">
        <f t="shared" si="2"/>
        <v>2022.01</v>
      </c>
      <c r="B358" s="543">
        <v>131.88511717889477</v>
      </c>
    </row>
    <row r="359" spans="1:2">
      <c r="A359" s="49">
        <f t="shared" si="2"/>
        <v>2022.02</v>
      </c>
      <c r="B359" s="543">
        <v>136.11017635821375</v>
      </c>
    </row>
    <row r="360" spans="1:2">
      <c r="A360" s="49">
        <f t="shared" si="2"/>
        <v>2022.03</v>
      </c>
      <c r="B360" s="543">
        <v>136.08894131119467</v>
      </c>
    </row>
    <row r="361" spans="1:2">
      <c r="A361" s="49">
        <f t="shared" si="2"/>
        <v>2022.04</v>
      </c>
      <c r="B361" s="543">
        <v>135.53948860108775</v>
      </c>
    </row>
    <row r="362" spans="1:2">
      <c r="A362" s="49">
        <f t="shared" si="2"/>
        <v>2022.05</v>
      </c>
      <c r="B362" s="543">
        <v>135.25882493172222</v>
      </c>
    </row>
    <row r="363" spans="1:2">
      <c r="A363" s="49">
        <f t="shared" si="2"/>
        <v>2022.06</v>
      </c>
      <c r="B363" s="543">
        <v>134.07891932076515</v>
      </c>
    </row>
    <row r="364" spans="1:2">
      <c r="A364" s="49">
        <f t="shared" si="2"/>
        <v>2022.07</v>
      </c>
      <c r="B364" s="543">
        <v>132.70314561410291</v>
      </c>
    </row>
    <row r="365" spans="1:2">
      <c r="A365" s="49">
        <f t="shared" si="2"/>
        <v>2022.08</v>
      </c>
      <c r="B365" s="543">
        <v>130.5412801847541</v>
      </c>
    </row>
    <row r="366" spans="1:2">
      <c r="A366" s="49">
        <f t="shared" si="2"/>
        <v>2022.09</v>
      </c>
      <c r="B366" s="543">
        <v>130.90962146289598</v>
      </c>
    </row>
    <row r="367" spans="1:2">
      <c r="A367" s="49">
        <f t="shared" si="2"/>
        <v>2022.1</v>
      </c>
      <c r="B367" s="543">
        <v>130.36883531472657</v>
      </c>
    </row>
    <row r="368" spans="1:2">
      <c r="A368" s="49">
        <f t="shared" si="2"/>
        <v>2022.11</v>
      </c>
      <c r="B368" s="543">
        <v>130.84551919380488</v>
      </c>
    </row>
    <row r="369" spans="1:2">
      <c r="A369" s="49">
        <f t="shared" si="2"/>
        <v>2022.12</v>
      </c>
      <c r="B369" s="543">
        <v>133.71366492208818</v>
      </c>
    </row>
    <row r="370" spans="1:2">
      <c r="A370" s="49">
        <f t="shared" si="2"/>
        <v>2023.01</v>
      </c>
      <c r="B370" s="543">
        <v>136.22751907603211</v>
      </c>
    </row>
    <row r="371" spans="1:2">
      <c r="A371" s="49">
        <f t="shared" si="2"/>
        <v>2023.02</v>
      </c>
      <c r="B371" s="543">
        <v>137.55171668221425</v>
      </c>
    </row>
    <row r="372" spans="1:2">
      <c r="A372" s="49">
        <f t="shared" si="2"/>
        <v>2023.03</v>
      </c>
      <c r="B372" s="543">
        <v>137.10549219026899</v>
      </c>
    </row>
    <row r="373" spans="1:2">
      <c r="A373" s="49">
        <f t="shared" si="2"/>
        <v>2023.04</v>
      </c>
      <c r="B373" s="543">
        <v>137.87765797552609</v>
      </c>
    </row>
    <row r="374" spans="1:2">
      <c r="A374" s="49">
        <f t="shared" si="2"/>
        <v>2023.05</v>
      </c>
      <c r="B374" s="543">
        <v>137.52470946556585</v>
      </c>
    </row>
    <row r="375" spans="1:2">
      <c r="A375" s="49">
        <f t="shared" si="2"/>
        <v>2023.06</v>
      </c>
      <c r="B375" s="543">
        <v>140.53194423462705</v>
      </c>
    </row>
    <row r="376" spans="1:2">
      <c r="A376" s="49">
        <f t="shared" si="2"/>
        <v>2023.07</v>
      </c>
      <c r="B376" s="543">
        <v>136.21002655227505</v>
      </c>
    </row>
    <row r="377" spans="1:2">
      <c r="A377" s="49">
        <f t="shared" si="2"/>
        <v>2023.08</v>
      </c>
      <c r="B377" s="543">
        <v>140.1181222184193</v>
      </c>
    </row>
    <row r="378" spans="1:2">
      <c r="A378" s="49">
        <f t="shared" si="2"/>
        <v>2023.09</v>
      </c>
      <c r="B378" s="543">
        <v>137.26025133063595</v>
      </c>
    </row>
    <row r="379" spans="1:2">
      <c r="A379" s="49">
        <f t="shared" si="2"/>
        <v>2023.1</v>
      </c>
      <c r="B379" s="543">
        <v>135.33780989357399</v>
      </c>
    </row>
    <row r="380" spans="1:2">
      <c r="A380" s="49">
        <f t="shared" si="2"/>
        <v>2023.11</v>
      </c>
      <c r="B380" s="543">
        <v>132.87624097009618</v>
      </c>
    </row>
    <row r="381" spans="1:2">
      <c r="A381" s="49">
        <f t="shared" si="2"/>
        <v>2023.12</v>
      </c>
      <c r="B381" s="543">
        <v>125.49178628932309</v>
      </c>
    </row>
    <row r="382" spans="1:2">
      <c r="A382" s="49">
        <f t="shared" ref="A382:A404" si="3">A370+1</f>
        <v>2024.01</v>
      </c>
      <c r="B382" s="543">
        <v>124.13043333197375</v>
      </c>
    </row>
    <row r="383" spans="1:2">
      <c r="A383" s="49">
        <f t="shared" si="3"/>
        <v>2024.02</v>
      </c>
      <c r="B383" s="543">
        <v>115.66823032878914</v>
      </c>
    </row>
    <row r="384" spans="1:2">
      <c r="A384" s="49">
        <f t="shared" si="3"/>
        <v>2024.03</v>
      </c>
      <c r="B384" s="543">
        <v>116.7340914506192</v>
      </c>
    </row>
    <row r="385" spans="1:2">
      <c r="A385" s="49">
        <f t="shared" si="3"/>
        <v>2024.04</v>
      </c>
      <c r="B385" s="543" t="e">
        <v>#N/A</v>
      </c>
    </row>
    <row r="386" spans="1:2">
      <c r="A386" s="49">
        <f t="shared" si="3"/>
        <v>2024.05</v>
      </c>
      <c r="B386" s="543" t="e">
        <v>#N/A</v>
      </c>
    </row>
    <row r="387" spans="1:2">
      <c r="A387" s="49">
        <f t="shared" si="3"/>
        <v>2024.06</v>
      </c>
      <c r="B387" s="543" t="e">
        <v>#N/A</v>
      </c>
    </row>
    <row r="388" spans="1:2">
      <c r="A388" s="49">
        <f t="shared" si="3"/>
        <v>2024.07</v>
      </c>
      <c r="B388" s="543" t="e">
        <v>#N/A</v>
      </c>
    </row>
    <row r="389" spans="1:2">
      <c r="A389" s="49">
        <f t="shared" si="3"/>
        <v>2024.08</v>
      </c>
      <c r="B389" s="543" t="e">
        <v>#N/A</v>
      </c>
    </row>
    <row r="390" spans="1:2">
      <c r="A390" s="49">
        <f t="shared" si="3"/>
        <v>2024.09</v>
      </c>
      <c r="B390" s="543" t="e">
        <v>#N/A</v>
      </c>
    </row>
    <row r="391" spans="1:2">
      <c r="A391" s="49">
        <f t="shared" si="3"/>
        <v>2024.1</v>
      </c>
      <c r="B391" s="543" t="e">
        <v>#N/A</v>
      </c>
    </row>
    <row r="392" spans="1:2">
      <c r="A392" s="49">
        <f t="shared" si="3"/>
        <v>2024.11</v>
      </c>
      <c r="B392" s="543" t="e">
        <v>#N/A</v>
      </c>
    </row>
    <row r="393" spans="1:2">
      <c r="A393" s="49">
        <f t="shared" si="3"/>
        <v>2024.12</v>
      </c>
      <c r="B393" s="543" t="e">
        <v>#N/A</v>
      </c>
    </row>
    <row r="394" spans="1:2">
      <c r="A394" s="49">
        <f t="shared" si="3"/>
        <v>2025.01</v>
      </c>
      <c r="B394" s="543" t="e">
        <v>#N/A</v>
      </c>
    </row>
    <row r="395" spans="1:2">
      <c r="A395" s="49">
        <f t="shared" si="3"/>
        <v>2025.02</v>
      </c>
      <c r="B395" s="543" t="e">
        <v>#N/A</v>
      </c>
    </row>
    <row r="396" spans="1:2">
      <c r="A396" s="49">
        <f t="shared" si="3"/>
        <v>2025.03</v>
      </c>
      <c r="B396" s="543" t="e">
        <v>#N/A</v>
      </c>
    </row>
    <row r="397" spans="1:2">
      <c r="A397" s="49">
        <f t="shared" si="3"/>
        <v>2025.04</v>
      </c>
      <c r="B397" s="543" t="e">
        <v>#N/A</v>
      </c>
    </row>
    <row r="398" spans="1:2">
      <c r="A398" s="49">
        <f t="shared" si="3"/>
        <v>2025.05</v>
      </c>
      <c r="B398" s="543" t="e">
        <v>#N/A</v>
      </c>
    </row>
    <row r="399" spans="1:2">
      <c r="A399" s="49">
        <f t="shared" si="3"/>
        <v>2025.06</v>
      </c>
      <c r="B399" s="543" t="e">
        <v>#N/A</v>
      </c>
    </row>
    <row r="400" spans="1:2">
      <c r="A400" s="49">
        <f t="shared" si="3"/>
        <v>2025.07</v>
      </c>
      <c r="B400" s="543" t="e">
        <v>#N/A</v>
      </c>
    </row>
    <row r="401" spans="1:2">
      <c r="A401" s="49">
        <f t="shared" si="3"/>
        <v>2025.08</v>
      </c>
      <c r="B401" s="543" t="e">
        <v>#N/A</v>
      </c>
    </row>
    <row r="402" spans="1:2">
      <c r="A402" s="49">
        <f t="shared" si="3"/>
        <v>2025.09</v>
      </c>
      <c r="B402" s="543" t="e">
        <v>#N/A</v>
      </c>
    </row>
    <row r="403" spans="1:2">
      <c r="A403" s="49">
        <f t="shared" si="3"/>
        <v>2025.1</v>
      </c>
      <c r="B403" s="543" t="e">
        <v>#N/A</v>
      </c>
    </row>
    <row r="404" spans="1:2">
      <c r="A404" s="49">
        <f t="shared" si="3"/>
        <v>2025.11</v>
      </c>
      <c r="B404" s="543" t="e">
        <v>#N/A</v>
      </c>
    </row>
    <row r="405" spans="1:2">
      <c r="A405" s="49">
        <f t="shared" ref="A405:A445" si="4">A393+1</f>
        <v>2025.12</v>
      </c>
      <c r="B405" s="543" t="e">
        <v>#N/A</v>
      </c>
    </row>
    <row r="406" spans="1:2">
      <c r="A406" s="49">
        <f t="shared" si="4"/>
        <v>2026.01</v>
      </c>
      <c r="B406" s="543" t="e">
        <v>#N/A</v>
      </c>
    </row>
    <row r="407" spans="1:2">
      <c r="A407" s="49">
        <f t="shared" si="4"/>
        <v>2026.02</v>
      </c>
      <c r="B407" s="543" t="e">
        <v>#N/A</v>
      </c>
    </row>
    <row r="408" spans="1:2">
      <c r="A408" s="49">
        <f t="shared" si="4"/>
        <v>2026.03</v>
      </c>
      <c r="B408" s="543" t="e">
        <v>#N/A</v>
      </c>
    </row>
    <row r="409" spans="1:2">
      <c r="A409" s="49">
        <f t="shared" si="4"/>
        <v>2026.04</v>
      </c>
      <c r="B409" s="543" t="e">
        <v>#N/A</v>
      </c>
    </row>
    <row r="410" spans="1:2">
      <c r="A410" s="49">
        <f t="shared" si="4"/>
        <v>2026.05</v>
      </c>
      <c r="B410" s="543" t="e">
        <v>#N/A</v>
      </c>
    </row>
    <row r="411" spans="1:2">
      <c r="A411" s="49">
        <f t="shared" si="4"/>
        <v>2026.06</v>
      </c>
      <c r="B411" s="543" t="e">
        <v>#N/A</v>
      </c>
    </row>
    <row r="412" spans="1:2">
      <c r="A412" s="49">
        <f t="shared" si="4"/>
        <v>2026.07</v>
      </c>
      <c r="B412" s="543" t="e">
        <v>#N/A</v>
      </c>
    </row>
    <row r="413" spans="1:2">
      <c r="A413" s="49">
        <f t="shared" si="4"/>
        <v>2026.08</v>
      </c>
      <c r="B413" s="543" t="e">
        <v>#N/A</v>
      </c>
    </row>
    <row r="414" spans="1:2">
      <c r="A414" s="49">
        <f t="shared" si="4"/>
        <v>2026.09</v>
      </c>
      <c r="B414" s="543" t="e">
        <v>#N/A</v>
      </c>
    </row>
    <row r="415" spans="1:2">
      <c r="A415" s="49">
        <f t="shared" si="4"/>
        <v>2026.1</v>
      </c>
      <c r="B415" s="543" t="e">
        <v>#N/A</v>
      </c>
    </row>
    <row r="416" spans="1:2">
      <c r="A416" s="49">
        <f t="shared" si="4"/>
        <v>2026.11</v>
      </c>
      <c r="B416" s="543" t="e">
        <v>#N/A</v>
      </c>
    </row>
    <row r="417" spans="1:2">
      <c r="A417" s="49">
        <f t="shared" si="4"/>
        <v>2026.12</v>
      </c>
      <c r="B417" s="543" t="e">
        <v>#N/A</v>
      </c>
    </row>
    <row r="418" spans="1:2">
      <c r="A418" s="49">
        <f t="shared" si="4"/>
        <v>2027.01</v>
      </c>
      <c r="B418" s="543" t="e">
        <v>#N/A</v>
      </c>
    </row>
    <row r="419" spans="1:2">
      <c r="A419" s="49">
        <f t="shared" si="4"/>
        <v>2027.02</v>
      </c>
      <c r="B419" s="543" t="e">
        <v>#N/A</v>
      </c>
    </row>
    <row r="420" spans="1:2">
      <c r="A420" s="49">
        <f t="shared" si="4"/>
        <v>2027.03</v>
      </c>
      <c r="B420" s="543" t="e">
        <v>#N/A</v>
      </c>
    </row>
    <row r="421" spans="1:2">
      <c r="A421" s="49">
        <f t="shared" si="4"/>
        <v>2027.04</v>
      </c>
      <c r="B421" s="543" t="e">
        <v>#N/A</v>
      </c>
    </row>
    <row r="422" spans="1:2">
      <c r="A422" s="49">
        <f t="shared" si="4"/>
        <v>2027.05</v>
      </c>
      <c r="B422" s="543" t="e">
        <v>#N/A</v>
      </c>
    </row>
    <row r="423" spans="1:2">
      <c r="A423" s="49">
        <f t="shared" si="4"/>
        <v>2027.06</v>
      </c>
      <c r="B423" s="543" t="e">
        <v>#N/A</v>
      </c>
    </row>
    <row r="424" spans="1:2">
      <c r="A424" s="49">
        <f t="shared" si="4"/>
        <v>2027.07</v>
      </c>
      <c r="B424" s="543" t="e">
        <v>#N/A</v>
      </c>
    </row>
    <row r="425" spans="1:2">
      <c r="A425" s="49">
        <f t="shared" si="4"/>
        <v>2027.08</v>
      </c>
      <c r="B425" s="543" t="e">
        <v>#N/A</v>
      </c>
    </row>
    <row r="426" spans="1:2">
      <c r="A426" s="49">
        <f t="shared" si="4"/>
        <v>2027.09</v>
      </c>
      <c r="B426" s="543" t="e">
        <v>#N/A</v>
      </c>
    </row>
    <row r="427" spans="1:2">
      <c r="A427" s="49">
        <f t="shared" si="4"/>
        <v>2027.1</v>
      </c>
      <c r="B427" s="543" t="e">
        <v>#N/A</v>
      </c>
    </row>
    <row r="428" spans="1:2">
      <c r="A428" s="49">
        <f t="shared" si="4"/>
        <v>2027.11</v>
      </c>
      <c r="B428" s="543" t="e">
        <v>#N/A</v>
      </c>
    </row>
    <row r="429" spans="1:2">
      <c r="A429" s="49">
        <f t="shared" si="4"/>
        <v>2027.12</v>
      </c>
      <c r="B429" s="543" t="e">
        <v>#N/A</v>
      </c>
    </row>
    <row r="430" spans="1:2">
      <c r="A430" s="49">
        <f t="shared" si="4"/>
        <v>2028.01</v>
      </c>
      <c r="B430" s="543" t="e">
        <v>#N/A</v>
      </c>
    </row>
    <row r="431" spans="1:2">
      <c r="A431" s="49">
        <f t="shared" si="4"/>
        <v>2028.02</v>
      </c>
      <c r="B431" s="543" t="e">
        <v>#N/A</v>
      </c>
    </row>
    <row r="432" spans="1:2">
      <c r="A432" s="49">
        <f t="shared" si="4"/>
        <v>2028.03</v>
      </c>
      <c r="B432" s="543" t="e">
        <v>#N/A</v>
      </c>
    </row>
    <row r="433" spans="1:2">
      <c r="A433" s="49">
        <f t="shared" si="4"/>
        <v>2028.04</v>
      </c>
      <c r="B433" s="543" t="e">
        <v>#N/A</v>
      </c>
    </row>
    <row r="434" spans="1:2">
      <c r="A434" s="49">
        <f t="shared" si="4"/>
        <v>2028.05</v>
      </c>
      <c r="B434" s="543" t="e">
        <v>#N/A</v>
      </c>
    </row>
    <row r="435" spans="1:2">
      <c r="A435" s="49">
        <f t="shared" si="4"/>
        <v>2028.06</v>
      </c>
      <c r="B435" s="543" t="e">
        <v>#N/A</v>
      </c>
    </row>
    <row r="436" spans="1:2">
      <c r="A436" s="49">
        <f t="shared" si="4"/>
        <v>2028.07</v>
      </c>
      <c r="B436" s="543" t="e">
        <v>#N/A</v>
      </c>
    </row>
    <row r="437" spans="1:2">
      <c r="A437" s="49">
        <f t="shared" si="4"/>
        <v>2028.08</v>
      </c>
      <c r="B437" s="543" t="e">
        <v>#N/A</v>
      </c>
    </row>
    <row r="438" spans="1:2">
      <c r="A438" s="49">
        <f t="shared" si="4"/>
        <v>2028.09</v>
      </c>
      <c r="B438" s="543" t="e">
        <v>#N/A</v>
      </c>
    </row>
    <row r="439" spans="1:2">
      <c r="A439" s="49">
        <f t="shared" si="4"/>
        <v>2028.1</v>
      </c>
      <c r="B439" s="543" t="e">
        <v>#N/A</v>
      </c>
    </row>
    <row r="440" spans="1:2">
      <c r="A440" s="49">
        <f t="shared" si="4"/>
        <v>2028.11</v>
      </c>
      <c r="B440" s="543" t="e">
        <v>#N/A</v>
      </c>
    </row>
    <row r="441" spans="1:2">
      <c r="A441" s="49">
        <f t="shared" si="4"/>
        <v>2028.12</v>
      </c>
      <c r="B441" s="543" t="e">
        <v>#N/A</v>
      </c>
    </row>
    <row r="442" spans="1:2">
      <c r="A442" s="49">
        <f t="shared" si="4"/>
        <v>2029.01</v>
      </c>
      <c r="B442" s="543" t="e">
        <v>#N/A</v>
      </c>
    </row>
    <row r="443" spans="1:2">
      <c r="A443" s="49">
        <f t="shared" si="4"/>
        <v>2029.02</v>
      </c>
      <c r="B443" s="543" t="e">
        <v>#N/A</v>
      </c>
    </row>
    <row r="444" spans="1:2">
      <c r="A444" s="49">
        <f t="shared" si="4"/>
        <v>2029.03</v>
      </c>
      <c r="B444" s="543" t="e">
        <v>#N/A</v>
      </c>
    </row>
    <row r="445" spans="1:2">
      <c r="A445" s="49">
        <f t="shared" si="4"/>
        <v>2029.04</v>
      </c>
      <c r="B445" s="543" t="e">
        <v>#N/A</v>
      </c>
    </row>
    <row r="446" spans="1:2">
      <c r="A446" s="49">
        <f t="shared" ref="A446" si="5">A434+1</f>
        <v>2029.05</v>
      </c>
      <c r="B446" s="543" t="e">
        <v>#N/A</v>
      </c>
    </row>
    <row r="447" spans="1:2">
      <c r="A447" s="49">
        <f>A435+1</f>
        <v>2029.06</v>
      </c>
      <c r="B447" s="543" t="e">
        <v>#N/A</v>
      </c>
    </row>
    <row r="448" spans="1:2">
      <c r="A448" s="49">
        <f t="shared" ref="A448:A465" si="6">A436+1</f>
        <v>2029.07</v>
      </c>
      <c r="B448" s="543" t="e">
        <v>#N/A</v>
      </c>
    </row>
    <row r="449" spans="1:2">
      <c r="A449" s="49">
        <f t="shared" si="6"/>
        <v>2029.08</v>
      </c>
      <c r="B449" s="543" t="e">
        <v>#N/A</v>
      </c>
    </row>
    <row r="450" spans="1:2">
      <c r="A450" s="49">
        <f t="shared" si="6"/>
        <v>2029.09</v>
      </c>
      <c r="B450" s="543" t="e">
        <v>#N/A</v>
      </c>
    </row>
    <row r="451" spans="1:2">
      <c r="A451" s="49">
        <f t="shared" si="6"/>
        <v>2029.1</v>
      </c>
      <c r="B451" s="543" t="e">
        <v>#N/A</v>
      </c>
    </row>
    <row r="452" spans="1:2">
      <c r="A452" s="49">
        <f t="shared" si="6"/>
        <v>2029.11</v>
      </c>
      <c r="B452" s="543" t="e">
        <v>#N/A</v>
      </c>
    </row>
    <row r="453" spans="1:2">
      <c r="A453" s="49">
        <f t="shared" si="6"/>
        <v>2029.12</v>
      </c>
      <c r="B453" s="543" t="e">
        <v>#N/A</v>
      </c>
    </row>
    <row r="454" spans="1:2">
      <c r="A454" s="49">
        <f t="shared" si="6"/>
        <v>2030.01</v>
      </c>
      <c r="B454" s="543" t="e">
        <v>#N/A</v>
      </c>
    </row>
    <row r="455" spans="1:2">
      <c r="A455" s="49">
        <f t="shared" si="6"/>
        <v>2030.02</v>
      </c>
      <c r="B455" s="543" t="e">
        <v>#N/A</v>
      </c>
    </row>
    <row r="456" spans="1:2">
      <c r="A456" s="49">
        <f t="shared" si="6"/>
        <v>2030.03</v>
      </c>
      <c r="B456" s="543" t="e">
        <v>#N/A</v>
      </c>
    </row>
    <row r="457" spans="1:2">
      <c r="A457" s="49">
        <f t="shared" si="6"/>
        <v>2030.04</v>
      </c>
      <c r="B457" s="543" t="e">
        <v>#N/A</v>
      </c>
    </row>
    <row r="458" spans="1:2">
      <c r="A458" s="49">
        <f t="shared" si="6"/>
        <v>2030.05</v>
      </c>
      <c r="B458" s="543" t="e">
        <v>#N/A</v>
      </c>
    </row>
    <row r="459" spans="1:2">
      <c r="A459" s="49">
        <f t="shared" si="6"/>
        <v>2030.06</v>
      </c>
      <c r="B459" s="543" t="e">
        <v>#N/A</v>
      </c>
    </row>
    <row r="460" spans="1:2">
      <c r="A460" s="49">
        <f t="shared" si="6"/>
        <v>2030.07</v>
      </c>
      <c r="B460" s="543" t="e">
        <v>#N/A</v>
      </c>
    </row>
    <row r="461" spans="1:2">
      <c r="A461" s="49">
        <f t="shared" si="6"/>
        <v>2030.08</v>
      </c>
      <c r="B461" s="543" t="e">
        <v>#N/A</v>
      </c>
    </row>
    <row r="462" spans="1:2">
      <c r="A462" s="49">
        <f t="shared" si="6"/>
        <v>2030.09</v>
      </c>
      <c r="B462" s="543" t="e">
        <v>#N/A</v>
      </c>
    </row>
    <row r="463" spans="1:2">
      <c r="A463" s="49">
        <f t="shared" si="6"/>
        <v>2030.1</v>
      </c>
      <c r="B463" s="543" t="e">
        <v>#N/A</v>
      </c>
    </row>
    <row r="464" spans="1:2">
      <c r="A464" s="49">
        <f t="shared" si="6"/>
        <v>2030.11</v>
      </c>
      <c r="B464" s="543" t="e">
        <v>#N/A</v>
      </c>
    </row>
    <row r="465" spans="1:2">
      <c r="A465" s="49">
        <f t="shared" si="6"/>
        <v>2030.12</v>
      </c>
      <c r="B465" s="543" t="e">
        <v>#N/A</v>
      </c>
    </row>
  </sheetData>
  <phoneticPr fontId="0" type="noConversion"/>
  <hyperlinks>
    <hyperlink ref="A5" location="INDICE!A13" display="VOLVER AL INDICE" xr:uid="{00000000-0004-0000-05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2"/>
  <dimension ref="A1:I309"/>
  <sheetViews>
    <sheetView zoomScale="115" zoomScaleNormal="115" workbookViewId="0">
      <pane xSplit="1" ySplit="9" topLeftCell="B17" activePane="bottomRight" state="frozen"/>
      <selection sqref="A1:A5"/>
      <selection pane="topRight" sqref="A1:A5"/>
      <selection pane="bottomLeft" sqref="A1:A5"/>
      <selection pane="bottomRight" activeCell="A5" sqref="A5"/>
    </sheetView>
  </sheetViews>
  <sheetFormatPr baseColWidth="10" defaultColWidth="12.5703125" defaultRowHeight="12.75"/>
  <cols>
    <col min="1" max="1" width="11" style="222" customWidth="1"/>
    <col min="2" max="7" width="18.5703125" style="222" customWidth="1"/>
    <col min="8" max="16384" width="12.5703125" style="16"/>
  </cols>
  <sheetData>
    <row r="1" spans="1:7" s="14" customFormat="1" ht="3.75" customHeight="1">
      <c r="A1" s="37"/>
      <c r="B1" s="326"/>
      <c r="C1" s="327"/>
      <c r="D1" s="327"/>
      <c r="E1" s="327"/>
      <c r="F1" s="327"/>
      <c r="G1" s="328"/>
    </row>
    <row r="2" spans="1:7" s="14" customFormat="1">
      <c r="A2" s="121" t="s">
        <v>212</v>
      </c>
      <c r="B2" s="237" t="s">
        <v>312</v>
      </c>
      <c r="C2" s="238"/>
      <c r="D2" s="234"/>
      <c r="E2" s="241"/>
      <c r="F2" s="234"/>
      <c r="G2" s="241"/>
    </row>
    <row r="3" spans="1:7" s="14" customFormat="1" ht="22.5">
      <c r="A3" s="121" t="s">
        <v>211</v>
      </c>
      <c r="B3" s="239" t="s">
        <v>313</v>
      </c>
      <c r="C3" s="240"/>
      <c r="D3" s="324"/>
      <c r="E3" s="760"/>
      <c r="F3" s="324" t="s">
        <v>250</v>
      </c>
      <c r="G3" s="325"/>
    </row>
    <row r="4" spans="1:7" s="14" customFormat="1" ht="2.25" customHeight="1">
      <c r="A4" s="224"/>
      <c r="B4" s="248"/>
      <c r="C4" s="323"/>
      <c r="D4" s="323"/>
      <c r="E4" s="759"/>
      <c r="F4" s="323"/>
      <c r="G4" s="250"/>
    </row>
    <row r="5" spans="1:7" s="14" customFormat="1" ht="22.5">
      <c r="A5" s="45" t="s">
        <v>213</v>
      </c>
      <c r="B5" s="2233" t="s">
        <v>383</v>
      </c>
      <c r="C5" s="340" t="s">
        <v>386</v>
      </c>
      <c r="D5" s="2223" t="s">
        <v>384</v>
      </c>
      <c r="E5" s="756" t="s">
        <v>385</v>
      </c>
      <c r="F5" s="2223" t="s">
        <v>1014</v>
      </c>
      <c r="G5" s="402" t="s">
        <v>1015</v>
      </c>
    </row>
    <row r="6" spans="1:7" s="14" customFormat="1" ht="2.25" customHeight="1">
      <c r="A6" s="224"/>
      <c r="B6" s="2234"/>
      <c r="C6" s="323"/>
      <c r="D6" s="2240"/>
      <c r="E6" s="759"/>
      <c r="F6" s="2224"/>
      <c r="G6" s="250"/>
    </row>
    <row r="7" spans="1:7" s="14" customFormat="1" ht="22.5">
      <c r="A7" s="47" t="s">
        <v>210</v>
      </c>
      <c r="B7" s="2235" t="s">
        <v>62</v>
      </c>
      <c r="C7" s="756" t="s">
        <v>62</v>
      </c>
      <c r="D7" s="2225" t="s">
        <v>62</v>
      </c>
      <c r="E7" s="756" t="s">
        <v>62</v>
      </c>
      <c r="F7" s="2225" t="s">
        <v>62</v>
      </c>
      <c r="G7" s="402" t="s">
        <v>62</v>
      </c>
    </row>
    <row r="8" spans="1:7" s="14" customFormat="1" ht="13.5" customHeight="1">
      <c r="A8" s="225" t="s">
        <v>412</v>
      </c>
      <c r="B8" s="1588" t="s">
        <v>707</v>
      </c>
      <c r="C8" s="396" t="s">
        <v>708</v>
      </c>
      <c r="D8" s="1588" t="s">
        <v>709</v>
      </c>
      <c r="E8" s="396" t="s">
        <v>710</v>
      </c>
      <c r="F8" s="1588" t="s">
        <v>1016</v>
      </c>
      <c r="G8" s="391" t="s">
        <v>1017</v>
      </c>
    </row>
    <row r="9" spans="1:7" s="15" customFormat="1" ht="13.5" thickBot="1">
      <c r="A9" s="194"/>
      <c r="B9" s="2236"/>
      <c r="C9" s="381"/>
      <c r="D9" s="2226"/>
      <c r="E9" s="757"/>
      <c r="F9" s="2226"/>
      <c r="G9" s="2221"/>
    </row>
    <row r="10" spans="1:7" s="15" customFormat="1" hidden="1">
      <c r="A10" s="219">
        <v>2006.01</v>
      </c>
      <c r="B10" s="2237"/>
      <c r="C10" s="2232"/>
      <c r="D10" s="2227"/>
      <c r="E10" s="2239"/>
      <c r="F10" s="2227"/>
      <c r="G10" s="2222"/>
    </row>
    <row r="11" spans="1:7" s="15" customFormat="1" hidden="1">
      <c r="A11" s="219">
        <v>2006.02</v>
      </c>
      <c r="B11" s="2237"/>
      <c r="C11" s="2232"/>
      <c r="D11" s="2227"/>
      <c r="E11" s="2239"/>
      <c r="F11" s="2227"/>
      <c r="G11" s="2222"/>
    </row>
    <row r="12" spans="1:7" s="15" customFormat="1" hidden="1">
      <c r="A12" s="219">
        <v>2006.03</v>
      </c>
      <c r="B12" s="2237"/>
      <c r="C12" s="2232"/>
      <c r="D12" s="2227"/>
      <c r="E12" s="2239"/>
      <c r="F12" s="2227"/>
      <c r="G12" s="2222"/>
    </row>
    <row r="13" spans="1:7" s="15" customFormat="1" hidden="1">
      <c r="A13" s="219">
        <v>2006.04</v>
      </c>
      <c r="B13" s="2237"/>
      <c r="C13" s="2232"/>
      <c r="D13" s="2227"/>
      <c r="E13" s="2239"/>
      <c r="F13" s="2227"/>
      <c r="G13" s="2222"/>
    </row>
    <row r="14" spans="1:7" s="15" customFormat="1" hidden="1">
      <c r="A14" s="219">
        <v>2006.05</v>
      </c>
      <c r="B14" s="2237"/>
      <c r="C14" s="2232"/>
      <c r="D14" s="2227"/>
      <c r="E14" s="2239"/>
      <c r="F14" s="2227"/>
      <c r="G14" s="2222"/>
    </row>
    <row r="15" spans="1:7" s="15" customFormat="1" hidden="1">
      <c r="A15" s="219">
        <v>2006.06</v>
      </c>
      <c r="B15" s="2237"/>
      <c r="C15" s="2232"/>
      <c r="D15" s="2227"/>
      <c r="E15" s="2239"/>
      <c r="F15" s="2227"/>
      <c r="G15" s="2222"/>
    </row>
    <row r="16" spans="1:7" s="15" customFormat="1" hidden="1">
      <c r="A16" s="219">
        <v>2006.07</v>
      </c>
      <c r="B16" s="2237"/>
      <c r="C16" s="2232"/>
      <c r="D16" s="2227"/>
      <c r="E16" s="2239"/>
      <c r="F16" s="2227"/>
      <c r="G16" s="2222"/>
    </row>
    <row r="17" spans="1:7" s="15" customFormat="1">
      <c r="A17" s="219">
        <v>2006.08</v>
      </c>
      <c r="B17" s="2230">
        <v>10</v>
      </c>
      <c r="C17" s="758">
        <v>13.7323154157</v>
      </c>
      <c r="D17" s="2227"/>
      <c r="E17" s="2239"/>
      <c r="F17" s="2227"/>
      <c r="G17" s="2222"/>
    </row>
    <row r="18" spans="1:7" s="15" customFormat="1">
      <c r="A18" s="219">
        <v>2006.09</v>
      </c>
      <c r="B18" s="2238">
        <v>10</v>
      </c>
      <c r="C18" s="628">
        <v>11.8859146675</v>
      </c>
      <c r="D18" s="2227"/>
      <c r="E18" s="2239"/>
      <c r="F18" s="2227"/>
      <c r="G18" s="2222"/>
    </row>
    <row r="19" spans="1:7" s="15" customFormat="1">
      <c r="A19" s="219">
        <v>2006.1</v>
      </c>
      <c r="B19" s="2238">
        <v>10</v>
      </c>
      <c r="C19" s="628">
        <v>11.7282029256</v>
      </c>
      <c r="D19" s="2227"/>
      <c r="E19" s="2239"/>
      <c r="F19" s="2227"/>
      <c r="G19" s="2222"/>
    </row>
    <row r="20" spans="1:7" s="15" customFormat="1">
      <c r="A20" s="219">
        <v>2006.11</v>
      </c>
      <c r="B20" s="2238">
        <v>10</v>
      </c>
      <c r="C20" s="628">
        <v>12.7266854551</v>
      </c>
      <c r="D20" s="2227"/>
      <c r="E20" s="2239"/>
      <c r="F20" s="2227"/>
      <c r="G20" s="2222"/>
    </row>
    <row r="21" spans="1:7" s="15" customFormat="1">
      <c r="A21" s="219">
        <v>2006.12</v>
      </c>
      <c r="B21" s="2238">
        <v>10</v>
      </c>
      <c r="C21" s="628">
        <v>13.8634469293</v>
      </c>
      <c r="D21" s="2227"/>
      <c r="E21" s="2239"/>
      <c r="F21" s="2227"/>
      <c r="G21" s="2222"/>
    </row>
    <row r="22" spans="1:7" s="15" customFormat="1">
      <c r="A22" s="219">
        <v>2007.01</v>
      </c>
      <c r="B22" s="2238">
        <v>10</v>
      </c>
      <c r="C22" s="628">
        <v>13.763961481699999</v>
      </c>
      <c r="D22" s="2227"/>
      <c r="E22" s="2239"/>
      <c r="F22" s="2227"/>
      <c r="G22" s="2222"/>
    </row>
    <row r="23" spans="1:7" s="15" customFormat="1">
      <c r="A23" s="219">
        <v>2007.02</v>
      </c>
      <c r="B23" s="2238">
        <v>10</v>
      </c>
      <c r="C23" s="628">
        <v>13.181151679999999</v>
      </c>
      <c r="D23" s="2227"/>
      <c r="E23" s="2239"/>
      <c r="F23" s="2227"/>
      <c r="G23" s="2222"/>
    </row>
    <row r="24" spans="1:7" s="15" customFormat="1">
      <c r="A24" s="219">
        <v>2007.03</v>
      </c>
      <c r="B24" s="2238">
        <v>10</v>
      </c>
      <c r="C24" s="628">
        <v>13.490551612200001</v>
      </c>
      <c r="D24" s="2227"/>
      <c r="E24" s="2239"/>
      <c r="F24" s="2227"/>
      <c r="G24" s="2222"/>
    </row>
    <row r="25" spans="1:7" s="15" customFormat="1">
      <c r="A25" s="219">
        <v>2007.04</v>
      </c>
      <c r="B25" s="2238">
        <v>15</v>
      </c>
      <c r="C25" s="628">
        <v>15.441637994799999</v>
      </c>
      <c r="D25" s="2227"/>
      <c r="E25" s="2239"/>
      <c r="F25" s="2227"/>
      <c r="G25" s="2222"/>
    </row>
    <row r="26" spans="1:7" s="15" customFormat="1">
      <c r="A26" s="219">
        <v>2007.05</v>
      </c>
      <c r="B26" s="2238">
        <v>15</v>
      </c>
      <c r="C26" s="628">
        <v>18.965335534200001</v>
      </c>
      <c r="D26" s="2227"/>
      <c r="E26" s="2239"/>
      <c r="F26" s="2227"/>
      <c r="G26" s="2222"/>
    </row>
    <row r="27" spans="1:7" s="15" customFormat="1">
      <c r="A27" s="219">
        <v>2007.06</v>
      </c>
      <c r="B27" s="2238">
        <v>15</v>
      </c>
      <c r="C27" s="628">
        <v>18.906665226099999</v>
      </c>
      <c r="D27" s="2227"/>
      <c r="E27" s="2239"/>
      <c r="F27" s="2227"/>
      <c r="G27" s="2222"/>
    </row>
    <row r="28" spans="1:7" s="15" customFormat="1">
      <c r="A28" s="219">
        <v>2007.07</v>
      </c>
      <c r="B28" s="2238">
        <v>15</v>
      </c>
      <c r="C28" s="628">
        <v>20.898196258900001</v>
      </c>
      <c r="D28" s="2227"/>
      <c r="E28" s="2239"/>
      <c r="F28" s="2227"/>
      <c r="G28" s="2222"/>
    </row>
    <row r="29" spans="1:7" s="15" customFormat="1">
      <c r="A29" s="219">
        <v>2007.08</v>
      </c>
      <c r="B29" s="2238">
        <v>20</v>
      </c>
      <c r="C29" s="628">
        <v>22.755979459199999</v>
      </c>
      <c r="D29" s="2227"/>
      <c r="E29" s="2239"/>
      <c r="F29" s="2227"/>
      <c r="G29" s="2222"/>
    </row>
    <row r="30" spans="1:7" s="15" customFormat="1">
      <c r="A30" s="219">
        <v>2007.09</v>
      </c>
      <c r="B30" s="2238">
        <v>20</v>
      </c>
      <c r="C30" s="628">
        <v>22.9571970533</v>
      </c>
      <c r="D30" s="2227"/>
      <c r="E30" s="2239"/>
      <c r="F30" s="2227"/>
      <c r="G30" s="2222"/>
    </row>
    <row r="31" spans="1:7" s="15" customFormat="1">
      <c r="A31" s="219">
        <v>2007.1</v>
      </c>
      <c r="B31" s="2238">
        <v>20</v>
      </c>
      <c r="C31" s="628">
        <v>25.225440726999999</v>
      </c>
      <c r="D31" s="2227"/>
      <c r="E31" s="2239"/>
      <c r="F31" s="2227"/>
      <c r="G31" s="2222"/>
    </row>
    <row r="32" spans="1:7" s="15" customFormat="1">
      <c r="A32" s="219">
        <v>2007.11</v>
      </c>
      <c r="B32" s="2238">
        <v>20</v>
      </c>
      <c r="C32" s="628">
        <v>22.372526188899997</v>
      </c>
      <c r="D32" s="2227"/>
      <c r="E32" s="2239"/>
      <c r="F32" s="2227"/>
      <c r="G32" s="2222"/>
    </row>
    <row r="33" spans="1:7" s="15" customFormat="1">
      <c r="A33" s="219">
        <v>2007.12</v>
      </c>
      <c r="B33" s="2238">
        <v>20</v>
      </c>
      <c r="C33" s="628">
        <v>23.265140814900001</v>
      </c>
      <c r="D33" s="2227"/>
      <c r="E33" s="2239"/>
      <c r="F33" s="2227"/>
      <c r="G33" s="2222"/>
    </row>
    <row r="34" spans="1:7">
      <c r="A34" s="219">
        <v>2008.01</v>
      </c>
      <c r="B34" s="2238">
        <v>20</v>
      </c>
      <c r="C34" s="628">
        <v>22.504985046600002</v>
      </c>
      <c r="D34" s="2241"/>
      <c r="E34" s="758">
        <v>23.3</v>
      </c>
      <c r="F34" s="2228"/>
      <c r="G34" s="2222"/>
    </row>
    <row r="35" spans="1:7">
      <c r="A35" s="219">
        <v>2008.02</v>
      </c>
      <c r="B35" s="2238">
        <v>20</v>
      </c>
      <c r="C35" s="628">
        <v>23.301251042299999</v>
      </c>
      <c r="D35" s="2242"/>
      <c r="E35" s="628">
        <v>22.8</v>
      </c>
      <c r="F35" s="2229"/>
      <c r="G35" s="2222"/>
    </row>
    <row r="36" spans="1:7">
      <c r="A36" s="219">
        <v>2008.03</v>
      </c>
      <c r="B36" s="2238">
        <v>25</v>
      </c>
      <c r="C36" s="628">
        <v>31.121919460400001</v>
      </c>
      <c r="D36" s="2242"/>
      <c r="E36" s="628">
        <v>27.1</v>
      </c>
      <c r="F36" s="2229"/>
      <c r="G36" s="2222"/>
    </row>
    <row r="37" spans="1:7">
      <c r="A37" s="219">
        <v>2008.04</v>
      </c>
      <c r="B37" s="2238">
        <v>25</v>
      </c>
      <c r="C37" s="628">
        <v>32.816553708100002</v>
      </c>
      <c r="D37" s="2242"/>
      <c r="E37" s="628">
        <v>31.8</v>
      </c>
      <c r="F37" s="2229"/>
      <c r="G37" s="2222"/>
    </row>
    <row r="38" spans="1:7">
      <c r="A38" s="219">
        <v>2008.05</v>
      </c>
      <c r="B38" s="2238">
        <v>30</v>
      </c>
      <c r="C38" s="628">
        <v>36.479644834999995</v>
      </c>
      <c r="D38" s="2242"/>
      <c r="E38" s="628">
        <v>35.799999999999997</v>
      </c>
      <c r="F38" s="2229"/>
      <c r="G38" s="2222"/>
    </row>
    <row r="39" spans="1:7">
      <c r="A39" s="219">
        <v>2008.06</v>
      </c>
      <c r="B39" s="2238">
        <v>30</v>
      </c>
      <c r="C39" s="628">
        <v>34.718966242500002</v>
      </c>
      <c r="D39" s="2242"/>
      <c r="E39" s="628">
        <v>36.700000000000003</v>
      </c>
      <c r="F39" s="2229"/>
      <c r="G39" s="2222"/>
    </row>
    <row r="40" spans="1:7">
      <c r="A40" s="219">
        <v>2008.07</v>
      </c>
      <c r="B40" s="2238">
        <v>30</v>
      </c>
      <c r="C40" s="628">
        <v>32.592564729100005</v>
      </c>
      <c r="D40" s="2242"/>
      <c r="E40" s="628">
        <v>33.700000000000003</v>
      </c>
      <c r="F40" s="2229"/>
      <c r="G40" s="2222"/>
    </row>
    <row r="41" spans="1:7">
      <c r="A41" s="219">
        <v>2008.08</v>
      </c>
      <c r="B41" s="2238">
        <v>25</v>
      </c>
      <c r="C41" s="628">
        <v>30.724019797099999</v>
      </c>
      <c r="D41" s="2242"/>
      <c r="E41" s="628">
        <v>30.8</v>
      </c>
      <c r="F41" s="2229"/>
      <c r="G41" s="2222"/>
    </row>
    <row r="42" spans="1:7">
      <c r="A42" s="219">
        <v>2008.09</v>
      </c>
      <c r="B42" s="2238">
        <v>30</v>
      </c>
      <c r="C42" s="628">
        <v>31.994726688200004</v>
      </c>
      <c r="D42" s="2242"/>
      <c r="E42" s="628">
        <v>32.4</v>
      </c>
      <c r="F42" s="2229"/>
      <c r="G42" s="2222"/>
    </row>
    <row r="43" spans="1:7">
      <c r="A43" s="219">
        <v>2008.1</v>
      </c>
      <c r="B43" s="2238">
        <v>25</v>
      </c>
      <c r="C43" s="628">
        <v>34.1534632364</v>
      </c>
      <c r="D43" s="2242"/>
      <c r="E43" s="628">
        <v>34.1</v>
      </c>
      <c r="F43" s="2229"/>
      <c r="G43" s="2222"/>
    </row>
    <row r="44" spans="1:7">
      <c r="A44" s="219">
        <v>2008.11</v>
      </c>
      <c r="B44" s="2238">
        <v>25</v>
      </c>
      <c r="C44" s="628">
        <v>31.927213896300003</v>
      </c>
      <c r="D44" s="2242"/>
      <c r="E44" s="628">
        <v>30.8</v>
      </c>
      <c r="F44" s="2229"/>
      <c r="G44" s="2222"/>
    </row>
    <row r="45" spans="1:7">
      <c r="A45" s="219">
        <v>2008.12</v>
      </c>
      <c r="B45" s="2238">
        <v>20</v>
      </c>
      <c r="C45" s="628">
        <v>23.450210968200004</v>
      </c>
      <c r="D45" s="2242"/>
      <c r="E45" s="628">
        <v>24.2</v>
      </c>
      <c r="F45" s="2229"/>
      <c r="G45" s="2222"/>
    </row>
    <row r="46" spans="1:7">
      <c r="A46" s="219">
        <v>2009.01</v>
      </c>
      <c r="B46" s="2238">
        <v>20</v>
      </c>
      <c r="C46" s="628">
        <v>28.568333224900002</v>
      </c>
      <c r="D46" s="2242"/>
      <c r="E46" s="628">
        <v>27.4</v>
      </c>
      <c r="F46" s="2229"/>
      <c r="G46" s="2222"/>
    </row>
    <row r="47" spans="1:7">
      <c r="A47" s="219">
        <v>2009.02</v>
      </c>
      <c r="B47" s="2238">
        <v>25</v>
      </c>
      <c r="C47" s="628">
        <v>32.757519810399998</v>
      </c>
      <c r="D47" s="2242"/>
      <c r="E47" s="628">
        <v>31.9</v>
      </c>
      <c r="F47" s="2229"/>
      <c r="G47" s="2222"/>
    </row>
    <row r="48" spans="1:7">
      <c r="A48" s="219">
        <v>2009.03</v>
      </c>
      <c r="B48" s="2238">
        <v>20</v>
      </c>
      <c r="C48" s="628">
        <v>31.0518320682</v>
      </c>
      <c r="D48" s="2242"/>
      <c r="E48" s="628">
        <v>30.9</v>
      </c>
      <c r="F48" s="2229"/>
      <c r="G48" s="2222"/>
    </row>
    <row r="49" spans="1:7">
      <c r="A49" s="219">
        <v>2009.04</v>
      </c>
      <c r="B49" s="2238">
        <v>20</v>
      </c>
      <c r="C49" s="628">
        <v>28.647507621199999</v>
      </c>
      <c r="D49" s="2242"/>
      <c r="E49" s="628">
        <v>29.8</v>
      </c>
      <c r="F49" s="2229"/>
      <c r="G49" s="2222"/>
    </row>
    <row r="50" spans="1:7">
      <c r="A50" s="219">
        <v>2009.05</v>
      </c>
      <c r="B50" s="2238">
        <v>20</v>
      </c>
      <c r="C50" s="628">
        <v>29.880422371599998</v>
      </c>
      <c r="D50" s="2242"/>
      <c r="E50" s="628">
        <v>27.3</v>
      </c>
      <c r="F50" s="2229"/>
      <c r="G50" s="2222"/>
    </row>
    <row r="51" spans="1:7">
      <c r="A51" s="219">
        <v>2009.06</v>
      </c>
      <c r="B51" s="2238">
        <v>20</v>
      </c>
      <c r="C51" s="628">
        <v>31.452739764399997</v>
      </c>
      <c r="D51" s="2242"/>
      <c r="E51" s="628">
        <v>28.3</v>
      </c>
      <c r="F51" s="2229"/>
      <c r="G51" s="2222"/>
    </row>
    <row r="52" spans="1:7">
      <c r="A52" s="219">
        <v>2009.07</v>
      </c>
      <c r="B52" s="2238">
        <v>20</v>
      </c>
      <c r="C52" s="628">
        <v>30.050719125999997</v>
      </c>
      <c r="D52" s="2229"/>
      <c r="E52" s="628">
        <v>31.8</v>
      </c>
      <c r="F52" s="2229"/>
      <c r="G52" s="2222"/>
    </row>
    <row r="53" spans="1:7">
      <c r="A53" s="219">
        <v>2009.08</v>
      </c>
      <c r="B53" s="2238">
        <v>25</v>
      </c>
      <c r="C53" s="628">
        <v>34.0909851937</v>
      </c>
      <c r="D53" s="2229"/>
      <c r="E53" s="628">
        <v>33.799999999999997</v>
      </c>
      <c r="F53" s="2229"/>
      <c r="G53" s="2222"/>
    </row>
    <row r="54" spans="1:7">
      <c r="A54" s="219">
        <v>2009.09</v>
      </c>
      <c r="B54" s="2238">
        <v>20</v>
      </c>
      <c r="C54" s="628">
        <v>29.315979478400003</v>
      </c>
      <c r="D54" s="2230">
        <v>20</v>
      </c>
      <c r="E54" s="628">
        <v>30.6</v>
      </c>
      <c r="F54" s="2229"/>
      <c r="G54" s="2222"/>
    </row>
    <row r="55" spans="1:7">
      <c r="A55" s="219">
        <v>2009.1</v>
      </c>
      <c r="B55" s="2238">
        <v>20</v>
      </c>
      <c r="C55" s="628">
        <v>31.4596291493</v>
      </c>
      <c r="D55" s="2231">
        <v>25</v>
      </c>
      <c r="E55" s="628">
        <v>31</v>
      </c>
      <c r="F55" s="2229"/>
      <c r="G55" s="2222"/>
    </row>
    <row r="56" spans="1:7">
      <c r="A56" s="219">
        <v>2009.11</v>
      </c>
      <c r="B56" s="2238">
        <v>22.5</v>
      </c>
      <c r="C56" s="628">
        <v>29.568107180799998</v>
      </c>
      <c r="D56" s="2231">
        <v>25</v>
      </c>
      <c r="E56" s="628">
        <v>31.8</v>
      </c>
      <c r="F56" s="2229"/>
      <c r="G56" s="2222"/>
    </row>
    <row r="57" spans="1:7">
      <c r="A57" s="219">
        <v>2009.12</v>
      </c>
      <c r="B57" s="2238">
        <v>25</v>
      </c>
      <c r="C57" s="628">
        <v>32.983686344500001</v>
      </c>
      <c r="D57" s="2231">
        <v>25</v>
      </c>
      <c r="E57" s="628">
        <v>30.7</v>
      </c>
      <c r="F57" s="2229"/>
      <c r="G57" s="2222"/>
    </row>
    <row r="58" spans="1:7">
      <c r="A58" s="219">
        <v>2010.01</v>
      </c>
      <c r="B58" s="2238">
        <v>20</v>
      </c>
      <c r="C58" s="628">
        <v>30.709405453600002</v>
      </c>
      <c r="D58" s="2231">
        <v>20</v>
      </c>
      <c r="E58" s="628">
        <v>28.6</v>
      </c>
      <c r="F58" s="2229"/>
      <c r="G58" s="2222"/>
    </row>
    <row r="59" spans="1:7">
      <c r="A59" s="219">
        <v>2010.02</v>
      </c>
      <c r="B59" s="2238">
        <v>25</v>
      </c>
      <c r="C59" s="628">
        <v>31.076806033</v>
      </c>
      <c r="D59" s="2231">
        <v>25</v>
      </c>
      <c r="E59" s="628">
        <v>30.1</v>
      </c>
      <c r="F59" s="2229"/>
      <c r="G59" s="2222"/>
    </row>
    <row r="60" spans="1:7">
      <c r="A60" s="219">
        <v>2010.03</v>
      </c>
      <c r="B60" s="2238">
        <v>25</v>
      </c>
      <c r="C60" s="628">
        <v>31.8345163989</v>
      </c>
      <c r="D60" s="2231">
        <v>30</v>
      </c>
      <c r="E60" s="628">
        <v>33.5</v>
      </c>
      <c r="F60" s="2229"/>
      <c r="G60" s="2222"/>
    </row>
    <row r="61" spans="1:7">
      <c r="A61" s="219">
        <v>2010.04</v>
      </c>
      <c r="B61" s="2238">
        <v>30</v>
      </c>
      <c r="C61" s="628">
        <v>32.385932046999997</v>
      </c>
      <c r="D61" s="2231">
        <v>30</v>
      </c>
      <c r="E61" s="628">
        <v>33.4</v>
      </c>
      <c r="F61" s="2229"/>
      <c r="G61" s="2222"/>
    </row>
    <row r="62" spans="1:7">
      <c r="A62" s="219">
        <v>2010.05</v>
      </c>
      <c r="B62" s="2238">
        <v>25</v>
      </c>
      <c r="C62" s="628">
        <v>30.2487180181</v>
      </c>
      <c r="D62" s="2231">
        <v>21</v>
      </c>
      <c r="E62" s="628">
        <v>30.5</v>
      </c>
      <c r="F62" s="2229"/>
      <c r="G62" s="2222"/>
    </row>
    <row r="63" spans="1:7">
      <c r="A63" s="219">
        <v>2010.06</v>
      </c>
      <c r="B63" s="2238">
        <v>25</v>
      </c>
      <c r="C63" s="628">
        <v>32.527592538199997</v>
      </c>
      <c r="D63" s="2231">
        <v>30</v>
      </c>
      <c r="E63" s="628">
        <v>34.6</v>
      </c>
      <c r="F63" s="2229"/>
      <c r="G63" s="2222"/>
    </row>
    <row r="64" spans="1:7">
      <c r="A64" s="219">
        <v>2010.07</v>
      </c>
      <c r="B64" s="2238">
        <v>25</v>
      </c>
      <c r="C64" s="628">
        <v>32.518056786000002</v>
      </c>
      <c r="D64" s="2231">
        <v>25</v>
      </c>
      <c r="E64" s="628">
        <v>32.200000000000003</v>
      </c>
      <c r="F64" s="2229"/>
      <c r="G64" s="2222"/>
    </row>
    <row r="65" spans="1:7">
      <c r="A65" s="219">
        <v>2010.08</v>
      </c>
      <c r="B65" s="2238">
        <v>25</v>
      </c>
      <c r="C65" s="628">
        <v>32.821795521999995</v>
      </c>
      <c r="D65" s="2231">
        <v>25</v>
      </c>
      <c r="E65" s="628">
        <v>32.200000000000003</v>
      </c>
      <c r="F65" s="2229"/>
      <c r="G65" s="2222"/>
    </row>
    <row r="66" spans="1:7">
      <c r="A66" s="219">
        <v>2010.09</v>
      </c>
      <c r="B66" s="2238">
        <v>25</v>
      </c>
      <c r="C66" s="628">
        <v>31.372826195200002</v>
      </c>
      <c r="D66" s="2231">
        <v>25</v>
      </c>
      <c r="E66" s="628">
        <v>31.1</v>
      </c>
      <c r="F66" s="2229"/>
      <c r="G66" s="2222"/>
    </row>
    <row r="67" spans="1:7">
      <c r="A67" s="219">
        <v>2010.1</v>
      </c>
      <c r="B67" s="2238">
        <v>30</v>
      </c>
      <c r="C67" s="628">
        <v>33.6992752317</v>
      </c>
      <c r="D67" s="2231">
        <v>30</v>
      </c>
      <c r="E67" s="628">
        <v>33.9</v>
      </c>
      <c r="F67" s="2229"/>
      <c r="G67" s="2222"/>
    </row>
    <row r="68" spans="1:7">
      <c r="A68" s="219">
        <v>2010.11</v>
      </c>
      <c r="B68" s="2238">
        <v>30</v>
      </c>
      <c r="C68" s="628">
        <v>34.016420708599995</v>
      </c>
      <c r="D68" s="2231">
        <v>30</v>
      </c>
      <c r="E68" s="628">
        <v>34.799999999999997</v>
      </c>
      <c r="F68" s="2229"/>
      <c r="G68" s="2222"/>
    </row>
    <row r="69" spans="1:7">
      <c r="A69" s="219">
        <v>2010.12</v>
      </c>
      <c r="B69" s="2238">
        <v>30</v>
      </c>
      <c r="C69" s="628">
        <v>35.141475975999995</v>
      </c>
      <c r="D69" s="2231">
        <v>30</v>
      </c>
      <c r="E69" s="628">
        <v>34.6</v>
      </c>
      <c r="F69" s="2229"/>
      <c r="G69" s="2222"/>
    </row>
    <row r="70" spans="1:7">
      <c r="A70" s="219">
        <v>2011.01</v>
      </c>
      <c r="B70" s="2238">
        <v>25</v>
      </c>
      <c r="C70" s="628">
        <v>30.731724506399999</v>
      </c>
      <c r="D70" s="2231">
        <v>25</v>
      </c>
      <c r="E70" s="628">
        <v>32.4</v>
      </c>
      <c r="F70" s="2229"/>
      <c r="G70" s="2222"/>
    </row>
    <row r="71" spans="1:7">
      <c r="A71" s="219">
        <v>2011.02</v>
      </c>
      <c r="B71" s="2238">
        <v>30</v>
      </c>
      <c r="C71" s="628">
        <v>33.292047182400005</v>
      </c>
      <c r="D71" s="2231">
        <v>30</v>
      </c>
      <c r="E71" s="628">
        <v>33.6</v>
      </c>
      <c r="F71" s="2229"/>
      <c r="G71" s="2222"/>
    </row>
    <row r="72" spans="1:7">
      <c r="A72" s="219">
        <v>2011.03</v>
      </c>
      <c r="B72" s="2238">
        <v>25</v>
      </c>
      <c r="C72" s="628">
        <v>32.7752956657</v>
      </c>
      <c r="D72" s="2231">
        <v>30</v>
      </c>
      <c r="E72" s="628">
        <v>31.8</v>
      </c>
      <c r="F72" s="2229"/>
      <c r="G72" s="2222"/>
    </row>
    <row r="73" spans="1:7">
      <c r="A73" s="219">
        <v>2011.04</v>
      </c>
      <c r="B73" s="2238">
        <v>25</v>
      </c>
      <c r="C73" s="628">
        <v>30.275186742199999</v>
      </c>
      <c r="D73" s="2231">
        <v>25</v>
      </c>
      <c r="E73" s="628">
        <v>29.9</v>
      </c>
      <c r="F73" s="2229"/>
      <c r="G73" s="2222"/>
    </row>
    <row r="74" spans="1:7">
      <c r="A74" s="219">
        <v>2011.05</v>
      </c>
      <c r="B74" s="2238">
        <v>25</v>
      </c>
      <c r="C74" s="628">
        <v>29.493976907699999</v>
      </c>
      <c r="D74" s="2231">
        <v>25</v>
      </c>
      <c r="E74" s="628">
        <v>30.7</v>
      </c>
      <c r="F74" s="2229"/>
      <c r="G74" s="2222"/>
    </row>
    <row r="75" spans="1:7">
      <c r="A75" s="219">
        <v>2011.06</v>
      </c>
      <c r="B75" s="2238">
        <v>25</v>
      </c>
      <c r="C75" s="628">
        <v>32.500401342000004</v>
      </c>
      <c r="D75" s="2231">
        <v>30</v>
      </c>
      <c r="E75" s="628">
        <v>32.700000000000003</v>
      </c>
      <c r="F75" s="2229"/>
      <c r="G75" s="2222"/>
    </row>
    <row r="76" spans="1:7">
      <c r="A76" s="219">
        <v>2011.07</v>
      </c>
      <c r="B76" s="2238">
        <v>25</v>
      </c>
      <c r="C76" s="628">
        <v>28.396334220900002</v>
      </c>
      <c r="D76" s="2231">
        <v>25</v>
      </c>
      <c r="E76" s="628">
        <v>29.1</v>
      </c>
      <c r="F76" s="2229"/>
      <c r="G76" s="2222"/>
    </row>
    <row r="77" spans="1:7">
      <c r="A77" s="219">
        <v>2011.08</v>
      </c>
      <c r="B77" s="2238">
        <v>25</v>
      </c>
      <c r="C77" s="628">
        <v>29.173113767700002</v>
      </c>
      <c r="D77" s="2231">
        <v>25</v>
      </c>
      <c r="E77" s="628">
        <v>29.2</v>
      </c>
      <c r="F77" s="2229"/>
      <c r="G77" s="2222"/>
    </row>
    <row r="78" spans="1:7">
      <c r="A78" s="219">
        <v>2011.09</v>
      </c>
      <c r="B78" s="2238">
        <v>25</v>
      </c>
      <c r="C78" s="628">
        <v>29.081163657600001</v>
      </c>
      <c r="D78" s="2231">
        <v>25</v>
      </c>
      <c r="E78" s="628">
        <v>29.7</v>
      </c>
      <c r="F78" s="2229"/>
      <c r="G78" s="2222"/>
    </row>
    <row r="79" spans="1:7">
      <c r="A79" s="219">
        <v>2011.1</v>
      </c>
      <c r="B79" s="2238">
        <v>25</v>
      </c>
      <c r="C79" s="628">
        <v>29.823984733499998</v>
      </c>
      <c r="D79" s="2231">
        <v>25</v>
      </c>
      <c r="E79" s="628">
        <v>31.2</v>
      </c>
      <c r="F79" s="2229"/>
      <c r="G79" s="2222"/>
    </row>
    <row r="80" spans="1:7">
      <c r="A80" s="219">
        <v>2011.11</v>
      </c>
      <c r="B80" s="2238">
        <v>25</v>
      </c>
      <c r="C80" s="628">
        <v>30.161781363099998</v>
      </c>
      <c r="D80" s="2231">
        <v>30</v>
      </c>
      <c r="E80" s="628">
        <v>30</v>
      </c>
      <c r="F80" s="2229"/>
      <c r="G80" s="2222"/>
    </row>
    <row r="81" spans="1:7">
      <c r="A81" s="219">
        <v>2011.12</v>
      </c>
      <c r="B81" s="2238">
        <v>25</v>
      </c>
      <c r="C81" s="628">
        <v>34.4026595606</v>
      </c>
      <c r="D81" s="2231">
        <v>25</v>
      </c>
      <c r="E81" s="628">
        <v>30</v>
      </c>
      <c r="F81" s="2229"/>
      <c r="G81" s="2222"/>
    </row>
    <row r="82" spans="1:7">
      <c r="A82" s="219">
        <v>2012.01</v>
      </c>
      <c r="B82" s="2238">
        <v>25</v>
      </c>
      <c r="C82" s="628">
        <v>28.9194279771</v>
      </c>
      <c r="D82" s="2231">
        <v>25</v>
      </c>
      <c r="E82" s="628">
        <v>29.9</v>
      </c>
      <c r="F82" s="2229"/>
      <c r="G82" s="2222"/>
    </row>
    <row r="83" spans="1:7">
      <c r="A83" s="219">
        <v>2012.02</v>
      </c>
      <c r="B83" s="2238">
        <v>25</v>
      </c>
      <c r="C83" s="628">
        <v>30.710226946799999</v>
      </c>
      <c r="D83" s="2231">
        <v>25</v>
      </c>
      <c r="E83" s="628">
        <v>28.8</v>
      </c>
      <c r="F83" s="2229"/>
      <c r="G83" s="2222"/>
    </row>
    <row r="84" spans="1:7">
      <c r="A84" s="219">
        <v>2012.03</v>
      </c>
      <c r="B84" s="2238">
        <v>30</v>
      </c>
      <c r="C84" s="628">
        <v>35.011444825299996</v>
      </c>
      <c r="D84" s="2231">
        <v>30</v>
      </c>
      <c r="E84" s="628">
        <v>35.6</v>
      </c>
      <c r="F84" s="2229"/>
      <c r="G84" s="2222"/>
    </row>
    <row r="85" spans="1:7">
      <c r="A85" s="219">
        <v>2012.04</v>
      </c>
      <c r="B85" s="2238">
        <v>30</v>
      </c>
      <c r="C85" s="628">
        <v>37.1254186683</v>
      </c>
      <c r="D85" s="2231">
        <v>30</v>
      </c>
      <c r="E85" s="628">
        <v>37.9</v>
      </c>
      <c r="F85" s="2229"/>
      <c r="G85" s="2222"/>
    </row>
    <row r="86" spans="1:7">
      <c r="A86" s="219">
        <v>2012.05</v>
      </c>
      <c r="B86" s="2238">
        <v>30</v>
      </c>
      <c r="C86" s="628">
        <v>33.889369582299999</v>
      </c>
      <c r="D86" s="2231">
        <v>30</v>
      </c>
      <c r="E86" s="628">
        <v>34.700000000000003</v>
      </c>
      <c r="F86" s="2229"/>
      <c r="G86" s="2222"/>
    </row>
    <row r="87" spans="1:7">
      <c r="A87" s="219">
        <v>2012.06</v>
      </c>
      <c r="B87" s="2238">
        <v>30</v>
      </c>
      <c r="C87" s="628">
        <v>34.884066958799998</v>
      </c>
      <c r="D87" s="2231">
        <v>30</v>
      </c>
      <c r="E87" s="628">
        <v>35.200000000000003</v>
      </c>
      <c r="F87" s="2229"/>
      <c r="G87" s="2222"/>
    </row>
    <row r="88" spans="1:7">
      <c r="A88" s="219">
        <v>2012.07</v>
      </c>
      <c r="B88" s="2238">
        <v>30</v>
      </c>
      <c r="C88" s="628">
        <v>35.741967950800003</v>
      </c>
      <c r="D88" s="2231">
        <v>30</v>
      </c>
      <c r="E88" s="628">
        <v>37</v>
      </c>
      <c r="F88" s="2229"/>
      <c r="G88" s="2222"/>
    </row>
    <row r="89" spans="1:7">
      <c r="A89" s="219">
        <v>2012.08</v>
      </c>
      <c r="B89" s="2238">
        <v>30</v>
      </c>
      <c r="C89" s="628">
        <v>39.836353209500004</v>
      </c>
      <c r="D89" s="2231">
        <v>30</v>
      </c>
      <c r="E89" s="628">
        <v>34.700000000000003</v>
      </c>
      <c r="F89" s="2229"/>
      <c r="G89" s="2222"/>
    </row>
    <row r="90" spans="1:7">
      <c r="A90" s="219">
        <v>2012.09</v>
      </c>
      <c r="B90" s="2238">
        <v>30</v>
      </c>
      <c r="C90" s="628">
        <v>34.884066958799998</v>
      </c>
      <c r="D90" s="2231">
        <v>30</v>
      </c>
      <c r="E90" s="628">
        <v>35.200000000000003</v>
      </c>
      <c r="F90" s="2229"/>
      <c r="G90" s="2222"/>
    </row>
    <row r="91" spans="1:7">
      <c r="A91" s="219">
        <v>2012.1</v>
      </c>
      <c r="B91" s="2238">
        <v>27</v>
      </c>
      <c r="C91" s="628">
        <v>35.1448399756</v>
      </c>
      <c r="D91" s="2231">
        <v>30</v>
      </c>
      <c r="E91" s="628">
        <v>35.799999999999997</v>
      </c>
      <c r="F91" s="2229"/>
      <c r="G91" s="2222"/>
    </row>
    <row r="92" spans="1:7">
      <c r="A92" s="219">
        <v>2012.11</v>
      </c>
      <c r="B92" s="2238">
        <v>30</v>
      </c>
      <c r="C92" s="628">
        <v>37.3544906594</v>
      </c>
      <c r="D92" s="2231">
        <v>30</v>
      </c>
      <c r="E92" s="628">
        <v>38.4</v>
      </c>
      <c r="F92" s="2229"/>
      <c r="G92" s="2222"/>
    </row>
    <row r="93" spans="1:7">
      <c r="A93" s="219">
        <v>2012.12</v>
      </c>
      <c r="B93" s="2238">
        <v>30</v>
      </c>
      <c r="C93" s="628">
        <v>37.171196291299999</v>
      </c>
      <c r="D93" s="2231">
        <v>30</v>
      </c>
      <c r="E93" s="628">
        <v>35.200000000000003</v>
      </c>
      <c r="F93" s="2229"/>
      <c r="G93" s="2222"/>
    </row>
    <row r="94" spans="1:7">
      <c r="A94" s="219">
        <v>2013.01</v>
      </c>
      <c r="B94" s="2238">
        <v>30</v>
      </c>
      <c r="C94" s="628">
        <v>35.338708541400003</v>
      </c>
      <c r="D94" s="2231">
        <v>30</v>
      </c>
      <c r="E94" s="628">
        <v>34.299999999999997</v>
      </c>
      <c r="F94" s="2229"/>
      <c r="G94" s="2222"/>
    </row>
    <row r="95" spans="1:7">
      <c r="A95" s="219">
        <v>2013.02</v>
      </c>
      <c r="B95" s="2238">
        <v>30</v>
      </c>
      <c r="C95" s="628">
        <v>33.015893212199998</v>
      </c>
      <c r="D95" s="2231">
        <v>30</v>
      </c>
      <c r="E95" s="628">
        <v>33.1</v>
      </c>
      <c r="F95" s="2229"/>
      <c r="G95" s="2222"/>
    </row>
    <row r="96" spans="1:7">
      <c r="A96" s="219">
        <v>2013.03</v>
      </c>
      <c r="B96" s="2238">
        <v>30</v>
      </c>
      <c r="C96" s="628">
        <v>33.450476131599999</v>
      </c>
      <c r="D96" s="2231">
        <v>30</v>
      </c>
      <c r="E96" s="628">
        <v>33.1</v>
      </c>
      <c r="F96" s="2229"/>
      <c r="G96" s="2222"/>
    </row>
    <row r="97" spans="1:7">
      <c r="A97" s="219">
        <v>2013.04</v>
      </c>
      <c r="B97" s="2238">
        <v>30</v>
      </c>
      <c r="C97" s="628">
        <v>34.204704739900002</v>
      </c>
      <c r="D97" s="2231">
        <v>30</v>
      </c>
      <c r="E97" s="628">
        <v>33.5</v>
      </c>
      <c r="F97" s="2229"/>
      <c r="G97" s="2222"/>
    </row>
    <row r="98" spans="1:7">
      <c r="A98" s="219">
        <v>2013.05</v>
      </c>
      <c r="B98" s="2238">
        <v>30</v>
      </c>
      <c r="C98" s="628">
        <v>34.925913459</v>
      </c>
      <c r="D98" s="2231">
        <v>30</v>
      </c>
      <c r="E98" s="628">
        <v>35.5</v>
      </c>
      <c r="F98" s="2229"/>
      <c r="G98" s="2222"/>
    </row>
    <row r="99" spans="1:7">
      <c r="A99" s="219">
        <v>2013.06</v>
      </c>
      <c r="B99" s="2238">
        <v>30</v>
      </c>
      <c r="C99" s="628">
        <v>35.284813961699996</v>
      </c>
      <c r="D99" s="2231">
        <v>30</v>
      </c>
      <c r="E99" s="628">
        <v>33.6</v>
      </c>
      <c r="F99" s="2229"/>
      <c r="G99" s="2222"/>
    </row>
    <row r="100" spans="1:7">
      <c r="A100" s="219">
        <v>2013.07</v>
      </c>
      <c r="B100" s="2238">
        <v>30</v>
      </c>
      <c r="C100" s="628">
        <v>34.581322216800004</v>
      </c>
      <c r="D100" s="2231">
        <v>30</v>
      </c>
      <c r="E100" s="628">
        <v>35.299999999999997</v>
      </c>
      <c r="F100" s="2229"/>
      <c r="G100" s="2222"/>
    </row>
    <row r="101" spans="1:7">
      <c r="A101" s="219">
        <v>2013.08</v>
      </c>
      <c r="B101" s="2238">
        <v>30</v>
      </c>
      <c r="C101" s="628">
        <v>31.465826692099998</v>
      </c>
      <c r="D101" s="2231">
        <v>30</v>
      </c>
      <c r="E101" s="628">
        <v>32.299999999999997</v>
      </c>
      <c r="F101" s="2229"/>
      <c r="G101" s="2222"/>
    </row>
    <row r="102" spans="1:7">
      <c r="A102" s="219">
        <v>2013.09</v>
      </c>
      <c r="B102" s="2238">
        <v>30</v>
      </c>
      <c r="C102" s="628">
        <v>32.825614935899999</v>
      </c>
      <c r="D102" s="2231">
        <v>30</v>
      </c>
      <c r="E102" s="628">
        <v>34.5</v>
      </c>
      <c r="F102" s="2229"/>
      <c r="G102" s="2222"/>
    </row>
    <row r="103" spans="1:7">
      <c r="A103" s="219">
        <v>2013.1</v>
      </c>
      <c r="B103" s="2238">
        <v>28</v>
      </c>
      <c r="C103" s="628">
        <v>31.250247662</v>
      </c>
      <c r="D103" s="2231">
        <v>30</v>
      </c>
      <c r="E103" s="628">
        <v>32.5</v>
      </c>
      <c r="F103" s="2229"/>
      <c r="G103" s="2222"/>
    </row>
    <row r="104" spans="1:7">
      <c r="A104" s="219">
        <v>2013.11</v>
      </c>
      <c r="B104" s="2238">
        <v>30</v>
      </c>
      <c r="C104" s="628">
        <v>32.729984354300001</v>
      </c>
      <c r="D104" s="2231">
        <v>30</v>
      </c>
      <c r="E104" s="628">
        <v>35.299999999999997</v>
      </c>
      <c r="F104" s="2229"/>
      <c r="G104" s="2222"/>
    </row>
    <row r="105" spans="1:7">
      <c r="A105" s="219">
        <v>2013.12</v>
      </c>
      <c r="B105" s="2238">
        <v>30</v>
      </c>
      <c r="C105" s="628">
        <v>35.305430041199998</v>
      </c>
      <c r="D105" s="2231">
        <v>30</v>
      </c>
      <c r="E105" s="628">
        <v>35.5</v>
      </c>
      <c r="F105" s="2229"/>
      <c r="G105" s="2222"/>
    </row>
    <row r="106" spans="1:7">
      <c r="A106" s="219">
        <v>2014.01</v>
      </c>
      <c r="B106" s="2238">
        <v>30</v>
      </c>
      <c r="C106" s="628">
        <v>37.597169815699999</v>
      </c>
      <c r="D106" s="2231">
        <v>30</v>
      </c>
      <c r="E106" s="628">
        <v>37.4</v>
      </c>
      <c r="F106" s="2229"/>
      <c r="G106" s="2222"/>
    </row>
    <row r="107" spans="1:7">
      <c r="A107" s="219">
        <v>2014.02</v>
      </c>
      <c r="B107" s="2238">
        <v>35</v>
      </c>
      <c r="C107" s="628">
        <v>41.318692872599996</v>
      </c>
      <c r="D107" s="2231">
        <v>35</v>
      </c>
      <c r="E107" s="628">
        <v>40.299999999999997</v>
      </c>
      <c r="F107" s="2229"/>
      <c r="G107" s="2222"/>
    </row>
    <row r="108" spans="1:7">
      <c r="A108" s="219">
        <v>2014.03</v>
      </c>
      <c r="B108" s="2238">
        <v>30</v>
      </c>
      <c r="C108" s="628">
        <v>38.635487343299999</v>
      </c>
      <c r="D108" s="2231">
        <v>30</v>
      </c>
      <c r="E108" s="628">
        <v>38.799999999999997</v>
      </c>
      <c r="F108" s="2229"/>
      <c r="G108" s="2222"/>
    </row>
    <row r="109" spans="1:7">
      <c r="A109" s="219">
        <v>2014.04</v>
      </c>
      <c r="B109" s="2238">
        <v>30</v>
      </c>
      <c r="C109" s="628">
        <v>37.539090636699996</v>
      </c>
      <c r="D109" s="2231">
        <v>30</v>
      </c>
      <c r="E109" s="628">
        <v>37.6</v>
      </c>
      <c r="F109" s="2229"/>
      <c r="G109" s="2222"/>
    </row>
    <row r="110" spans="1:7">
      <c r="A110" s="219">
        <v>2014.05</v>
      </c>
      <c r="B110" s="2238">
        <v>30</v>
      </c>
      <c r="C110" s="628">
        <v>38.566718769999994</v>
      </c>
      <c r="D110" s="2231">
        <v>30</v>
      </c>
      <c r="E110" s="628">
        <v>38.4</v>
      </c>
      <c r="F110" s="2229"/>
      <c r="G110" s="2222"/>
    </row>
    <row r="111" spans="1:7">
      <c r="A111" s="219">
        <v>2014.06</v>
      </c>
      <c r="B111" s="2238">
        <v>30</v>
      </c>
      <c r="C111" s="628">
        <v>35.2444520066</v>
      </c>
      <c r="D111" s="2231">
        <v>30</v>
      </c>
      <c r="E111" s="628">
        <v>37.5</v>
      </c>
      <c r="F111" s="2229"/>
      <c r="G111" s="2222"/>
    </row>
    <row r="112" spans="1:7">
      <c r="A112" s="219">
        <v>2014.07</v>
      </c>
      <c r="B112" s="2238">
        <v>30</v>
      </c>
      <c r="C112" s="628">
        <v>37.381615989400004</v>
      </c>
      <c r="D112" s="2231">
        <v>30</v>
      </c>
      <c r="E112" s="628">
        <v>35.200000000000003</v>
      </c>
      <c r="F112" s="2229"/>
      <c r="G112" s="2222"/>
    </row>
    <row r="113" spans="1:7">
      <c r="A113" s="219">
        <v>2014.08</v>
      </c>
      <c r="B113" s="2238">
        <v>30</v>
      </c>
      <c r="C113" s="628">
        <v>36.984330274299992</v>
      </c>
      <c r="D113" s="2231">
        <v>35</v>
      </c>
      <c r="E113" s="628">
        <v>39.700000000000003</v>
      </c>
      <c r="F113" s="2229"/>
      <c r="G113" s="2222"/>
    </row>
    <row r="114" spans="1:7">
      <c r="A114" s="219">
        <v>2014.09</v>
      </c>
      <c r="B114" s="2238">
        <v>35</v>
      </c>
      <c r="C114" s="628">
        <v>41.097060782599996</v>
      </c>
      <c r="D114" s="2231">
        <v>30</v>
      </c>
      <c r="E114" s="628">
        <v>38.4</v>
      </c>
      <c r="F114" s="2229"/>
      <c r="G114" s="2222"/>
    </row>
    <row r="115" spans="1:7">
      <c r="A115" s="219">
        <v>2014.1</v>
      </c>
      <c r="B115" s="2238">
        <v>35</v>
      </c>
      <c r="C115" s="628">
        <v>39.100485079899997</v>
      </c>
      <c r="D115" s="2231">
        <v>35</v>
      </c>
      <c r="E115" s="628">
        <v>39.700000000000003</v>
      </c>
      <c r="F115" s="2229"/>
      <c r="G115" s="2222"/>
    </row>
    <row r="116" spans="1:7">
      <c r="A116" s="219">
        <v>2014.11</v>
      </c>
      <c r="B116" s="2238">
        <v>30</v>
      </c>
      <c r="C116" s="628">
        <v>37.554011027599998</v>
      </c>
      <c r="D116" s="2231">
        <v>30</v>
      </c>
      <c r="E116" s="628">
        <v>38.4</v>
      </c>
      <c r="F116" s="2229"/>
      <c r="G116" s="2222"/>
    </row>
    <row r="117" spans="1:7">
      <c r="A117" s="219">
        <v>2014.12</v>
      </c>
      <c r="B117" s="2238">
        <v>30</v>
      </c>
      <c r="C117" s="628">
        <v>35.8321987697</v>
      </c>
      <c r="D117" s="2231">
        <v>30</v>
      </c>
      <c r="E117" s="628">
        <v>35.1</v>
      </c>
      <c r="F117" s="2229"/>
      <c r="G117" s="2222"/>
    </row>
    <row r="118" spans="1:7">
      <c r="A118" s="219">
        <v>2015.01</v>
      </c>
      <c r="B118" s="2238">
        <v>30</v>
      </c>
      <c r="C118" s="628">
        <v>31.295445547699998</v>
      </c>
      <c r="D118" s="2231">
        <v>30</v>
      </c>
      <c r="E118" s="628">
        <v>31.9</v>
      </c>
      <c r="F118" s="2229"/>
      <c r="G118" s="2222"/>
    </row>
    <row r="119" spans="1:7">
      <c r="A119" s="219">
        <v>2015.02</v>
      </c>
      <c r="B119" s="2238">
        <v>30</v>
      </c>
      <c r="C119" s="628">
        <v>29.618846993999998</v>
      </c>
      <c r="D119" s="2231">
        <v>30</v>
      </c>
      <c r="E119" s="628">
        <v>32.6</v>
      </c>
      <c r="F119" s="2229"/>
      <c r="G119" s="2222"/>
    </row>
    <row r="120" spans="1:7">
      <c r="A120" s="219">
        <v>2015.03</v>
      </c>
      <c r="B120" s="2238">
        <v>30</v>
      </c>
      <c r="C120" s="628">
        <v>29.5689435271</v>
      </c>
      <c r="D120" s="2231">
        <v>30</v>
      </c>
      <c r="E120" s="628">
        <v>31.6</v>
      </c>
      <c r="F120" s="2229"/>
      <c r="G120" s="2222"/>
    </row>
    <row r="121" spans="1:7">
      <c r="A121" s="219">
        <v>2015.04</v>
      </c>
      <c r="B121" s="2238">
        <v>30</v>
      </c>
      <c r="C121" s="628">
        <v>30.5603568147</v>
      </c>
      <c r="D121" s="2231">
        <v>30</v>
      </c>
      <c r="E121" s="628">
        <v>31</v>
      </c>
      <c r="F121" s="2229"/>
      <c r="G121" s="2222"/>
    </row>
    <row r="122" spans="1:7">
      <c r="A122" s="219">
        <v>2015.05</v>
      </c>
      <c r="B122" s="2238">
        <v>28</v>
      </c>
      <c r="C122" s="628">
        <v>27.504020296199997</v>
      </c>
      <c r="D122" s="2231">
        <v>30</v>
      </c>
      <c r="E122" s="628">
        <v>28.5</v>
      </c>
      <c r="F122" s="2229"/>
      <c r="G122" s="2222"/>
    </row>
    <row r="123" spans="1:7">
      <c r="A123" s="219">
        <v>2015.06</v>
      </c>
      <c r="B123" s="2238">
        <v>30</v>
      </c>
      <c r="C123" s="628">
        <v>30.539026632999999</v>
      </c>
      <c r="D123" s="2231">
        <v>30</v>
      </c>
      <c r="E123" s="628">
        <v>30.2</v>
      </c>
      <c r="F123" s="2229"/>
      <c r="G123" s="2222"/>
    </row>
    <row r="124" spans="1:7">
      <c r="A124" s="219">
        <v>2015.07</v>
      </c>
      <c r="B124" s="2238">
        <v>25</v>
      </c>
      <c r="C124" s="628">
        <v>27.695384702799998</v>
      </c>
      <c r="D124" s="2231">
        <v>25</v>
      </c>
      <c r="E124" s="628">
        <v>27</v>
      </c>
      <c r="F124" s="2229"/>
      <c r="G124" s="2222"/>
    </row>
    <row r="125" spans="1:7">
      <c r="A125" s="219">
        <v>2015.08</v>
      </c>
      <c r="B125" s="2238">
        <v>22</v>
      </c>
      <c r="C125" s="628">
        <v>26.275479548100002</v>
      </c>
      <c r="D125" s="2231">
        <v>25</v>
      </c>
      <c r="E125" s="628">
        <v>29</v>
      </c>
      <c r="F125" s="2229"/>
      <c r="G125" s="2222"/>
    </row>
    <row r="126" spans="1:7">
      <c r="A126" s="219">
        <v>2015.09</v>
      </c>
      <c r="B126" s="2238">
        <v>30</v>
      </c>
      <c r="C126" s="628">
        <v>30.731866132900002</v>
      </c>
      <c r="D126" s="2231">
        <v>30</v>
      </c>
      <c r="E126" s="628">
        <v>31.2</v>
      </c>
      <c r="F126" s="2229"/>
      <c r="G126" s="2222"/>
    </row>
    <row r="127" spans="1:7">
      <c r="A127" s="219">
        <v>2015.1</v>
      </c>
      <c r="B127" s="2238">
        <v>25</v>
      </c>
      <c r="C127" s="628">
        <v>27.464381588000002</v>
      </c>
      <c r="D127" s="2231">
        <v>25</v>
      </c>
      <c r="E127" s="628">
        <v>29.8</v>
      </c>
      <c r="F127" s="2229"/>
      <c r="G127" s="2222"/>
    </row>
    <row r="128" spans="1:7">
      <c r="A128" s="219">
        <v>2015.11</v>
      </c>
      <c r="B128" s="2238">
        <v>20</v>
      </c>
      <c r="C128" s="628">
        <v>22.2</v>
      </c>
      <c r="D128" s="2231">
        <v>20</v>
      </c>
      <c r="E128" s="628">
        <v>22.2</v>
      </c>
      <c r="F128" s="2229"/>
      <c r="G128" s="2222"/>
    </row>
    <row r="129" spans="1:9">
      <c r="A129" s="219">
        <v>2015.12</v>
      </c>
      <c r="B129" s="2238">
        <v>30</v>
      </c>
      <c r="C129" s="628">
        <v>30.5232259032</v>
      </c>
      <c r="D129" s="2231">
        <v>30</v>
      </c>
      <c r="E129" s="628">
        <v>28.8</v>
      </c>
      <c r="F129" s="2229"/>
      <c r="G129" s="2222"/>
    </row>
    <row r="130" spans="1:9">
      <c r="A130" s="219">
        <f>A118+1</f>
        <v>2016.01</v>
      </c>
      <c r="B130" s="2238">
        <v>25</v>
      </c>
      <c r="C130" s="628">
        <v>26.9</v>
      </c>
      <c r="D130" s="2231">
        <v>25</v>
      </c>
      <c r="E130" s="628">
        <v>27.1</v>
      </c>
      <c r="F130" s="2229"/>
      <c r="G130" s="2222"/>
    </row>
    <row r="131" spans="1:9">
      <c r="A131" s="219">
        <f t="shared" ref="A131:A153" si="0">A119+1</f>
        <v>2016.02</v>
      </c>
      <c r="B131" s="2238">
        <v>30</v>
      </c>
      <c r="C131" s="628">
        <v>33.6</v>
      </c>
      <c r="D131" s="2231">
        <v>30</v>
      </c>
      <c r="E131" s="628">
        <v>31.4</v>
      </c>
      <c r="F131" s="2229"/>
      <c r="G131" s="2222"/>
    </row>
    <row r="132" spans="1:9">
      <c r="A132" s="219">
        <f t="shared" si="0"/>
        <v>2016.03</v>
      </c>
      <c r="B132" s="2238">
        <v>30</v>
      </c>
      <c r="C132" s="628">
        <v>31.4</v>
      </c>
      <c r="D132" s="2231">
        <v>30</v>
      </c>
      <c r="E132" s="628">
        <v>29.9</v>
      </c>
      <c r="F132" s="2229"/>
      <c r="G132" s="2222"/>
    </row>
    <row r="133" spans="1:9">
      <c r="A133" s="219">
        <f t="shared" si="0"/>
        <v>2016.04</v>
      </c>
      <c r="B133" s="2238">
        <v>30</v>
      </c>
      <c r="C133" s="628">
        <v>36</v>
      </c>
      <c r="D133" s="2231">
        <v>30</v>
      </c>
      <c r="E133" s="628">
        <v>34.4</v>
      </c>
      <c r="F133" s="2229"/>
      <c r="G133" s="2222"/>
    </row>
    <row r="134" spans="1:9">
      <c r="A134" s="219">
        <f t="shared" si="0"/>
        <v>2016.05</v>
      </c>
      <c r="B134" s="2238">
        <v>28</v>
      </c>
      <c r="C134" s="628">
        <v>32.4</v>
      </c>
      <c r="D134" s="2231">
        <v>25</v>
      </c>
      <c r="E134" s="628">
        <v>29</v>
      </c>
      <c r="F134" s="2229"/>
      <c r="G134" s="2222"/>
    </row>
    <row r="135" spans="1:9">
      <c r="A135" s="219">
        <f t="shared" si="0"/>
        <v>2016.06</v>
      </c>
      <c r="B135" s="2238">
        <v>25</v>
      </c>
      <c r="C135" s="628">
        <v>32.9</v>
      </c>
      <c r="D135" s="2231">
        <v>25</v>
      </c>
      <c r="E135" s="628">
        <v>29.9</v>
      </c>
      <c r="F135" s="2230">
        <v>21.5</v>
      </c>
      <c r="G135" s="758">
        <v>21.562295807030278</v>
      </c>
      <c r="H135" s="35"/>
      <c r="I135" s="35"/>
    </row>
    <row r="136" spans="1:9">
      <c r="A136" s="219">
        <f t="shared" si="0"/>
        <v>2016.07</v>
      </c>
      <c r="B136" s="2238">
        <v>25</v>
      </c>
      <c r="C136" s="628">
        <v>29.8</v>
      </c>
      <c r="D136" s="2231">
        <v>20</v>
      </c>
      <c r="E136" s="628">
        <v>28.3</v>
      </c>
      <c r="F136" s="2231">
        <v>21.700000000000003</v>
      </c>
      <c r="G136" s="2021">
        <v>21.847120522444349</v>
      </c>
      <c r="H136" s="35"/>
      <c r="I136" s="35"/>
    </row>
    <row r="137" spans="1:9">
      <c r="A137" s="219">
        <f>A125+1</f>
        <v>2016.08</v>
      </c>
      <c r="B137" s="2238">
        <v>25</v>
      </c>
      <c r="C137" s="628">
        <v>30.9</v>
      </c>
      <c r="D137" s="2231">
        <v>25</v>
      </c>
      <c r="E137" s="628">
        <v>29.6</v>
      </c>
      <c r="F137" s="2231">
        <v>21.9</v>
      </c>
      <c r="G137" s="2021">
        <v>21.388487785052419</v>
      </c>
      <c r="H137" s="35"/>
      <c r="I137" s="35"/>
    </row>
    <row r="138" spans="1:9">
      <c r="A138" s="219">
        <f t="shared" si="0"/>
        <v>2016.09</v>
      </c>
      <c r="B138" s="2238">
        <v>20</v>
      </c>
      <c r="C138" s="628">
        <v>29.8</v>
      </c>
      <c r="D138" s="2231">
        <v>20</v>
      </c>
      <c r="E138" s="628">
        <v>27.8</v>
      </c>
      <c r="F138" s="2231">
        <v>21.1</v>
      </c>
      <c r="G138" s="2021">
        <v>20.584118892518088</v>
      </c>
      <c r="H138" s="35"/>
      <c r="I138" s="35"/>
    </row>
    <row r="139" spans="1:9">
      <c r="A139" s="219">
        <f t="shared" si="0"/>
        <v>2016.1</v>
      </c>
      <c r="B139" s="2238">
        <v>20</v>
      </c>
      <c r="C139" s="628">
        <v>27.6</v>
      </c>
      <c r="D139" s="2231">
        <v>20</v>
      </c>
      <c r="E139" s="628">
        <v>23.7</v>
      </c>
      <c r="F139" s="2231">
        <v>19.425992025811041</v>
      </c>
      <c r="G139" s="2021">
        <v>19.506999386600853</v>
      </c>
      <c r="H139" s="35"/>
      <c r="I139" s="35"/>
    </row>
    <row r="140" spans="1:9">
      <c r="A140" s="219">
        <f t="shared" si="0"/>
        <v>2016.11</v>
      </c>
      <c r="B140" s="2238">
        <v>25</v>
      </c>
      <c r="C140" s="628">
        <v>30.4</v>
      </c>
      <c r="D140" s="2231">
        <v>25</v>
      </c>
      <c r="E140" s="628">
        <v>28.8</v>
      </c>
      <c r="F140" s="2231">
        <v>20</v>
      </c>
      <c r="G140" s="2021">
        <v>19.688537848139312</v>
      </c>
      <c r="H140" s="35"/>
      <c r="I140" s="35"/>
    </row>
    <row r="141" spans="1:9">
      <c r="A141" s="219">
        <f t="shared" si="0"/>
        <v>2016.12</v>
      </c>
      <c r="B141" s="2238">
        <v>25</v>
      </c>
      <c r="C141" s="628">
        <v>28.9</v>
      </c>
      <c r="D141" s="2231">
        <v>20</v>
      </c>
      <c r="E141" s="628">
        <v>26.4</v>
      </c>
      <c r="F141" s="2231">
        <v>19.600000000000001</v>
      </c>
      <c r="G141" s="2021">
        <v>19.606868727368319</v>
      </c>
      <c r="H141" s="35"/>
      <c r="I141" s="35"/>
    </row>
    <row r="142" spans="1:9">
      <c r="A142" s="219">
        <f t="shared" si="0"/>
        <v>2017.01</v>
      </c>
      <c r="B142" s="2238">
        <v>25</v>
      </c>
      <c r="C142" s="628">
        <v>29.2</v>
      </c>
      <c r="D142" s="2231">
        <v>20</v>
      </c>
      <c r="E142" s="628">
        <v>27.5</v>
      </c>
      <c r="F142" s="2231">
        <v>19.649999999999999</v>
      </c>
      <c r="G142" s="2021">
        <v>19.364615384615387</v>
      </c>
      <c r="H142" s="35"/>
      <c r="I142" s="35"/>
    </row>
    <row r="143" spans="1:9">
      <c r="A143" s="219">
        <f>A131+1</f>
        <v>2017.02</v>
      </c>
      <c r="B143" s="2238">
        <v>25</v>
      </c>
      <c r="C143" s="628">
        <v>31.2</v>
      </c>
      <c r="D143" s="2231">
        <v>25</v>
      </c>
      <c r="E143" s="628">
        <v>29.4</v>
      </c>
      <c r="F143" s="2231">
        <v>19.450000000000003</v>
      </c>
      <c r="G143" s="2021">
        <v>18.998333333333331</v>
      </c>
      <c r="H143" s="35"/>
      <c r="I143" s="35"/>
    </row>
    <row r="144" spans="1:9">
      <c r="A144" s="219">
        <f t="shared" si="0"/>
        <v>2017.03</v>
      </c>
      <c r="B144" s="2238">
        <v>25</v>
      </c>
      <c r="C144" s="628">
        <v>31.3</v>
      </c>
      <c r="D144" s="2231">
        <v>20</v>
      </c>
      <c r="E144" s="628">
        <v>27.4</v>
      </c>
      <c r="F144" s="2231">
        <v>18.399999999999999</v>
      </c>
      <c r="G144" s="2021">
        <v>18.236250000000002</v>
      </c>
      <c r="H144" s="35"/>
      <c r="I144" s="35"/>
    </row>
    <row r="145" spans="1:9">
      <c r="A145" s="219">
        <f t="shared" si="0"/>
        <v>2017.04</v>
      </c>
      <c r="B145" s="2238">
        <v>20</v>
      </c>
      <c r="C145" s="628">
        <v>27.4</v>
      </c>
      <c r="D145" s="2231">
        <v>20</v>
      </c>
      <c r="E145" s="628">
        <v>26.7</v>
      </c>
      <c r="F145" s="2231">
        <v>17.509999999999998</v>
      </c>
      <c r="G145" s="2021">
        <v>17.502272727272729</v>
      </c>
      <c r="H145" s="35"/>
      <c r="I145" s="35"/>
    </row>
    <row r="146" spans="1:9">
      <c r="A146" s="219">
        <f t="shared" si="0"/>
        <v>2017.05</v>
      </c>
      <c r="B146" s="2238">
        <v>21</v>
      </c>
      <c r="C146" s="628">
        <v>27.9</v>
      </c>
      <c r="D146" s="2231">
        <v>20</v>
      </c>
      <c r="E146" s="628">
        <v>26.7</v>
      </c>
      <c r="F146" s="2231">
        <v>17</v>
      </c>
      <c r="G146" s="2021">
        <v>17.505652173913042</v>
      </c>
      <c r="H146" s="35"/>
      <c r="I146" s="35"/>
    </row>
    <row r="147" spans="1:9">
      <c r="A147" s="219">
        <f>A135+1</f>
        <v>2017.06</v>
      </c>
      <c r="B147" s="2238">
        <v>20</v>
      </c>
      <c r="C147" s="628">
        <v>27.3</v>
      </c>
      <c r="D147" s="2231">
        <v>20</v>
      </c>
      <c r="E147" s="628">
        <v>26.6</v>
      </c>
      <c r="F147" s="2231">
        <v>17</v>
      </c>
      <c r="G147" s="2021">
        <v>17.053461538461537</v>
      </c>
      <c r="H147" s="35"/>
      <c r="I147" s="35"/>
    </row>
    <row r="148" spans="1:9">
      <c r="A148" s="219">
        <f t="shared" si="0"/>
        <v>2017.07</v>
      </c>
      <c r="B148" s="2238">
        <v>20</v>
      </c>
      <c r="C148" s="628">
        <v>29.3</v>
      </c>
      <c r="D148" s="2231">
        <v>20</v>
      </c>
      <c r="E148" s="628">
        <v>28.3</v>
      </c>
      <c r="F148" s="2231">
        <v>17.100000000000001</v>
      </c>
      <c r="G148" s="2021">
        <v>17.346932102700723</v>
      </c>
      <c r="H148" s="35"/>
      <c r="I148" s="35"/>
    </row>
    <row r="149" spans="1:9">
      <c r="A149" s="219">
        <f t="shared" si="0"/>
        <v>2017.08</v>
      </c>
      <c r="B149" s="2238">
        <v>20</v>
      </c>
      <c r="C149" s="628">
        <v>27.9</v>
      </c>
      <c r="D149" s="2231">
        <v>20</v>
      </c>
      <c r="E149" s="628">
        <v>28.3</v>
      </c>
      <c r="F149" s="2231">
        <v>17.2</v>
      </c>
      <c r="G149" s="2021">
        <v>17.102728604002934</v>
      </c>
      <c r="H149" s="35"/>
      <c r="I149" s="35"/>
    </row>
    <row r="150" spans="1:9">
      <c r="A150" s="219">
        <f t="shared" si="0"/>
        <v>2017.09</v>
      </c>
      <c r="B150" s="2238">
        <v>20</v>
      </c>
      <c r="C150" s="628">
        <v>25.1</v>
      </c>
      <c r="D150" s="2231">
        <v>20</v>
      </c>
      <c r="E150" s="628">
        <v>22.9</v>
      </c>
      <c r="F150" s="2231">
        <v>16.899999999999999</v>
      </c>
      <c r="G150" s="2021">
        <v>16.969583333333301</v>
      </c>
      <c r="H150" s="35"/>
      <c r="I150" s="35"/>
    </row>
    <row r="151" spans="1:9">
      <c r="A151" s="219">
        <f t="shared" si="0"/>
        <v>2017.1</v>
      </c>
      <c r="B151" s="2238">
        <v>20</v>
      </c>
      <c r="C151" s="628">
        <v>27.7</v>
      </c>
      <c r="D151" s="2231">
        <v>20</v>
      </c>
      <c r="E151" s="628">
        <v>23.6</v>
      </c>
      <c r="F151" s="2231">
        <v>17.3</v>
      </c>
      <c r="G151" s="2021">
        <v>17.329574468085099</v>
      </c>
      <c r="H151" s="35"/>
      <c r="I151" s="35"/>
    </row>
    <row r="152" spans="1:9">
      <c r="A152" s="219">
        <f t="shared" si="0"/>
        <v>2017.11</v>
      </c>
      <c r="B152" s="2238">
        <v>20</v>
      </c>
      <c r="C152" s="628">
        <v>24.7</v>
      </c>
      <c r="D152" s="2231">
        <v>20</v>
      </c>
      <c r="E152" s="628">
        <v>23.5</v>
      </c>
      <c r="F152" s="2231">
        <v>17.5</v>
      </c>
      <c r="G152" s="2021">
        <v>17.600000000000001</v>
      </c>
      <c r="H152" s="35"/>
      <c r="I152" s="35"/>
    </row>
    <row r="153" spans="1:9">
      <c r="A153" s="219">
        <f t="shared" si="0"/>
        <v>2017.12</v>
      </c>
      <c r="B153" s="2238">
        <v>20</v>
      </c>
      <c r="C153" s="628">
        <v>29.1</v>
      </c>
      <c r="D153" s="2231">
        <v>23</v>
      </c>
      <c r="E153" s="628">
        <v>29.3</v>
      </c>
      <c r="F153" s="2231">
        <v>17.399999999999999</v>
      </c>
      <c r="G153" s="2021">
        <v>17</v>
      </c>
      <c r="H153" s="35"/>
      <c r="I153" s="35"/>
    </row>
    <row r="154" spans="1:9">
      <c r="A154" s="219">
        <f t="shared" ref="A154:A163" si="1">A142+1</f>
        <v>2018.01</v>
      </c>
      <c r="B154" s="2238">
        <v>20</v>
      </c>
      <c r="C154" s="628">
        <v>28.4</v>
      </c>
      <c r="D154" s="2231">
        <v>20</v>
      </c>
      <c r="E154" s="628">
        <v>27.6</v>
      </c>
      <c r="F154" s="2231">
        <v>18.600000000000001</v>
      </c>
      <c r="G154" s="2021">
        <v>18.5</v>
      </c>
      <c r="H154" s="35"/>
      <c r="I154" s="35"/>
    </row>
    <row r="155" spans="1:9">
      <c r="A155" s="219">
        <f t="shared" si="1"/>
        <v>2018.02</v>
      </c>
      <c r="B155" s="2238">
        <v>20</v>
      </c>
      <c r="C155" s="628">
        <v>27</v>
      </c>
      <c r="D155" s="2231">
        <v>20</v>
      </c>
      <c r="E155" s="628">
        <v>28.4</v>
      </c>
      <c r="F155" s="2231">
        <v>17.600000000000001</v>
      </c>
      <c r="G155" s="2021">
        <v>18</v>
      </c>
      <c r="H155" s="35"/>
      <c r="I155" s="35"/>
    </row>
    <row r="156" spans="1:9">
      <c r="A156" s="219">
        <f t="shared" si="1"/>
        <v>2018.03</v>
      </c>
      <c r="B156" s="2238">
        <v>20</v>
      </c>
      <c r="C156" s="628">
        <v>29.2</v>
      </c>
      <c r="D156" s="2231">
        <v>20</v>
      </c>
      <c r="E156" s="628">
        <v>27.7</v>
      </c>
      <c r="F156" s="2231">
        <v>17.8</v>
      </c>
      <c r="G156" s="2021">
        <v>18</v>
      </c>
      <c r="H156" s="35"/>
      <c r="I156" s="35"/>
    </row>
    <row r="157" spans="1:9">
      <c r="A157" s="219">
        <f t="shared" si="1"/>
        <v>2018.04</v>
      </c>
      <c r="B157" s="2238">
        <v>25</v>
      </c>
      <c r="C157" s="628">
        <v>33.1</v>
      </c>
      <c r="D157" s="2231">
        <v>25</v>
      </c>
      <c r="E157" s="628">
        <v>30.3</v>
      </c>
      <c r="F157" s="2231">
        <v>18.2</v>
      </c>
      <c r="G157" s="2021">
        <v>18.3</v>
      </c>
      <c r="H157" s="35"/>
      <c r="I157" s="35"/>
    </row>
    <row r="158" spans="1:9">
      <c r="A158" s="219">
        <f t="shared" si="1"/>
        <v>2018.05</v>
      </c>
      <c r="B158" s="2238">
        <v>25</v>
      </c>
      <c r="C158" s="628">
        <v>33.299999999999997</v>
      </c>
      <c r="D158" s="2231">
        <v>25</v>
      </c>
      <c r="E158" s="628">
        <v>30.6</v>
      </c>
      <c r="F158" s="2231">
        <v>22.2</v>
      </c>
      <c r="G158" s="2021">
        <v>22.6</v>
      </c>
      <c r="H158" s="35"/>
      <c r="I158" s="35"/>
    </row>
    <row r="159" spans="1:9">
      <c r="A159" s="219">
        <f t="shared" si="1"/>
        <v>2018.06</v>
      </c>
      <c r="B159" s="2238">
        <v>30</v>
      </c>
      <c r="C159" s="628">
        <v>35.799999999999997</v>
      </c>
      <c r="D159" s="2231">
        <v>30</v>
      </c>
      <c r="E159" s="628">
        <v>34</v>
      </c>
      <c r="F159" s="2231">
        <v>24.2</v>
      </c>
      <c r="G159" s="2021">
        <v>24.3</v>
      </c>
      <c r="H159" s="35"/>
      <c r="I159" s="35"/>
    </row>
    <row r="160" spans="1:9">
      <c r="A160" s="219">
        <f t="shared" si="1"/>
        <v>2018.07</v>
      </c>
      <c r="B160" s="2238">
        <v>30</v>
      </c>
      <c r="C160" s="628">
        <v>32.200000000000003</v>
      </c>
      <c r="D160" s="2231">
        <v>30</v>
      </c>
      <c r="E160" s="628">
        <v>30.8</v>
      </c>
      <c r="F160" s="2231">
        <v>23.7</v>
      </c>
      <c r="G160" s="2021">
        <v>24.1</v>
      </c>
      <c r="H160" s="35"/>
      <c r="I160" s="35"/>
    </row>
    <row r="161" spans="1:9">
      <c r="A161" s="219">
        <f t="shared" si="1"/>
        <v>2018.08</v>
      </c>
      <c r="B161" s="2238">
        <v>30</v>
      </c>
      <c r="C161" s="628">
        <v>35.299999999999997</v>
      </c>
      <c r="D161" s="2231">
        <v>30</v>
      </c>
      <c r="E161" s="628">
        <v>33.5</v>
      </c>
      <c r="F161" s="2231">
        <v>31.5</v>
      </c>
      <c r="G161" s="2021">
        <v>33.370769230769199</v>
      </c>
      <c r="H161" s="35"/>
      <c r="I161" s="35"/>
    </row>
    <row r="162" spans="1:9">
      <c r="A162" s="219">
        <f t="shared" si="1"/>
        <v>2018.09</v>
      </c>
      <c r="B162" s="2238">
        <v>30</v>
      </c>
      <c r="C162" s="628">
        <v>40.4</v>
      </c>
      <c r="D162" s="2231">
        <v>30</v>
      </c>
      <c r="E162" s="628">
        <v>38.700000000000003</v>
      </c>
      <c r="F162" s="2231">
        <v>31.9</v>
      </c>
      <c r="G162" s="2021">
        <v>32.9</v>
      </c>
      <c r="H162" s="35"/>
      <c r="I162" s="35"/>
    </row>
    <row r="163" spans="1:9">
      <c r="A163" s="219">
        <f t="shared" si="1"/>
        <v>2018.1</v>
      </c>
      <c r="B163" s="2238">
        <v>40</v>
      </c>
      <c r="C163" s="628">
        <v>39.9</v>
      </c>
      <c r="D163" s="2231">
        <v>40</v>
      </c>
      <c r="E163" s="628">
        <v>41.1</v>
      </c>
      <c r="F163" s="2231">
        <v>30.6</v>
      </c>
      <c r="G163" s="2021">
        <v>32.1</v>
      </c>
      <c r="H163" s="35"/>
      <c r="I163" s="35"/>
    </row>
    <row r="164" spans="1:9">
      <c r="A164" s="219">
        <f t="shared" ref="A164:A227" si="2">A152+1</f>
        <v>2018.11</v>
      </c>
      <c r="B164" s="2238">
        <v>30</v>
      </c>
      <c r="C164" s="628">
        <v>38.299999999999997</v>
      </c>
      <c r="D164" s="2231">
        <v>30</v>
      </c>
      <c r="E164" s="628">
        <v>37.9</v>
      </c>
      <c r="F164" s="2231">
        <v>28.6</v>
      </c>
      <c r="G164" s="2021">
        <v>29</v>
      </c>
      <c r="H164" s="35"/>
      <c r="I164" s="35"/>
    </row>
    <row r="165" spans="1:9">
      <c r="A165" s="219">
        <f t="shared" si="2"/>
        <v>2018.12</v>
      </c>
      <c r="B165" s="2238">
        <v>30</v>
      </c>
      <c r="C165" s="628">
        <v>35.700000000000003</v>
      </c>
      <c r="D165" s="2231">
        <v>30</v>
      </c>
      <c r="E165" s="628">
        <v>33.6</v>
      </c>
      <c r="F165" s="2231">
        <v>28.65</v>
      </c>
      <c r="G165" s="2021">
        <v>29.349999999999898</v>
      </c>
      <c r="H165" s="35"/>
      <c r="I165" s="35"/>
    </row>
    <row r="166" spans="1:9">
      <c r="A166" s="219">
        <f t="shared" si="2"/>
        <v>2019.01</v>
      </c>
      <c r="B166" s="2238">
        <v>30</v>
      </c>
      <c r="C166" s="628">
        <v>39.200000000000003</v>
      </c>
      <c r="D166" s="2231">
        <v>30</v>
      </c>
      <c r="E166" s="628">
        <v>35.4</v>
      </c>
      <c r="F166" s="2231">
        <v>28.5</v>
      </c>
      <c r="G166" s="2021">
        <v>28.9</v>
      </c>
      <c r="H166" s="35"/>
      <c r="I166" s="35"/>
    </row>
    <row r="167" spans="1:9">
      <c r="A167" s="219">
        <f t="shared" si="2"/>
        <v>2019.02</v>
      </c>
      <c r="B167" s="2238">
        <v>30</v>
      </c>
      <c r="C167" s="628">
        <v>36.9</v>
      </c>
      <c r="D167" s="2231">
        <v>30</v>
      </c>
      <c r="E167" s="628">
        <v>34.6</v>
      </c>
      <c r="F167" s="2231">
        <v>29</v>
      </c>
      <c r="G167" s="2021">
        <v>29</v>
      </c>
      <c r="H167" s="35"/>
      <c r="I167" s="35"/>
    </row>
    <row r="168" spans="1:9">
      <c r="A168" s="219">
        <f t="shared" si="2"/>
        <v>2019.03</v>
      </c>
      <c r="B168" s="2238">
        <v>40</v>
      </c>
      <c r="C168" s="628">
        <v>40.799999999999997</v>
      </c>
      <c r="D168" s="2231">
        <v>40</v>
      </c>
      <c r="E168" s="628">
        <v>40.6</v>
      </c>
      <c r="F168" s="2231">
        <v>30.7</v>
      </c>
      <c r="G168" s="2021">
        <v>30.6</v>
      </c>
      <c r="H168" s="35"/>
      <c r="I168" s="35"/>
    </row>
    <row r="169" spans="1:9">
      <c r="A169" s="219">
        <f t="shared" si="2"/>
        <v>2019.04</v>
      </c>
      <c r="B169" s="2238">
        <v>40</v>
      </c>
      <c r="C169" s="628">
        <v>40.6</v>
      </c>
      <c r="D169" s="2231">
        <v>40</v>
      </c>
      <c r="E169" s="628">
        <v>40.200000000000003</v>
      </c>
      <c r="F169" s="2231">
        <v>31.4</v>
      </c>
      <c r="G169" s="2021">
        <v>32.6</v>
      </c>
      <c r="H169" s="35"/>
      <c r="I169" s="35"/>
    </row>
    <row r="170" spans="1:9">
      <c r="A170" s="219">
        <f t="shared" si="2"/>
        <v>2019.05</v>
      </c>
      <c r="B170" s="2238">
        <v>30</v>
      </c>
      <c r="C170" s="628">
        <v>36.6</v>
      </c>
      <c r="D170" s="2231">
        <v>30</v>
      </c>
      <c r="E170" s="628">
        <v>34.299999999999997</v>
      </c>
      <c r="F170" s="2231">
        <v>31</v>
      </c>
      <c r="G170" s="2021">
        <v>31.7</v>
      </c>
      <c r="H170" s="35"/>
      <c r="I170" s="35"/>
    </row>
    <row r="171" spans="1:9">
      <c r="A171" s="219">
        <f t="shared" si="2"/>
        <v>2019.06</v>
      </c>
      <c r="B171" s="2238">
        <v>30</v>
      </c>
      <c r="C171" s="628">
        <v>34.5</v>
      </c>
      <c r="D171" s="2231">
        <v>30</v>
      </c>
      <c r="E171" s="628">
        <v>32.200000000000003</v>
      </c>
      <c r="F171" s="2231">
        <v>30</v>
      </c>
      <c r="G171" s="2021">
        <v>30.8</v>
      </c>
      <c r="H171" s="35"/>
      <c r="I171" s="35"/>
    </row>
    <row r="172" spans="1:9">
      <c r="A172" s="219">
        <f t="shared" si="2"/>
        <v>2019.07</v>
      </c>
      <c r="B172" s="2238">
        <v>30</v>
      </c>
      <c r="C172" s="628">
        <v>31.9</v>
      </c>
      <c r="D172" s="2231">
        <v>25</v>
      </c>
      <c r="E172" s="628">
        <v>28.1</v>
      </c>
      <c r="F172" s="2231">
        <v>30.2</v>
      </c>
      <c r="G172" s="2021">
        <v>30.4889311062099</v>
      </c>
      <c r="H172" s="35"/>
      <c r="I172" s="35"/>
    </row>
    <row r="173" spans="1:9">
      <c r="A173" s="219">
        <f t="shared" si="2"/>
        <v>2019.08</v>
      </c>
      <c r="B173" s="2238">
        <v>30</v>
      </c>
      <c r="C173" s="628">
        <v>34.700000000000003</v>
      </c>
      <c r="D173" s="2231">
        <v>30</v>
      </c>
      <c r="E173" s="628">
        <v>37.5</v>
      </c>
      <c r="F173" s="2231">
        <v>48.29</v>
      </c>
      <c r="G173" s="2021">
        <v>48.936509293768097</v>
      </c>
      <c r="H173" s="35"/>
      <c r="I173" s="35"/>
    </row>
    <row r="174" spans="1:9">
      <c r="A174" s="219">
        <f t="shared" si="2"/>
        <v>2019.09</v>
      </c>
      <c r="B174" s="2238">
        <v>30</v>
      </c>
      <c r="C174" s="628">
        <v>33.1</v>
      </c>
      <c r="D174" s="2231">
        <v>30</v>
      </c>
      <c r="E174" s="628">
        <v>32.200000000000003</v>
      </c>
      <c r="F174" s="2231">
        <v>48</v>
      </c>
      <c r="G174" s="2021">
        <v>47.4</v>
      </c>
      <c r="H174" s="35"/>
      <c r="I174" s="35"/>
    </row>
    <row r="175" spans="1:9">
      <c r="A175" s="219">
        <f t="shared" si="2"/>
        <v>2019.1</v>
      </c>
      <c r="B175" s="2238">
        <v>30</v>
      </c>
      <c r="C175" s="628">
        <v>31.2</v>
      </c>
      <c r="D175" s="2231">
        <v>30</v>
      </c>
      <c r="E175" s="628">
        <v>32.700000000000003</v>
      </c>
      <c r="F175" s="2231">
        <v>48.2</v>
      </c>
      <c r="G175" s="2021">
        <v>46.7</v>
      </c>
      <c r="H175" s="35"/>
      <c r="I175" s="35"/>
    </row>
    <row r="176" spans="1:9">
      <c r="A176" s="219">
        <f t="shared" si="2"/>
        <v>2019.11</v>
      </c>
      <c r="B176" s="2238">
        <v>30</v>
      </c>
      <c r="C176" s="628">
        <v>32.700000000000003</v>
      </c>
      <c r="D176" s="2231">
        <v>30</v>
      </c>
      <c r="E176" s="628">
        <v>34.1</v>
      </c>
      <c r="F176" s="2231">
        <v>45.6</v>
      </c>
      <c r="G176" s="2021">
        <v>45.3</v>
      </c>
      <c r="H176" s="35"/>
      <c r="I176" s="35"/>
    </row>
    <row r="177" spans="1:9">
      <c r="A177" s="219">
        <f t="shared" si="2"/>
        <v>2019.12</v>
      </c>
      <c r="B177" s="2238">
        <v>30</v>
      </c>
      <c r="C177" s="628">
        <v>31.6</v>
      </c>
      <c r="D177" s="2231">
        <v>30</v>
      </c>
      <c r="E177" s="628">
        <v>30.3</v>
      </c>
      <c r="F177" s="2231">
        <v>42.2</v>
      </c>
      <c r="G177" s="2021">
        <v>41.6</v>
      </c>
      <c r="H177" s="35"/>
      <c r="I177" s="35"/>
    </row>
    <row r="178" spans="1:9">
      <c r="A178" s="219">
        <f t="shared" si="2"/>
        <v>2020.01</v>
      </c>
      <c r="B178" s="2238">
        <v>30</v>
      </c>
      <c r="C178" s="628">
        <v>31.8</v>
      </c>
      <c r="D178" s="2231">
        <v>30</v>
      </c>
      <c r="E178" s="628">
        <v>32.299999999999997</v>
      </c>
      <c r="F178" s="2231">
        <v>40</v>
      </c>
      <c r="G178" s="2021">
        <v>40.5</v>
      </c>
      <c r="H178" s="35"/>
      <c r="I178" s="35"/>
    </row>
    <row r="179" spans="1:9">
      <c r="A179" s="219">
        <f t="shared" si="2"/>
        <v>2020.02</v>
      </c>
      <c r="B179" s="2238">
        <v>30</v>
      </c>
      <c r="C179" s="628">
        <v>35.799999999999997</v>
      </c>
      <c r="D179" s="2231">
        <v>30</v>
      </c>
      <c r="E179" s="628">
        <v>36.1</v>
      </c>
      <c r="F179" s="2231">
        <v>39.9</v>
      </c>
      <c r="G179" s="2021">
        <v>39.799999999999997</v>
      </c>
      <c r="H179" s="35"/>
      <c r="I179" s="35"/>
    </row>
    <row r="180" spans="1:9">
      <c r="A180" s="219">
        <f t="shared" si="2"/>
        <v>2020.03</v>
      </c>
      <c r="B180" s="2238">
        <v>30</v>
      </c>
      <c r="C180" s="628">
        <v>33.799999999999997</v>
      </c>
      <c r="D180" s="2231">
        <v>30</v>
      </c>
      <c r="E180" s="628">
        <v>35.799999999999997</v>
      </c>
      <c r="F180" s="2231">
        <v>39.5</v>
      </c>
      <c r="G180" s="2021">
        <v>41</v>
      </c>
      <c r="H180" s="35"/>
      <c r="I180" s="35"/>
    </row>
    <row r="181" spans="1:9">
      <c r="A181" s="219">
        <f t="shared" si="2"/>
        <v>2020.04</v>
      </c>
      <c r="B181" s="2238">
        <v>40</v>
      </c>
      <c r="C181" s="628">
        <v>40.299999999999997</v>
      </c>
      <c r="D181" s="2231">
        <v>40</v>
      </c>
      <c r="E181" s="628">
        <v>42.9</v>
      </c>
      <c r="F181" s="2231">
        <v>48.976630930426737</v>
      </c>
      <c r="G181" s="2021">
        <v>48.353144161168778</v>
      </c>
      <c r="H181" s="35"/>
      <c r="I181" s="35"/>
    </row>
    <row r="182" spans="1:9">
      <c r="A182" s="219">
        <f t="shared" si="2"/>
        <v>2020.05</v>
      </c>
      <c r="B182" s="2238">
        <v>50</v>
      </c>
      <c r="C182" s="628">
        <v>47.4</v>
      </c>
      <c r="D182" s="2231">
        <v>50</v>
      </c>
      <c r="E182" s="628">
        <v>48.2</v>
      </c>
      <c r="F182" s="2231">
        <v>51</v>
      </c>
      <c r="G182" s="2021">
        <v>51.203544394972901</v>
      </c>
      <c r="H182" s="35"/>
      <c r="I182" s="35"/>
    </row>
    <row r="183" spans="1:9">
      <c r="A183" s="219">
        <f t="shared" si="2"/>
        <v>2020.06</v>
      </c>
      <c r="B183" s="2238">
        <v>40</v>
      </c>
      <c r="C183" s="628">
        <v>44.5</v>
      </c>
      <c r="D183" s="2231">
        <v>40</v>
      </c>
      <c r="E183" s="628">
        <v>45.8</v>
      </c>
      <c r="F183" s="2231">
        <v>52.5</v>
      </c>
      <c r="G183" s="2021">
        <v>53.003394439645049</v>
      </c>
      <c r="H183" s="35"/>
      <c r="I183" s="35"/>
    </row>
    <row r="184" spans="1:9">
      <c r="A184" s="219">
        <f t="shared" si="2"/>
        <v>2020.07</v>
      </c>
      <c r="B184" s="2238">
        <v>40</v>
      </c>
      <c r="C184" s="628">
        <v>43.1</v>
      </c>
      <c r="D184" s="2231">
        <v>40</v>
      </c>
      <c r="E184" s="628">
        <v>43.6</v>
      </c>
      <c r="F184" s="2231">
        <v>51.9</v>
      </c>
      <c r="G184" s="2021">
        <v>52.328307199346611</v>
      </c>
      <c r="H184" s="35"/>
      <c r="I184" s="35"/>
    </row>
    <row r="185" spans="1:9">
      <c r="A185" s="219">
        <f t="shared" si="2"/>
        <v>2020.08</v>
      </c>
      <c r="B185" s="2238">
        <v>40</v>
      </c>
      <c r="C185" s="628">
        <v>45</v>
      </c>
      <c r="D185" s="2231">
        <v>40</v>
      </c>
      <c r="E185" s="628">
        <v>46.7</v>
      </c>
      <c r="F185" s="2231">
        <v>51.2</v>
      </c>
      <c r="G185" s="2021">
        <v>50.3</v>
      </c>
      <c r="H185" s="35"/>
      <c r="I185" s="35"/>
    </row>
    <row r="186" spans="1:9">
      <c r="A186" s="219">
        <f t="shared" si="2"/>
        <v>2020.09</v>
      </c>
      <c r="B186" s="2238">
        <v>40</v>
      </c>
      <c r="C186" s="628">
        <v>43.3</v>
      </c>
      <c r="D186" s="2231">
        <v>40</v>
      </c>
      <c r="E186" s="628">
        <v>43.5</v>
      </c>
      <c r="F186" s="2231">
        <v>50.13</v>
      </c>
      <c r="G186" s="2021">
        <v>50.8080202577856</v>
      </c>
      <c r="H186" s="35"/>
      <c r="I186" s="35"/>
    </row>
    <row r="187" spans="1:9">
      <c r="A187" s="219">
        <f t="shared" si="2"/>
        <v>2020.1</v>
      </c>
      <c r="B187" s="2238">
        <v>45</v>
      </c>
      <c r="C187" s="628">
        <v>47</v>
      </c>
      <c r="D187" s="2231">
        <v>45</v>
      </c>
      <c r="E187" s="628">
        <v>47.5</v>
      </c>
      <c r="F187" s="2231">
        <v>52.1</v>
      </c>
      <c r="G187" s="2021">
        <v>50.33061255070011</v>
      </c>
      <c r="H187" s="35"/>
      <c r="I187" s="35"/>
    </row>
    <row r="188" spans="1:9">
      <c r="A188" s="219">
        <f t="shared" si="2"/>
        <v>2020.11</v>
      </c>
      <c r="B188" s="2238">
        <v>40</v>
      </c>
      <c r="C188" s="628">
        <v>44.5</v>
      </c>
      <c r="D188" s="2231">
        <v>40</v>
      </c>
      <c r="E188" s="628">
        <v>44.9</v>
      </c>
      <c r="F188" s="2231">
        <v>52.45</v>
      </c>
      <c r="G188" s="2021">
        <v>51.098591835271499</v>
      </c>
      <c r="H188" s="35"/>
      <c r="I188" s="35"/>
    </row>
    <row r="189" spans="1:9">
      <c r="A189" s="219">
        <f t="shared" si="2"/>
        <v>2020.12</v>
      </c>
      <c r="B189" s="2238">
        <v>40</v>
      </c>
      <c r="C189" s="628">
        <v>42.9</v>
      </c>
      <c r="D189" s="2231">
        <v>40</v>
      </c>
      <c r="E189" s="628">
        <v>44.3</v>
      </c>
      <c r="F189" s="2231">
        <v>49.8</v>
      </c>
      <c r="G189" s="2021">
        <v>48.604486801973827</v>
      </c>
      <c r="H189" s="35"/>
      <c r="I189" s="35"/>
    </row>
    <row r="190" spans="1:9">
      <c r="A190" s="219">
        <f t="shared" si="2"/>
        <v>2021.01</v>
      </c>
      <c r="B190" s="2238">
        <v>45</v>
      </c>
      <c r="C190" s="628">
        <v>44.1</v>
      </c>
      <c r="D190" s="2231">
        <v>50</v>
      </c>
      <c r="E190" s="628">
        <v>46.8</v>
      </c>
      <c r="F190" s="2231">
        <v>49.35</v>
      </c>
      <c r="G190" s="2021">
        <v>48.302584665891551</v>
      </c>
      <c r="H190" s="35"/>
      <c r="I190" s="35"/>
    </row>
    <row r="191" spans="1:9">
      <c r="A191" s="219">
        <f t="shared" si="2"/>
        <v>2021.02</v>
      </c>
      <c r="B191" s="2238">
        <v>45</v>
      </c>
      <c r="C191" s="628">
        <v>45.2</v>
      </c>
      <c r="D191" s="2231">
        <v>50</v>
      </c>
      <c r="E191" s="628">
        <v>49.1</v>
      </c>
      <c r="F191" s="2231">
        <v>44.95</v>
      </c>
      <c r="G191" s="2021">
        <v>45.028628351457392</v>
      </c>
      <c r="H191" s="35"/>
      <c r="I191" s="35"/>
    </row>
    <row r="192" spans="1:9">
      <c r="A192" s="219">
        <f t="shared" si="2"/>
        <v>2021.03</v>
      </c>
      <c r="B192" s="2238">
        <v>50</v>
      </c>
      <c r="C192" s="628">
        <v>46.3</v>
      </c>
      <c r="D192" s="2231">
        <v>50</v>
      </c>
      <c r="E192" s="628">
        <v>49.2</v>
      </c>
      <c r="F192" s="2231">
        <v>43.1</v>
      </c>
      <c r="G192" s="2021">
        <v>43.546858780757297</v>
      </c>
      <c r="H192" s="35"/>
      <c r="I192" s="35"/>
    </row>
    <row r="193" spans="1:9">
      <c r="A193" s="219">
        <f t="shared" si="2"/>
        <v>2021.04</v>
      </c>
      <c r="B193" s="2238">
        <v>50</v>
      </c>
      <c r="C193" s="628">
        <v>47.9</v>
      </c>
      <c r="D193" s="2231">
        <v>50</v>
      </c>
      <c r="E193" s="628">
        <v>50.6</v>
      </c>
      <c r="F193" s="2231">
        <v>43.3</v>
      </c>
      <c r="G193" s="2021">
        <v>43.355152719129457</v>
      </c>
      <c r="H193" s="35"/>
      <c r="I193" s="35"/>
    </row>
    <row r="194" spans="1:9">
      <c r="A194" s="219">
        <f t="shared" si="2"/>
        <v>2021.05</v>
      </c>
      <c r="B194" s="2238">
        <v>50</v>
      </c>
      <c r="C194" s="628">
        <v>50.2</v>
      </c>
      <c r="D194" s="2231">
        <v>50</v>
      </c>
      <c r="E194" s="628">
        <v>50.8</v>
      </c>
      <c r="F194" s="2231">
        <v>43.263878478822107</v>
      </c>
      <c r="G194" s="2021">
        <v>42.561837363446926</v>
      </c>
      <c r="H194" s="35"/>
      <c r="I194" s="35"/>
    </row>
    <row r="195" spans="1:9">
      <c r="A195" s="219">
        <f t="shared" si="2"/>
        <v>2021.06</v>
      </c>
      <c r="B195" s="2238">
        <v>50</v>
      </c>
      <c r="C195" s="628">
        <v>51.4</v>
      </c>
      <c r="D195" s="2231">
        <v>50</v>
      </c>
      <c r="E195" s="628">
        <v>51.8</v>
      </c>
      <c r="F195" s="2231">
        <v>43.136171755699827</v>
      </c>
      <c r="G195" s="2021">
        <v>42.025858778499199</v>
      </c>
      <c r="H195" s="35"/>
      <c r="I195" s="35"/>
    </row>
    <row r="196" spans="1:9">
      <c r="A196" s="219">
        <f t="shared" si="2"/>
        <v>2021.07</v>
      </c>
      <c r="B196" s="2238">
        <v>50</v>
      </c>
      <c r="C196" s="628">
        <v>49.1</v>
      </c>
      <c r="D196" s="2231">
        <v>50</v>
      </c>
      <c r="E196" s="628">
        <v>49.5</v>
      </c>
      <c r="F196" s="2231">
        <v>43.2</v>
      </c>
      <c r="G196" s="2021">
        <v>42.997569014975468</v>
      </c>
      <c r="H196" s="35"/>
      <c r="I196" s="35"/>
    </row>
    <row r="197" spans="1:9">
      <c r="A197" s="219">
        <f t="shared" si="2"/>
        <v>2021.08</v>
      </c>
      <c r="B197" s="2238">
        <v>50</v>
      </c>
      <c r="C197" s="628">
        <v>48</v>
      </c>
      <c r="D197" s="2231">
        <v>50</v>
      </c>
      <c r="E197" s="628">
        <v>47.6</v>
      </c>
      <c r="F197" s="2231">
        <v>43.666122211181111</v>
      </c>
      <c r="G197" s="2021">
        <v>43.980232025066421</v>
      </c>
      <c r="H197" s="35"/>
      <c r="I197" s="35"/>
    </row>
    <row r="198" spans="1:9">
      <c r="A198" s="219">
        <f t="shared" si="2"/>
        <v>2021.09</v>
      </c>
      <c r="B198" s="2238">
        <v>50</v>
      </c>
      <c r="C198" s="628">
        <v>48.6</v>
      </c>
      <c r="D198" s="2231">
        <v>50</v>
      </c>
      <c r="E198" s="628">
        <v>50</v>
      </c>
      <c r="F198" s="2231">
        <v>45.6</v>
      </c>
      <c r="G198" s="2021">
        <v>46.535558210789567</v>
      </c>
      <c r="H198" s="35"/>
      <c r="I198" s="35"/>
    </row>
    <row r="199" spans="1:9">
      <c r="A199" s="219">
        <f t="shared" si="2"/>
        <v>2021.1</v>
      </c>
      <c r="B199" s="2238">
        <v>50</v>
      </c>
      <c r="C199" s="628">
        <v>46.7</v>
      </c>
      <c r="D199" s="2231">
        <v>45</v>
      </c>
      <c r="E199" s="628">
        <v>47.5</v>
      </c>
      <c r="F199" s="2231">
        <v>48.644346310156962</v>
      </c>
      <c r="G199" s="2021">
        <v>49.513988531809041</v>
      </c>
      <c r="H199" s="35"/>
      <c r="I199" s="35"/>
    </row>
    <row r="200" spans="1:9">
      <c r="A200" s="219">
        <f t="shared" si="2"/>
        <v>2021.11</v>
      </c>
      <c r="B200" s="2238">
        <v>50</v>
      </c>
      <c r="C200" s="628">
        <v>50.4</v>
      </c>
      <c r="D200" s="2231">
        <v>50</v>
      </c>
      <c r="E200" s="628">
        <v>50.9</v>
      </c>
      <c r="F200" s="2231">
        <v>52.3</v>
      </c>
      <c r="G200" s="2021">
        <v>52.2</v>
      </c>
      <c r="H200" s="35"/>
      <c r="I200" s="35"/>
    </row>
    <row r="201" spans="1:9">
      <c r="A201" s="219">
        <f t="shared" si="2"/>
        <v>2021.12</v>
      </c>
      <c r="B201" s="2238">
        <v>50</v>
      </c>
      <c r="C201" s="628">
        <v>51.3</v>
      </c>
      <c r="D201" s="2231">
        <v>50</v>
      </c>
      <c r="E201" s="628">
        <v>53.1</v>
      </c>
      <c r="F201" s="2231">
        <v>54.774214209225967</v>
      </c>
      <c r="G201" s="2021">
        <v>53.900999608220367</v>
      </c>
      <c r="H201" s="35"/>
      <c r="I201" s="35"/>
    </row>
    <row r="202" spans="1:9">
      <c r="A202" s="219">
        <f t="shared" si="2"/>
        <v>2022.01</v>
      </c>
      <c r="B202" s="2238">
        <v>50</v>
      </c>
      <c r="C202" s="628">
        <v>51.1</v>
      </c>
      <c r="D202" s="2231">
        <v>50</v>
      </c>
      <c r="E202" s="628">
        <v>51.3</v>
      </c>
      <c r="F202" s="2231">
        <v>53.85</v>
      </c>
      <c r="G202" s="2021">
        <v>53.850351206796297</v>
      </c>
      <c r="H202" s="35"/>
      <c r="I202" s="35"/>
    </row>
    <row r="203" spans="1:9">
      <c r="A203" s="219">
        <f t="shared" si="2"/>
        <v>2022.02</v>
      </c>
      <c r="B203" s="2238">
        <v>50</v>
      </c>
      <c r="C203" s="628">
        <v>50.3</v>
      </c>
      <c r="D203" s="2231">
        <v>50</v>
      </c>
      <c r="E203" s="628">
        <v>50.8</v>
      </c>
      <c r="F203" s="2231">
        <v>52.9</v>
      </c>
      <c r="G203" s="2021">
        <v>53.266908422217213</v>
      </c>
      <c r="H203" s="35"/>
      <c r="I203" s="35"/>
    </row>
    <row r="204" spans="1:9">
      <c r="A204" s="219">
        <f t="shared" si="2"/>
        <v>2022.03</v>
      </c>
      <c r="B204" s="2238">
        <v>50</v>
      </c>
      <c r="C204" s="628">
        <v>53.7</v>
      </c>
      <c r="D204" s="2231">
        <v>50</v>
      </c>
      <c r="E204" s="628">
        <v>55.3</v>
      </c>
      <c r="F204" s="2231">
        <v>55.4</v>
      </c>
      <c r="G204" s="2021">
        <v>55.3</v>
      </c>
      <c r="H204" s="35"/>
      <c r="I204" s="35"/>
    </row>
    <row r="205" spans="1:9">
      <c r="A205" s="219">
        <f t="shared" si="2"/>
        <v>2022.04</v>
      </c>
      <c r="B205" s="2238">
        <v>50</v>
      </c>
      <c r="C205" s="628">
        <v>52.2</v>
      </c>
      <c r="D205" s="2231">
        <v>50</v>
      </c>
      <c r="E205" s="628">
        <v>52.8</v>
      </c>
      <c r="F205" s="2231">
        <v>56.108286814838969</v>
      </c>
      <c r="G205" s="2021">
        <v>58.148759144124057</v>
      </c>
      <c r="H205" s="35"/>
      <c r="I205" s="35"/>
    </row>
    <row r="206" spans="1:9">
      <c r="A206" s="219">
        <f t="shared" si="2"/>
        <v>2022.05</v>
      </c>
      <c r="B206" s="2238">
        <v>50</v>
      </c>
      <c r="C206" s="628">
        <v>58.4</v>
      </c>
      <c r="D206" s="2231">
        <v>50</v>
      </c>
      <c r="E206" s="628">
        <v>59.4</v>
      </c>
      <c r="F206" s="2231">
        <v>60.1</v>
      </c>
      <c r="G206" s="2021">
        <v>63.399125526750197</v>
      </c>
      <c r="H206" s="35"/>
      <c r="I206" s="35"/>
    </row>
    <row r="207" spans="1:9">
      <c r="A207" s="219">
        <f t="shared" si="2"/>
        <v>2022.06</v>
      </c>
      <c r="B207" s="2238">
        <v>50</v>
      </c>
      <c r="C207" s="628">
        <v>57.9</v>
      </c>
      <c r="D207" s="2231">
        <v>50</v>
      </c>
      <c r="E207" s="628">
        <v>57.4</v>
      </c>
      <c r="F207" s="2231">
        <v>68.75</v>
      </c>
      <c r="G207" s="2021">
        <v>68.621602247314684</v>
      </c>
      <c r="H207" s="35"/>
      <c r="I207" s="35"/>
    </row>
    <row r="208" spans="1:9">
      <c r="A208" s="219">
        <f t="shared" si="2"/>
        <v>2022.07</v>
      </c>
      <c r="B208" s="2238">
        <v>60</v>
      </c>
      <c r="C208" s="628">
        <v>62.5</v>
      </c>
      <c r="D208" s="2231">
        <v>60</v>
      </c>
      <c r="E208" s="628">
        <v>63.6</v>
      </c>
      <c r="F208" s="2231">
        <v>83.7</v>
      </c>
      <c r="G208" s="2021">
        <v>83.089501061756508</v>
      </c>
      <c r="H208" s="35"/>
      <c r="I208" s="35"/>
    </row>
    <row r="209" spans="1:9">
      <c r="A209" s="219">
        <f t="shared" si="2"/>
        <v>2022.08</v>
      </c>
      <c r="B209" s="2238">
        <v>50</v>
      </c>
      <c r="C209" s="628">
        <v>60.6</v>
      </c>
      <c r="D209" s="2231">
        <v>50</v>
      </c>
      <c r="E209" s="628">
        <v>59.8</v>
      </c>
      <c r="F209" s="2231">
        <v>98</v>
      </c>
      <c r="G209" s="2021">
        <v>100.2822246577053</v>
      </c>
      <c r="H209" s="35"/>
      <c r="I209" s="35"/>
    </row>
    <row r="210" spans="1:9">
      <c r="A210" s="219">
        <f t="shared" si="2"/>
        <v>2022.09</v>
      </c>
      <c r="B210" s="2238">
        <v>60</v>
      </c>
      <c r="C210" s="628">
        <v>61.7</v>
      </c>
      <c r="D210" s="2231">
        <v>50</v>
      </c>
      <c r="E210" s="628">
        <v>61.2</v>
      </c>
      <c r="F210" s="2231">
        <v>94.050000000000011</v>
      </c>
      <c r="G210" s="2021">
        <v>95.175839065404034</v>
      </c>
      <c r="H210" s="35"/>
      <c r="I210" s="35"/>
    </row>
    <row r="211" spans="1:9">
      <c r="A211" s="219">
        <f t="shared" si="2"/>
        <v>2022.1</v>
      </c>
      <c r="B211" s="2238">
        <v>70</v>
      </c>
      <c r="C211" s="628">
        <v>68.400000000000006</v>
      </c>
      <c r="D211" s="2231">
        <v>70</v>
      </c>
      <c r="E211" s="628">
        <v>68.5</v>
      </c>
      <c r="F211" s="2231">
        <v>98.844999999999999</v>
      </c>
      <c r="G211" s="2021">
        <v>97.623155122493699</v>
      </c>
      <c r="H211" s="35"/>
      <c r="I211" s="35"/>
    </row>
    <row r="212" spans="1:9">
      <c r="A212" s="219">
        <f t="shared" si="2"/>
        <v>2022.11</v>
      </c>
      <c r="B212" s="2238">
        <v>80</v>
      </c>
      <c r="C212" s="628">
        <v>72.400000000000006</v>
      </c>
      <c r="D212" s="2231">
        <v>80</v>
      </c>
      <c r="E212" s="628">
        <v>72.3</v>
      </c>
      <c r="F212" s="2231">
        <v>100.7</v>
      </c>
      <c r="G212" s="2021">
        <v>98.009514697451806</v>
      </c>
      <c r="H212" s="35"/>
      <c r="I212" s="35"/>
    </row>
    <row r="213" spans="1:9">
      <c r="A213" s="219">
        <f t="shared" si="2"/>
        <v>2022.12</v>
      </c>
      <c r="B213" s="2238">
        <v>70</v>
      </c>
      <c r="C213" s="628">
        <v>69.599999999999994</v>
      </c>
      <c r="D213" s="2231">
        <v>70</v>
      </c>
      <c r="E213" s="628">
        <v>69.8</v>
      </c>
      <c r="F213" s="2231">
        <v>98.4</v>
      </c>
      <c r="G213" s="2021">
        <v>96.7</v>
      </c>
      <c r="H213" s="35"/>
      <c r="I213" s="35"/>
    </row>
    <row r="214" spans="1:9">
      <c r="A214" s="219">
        <f t="shared" si="2"/>
        <v>2023.01</v>
      </c>
      <c r="B214" s="2238">
        <v>70</v>
      </c>
      <c r="C214" s="628">
        <v>70.2</v>
      </c>
      <c r="D214" s="2231">
        <v>75</v>
      </c>
      <c r="E214" s="628">
        <v>70.599999999999994</v>
      </c>
      <c r="F214" s="2231">
        <v>98.495000000000005</v>
      </c>
      <c r="G214" s="2021">
        <v>96.025235107225683</v>
      </c>
      <c r="H214" s="35"/>
      <c r="I214" s="35"/>
    </row>
    <row r="215" spans="1:9">
      <c r="A215" s="219">
        <f t="shared" si="2"/>
        <v>2023.02</v>
      </c>
      <c r="B215" s="2238">
        <v>80</v>
      </c>
      <c r="C215" s="628">
        <v>69.900000000000006</v>
      </c>
      <c r="D215" s="2231">
        <v>70</v>
      </c>
      <c r="E215" s="628">
        <v>69.099999999999994</v>
      </c>
      <c r="F215" s="2231">
        <v>103.52500000000001</v>
      </c>
      <c r="G215" s="2021">
        <v>100.980671599475</v>
      </c>
      <c r="H215" s="35"/>
      <c r="I215" s="35"/>
    </row>
    <row r="216" spans="1:9">
      <c r="A216" s="219">
        <f t="shared" si="2"/>
        <v>2023.03</v>
      </c>
      <c r="B216" s="2238">
        <v>80</v>
      </c>
      <c r="C216" s="628">
        <v>75.400000000000006</v>
      </c>
      <c r="D216" s="2231">
        <v>80</v>
      </c>
      <c r="E216" s="628">
        <v>76.2</v>
      </c>
      <c r="F216" s="2231">
        <v>113.26</v>
      </c>
      <c r="G216" s="2021">
        <v>113.0161927457184</v>
      </c>
      <c r="H216" s="35"/>
      <c r="I216" s="35"/>
    </row>
    <row r="217" spans="1:9">
      <c r="A217" s="219">
        <f t="shared" si="2"/>
        <v>2023.04</v>
      </c>
      <c r="B217" s="2238">
        <v>90</v>
      </c>
      <c r="C217" s="628">
        <v>82</v>
      </c>
      <c r="D217" s="2231">
        <v>90</v>
      </c>
      <c r="E217" s="628">
        <v>82.3</v>
      </c>
      <c r="F217" s="2231">
        <v>146.5</v>
      </c>
      <c r="G217" s="2021">
        <v>146.66423535717831</v>
      </c>
      <c r="H217" s="35"/>
      <c r="I217" s="35"/>
    </row>
    <row r="218" spans="1:9">
      <c r="A218" s="219">
        <f t="shared" si="2"/>
        <v>2023.05</v>
      </c>
      <c r="B218" s="2238">
        <v>100</v>
      </c>
      <c r="C218" s="628">
        <v>96.4</v>
      </c>
      <c r="D218" s="2231">
        <v>100</v>
      </c>
      <c r="E218" s="628">
        <v>96.2</v>
      </c>
      <c r="F218" s="2231">
        <v>171.1</v>
      </c>
      <c r="G218" s="2021">
        <v>168.3</v>
      </c>
      <c r="H218" s="35"/>
      <c r="I218" s="35"/>
    </row>
    <row r="219" spans="1:9">
      <c r="A219" s="219">
        <f t="shared" si="2"/>
        <v>2023.06</v>
      </c>
      <c r="B219" s="2238">
        <v>100</v>
      </c>
      <c r="C219" s="628">
        <v>94.1</v>
      </c>
      <c r="D219" s="2231">
        <v>100</v>
      </c>
      <c r="E219" s="628">
        <v>93.9</v>
      </c>
      <c r="F219" s="2231">
        <v>161.42418806775049</v>
      </c>
      <c r="G219" s="2021">
        <v>158.86574708158469</v>
      </c>
      <c r="H219" s="35"/>
      <c r="I219" s="35"/>
    </row>
    <row r="220" spans="1:9">
      <c r="A220" s="219">
        <f t="shared" si="2"/>
        <v>2023.07</v>
      </c>
      <c r="B220" s="2238">
        <v>100</v>
      </c>
      <c r="C220" s="628">
        <v>89.6</v>
      </c>
      <c r="D220" s="2231">
        <v>100</v>
      </c>
      <c r="E220" s="628">
        <v>90.1</v>
      </c>
      <c r="F220" s="2231">
        <v>154.91499999999999</v>
      </c>
      <c r="G220" s="2021">
        <v>154.07911361661371</v>
      </c>
    </row>
    <row r="221" spans="1:9">
      <c r="A221" s="219">
        <f t="shared" si="2"/>
        <v>2023.08</v>
      </c>
      <c r="B221" s="2238">
        <v>100</v>
      </c>
      <c r="C221" s="628">
        <v>90.9</v>
      </c>
      <c r="D221" s="2231">
        <v>100</v>
      </c>
      <c r="E221" s="628">
        <v>90.7</v>
      </c>
      <c r="F221" s="2231">
        <v>208.83500000000001</v>
      </c>
      <c r="G221" s="2021">
        <v>203.18442344567561</v>
      </c>
    </row>
    <row r="222" spans="1:9">
      <c r="A222" s="219">
        <f t="shared" si="2"/>
        <v>2023.09</v>
      </c>
      <c r="B222" s="2238">
        <v>100</v>
      </c>
      <c r="C222" s="628">
        <v>99.1</v>
      </c>
      <c r="D222" s="2231">
        <v>100</v>
      </c>
      <c r="E222" s="628">
        <v>98.5</v>
      </c>
      <c r="F222" s="2231">
        <v>185.86</v>
      </c>
      <c r="G222" s="2021">
        <v>191.2143340469751</v>
      </c>
    </row>
    <row r="223" spans="1:9">
      <c r="A223" s="219">
        <f t="shared" si="2"/>
        <v>2023.1</v>
      </c>
      <c r="B223" s="2238">
        <v>100</v>
      </c>
      <c r="C223" s="628">
        <v>115.9</v>
      </c>
      <c r="D223" s="2231">
        <v>100</v>
      </c>
      <c r="E223" s="628">
        <v>117.6</v>
      </c>
      <c r="F223" s="2231">
        <v>213.5</v>
      </c>
      <c r="G223" s="2021">
        <v>203.5</v>
      </c>
    </row>
    <row r="224" spans="1:9">
      <c r="A224" s="219">
        <f t="shared" si="2"/>
        <v>2023.11</v>
      </c>
      <c r="B224" s="2238">
        <v>100</v>
      </c>
      <c r="C224" s="628">
        <v>107.2</v>
      </c>
      <c r="D224" s="2231">
        <v>100</v>
      </c>
      <c r="E224" s="628">
        <v>108.9</v>
      </c>
      <c r="F224" s="2231">
        <v>226.7</v>
      </c>
      <c r="G224" s="2021">
        <v>250</v>
      </c>
    </row>
    <row r="225" spans="1:7">
      <c r="A225" s="219">
        <f t="shared" si="2"/>
        <v>2023.12</v>
      </c>
      <c r="B225" s="2238">
        <v>150</v>
      </c>
      <c r="C225" s="628">
        <v>225.9</v>
      </c>
      <c r="D225" s="2231">
        <v>150</v>
      </c>
      <c r="E225" s="628">
        <v>228.4</v>
      </c>
      <c r="F225" s="2231">
        <v>212.99580129090381</v>
      </c>
      <c r="G225" s="2021">
        <v>252.46520601530349</v>
      </c>
    </row>
    <row r="226" spans="1:7">
      <c r="A226" s="219">
        <f t="shared" si="2"/>
        <v>2024.01</v>
      </c>
      <c r="B226" s="2238">
        <v>150</v>
      </c>
      <c r="C226" s="628">
        <v>230</v>
      </c>
      <c r="D226" s="2231">
        <v>150</v>
      </c>
      <c r="E226" s="628">
        <v>236.1</v>
      </c>
      <c r="F226" s="2231">
        <v>183.2</v>
      </c>
      <c r="G226" s="2021">
        <v>186.6</v>
      </c>
    </row>
    <row r="227" spans="1:7">
      <c r="A227" s="219">
        <f t="shared" si="2"/>
        <v>2024.02</v>
      </c>
      <c r="B227" s="2238">
        <v>100</v>
      </c>
      <c r="C227" s="628">
        <v>170.8</v>
      </c>
      <c r="D227" s="3350" t="e">
        <v>#N/A</v>
      </c>
      <c r="E227" s="628">
        <v>147.1</v>
      </c>
      <c r="F227" s="2231">
        <v>146.9</v>
      </c>
      <c r="G227" s="2021">
        <v>147.43588167526761</v>
      </c>
    </row>
    <row r="228" spans="1:7">
      <c r="A228" s="219">
        <f t="shared" ref="A228:A249" si="3">A216+1</f>
        <v>2024.03</v>
      </c>
      <c r="B228" s="2238">
        <v>100</v>
      </c>
      <c r="C228" s="628">
        <v>123.8</v>
      </c>
      <c r="D228" s="3350" t="e">
        <v>#N/A</v>
      </c>
      <c r="E228" s="628">
        <v>111.2</v>
      </c>
      <c r="F228" s="2231">
        <v>120</v>
      </c>
      <c r="G228" s="2021">
        <v>120.9</v>
      </c>
    </row>
    <row r="229" spans="1:7">
      <c r="A229" s="219">
        <f t="shared" si="3"/>
        <v>2024.04</v>
      </c>
      <c r="B229" s="2238">
        <v>70</v>
      </c>
      <c r="C229" s="628">
        <v>98.5</v>
      </c>
      <c r="D229" s="3350" t="e">
        <v>#N/A</v>
      </c>
      <c r="E229" s="628">
        <v>96.4</v>
      </c>
      <c r="F229" s="2231">
        <v>88</v>
      </c>
      <c r="G229" s="2021">
        <v>89.8</v>
      </c>
    </row>
    <row r="230" spans="1:7">
      <c r="A230" s="219">
        <f t="shared" si="3"/>
        <v>2024.05</v>
      </c>
      <c r="B230" s="2238" t="e">
        <v>#N/A</v>
      </c>
      <c r="C230" s="628" t="e">
        <v>#N/A</v>
      </c>
      <c r="D230" s="2231" t="e">
        <v>#N/A</v>
      </c>
      <c r="E230" s="628" t="e">
        <v>#N/A</v>
      </c>
      <c r="F230" s="2231" t="e">
        <v>#N/A</v>
      </c>
      <c r="G230" s="2021" t="e">
        <v>#N/A</v>
      </c>
    </row>
    <row r="231" spans="1:7">
      <c r="A231" s="219">
        <f t="shared" si="3"/>
        <v>2024.06</v>
      </c>
      <c r="B231" s="2238" t="e">
        <v>#N/A</v>
      </c>
      <c r="C231" s="628" t="e">
        <v>#N/A</v>
      </c>
      <c r="D231" s="2231" t="e">
        <v>#N/A</v>
      </c>
      <c r="E231" s="628" t="e">
        <v>#N/A</v>
      </c>
      <c r="F231" s="2231" t="e">
        <v>#N/A</v>
      </c>
      <c r="G231" s="2021" t="e">
        <v>#N/A</v>
      </c>
    </row>
    <row r="232" spans="1:7">
      <c r="A232" s="219">
        <f t="shared" si="3"/>
        <v>2024.07</v>
      </c>
      <c r="B232" s="2238" t="e">
        <v>#N/A</v>
      </c>
      <c r="C232" s="628" t="e">
        <v>#N/A</v>
      </c>
      <c r="D232" s="2231" t="e">
        <v>#N/A</v>
      </c>
      <c r="E232" s="628" t="e">
        <v>#N/A</v>
      </c>
      <c r="F232" s="2231" t="e">
        <v>#N/A</v>
      </c>
      <c r="G232" s="2021" t="e">
        <v>#N/A</v>
      </c>
    </row>
    <row r="233" spans="1:7">
      <c r="A233" s="219">
        <f t="shared" si="3"/>
        <v>2024.08</v>
      </c>
      <c r="B233" s="2238" t="e">
        <v>#N/A</v>
      </c>
      <c r="C233" s="628" t="e">
        <v>#N/A</v>
      </c>
      <c r="D233" s="2231" t="e">
        <v>#N/A</v>
      </c>
      <c r="E233" s="628" t="e">
        <v>#N/A</v>
      </c>
      <c r="F233" s="2231" t="e">
        <v>#N/A</v>
      </c>
      <c r="G233" s="2021" t="e">
        <v>#N/A</v>
      </c>
    </row>
    <row r="234" spans="1:7">
      <c r="A234" s="219">
        <f t="shared" si="3"/>
        <v>2024.09</v>
      </c>
      <c r="B234" s="2238" t="e">
        <v>#N/A</v>
      </c>
      <c r="C234" s="628" t="e">
        <v>#N/A</v>
      </c>
      <c r="D234" s="2231" t="e">
        <v>#N/A</v>
      </c>
      <c r="E234" s="628" t="e">
        <v>#N/A</v>
      </c>
      <c r="F234" s="2231" t="e">
        <v>#N/A</v>
      </c>
      <c r="G234" s="2021" t="e">
        <v>#N/A</v>
      </c>
    </row>
    <row r="235" spans="1:7">
      <c r="A235" s="219">
        <f t="shared" si="3"/>
        <v>2024.1</v>
      </c>
      <c r="B235" s="2238" t="e">
        <v>#N/A</v>
      </c>
      <c r="C235" s="628" t="e">
        <v>#N/A</v>
      </c>
      <c r="D235" s="2231" t="e">
        <v>#N/A</v>
      </c>
      <c r="E235" s="628" t="e">
        <v>#N/A</v>
      </c>
      <c r="F235" s="2231" t="e">
        <v>#N/A</v>
      </c>
      <c r="G235" s="2021" t="e">
        <v>#N/A</v>
      </c>
    </row>
    <row r="236" spans="1:7">
      <c r="A236" s="219">
        <f t="shared" si="3"/>
        <v>2024.11</v>
      </c>
      <c r="B236" s="2238" t="e">
        <v>#N/A</v>
      </c>
      <c r="C236" s="628" t="e">
        <v>#N/A</v>
      </c>
      <c r="D236" s="2231" t="e">
        <v>#N/A</v>
      </c>
      <c r="E236" s="628" t="e">
        <v>#N/A</v>
      </c>
      <c r="F236" s="2231" t="e">
        <v>#N/A</v>
      </c>
      <c r="G236" s="2021" t="e">
        <v>#N/A</v>
      </c>
    </row>
    <row r="237" spans="1:7">
      <c r="A237" s="219">
        <f t="shared" si="3"/>
        <v>2024.12</v>
      </c>
      <c r="B237" s="2238" t="e">
        <v>#N/A</v>
      </c>
      <c r="C237" s="628" t="e">
        <v>#N/A</v>
      </c>
      <c r="D237" s="2231" t="e">
        <v>#N/A</v>
      </c>
      <c r="E237" s="628" t="e">
        <v>#N/A</v>
      </c>
      <c r="F237" s="2231" t="e">
        <v>#N/A</v>
      </c>
      <c r="G237" s="2021" t="e">
        <v>#N/A</v>
      </c>
    </row>
    <row r="238" spans="1:7">
      <c r="A238" s="219">
        <f t="shared" si="3"/>
        <v>2025.01</v>
      </c>
      <c r="B238" s="2238" t="e">
        <v>#N/A</v>
      </c>
      <c r="C238" s="628" t="e">
        <v>#N/A</v>
      </c>
      <c r="D238" s="2231" t="e">
        <v>#N/A</v>
      </c>
      <c r="E238" s="628" t="e">
        <v>#N/A</v>
      </c>
      <c r="F238" s="2231" t="e">
        <v>#N/A</v>
      </c>
      <c r="G238" s="2021" t="e">
        <v>#N/A</v>
      </c>
    </row>
    <row r="239" spans="1:7">
      <c r="A239" s="219">
        <f t="shared" si="3"/>
        <v>2025.02</v>
      </c>
      <c r="B239" s="2238" t="e">
        <v>#N/A</v>
      </c>
      <c r="C239" s="628" t="e">
        <v>#N/A</v>
      </c>
      <c r="D239" s="2231" t="e">
        <v>#N/A</v>
      </c>
      <c r="E239" s="628" t="e">
        <v>#N/A</v>
      </c>
      <c r="F239" s="2231" t="e">
        <v>#N/A</v>
      </c>
      <c r="G239" s="2021" t="e">
        <v>#N/A</v>
      </c>
    </row>
    <row r="240" spans="1:7">
      <c r="A240" s="219">
        <f t="shared" si="3"/>
        <v>2025.03</v>
      </c>
      <c r="B240" s="2238" t="e">
        <v>#N/A</v>
      </c>
      <c r="C240" s="628" t="e">
        <v>#N/A</v>
      </c>
      <c r="D240" s="2231" t="e">
        <v>#N/A</v>
      </c>
      <c r="E240" s="628" t="e">
        <v>#N/A</v>
      </c>
      <c r="F240" s="2231" t="e">
        <v>#N/A</v>
      </c>
      <c r="G240" s="2021" t="e">
        <v>#N/A</v>
      </c>
    </row>
    <row r="241" spans="1:7">
      <c r="A241" s="219">
        <f t="shared" si="3"/>
        <v>2025.04</v>
      </c>
      <c r="B241" s="2238" t="e">
        <v>#N/A</v>
      </c>
      <c r="C241" s="628" t="e">
        <v>#N/A</v>
      </c>
      <c r="D241" s="2231" t="e">
        <v>#N/A</v>
      </c>
      <c r="E241" s="628" t="e">
        <v>#N/A</v>
      </c>
      <c r="F241" s="2231" t="e">
        <v>#N/A</v>
      </c>
      <c r="G241" s="2021" t="e">
        <v>#N/A</v>
      </c>
    </row>
    <row r="242" spans="1:7">
      <c r="A242" s="219">
        <f t="shared" si="3"/>
        <v>2025.05</v>
      </c>
      <c r="B242" s="2238" t="e">
        <v>#N/A</v>
      </c>
      <c r="C242" s="628" t="e">
        <v>#N/A</v>
      </c>
      <c r="D242" s="2231" t="e">
        <v>#N/A</v>
      </c>
      <c r="E242" s="628" t="e">
        <v>#N/A</v>
      </c>
      <c r="F242" s="2231" t="e">
        <v>#N/A</v>
      </c>
      <c r="G242" s="2021" t="e">
        <v>#N/A</v>
      </c>
    </row>
    <row r="243" spans="1:7">
      <c r="A243" s="219">
        <f t="shared" si="3"/>
        <v>2025.06</v>
      </c>
      <c r="B243" s="2238" t="e">
        <v>#N/A</v>
      </c>
      <c r="C243" s="628" t="e">
        <v>#N/A</v>
      </c>
      <c r="D243" s="2231" t="e">
        <v>#N/A</v>
      </c>
      <c r="E243" s="628" t="e">
        <v>#N/A</v>
      </c>
      <c r="F243" s="2231" t="e">
        <v>#N/A</v>
      </c>
      <c r="G243" s="2021" t="e">
        <v>#N/A</v>
      </c>
    </row>
    <row r="244" spans="1:7">
      <c r="A244" s="219">
        <f t="shared" si="3"/>
        <v>2025.07</v>
      </c>
      <c r="B244" s="2238" t="e">
        <v>#N/A</v>
      </c>
      <c r="C244" s="628" t="e">
        <v>#N/A</v>
      </c>
      <c r="D244" s="2231" t="e">
        <v>#N/A</v>
      </c>
      <c r="E244" s="628" t="e">
        <v>#N/A</v>
      </c>
      <c r="F244" s="2231" t="e">
        <v>#N/A</v>
      </c>
      <c r="G244" s="2021" t="e">
        <v>#N/A</v>
      </c>
    </row>
    <row r="245" spans="1:7">
      <c r="A245" s="219">
        <f t="shared" si="3"/>
        <v>2025.08</v>
      </c>
      <c r="B245" s="2238" t="e">
        <v>#N/A</v>
      </c>
      <c r="C245" s="628" t="e">
        <v>#N/A</v>
      </c>
      <c r="D245" s="2231" t="e">
        <v>#N/A</v>
      </c>
      <c r="E245" s="628" t="e">
        <v>#N/A</v>
      </c>
      <c r="F245" s="2231" t="e">
        <v>#N/A</v>
      </c>
      <c r="G245" s="2021" t="e">
        <v>#N/A</v>
      </c>
    </row>
    <row r="246" spans="1:7">
      <c r="A246" s="219">
        <f t="shared" si="3"/>
        <v>2025.09</v>
      </c>
      <c r="B246" s="2238" t="e">
        <v>#N/A</v>
      </c>
      <c r="C246" s="628" t="e">
        <v>#N/A</v>
      </c>
      <c r="D246" s="2231" t="e">
        <v>#N/A</v>
      </c>
      <c r="E246" s="628" t="e">
        <v>#N/A</v>
      </c>
      <c r="F246" s="2231" t="e">
        <v>#N/A</v>
      </c>
      <c r="G246" s="2021" t="e">
        <v>#N/A</v>
      </c>
    </row>
    <row r="247" spans="1:7">
      <c r="A247" s="219">
        <f t="shared" si="3"/>
        <v>2025.1</v>
      </c>
      <c r="B247" s="2238" t="e">
        <v>#N/A</v>
      </c>
      <c r="C247" s="628" t="e">
        <v>#N/A</v>
      </c>
      <c r="D247" s="2231" t="e">
        <v>#N/A</v>
      </c>
      <c r="E247" s="628" t="e">
        <v>#N/A</v>
      </c>
      <c r="F247" s="2231" t="e">
        <v>#N/A</v>
      </c>
      <c r="G247" s="2021" t="e">
        <v>#N/A</v>
      </c>
    </row>
    <row r="248" spans="1:7">
      <c r="A248" s="219">
        <f t="shared" si="3"/>
        <v>2025.11</v>
      </c>
      <c r="B248" s="2238" t="e">
        <v>#N/A</v>
      </c>
      <c r="C248" s="628" t="e">
        <v>#N/A</v>
      </c>
      <c r="D248" s="2231" t="e">
        <v>#N/A</v>
      </c>
      <c r="E248" s="628" t="e">
        <v>#N/A</v>
      </c>
      <c r="F248" s="2231" t="e">
        <v>#N/A</v>
      </c>
      <c r="G248" s="2021" t="e">
        <v>#N/A</v>
      </c>
    </row>
    <row r="249" spans="1:7">
      <c r="A249" s="219">
        <f t="shared" si="3"/>
        <v>2025.12</v>
      </c>
      <c r="B249" s="2238" t="e">
        <v>#N/A</v>
      </c>
      <c r="C249" s="628" t="e">
        <v>#N/A</v>
      </c>
      <c r="D249" s="2231" t="e">
        <v>#N/A</v>
      </c>
      <c r="E249" s="628" t="e">
        <v>#N/A</v>
      </c>
      <c r="F249" s="2231" t="e">
        <v>#N/A</v>
      </c>
      <c r="G249" s="2021" t="e">
        <v>#N/A</v>
      </c>
    </row>
    <row r="250" spans="1:7">
      <c r="A250" s="2765">
        <v>2026.01</v>
      </c>
      <c r="B250" s="2238" t="e">
        <v>#N/A</v>
      </c>
      <c r="C250" s="628" t="e">
        <v>#N/A</v>
      </c>
      <c r="D250" s="2231" t="e">
        <v>#N/A</v>
      </c>
      <c r="E250" s="628" t="e">
        <v>#N/A</v>
      </c>
      <c r="F250" s="2231" t="e">
        <v>#N/A</v>
      </c>
      <c r="G250" s="2021" t="e">
        <v>#N/A</v>
      </c>
    </row>
    <row r="251" spans="1:7">
      <c r="A251" s="2765">
        <v>2026.02</v>
      </c>
      <c r="B251" s="2238" t="e">
        <v>#N/A</v>
      </c>
      <c r="C251" s="628" t="e">
        <v>#N/A</v>
      </c>
      <c r="D251" s="2231" t="e">
        <v>#N/A</v>
      </c>
      <c r="E251" s="628" t="e">
        <v>#N/A</v>
      </c>
      <c r="F251" s="2231" t="e">
        <v>#N/A</v>
      </c>
      <c r="G251" s="2021" t="e">
        <v>#N/A</v>
      </c>
    </row>
    <row r="252" spans="1:7">
      <c r="A252" s="2765">
        <v>2026.03</v>
      </c>
      <c r="B252" s="2238" t="e">
        <v>#N/A</v>
      </c>
      <c r="C252" s="628" t="e">
        <v>#N/A</v>
      </c>
      <c r="D252" s="2231" t="e">
        <v>#N/A</v>
      </c>
      <c r="E252" s="628" t="e">
        <v>#N/A</v>
      </c>
      <c r="F252" s="2231" t="e">
        <v>#N/A</v>
      </c>
      <c r="G252" s="2021" t="e">
        <v>#N/A</v>
      </c>
    </row>
    <row r="253" spans="1:7">
      <c r="A253" s="2765">
        <v>2026.04</v>
      </c>
      <c r="B253" s="2238" t="e">
        <v>#N/A</v>
      </c>
      <c r="C253" s="628" t="e">
        <v>#N/A</v>
      </c>
      <c r="D253" s="2231" t="e">
        <v>#N/A</v>
      </c>
      <c r="E253" s="628" t="e">
        <v>#N/A</v>
      </c>
      <c r="F253" s="2231" t="e">
        <v>#N/A</v>
      </c>
      <c r="G253" s="2021" t="e">
        <v>#N/A</v>
      </c>
    </row>
    <row r="254" spans="1:7">
      <c r="A254" s="2765">
        <v>2026.05</v>
      </c>
      <c r="B254" s="2238" t="e">
        <v>#N/A</v>
      </c>
      <c r="C254" s="628" t="e">
        <v>#N/A</v>
      </c>
      <c r="D254" s="2231" t="e">
        <v>#N/A</v>
      </c>
      <c r="E254" s="628" t="e">
        <v>#N/A</v>
      </c>
      <c r="F254" s="2231" t="e">
        <v>#N/A</v>
      </c>
      <c r="G254" s="2021" t="e">
        <v>#N/A</v>
      </c>
    </row>
    <row r="255" spans="1:7">
      <c r="A255" s="2765">
        <v>2026.06</v>
      </c>
      <c r="B255" s="2238" t="e">
        <v>#N/A</v>
      </c>
      <c r="C255" s="628" t="e">
        <v>#N/A</v>
      </c>
      <c r="D255" s="2231" t="e">
        <v>#N/A</v>
      </c>
      <c r="E255" s="628" t="e">
        <v>#N/A</v>
      </c>
      <c r="F255" s="2231" t="e">
        <v>#N/A</v>
      </c>
      <c r="G255" s="2021" t="e">
        <v>#N/A</v>
      </c>
    </row>
    <row r="256" spans="1:7">
      <c r="A256" s="2765">
        <v>2026.07</v>
      </c>
      <c r="B256" s="2238" t="e">
        <v>#N/A</v>
      </c>
      <c r="C256" s="628" t="e">
        <v>#N/A</v>
      </c>
      <c r="D256" s="2231" t="e">
        <v>#N/A</v>
      </c>
      <c r="E256" s="628" t="e">
        <v>#N/A</v>
      </c>
      <c r="F256" s="2231" t="e">
        <v>#N/A</v>
      </c>
      <c r="G256" s="2021" t="e">
        <v>#N/A</v>
      </c>
    </row>
    <row r="257" spans="1:7">
      <c r="A257" s="2765">
        <v>2026.08</v>
      </c>
      <c r="B257" s="2238" t="e">
        <v>#N/A</v>
      </c>
      <c r="C257" s="628" t="e">
        <v>#N/A</v>
      </c>
      <c r="D257" s="2231" t="e">
        <v>#N/A</v>
      </c>
      <c r="E257" s="628" t="e">
        <v>#N/A</v>
      </c>
      <c r="F257" s="2231" t="e">
        <v>#N/A</v>
      </c>
      <c r="G257" s="2021" t="e">
        <v>#N/A</v>
      </c>
    </row>
    <row r="258" spans="1:7">
      <c r="A258" s="2765">
        <v>2026.09</v>
      </c>
      <c r="B258" s="2238" t="e">
        <v>#N/A</v>
      </c>
      <c r="C258" s="628" t="e">
        <v>#N/A</v>
      </c>
      <c r="D258" s="2231" t="e">
        <v>#N/A</v>
      </c>
      <c r="E258" s="628" t="e">
        <v>#N/A</v>
      </c>
      <c r="F258" s="2231" t="e">
        <v>#N/A</v>
      </c>
      <c r="G258" s="2021" t="e">
        <v>#N/A</v>
      </c>
    </row>
    <row r="259" spans="1:7">
      <c r="A259" s="2765">
        <v>2026.1</v>
      </c>
      <c r="B259" s="2238" t="e">
        <v>#N/A</v>
      </c>
      <c r="C259" s="628" t="e">
        <v>#N/A</v>
      </c>
      <c r="D259" s="2231" t="e">
        <v>#N/A</v>
      </c>
      <c r="E259" s="628" t="e">
        <v>#N/A</v>
      </c>
      <c r="F259" s="2231" t="e">
        <v>#N/A</v>
      </c>
      <c r="G259" s="2021" t="e">
        <v>#N/A</v>
      </c>
    </row>
    <row r="260" spans="1:7">
      <c r="A260" s="2765">
        <v>2026.11</v>
      </c>
      <c r="B260" s="2238" t="e">
        <v>#N/A</v>
      </c>
      <c r="C260" s="628" t="e">
        <v>#N/A</v>
      </c>
      <c r="D260" s="2231" t="e">
        <v>#N/A</v>
      </c>
      <c r="E260" s="628" t="e">
        <v>#N/A</v>
      </c>
      <c r="F260" s="2231" t="e">
        <v>#N/A</v>
      </c>
      <c r="G260" s="2021" t="e">
        <v>#N/A</v>
      </c>
    </row>
    <row r="261" spans="1:7">
      <c r="A261" s="2765">
        <v>2026.12</v>
      </c>
      <c r="B261" s="2238" t="e">
        <v>#N/A</v>
      </c>
      <c r="C261" s="628" t="e">
        <v>#N/A</v>
      </c>
      <c r="D261" s="2231" t="e">
        <v>#N/A</v>
      </c>
      <c r="E261" s="628" t="e">
        <v>#N/A</v>
      </c>
      <c r="F261" s="2231" t="e">
        <v>#N/A</v>
      </c>
      <c r="G261" s="2021" t="e">
        <v>#N/A</v>
      </c>
    </row>
    <row r="262" spans="1:7">
      <c r="A262" s="2765">
        <v>2027.01</v>
      </c>
      <c r="B262" s="2238" t="e">
        <v>#N/A</v>
      </c>
      <c r="C262" s="628" t="e">
        <v>#N/A</v>
      </c>
      <c r="D262" s="2231" t="e">
        <v>#N/A</v>
      </c>
      <c r="E262" s="628" t="e">
        <v>#N/A</v>
      </c>
      <c r="F262" s="2231" t="e">
        <v>#N/A</v>
      </c>
      <c r="G262" s="2021" t="e">
        <v>#N/A</v>
      </c>
    </row>
    <row r="263" spans="1:7">
      <c r="A263" s="2765">
        <v>2027.02</v>
      </c>
      <c r="B263" s="2238" t="e">
        <v>#N/A</v>
      </c>
      <c r="C263" s="628" t="e">
        <v>#N/A</v>
      </c>
      <c r="D263" s="2231" t="e">
        <v>#N/A</v>
      </c>
      <c r="E263" s="628" t="e">
        <v>#N/A</v>
      </c>
      <c r="F263" s="2231" t="e">
        <v>#N/A</v>
      </c>
      <c r="G263" s="2021" t="e">
        <v>#N/A</v>
      </c>
    </row>
    <row r="264" spans="1:7">
      <c r="A264" s="2765">
        <v>2027.03</v>
      </c>
      <c r="B264" s="2238" t="e">
        <v>#N/A</v>
      </c>
      <c r="C264" s="628" t="e">
        <v>#N/A</v>
      </c>
      <c r="D264" s="2231" t="e">
        <v>#N/A</v>
      </c>
      <c r="E264" s="628" t="e">
        <v>#N/A</v>
      </c>
      <c r="F264" s="2231" t="e">
        <v>#N/A</v>
      </c>
      <c r="G264" s="2021" t="e">
        <v>#N/A</v>
      </c>
    </row>
    <row r="265" spans="1:7">
      <c r="A265" s="2765">
        <v>2027.04</v>
      </c>
      <c r="B265" s="2238" t="e">
        <v>#N/A</v>
      </c>
      <c r="C265" s="628" t="e">
        <v>#N/A</v>
      </c>
      <c r="D265" s="2231" t="e">
        <v>#N/A</v>
      </c>
      <c r="E265" s="628" t="e">
        <v>#N/A</v>
      </c>
      <c r="F265" s="2231" t="e">
        <v>#N/A</v>
      </c>
      <c r="G265" s="2021" t="e">
        <v>#N/A</v>
      </c>
    </row>
    <row r="266" spans="1:7">
      <c r="A266" s="2765">
        <v>2027.05</v>
      </c>
      <c r="B266" s="2238" t="e">
        <v>#N/A</v>
      </c>
      <c r="C266" s="628" t="e">
        <v>#N/A</v>
      </c>
      <c r="D266" s="2231" t="e">
        <v>#N/A</v>
      </c>
      <c r="E266" s="628" t="e">
        <v>#N/A</v>
      </c>
      <c r="F266" s="2231" t="e">
        <v>#N/A</v>
      </c>
      <c r="G266" s="2021" t="e">
        <v>#N/A</v>
      </c>
    </row>
    <row r="267" spans="1:7">
      <c r="A267" s="2765">
        <v>2027.06</v>
      </c>
      <c r="B267" s="2238" t="e">
        <v>#N/A</v>
      </c>
      <c r="C267" s="628" t="e">
        <v>#N/A</v>
      </c>
      <c r="D267" s="2231" t="e">
        <v>#N/A</v>
      </c>
      <c r="E267" s="628" t="e">
        <v>#N/A</v>
      </c>
      <c r="F267" s="2231" t="e">
        <v>#N/A</v>
      </c>
      <c r="G267" s="2021" t="e">
        <v>#N/A</v>
      </c>
    </row>
    <row r="268" spans="1:7">
      <c r="A268" s="2765">
        <v>2027.07</v>
      </c>
      <c r="B268" s="2238" t="e">
        <v>#N/A</v>
      </c>
      <c r="C268" s="628" t="e">
        <v>#N/A</v>
      </c>
      <c r="D268" s="2231" t="e">
        <v>#N/A</v>
      </c>
      <c r="E268" s="628" t="e">
        <v>#N/A</v>
      </c>
      <c r="F268" s="2231" t="e">
        <v>#N/A</v>
      </c>
      <c r="G268" s="2021" t="e">
        <v>#N/A</v>
      </c>
    </row>
    <row r="269" spans="1:7">
      <c r="A269" s="2765">
        <v>2027.08</v>
      </c>
      <c r="B269" s="2238" t="e">
        <v>#N/A</v>
      </c>
      <c r="C269" s="628" t="e">
        <v>#N/A</v>
      </c>
      <c r="D269" s="2231" t="e">
        <v>#N/A</v>
      </c>
      <c r="E269" s="628" t="e">
        <v>#N/A</v>
      </c>
      <c r="F269" s="2231" t="e">
        <v>#N/A</v>
      </c>
      <c r="G269" s="2021" t="e">
        <v>#N/A</v>
      </c>
    </row>
    <row r="270" spans="1:7">
      <c r="A270" s="2765">
        <v>2027.09</v>
      </c>
      <c r="B270" s="2238" t="e">
        <v>#N/A</v>
      </c>
      <c r="C270" s="628" t="e">
        <v>#N/A</v>
      </c>
      <c r="D270" s="2231" t="e">
        <v>#N/A</v>
      </c>
      <c r="E270" s="628" t="e">
        <v>#N/A</v>
      </c>
      <c r="F270" s="2231" t="e">
        <v>#N/A</v>
      </c>
      <c r="G270" s="2021" t="e">
        <v>#N/A</v>
      </c>
    </row>
    <row r="271" spans="1:7">
      <c r="A271" s="2765">
        <v>2027.1</v>
      </c>
      <c r="B271" s="2238" t="e">
        <v>#N/A</v>
      </c>
      <c r="C271" s="628" t="e">
        <v>#N/A</v>
      </c>
      <c r="D271" s="2231" t="e">
        <v>#N/A</v>
      </c>
      <c r="E271" s="628" t="e">
        <v>#N/A</v>
      </c>
      <c r="F271" s="2231" t="e">
        <v>#N/A</v>
      </c>
      <c r="G271" s="2021" t="e">
        <v>#N/A</v>
      </c>
    </row>
    <row r="272" spans="1:7">
      <c r="A272" s="2765">
        <v>2027.11</v>
      </c>
      <c r="B272" s="2238" t="e">
        <v>#N/A</v>
      </c>
      <c r="C272" s="628" t="e">
        <v>#N/A</v>
      </c>
      <c r="D272" s="2231" t="e">
        <v>#N/A</v>
      </c>
      <c r="E272" s="628" t="e">
        <v>#N/A</v>
      </c>
      <c r="F272" s="2231" t="e">
        <v>#N/A</v>
      </c>
      <c r="G272" s="2021" t="e">
        <v>#N/A</v>
      </c>
    </row>
    <row r="273" spans="1:7">
      <c r="A273" s="2765">
        <v>2027.12</v>
      </c>
      <c r="B273" s="2238" t="e">
        <v>#N/A</v>
      </c>
      <c r="C273" s="628" t="e">
        <v>#N/A</v>
      </c>
      <c r="D273" s="2231" t="e">
        <v>#N/A</v>
      </c>
      <c r="E273" s="628" t="e">
        <v>#N/A</v>
      </c>
      <c r="F273" s="2231" t="e">
        <v>#N/A</v>
      </c>
      <c r="G273" s="2021" t="e">
        <v>#N/A</v>
      </c>
    </row>
    <row r="274" spans="1:7">
      <c r="A274" s="2765">
        <v>2028.01</v>
      </c>
      <c r="B274" s="2238" t="e">
        <v>#N/A</v>
      </c>
      <c r="C274" s="628" t="e">
        <v>#N/A</v>
      </c>
      <c r="D274" s="2231" t="e">
        <v>#N/A</v>
      </c>
      <c r="E274" s="628" t="e">
        <v>#N/A</v>
      </c>
      <c r="F274" s="2231" t="e">
        <v>#N/A</v>
      </c>
      <c r="G274" s="2021" t="e">
        <v>#N/A</v>
      </c>
    </row>
    <row r="275" spans="1:7">
      <c r="A275" s="2765">
        <v>2028.02</v>
      </c>
      <c r="B275" s="2238" t="e">
        <v>#N/A</v>
      </c>
      <c r="C275" s="628" t="e">
        <v>#N/A</v>
      </c>
      <c r="D275" s="2231" t="e">
        <v>#N/A</v>
      </c>
      <c r="E275" s="628" t="e">
        <v>#N/A</v>
      </c>
      <c r="F275" s="2231" t="e">
        <v>#N/A</v>
      </c>
      <c r="G275" s="2021" t="e">
        <v>#N/A</v>
      </c>
    </row>
    <row r="276" spans="1:7">
      <c r="A276" s="2765">
        <v>2028.03</v>
      </c>
      <c r="B276" s="2238" t="e">
        <v>#N/A</v>
      </c>
      <c r="C276" s="628" t="e">
        <v>#N/A</v>
      </c>
      <c r="D276" s="2231" t="e">
        <v>#N/A</v>
      </c>
      <c r="E276" s="628" t="e">
        <v>#N/A</v>
      </c>
      <c r="F276" s="2231" t="e">
        <v>#N/A</v>
      </c>
      <c r="G276" s="2021" t="e">
        <v>#N/A</v>
      </c>
    </row>
    <row r="277" spans="1:7">
      <c r="A277" s="2765">
        <v>2028.04</v>
      </c>
      <c r="B277" s="2238" t="e">
        <v>#N/A</v>
      </c>
      <c r="C277" s="628" t="e">
        <v>#N/A</v>
      </c>
      <c r="D277" s="2231" t="e">
        <v>#N/A</v>
      </c>
      <c r="E277" s="628" t="e">
        <v>#N/A</v>
      </c>
      <c r="F277" s="2231" t="e">
        <v>#N/A</v>
      </c>
      <c r="G277" s="2021" t="e">
        <v>#N/A</v>
      </c>
    </row>
    <row r="278" spans="1:7">
      <c r="A278" s="2765">
        <v>2028.05</v>
      </c>
      <c r="B278" s="2238" t="e">
        <v>#N/A</v>
      </c>
      <c r="C278" s="628" t="e">
        <v>#N/A</v>
      </c>
      <c r="D278" s="2231" t="e">
        <v>#N/A</v>
      </c>
      <c r="E278" s="628" t="e">
        <v>#N/A</v>
      </c>
      <c r="F278" s="2231" t="e">
        <v>#N/A</v>
      </c>
      <c r="G278" s="2021" t="e">
        <v>#N/A</v>
      </c>
    </row>
    <row r="279" spans="1:7">
      <c r="A279" s="2765">
        <v>2028.06</v>
      </c>
      <c r="B279" s="2238" t="e">
        <v>#N/A</v>
      </c>
      <c r="C279" s="628" t="e">
        <v>#N/A</v>
      </c>
      <c r="D279" s="2231" t="e">
        <v>#N/A</v>
      </c>
      <c r="E279" s="628" t="e">
        <v>#N/A</v>
      </c>
      <c r="F279" s="2231" t="e">
        <v>#N/A</v>
      </c>
      <c r="G279" s="2021" t="e">
        <v>#N/A</v>
      </c>
    </row>
    <row r="280" spans="1:7">
      <c r="A280" s="2765">
        <v>2028.07</v>
      </c>
      <c r="B280" s="2238" t="e">
        <v>#N/A</v>
      </c>
      <c r="C280" s="628" t="e">
        <v>#N/A</v>
      </c>
      <c r="D280" s="2231" t="e">
        <v>#N/A</v>
      </c>
      <c r="E280" s="628" t="e">
        <v>#N/A</v>
      </c>
      <c r="F280" s="2231" t="e">
        <v>#N/A</v>
      </c>
      <c r="G280" s="2021" t="e">
        <v>#N/A</v>
      </c>
    </row>
    <row r="281" spans="1:7">
      <c r="A281" s="2765">
        <v>2028.08</v>
      </c>
      <c r="B281" s="2238" t="e">
        <v>#N/A</v>
      </c>
      <c r="C281" s="628" t="e">
        <v>#N/A</v>
      </c>
      <c r="D281" s="2231" t="e">
        <v>#N/A</v>
      </c>
      <c r="E281" s="628" t="e">
        <v>#N/A</v>
      </c>
      <c r="F281" s="2231" t="e">
        <v>#N/A</v>
      </c>
      <c r="G281" s="2021" t="e">
        <v>#N/A</v>
      </c>
    </row>
    <row r="282" spans="1:7">
      <c r="A282" s="2765">
        <v>2028.09</v>
      </c>
      <c r="B282" s="2238" t="e">
        <v>#N/A</v>
      </c>
      <c r="C282" s="628" t="e">
        <v>#N/A</v>
      </c>
      <c r="D282" s="2231" t="e">
        <v>#N/A</v>
      </c>
      <c r="E282" s="628" t="e">
        <v>#N/A</v>
      </c>
      <c r="F282" s="2231" t="e">
        <v>#N/A</v>
      </c>
      <c r="G282" s="2021" t="e">
        <v>#N/A</v>
      </c>
    </row>
    <row r="283" spans="1:7">
      <c r="A283" s="2765">
        <v>2028.1</v>
      </c>
      <c r="B283" s="2238" t="e">
        <v>#N/A</v>
      </c>
      <c r="C283" s="628" t="e">
        <v>#N/A</v>
      </c>
      <c r="D283" s="2231" t="e">
        <v>#N/A</v>
      </c>
      <c r="E283" s="628" t="e">
        <v>#N/A</v>
      </c>
      <c r="F283" s="2231" t="e">
        <v>#N/A</v>
      </c>
      <c r="G283" s="2021" t="e">
        <v>#N/A</v>
      </c>
    </row>
    <row r="284" spans="1:7">
      <c r="A284" s="2765">
        <v>2028.11</v>
      </c>
      <c r="B284" s="2238" t="e">
        <v>#N/A</v>
      </c>
      <c r="C284" s="628" t="e">
        <v>#N/A</v>
      </c>
      <c r="D284" s="2231" t="e">
        <v>#N/A</v>
      </c>
      <c r="E284" s="628" t="e">
        <v>#N/A</v>
      </c>
      <c r="F284" s="2231" t="e">
        <v>#N/A</v>
      </c>
      <c r="G284" s="2021" t="e">
        <v>#N/A</v>
      </c>
    </row>
    <row r="285" spans="1:7">
      <c r="A285" s="2765">
        <v>2028.12</v>
      </c>
      <c r="B285" s="2238" t="e">
        <v>#N/A</v>
      </c>
      <c r="C285" s="628" t="e">
        <v>#N/A</v>
      </c>
      <c r="D285" s="2231" t="e">
        <v>#N/A</v>
      </c>
      <c r="E285" s="628" t="e">
        <v>#N/A</v>
      </c>
      <c r="F285" s="2231" t="e">
        <v>#N/A</v>
      </c>
      <c r="G285" s="2021" t="e">
        <v>#N/A</v>
      </c>
    </row>
    <row r="286" spans="1:7">
      <c r="A286" s="2765">
        <v>2029.01</v>
      </c>
      <c r="B286" s="2238" t="e">
        <v>#N/A</v>
      </c>
      <c r="C286" s="628" t="e">
        <v>#N/A</v>
      </c>
      <c r="D286" s="2231" t="e">
        <v>#N/A</v>
      </c>
      <c r="E286" s="628" t="e">
        <v>#N/A</v>
      </c>
      <c r="F286" s="2231" t="e">
        <v>#N/A</v>
      </c>
      <c r="G286" s="2021" t="e">
        <v>#N/A</v>
      </c>
    </row>
    <row r="287" spans="1:7">
      <c r="A287" s="2765">
        <v>2029.02</v>
      </c>
      <c r="B287" s="2238" t="e">
        <v>#N/A</v>
      </c>
      <c r="C287" s="628" t="e">
        <v>#N/A</v>
      </c>
      <c r="D287" s="2231" t="e">
        <v>#N/A</v>
      </c>
      <c r="E287" s="628" t="e">
        <v>#N/A</v>
      </c>
      <c r="F287" s="2231" t="e">
        <v>#N/A</v>
      </c>
      <c r="G287" s="2021" t="e">
        <v>#N/A</v>
      </c>
    </row>
    <row r="288" spans="1:7">
      <c r="A288" s="2765">
        <v>2029.03</v>
      </c>
      <c r="B288" s="2238" t="e">
        <v>#N/A</v>
      </c>
      <c r="C288" s="628" t="e">
        <v>#N/A</v>
      </c>
      <c r="D288" s="2231" t="e">
        <v>#N/A</v>
      </c>
      <c r="E288" s="628" t="e">
        <v>#N/A</v>
      </c>
      <c r="F288" s="2231" t="e">
        <v>#N/A</v>
      </c>
      <c r="G288" s="2021" t="e">
        <v>#N/A</v>
      </c>
    </row>
    <row r="289" spans="1:7">
      <c r="A289" s="2765">
        <v>2029.04</v>
      </c>
      <c r="B289" s="2238" t="e">
        <v>#N/A</v>
      </c>
      <c r="C289" s="628" t="e">
        <v>#N/A</v>
      </c>
      <c r="D289" s="2231" t="e">
        <v>#N/A</v>
      </c>
      <c r="E289" s="628" t="e">
        <v>#N/A</v>
      </c>
      <c r="F289" s="2231" t="e">
        <v>#N/A</v>
      </c>
      <c r="G289" s="2021" t="e">
        <v>#N/A</v>
      </c>
    </row>
    <row r="290" spans="1:7">
      <c r="A290" s="2765">
        <v>2029.05</v>
      </c>
      <c r="B290" s="2238" t="e">
        <v>#N/A</v>
      </c>
      <c r="C290" s="628" t="e">
        <v>#N/A</v>
      </c>
      <c r="D290" s="2231" t="e">
        <v>#N/A</v>
      </c>
      <c r="E290" s="628" t="e">
        <v>#N/A</v>
      </c>
      <c r="F290" s="2231" t="e">
        <v>#N/A</v>
      </c>
      <c r="G290" s="2021" t="e">
        <v>#N/A</v>
      </c>
    </row>
    <row r="291" spans="1:7">
      <c r="A291" s="2765">
        <v>2029.06</v>
      </c>
      <c r="B291" s="2238" t="e">
        <v>#N/A</v>
      </c>
      <c r="C291" s="628" t="e">
        <v>#N/A</v>
      </c>
      <c r="D291" s="2231" t="e">
        <v>#N/A</v>
      </c>
      <c r="E291" s="628" t="e">
        <v>#N/A</v>
      </c>
      <c r="F291" s="2231" t="e">
        <v>#N/A</v>
      </c>
      <c r="G291" s="2021" t="e">
        <v>#N/A</v>
      </c>
    </row>
    <row r="292" spans="1:7">
      <c r="A292" s="2765">
        <v>2029.07</v>
      </c>
      <c r="B292" s="2238" t="e">
        <v>#N/A</v>
      </c>
      <c r="C292" s="628" t="e">
        <v>#N/A</v>
      </c>
      <c r="D292" s="2231" t="e">
        <v>#N/A</v>
      </c>
      <c r="E292" s="628" t="e">
        <v>#N/A</v>
      </c>
      <c r="F292" s="2231" t="e">
        <v>#N/A</v>
      </c>
      <c r="G292" s="2021" t="e">
        <v>#N/A</v>
      </c>
    </row>
    <row r="293" spans="1:7">
      <c r="A293" s="2765">
        <v>2029.08</v>
      </c>
      <c r="B293" s="2238" t="e">
        <v>#N/A</v>
      </c>
      <c r="C293" s="628" t="e">
        <v>#N/A</v>
      </c>
      <c r="D293" s="2231" t="e">
        <v>#N/A</v>
      </c>
      <c r="E293" s="628" t="e">
        <v>#N/A</v>
      </c>
      <c r="F293" s="2231" t="e">
        <v>#N/A</v>
      </c>
      <c r="G293" s="2021" t="e">
        <v>#N/A</v>
      </c>
    </row>
    <row r="294" spans="1:7">
      <c r="A294" s="2765">
        <v>2029.09</v>
      </c>
      <c r="B294" s="2238" t="e">
        <v>#N/A</v>
      </c>
      <c r="C294" s="628" t="e">
        <v>#N/A</v>
      </c>
      <c r="D294" s="2231" t="e">
        <v>#N/A</v>
      </c>
      <c r="E294" s="628" t="e">
        <v>#N/A</v>
      </c>
      <c r="F294" s="2231" t="e">
        <v>#N/A</v>
      </c>
      <c r="G294" s="2021" t="e">
        <v>#N/A</v>
      </c>
    </row>
    <row r="295" spans="1:7">
      <c r="A295" s="2765">
        <v>2029.1</v>
      </c>
      <c r="B295" s="2238" t="e">
        <v>#N/A</v>
      </c>
      <c r="C295" s="628" t="e">
        <v>#N/A</v>
      </c>
      <c r="D295" s="2231" t="e">
        <v>#N/A</v>
      </c>
      <c r="E295" s="628" t="e">
        <v>#N/A</v>
      </c>
      <c r="F295" s="2231" t="e">
        <v>#N/A</v>
      </c>
      <c r="G295" s="2021" t="e">
        <v>#N/A</v>
      </c>
    </row>
    <row r="296" spans="1:7">
      <c r="A296" s="2765">
        <v>2029.11</v>
      </c>
      <c r="B296" s="2238" t="e">
        <v>#N/A</v>
      </c>
      <c r="C296" s="628" t="e">
        <v>#N/A</v>
      </c>
      <c r="D296" s="2231" t="e">
        <v>#N/A</v>
      </c>
      <c r="E296" s="628" t="e">
        <v>#N/A</v>
      </c>
      <c r="F296" s="2231" t="e">
        <v>#N/A</v>
      </c>
      <c r="G296" s="2021" t="e">
        <v>#N/A</v>
      </c>
    </row>
    <row r="297" spans="1:7">
      <c r="A297" s="2765">
        <v>2029.12</v>
      </c>
      <c r="B297" s="2238" t="e">
        <v>#N/A</v>
      </c>
      <c r="C297" s="628" t="e">
        <v>#N/A</v>
      </c>
      <c r="D297" s="2231" t="e">
        <v>#N/A</v>
      </c>
      <c r="E297" s="628" t="e">
        <v>#N/A</v>
      </c>
      <c r="F297" s="2231" t="e">
        <v>#N/A</v>
      </c>
      <c r="G297" s="2021" t="e">
        <v>#N/A</v>
      </c>
    </row>
    <row r="298" spans="1:7">
      <c r="A298" s="2765">
        <v>2030.01</v>
      </c>
      <c r="B298" s="2238" t="e">
        <v>#N/A</v>
      </c>
      <c r="C298" s="628" t="e">
        <v>#N/A</v>
      </c>
      <c r="D298" s="2231" t="e">
        <v>#N/A</v>
      </c>
      <c r="E298" s="628" t="e">
        <v>#N/A</v>
      </c>
      <c r="F298" s="2231" t="e">
        <v>#N/A</v>
      </c>
      <c r="G298" s="2021" t="e">
        <v>#N/A</v>
      </c>
    </row>
    <row r="299" spans="1:7">
      <c r="A299" s="2765">
        <v>2030.02</v>
      </c>
      <c r="B299" s="2238" t="e">
        <v>#N/A</v>
      </c>
      <c r="C299" s="628" t="e">
        <v>#N/A</v>
      </c>
      <c r="D299" s="2231" t="e">
        <v>#N/A</v>
      </c>
      <c r="E299" s="628" t="e">
        <v>#N/A</v>
      </c>
      <c r="F299" s="2231" t="e">
        <v>#N/A</v>
      </c>
      <c r="G299" s="2021" t="e">
        <v>#N/A</v>
      </c>
    </row>
    <row r="300" spans="1:7">
      <c r="A300" s="2765">
        <v>2030.03</v>
      </c>
      <c r="B300" s="2238" t="e">
        <v>#N/A</v>
      </c>
      <c r="C300" s="628" t="e">
        <v>#N/A</v>
      </c>
      <c r="D300" s="2231" t="e">
        <v>#N/A</v>
      </c>
      <c r="E300" s="628" t="e">
        <v>#N/A</v>
      </c>
      <c r="F300" s="2231" t="e">
        <v>#N/A</v>
      </c>
      <c r="G300" s="2021" t="e">
        <v>#N/A</v>
      </c>
    </row>
    <row r="301" spans="1:7">
      <c r="A301" s="2765">
        <v>2030.04</v>
      </c>
      <c r="B301" s="2238" t="e">
        <v>#N/A</v>
      </c>
      <c r="C301" s="628" t="e">
        <v>#N/A</v>
      </c>
      <c r="D301" s="2231" t="e">
        <v>#N/A</v>
      </c>
      <c r="E301" s="628" t="e">
        <v>#N/A</v>
      </c>
      <c r="F301" s="2231" t="e">
        <v>#N/A</v>
      </c>
      <c r="G301" s="2021" t="e">
        <v>#N/A</v>
      </c>
    </row>
    <row r="302" spans="1:7">
      <c r="A302" s="2765">
        <v>2030.05</v>
      </c>
      <c r="B302" s="2238" t="e">
        <v>#N/A</v>
      </c>
      <c r="C302" s="628" t="e">
        <v>#N/A</v>
      </c>
      <c r="D302" s="2231" t="e">
        <v>#N/A</v>
      </c>
      <c r="E302" s="628" t="e">
        <v>#N/A</v>
      </c>
      <c r="F302" s="2231" t="e">
        <v>#N/A</v>
      </c>
      <c r="G302" s="2021" t="e">
        <v>#N/A</v>
      </c>
    </row>
    <row r="303" spans="1:7">
      <c r="A303" s="2765">
        <v>2030.06</v>
      </c>
      <c r="B303" s="2238" t="e">
        <v>#N/A</v>
      </c>
      <c r="C303" s="628" t="e">
        <v>#N/A</v>
      </c>
      <c r="D303" s="2231" t="e">
        <v>#N/A</v>
      </c>
      <c r="E303" s="628" t="e">
        <v>#N/A</v>
      </c>
      <c r="F303" s="2231" t="e">
        <v>#N/A</v>
      </c>
      <c r="G303" s="2021" t="e">
        <v>#N/A</v>
      </c>
    </row>
    <row r="304" spans="1:7">
      <c r="A304" s="2765">
        <v>2030.07</v>
      </c>
      <c r="B304" s="2238" t="e">
        <v>#N/A</v>
      </c>
      <c r="C304" s="628" t="e">
        <v>#N/A</v>
      </c>
      <c r="D304" s="2231" t="e">
        <v>#N/A</v>
      </c>
      <c r="E304" s="628" t="e">
        <v>#N/A</v>
      </c>
      <c r="F304" s="2231" t="e">
        <v>#N/A</v>
      </c>
      <c r="G304" s="2021" t="e">
        <v>#N/A</v>
      </c>
    </row>
    <row r="305" spans="1:7">
      <c r="A305" s="2765">
        <v>2030.08</v>
      </c>
      <c r="B305" s="2238" t="e">
        <v>#N/A</v>
      </c>
      <c r="C305" s="628" t="e">
        <v>#N/A</v>
      </c>
      <c r="D305" s="2231" t="e">
        <v>#N/A</v>
      </c>
      <c r="E305" s="628" t="e">
        <v>#N/A</v>
      </c>
      <c r="F305" s="2231" t="e">
        <v>#N/A</v>
      </c>
      <c r="G305" s="2021" t="e">
        <v>#N/A</v>
      </c>
    </row>
    <row r="306" spans="1:7">
      <c r="A306" s="2765">
        <v>2030.09</v>
      </c>
      <c r="B306" s="2238" t="e">
        <v>#N/A</v>
      </c>
      <c r="C306" s="628" t="e">
        <v>#N/A</v>
      </c>
      <c r="D306" s="2231" t="e">
        <v>#N/A</v>
      </c>
      <c r="E306" s="628" t="e">
        <v>#N/A</v>
      </c>
      <c r="F306" s="2231" t="e">
        <v>#N/A</v>
      </c>
      <c r="G306" s="2021" t="e">
        <v>#N/A</v>
      </c>
    </row>
    <row r="307" spans="1:7">
      <c r="A307" s="2765">
        <v>2030.1</v>
      </c>
      <c r="B307" s="2238" t="e">
        <v>#N/A</v>
      </c>
      <c r="C307" s="628" t="e">
        <v>#N/A</v>
      </c>
      <c r="D307" s="2231" t="e">
        <v>#N/A</v>
      </c>
      <c r="E307" s="628" t="e">
        <v>#N/A</v>
      </c>
      <c r="F307" s="2231" t="e">
        <v>#N/A</v>
      </c>
      <c r="G307" s="2021" t="e">
        <v>#N/A</v>
      </c>
    </row>
    <row r="308" spans="1:7">
      <c r="A308" s="2765">
        <v>2030.11</v>
      </c>
      <c r="B308" s="2238" t="e">
        <v>#N/A</v>
      </c>
      <c r="C308" s="628" t="e">
        <v>#N/A</v>
      </c>
      <c r="D308" s="2231" t="e">
        <v>#N/A</v>
      </c>
      <c r="E308" s="628" t="e">
        <v>#N/A</v>
      </c>
      <c r="F308" s="2231" t="e">
        <v>#N/A</v>
      </c>
      <c r="G308" s="2021" t="e">
        <v>#N/A</v>
      </c>
    </row>
    <row r="309" spans="1:7">
      <c r="A309" s="2765">
        <v>2030.12</v>
      </c>
      <c r="B309" s="2238" t="e">
        <v>#N/A</v>
      </c>
      <c r="C309" s="628" t="e">
        <v>#N/A</v>
      </c>
      <c r="D309" s="2231" t="e">
        <v>#N/A</v>
      </c>
      <c r="E309" s="628" t="e">
        <v>#N/A</v>
      </c>
      <c r="F309" s="2231" t="e">
        <v>#N/A</v>
      </c>
      <c r="G309" s="2021" t="e">
        <v>#N/A</v>
      </c>
    </row>
  </sheetData>
  <phoneticPr fontId="64" type="noConversion"/>
  <hyperlinks>
    <hyperlink ref="A1:A3" location="Indice!A1" display="ÍNDICE" xr:uid="{00000000-0004-0000-3B00-000000000000}"/>
    <hyperlink ref="A5" location="INDICE!A13" display="VOLVER AL INDICE" xr:uid="{00000000-0004-0000-3B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7"/>
  <dimension ref="A1:O453"/>
  <sheetViews>
    <sheetView zoomScale="130" zoomScaleNormal="130" workbookViewId="0">
      <pane xSplit="1" ySplit="9" topLeftCell="B362"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9.28515625" style="19" bestFit="1" customWidth="1"/>
    <col min="2" max="2" width="13.5703125" style="19" customWidth="1"/>
    <col min="3" max="3" width="13.7109375" style="19" customWidth="1"/>
    <col min="4" max="4" width="15.28515625" style="19" bestFit="1" customWidth="1"/>
    <col min="5" max="5" width="13.5703125" style="19" customWidth="1"/>
    <col min="6" max="6" width="13.7109375" style="19" customWidth="1"/>
    <col min="7" max="7" width="15.28515625" style="19" bestFit="1" customWidth="1"/>
    <col min="8" max="8" width="13.5703125" style="19" customWidth="1"/>
    <col min="9" max="9" width="13.7109375" style="19" customWidth="1"/>
    <col min="10" max="10" width="15.28515625" style="19" bestFit="1" customWidth="1"/>
    <col min="11" max="16384" width="11.42578125" style="1"/>
  </cols>
  <sheetData>
    <row r="1" spans="1:10" ht="4.5" customHeight="1">
      <c r="A1" s="37"/>
      <c r="B1" s="46"/>
      <c r="E1" s="92"/>
      <c r="H1" s="92"/>
      <c r="J1" s="20"/>
    </row>
    <row r="2" spans="1:10" ht="22.5">
      <c r="A2" s="39" t="s">
        <v>212</v>
      </c>
      <c r="B2" s="40" t="s">
        <v>225</v>
      </c>
      <c r="C2" s="77"/>
      <c r="D2" s="77"/>
      <c r="E2" s="115" t="s">
        <v>382</v>
      </c>
      <c r="F2" s="77"/>
      <c r="G2" s="77"/>
      <c r="H2" s="115" t="s">
        <v>226</v>
      </c>
      <c r="I2" s="77"/>
      <c r="J2" s="109"/>
    </row>
    <row r="3" spans="1:10">
      <c r="A3" s="42" t="s">
        <v>211</v>
      </c>
      <c r="B3" s="40" t="s">
        <v>224</v>
      </c>
      <c r="C3" s="79"/>
      <c r="D3" s="79"/>
      <c r="E3" s="115" t="s">
        <v>224</v>
      </c>
      <c r="F3" s="79"/>
      <c r="G3" s="79"/>
      <c r="H3" s="115" t="s">
        <v>224</v>
      </c>
      <c r="I3" s="79"/>
      <c r="J3" s="110"/>
    </row>
    <row r="4" spans="1:10" ht="4.5" customHeight="1">
      <c r="A4" s="38"/>
      <c r="B4" s="46"/>
      <c r="E4" s="92"/>
      <c r="H4" s="92"/>
      <c r="J4" s="20"/>
    </row>
    <row r="5" spans="1:10" ht="33.75">
      <c r="A5" s="45" t="s">
        <v>213</v>
      </c>
      <c r="B5" s="80" t="s">
        <v>1486</v>
      </c>
      <c r="C5" s="1339" t="s">
        <v>1487</v>
      </c>
      <c r="D5" s="106" t="s">
        <v>1489</v>
      </c>
      <c r="E5" s="104" t="s">
        <v>1486</v>
      </c>
      <c r="F5" s="1339" t="s">
        <v>1487</v>
      </c>
      <c r="G5" s="106" t="s">
        <v>1488</v>
      </c>
      <c r="H5" s="104" t="s">
        <v>1486</v>
      </c>
      <c r="I5" s="1339" t="s">
        <v>1487</v>
      </c>
      <c r="J5" s="866" t="s">
        <v>1489</v>
      </c>
    </row>
    <row r="6" spans="1:10" ht="4.5" customHeight="1">
      <c r="A6" s="36"/>
      <c r="B6" s="21"/>
      <c r="C6" s="1289"/>
      <c r="D6" s="95"/>
      <c r="E6" s="114"/>
      <c r="F6" s="1289"/>
      <c r="G6" s="95"/>
      <c r="H6" s="114"/>
      <c r="I6" s="1289"/>
      <c r="J6" s="97"/>
    </row>
    <row r="7" spans="1:10" ht="22.5">
      <c r="A7" s="47" t="s">
        <v>210</v>
      </c>
      <c r="B7" s="21" t="s">
        <v>170</v>
      </c>
      <c r="C7" s="1289" t="s">
        <v>170</v>
      </c>
      <c r="D7" s="113" t="s">
        <v>170</v>
      </c>
      <c r="E7" s="114" t="s">
        <v>170</v>
      </c>
      <c r="F7" s="1289" t="s">
        <v>170</v>
      </c>
      <c r="G7" s="113" t="s">
        <v>170</v>
      </c>
      <c r="H7" s="114" t="s">
        <v>170</v>
      </c>
      <c r="I7" s="1289" t="s">
        <v>170</v>
      </c>
      <c r="J7" s="1872" t="s">
        <v>170</v>
      </c>
    </row>
    <row r="8" spans="1:10" ht="12.75" customHeight="1">
      <c r="A8" s="390" t="s">
        <v>412</v>
      </c>
      <c r="B8" s="3286" t="s">
        <v>1476</v>
      </c>
      <c r="C8" s="3287" t="s">
        <v>1477</v>
      </c>
      <c r="D8" s="3288" t="s">
        <v>1478</v>
      </c>
      <c r="E8" s="3289" t="s">
        <v>1479</v>
      </c>
      <c r="F8" s="3287" t="s">
        <v>1480</v>
      </c>
      <c r="G8" s="3288" t="s">
        <v>1481</v>
      </c>
      <c r="H8" s="3289" t="s">
        <v>1482</v>
      </c>
      <c r="I8" s="3287" t="s">
        <v>1483</v>
      </c>
      <c r="J8" s="3290" t="s">
        <v>1484</v>
      </c>
    </row>
    <row r="9" spans="1:10" ht="13.5" thickBot="1">
      <c r="A9" s="52" t="s">
        <v>217</v>
      </c>
      <c r="B9" s="111"/>
      <c r="C9" s="2244"/>
      <c r="D9" s="2243" t="s">
        <v>345</v>
      </c>
      <c r="E9" s="2245"/>
      <c r="F9" s="2244"/>
      <c r="G9" s="2243"/>
      <c r="H9" s="2245"/>
      <c r="I9" s="2244"/>
      <c r="J9" s="2251" t="s">
        <v>346</v>
      </c>
    </row>
    <row r="10" spans="1:10" s="516" customFormat="1">
      <c r="A10" s="145">
        <v>1994.01</v>
      </c>
      <c r="B10" s="504">
        <v>30277</v>
      </c>
      <c r="C10" s="1572">
        <v>43818</v>
      </c>
      <c r="D10" s="921">
        <f>B10+C10</f>
        <v>74095</v>
      </c>
      <c r="E10" s="1815"/>
      <c r="F10" s="1958"/>
      <c r="G10" s="2248"/>
      <c r="H10" s="107">
        <v>50587</v>
      </c>
      <c r="I10" s="1572">
        <v>76270</v>
      </c>
      <c r="J10" s="922">
        <f>H10+I10</f>
        <v>126857</v>
      </c>
    </row>
    <row r="11" spans="1:10">
      <c r="A11" s="49">
        <v>1994.02</v>
      </c>
      <c r="B11" s="50">
        <v>29925</v>
      </c>
      <c r="C11" s="1365">
        <v>43486</v>
      </c>
      <c r="D11" s="506">
        <f>B11+C11</f>
        <v>73411</v>
      </c>
      <c r="E11" s="930"/>
      <c r="F11" s="1460"/>
      <c r="G11" s="310"/>
      <c r="H11" s="573">
        <v>51341</v>
      </c>
      <c r="I11" s="1365">
        <v>77020</v>
      </c>
      <c r="J11" s="526">
        <f>H11+I11</f>
        <v>128361</v>
      </c>
    </row>
    <row r="12" spans="1:10">
      <c r="A12" s="49">
        <v>1994.03</v>
      </c>
      <c r="B12" s="50">
        <v>30249</v>
      </c>
      <c r="C12" s="1365">
        <v>43322</v>
      </c>
      <c r="D12" s="506">
        <f>B12+C12</f>
        <v>73571</v>
      </c>
      <c r="E12" s="930"/>
      <c r="F12" s="1460"/>
      <c r="G12" s="310"/>
      <c r="H12" s="573">
        <v>51411</v>
      </c>
      <c r="I12" s="1365">
        <v>79214</v>
      </c>
      <c r="J12" s="526">
        <f t="shared" ref="J12:J75" si="0">H12+I12</f>
        <v>130625</v>
      </c>
    </row>
    <row r="13" spans="1:10">
      <c r="A13" s="49">
        <v>1994.04</v>
      </c>
      <c r="B13" s="50">
        <v>31136</v>
      </c>
      <c r="C13" s="1365">
        <v>43816</v>
      </c>
      <c r="D13" s="506">
        <f t="shared" ref="D13:D75" si="1">B13+C13</f>
        <v>74952</v>
      </c>
      <c r="E13" s="930"/>
      <c r="F13" s="1460"/>
      <c r="G13" s="310"/>
      <c r="H13" s="573">
        <v>53959</v>
      </c>
      <c r="I13" s="1365">
        <v>78168</v>
      </c>
      <c r="J13" s="526">
        <f t="shared" si="0"/>
        <v>132127</v>
      </c>
    </row>
    <row r="14" spans="1:10">
      <c r="A14" s="49">
        <v>1994.05</v>
      </c>
      <c r="B14" s="50">
        <v>31456</v>
      </c>
      <c r="C14" s="1365">
        <v>43747</v>
      </c>
      <c r="D14" s="506">
        <f t="shared" si="1"/>
        <v>75203</v>
      </c>
      <c r="E14" s="930"/>
      <c r="F14" s="1460"/>
      <c r="G14" s="310"/>
      <c r="H14" s="573">
        <v>53702</v>
      </c>
      <c r="I14" s="1365">
        <v>77924</v>
      </c>
      <c r="J14" s="526">
        <f t="shared" si="0"/>
        <v>131626</v>
      </c>
    </row>
    <row r="15" spans="1:10">
      <c r="A15" s="49">
        <v>1994.06</v>
      </c>
      <c r="B15" s="50">
        <v>30189</v>
      </c>
      <c r="C15" s="1365">
        <v>43265</v>
      </c>
      <c r="D15" s="506">
        <f t="shared" si="1"/>
        <v>73454</v>
      </c>
      <c r="E15" s="930"/>
      <c r="F15" s="1460"/>
      <c r="G15" s="310"/>
      <c r="H15" s="573">
        <v>51824</v>
      </c>
      <c r="I15" s="1365">
        <v>78211</v>
      </c>
      <c r="J15" s="526">
        <f t="shared" si="0"/>
        <v>130035</v>
      </c>
    </row>
    <row r="16" spans="1:10">
      <c r="A16" s="49">
        <v>1994.07</v>
      </c>
      <c r="B16" s="50">
        <v>30426</v>
      </c>
      <c r="C16" s="1365">
        <v>41841</v>
      </c>
      <c r="D16" s="506">
        <f t="shared" si="1"/>
        <v>72267</v>
      </c>
      <c r="E16" s="930"/>
      <c r="F16" s="1460"/>
      <c r="G16" s="310"/>
      <c r="H16" s="573">
        <v>50483</v>
      </c>
      <c r="I16" s="1365">
        <v>75786</v>
      </c>
      <c r="J16" s="526">
        <f t="shared" si="0"/>
        <v>126269</v>
      </c>
    </row>
    <row r="17" spans="1:10">
      <c r="A17" s="49">
        <v>1994.08</v>
      </c>
      <c r="B17" s="50">
        <v>30598</v>
      </c>
      <c r="C17" s="1365">
        <v>43603</v>
      </c>
      <c r="D17" s="506">
        <f t="shared" si="1"/>
        <v>74201</v>
      </c>
      <c r="E17" s="930"/>
      <c r="F17" s="1460"/>
      <c r="G17" s="310"/>
      <c r="H17" s="573">
        <v>50104</v>
      </c>
      <c r="I17" s="1365">
        <v>75717</v>
      </c>
      <c r="J17" s="526">
        <f t="shared" si="0"/>
        <v>125821</v>
      </c>
    </row>
    <row r="18" spans="1:10">
      <c r="A18" s="49">
        <v>1994.09</v>
      </c>
      <c r="B18" s="50">
        <v>29900</v>
      </c>
      <c r="C18" s="1365">
        <v>43324</v>
      </c>
      <c r="D18" s="506">
        <f t="shared" si="1"/>
        <v>73224</v>
      </c>
      <c r="E18" s="930"/>
      <c r="F18" s="1460"/>
      <c r="G18" s="310"/>
      <c r="H18" s="573">
        <v>51030</v>
      </c>
      <c r="I18" s="1365">
        <v>76038</v>
      </c>
      <c r="J18" s="526">
        <f t="shared" si="0"/>
        <v>127068</v>
      </c>
    </row>
    <row r="19" spans="1:10">
      <c r="A19" s="49">
        <v>1994.1</v>
      </c>
      <c r="B19" s="50">
        <v>30337</v>
      </c>
      <c r="C19" s="1365">
        <v>42999</v>
      </c>
      <c r="D19" s="506">
        <f t="shared" si="1"/>
        <v>73336</v>
      </c>
      <c r="E19" s="930"/>
      <c r="F19" s="1460"/>
      <c r="G19" s="310"/>
      <c r="H19" s="573">
        <v>51077</v>
      </c>
      <c r="I19" s="1365">
        <v>75322</v>
      </c>
      <c r="J19" s="526">
        <f t="shared" si="0"/>
        <v>126399</v>
      </c>
    </row>
    <row r="20" spans="1:10">
      <c r="A20" s="49">
        <v>1994.11</v>
      </c>
      <c r="B20" s="50">
        <v>29551</v>
      </c>
      <c r="C20" s="1365">
        <v>43427</v>
      </c>
      <c r="D20" s="506">
        <f t="shared" si="1"/>
        <v>72978</v>
      </c>
      <c r="E20" s="930"/>
      <c r="F20" s="1460"/>
      <c r="G20" s="310"/>
      <c r="H20" s="573">
        <v>48701</v>
      </c>
      <c r="I20" s="1365">
        <v>75541</v>
      </c>
      <c r="J20" s="526">
        <f t="shared" si="0"/>
        <v>124242</v>
      </c>
    </row>
    <row r="21" spans="1:10">
      <c r="A21" s="49">
        <v>1994.12</v>
      </c>
      <c r="B21" s="50">
        <v>28702</v>
      </c>
      <c r="C21" s="1365">
        <v>42363</v>
      </c>
      <c r="D21" s="506">
        <f t="shared" si="1"/>
        <v>71065</v>
      </c>
      <c r="E21" s="930"/>
      <c r="F21" s="1460"/>
      <c r="G21" s="310"/>
      <c r="H21" s="573">
        <v>48004</v>
      </c>
      <c r="I21" s="1365">
        <v>74744</v>
      </c>
      <c r="J21" s="526">
        <f t="shared" si="0"/>
        <v>122748</v>
      </c>
    </row>
    <row r="22" spans="1:10">
      <c r="A22" s="49">
        <v>1995.01</v>
      </c>
      <c r="B22" s="50">
        <v>29737</v>
      </c>
      <c r="C22" s="1365">
        <v>40900</v>
      </c>
      <c r="D22" s="506">
        <f t="shared" si="1"/>
        <v>70637</v>
      </c>
      <c r="E22" s="930"/>
      <c r="F22" s="1460"/>
      <c r="G22" s="310"/>
      <c r="H22" s="573">
        <v>48963</v>
      </c>
      <c r="I22" s="1365">
        <v>73082</v>
      </c>
      <c r="J22" s="526">
        <f t="shared" si="0"/>
        <v>122045</v>
      </c>
    </row>
    <row r="23" spans="1:10">
      <c r="A23" s="49">
        <v>1995.02</v>
      </c>
      <c r="B23" s="50">
        <v>29280</v>
      </c>
      <c r="C23" s="1365">
        <v>41845</v>
      </c>
      <c r="D23" s="506">
        <f t="shared" si="1"/>
        <v>71125</v>
      </c>
      <c r="E23" s="930"/>
      <c r="F23" s="1460"/>
      <c r="G23" s="310"/>
      <c r="H23" s="573">
        <v>49658</v>
      </c>
      <c r="I23" s="1365">
        <v>74775</v>
      </c>
      <c r="J23" s="526">
        <f t="shared" si="0"/>
        <v>124433</v>
      </c>
    </row>
    <row r="24" spans="1:10">
      <c r="A24" s="49">
        <v>1995.03</v>
      </c>
      <c r="B24" s="50">
        <v>29195</v>
      </c>
      <c r="C24" s="1365">
        <v>41958</v>
      </c>
      <c r="D24" s="506">
        <f t="shared" si="1"/>
        <v>71153</v>
      </c>
      <c r="E24" s="930"/>
      <c r="F24" s="1460"/>
      <c r="G24" s="310"/>
      <c r="H24" s="573">
        <v>47276</v>
      </c>
      <c r="I24" s="1365">
        <v>74192</v>
      </c>
      <c r="J24" s="526">
        <f t="shared" si="0"/>
        <v>121468</v>
      </c>
    </row>
    <row r="25" spans="1:10">
      <c r="A25" s="49">
        <v>1995.04</v>
      </c>
      <c r="B25" s="50">
        <v>29241</v>
      </c>
      <c r="C25" s="1365">
        <v>41032</v>
      </c>
      <c r="D25" s="506">
        <f t="shared" si="1"/>
        <v>70273</v>
      </c>
      <c r="E25" s="930"/>
      <c r="F25" s="1460"/>
      <c r="G25" s="310"/>
      <c r="H25" s="573">
        <v>46489</v>
      </c>
      <c r="I25" s="1365">
        <v>70611</v>
      </c>
      <c r="J25" s="526">
        <f t="shared" si="0"/>
        <v>117100</v>
      </c>
    </row>
    <row r="26" spans="1:10">
      <c r="A26" s="49">
        <v>1995.05</v>
      </c>
      <c r="B26" s="50">
        <v>28049</v>
      </c>
      <c r="C26" s="1365">
        <v>40019</v>
      </c>
      <c r="D26" s="506">
        <f t="shared" si="1"/>
        <v>68068</v>
      </c>
      <c r="E26" s="930"/>
      <c r="F26" s="1460"/>
      <c r="G26" s="310"/>
      <c r="H26" s="573">
        <v>45523</v>
      </c>
      <c r="I26" s="1365">
        <v>67496</v>
      </c>
      <c r="J26" s="526">
        <f t="shared" si="0"/>
        <v>113019</v>
      </c>
    </row>
    <row r="27" spans="1:10">
      <c r="A27" s="49">
        <v>1995.06</v>
      </c>
      <c r="B27" s="50">
        <v>27458</v>
      </c>
      <c r="C27" s="1365">
        <v>39920</v>
      </c>
      <c r="D27" s="506">
        <f t="shared" si="1"/>
        <v>67378</v>
      </c>
      <c r="E27" s="930"/>
      <c r="F27" s="1460"/>
      <c r="G27" s="310"/>
      <c r="H27" s="573">
        <v>43792</v>
      </c>
      <c r="I27" s="1365">
        <v>65940</v>
      </c>
      <c r="J27" s="526">
        <f t="shared" si="0"/>
        <v>109732</v>
      </c>
    </row>
    <row r="28" spans="1:10">
      <c r="A28" s="49">
        <v>1995.07</v>
      </c>
      <c r="B28" s="50">
        <v>29056</v>
      </c>
      <c r="C28" s="1365">
        <v>46190</v>
      </c>
      <c r="D28" s="506">
        <f t="shared" si="1"/>
        <v>75246</v>
      </c>
      <c r="E28" s="930"/>
      <c r="F28" s="1460"/>
      <c r="G28" s="310"/>
      <c r="H28" s="573">
        <v>43741</v>
      </c>
      <c r="I28" s="1365">
        <v>65307</v>
      </c>
      <c r="J28" s="526">
        <f t="shared" si="0"/>
        <v>109048</v>
      </c>
    </row>
    <row r="29" spans="1:10">
      <c r="A29" s="49">
        <v>1995.08</v>
      </c>
      <c r="B29" s="50">
        <v>27480</v>
      </c>
      <c r="C29" s="1365">
        <v>42612</v>
      </c>
      <c r="D29" s="506">
        <f t="shared" si="1"/>
        <v>70092</v>
      </c>
      <c r="E29" s="930"/>
      <c r="F29" s="1460"/>
      <c r="G29" s="310"/>
      <c r="H29" s="573">
        <v>42192</v>
      </c>
      <c r="I29" s="1365">
        <v>63450</v>
      </c>
      <c r="J29" s="526">
        <f t="shared" si="0"/>
        <v>105642</v>
      </c>
    </row>
    <row r="30" spans="1:10">
      <c r="A30" s="49">
        <v>1995.09</v>
      </c>
      <c r="B30" s="50">
        <v>26996</v>
      </c>
      <c r="C30" s="1365">
        <v>39031</v>
      </c>
      <c r="D30" s="506">
        <f t="shared" si="1"/>
        <v>66027</v>
      </c>
      <c r="E30" s="930"/>
      <c r="F30" s="1460"/>
      <c r="G30" s="310"/>
      <c r="H30" s="573">
        <v>41713</v>
      </c>
      <c r="I30" s="1365">
        <v>63091</v>
      </c>
      <c r="J30" s="526">
        <f t="shared" si="0"/>
        <v>104804</v>
      </c>
    </row>
    <row r="31" spans="1:10">
      <c r="A31" s="49">
        <v>1995.1</v>
      </c>
      <c r="B31" s="50">
        <v>27241</v>
      </c>
      <c r="C31" s="1365">
        <v>38118</v>
      </c>
      <c r="D31" s="506">
        <f t="shared" si="1"/>
        <v>65359</v>
      </c>
      <c r="E31" s="930"/>
      <c r="F31" s="1460"/>
      <c r="G31" s="310"/>
      <c r="H31" s="573">
        <v>41100</v>
      </c>
      <c r="I31" s="1365">
        <v>61978</v>
      </c>
      <c r="J31" s="526">
        <f t="shared" si="0"/>
        <v>103078</v>
      </c>
    </row>
    <row r="32" spans="1:10">
      <c r="A32" s="49">
        <v>1995.11</v>
      </c>
      <c r="B32" s="50">
        <v>26247</v>
      </c>
      <c r="C32" s="1365">
        <v>37425</v>
      </c>
      <c r="D32" s="506">
        <f t="shared" si="1"/>
        <v>63672</v>
      </c>
      <c r="E32" s="930"/>
      <c r="F32" s="1460"/>
      <c r="G32" s="310"/>
      <c r="H32" s="573">
        <v>42160</v>
      </c>
      <c r="I32" s="1365">
        <v>64138</v>
      </c>
      <c r="J32" s="526">
        <f t="shared" si="0"/>
        <v>106298</v>
      </c>
    </row>
    <row r="33" spans="1:10">
      <c r="A33" s="49">
        <v>1995.12</v>
      </c>
      <c r="B33" s="50">
        <v>26509</v>
      </c>
      <c r="C33" s="1365">
        <v>37183</v>
      </c>
      <c r="D33" s="506">
        <f t="shared" si="1"/>
        <v>63692</v>
      </c>
      <c r="E33" s="930"/>
      <c r="F33" s="1460"/>
      <c r="G33" s="310"/>
      <c r="H33" s="573">
        <v>42846</v>
      </c>
      <c r="I33" s="1365">
        <v>62947</v>
      </c>
      <c r="J33" s="526">
        <f t="shared" si="0"/>
        <v>105793</v>
      </c>
    </row>
    <row r="34" spans="1:10">
      <c r="A34" s="49">
        <v>1996.01</v>
      </c>
      <c r="B34" s="50">
        <v>26465</v>
      </c>
      <c r="C34" s="1365">
        <v>37161</v>
      </c>
      <c r="D34" s="506">
        <f t="shared" si="1"/>
        <v>63626</v>
      </c>
      <c r="E34" s="930"/>
      <c r="F34" s="1460"/>
      <c r="G34" s="310"/>
      <c r="H34" s="573">
        <v>39958</v>
      </c>
      <c r="I34" s="1365">
        <v>60837</v>
      </c>
      <c r="J34" s="526">
        <f t="shared" si="0"/>
        <v>100795</v>
      </c>
    </row>
    <row r="35" spans="1:10">
      <c r="A35" s="49">
        <v>1996.02</v>
      </c>
      <c r="B35" s="50">
        <v>26754</v>
      </c>
      <c r="C35" s="1365">
        <v>37904</v>
      </c>
      <c r="D35" s="506">
        <f t="shared" si="1"/>
        <v>64658</v>
      </c>
      <c r="E35" s="930"/>
      <c r="F35" s="1460"/>
      <c r="G35" s="310"/>
      <c r="H35" s="573">
        <v>40699</v>
      </c>
      <c r="I35" s="1365">
        <v>62808</v>
      </c>
      <c r="J35" s="526">
        <f t="shared" si="0"/>
        <v>103507</v>
      </c>
    </row>
    <row r="36" spans="1:10">
      <c r="A36" s="49">
        <v>1996.03</v>
      </c>
      <c r="B36" s="50">
        <v>27364</v>
      </c>
      <c r="C36" s="1365">
        <v>38444</v>
      </c>
      <c r="D36" s="506">
        <f t="shared" si="1"/>
        <v>65808</v>
      </c>
      <c r="E36" s="930"/>
      <c r="F36" s="1460"/>
      <c r="G36" s="310"/>
      <c r="H36" s="573">
        <v>41644</v>
      </c>
      <c r="I36" s="1365">
        <v>65299</v>
      </c>
      <c r="J36" s="526">
        <f t="shared" si="0"/>
        <v>106943</v>
      </c>
    </row>
    <row r="37" spans="1:10">
      <c r="A37" s="49">
        <v>1996.04</v>
      </c>
      <c r="B37" s="50">
        <v>26713</v>
      </c>
      <c r="C37" s="1365">
        <v>39088</v>
      </c>
      <c r="D37" s="506">
        <f t="shared" si="1"/>
        <v>65801</v>
      </c>
      <c r="E37" s="930"/>
      <c r="F37" s="1460"/>
      <c r="G37" s="310"/>
      <c r="H37" s="573">
        <v>39820</v>
      </c>
      <c r="I37" s="1365">
        <v>64448</v>
      </c>
      <c r="J37" s="526">
        <f t="shared" si="0"/>
        <v>104268</v>
      </c>
    </row>
    <row r="38" spans="1:10">
      <c r="A38" s="49">
        <v>1996.05</v>
      </c>
      <c r="B38" s="50">
        <v>26796</v>
      </c>
      <c r="C38" s="1365">
        <v>40765</v>
      </c>
      <c r="D38" s="506">
        <f t="shared" si="1"/>
        <v>67561</v>
      </c>
      <c r="E38" s="930"/>
      <c r="F38" s="1460"/>
      <c r="G38" s="310"/>
      <c r="H38" s="573">
        <v>38921</v>
      </c>
      <c r="I38" s="1365">
        <v>63674</v>
      </c>
      <c r="J38" s="526">
        <f t="shared" si="0"/>
        <v>102595</v>
      </c>
    </row>
    <row r="39" spans="1:10">
      <c r="A39" s="49">
        <v>1996.06</v>
      </c>
      <c r="B39" s="50">
        <v>26178</v>
      </c>
      <c r="C39" s="1365">
        <v>39190</v>
      </c>
      <c r="D39" s="506">
        <f t="shared" si="1"/>
        <v>65368</v>
      </c>
      <c r="E39" s="930"/>
      <c r="F39" s="1460"/>
      <c r="G39" s="310"/>
      <c r="H39" s="573">
        <v>39707</v>
      </c>
      <c r="I39" s="1365">
        <v>62839</v>
      </c>
      <c r="J39" s="526">
        <f t="shared" si="0"/>
        <v>102546</v>
      </c>
    </row>
    <row r="40" spans="1:10">
      <c r="A40" s="49">
        <v>1996.07</v>
      </c>
      <c r="B40" s="50">
        <v>26126</v>
      </c>
      <c r="C40" s="1365">
        <v>42179</v>
      </c>
      <c r="D40" s="506">
        <f t="shared" si="1"/>
        <v>68305</v>
      </c>
      <c r="E40" s="930"/>
      <c r="F40" s="1460"/>
      <c r="G40" s="310"/>
      <c r="H40" s="573">
        <v>37703</v>
      </c>
      <c r="I40" s="1365">
        <v>62817</v>
      </c>
      <c r="J40" s="526">
        <f t="shared" si="0"/>
        <v>100520</v>
      </c>
    </row>
    <row r="41" spans="1:10">
      <c r="A41" s="49">
        <v>1996.08</v>
      </c>
      <c r="B41" s="50">
        <v>26218</v>
      </c>
      <c r="C41" s="1365">
        <v>39714</v>
      </c>
      <c r="D41" s="506">
        <f t="shared" si="1"/>
        <v>65932</v>
      </c>
      <c r="E41" s="930"/>
      <c r="F41" s="1460"/>
      <c r="G41" s="310"/>
      <c r="H41" s="573">
        <v>38083</v>
      </c>
      <c r="I41" s="1365">
        <v>65132</v>
      </c>
      <c r="J41" s="526">
        <f t="shared" si="0"/>
        <v>103215</v>
      </c>
    </row>
    <row r="42" spans="1:10">
      <c r="A42" s="49">
        <v>1996.09</v>
      </c>
      <c r="B42" s="50">
        <v>26401</v>
      </c>
      <c r="C42" s="1365">
        <v>38228</v>
      </c>
      <c r="D42" s="506">
        <f t="shared" si="1"/>
        <v>64629</v>
      </c>
      <c r="E42" s="930"/>
      <c r="F42" s="1460"/>
      <c r="G42" s="310"/>
      <c r="H42" s="573">
        <v>38793</v>
      </c>
      <c r="I42" s="1365">
        <v>66173</v>
      </c>
      <c r="J42" s="526">
        <f t="shared" si="0"/>
        <v>104966</v>
      </c>
    </row>
    <row r="43" spans="1:10">
      <c r="A43" s="49">
        <v>1996.1</v>
      </c>
      <c r="B43" s="50">
        <v>24759</v>
      </c>
      <c r="C43" s="1365">
        <v>37576</v>
      </c>
      <c r="D43" s="506">
        <f t="shared" si="1"/>
        <v>62335</v>
      </c>
      <c r="E43" s="930"/>
      <c r="F43" s="1460"/>
      <c r="G43" s="310"/>
      <c r="H43" s="573">
        <v>36943</v>
      </c>
      <c r="I43" s="1365">
        <v>64642</v>
      </c>
      <c r="J43" s="526">
        <f t="shared" si="0"/>
        <v>101585</v>
      </c>
    </row>
    <row r="44" spans="1:10">
      <c r="A44" s="49">
        <v>1996.11</v>
      </c>
      <c r="B44" s="50">
        <v>24438</v>
      </c>
      <c r="C44" s="1365">
        <v>37505</v>
      </c>
      <c r="D44" s="506">
        <f t="shared" si="1"/>
        <v>61943</v>
      </c>
      <c r="E44" s="930"/>
      <c r="F44" s="1460"/>
      <c r="G44" s="310"/>
      <c r="H44" s="573">
        <v>36528</v>
      </c>
      <c r="I44" s="1365">
        <v>64014</v>
      </c>
      <c r="J44" s="526">
        <f t="shared" si="0"/>
        <v>100542</v>
      </c>
    </row>
    <row r="45" spans="1:10">
      <c r="A45" s="49">
        <v>1996.12</v>
      </c>
      <c r="B45" s="50">
        <v>25471</v>
      </c>
      <c r="C45" s="1365">
        <v>36523</v>
      </c>
      <c r="D45" s="506">
        <f t="shared" si="1"/>
        <v>61994</v>
      </c>
      <c r="E45" s="930"/>
      <c r="F45" s="1460"/>
      <c r="G45" s="310"/>
      <c r="H45" s="573">
        <v>36959</v>
      </c>
      <c r="I45" s="1365">
        <v>64142</v>
      </c>
      <c r="J45" s="526">
        <f t="shared" si="0"/>
        <v>101101</v>
      </c>
    </row>
    <row r="46" spans="1:10">
      <c r="A46" s="49">
        <v>1997.01</v>
      </c>
      <c r="B46" s="50">
        <v>23059</v>
      </c>
      <c r="C46" s="1365">
        <v>35931</v>
      </c>
      <c r="D46" s="506">
        <f t="shared" si="1"/>
        <v>58990</v>
      </c>
      <c r="E46" s="930"/>
      <c r="F46" s="1460"/>
      <c r="G46" s="310"/>
      <c r="H46" s="573">
        <v>35377</v>
      </c>
      <c r="I46" s="1365">
        <v>63609</v>
      </c>
      <c r="J46" s="526">
        <f t="shared" si="0"/>
        <v>98986</v>
      </c>
    </row>
    <row r="47" spans="1:10">
      <c r="A47" s="49">
        <v>1997.02</v>
      </c>
      <c r="B47" s="50">
        <v>24166</v>
      </c>
      <c r="C47" s="1365">
        <v>37248</v>
      </c>
      <c r="D47" s="506">
        <f t="shared" si="1"/>
        <v>61414</v>
      </c>
      <c r="E47" s="930"/>
      <c r="F47" s="1460"/>
      <c r="G47" s="310"/>
      <c r="H47" s="573">
        <v>38504</v>
      </c>
      <c r="I47" s="1365">
        <v>66188</v>
      </c>
      <c r="J47" s="526">
        <f t="shared" si="0"/>
        <v>104692</v>
      </c>
    </row>
    <row r="48" spans="1:10">
      <c r="A48" s="49">
        <v>1997.03</v>
      </c>
      <c r="B48" s="50">
        <v>25131</v>
      </c>
      <c r="C48" s="1365">
        <v>37835</v>
      </c>
      <c r="D48" s="506">
        <f t="shared" si="1"/>
        <v>62966</v>
      </c>
      <c r="E48" s="930"/>
      <c r="F48" s="1460"/>
      <c r="G48" s="310"/>
      <c r="H48" s="573">
        <v>40600</v>
      </c>
      <c r="I48" s="1365">
        <v>67529</v>
      </c>
      <c r="J48" s="526">
        <f t="shared" si="0"/>
        <v>108129</v>
      </c>
    </row>
    <row r="49" spans="1:10">
      <c r="A49" s="49">
        <v>1997.04</v>
      </c>
      <c r="B49" s="50">
        <v>24592</v>
      </c>
      <c r="C49" s="1365">
        <v>36486</v>
      </c>
      <c r="D49" s="506">
        <f t="shared" si="1"/>
        <v>61078</v>
      </c>
      <c r="E49" s="930"/>
      <c r="F49" s="1460"/>
      <c r="G49" s="310"/>
      <c r="H49" s="573">
        <v>38440</v>
      </c>
      <c r="I49" s="1365">
        <v>66978</v>
      </c>
      <c r="J49" s="526">
        <f t="shared" si="0"/>
        <v>105418</v>
      </c>
    </row>
    <row r="50" spans="1:10">
      <c r="A50" s="49">
        <v>1997.05</v>
      </c>
      <c r="B50" s="50">
        <v>24731</v>
      </c>
      <c r="C50" s="1365">
        <v>36814</v>
      </c>
      <c r="D50" s="506">
        <f t="shared" si="1"/>
        <v>61545</v>
      </c>
      <c r="E50" s="930"/>
      <c r="F50" s="1460"/>
      <c r="G50" s="310"/>
      <c r="H50" s="573">
        <v>36756</v>
      </c>
      <c r="I50" s="1365">
        <v>66655</v>
      </c>
      <c r="J50" s="526">
        <f t="shared" si="0"/>
        <v>103411</v>
      </c>
    </row>
    <row r="51" spans="1:10">
      <c r="A51" s="49">
        <v>1997.06</v>
      </c>
      <c r="B51" s="50">
        <v>24049</v>
      </c>
      <c r="C51" s="1365">
        <v>35223</v>
      </c>
      <c r="D51" s="506">
        <f t="shared" si="1"/>
        <v>59272</v>
      </c>
      <c r="E51" s="930"/>
      <c r="F51" s="1460"/>
      <c r="G51" s="310"/>
      <c r="H51" s="573">
        <v>36862</v>
      </c>
      <c r="I51" s="1365">
        <v>64913</v>
      </c>
      <c r="J51" s="526">
        <f t="shared" si="0"/>
        <v>101775</v>
      </c>
    </row>
    <row r="52" spans="1:10">
      <c r="A52" s="49">
        <v>1997.07</v>
      </c>
      <c r="B52" s="50">
        <v>23537</v>
      </c>
      <c r="C52" s="1365">
        <v>35880</v>
      </c>
      <c r="D52" s="506">
        <f t="shared" si="1"/>
        <v>59417</v>
      </c>
      <c r="E52" s="930"/>
      <c r="F52" s="1460"/>
      <c r="G52" s="310"/>
      <c r="H52" s="573">
        <v>34634</v>
      </c>
      <c r="I52" s="1365">
        <v>64220</v>
      </c>
      <c r="J52" s="526">
        <f t="shared" si="0"/>
        <v>98854</v>
      </c>
    </row>
    <row r="53" spans="1:10">
      <c r="A53" s="49">
        <v>1997.08</v>
      </c>
      <c r="B53" s="50">
        <v>25437</v>
      </c>
      <c r="C53" s="1365">
        <v>36011</v>
      </c>
      <c r="D53" s="506">
        <f t="shared" si="1"/>
        <v>61448</v>
      </c>
      <c r="E53" s="930"/>
      <c r="F53" s="1460"/>
      <c r="G53" s="310"/>
      <c r="H53" s="573">
        <v>36360</v>
      </c>
      <c r="I53" s="1365">
        <v>65815</v>
      </c>
      <c r="J53" s="526">
        <f t="shared" si="0"/>
        <v>102175</v>
      </c>
    </row>
    <row r="54" spans="1:10">
      <c r="A54" s="49">
        <v>1997.09</v>
      </c>
      <c r="B54" s="50">
        <v>25475</v>
      </c>
      <c r="C54" s="1365">
        <v>35662</v>
      </c>
      <c r="D54" s="506">
        <f t="shared" si="1"/>
        <v>61137</v>
      </c>
      <c r="E54" s="930"/>
      <c r="F54" s="1460"/>
      <c r="G54" s="310"/>
      <c r="H54" s="573">
        <v>34927</v>
      </c>
      <c r="I54" s="1365">
        <v>64541</v>
      </c>
      <c r="J54" s="526">
        <f t="shared" si="0"/>
        <v>99468</v>
      </c>
    </row>
    <row r="55" spans="1:10">
      <c r="A55" s="49">
        <v>1997.1</v>
      </c>
      <c r="B55" s="50">
        <v>24548</v>
      </c>
      <c r="C55" s="1365">
        <v>35143</v>
      </c>
      <c r="D55" s="506">
        <f t="shared" si="1"/>
        <v>59691</v>
      </c>
      <c r="E55" s="930"/>
      <c r="F55" s="1460"/>
      <c r="G55" s="310"/>
      <c r="H55" s="573">
        <v>34750</v>
      </c>
      <c r="I55" s="1365">
        <v>64485</v>
      </c>
      <c r="J55" s="526">
        <f t="shared" si="0"/>
        <v>99235</v>
      </c>
    </row>
    <row r="56" spans="1:10">
      <c r="A56" s="49">
        <v>1997.11</v>
      </c>
      <c r="B56" s="50">
        <v>24507</v>
      </c>
      <c r="C56" s="1365">
        <v>35121</v>
      </c>
      <c r="D56" s="506">
        <f t="shared" si="1"/>
        <v>59628</v>
      </c>
      <c r="E56" s="930"/>
      <c r="F56" s="1460"/>
      <c r="G56" s="310"/>
      <c r="H56" s="573">
        <v>36425</v>
      </c>
      <c r="I56" s="1365">
        <v>64697</v>
      </c>
      <c r="J56" s="526">
        <f t="shared" si="0"/>
        <v>101122</v>
      </c>
    </row>
    <row r="57" spans="1:10">
      <c r="A57" s="49">
        <v>1997.12</v>
      </c>
      <c r="B57" s="50">
        <v>24476</v>
      </c>
      <c r="C57" s="1365">
        <v>33280</v>
      </c>
      <c r="D57" s="506">
        <f t="shared" si="1"/>
        <v>57756</v>
      </c>
      <c r="E57" s="930"/>
      <c r="F57" s="1460"/>
      <c r="G57" s="310"/>
      <c r="H57" s="573">
        <v>33990</v>
      </c>
      <c r="I57" s="1365">
        <v>64461</v>
      </c>
      <c r="J57" s="526">
        <f t="shared" si="0"/>
        <v>98451</v>
      </c>
    </row>
    <row r="58" spans="1:10">
      <c r="A58" s="49">
        <v>1998.01</v>
      </c>
      <c r="B58" s="50">
        <v>23260</v>
      </c>
      <c r="C58" s="1365">
        <v>33181</v>
      </c>
      <c r="D58" s="506">
        <f t="shared" si="1"/>
        <v>56441</v>
      </c>
      <c r="E58" s="930"/>
      <c r="F58" s="1460"/>
      <c r="G58" s="310"/>
      <c r="H58" s="573">
        <v>33494</v>
      </c>
      <c r="I58" s="1365">
        <v>63983</v>
      </c>
      <c r="J58" s="526">
        <f t="shared" si="0"/>
        <v>97477</v>
      </c>
    </row>
    <row r="59" spans="1:10">
      <c r="A59" s="49">
        <v>1998.02</v>
      </c>
      <c r="B59" s="50">
        <v>24649</v>
      </c>
      <c r="C59" s="1365">
        <v>34664</v>
      </c>
      <c r="D59" s="506">
        <f t="shared" si="1"/>
        <v>59313</v>
      </c>
      <c r="E59" s="930"/>
      <c r="F59" s="1460"/>
      <c r="G59" s="310"/>
      <c r="H59" s="573">
        <v>34669</v>
      </c>
      <c r="I59" s="1365">
        <v>65656</v>
      </c>
      <c r="J59" s="526">
        <f t="shared" si="0"/>
        <v>100325</v>
      </c>
    </row>
    <row r="60" spans="1:10">
      <c r="A60" s="49">
        <v>1998.03</v>
      </c>
      <c r="B60" s="50">
        <v>25256</v>
      </c>
      <c r="C60" s="1365">
        <v>34677</v>
      </c>
      <c r="D60" s="506">
        <f t="shared" si="1"/>
        <v>59933</v>
      </c>
      <c r="E60" s="930"/>
      <c r="F60" s="1460"/>
      <c r="G60" s="310"/>
      <c r="H60" s="573">
        <v>35174</v>
      </c>
      <c r="I60" s="1365">
        <v>67281</v>
      </c>
      <c r="J60" s="526">
        <f t="shared" si="0"/>
        <v>102455</v>
      </c>
    </row>
    <row r="61" spans="1:10">
      <c r="A61" s="49">
        <v>1998.04</v>
      </c>
      <c r="B61" s="50">
        <v>25661</v>
      </c>
      <c r="C61" s="1365">
        <v>33990</v>
      </c>
      <c r="D61" s="506">
        <f t="shared" si="1"/>
        <v>59651</v>
      </c>
      <c r="E61" s="930"/>
      <c r="F61" s="1460"/>
      <c r="G61" s="310"/>
      <c r="H61" s="573">
        <v>33199</v>
      </c>
      <c r="I61" s="1365">
        <v>66339</v>
      </c>
      <c r="J61" s="526">
        <f t="shared" si="0"/>
        <v>99538</v>
      </c>
    </row>
    <row r="62" spans="1:10">
      <c r="A62" s="49">
        <v>1998.05</v>
      </c>
      <c r="B62" s="50">
        <v>25660</v>
      </c>
      <c r="C62" s="1365">
        <v>34030</v>
      </c>
      <c r="D62" s="506">
        <f t="shared" si="1"/>
        <v>59690</v>
      </c>
      <c r="E62" s="930"/>
      <c r="F62" s="1460"/>
      <c r="G62" s="310"/>
      <c r="H62" s="573">
        <v>34904</v>
      </c>
      <c r="I62" s="1365">
        <v>65536</v>
      </c>
      <c r="J62" s="526">
        <f t="shared" si="0"/>
        <v>100440</v>
      </c>
    </row>
    <row r="63" spans="1:10">
      <c r="A63" s="49">
        <v>1998.06</v>
      </c>
      <c r="B63" s="50">
        <v>24471</v>
      </c>
      <c r="C63" s="1365">
        <v>32961</v>
      </c>
      <c r="D63" s="506">
        <f t="shared" si="1"/>
        <v>57432</v>
      </c>
      <c r="E63" s="930"/>
      <c r="F63" s="1460"/>
      <c r="G63" s="310"/>
      <c r="H63" s="573">
        <v>32575</v>
      </c>
      <c r="I63" s="1365">
        <v>61789</v>
      </c>
      <c r="J63" s="526">
        <f t="shared" si="0"/>
        <v>94364</v>
      </c>
    </row>
    <row r="64" spans="1:10">
      <c r="A64" s="49">
        <v>1998.07</v>
      </c>
      <c r="B64" s="50">
        <v>23902</v>
      </c>
      <c r="C64" s="1365">
        <v>32977</v>
      </c>
      <c r="D64" s="506">
        <f t="shared" si="1"/>
        <v>56879</v>
      </c>
      <c r="E64" s="930"/>
      <c r="F64" s="1460"/>
      <c r="G64" s="310"/>
      <c r="H64" s="573">
        <v>32745</v>
      </c>
      <c r="I64" s="1365">
        <v>63906</v>
      </c>
      <c r="J64" s="526">
        <f t="shared" si="0"/>
        <v>96651</v>
      </c>
    </row>
    <row r="65" spans="1:10">
      <c r="A65" s="49">
        <v>1998.08</v>
      </c>
      <c r="B65" s="50">
        <v>24846</v>
      </c>
      <c r="C65" s="1365">
        <v>34298</v>
      </c>
      <c r="D65" s="506">
        <f t="shared" si="1"/>
        <v>59144</v>
      </c>
      <c r="E65" s="930"/>
      <c r="F65" s="1460"/>
      <c r="G65" s="310"/>
      <c r="H65" s="573">
        <v>35782</v>
      </c>
      <c r="I65" s="1365">
        <v>66333</v>
      </c>
      <c r="J65" s="526">
        <f t="shared" si="0"/>
        <v>102115</v>
      </c>
    </row>
    <row r="66" spans="1:10">
      <c r="A66" s="49">
        <v>1998.09</v>
      </c>
      <c r="B66" s="50">
        <v>24054</v>
      </c>
      <c r="C66" s="1365">
        <v>33280</v>
      </c>
      <c r="D66" s="506">
        <f t="shared" si="1"/>
        <v>57334</v>
      </c>
      <c r="E66" s="930"/>
      <c r="F66" s="1460"/>
      <c r="G66" s="310"/>
      <c r="H66" s="573">
        <v>35601</v>
      </c>
      <c r="I66" s="1365">
        <v>63254</v>
      </c>
      <c r="J66" s="526">
        <f t="shared" si="0"/>
        <v>98855</v>
      </c>
    </row>
    <row r="67" spans="1:10">
      <c r="A67" s="49">
        <v>1998.1</v>
      </c>
      <c r="B67" s="50">
        <v>22331</v>
      </c>
      <c r="C67" s="1365">
        <v>32699</v>
      </c>
      <c r="D67" s="506">
        <f t="shared" si="1"/>
        <v>55030</v>
      </c>
      <c r="E67" s="930"/>
      <c r="F67" s="1460"/>
      <c r="G67" s="310"/>
      <c r="H67" s="573">
        <v>36153</v>
      </c>
      <c r="I67" s="1365">
        <v>62120</v>
      </c>
      <c r="J67" s="526">
        <f t="shared" si="0"/>
        <v>98273</v>
      </c>
    </row>
    <row r="68" spans="1:10">
      <c r="A68" s="49">
        <v>1998.11</v>
      </c>
      <c r="B68" s="50">
        <v>22891</v>
      </c>
      <c r="C68" s="1365">
        <v>32641</v>
      </c>
      <c r="D68" s="506">
        <f t="shared" si="1"/>
        <v>55532</v>
      </c>
      <c r="E68" s="930"/>
      <c r="F68" s="1460"/>
      <c r="G68" s="310"/>
      <c r="H68" s="573">
        <v>36290</v>
      </c>
      <c r="I68" s="1365">
        <v>62707</v>
      </c>
      <c r="J68" s="526">
        <f t="shared" si="0"/>
        <v>98997</v>
      </c>
    </row>
    <row r="69" spans="1:10">
      <c r="A69" s="49">
        <v>1998.12</v>
      </c>
      <c r="B69" s="50">
        <v>22028</v>
      </c>
      <c r="C69" s="1365">
        <v>32262</v>
      </c>
      <c r="D69" s="506">
        <f t="shared" si="1"/>
        <v>54290</v>
      </c>
      <c r="E69" s="930"/>
      <c r="F69" s="1460"/>
      <c r="G69" s="310"/>
      <c r="H69" s="573">
        <v>32727</v>
      </c>
      <c r="I69" s="1365">
        <v>62121</v>
      </c>
      <c r="J69" s="526">
        <f t="shared" si="0"/>
        <v>94848</v>
      </c>
    </row>
    <row r="70" spans="1:10">
      <c r="A70" s="49">
        <v>1999.01</v>
      </c>
      <c r="B70" s="50">
        <v>22554</v>
      </c>
      <c r="C70" s="1365">
        <v>33237</v>
      </c>
      <c r="D70" s="506">
        <f t="shared" si="1"/>
        <v>55791</v>
      </c>
      <c r="E70" s="930"/>
      <c r="F70" s="1460"/>
      <c r="G70" s="310"/>
      <c r="H70" s="573">
        <v>32614</v>
      </c>
      <c r="I70" s="1365">
        <v>62070</v>
      </c>
      <c r="J70" s="526">
        <f t="shared" si="0"/>
        <v>94684</v>
      </c>
    </row>
    <row r="71" spans="1:10">
      <c r="A71" s="49">
        <v>1999.02</v>
      </c>
      <c r="B71" s="50">
        <v>22627</v>
      </c>
      <c r="C71" s="1365">
        <v>33419</v>
      </c>
      <c r="D71" s="506">
        <f t="shared" si="1"/>
        <v>56046</v>
      </c>
      <c r="E71" s="930"/>
      <c r="F71" s="1460"/>
      <c r="G71" s="310"/>
      <c r="H71" s="573">
        <v>32368</v>
      </c>
      <c r="I71" s="1365">
        <v>64230</v>
      </c>
      <c r="J71" s="526">
        <f t="shared" si="0"/>
        <v>96598</v>
      </c>
    </row>
    <row r="72" spans="1:10">
      <c r="A72" s="49">
        <v>1999.03</v>
      </c>
      <c r="B72" s="50">
        <v>22801</v>
      </c>
      <c r="C72" s="1365">
        <v>33589</v>
      </c>
      <c r="D72" s="506">
        <f t="shared" si="1"/>
        <v>56390</v>
      </c>
      <c r="E72" s="930"/>
      <c r="F72" s="1460"/>
      <c r="G72" s="310"/>
      <c r="H72" s="573">
        <v>32425</v>
      </c>
      <c r="I72" s="1365">
        <v>66472</v>
      </c>
      <c r="J72" s="526">
        <f t="shared" si="0"/>
        <v>98897</v>
      </c>
    </row>
    <row r="73" spans="1:10">
      <c r="A73" s="49">
        <v>1999.04</v>
      </c>
      <c r="B73" s="50">
        <v>22695</v>
      </c>
      <c r="C73" s="1365">
        <v>32788</v>
      </c>
      <c r="D73" s="506">
        <f t="shared" si="1"/>
        <v>55483</v>
      </c>
      <c r="E73" s="930"/>
      <c r="F73" s="1460"/>
      <c r="G73" s="310"/>
      <c r="H73" s="573">
        <v>33719</v>
      </c>
      <c r="I73" s="1365">
        <v>67959</v>
      </c>
      <c r="J73" s="526">
        <f t="shared" si="0"/>
        <v>101678</v>
      </c>
    </row>
    <row r="74" spans="1:10">
      <c r="A74" s="49">
        <v>1999.05</v>
      </c>
      <c r="B74" s="50">
        <v>23051</v>
      </c>
      <c r="C74" s="1365">
        <v>33657</v>
      </c>
      <c r="D74" s="506">
        <f t="shared" si="1"/>
        <v>56708</v>
      </c>
      <c r="E74" s="930"/>
      <c r="F74" s="1460"/>
      <c r="G74" s="310"/>
      <c r="H74" s="573">
        <v>35272</v>
      </c>
      <c r="I74" s="1365">
        <v>66459</v>
      </c>
      <c r="J74" s="526">
        <f t="shared" si="0"/>
        <v>101731</v>
      </c>
    </row>
    <row r="75" spans="1:10">
      <c r="A75" s="49">
        <v>1999.06</v>
      </c>
      <c r="B75" s="50">
        <v>22191</v>
      </c>
      <c r="C75" s="1365">
        <v>33069</v>
      </c>
      <c r="D75" s="506">
        <f t="shared" si="1"/>
        <v>55260</v>
      </c>
      <c r="E75" s="930"/>
      <c r="F75" s="1460"/>
      <c r="G75" s="310"/>
      <c r="H75" s="573">
        <v>32527</v>
      </c>
      <c r="I75" s="1365">
        <v>63412</v>
      </c>
      <c r="J75" s="526">
        <f t="shared" si="0"/>
        <v>95939</v>
      </c>
    </row>
    <row r="76" spans="1:10">
      <c r="A76" s="49">
        <v>1999.07</v>
      </c>
      <c r="B76" s="50">
        <v>22106</v>
      </c>
      <c r="C76" s="1365">
        <v>32662</v>
      </c>
      <c r="D76" s="506">
        <f t="shared" ref="D76:D139" si="2">B76+C76</f>
        <v>54768</v>
      </c>
      <c r="E76" s="930"/>
      <c r="F76" s="1460"/>
      <c r="G76" s="310"/>
      <c r="H76" s="573">
        <v>30794</v>
      </c>
      <c r="I76" s="1365">
        <v>61041</v>
      </c>
      <c r="J76" s="526">
        <f t="shared" ref="J76:J139" si="3">H76+I76</f>
        <v>91835</v>
      </c>
    </row>
    <row r="77" spans="1:10">
      <c r="A77" s="49">
        <v>1999.08</v>
      </c>
      <c r="B77" s="50">
        <v>23005</v>
      </c>
      <c r="C77" s="1365">
        <v>32595</v>
      </c>
      <c r="D77" s="506">
        <f t="shared" si="2"/>
        <v>55600</v>
      </c>
      <c r="E77" s="930"/>
      <c r="F77" s="1460"/>
      <c r="G77" s="310"/>
      <c r="H77" s="573">
        <v>33103</v>
      </c>
      <c r="I77" s="1365">
        <v>61119</v>
      </c>
      <c r="J77" s="526">
        <f t="shared" si="3"/>
        <v>94222</v>
      </c>
    </row>
    <row r="78" spans="1:10">
      <c r="A78" s="49">
        <v>1999.09</v>
      </c>
      <c r="B78" s="50">
        <v>21986</v>
      </c>
      <c r="C78" s="1365">
        <v>32282</v>
      </c>
      <c r="D78" s="506">
        <f t="shared" si="2"/>
        <v>54268</v>
      </c>
      <c r="E78" s="930"/>
      <c r="F78" s="1460"/>
      <c r="G78" s="310"/>
      <c r="H78" s="573">
        <v>31682</v>
      </c>
      <c r="I78" s="1365">
        <v>60111</v>
      </c>
      <c r="J78" s="526">
        <f t="shared" si="3"/>
        <v>91793</v>
      </c>
    </row>
    <row r="79" spans="1:10">
      <c r="A79" s="49">
        <v>1999.1</v>
      </c>
      <c r="B79" s="50">
        <v>21802</v>
      </c>
      <c r="C79" s="1365">
        <v>31322</v>
      </c>
      <c r="D79" s="506">
        <f t="shared" si="2"/>
        <v>53124</v>
      </c>
      <c r="E79" s="930"/>
      <c r="F79" s="1460"/>
      <c r="G79" s="310"/>
      <c r="H79" s="573">
        <v>32240</v>
      </c>
      <c r="I79" s="1365">
        <v>57273</v>
      </c>
      <c r="J79" s="526">
        <f t="shared" si="3"/>
        <v>89513</v>
      </c>
    </row>
    <row r="80" spans="1:10">
      <c r="A80" s="49">
        <v>1999.11</v>
      </c>
      <c r="B80" s="50">
        <v>20863</v>
      </c>
      <c r="C80" s="1365">
        <v>26165</v>
      </c>
      <c r="D80" s="506">
        <f t="shared" si="2"/>
        <v>47028</v>
      </c>
      <c r="E80" s="930"/>
      <c r="F80" s="1460"/>
      <c r="G80" s="310"/>
      <c r="H80" s="573">
        <v>29937</v>
      </c>
      <c r="I80" s="1365">
        <v>57007</v>
      </c>
      <c r="J80" s="526">
        <f t="shared" si="3"/>
        <v>86944</v>
      </c>
    </row>
    <row r="81" spans="1:10">
      <c r="A81" s="49">
        <v>1999.12</v>
      </c>
      <c r="B81" s="50">
        <v>21402</v>
      </c>
      <c r="C81" s="1365">
        <v>32749</v>
      </c>
      <c r="D81" s="506">
        <f t="shared" si="2"/>
        <v>54151</v>
      </c>
      <c r="E81" s="930"/>
      <c r="F81" s="1460"/>
      <c r="G81" s="310"/>
      <c r="H81" s="573">
        <v>30845</v>
      </c>
      <c r="I81" s="1365">
        <v>56756</v>
      </c>
      <c r="J81" s="526">
        <f t="shared" si="3"/>
        <v>87601</v>
      </c>
    </row>
    <row r="82" spans="1:10">
      <c r="A82" s="49">
        <v>2000.01</v>
      </c>
      <c r="B82" s="50">
        <v>21277</v>
      </c>
      <c r="C82" s="1365">
        <v>31200</v>
      </c>
      <c r="D82" s="506">
        <f t="shared" si="2"/>
        <v>52477</v>
      </c>
      <c r="E82" s="930"/>
      <c r="F82" s="1460"/>
      <c r="G82" s="310"/>
      <c r="H82" s="573">
        <v>29756</v>
      </c>
      <c r="I82" s="1365">
        <v>56597</v>
      </c>
      <c r="J82" s="526">
        <f t="shared" si="3"/>
        <v>86353</v>
      </c>
    </row>
    <row r="83" spans="1:10">
      <c r="A83" s="49">
        <v>2000.02</v>
      </c>
      <c r="B83" s="50">
        <v>21393</v>
      </c>
      <c r="C83" s="1365">
        <v>31080</v>
      </c>
      <c r="D83" s="506">
        <f t="shared" si="2"/>
        <v>52473</v>
      </c>
      <c r="E83" s="930"/>
      <c r="F83" s="1460"/>
      <c r="G83" s="310"/>
      <c r="H83" s="573">
        <v>29669</v>
      </c>
      <c r="I83" s="1365">
        <v>59492</v>
      </c>
      <c r="J83" s="526">
        <f t="shared" si="3"/>
        <v>89161</v>
      </c>
    </row>
    <row r="84" spans="1:10">
      <c r="A84" s="49">
        <v>2000.03</v>
      </c>
      <c r="B84" s="50">
        <v>21489</v>
      </c>
      <c r="C84" s="1365">
        <v>31117</v>
      </c>
      <c r="D84" s="506">
        <f t="shared" si="2"/>
        <v>52606</v>
      </c>
      <c r="E84" s="930"/>
      <c r="F84" s="1460"/>
      <c r="G84" s="310"/>
      <c r="H84" s="573">
        <v>39979</v>
      </c>
      <c r="I84" s="1365">
        <v>62170</v>
      </c>
      <c r="J84" s="526">
        <f t="shared" si="3"/>
        <v>102149</v>
      </c>
    </row>
    <row r="85" spans="1:10">
      <c r="A85" s="49">
        <v>2000.04</v>
      </c>
      <c r="B85" s="50">
        <v>21745</v>
      </c>
      <c r="C85" s="1365">
        <v>31265</v>
      </c>
      <c r="D85" s="506">
        <f t="shared" si="2"/>
        <v>53010</v>
      </c>
      <c r="E85" s="930"/>
      <c r="F85" s="1460"/>
      <c r="G85" s="310"/>
      <c r="H85" s="573">
        <v>41771</v>
      </c>
      <c r="I85" s="1365">
        <v>59489</v>
      </c>
      <c r="J85" s="526">
        <f t="shared" si="3"/>
        <v>101260</v>
      </c>
    </row>
    <row r="86" spans="1:10">
      <c r="A86" s="49">
        <v>2000.05</v>
      </c>
      <c r="B86" s="50">
        <v>21011</v>
      </c>
      <c r="C86" s="1365">
        <v>31411</v>
      </c>
      <c r="D86" s="506">
        <f t="shared" si="2"/>
        <v>52422</v>
      </c>
      <c r="E86" s="930"/>
      <c r="F86" s="1460"/>
      <c r="G86" s="310"/>
      <c r="H86" s="573">
        <v>41569</v>
      </c>
      <c r="I86" s="1365">
        <v>65434</v>
      </c>
      <c r="J86" s="526">
        <f t="shared" si="3"/>
        <v>107003</v>
      </c>
    </row>
    <row r="87" spans="1:10">
      <c r="A87" s="49">
        <v>2000.06</v>
      </c>
      <c r="B87" s="50">
        <v>20425</v>
      </c>
      <c r="C87" s="1365">
        <v>32211</v>
      </c>
      <c r="D87" s="506">
        <f t="shared" si="2"/>
        <v>52636</v>
      </c>
      <c r="E87" s="930"/>
      <c r="F87" s="1460"/>
      <c r="G87" s="310"/>
      <c r="H87" s="573">
        <v>40313</v>
      </c>
      <c r="I87" s="1365">
        <v>64736</v>
      </c>
      <c r="J87" s="526">
        <f t="shared" si="3"/>
        <v>105049</v>
      </c>
    </row>
    <row r="88" spans="1:10">
      <c r="A88" s="49">
        <v>2000.07</v>
      </c>
      <c r="B88" s="50">
        <v>21257</v>
      </c>
      <c r="C88" s="1365">
        <v>31725</v>
      </c>
      <c r="D88" s="506">
        <f t="shared" si="2"/>
        <v>52982</v>
      </c>
      <c r="E88" s="930"/>
      <c r="F88" s="1460"/>
      <c r="G88" s="310"/>
      <c r="H88" s="573">
        <v>39271</v>
      </c>
      <c r="I88" s="1365">
        <v>64185</v>
      </c>
      <c r="J88" s="526">
        <f t="shared" si="3"/>
        <v>103456</v>
      </c>
    </row>
    <row r="89" spans="1:10">
      <c r="A89" s="49">
        <v>2000.08</v>
      </c>
      <c r="B89" s="50">
        <v>20439</v>
      </c>
      <c r="C89" s="1365">
        <v>31705</v>
      </c>
      <c r="D89" s="506">
        <f t="shared" si="2"/>
        <v>52144</v>
      </c>
      <c r="E89" s="930"/>
      <c r="F89" s="1460"/>
      <c r="G89" s="310"/>
      <c r="H89" s="573">
        <v>39302</v>
      </c>
      <c r="I89" s="1365">
        <v>63819</v>
      </c>
      <c r="J89" s="526">
        <f t="shared" si="3"/>
        <v>103121</v>
      </c>
    </row>
    <row r="90" spans="1:10">
      <c r="A90" s="49">
        <v>2000.09</v>
      </c>
      <c r="B90" s="50">
        <v>20113</v>
      </c>
      <c r="C90" s="1365">
        <v>31343</v>
      </c>
      <c r="D90" s="506">
        <f t="shared" si="2"/>
        <v>51456</v>
      </c>
      <c r="E90" s="930"/>
      <c r="F90" s="1460"/>
      <c r="G90" s="310"/>
      <c r="H90" s="573">
        <v>39909</v>
      </c>
      <c r="I90" s="1365">
        <v>64509</v>
      </c>
      <c r="J90" s="526">
        <f t="shared" si="3"/>
        <v>104418</v>
      </c>
    </row>
    <row r="91" spans="1:10">
      <c r="A91" s="49">
        <v>2000.1</v>
      </c>
      <c r="B91" s="50">
        <v>20395</v>
      </c>
      <c r="C91" s="1365">
        <v>31117</v>
      </c>
      <c r="D91" s="506">
        <f t="shared" si="2"/>
        <v>51512</v>
      </c>
      <c r="E91" s="930"/>
      <c r="F91" s="1460"/>
      <c r="G91" s="310"/>
      <c r="H91" s="573">
        <v>39682</v>
      </c>
      <c r="I91" s="1365">
        <v>62872</v>
      </c>
      <c r="J91" s="526">
        <f t="shared" si="3"/>
        <v>102554</v>
      </c>
    </row>
    <row r="92" spans="1:10">
      <c r="A92" s="49">
        <v>2000.11</v>
      </c>
      <c r="B92" s="50">
        <v>19736</v>
      </c>
      <c r="C92" s="1365">
        <v>32209</v>
      </c>
      <c r="D92" s="506">
        <f t="shared" si="2"/>
        <v>51945</v>
      </c>
      <c r="E92" s="930"/>
      <c r="F92" s="1460"/>
      <c r="G92" s="310"/>
      <c r="H92" s="573">
        <v>38901</v>
      </c>
      <c r="I92" s="1365">
        <v>62735</v>
      </c>
      <c r="J92" s="526">
        <f t="shared" si="3"/>
        <v>101636</v>
      </c>
    </row>
    <row r="93" spans="1:10">
      <c r="A93" s="49">
        <v>2000.12</v>
      </c>
      <c r="B93" s="50">
        <v>19675</v>
      </c>
      <c r="C93" s="1365">
        <v>29056</v>
      </c>
      <c r="D93" s="506">
        <f t="shared" si="2"/>
        <v>48731</v>
      </c>
      <c r="E93" s="930"/>
      <c r="F93" s="1460"/>
      <c r="G93" s="310"/>
      <c r="H93" s="573">
        <v>38724</v>
      </c>
      <c r="I93" s="1365">
        <v>60553</v>
      </c>
      <c r="J93" s="526">
        <f t="shared" si="3"/>
        <v>99277</v>
      </c>
    </row>
    <row r="94" spans="1:10">
      <c r="A94" s="49">
        <v>2001.01</v>
      </c>
      <c r="B94" s="50">
        <v>18941</v>
      </c>
      <c r="C94" s="1365">
        <v>29408</v>
      </c>
      <c r="D94" s="506">
        <f t="shared" si="2"/>
        <v>48349</v>
      </c>
      <c r="E94" s="930"/>
      <c r="F94" s="1460"/>
      <c r="G94" s="310"/>
      <c r="H94" s="573">
        <v>37159</v>
      </c>
      <c r="I94" s="1365">
        <v>60545</v>
      </c>
      <c r="J94" s="526">
        <f t="shared" si="3"/>
        <v>97704</v>
      </c>
    </row>
    <row r="95" spans="1:10">
      <c r="A95" s="49">
        <v>2001.02</v>
      </c>
      <c r="B95" s="50">
        <v>19979</v>
      </c>
      <c r="C95" s="1365">
        <v>31324</v>
      </c>
      <c r="D95" s="506">
        <f t="shared" si="2"/>
        <v>51303</v>
      </c>
      <c r="E95" s="930"/>
      <c r="F95" s="1460"/>
      <c r="G95" s="310"/>
      <c r="H95" s="573">
        <v>39468</v>
      </c>
      <c r="I95" s="1365">
        <v>63846</v>
      </c>
      <c r="J95" s="526">
        <f t="shared" si="3"/>
        <v>103314</v>
      </c>
    </row>
    <row r="96" spans="1:10">
      <c r="A96" s="49">
        <v>2001.03</v>
      </c>
      <c r="B96" s="50">
        <v>19666</v>
      </c>
      <c r="C96" s="1365">
        <v>31239</v>
      </c>
      <c r="D96" s="506">
        <f t="shared" si="2"/>
        <v>50905</v>
      </c>
      <c r="E96" s="930"/>
      <c r="F96" s="1460"/>
      <c r="G96" s="310"/>
      <c r="H96" s="573">
        <v>39390</v>
      </c>
      <c r="I96" s="1365">
        <v>64985</v>
      </c>
      <c r="J96" s="526">
        <f t="shared" si="3"/>
        <v>104375</v>
      </c>
    </row>
    <row r="97" spans="1:15">
      <c r="A97" s="49">
        <v>2001.04</v>
      </c>
      <c r="B97" s="50">
        <v>20433</v>
      </c>
      <c r="C97" s="1365">
        <v>31822</v>
      </c>
      <c r="D97" s="506">
        <f t="shared" si="2"/>
        <v>52255</v>
      </c>
      <c r="E97" s="930"/>
      <c r="F97" s="1460"/>
      <c r="G97" s="310"/>
      <c r="H97" s="573">
        <v>40146</v>
      </c>
      <c r="I97" s="1365">
        <v>62936</v>
      </c>
      <c r="J97" s="526">
        <f t="shared" si="3"/>
        <v>103082</v>
      </c>
    </row>
    <row r="98" spans="1:15">
      <c r="A98" s="49">
        <v>2001.05</v>
      </c>
      <c r="B98" s="50">
        <v>19148</v>
      </c>
      <c r="C98" s="1365">
        <v>30681</v>
      </c>
      <c r="D98" s="506">
        <f t="shared" si="2"/>
        <v>49829</v>
      </c>
      <c r="E98" s="930"/>
      <c r="F98" s="1460"/>
      <c r="G98" s="310"/>
      <c r="H98" s="573">
        <v>36607</v>
      </c>
      <c r="I98" s="1365">
        <v>59132</v>
      </c>
      <c r="J98" s="526">
        <f t="shared" si="3"/>
        <v>95739</v>
      </c>
    </row>
    <row r="99" spans="1:15">
      <c r="A99" s="49">
        <v>2001.06</v>
      </c>
      <c r="B99" s="50">
        <v>18728</v>
      </c>
      <c r="C99" s="1365">
        <v>29672</v>
      </c>
      <c r="D99" s="506">
        <f t="shared" si="2"/>
        <v>48400</v>
      </c>
      <c r="E99" s="930"/>
      <c r="F99" s="1460"/>
      <c r="G99" s="310"/>
      <c r="H99" s="573">
        <v>36969</v>
      </c>
      <c r="I99" s="1365">
        <v>59420</v>
      </c>
      <c r="J99" s="526">
        <f t="shared" si="3"/>
        <v>96389</v>
      </c>
    </row>
    <row r="100" spans="1:15">
      <c r="A100" s="49">
        <v>2001.07</v>
      </c>
      <c r="B100" s="50">
        <v>18814</v>
      </c>
      <c r="C100" s="1365">
        <v>26194</v>
      </c>
      <c r="D100" s="506">
        <f t="shared" si="2"/>
        <v>45008</v>
      </c>
      <c r="E100" s="930"/>
      <c r="F100" s="1460"/>
      <c r="G100" s="310"/>
      <c r="H100" s="573">
        <v>37014</v>
      </c>
      <c r="I100" s="1365">
        <v>58964</v>
      </c>
      <c r="J100" s="526">
        <f t="shared" si="3"/>
        <v>95978</v>
      </c>
    </row>
    <row r="101" spans="1:15">
      <c r="A101" s="49">
        <v>2001.08</v>
      </c>
      <c r="B101" s="50">
        <v>19376</v>
      </c>
      <c r="C101" s="1365">
        <v>32800</v>
      </c>
      <c r="D101" s="506">
        <f t="shared" si="2"/>
        <v>52176</v>
      </c>
      <c r="E101" s="930"/>
      <c r="F101" s="1460"/>
      <c r="G101" s="310"/>
      <c r="H101" s="573">
        <v>36382</v>
      </c>
      <c r="I101" s="1365">
        <v>58862</v>
      </c>
      <c r="J101" s="526">
        <f t="shared" si="3"/>
        <v>95244</v>
      </c>
    </row>
    <row r="102" spans="1:15">
      <c r="A102" s="49">
        <v>2001.09</v>
      </c>
      <c r="B102" s="50">
        <v>19232</v>
      </c>
      <c r="C102" s="1365">
        <v>30614</v>
      </c>
      <c r="D102" s="506">
        <f t="shared" si="2"/>
        <v>49846</v>
      </c>
      <c r="E102" s="930"/>
      <c r="F102" s="1460"/>
      <c r="G102" s="310"/>
      <c r="H102" s="573">
        <v>37549</v>
      </c>
      <c r="I102" s="1365">
        <v>58346</v>
      </c>
      <c r="J102" s="526">
        <f t="shared" si="3"/>
        <v>95895</v>
      </c>
    </row>
    <row r="103" spans="1:15">
      <c r="A103" s="49">
        <v>2001.1</v>
      </c>
      <c r="B103" s="50">
        <v>18344</v>
      </c>
      <c r="C103" s="1365">
        <v>28981</v>
      </c>
      <c r="D103" s="506">
        <f t="shared" si="2"/>
        <v>47325</v>
      </c>
      <c r="E103" s="930"/>
      <c r="F103" s="1460"/>
      <c r="G103" s="310"/>
      <c r="H103" s="573">
        <v>35988</v>
      </c>
      <c r="I103" s="1365">
        <v>56601</v>
      </c>
      <c r="J103" s="526">
        <f t="shared" si="3"/>
        <v>92589</v>
      </c>
    </row>
    <row r="104" spans="1:15">
      <c r="A104" s="49">
        <v>2001.11</v>
      </c>
      <c r="B104" s="50">
        <v>17646</v>
      </c>
      <c r="C104" s="1365">
        <v>28437</v>
      </c>
      <c r="D104" s="506">
        <f t="shared" si="2"/>
        <v>46083</v>
      </c>
      <c r="E104" s="930"/>
      <c r="F104" s="1460"/>
      <c r="G104" s="310"/>
      <c r="H104" s="573">
        <v>35735</v>
      </c>
      <c r="I104" s="1365">
        <v>57227</v>
      </c>
      <c r="J104" s="526">
        <f t="shared" si="3"/>
        <v>92962</v>
      </c>
    </row>
    <row r="105" spans="1:15">
      <c r="A105" s="49">
        <v>2001.12</v>
      </c>
      <c r="B105" s="50">
        <v>18017</v>
      </c>
      <c r="C105" s="1365">
        <v>28816</v>
      </c>
      <c r="D105" s="506">
        <f t="shared" si="2"/>
        <v>46833</v>
      </c>
      <c r="E105" s="930"/>
      <c r="F105" s="1460"/>
      <c r="G105" s="310"/>
      <c r="H105" s="573">
        <v>36379</v>
      </c>
      <c r="I105" s="1365">
        <v>53779</v>
      </c>
      <c r="J105" s="526">
        <f t="shared" si="3"/>
        <v>90158</v>
      </c>
    </row>
    <row r="106" spans="1:15">
      <c r="A106" s="51">
        <v>2002.01</v>
      </c>
      <c r="B106" s="50">
        <v>16602</v>
      </c>
      <c r="C106" s="1365">
        <v>27244</v>
      </c>
      <c r="D106" s="506">
        <f t="shared" si="2"/>
        <v>43846</v>
      </c>
      <c r="E106" s="930"/>
      <c r="F106" s="1460"/>
      <c r="G106" s="310"/>
      <c r="H106" s="573">
        <v>33346</v>
      </c>
      <c r="I106" s="1365">
        <v>50613</v>
      </c>
      <c r="J106" s="526">
        <f t="shared" si="3"/>
        <v>83959</v>
      </c>
      <c r="K106" s="34"/>
      <c r="L106" s="34"/>
      <c r="M106" s="34"/>
      <c r="N106" s="34"/>
      <c r="O106" s="2"/>
    </row>
    <row r="107" spans="1:15">
      <c r="A107" s="51">
        <v>2002.02</v>
      </c>
      <c r="B107" s="50">
        <v>16846</v>
      </c>
      <c r="C107" s="1365">
        <v>27171</v>
      </c>
      <c r="D107" s="506">
        <f t="shared" si="2"/>
        <v>44017</v>
      </c>
      <c r="E107" s="930"/>
      <c r="F107" s="1460"/>
      <c r="G107" s="310"/>
      <c r="H107" s="573">
        <v>34045</v>
      </c>
      <c r="I107" s="1365">
        <v>52213</v>
      </c>
      <c r="J107" s="526">
        <f t="shared" si="3"/>
        <v>86258</v>
      </c>
      <c r="K107" s="34"/>
      <c r="L107" s="34"/>
      <c r="M107" s="34"/>
      <c r="N107" s="34"/>
      <c r="O107" s="34"/>
    </row>
    <row r="108" spans="1:15">
      <c r="A108" s="51">
        <v>2002.03</v>
      </c>
      <c r="B108" s="50">
        <v>16963</v>
      </c>
      <c r="C108" s="1365">
        <v>27346</v>
      </c>
      <c r="D108" s="506">
        <f t="shared" si="2"/>
        <v>44309</v>
      </c>
      <c r="E108" s="930"/>
      <c r="F108" s="1460"/>
      <c r="G108" s="310"/>
      <c r="H108" s="573">
        <v>34854</v>
      </c>
      <c r="I108" s="1365">
        <v>53618</v>
      </c>
      <c r="J108" s="526">
        <f t="shared" si="3"/>
        <v>88472</v>
      </c>
      <c r="K108" s="34"/>
      <c r="L108" s="34"/>
      <c r="M108" s="34"/>
      <c r="N108" s="34"/>
      <c r="O108" s="34"/>
    </row>
    <row r="109" spans="1:15">
      <c r="A109" s="51">
        <v>2002.04</v>
      </c>
      <c r="B109" s="50">
        <v>16511</v>
      </c>
      <c r="C109" s="1365">
        <v>27113</v>
      </c>
      <c r="D109" s="506">
        <f t="shared" si="2"/>
        <v>43624</v>
      </c>
      <c r="E109" s="930"/>
      <c r="F109" s="1460"/>
      <c r="G109" s="310"/>
      <c r="H109" s="573">
        <v>34237</v>
      </c>
      <c r="I109" s="1365">
        <v>54396</v>
      </c>
      <c r="J109" s="526">
        <f t="shared" si="3"/>
        <v>88633</v>
      </c>
      <c r="K109" s="34"/>
      <c r="L109" s="34"/>
      <c r="M109" s="34"/>
      <c r="N109" s="34"/>
      <c r="O109" s="34"/>
    </row>
    <row r="110" spans="1:15">
      <c r="A110" s="51">
        <v>2002.05</v>
      </c>
      <c r="B110" s="50">
        <v>16361</v>
      </c>
      <c r="C110" s="1365">
        <v>27159</v>
      </c>
      <c r="D110" s="506">
        <f t="shared" si="2"/>
        <v>43520</v>
      </c>
      <c r="E110" s="930"/>
      <c r="F110" s="1460"/>
      <c r="G110" s="310"/>
      <c r="H110" s="573">
        <v>33369</v>
      </c>
      <c r="I110" s="1365">
        <v>53651</v>
      </c>
      <c r="J110" s="526">
        <f t="shared" si="3"/>
        <v>87020</v>
      </c>
      <c r="K110" s="34"/>
      <c r="L110" s="34"/>
      <c r="M110" s="34"/>
      <c r="N110" s="34"/>
      <c r="O110" s="34"/>
    </row>
    <row r="111" spans="1:15">
      <c r="A111" s="51">
        <v>2002.06</v>
      </c>
      <c r="B111" s="50">
        <v>16405</v>
      </c>
      <c r="C111" s="1365">
        <v>27070</v>
      </c>
      <c r="D111" s="506">
        <f t="shared" si="2"/>
        <v>43475</v>
      </c>
      <c r="E111" s="930"/>
      <c r="F111" s="1460"/>
      <c r="G111" s="310"/>
      <c r="H111" s="573">
        <v>31654</v>
      </c>
      <c r="I111" s="1365">
        <v>51942</v>
      </c>
      <c r="J111" s="526">
        <f t="shared" si="3"/>
        <v>83596</v>
      </c>
      <c r="K111" s="34"/>
      <c r="L111" s="34"/>
      <c r="M111" s="34"/>
      <c r="N111" s="34"/>
      <c r="O111" s="34"/>
    </row>
    <row r="112" spans="1:15">
      <c r="A112" s="51">
        <v>2002.07</v>
      </c>
      <c r="B112" s="50">
        <v>16481</v>
      </c>
      <c r="C112" s="1365">
        <v>28077</v>
      </c>
      <c r="D112" s="506">
        <f t="shared" si="2"/>
        <v>44558</v>
      </c>
      <c r="E112" s="930"/>
      <c r="F112" s="1460"/>
      <c r="G112" s="310"/>
      <c r="H112" s="573">
        <v>31815</v>
      </c>
      <c r="I112" s="1365">
        <v>53891</v>
      </c>
      <c r="J112" s="526">
        <f t="shared" si="3"/>
        <v>85706</v>
      </c>
      <c r="K112" s="34"/>
      <c r="L112" s="34"/>
      <c r="M112" s="34"/>
      <c r="N112" s="34"/>
      <c r="O112" s="34"/>
    </row>
    <row r="113" spans="1:15">
      <c r="A113" s="51">
        <v>2002.08</v>
      </c>
      <c r="B113" s="50">
        <v>16685</v>
      </c>
      <c r="C113" s="1365">
        <v>27611</v>
      </c>
      <c r="D113" s="506">
        <f t="shared" si="2"/>
        <v>44296</v>
      </c>
      <c r="E113" s="930"/>
      <c r="F113" s="1460"/>
      <c r="G113" s="310"/>
      <c r="H113" s="573">
        <v>33137</v>
      </c>
      <c r="I113" s="1365">
        <v>57242</v>
      </c>
      <c r="J113" s="526">
        <f t="shared" si="3"/>
        <v>90379</v>
      </c>
      <c r="K113" s="34"/>
      <c r="L113" s="34"/>
      <c r="M113" s="34"/>
      <c r="N113" s="34"/>
      <c r="O113" s="34"/>
    </row>
    <row r="114" spans="1:15">
      <c r="A114" s="51">
        <v>2002.09</v>
      </c>
      <c r="B114" s="50">
        <v>17379</v>
      </c>
      <c r="C114" s="1365">
        <v>30214</v>
      </c>
      <c r="D114" s="506">
        <f t="shared" si="2"/>
        <v>47593</v>
      </c>
      <c r="E114" s="930"/>
      <c r="F114" s="1460"/>
      <c r="G114" s="310"/>
      <c r="H114" s="573">
        <v>34361</v>
      </c>
      <c r="I114" s="1365">
        <v>57403</v>
      </c>
      <c r="J114" s="526">
        <f t="shared" si="3"/>
        <v>91764</v>
      </c>
      <c r="K114" s="34"/>
      <c r="L114" s="34"/>
      <c r="M114" s="34"/>
      <c r="N114" s="34"/>
      <c r="O114" s="34"/>
    </row>
    <row r="115" spans="1:15">
      <c r="A115" s="51">
        <v>2002.1</v>
      </c>
      <c r="B115" s="50">
        <v>16265</v>
      </c>
      <c r="C115" s="1365">
        <v>27185</v>
      </c>
      <c r="D115" s="506">
        <f t="shared" si="2"/>
        <v>43450</v>
      </c>
      <c r="E115" s="930"/>
      <c r="F115" s="1460"/>
      <c r="G115" s="310"/>
      <c r="H115" s="573">
        <v>33098</v>
      </c>
      <c r="I115" s="1365">
        <v>57179</v>
      </c>
      <c r="J115" s="526">
        <f t="shared" si="3"/>
        <v>90277</v>
      </c>
      <c r="K115" s="34"/>
      <c r="L115" s="34"/>
      <c r="M115" s="34"/>
      <c r="N115" s="34"/>
      <c r="O115" s="34"/>
    </row>
    <row r="116" spans="1:15">
      <c r="A116" s="51">
        <v>2002.11</v>
      </c>
      <c r="B116" s="50">
        <v>16219</v>
      </c>
      <c r="C116" s="1365">
        <v>28400</v>
      </c>
      <c r="D116" s="506">
        <f t="shared" si="2"/>
        <v>44619</v>
      </c>
      <c r="E116" s="930"/>
      <c r="F116" s="1460"/>
      <c r="G116" s="310"/>
      <c r="H116" s="573">
        <v>34529</v>
      </c>
      <c r="I116" s="1365">
        <v>58760</v>
      </c>
      <c r="J116" s="526">
        <f t="shared" si="3"/>
        <v>93289</v>
      </c>
      <c r="K116" s="34"/>
      <c r="L116" s="34"/>
      <c r="M116" s="34"/>
      <c r="N116" s="34"/>
      <c r="O116" s="34"/>
    </row>
    <row r="117" spans="1:15">
      <c r="A117" s="51">
        <v>2002.12</v>
      </c>
      <c r="B117" s="50">
        <v>17017</v>
      </c>
      <c r="C117" s="1365">
        <v>29042</v>
      </c>
      <c r="D117" s="506">
        <f t="shared" si="2"/>
        <v>46059</v>
      </c>
      <c r="E117" s="930"/>
      <c r="F117" s="1460"/>
      <c r="G117" s="310"/>
      <c r="H117" s="573">
        <v>35331</v>
      </c>
      <c r="I117" s="1365">
        <v>60825</v>
      </c>
      <c r="J117" s="526">
        <f t="shared" si="3"/>
        <v>96156</v>
      </c>
      <c r="K117" s="34"/>
      <c r="L117" s="34"/>
      <c r="M117" s="34"/>
      <c r="N117" s="34"/>
      <c r="O117" s="2"/>
    </row>
    <row r="118" spans="1:15">
      <c r="A118" s="51">
        <v>2003.01</v>
      </c>
      <c r="B118" s="50">
        <v>16552</v>
      </c>
      <c r="C118" s="1365">
        <v>29007</v>
      </c>
      <c r="D118" s="506">
        <f t="shared" si="2"/>
        <v>45559</v>
      </c>
      <c r="E118" s="930"/>
      <c r="F118" s="1460"/>
      <c r="G118" s="310"/>
      <c r="H118" s="573">
        <v>33856</v>
      </c>
      <c r="I118" s="1365">
        <v>59269</v>
      </c>
      <c r="J118" s="526">
        <f t="shared" si="3"/>
        <v>93125</v>
      </c>
    </row>
    <row r="119" spans="1:15">
      <c r="A119" s="51">
        <v>2003.02</v>
      </c>
      <c r="B119" s="50">
        <v>17699</v>
      </c>
      <c r="C119" s="1365">
        <v>30250</v>
      </c>
      <c r="D119" s="506">
        <f t="shared" si="2"/>
        <v>47949</v>
      </c>
      <c r="E119" s="930"/>
      <c r="F119" s="1460"/>
      <c r="G119" s="310"/>
      <c r="H119" s="573">
        <v>35809</v>
      </c>
      <c r="I119" s="1365">
        <v>62424</v>
      </c>
      <c r="J119" s="526">
        <f t="shared" si="3"/>
        <v>98233</v>
      </c>
    </row>
    <row r="120" spans="1:15">
      <c r="A120" s="51">
        <v>2003.03</v>
      </c>
      <c r="B120" s="50">
        <v>18268</v>
      </c>
      <c r="C120" s="1365">
        <v>30564</v>
      </c>
      <c r="D120" s="506">
        <f t="shared" si="2"/>
        <v>48832</v>
      </c>
      <c r="E120" s="930"/>
      <c r="F120" s="1460"/>
      <c r="G120" s="310"/>
      <c r="H120" s="573">
        <v>39280</v>
      </c>
      <c r="I120" s="1365">
        <v>68235</v>
      </c>
      <c r="J120" s="526">
        <f t="shared" si="3"/>
        <v>107515</v>
      </c>
    </row>
    <row r="121" spans="1:15">
      <c r="A121" s="51">
        <v>2003.04</v>
      </c>
      <c r="B121" s="50">
        <v>17596</v>
      </c>
      <c r="C121" s="1365">
        <v>30678</v>
      </c>
      <c r="D121" s="506">
        <f t="shared" si="2"/>
        <v>48274</v>
      </c>
      <c r="E121" s="930"/>
      <c r="F121" s="1460"/>
      <c r="G121" s="310"/>
      <c r="H121" s="573">
        <v>38142</v>
      </c>
      <c r="I121" s="1365">
        <v>63665</v>
      </c>
      <c r="J121" s="526">
        <f t="shared" si="3"/>
        <v>101807</v>
      </c>
    </row>
    <row r="122" spans="1:15">
      <c r="A122" s="51">
        <v>2003.05</v>
      </c>
      <c r="B122" s="50">
        <v>19931</v>
      </c>
      <c r="C122" s="1365">
        <v>34080</v>
      </c>
      <c r="D122" s="506">
        <f t="shared" si="2"/>
        <v>54011</v>
      </c>
      <c r="E122" s="930"/>
      <c r="F122" s="1460"/>
      <c r="G122" s="310"/>
      <c r="H122" s="573">
        <v>39138</v>
      </c>
      <c r="I122" s="1365">
        <v>65280</v>
      </c>
      <c r="J122" s="526">
        <f t="shared" si="3"/>
        <v>104418</v>
      </c>
    </row>
    <row r="123" spans="1:15">
      <c r="A123" s="51">
        <v>2003.06</v>
      </c>
      <c r="B123" s="50">
        <v>20620</v>
      </c>
      <c r="C123" s="1365">
        <v>33392</v>
      </c>
      <c r="D123" s="506">
        <f t="shared" si="2"/>
        <v>54012</v>
      </c>
      <c r="E123" s="930"/>
      <c r="F123" s="1460"/>
      <c r="G123" s="310"/>
      <c r="H123" s="573">
        <v>40185</v>
      </c>
      <c r="I123" s="1365">
        <v>66520</v>
      </c>
      <c r="J123" s="526">
        <f t="shared" si="3"/>
        <v>106705</v>
      </c>
    </row>
    <row r="124" spans="1:15">
      <c r="A124" s="51">
        <v>2003.07</v>
      </c>
      <c r="B124" s="50">
        <v>20126</v>
      </c>
      <c r="C124" s="1365">
        <v>35784</v>
      </c>
      <c r="D124" s="506">
        <f t="shared" si="2"/>
        <v>55910</v>
      </c>
      <c r="E124" s="930"/>
      <c r="F124" s="1460"/>
      <c r="G124" s="310"/>
      <c r="H124" s="573">
        <v>38008</v>
      </c>
      <c r="I124" s="1365">
        <v>66289</v>
      </c>
      <c r="J124" s="526">
        <f t="shared" si="3"/>
        <v>104297</v>
      </c>
    </row>
    <row r="125" spans="1:15">
      <c r="A125" s="51">
        <v>2003.08</v>
      </c>
      <c r="B125" s="50">
        <v>21300</v>
      </c>
      <c r="C125" s="1365">
        <v>35488</v>
      </c>
      <c r="D125" s="506">
        <f t="shared" si="2"/>
        <v>56788</v>
      </c>
      <c r="E125" s="930"/>
      <c r="F125" s="1460"/>
      <c r="G125" s="310"/>
      <c r="H125" s="573">
        <v>38896</v>
      </c>
      <c r="I125" s="1365">
        <v>68040</v>
      </c>
      <c r="J125" s="526">
        <f t="shared" si="3"/>
        <v>106936</v>
      </c>
    </row>
    <row r="126" spans="1:15">
      <c r="A126" s="51">
        <v>2003.09</v>
      </c>
      <c r="B126" s="50">
        <v>19817</v>
      </c>
      <c r="C126" s="1365">
        <v>35651</v>
      </c>
      <c r="D126" s="506">
        <f t="shared" si="2"/>
        <v>55468</v>
      </c>
      <c r="E126" s="930"/>
      <c r="F126" s="1460"/>
      <c r="G126" s="310"/>
      <c r="H126" s="573">
        <v>37384</v>
      </c>
      <c r="I126" s="1365">
        <v>68628</v>
      </c>
      <c r="J126" s="526">
        <f t="shared" si="3"/>
        <v>106012</v>
      </c>
    </row>
    <row r="127" spans="1:15">
      <c r="A127" s="51">
        <v>2003.1</v>
      </c>
      <c r="B127" s="50">
        <v>18783</v>
      </c>
      <c r="C127" s="1365">
        <v>34554</v>
      </c>
      <c r="D127" s="506">
        <f t="shared" si="2"/>
        <v>53337</v>
      </c>
      <c r="E127" s="930"/>
      <c r="F127" s="1460"/>
      <c r="G127" s="310"/>
      <c r="H127" s="573">
        <v>37772</v>
      </c>
      <c r="I127" s="1365">
        <v>69246</v>
      </c>
      <c r="J127" s="526">
        <f t="shared" si="3"/>
        <v>107018</v>
      </c>
    </row>
    <row r="128" spans="1:15">
      <c r="A128" s="51">
        <v>2003.11</v>
      </c>
      <c r="B128" s="50">
        <v>19572</v>
      </c>
      <c r="C128" s="1365">
        <v>35913</v>
      </c>
      <c r="D128" s="506">
        <f t="shared" si="2"/>
        <v>55485</v>
      </c>
      <c r="E128" s="930"/>
      <c r="F128" s="1460"/>
      <c r="G128" s="310"/>
      <c r="H128" s="573">
        <v>39512</v>
      </c>
      <c r="I128" s="1365">
        <v>71419</v>
      </c>
      <c r="J128" s="526">
        <f t="shared" si="3"/>
        <v>110931</v>
      </c>
    </row>
    <row r="129" spans="1:10">
      <c r="A129" s="51">
        <v>2003.12</v>
      </c>
      <c r="B129" s="50">
        <v>19439</v>
      </c>
      <c r="C129" s="1365">
        <v>36682</v>
      </c>
      <c r="D129" s="506">
        <f t="shared" si="2"/>
        <v>56121</v>
      </c>
      <c r="E129" s="930"/>
      <c r="F129" s="1460"/>
      <c r="G129" s="310"/>
      <c r="H129" s="573">
        <v>39168</v>
      </c>
      <c r="I129" s="1365">
        <v>71512</v>
      </c>
      <c r="J129" s="526">
        <f t="shared" si="3"/>
        <v>110680</v>
      </c>
    </row>
    <row r="130" spans="1:10">
      <c r="A130" s="51">
        <v>2004.01</v>
      </c>
      <c r="B130" s="50">
        <v>18842</v>
      </c>
      <c r="C130" s="1365">
        <v>37240</v>
      </c>
      <c r="D130" s="506">
        <f t="shared" si="2"/>
        <v>56082</v>
      </c>
      <c r="E130" s="930"/>
      <c r="F130" s="1460"/>
      <c r="G130" s="310"/>
      <c r="H130" s="573">
        <v>40955</v>
      </c>
      <c r="I130" s="1365">
        <v>72745</v>
      </c>
      <c r="J130" s="526">
        <f t="shared" si="3"/>
        <v>113700</v>
      </c>
    </row>
    <row r="131" spans="1:10">
      <c r="A131" s="51">
        <v>2004.02</v>
      </c>
      <c r="B131" s="50">
        <v>20213</v>
      </c>
      <c r="C131" s="1365">
        <v>37335</v>
      </c>
      <c r="D131" s="506">
        <f t="shared" si="2"/>
        <v>57548</v>
      </c>
      <c r="E131" s="930"/>
      <c r="F131" s="1460"/>
      <c r="G131" s="310"/>
      <c r="H131" s="573">
        <v>45193</v>
      </c>
      <c r="I131" s="1365">
        <v>78776</v>
      </c>
      <c r="J131" s="526">
        <f t="shared" si="3"/>
        <v>123969</v>
      </c>
    </row>
    <row r="132" spans="1:10">
      <c r="A132" s="51">
        <v>2004.03</v>
      </c>
      <c r="B132" s="50">
        <v>19086</v>
      </c>
      <c r="C132" s="1365">
        <v>38771</v>
      </c>
      <c r="D132" s="506">
        <f t="shared" si="2"/>
        <v>57857</v>
      </c>
      <c r="E132" s="930"/>
      <c r="F132" s="1460"/>
      <c r="G132" s="310"/>
      <c r="H132" s="573">
        <v>43826</v>
      </c>
      <c r="I132" s="1365">
        <v>82927</v>
      </c>
      <c r="J132" s="526">
        <f t="shared" si="3"/>
        <v>126753</v>
      </c>
    </row>
    <row r="133" spans="1:10">
      <c r="A133" s="51">
        <v>2004.04</v>
      </c>
      <c r="B133" s="50">
        <v>19302</v>
      </c>
      <c r="C133" s="1365">
        <v>37797</v>
      </c>
      <c r="D133" s="506">
        <f t="shared" si="2"/>
        <v>57099</v>
      </c>
      <c r="E133" s="930"/>
      <c r="F133" s="1460"/>
      <c r="G133" s="310"/>
      <c r="H133" s="573">
        <v>43818</v>
      </c>
      <c r="I133" s="1365">
        <v>80786</v>
      </c>
      <c r="J133" s="526">
        <f t="shared" si="3"/>
        <v>124604</v>
      </c>
    </row>
    <row r="134" spans="1:10">
      <c r="A134" s="51">
        <v>2004.05</v>
      </c>
      <c r="B134" s="50">
        <v>19924</v>
      </c>
      <c r="C134" s="1365">
        <v>38270</v>
      </c>
      <c r="D134" s="506">
        <f t="shared" si="2"/>
        <v>58194</v>
      </c>
      <c r="E134" s="930"/>
      <c r="F134" s="1460"/>
      <c r="G134" s="310"/>
      <c r="H134" s="573">
        <v>44615</v>
      </c>
      <c r="I134" s="1365">
        <v>79655</v>
      </c>
      <c r="J134" s="526">
        <f t="shared" si="3"/>
        <v>124270</v>
      </c>
    </row>
    <row r="135" spans="1:10">
      <c r="A135" s="51">
        <v>2004.06</v>
      </c>
      <c r="B135" s="50">
        <v>18764</v>
      </c>
      <c r="C135" s="1365">
        <v>36920</v>
      </c>
      <c r="D135" s="506">
        <f t="shared" si="2"/>
        <v>55684</v>
      </c>
      <c r="E135" s="930"/>
      <c r="F135" s="1460"/>
      <c r="G135" s="310"/>
      <c r="H135" s="573">
        <v>40062</v>
      </c>
      <c r="I135" s="1365">
        <v>75615</v>
      </c>
      <c r="J135" s="526">
        <f t="shared" si="3"/>
        <v>115677</v>
      </c>
    </row>
    <row r="136" spans="1:10">
      <c r="A136" s="51">
        <v>2004.07</v>
      </c>
      <c r="B136" s="50">
        <v>18792</v>
      </c>
      <c r="C136" s="1365">
        <v>36899</v>
      </c>
      <c r="D136" s="506">
        <f t="shared" si="2"/>
        <v>55691</v>
      </c>
      <c r="E136" s="930"/>
      <c r="F136" s="1460"/>
      <c r="G136" s="310"/>
      <c r="H136" s="573">
        <v>39571</v>
      </c>
      <c r="I136" s="1365">
        <v>75507</v>
      </c>
      <c r="J136" s="526">
        <f t="shared" si="3"/>
        <v>115078</v>
      </c>
    </row>
    <row r="137" spans="1:10">
      <c r="A137" s="51">
        <v>2004.08</v>
      </c>
      <c r="B137" s="50">
        <v>19497</v>
      </c>
      <c r="C137" s="1365">
        <v>37329</v>
      </c>
      <c r="D137" s="506">
        <f t="shared" si="2"/>
        <v>56826</v>
      </c>
      <c r="E137" s="930"/>
      <c r="F137" s="1460"/>
      <c r="G137" s="310"/>
      <c r="H137" s="573">
        <v>40940</v>
      </c>
      <c r="I137" s="1365">
        <v>76631</v>
      </c>
      <c r="J137" s="526">
        <f t="shared" si="3"/>
        <v>117571</v>
      </c>
    </row>
    <row r="138" spans="1:10">
      <c r="A138" s="51">
        <v>2004.09</v>
      </c>
      <c r="B138" s="50">
        <v>18679</v>
      </c>
      <c r="C138" s="1365">
        <v>37158</v>
      </c>
      <c r="D138" s="506">
        <f t="shared" si="2"/>
        <v>55837</v>
      </c>
      <c r="E138" s="930"/>
      <c r="F138" s="1460"/>
      <c r="G138" s="310"/>
      <c r="H138" s="573">
        <v>39220</v>
      </c>
      <c r="I138" s="1365">
        <v>76354</v>
      </c>
      <c r="J138" s="526">
        <f t="shared" si="3"/>
        <v>115574</v>
      </c>
    </row>
    <row r="139" spans="1:10">
      <c r="A139" s="51">
        <v>2004.1</v>
      </c>
      <c r="B139" s="50">
        <v>19079</v>
      </c>
      <c r="C139" s="1365">
        <v>36632</v>
      </c>
      <c r="D139" s="506">
        <f t="shared" si="2"/>
        <v>55711</v>
      </c>
      <c r="E139" s="930"/>
      <c r="F139" s="1460"/>
      <c r="G139" s="310"/>
      <c r="H139" s="573">
        <v>40799</v>
      </c>
      <c r="I139" s="1365">
        <v>76247</v>
      </c>
      <c r="J139" s="526">
        <f t="shared" si="3"/>
        <v>117046</v>
      </c>
    </row>
    <row r="140" spans="1:10">
      <c r="A140" s="51">
        <v>2004.11</v>
      </c>
      <c r="B140" s="50">
        <v>17628</v>
      </c>
      <c r="C140" s="1365">
        <v>37749</v>
      </c>
      <c r="D140" s="506">
        <f t="shared" ref="D140:D203" si="4">B140+C140</f>
        <v>55377</v>
      </c>
      <c r="E140" s="930"/>
      <c r="F140" s="1460"/>
      <c r="G140" s="310"/>
      <c r="H140" s="573">
        <v>40793</v>
      </c>
      <c r="I140" s="1365">
        <v>80794</v>
      </c>
      <c r="J140" s="526">
        <f t="shared" ref="J140:J203" si="5">H140+I140</f>
        <v>121587</v>
      </c>
    </row>
    <row r="141" spans="1:10">
      <c r="A141" s="51">
        <v>2004.12</v>
      </c>
      <c r="B141" s="50">
        <v>18190</v>
      </c>
      <c r="C141" s="1365">
        <v>36717</v>
      </c>
      <c r="D141" s="506">
        <f t="shared" si="4"/>
        <v>54907</v>
      </c>
      <c r="E141" s="930"/>
      <c r="F141" s="1460"/>
      <c r="G141" s="310"/>
      <c r="H141" s="573">
        <v>40134</v>
      </c>
      <c r="I141" s="1365">
        <v>77324</v>
      </c>
      <c r="J141" s="526">
        <f t="shared" si="5"/>
        <v>117458</v>
      </c>
    </row>
    <row r="142" spans="1:10">
      <c r="A142" s="51">
        <v>2005.01</v>
      </c>
      <c r="B142" s="50">
        <v>18509</v>
      </c>
      <c r="C142" s="1365">
        <v>36299</v>
      </c>
      <c r="D142" s="506">
        <f t="shared" si="4"/>
        <v>54808</v>
      </c>
      <c r="E142" s="930"/>
      <c r="F142" s="1460"/>
      <c r="G142" s="310"/>
      <c r="H142" s="573">
        <v>39706</v>
      </c>
      <c r="I142" s="1365">
        <v>77318</v>
      </c>
      <c r="J142" s="526">
        <f t="shared" si="5"/>
        <v>117024</v>
      </c>
    </row>
    <row r="143" spans="1:10">
      <c r="A143" s="51">
        <v>2005.02</v>
      </c>
      <c r="B143" s="50">
        <v>18798</v>
      </c>
      <c r="C143" s="1365">
        <v>37599</v>
      </c>
      <c r="D143" s="506">
        <f t="shared" si="4"/>
        <v>56397</v>
      </c>
      <c r="E143" s="930"/>
      <c r="F143" s="1460"/>
      <c r="G143" s="310"/>
      <c r="H143" s="573">
        <v>40440</v>
      </c>
      <c r="I143" s="1365">
        <v>79858</v>
      </c>
      <c r="J143" s="526">
        <f t="shared" si="5"/>
        <v>120298</v>
      </c>
    </row>
    <row r="144" spans="1:10">
      <c r="A144" s="51">
        <v>2005.03</v>
      </c>
      <c r="B144" s="50">
        <v>18732</v>
      </c>
      <c r="C144" s="1365">
        <v>38356</v>
      </c>
      <c r="D144" s="506">
        <f t="shared" si="4"/>
        <v>57088</v>
      </c>
      <c r="E144" s="930"/>
      <c r="F144" s="1460"/>
      <c r="G144" s="310"/>
      <c r="H144" s="573">
        <v>39825</v>
      </c>
      <c r="I144" s="1365">
        <v>80534</v>
      </c>
      <c r="J144" s="526">
        <f t="shared" si="5"/>
        <v>120359</v>
      </c>
    </row>
    <row r="145" spans="1:10">
      <c r="A145" s="51">
        <v>2005.04</v>
      </c>
      <c r="B145" s="50">
        <v>19406</v>
      </c>
      <c r="C145" s="1365">
        <v>40235</v>
      </c>
      <c r="D145" s="506">
        <f t="shared" si="4"/>
        <v>59641</v>
      </c>
      <c r="E145" s="930"/>
      <c r="F145" s="1460"/>
      <c r="G145" s="310"/>
      <c r="H145" s="573">
        <v>42172</v>
      </c>
      <c r="I145" s="1365">
        <v>83086</v>
      </c>
      <c r="J145" s="526">
        <f t="shared" si="5"/>
        <v>125258</v>
      </c>
    </row>
    <row r="146" spans="1:10">
      <c r="A146" s="51">
        <v>2005.05</v>
      </c>
      <c r="B146" s="50">
        <v>19734</v>
      </c>
      <c r="C146" s="1365">
        <v>38259</v>
      </c>
      <c r="D146" s="506">
        <f t="shared" si="4"/>
        <v>57993</v>
      </c>
      <c r="E146" s="930"/>
      <c r="F146" s="1460"/>
      <c r="G146" s="310"/>
      <c r="H146" s="573">
        <v>40466</v>
      </c>
      <c r="I146" s="1365">
        <v>79742</v>
      </c>
      <c r="J146" s="526">
        <f t="shared" si="5"/>
        <v>120208</v>
      </c>
    </row>
    <row r="147" spans="1:10">
      <c r="A147" s="51">
        <v>2005.06</v>
      </c>
      <c r="B147" s="50">
        <v>18639</v>
      </c>
      <c r="C147" s="1365">
        <v>38250</v>
      </c>
      <c r="D147" s="506">
        <f t="shared" si="4"/>
        <v>56889</v>
      </c>
      <c r="E147" s="930"/>
      <c r="F147" s="1460"/>
      <c r="G147" s="310"/>
      <c r="H147" s="573">
        <v>40338</v>
      </c>
      <c r="I147" s="1365">
        <v>79288</v>
      </c>
      <c r="J147" s="526">
        <f t="shared" si="5"/>
        <v>119626</v>
      </c>
    </row>
    <row r="148" spans="1:10">
      <c r="A148" s="51">
        <v>2005.07</v>
      </c>
      <c r="B148" s="50">
        <v>19597</v>
      </c>
      <c r="C148" s="1365">
        <v>39401</v>
      </c>
      <c r="D148" s="506">
        <f t="shared" si="4"/>
        <v>58998</v>
      </c>
      <c r="E148" s="930"/>
      <c r="F148" s="1460"/>
      <c r="G148" s="310"/>
      <c r="H148" s="573">
        <v>40883</v>
      </c>
      <c r="I148" s="1365">
        <v>80212</v>
      </c>
      <c r="J148" s="526">
        <f t="shared" si="5"/>
        <v>121095</v>
      </c>
    </row>
    <row r="149" spans="1:10">
      <c r="A149" s="51">
        <v>2005.08</v>
      </c>
      <c r="B149" s="50">
        <v>19081</v>
      </c>
      <c r="C149" s="1365">
        <v>39911</v>
      </c>
      <c r="D149" s="506">
        <f t="shared" si="4"/>
        <v>58992</v>
      </c>
      <c r="E149" s="930"/>
      <c r="F149" s="1460"/>
      <c r="G149" s="310"/>
      <c r="H149" s="573">
        <v>39979</v>
      </c>
      <c r="I149" s="1365">
        <v>80736</v>
      </c>
      <c r="J149" s="526">
        <f t="shared" si="5"/>
        <v>120715</v>
      </c>
    </row>
    <row r="150" spans="1:10">
      <c r="A150" s="51">
        <v>2005.09</v>
      </c>
      <c r="B150" s="50">
        <v>19604</v>
      </c>
      <c r="C150" s="1365">
        <v>41574</v>
      </c>
      <c r="D150" s="506">
        <f t="shared" si="4"/>
        <v>61178</v>
      </c>
      <c r="E150" s="930"/>
      <c r="F150" s="1460"/>
      <c r="G150" s="310"/>
      <c r="H150" s="573">
        <v>38655</v>
      </c>
      <c r="I150" s="1365">
        <v>78857</v>
      </c>
      <c r="J150" s="526">
        <f t="shared" si="5"/>
        <v>117512</v>
      </c>
    </row>
    <row r="151" spans="1:10">
      <c r="A151" s="51">
        <v>2005.1</v>
      </c>
      <c r="B151" s="50">
        <v>19907</v>
      </c>
      <c r="C151" s="1365">
        <v>38618</v>
      </c>
      <c r="D151" s="506">
        <f t="shared" si="4"/>
        <v>58525</v>
      </c>
      <c r="E151" s="930"/>
      <c r="F151" s="1460"/>
      <c r="G151" s="310"/>
      <c r="H151" s="573">
        <v>39848</v>
      </c>
      <c r="I151" s="1365">
        <v>77431</v>
      </c>
      <c r="J151" s="526">
        <f t="shared" si="5"/>
        <v>117279</v>
      </c>
    </row>
    <row r="152" spans="1:10">
      <c r="A152" s="51">
        <v>2005.11</v>
      </c>
      <c r="B152" s="50">
        <v>19111</v>
      </c>
      <c r="C152" s="1365">
        <v>38600</v>
      </c>
      <c r="D152" s="506">
        <f t="shared" si="4"/>
        <v>57711</v>
      </c>
      <c r="E152" s="930"/>
      <c r="F152" s="1460"/>
      <c r="G152" s="310"/>
      <c r="H152" s="573">
        <v>39264</v>
      </c>
      <c r="I152" s="1365">
        <v>78963</v>
      </c>
      <c r="J152" s="526">
        <f t="shared" si="5"/>
        <v>118227</v>
      </c>
    </row>
    <row r="153" spans="1:10">
      <c r="A153" s="51">
        <v>2005.12</v>
      </c>
      <c r="B153" s="50">
        <v>18515</v>
      </c>
      <c r="C153" s="1365">
        <v>39418</v>
      </c>
      <c r="D153" s="506">
        <f t="shared" si="4"/>
        <v>57933</v>
      </c>
      <c r="E153" s="930"/>
      <c r="F153" s="1460"/>
      <c r="G153" s="310"/>
      <c r="H153" s="573">
        <v>39398</v>
      </c>
      <c r="I153" s="1365">
        <v>78757</v>
      </c>
      <c r="J153" s="526">
        <f t="shared" si="5"/>
        <v>118155</v>
      </c>
    </row>
    <row r="154" spans="1:10">
      <c r="A154" s="51">
        <v>2006.01</v>
      </c>
      <c r="B154" s="50">
        <v>19035</v>
      </c>
      <c r="C154" s="1365">
        <v>37944</v>
      </c>
      <c r="D154" s="506">
        <f t="shared" si="4"/>
        <v>56979</v>
      </c>
      <c r="E154" s="930"/>
      <c r="F154" s="1460"/>
      <c r="G154" s="310"/>
      <c r="H154" s="573">
        <v>38204</v>
      </c>
      <c r="I154" s="1365">
        <v>77718</v>
      </c>
      <c r="J154" s="526">
        <f t="shared" si="5"/>
        <v>115922</v>
      </c>
    </row>
    <row r="155" spans="1:10">
      <c r="A155" s="51">
        <v>2006.02</v>
      </c>
      <c r="B155" s="50">
        <v>19245</v>
      </c>
      <c r="C155" s="1365">
        <v>39447</v>
      </c>
      <c r="D155" s="506">
        <f t="shared" si="4"/>
        <v>58692</v>
      </c>
      <c r="E155" s="930"/>
      <c r="F155" s="1460"/>
      <c r="G155" s="310"/>
      <c r="H155" s="573">
        <v>40105</v>
      </c>
      <c r="I155" s="1365">
        <v>81617</v>
      </c>
      <c r="J155" s="526">
        <f t="shared" si="5"/>
        <v>121722</v>
      </c>
    </row>
    <row r="156" spans="1:10">
      <c r="A156" s="51">
        <v>2006.03</v>
      </c>
      <c r="B156" s="50">
        <v>19067</v>
      </c>
      <c r="C156" s="1365">
        <v>40910</v>
      </c>
      <c r="D156" s="506">
        <f t="shared" si="4"/>
        <v>59977</v>
      </c>
      <c r="E156" s="930"/>
      <c r="F156" s="1460"/>
      <c r="G156" s="310"/>
      <c r="H156" s="573">
        <v>40701</v>
      </c>
      <c r="I156" s="1365">
        <v>86487</v>
      </c>
      <c r="J156" s="526">
        <f t="shared" si="5"/>
        <v>127188</v>
      </c>
    </row>
    <row r="157" spans="1:10">
      <c r="A157" s="51">
        <v>2006.04</v>
      </c>
      <c r="B157" s="50">
        <v>20356</v>
      </c>
      <c r="C157" s="1365">
        <v>40932</v>
      </c>
      <c r="D157" s="506">
        <f t="shared" si="4"/>
        <v>61288</v>
      </c>
      <c r="E157" s="930"/>
      <c r="F157" s="1460"/>
      <c r="G157" s="310"/>
      <c r="H157" s="573">
        <v>45020</v>
      </c>
      <c r="I157" s="1365">
        <v>89176</v>
      </c>
      <c r="J157" s="526">
        <f t="shared" si="5"/>
        <v>134196</v>
      </c>
    </row>
    <row r="158" spans="1:10">
      <c r="A158" s="51">
        <v>2006.05</v>
      </c>
      <c r="B158" s="50">
        <v>19474</v>
      </c>
      <c r="C158" s="1365">
        <v>41646</v>
      </c>
      <c r="D158" s="506">
        <f t="shared" si="4"/>
        <v>61120</v>
      </c>
      <c r="E158" s="930"/>
      <c r="F158" s="1460"/>
      <c r="G158" s="310"/>
      <c r="H158" s="573">
        <v>40428</v>
      </c>
      <c r="I158" s="1365">
        <v>83025</v>
      </c>
      <c r="J158" s="526">
        <f t="shared" si="5"/>
        <v>123453</v>
      </c>
    </row>
    <row r="159" spans="1:10">
      <c r="A159" s="51">
        <v>2006.06</v>
      </c>
      <c r="B159" s="50">
        <v>18553</v>
      </c>
      <c r="C159" s="1365">
        <v>40018</v>
      </c>
      <c r="D159" s="506">
        <f t="shared" si="4"/>
        <v>58571</v>
      </c>
      <c r="E159" s="930"/>
      <c r="F159" s="1460"/>
      <c r="G159" s="310"/>
      <c r="H159" s="573">
        <v>38204</v>
      </c>
      <c r="I159" s="1365">
        <v>81470</v>
      </c>
      <c r="J159" s="526">
        <f t="shared" si="5"/>
        <v>119674</v>
      </c>
    </row>
    <row r="160" spans="1:10">
      <c r="A160" s="51">
        <v>2006.07</v>
      </c>
      <c r="B160" s="50">
        <v>18753</v>
      </c>
      <c r="C160" s="1365">
        <v>39368</v>
      </c>
      <c r="D160" s="506">
        <f t="shared" si="4"/>
        <v>58121</v>
      </c>
      <c r="E160" s="930"/>
      <c r="F160" s="1460"/>
      <c r="G160" s="310"/>
      <c r="H160" s="573">
        <v>41034</v>
      </c>
      <c r="I160" s="1365">
        <v>82937</v>
      </c>
      <c r="J160" s="526">
        <f t="shared" si="5"/>
        <v>123971</v>
      </c>
    </row>
    <row r="161" spans="1:10">
      <c r="A161" s="51">
        <v>2006.08</v>
      </c>
      <c r="B161" s="50">
        <v>18041</v>
      </c>
      <c r="C161" s="1365">
        <v>39756</v>
      </c>
      <c r="D161" s="506">
        <f t="shared" si="4"/>
        <v>57797</v>
      </c>
      <c r="E161" s="930"/>
      <c r="F161" s="1460"/>
      <c r="G161" s="310"/>
      <c r="H161" s="573">
        <v>39161</v>
      </c>
      <c r="I161" s="1365">
        <v>82998</v>
      </c>
      <c r="J161" s="526">
        <f t="shared" si="5"/>
        <v>122159</v>
      </c>
    </row>
    <row r="162" spans="1:10">
      <c r="A162" s="51">
        <v>2006.09</v>
      </c>
      <c r="B162" s="50">
        <v>18014</v>
      </c>
      <c r="C162" s="1365">
        <v>39637</v>
      </c>
      <c r="D162" s="506">
        <f t="shared" si="4"/>
        <v>57651</v>
      </c>
      <c r="E162" s="930"/>
      <c r="F162" s="1460"/>
      <c r="G162" s="310"/>
      <c r="H162" s="573">
        <v>39526</v>
      </c>
      <c r="I162" s="1365">
        <v>82318</v>
      </c>
      <c r="J162" s="526">
        <f t="shared" si="5"/>
        <v>121844</v>
      </c>
    </row>
    <row r="163" spans="1:10">
      <c r="A163" s="51">
        <v>2006.1</v>
      </c>
      <c r="B163" s="50">
        <v>18265</v>
      </c>
      <c r="C163" s="1365">
        <v>38589</v>
      </c>
      <c r="D163" s="506">
        <f t="shared" si="4"/>
        <v>56854</v>
      </c>
      <c r="E163" s="930"/>
      <c r="F163" s="1460"/>
      <c r="G163" s="310"/>
      <c r="H163" s="573">
        <v>40892</v>
      </c>
      <c r="I163" s="1365">
        <v>81307</v>
      </c>
      <c r="J163" s="526">
        <f t="shared" si="5"/>
        <v>122199</v>
      </c>
    </row>
    <row r="164" spans="1:10">
      <c r="A164" s="51">
        <v>2006.11</v>
      </c>
      <c r="B164" s="50">
        <v>17677</v>
      </c>
      <c r="C164" s="1365">
        <v>38419</v>
      </c>
      <c r="D164" s="506">
        <f t="shared" si="4"/>
        <v>56096</v>
      </c>
      <c r="E164" s="930"/>
      <c r="F164" s="1460"/>
      <c r="G164" s="310"/>
      <c r="H164" s="573">
        <v>40087</v>
      </c>
      <c r="I164" s="1365">
        <v>81906</v>
      </c>
      <c r="J164" s="526">
        <f t="shared" si="5"/>
        <v>121993</v>
      </c>
    </row>
    <row r="165" spans="1:10">
      <c r="A165" s="51">
        <v>2006.12</v>
      </c>
      <c r="B165" s="50">
        <v>18069</v>
      </c>
      <c r="C165" s="1365">
        <v>36221</v>
      </c>
      <c r="D165" s="506">
        <f t="shared" si="4"/>
        <v>54290</v>
      </c>
      <c r="E165" s="930"/>
      <c r="F165" s="1460"/>
      <c r="G165" s="310"/>
      <c r="H165" s="573">
        <v>41007</v>
      </c>
      <c r="I165" s="1365">
        <v>77988</v>
      </c>
      <c r="J165" s="526">
        <f t="shared" si="5"/>
        <v>118995</v>
      </c>
    </row>
    <row r="166" spans="1:10">
      <c r="A166" s="51">
        <v>2007.01</v>
      </c>
      <c r="B166" s="50">
        <v>17586</v>
      </c>
      <c r="C166" s="1365">
        <v>38296</v>
      </c>
      <c r="D166" s="506">
        <f t="shared" si="4"/>
        <v>55882</v>
      </c>
      <c r="E166" s="930"/>
      <c r="F166" s="1460"/>
      <c r="G166" s="310"/>
      <c r="H166" s="573">
        <v>39211</v>
      </c>
      <c r="I166" s="1365">
        <v>81553</v>
      </c>
      <c r="J166" s="526">
        <f t="shared" si="5"/>
        <v>120764</v>
      </c>
    </row>
    <row r="167" spans="1:10">
      <c r="A167" s="51">
        <v>2007.02</v>
      </c>
      <c r="B167" s="50">
        <v>18502</v>
      </c>
      <c r="C167" s="1365">
        <v>40240</v>
      </c>
      <c r="D167" s="506">
        <f t="shared" si="4"/>
        <v>58742</v>
      </c>
      <c r="E167" s="930"/>
      <c r="F167" s="1460"/>
      <c r="G167" s="310"/>
      <c r="H167" s="573">
        <v>41301</v>
      </c>
      <c r="I167" s="1365">
        <v>84741</v>
      </c>
      <c r="J167" s="526">
        <f t="shared" si="5"/>
        <v>126042</v>
      </c>
    </row>
    <row r="168" spans="1:10">
      <c r="A168" s="51">
        <v>2007.03</v>
      </c>
      <c r="B168" s="50">
        <v>18906</v>
      </c>
      <c r="C168" s="1365">
        <v>41851</v>
      </c>
      <c r="D168" s="506">
        <f t="shared" si="4"/>
        <v>60757</v>
      </c>
      <c r="E168" s="930"/>
      <c r="F168" s="1460"/>
      <c r="G168" s="310"/>
      <c r="H168" s="573">
        <v>42071</v>
      </c>
      <c r="I168" s="1365">
        <v>88263</v>
      </c>
      <c r="J168" s="526">
        <f t="shared" si="5"/>
        <v>130334</v>
      </c>
    </row>
    <row r="169" spans="1:10">
      <c r="A169" s="51">
        <v>2007.04</v>
      </c>
      <c r="B169" s="50">
        <v>19836</v>
      </c>
      <c r="C169" s="1365">
        <v>42385</v>
      </c>
      <c r="D169" s="506">
        <f t="shared" si="4"/>
        <v>62221</v>
      </c>
      <c r="E169" s="930"/>
      <c r="F169" s="1460"/>
      <c r="G169" s="310"/>
      <c r="H169" s="573">
        <v>43750</v>
      </c>
      <c r="I169" s="1365">
        <v>86748</v>
      </c>
      <c r="J169" s="526">
        <f t="shared" si="5"/>
        <v>130498</v>
      </c>
    </row>
    <row r="170" spans="1:10">
      <c r="A170" s="51">
        <v>2007.05</v>
      </c>
      <c r="B170" s="50">
        <v>18456</v>
      </c>
      <c r="C170" s="1365">
        <v>42010</v>
      </c>
      <c r="D170" s="506">
        <f t="shared" si="4"/>
        <v>60466</v>
      </c>
      <c r="E170" s="930"/>
      <c r="F170" s="1460"/>
      <c r="G170" s="310"/>
      <c r="H170" s="573">
        <v>41422</v>
      </c>
      <c r="I170" s="1365">
        <v>86422</v>
      </c>
      <c r="J170" s="526">
        <f t="shared" si="5"/>
        <v>127844</v>
      </c>
    </row>
    <row r="171" spans="1:10">
      <c r="A171" s="51">
        <v>2007.06</v>
      </c>
      <c r="B171" s="50">
        <v>18648</v>
      </c>
      <c r="C171" s="1365">
        <v>41515</v>
      </c>
      <c r="D171" s="506">
        <f t="shared" si="4"/>
        <v>60163</v>
      </c>
      <c r="E171" s="930"/>
      <c r="F171" s="1460"/>
      <c r="G171" s="310"/>
      <c r="H171" s="573">
        <v>41621</v>
      </c>
      <c r="I171" s="1365">
        <v>84172</v>
      </c>
      <c r="J171" s="526">
        <f t="shared" si="5"/>
        <v>125793</v>
      </c>
    </row>
    <row r="172" spans="1:10">
      <c r="A172" s="51">
        <v>2007.07</v>
      </c>
      <c r="B172" s="50">
        <v>19171</v>
      </c>
      <c r="C172" s="1365">
        <v>40969</v>
      </c>
      <c r="D172" s="506">
        <f t="shared" si="4"/>
        <v>60140</v>
      </c>
      <c r="E172" s="930"/>
      <c r="F172" s="1460"/>
      <c r="G172" s="310"/>
      <c r="H172" s="573">
        <v>43010</v>
      </c>
      <c r="I172" s="1365">
        <v>84112</v>
      </c>
      <c r="J172" s="526">
        <f t="shared" si="5"/>
        <v>127122</v>
      </c>
    </row>
    <row r="173" spans="1:10">
      <c r="A173" s="51">
        <v>2007.08</v>
      </c>
      <c r="B173" s="50">
        <v>18276</v>
      </c>
      <c r="C173" s="1365">
        <v>41737</v>
      </c>
      <c r="D173" s="506">
        <f t="shared" si="4"/>
        <v>60013</v>
      </c>
      <c r="E173" s="930"/>
      <c r="F173" s="1460"/>
      <c r="G173" s="310"/>
      <c r="H173" s="573">
        <v>40552</v>
      </c>
      <c r="I173" s="1365">
        <v>84451</v>
      </c>
      <c r="J173" s="526">
        <f t="shared" si="5"/>
        <v>125003</v>
      </c>
    </row>
    <row r="174" spans="1:10">
      <c r="A174" s="51">
        <v>2007.09</v>
      </c>
      <c r="B174" s="50">
        <v>19469</v>
      </c>
      <c r="C174" s="1365">
        <v>42039</v>
      </c>
      <c r="D174" s="506">
        <f t="shared" si="4"/>
        <v>61508</v>
      </c>
      <c r="E174" s="930"/>
      <c r="F174" s="1460"/>
      <c r="G174" s="310"/>
      <c r="H174" s="573">
        <v>43310</v>
      </c>
      <c r="I174" s="1365">
        <v>84590</v>
      </c>
      <c r="J174" s="526">
        <f t="shared" si="5"/>
        <v>127900</v>
      </c>
    </row>
    <row r="175" spans="1:10">
      <c r="A175" s="51">
        <v>2007.1</v>
      </c>
      <c r="B175" s="50">
        <v>18261</v>
      </c>
      <c r="C175" s="1365">
        <v>41180</v>
      </c>
      <c r="D175" s="506">
        <f t="shared" si="4"/>
        <v>59441</v>
      </c>
      <c r="E175" s="930"/>
      <c r="F175" s="1460"/>
      <c r="G175" s="310"/>
      <c r="H175" s="573">
        <v>41097</v>
      </c>
      <c r="I175" s="1365">
        <v>84282</v>
      </c>
      <c r="J175" s="526">
        <f t="shared" si="5"/>
        <v>125379</v>
      </c>
    </row>
    <row r="176" spans="1:10">
      <c r="A176" s="51">
        <v>2007.11</v>
      </c>
      <c r="B176" s="50">
        <v>18596</v>
      </c>
      <c r="C176" s="1365">
        <v>42290</v>
      </c>
      <c r="D176" s="506">
        <f t="shared" si="4"/>
        <v>60886</v>
      </c>
      <c r="E176" s="930"/>
      <c r="F176" s="1460"/>
      <c r="G176" s="310"/>
      <c r="H176" s="573">
        <v>42699</v>
      </c>
      <c r="I176" s="1365">
        <v>85311</v>
      </c>
      <c r="J176" s="526">
        <f t="shared" si="5"/>
        <v>128010</v>
      </c>
    </row>
    <row r="177" spans="1:10">
      <c r="A177" s="51">
        <v>2007.12</v>
      </c>
      <c r="B177" s="50">
        <v>19142</v>
      </c>
      <c r="C177" s="1365">
        <v>40086</v>
      </c>
      <c r="D177" s="506">
        <f t="shared" si="4"/>
        <v>59228</v>
      </c>
      <c r="E177" s="930"/>
      <c r="F177" s="1460"/>
      <c r="G177" s="310"/>
      <c r="H177" s="573">
        <v>42859</v>
      </c>
      <c r="I177" s="1365">
        <v>83689</v>
      </c>
      <c r="J177" s="526">
        <f t="shared" si="5"/>
        <v>126548</v>
      </c>
    </row>
    <row r="178" spans="1:10">
      <c r="A178" s="51">
        <f t="shared" ref="A178:A241" si="6">A166+1</f>
        <v>2008.01</v>
      </c>
      <c r="B178" s="50">
        <v>18452</v>
      </c>
      <c r="C178" s="1365">
        <v>41358</v>
      </c>
      <c r="D178" s="506">
        <f t="shared" si="4"/>
        <v>59810</v>
      </c>
      <c r="E178" s="930"/>
      <c r="F178" s="1460"/>
      <c r="G178" s="310"/>
      <c r="H178" s="573">
        <v>40200</v>
      </c>
      <c r="I178" s="1365">
        <v>84338</v>
      </c>
      <c r="J178" s="526">
        <f t="shared" si="5"/>
        <v>124538</v>
      </c>
    </row>
    <row r="179" spans="1:10">
      <c r="A179" s="51">
        <f t="shared" si="6"/>
        <v>2008.02</v>
      </c>
      <c r="B179" s="50">
        <v>19377</v>
      </c>
      <c r="C179" s="1365">
        <v>43437</v>
      </c>
      <c r="D179" s="506">
        <f t="shared" si="4"/>
        <v>62814</v>
      </c>
      <c r="E179" s="930"/>
      <c r="F179" s="1460"/>
      <c r="G179" s="310"/>
      <c r="H179" s="573">
        <v>42212</v>
      </c>
      <c r="I179" s="1365">
        <v>88310</v>
      </c>
      <c r="J179" s="526">
        <f t="shared" si="5"/>
        <v>130522</v>
      </c>
    </row>
    <row r="180" spans="1:10">
      <c r="A180" s="51">
        <f t="shared" si="6"/>
        <v>2008.03</v>
      </c>
      <c r="B180" s="50">
        <v>19491</v>
      </c>
      <c r="C180" s="1365">
        <v>43102</v>
      </c>
      <c r="D180" s="506">
        <f t="shared" si="4"/>
        <v>62593</v>
      </c>
      <c r="E180" s="930"/>
      <c r="F180" s="1460"/>
      <c r="G180" s="310"/>
      <c r="H180" s="573">
        <v>44817</v>
      </c>
      <c r="I180" s="1365">
        <v>90571</v>
      </c>
      <c r="J180" s="526">
        <f t="shared" si="5"/>
        <v>135388</v>
      </c>
    </row>
    <row r="181" spans="1:10">
      <c r="A181" s="51">
        <f t="shared" si="6"/>
        <v>2008.04</v>
      </c>
      <c r="B181" s="50">
        <v>18158</v>
      </c>
      <c r="C181" s="1365">
        <v>42690</v>
      </c>
      <c r="D181" s="506">
        <f t="shared" si="4"/>
        <v>60848</v>
      </c>
      <c r="E181" s="930"/>
      <c r="F181" s="1460"/>
      <c r="G181" s="310"/>
      <c r="H181" s="573">
        <v>42697</v>
      </c>
      <c r="I181" s="1365">
        <v>87714</v>
      </c>
      <c r="J181" s="526">
        <f t="shared" si="5"/>
        <v>130411</v>
      </c>
    </row>
    <row r="182" spans="1:10">
      <c r="A182" s="51">
        <f t="shared" si="6"/>
        <v>2008.05</v>
      </c>
      <c r="B182" s="50">
        <v>18054</v>
      </c>
      <c r="C182" s="1365">
        <v>41794</v>
      </c>
      <c r="D182" s="506">
        <f t="shared" si="4"/>
        <v>59848</v>
      </c>
      <c r="E182" s="930"/>
      <c r="F182" s="1460"/>
      <c r="G182" s="310"/>
      <c r="H182" s="573">
        <v>42589</v>
      </c>
      <c r="I182" s="1365">
        <v>90363</v>
      </c>
      <c r="J182" s="526">
        <f t="shared" si="5"/>
        <v>132952</v>
      </c>
    </row>
    <row r="183" spans="1:10">
      <c r="A183" s="51">
        <f t="shared" si="6"/>
        <v>2008.06</v>
      </c>
      <c r="B183" s="50">
        <v>18550</v>
      </c>
      <c r="C183" s="1365">
        <v>39412</v>
      </c>
      <c r="D183" s="506">
        <f t="shared" si="4"/>
        <v>57962</v>
      </c>
      <c r="E183" s="930"/>
      <c r="F183" s="1460"/>
      <c r="G183" s="310"/>
      <c r="H183" s="573">
        <v>42802</v>
      </c>
      <c r="I183" s="1365">
        <v>85192</v>
      </c>
      <c r="J183" s="526">
        <f t="shared" si="5"/>
        <v>127994</v>
      </c>
    </row>
    <row r="184" spans="1:10">
      <c r="A184" s="51">
        <f t="shared" si="6"/>
        <v>2008.07</v>
      </c>
      <c r="B184" s="50">
        <v>17429</v>
      </c>
      <c r="C184" s="1365">
        <v>40088</v>
      </c>
      <c r="D184" s="506">
        <f t="shared" si="4"/>
        <v>57517</v>
      </c>
      <c r="E184" s="930"/>
      <c r="F184" s="1460"/>
      <c r="G184" s="310"/>
      <c r="H184" s="573">
        <v>40320</v>
      </c>
      <c r="I184" s="1365">
        <v>85160</v>
      </c>
      <c r="J184" s="526">
        <f t="shared" si="5"/>
        <v>125480</v>
      </c>
    </row>
    <row r="185" spans="1:10">
      <c r="A185" s="51">
        <f t="shared" si="6"/>
        <v>2008.08</v>
      </c>
      <c r="B185" s="50">
        <v>18882</v>
      </c>
      <c r="C185" s="1365">
        <v>40543</v>
      </c>
      <c r="D185" s="506">
        <f t="shared" si="4"/>
        <v>59425</v>
      </c>
      <c r="E185" s="930"/>
      <c r="F185" s="1460"/>
      <c r="G185" s="310"/>
      <c r="H185" s="573">
        <v>42618</v>
      </c>
      <c r="I185" s="1365">
        <v>85750</v>
      </c>
      <c r="J185" s="526">
        <f t="shared" si="5"/>
        <v>128368</v>
      </c>
    </row>
    <row r="186" spans="1:10">
      <c r="A186" s="51">
        <f t="shared" si="6"/>
        <v>2008.09</v>
      </c>
      <c r="B186" s="50">
        <v>17309</v>
      </c>
      <c r="C186" s="1365">
        <v>39749</v>
      </c>
      <c r="D186" s="506">
        <f t="shared" si="4"/>
        <v>57058</v>
      </c>
      <c r="E186" s="930"/>
      <c r="F186" s="1460"/>
      <c r="G186" s="310"/>
      <c r="H186" s="573">
        <v>40110</v>
      </c>
      <c r="I186" s="1365">
        <v>84684</v>
      </c>
      <c r="J186" s="526">
        <f t="shared" si="5"/>
        <v>124794</v>
      </c>
    </row>
    <row r="187" spans="1:10">
      <c r="A187" s="51">
        <f t="shared" si="6"/>
        <v>2008.1</v>
      </c>
      <c r="B187" s="50">
        <v>16739</v>
      </c>
      <c r="C187" s="1365">
        <v>38436</v>
      </c>
      <c r="D187" s="506">
        <f t="shared" si="4"/>
        <v>55175</v>
      </c>
      <c r="E187" s="930"/>
      <c r="F187" s="1460"/>
      <c r="G187" s="310"/>
      <c r="H187" s="573">
        <v>39425</v>
      </c>
      <c r="I187" s="1365">
        <v>82415</v>
      </c>
      <c r="J187" s="526">
        <f t="shared" si="5"/>
        <v>121840</v>
      </c>
    </row>
    <row r="188" spans="1:10">
      <c r="A188" s="51">
        <f t="shared" si="6"/>
        <v>2008.11</v>
      </c>
      <c r="B188" s="50">
        <v>17606</v>
      </c>
      <c r="C188" s="1365">
        <v>37775</v>
      </c>
      <c r="D188" s="506">
        <f t="shared" si="4"/>
        <v>55381</v>
      </c>
      <c r="E188" s="930"/>
      <c r="F188" s="1460"/>
      <c r="G188" s="310"/>
      <c r="H188" s="573">
        <v>41396</v>
      </c>
      <c r="I188" s="1365">
        <v>81837</v>
      </c>
      <c r="J188" s="526">
        <f t="shared" si="5"/>
        <v>123233</v>
      </c>
    </row>
    <row r="189" spans="1:10">
      <c r="A189" s="51">
        <f t="shared" si="6"/>
        <v>2008.12</v>
      </c>
      <c r="B189" s="50">
        <v>17257</v>
      </c>
      <c r="C189" s="1365">
        <v>35167</v>
      </c>
      <c r="D189" s="506">
        <f t="shared" si="4"/>
        <v>52424</v>
      </c>
      <c r="E189" s="930"/>
      <c r="F189" s="1460"/>
      <c r="G189" s="310"/>
      <c r="H189" s="573">
        <v>41319</v>
      </c>
      <c r="I189" s="1365">
        <v>80373</v>
      </c>
      <c r="J189" s="526">
        <f t="shared" si="5"/>
        <v>121692</v>
      </c>
    </row>
    <row r="190" spans="1:10">
      <c r="A190" s="51">
        <f t="shared" si="6"/>
        <v>2009.01</v>
      </c>
      <c r="B190" s="50">
        <v>17082.5</v>
      </c>
      <c r="C190" s="1365">
        <v>35914</v>
      </c>
      <c r="D190" s="506">
        <f t="shared" si="4"/>
        <v>52996.5</v>
      </c>
      <c r="E190" s="930"/>
      <c r="F190" s="1460"/>
      <c r="G190" s="310"/>
      <c r="H190" s="573">
        <v>39637</v>
      </c>
      <c r="I190" s="1365">
        <v>81359</v>
      </c>
      <c r="J190" s="526">
        <f t="shared" si="5"/>
        <v>120996</v>
      </c>
    </row>
    <row r="191" spans="1:10">
      <c r="A191" s="51">
        <f t="shared" si="6"/>
        <v>2009.02</v>
      </c>
      <c r="B191" s="50">
        <v>16908</v>
      </c>
      <c r="C191" s="1365">
        <v>37056</v>
      </c>
      <c r="D191" s="506">
        <f t="shared" si="4"/>
        <v>53964</v>
      </c>
      <c r="E191" s="930"/>
      <c r="F191" s="1460"/>
      <c r="G191" s="310"/>
      <c r="H191" s="573">
        <v>41242</v>
      </c>
      <c r="I191" s="1365">
        <v>85516</v>
      </c>
      <c r="J191" s="526">
        <f t="shared" si="5"/>
        <v>126758</v>
      </c>
    </row>
    <row r="192" spans="1:10">
      <c r="A192" s="51">
        <f t="shared" si="6"/>
        <v>2009.03</v>
      </c>
      <c r="B192" s="50">
        <v>17233</v>
      </c>
      <c r="C192" s="1365">
        <v>37368</v>
      </c>
      <c r="D192" s="506">
        <f t="shared" si="4"/>
        <v>54601</v>
      </c>
      <c r="E192" s="930"/>
      <c r="F192" s="1460"/>
      <c r="G192" s="310"/>
      <c r="H192" s="573">
        <v>42160</v>
      </c>
      <c r="I192" s="1365">
        <v>85673</v>
      </c>
      <c r="J192" s="526">
        <f t="shared" si="5"/>
        <v>127833</v>
      </c>
    </row>
    <row r="193" spans="1:10">
      <c r="A193" s="51">
        <f t="shared" si="6"/>
        <v>2009.04</v>
      </c>
      <c r="B193" s="50">
        <v>16498</v>
      </c>
      <c r="C193" s="1365">
        <v>36310</v>
      </c>
      <c r="D193" s="506">
        <f t="shared" si="4"/>
        <v>52808</v>
      </c>
      <c r="E193" s="930"/>
      <c r="F193" s="1460"/>
      <c r="G193" s="310"/>
      <c r="H193" s="573">
        <v>40345</v>
      </c>
      <c r="I193" s="1365">
        <v>83456</v>
      </c>
      <c r="J193" s="526">
        <f t="shared" si="5"/>
        <v>123801</v>
      </c>
    </row>
    <row r="194" spans="1:10">
      <c r="A194" s="51">
        <f t="shared" si="6"/>
        <v>2009.05</v>
      </c>
      <c r="B194" s="50">
        <v>17074</v>
      </c>
      <c r="C194" s="1365">
        <v>36131</v>
      </c>
      <c r="D194" s="506">
        <f t="shared" si="4"/>
        <v>53205</v>
      </c>
      <c r="E194" s="930"/>
      <c r="F194" s="1460"/>
      <c r="G194" s="310"/>
      <c r="H194" s="573">
        <v>41421</v>
      </c>
      <c r="I194" s="1365">
        <v>84017</v>
      </c>
      <c r="J194" s="526">
        <f t="shared" si="5"/>
        <v>125438</v>
      </c>
    </row>
    <row r="195" spans="1:10">
      <c r="A195" s="51">
        <f t="shared" si="6"/>
        <v>2009.06</v>
      </c>
      <c r="B195" s="50">
        <v>15938</v>
      </c>
      <c r="C195" s="1365">
        <v>34215</v>
      </c>
      <c r="D195" s="506">
        <f t="shared" si="4"/>
        <v>50153</v>
      </c>
      <c r="E195" s="930"/>
      <c r="F195" s="1460"/>
      <c r="G195" s="310"/>
      <c r="H195" s="573">
        <v>39392</v>
      </c>
      <c r="I195" s="1365">
        <v>81816</v>
      </c>
      <c r="J195" s="526">
        <f t="shared" si="5"/>
        <v>121208</v>
      </c>
    </row>
    <row r="196" spans="1:10">
      <c r="A196" s="51">
        <f t="shared" si="6"/>
        <v>2009.07</v>
      </c>
      <c r="B196" s="50">
        <v>16208</v>
      </c>
      <c r="C196" s="1365">
        <v>35981</v>
      </c>
      <c r="D196" s="506">
        <f t="shared" si="4"/>
        <v>52189</v>
      </c>
      <c r="E196" s="930"/>
      <c r="F196" s="1460"/>
      <c r="G196" s="310"/>
      <c r="H196" s="573">
        <v>39164</v>
      </c>
      <c r="I196" s="1365">
        <v>83438</v>
      </c>
      <c r="J196" s="526">
        <f t="shared" si="5"/>
        <v>122602</v>
      </c>
    </row>
    <row r="197" spans="1:10">
      <c r="A197" s="51">
        <f t="shared" si="6"/>
        <v>2009.08</v>
      </c>
      <c r="B197" s="50">
        <v>17138</v>
      </c>
      <c r="C197" s="1365">
        <v>35871</v>
      </c>
      <c r="D197" s="506">
        <f t="shared" si="4"/>
        <v>53009</v>
      </c>
      <c r="E197" s="930"/>
      <c r="F197" s="1460"/>
      <c r="G197" s="310"/>
      <c r="H197" s="573">
        <v>40890</v>
      </c>
      <c r="I197" s="1365">
        <v>82773</v>
      </c>
      <c r="J197" s="526">
        <f t="shared" si="5"/>
        <v>123663</v>
      </c>
    </row>
    <row r="198" spans="1:10">
      <c r="A198" s="51">
        <f t="shared" si="6"/>
        <v>2009.09</v>
      </c>
      <c r="B198" s="50">
        <v>16133</v>
      </c>
      <c r="C198" s="1365">
        <v>35153</v>
      </c>
      <c r="D198" s="506">
        <f t="shared" si="4"/>
        <v>51286</v>
      </c>
      <c r="E198" s="930"/>
      <c r="F198" s="1460"/>
      <c r="G198" s="310"/>
      <c r="H198" s="573">
        <v>39114</v>
      </c>
      <c r="I198" s="1365">
        <v>82739</v>
      </c>
      <c r="J198" s="526">
        <f t="shared" si="5"/>
        <v>121853</v>
      </c>
    </row>
    <row r="199" spans="1:10">
      <c r="A199" s="51">
        <f t="shared" si="6"/>
        <v>2009.1</v>
      </c>
      <c r="B199" s="50">
        <v>16102</v>
      </c>
      <c r="C199" s="1365">
        <v>34759</v>
      </c>
      <c r="D199" s="506">
        <f t="shared" si="4"/>
        <v>50861</v>
      </c>
      <c r="E199" s="930"/>
      <c r="F199" s="1460"/>
      <c r="G199" s="310"/>
      <c r="H199" s="573">
        <v>38787</v>
      </c>
      <c r="I199" s="1365">
        <v>82765</v>
      </c>
      <c r="J199" s="526">
        <f t="shared" si="5"/>
        <v>121552</v>
      </c>
    </row>
    <row r="200" spans="1:10" s="516" customFormat="1">
      <c r="A200" s="517">
        <f t="shared" si="6"/>
        <v>2009.11</v>
      </c>
      <c r="B200" s="613">
        <v>16789</v>
      </c>
      <c r="C200" s="1639">
        <v>34219</v>
      </c>
      <c r="D200" s="506">
        <f t="shared" si="4"/>
        <v>51008</v>
      </c>
      <c r="E200" s="2246">
        <v>6190</v>
      </c>
      <c r="F200" s="1683">
        <v>14149</v>
      </c>
      <c r="G200" s="510">
        <f>E200+F200</f>
        <v>20339</v>
      </c>
      <c r="H200" s="631">
        <v>40467</v>
      </c>
      <c r="I200" s="1639">
        <v>80900</v>
      </c>
      <c r="J200" s="526">
        <f t="shared" si="5"/>
        <v>121367</v>
      </c>
    </row>
    <row r="201" spans="1:10">
      <c r="A201" s="51">
        <f t="shared" si="6"/>
        <v>2009.12</v>
      </c>
      <c r="B201" s="50">
        <v>15841</v>
      </c>
      <c r="C201" s="1365">
        <v>34037</v>
      </c>
      <c r="D201" s="506">
        <f t="shared" si="4"/>
        <v>49878</v>
      </c>
      <c r="E201" s="573">
        <v>6315</v>
      </c>
      <c r="F201" s="1365">
        <v>16451</v>
      </c>
      <c r="G201" s="506">
        <f>E201+F201</f>
        <v>22766</v>
      </c>
      <c r="H201" s="573">
        <v>38362</v>
      </c>
      <c r="I201" s="1365">
        <v>80516</v>
      </c>
      <c r="J201" s="526">
        <f t="shared" si="5"/>
        <v>118878</v>
      </c>
    </row>
    <row r="202" spans="1:10">
      <c r="A202" s="51">
        <f t="shared" si="6"/>
        <v>2010.01</v>
      </c>
      <c r="B202" s="50">
        <v>16428</v>
      </c>
      <c r="C202" s="1365">
        <v>33814</v>
      </c>
      <c r="D202" s="506">
        <f t="shared" si="4"/>
        <v>50242</v>
      </c>
      <c r="E202" s="573">
        <v>6823</v>
      </c>
      <c r="F202" s="1365">
        <v>17393</v>
      </c>
      <c r="G202" s="506">
        <f>E202+F202</f>
        <v>24216</v>
      </c>
      <c r="H202" s="573">
        <v>39176</v>
      </c>
      <c r="I202" s="1365">
        <v>79142</v>
      </c>
      <c r="J202" s="526">
        <f t="shared" si="5"/>
        <v>118318</v>
      </c>
    </row>
    <row r="203" spans="1:10">
      <c r="A203" s="51">
        <f t="shared" si="6"/>
        <v>2010.02</v>
      </c>
      <c r="B203" s="50">
        <v>16142</v>
      </c>
      <c r="C203" s="1365">
        <v>34724</v>
      </c>
      <c r="D203" s="506">
        <f t="shared" si="4"/>
        <v>50866</v>
      </c>
      <c r="E203" s="573">
        <v>6969</v>
      </c>
      <c r="F203" s="1365">
        <v>19407</v>
      </c>
      <c r="G203" s="506">
        <f>E203+F203</f>
        <v>26376</v>
      </c>
      <c r="H203" s="573">
        <v>38396</v>
      </c>
      <c r="I203" s="1365">
        <v>83227</v>
      </c>
      <c r="J203" s="526">
        <f t="shared" si="5"/>
        <v>121623</v>
      </c>
    </row>
    <row r="204" spans="1:10">
      <c r="A204" s="51">
        <f t="shared" si="6"/>
        <v>2010.03</v>
      </c>
      <c r="B204" s="50">
        <v>15917</v>
      </c>
      <c r="C204" s="1365">
        <v>35743</v>
      </c>
      <c r="D204" s="506">
        <f t="shared" ref="D204:D225" si="7">B204+C204</f>
        <v>51660</v>
      </c>
      <c r="E204" s="573">
        <v>7071</v>
      </c>
      <c r="F204" s="1365">
        <v>21340</v>
      </c>
      <c r="G204" s="506">
        <f t="shared" ref="G204:G267" si="8">E204+F204</f>
        <v>28411</v>
      </c>
      <c r="H204" s="573">
        <v>39459</v>
      </c>
      <c r="I204" s="1365">
        <v>85969</v>
      </c>
      <c r="J204" s="526">
        <f t="shared" ref="J204:J225" si="9">H204+I204</f>
        <v>125428</v>
      </c>
    </row>
    <row r="205" spans="1:10">
      <c r="A205" s="51">
        <f t="shared" si="6"/>
        <v>2010.04</v>
      </c>
      <c r="B205" s="50">
        <v>16024</v>
      </c>
      <c r="C205" s="1365">
        <v>34712</v>
      </c>
      <c r="D205" s="506">
        <f t="shared" si="7"/>
        <v>50736</v>
      </c>
      <c r="E205" s="573">
        <v>6844</v>
      </c>
      <c r="F205" s="1365">
        <v>22120</v>
      </c>
      <c r="G205" s="506">
        <f t="shared" si="8"/>
        <v>28964</v>
      </c>
      <c r="H205" s="573">
        <v>38416</v>
      </c>
      <c r="I205" s="1365">
        <v>85243</v>
      </c>
      <c r="J205" s="526">
        <f t="shared" si="9"/>
        <v>123659</v>
      </c>
    </row>
    <row r="206" spans="1:10">
      <c r="A206" s="51">
        <f t="shared" si="6"/>
        <v>2010.05</v>
      </c>
      <c r="B206" s="50">
        <v>16222</v>
      </c>
      <c r="C206" s="1365">
        <v>33302</v>
      </c>
      <c r="D206" s="506">
        <f t="shared" si="7"/>
        <v>49524</v>
      </c>
      <c r="E206" s="573">
        <v>7605</v>
      </c>
      <c r="F206" s="1365">
        <v>24538</v>
      </c>
      <c r="G206" s="506">
        <f t="shared" si="8"/>
        <v>32143</v>
      </c>
      <c r="H206" s="573">
        <v>40320</v>
      </c>
      <c r="I206" s="1365">
        <v>82280</v>
      </c>
      <c r="J206" s="526">
        <f t="shared" si="9"/>
        <v>122600</v>
      </c>
    </row>
    <row r="207" spans="1:10">
      <c r="A207" s="51">
        <f t="shared" si="6"/>
        <v>2010.06</v>
      </c>
      <c r="B207" s="50">
        <v>15475</v>
      </c>
      <c r="C207" s="1365">
        <v>33246</v>
      </c>
      <c r="D207" s="506">
        <f t="shared" si="7"/>
        <v>48721</v>
      </c>
      <c r="E207" s="573">
        <v>6887</v>
      </c>
      <c r="F207" s="1365">
        <v>26111</v>
      </c>
      <c r="G207" s="506">
        <f t="shared" si="8"/>
        <v>32998</v>
      </c>
      <c r="H207" s="573">
        <v>36735</v>
      </c>
      <c r="I207" s="1365">
        <v>79597</v>
      </c>
      <c r="J207" s="526">
        <f t="shared" si="9"/>
        <v>116332</v>
      </c>
    </row>
    <row r="208" spans="1:10">
      <c r="A208" s="51">
        <f t="shared" si="6"/>
        <v>2010.07</v>
      </c>
      <c r="B208" s="50">
        <v>15484</v>
      </c>
      <c r="C208" s="1365">
        <v>33558</v>
      </c>
      <c r="D208" s="506">
        <f t="shared" si="7"/>
        <v>49042</v>
      </c>
      <c r="E208" s="573">
        <v>6574</v>
      </c>
      <c r="F208" s="1365">
        <v>26343</v>
      </c>
      <c r="G208" s="506">
        <f t="shared" si="8"/>
        <v>32917</v>
      </c>
      <c r="H208" s="573">
        <v>36346</v>
      </c>
      <c r="I208" s="1365">
        <v>78099</v>
      </c>
      <c r="J208" s="526">
        <f t="shared" si="9"/>
        <v>114445</v>
      </c>
    </row>
    <row r="209" spans="1:10">
      <c r="A209" s="51">
        <f t="shared" si="6"/>
        <v>2010.08</v>
      </c>
      <c r="B209" s="50">
        <v>16506</v>
      </c>
      <c r="C209" s="1365">
        <v>34826</v>
      </c>
      <c r="D209" s="506">
        <f t="shared" si="7"/>
        <v>51332</v>
      </c>
      <c r="E209" s="573">
        <v>6924</v>
      </c>
      <c r="F209" s="1365">
        <v>25083</v>
      </c>
      <c r="G209" s="506">
        <f t="shared" si="8"/>
        <v>32007</v>
      </c>
      <c r="H209" s="573">
        <v>39062</v>
      </c>
      <c r="I209" s="1365">
        <v>80079</v>
      </c>
      <c r="J209" s="526">
        <f t="shared" si="9"/>
        <v>119141</v>
      </c>
    </row>
    <row r="210" spans="1:10">
      <c r="A210" s="51">
        <f t="shared" si="6"/>
        <v>2010.09</v>
      </c>
      <c r="B210" s="50">
        <v>15776</v>
      </c>
      <c r="C210" s="1365">
        <v>34083</v>
      </c>
      <c r="D210" s="506">
        <f t="shared" si="7"/>
        <v>49859</v>
      </c>
      <c r="E210" s="573">
        <v>6262</v>
      </c>
      <c r="F210" s="1365">
        <v>24479</v>
      </c>
      <c r="G210" s="506">
        <f t="shared" si="8"/>
        <v>30741</v>
      </c>
      <c r="H210" s="573">
        <v>38445</v>
      </c>
      <c r="I210" s="1365">
        <v>80400</v>
      </c>
      <c r="J210" s="526">
        <f t="shared" si="9"/>
        <v>118845</v>
      </c>
    </row>
    <row r="211" spans="1:10">
      <c r="A211" s="51">
        <f t="shared" si="6"/>
        <v>2010.1</v>
      </c>
      <c r="B211" s="50">
        <v>16183</v>
      </c>
      <c r="C211" s="1365">
        <v>32519</v>
      </c>
      <c r="D211" s="506">
        <f t="shared" si="7"/>
        <v>48702</v>
      </c>
      <c r="E211" s="573">
        <v>6638</v>
      </c>
      <c r="F211" s="1365">
        <v>24087</v>
      </c>
      <c r="G211" s="506">
        <f t="shared" si="8"/>
        <v>30725</v>
      </c>
      <c r="H211" s="573">
        <v>39924</v>
      </c>
      <c r="I211" s="1365">
        <v>78841</v>
      </c>
      <c r="J211" s="526">
        <f t="shared" si="9"/>
        <v>118765</v>
      </c>
    </row>
    <row r="212" spans="1:10">
      <c r="A212" s="51">
        <f t="shared" si="6"/>
        <v>2010.11</v>
      </c>
      <c r="B212" s="50">
        <v>15156</v>
      </c>
      <c r="C212" s="1365">
        <v>32587</v>
      </c>
      <c r="D212" s="506">
        <f t="shared" si="7"/>
        <v>47743</v>
      </c>
      <c r="E212" s="573">
        <v>5990</v>
      </c>
      <c r="F212" s="1365">
        <v>22040</v>
      </c>
      <c r="G212" s="506">
        <f t="shared" si="8"/>
        <v>28030</v>
      </c>
      <c r="H212" s="573">
        <v>36735</v>
      </c>
      <c r="I212" s="1365">
        <v>80102</v>
      </c>
      <c r="J212" s="526">
        <f t="shared" si="9"/>
        <v>116837</v>
      </c>
    </row>
    <row r="213" spans="1:10">
      <c r="A213" s="51">
        <f t="shared" si="6"/>
        <v>2010.12</v>
      </c>
      <c r="B213" s="50">
        <v>15471</v>
      </c>
      <c r="C213" s="1365">
        <v>32073</v>
      </c>
      <c r="D213" s="506">
        <f t="shared" si="7"/>
        <v>47544</v>
      </c>
      <c r="E213" s="573">
        <v>6083</v>
      </c>
      <c r="F213" s="1365">
        <v>22365</v>
      </c>
      <c r="G213" s="506">
        <f t="shared" si="8"/>
        <v>28448</v>
      </c>
      <c r="H213" s="573">
        <v>36199</v>
      </c>
      <c r="I213" s="1365">
        <v>77757</v>
      </c>
      <c r="J213" s="526">
        <f t="shared" si="9"/>
        <v>113956</v>
      </c>
    </row>
    <row r="214" spans="1:10">
      <c r="A214" s="51">
        <f t="shared" si="6"/>
        <v>2011.01</v>
      </c>
      <c r="B214" s="50">
        <v>15772</v>
      </c>
      <c r="C214" s="1365">
        <v>32062</v>
      </c>
      <c r="D214" s="506">
        <f t="shared" si="7"/>
        <v>47834</v>
      </c>
      <c r="E214" s="573">
        <v>6105</v>
      </c>
      <c r="F214" s="1365">
        <v>19607</v>
      </c>
      <c r="G214" s="506">
        <f t="shared" si="8"/>
        <v>25712</v>
      </c>
      <c r="H214" s="573">
        <v>37099</v>
      </c>
      <c r="I214" s="1365">
        <v>76387</v>
      </c>
      <c r="J214" s="526">
        <f t="shared" si="9"/>
        <v>113486</v>
      </c>
    </row>
    <row r="215" spans="1:10">
      <c r="A215" s="51">
        <f t="shared" si="6"/>
        <v>2011.02</v>
      </c>
      <c r="B215" s="50">
        <v>15990</v>
      </c>
      <c r="C215" s="1365">
        <v>33215</v>
      </c>
      <c r="D215" s="506">
        <f t="shared" si="7"/>
        <v>49205</v>
      </c>
      <c r="E215" s="573">
        <v>5579</v>
      </c>
      <c r="F215" s="1365">
        <v>19312</v>
      </c>
      <c r="G215" s="506">
        <f t="shared" si="8"/>
        <v>24891</v>
      </c>
      <c r="H215" s="573">
        <v>37187</v>
      </c>
      <c r="I215" s="1365">
        <v>81382</v>
      </c>
      <c r="J215" s="526">
        <f t="shared" si="9"/>
        <v>118569</v>
      </c>
    </row>
    <row r="216" spans="1:10">
      <c r="A216" s="51">
        <f t="shared" si="6"/>
        <v>2011.03</v>
      </c>
      <c r="B216" s="50">
        <v>15590</v>
      </c>
      <c r="C216" s="1365">
        <v>33428</v>
      </c>
      <c r="D216" s="506">
        <f t="shared" si="7"/>
        <v>49018</v>
      </c>
      <c r="E216" s="573">
        <v>5373</v>
      </c>
      <c r="F216" s="1365">
        <v>19681</v>
      </c>
      <c r="G216" s="506">
        <f t="shared" si="8"/>
        <v>25054</v>
      </c>
      <c r="H216" s="573">
        <v>37753</v>
      </c>
      <c r="I216" s="1365">
        <v>83453</v>
      </c>
      <c r="J216" s="526">
        <f t="shared" si="9"/>
        <v>121206</v>
      </c>
    </row>
    <row r="217" spans="1:10">
      <c r="A217" s="51">
        <f t="shared" si="6"/>
        <v>2011.04</v>
      </c>
      <c r="B217" s="50">
        <v>16330</v>
      </c>
      <c r="C217" s="1365">
        <v>33466</v>
      </c>
      <c r="D217" s="506">
        <f t="shared" si="7"/>
        <v>49796</v>
      </c>
      <c r="E217" s="573">
        <v>5981</v>
      </c>
      <c r="F217" s="1365">
        <v>19995</v>
      </c>
      <c r="G217" s="506">
        <f t="shared" si="8"/>
        <v>25976</v>
      </c>
      <c r="H217" s="573">
        <v>39789</v>
      </c>
      <c r="I217" s="1365">
        <v>83200</v>
      </c>
      <c r="J217" s="526">
        <f t="shared" si="9"/>
        <v>122989</v>
      </c>
    </row>
    <row r="218" spans="1:10">
      <c r="A218" s="51">
        <f t="shared" si="6"/>
        <v>2011.05</v>
      </c>
      <c r="B218" s="50">
        <v>15642</v>
      </c>
      <c r="C218" s="1365">
        <v>33139</v>
      </c>
      <c r="D218" s="506">
        <f t="shared" si="7"/>
        <v>48781</v>
      </c>
      <c r="E218" s="573">
        <v>5392</v>
      </c>
      <c r="F218" s="1365">
        <v>19702</v>
      </c>
      <c r="G218" s="506">
        <f t="shared" si="8"/>
        <v>25094</v>
      </c>
      <c r="H218" s="573">
        <v>39127</v>
      </c>
      <c r="I218" s="1365">
        <v>81559</v>
      </c>
      <c r="J218" s="526">
        <f t="shared" si="9"/>
        <v>120686</v>
      </c>
    </row>
    <row r="219" spans="1:10">
      <c r="A219" s="51">
        <f t="shared" si="6"/>
        <v>2011.06</v>
      </c>
      <c r="B219" s="50">
        <v>15820</v>
      </c>
      <c r="C219" s="1365">
        <v>33778</v>
      </c>
      <c r="D219" s="506">
        <f t="shared" si="7"/>
        <v>49598</v>
      </c>
      <c r="E219" s="573">
        <v>5409</v>
      </c>
      <c r="F219" s="1365">
        <v>19908</v>
      </c>
      <c r="G219" s="506">
        <f t="shared" si="8"/>
        <v>25317</v>
      </c>
      <c r="H219" s="573">
        <v>37812</v>
      </c>
      <c r="I219" s="1365">
        <v>80006</v>
      </c>
      <c r="J219" s="526">
        <f t="shared" si="9"/>
        <v>117818</v>
      </c>
    </row>
    <row r="220" spans="1:10">
      <c r="A220" s="51">
        <f t="shared" si="6"/>
        <v>2011.07</v>
      </c>
      <c r="B220" s="50">
        <v>15917</v>
      </c>
      <c r="C220" s="1365">
        <v>32100</v>
      </c>
      <c r="D220" s="506">
        <f t="shared" si="7"/>
        <v>48017</v>
      </c>
      <c r="E220" s="573">
        <v>5655</v>
      </c>
      <c r="F220" s="1365">
        <v>19203</v>
      </c>
      <c r="G220" s="506">
        <f t="shared" si="8"/>
        <v>24858</v>
      </c>
      <c r="H220" s="573">
        <v>39258</v>
      </c>
      <c r="I220" s="1365">
        <v>78419</v>
      </c>
      <c r="J220" s="526">
        <f t="shared" si="9"/>
        <v>117677</v>
      </c>
    </row>
    <row r="221" spans="1:10">
      <c r="A221" s="51">
        <f t="shared" si="6"/>
        <v>2011.08</v>
      </c>
      <c r="B221" s="50">
        <v>15594</v>
      </c>
      <c r="C221" s="1365">
        <v>32559</v>
      </c>
      <c r="D221" s="506">
        <f t="shared" si="7"/>
        <v>48153</v>
      </c>
      <c r="E221" s="573">
        <v>5416</v>
      </c>
      <c r="F221" s="1365">
        <v>20193</v>
      </c>
      <c r="G221" s="506">
        <f t="shared" si="8"/>
        <v>25609</v>
      </c>
      <c r="H221" s="573">
        <v>36815</v>
      </c>
      <c r="I221" s="1365">
        <v>78926</v>
      </c>
      <c r="J221" s="526">
        <f t="shared" si="9"/>
        <v>115741</v>
      </c>
    </row>
    <row r="222" spans="1:10">
      <c r="A222" s="51">
        <f t="shared" si="6"/>
        <v>2011.09</v>
      </c>
      <c r="B222" s="50">
        <v>15387</v>
      </c>
      <c r="C222" s="1365">
        <v>32559</v>
      </c>
      <c r="D222" s="506">
        <f t="shared" si="7"/>
        <v>47946</v>
      </c>
      <c r="E222" s="573">
        <v>5336</v>
      </c>
      <c r="F222" s="1365">
        <v>19249</v>
      </c>
      <c r="G222" s="506">
        <f t="shared" si="8"/>
        <v>24585</v>
      </c>
      <c r="H222" s="573">
        <v>36391</v>
      </c>
      <c r="I222" s="1365">
        <v>77220</v>
      </c>
      <c r="J222" s="526">
        <f t="shared" si="9"/>
        <v>113611</v>
      </c>
    </row>
    <row r="223" spans="1:10">
      <c r="A223" s="51">
        <f t="shared" si="6"/>
        <v>2011.1</v>
      </c>
      <c r="B223" s="50">
        <v>15725</v>
      </c>
      <c r="C223" s="1365">
        <v>30981</v>
      </c>
      <c r="D223" s="506">
        <f t="shared" si="7"/>
        <v>46706</v>
      </c>
      <c r="E223" s="573">
        <v>5913</v>
      </c>
      <c r="F223" s="1365">
        <v>20656</v>
      </c>
      <c r="G223" s="506">
        <f t="shared" si="8"/>
        <v>26569</v>
      </c>
      <c r="H223" s="573">
        <v>36931</v>
      </c>
      <c r="I223" s="1365">
        <v>75484</v>
      </c>
      <c r="J223" s="526">
        <f t="shared" si="9"/>
        <v>112415</v>
      </c>
    </row>
    <row r="224" spans="1:10">
      <c r="A224" s="51">
        <f t="shared" si="6"/>
        <v>2011.11</v>
      </c>
      <c r="B224" s="50">
        <v>15188</v>
      </c>
      <c r="C224" s="1365">
        <v>30837</v>
      </c>
      <c r="D224" s="506">
        <f t="shared" si="7"/>
        <v>46025</v>
      </c>
      <c r="E224" s="573">
        <v>5472</v>
      </c>
      <c r="F224" s="1365">
        <v>20707</v>
      </c>
      <c r="G224" s="506">
        <f t="shared" si="8"/>
        <v>26179</v>
      </c>
      <c r="H224" s="573">
        <v>35259</v>
      </c>
      <c r="I224" s="1365">
        <v>74986</v>
      </c>
      <c r="J224" s="526">
        <f t="shared" si="9"/>
        <v>110245</v>
      </c>
    </row>
    <row r="225" spans="1:10">
      <c r="A225" s="51">
        <f t="shared" si="6"/>
        <v>2011.12</v>
      </c>
      <c r="B225" s="50">
        <v>14761</v>
      </c>
      <c r="C225" s="1365">
        <v>30271</v>
      </c>
      <c r="D225" s="506">
        <f t="shared" si="7"/>
        <v>45032</v>
      </c>
      <c r="E225" s="573">
        <v>6919</v>
      </c>
      <c r="F225" s="1365">
        <v>22000</v>
      </c>
      <c r="G225" s="506">
        <f t="shared" si="8"/>
        <v>28919</v>
      </c>
      <c r="H225" s="573">
        <v>34828</v>
      </c>
      <c r="I225" s="1365">
        <v>74174</v>
      </c>
      <c r="J225" s="526">
        <f t="shared" si="9"/>
        <v>109002</v>
      </c>
    </row>
    <row r="226" spans="1:10">
      <c r="A226" s="51">
        <f t="shared" si="6"/>
        <v>2012.01</v>
      </c>
      <c r="B226" s="50">
        <v>14780</v>
      </c>
      <c r="C226" s="1365">
        <v>29453</v>
      </c>
      <c r="D226" s="506">
        <f t="shared" ref="D226:D273" si="10">B226+C226</f>
        <v>44233</v>
      </c>
      <c r="E226" s="573">
        <v>5449</v>
      </c>
      <c r="F226" s="1365">
        <v>19724</v>
      </c>
      <c r="G226" s="506">
        <f t="shared" si="8"/>
        <v>25173</v>
      </c>
      <c r="H226" s="573">
        <v>33795</v>
      </c>
      <c r="I226" s="1365">
        <v>72546</v>
      </c>
      <c r="J226" s="526">
        <f t="shared" ref="J226:J273" si="11">H226+I226</f>
        <v>106341</v>
      </c>
    </row>
    <row r="227" spans="1:10">
      <c r="A227" s="51">
        <f t="shared" si="6"/>
        <v>2012.02</v>
      </c>
      <c r="B227" s="50">
        <v>15052</v>
      </c>
      <c r="C227" s="1365">
        <v>30603</v>
      </c>
      <c r="D227" s="506">
        <f t="shared" si="10"/>
        <v>45655</v>
      </c>
      <c r="E227" s="573">
        <v>6264</v>
      </c>
      <c r="F227" s="1365">
        <v>21160</v>
      </c>
      <c r="G227" s="506">
        <f t="shared" si="8"/>
        <v>27424</v>
      </c>
      <c r="H227" s="573">
        <v>34918</v>
      </c>
      <c r="I227" s="1365">
        <v>76015</v>
      </c>
      <c r="J227" s="526">
        <f t="shared" si="11"/>
        <v>110933</v>
      </c>
    </row>
    <row r="228" spans="1:10">
      <c r="A228" s="51">
        <f t="shared" si="6"/>
        <v>2012.03</v>
      </c>
      <c r="B228" s="50">
        <v>14973</v>
      </c>
      <c r="C228" s="1365">
        <v>29891</v>
      </c>
      <c r="D228" s="506">
        <f t="shared" si="10"/>
        <v>44864</v>
      </c>
      <c r="E228" s="573">
        <v>6365</v>
      </c>
      <c r="F228" s="1365">
        <v>21390</v>
      </c>
      <c r="G228" s="506">
        <f t="shared" si="8"/>
        <v>27755</v>
      </c>
      <c r="H228" s="573">
        <v>35372</v>
      </c>
      <c r="I228" s="1365">
        <v>78192</v>
      </c>
      <c r="J228" s="526">
        <f t="shared" si="11"/>
        <v>113564</v>
      </c>
    </row>
    <row r="229" spans="1:10">
      <c r="A229" s="51">
        <f t="shared" si="6"/>
        <v>2012.04</v>
      </c>
      <c r="B229" s="50">
        <v>15850</v>
      </c>
      <c r="C229" s="1365">
        <v>30984</v>
      </c>
      <c r="D229" s="506">
        <f t="shared" si="10"/>
        <v>46834</v>
      </c>
      <c r="E229" s="573">
        <v>6666</v>
      </c>
      <c r="F229" s="1365">
        <v>20798</v>
      </c>
      <c r="G229" s="506">
        <f t="shared" si="8"/>
        <v>27464</v>
      </c>
      <c r="H229" s="573">
        <v>37163</v>
      </c>
      <c r="I229" s="1365">
        <v>75947</v>
      </c>
      <c r="J229" s="526">
        <f t="shared" si="11"/>
        <v>113110</v>
      </c>
    </row>
    <row r="230" spans="1:10">
      <c r="A230" s="51">
        <f t="shared" si="6"/>
        <v>2012.05</v>
      </c>
      <c r="B230" s="50">
        <v>15011</v>
      </c>
      <c r="C230" s="1365">
        <v>30940</v>
      </c>
      <c r="D230" s="506">
        <f t="shared" si="10"/>
        <v>45951</v>
      </c>
      <c r="E230" s="573">
        <v>6059</v>
      </c>
      <c r="F230" s="1365">
        <v>20961</v>
      </c>
      <c r="G230" s="506">
        <f t="shared" si="8"/>
        <v>27020</v>
      </c>
      <c r="H230" s="573">
        <v>35310</v>
      </c>
      <c r="I230" s="1365">
        <v>75570</v>
      </c>
      <c r="J230" s="526">
        <f t="shared" si="11"/>
        <v>110880</v>
      </c>
    </row>
    <row r="231" spans="1:10">
      <c r="A231" s="51">
        <f t="shared" si="6"/>
        <v>2012.06</v>
      </c>
      <c r="B231" s="50">
        <v>15080</v>
      </c>
      <c r="C231" s="1365">
        <v>29934</v>
      </c>
      <c r="D231" s="506">
        <f t="shared" si="10"/>
        <v>45014</v>
      </c>
      <c r="E231" s="573">
        <v>5564</v>
      </c>
      <c r="F231" s="1365">
        <v>20073</v>
      </c>
      <c r="G231" s="506">
        <f t="shared" si="8"/>
        <v>25637</v>
      </c>
      <c r="H231" s="573">
        <v>34411</v>
      </c>
      <c r="I231" s="1365">
        <v>73383</v>
      </c>
      <c r="J231" s="526">
        <f t="shared" si="11"/>
        <v>107794</v>
      </c>
    </row>
    <row r="232" spans="1:10">
      <c r="A232" s="51">
        <f t="shared" si="6"/>
        <v>2012.07</v>
      </c>
      <c r="B232" s="50">
        <v>15414</v>
      </c>
      <c r="C232" s="1365">
        <v>30583</v>
      </c>
      <c r="D232" s="506">
        <f t="shared" si="10"/>
        <v>45997</v>
      </c>
      <c r="E232" s="573">
        <v>5903</v>
      </c>
      <c r="F232" s="1365">
        <v>20309</v>
      </c>
      <c r="G232" s="506">
        <f t="shared" si="8"/>
        <v>26212</v>
      </c>
      <c r="H232" s="573">
        <v>35505</v>
      </c>
      <c r="I232" s="1365">
        <v>73629</v>
      </c>
      <c r="J232" s="526">
        <f t="shared" si="11"/>
        <v>109134</v>
      </c>
    </row>
    <row r="233" spans="1:10">
      <c r="A233" s="51">
        <f t="shared" si="6"/>
        <v>2012.08</v>
      </c>
      <c r="B233" s="50">
        <v>14662</v>
      </c>
      <c r="C233" s="1365">
        <v>30884</v>
      </c>
      <c r="D233" s="506">
        <f t="shared" si="10"/>
        <v>45546</v>
      </c>
      <c r="E233" s="573">
        <v>5364</v>
      </c>
      <c r="F233" s="1365">
        <v>20014</v>
      </c>
      <c r="G233" s="506">
        <f t="shared" si="8"/>
        <v>25378</v>
      </c>
      <c r="H233" s="573">
        <v>33024</v>
      </c>
      <c r="I233" s="1365">
        <v>73323</v>
      </c>
      <c r="J233" s="526">
        <f t="shared" si="11"/>
        <v>106347</v>
      </c>
    </row>
    <row r="234" spans="1:10">
      <c r="A234" s="51">
        <f t="shared" si="6"/>
        <v>2012.09</v>
      </c>
      <c r="B234" s="50">
        <v>15258</v>
      </c>
      <c r="C234" s="1365">
        <v>30108</v>
      </c>
      <c r="D234" s="506">
        <f t="shared" si="10"/>
        <v>45366</v>
      </c>
      <c r="E234" s="573">
        <v>5663</v>
      </c>
      <c r="F234" s="1365">
        <v>20155</v>
      </c>
      <c r="G234" s="506">
        <f t="shared" si="8"/>
        <v>25818</v>
      </c>
      <c r="H234" s="573">
        <v>35483</v>
      </c>
      <c r="I234" s="1365">
        <v>72810</v>
      </c>
      <c r="J234" s="526">
        <f t="shared" si="11"/>
        <v>108293</v>
      </c>
    </row>
    <row r="235" spans="1:10">
      <c r="A235" s="51">
        <f t="shared" si="6"/>
        <v>2012.1</v>
      </c>
      <c r="B235" s="50">
        <v>14381</v>
      </c>
      <c r="C235" s="1365">
        <v>29507</v>
      </c>
      <c r="D235" s="506">
        <f t="shared" si="10"/>
        <v>43888</v>
      </c>
      <c r="E235" s="573">
        <v>5013</v>
      </c>
      <c r="F235" s="1365">
        <v>20179</v>
      </c>
      <c r="G235" s="506">
        <f t="shared" si="8"/>
        <v>25192</v>
      </c>
      <c r="H235" s="573">
        <v>33214</v>
      </c>
      <c r="I235" s="1365">
        <v>70342</v>
      </c>
      <c r="J235" s="526">
        <f t="shared" si="11"/>
        <v>103556</v>
      </c>
    </row>
    <row r="236" spans="1:10">
      <c r="A236" s="51">
        <f t="shared" si="6"/>
        <v>2012.11</v>
      </c>
      <c r="B236" s="50">
        <v>14294</v>
      </c>
      <c r="C236" s="1365">
        <v>28478</v>
      </c>
      <c r="D236" s="506">
        <f t="shared" si="10"/>
        <v>42772</v>
      </c>
      <c r="E236" s="573">
        <v>4757</v>
      </c>
      <c r="F236" s="1365">
        <v>17368</v>
      </c>
      <c r="G236" s="506">
        <f t="shared" si="8"/>
        <v>22125</v>
      </c>
      <c r="H236" s="573">
        <v>34516</v>
      </c>
      <c r="I236" s="1365">
        <v>74143</v>
      </c>
      <c r="J236" s="526">
        <f t="shared" si="11"/>
        <v>108659</v>
      </c>
    </row>
    <row r="237" spans="1:10">
      <c r="A237" s="51">
        <f t="shared" si="6"/>
        <v>2012.12</v>
      </c>
      <c r="B237" s="50">
        <v>14909</v>
      </c>
      <c r="C237" s="1365">
        <v>28738</v>
      </c>
      <c r="D237" s="506">
        <f t="shared" si="10"/>
        <v>43647</v>
      </c>
      <c r="E237" s="573">
        <v>4122</v>
      </c>
      <c r="F237" s="1365">
        <v>12207</v>
      </c>
      <c r="G237" s="506">
        <f t="shared" si="8"/>
        <v>16329</v>
      </c>
      <c r="H237" s="573">
        <v>33516</v>
      </c>
      <c r="I237" s="1365">
        <v>66991</v>
      </c>
      <c r="J237" s="526">
        <f t="shared" si="11"/>
        <v>100507</v>
      </c>
    </row>
    <row r="238" spans="1:10">
      <c r="A238" s="51">
        <f t="shared" si="6"/>
        <v>2013.01</v>
      </c>
      <c r="B238" s="50">
        <v>13699</v>
      </c>
      <c r="C238" s="1365">
        <v>28307</v>
      </c>
      <c r="D238" s="506">
        <f t="shared" si="10"/>
        <v>42006</v>
      </c>
      <c r="E238" s="573">
        <v>3067</v>
      </c>
      <c r="F238" s="1365">
        <v>10674</v>
      </c>
      <c r="G238" s="506">
        <f t="shared" si="8"/>
        <v>13741</v>
      </c>
      <c r="H238" s="573">
        <v>31154</v>
      </c>
      <c r="I238" s="1365">
        <v>67274</v>
      </c>
      <c r="J238" s="526">
        <f t="shared" si="11"/>
        <v>98428</v>
      </c>
    </row>
    <row r="239" spans="1:10">
      <c r="A239" s="51">
        <f t="shared" si="6"/>
        <v>2013.02</v>
      </c>
      <c r="B239" s="50">
        <v>14128</v>
      </c>
      <c r="C239" s="1365">
        <v>28798</v>
      </c>
      <c r="D239" s="506">
        <f t="shared" si="10"/>
        <v>42926</v>
      </c>
      <c r="E239" s="573">
        <v>2980</v>
      </c>
      <c r="F239" s="1365">
        <v>9063</v>
      </c>
      <c r="G239" s="506">
        <f t="shared" si="8"/>
        <v>12043</v>
      </c>
      <c r="H239" s="573">
        <v>32551</v>
      </c>
      <c r="I239" s="1365">
        <v>69358</v>
      </c>
      <c r="J239" s="526">
        <f t="shared" si="11"/>
        <v>101909</v>
      </c>
    </row>
    <row r="240" spans="1:10">
      <c r="A240" s="51">
        <f t="shared" si="6"/>
        <v>2013.03</v>
      </c>
      <c r="B240" s="50">
        <v>14878</v>
      </c>
      <c r="C240" s="1365">
        <v>29232</v>
      </c>
      <c r="D240" s="506">
        <f t="shared" si="10"/>
        <v>44110</v>
      </c>
      <c r="E240" s="573">
        <v>3443</v>
      </c>
      <c r="F240" s="1365">
        <v>8551</v>
      </c>
      <c r="G240" s="506">
        <f t="shared" si="8"/>
        <v>11994</v>
      </c>
      <c r="H240" s="573">
        <v>34327</v>
      </c>
      <c r="I240" s="1365">
        <v>69979</v>
      </c>
      <c r="J240" s="526">
        <f t="shared" si="11"/>
        <v>104306</v>
      </c>
    </row>
    <row r="241" spans="1:10">
      <c r="A241" s="51">
        <f t="shared" si="6"/>
        <v>2013.04</v>
      </c>
      <c r="B241" s="50">
        <v>14106</v>
      </c>
      <c r="C241" s="1365">
        <v>28992</v>
      </c>
      <c r="D241" s="506">
        <f t="shared" si="10"/>
        <v>43098</v>
      </c>
      <c r="E241" s="573">
        <v>3289</v>
      </c>
      <c r="F241" s="1365">
        <v>8612</v>
      </c>
      <c r="G241" s="506">
        <f t="shared" si="8"/>
        <v>11901</v>
      </c>
      <c r="H241" s="573">
        <v>32252</v>
      </c>
      <c r="I241" s="1365">
        <v>69486</v>
      </c>
      <c r="J241" s="526">
        <f t="shared" si="11"/>
        <v>101738</v>
      </c>
    </row>
    <row r="242" spans="1:10">
      <c r="A242" s="51">
        <f t="shared" ref="A242:A305" si="12">A230+1</f>
        <v>2013.05</v>
      </c>
      <c r="B242" s="50">
        <v>13899</v>
      </c>
      <c r="C242" s="1365">
        <v>28395</v>
      </c>
      <c r="D242" s="506">
        <f t="shared" si="10"/>
        <v>42294</v>
      </c>
      <c r="E242" s="573">
        <v>3589</v>
      </c>
      <c r="F242" s="1365">
        <v>8810</v>
      </c>
      <c r="G242" s="506">
        <f t="shared" si="8"/>
        <v>12399</v>
      </c>
      <c r="H242" s="573">
        <v>32812</v>
      </c>
      <c r="I242" s="1365">
        <v>68152</v>
      </c>
      <c r="J242" s="526">
        <f t="shared" si="11"/>
        <v>100964</v>
      </c>
    </row>
    <row r="243" spans="1:10">
      <c r="A243" s="51">
        <f t="shared" si="12"/>
        <v>2013.06</v>
      </c>
      <c r="B243" s="50">
        <v>14518</v>
      </c>
      <c r="C243" s="1365">
        <v>28243</v>
      </c>
      <c r="D243" s="506">
        <f t="shared" si="10"/>
        <v>42761</v>
      </c>
      <c r="E243" s="573">
        <v>3801</v>
      </c>
      <c r="F243" s="1365">
        <v>9196</v>
      </c>
      <c r="G243" s="506">
        <f t="shared" si="8"/>
        <v>12997</v>
      </c>
      <c r="H243" s="573">
        <v>34885</v>
      </c>
      <c r="I243" s="1365">
        <v>67418</v>
      </c>
      <c r="J243" s="526">
        <f t="shared" si="11"/>
        <v>102303</v>
      </c>
    </row>
    <row r="244" spans="1:10">
      <c r="A244" s="51">
        <f t="shared" si="12"/>
        <v>2013.07</v>
      </c>
      <c r="B244" s="50">
        <v>14012</v>
      </c>
      <c r="C244" s="1365">
        <v>27863</v>
      </c>
      <c r="D244" s="506">
        <f t="shared" si="10"/>
        <v>41875</v>
      </c>
      <c r="E244" s="573">
        <v>3540</v>
      </c>
      <c r="F244" s="1365">
        <v>9052</v>
      </c>
      <c r="G244" s="506">
        <f t="shared" si="8"/>
        <v>12592</v>
      </c>
      <c r="H244" s="573">
        <v>31373</v>
      </c>
      <c r="I244" s="1365">
        <v>65717</v>
      </c>
      <c r="J244" s="526">
        <f t="shared" si="11"/>
        <v>97090</v>
      </c>
    </row>
    <row r="245" spans="1:10">
      <c r="A245" s="51">
        <f t="shared" si="12"/>
        <v>2013.08</v>
      </c>
      <c r="B245" s="50">
        <v>14033</v>
      </c>
      <c r="C245" s="1365">
        <v>27124</v>
      </c>
      <c r="D245" s="506">
        <f t="shared" si="10"/>
        <v>41157</v>
      </c>
      <c r="E245" s="573">
        <v>3622</v>
      </c>
      <c r="F245" s="1365">
        <v>8988</v>
      </c>
      <c r="G245" s="506">
        <f t="shared" si="8"/>
        <v>12610</v>
      </c>
      <c r="H245" s="573">
        <v>34319</v>
      </c>
      <c r="I245" s="1365">
        <v>68748</v>
      </c>
      <c r="J245" s="526">
        <f t="shared" si="11"/>
        <v>103067</v>
      </c>
    </row>
    <row r="246" spans="1:10">
      <c r="A246" s="51">
        <f t="shared" si="12"/>
        <v>2013.09</v>
      </c>
      <c r="B246" s="50">
        <v>14232</v>
      </c>
      <c r="C246" s="1365">
        <v>26689</v>
      </c>
      <c r="D246" s="506">
        <f t="shared" si="10"/>
        <v>40921</v>
      </c>
      <c r="E246" s="573">
        <v>3839</v>
      </c>
      <c r="F246" s="1365">
        <v>8870</v>
      </c>
      <c r="G246" s="506">
        <f t="shared" si="8"/>
        <v>12709</v>
      </c>
      <c r="H246" s="573">
        <v>32990</v>
      </c>
      <c r="I246" s="1365">
        <v>65772</v>
      </c>
      <c r="J246" s="526">
        <f t="shared" si="11"/>
        <v>98762</v>
      </c>
    </row>
    <row r="247" spans="1:10">
      <c r="A247" s="51">
        <f t="shared" si="12"/>
        <v>2013.1</v>
      </c>
      <c r="B247" s="50">
        <v>13312</v>
      </c>
      <c r="C247" s="1365">
        <v>26074</v>
      </c>
      <c r="D247" s="506">
        <f t="shared" si="10"/>
        <v>39386</v>
      </c>
      <c r="E247" s="573">
        <v>4004</v>
      </c>
      <c r="F247" s="1365">
        <v>8911</v>
      </c>
      <c r="G247" s="506">
        <f t="shared" si="8"/>
        <v>12915</v>
      </c>
      <c r="H247" s="573">
        <v>31245</v>
      </c>
      <c r="I247" s="1365">
        <v>64016</v>
      </c>
      <c r="J247" s="526">
        <f t="shared" si="11"/>
        <v>95261</v>
      </c>
    </row>
    <row r="248" spans="1:10">
      <c r="A248" s="51">
        <f t="shared" si="12"/>
        <v>2013.11</v>
      </c>
      <c r="B248" s="50">
        <v>13427</v>
      </c>
      <c r="C248" s="1365">
        <v>25557</v>
      </c>
      <c r="D248" s="506">
        <f t="shared" si="10"/>
        <v>38984</v>
      </c>
      <c r="E248" s="573">
        <v>3963</v>
      </c>
      <c r="F248" s="1365">
        <v>8909</v>
      </c>
      <c r="G248" s="506">
        <f t="shared" si="8"/>
        <v>12872</v>
      </c>
      <c r="H248" s="573">
        <v>31032</v>
      </c>
      <c r="I248" s="1365">
        <v>64336</v>
      </c>
      <c r="J248" s="526">
        <f t="shared" si="11"/>
        <v>95368</v>
      </c>
    </row>
    <row r="249" spans="1:10">
      <c r="A249" s="51">
        <f t="shared" si="12"/>
        <v>2013.12</v>
      </c>
      <c r="B249" s="50">
        <v>13588</v>
      </c>
      <c r="C249" s="1365">
        <v>24850</v>
      </c>
      <c r="D249" s="506">
        <f t="shared" si="10"/>
        <v>38438</v>
      </c>
      <c r="E249" s="573">
        <v>4010</v>
      </c>
      <c r="F249" s="1365">
        <v>8613</v>
      </c>
      <c r="G249" s="506">
        <f t="shared" si="8"/>
        <v>12623</v>
      </c>
      <c r="H249" s="573">
        <v>31137</v>
      </c>
      <c r="I249" s="1365">
        <v>61831</v>
      </c>
      <c r="J249" s="526">
        <f t="shared" si="11"/>
        <v>92968</v>
      </c>
    </row>
    <row r="250" spans="1:10">
      <c r="A250" s="51">
        <f t="shared" si="12"/>
        <v>2014.01</v>
      </c>
      <c r="B250" s="50">
        <v>12573</v>
      </c>
      <c r="C250" s="1365">
        <v>24834</v>
      </c>
      <c r="D250" s="506">
        <f t="shared" si="10"/>
        <v>37407</v>
      </c>
      <c r="E250" s="573">
        <v>3745</v>
      </c>
      <c r="F250" s="1365">
        <v>8885</v>
      </c>
      <c r="G250" s="506">
        <f t="shared" si="8"/>
        <v>12630</v>
      </c>
      <c r="H250" s="573">
        <v>29179</v>
      </c>
      <c r="I250" s="1365">
        <v>61639</v>
      </c>
      <c r="J250" s="526">
        <f t="shared" si="11"/>
        <v>90818</v>
      </c>
    </row>
    <row r="251" spans="1:10">
      <c r="A251" s="51">
        <f t="shared" si="12"/>
        <v>2014.02</v>
      </c>
      <c r="B251" s="50">
        <v>13245</v>
      </c>
      <c r="C251" s="1365">
        <v>25689</v>
      </c>
      <c r="D251" s="506">
        <f t="shared" si="10"/>
        <v>38934</v>
      </c>
      <c r="E251" s="573">
        <v>4003</v>
      </c>
      <c r="F251" s="1365">
        <v>8933</v>
      </c>
      <c r="G251" s="506">
        <f t="shared" si="8"/>
        <v>12936</v>
      </c>
      <c r="H251" s="573">
        <v>30284</v>
      </c>
      <c r="I251" s="1365">
        <v>62124</v>
      </c>
      <c r="J251" s="526">
        <f t="shared" si="11"/>
        <v>92408</v>
      </c>
    </row>
    <row r="252" spans="1:10">
      <c r="A252" s="51">
        <f t="shared" si="12"/>
        <v>2014.03</v>
      </c>
      <c r="B252" s="50">
        <v>13545</v>
      </c>
      <c r="C252" s="1365">
        <v>25467</v>
      </c>
      <c r="D252" s="506">
        <f t="shared" si="10"/>
        <v>39012</v>
      </c>
      <c r="E252" s="573">
        <v>4019</v>
      </c>
      <c r="F252" s="1365">
        <v>8835</v>
      </c>
      <c r="G252" s="506">
        <f t="shared" si="8"/>
        <v>12854</v>
      </c>
      <c r="H252" s="573">
        <v>31599</v>
      </c>
      <c r="I252" s="1365">
        <v>63494</v>
      </c>
      <c r="J252" s="526">
        <f t="shared" si="11"/>
        <v>95093</v>
      </c>
    </row>
    <row r="253" spans="1:10">
      <c r="A253" s="51">
        <f t="shared" si="12"/>
        <v>2014.04</v>
      </c>
      <c r="B253" s="613">
        <v>13024</v>
      </c>
      <c r="C253" s="1639">
        <v>25087</v>
      </c>
      <c r="D253" s="506">
        <f t="shared" si="10"/>
        <v>38111</v>
      </c>
      <c r="E253" s="631">
        <v>4003</v>
      </c>
      <c r="F253" s="1639">
        <v>8902</v>
      </c>
      <c r="G253" s="506">
        <f t="shared" si="8"/>
        <v>12905</v>
      </c>
      <c r="H253" s="631">
        <v>31719</v>
      </c>
      <c r="I253" s="1639">
        <v>62817</v>
      </c>
      <c r="J253" s="526">
        <f t="shared" si="11"/>
        <v>94536</v>
      </c>
    </row>
    <row r="254" spans="1:10">
      <c r="A254" s="51">
        <f t="shared" si="12"/>
        <v>2014.05</v>
      </c>
      <c r="B254" s="613">
        <v>12925</v>
      </c>
      <c r="C254" s="1365">
        <v>25003</v>
      </c>
      <c r="D254" s="506">
        <f t="shared" si="10"/>
        <v>37928</v>
      </c>
      <c r="E254" s="573">
        <v>4001</v>
      </c>
      <c r="F254" s="1365">
        <v>8904</v>
      </c>
      <c r="G254" s="506">
        <f t="shared" si="8"/>
        <v>12905</v>
      </c>
      <c r="H254" s="573">
        <v>31351</v>
      </c>
      <c r="I254" s="1365">
        <v>61796</v>
      </c>
      <c r="J254" s="526">
        <f t="shared" si="11"/>
        <v>93147</v>
      </c>
    </row>
    <row r="255" spans="1:10">
      <c r="A255" s="51">
        <f t="shared" si="12"/>
        <v>2014.06</v>
      </c>
      <c r="B255" s="613">
        <v>13156</v>
      </c>
      <c r="C255" s="1365">
        <v>24305</v>
      </c>
      <c r="D255" s="506">
        <f>B255+C255</f>
        <v>37461</v>
      </c>
      <c r="E255" s="573">
        <v>4083</v>
      </c>
      <c r="F255" s="1365">
        <v>8648</v>
      </c>
      <c r="G255" s="506">
        <f>E255+F255</f>
        <v>12731</v>
      </c>
      <c r="H255" s="573">
        <v>32410</v>
      </c>
      <c r="I255" s="1365">
        <v>60054</v>
      </c>
      <c r="J255" s="526">
        <f t="shared" si="11"/>
        <v>92464</v>
      </c>
    </row>
    <row r="256" spans="1:10">
      <c r="A256" s="51">
        <f t="shared" si="12"/>
        <v>2014.07</v>
      </c>
      <c r="B256" s="613">
        <v>12409</v>
      </c>
      <c r="C256" s="1365">
        <v>23753</v>
      </c>
      <c r="D256" s="506">
        <f t="shared" si="10"/>
        <v>36162</v>
      </c>
      <c r="E256" s="573">
        <v>3962</v>
      </c>
      <c r="F256" s="1365">
        <v>8622</v>
      </c>
      <c r="G256" s="506">
        <f t="shared" si="8"/>
        <v>12584</v>
      </c>
      <c r="H256" s="573">
        <v>29759</v>
      </c>
      <c r="I256" s="1365">
        <v>59137</v>
      </c>
      <c r="J256" s="526">
        <f t="shared" si="11"/>
        <v>88896</v>
      </c>
    </row>
    <row r="257" spans="1:10">
      <c r="A257" s="51">
        <f t="shared" si="12"/>
        <v>2014.08</v>
      </c>
      <c r="B257" s="613">
        <v>13416</v>
      </c>
      <c r="C257" s="1365">
        <v>25383</v>
      </c>
      <c r="D257" s="506">
        <f t="shared" si="10"/>
        <v>38799</v>
      </c>
      <c r="E257" s="573">
        <v>4002</v>
      </c>
      <c r="F257" s="1365">
        <v>8608</v>
      </c>
      <c r="G257" s="506">
        <f t="shared" si="8"/>
        <v>12610</v>
      </c>
      <c r="H257" s="573">
        <v>31487</v>
      </c>
      <c r="I257" s="1365">
        <v>59663</v>
      </c>
      <c r="J257" s="526">
        <f t="shared" si="11"/>
        <v>91150</v>
      </c>
    </row>
    <row r="258" spans="1:10">
      <c r="A258" s="51">
        <f t="shared" si="12"/>
        <v>2014.09</v>
      </c>
      <c r="B258" s="613">
        <v>12814</v>
      </c>
      <c r="C258" s="1639">
        <v>24617</v>
      </c>
      <c r="D258" s="506">
        <f t="shared" si="10"/>
        <v>37431</v>
      </c>
      <c r="E258" s="573">
        <v>3883</v>
      </c>
      <c r="F258" s="1365">
        <v>8658</v>
      </c>
      <c r="G258" s="506">
        <f t="shared" si="8"/>
        <v>12541</v>
      </c>
      <c r="H258" s="573">
        <v>29825</v>
      </c>
      <c r="I258" s="1365">
        <v>58681</v>
      </c>
      <c r="J258" s="526">
        <f t="shared" si="11"/>
        <v>88506</v>
      </c>
    </row>
    <row r="259" spans="1:10">
      <c r="A259" s="51">
        <f t="shared" si="12"/>
        <v>2014.1</v>
      </c>
      <c r="B259" s="50">
        <v>12345</v>
      </c>
      <c r="C259" s="1365">
        <v>23778</v>
      </c>
      <c r="D259" s="506">
        <f t="shared" si="10"/>
        <v>36123</v>
      </c>
      <c r="E259" s="573">
        <v>3946</v>
      </c>
      <c r="F259" s="1365">
        <v>8654</v>
      </c>
      <c r="G259" s="506">
        <f t="shared" si="8"/>
        <v>12600</v>
      </c>
      <c r="H259" s="573">
        <v>28668</v>
      </c>
      <c r="I259" s="1365">
        <v>56356</v>
      </c>
      <c r="J259" s="526">
        <f t="shared" si="11"/>
        <v>85024</v>
      </c>
    </row>
    <row r="260" spans="1:10">
      <c r="A260" s="51">
        <f t="shared" si="12"/>
        <v>2014.11</v>
      </c>
      <c r="B260" s="50">
        <v>13603</v>
      </c>
      <c r="C260" s="1365">
        <v>24363</v>
      </c>
      <c r="D260" s="506">
        <f t="shared" si="10"/>
        <v>37966</v>
      </c>
      <c r="E260" s="573">
        <v>3986</v>
      </c>
      <c r="F260" s="1365">
        <v>8318</v>
      </c>
      <c r="G260" s="506">
        <f t="shared" si="8"/>
        <v>12304</v>
      </c>
      <c r="H260" s="573">
        <v>30506</v>
      </c>
      <c r="I260" s="1365">
        <v>55770</v>
      </c>
      <c r="J260" s="526">
        <f t="shared" si="11"/>
        <v>86276</v>
      </c>
    </row>
    <row r="261" spans="1:10">
      <c r="A261" s="51">
        <f t="shared" si="12"/>
        <v>2014.12</v>
      </c>
      <c r="B261" s="50">
        <v>12852</v>
      </c>
      <c r="C261" s="1365">
        <v>23171</v>
      </c>
      <c r="D261" s="506">
        <f t="shared" si="10"/>
        <v>36023</v>
      </c>
      <c r="E261" s="573">
        <v>3605</v>
      </c>
      <c r="F261" s="1365">
        <v>7928</v>
      </c>
      <c r="G261" s="506">
        <f t="shared" si="8"/>
        <v>11533</v>
      </c>
      <c r="H261" s="573">
        <v>28613</v>
      </c>
      <c r="I261" s="1365">
        <v>54791</v>
      </c>
      <c r="J261" s="526">
        <f t="shared" si="11"/>
        <v>83404</v>
      </c>
    </row>
    <row r="262" spans="1:10">
      <c r="A262" s="51">
        <f t="shared" si="12"/>
        <v>2015.01</v>
      </c>
      <c r="B262" s="50">
        <v>11517</v>
      </c>
      <c r="C262" s="1365">
        <v>21990</v>
      </c>
      <c r="D262" s="506">
        <f t="shared" si="10"/>
        <v>33507</v>
      </c>
      <c r="E262" s="573">
        <v>2951</v>
      </c>
      <c r="F262" s="1365">
        <v>7337</v>
      </c>
      <c r="G262" s="506">
        <f t="shared" si="8"/>
        <v>10288</v>
      </c>
      <c r="H262" s="573">
        <v>27426</v>
      </c>
      <c r="I262" s="1365">
        <v>54967</v>
      </c>
      <c r="J262" s="526">
        <f t="shared" si="11"/>
        <v>82393</v>
      </c>
    </row>
    <row r="263" spans="1:10">
      <c r="A263" s="51">
        <f t="shared" si="12"/>
        <v>2015.02</v>
      </c>
      <c r="B263" s="50">
        <v>12045</v>
      </c>
      <c r="C263" s="1365">
        <v>21943</v>
      </c>
      <c r="D263" s="506">
        <f t="shared" si="10"/>
        <v>33988</v>
      </c>
      <c r="E263" s="573">
        <v>3305</v>
      </c>
      <c r="F263" s="1365">
        <v>7337</v>
      </c>
      <c r="G263" s="506">
        <f t="shared" si="8"/>
        <v>10642</v>
      </c>
      <c r="H263" s="573">
        <v>28685</v>
      </c>
      <c r="I263" s="1365">
        <v>55877</v>
      </c>
      <c r="J263" s="526">
        <f t="shared" si="11"/>
        <v>84562</v>
      </c>
    </row>
    <row r="264" spans="1:10">
      <c r="A264" s="51">
        <f t="shared" si="12"/>
        <v>2015.03</v>
      </c>
      <c r="B264" s="50">
        <v>12152</v>
      </c>
      <c r="C264" s="1365">
        <v>21952</v>
      </c>
      <c r="D264" s="506">
        <f t="shared" si="10"/>
        <v>34104</v>
      </c>
      <c r="E264" s="573">
        <v>3360</v>
      </c>
      <c r="F264" s="1365">
        <v>7558</v>
      </c>
      <c r="G264" s="506">
        <f t="shared" si="8"/>
        <v>10918</v>
      </c>
      <c r="H264" s="573">
        <v>29971</v>
      </c>
      <c r="I264" s="1365">
        <v>58968</v>
      </c>
      <c r="J264" s="526">
        <f t="shared" si="11"/>
        <v>88939</v>
      </c>
    </row>
    <row r="265" spans="1:10">
      <c r="A265" s="51">
        <f t="shared" si="12"/>
        <v>2015.04</v>
      </c>
      <c r="B265" s="50">
        <v>11859</v>
      </c>
      <c r="C265" s="1365">
        <v>21944</v>
      </c>
      <c r="D265" s="506">
        <f t="shared" si="10"/>
        <v>33803</v>
      </c>
      <c r="E265" s="573">
        <v>3292</v>
      </c>
      <c r="F265" s="1365">
        <v>7324</v>
      </c>
      <c r="G265" s="506">
        <f t="shared" si="8"/>
        <v>10616</v>
      </c>
      <c r="H265" s="573">
        <v>29401</v>
      </c>
      <c r="I265" s="1365">
        <v>57742</v>
      </c>
      <c r="J265" s="526">
        <f t="shared" si="11"/>
        <v>87143</v>
      </c>
    </row>
    <row r="266" spans="1:10">
      <c r="A266" s="51">
        <f t="shared" si="12"/>
        <v>2015.05</v>
      </c>
      <c r="B266" s="50">
        <v>12005</v>
      </c>
      <c r="C266" s="1365">
        <v>21746</v>
      </c>
      <c r="D266" s="506">
        <f t="shared" si="10"/>
        <v>33751</v>
      </c>
      <c r="E266" s="573">
        <v>3410</v>
      </c>
      <c r="F266" s="1365">
        <v>7529</v>
      </c>
      <c r="G266" s="506">
        <f t="shared" si="8"/>
        <v>10939</v>
      </c>
      <c r="H266" s="573">
        <v>28480</v>
      </c>
      <c r="I266" s="1365">
        <v>55739</v>
      </c>
      <c r="J266" s="526">
        <f t="shared" si="11"/>
        <v>84219</v>
      </c>
    </row>
    <row r="267" spans="1:10">
      <c r="A267" s="51">
        <f t="shared" si="12"/>
        <v>2015.06</v>
      </c>
      <c r="B267" s="50">
        <v>11938</v>
      </c>
      <c r="C267" s="1365">
        <v>22072</v>
      </c>
      <c r="D267" s="506">
        <f t="shared" si="10"/>
        <v>34010</v>
      </c>
      <c r="E267" s="573">
        <v>3296</v>
      </c>
      <c r="F267" s="1365">
        <v>7509</v>
      </c>
      <c r="G267" s="506">
        <f t="shared" si="8"/>
        <v>10805</v>
      </c>
      <c r="H267" s="573">
        <v>27592</v>
      </c>
      <c r="I267" s="1365">
        <v>55338</v>
      </c>
      <c r="J267" s="526">
        <f t="shared" si="11"/>
        <v>82930</v>
      </c>
    </row>
    <row r="268" spans="1:10">
      <c r="A268" s="51">
        <f t="shared" si="12"/>
        <v>2015.07</v>
      </c>
      <c r="B268" s="50">
        <v>11846</v>
      </c>
      <c r="C268" s="1365">
        <v>21861</v>
      </c>
      <c r="D268" s="506">
        <f t="shared" si="10"/>
        <v>33707</v>
      </c>
      <c r="E268" s="573">
        <v>3206</v>
      </c>
      <c r="F268" s="1365">
        <v>7561</v>
      </c>
      <c r="G268" s="506">
        <f t="shared" ref="G268:G273" si="13">E268+F268</f>
        <v>10767</v>
      </c>
      <c r="H268" s="573">
        <v>27380</v>
      </c>
      <c r="I268" s="1365">
        <v>54159</v>
      </c>
      <c r="J268" s="526">
        <f t="shared" si="11"/>
        <v>81539</v>
      </c>
    </row>
    <row r="269" spans="1:10">
      <c r="A269" s="51">
        <f t="shared" si="12"/>
        <v>2015.08</v>
      </c>
      <c r="B269" s="50">
        <v>12212</v>
      </c>
      <c r="C269" s="1365">
        <v>20875</v>
      </c>
      <c r="D269" s="506">
        <f t="shared" si="10"/>
        <v>33087</v>
      </c>
      <c r="E269" s="573">
        <v>3239</v>
      </c>
      <c r="F269" s="1365">
        <v>7277</v>
      </c>
      <c r="G269" s="506">
        <f t="shared" si="13"/>
        <v>10516</v>
      </c>
      <c r="H269" s="573">
        <v>28175</v>
      </c>
      <c r="I269" s="1365">
        <v>53591</v>
      </c>
      <c r="J269" s="526">
        <f t="shared" si="11"/>
        <v>81766</v>
      </c>
    </row>
    <row r="270" spans="1:10">
      <c r="A270" s="51">
        <f t="shared" si="12"/>
        <v>2015.09</v>
      </c>
      <c r="B270" s="50">
        <v>11651</v>
      </c>
      <c r="C270" s="1365">
        <v>20961</v>
      </c>
      <c r="D270" s="506">
        <f t="shared" si="10"/>
        <v>32612</v>
      </c>
      <c r="E270" s="573">
        <v>3086</v>
      </c>
      <c r="F270" s="1365">
        <v>7110</v>
      </c>
      <c r="G270" s="506">
        <f t="shared" si="13"/>
        <v>10196</v>
      </c>
      <c r="H270" s="573">
        <v>26795</v>
      </c>
      <c r="I270" s="1365">
        <v>53669</v>
      </c>
      <c r="J270" s="526">
        <f t="shared" si="11"/>
        <v>80464</v>
      </c>
    </row>
    <row r="271" spans="1:10">
      <c r="A271" s="51">
        <f t="shared" si="12"/>
        <v>2015.1</v>
      </c>
      <c r="B271" s="50">
        <v>11428</v>
      </c>
      <c r="C271" s="1365">
        <v>20416</v>
      </c>
      <c r="D271" s="506">
        <f t="shared" si="10"/>
        <v>31844</v>
      </c>
      <c r="E271" s="573">
        <v>3027</v>
      </c>
      <c r="F271" s="1365">
        <v>6992</v>
      </c>
      <c r="G271" s="506">
        <f t="shared" si="13"/>
        <v>10019</v>
      </c>
      <c r="H271" s="573">
        <v>25634</v>
      </c>
      <c r="I271" s="1365">
        <v>51205</v>
      </c>
      <c r="J271" s="526">
        <f t="shared" si="11"/>
        <v>76839</v>
      </c>
    </row>
    <row r="272" spans="1:10">
      <c r="A272" s="51">
        <f t="shared" si="12"/>
        <v>2015.11</v>
      </c>
      <c r="B272" s="50">
        <v>11880</v>
      </c>
      <c r="C272" s="1365">
        <v>20249</v>
      </c>
      <c r="D272" s="506">
        <f t="shared" si="10"/>
        <v>32129</v>
      </c>
      <c r="E272" s="573">
        <v>3237</v>
      </c>
      <c r="F272" s="1365">
        <v>6911</v>
      </c>
      <c r="G272" s="506">
        <f t="shared" si="13"/>
        <v>10148</v>
      </c>
      <c r="H272" s="573">
        <v>26794</v>
      </c>
      <c r="I272" s="1365">
        <v>50851</v>
      </c>
      <c r="J272" s="526">
        <f t="shared" si="11"/>
        <v>77645</v>
      </c>
    </row>
    <row r="273" spans="1:10">
      <c r="A273" s="51">
        <f t="shared" si="12"/>
        <v>2015.12</v>
      </c>
      <c r="B273" s="50">
        <v>11224</v>
      </c>
      <c r="C273" s="1365">
        <v>19726</v>
      </c>
      <c r="D273" s="506">
        <f t="shared" si="10"/>
        <v>30950</v>
      </c>
      <c r="E273" s="573">
        <v>3024</v>
      </c>
      <c r="F273" s="1365">
        <v>6884</v>
      </c>
      <c r="G273" s="506">
        <f t="shared" si="13"/>
        <v>9908</v>
      </c>
      <c r="H273" s="573">
        <v>24933</v>
      </c>
      <c r="I273" s="1365">
        <v>49017</v>
      </c>
      <c r="J273" s="526">
        <f t="shared" si="11"/>
        <v>73950</v>
      </c>
    </row>
    <row r="274" spans="1:10">
      <c r="A274" s="51">
        <f t="shared" si="12"/>
        <v>2016.01</v>
      </c>
      <c r="B274" s="50">
        <v>10689</v>
      </c>
      <c r="C274" s="1365">
        <v>18720</v>
      </c>
      <c r="D274" s="506">
        <f t="shared" ref="D274:D287" si="14">B274+C274</f>
        <v>29409</v>
      </c>
      <c r="E274" s="573">
        <v>2787</v>
      </c>
      <c r="F274" s="1365">
        <v>6686</v>
      </c>
      <c r="G274" s="506">
        <f t="shared" ref="G274:G287" si="15">E274+F274</f>
        <v>9473</v>
      </c>
      <c r="H274" s="573">
        <v>24859</v>
      </c>
      <c r="I274" s="1365">
        <v>47972</v>
      </c>
      <c r="J274" s="526">
        <f t="shared" ref="J274:J287" si="16">H274+I274</f>
        <v>72831</v>
      </c>
    </row>
    <row r="275" spans="1:10">
      <c r="A275" s="51">
        <f t="shared" si="12"/>
        <v>2016.02</v>
      </c>
      <c r="B275" s="50">
        <v>10379</v>
      </c>
      <c r="C275" s="1365">
        <v>18002</v>
      </c>
      <c r="D275" s="506">
        <f t="shared" si="14"/>
        <v>28381</v>
      </c>
      <c r="E275" s="573">
        <v>2763</v>
      </c>
      <c r="F275" s="1365">
        <v>6538</v>
      </c>
      <c r="G275" s="506">
        <f t="shared" si="15"/>
        <v>9301</v>
      </c>
      <c r="H275" s="573">
        <v>24521</v>
      </c>
      <c r="I275" s="1365">
        <v>47932</v>
      </c>
      <c r="J275" s="526">
        <f t="shared" si="16"/>
        <v>72453</v>
      </c>
    </row>
    <row r="276" spans="1:10">
      <c r="A276" s="51">
        <f t="shared" si="12"/>
        <v>2016.03</v>
      </c>
      <c r="B276" s="50">
        <v>10463</v>
      </c>
      <c r="C276" s="1365">
        <v>19013</v>
      </c>
      <c r="D276" s="506">
        <f t="shared" si="14"/>
        <v>29476</v>
      </c>
      <c r="E276" s="573">
        <v>2573</v>
      </c>
      <c r="F276" s="1365">
        <v>6153</v>
      </c>
      <c r="G276" s="506">
        <f t="shared" si="15"/>
        <v>8726</v>
      </c>
      <c r="H276" s="573">
        <v>23985</v>
      </c>
      <c r="I276" s="1365">
        <v>48152</v>
      </c>
      <c r="J276" s="526">
        <f t="shared" si="16"/>
        <v>72137</v>
      </c>
    </row>
    <row r="277" spans="1:10">
      <c r="A277" s="51">
        <f t="shared" si="12"/>
        <v>2016.04</v>
      </c>
      <c r="B277" s="50">
        <v>10806</v>
      </c>
      <c r="C277" s="1365">
        <v>18729</v>
      </c>
      <c r="D277" s="506">
        <f t="shared" si="14"/>
        <v>29535</v>
      </c>
      <c r="E277" s="573">
        <v>2678</v>
      </c>
      <c r="F277" s="1365">
        <v>5774</v>
      </c>
      <c r="G277" s="506">
        <f t="shared" si="15"/>
        <v>8452</v>
      </c>
      <c r="H277" s="573">
        <v>24495</v>
      </c>
      <c r="I277" s="1365">
        <v>48184</v>
      </c>
      <c r="J277" s="526">
        <f t="shared" si="16"/>
        <v>72679</v>
      </c>
    </row>
    <row r="278" spans="1:10">
      <c r="A278" s="51">
        <f t="shared" si="12"/>
        <v>2016.05</v>
      </c>
      <c r="B278" s="50">
        <v>10451</v>
      </c>
      <c r="C278" s="1365">
        <v>18148</v>
      </c>
      <c r="D278" s="506">
        <f t="shared" si="14"/>
        <v>28599</v>
      </c>
      <c r="E278" s="573">
        <v>2443</v>
      </c>
      <c r="F278" s="1365">
        <v>5345</v>
      </c>
      <c r="G278" s="506">
        <f t="shared" si="15"/>
        <v>7788</v>
      </c>
      <c r="H278" s="573">
        <v>23455</v>
      </c>
      <c r="I278" s="1365">
        <v>46677</v>
      </c>
      <c r="J278" s="526">
        <f t="shared" si="16"/>
        <v>70132</v>
      </c>
    </row>
    <row r="279" spans="1:10">
      <c r="A279" s="51">
        <f t="shared" si="12"/>
        <v>2016.06</v>
      </c>
      <c r="B279" s="50">
        <v>9723</v>
      </c>
      <c r="C279" s="1365">
        <v>16974</v>
      </c>
      <c r="D279" s="506">
        <f t="shared" si="14"/>
        <v>26697</v>
      </c>
      <c r="E279" s="573">
        <v>2482</v>
      </c>
      <c r="F279" s="1365">
        <v>5330</v>
      </c>
      <c r="G279" s="506">
        <f t="shared" si="15"/>
        <v>7812</v>
      </c>
      <c r="H279" s="573">
        <v>22761</v>
      </c>
      <c r="I279" s="1365">
        <v>44864</v>
      </c>
      <c r="J279" s="526">
        <f t="shared" si="16"/>
        <v>67625</v>
      </c>
    </row>
    <row r="280" spans="1:10">
      <c r="A280" s="51">
        <f t="shared" si="12"/>
        <v>2016.07</v>
      </c>
      <c r="B280" s="50">
        <v>9931</v>
      </c>
      <c r="C280" s="1365">
        <v>16960</v>
      </c>
      <c r="D280" s="506">
        <f t="shared" si="14"/>
        <v>26891</v>
      </c>
      <c r="E280" s="573">
        <v>2520</v>
      </c>
      <c r="F280" s="1365">
        <v>5129</v>
      </c>
      <c r="G280" s="506">
        <f t="shared" si="15"/>
        <v>7649</v>
      </c>
      <c r="H280" s="573">
        <v>23365</v>
      </c>
      <c r="I280" s="1365">
        <v>44818</v>
      </c>
      <c r="J280" s="526">
        <f t="shared" si="16"/>
        <v>68183</v>
      </c>
    </row>
    <row r="281" spans="1:10">
      <c r="A281" s="51">
        <f t="shared" si="12"/>
        <v>2016.08</v>
      </c>
      <c r="B281" s="50">
        <v>9710</v>
      </c>
      <c r="C281" s="1365">
        <v>16717</v>
      </c>
      <c r="D281" s="506">
        <f t="shared" si="14"/>
        <v>26427</v>
      </c>
      <c r="E281" s="573">
        <v>2408</v>
      </c>
      <c r="F281" s="1365">
        <v>5014</v>
      </c>
      <c r="G281" s="506">
        <f t="shared" si="15"/>
        <v>7422</v>
      </c>
      <c r="H281" s="573">
        <v>22348</v>
      </c>
      <c r="I281" s="1365">
        <v>44100</v>
      </c>
      <c r="J281" s="526">
        <f t="shared" si="16"/>
        <v>66448</v>
      </c>
    </row>
    <row r="282" spans="1:10">
      <c r="A282" s="51">
        <f t="shared" si="12"/>
        <v>2016.09</v>
      </c>
      <c r="B282" s="50">
        <v>9887</v>
      </c>
      <c r="C282" s="1365">
        <v>17051</v>
      </c>
      <c r="D282" s="506">
        <f t="shared" si="14"/>
        <v>26938</v>
      </c>
      <c r="E282" s="573">
        <v>2378</v>
      </c>
      <c r="F282" s="1365">
        <v>4919</v>
      </c>
      <c r="G282" s="506">
        <f t="shared" si="15"/>
        <v>7297</v>
      </c>
      <c r="H282" s="573">
        <v>22010</v>
      </c>
      <c r="I282" s="1365">
        <v>43501</v>
      </c>
      <c r="J282" s="526">
        <f t="shared" si="16"/>
        <v>65511</v>
      </c>
    </row>
    <row r="283" spans="1:10">
      <c r="A283" s="51">
        <f t="shared" si="12"/>
        <v>2016.1</v>
      </c>
      <c r="B283" s="50">
        <v>10424</v>
      </c>
      <c r="C283" s="1365">
        <v>17027</v>
      </c>
      <c r="D283" s="506">
        <f t="shared" si="14"/>
        <v>27451</v>
      </c>
      <c r="E283" s="573">
        <v>2386</v>
      </c>
      <c r="F283" s="1365">
        <v>4747</v>
      </c>
      <c r="G283" s="506">
        <f t="shared" si="15"/>
        <v>7133</v>
      </c>
      <c r="H283" s="573">
        <v>23192</v>
      </c>
      <c r="I283" s="1365">
        <v>43375</v>
      </c>
      <c r="J283" s="526">
        <f t="shared" si="16"/>
        <v>66567</v>
      </c>
    </row>
    <row r="284" spans="1:10">
      <c r="A284" s="51">
        <f t="shared" si="12"/>
        <v>2016.11</v>
      </c>
      <c r="B284" s="50">
        <v>10087</v>
      </c>
      <c r="C284" s="1365">
        <v>16717</v>
      </c>
      <c r="D284" s="506">
        <f t="shared" si="14"/>
        <v>26804</v>
      </c>
      <c r="E284" s="573">
        <v>2222</v>
      </c>
      <c r="F284" s="1365">
        <v>4274</v>
      </c>
      <c r="G284" s="506">
        <f t="shared" si="15"/>
        <v>6496</v>
      </c>
      <c r="H284" s="573">
        <v>22424</v>
      </c>
      <c r="I284" s="1365">
        <v>43111</v>
      </c>
      <c r="J284" s="526">
        <f t="shared" si="16"/>
        <v>65535</v>
      </c>
    </row>
    <row r="285" spans="1:10">
      <c r="A285" s="51">
        <f t="shared" si="12"/>
        <v>2016.12</v>
      </c>
      <c r="B285" s="50">
        <v>10058</v>
      </c>
      <c r="C285" s="1365">
        <v>16419</v>
      </c>
      <c r="D285" s="506">
        <f t="shared" si="14"/>
        <v>26477</v>
      </c>
      <c r="E285" s="573">
        <v>2207</v>
      </c>
      <c r="F285" s="1365">
        <v>4434</v>
      </c>
      <c r="G285" s="506">
        <f t="shared" si="15"/>
        <v>6641</v>
      </c>
      <c r="H285" s="573">
        <v>21417</v>
      </c>
      <c r="I285" s="1365">
        <v>42354</v>
      </c>
      <c r="J285" s="526">
        <f t="shared" si="16"/>
        <v>63771</v>
      </c>
    </row>
    <row r="286" spans="1:10">
      <c r="A286" s="51">
        <f t="shared" si="12"/>
        <v>2017.01</v>
      </c>
      <c r="B286" s="50">
        <v>9527</v>
      </c>
      <c r="C286" s="1365">
        <v>15919</v>
      </c>
      <c r="D286" s="506">
        <f t="shared" si="14"/>
        <v>25446</v>
      </c>
      <c r="E286" s="573">
        <v>2060</v>
      </c>
      <c r="F286" s="1365">
        <v>3975</v>
      </c>
      <c r="G286" s="506">
        <f t="shared" si="15"/>
        <v>6035</v>
      </c>
      <c r="H286" s="573">
        <v>20639</v>
      </c>
      <c r="I286" s="1365">
        <v>39914</v>
      </c>
      <c r="J286" s="526">
        <f t="shared" si="16"/>
        <v>60553</v>
      </c>
    </row>
    <row r="287" spans="1:10">
      <c r="A287" s="51">
        <f t="shared" si="12"/>
        <v>2017.02</v>
      </c>
      <c r="B287" s="50">
        <v>9691</v>
      </c>
      <c r="C287" s="1365">
        <v>16181</v>
      </c>
      <c r="D287" s="506">
        <f t="shared" si="14"/>
        <v>25872</v>
      </c>
      <c r="E287" s="573">
        <v>2004</v>
      </c>
      <c r="F287" s="1365">
        <v>3737</v>
      </c>
      <c r="G287" s="506">
        <f t="shared" si="15"/>
        <v>5741</v>
      </c>
      <c r="H287" s="573">
        <v>21125</v>
      </c>
      <c r="I287" s="1365">
        <v>41372</v>
      </c>
      <c r="J287" s="526">
        <f t="shared" si="16"/>
        <v>62497</v>
      </c>
    </row>
    <row r="288" spans="1:10">
      <c r="A288" s="51">
        <f t="shared" si="12"/>
        <v>2017.03</v>
      </c>
      <c r="B288" s="50">
        <v>9609</v>
      </c>
      <c r="C288" s="1365">
        <v>16765</v>
      </c>
      <c r="D288" s="506">
        <f t="shared" ref="D288:D333" si="17">B288+C288</f>
        <v>26374</v>
      </c>
      <c r="E288" s="573">
        <v>1966</v>
      </c>
      <c r="F288" s="1365">
        <v>3511</v>
      </c>
      <c r="G288" s="506">
        <f>E288+F288</f>
        <v>5477</v>
      </c>
      <c r="H288" s="573">
        <v>20358</v>
      </c>
      <c r="I288" s="1365">
        <v>41491</v>
      </c>
      <c r="J288" s="526">
        <f t="shared" ref="J288:J333" si="18">H288+I288</f>
        <v>61849</v>
      </c>
    </row>
    <row r="289" spans="1:10">
      <c r="A289" s="51">
        <f t="shared" si="12"/>
        <v>2017.04</v>
      </c>
      <c r="B289" s="50">
        <v>9680</v>
      </c>
      <c r="C289" s="1365">
        <v>15368</v>
      </c>
      <c r="D289" s="506">
        <f t="shared" si="17"/>
        <v>25048</v>
      </c>
      <c r="E289" s="2247" t="s">
        <v>969</v>
      </c>
      <c r="F289" s="2250" t="s">
        <v>969</v>
      </c>
      <c r="G289" s="2249" t="s">
        <v>969</v>
      </c>
      <c r="H289" s="573">
        <v>22207</v>
      </c>
      <c r="I289" s="1365">
        <v>40984</v>
      </c>
      <c r="J289" s="526">
        <f t="shared" si="18"/>
        <v>63191</v>
      </c>
    </row>
    <row r="290" spans="1:10">
      <c r="A290" s="51">
        <f t="shared" si="12"/>
        <v>2017.05</v>
      </c>
      <c r="B290" s="50">
        <v>9600</v>
      </c>
      <c r="C290" s="1365">
        <v>15940</v>
      </c>
      <c r="D290" s="506">
        <f t="shared" si="17"/>
        <v>25540</v>
      </c>
      <c r="E290" s="1575"/>
      <c r="F290" s="1573"/>
      <c r="G290" s="696"/>
      <c r="H290" s="573">
        <v>20987</v>
      </c>
      <c r="I290" s="1365">
        <v>40814</v>
      </c>
      <c r="J290" s="526">
        <f t="shared" si="18"/>
        <v>61801</v>
      </c>
    </row>
    <row r="291" spans="1:10">
      <c r="A291" s="51">
        <f t="shared" si="12"/>
        <v>2017.06</v>
      </c>
      <c r="B291" s="50">
        <v>9872</v>
      </c>
      <c r="C291" s="1365">
        <v>16273</v>
      </c>
      <c r="D291" s="506">
        <f t="shared" si="17"/>
        <v>26145</v>
      </c>
      <c r="E291" s="1575"/>
      <c r="F291" s="1573"/>
      <c r="G291" s="696"/>
      <c r="H291" s="573">
        <v>20502</v>
      </c>
      <c r="I291" s="1365">
        <v>39935</v>
      </c>
      <c r="J291" s="526">
        <f t="shared" si="18"/>
        <v>60437</v>
      </c>
    </row>
    <row r="292" spans="1:10">
      <c r="A292" s="51">
        <f t="shared" si="12"/>
        <v>2017.07</v>
      </c>
      <c r="B292" s="50">
        <v>9788</v>
      </c>
      <c r="C292" s="1365">
        <v>15783</v>
      </c>
      <c r="D292" s="506">
        <f t="shared" si="17"/>
        <v>25571</v>
      </c>
      <c r="E292" s="1575"/>
      <c r="F292" s="1573"/>
      <c r="G292" s="696"/>
      <c r="H292" s="573">
        <v>21807</v>
      </c>
      <c r="I292" s="1365">
        <v>40374</v>
      </c>
      <c r="J292" s="526">
        <f t="shared" si="18"/>
        <v>62181</v>
      </c>
    </row>
    <row r="293" spans="1:10">
      <c r="A293" s="51">
        <f t="shared" si="12"/>
        <v>2017.08</v>
      </c>
      <c r="B293" s="50">
        <v>10015</v>
      </c>
      <c r="C293" s="1365">
        <v>15979</v>
      </c>
      <c r="D293" s="506">
        <f t="shared" si="17"/>
        <v>25994</v>
      </c>
      <c r="E293" s="1575"/>
      <c r="F293" s="1573"/>
      <c r="G293" s="696"/>
      <c r="H293" s="573">
        <v>21712</v>
      </c>
      <c r="I293" s="1365">
        <v>40246</v>
      </c>
      <c r="J293" s="526">
        <f t="shared" si="18"/>
        <v>61958</v>
      </c>
    </row>
    <row r="294" spans="1:10">
      <c r="A294" s="51">
        <f t="shared" si="12"/>
        <v>2017.09</v>
      </c>
      <c r="B294" s="50">
        <v>10001</v>
      </c>
      <c r="C294" s="1365">
        <v>15953</v>
      </c>
      <c r="D294" s="506">
        <f t="shared" si="17"/>
        <v>25954</v>
      </c>
      <c r="E294" s="1575"/>
      <c r="F294" s="1573"/>
      <c r="G294" s="696"/>
      <c r="H294" s="573">
        <v>21792</v>
      </c>
      <c r="I294" s="1365">
        <v>40425</v>
      </c>
      <c r="J294" s="526">
        <f t="shared" si="18"/>
        <v>62217</v>
      </c>
    </row>
    <row r="295" spans="1:10">
      <c r="A295" s="777">
        <f t="shared" si="12"/>
        <v>2017.1</v>
      </c>
      <c r="B295" s="50">
        <v>10009</v>
      </c>
      <c r="C295" s="1365">
        <v>15509</v>
      </c>
      <c r="D295" s="506">
        <f t="shared" si="17"/>
        <v>25518</v>
      </c>
      <c r="E295" s="1575"/>
      <c r="F295" s="1573"/>
      <c r="G295" s="696"/>
      <c r="H295" s="573">
        <v>21832</v>
      </c>
      <c r="I295" s="1365">
        <v>37979</v>
      </c>
      <c r="J295" s="526">
        <f t="shared" si="18"/>
        <v>59811</v>
      </c>
    </row>
    <row r="296" spans="1:10">
      <c r="A296" s="777">
        <f t="shared" si="12"/>
        <v>2017.11</v>
      </c>
      <c r="B296" s="50">
        <v>10040</v>
      </c>
      <c r="C296" s="1365">
        <v>15556</v>
      </c>
      <c r="D296" s="506">
        <f t="shared" si="17"/>
        <v>25596</v>
      </c>
      <c r="E296" s="1575"/>
      <c r="F296" s="1573"/>
      <c r="G296" s="696"/>
      <c r="H296" s="573">
        <v>20960</v>
      </c>
      <c r="I296" s="1365">
        <v>37839</v>
      </c>
      <c r="J296" s="526">
        <f t="shared" si="18"/>
        <v>58799</v>
      </c>
    </row>
    <row r="297" spans="1:10">
      <c r="A297" s="777">
        <f t="shared" si="12"/>
        <v>2017.12</v>
      </c>
      <c r="B297" s="50">
        <v>10004</v>
      </c>
      <c r="C297" s="1365">
        <v>15312</v>
      </c>
      <c r="D297" s="506">
        <f t="shared" si="17"/>
        <v>25316</v>
      </c>
      <c r="E297" s="1575"/>
      <c r="F297" s="1573"/>
      <c r="G297" s="696"/>
      <c r="H297" s="573">
        <v>22065</v>
      </c>
      <c r="I297" s="1365">
        <v>37280</v>
      </c>
      <c r="J297" s="526">
        <f t="shared" si="18"/>
        <v>59345</v>
      </c>
    </row>
    <row r="298" spans="1:10">
      <c r="A298" s="51">
        <f t="shared" si="12"/>
        <v>2018.01</v>
      </c>
      <c r="B298" s="50">
        <v>10005</v>
      </c>
      <c r="C298" s="1365">
        <v>15896</v>
      </c>
      <c r="D298" s="506">
        <f t="shared" si="17"/>
        <v>25901</v>
      </c>
      <c r="E298" s="1575"/>
      <c r="F298" s="1573"/>
      <c r="G298" s="696"/>
      <c r="H298" s="573">
        <v>20110</v>
      </c>
      <c r="I298" s="1365">
        <v>37024</v>
      </c>
      <c r="J298" s="526">
        <f t="shared" si="18"/>
        <v>57134</v>
      </c>
    </row>
    <row r="299" spans="1:10">
      <c r="A299" s="51">
        <f t="shared" si="12"/>
        <v>2018.02</v>
      </c>
      <c r="B299" s="50">
        <v>10015</v>
      </c>
      <c r="C299" s="1365">
        <v>15777</v>
      </c>
      <c r="D299" s="506">
        <f t="shared" si="17"/>
        <v>25792</v>
      </c>
      <c r="E299" s="1575"/>
      <c r="F299" s="1573"/>
      <c r="G299" s="696"/>
      <c r="H299" s="573">
        <v>20390</v>
      </c>
      <c r="I299" s="1365">
        <v>37081</v>
      </c>
      <c r="J299" s="526">
        <f t="shared" si="18"/>
        <v>57471</v>
      </c>
    </row>
    <row r="300" spans="1:10">
      <c r="A300" s="51">
        <f t="shared" si="12"/>
        <v>2018.03</v>
      </c>
      <c r="B300" s="50">
        <v>10006</v>
      </c>
      <c r="C300" s="1365">
        <v>15729</v>
      </c>
      <c r="D300" s="506">
        <f t="shared" si="17"/>
        <v>25735</v>
      </c>
      <c r="E300" s="1575"/>
      <c r="F300" s="1573"/>
      <c r="G300" s="696"/>
      <c r="H300" s="573">
        <v>20769</v>
      </c>
      <c r="I300" s="1365">
        <v>38643</v>
      </c>
      <c r="J300" s="526">
        <f t="shared" si="18"/>
        <v>59412</v>
      </c>
    </row>
    <row r="301" spans="1:10">
      <c r="A301" s="51">
        <f t="shared" si="12"/>
        <v>2018.04</v>
      </c>
      <c r="B301" s="50">
        <v>10003</v>
      </c>
      <c r="C301" s="1365">
        <v>15457</v>
      </c>
      <c r="D301" s="506">
        <f t="shared" si="17"/>
        <v>25460</v>
      </c>
      <c r="E301" s="1575"/>
      <c r="F301" s="1573"/>
      <c r="G301" s="696"/>
      <c r="H301" s="573">
        <v>20579</v>
      </c>
      <c r="I301" s="1365">
        <v>35706</v>
      </c>
      <c r="J301" s="526">
        <f t="shared" si="18"/>
        <v>56285</v>
      </c>
    </row>
    <row r="302" spans="1:10">
      <c r="A302" s="51">
        <f t="shared" si="12"/>
        <v>2018.05</v>
      </c>
      <c r="B302" s="50">
        <v>10070</v>
      </c>
      <c r="C302" s="1365">
        <v>15893</v>
      </c>
      <c r="D302" s="506">
        <f t="shared" si="17"/>
        <v>25963</v>
      </c>
      <c r="E302" s="1575"/>
      <c r="F302" s="1573"/>
      <c r="G302" s="696"/>
      <c r="H302" s="573">
        <v>20025</v>
      </c>
      <c r="I302" s="1365">
        <v>36248</v>
      </c>
      <c r="J302" s="526">
        <f t="shared" si="18"/>
        <v>56273</v>
      </c>
    </row>
    <row r="303" spans="1:10">
      <c r="A303" s="51">
        <f t="shared" si="12"/>
        <v>2018.06</v>
      </c>
      <c r="B303" s="50">
        <v>10030</v>
      </c>
      <c r="C303" s="1365">
        <v>15375</v>
      </c>
      <c r="D303" s="506">
        <f t="shared" si="17"/>
        <v>25405</v>
      </c>
      <c r="E303" s="1575"/>
      <c r="F303" s="1573"/>
      <c r="G303" s="696"/>
      <c r="H303" s="573">
        <v>20060</v>
      </c>
      <c r="I303" s="1365">
        <v>36173</v>
      </c>
      <c r="J303" s="526">
        <f t="shared" si="18"/>
        <v>56233</v>
      </c>
    </row>
    <row r="304" spans="1:10">
      <c r="A304" s="51">
        <f t="shared" si="12"/>
        <v>2018.07</v>
      </c>
      <c r="B304" s="50">
        <v>10214</v>
      </c>
      <c r="C304" s="1365">
        <v>15223</v>
      </c>
      <c r="D304" s="506">
        <f t="shared" si="17"/>
        <v>25437</v>
      </c>
      <c r="E304" s="1575"/>
      <c r="F304" s="1573"/>
      <c r="G304" s="696"/>
      <c r="H304" s="573">
        <v>19717</v>
      </c>
      <c r="I304" s="1365">
        <v>33923</v>
      </c>
      <c r="J304" s="526">
        <f t="shared" si="18"/>
        <v>53640</v>
      </c>
    </row>
    <row r="305" spans="1:10">
      <c r="A305" s="51">
        <f t="shared" si="12"/>
        <v>2018.08</v>
      </c>
      <c r="B305" s="50">
        <v>10029</v>
      </c>
      <c r="C305" s="1365">
        <v>15278</v>
      </c>
      <c r="D305" s="506">
        <f t="shared" si="17"/>
        <v>25307</v>
      </c>
      <c r="E305" s="1575"/>
      <c r="F305" s="1573"/>
      <c r="G305" s="696"/>
      <c r="H305" s="573">
        <v>19300</v>
      </c>
      <c r="I305" s="1365">
        <v>34327</v>
      </c>
      <c r="J305" s="526">
        <f t="shared" si="18"/>
        <v>53627</v>
      </c>
    </row>
    <row r="306" spans="1:10">
      <c r="A306" s="51">
        <f t="shared" ref="A306:A369" si="19">A294+1</f>
        <v>2018.09</v>
      </c>
      <c r="B306" s="50">
        <v>10083</v>
      </c>
      <c r="C306" s="1365">
        <v>14624</v>
      </c>
      <c r="D306" s="506">
        <f t="shared" si="17"/>
        <v>24707</v>
      </c>
      <c r="E306" s="1575"/>
      <c r="F306" s="1573"/>
      <c r="G306" s="696"/>
      <c r="H306" s="573">
        <v>19671</v>
      </c>
      <c r="I306" s="1365">
        <v>33377</v>
      </c>
      <c r="J306" s="526">
        <f t="shared" si="18"/>
        <v>53048</v>
      </c>
    </row>
    <row r="307" spans="1:10">
      <c r="A307" s="51">
        <f t="shared" si="19"/>
        <v>2018.1</v>
      </c>
      <c r="B307" s="50">
        <v>10012</v>
      </c>
      <c r="C307" s="1365">
        <v>14631</v>
      </c>
      <c r="D307" s="506">
        <f t="shared" si="17"/>
        <v>24643</v>
      </c>
      <c r="E307" s="1575"/>
      <c r="F307" s="1573"/>
      <c r="G307" s="696"/>
      <c r="H307" s="573">
        <v>18460</v>
      </c>
      <c r="I307" s="1365">
        <v>32420</v>
      </c>
      <c r="J307" s="526">
        <f t="shared" si="18"/>
        <v>50880</v>
      </c>
    </row>
    <row r="308" spans="1:10">
      <c r="A308" s="51">
        <f t="shared" si="19"/>
        <v>2018.11</v>
      </c>
      <c r="B308" s="50">
        <v>10072</v>
      </c>
      <c r="C308" s="1365">
        <v>14229</v>
      </c>
      <c r="D308" s="506">
        <f t="shared" si="17"/>
        <v>24301</v>
      </c>
      <c r="E308" s="1575"/>
      <c r="F308" s="1573"/>
      <c r="G308" s="696"/>
      <c r="H308" s="573">
        <v>18151</v>
      </c>
      <c r="I308" s="1365">
        <v>29325</v>
      </c>
      <c r="J308" s="526">
        <f t="shared" si="18"/>
        <v>47476</v>
      </c>
    </row>
    <row r="309" spans="1:10">
      <c r="A309" s="51">
        <f t="shared" si="19"/>
        <v>2018.12</v>
      </c>
      <c r="B309" s="50">
        <v>10012</v>
      </c>
      <c r="C309" s="1365">
        <v>13932</v>
      </c>
      <c r="D309" s="506">
        <f t="shared" si="17"/>
        <v>23944</v>
      </c>
      <c r="E309" s="1575"/>
      <c r="F309" s="1573"/>
      <c r="G309" s="696"/>
      <c r="H309" s="573">
        <v>19855</v>
      </c>
      <c r="I309" s="1365">
        <v>31307</v>
      </c>
      <c r="J309" s="526">
        <f t="shared" si="18"/>
        <v>51162</v>
      </c>
    </row>
    <row r="310" spans="1:10">
      <c r="A310" s="51">
        <f t="shared" si="19"/>
        <v>2019.01</v>
      </c>
      <c r="B310" s="50">
        <v>10014</v>
      </c>
      <c r="C310" s="1365">
        <v>14268</v>
      </c>
      <c r="D310" s="506">
        <f t="shared" si="17"/>
        <v>24282</v>
      </c>
      <c r="E310" s="1575"/>
      <c r="F310" s="1573"/>
      <c r="G310" s="696"/>
      <c r="H310" s="573">
        <v>17271</v>
      </c>
      <c r="I310" s="1365">
        <v>30030</v>
      </c>
      <c r="J310" s="526">
        <f t="shared" si="18"/>
        <v>47301</v>
      </c>
    </row>
    <row r="311" spans="1:10">
      <c r="A311" s="51">
        <f t="shared" si="19"/>
        <v>2019.02</v>
      </c>
      <c r="B311" s="50">
        <v>10767</v>
      </c>
      <c r="C311" s="1365">
        <v>15136</v>
      </c>
      <c r="D311" s="506">
        <f t="shared" si="17"/>
        <v>25903</v>
      </c>
      <c r="E311" s="1575"/>
      <c r="F311" s="1573"/>
      <c r="G311" s="696"/>
      <c r="H311" s="573">
        <v>17831</v>
      </c>
      <c r="I311" s="1365">
        <v>32573</v>
      </c>
      <c r="J311" s="526">
        <f t="shared" si="18"/>
        <v>50404</v>
      </c>
    </row>
    <row r="312" spans="1:10">
      <c r="A312" s="51">
        <f t="shared" si="19"/>
        <v>2019.03</v>
      </c>
      <c r="B312" s="50">
        <v>10025</v>
      </c>
      <c r="C312" s="1365">
        <v>13964</v>
      </c>
      <c r="D312" s="506">
        <f t="shared" si="17"/>
        <v>23989</v>
      </c>
      <c r="E312" s="1575"/>
      <c r="F312" s="1573"/>
      <c r="G312" s="696"/>
      <c r="H312" s="573">
        <v>17984</v>
      </c>
      <c r="I312" s="1365">
        <v>31263</v>
      </c>
      <c r="J312" s="526">
        <f t="shared" si="18"/>
        <v>49247</v>
      </c>
    </row>
    <row r="313" spans="1:10">
      <c r="A313" s="51">
        <f t="shared" si="19"/>
        <v>2019.04</v>
      </c>
      <c r="B313" s="50">
        <v>10007</v>
      </c>
      <c r="C313" s="1365">
        <v>14171</v>
      </c>
      <c r="D313" s="506">
        <f t="shared" si="17"/>
        <v>24178</v>
      </c>
      <c r="E313" s="1575"/>
      <c r="F313" s="1573"/>
      <c r="G313" s="696"/>
      <c r="H313" s="573">
        <v>17519</v>
      </c>
      <c r="I313" s="1365">
        <v>30375</v>
      </c>
      <c r="J313" s="526">
        <f t="shared" si="18"/>
        <v>47894</v>
      </c>
    </row>
    <row r="314" spans="1:10">
      <c r="A314" s="51">
        <f t="shared" si="19"/>
        <v>2019.05</v>
      </c>
      <c r="B314" s="50">
        <v>10008</v>
      </c>
      <c r="C314" s="1365">
        <v>14362</v>
      </c>
      <c r="D314" s="506">
        <f t="shared" si="17"/>
        <v>24370</v>
      </c>
      <c r="E314" s="1575"/>
      <c r="F314" s="1573"/>
      <c r="G314" s="696"/>
      <c r="H314" s="573">
        <v>17375</v>
      </c>
      <c r="I314" s="1365">
        <v>30270</v>
      </c>
      <c r="J314" s="526">
        <f t="shared" si="18"/>
        <v>47645</v>
      </c>
    </row>
    <row r="315" spans="1:10">
      <c r="A315" s="51">
        <f t="shared" si="19"/>
        <v>2019.06</v>
      </c>
      <c r="B315" s="50">
        <v>10006</v>
      </c>
      <c r="C315" s="1365">
        <v>14030</v>
      </c>
      <c r="D315" s="506">
        <f t="shared" si="17"/>
        <v>24036</v>
      </c>
      <c r="E315" s="1575"/>
      <c r="F315" s="1573"/>
      <c r="G315" s="696"/>
      <c r="H315" s="573">
        <v>17690</v>
      </c>
      <c r="I315" s="1365">
        <v>29736</v>
      </c>
      <c r="J315" s="526">
        <f t="shared" si="18"/>
        <v>47426</v>
      </c>
    </row>
    <row r="316" spans="1:10">
      <c r="A316" s="51">
        <f t="shared" si="19"/>
        <v>2019.07</v>
      </c>
      <c r="B316" s="50">
        <v>10013</v>
      </c>
      <c r="C316" s="1365">
        <v>14200</v>
      </c>
      <c r="D316" s="506">
        <f t="shared" si="17"/>
        <v>24213</v>
      </c>
      <c r="E316" s="1575"/>
      <c r="F316" s="1573"/>
      <c r="G316" s="696"/>
      <c r="H316" s="573">
        <v>16746</v>
      </c>
      <c r="I316" s="1365">
        <v>29385</v>
      </c>
      <c r="J316" s="526">
        <f t="shared" si="18"/>
        <v>46131</v>
      </c>
    </row>
    <row r="317" spans="1:10">
      <c r="A317" s="51">
        <f t="shared" si="19"/>
        <v>2019.08</v>
      </c>
      <c r="B317" s="50">
        <v>10024</v>
      </c>
      <c r="C317" s="1365">
        <v>13913</v>
      </c>
      <c r="D317" s="506">
        <f t="shared" si="17"/>
        <v>23937</v>
      </c>
      <c r="E317" s="1575"/>
      <c r="F317" s="1573"/>
      <c r="G317" s="696"/>
      <c r="H317" s="573">
        <v>16596</v>
      </c>
      <c r="I317" s="1365">
        <v>29179</v>
      </c>
      <c r="J317" s="526">
        <f t="shared" si="18"/>
        <v>45775</v>
      </c>
    </row>
    <row r="318" spans="1:10">
      <c r="A318" s="51">
        <f t="shared" si="19"/>
        <v>2019.09</v>
      </c>
      <c r="B318" s="50">
        <v>9840</v>
      </c>
      <c r="C318" s="1365">
        <v>13777</v>
      </c>
      <c r="D318" s="506">
        <f t="shared" si="17"/>
        <v>23617</v>
      </c>
      <c r="E318" s="1575"/>
      <c r="F318" s="1573"/>
      <c r="G318" s="696"/>
      <c r="H318" s="573">
        <v>16847</v>
      </c>
      <c r="I318" s="1365">
        <v>28296</v>
      </c>
      <c r="J318" s="526">
        <f t="shared" si="18"/>
        <v>45143</v>
      </c>
    </row>
    <row r="319" spans="1:10">
      <c r="A319" s="51">
        <f t="shared" si="19"/>
        <v>2019.1</v>
      </c>
      <c r="B319" s="50">
        <v>9821</v>
      </c>
      <c r="C319" s="1365">
        <v>13537</v>
      </c>
      <c r="D319" s="506">
        <f t="shared" si="17"/>
        <v>23358</v>
      </c>
      <c r="E319" s="1575"/>
      <c r="F319" s="1573"/>
      <c r="G319" s="696"/>
      <c r="H319" s="573">
        <v>16060</v>
      </c>
      <c r="I319" s="1365">
        <v>27655</v>
      </c>
      <c r="J319" s="526">
        <f t="shared" si="18"/>
        <v>43715</v>
      </c>
    </row>
    <row r="320" spans="1:10">
      <c r="A320" s="51">
        <f t="shared" si="19"/>
        <v>2019.11</v>
      </c>
      <c r="B320" s="50">
        <v>9710</v>
      </c>
      <c r="C320" s="1365">
        <v>13851</v>
      </c>
      <c r="D320" s="506">
        <f t="shared" si="17"/>
        <v>23561</v>
      </c>
      <c r="E320" s="1575"/>
      <c r="F320" s="1573"/>
      <c r="G320" s="696"/>
      <c r="H320" s="573">
        <v>16110</v>
      </c>
      <c r="I320" s="1365">
        <v>27513</v>
      </c>
      <c r="J320" s="526">
        <f t="shared" si="18"/>
        <v>43623</v>
      </c>
    </row>
    <row r="321" spans="1:10">
      <c r="A321" s="51">
        <f t="shared" si="19"/>
        <v>2019.12</v>
      </c>
      <c r="B321" s="50">
        <v>9620</v>
      </c>
      <c r="C321" s="1365">
        <v>13226</v>
      </c>
      <c r="D321" s="506">
        <f t="shared" si="17"/>
        <v>22846</v>
      </c>
      <c r="E321" s="1575"/>
      <c r="F321" s="1573"/>
      <c r="G321" s="696"/>
      <c r="H321" s="573">
        <v>16215</v>
      </c>
      <c r="I321" s="1365">
        <v>27151</v>
      </c>
      <c r="J321" s="526">
        <f t="shared" si="18"/>
        <v>43366</v>
      </c>
    </row>
    <row r="322" spans="1:10">
      <c r="A322" s="51">
        <f t="shared" si="19"/>
        <v>2020.01</v>
      </c>
      <c r="B322" s="50">
        <v>9354</v>
      </c>
      <c r="C322" s="1365">
        <v>12984</v>
      </c>
      <c r="D322" s="506">
        <f t="shared" si="17"/>
        <v>22338</v>
      </c>
      <c r="E322" s="1575"/>
      <c r="F322" s="1573"/>
      <c r="G322" s="696"/>
      <c r="H322" s="573">
        <v>14277</v>
      </c>
      <c r="I322" s="1365">
        <v>25430</v>
      </c>
      <c r="J322" s="526">
        <f t="shared" si="18"/>
        <v>39707</v>
      </c>
    </row>
    <row r="323" spans="1:10">
      <c r="A323" s="51">
        <f t="shared" si="19"/>
        <v>2020.02</v>
      </c>
      <c r="B323" s="50">
        <v>9140</v>
      </c>
      <c r="C323" s="1365">
        <v>12860</v>
      </c>
      <c r="D323" s="506">
        <f t="shared" si="17"/>
        <v>22000</v>
      </c>
      <c r="E323" s="1575"/>
      <c r="F323" s="1573"/>
      <c r="G323" s="696"/>
      <c r="H323" s="573">
        <v>15299</v>
      </c>
      <c r="I323" s="1365">
        <v>26552</v>
      </c>
      <c r="J323" s="526">
        <f t="shared" si="18"/>
        <v>41851</v>
      </c>
    </row>
    <row r="324" spans="1:10">
      <c r="A324" s="51">
        <f t="shared" si="19"/>
        <v>2020.03</v>
      </c>
      <c r="B324" s="50">
        <v>8888</v>
      </c>
      <c r="C324" s="1365">
        <v>12139</v>
      </c>
      <c r="D324" s="506">
        <f t="shared" si="17"/>
        <v>21027</v>
      </c>
      <c r="E324" s="1575"/>
      <c r="F324" s="1573"/>
      <c r="G324" s="696"/>
      <c r="H324" s="573">
        <v>14189</v>
      </c>
      <c r="I324" s="1365">
        <v>24462</v>
      </c>
      <c r="J324" s="526">
        <f t="shared" si="18"/>
        <v>38651</v>
      </c>
    </row>
    <row r="325" spans="1:10">
      <c r="A325" s="51">
        <f t="shared" si="19"/>
        <v>2020.04</v>
      </c>
      <c r="B325" s="50">
        <v>8805</v>
      </c>
      <c r="C325" s="1365">
        <v>11729</v>
      </c>
      <c r="D325" s="506">
        <f t="shared" si="17"/>
        <v>20534</v>
      </c>
      <c r="E325" s="1575"/>
      <c r="F325" s="1573"/>
      <c r="G325" s="696"/>
      <c r="H325" s="573">
        <v>11535</v>
      </c>
      <c r="I325" s="1365">
        <v>21162</v>
      </c>
      <c r="J325" s="526">
        <f t="shared" si="18"/>
        <v>32697</v>
      </c>
    </row>
    <row r="326" spans="1:10">
      <c r="A326" s="51">
        <f t="shared" si="19"/>
        <v>2020.05</v>
      </c>
      <c r="B326" s="50">
        <v>8878</v>
      </c>
      <c r="C326" s="1365">
        <v>11805</v>
      </c>
      <c r="D326" s="506">
        <f t="shared" si="17"/>
        <v>20683</v>
      </c>
      <c r="E326" s="1575"/>
      <c r="F326" s="1573"/>
      <c r="G326" s="696"/>
      <c r="H326" s="573">
        <v>15521</v>
      </c>
      <c r="I326" s="1365">
        <v>27639</v>
      </c>
      <c r="J326" s="526">
        <f t="shared" si="18"/>
        <v>43160</v>
      </c>
    </row>
    <row r="327" spans="1:10">
      <c r="A327" s="51">
        <f t="shared" si="19"/>
        <v>2020.06</v>
      </c>
      <c r="B327" s="50">
        <v>8454</v>
      </c>
      <c r="C327" s="1365">
        <v>11372</v>
      </c>
      <c r="D327" s="506">
        <f t="shared" si="17"/>
        <v>19826</v>
      </c>
      <c r="E327" s="1575"/>
      <c r="F327" s="1573"/>
      <c r="G327" s="696"/>
      <c r="H327" s="573">
        <v>16916</v>
      </c>
      <c r="I327" s="1365">
        <v>30966</v>
      </c>
      <c r="J327" s="526">
        <f t="shared" si="18"/>
        <v>47882</v>
      </c>
    </row>
    <row r="328" spans="1:10">
      <c r="A328" s="51">
        <f t="shared" si="19"/>
        <v>2020.07</v>
      </c>
      <c r="B328" s="50">
        <v>8399</v>
      </c>
      <c r="C328" s="1365">
        <v>11494</v>
      </c>
      <c r="D328" s="506">
        <f t="shared" si="17"/>
        <v>19893</v>
      </c>
      <c r="E328" s="1575"/>
      <c r="F328" s="1573"/>
      <c r="G328" s="696"/>
      <c r="H328" s="573">
        <v>17064</v>
      </c>
      <c r="I328" s="1365">
        <v>35580</v>
      </c>
      <c r="J328" s="526">
        <f t="shared" si="18"/>
        <v>52644</v>
      </c>
    </row>
    <row r="329" spans="1:10">
      <c r="A329" s="51">
        <f t="shared" si="19"/>
        <v>2020.08</v>
      </c>
      <c r="B329" s="50">
        <v>8136</v>
      </c>
      <c r="C329" s="1365">
        <v>10875</v>
      </c>
      <c r="D329" s="506">
        <f t="shared" si="17"/>
        <v>19011</v>
      </c>
      <c r="E329" s="1575"/>
      <c r="F329" s="1573"/>
      <c r="G329" s="696"/>
      <c r="H329" s="573">
        <v>16185</v>
      </c>
      <c r="I329" s="1365">
        <v>36614</v>
      </c>
      <c r="J329" s="526">
        <f t="shared" si="18"/>
        <v>52799</v>
      </c>
    </row>
    <row r="330" spans="1:10">
      <c r="A330" s="51">
        <f t="shared" si="19"/>
        <v>2020.09</v>
      </c>
      <c r="B330" s="50">
        <v>8233</v>
      </c>
      <c r="C330" s="1365">
        <v>11007</v>
      </c>
      <c r="D330" s="506">
        <f t="shared" si="17"/>
        <v>19240</v>
      </c>
      <c r="E330" s="1575"/>
      <c r="F330" s="1573"/>
      <c r="G330" s="696"/>
      <c r="H330" s="573">
        <v>16141</v>
      </c>
      <c r="I330" s="1365">
        <v>34298</v>
      </c>
      <c r="J330" s="526">
        <f t="shared" si="18"/>
        <v>50439</v>
      </c>
    </row>
    <row r="331" spans="1:10">
      <c r="A331" s="51">
        <f t="shared" si="19"/>
        <v>2020.1</v>
      </c>
      <c r="B331" s="50">
        <v>8306</v>
      </c>
      <c r="C331" s="1365">
        <v>11414</v>
      </c>
      <c r="D331" s="506">
        <f t="shared" si="17"/>
        <v>19720</v>
      </c>
      <c r="E331" s="1575"/>
      <c r="F331" s="1573"/>
      <c r="G331" s="696"/>
      <c r="H331" s="573">
        <v>16084</v>
      </c>
      <c r="I331" s="1365">
        <v>34304</v>
      </c>
      <c r="J331" s="526">
        <f t="shared" si="18"/>
        <v>50388</v>
      </c>
    </row>
    <row r="332" spans="1:10">
      <c r="A332" s="51">
        <f t="shared" si="19"/>
        <v>2020.11</v>
      </c>
      <c r="B332" s="50">
        <v>8432</v>
      </c>
      <c r="C332" s="1365">
        <v>11481</v>
      </c>
      <c r="D332" s="506">
        <f t="shared" si="17"/>
        <v>19913</v>
      </c>
      <c r="E332" s="1575"/>
      <c r="F332" s="1573"/>
      <c r="G332" s="696"/>
      <c r="H332" s="573">
        <v>15804</v>
      </c>
      <c r="I332" s="1365">
        <v>31621</v>
      </c>
      <c r="J332" s="526">
        <f t="shared" si="18"/>
        <v>47425</v>
      </c>
    </row>
    <row r="333" spans="1:10">
      <c r="A333" s="51">
        <f t="shared" si="19"/>
        <v>2020.12</v>
      </c>
      <c r="B333" s="50">
        <v>8268</v>
      </c>
      <c r="C333" s="1365">
        <v>11519</v>
      </c>
      <c r="D333" s="506">
        <f t="shared" si="17"/>
        <v>19787</v>
      </c>
      <c r="E333" s="1575"/>
      <c r="F333" s="1573"/>
      <c r="G333" s="696"/>
      <c r="H333" s="573">
        <v>15795</v>
      </c>
      <c r="I333" s="1365">
        <v>33216</v>
      </c>
      <c r="J333" s="526">
        <f t="shared" si="18"/>
        <v>49011</v>
      </c>
    </row>
    <row r="334" spans="1:10">
      <c r="A334" s="51">
        <f t="shared" si="19"/>
        <v>2021.01</v>
      </c>
      <c r="B334" s="50">
        <v>8023</v>
      </c>
      <c r="C334" s="1365">
        <v>10808</v>
      </c>
      <c r="D334" s="506">
        <f t="shared" ref="D334:D393" si="20">B334+C334</f>
        <v>18831</v>
      </c>
      <c r="E334" s="1575"/>
      <c r="F334" s="1573"/>
      <c r="G334" s="696"/>
      <c r="H334" s="573">
        <v>15240</v>
      </c>
      <c r="I334" s="1365">
        <v>30095</v>
      </c>
      <c r="J334" s="526">
        <f t="shared" ref="J334:J393" si="21">H334+I334</f>
        <v>45335</v>
      </c>
    </row>
    <row r="335" spans="1:10">
      <c r="A335" s="51">
        <f t="shared" si="19"/>
        <v>2021.02</v>
      </c>
      <c r="B335" s="50">
        <v>8034</v>
      </c>
      <c r="C335" s="1365">
        <v>10915</v>
      </c>
      <c r="D335" s="506">
        <f t="shared" si="20"/>
        <v>18949</v>
      </c>
      <c r="E335" s="1575"/>
      <c r="F335" s="1573"/>
      <c r="G335" s="696"/>
      <c r="H335" s="573">
        <v>15641</v>
      </c>
      <c r="I335" s="1365">
        <v>31248</v>
      </c>
      <c r="J335" s="526">
        <f t="shared" si="21"/>
        <v>46889</v>
      </c>
    </row>
    <row r="336" spans="1:10">
      <c r="A336" s="51">
        <f t="shared" si="19"/>
        <v>2021.03</v>
      </c>
      <c r="B336" s="50">
        <v>8037</v>
      </c>
      <c r="C336" s="1365">
        <v>10918</v>
      </c>
      <c r="D336" s="506">
        <f t="shared" si="20"/>
        <v>18955</v>
      </c>
      <c r="E336" s="1575"/>
      <c r="F336" s="1573"/>
      <c r="G336" s="696"/>
      <c r="H336" s="573">
        <v>16109</v>
      </c>
      <c r="I336" s="1365">
        <v>32817</v>
      </c>
      <c r="J336" s="526">
        <f t="shared" si="21"/>
        <v>48926</v>
      </c>
    </row>
    <row r="337" spans="1:10">
      <c r="A337" s="51">
        <f t="shared" si="19"/>
        <v>2021.04</v>
      </c>
      <c r="B337" s="50">
        <v>8289</v>
      </c>
      <c r="C337" s="1365">
        <v>10889</v>
      </c>
      <c r="D337" s="506">
        <f t="shared" si="20"/>
        <v>19178</v>
      </c>
      <c r="E337" s="1575"/>
      <c r="F337" s="1573"/>
      <c r="G337" s="696"/>
      <c r="H337" s="573">
        <v>16195</v>
      </c>
      <c r="I337" s="1365">
        <v>34631</v>
      </c>
      <c r="J337" s="526">
        <f t="shared" si="21"/>
        <v>50826</v>
      </c>
    </row>
    <row r="338" spans="1:10">
      <c r="A338" s="51">
        <f t="shared" si="19"/>
        <v>2021.05</v>
      </c>
      <c r="B338" s="50">
        <v>8002</v>
      </c>
      <c r="C338" s="1365">
        <v>10716</v>
      </c>
      <c r="D338" s="506">
        <f t="shared" si="20"/>
        <v>18718</v>
      </c>
      <c r="E338" s="1575"/>
      <c r="F338" s="1573"/>
      <c r="G338" s="696"/>
      <c r="H338" s="573">
        <v>16118</v>
      </c>
      <c r="I338" s="1365">
        <v>33006</v>
      </c>
      <c r="J338" s="526">
        <f t="shared" si="21"/>
        <v>49124</v>
      </c>
    </row>
    <row r="339" spans="1:10">
      <c r="A339" s="51">
        <f t="shared" si="19"/>
        <v>2021.06</v>
      </c>
      <c r="B339" s="50">
        <v>8561</v>
      </c>
      <c r="C339" s="1365">
        <v>11305</v>
      </c>
      <c r="D339" s="506">
        <f t="shared" si="20"/>
        <v>19866</v>
      </c>
      <c r="E339" s="1575"/>
      <c r="F339" s="1573"/>
      <c r="G339" s="696"/>
      <c r="H339" s="573">
        <v>16425</v>
      </c>
      <c r="I339" s="1365">
        <v>34884</v>
      </c>
      <c r="J339" s="526">
        <f t="shared" si="21"/>
        <v>51309</v>
      </c>
    </row>
    <row r="340" spans="1:10">
      <c r="A340" s="51">
        <f t="shared" si="19"/>
        <v>2021.07</v>
      </c>
      <c r="B340" s="50">
        <v>8005</v>
      </c>
      <c r="C340" s="1365">
        <v>10823</v>
      </c>
      <c r="D340" s="506">
        <f t="shared" si="20"/>
        <v>18828</v>
      </c>
      <c r="E340" s="1575"/>
      <c r="F340" s="1573"/>
      <c r="G340" s="696"/>
      <c r="H340" s="573">
        <v>16109</v>
      </c>
      <c r="I340" s="1365">
        <v>35252</v>
      </c>
      <c r="J340" s="526">
        <f t="shared" si="21"/>
        <v>51361</v>
      </c>
    </row>
    <row r="341" spans="1:10">
      <c r="A341" s="51">
        <f t="shared" si="19"/>
        <v>2021.08</v>
      </c>
      <c r="B341" s="50">
        <v>8195</v>
      </c>
      <c r="C341" s="1365">
        <v>10592</v>
      </c>
      <c r="D341" s="506">
        <f t="shared" si="20"/>
        <v>18787</v>
      </c>
      <c r="E341" s="1575"/>
      <c r="F341" s="1573"/>
      <c r="G341" s="696"/>
      <c r="H341" s="573">
        <v>16100</v>
      </c>
      <c r="I341" s="1365">
        <v>32923</v>
      </c>
      <c r="J341" s="526">
        <f t="shared" si="21"/>
        <v>49023</v>
      </c>
    </row>
    <row r="342" spans="1:10">
      <c r="A342" s="51">
        <f t="shared" si="19"/>
        <v>2021.09</v>
      </c>
      <c r="B342" s="50">
        <v>8080</v>
      </c>
      <c r="C342" s="1365">
        <v>10299</v>
      </c>
      <c r="D342" s="506">
        <f t="shared" si="20"/>
        <v>18379</v>
      </c>
      <c r="E342" s="1575"/>
      <c r="F342" s="1573"/>
      <c r="G342" s="696"/>
      <c r="H342" s="573">
        <v>16119</v>
      </c>
      <c r="I342" s="1365">
        <v>33944</v>
      </c>
      <c r="J342" s="526">
        <f t="shared" si="21"/>
        <v>50063</v>
      </c>
    </row>
    <row r="343" spans="1:10">
      <c r="A343" s="51">
        <f t="shared" si="19"/>
        <v>2021.1</v>
      </c>
      <c r="B343" s="50">
        <v>8016</v>
      </c>
      <c r="C343" s="1365">
        <v>10251</v>
      </c>
      <c r="D343" s="506">
        <f t="shared" si="20"/>
        <v>18267</v>
      </c>
      <c r="E343" s="1575"/>
      <c r="F343" s="1573"/>
      <c r="G343" s="696"/>
      <c r="H343" s="573">
        <v>16117</v>
      </c>
      <c r="I343" s="1365">
        <v>33941</v>
      </c>
      <c r="J343" s="526">
        <f t="shared" si="21"/>
        <v>50058</v>
      </c>
    </row>
    <row r="344" spans="1:10">
      <c r="A344" s="51">
        <f t="shared" si="19"/>
        <v>2021.11</v>
      </c>
      <c r="B344" s="50">
        <v>7889</v>
      </c>
      <c r="C344" s="1365">
        <v>10205</v>
      </c>
      <c r="D344" s="506">
        <f t="shared" si="20"/>
        <v>18094</v>
      </c>
      <c r="E344" s="1575"/>
      <c r="F344" s="1573"/>
      <c r="G344" s="696"/>
      <c r="H344" s="573">
        <v>15578</v>
      </c>
      <c r="I344" s="1365">
        <v>27967</v>
      </c>
      <c r="J344" s="526">
        <f t="shared" si="21"/>
        <v>43545</v>
      </c>
    </row>
    <row r="345" spans="1:10">
      <c r="A345" s="51">
        <f t="shared" si="19"/>
        <v>2021.12</v>
      </c>
      <c r="B345" s="50">
        <v>7849</v>
      </c>
      <c r="C345" s="1365">
        <v>10463</v>
      </c>
      <c r="D345" s="506">
        <f t="shared" si="20"/>
        <v>18312</v>
      </c>
      <c r="E345" s="1575"/>
      <c r="F345" s="1573"/>
      <c r="G345" s="696"/>
      <c r="H345" s="573">
        <v>16126</v>
      </c>
      <c r="I345" s="1365">
        <v>33005</v>
      </c>
      <c r="J345" s="526">
        <f t="shared" si="21"/>
        <v>49131</v>
      </c>
    </row>
    <row r="346" spans="1:10">
      <c r="A346" s="51">
        <f t="shared" si="19"/>
        <v>2022.01</v>
      </c>
      <c r="B346" s="50">
        <v>7270</v>
      </c>
      <c r="C346" s="1365">
        <v>9507</v>
      </c>
      <c r="D346" s="506">
        <f t="shared" si="20"/>
        <v>16777</v>
      </c>
      <c r="E346" s="1575"/>
      <c r="F346" s="1573"/>
      <c r="G346" s="696"/>
      <c r="H346" s="573">
        <v>15820</v>
      </c>
      <c r="I346" s="1365">
        <v>31671</v>
      </c>
      <c r="J346" s="526">
        <f t="shared" si="21"/>
        <v>47491</v>
      </c>
    </row>
    <row r="347" spans="1:10">
      <c r="A347" s="51">
        <f t="shared" si="19"/>
        <v>2022.02</v>
      </c>
      <c r="B347" s="50">
        <v>7758</v>
      </c>
      <c r="C347" s="1365">
        <v>10142</v>
      </c>
      <c r="D347" s="506">
        <f t="shared" si="20"/>
        <v>17900</v>
      </c>
      <c r="E347" s="1575"/>
      <c r="F347" s="1573"/>
      <c r="G347" s="696"/>
      <c r="H347" s="573">
        <v>15838</v>
      </c>
      <c r="I347" s="1365">
        <v>32366</v>
      </c>
      <c r="J347" s="526">
        <f t="shared" si="21"/>
        <v>48204</v>
      </c>
    </row>
    <row r="348" spans="1:10">
      <c r="A348" s="51">
        <f t="shared" si="19"/>
        <v>2022.03</v>
      </c>
      <c r="B348" s="50">
        <v>7658</v>
      </c>
      <c r="C348" s="1365">
        <v>10253</v>
      </c>
      <c r="D348" s="506">
        <f t="shared" si="20"/>
        <v>17911</v>
      </c>
      <c r="E348" s="1575"/>
      <c r="F348" s="1573"/>
      <c r="G348" s="696"/>
      <c r="H348" s="573">
        <v>15826</v>
      </c>
      <c r="I348" s="1365">
        <v>32913</v>
      </c>
      <c r="J348" s="526">
        <f t="shared" si="21"/>
        <v>48739</v>
      </c>
    </row>
    <row r="349" spans="1:10">
      <c r="A349" s="51">
        <f t="shared" si="19"/>
        <v>2022.04</v>
      </c>
      <c r="B349" s="50">
        <v>7879</v>
      </c>
      <c r="C349" s="1365">
        <v>9989</v>
      </c>
      <c r="D349" s="506">
        <f t="shared" si="20"/>
        <v>17868</v>
      </c>
      <c r="E349" s="1575"/>
      <c r="F349" s="1573"/>
      <c r="G349" s="696"/>
      <c r="H349" s="573">
        <v>15858</v>
      </c>
      <c r="I349" s="1365">
        <v>31008</v>
      </c>
      <c r="J349" s="526">
        <f t="shared" si="21"/>
        <v>46866</v>
      </c>
    </row>
    <row r="350" spans="1:10">
      <c r="A350" s="51">
        <f t="shared" si="19"/>
        <v>2022.05</v>
      </c>
      <c r="B350" s="50">
        <v>7720</v>
      </c>
      <c r="C350" s="1365">
        <v>9974</v>
      </c>
      <c r="D350" s="506">
        <f>B350+C350</f>
        <v>17694</v>
      </c>
      <c r="E350" s="1575"/>
      <c r="F350" s="1573"/>
      <c r="G350" s="696"/>
      <c r="H350" s="573">
        <v>15124</v>
      </c>
      <c r="I350" s="1365">
        <v>30673</v>
      </c>
      <c r="J350" s="526">
        <f t="shared" si="21"/>
        <v>45797</v>
      </c>
    </row>
    <row r="351" spans="1:10">
      <c r="A351" s="51">
        <f t="shared" si="19"/>
        <v>2022.06</v>
      </c>
      <c r="B351" s="50">
        <v>7598</v>
      </c>
      <c r="C351" s="1365">
        <v>9913</v>
      </c>
      <c r="D351" s="506">
        <f t="shared" ref="D351:D354" si="22">B351+C351</f>
        <v>17511</v>
      </c>
      <c r="E351" s="1575"/>
      <c r="F351" s="1573"/>
      <c r="G351" s="696"/>
      <c r="H351" s="573">
        <v>15125</v>
      </c>
      <c r="I351" s="1365">
        <v>31018</v>
      </c>
      <c r="J351" s="526">
        <f t="shared" si="21"/>
        <v>46143</v>
      </c>
    </row>
    <row r="352" spans="1:10">
      <c r="A352" s="51">
        <f t="shared" si="19"/>
        <v>2022.07</v>
      </c>
      <c r="B352" s="50">
        <v>7626</v>
      </c>
      <c r="C352" s="1365">
        <v>9821</v>
      </c>
      <c r="D352" s="506">
        <f t="shared" si="22"/>
        <v>17447</v>
      </c>
      <c r="E352" s="1575"/>
      <c r="F352" s="1573"/>
      <c r="G352" s="696"/>
      <c r="H352" s="573">
        <v>14771</v>
      </c>
      <c r="I352" s="1365">
        <v>29060</v>
      </c>
      <c r="J352" s="526">
        <f t="shared" si="21"/>
        <v>43831</v>
      </c>
    </row>
    <row r="353" spans="1:10">
      <c r="A353" s="51">
        <f t="shared" si="19"/>
        <v>2022.08</v>
      </c>
      <c r="B353" s="50">
        <v>7460</v>
      </c>
      <c r="C353" s="1365">
        <v>9770</v>
      </c>
      <c r="D353" s="506">
        <f t="shared" si="22"/>
        <v>17230</v>
      </c>
      <c r="E353" s="1575"/>
      <c r="F353" s="1573"/>
      <c r="G353" s="696"/>
      <c r="H353" s="573">
        <v>14872</v>
      </c>
      <c r="I353" s="1365">
        <v>31577</v>
      </c>
      <c r="J353" s="526">
        <f t="shared" si="21"/>
        <v>46449</v>
      </c>
    </row>
    <row r="354" spans="1:10">
      <c r="A354" s="51">
        <f t="shared" si="19"/>
        <v>2022.09</v>
      </c>
      <c r="B354" s="50">
        <v>7031</v>
      </c>
      <c r="C354" s="1365">
        <v>9035</v>
      </c>
      <c r="D354" s="506">
        <f t="shared" si="22"/>
        <v>16066</v>
      </c>
      <c r="E354" s="1575"/>
      <c r="F354" s="1573"/>
      <c r="G354" s="696"/>
      <c r="H354" s="573">
        <v>14688</v>
      </c>
      <c r="I354" s="1365">
        <v>29758</v>
      </c>
      <c r="J354" s="526">
        <f t="shared" si="21"/>
        <v>44446</v>
      </c>
    </row>
    <row r="355" spans="1:10">
      <c r="A355" s="51">
        <f t="shared" si="19"/>
        <v>2022.1</v>
      </c>
      <c r="B355" s="50">
        <v>7435</v>
      </c>
      <c r="C355" s="1365">
        <v>9326</v>
      </c>
      <c r="D355" s="506">
        <f>B355+C355</f>
        <v>16761</v>
      </c>
      <c r="E355" s="1575"/>
      <c r="F355" s="1573"/>
      <c r="G355" s="696"/>
      <c r="H355" s="573">
        <v>14555</v>
      </c>
      <c r="I355" s="1365">
        <v>28647</v>
      </c>
      <c r="J355" s="526">
        <f t="shared" si="21"/>
        <v>43202</v>
      </c>
    </row>
    <row r="356" spans="1:10">
      <c r="A356" s="51">
        <f t="shared" si="19"/>
        <v>2022.11</v>
      </c>
      <c r="B356" s="50">
        <v>7882</v>
      </c>
      <c r="C356" s="1365">
        <v>9703</v>
      </c>
      <c r="D356" s="506">
        <f t="shared" si="20"/>
        <v>17585</v>
      </c>
      <c r="E356" s="1575"/>
      <c r="F356" s="1573"/>
      <c r="G356" s="696"/>
      <c r="H356" s="573">
        <v>14613</v>
      </c>
      <c r="I356" s="1365">
        <v>28954</v>
      </c>
      <c r="J356" s="526">
        <f t="shared" si="21"/>
        <v>43567</v>
      </c>
    </row>
    <row r="357" spans="1:10">
      <c r="A357" s="51">
        <f t="shared" si="19"/>
        <v>2022.12</v>
      </c>
      <c r="B357" s="50">
        <v>7227</v>
      </c>
      <c r="C357" s="1365">
        <v>9216</v>
      </c>
      <c r="D357" s="506">
        <f t="shared" si="20"/>
        <v>16443</v>
      </c>
      <c r="E357" s="1575"/>
      <c r="F357" s="1573"/>
      <c r="G357" s="696"/>
      <c r="H357" s="573">
        <v>14776</v>
      </c>
      <c r="I357" s="1365">
        <v>28571</v>
      </c>
      <c r="J357" s="526">
        <f t="shared" si="21"/>
        <v>43347</v>
      </c>
    </row>
    <row r="358" spans="1:10">
      <c r="A358" s="51">
        <f t="shared" si="19"/>
        <v>2023.01</v>
      </c>
      <c r="B358" s="50">
        <v>7038</v>
      </c>
      <c r="C358" s="1365">
        <v>8896</v>
      </c>
      <c r="D358" s="506">
        <f t="shared" si="20"/>
        <v>15934</v>
      </c>
      <c r="E358" s="1575"/>
      <c r="F358" s="1573"/>
      <c r="G358" s="696"/>
      <c r="H358" s="573">
        <v>14617</v>
      </c>
      <c r="I358" s="1365">
        <v>29633</v>
      </c>
      <c r="J358" s="526">
        <f t="shared" si="21"/>
        <v>44250</v>
      </c>
    </row>
    <row r="359" spans="1:10">
      <c r="A359" s="51">
        <f t="shared" si="19"/>
        <v>2023.02</v>
      </c>
      <c r="B359" s="50">
        <v>7064</v>
      </c>
      <c r="C359" s="1365">
        <v>8891</v>
      </c>
      <c r="D359" s="506">
        <f>B359+C359</f>
        <v>15955</v>
      </c>
      <c r="E359" s="1575"/>
      <c r="F359" s="1573"/>
      <c r="G359" s="696"/>
      <c r="H359" s="573">
        <v>15425</v>
      </c>
      <c r="I359" s="1365">
        <v>29794</v>
      </c>
      <c r="J359" s="526">
        <f>H359+I359</f>
        <v>45219</v>
      </c>
    </row>
    <row r="360" spans="1:10">
      <c r="A360" s="51">
        <f t="shared" si="19"/>
        <v>2023.03</v>
      </c>
      <c r="B360" s="50">
        <v>6844</v>
      </c>
      <c r="C360" s="1365">
        <v>8843</v>
      </c>
      <c r="D360" s="506">
        <f t="shared" si="20"/>
        <v>15687</v>
      </c>
      <c r="E360" s="1575"/>
      <c r="F360" s="1573"/>
      <c r="G360" s="696"/>
      <c r="H360" s="573">
        <v>15330</v>
      </c>
      <c r="I360" s="1365">
        <v>30630</v>
      </c>
      <c r="J360" s="526">
        <f t="shared" si="21"/>
        <v>45960</v>
      </c>
    </row>
    <row r="361" spans="1:10">
      <c r="A361" s="51">
        <f t="shared" si="19"/>
        <v>2023.04</v>
      </c>
      <c r="B361" s="50">
        <v>7289</v>
      </c>
      <c r="C361" s="1365">
        <v>8743</v>
      </c>
      <c r="D361" s="506">
        <f t="shared" si="20"/>
        <v>16032</v>
      </c>
      <c r="E361" s="1575"/>
      <c r="F361" s="1573"/>
      <c r="G361" s="696"/>
      <c r="H361" s="573">
        <v>15246</v>
      </c>
      <c r="I361" s="1365">
        <v>27962</v>
      </c>
      <c r="J361" s="526">
        <f>H361+I361</f>
        <v>43208</v>
      </c>
    </row>
    <row r="362" spans="1:10">
      <c r="A362" s="51">
        <f t="shared" si="19"/>
        <v>2023.05</v>
      </c>
      <c r="B362" s="50">
        <v>6776</v>
      </c>
      <c r="C362" s="1365">
        <v>8577</v>
      </c>
      <c r="D362" s="506">
        <f t="shared" si="20"/>
        <v>15353</v>
      </c>
      <c r="E362" s="1575"/>
      <c r="F362" s="1573"/>
      <c r="G362" s="696"/>
      <c r="H362" s="573">
        <v>15295</v>
      </c>
      <c r="I362" s="1365">
        <v>29973</v>
      </c>
      <c r="J362" s="526">
        <f t="shared" si="21"/>
        <v>45268</v>
      </c>
    </row>
    <row r="363" spans="1:10">
      <c r="A363" s="51">
        <f t="shared" si="19"/>
        <v>2023.06</v>
      </c>
      <c r="B363" s="50">
        <v>6785</v>
      </c>
      <c r="C363" s="1365">
        <v>8595</v>
      </c>
      <c r="D363" s="506">
        <f t="shared" si="20"/>
        <v>15380</v>
      </c>
      <c r="E363" s="1575"/>
      <c r="F363" s="1573"/>
      <c r="G363" s="696"/>
      <c r="H363" s="573">
        <v>15153</v>
      </c>
      <c r="I363" s="1365">
        <v>29628</v>
      </c>
      <c r="J363" s="526">
        <f t="shared" si="21"/>
        <v>44781</v>
      </c>
    </row>
    <row r="364" spans="1:10">
      <c r="A364" s="51">
        <f t="shared" si="19"/>
        <v>2023.07</v>
      </c>
      <c r="B364" s="50">
        <v>6862</v>
      </c>
      <c r="C364" s="1365">
        <v>8409</v>
      </c>
      <c r="D364" s="506">
        <f t="shared" si="20"/>
        <v>15271</v>
      </c>
      <c r="E364" s="1575"/>
      <c r="F364" s="1573"/>
      <c r="G364" s="696"/>
      <c r="H364" s="573">
        <v>15199</v>
      </c>
      <c r="I364" s="1365">
        <v>28473</v>
      </c>
      <c r="J364" s="526">
        <f t="shared" si="21"/>
        <v>43672</v>
      </c>
    </row>
    <row r="365" spans="1:10">
      <c r="A365" s="51">
        <f t="shared" si="19"/>
        <v>2023.08</v>
      </c>
      <c r="B365" s="50">
        <v>6337</v>
      </c>
      <c r="C365" s="1365">
        <v>8058</v>
      </c>
      <c r="D365" s="506">
        <f t="shared" si="20"/>
        <v>14395</v>
      </c>
      <c r="E365" s="1575"/>
      <c r="F365" s="1573"/>
      <c r="G365" s="696"/>
      <c r="H365" s="573">
        <v>14532</v>
      </c>
      <c r="I365" s="1365">
        <v>27945</v>
      </c>
      <c r="J365" s="526">
        <f t="shared" si="21"/>
        <v>42477</v>
      </c>
    </row>
    <row r="366" spans="1:10">
      <c r="A366" s="51">
        <f t="shared" si="19"/>
        <v>2023.09</v>
      </c>
      <c r="B366" s="50">
        <v>8125</v>
      </c>
      <c r="C366" s="1365">
        <v>9784</v>
      </c>
      <c r="D366" s="506">
        <f t="shared" si="20"/>
        <v>17909</v>
      </c>
      <c r="E366" s="1575"/>
      <c r="F366" s="1573"/>
      <c r="G366" s="696"/>
      <c r="H366" s="573">
        <v>14511</v>
      </c>
      <c r="I366" s="1365">
        <v>27314</v>
      </c>
      <c r="J366" s="526">
        <f t="shared" si="21"/>
        <v>41825</v>
      </c>
    </row>
    <row r="367" spans="1:10">
      <c r="A367" s="51">
        <f t="shared" si="19"/>
        <v>2023.1</v>
      </c>
      <c r="B367" s="50">
        <v>8386</v>
      </c>
      <c r="C367" s="1365">
        <v>10056</v>
      </c>
      <c r="D367" s="506">
        <f t="shared" si="20"/>
        <v>18442</v>
      </c>
      <c r="E367" s="1575"/>
      <c r="F367" s="1573"/>
      <c r="G367" s="696"/>
      <c r="H367" s="573">
        <v>14368</v>
      </c>
      <c r="I367" s="1365">
        <v>25867</v>
      </c>
      <c r="J367" s="526">
        <f t="shared" si="21"/>
        <v>40235</v>
      </c>
    </row>
    <row r="368" spans="1:10">
      <c r="A368" s="51">
        <f t="shared" si="19"/>
        <v>2023.11</v>
      </c>
      <c r="B368" s="50">
        <v>9904</v>
      </c>
      <c r="C368" s="1365">
        <v>8224</v>
      </c>
      <c r="D368" s="506">
        <f t="shared" si="20"/>
        <v>18128</v>
      </c>
      <c r="E368" s="1575"/>
      <c r="F368" s="1573"/>
      <c r="G368" s="696"/>
      <c r="H368" s="573">
        <v>18279</v>
      </c>
      <c r="I368" s="1365">
        <v>30885</v>
      </c>
      <c r="J368" s="526">
        <f t="shared" si="21"/>
        <v>49164</v>
      </c>
    </row>
    <row r="369" spans="1:10">
      <c r="A369" s="51">
        <f t="shared" si="19"/>
        <v>2023.12</v>
      </c>
      <c r="B369" s="50" t="e">
        <v>#N/A</v>
      </c>
      <c r="C369" s="1365" t="e">
        <v>#N/A</v>
      </c>
      <c r="D369" s="506" t="e">
        <f t="shared" si="20"/>
        <v>#N/A</v>
      </c>
      <c r="E369" s="1575"/>
      <c r="F369" s="1573"/>
      <c r="G369" s="696"/>
      <c r="H369" s="573">
        <v>18064</v>
      </c>
      <c r="I369" s="1365">
        <v>28465</v>
      </c>
      <c r="J369" s="526">
        <f t="shared" si="21"/>
        <v>46529</v>
      </c>
    </row>
    <row r="370" spans="1:10">
      <c r="A370" s="51">
        <f t="shared" ref="A370:A393" si="23">A358+1</f>
        <v>2024.01</v>
      </c>
      <c r="B370" s="50">
        <v>6024</v>
      </c>
      <c r="C370" s="1365">
        <v>6786</v>
      </c>
      <c r="D370" s="506">
        <f t="shared" si="20"/>
        <v>12810</v>
      </c>
      <c r="E370" s="1575"/>
      <c r="F370" s="1573"/>
      <c r="G370" s="696"/>
      <c r="H370" s="573">
        <v>26242</v>
      </c>
      <c r="I370" s="1365">
        <v>39160</v>
      </c>
      <c r="J370" s="526">
        <f t="shared" si="21"/>
        <v>65402</v>
      </c>
    </row>
    <row r="371" spans="1:10">
      <c r="A371" s="51">
        <f t="shared" si="23"/>
        <v>2024.02</v>
      </c>
      <c r="B371" s="50">
        <v>6405</v>
      </c>
      <c r="C371" s="1365">
        <v>7860</v>
      </c>
      <c r="D371" s="506">
        <f t="shared" si="20"/>
        <v>14265</v>
      </c>
      <c r="E371" s="1575"/>
      <c r="F371" s="1573"/>
      <c r="G371" s="696"/>
      <c r="H371" s="573">
        <v>43072</v>
      </c>
      <c r="I371" s="1365">
        <v>145538</v>
      </c>
      <c r="J371" s="526">
        <f t="shared" si="21"/>
        <v>188610</v>
      </c>
    </row>
    <row r="372" spans="1:10">
      <c r="A372" s="51">
        <f t="shared" si="23"/>
        <v>2024.03</v>
      </c>
      <c r="B372" s="50" t="e">
        <v>#N/A</v>
      </c>
      <c r="C372" s="1365" t="e">
        <v>#N/A</v>
      </c>
      <c r="D372" s="506" t="e">
        <f t="shared" si="20"/>
        <v>#N/A</v>
      </c>
      <c r="E372" s="1575"/>
      <c r="F372" s="1573"/>
      <c r="G372" s="696"/>
      <c r="H372" s="573">
        <v>27584</v>
      </c>
      <c r="I372" s="1365">
        <v>37922</v>
      </c>
      <c r="J372" s="526">
        <f t="shared" si="21"/>
        <v>65506</v>
      </c>
    </row>
    <row r="373" spans="1:10">
      <c r="A373" s="51">
        <f t="shared" si="23"/>
        <v>2024.04</v>
      </c>
      <c r="B373" s="50" t="e">
        <v>#N/A</v>
      </c>
      <c r="C373" s="1365" t="e">
        <v>#N/A</v>
      </c>
      <c r="D373" s="506" t="e">
        <f t="shared" si="20"/>
        <v>#N/A</v>
      </c>
      <c r="E373" s="1575"/>
      <c r="F373" s="1573"/>
      <c r="G373" s="696"/>
      <c r="H373" s="573" t="e">
        <v>#N/A</v>
      </c>
      <c r="I373" s="1365" t="e">
        <v>#N/A</v>
      </c>
      <c r="J373" s="526" t="e">
        <f t="shared" si="21"/>
        <v>#N/A</v>
      </c>
    </row>
    <row r="374" spans="1:10">
      <c r="A374" s="51">
        <f t="shared" si="23"/>
        <v>2024.05</v>
      </c>
      <c r="B374" s="50" t="e">
        <v>#N/A</v>
      </c>
      <c r="C374" s="1365" t="e">
        <v>#N/A</v>
      </c>
      <c r="D374" s="506" t="e">
        <f t="shared" si="20"/>
        <v>#N/A</v>
      </c>
      <c r="E374" s="1575"/>
      <c r="F374" s="1573"/>
      <c r="G374" s="696"/>
      <c r="H374" s="573" t="e">
        <v>#N/A</v>
      </c>
      <c r="I374" s="1365" t="e">
        <v>#N/A</v>
      </c>
      <c r="J374" s="526" t="e">
        <f t="shared" si="21"/>
        <v>#N/A</v>
      </c>
    </row>
    <row r="375" spans="1:10">
      <c r="A375" s="51">
        <f t="shared" si="23"/>
        <v>2024.06</v>
      </c>
      <c r="B375" s="50" t="e">
        <v>#N/A</v>
      </c>
      <c r="C375" s="1365" t="e">
        <v>#N/A</v>
      </c>
      <c r="D375" s="506" t="e">
        <f t="shared" si="20"/>
        <v>#N/A</v>
      </c>
      <c r="E375" s="1575"/>
      <c r="F375" s="1573"/>
      <c r="G375" s="696"/>
      <c r="H375" s="573" t="e">
        <v>#N/A</v>
      </c>
      <c r="I375" s="1365" t="e">
        <v>#N/A</v>
      </c>
      <c r="J375" s="526" t="e">
        <f t="shared" si="21"/>
        <v>#N/A</v>
      </c>
    </row>
    <row r="376" spans="1:10">
      <c r="A376" s="51">
        <f t="shared" si="23"/>
        <v>2024.07</v>
      </c>
      <c r="B376" s="50" t="e">
        <v>#N/A</v>
      </c>
      <c r="C376" s="1365" t="e">
        <v>#N/A</v>
      </c>
      <c r="D376" s="506" t="e">
        <f t="shared" si="20"/>
        <v>#N/A</v>
      </c>
      <c r="E376" s="1575"/>
      <c r="F376" s="1573"/>
      <c r="G376" s="696"/>
      <c r="H376" s="573" t="e">
        <v>#N/A</v>
      </c>
      <c r="I376" s="1365" t="e">
        <v>#N/A</v>
      </c>
      <c r="J376" s="526" t="e">
        <f t="shared" si="21"/>
        <v>#N/A</v>
      </c>
    </row>
    <row r="377" spans="1:10">
      <c r="A377" s="51">
        <f t="shared" si="23"/>
        <v>2024.08</v>
      </c>
      <c r="B377" s="50" t="e">
        <v>#N/A</v>
      </c>
      <c r="C377" s="1365" t="e">
        <v>#N/A</v>
      </c>
      <c r="D377" s="506" t="e">
        <f t="shared" si="20"/>
        <v>#N/A</v>
      </c>
      <c r="E377" s="1575"/>
      <c r="F377" s="1573"/>
      <c r="G377" s="696"/>
      <c r="H377" s="573" t="e">
        <v>#N/A</v>
      </c>
      <c r="I377" s="1365" t="e">
        <v>#N/A</v>
      </c>
      <c r="J377" s="526" t="e">
        <f t="shared" si="21"/>
        <v>#N/A</v>
      </c>
    </row>
    <row r="378" spans="1:10">
      <c r="A378" s="51">
        <f t="shared" si="23"/>
        <v>2024.09</v>
      </c>
      <c r="B378" s="50" t="e">
        <v>#N/A</v>
      </c>
      <c r="C378" s="1365" t="e">
        <v>#N/A</v>
      </c>
      <c r="D378" s="506" t="e">
        <f t="shared" si="20"/>
        <v>#N/A</v>
      </c>
      <c r="E378" s="1575"/>
      <c r="F378" s="1573"/>
      <c r="G378" s="696"/>
      <c r="H378" s="573" t="e">
        <v>#N/A</v>
      </c>
      <c r="I378" s="1365" t="e">
        <v>#N/A</v>
      </c>
      <c r="J378" s="526" t="e">
        <f t="shared" si="21"/>
        <v>#N/A</v>
      </c>
    </row>
    <row r="379" spans="1:10">
      <c r="A379" s="51">
        <f t="shared" si="23"/>
        <v>2024.1</v>
      </c>
      <c r="B379" s="50" t="e">
        <v>#N/A</v>
      </c>
      <c r="C379" s="1365" t="e">
        <v>#N/A</v>
      </c>
      <c r="D379" s="506" t="e">
        <f t="shared" si="20"/>
        <v>#N/A</v>
      </c>
      <c r="E379" s="1575"/>
      <c r="F379" s="1573"/>
      <c r="G379" s="696"/>
      <c r="H379" s="573" t="e">
        <v>#N/A</v>
      </c>
      <c r="I379" s="1365" t="e">
        <v>#N/A</v>
      </c>
      <c r="J379" s="526" t="e">
        <f t="shared" si="21"/>
        <v>#N/A</v>
      </c>
    </row>
    <row r="380" spans="1:10">
      <c r="A380" s="51">
        <f t="shared" si="23"/>
        <v>2024.11</v>
      </c>
      <c r="B380" s="50" t="e">
        <v>#N/A</v>
      </c>
      <c r="C380" s="1365" t="e">
        <v>#N/A</v>
      </c>
      <c r="D380" s="506" t="e">
        <f t="shared" si="20"/>
        <v>#N/A</v>
      </c>
      <c r="E380" s="1575"/>
      <c r="F380" s="1573"/>
      <c r="G380" s="696"/>
      <c r="H380" s="573" t="e">
        <v>#N/A</v>
      </c>
      <c r="I380" s="1365" t="e">
        <v>#N/A</v>
      </c>
      <c r="J380" s="526" t="e">
        <f t="shared" si="21"/>
        <v>#N/A</v>
      </c>
    </row>
    <row r="381" spans="1:10">
      <c r="A381" s="51">
        <f t="shared" si="23"/>
        <v>2024.12</v>
      </c>
      <c r="B381" s="50" t="e">
        <v>#N/A</v>
      </c>
      <c r="C381" s="1365" t="e">
        <v>#N/A</v>
      </c>
      <c r="D381" s="506" t="e">
        <f t="shared" si="20"/>
        <v>#N/A</v>
      </c>
      <c r="E381" s="1575"/>
      <c r="F381" s="1573"/>
      <c r="G381" s="696"/>
      <c r="H381" s="573" t="e">
        <v>#N/A</v>
      </c>
      <c r="I381" s="1365" t="e">
        <v>#N/A</v>
      </c>
      <c r="J381" s="526" t="e">
        <f t="shared" si="21"/>
        <v>#N/A</v>
      </c>
    </row>
    <row r="382" spans="1:10">
      <c r="A382" s="51">
        <f t="shared" si="23"/>
        <v>2025.01</v>
      </c>
      <c r="B382" s="50" t="e">
        <v>#N/A</v>
      </c>
      <c r="C382" s="1365" t="e">
        <v>#N/A</v>
      </c>
      <c r="D382" s="506" t="e">
        <f t="shared" si="20"/>
        <v>#N/A</v>
      </c>
      <c r="E382" s="1575"/>
      <c r="F382" s="1573"/>
      <c r="G382" s="696"/>
      <c r="H382" s="573" t="e">
        <v>#N/A</v>
      </c>
      <c r="I382" s="1365" t="e">
        <v>#N/A</v>
      </c>
      <c r="J382" s="526" t="e">
        <f t="shared" si="21"/>
        <v>#N/A</v>
      </c>
    </row>
    <row r="383" spans="1:10">
      <c r="A383" s="51">
        <f t="shared" si="23"/>
        <v>2025.02</v>
      </c>
      <c r="B383" s="50" t="e">
        <v>#N/A</v>
      </c>
      <c r="C383" s="1365" t="e">
        <v>#N/A</v>
      </c>
      <c r="D383" s="506" t="e">
        <f t="shared" si="20"/>
        <v>#N/A</v>
      </c>
      <c r="E383" s="1575"/>
      <c r="F383" s="1573"/>
      <c r="G383" s="696"/>
      <c r="H383" s="573" t="e">
        <v>#N/A</v>
      </c>
      <c r="I383" s="1365" t="e">
        <v>#N/A</v>
      </c>
      <c r="J383" s="526" t="e">
        <f t="shared" si="21"/>
        <v>#N/A</v>
      </c>
    </row>
    <row r="384" spans="1:10">
      <c r="A384" s="51">
        <f t="shared" si="23"/>
        <v>2025.03</v>
      </c>
      <c r="B384" s="50" t="e">
        <v>#N/A</v>
      </c>
      <c r="C384" s="1365" t="e">
        <v>#N/A</v>
      </c>
      <c r="D384" s="506" t="e">
        <f t="shared" si="20"/>
        <v>#N/A</v>
      </c>
      <c r="E384" s="1575"/>
      <c r="F384" s="1573"/>
      <c r="G384" s="696"/>
      <c r="H384" s="573" t="e">
        <v>#N/A</v>
      </c>
      <c r="I384" s="1365" t="e">
        <v>#N/A</v>
      </c>
      <c r="J384" s="526" t="e">
        <f t="shared" si="21"/>
        <v>#N/A</v>
      </c>
    </row>
    <row r="385" spans="1:10">
      <c r="A385" s="51">
        <f t="shared" si="23"/>
        <v>2025.04</v>
      </c>
      <c r="B385" s="50" t="e">
        <v>#N/A</v>
      </c>
      <c r="C385" s="1365" t="e">
        <v>#N/A</v>
      </c>
      <c r="D385" s="506" t="e">
        <f t="shared" si="20"/>
        <v>#N/A</v>
      </c>
      <c r="E385" s="1575"/>
      <c r="F385" s="1573"/>
      <c r="G385" s="696"/>
      <c r="H385" s="573" t="e">
        <v>#N/A</v>
      </c>
      <c r="I385" s="1365" t="e">
        <v>#N/A</v>
      </c>
      <c r="J385" s="526" t="e">
        <f t="shared" si="21"/>
        <v>#N/A</v>
      </c>
    </row>
    <row r="386" spans="1:10">
      <c r="A386" s="51">
        <f t="shared" si="23"/>
        <v>2025.05</v>
      </c>
      <c r="B386" s="50" t="e">
        <v>#N/A</v>
      </c>
      <c r="C386" s="1365" t="e">
        <v>#N/A</v>
      </c>
      <c r="D386" s="506" t="e">
        <f t="shared" si="20"/>
        <v>#N/A</v>
      </c>
      <c r="E386" s="1575"/>
      <c r="F386" s="1573"/>
      <c r="G386" s="696"/>
      <c r="H386" s="573" t="e">
        <v>#N/A</v>
      </c>
      <c r="I386" s="1365" t="e">
        <v>#N/A</v>
      </c>
      <c r="J386" s="526" t="e">
        <f t="shared" si="21"/>
        <v>#N/A</v>
      </c>
    </row>
    <row r="387" spans="1:10">
      <c r="A387" s="51">
        <f t="shared" si="23"/>
        <v>2025.06</v>
      </c>
      <c r="B387" s="50" t="e">
        <v>#N/A</v>
      </c>
      <c r="C387" s="1365" t="e">
        <v>#N/A</v>
      </c>
      <c r="D387" s="506" t="e">
        <f t="shared" si="20"/>
        <v>#N/A</v>
      </c>
      <c r="E387" s="1575"/>
      <c r="F387" s="1573"/>
      <c r="G387" s="696"/>
      <c r="H387" s="573" t="e">
        <v>#N/A</v>
      </c>
      <c r="I387" s="1365" t="e">
        <v>#N/A</v>
      </c>
      <c r="J387" s="526" t="e">
        <f t="shared" si="21"/>
        <v>#N/A</v>
      </c>
    </row>
    <row r="388" spans="1:10">
      <c r="A388" s="51">
        <f t="shared" si="23"/>
        <v>2025.07</v>
      </c>
      <c r="B388" s="50" t="e">
        <v>#N/A</v>
      </c>
      <c r="C388" s="1365" t="e">
        <v>#N/A</v>
      </c>
      <c r="D388" s="506" t="e">
        <f t="shared" si="20"/>
        <v>#N/A</v>
      </c>
      <c r="E388" s="1575"/>
      <c r="F388" s="1573"/>
      <c r="G388" s="696"/>
      <c r="H388" s="573" t="e">
        <v>#N/A</v>
      </c>
      <c r="I388" s="1365" t="e">
        <v>#N/A</v>
      </c>
      <c r="J388" s="526" t="e">
        <f t="shared" si="21"/>
        <v>#N/A</v>
      </c>
    </row>
    <row r="389" spans="1:10">
      <c r="A389" s="51">
        <f t="shared" si="23"/>
        <v>2025.08</v>
      </c>
      <c r="B389" s="50" t="e">
        <v>#N/A</v>
      </c>
      <c r="C389" s="1365" t="e">
        <v>#N/A</v>
      </c>
      <c r="D389" s="506" t="e">
        <f t="shared" si="20"/>
        <v>#N/A</v>
      </c>
      <c r="E389" s="1575"/>
      <c r="F389" s="1573"/>
      <c r="G389" s="696"/>
      <c r="H389" s="573" t="e">
        <v>#N/A</v>
      </c>
      <c r="I389" s="1365" t="e">
        <v>#N/A</v>
      </c>
      <c r="J389" s="526" t="e">
        <f t="shared" si="21"/>
        <v>#N/A</v>
      </c>
    </row>
    <row r="390" spans="1:10">
      <c r="A390" s="51">
        <f t="shared" si="23"/>
        <v>2025.09</v>
      </c>
      <c r="B390" s="50" t="e">
        <v>#N/A</v>
      </c>
      <c r="C390" s="1365" t="e">
        <v>#N/A</v>
      </c>
      <c r="D390" s="506" t="e">
        <f t="shared" si="20"/>
        <v>#N/A</v>
      </c>
      <c r="E390" s="1575"/>
      <c r="F390" s="1573"/>
      <c r="G390" s="696"/>
      <c r="H390" s="573" t="e">
        <v>#N/A</v>
      </c>
      <c r="I390" s="1365" t="e">
        <v>#N/A</v>
      </c>
      <c r="J390" s="526" t="e">
        <f t="shared" si="21"/>
        <v>#N/A</v>
      </c>
    </row>
    <row r="391" spans="1:10">
      <c r="A391" s="51">
        <f t="shared" si="23"/>
        <v>2025.1</v>
      </c>
      <c r="B391" s="50" t="e">
        <v>#N/A</v>
      </c>
      <c r="C391" s="1365" t="e">
        <v>#N/A</v>
      </c>
      <c r="D391" s="506" t="e">
        <f t="shared" si="20"/>
        <v>#N/A</v>
      </c>
      <c r="E391" s="1575"/>
      <c r="F391" s="1573"/>
      <c r="G391" s="696"/>
      <c r="H391" s="573" t="e">
        <v>#N/A</v>
      </c>
      <c r="I391" s="1365" t="e">
        <v>#N/A</v>
      </c>
      <c r="J391" s="526" t="e">
        <f t="shared" si="21"/>
        <v>#N/A</v>
      </c>
    </row>
    <row r="392" spans="1:10">
      <c r="A392" s="51">
        <f t="shared" si="23"/>
        <v>2025.11</v>
      </c>
      <c r="B392" s="50" t="e">
        <v>#N/A</v>
      </c>
      <c r="C392" s="1365" t="e">
        <v>#N/A</v>
      </c>
      <c r="D392" s="506" t="e">
        <f t="shared" si="20"/>
        <v>#N/A</v>
      </c>
      <c r="E392" s="1575"/>
      <c r="F392" s="1573"/>
      <c r="G392" s="696"/>
      <c r="H392" s="573" t="e">
        <v>#N/A</v>
      </c>
      <c r="I392" s="1365" t="e">
        <v>#N/A</v>
      </c>
      <c r="J392" s="526" t="e">
        <f t="shared" si="21"/>
        <v>#N/A</v>
      </c>
    </row>
    <row r="393" spans="1:10">
      <c r="A393" s="51">
        <f t="shared" si="23"/>
        <v>2025.12</v>
      </c>
      <c r="B393" s="50" t="e">
        <v>#N/A</v>
      </c>
      <c r="C393" s="1365" t="e">
        <v>#N/A</v>
      </c>
      <c r="D393" s="506" t="e">
        <f t="shared" si="20"/>
        <v>#N/A</v>
      </c>
      <c r="E393" s="1575"/>
      <c r="F393" s="1573"/>
      <c r="G393" s="696"/>
      <c r="H393" s="573" t="e">
        <v>#N/A</v>
      </c>
      <c r="I393" s="1365" t="e">
        <v>#N/A</v>
      </c>
      <c r="J393" s="526" t="e">
        <f t="shared" si="21"/>
        <v>#N/A</v>
      </c>
    </row>
    <row r="394" spans="1:10">
      <c r="A394" s="2765">
        <v>2026.01</v>
      </c>
      <c r="B394" s="50" t="e">
        <v>#N/A</v>
      </c>
      <c r="C394" s="1365" t="e">
        <v>#N/A</v>
      </c>
      <c r="D394" s="506" t="e">
        <f t="shared" ref="D394:D453" si="24">B394+C394</f>
        <v>#N/A</v>
      </c>
      <c r="E394" s="1575"/>
      <c r="F394" s="1573"/>
      <c r="G394" s="696"/>
      <c r="H394" s="573" t="e">
        <v>#N/A</v>
      </c>
      <c r="I394" s="1365" t="e">
        <v>#N/A</v>
      </c>
      <c r="J394" s="526" t="e">
        <f t="shared" ref="J394:J453" si="25">H394+I394</f>
        <v>#N/A</v>
      </c>
    </row>
    <row r="395" spans="1:10">
      <c r="A395" s="2765">
        <v>2026.02</v>
      </c>
      <c r="B395" s="50" t="e">
        <v>#N/A</v>
      </c>
      <c r="C395" s="1365" t="e">
        <v>#N/A</v>
      </c>
      <c r="D395" s="506" t="e">
        <f t="shared" si="24"/>
        <v>#N/A</v>
      </c>
      <c r="E395" s="1575"/>
      <c r="F395" s="1573"/>
      <c r="G395" s="696"/>
      <c r="H395" s="573" t="e">
        <v>#N/A</v>
      </c>
      <c r="I395" s="1365" t="e">
        <v>#N/A</v>
      </c>
      <c r="J395" s="526" t="e">
        <f t="shared" si="25"/>
        <v>#N/A</v>
      </c>
    </row>
    <row r="396" spans="1:10">
      <c r="A396" s="2765">
        <v>2026.03</v>
      </c>
      <c r="B396" s="50" t="e">
        <v>#N/A</v>
      </c>
      <c r="C396" s="1365" t="e">
        <v>#N/A</v>
      </c>
      <c r="D396" s="506" t="e">
        <f t="shared" si="24"/>
        <v>#N/A</v>
      </c>
      <c r="E396" s="1575"/>
      <c r="F396" s="1573"/>
      <c r="G396" s="696"/>
      <c r="H396" s="573" t="e">
        <v>#N/A</v>
      </c>
      <c r="I396" s="1365" t="e">
        <v>#N/A</v>
      </c>
      <c r="J396" s="526" t="e">
        <f t="shared" si="25"/>
        <v>#N/A</v>
      </c>
    </row>
    <row r="397" spans="1:10">
      <c r="A397" s="2765">
        <v>2026.04</v>
      </c>
      <c r="B397" s="50" t="e">
        <v>#N/A</v>
      </c>
      <c r="C397" s="1365" t="e">
        <v>#N/A</v>
      </c>
      <c r="D397" s="506" t="e">
        <f t="shared" si="24"/>
        <v>#N/A</v>
      </c>
      <c r="E397" s="1575"/>
      <c r="F397" s="1573"/>
      <c r="G397" s="696"/>
      <c r="H397" s="573" t="e">
        <v>#N/A</v>
      </c>
      <c r="I397" s="1365" t="e">
        <v>#N/A</v>
      </c>
      <c r="J397" s="526" t="e">
        <f t="shared" si="25"/>
        <v>#N/A</v>
      </c>
    </row>
    <row r="398" spans="1:10">
      <c r="A398" s="2765">
        <v>2026.05</v>
      </c>
      <c r="B398" s="50" t="e">
        <v>#N/A</v>
      </c>
      <c r="C398" s="1365" t="e">
        <v>#N/A</v>
      </c>
      <c r="D398" s="506" t="e">
        <f t="shared" si="24"/>
        <v>#N/A</v>
      </c>
      <c r="E398" s="1575"/>
      <c r="F398" s="1573"/>
      <c r="G398" s="696"/>
      <c r="H398" s="573" t="e">
        <v>#N/A</v>
      </c>
      <c r="I398" s="1365" t="e">
        <v>#N/A</v>
      </c>
      <c r="J398" s="526" t="e">
        <f t="shared" si="25"/>
        <v>#N/A</v>
      </c>
    </row>
    <row r="399" spans="1:10">
      <c r="A399" s="2765">
        <v>2026.06</v>
      </c>
      <c r="B399" s="50" t="e">
        <v>#N/A</v>
      </c>
      <c r="C399" s="1365" t="e">
        <v>#N/A</v>
      </c>
      <c r="D399" s="506" t="e">
        <f t="shared" si="24"/>
        <v>#N/A</v>
      </c>
      <c r="E399" s="1575"/>
      <c r="F399" s="1573"/>
      <c r="G399" s="696"/>
      <c r="H399" s="573" t="e">
        <v>#N/A</v>
      </c>
      <c r="I399" s="1365" t="e">
        <v>#N/A</v>
      </c>
      <c r="J399" s="526" t="e">
        <f t="shared" si="25"/>
        <v>#N/A</v>
      </c>
    </row>
    <row r="400" spans="1:10">
      <c r="A400" s="2765">
        <v>2026.07</v>
      </c>
      <c r="B400" s="50" t="e">
        <v>#N/A</v>
      </c>
      <c r="C400" s="1365" t="e">
        <v>#N/A</v>
      </c>
      <c r="D400" s="506" t="e">
        <f t="shared" si="24"/>
        <v>#N/A</v>
      </c>
      <c r="E400" s="1575"/>
      <c r="F400" s="1573"/>
      <c r="G400" s="696"/>
      <c r="H400" s="573" t="e">
        <v>#N/A</v>
      </c>
      <c r="I400" s="1365" t="e">
        <v>#N/A</v>
      </c>
      <c r="J400" s="526" t="e">
        <f t="shared" si="25"/>
        <v>#N/A</v>
      </c>
    </row>
    <row r="401" spans="1:10">
      <c r="A401" s="2765">
        <v>2026.08</v>
      </c>
      <c r="B401" s="50" t="e">
        <v>#N/A</v>
      </c>
      <c r="C401" s="1365" t="e">
        <v>#N/A</v>
      </c>
      <c r="D401" s="506" t="e">
        <f t="shared" si="24"/>
        <v>#N/A</v>
      </c>
      <c r="E401" s="1575"/>
      <c r="F401" s="1573"/>
      <c r="G401" s="696"/>
      <c r="H401" s="573" t="e">
        <v>#N/A</v>
      </c>
      <c r="I401" s="1365" t="e">
        <v>#N/A</v>
      </c>
      <c r="J401" s="526" t="e">
        <f t="shared" si="25"/>
        <v>#N/A</v>
      </c>
    </row>
    <row r="402" spans="1:10">
      <c r="A402" s="2765">
        <v>2026.09</v>
      </c>
      <c r="B402" s="50" t="e">
        <v>#N/A</v>
      </c>
      <c r="C402" s="1365" t="e">
        <v>#N/A</v>
      </c>
      <c r="D402" s="506" t="e">
        <f t="shared" si="24"/>
        <v>#N/A</v>
      </c>
      <c r="E402" s="1575"/>
      <c r="F402" s="1573"/>
      <c r="G402" s="696"/>
      <c r="H402" s="573" t="e">
        <v>#N/A</v>
      </c>
      <c r="I402" s="1365" t="e">
        <v>#N/A</v>
      </c>
      <c r="J402" s="526" t="e">
        <f t="shared" si="25"/>
        <v>#N/A</v>
      </c>
    </row>
    <row r="403" spans="1:10">
      <c r="A403" s="2765">
        <v>2026.1</v>
      </c>
      <c r="B403" s="50" t="e">
        <v>#N/A</v>
      </c>
      <c r="C403" s="1365" t="e">
        <v>#N/A</v>
      </c>
      <c r="D403" s="506" t="e">
        <f t="shared" si="24"/>
        <v>#N/A</v>
      </c>
      <c r="E403" s="1575"/>
      <c r="F403" s="1573"/>
      <c r="G403" s="696"/>
      <c r="H403" s="573" t="e">
        <v>#N/A</v>
      </c>
      <c r="I403" s="1365" t="e">
        <v>#N/A</v>
      </c>
      <c r="J403" s="526" t="e">
        <f t="shared" si="25"/>
        <v>#N/A</v>
      </c>
    </row>
    <row r="404" spans="1:10">
      <c r="A404" s="2765">
        <v>2026.11</v>
      </c>
      <c r="B404" s="50" t="e">
        <v>#N/A</v>
      </c>
      <c r="C404" s="1365" t="e">
        <v>#N/A</v>
      </c>
      <c r="D404" s="506" t="e">
        <f t="shared" si="24"/>
        <v>#N/A</v>
      </c>
      <c r="E404" s="1575"/>
      <c r="F404" s="1573"/>
      <c r="G404" s="696"/>
      <c r="H404" s="573" t="e">
        <v>#N/A</v>
      </c>
      <c r="I404" s="1365" t="e">
        <v>#N/A</v>
      </c>
      <c r="J404" s="526" t="e">
        <f t="shared" si="25"/>
        <v>#N/A</v>
      </c>
    </row>
    <row r="405" spans="1:10">
      <c r="A405" s="2765">
        <v>2026.12</v>
      </c>
      <c r="B405" s="50" t="e">
        <v>#N/A</v>
      </c>
      <c r="C405" s="1365" t="e">
        <v>#N/A</v>
      </c>
      <c r="D405" s="506" t="e">
        <f t="shared" si="24"/>
        <v>#N/A</v>
      </c>
      <c r="E405" s="1575"/>
      <c r="F405" s="1573"/>
      <c r="G405" s="696"/>
      <c r="H405" s="573" t="e">
        <v>#N/A</v>
      </c>
      <c r="I405" s="1365" t="e">
        <v>#N/A</v>
      </c>
      <c r="J405" s="526" t="e">
        <f t="shared" si="25"/>
        <v>#N/A</v>
      </c>
    </row>
    <row r="406" spans="1:10">
      <c r="A406" s="2765">
        <v>2027.01</v>
      </c>
      <c r="B406" s="50" t="e">
        <v>#N/A</v>
      </c>
      <c r="C406" s="1365" t="e">
        <v>#N/A</v>
      </c>
      <c r="D406" s="506" t="e">
        <f t="shared" si="24"/>
        <v>#N/A</v>
      </c>
      <c r="E406" s="1575"/>
      <c r="F406" s="1573"/>
      <c r="G406" s="696"/>
      <c r="H406" s="573" t="e">
        <v>#N/A</v>
      </c>
      <c r="I406" s="1365" t="e">
        <v>#N/A</v>
      </c>
      <c r="J406" s="526" t="e">
        <f t="shared" si="25"/>
        <v>#N/A</v>
      </c>
    </row>
    <row r="407" spans="1:10">
      <c r="A407" s="2765">
        <v>2027.02</v>
      </c>
      <c r="B407" s="50" t="e">
        <v>#N/A</v>
      </c>
      <c r="C407" s="1365" t="e">
        <v>#N/A</v>
      </c>
      <c r="D407" s="506" t="e">
        <f t="shared" si="24"/>
        <v>#N/A</v>
      </c>
      <c r="E407" s="1575"/>
      <c r="F407" s="1573"/>
      <c r="G407" s="696"/>
      <c r="H407" s="573" t="e">
        <v>#N/A</v>
      </c>
      <c r="I407" s="1365" t="e">
        <v>#N/A</v>
      </c>
      <c r="J407" s="526" t="e">
        <f t="shared" si="25"/>
        <v>#N/A</v>
      </c>
    </row>
    <row r="408" spans="1:10">
      <c r="A408" s="2765">
        <v>2027.03</v>
      </c>
      <c r="B408" s="50" t="e">
        <v>#N/A</v>
      </c>
      <c r="C408" s="1365" t="e">
        <v>#N/A</v>
      </c>
      <c r="D408" s="506" t="e">
        <f t="shared" si="24"/>
        <v>#N/A</v>
      </c>
      <c r="E408" s="1575"/>
      <c r="F408" s="1573"/>
      <c r="G408" s="696"/>
      <c r="H408" s="573" t="e">
        <v>#N/A</v>
      </c>
      <c r="I408" s="1365" t="e">
        <v>#N/A</v>
      </c>
      <c r="J408" s="526" t="e">
        <f t="shared" si="25"/>
        <v>#N/A</v>
      </c>
    </row>
    <row r="409" spans="1:10">
      <c r="A409" s="2765">
        <v>2027.04</v>
      </c>
      <c r="B409" s="50" t="e">
        <v>#N/A</v>
      </c>
      <c r="C409" s="1365" t="e">
        <v>#N/A</v>
      </c>
      <c r="D409" s="506" t="e">
        <f t="shared" si="24"/>
        <v>#N/A</v>
      </c>
      <c r="E409" s="1575"/>
      <c r="F409" s="1573"/>
      <c r="G409" s="696"/>
      <c r="H409" s="573" t="e">
        <v>#N/A</v>
      </c>
      <c r="I409" s="1365" t="e">
        <v>#N/A</v>
      </c>
      <c r="J409" s="526" t="e">
        <f t="shared" si="25"/>
        <v>#N/A</v>
      </c>
    </row>
    <row r="410" spans="1:10">
      <c r="A410" s="2765">
        <v>2027.05</v>
      </c>
      <c r="B410" s="50" t="e">
        <v>#N/A</v>
      </c>
      <c r="C410" s="1365" t="e">
        <v>#N/A</v>
      </c>
      <c r="D410" s="506" t="e">
        <f t="shared" si="24"/>
        <v>#N/A</v>
      </c>
      <c r="E410" s="1575"/>
      <c r="F410" s="1573"/>
      <c r="G410" s="696"/>
      <c r="H410" s="573" t="e">
        <v>#N/A</v>
      </c>
      <c r="I410" s="1365" t="e">
        <v>#N/A</v>
      </c>
      <c r="J410" s="526" t="e">
        <f t="shared" si="25"/>
        <v>#N/A</v>
      </c>
    </row>
    <row r="411" spans="1:10">
      <c r="A411" s="2765">
        <v>2027.06</v>
      </c>
      <c r="B411" s="50" t="e">
        <v>#N/A</v>
      </c>
      <c r="C411" s="1365" t="e">
        <v>#N/A</v>
      </c>
      <c r="D411" s="506" t="e">
        <f t="shared" si="24"/>
        <v>#N/A</v>
      </c>
      <c r="E411" s="1575"/>
      <c r="F411" s="1573"/>
      <c r="G411" s="696"/>
      <c r="H411" s="573" t="e">
        <v>#N/A</v>
      </c>
      <c r="I411" s="1365" t="e">
        <v>#N/A</v>
      </c>
      <c r="J411" s="526" t="e">
        <f t="shared" si="25"/>
        <v>#N/A</v>
      </c>
    </row>
    <row r="412" spans="1:10">
      <c r="A412" s="2765">
        <v>2027.07</v>
      </c>
      <c r="B412" s="50" t="e">
        <v>#N/A</v>
      </c>
      <c r="C412" s="1365" t="e">
        <v>#N/A</v>
      </c>
      <c r="D412" s="506" t="e">
        <f t="shared" si="24"/>
        <v>#N/A</v>
      </c>
      <c r="E412" s="1575"/>
      <c r="F412" s="1573"/>
      <c r="G412" s="696"/>
      <c r="H412" s="573" t="e">
        <v>#N/A</v>
      </c>
      <c r="I412" s="1365" t="e">
        <v>#N/A</v>
      </c>
      <c r="J412" s="526" t="e">
        <f t="shared" si="25"/>
        <v>#N/A</v>
      </c>
    </row>
    <row r="413" spans="1:10">
      <c r="A413" s="2765">
        <v>2027.08</v>
      </c>
      <c r="B413" s="50" t="e">
        <v>#N/A</v>
      </c>
      <c r="C413" s="1365" t="e">
        <v>#N/A</v>
      </c>
      <c r="D413" s="506" t="e">
        <f t="shared" si="24"/>
        <v>#N/A</v>
      </c>
      <c r="E413" s="1575"/>
      <c r="F413" s="1573"/>
      <c r="G413" s="696"/>
      <c r="H413" s="573" t="e">
        <v>#N/A</v>
      </c>
      <c r="I413" s="1365" t="e">
        <v>#N/A</v>
      </c>
      <c r="J413" s="526" t="e">
        <f t="shared" si="25"/>
        <v>#N/A</v>
      </c>
    </row>
    <row r="414" spans="1:10">
      <c r="A414" s="2765">
        <v>2027.09</v>
      </c>
      <c r="B414" s="50" t="e">
        <v>#N/A</v>
      </c>
      <c r="C414" s="1365" t="e">
        <v>#N/A</v>
      </c>
      <c r="D414" s="506" t="e">
        <f t="shared" si="24"/>
        <v>#N/A</v>
      </c>
      <c r="E414" s="1575"/>
      <c r="F414" s="1573"/>
      <c r="G414" s="696"/>
      <c r="H414" s="573" t="e">
        <v>#N/A</v>
      </c>
      <c r="I414" s="1365" t="e">
        <v>#N/A</v>
      </c>
      <c r="J414" s="526" t="e">
        <f t="shared" si="25"/>
        <v>#N/A</v>
      </c>
    </row>
    <row r="415" spans="1:10">
      <c r="A415" s="2765">
        <v>2027.1</v>
      </c>
      <c r="B415" s="50" t="e">
        <v>#N/A</v>
      </c>
      <c r="C415" s="1365" t="e">
        <v>#N/A</v>
      </c>
      <c r="D415" s="506" t="e">
        <f t="shared" si="24"/>
        <v>#N/A</v>
      </c>
      <c r="E415" s="1575"/>
      <c r="F415" s="1573"/>
      <c r="G415" s="696"/>
      <c r="H415" s="573" t="e">
        <v>#N/A</v>
      </c>
      <c r="I415" s="1365" t="e">
        <v>#N/A</v>
      </c>
      <c r="J415" s="526" t="e">
        <f t="shared" si="25"/>
        <v>#N/A</v>
      </c>
    </row>
    <row r="416" spans="1:10">
      <c r="A416" s="2765">
        <v>2027.11</v>
      </c>
      <c r="B416" s="50" t="e">
        <v>#N/A</v>
      </c>
      <c r="C416" s="1365" t="e">
        <v>#N/A</v>
      </c>
      <c r="D416" s="506" t="e">
        <f t="shared" si="24"/>
        <v>#N/A</v>
      </c>
      <c r="E416" s="1575"/>
      <c r="F416" s="1573"/>
      <c r="G416" s="696"/>
      <c r="H416" s="573" t="e">
        <v>#N/A</v>
      </c>
      <c r="I416" s="1365" t="e">
        <v>#N/A</v>
      </c>
      <c r="J416" s="526" t="e">
        <f t="shared" si="25"/>
        <v>#N/A</v>
      </c>
    </row>
    <row r="417" spans="1:10">
      <c r="A417" s="2765">
        <v>2027.12</v>
      </c>
      <c r="B417" s="50" t="e">
        <v>#N/A</v>
      </c>
      <c r="C417" s="1365" t="e">
        <v>#N/A</v>
      </c>
      <c r="D417" s="506" t="e">
        <f t="shared" si="24"/>
        <v>#N/A</v>
      </c>
      <c r="E417" s="1575"/>
      <c r="F417" s="1573"/>
      <c r="G417" s="696"/>
      <c r="H417" s="573" t="e">
        <v>#N/A</v>
      </c>
      <c r="I417" s="1365" t="e">
        <v>#N/A</v>
      </c>
      <c r="J417" s="526" t="e">
        <f t="shared" si="25"/>
        <v>#N/A</v>
      </c>
    </row>
    <row r="418" spans="1:10">
      <c r="A418" s="2765">
        <v>2028.01</v>
      </c>
      <c r="B418" s="50" t="e">
        <v>#N/A</v>
      </c>
      <c r="C418" s="1365" t="e">
        <v>#N/A</v>
      </c>
      <c r="D418" s="506" t="e">
        <f t="shared" si="24"/>
        <v>#N/A</v>
      </c>
      <c r="E418" s="1575"/>
      <c r="F418" s="1573"/>
      <c r="G418" s="696"/>
      <c r="H418" s="573" t="e">
        <v>#N/A</v>
      </c>
      <c r="I418" s="1365" t="e">
        <v>#N/A</v>
      </c>
      <c r="J418" s="526" t="e">
        <f t="shared" si="25"/>
        <v>#N/A</v>
      </c>
    </row>
    <row r="419" spans="1:10">
      <c r="A419" s="2765">
        <v>2028.02</v>
      </c>
      <c r="B419" s="50" t="e">
        <v>#N/A</v>
      </c>
      <c r="C419" s="1365" t="e">
        <v>#N/A</v>
      </c>
      <c r="D419" s="506" t="e">
        <f t="shared" si="24"/>
        <v>#N/A</v>
      </c>
      <c r="E419" s="1575"/>
      <c r="F419" s="1573"/>
      <c r="G419" s="696"/>
      <c r="H419" s="573" t="e">
        <v>#N/A</v>
      </c>
      <c r="I419" s="1365" t="e">
        <v>#N/A</v>
      </c>
      <c r="J419" s="526" t="e">
        <f t="shared" si="25"/>
        <v>#N/A</v>
      </c>
    </row>
    <row r="420" spans="1:10">
      <c r="A420" s="2765">
        <v>2028.03</v>
      </c>
      <c r="B420" s="50" t="e">
        <v>#N/A</v>
      </c>
      <c r="C420" s="1365" t="e">
        <v>#N/A</v>
      </c>
      <c r="D420" s="506" t="e">
        <f t="shared" si="24"/>
        <v>#N/A</v>
      </c>
      <c r="E420" s="1575"/>
      <c r="F420" s="1573"/>
      <c r="G420" s="696"/>
      <c r="H420" s="573" t="e">
        <v>#N/A</v>
      </c>
      <c r="I420" s="1365" t="e">
        <v>#N/A</v>
      </c>
      <c r="J420" s="526" t="e">
        <f t="shared" si="25"/>
        <v>#N/A</v>
      </c>
    </row>
    <row r="421" spans="1:10">
      <c r="A421" s="2765">
        <v>2028.04</v>
      </c>
      <c r="B421" s="50" t="e">
        <v>#N/A</v>
      </c>
      <c r="C421" s="1365" t="e">
        <v>#N/A</v>
      </c>
      <c r="D421" s="506" t="e">
        <f t="shared" si="24"/>
        <v>#N/A</v>
      </c>
      <c r="E421" s="1575"/>
      <c r="F421" s="1573"/>
      <c r="G421" s="696"/>
      <c r="H421" s="573" t="e">
        <v>#N/A</v>
      </c>
      <c r="I421" s="1365" t="e">
        <v>#N/A</v>
      </c>
      <c r="J421" s="526" t="e">
        <f t="shared" si="25"/>
        <v>#N/A</v>
      </c>
    </row>
    <row r="422" spans="1:10">
      <c r="A422" s="2765">
        <v>2028.05</v>
      </c>
      <c r="B422" s="50" t="e">
        <v>#N/A</v>
      </c>
      <c r="C422" s="1365" t="e">
        <v>#N/A</v>
      </c>
      <c r="D422" s="506" t="e">
        <f t="shared" si="24"/>
        <v>#N/A</v>
      </c>
      <c r="E422" s="1575"/>
      <c r="F422" s="1573"/>
      <c r="G422" s="696"/>
      <c r="H422" s="573" t="e">
        <v>#N/A</v>
      </c>
      <c r="I422" s="1365" t="e">
        <v>#N/A</v>
      </c>
      <c r="J422" s="526" t="e">
        <f t="shared" si="25"/>
        <v>#N/A</v>
      </c>
    </row>
    <row r="423" spans="1:10">
      <c r="A423" s="2765">
        <v>2028.06</v>
      </c>
      <c r="B423" s="50" t="e">
        <v>#N/A</v>
      </c>
      <c r="C423" s="1365" t="e">
        <v>#N/A</v>
      </c>
      <c r="D423" s="506" t="e">
        <f t="shared" si="24"/>
        <v>#N/A</v>
      </c>
      <c r="E423" s="1575"/>
      <c r="F423" s="1573"/>
      <c r="G423" s="696"/>
      <c r="H423" s="573" t="e">
        <v>#N/A</v>
      </c>
      <c r="I423" s="1365" t="e">
        <v>#N/A</v>
      </c>
      <c r="J423" s="526" t="e">
        <f t="shared" si="25"/>
        <v>#N/A</v>
      </c>
    </row>
    <row r="424" spans="1:10">
      <c r="A424" s="2765">
        <v>2028.07</v>
      </c>
      <c r="B424" s="50" t="e">
        <v>#N/A</v>
      </c>
      <c r="C424" s="1365" t="e">
        <v>#N/A</v>
      </c>
      <c r="D424" s="506" t="e">
        <f t="shared" si="24"/>
        <v>#N/A</v>
      </c>
      <c r="E424" s="1575"/>
      <c r="F424" s="1573"/>
      <c r="G424" s="696"/>
      <c r="H424" s="573" t="e">
        <v>#N/A</v>
      </c>
      <c r="I424" s="1365" t="e">
        <v>#N/A</v>
      </c>
      <c r="J424" s="526" t="e">
        <f t="shared" si="25"/>
        <v>#N/A</v>
      </c>
    </row>
    <row r="425" spans="1:10">
      <c r="A425" s="2765">
        <v>2028.08</v>
      </c>
      <c r="B425" s="50" t="e">
        <v>#N/A</v>
      </c>
      <c r="C425" s="1365" t="e">
        <v>#N/A</v>
      </c>
      <c r="D425" s="506" t="e">
        <f t="shared" si="24"/>
        <v>#N/A</v>
      </c>
      <c r="E425" s="1575"/>
      <c r="F425" s="1573"/>
      <c r="G425" s="696"/>
      <c r="H425" s="573" t="e">
        <v>#N/A</v>
      </c>
      <c r="I425" s="1365" t="e">
        <v>#N/A</v>
      </c>
      <c r="J425" s="526" t="e">
        <f t="shared" si="25"/>
        <v>#N/A</v>
      </c>
    </row>
    <row r="426" spans="1:10">
      <c r="A426" s="2765">
        <v>2028.09</v>
      </c>
      <c r="B426" s="50" t="e">
        <v>#N/A</v>
      </c>
      <c r="C426" s="1365" t="e">
        <v>#N/A</v>
      </c>
      <c r="D426" s="506" t="e">
        <f t="shared" si="24"/>
        <v>#N/A</v>
      </c>
      <c r="E426" s="1575"/>
      <c r="F426" s="1573"/>
      <c r="G426" s="696"/>
      <c r="H426" s="573" t="e">
        <v>#N/A</v>
      </c>
      <c r="I426" s="1365" t="e">
        <v>#N/A</v>
      </c>
      <c r="J426" s="526" t="e">
        <f t="shared" si="25"/>
        <v>#N/A</v>
      </c>
    </row>
    <row r="427" spans="1:10">
      <c r="A427" s="2765">
        <v>2028.1</v>
      </c>
      <c r="B427" s="50" t="e">
        <v>#N/A</v>
      </c>
      <c r="C427" s="1365" t="e">
        <v>#N/A</v>
      </c>
      <c r="D427" s="506" t="e">
        <f t="shared" si="24"/>
        <v>#N/A</v>
      </c>
      <c r="E427" s="1575"/>
      <c r="F427" s="1573"/>
      <c r="G427" s="696"/>
      <c r="H427" s="573" t="e">
        <v>#N/A</v>
      </c>
      <c r="I427" s="1365" t="e">
        <v>#N/A</v>
      </c>
      <c r="J427" s="526" t="e">
        <f t="shared" si="25"/>
        <v>#N/A</v>
      </c>
    </row>
    <row r="428" spans="1:10">
      <c r="A428" s="2765">
        <v>2028.11</v>
      </c>
      <c r="B428" s="50" t="e">
        <v>#N/A</v>
      </c>
      <c r="C428" s="1365" t="e">
        <v>#N/A</v>
      </c>
      <c r="D428" s="506" t="e">
        <f t="shared" si="24"/>
        <v>#N/A</v>
      </c>
      <c r="E428" s="1575"/>
      <c r="F428" s="1573"/>
      <c r="G428" s="696"/>
      <c r="H428" s="573" t="e">
        <v>#N/A</v>
      </c>
      <c r="I428" s="1365" t="e">
        <v>#N/A</v>
      </c>
      <c r="J428" s="526" t="e">
        <f t="shared" si="25"/>
        <v>#N/A</v>
      </c>
    </row>
    <row r="429" spans="1:10">
      <c r="A429" s="2765">
        <v>2028.12</v>
      </c>
      <c r="B429" s="50" t="e">
        <v>#N/A</v>
      </c>
      <c r="C429" s="1365" t="e">
        <v>#N/A</v>
      </c>
      <c r="D429" s="506" t="e">
        <f t="shared" si="24"/>
        <v>#N/A</v>
      </c>
      <c r="E429" s="1575"/>
      <c r="F429" s="1573"/>
      <c r="G429" s="696"/>
      <c r="H429" s="573" t="e">
        <v>#N/A</v>
      </c>
      <c r="I429" s="1365" t="e">
        <v>#N/A</v>
      </c>
      <c r="J429" s="526" t="e">
        <f t="shared" si="25"/>
        <v>#N/A</v>
      </c>
    </row>
    <row r="430" spans="1:10">
      <c r="A430" s="2765">
        <v>2029.01</v>
      </c>
      <c r="B430" s="50" t="e">
        <v>#N/A</v>
      </c>
      <c r="C430" s="1365" t="e">
        <v>#N/A</v>
      </c>
      <c r="D430" s="506" t="e">
        <f t="shared" si="24"/>
        <v>#N/A</v>
      </c>
      <c r="E430" s="1575"/>
      <c r="F430" s="1573"/>
      <c r="G430" s="696"/>
      <c r="H430" s="573" t="e">
        <v>#N/A</v>
      </c>
      <c r="I430" s="1365" t="e">
        <v>#N/A</v>
      </c>
      <c r="J430" s="526" t="e">
        <f t="shared" si="25"/>
        <v>#N/A</v>
      </c>
    </row>
    <row r="431" spans="1:10">
      <c r="A431" s="2765">
        <v>2029.02</v>
      </c>
      <c r="B431" s="50" t="e">
        <v>#N/A</v>
      </c>
      <c r="C431" s="1365" t="e">
        <v>#N/A</v>
      </c>
      <c r="D431" s="506" t="e">
        <f t="shared" si="24"/>
        <v>#N/A</v>
      </c>
      <c r="E431" s="1575"/>
      <c r="F431" s="1573"/>
      <c r="G431" s="696"/>
      <c r="H431" s="573" t="e">
        <v>#N/A</v>
      </c>
      <c r="I431" s="1365" t="e">
        <v>#N/A</v>
      </c>
      <c r="J431" s="526" t="e">
        <f t="shared" si="25"/>
        <v>#N/A</v>
      </c>
    </row>
    <row r="432" spans="1:10">
      <c r="A432" s="2765">
        <v>2029.03</v>
      </c>
      <c r="B432" s="50" t="e">
        <v>#N/A</v>
      </c>
      <c r="C432" s="1365" t="e">
        <v>#N/A</v>
      </c>
      <c r="D432" s="506" t="e">
        <f t="shared" si="24"/>
        <v>#N/A</v>
      </c>
      <c r="E432" s="1575"/>
      <c r="F432" s="1573"/>
      <c r="G432" s="696"/>
      <c r="H432" s="573" t="e">
        <v>#N/A</v>
      </c>
      <c r="I432" s="1365" t="e">
        <v>#N/A</v>
      </c>
      <c r="J432" s="526" t="e">
        <f t="shared" si="25"/>
        <v>#N/A</v>
      </c>
    </row>
    <row r="433" spans="1:10">
      <c r="A433" s="2765">
        <v>2029.04</v>
      </c>
      <c r="B433" s="50" t="e">
        <v>#N/A</v>
      </c>
      <c r="C433" s="1365" t="e">
        <v>#N/A</v>
      </c>
      <c r="D433" s="506" t="e">
        <f t="shared" si="24"/>
        <v>#N/A</v>
      </c>
      <c r="E433" s="1575"/>
      <c r="F433" s="1573"/>
      <c r="G433" s="696"/>
      <c r="H433" s="573" t="e">
        <v>#N/A</v>
      </c>
      <c r="I433" s="1365" t="e">
        <v>#N/A</v>
      </c>
      <c r="J433" s="526" t="e">
        <f t="shared" si="25"/>
        <v>#N/A</v>
      </c>
    </row>
    <row r="434" spans="1:10">
      <c r="A434" s="2765">
        <v>2029.05</v>
      </c>
      <c r="B434" s="50" t="e">
        <v>#N/A</v>
      </c>
      <c r="C434" s="1365" t="e">
        <v>#N/A</v>
      </c>
      <c r="D434" s="506" t="e">
        <f t="shared" si="24"/>
        <v>#N/A</v>
      </c>
      <c r="E434" s="1575"/>
      <c r="F434" s="1573"/>
      <c r="G434" s="696"/>
      <c r="H434" s="573" t="e">
        <v>#N/A</v>
      </c>
      <c r="I434" s="1365" t="e">
        <v>#N/A</v>
      </c>
      <c r="J434" s="526" t="e">
        <f t="shared" si="25"/>
        <v>#N/A</v>
      </c>
    </row>
    <row r="435" spans="1:10">
      <c r="A435" s="2765">
        <v>2029.06</v>
      </c>
      <c r="B435" s="50" t="e">
        <v>#N/A</v>
      </c>
      <c r="C435" s="1365" t="e">
        <v>#N/A</v>
      </c>
      <c r="D435" s="506" t="e">
        <f t="shared" si="24"/>
        <v>#N/A</v>
      </c>
      <c r="E435" s="1575"/>
      <c r="F435" s="1573"/>
      <c r="G435" s="696"/>
      <c r="H435" s="573" t="e">
        <v>#N/A</v>
      </c>
      <c r="I435" s="1365" t="e">
        <v>#N/A</v>
      </c>
      <c r="J435" s="526" t="e">
        <f t="shared" si="25"/>
        <v>#N/A</v>
      </c>
    </row>
    <row r="436" spans="1:10">
      <c r="A436" s="2765">
        <v>2029.07</v>
      </c>
      <c r="B436" s="50" t="e">
        <v>#N/A</v>
      </c>
      <c r="C436" s="1365" t="e">
        <v>#N/A</v>
      </c>
      <c r="D436" s="506" t="e">
        <f t="shared" si="24"/>
        <v>#N/A</v>
      </c>
      <c r="E436" s="1575"/>
      <c r="F436" s="1573"/>
      <c r="G436" s="696"/>
      <c r="H436" s="573" t="e">
        <v>#N/A</v>
      </c>
      <c r="I436" s="1365" t="e">
        <v>#N/A</v>
      </c>
      <c r="J436" s="526" t="e">
        <f t="shared" si="25"/>
        <v>#N/A</v>
      </c>
    </row>
    <row r="437" spans="1:10">
      <c r="A437" s="2765">
        <v>2029.08</v>
      </c>
      <c r="B437" s="50" t="e">
        <v>#N/A</v>
      </c>
      <c r="C437" s="1365" t="e">
        <v>#N/A</v>
      </c>
      <c r="D437" s="506" t="e">
        <f t="shared" si="24"/>
        <v>#N/A</v>
      </c>
      <c r="E437" s="1575"/>
      <c r="F437" s="1573"/>
      <c r="G437" s="696"/>
      <c r="H437" s="573" t="e">
        <v>#N/A</v>
      </c>
      <c r="I437" s="1365" t="e">
        <v>#N/A</v>
      </c>
      <c r="J437" s="526" t="e">
        <f t="shared" si="25"/>
        <v>#N/A</v>
      </c>
    </row>
    <row r="438" spans="1:10">
      <c r="A438" s="2765">
        <v>2029.09</v>
      </c>
      <c r="B438" s="50" t="e">
        <v>#N/A</v>
      </c>
      <c r="C438" s="1365" t="e">
        <v>#N/A</v>
      </c>
      <c r="D438" s="506" t="e">
        <f t="shared" si="24"/>
        <v>#N/A</v>
      </c>
      <c r="E438" s="1575"/>
      <c r="F438" s="1573"/>
      <c r="G438" s="696"/>
      <c r="H438" s="573" t="e">
        <v>#N/A</v>
      </c>
      <c r="I438" s="1365" t="e">
        <v>#N/A</v>
      </c>
      <c r="J438" s="526" t="e">
        <f t="shared" si="25"/>
        <v>#N/A</v>
      </c>
    </row>
    <row r="439" spans="1:10">
      <c r="A439" s="2765">
        <v>2029.1</v>
      </c>
      <c r="B439" s="50" t="e">
        <v>#N/A</v>
      </c>
      <c r="C439" s="1365" t="e">
        <v>#N/A</v>
      </c>
      <c r="D439" s="506" t="e">
        <f t="shared" si="24"/>
        <v>#N/A</v>
      </c>
      <c r="E439" s="1575"/>
      <c r="F439" s="1573"/>
      <c r="G439" s="696"/>
      <c r="H439" s="573" t="e">
        <v>#N/A</v>
      </c>
      <c r="I439" s="1365" t="e">
        <v>#N/A</v>
      </c>
      <c r="J439" s="526" t="e">
        <f t="shared" si="25"/>
        <v>#N/A</v>
      </c>
    </row>
    <row r="440" spans="1:10">
      <c r="A440" s="2765">
        <v>2029.11</v>
      </c>
      <c r="B440" s="50" t="e">
        <v>#N/A</v>
      </c>
      <c r="C440" s="1365" t="e">
        <v>#N/A</v>
      </c>
      <c r="D440" s="506" t="e">
        <f t="shared" si="24"/>
        <v>#N/A</v>
      </c>
      <c r="E440" s="1575"/>
      <c r="F440" s="1573"/>
      <c r="G440" s="696"/>
      <c r="H440" s="573" t="e">
        <v>#N/A</v>
      </c>
      <c r="I440" s="1365" t="e">
        <v>#N/A</v>
      </c>
      <c r="J440" s="526" t="e">
        <f t="shared" si="25"/>
        <v>#N/A</v>
      </c>
    </row>
    <row r="441" spans="1:10">
      <c r="A441" s="2765">
        <v>2029.12</v>
      </c>
      <c r="B441" s="50" t="e">
        <v>#N/A</v>
      </c>
      <c r="C441" s="1365" t="e">
        <v>#N/A</v>
      </c>
      <c r="D441" s="506" t="e">
        <f t="shared" si="24"/>
        <v>#N/A</v>
      </c>
      <c r="E441" s="1575"/>
      <c r="F441" s="1573"/>
      <c r="G441" s="696"/>
      <c r="H441" s="573" t="e">
        <v>#N/A</v>
      </c>
      <c r="I441" s="1365" t="e">
        <v>#N/A</v>
      </c>
      <c r="J441" s="526" t="e">
        <f t="shared" si="25"/>
        <v>#N/A</v>
      </c>
    </row>
    <row r="442" spans="1:10">
      <c r="A442" s="2765">
        <v>2030.01</v>
      </c>
      <c r="B442" s="50" t="e">
        <v>#N/A</v>
      </c>
      <c r="C442" s="1365" t="e">
        <v>#N/A</v>
      </c>
      <c r="D442" s="506" t="e">
        <f t="shared" si="24"/>
        <v>#N/A</v>
      </c>
      <c r="E442" s="1575"/>
      <c r="F442" s="1573"/>
      <c r="G442" s="696"/>
      <c r="H442" s="573" t="e">
        <v>#N/A</v>
      </c>
      <c r="I442" s="1365" t="e">
        <v>#N/A</v>
      </c>
      <c r="J442" s="526" t="e">
        <f t="shared" si="25"/>
        <v>#N/A</v>
      </c>
    </row>
    <row r="443" spans="1:10">
      <c r="A443" s="2765">
        <v>2030.02</v>
      </c>
      <c r="B443" s="50" t="e">
        <v>#N/A</v>
      </c>
      <c r="C443" s="1365" t="e">
        <v>#N/A</v>
      </c>
      <c r="D443" s="506" t="e">
        <f t="shared" si="24"/>
        <v>#N/A</v>
      </c>
      <c r="E443" s="1575"/>
      <c r="F443" s="1573"/>
      <c r="G443" s="696"/>
      <c r="H443" s="573" t="e">
        <v>#N/A</v>
      </c>
      <c r="I443" s="1365" t="e">
        <v>#N/A</v>
      </c>
      <c r="J443" s="526" t="e">
        <f t="shared" si="25"/>
        <v>#N/A</v>
      </c>
    </row>
    <row r="444" spans="1:10">
      <c r="A444" s="2765">
        <v>2030.03</v>
      </c>
      <c r="B444" s="50" t="e">
        <v>#N/A</v>
      </c>
      <c r="C444" s="1365" t="e">
        <v>#N/A</v>
      </c>
      <c r="D444" s="506" t="e">
        <f t="shared" si="24"/>
        <v>#N/A</v>
      </c>
      <c r="E444" s="1575"/>
      <c r="F444" s="1573"/>
      <c r="G444" s="696"/>
      <c r="H444" s="573" t="e">
        <v>#N/A</v>
      </c>
      <c r="I444" s="1365" t="e">
        <v>#N/A</v>
      </c>
      <c r="J444" s="526" t="e">
        <f t="shared" si="25"/>
        <v>#N/A</v>
      </c>
    </row>
    <row r="445" spans="1:10">
      <c r="A445" s="2765">
        <v>2030.04</v>
      </c>
      <c r="B445" s="50" t="e">
        <v>#N/A</v>
      </c>
      <c r="C445" s="1365" t="e">
        <v>#N/A</v>
      </c>
      <c r="D445" s="506" t="e">
        <f t="shared" si="24"/>
        <v>#N/A</v>
      </c>
      <c r="E445" s="1575"/>
      <c r="F445" s="1573"/>
      <c r="G445" s="696"/>
      <c r="H445" s="573" t="e">
        <v>#N/A</v>
      </c>
      <c r="I445" s="1365" t="e">
        <v>#N/A</v>
      </c>
      <c r="J445" s="526" t="e">
        <f t="shared" si="25"/>
        <v>#N/A</v>
      </c>
    </row>
    <row r="446" spans="1:10">
      <c r="A446" s="2765">
        <v>2030.05</v>
      </c>
      <c r="B446" s="50" t="e">
        <v>#N/A</v>
      </c>
      <c r="C446" s="1365" t="e">
        <v>#N/A</v>
      </c>
      <c r="D446" s="506" t="e">
        <f t="shared" si="24"/>
        <v>#N/A</v>
      </c>
      <c r="E446" s="1575"/>
      <c r="F446" s="1573"/>
      <c r="G446" s="696"/>
      <c r="H446" s="573" t="e">
        <v>#N/A</v>
      </c>
      <c r="I446" s="1365" t="e">
        <v>#N/A</v>
      </c>
      <c r="J446" s="526" t="e">
        <f t="shared" si="25"/>
        <v>#N/A</v>
      </c>
    </row>
    <row r="447" spans="1:10">
      <c r="A447" s="2765">
        <v>2030.06</v>
      </c>
      <c r="B447" s="50" t="e">
        <v>#N/A</v>
      </c>
      <c r="C447" s="1365" t="e">
        <v>#N/A</v>
      </c>
      <c r="D447" s="506" t="e">
        <f t="shared" si="24"/>
        <v>#N/A</v>
      </c>
      <c r="E447" s="1575"/>
      <c r="F447" s="1573"/>
      <c r="G447" s="696"/>
      <c r="H447" s="573" t="e">
        <v>#N/A</v>
      </c>
      <c r="I447" s="1365" t="e">
        <v>#N/A</v>
      </c>
      <c r="J447" s="526" t="e">
        <f t="shared" si="25"/>
        <v>#N/A</v>
      </c>
    </row>
    <row r="448" spans="1:10">
      <c r="A448" s="2765">
        <v>2030.07</v>
      </c>
      <c r="B448" s="50" t="e">
        <v>#N/A</v>
      </c>
      <c r="C448" s="1365" t="e">
        <v>#N/A</v>
      </c>
      <c r="D448" s="506" t="e">
        <f t="shared" si="24"/>
        <v>#N/A</v>
      </c>
      <c r="E448" s="1575"/>
      <c r="F448" s="1573"/>
      <c r="G448" s="696"/>
      <c r="H448" s="573" t="e">
        <v>#N/A</v>
      </c>
      <c r="I448" s="1365" t="e">
        <v>#N/A</v>
      </c>
      <c r="J448" s="526" t="e">
        <f t="shared" si="25"/>
        <v>#N/A</v>
      </c>
    </row>
    <row r="449" spans="1:10">
      <c r="A449" s="2765">
        <v>2030.08</v>
      </c>
      <c r="B449" s="50" t="e">
        <v>#N/A</v>
      </c>
      <c r="C449" s="1365" t="e">
        <v>#N/A</v>
      </c>
      <c r="D449" s="506" t="e">
        <f t="shared" si="24"/>
        <v>#N/A</v>
      </c>
      <c r="E449" s="1575"/>
      <c r="F449" s="1573"/>
      <c r="G449" s="696"/>
      <c r="H449" s="573" t="e">
        <v>#N/A</v>
      </c>
      <c r="I449" s="1365" t="e">
        <v>#N/A</v>
      </c>
      <c r="J449" s="526" t="e">
        <f t="shared" si="25"/>
        <v>#N/A</v>
      </c>
    </row>
    <row r="450" spans="1:10">
      <c r="A450" s="2765">
        <v>2030.09</v>
      </c>
      <c r="B450" s="50" t="e">
        <v>#N/A</v>
      </c>
      <c r="C450" s="1365" t="e">
        <v>#N/A</v>
      </c>
      <c r="D450" s="506" t="e">
        <f t="shared" si="24"/>
        <v>#N/A</v>
      </c>
      <c r="E450" s="1575"/>
      <c r="F450" s="1573"/>
      <c r="G450" s="696"/>
      <c r="H450" s="573" t="e">
        <v>#N/A</v>
      </c>
      <c r="I450" s="1365" t="e">
        <v>#N/A</v>
      </c>
      <c r="J450" s="526" t="e">
        <f t="shared" si="25"/>
        <v>#N/A</v>
      </c>
    </row>
    <row r="451" spans="1:10">
      <c r="A451" s="2765">
        <v>2030.1</v>
      </c>
      <c r="B451" s="50" t="e">
        <v>#N/A</v>
      </c>
      <c r="C451" s="1365" t="e">
        <v>#N/A</v>
      </c>
      <c r="D451" s="506" t="e">
        <f t="shared" si="24"/>
        <v>#N/A</v>
      </c>
      <c r="E451" s="1575"/>
      <c r="F451" s="1573"/>
      <c r="G451" s="696"/>
      <c r="H451" s="573" t="e">
        <v>#N/A</v>
      </c>
      <c r="I451" s="1365" t="e">
        <v>#N/A</v>
      </c>
      <c r="J451" s="526" t="e">
        <f t="shared" si="25"/>
        <v>#N/A</v>
      </c>
    </row>
    <row r="452" spans="1:10">
      <c r="A452" s="2765">
        <v>2030.11</v>
      </c>
      <c r="B452" s="50" t="e">
        <v>#N/A</v>
      </c>
      <c r="C452" s="1365" t="e">
        <v>#N/A</v>
      </c>
      <c r="D452" s="506" t="e">
        <f t="shared" si="24"/>
        <v>#N/A</v>
      </c>
      <c r="E452" s="1575"/>
      <c r="F452" s="1573"/>
      <c r="G452" s="696"/>
      <c r="H452" s="573" t="e">
        <v>#N/A</v>
      </c>
      <c r="I452" s="1365" t="e">
        <v>#N/A</v>
      </c>
      <c r="J452" s="526" t="e">
        <f t="shared" si="25"/>
        <v>#N/A</v>
      </c>
    </row>
    <row r="453" spans="1:10">
      <c r="A453" s="2765">
        <v>2030.12</v>
      </c>
      <c r="B453" s="50" t="e">
        <v>#N/A</v>
      </c>
      <c r="C453" s="1365" t="e">
        <v>#N/A</v>
      </c>
      <c r="D453" s="506" t="e">
        <f t="shared" si="24"/>
        <v>#N/A</v>
      </c>
      <c r="E453" s="1575"/>
      <c r="F453" s="1573"/>
      <c r="G453" s="696"/>
      <c r="H453" s="573" t="e">
        <v>#N/A</v>
      </c>
      <c r="I453" s="1365" t="e">
        <v>#N/A</v>
      </c>
      <c r="J453" s="526" t="e">
        <f t="shared" si="25"/>
        <v>#N/A</v>
      </c>
    </row>
  </sheetData>
  <phoneticPr fontId="58" type="noConversion"/>
  <hyperlinks>
    <hyperlink ref="A5" location="INDICE!A13" display="VOLVER AL INDICE" xr:uid="{00000000-0004-0000-3D00-000000000000}"/>
  </hyperlinks>
  <pageMargins left="0.75" right="0.75" top="1" bottom="1" header="0" footer="0"/>
  <pageSetup paperSize="9" orientation="portrait" horizontalDpi="300" vertic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4"/>
  <dimension ref="A1:U453"/>
  <sheetViews>
    <sheetView zoomScale="115" zoomScaleNormal="115" workbookViewId="0">
      <pane xSplit="1" ySplit="9" topLeftCell="B10" activePane="bottomRight" state="frozen"/>
      <selection sqref="A1:A5"/>
      <selection pane="topRight" sqref="A1:A5"/>
      <selection pane="bottomLeft" sqref="A1:A5"/>
      <selection pane="bottomRight" activeCell="A5" sqref="A5"/>
    </sheetView>
  </sheetViews>
  <sheetFormatPr baseColWidth="10" defaultColWidth="12.5703125" defaultRowHeight="12.75"/>
  <cols>
    <col min="1" max="1" width="11" style="222" customWidth="1"/>
    <col min="2" max="3" width="16.7109375" style="3265" customWidth="1"/>
    <col min="4" max="4" width="16.7109375" style="3266" customWidth="1"/>
    <col min="5" max="6" width="16.7109375" style="3265" customWidth="1"/>
    <col min="7" max="7" width="16.7109375" style="3266" customWidth="1"/>
    <col min="8" max="17" width="15.5703125" style="516" customWidth="1"/>
    <col min="18" max="20" width="18.7109375" style="222" customWidth="1"/>
    <col min="21" max="16384" width="12.5703125" style="16"/>
  </cols>
  <sheetData>
    <row r="1" spans="1:21" s="14" customFormat="1" ht="3.75" customHeight="1">
      <c r="A1" s="37"/>
      <c r="B1" s="2581"/>
      <c r="C1" s="2571"/>
      <c r="D1" s="3351"/>
      <c r="E1" s="2571"/>
      <c r="F1" s="2571"/>
      <c r="G1" s="2528"/>
      <c r="H1" s="2535"/>
      <c r="I1" s="173"/>
      <c r="J1" s="173"/>
      <c r="K1" s="173"/>
      <c r="L1" s="173"/>
      <c r="M1" s="173"/>
      <c r="N1" s="173"/>
      <c r="O1" s="173"/>
      <c r="P1" s="173"/>
      <c r="Q1" s="174"/>
      <c r="R1" s="215"/>
      <c r="S1" s="215"/>
      <c r="T1" s="220"/>
      <c r="U1" s="335"/>
    </row>
    <row r="2" spans="1:21" s="14" customFormat="1" ht="35.25" customHeight="1">
      <c r="A2" s="121" t="s">
        <v>212</v>
      </c>
      <c r="B2" s="3296" t="s">
        <v>1668</v>
      </c>
      <c r="C2" s="3297"/>
      <c r="D2" s="3352"/>
      <c r="E2" s="3297" t="s">
        <v>1664</v>
      </c>
      <c r="F2" s="3297"/>
      <c r="G2" s="848"/>
      <c r="H2" s="3298" t="s">
        <v>1634</v>
      </c>
      <c r="I2" s="848"/>
      <c r="J2" s="848"/>
      <c r="K2" s="848"/>
      <c r="L2" s="848"/>
      <c r="M2" s="848"/>
      <c r="N2" s="848"/>
      <c r="O2" s="848"/>
      <c r="P2" s="848"/>
      <c r="Q2" s="842"/>
      <c r="R2" s="576" t="s">
        <v>858</v>
      </c>
      <c r="S2" s="576"/>
      <c r="T2" s="3376"/>
      <c r="U2" s="335"/>
    </row>
    <row r="3" spans="1:21" s="14" customFormat="1" ht="22.5">
      <c r="A3" s="121" t="s">
        <v>330</v>
      </c>
      <c r="B3" s="3299" t="s">
        <v>1635</v>
      </c>
      <c r="C3" s="3300"/>
      <c r="D3" s="3301"/>
      <c r="E3" s="3343" t="s">
        <v>1635</v>
      </c>
      <c r="F3" s="3300"/>
      <c r="G3" s="3301"/>
      <c r="H3" s="3343" t="s">
        <v>1635</v>
      </c>
      <c r="I3" s="3093"/>
      <c r="J3" s="3093"/>
      <c r="K3" s="3093"/>
      <c r="L3" s="3093"/>
      <c r="M3" s="3093"/>
      <c r="N3" s="3093"/>
      <c r="O3" s="3093"/>
      <c r="P3" s="3093"/>
      <c r="Q3" s="3096"/>
      <c r="R3" s="577" t="s">
        <v>857</v>
      </c>
      <c r="S3" s="575"/>
      <c r="T3" s="3377"/>
      <c r="U3" s="335"/>
    </row>
    <row r="4" spans="1:21" s="14" customFormat="1" ht="3.75" customHeight="1">
      <c r="A4" s="224"/>
      <c r="B4" s="2593"/>
      <c r="C4" s="2574"/>
      <c r="D4" s="3353"/>
      <c r="E4" s="3361"/>
      <c r="F4" s="2574"/>
      <c r="G4" s="2548"/>
      <c r="H4" s="3302"/>
      <c r="I4" s="3303"/>
      <c r="J4" s="3303"/>
      <c r="K4" s="3303"/>
      <c r="L4" s="3303"/>
      <c r="M4" s="3303"/>
      <c r="N4" s="3304"/>
      <c r="O4" s="3303"/>
      <c r="P4" s="3303"/>
      <c r="Q4" s="3305"/>
      <c r="R4" s="323"/>
      <c r="S4" s="323"/>
      <c r="T4" s="250"/>
      <c r="U4" s="335"/>
    </row>
    <row r="5" spans="1:21" s="14" customFormat="1" ht="45">
      <c r="A5" s="45" t="s">
        <v>213</v>
      </c>
      <c r="B5" s="3306" t="s">
        <v>1665</v>
      </c>
      <c r="C5" s="3307" t="s">
        <v>1660</v>
      </c>
      <c r="D5" s="3354" t="s">
        <v>1661</v>
      </c>
      <c r="E5" s="3362" t="s">
        <v>1665</v>
      </c>
      <c r="F5" s="3307" t="s">
        <v>1660</v>
      </c>
      <c r="G5" s="3308" t="s">
        <v>1661</v>
      </c>
      <c r="H5" s="3117" t="s">
        <v>1636</v>
      </c>
      <c r="I5" s="3118" t="s">
        <v>1637</v>
      </c>
      <c r="J5" s="3118" t="s">
        <v>1638</v>
      </c>
      <c r="K5" s="3118" t="s">
        <v>1639</v>
      </c>
      <c r="L5" s="3118" t="s">
        <v>1640</v>
      </c>
      <c r="M5" s="2459" t="s">
        <v>1641</v>
      </c>
      <c r="N5" s="3309" t="s">
        <v>1642</v>
      </c>
      <c r="O5" s="3118" t="s">
        <v>1663</v>
      </c>
      <c r="P5" s="3310" t="s">
        <v>1662</v>
      </c>
      <c r="Q5" s="3120" t="s">
        <v>1643</v>
      </c>
      <c r="R5" s="340" t="s">
        <v>71</v>
      </c>
      <c r="S5" s="223" t="s">
        <v>1658</v>
      </c>
      <c r="T5" s="3378" t="s">
        <v>1659</v>
      </c>
      <c r="U5" s="335"/>
    </row>
    <row r="6" spans="1:21" s="14" customFormat="1" ht="3.75" customHeight="1">
      <c r="A6" s="224"/>
      <c r="B6" s="2585"/>
      <c r="C6" s="2576"/>
      <c r="D6" s="3355"/>
      <c r="E6" s="2576"/>
      <c r="F6" s="2576"/>
      <c r="G6" s="453"/>
      <c r="H6" s="3311"/>
      <c r="I6" s="149"/>
      <c r="J6" s="807"/>
      <c r="K6" s="807"/>
      <c r="L6" s="807"/>
      <c r="M6" s="3312"/>
      <c r="N6" s="807"/>
      <c r="O6" s="149"/>
      <c r="P6" s="807"/>
      <c r="Q6" s="809"/>
      <c r="R6" s="323"/>
      <c r="S6" s="323"/>
      <c r="T6" s="250"/>
      <c r="U6" s="335"/>
    </row>
    <row r="7" spans="1:21" s="14" customFormat="1" ht="22.5">
      <c r="A7" s="47" t="s">
        <v>210</v>
      </c>
      <c r="B7" s="3313" t="s">
        <v>1644</v>
      </c>
      <c r="C7" s="3314" t="s">
        <v>1644</v>
      </c>
      <c r="D7" s="3356" t="s">
        <v>1644</v>
      </c>
      <c r="E7" s="3363" t="s">
        <v>1644</v>
      </c>
      <c r="F7" s="3314" t="s">
        <v>1644</v>
      </c>
      <c r="G7" s="3315" t="s">
        <v>1644</v>
      </c>
      <c r="H7" s="3316" t="s">
        <v>1644</v>
      </c>
      <c r="I7" s="3314" t="s">
        <v>1644</v>
      </c>
      <c r="J7" s="3314" t="s">
        <v>1644</v>
      </c>
      <c r="K7" s="3314" t="s">
        <v>1644</v>
      </c>
      <c r="L7" s="3314" t="s">
        <v>1644</v>
      </c>
      <c r="M7" s="3314" t="s">
        <v>1644</v>
      </c>
      <c r="N7" s="3314" t="s">
        <v>1644</v>
      </c>
      <c r="O7" s="3314" t="s">
        <v>1644</v>
      </c>
      <c r="P7" s="3314" t="s">
        <v>1644</v>
      </c>
      <c r="Q7" s="2524" t="s">
        <v>1644</v>
      </c>
      <c r="R7" s="223" t="s">
        <v>297</v>
      </c>
      <c r="S7" s="223" t="s">
        <v>297</v>
      </c>
      <c r="T7" s="3378" t="s">
        <v>297</v>
      </c>
      <c r="U7" s="335"/>
    </row>
    <row r="8" spans="1:21" s="14" customFormat="1" ht="14.25" customHeight="1">
      <c r="A8" s="225" t="s">
        <v>412</v>
      </c>
      <c r="B8" s="3368" t="s">
        <v>711</v>
      </c>
      <c r="C8" s="3369" t="s">
        <v>712</v>
      </c>
      <c r="D8" s="3370" t="s">
        <v>713</v>
      </c>
      <c r="E8" s="3375" t="s">
        <v>1645</v>
      </c>
      <c r="F8" s="3369" t="s">
        <v>1646</v>
      </c>
      <c r="G8" s="3370" t="s">
        <v>1647</v>
      </c>
      <c r="H8" s="3375" t="s">
        <v>1648</v>
      </c>
      <c r="I8" s="3369" t="s">
        <v>1649</v>
      </c>
      <c r="J8" s="3369" t="s">
        <v>1650</v>
      </c>
      <c r="K8" s="3369" t="s">
        <v>1651</v>
      </c>
      <c r="L8" s="3369" t="s">
        <v>1652</v>
      </c>
      <c r="M8" s="3369" t="s">
        <v>1653</v>
      </c>
      <c r="N8" s="3369" t="s">
        <v>1654</v>
      </c>
      <c r="O8" s="3369" t="s">
        <v>1655</v>
      </c>
      <c r="P8" s="3369" t="s">
        <v>1656</v>
      </c>
      <c r="Q8" s="3371" t="s">
        <v>1657</v>
      </c>
      <c r="R8" s="3372" t="s">
        <v>1669</v>
      </c>
      <c r="S8" s="3373" t="s">
        <v>1670</v>
      </c>
      <c r="T8" s="3374" t="s">
        <v>1671</v>
      </c>
      <c r="U8" s="335"/>
    </row>
    <row r="9" spans="1:21" s="15" customFormat="1" ht="3.75" customHeight="1" thickBot="1">
      <c r="A9" s="194"/>
      <c r="B9" s="3357"/>
      <c r="C9" s="3317"/>
      <c r="D9" s="3358"/>
      <c r="E9" s="3364"/>
      <c r="F9" s="3317"/>
      <c r="G9" s="3318"/>
      <c r="H9" s="3319"/>
      <c r="I9" s="3320"/>
      <c r="J9" s="3320"/>
      <c r="K9" s="3320"/>
      <c r="L9" s="3320"/>
      <c r="M9" s="3321"/>
      <c r="N9" s="3322"/>
      <c r="O9" s="3320"/>
      <c r="P9" s="3320"/>
      <c r="Q9" s="3323"/>
      <c r="R9" s="381"/>
      <c r="S9" s="3295"/>
      <c r="T9" s="2018"/>
      <c r="U9" s="336"/>
    </row>
    <row r="10" spans="1:21" s="15" customFormat="1">
      <c r="A10" s="219">
        <v>1994.01</v>
      </c>
      <c r="B10" s="2588"/>
      <c r="C10" s="2579"/>
      <c r="D10" s="3359"/>
      <c r="E10" s="3365"/>
      <c r="F10" s="2579"/>
      <c r="G10" s="2533"/>
      <c r="H10" s="2537"/>
      <c r="I10" s="2517"/>
      <c r="J10" s="2517"/>
      <c r="K10" s="2517"/>
      <c r="L10" s="2517"/>
      <c r="M10" s="2517"/>
      <c r="N10" s="2526"/>
      <c r="O10" s="2517"/>
      <c r="P10" s="2517"/>
      <c r="Q10" s="2525"/>
      <c r="R10" s="538"/>
      <c r="S10" s="539"/>
      <c r="T10" s="569"/>
      <c r="U10" s="336"/>
    </row>
    <row r="11" spans="1:21" s="15" customFormat="1">
      <c r="A11" s="219">
        <v>1994.02</v>
      </c>
      <c r="B11" s="2589"/>
      <c r="C11" s="2579"/>
      <c r="D11" s="3359"/>
      <c r="E11" s="3366"/>
      <c r="F11" s="2579"/>
      <c r="G11" s="2533"/>
      <c r="H11" s="3342"/>
      <c r="I11" s="2579"/>
      <c r="J11" s="2579"/>
      <c r="K11" s="2579"/>
      <c r="L11" s="2579"/>
      <c r="M11" s="2579"/>
      <c r="N11" s="2579"/>
      <c r="O11" s="2579"/>
      <c r="P11" s="2579"/>
      <c r="Q11" s="3341"/>
      <c r="R11" s="373"/>
      <c r="S11" s="539"/>
      <c r="T11" s="3379"/>
      <c r="U11" s="336"/>
    </row>
    <row r="12" spans="1:21" s="15" customFormat="1">
      <c r="A12" s="219">
        <v>1994.03</v>
      </c>
      <c r="B12" s="2589"/>
      <c r="C12" s="2579"/>
      <c r="D12" s="3359"/>
      <c r="E12" s="3366"/>
      <c r="F12" s="2579"/>
      <c r="G12" s="2533"/>
      <c r="H12" s="3342"/>
      <c r="I12" s="2579"/>
      <c r="J12" s="2579"/>
      <c r="K12" s="2579"/>
      <c r="L12" s="2579"/>
      <c r="M12" s="2579"/>
      <c r="N12" s="2579"/>
      <c r="O12" s="2579"/>
      <c r="P12" s="2579"/>
      <c r="Q12" s="3341"/>
      <c r="R12" s="373"/>
      <c r="S12" s="539"/>
      <c r="T12" s="3379"/>
      <c r="U12" s="336"/>
    </row>
    <row r="13" spans="1:21" s="15" customFormat="1">
      <c r="A13" s="219">
        <v>1994.04</v>
      </c>
      <c r="B13" s="2589"/>
      <c r="C13" s="2579"/>
      <c r="D13" s="3359"/>
      <c r="E13" s="3366"/>
      <c r="F13" s="2579"/>
      <c r="G13" s="2533"/>
      <c r="H13" s="3342"/>
      <c r="I13" s="2579"/>
      <c r="J13" s="2579"/>
      <c r="K13" s="2579"/>
      <c r="L13" s="2579"/>
      <c r="M13" s="2579"/>
      <c r="N13" s="2579"/>
      <c r="O13" s="2579"/>
      <c r="P13" s="2579"/>
      <c r="Q13" s="3341"/>
      <c r="R13" s="373"/>
      <c r="S13" s="539"/>
      <c r="T13" s="3379"/>
      <c r="U13" s="336"/>
    </row>
    <row r="14" spans="1:21" s="15" customFormat="1">
      <c r="A14" s="219">
        <v>1994.05</v>
      </c>
      <c r="B14" s="2589"/>
      <c r="C14" s="2579"/>
      <c r="D14" s="3359"/>
      <c r="E14" s="3366"/>
      <c r="F14" s="2579"/>
      <c r="G14" s="2533"/>
      <c r="H14" s="3342"/>
      <c r="I14" s="2579"/>
      <c r="J14" s="2579"/>
      <c r="K14" s="2579"/>
      <c r="L14" s="2579"/>
      <c r="M14" s="2579"/>
      <c r="N14" s="2579"/>
      <c r="O14" s="2579"/>
      <c r="P14" s="2579"/>
      <c r="Q14" s="3341"/>
      <c r="R14" s="373"/>
      <c r="S14" s="539"/>
      <c r="T14" s="3379"/>
      <c r="U14" s="336"/>
    </row>
    <row r="15" spans="1:21" s="15" customFormat="1">
      <c r="A15" s="219">
        <v>1994.06</v>
      </c>
      <c r="B15" s="2589"/>
      <c r="C15" s="2579"/>
      <c r="D15" s="3359"/>
      <c r="E15" s="3366"/>
      <c r="F15" s="2579"/>
      <c r="G15" s="2533"/>
      <c r="H15" s="3342"/>
      <c r="I15" s="2579"/>
      <c r="J15" s="2579"/>
      <c r="K15" s="2579"/>
      <c r="L15" s="2579"/>
      <c r="M15" s="2579"/>
      <c r="N15" s="2579"/>
      <c r="O15" s="2579"/>
      <c r="P15" s="2579"/>
      <c r="Q15" s="3341"/>
      <c r="R15" s="373"/>
      <c r="S15" s="539"/>
      <c r="T15" s="3379"/>
      <c r="U15" s="336"/>
    </row>
    <row r="16" spans="1:21" s="15" customFormat="1">
      <c r="A16" s="219">
        <v>1994.07</v>
      </c>
      <c r="B16" s="2589"/>
      <c r="C16" s="2579"/>
      <c r="D16" s="3359"/>
      <c r="E16" s="3366"/>
      <c r="F16" s="2579"/>
      <c r="G16" s="2533"/>
      <c r="H16" s="3342"/>
      <c r="I16" s="2579"/>
      <c r="J16" s="2579"/>
      <c r="K16" s="2579"/>
      <c r="L16" s="2579"/>
      <c r="M16" s="2579"/>
      <c r="N16" s="2579"/>
      <c r="O16" s="2579"/>
      <c r="P16" s="2579"/>
      <c r="Q16" s="3341"/>
      <c r="R16" s="373"/>
      <c r="S16" s="539"/>
      <c r="T16" s="3379"/>
      <c r="U16" s="336"/>
    </row>
    <row r="17" spans="1:21" s="15" customFormat="1">
      <c r="A17" s="219">
        <v>1994.08</v>
      </c>
      <c r="B17" s="2589"/>
      <c r="C17" s="2579"/>
      <c r="D17" s="3359"/>
      <c r="E17" s="3366"/>
      <c r="F17" s="2579"/>
      <c r="G17" s="2533"/>
      <c r="H17" s="3342"/>
      <c r="I17" s="2579"/>
      <c r="J17" s="2579"/>
      <c r="K17" s="2579"/>
      <c r="L17" s="2579"/>
      <c r="M17" s="2579"/>
      <c r="N17" s="2579"/>
      <c r="O17" s="2579"/>
      <c r="P17" s="2579"/>
      <c r="Q17" s="3341"/>
      <c r="R17" s="373"/>
      <c r="S17" s="539"/>
      <c r="T17" s="3379"/>
      <c r="U17" s="336"/>
    </row>
    <row r="18" spans="1:21" s="15" customFormat="1">
      <c r="A18" s="219">
        <v>1994.09</v>
      </c>
      <c r="B18" s="2589"/>
      <c r="C18" s="2579"/>
      <c r="D18" s="3359"/>
      <c r="E18" s="3366"/>
      <c r="F18" s="2579"/>
      <c r="G18" s="2533"/>
      <c r="H18" s="3342"/>
      <c r="I18" s="2579"/>
      <c r="J18" s="2579"/>
      <c r="K18" s="2579"/>
      <c r="L18" s="2579"/>
      <c r="M18" s="2579"/>
      <c r="N18" s="2579"/>
      <c r="O18" s="2579"/>
      <c r="P18" s="2579"/>
      <c r="Q18" s="3341"/>
      <c r="R18" s="373"/>
      <c r="S18" s="539"/>
      <c r="T18" s="3379"/>
      <c r="U18" s="336"/>
    </row>
    <row r="19" spans="1:21" s="15" customFormat="1">
      <c r="A19" s="219">
        <v>1994.1</v>
      </c>
      <c r="B19" s="2589"/>
      <c r="C19" s="2579"/>
      <c r="D19" s="3359"/>
      <c r="E19" s="3366"/>
      <c r="F19" s="2579"/>
      <c r="G19" s="2533"/>
      <c r="H19" s="3342"/>
      <c r="I19" s="2579"/>
      <c r="J19" s="2579"/>
      <c r="K19" s="2579"/>
      <c r="L19" s="2579"/>
      <c r="M19" s="2579"/>
      <c r="N19" s="2579"/>
      <c r="O19" s="2579"/>
      <c r="P19" s="2579"/>
      <c r="Q19" s="3341"/>
      <c r="R19" s="373"/>
      <c r="S19" s="539"/>
      <c r="T19" s="3379"/>
      <c r="U19" s="336"/>
    </row>
    <row r="20" spans="1:21" s="15" customFormat="1">
      <c r="A20" s="219">
        <v>1994.11</v>
      </c>
      <c r="B20" s="2589"/>
      <c r="C20" s="2579"/>
      <c r="D20" s="3359"/>
      <c r="E20" s="3366"/>
      <c r="F20" s="2579"/>
      <c r="G20" s="2533"/>
      <c r="H20" s="3342"/>
      <c r="I20" s="2579"/>
      <c r="J20" s="2579"/>
      <c r="K20" s="2579"/>
      <c r="L20" s="2579"/>
      <c r="M20" s="2579"/>
      <c r="N20" s="2579"/>
      <c r="O20" s="2579"/>
      <c r="P20" s="2579"/>
      <c r="Q20" s="3341"/>
      <c r="R20" s="373"/>
      <c r="S20" s="539"/>
      <c r="T20" s="3379"/>
      <c r="U20" s="336"/>
    </row>
    <row r="21" spans="1:21" s="15" customFormat="1">
      <c r="A21" s="219">
        <v>1994.12</v>
      </c>
      <c r="B21" s="2589"/>
      <c r="C21" s="2579"/>
      <c r="D21" s="3359"/>
      <c r="E21" s="3366"/>
      <c r="F21" s="2579"/>
      <c r="G21" s="2533"/>
      <c r="H21" s="3342"/>
      <c r="I21" s="2579"/>
      <c r="J21" s="2579"/>
      <c r="K21" s="2579"/>
      <c r="L21" s="2579"/>
      <c r="M21" s="2579"/>
      <c r="N21" s="2579"/>
      <c r="O21" s="2579"/>
      <c r="P21" s="2579"/>
      <c r="Q21" s="3341"/>
      <c r="R21" s="373"/>
      <c r="S21" s="539"/>
      <c r="T21" s="3379"/>
      <c r="U21" s="336"/>
    </row>
    <row r="22" spans="1:21" s="15" customFormat="1">
      <c r="A22" s="219">
        <v>1995.01</v>
      </c>
      <c r="B22" s="2589"/>
      <c r="C22" s="2579"/>
      <c r="D22" s="3359"/>
      <c r="E22" s="3366"/>
      <c r="F22" s="2579"/>
      <c r="G22" s="2533"/>
      <c r="H22" s="3342"/>
      <c r="I22" s="2579"/>
      <c r="J22" s="2579"/>
      <c r="K22" s="2579"/>
      <c r="L22" s="2579"/>
      <c r="M22" s="2579"/>
      <c r="N22" s="2579"/>
      <c r="O22" s="2579"/>
      <c r="P22" s="2579"/>
      <c r="Q22" s="3341"/>
      <c r="R22" s="373"/>
      <c r="S22" s="539"/>
      <c r="T22" s="3379"/>
      <c r="U22" s="336"/>
    </row>
    <row r="23" spans="1:21" s="15" customFormat="1">
      <c r="A23" s="219">
        <v>1995.02</v>
      </c>
      <c r="B23" s="2589"/>
      <c r="C23" s="2579"/>
      <c r="D23" s="3359"/>
      <c r="E23" s="3366"/>
      <c r="F23" s="2579"/>
      <c r="G23" s="2533"/>
      <c r="H23" s="3342"/>
      <c r="I23" s="2579"/>
      <c r="J23" s="2579"/>
      <c r="K23" s="2579"/>
      <c r="L23" s="2579"/>
      <c r="M23" s="2579"/>
      <c r="N23" s="2579"/>
      <c r="O23" s="2579"/>
      <c r="P23" s="2579"/>
      <c r="Q23" s="3341"/>
      <c r="R23" s="373"/>
      <c r="S23" s="539"/>
      <c r="T23" s="3379"/>
      <c r="U23" s="336"/>
    </row>
    <row r="24" spans="1:21" s="15" customFormat="1">
      <c r="A24" s="219">
        <v>1995.03</v>
      </c>
      <c r="B24" s="2589"/>
      <c r="C24" s="2579"/>
      <c r="D24" s="3359"/>
      <c r="E24" s="3366"/>
      <c r="F24" s="2579"/>
      <c r="G24" s="2533"/>
      <c r="H24" s="3342"/>
      <c r="I24" s="2579"/>
      <c r="J24" s="2579"/>
      <c r="K24" s="2579"/>
      <c r="L24" s="2579"/>
      <c r="M24" s="2579"/>
      <c r="N24" s="2579"/>
      <c r="O24" s="2579"/>
      <c r="P24" s="2579"/>
      <c r="Q24" s="3341"/>
      <c r="R24" s="373"/>
      <c r="S24" s="539"/>
      <c r="T24" s="3379"/>
      <c r="U24" s="336"/>
    </row>
    <row r="25" spans="1:21" s="15" customFormat="1">
      <c r="A25" s="219">
        <v>1995.04</v>
      </c>
      <c r="B25" s="2589"/>
      <c r="C25" s="2579"/>
      <c r="D25" s="3359"/>
      <c r="E25" s="3366"/>
      <c r="F25" s="2579"/>
      <c r="G25" s="2533"/>
      <c r="H25" s="3342"/>
      <c r="I25" s="2579"/>
      <c r="J25" s="2579"/>
      <c r="K25" s="2579"/>
      <c r="L25" s="2579"/>
      <c r="M25" s="2579"/>
      <c r="N25" s="2579"/>
      <c r="O25" s="2579"/>
      <c r="P25" s="2579"/>
      <c r="Q25" s="3341"/>
      <c r="R25" s="373"/>
      <c r="S25" s="539"/>
      <c r="T25" s="3379"/>
      <c r="U25" s="336"/>
    </row>
    <row r="26" spans="1:21" s="15" customFormat="1">
      <c r="A26" s="219">
        <v>1995.05</v>
      </c>
      <c r="B26" s="2589"/>
      <c r="C26" s="2579"/>
      <c r="D26" s="3359"/>
      <c r="E26" s="3366"/>
      <c r="F26" s="2579"/>
      <c r="G26" s="2533"/>
      <c r="H26" s="3342"/>
      <c r="I26" s="2579"/>
      <c r="J26" s="2579"/>
      <c r="K26" s="2579"/>
      <c r="L26" s="2579"/>
      <c r="M26" s="2579"/>
      <c r="N26" s="2579"/>
      <c r="O26" s="2579"/>
      <c r="P26" s="2579"/>
      <c r="Q26" s="3341"/>
      <c r="R26" s="373"/>
      <c r="S26" s="539"/>
      <c r="T26" s="3379"/>
      <c r="U26" s="336"/>
    </row>
    <row r="27" spans="1:21" s="15" customFormat="1">
      <c r="A27" s="219">
        <v>1995.06</v>
      </c>
      <c r="B27" s="2589"/>
      <c r="C27" s="2579"/>
      <c r="D27" s="3359"/>
      <c r="E27" s="3366"/>
      <c r="F27" s="2579"/>
      <c r="G27" s="2533"/>
      <c r="H27" s="3342"/>
      <c r="I27" s="2579"/>
      <c r="J27" s="2579"/>
      <c r="K27" s="2579"/>
      <c r="L27" s="2579"/>
      <c r="M27" s="2579"/>
      <c r="N27" s="2579"/>
      <c r="O27" s="2579"/>
      <c r="P27" s="2579"/>
      <c r="Q27" s="3341"/>
      <c r="R27" s="373"/>
      <c r="S27" s="539"/>
      <c r="T27" s="3379"/>
      <c r="U27" s="336"/>
    </row>
    <row r="28" spans="1:21" s="15" customFormat="1">
      <c r="A28" s="219">
        <v>1995.07</v>
      </c>
      <c r="B28" s="2589"/>
      <c r="C28" s="2579"/>
      <c r="D28" s="3359"/>
      <c r="E28" s="3366"/>
      <c r="F28" s="2579"/>
      <c r="G28" s="2533"/>
      <c r="H28" s="3342"/>
      <c r="I28" s="2579"/>
      <c r="J28" s="2579"/>
      <c r="K28" s="2579"/>
      <c r="L28" s="2579"/>
      <c r="M28" s="2579"/>
      <c r="N28" s="2579"/>
      <c r="O28" s="2579"/>
      <c r="P28" s="2579"/>
      <c r="Q28" s="3341"/>
      <c r="R28" s="373"/>
      <c r="S28" s="539"/>
      <c r="T28" s="3379"/>
      <c r="U28" s="336"/>
    </row>
    <row r="29" spans="1:21" s="15" customFormat="1">
      <c r="A29" s="219">
        <v>1995.08</v>
      </c>
      <c r="B29" s="2589"/>
      <c r="C29" s="2579"/>
      <c r="D29" s="3359"/>
      <c r="E29" s="3366"/>
      <c r="F29" s="2579"/>
      <c r="G29" s="2533"/>
      <c r="H29" s="3342"/>
      <c r="I29" s="2579"/>
      <c r="J29" s="2579"/>
      <c r="K29" s="2579"/>
      <c r="L29" s="2579"/>
      <c r="M29" s="2579"/>
      <c r="N29" s="2579"/>
      <c r="O29" s="2579"/>
      <c r="P29" s="2579"/>
      <c r="Q29" s="3341"/>
      <c r="R29" s="373"/>
      <c r="S29" s="539"/>
      <c r="T29" s="3379"/>
      <c r="U29" s="336"/>
    </row>
    <row r="30" spans="1:21" s="15" customFormat="1">
      <c r="A30" s="219">
        <v>1995.09</v>
      </c>
      <c r="B30" s="2589"/>
      <c r="C30" s="2579"/>
      <c r="D30" s="3359"/>
      <c r="E30" s="3366"/>
      <c r="F30" s="2579"/>
      <c r="G30" s="2533"/>
      <c r="H30" s="3342"/>
      <c r="I30" s="2579"/>
      <c r="J30" s="2579"/>
      <c r="K30" s="2579"/>
      <c r="L30" s="2579"/>
      <c r="M30" s="2579"/>
      <c r="N30" s="2579"/>
      <c r="O30" s="2579"/>
      <c r="P30" s="2579"/>
      <c r="Q30" s="3341"/>
      <c r="R30" s="373"/>
      <c r="S30" s="539"/>
      <c r="T30" s="3379"/>
      <c r="U30" s="336"/>
    </row>
    <row r="31" spans="1:21" s="15" customFormat="1">
      <c r="A31" s="219">
        <v>1995.1</v>
      </c>
      <c r="B31" s="2589"/>
      <c r="C31" s="2579"/>
      <c r="D31" s="3359"/>
      <c r="E31" s="3366"/>
      <c r="F31" s="2579"/>
      <c r="G31" s="2533"/>
      <c r="H31" s="3342"/>
      <c r="I31" s="2579"/>
      <c r="J31" s="2579"/>
      <c r="K31" s="2579"/>
      <c r="L31" s="2579"/>
      <c r="M31" s="2579"/>
      <c r="N31" s="2579"/>
      <c r="O31" s="2579"/>
      <c r="P31" s="2579"/>
      <c r="Q31" s="3341"/>
      <c r="R31" s="373"/>
      <c r="S31" s="539"/>
      <c r="T31" s="3379"/>
      <c r="U31" s="336"/>
    </row>
    <row r="32" spans="1:21" s="15" customFormat="1">
      <c r="A32" s="219">
        <v>1995.11</v>
      </c>
      <c r="B32" s="2589"/>
      <c r="C32" s="2579"/>
      <c r="D32" s="3359"/>
      <c r="E32" s="3366"/>
      <c r="F32" s="2579"/>
      <c r="G32" s="2533"/>
      <c r="H32" s="3342"/>
      <c r="I32" s="2579"/>
      <c r="J32" s="2579"/>
      <c r="K32" s="2579"/>
      <c r="L32" s="2579"/>
      <c r="M32" s="2579"/>
      <c r="N32" s="2579"/>
      <c r="O32" s="2579"/>
      <c r="P32" s="2579"/>
      <c r="Q32" s="3341"/>
      <c r="R32" s="373"/>
      <c r="S32" s="539"/>
      <c r="T32" s="3379"/>
      <c r="U32" s="336"/>
    </row>
    <row r="33" spans="1:21" s="15" customFormat="1">
      <c r="A33" s="219">
        <v>1995.12</v>
      </c>
      <c r="B33" s="2589"/>
      <c r="C33" s="2579"/>
      <c r="D33" s="3359"/>
      <c r="E33" s="3366"/>
      <c r="F33" s="2579"/>
      <c r="G33" s="2533"/>
      <c r="H33" s="3342"/>
      <c r="I33" s="2579"/>
      <c r="J33" s="2579"/>
      <c r="K33" s="2579"/>
      <c r="L33" s="2579"/>
      <c r="M33" s="2579"/>
      <c r="N33" s="2579"/>
      <c r="O33" s="2579"/>
      <c r="P33" s="2579"/>
      <c r="Q33" s="3341"/>
      <c r="R33" s="373"/>
      <c r="S33" s="539"/>
      <c r="T33" s="3379"/>
      <c r="U33" s="336"/>
    </row>
    <row r="34" spans="1:21">
      <c r="A34" s="219">
        <v>1996.01</v>
      </c>
      <c r="B34" s="2589"/>
      <c r="C34" s="2579"/>
      <c r="D34" s="3359"/>
      <c r="E34" s="3366"/>
      <c r="F34" s="2579"/>
      <c r="G34" s="2533"/>
      <c r="H34" s="3342"/>
      <c r="I34" s="2579"/>
      <c r="J34" s="2579"/>
      <c r="K34" s="2579"/>
      <c r="L34" s="2579"/>
      <c r="M34" s="2579"/>
      <c r="N34" s="2579"/>
      <c r="O34" s="2579"/>
      <c r="P34" s="2579"/>
      <c r="Q34" s="3341"/>
      <c r="R34" s="373"/>
      <c r="S34" s="539"/>
      <c r="T34" s="3379"/>
      <c r="U34" s="337"/>
    </row>
    <row r="35" spans="1:21">
      <c r="A35" s="219">
        <v>1996.02</v>
      </c>
      <c r="B35" s="2589"/>
      <c r="C35" s="2579"/>
      <c r="D35" s="3359"/>
      <c r="E35" s="3366"/>
      <c r="F35" s="2579"/>
      <c r="G35" s="2533"/>
      <c r="H35" s="3342"/>
      <c r="I35" s="2579"/>
      <c r="J35" s="2579"/>
      <c r="K35" s="2579"/>
      <c r="L35" s="2579"/>
      <c r="M35" s="2579"/>
      <c r="N35" s="2579"/>
      <c r="O35" s="2579"/>
      <c r="P35" s="2579"/>
      <c r="Q35" s="3341"/>
      <c r="R35" s="373"/>
      <c r="S35" s="539"/>
      <c r="T35" s="3379"/>
      <c r="U35" s="337"/>
    </row>
    <row r="36" spans="1:21">
      <c r="A36" s="219">
        <v>1996.03</v>
      </c>
      <c r="B36" s="2589"/>
      <c r="C36" s="2579"/>
      <c r="D36" s="3359"/>
      <c r="E36" s="3366"/>
      <c r="F36" s="2579"/>
      <c r="G36" s="2533"/>
      <c r="H36" s="3342"/>
      <c r="I36" s="2579"/>
      <c r="J36" s="2579"/>
      <c r="K36" s="2579"/>
      <c r="L36" s="2579"/>
      <c r="M36" s="2579"/>
      <c r="N36" s="2579"/>
      <c r="O36" s="2579"/>
      <c r="P36" s="2579"/>
      <c r="Q36" s="3341"/>
      <c r="R36" s="373"/>
      <c r="S36" s="539"/>
      <c r="T36" s="3379"/>
      <c r="U36" s="337"/>
    </row>
    <row r="37" spans="1:21">
      <c r="A37" s="219">
        <v>1996.04</v>
      </c>
      <c r="B37" s="2589"/>
      <c r="C37" s="2579"/>
      <c r="D37" s="3359"/>
      <c r="E37" s="3366"/>
      <c r="F37" s="2579"/>
      <c r="G37" s="2533"/>
      <c r="H37" s="3342"/>
      <c r="I37" s="2579"/>
      <c r="J37" s="2579"/>
      <c r="K37" s="2579"/>
      <c r="L37" s="2579"/>
      <c r="M37" s="2579"/>
      <c r="N37" s="2579"/>
      <c r="O37" s="2579"/>
      <c r="P37" s="2579"/>
      <c r="Q37" s="3341"/>
      <c r="R37" s="373"/>
      <c r="S37" s="539"/>
      <c r="T37" s="3379"/>
      <c r="U37" s="337"/>
    </row>
    <row r="38" spans="1:21">
      <c r="A38" s="219">
        <v>1996.05</v>
      </c>
      <c r="B38" s="2589"/>
      <c r="C38" s="2579"/>
      <c r="D38" s="3359"/>
      <c r="E38" s="3366"/>
      <c r="F38" s="2579"/>
      <c r="G38" s="2533"/>
      <c r="H38" s="3342"/>
      <c r="I38" s="2579"/>
      <c r="J38" s="2579"/>
      <c r="K38" s="2579"/>
      <c r="L38" s="2579"/>
      <c r="M38" s="2579"/>
      <c r="N38" s="2579"/>
      <c r="O38" s="2579"/>
      <c r="P38" s="2579"/>
      <c r="Q38" s="3341"/>
      <c r="R38" s="373"/>
      <c r="S38" s="539"/>
      <c r="T38" s="3379"/>
      <c r="U38" s="337"/>
    </row>
    <row r="39" spans="1:21">
      <c r="A39" s="219">
        <v>1996.06</v>
      </c>
      <c r="B39" s="2589"/>
      <c r="C39" s="2579"/>
      <c r="D39" s="3359"/>
      <c r="E39" s="3366"/>
      <c r="F39" s="2579"/>
      <c r="G39" s="2533"/>
      <c r="H39" s="3342"/>
      <c r="I39" s="2579"/>
      <c r="J39" s="2579"/>
      <c r="K39" s="2579"/>
      <c r="L39" s="2579"/>
      <c r="M39" s="2579"/>
      <c r="N39" s="2579"/>
      <c r="O39" s="2579"/>
      <c r="P39" s="2579"/>
      <c r="Q39" s="3341"/>
      <c r="R39" s="373"/>
      <c r="S39" s="539"/>
      <c r="T39" s="3379"/>
      <c r="U39" s="337"/>
    </row>
    <row r="40" spans="1:21">
      <c r="A40" s="219">
        <v>1996.07</v>
      </c>
      <c r="B40" s="3324">
        <v>318723</v>
      </c>
      <c r="C40" s="2579"/>
      <c r="D40" s="3332">
        <v>318723</v>
      </c>
      <c r="E40" s="3366"/>
      <c r="F40" s="2579"/>
      <c r="G40" s="2533"/>
      <c r="H40" s="3342"/>
      <c r="I40" s="2579"/>
      <c r="J40" s="2579"/>
      <c r="K40" s="2579"/>
      <c r="L40" s="2579"/>
      <c r="M40" s="2579"/>
      <c r="N40" s="2579"/>
      <c r="O40" s="2579"/>
      <c r="P40" s="2579"/>
      <c r="Q40" s="3341"/>
      <c r="R40" s="373"/>
      <c r="S40" s="539"/>
      <c r="T40" s="3379"/>
      <c r="U40" s="337"/>
    </row>
    <row r="41" spans="1:21">
      <c r="A41" s="219">
        <v>1996.08</v>
      </c>
      <c r="B41" s="3348">
        <v>331789</v>
      </c>
      <c r="C41" s="2579"/>
      <c r="D41" s="3333">
        <v>331789</v>
      </c>
      <c r="E41" s="3366"/>
      <c r="F41" s="2579"/>
      <c r="G41" s="2533"/>
      <c r="H41" s="3342"/>
      <c r="I41" s="2579"/>
      <c r="J41" s="2579"/>
      <c r="K41" s="2579"/>
      <c r="L41" s="2579"/>
      <c r="M41" s="2579"/>
      <c r="N41" s="2579"/>
      <c r="O41" s="2579"/>
      <c r="P41" s="2579"/>
      <c r="Q41" s="3341"/>
      <c r="R41" s="373"/>
      <c r="S41" s="539"/>
      <c r="T41" s="3379"/>
      <c r="U41" s="337"/>
    </row>
    <row r="42" spans="1:21">
      <c r="A42" s="219">
        <v>1996.09</v>
      </c>
      <c r="B42" s="3348">
        <v>337432</v>
      </c>
      <c r="C42" s="2579"/>
      <c r="D42" s="3333">
        <v>337432</v>
      </c>
      <c r="E42" s="3366"/>
      <c r="F42" s="2579"/>
      <c r="G42" s="2533"/>
      <c r="H42" s="3342"/>
      <c r="I42" s="2579"/>
      <c r="J42" s="2579"/>
      <c r="K42" s="2579"/>
      <c r="L42" s="2579"/>
      <c r="M42" s="2579"/>
      <c r="N42" s="2579"/>
      <c r="O42" s="2579"/>
      <c r="P42" s="2579"/>
      <c r="Q42" s="3341"/>
      <c r="R42" s="373"/>
      <c r="S42" s="539"/>
      <c r="T42" s="3379"/>
      <c r="U42" s="337"/>
    </row>
    <row r="43" spans="1:21">
      <c r="A43" s="219">
        <v>1996.1</v>
      </c>
      <c r="B43" s="3348">
        <v>340906</v>
      </c>
      <c r="C43" s="2579"/>
      <c r="D43" s="3333">
        <v>340906</v>
      </c>
      <c r="E43" s="3366"/>
      <c r="F43" s="2579"/>
      <c r="G43" s="2533"/>
      <c r="H43" s="3342"/>
      <c r="I43" s="2579"/>
      <c r="J43" s="2579"/>
      <c r="K43" s="2579"/>
      <c r="L43" s="2579"/>
      <c r="M43" s="2579"/>
      <c r="N43" s="2579"/>
      <c r="O43" s="2579"/>
      <c r="P43" s="2579"/>
      <c r="Q43" s="3341"/>
      <c r="R43" s="373"/>
      <c r="S43" s="539"/>
      <c r="T43" s="3379"/>
      <c r="U43" s="337"/>
    </row>
    <row r="44" spans="1:21">
      <c r="A44" s="219">
        <v>1996.11</v>
      </c>
      <c r="B44" s="3348">
        <v>343505</v>
      </c>
      <c r="C44" s="2579"/>
      <c r="D44" s="3333">
        <v>343505</v>
      </c>
      <c r="E44" s="3366"/>
      <c r="F44" s="2579"/>
      <c r="G44" s="2533"/>
      <c r="H44" s="3342"/>
      <c r="I44" s="2579"/>
      <c r="J44" s="2579"/>
      <c r="K44" s="2579"/>
      <c r="L44" s="2579"/>
      <c r="M44" s="2579"/>
      <c r="N44" s="2579"/>
      <c r="O44" s="2579"/>
      <c r="P44" s="2579"/>
      <c r="Q44" s="3341"/>
      <c r="R44" s="373"/>
      <c r="S44" s="539"/>
      <c r="T44" s="3379"/>
      <c r="U44" s="337"/>
    </row>
    <row r="45" spans="1:21">
      <c r="A45" s="219">
        <v>1996.12</v>
      </c>
      <c r="B45" s="3348">
        <v>344775</v>
      </c>
      <c r="C45" s="2579"/>
      <c r="D45" s="3333">
        <v>344775</v>
      </c>
      <c r="E45" s="3366"/>
      <c r="F45" s="2579"/>
      <c r="G45" s="2533"/>
      <c r="H45" s="3342"/>
      <c r="I45" s="2579"/>
      <c r="J45" s="2579"/>
      <c r="K45" s="2579"/>
      <c r="L45" s="2579"/>
      <c r="M45" s="2579"/>
      <c r="N45" s="2579"/>
      <c r="O45" s="2579"/>
      <c r="P45" s="2579"/>
      <c r="Q45" s="3341"/>
      <c r="R45" s="373"/>
      <c r="S45" s="539"/>
      <c r="T45" s="3379"/>
      <c r="U45" s="337"/>
    </row>
    <row r="46" spans="1:21">
      <c r="A46" s="219">
        <v>1997.01</v>
      </c>
      <c r="B46" s="3348">
        <v>344476</v>
      </c>
      <c r="C46" s="2579"/>
      <c r="D46" s="3333">
        <v>344476</v>
      </c>
      <c r="E46" s="3366"/>
      <c r="F46" s="2579"/>
      <c r="G46" s="2533"/>
      <c r="H46" s="3342"/>
      <c r="I46" s="2579"/>
      <c r="J46" s="2579"/>
      <c r="K46" s="2579"/>
      <c r="L46" s="2579"/>
      <c r="M46" s="2579"/>
      <c r="N46" s="2579"/>
      <c r="O46" s="2579"/>
      <c r="P46" s="2579"/>
      <c r="Q46" s="3341"/>
      <c r="R46" s="373"/>
      <c r="S46" s="539"/>
      <c r="T46" s="3379"/>
      <c r="U46" s="337"/>
    </row>
    <row r="47" spans="1:21">
      <c r="A47" s="219">
        <v>1997.02</v>
      </c>
      <c r="B47" s="3348">
        <v>345122</v>
      </c>
      <c r="C47" s="2579"/>
      <c r="D47" s="3333">
        <v>345122</v>
      </c>
      <c r="E47" s="3366"/>
      <c r="F47" s="2579"/>
      <c r="G47" s="2533"/>
      <c r="H47" s="3342"/>
      <c r="I47" s="2579"/>
      <c r="J47" s="2579"/>
      <c r="K47" s="2579"/>
      <c r="L47" s="2579"/>
      <c r="M47" s="2579"/>
      <c r="N47" s="2579"/>
      <c r="O47" s="2579"/>
      <c r="P47" s="2579"/>
      <c r="Q47" s="3341"/>
      <c r="R47" s="373"/>
      <c r="S47" s="539"/>
      <c r="T47" s="3379"/>
      <c r="U47" s="337"/>
    </row>
    <row r="48" spans="1:21">
      <c r="A48" s="219">
        <v>1997.03</v>
      </c>
      <c r="B48" s="3348">
        <v>346572</v>
      </c>
      <c r="C48" s="2579"/>
      <c r="D48" s="3333">
        <v>346572</v>
      </c>
      <c r="E48" s="3366"/>
      <c r="F48" s="2579"/>
      <c r="G48" s="2533"/>
      <c r="H48" s="3342"/>
      <c r="I48" s="2579"/>
      <c r="J48" s="2579"/>
      <c r="K48" s="2579"/>
      <c r="L48" s="2579"/>
      <c r="M48" s="2579"/>
      <c r="N48" s="2579"/>
      <c r="O48" s="2579"/>
      <c r="P48" s="2579"/>
      <c r="Q48" s="3341"/>
      <c r="R48" s="373"/>
      <c r="S48" s="539"/>
      <c r="T48" s="3379"/>
      <c r="U48" s="337"/>
    </row>
    <row r="49" spans="1:21">
      <c r="A49" s="219">
        <v>1997.04</v>
      </c>
      <c r="B49" s="3348">
        <v>347071</v>
      </c>
      <c r="C49" s="2579"/>
      <c r="D49" s="3333">
        <v>347071</v>
      </c>
      <c r="E49" s="3366"/>
      <c r="F49" s="2579"/>
      <c r="G49" s="2533"/>
      <c r="H49" s="3342"/>
      <c r="I49" s="2579"/>
      <c r="J49" s="2579"/>
      <c r="K49" s="2579"/>
      <c r="L49" s="2579"/>
      <c r="M49" s="2579"/>
      <c r="N49" s="2579"/>
      <c r="O49" s="2579"/>
      <c r="P49" s="2579"/>
      <c r="Q49" s="3341"/>
      <c r="R49" s="373"/>
      <c r="S49" s="539"/>
      <c r="T49" s="3379"/>
      <c r="U49" s="337"/>
    </row>
    <row r="50" spans="1:21">
      <c r="A50" s="219">
        <v>1997.05</v>
      </c>
      <c r="B50" s="3348">
        <v>347071</v>
      </c>
      <c r="C50" s="2579"/>
      <c r="D50" s="3333">
        <v>347071</v>
      </c>
      <c r="E50" s="3366"/>
      <c r="F50" s="2579"/>
      <c r="G50" s="2533"/>
      <c r="H50" s="3342"/>
      <c r="I50" s="2579"/>
      <c r="J50" s="2579"/>
      <c r="K50" s="2579"/>
      <c r="L50" s="2579"/>
      <c r="M50" s="2579"/>
      <c r="N50" s="2579"/>
      <c r="O50" s="2579"/>
      <c r="P50" s="2579"/>
      <c r="Q50" s="3341"/>
      <c r="R50" s="373"/>
      <c r="S50" s="539"/>
      <c r="T50" s="3379"/>
      <c r="U50" s="337"/>
    </row>
    <row r="51" spans="1:21">
      <c r="A51" s="219">
        <v>1997.06</v>
      </c>
      <c r="B51" s="3348">
        <v>349408</v>
      </c>
      <c r="C51" s="2579"/>
      <c r="D51" s="3333">
        <v>349408</v>
      </c>
      <c r="E51" s="3366"/>
      <c r="F51" s="2579"/>
      <c r="G51" s="2533"/>
      <c r="H51" s="3342"/>
      <c r="I51" s="2579"/>
      <c r="J51" s="2579"/>
      <c r="K51" s="2579"/>
      <c r="L51" s="2579"/>
      <c r="M51" s="2579"/>
      <c r="N51" s="2579"/>
      <c r="O51" s="2579"/>
      <c r="P51" s="2579"/>
      <c r="Q51" s="3341"/>
      <c r="R51" s="373"/>
      <c r="S51" s="539"/>
      <c r="T51" s="3379"/>
      <c r="U51" s="337"/>
    </row>
    <row r="52" spans="1:21">
      <c r="A52" s="219">
        <v>1997.07</v>
      </c>
      <c r="B52" s="3348">
        <v>348885</v>
      </c>
      <c r="C52" s="2579"/>
      <c r="D52" s="3333">
        <v>348885</v>
      </c>
      <c r="E52" s="3366"/>
      <c r="F52" s="2579"/>
      <c r="G52" s="2533"/>
      <c r="H52" s="3342"/>
      <c r="I52" s="2579"/>
      <c r="J52" s="2579"/>
      <c r="K52" s="2579"/>
      <c r="L52" s="2579"/>
      <c r="M52" s="2579"/>
      <c r="N52" s="2579"/>
      <c r="O52" s="2579"/>
      <c r="P52" s="2579"/>
      <c r="Q52" s="3341"/>
      <c r="R52" s="373"/>
      <c r="S52" s="539"/>
      <c r="T52" s="3379"/>
      <c r="U52" s="337"/>
    </row>
    <row r="53" spans="1:21">
      <c r="A53" s="219">
        <v>1997.08</v>
      </c>
      <c r="B53" s="3348">
        <v>349595</v>
      </c>
      <c r="C53" s="2579"/>
      <c r="D53" s="3333">
        <v>349595</v>
      </c>
      <c r="E53" s="3366"/>
      <c r="F53" s="2579"/>
      <c r="G53" s="2533"/>
      <c r="H53" s="3342"/>
      <c r="I53" s="2579"/>
      <c r="J53" s="2579"/>
      <c r="K53" s="2579"/>
      <c r="L53" s="2579"/>
      <c r="M53" s="2579"/>
      <c r="N53" s="2579"/>
      <c r="O53" s="2579"/>
      <c r="P53" s="2579"/>
      <c r="Q53" s="3341"/>
      <c r="R53" s="373"/>
      <c r="S53" s="539"/>
      <c r="T53" s="3379"/>
      <c r="U53" s="337"/>
    </row>
    <row r="54" spans="1:21">
      <c r="A54" s="219">
        <v>1997.09</v>
      </c>
      <c r="B54" s="3348">
        <v>350862</v>
      </c>
      <c r="C54" s="2579"/>
      <c r="D54" s="3333">
        <v>350862</v>
      </c>
      <c r="E54" s="3366"/>
      <c r="F54" s="2579"/>
      <c r="G54" s="2533"/>
      <c r="H54" s="3342"/>
      <c r="I54" s="2579"/>
      <c r="J54" s="2579"/>
      <c r="K54" s="2579"/>
      <c r="L54" s="2579"/>
      <c r="M54" s="2579"/>
      <c r="N54" s="2579"/>
      <c r="O54" s="2579"/>
      <c r="P54" s="2579"/>
      <c r="Q54" s="3341"/>
      <c r="R54" s="373"/>
      <c r="S54" s="539"/>
      <c r="T54" s="3379"/>
      <c r="U54" s="337"/>
    </row>
    <row r="55" spans="1:21">
      <c r="A55" s="219">
        <v>1997.1</v>
      </c>
      <c r="B55" s="3348">
        <v>351402</v>
      </c>
      <c r="C55" s="2579"/>
      <c r="D55" s="3333">
        <v>351402</v>
      </c>
      <c r="E55" s="3366"/>
      <c r="F55" s="2579"/>
      <c r="G55" s="2533"/>
      <c r="H55" s="3342"/>
      <c r="I55" s="2579"/>
      <c r="J55" s="2579"/>
      <c r="K55" s="2579"/>
      <c r="L55" s="2579"/>
      <c r="M55" s="2579"/>
      <c r="N55" s="2579"/>
      <c r="O55" s="2579"/>
      <c r="P55" s="2579"/>
      <c r="Q55" s="3341"/>
      <c r="R55" s="373"/>
      <c r="S55" s="539"/>
      <c r="T55" s="3379"/>
      <c r="U55" s="337"/>
    </row>
    <row r="56" spans="1:21">
      <c r="A56" s="219">
        <v>1997.11</v>
      </c>
      <c r="B56" s="3348">
        <v>352859</v>
      </c>
      <c r="C56" s="2579"/>
      <c r="D56" s="3333">
        <v>352859</v>
      </c>
      <c r="E56" s="3366"/>
      <c r="F56" s="2579"/>
      <c r="G56" s="2533"/>
      <c r="H56" s="3342"/>
      <c r="I56" s="2579"/>
      <c r="J56" s="2579"/>
      <c r="K56" s="2579"/>
      <c r="L56" s="2579"/>
      <c r="M56" s="2579"/>
      <c r="N56" s="2579"/>
      <c r="O56" s="2579"/>
      <c r="P56" s="2579"/>
      <c r="Q56" s="3341"/>
      <c r="R56" s="373"/>
      <c r="S56" s="539"/>
      <c r="T56" s="3379"/>
      <c r="U56" s="337"/>
    </row>
    <row r="57" spans="1:21">
      <c r="A57" s="219">
        <v>1997.12</v>
      </c>
      <c r="B57" s="3348">
        <v>352972</v>
      </c>
      <c r="C57" s="2579"/>
      <c r="D57" s="3333">
        <v>352972</v>
      </c>
      <c r="E57" s="3366"/>
      <c r="F57" s="2579"/>
      <c r="G57" s="2533"/>
      <c r="H57" s="3342"/>
      <c r="I57" s="2579"/>
      <c r="J57" s="2579"/>
      <c r="K57" s="2579"/>
      <c r="L57" s="2579"/>
      <c r="M57" s="2579"/>
      <c r="N57" s="2579"/>
      <c r="O57" s="2579"/>
      <c r="P57" s="2579"/>
      <c r="Q57" s="3341"/>
      <c r="R57" s="373"/>
      <c r="S57" s="539"/>
      <c r="T57" s="3379"/>
      <c r="U57" s="337"/>
    </row>
    <row r="58" spans="1:21">
      <c r="A58" s="219">
        <v>1998.01</v>
      </c>
      <c r="B58" s="3348">
        <v>352632</v>
      </c>
      <c r="C58" s="2579"/>
      <c r="D58" s="3333">
        <v>352632</v>
      </c>
      <c r="E58" s="3366"/>
      <c r="F58" s="2579"/>
      <c r="G58" s="2533"/>
      <c r="H58" s="3342"/>
      <c r="I58" s="2579"/>
      <c r="J58" s="2579"/>
      <c r="K58" s="2579"/>
      <c r="L58" s="2579"/>
      <c r="M58" s="2579"/>
      <c r="N58" s="2579"/>
      <c r="O58" s="2579"/>
      <c r="P58" s="2579"/>
      <c r="Q58" s="3341"/>
      <c r="R58" s="373"/>
      <c r="S58" s="539"/>
      <c r="T58" s="3379"/>
      <c r="U58" s="337"/>
    </row>
    <row r="59" spans="1:21">
      <c r="A59" s="219">
        <v>1998.02</v>
      </c>
      <c r="B59" s="3348">
        <v>352340</v>
      </c>
      <c r="C59" s="2579"/>
      <c r="D59" s="3333">
        <v>352340</v>
      </c>
      <c r="E59" s="3367">
        <v>39813</v>
      </c>
      <c r="F59" s="2579"/>
      <c r="G59" s="2533"/>
      <c r="H59" s="3325">
        <v>8202</v>
      </c>
      <c r="I59" s="3326">
        <v>25</v>
      </c>
      <c r="J59" s="3326">
        <v>5794</v>
      </c>
      <c r="K59" s="3326">
        <v>143</v>
      </c>
      <c r="L59" s="3326">
        <v>1515</v>
      </c>
      <c r="M59" s="3326">
        <v>10413</v>
      </c>
      <c r="N59" s="3326">
        <v>3140</v>
      </c>
      <c r="O59" s="3326">
        <v>3597</v>
      </c>
      <c r="P59" s="3326">
        <v>6926</v>
      </c>
      <c r="Q59" s="3327">
        <v>58</v>
      </c>
      <c r="R59" s="373"/>
      <c r="S59" s="539"/>
      <c r="T59" s="3379"/>
      <c r="U59" s="337"/>
    </row>
    <row r="60" spans="1:21">
      <c r="A60" s="219">
        <v>1998.03</v>
      </c>
      <c r="B60" s="3348">
        <v>352409</v>
      </c>
      <c r="C60" s="2579"/>
      <c r="D60" s="3333">
        <v>352409</v>
      </c>
      <c r="E60" s="3335">
        <v>40203</v>
      </c>
      <c r="F60" s="2579"/>
      <c r="G60" s="2533"/>
      <c r="H60" s="3328">
        <v>8275</v>
      </c>
      <c r="I60" s="3329">
        <v>25</v>
      </c>
      <c r="J60" s="3329">
        <v>5847</v>
      </c>
      <c r="K60" s="3329">
        <v>142</v>
      </c>
      <c r="L60" s="3329">
        <v>1540</v>
      </c>
      <c r="M60" s="3329">
        <v>10530</v>
      </c>
      <c r="N60" s="3329">
        <v>3186</v>
      </c>
      <c r="O60" s="3329">
        <v>3621</v>
      </c>
      <c r="P60" s="3329">
        <v>6979</v>
      </c>
      <c r="Q60" s="3330">
        <v>58</v>
      </c>
      <c r="R60" s="373"/>
      <c r="S60" s="539"/>
      <c r="T60" s="3379"/>
      <c r="U60" s="337"/>
    </row>
    <row r="61" spans="1:21">
      <c r="A61" s="219">
        <v>1998.04</v>
      </c>
      <c r="B61" s="3348">
        <v>352165</v>
      </c>
      <c r="C61" s="2579"/>
      <c r="D61" s="3333">
        <v>352165</v>
      </c>
      <c r="E61" s="3335">
        <v>40328</v>
      </c>
      <c r="F61" s="2579"/>
      <c r="G61" s="2533"/>
      <c r="H61" s="3328">
        <v>8329</v>
      </c>
      <c r="I61" s="3329">
        <v>25</v>
      </c>
      <c r="J61" s="3329">
        <v>5853</v>
      </c>
      <c r="K61" s="3329">
        <v>142</v>
      </c>
      <c r="L61" s="3329">
        <v>1543</v>
      </c>
      <c r="M61" s="3329">
        <v>10545</v>
      </c>
      <c r="N61" s="3329">
        <v>3201</v>
      </c>
      <c r="O61" s="3329">
        <v>3632</v>
      </c>
      <c r="P61" s="3329">
        <v>7001</v>
      </c>
      <c r="Q61" s="3330">
        <v>57</v>
      </c>
      <c r="R61" s="373"/>
      <c r="S61" s="539"/>
      <c r="T61" s="3379"/>
      <c r="U61" s="337"/>
    </row>
    <row r="62" spans="1:21">
      <c r="A62" s="219">
        <v>1998.05</v>
      </c>
      <c r="B62" s="3348">
        <v>349211</v>
      </c>
      <c r="C62" s="2579"/>
      <c r="D62" s="3333">
        <v>349211</v>
      </c>
      <c r="E62" s="3335">
        <v>40062</v>
      </c>
      <c r="F62" s="2579"/>
      <c r="G62" s="2533"/>
      <c r="H62" s="3328">
        <v>8299</v>
      </c>
      <c r="I62" s="3329">
        <v>25</v>
      </c>
      <c r="J62" s="3329">
        <v>5763</v>
      </c>
      <c r="K62" s="3329">
        <v>142</v>
      </c>
      <c r="L62" s="3329">
        <v>1527</v>
      </c>
      <c r="M62" s="3329">
        <v>10477</v>
      </c>
      <c r="N62" s="3329">
        <v>3185</v>
      </c>
      <c r="O62" s="3329">
        <v>3614</v>
      </c>
      <c r="P62" s="3329">
        <v>6973</v>
      </c>
      <c r="Q62" s="3330">
        <v>57</v>
      </c>
      <c r="R62" s="373"/>
      <c r="S62" s="539"/>
      <c r="T62" s="3379"/>
      <c r="U62" s="337"/>
    </row>
    <row r="63" spans="1:21">
      <c r="A63" s="219">
        <v>1998.06</v>
      </c>
      <c r="B63" s="3348">
        <v>350225</v>
      </c>
      <c r="C63" s="2579"/>
      <c r="D63" s="3333">
        <v>350225</v>
      </c>
      <c r="E63" s="3335">
        <v>40094</v>
      </c>
      <c r="F63" s="2579"/>
      <c r="G63" s="2533"/>
      <c r="H63" s="3328">
        <v>8287</v>
      </c>
      <c r="I63" s="3329">
        <v>25</v>
      </c>
      <c r="J63" s="3329">
        <v>5739</v>
      </c>
      <c r="K63" s="3329">
        <v>141</v>
      </c>
      <c r="L63" s="3329">
        <v>1536</v>
      </c>
      <c r="M63" s="3329">
        <v>10505</v>
      </c>
      <c r="N63" s="3329">
        <v>3193</v>
      </c>
      <c r="O63" s="3329">
        <v>3625</v>
      </c>
      <c r="P63" s="3329">
        <v>6986</v>
      </c>
      <c r="Q63" s="3330">
        <v>57</v>
      </c>
      <c r="R63" s="373"/>
      <c r="S63" s="539"/>
      <c r="T63" s="3379"/>
      <c r="U63" s="337"/>
    </row>
    <row r="64" spans="1:21">
      <c r="A64" s="219">
        <v>1998.07</v>
      </c>
      <c r="B64" s="3348">
        <v>349571</v>
      </c>
      <c r="C64" s="2579"/>
      <c r="D64" s="3333">
        <v>349571</v>
      </c>
      <c r="E64" s="3335">
        <v>39660</v>
      </c>
      <c r="F64" s="2579"/>
      <c r="G64" s="2533"/>
      <c r="H64" s="3328">
        <v>8142</v>
      </c>
      <c r="I64" s="3329">
        <v>25</v>
      </c>
      <c r="J64" s="3329">
        <v>5669</v>
      </c>
      <c r="K64" s="3329">
        <v>141</v>
      </c>
      <c r="L64" s="3329">
        <v>1525</v>
      </c>
      <c r="M64" s="3329">
        <v>10360</v>
      </c>
      <c r="N64" s="3329">
        <v>3168</v>
      </c>
      <c r="O64" s="3329">
        <v>3624</v>
      </c>
      <c r="P64" s="3329">
        <v>6949</v>
      </c>
      <c r="Q64" s="3330">
        <v>57</v>
      </c>
      <c r="R64" s="373"/>
      <c r="S64" s="539"/>
      <c r="T64" s="3379"/>
      <c r="U64" s="337"/>
    </row>
    <row r="65" spans="1:21">
      <c r="A65" s="219">
        <v>1998.08</v>
      </c>
      <c r="B65" s="3348">
        <v>350121</v>
      </c>
      <c r="C65" s="2579"/>
      <c r="D65" s="3333">
        <v>350121</v>
      </c>
      <c r="E65" s="3335">
        <v>39913</v>
      </c>
      <c r="F65" s="2579"/>
      <c r="G65" s="2533"/>
      <c r="H65" s="3328">
        <v>8163</v>
      </c>
      <c r="I65" s="3329">
        <v>25</v>
      </c>
      <c r="J65" s="3329">
        <v>5695</v>
      </c>
      <c r="K65" s="3329">
        <v>142</v>
      </c>
      <c r="L65" s="3329">
        <v>1532</v>
      </c>
      <c r="M65" s="3329">
        <v>10441</v>
      </c>
      <c r="N65" s="3329">
        <v>3205</v>
      </c>
      <c r="O65" s="3329">
        <v>3651</v>
      </c>
      <c r="P65" s="3329">
        <v>7002</v>
      </c>
      <c r="Q65" s="3330">
        <v>57</v>
      </c>
      <c r="R65" s="373"/>
      <c r="S65" s="539"/>
      <c r="T65" s="3379"/>
      <c r="U65" s="337"/>
    </row>
    <row r="66" spans="1:21">
      <c r="A66" s="219">
        <v>1998.09</v>
      </c>
      <c r="B66" s="3348">
        <v>351480</v>
      </c>
      <c r="C66" s="2579"/>
      <c r="D66" s="3333">
        <v>351480</v>
      </c>
      <c r="E66" s="3335">
        <v>40303</v>
      </c>
      <c r="F66" s="2579"/>
      <c r="G66" s="2533"/>
      <c r="H66" s="3328">
        <v>8223</v>
      </c>
      <c r="I66" s="3329">
        <v>25</v>
      </c>
      <c r="J66" s="3329">
        <v>5749</v>
      </c>
      <c r="K66" s="3329">
        <v>143</v>
      </c>
      <c r="L66" s="3329">
        <v>1551</v>
      </c>
      <c r="M66" s="3329">
        <v>10564</v>
      </c>
      <c r="N66" s="3329">
        <v>3265</v>
      </c>
      <c r="O66" s="3329">
        <v>3671</v>
      </c>
      <c r="P66" s="3329">
        <v>7055</v>
      </c>
      <c r="Q66" s="3330">
        <v>57</v>
      </c>
      <c r="R66" s="373"/>
      <c r="S66" s="539"/>
      <c r="T66" s="3379"/>
      <c r="U66" s="337"/>
    </row>
    <row r="67" spans="1:21">
      <c r="A67" s="219">
        <v>1998.1</v>
      </c>
      <c r="B67" s="3348">
        <v>352309</v>
      </c>
      <c r="C67" s="2579"/>
      <c r="D67" s="3333">
        <v>352309</v>
      </c>
      <c r="E67" s="3335">
        <v>40389</v>
      </c>
      <c r="F67" s="2579"/>
      <c r="G67" s="2533"/>
      <c r="H67" s="3328">
        <v>8255</v>
      </c>
      <c r="I67" s="3329">
        <v>24</v>
      </c>
      <c r="J67" s="3329">
        <v>5733</v>
      </c>
      <c r="K67" s="3329">
        <v>143</v>
      </c>
      <c r="L67" s="3329">
        <v>1558</v>
      </c>
      <c r="M67" s="3329">
        <v>10591</v>
      </c>
      <c r="N67" s="3329">
        <v>3291</v>
      </c>
      <c r="O67" s="3329">
        <v>3670</v>
      </c>
      <c r="P67" s="3329">
        <v>7069</v>
      </c>
      <c r="Q67" s="3330">
        <v>55</v>
      </c>
      <c r="R67" s="373"/>
      <c r="S67" s="539"/>
      <c r="T67" s="3379"/>
      <c r="U67" s="337"/>
    </row>
    <row r="68" spans="1:21">
      <c r="A68" s="219">
        <v>1998.11</v>
      </c>
      <c r="B68" s="3348">
        <v>351828</v>
      </c>
      <c r="C68" s="2579"/>
      <c r="D68" s="3333">
        <v>351828</v>
      </c>
      <c r="E68" s="3335">
        <v>40633</v>
      </c>
      <c r="F68" s="2579"/>
      <c r="G68" s="2533"/>
      <c r="H68" s="3328">
        <v>8284</v>
      </c>
      <c r="I68" s="3329">
        <v>24</v>
      </c>
      <c r="J68" s="3329">
        <v>5762</v>
      </c>
      <c r="K68" s="3329">
        <v>144</v>
      </c>
      <c r="L68" s="3329">
        <v>1580</v>
      </c>
      <c r="M68" s="3329">
        <v>10652</v>
      </c>
      <c r="N68" s="3329">
        <v>3345</v>
      </c>
      <c r="O68" s="3329">
        <v>3685</v>
      </c>
      <c r="P68" s="3329">
        <v>7104</v>
      </c>
      <c r="Q68" s="3330">
        <v>53</v>
      </c>
      <c r="R68" s="373"/>
      <c r="S68" s="539"/>
      <c r="T68" s="3379"/>
      <c r="U68" s="337"/>
    </row>
    <row r="69" spans="1:21">
      <c r="A69" s="219">
        <v>1998.12</v>
      </c>
      <c r="B69" s="3348">
        <v>351825</v>
      </c>
      <c r="C69" s="2579"/>
      <c r="D69" s="3333">
        <v>351825</v>
      </c>
      <c r="E69" s="3335">
        <v>40904</v>
      </c>
      <c r="F69" s="2579"/>
      <c r="G69" s="2533"/>
      <c r="H69" s="3328">
        <v>8327</v>
      </c>
      <c r="I69" s="3329">
        <v>24</v>
      </c>
      <c r="J69" s="3329">
        <v>5771</v>
      </c>
      <c r="K69" s="3329">
        <v>143</v>
      </c>
      <c r="L69" s="3329">
        <v>1597</v>
      </c>
      <c r="M69" s="3329">
        <v>10723</v>
      </c>
      <c r="N69" s="3329">
        <v>3431</v>
      </c>
      <c r="O69" s="3329">
        <v>3702</v>
      </c>
      <c r="P69" s="3329">
        <v>7133</v>
      </c>
      <c r="Q69" s="3330">
        <v>53</v>
      </c>
      <c r="R69" s="373"/>
      <c r="S69" s="539"/>
      <c r="T69" s="3379"/>
      <c r="U69" s="337"/>
    </row>
    <row r="70" spans="1:21">
      <c r="A70" s="219">
        <v>1999.01</v>
      </c>
      <c r="B70" s="3348">
        <v>350543</v>
      </c>
      <c r="C70" s="2579"/>
      <c r="D70" s="3333">
        <v>350543</v>
      </c>
      <c r="E70" s="3335">
        <v>41078</v>
      </c>
      <c r="F70" s="2579"/>
      <c r="G70" s="2533"/>
      <c r="H70" s="3328">
        <v>8317</v>
      </c>
      <c r="I70" s="3329">
        <v>24</v>
      </c>
      <c r="J70" s="3329">
        <v>5744</v>
      </c>
      <c r="K70" s="3329">
        <v>142</v>
      </c>
      <c r="L70" s="3329">
        <v>1620</v>
      </c>
      <c r="M70" s="3329">
        <v>10766</v>
      </c>
      <c r="N70" s="3329">
        <v>3529</v>
      </c>
      <c r="O70" s="3329">
        <v>3730</v>
      </c>
      <c r="P70" s="3329">
        <v>7153</v>
      </c>
      <c r="Q70" s="3330">
        <v>53</v>
      </c>
      <c r="R70" s="373"/>
      <c r="S70" s="539"/>
      <c r="T70" s="3379"/>
      <c r="U70" s="337"/>
    </row>
    <row r="71" spans="1:21">
      <c r="A71" s="219">
        <v>1999.02</v>
      </c>
      <c r="B71" s="3348">
        <v>350077</v>
      </c>
      <c r="C71" s="2579"/>
      <c r="D71" s="3333">
        <v>350077</v>
      </c>
      <c r="E71" s="3335">
        <v>41454</v>
      </c>
      <c r="F71" s="2579"/>
      <c r="G71" s="2533"/>
      <c r="H71" s="3328">
        <v>8356</v>
      </c>
      <c r="I71" s="3329">
        <v>24</v>
      </c>
      <c r="J71" s="3329">
        <v>5756</v>
      </c>
      <c r="K71" s="3329">
        <v>142</v>
      </c>
      <c r="L71" s="3329">
        <v>1639</v>
      </c>
      <c r="M71" s="3329">
        <v>10844</v>
      </c>
      <c r="N71" s="3329">
        <v>3696</v>
      </c>
      <c r="O71" s="3329">
        <v>3763</v>
      </c>
      <c r="P71" s="3329">
        <v>7181</v>
      </c>
      <c r="Q71" s="3330">
        <v>53</v>
      </c>
      <c r="R71" s="373"/>
      <c r="S71" s="539"/>
      <c r="T71" s="3379"/>
      <c r="U71" s="337"/>
    </row>
    <row r="72" spans="1:21">
      <c r="A72" s="219">
        <v>1999.03</v>
      </c>
      <c r="B72" s="3348">
        <v>349476</v>
      </c>
      <c r="C72" s="2579"/>
      <c r="D72" s="3333">
        <v>349476</v>
      </c>
      <c r="E72" s="3335">
        <v>41843</v>
      </c>
      <c r="F72" s="2579"/>
      <c r="G72" s="2533"/>
      <c r="H72" s="3328">
        <v>8381</v>
      </c>
      <c r="I72" s="3329">
        <v>25</v>
      </c>
      <c r="J72" s="3329">
        <v>5755</v>
      </c>
      <c r="K72" s="3329">
        <v>140</v>
      </c>
      <c r="L72" s="3329">
        <v>1655</v>
      </c>
      <c r="M72" s="3329">
        <v>10915</v>
      </c>
      <c r="N72" s="3329">
        <v>3935</v>
      </c>
      <c r="O72" s="3329">
        <v>3774</v>
      </c>
      <c r="P72" s="3329">
        <v>7210</v>
      </c>
      <c r="Q72" s="3330">
        <v>53</v>
      </c>
      <c r="R72" s="373"/>
      <c r="S72" s="539"/>
      <c r="T72" s="3379"/>
      <c r="U72" s="337"/>
    </row>
    <row r="73" spans="1:21">
      <c r="A73" s="219">
        <v>1999.04</v>
      </c>
      <c r="B73" s="3385">
        <v>348458</v>
      </c>
      <c r="C73" s="2579"/>
      <c r="D73" s="3333">
        <v>348458</v>
      </c>
      <c r="E73" s="3349">
        <f>AVERAGE(E72,E74)</f>
        <v>42098.5</v>
      </c>
      <c r="F73" s="2579"/>
      <c r="G73" s="2533"/>
      <c r="H73" s="2036">
        <f>AVERAGE(H72,H74)</f>
        <v>8405.5</v>
      </c>
      <c r="I73" s="1363">
        <f>AVERAGE(I72,I74)</f>
        <v>25</v>
      </c>
      <c r="J73" s="1363">
        <f>AVERAGE(J72,J74)</f>
        <v>5758</v>
      </c>
      <c r="K73" s="1363">
        <f t="shared" ref="K73:Q73" si="0">AVERAGE(K72,K74)</f>
        <v>140</v>
      </c>
      <c r="L73" s="1363">
        <f t="shared" si="0"/>
        <v>1663.5</v>
      </c>
      <c r="M73" s="1363">
        <f t="shared" si="0"/>
        <v>10953</v>
      </c>
      <c r="N73" s="1363">
        <f t="shared" si="0"/>
        <v>4079.5</v>
      </c>
      <c r="O73" s="1363">
        <f t="shared" si="0"/>
        <v>3789.5</v>
      </c>
      <c r="P73" s="1363">
        <f t="shared" si="0"/>
        <v>7230.5</v>
      </c>
      <c r="Q73" s="3331">
        <f t="shared" si="0"/>
        <v>54</v>
      </c>
      <c r="R73" s="373"/>
      <c r="S73" s="539"/>
      <c r="T73" s="3379"/>
      <c r="U73" s="337"/>
    </row>
    <row r="74" spans="1:21">
      <c r="A74" s="219">
        <v>1999.05</v>
      </c>
      <c r="B74" s="3348">
        <v>350371</v>
      </c>
      <c r="C74" s="2579"/>
      <c r="D74" s="3333">
        <v>350371</v>
      </c>
      <c r="E74" s="3335">
        <v>42354</v>
      </c>
      <c r="F74" s="2579"/>
      <c r="G74" s="2533"/>
      <c r="H74" s="3328">
        <v>8430</v>
      </c>
      <c r="I74" s="3329">
        <v>25</v>
      </c>
      <c r="J74" s="3329">
        <v>5761</v>
      </c>
      <c r="K74" s="3329">
        <v>140</v>
      </c>
      <c r="L74" s="3329">
        <v>1672</v>
      </c>
      <c r="M74" s="3329">
        <v>10991</v>
      </c>
      <c r="N74" s="3329">
        <v>4224</v>
      </c>
      <c r="O74" s="3329">
        <v>3805</v>
      </c>
      <c r="P74" s="3329">
        <v>7251</v>
      </c>
      <c r="Q74" s="3330">
        <v>55</v>
      </c>
      <c r="R74" s="373"/>
      <c r="S74" s="539"/>
      <c r="T74" s="3379"/>
      <c r="U74" s="337"/>
    </row>
    <row r="75" spans="1:21">
      <c r="A75" s="219">
        <v>1999.06</v>
      </c>
      <c r="B75" s="3348">
        <v>351480</v>
      </c>
      <c r="C75" s="2579"/>
      <c r="D75" s="3333">
        <v>351480</v>
      </c>
      <c r="E75" s="3335">
        <v>42576</v>
      </c>
      <c r="F75" s="2579"/>
      <c r="G75" s="2533"/>
      <c r="H75" s="3328">
        <v>8451</v>
      </c>
      <c r="I75" s="3329">
        <v>25</v>
      </c>
      <c r="J75" s="3329">
        <v>5760</v>
      </c>
      <c r="K75" s="3329">
        <v>141</v>
      </c>
      <c r="L75" s="3329">
        <v>1669</v>
      </c>
      <c r="M75" s="3329">
        <v>11026</v>
      </c>
      <c r="N75" s="3329">
        <v>4353</v>
      </c>
      <c r="O75" s="3329">
        <v>3823</v>
      </c>
      <c r="P75" s="3329">
        <v>7273</v>
      </c>
      <c r="Q75" s="3330">
        <v>55</v>
      </c>
      <c r="R75" s="373"/>
      <c r="S75" s="539"/>
      <c r="T75" s="3379"/>
      <c r="U75" s="337"/>
    </row>
    <row r="76" spans="1:21">
      <c r="A76" s="219">
        <v>1999.07</v>
      </c>
      <c r="B76" s="3348">
        <v>350871</v>
      </c>
      <c r="C76" s="2579"/>
      <c r="D76" s="3333">
        <v>350871</v>
      </c>
      <c r="E76" s="3335">
        <v>42669</v>
      </c>
      <c r="F76" s="2579"/>
      <c r="G76" s="2533"/>
      <c r="H76" s="3328">
        <v>8440</v>
      </c>
      <c r="I76" s="3329">
        <v>25</v>
      </c>
      <c r="J76" s="3329">
        <v>5727</v>
      </c>
      <c r="K76" s="3329">
        <v>141</v>
      </c>
      <c r="L76" s="3329">
        <v>1660</v>
      </c>
      <c r="M76" s="3329">
        <v>11050</v>
      </c>
      <c r="N76" s="3329">
        <v>4443</v>
      </c>
      <c r="O76" s="3329">
        <v>3824</v>
      </c>
      <c r="P76" s="3329">
        <v>7305</v>
      </c>
      <c r="Q76" s="3330">
        <v>54</v>
      </c>
      <c r="R76" s="373"/>
      <c r="S76" s="539"/>
      <c r="T76" s="3379"/>
      <c r="U76" s="337"/>
    </row>
    <row r="77" spans="1:21">
      <c r="A77" s="219">
        <v>1999.08</v>
      </c>
      <c r="B77" s="3348">
        <v>350809</v>
      </c>
      <c r="C77" s="2579"/>
      <c r="D77" s="3333">
        <v>350809</v>
      </c>
      <c r="E77" s="3335">
        <v>43551</v>
      </c>
      <c r="F77" s="2579"/>
      <c r="G77" s="2533"/>
      <c r="H77" s="3328">
        <v>8516</v>
      </c>
      <c r="I77" s="3329">
        <v>27</v>
      </c>
      <c r="J77" s="3329">
        <v>5791</v>
      </c>
      <c r="K77" s="3329">
        <v>141</v>
      </c>
      <c r="L77" s="3329">
        <v>1717</v>
      </c>
      <c r="M77" s="3329">
        <v>11253</v>
      </c>
      <c r="N77" s="3329">
        <v>4764</v>
      </c>
      <c r="O77" s="3329">
        <v>3857</v>
      </c>
      <c r="P77" s="3329">
        <v>7435</v>
      </c>
      <c r="Q77" s="3330">
        <v>50</v>
      </c>
      <c r="R77" s="373"/>
      <c r="S77" s="539"/>
      <c r="T77" s="3379"/>
      <c r="U77" s="337"/>
    </row>
    <row r="78" spans="1:21">
      <c r="A78" s="219">
        <v>1999.09</v>
      </c>
      <c r="B78" s="3348">
        <v>351308</v>
      </c>
      <c r="C78" s="2579"/>
      <c r="D78" s="3333">
        <v>351308</v>
      </c>
      <c r="E78" s="3335">
        <v>43124</v>
      </c>
      <c r="F78" s="2579"/>
      <c r="G78" s="2533"/>
      <c r="H78" s="3328">
        <v>8458</v>
      </c>
      <c r="I78" s="3329">
        <v>27</v>
      </c>
      <c r="J78" s="3329">
        <v>5699</v>
      </c>
      <c r="K78" s="3329">
        <v>141</v>
      </c>
      <c r="L78" s="3329">
        <v>1682</v>
      </c>
      <c r="M78" s="3329">
        <v>11134</v>
      </c>
      <c r="N78" s="3329">
        <v>4729</v>
      </c>
      <c r="O78" s="3329">
        <v>3856</v>
      </c>
      <c r="P78" s="3329">
        <v>7347</v>
      </c>
      <c r="Q78" s="3330">
        <v>51</v>
      </c>
      <c r="R78" s="373"/>
      <c r="S78" s="539"/>
      <c r="T78" s="3379"/>
      <c r="U78" s="337"/>
    </row>
    <row r="79" spans="1:21">
      <c r="A79" s="219">
        <v>1999.1</v>
      </c>
      <c r="B79" s="3348">
        <v>351199</v>
      </c>
      <c r="C79" s="2579"/>
      <c r="D79" s="3333">
        <v>351199</v>
      </c>
      <c r="E79" s="3335">
        <v>43096</v>
      </c>
      <c r="F79" s="2579"/>
      <c r="G79" s="2533"/>
      <c r="H79" s="3328">
        <v>8419</v>
      </c>
      <c r="I79" s="3329">
        <v>27</v>
      </c>
      <c r="J79" s="3329">
        <v>5656</v>
      </c>
      <c r="K79" s="3329">
        <v>142</v>
      </c>
      <c r="L79" s="3329">
        <v>1660</v>
      </c>
      <c r="M79" s="3329">
        <v>11152</v>
      </c>
      <c r="N79" s="3329">
        <v>4771</v>
      </c>
      <c r="O79" s="3329">
        <v>3851</v>
      </c>
      <c r="P79" s="3329">
        <v>7368</v>
      </c>
      <c r="Q79" s="3330">
        <v>50</v>
      </c>
      <c r="R79" s="373"/>
      <c r="S79" s="539"/>
      <c r="T79" s="3379"/>
      <c r="U79" s="337"/>
    </row>
    <row r="80" spans="1:21">
      <c r="A80" s="219">
        <v>1999.11</v>
      </c>
      <c r="B80" s="3348">
        <v>350625</v>
      </c>
      <c r="C80" s="2579"/>
      <c r="D80" s="3333">
        <v>350625</v>
      </c>
      <c r="E80" s="3335">
        <v>43237</v>
      </c>
      <c r="F80" s="2579"/>
      <c r="G80" s="2533"/>
      <c r="H80" s="3328">
        <v>8420</v>
      </c>
      <c r="I80" s="3329">
        <v>25</v>
      </c>
      <c r="J80" s="3329">
        <v>5619</v>
      </c>
      <c r="K80" s="3329">
        <v>142</v>
      </c>
      <c r="L80" s="3329">
        <v>1646</v>
      </c>
      <c r="M80" s="3329">
        <v>11193</v>
      </c>
      <c r="N80" s="3329">
        <v>4869</v>
      </c>
      <c r="O80" s="3329">
        <v>3864</v>
      </c>
      <c r="P80" s="3329">
        <v>7409</v>
      </c>
      <c r="Q80" s="3330">
        <v>50</v>
      </c>
      <c r="R80" s="373"/>
      <c r="S80" s="539"/>
      <c r="T80" s="3379"/>
      <c r="U80" s="337"/>
    </row>
    <row r="81" spans="1:21">
      <c r="A81" s="219">
        <v>1999.12</v>
      </c>
      <c r="B81" s="3348">
        <v>350560</v>
      </c>
      <c r="C81" s="2579"/>
      <c r="D81" s="3333">
        <v>350560</v>
      </c>
      <c r="E81" s="3335">
        <v>43703</v>
      </c>
      <c r="F81" s="2579"/>
      <c r="G81" s="2533"/>
      <c r="H81" s="3328">
        <v>8509</v>
      </c>
      <c r="I81" s="3329">
        <v>26</v>
      </c>
      <c r="J81" s="3329">
        <v>5643</v>
      </c>
      <c r="K81" s="3329">
        <v>142</v>
      </c>
      <c r="L81" s="3329">
        <v>1675</v>
      </c>
      <c r="M81" s="3329">
        <v>11299</v>
      </c>
      <c r="N81" s="3329">
        <v>4989</v>
      </c>
      <c r="O81" s="3329">
        <v>3880</v>
      </c>
      <c r="P81" s="3329">
        <v>7489</v>
      </c>
      <c r="Q81" s="3330">
        <v>51</v>
      </c>
      <c r="R81" s="373"/>
      <c r="S81" s="539"/>
      <c r="T81" s="3379"/>
      <c r="U81" s="337"/>
    </row>
    <row r="82" spans="1:21">
      <c r="A82" s="219">
        <v>2000.01</v>
      </c>
      <c r="B82" s="3348">
        <v>349325</v>
      </c>
      <c r="C82" s="2579"/>
      <c r="D82" s="3333">
        <v>349325</v>
      </c>
      <c r="E82" s="3335">
        <v>43599</v>
      </c>
      <c r="F82" s="2579"/>
      <c r="G82" s="2533"/>
      <c r="H82" s="3328">
        <v>8480</v>
      </c>
      <c r="I82" s="3329">
        <v>26</v>
      </c>
      <c r="J82" s="3329">
        <v>5564</v>
      </c>
      <c r="K82" s="3329">
        <v>141</v>
      </c>
      <c r="L82" s="3329">
        <v>1662</v>
      </c>
      <c r="M82" s="3329">
        <v>11281</v>
      </c>
      <c r="N82" s="3329">
        <v>5020</v>
      </c>
      <c r="O82" s="3329">
        <v>3889</v>
      </c>
      <c r="P82" s="3329">
        <v>7484</v>
      </c>
      <c r="Q82" s="3330">
        <v>52</v>
      </c>
      <c r="R82" s="373"/>
      <c r="S82" s="539"/>
      <c r="T82" s="3379"/>
      <c r="U82" s="337"/>
    </row>
    <row r="83" spans="1:21">
      <c r="A83" s="219">
        <v>2000.02</v>
      </c>
      <c r="B83" s="3348">
        <v>348157</v>
      </c>
      <c r="C83" s="2579"/>
      <c r="D83" s="3333">
        <v>348157</v>
      </c>
      <c r="E83" s="3335">
        <v>42944</v>
      </c>
      <c r="F83" s="2579"/>
      <c r="G83" s="2533"/>
      <c r="H83" s="3328">
        <v>8336</v>
      </c>
      <c r="I83" s="3329">
        <v>25</v>
      </c>
      <c r="J83" s="3329">
        <v>5473</v>
      </c>
      <c r="K83" s="3329">
        <v>141</v>
      </c>
      <c r="L83" s="3329">
        <v>1582</v>
      </c>
      <c r="M83" s="3329">
        <v>11077</v>
      </c>
      <c r="N83" s="3329">
        <v>4969</v>
      </c>
      <c r="O83" s="3329">
        <v>3865</v>
      </c>
      <c r="P83" s="3329">
        <v>7424</v>
      </c>
      <c r="Q83" s="3330">
        <v>52</v>
      </c>
      <c r="R83" s="373"/>
      <c r="S83" s="539"/>
      <c r="T83" s="3379"/>
      <c r="U83" s="337"/>
    </row>
    <row r="84" spans="1:21">
      <c r="A84" s="219">
        <v>2000.03</v>
      </c>
      <c r="B84" s="3348">
        <v>349023</v>
      </c>
      <c r="C84" s="2579"/>
      <c r="D84" s="3333">
        <v>349023</v>
      </c>
      <c r="E84" s="3335">
        <v>43220</v>
      </c>
      <c r="F84" s="2579"/>
      <c r="G84" s="2533"/>
      <c r="H84" s="3328">
        <v>8357</v>
      </c>
      <c r="I84" s="3329">
        <v>26</v>
      </c>
      <c r="J84" s="3329">
        <v>5484</v>
      </c>
      <c r="K84" s="3329">
        <v>141</v>
      </c>
      <c r="L84" s="3329">
        <v>1599</v>
      </c>
      <c r="M84" s="3329">
        <v>11155</v>
      </c>
      <c r="N84" s="3329">
        <v>5046</v>
      </c>
      <c r="O84" s="3329">
        <v>3888</v>
      </c>
      <c r="P84" s="3329">
        <v>7472</v>
      </c>
      <c r="Q84" s="3330">
        <v>52</v>
      </c>
      <c r="R84" s="373"/>
      <c r="S84" s="539"/>
      <c r="T84" s="3379"/>
      <c r="U84" s="337"/>
    </row>
    <row r="85" spans="1:21">
      <c r="A85" s="219">
        <v>2000.04</v>
      </c>
      <c r="B85" s="3348">
        <v>347804</v>
      </c>
      <c r="C85" s="2579"/>
      <c r="D85" s="3333">
        <v>347804</v>
      </c>
      <c r="E85" s="3335">
        <v>43157</v>
      </c>
      <c r="F85" s="2579"/>
      <c r="G85" s="2533"/>
      <c r="H85" s="3328">
        <v>8328</v>
      </c>
      <c r="I85" s="3329">
        <v>26</v>
      </c>
      <c r="J85" s="3329">
        <v>5456</v>
      </c>
      <c r="K85" s="3329">
        <v>142</v>
      </c>
      <c r="L85" s="3329">
        <v>1592</v>
      </c>
      <c r="M85" s="3329">
        <v>11134</v>
      </c>
      <c r="N85" s="3329">
        <v>5071</v>
      </c>
      <c r="O85" s="3329">
        <v>3872</v>
      </c>
      <c r="P85" s="3329">
        <v>7484</v>
      </c>
      <c r="Q85" s="3330">
        <v>52</v>
      </c>
      <c r="R85" s="373"/>
      <c r="S85" s="539"/>
      <c r="T85" s="3379"/>
      <c r="U85" s="337"/>
    </row>
    <row r="86" spans="1:21">
      <c r="A86" s="219">
        <v>2000.05</v>
      </c>
      <c r="B86" s="3348">
        <v>347791</v>
      </c>
      <c r="C86" s="2579"/>
      <c r="D86" s="3333">
        <v>347791</v>
      </c>
      <c r="E86" s="3335">
        <v>42800</v>
      </c>
      <c r="F86" s="2579"/>
      <c r="G86" s="2533"/>
      <c r="H86" s="3328">
        <v>8254</v>
      </c>
      <c r="I86" s="3329">
        <v>26</v>
      </c>
      <c r="J86" s="3329">
        <v>5389</v>
      </c>
      <c r="K86" s="3329">
        <v>142</v>
      </c>
      <c r="L86" s="3329">
        <v>1550</v>
      </c>
      <c r="M86" s="3329">
        <v>11027</v>
      </c>
      <c r="N86" s="3329">
        <v>5049</v>
      </c>
      <c r="O86" s="3329">
        <v>3874</v>
      </c>
      <c r="P86" s="3329">
        <v>7437</v>
      </c>
      <c r="Q86" s="3330">
        <v>52</v>
      </c>
      <c r="R86" s="373"/>
      <c r="S86" s="539"/>
      <c r="T86" s="3379"/>
      <c r="U86" s="337"/>
    </row>
    <row r="87" spans="1:21">
      <c r="A87" s="219">
        <v>2000.06</v>
      </c>
      <c r="B87" s="3348">
        <v>347447</v>
      </c>
      <c r="C87" s="2579"/>
      <c r="D87" s="3333">
        <v>347447</v>
      </c>
      <c r="E87" s="3335">
        <v>42915</v>
      </c>
      <c r="F87" s="2579"/>
      <c r="G87" s="2533"/>
      <c r="H87" s="3328">
        <v>8263</v>
      </c>
      <c r="I87" s="3329">
        <v>26</v>
      </c>
      <c r="J87" s="3329">
        <v>5393</v>
      </c>
      <c r="K87" s="3329">
        <v>142</v>
      </c>
      <c r="L87" s="3329">
        <v>1559</v>
      </c>
      <c r="M87" s="3329">
        <v>11038</v>
      </c>
      <c r="N87" s="3329">
        <v>5117</v>
      </c>
      <c r="O87" s="3329">
        <v>3884</v>
      </c>
      <c r="P87" s="3329">
        <v>7441</v>
      </c>
      <c r="Q87" s="3330">
        <v>52</v>
      </c>
      <c r="R87" s="373"/>
      <c r="S87" s="539"/>
      <c r="T87" s="3379"/>
      <c r="U87" s="337"/>
    </row>
    <row r="88" spans="1:21">
      <c r="A88" s="219">
        <v>2000.07</v>
      </c>
      <c r="B88" s="3348">
        <v>346301</v>
      </c>
      <c r="C88" s="2579"/>
      <c r="D88" s="3333">
        <v>346301</v>
      </c>
      <c r="E88" s="3335">
        <v>42861</v>
      </c>
      <c r="F88" s="2579"/>
      <c r="G88" s="2533"/>
      <c r="H88" s="3328">
        <v>8264</v>
      </c>
      <c r="I88" s="3329">
        <v>26</v>
      </c>
      <c r="J88" s="3329">
        <v>5376</v>
      </c>
      <c r="K88" s="3329">
        <v>143</v>
      </c>
      <c r="L88" s="3329">
        <v>1563</v>
      </c>
      <c r="M88" s="3329">
        <v>10999</v>
      </c>
      <c r="N88" s="3329">
        <v>5120</v>
      </c>
      <c r="O88" s="3329">
        <v>3888</v>
      </c>
      <c r="P88" s="3329">
        <v>7430</v>
      </c>
      <c r="Q88" s="3330">
        <v>52</v>
      </c>
      <c r="R88" s="373"/>
      <c r="S88" s="539"/>
      <c r="T88" s="3379"/>
      <c r="U88" s="337"/>
    </row>
    <row r="89" spans="1:21">
      <c r="A89" s="219">
        <v>2000.08</v>
      </c>
      <c r="B89" s="3348">
        <v>346613</v>
      </c>
      <c r="C89" s="2579"/>
      <c r="D89" s="3333">
        <v>346613</v>
      </c>
      <c r="E89" s="3335">
        <v>42714</v>
      </c>
      <c r="F89" s="2579"/>
      <c r="G89" s="2533"/>
      <c r="H89" s="3328">
        <v>8223</v>
      </c>
      <c r="I89" s="3329">
        <v>26</v>
      </c>
      <c r="J89" s="3329">
        <v>5335</v>
      </c>
      <c r="K89" s="3329">
        <v>143</v>
      </c>
      <c r="L89" s="3329">
        <v>1548</v>
      </c>
      <c r="M89" s="3329">
        <v>10949</v>
      </c>
      <c r="N89" s="3329">
        <v>5127</v>
      </c>
      <c r="O89" s="3329">
        <v>3896</v>
      </c>
      <c r="P89" s="3329">
        <v>7415</v>
      </c>
      <c r="Q89" s="3330">
        <v>52</v>
      </c>
      <c r="R89" s="373"/>
      <c r="S89" s="539"/>
      <c r="T89" s="3379"/>
      <c r="U89" s="337"/>
    </row>
    <row r="90" spans="1:21">
      <c r="A90" s="219">
        <v>2000.09</v>
      </c>
      <c r="B90" s="3348">
        <v>347791</v>
      </c>
      <c r="C90" s="2579"/>
      <c r="D90" s="3333">
        <v>347791</v>
      </c>
      <c r="E90" s="3335">
        <v>42876</v>
      </c>
      <c r="F90" s="2579"/>
      <c r="G90" s="2533"/>
      <c r="H90" s="3328">
        <v>8251</v>
      </c>
      <c r="I90" s="3329">
        <v>28</v>
      </c>
      <c r="J90" s="3329">
        <v>5335</v>
      </c>
      <c r="K90" s="3329">
        <v>143</v>
      </c>
      <c r="L90" s="3329">
        <v>1559</v>
      </c>
      <c r="M90" s="3329">
        <v>10995</v>
      </c>
      <c r="N90" s="3329">
        <v>5161</v>
      </c>
      <c r="O90" s="3329">
        <v>3908</v>
      </c>
      <c r="P90" s="3329">
        <v>7445</v>
      </c>
      <c r="Q90" s="3330">
        <v>51</v>
      </c>
      <c r="R90" s="373"/>
      <c r="S90" s="539"/>
      <c r="T90" s="3379"/>
      <c r="U90" s="337"/>
    </row>
    <row r="91" spans="1:21">
      <c r="A91" s="219">
        <v>2000.1</v>
      </c>
      <c r="B91" s="3348">
        <v>348867</v>
      </c>
      <c r="C91" s="2579"/>
      <c r="D91" s="3333">
        <v>348867</v>
      </c>
      <c r="E91" s="3335">
        <v>42873</v>
      </c>
      <c r="F91" s="2579"/>
      <c r="G91" s="2533"/>
      <c r="H91" s="3328">
        <v>8250</v>
      </c>
      <c r="I91" s="3329">
        <v>29</v>
      </c>
      <c r="J91" s="3329">
        <v>5318</v>
      </c>
      <c r="K91" s="3329">
        <v>143</v>
      </c>
      <c r="L91" s="3329">
        <v>1572</v>
      </c>
      <c r="M91" s="3329">
        <v>10943</v>
      </c>
      <c r="N91" s="3329">
        <v>5209</v>
      </c>
      <c r="O91" s="3329">
        <v>3902</v>
      </c>
      <c r="P91" s="3329">
        <v>7456</v>
      </c>
      <c r="Q91" s="3330">
        <v>51</v>
      </c>
      <c r="R91" s="373"/>
      <c r="S91" s="539"/>
      <c r="T91" s="3379"/>
      <c r="U91" s="337"/>
    </row>
    <row r="92" spans="1:21">
      <c r="A92" s="219">
        <v>2000.11</v>
      </c>
      <c r="B92" s="3348">
        <v>350116</v>
      </c>
      <c r="C92" s="2579"/>
      <c r="D92" s="3333">
        <v>350116</v>
      </c>
      <c r="E92" s="3335">
        <v>42991</v>
      </c>
      <c r="F92" s="2579"/>
      <c r="G92" s="2533"/>
      <c r="H92" s="3328">
        <v>8275</v>
      </c>
      <c r="I92" s="3329">
        <v>31</v>
      </c>
      <c r="J92" s="3329">
        <v>5329</v>
      </c>
      <c r="K92" s="3329">
        <v>143</v>
      </c>
      <c r="L92" s="3329">
        <v>1560</v>
      </c>
      <c r="M92" s="3329">
        <v>10994</v>
      </c>
      <c r="N92" s="3329">
        <v>5221</v>
      </c>
      <c r="O92" s="3329">
        <v>3914</v>
      </c>
      <c r="P92" s="3329">
        <v>7473</v>
      </c>
      <c r="Q92" s="3330">
        <v>51</v>
      </c>
      <c r="R92" s="373"/>
      <c r="S92" s="539"/>
      <c r="T92" s="3379"/>
      <c r="U92" s="337"/>
    </row>
    <row r="93" spans="1:21">
      <c r="A93" s="219">
        <v>2000.12</v>
      </c>
      <c r="B93" s="3348">
        <v>350920</v>
      </c>
      <c r="C93" s="2579"/>
      <c r="D93" s="3333">
        <v>350920</v>
      </c>
      <c r="E93" s="3335">
        <v>43184</v>
      </c>
      <c r="F93" s="2579"/>
      <c r="G93" s="2533"/>
      <c r="H93" s="3328">
        <v>8323</v>
      </c>
      <c r="I93" s="3329">
        <v>31</v>
      </c>
      <c r="J93" s="3329">
        <v>5333</v>
      </c>
      <c r="K93" s="3329">
        <v>143</v>
      </c>
      <c r="L93" s="3329">
        <v>1572</v>
      </c>
      <c r="M93" s="3329">
        <v>11047</v>
      </c>
      <c r="N93" s="3329">
        <v>5260</v>
      </c>
      <c r="O93" s="3329">
        <v>3936</v>
      </c>
      <c r="P93" s="3329">
        <v>7488</v>
      </c>
      <c r="Q93" s="3330">
        <v>51</v>
      </c>
      <c r="R93" s="373"/>
      <c r="S93" s="539"/>
      <c r="T93" s="3379"/>
      <c r="U93" s="337"/>
    </row>
    <row r="94" spans="1:21">
      <c r="A94" s="219">
        <v>2001.01</v>
      </c>
      <c r="B94" s="3348">
        <v>350849</v>
      </c>
      <c r="C94" s="2579"/>
      <c r="D94" s="3333">
        <v>350849</v>
      </c>
      <c r="E94" s="3335">
        <v>43221</v>
      </c>
      <c r="F94" s="2579"/>
      <c r="G94" s="3347"/>
      <c r="H94" s="3328">
        <v>8334</v>
      </c>
      <c r="I94" s="3329">
        <v>30</v>
      </c>
      <c r="J94" s="3329">
        <v>5335</v>
      </c>
      <c r="K94" s="3329">
        <v>143</v>
      </c>
      <c r="L94" s="3329">
        <v>1582</v>
      </c>
      <c r="M94" s="3329">
        <v>11054</v>
      </c>
      <c r="N94" s="3329">
        <v>5262</v>
      </c>
      <c r="O94" s="3329">
        <v>3944</v>
      </c>
      <c r="P94" s="3329">
        <v>7486</v>
      </c>
      <c r="Q94" s="3330">
        <v>51</v>
      </c>
      <c r="R94" s="373"/>
      <c r="S94" s="539"/>
      <c r="T94" s="3379"/>
      <c r="U94" s="337"/>
    </row>
    <row r="95" spans="1:21">
      <c r="A95" s="219">
        <v>2001.02</v>
      </c>
      <c r="B95" s="3348">
        <v>349105</v>
      </c>
      <c r="C95" s="2579"/>
      <c r="D95" s="3333">
        <v>349105</v>
      </c>
      <c r="E95" s="3335">
        <v>42123</v>
      </c>
      <c r="F95" s="2579"/>
      <c r="G95" s="3347"/>
      <c r="H95" s="3328">
        <v>8189</v>
      </c>
      <c r="I95" s="3329">
        <v>30</v>
      </c>
      <c r="J95" s="3329">
        <v>5153</v>
      </c>
      <c r="K95" s="3329">
        <v>138</v>
      </c>
      <c r="L95" s="3329">
        <v>1532</v>
      </c>
      <c r="M95" s="3329">
        <v>10700</v>
      </c>
      <c r="N95" s="3329">
        <v>5094</v>
      </c>
      <c r="O95" s="3329">
        <v>3881</v>
      </c>
      <c r="P95" s="3329">
        <v>7355</v>
      </c>
      <c r="Q95" s="3330">
        <v>51</v>
      </c>
      <c r="R95" s="373"/>
      <c r="S95" s="539"/>
      <c r="T95" s="3379"/>
      <c r="U95" s="337"/>
    </row>
    <row r="96" spans="1:21">
      <c r="A96" s="219">
        <v>2001.03</v>
      </c>
      <c r="B96" s="3348">
        <v>349498</v>
      </c>
      <c r="C96" s="2579"/>
      <c r="D96" s="3333">
        <v>349498</v>
      </c>
      <c r="E96" s="3335">
        <v>42006</v>
      </c>
      <c r="F96" s="2579"/>
      <c r="G96" s="3347"/>
      <c r="H96" s="3328">
        <v>8241</v>
      </c>
      <c r="I96" s="3329">
        <v>31</v>
      </c>
      <c r="J96" s="3329">
        <v>5172</v>
      </c>
      <c r="K96" s="3329">
        <v>141</v>
      </c>
      <c r="L96" s="3329">
        <v>1536</v>
      </c>
      <c r="M96" s="3329">
        <v>10723</v>
      </c>
      <c r="N96" s="3329">
        <v>4785</v>
      </c>
      <c r="O96" s="3329">
        <v>3928</v>
      </c>
      <c r="P96" s="3329">
        <v>7398</v>
      </c>
      <c r="Q96" s="3330">
        <v>51</v>
      </c>
      <c r="R96" s="373"/>
      <c r="S96" s="539"/>
      <c r="T96" s="3379"/>
      <c r="U96" s="337"/>
    </row>
    <row r="97" spans="1:21">
      <c r="A97" s="219">
        <v>2001.04</v>
      </c>
      <c r="B97" s="3348">
        <v>347187</v>
      </c>
      <c r="C97" s="2579"/>
      <c r="D97" s="3333">
        <v>347187</v>
      </c>
      <c r="E97" s="3335">
        <v>42139</v>
      </c>
      <c r="F97" s="2579"/>
      <c r="G97" s="3347"/>
      <c r="H97" s="3328">
        <v>8264</v>
      </c>
      <c r="I97" s="3329">
        <v>31</v>
      </c>
      <c r="J97" s="3329">
        <v>5189</v>
      </c>
      <c r="K97" s="3329">
        <v>141</v>
      </c>
      <c r="L97" s="3329">
        <v>1525</v>
      </c>
      <c r="M97" s="3329">
        <v>10756</v>
      </c>
      <c r="N97" s="3329">
        <v>4827</v>
      </c>
      <c r="O97" s="3329">
        <v>3943</v>
      </c>
      <c r="P97" s="3329">
        <v>7412</v>
      </c>
      <c r="Q97" s="3330">
        <v>51</v>
      </c>
      <c r="R97" s="373"/>
      <c r="S97" s="539"/>
      <c r="T97" s="3379"/>
      <c r="U97" s="337"/>
    </row>
    <row r="98" spans="1:21">
      <c r="A98" s="219">
        <v>2001.05</v>
      </c>
      <c r="B98" s="3348">
        <v>337386</v>
      </c>
      <c r="C98" s="2579"/>
      <c r="D98" s="3333">
        <v>337386</v>
      </c>
      <c r="E98" s="3335">
        <v>41763</v>
      </c>
      <c r="F98" s="2579"/>
      <c r="G98" s="3347"/>
      <c r="H98" s="3328">
        <v>8222</v>
      </c>
      <c r="I98" s="3329">
        <v>30</v>
      </c>
      <c r="J98" s="3329">
        <v>5124</v>
      </c>
      <c r="K98" s="3329">
        <v>142</v>
      </c>
      <c r="L98" s="3329">
        <v>1510</v>
      </c>
      <c r="M98" s="3329">
        <v>10612</v>
      </c>
      <c r="N98" s="3329">
        <v>4754</v>
      </c>
      <c r="O98" s="3329">
        <v>3940</v>
      </c>
      <c r="P98" s="3329">
        <v>7379</v>
      </c>
      <c r="Q98" s="3330">
        <v>50</v>
      </c>
      <c r="R98" s="373"/>
      <c r="S98" s="539"/>
      <c r="T98" s="3379"/>
      <c r="U98" s="337"/>
    </row>
    <row r="99" spans="1:21">
      <c r="A99" s="219">
        <v>2001.06</v>
      </c>
      <c r="B99" s="3348">
        <v>346965</v>
      </c>
      <c r="C99" s="2579"/>
      <c r="D99" s="3333">
        <v>346965</v>
      </c>
      <c r="E99" s="3335">
        <v>41829</v>
      </c>
      <c r="F99" s="2579"/>
      <c r="G99" s="3347"/>
      <c r="H99" s="3328">
        <v>8239</v>
      </c>
      <c r="I99" s="3329">
        <v>30</v>
      </c>
      <c r="J99" s="3329">
        <v>5123</v>
      </c>
      <c r="K99" s="3329">
        <v>142</v>
      </c>
      <c r="L99" s="3329">
        <v>1507</v>
      </c>
      <c r="M99" s="3329">
        <v>10615</v>
      </c>
      <c r="N99" s="3329">
        <v>4788</v>
      </c>
      <c r="O99" s="3329">
        <v>3949</v>
      </c>
      <c r="P99" s="3329">
        <v>7387</v>
      </c>
      <c r="Q99" s="3330">
        <v>49</v>
      </c>
      <c r="R99" s="373"/>
      <c r="S99" s="539"/>
      <c r="T99" s="3379"/>
      <c r="U99" s="337"/>
    </row>
    <row r="100" spans="1:21">
      <c r="A100" s="219">
        <v>2001.07</v>
      </c>
      <c r="B100" s="3348">
        <v>346562</v>
      </c>
      <c r="C100" s="2579"/>
      <c r="D100" s="3333">
        <v>346562</v>
      </c>
      <c r="E100" s="3335">
        <v>41439</v>
      </c>
      <c r="F100" s="2579"/>
      <c r="G100" s="3347"/>
      <c r="H100" s="3328">
        <v>8195</v>
      </c>
      <c r="I100" s="3329">
        <v>26</v>
      </c>
      <c r="J100" s="3329">
        <v>5031</v>
      </c>
      <c r="K100" s="3329">
        <v>141</v>
      </c>
      <c r="L100" s="3329">
        <v>1477</v>
      </c>
      <c r="M100" s="3329">
        <v>10485</v>
      </c>
      <c r="N100" s="3329">
        <v>4749</v>
      </c>
      <c r="O100" s="3329">
        <v>3930</v>
      </c>
      <c r="P100" s="3329">
        <v>7358</v>
      </c>
      <c r="Q100" s="3330">
        <v>47</v>
      </c>
      <c r="R100" s="373"/>
      <c r="S100" s="539"/>
      <c r="T100" s="3379"/>
      <c r="U100" s="337"/>
    </row>
    <row r="101" spans="1:21">
      <c r="A101" s="219">
        <v>2001.08</v>
      </c>
      <c r="B101" s="3348">
        <v>343961</v>
      </c>
      <c r="C101" s="2579"/>
      <c r="D101" s="3333">
        <v>343961</v>
      </c>
      <c r="E101" s="3335">
        <v>41244</v>
      </c>
      <c r="F101" s="2579"/>
      <c r="G101" s="3347"/>
      <c r="H101" s="3328">
        <v>8176</v>
      </c>
      <c r="I101" s="3329">
        <v>26</v>
      </c>
      <c r="J101" s="3329">
        <v>4990</v>
      </c>
      <c r="K101" s="3329">
        <v>141</v>
      </c>
      <c r="L101" s="3329">
        <v>1462</v>
      </c>
      <c r="M101" s="3329">
        <v>10399</v>
      </c>
      <c r="N101" s="3329">
        <v>4755</v>
      </c>
      <c r="O101" s="3329">
        <v>3924</v>
      </c>
      <c r="P101" s="3329">
        <v>7325</v>
      </c>
      <c r="Q101" s="3330">
        <v>46</v>
      </c>
      <c r="R101" s="373"/>
      <c r="S101" s="539"/>
      <c r="T101" s="3379"/>
      <c r="U101" s="337"/>
    </row>
    <row r="102" spans="1:21">
      <c r="A102" s="219">
        <v>2001.09</v>
      </c>
      <c r="B102" s="3348">
        <v>342257</v>
      </c>
      <c r="C102" s="2579"/>
      <c r="D102" s="3333">
        <v>342257</v>
      </c>
      <c r="E102" s="3335">
        <v>41342</v>
      </c>
      <c r="F102" s="2579"/>
      <c r="G102" s="3347"/>
      <c r="H102" s="3328">
        <v>8185</v>
      </c>
      <c r="I102" s="3329">
        <v>26</v>
      </c>
      <c r="J102" s="3329">
        <v>4978</v>
      </c>
      <c r="K102" s="3329">
        <v>142</v>
      </c>
      <c r="L102" s="3329">
        <v>1471</v>
      </c>
      <c r="M102" s="3329">
        <v>10426</v>
      </c>
      <c r="N102" s="3329">
        <v>4780</v>
      </c>
      <c r="O102" s="3329">
        <v>3940</v>
      </c>
      <c r="P102" s="3329">
        <v>7348</v>
      </c>
      <c r="Q102" s="3330">
        <v>46</v>
      </c>
      <c r="R102" s="373"/>
      <c r="S102" s="539"/>
      <c r="T102" s="3379"/>
      <c r="U102" s="337"/>
    </row>
    <row r="103" spans="1:21">
      <c r="A103" s="219">
        <v>2001.1</v>
      </c>
      <c r="B103" s="3348">
        <v>340234</v>
      </c>
      <c r="C103" s="2579"/>
      <c r="D103" s="3333">
        <v>340234</v>
      </c>
      <c r="E103" s="3335">
        <v>41418</v>
      </c>
      <c r="F103" s="2579"/>
      <c r="G103" s="3347"/>
      <c r="H103" s="3328">
        <v>8201</v>
      </c>
      <c r="I103" s="3329">
        <v>26</v>
      </c>
      <c r="J103" s="3329">
        <v>4978</v>
      </c>
      <c r="K103" s="3329">
        <v>143</v>
      </c>
      <c r="L103" s="3329">
        <v>1471</v>
      </c>
      <c r="M103" s="3329">
        <v>10448</v>
      </c>
      <c r="N103" s="3329">
        <v>4804</v>
      </c>
      <c r="O103" s="3329">
        <v>3947</v>
      </c>
      <c r="P103" s="3329">
        <v>7354</v>
      </c>
      <c r="Q103" s="3330">
        <v>46</v>
      </c>
      <c r="R103" s="373"/>
      <c r="S103" s="539"/>
      <c r="T103" s="3379"/>
      <c r="U103" s="337"/>
    </row>
    <row r="104" spans="1:21">
      <c r="A104" s="219">
        <v>2001.11</v>
      </c>
      <c r="B104" s="3348">
        <v>334892</v>
      </c>
      <c r="C104" s="2579"/>
      <c r="D104" s="3333">
        <v>334892</v>
      </c>
      <c r="E104" s="3335">
        <v>40987</v>
      </c>
      <c r="F104" s="2579"/>
      <c r="G104" s="3347"/>
      <c r="H104" s="3328">
        <v>8157</v>
      </c>
      <c r="I104" s="3329">
        <v>27</v>
      </c>
      <c r="J104" s="3329">
        <v>4862</v>
      </c>
      <c r="K104" s="3329">
        <v>142</v>
      </c>
      <c r="L104" s="3329">
        <v>1446</v>
      </c>
      <c r="M104" s="3329">
        <v>10347</v>
      </c>
      <c r="N104" s="3329">
        <v>4734</v>
      </c>
      <c r="O104" s="3329">
        <v>3922</v>
      </c>
      <c r="P104" s="3329">
        <v>7304</v>
      </c>
      <c r="Q104" s="3330">
        <v>46</v>
      </c>
      <c r="R104" s="373"/>
      <c r="S104" s="539"/>
      <c r="T104" s="3379"/>
      <c r="U104" s="337"/>
    </row>
    <row r="105" spans="1:21">
      <c r="A105" s="219">
        <v>2001.12</v>
      </c>
      <c r="B105" s="3348">
        <v>330276</v>
      </c>
      <c r="C105" s="2579"/>
      <c r="D105" s="3333">
        <v>330276</v>
      </c>
      <c r="E105" s="3335">
        <v>40418</v>
      </c>
      <c r="F105" s="2579"/>
      <c r="G105" s="3347"/>
      <c r="H105" s="3328">
        <v>8034</v>
      </c>
      <c r="I105" s="3329">
        <v>27</v>
      </c>
      <c r="J105" s="3329">
        <v>4740</v>
      </c>
      <c r="K105" s="3329">
        <v>142</v>
      </c>
      <c r="L105" s="3329">
        <v>1443</v>
      </c>
      <c r="M105" s="3329">
        <v>10154</v>
      </c>
      <c r="N105" s="3329">
        <v>4722</v>
      </c>
      <c r="O105" s="3329">
        <v>3888</v>
      </c>
      <c r="P105" s="3329">
        <v>7222</v>
      </c>
      <c r="Q105" s="3330">
        <v>46</v>
      </c>
      <c r="R105" s="373"/>
      <c r="S105" s="539"/>
      <c r="T105" s="3379"/>
      <c r="U105" s="337"/>
    </row>
    <row r="106" spans="1:21">
      <c r="A106" s="219">
        <v>2002.01</v>
      </c>
      <c r="B106" s="3348">
        <v>325189</v>
      </c>
      <c r="C106" s="2579"/>
      <c r="D106" s="3333">
        <v>325189</v>
      </c>
      <c r="E106" s="3335">
        <v>40291</v>
      </c>
      <c r="F106" s="2579"/>
      <c r="G106" s="3347"/>
      <c r="H106" s="3328">
        <v>8030</v>
      </c>
      <c r="I106" s="3329">
        <v>27</v>
      </c>
      <c r="J106" s="3329">
        <v>4674</v>
      </c>
      <c r="K106" s="3329">
        <v>142</v>
      </c>
      <c r="L106" s="3329">
        <v>1433</v>
      </c>
      <c r="M106" s="3329">
        <v>10146</v>
      </c>
      <c r="N106" s="3329">
        <v>4711</v>
      </c>
      <c r="O106" s="3329">
        <v>3862</v>
      </c>
      <c r="P106" s="3329">
        <v>7220</v>
      </c>
      <c r="Q106" s="3330">
        <v>46</v>
      </c>
      <c r="R106" s="373"/>
      <c r="S106" s="539"/>
      <c r="T106" s="3379"/>
      <c r="U106" s="337"/>
    </row>
    <row r="107" spans="1:21">
      <c r="A107" s="219">
        <v>2002.02</v>
      </c>
      <c r="B107" s="3348">
        <v>318103</v>
      </c>
      <c r="C107" s="2579"/>
      <c r="D107" s="3333">
        <v>318103</v>
      </c>
      <c r="E107" s="3335">
        <v>39973</v>
      </c>
      <c r="F107" s="2579"/>
      <c r="G107" s="3347"/>
      <c r="H107" s="3328">
        <v>7979</v>
      </c>
      <c r="I107" s="3329">
        <v>27</v>
      </c>
      <c r="J107" s="3329">
        <v>4599</v>
      </c>
      <c r="K107" s="3329">
        <v>143</v>
      </c>
      <c r="L107" s="3329">
        <v>1405</v>
      </c>
      <c r="M107" s="3329">
        <v>10063</v>
      </c>
      <c r="N107" s="3329">
        <v>4655</v>
      </c>
      <c r="O107" s="3329">
        <v>3863</v>
      </c>
      <c r="P107" s="3329">
        <v>7194</v>
      </c>
      <c r="Q107" s="3330">
        <v>45</v>
      </c>
      <c r="R107" s="373"/>
      <c r="S107" s="539"/>
      <c r="T107" s="3379"/>
      <c r="U107" s="337"/>
    </row>
    <row r="108" spans="1:21">
      <c r="A108" s="219">
        <v>2002.03</v>
      </c>
      <c r="B108" s="3348">
        <v>312796</v>
      </c>
      <c r="C108" s="2579"/>
      <c r="D108" s="3333">
        <v>312796</v>
      </c>
      <c r="E108" s="3335">
        <v>39760</v>
      </c>
      <c r="F108" s="2579"/>
      <c r="G108" s="3347"/>
      <c r="H108" s="3328">
        <v>7993</v>
      </c>
      <c r="I108" s="3329">
        <v>26</v>
      </c>
      <c r="J108" s="3329">
        <v>4533</v>
      </c>
      <c r="K108" s="3329">
        <v>142</v>
      </c>
      <c r="L108" s="3329">
        <v>1386</v>
      </c>
      <c r="M108" s="3329">
        <v>9982</v>
      </c>
      <c r="N108" s="3329">
        <v>4625</v>
      </c>
      <c r="O108" s="3329">
        <v>3854</v>
      </c>
      <c r="P108" s="3329">
        <v>7175</v>
      </c>
      <c r="Q108" s="3330">
        <v>44</v>
      </c>
      <c r="R108" s="373"/>
      <c r="S108" s="539"/>
      <c r="T108" s="3379"/>
      <c r="U108" s="337"/>
    </row>
    <row r="109" spans="1:21">
      <c r="A109" s="219">
        <v>2002.04</v>
      </c>
      <c r="B109" s="3348">
        <v>307199</v>
      </c>
      <c r="C109" s="2579"/>
      <c r="D109" s="3333">
        <v>307199</v>
      </c>
      <c r="E109" s="3335">
        <v>39575</v>
      </c>
      <c r="F109" s="2579"/>
      <c r="G109" s="3347"/>
      <c r="H109" s="3328">
        <v>8023</v>
      </c>
      <c r="I109" s="3329">
        <v>25</v>
      </c>
      <c r="J109" s="3329">
        <v>4466</v>
      </c>
      <c r="K109" s="3329">
        <v>142</v>
      </c>
      <c r="L109" s="3329">
        <v>1367</v>
      </c>
      <c r="M109" s="3329">
        <v>9888</v>
      </c>
      <c r="N109" s="3329">
        <v>4633</v>
      </c>
      <c r="O109" s="3329">
        <v>3845</v>
      </c>
      <c r="P109" s="3329">
        <v>7142</v>
      </c>
      <c r="Q109" s="3330">
        <v>44</v>
      </c>
      <c r="R109" s="373"/>
      <c r="S109" s="539"/>
      <c r="T109" s="3379"/>
      <c r="U109" s="337"/>
    </row>
    <row r="110" spans="1:21">
      <c r="A110" s="219">
        <v>2002.05</v>
      </c>
      <c r="B110" s="3348">
        <v>302772</v>
      </c>
      <c r="C110" s="2579"/>
      <c r="D110" s="3333">
        <v>302772</v>
      </c>
      <c r="E110" s="3335">
        <v>39194</v>
      </c>
      <c r="F110" s="2579"/>
      <c r="G110" s="3347"/>
      <c r="H110" s="3328">
        <v>7986</v>
      </c>
      <c r="I110" s="3329">
        <v>25</v>
      </c>
      <c r="J110" s="3329">
        <v>4398</v>
      </c>
      <c r="K110" s="3329">
        <v>142</v>
      </c>
      <c r="L110" s="3329">
        <v>1336</v>
      </c>
      <c r="M110" s="3329">
        <v>9787</v>
      </c>
      <c r="N110" s="3329">
        <v>4573</v>
      </c>
      <c r="O110" s="3329">
        <v>3821</v>
      </c>
      <c r="P110" s="3329">
        <v>7082</v>
      </c>
      <c r="Q110" s="3330">
        <v>44</v>
      </c>
      <c r="R110" s="373"/>
      <c r="S110" s="539"/>
      <c r="T110" s="3379"/>
      <c r="U110" s="337"/>
    </row>
    <row r="111" spans="1:21">
      <c r="A111" s="219">
        <v>2002.06</v>
      </c>
      <c r="B111" s="3348">
        <v>301171</v>
      </c>
      <c r="C111" s="2579"/>
      <c r="D111" s="3333">
        <v>301171</v>
      </c>
      <c r="E111" s="3335">
        <v>39137</v>
      </c>
      <c r="F111" s="2579"/>
      <c r="G111" s="3347"/>
      <c r="H111" s="3328">
        <v>8005</v>
      </c>
      <c r="I111" s="3329">
        <v>24</v>
      </c>
      <c r="J111" s="3329">
        <v>4346</v>
      </c>
      <c r="K111" s="3329">
        <v>143</v>
      </c>
      <c r="L111" s="3329">
        <v>1320</v>
      </c>
      <c r="M111" s="3329">
        <v>9775</v>
      </c>
      <c r="N111" s="3329">
        <v>4569</v>
      </c>
      <c r="O111" s="3329">
        <v>3824</v>
      </c>
      <c r="P111" s="3329">
        <v>7089</v>
      </c>
      <c r="Q111" s="3330">
        <v>42</v>
      </c>
      <c r="R111" s="373"/>
      <c r="S111" s="539"/>
      <c r="T111" s="3379"/>
      <c r="U111" s="337"/>
    </row>
    <row r="112" spans="1:21">
      <c r="A112" s="219">
        <v>2002.07</v>
      </c>
      <c r="B112" s="3348">
        <v>302334</v>
      </c>
      <c r="C112" s="2579"/>
      <c r="D112" s="3333">
        <v>302334</v>
      </c>
      <c r="E112" s="3335">
        <v>38713</v>
      </c>
      <c r="F112" s="2579"/>
      <c r="G112" s="3347"/>
      <c r="H112" s="3328">
        <v>8006</v>
      </c>
      <c r="I112" s="3329">
        <v>25</v>
      </c>
      <c r="J112" s="3329">
        <v>4276</v>
      </c>
      <c r="K112" s="3329">
        <v>142</v>
      </c>
      <c r="L112" s="3329">
        <v>1309</v>
      </c>
      <c r="M112" s="3329">
        <v>9591</v>
      </c>
      <c r="N112" s="3329">
        <v>4480</v>
      </c>
      <c r="O112" s="3329">
        <v>3796</v>
      </c>
      <c r="P112" s="3329">
        <v>7046</v>
      </c>
      <c r="Q112" s="3330">
        <v>42</v>
      </c>
      <c r="R112" s="373"/>
      <c r="S112" s="539"/>
      <c r="T112" s="3379"/>
      <c r="U112" s="337"/>
    </row>
    <row r="113" spans="1:21">
      <c r="A113" s="219">
        <v>2002.08</v>
      </c>
      <c r="B113" s="3348">
        <v>301101</v>
      </c>
      <c r="C113" s="2579"/>
      <c r="D113" s="3333">
        <v>301101</v>
      </c>
      <c r="E113" s="3335">
        <v>38623</v>
      </c>
      <c r="F113" s="2579"/>
      <c r="G113" s="3347"/>
      <c r="H113" s="3328">
        <v>7994</v>
      </c>
      <c r="I113" s="3329">
        <v>27</v>
      </c>
      <c r="J113" s="3329">
        <v>4279</v>
      </c>
      <c r="K113" s="3329">
        <v>144</v>
      </c>
      <c r="L113" s="3329">
        <v>1307</v>
      </c>
      <c r="M113" s="3329">
        <v>9555</v>
      </c>
      <c r="N113" s="3329">
        <v>4462</v>
      </c>
      <c r="O113" s="3329">
        <v>3785</v>
      </c>
      <c r="P113" s="3329">
        <v>7028</v>
      </c>
      <c r="Q113" s="3330">
        <v>42</v>
      </c>
      <c r="R113" s="373"/>
      <c r="S113" s="539"/>
      <c r="T113" s="3379"/>
      <c r="U113" s="337"/>
    </row>
    <row r="114" spans="1:21">
      <c r="A114" s="219">
        <v>2002.09</v>
      </c>
      <c r="B114" s="3348">
        <v>302304</v>
      </c>
      <c r="C114" s="2579"/>
      <c r="D114" s="3333">
        <v>302304</v>
      </c>
      <c r="E114" s="3335">
        <v>38894</v>
      </c>
      <c r="F114" s="2579"/>
      <c r="G114" s="3347"/>
      <c r="H114" s="3328">
        <v>8058</v>
      </c>
      <c r="I114" s="3329">
        <v>29</v>
      </c>
      <c r="J114" s="3329">
        <v>4315</v>
      </c>
      <c r="K114" s="3329">
        <v>144</v>
      </c>
      <c r="L114" s="3329">
        <v>1314</v>
      </c>
      <c r="M114" s="3329">
        <v>9624</v>
      </c>
      <c r="N114" s="3329">
        <v>4501</v>
      </c>
      <c r="O114" s="3329">
        <v>3808</v>
      </c>
      <c r="P114" s="3329">
        <v>7059</v>
      </c>
      <c r="Q114" s="3330">
        <v>42</v>
      </c>
      <c r="R114" s="373"/>
      <c r="S114" s="539"/>
      <c r="T114" s="3379"/>
      <c r="U114" s="337"/>
    </row>
    <row r="115" spans="1:21">
      <c r="A115" s="219">
        <v>2002.1</v>
      </c>
      <c r="B115" s="3348">
        <v>303612</v>
      </c>
      <c r="C115" s="2579"/>
      <c r="D115" s="3333">
        <v>303612</v>
      </c>
      <c r="E115" s="3335">
        <v>39177</v>
      </c>
      <c r="F115" s="2579"/>
      <c r="G115" s="3347"/>
      <c r="H115" s="3328">
        <v>8120</v>
      </c>
      <c r="I115" s="3329">
        <v>30</v>
      </c>
      <c r="J115" s="3329">
        <v>4353</v>
      </c>
      <c r="K115" s="3329">
        <v>144</v>
      </c>
      <c r="L115" s="3329">
        <v>1327</v>
      </c>
      <c r="M115" s="3329">
        <v>9694</v>
      </c>
      <c r="N115" s="3329">
        <v>4540</v>
      </c>
      <c r="O115" s="3329">
        <v>3827</v>
      </c>
      <c r="P115" s="3329">
        <v>7100</v>
      </c>
      <c r="Q115" s="3330">
        <v>42</v>
      </c>
      <c r="R115" s="373"/>
      <c r="S115" s="539"/>
      <c r="T115" s="3379"/>
      <c r="U115" s="337"/>
    </row>
    <row r="116" spans="1:21">
      <c r="A116" s="219">
        <v>2002.11</v>
      </c>
      <c r="B116" s="3348">
        <v>306015</v>
      </c>
      <c r="C116" s="2579"/>
      <c r="D116" s="3333">
        <v>306015</v>
      </c>
      <c r="E116" s="3335">
        <v>39495</v>
      </c>
      <c r="F116" s="2579"/>
      <c r="G116" s="3347"/>
      <c r="H116" s="3328">
        <v>8209</v>
      </c>
      <c r="I116" s="3329">
        <v>31</v>
      </c>
      <c r="J116" s="3329">
        <v>4396</v>
      </c>
      <c r="K116" s="3329">
        <v>143</v>
      </c>
      <c r="L116" s="3329">
        <v>1338</v>
      </c>
      <c r="M116" s="3329">
        <v>9774</v>
      </c>
      <c r="N116" s="3329">
        <v>4580</v>
      </c>
      <c r="O116" s="3329">
        <v>3844</v>
      </c>
      <c r="P116" s="3329">
        <v>7138</v>
      </c>
      <c r="Q116" s="3330">
        <v>42</v>
      </c>
      <c r="R116" s="373"/>
      <c r="S116" s="539"/>
      <c r="T116" s="3379"/>
      <c r="U116" s="337"/>
    </row>
    <row r="117" spans="1:21">
      <c r="A117" s="219">
        <v>2002.12</v>
      </c>
      <c r="B117" s="3348">
        <v>308423</v>
      </c>
      <c r="C117" s="2579"/>
      <c r="D117" s="3333">
        <v>308423</v>
      </c>
      <c r="E117" s="3335">
        <v>39792</v>
      </c>
      <c r="F117" s="2579"/>
      <c r="G117" s="3347"/>
      <c r="H117" s="3328">
        <v>8274</v>
      </c>
      <c r="I117" s="3329">
        <v>30</v>
      </c>
      <c r="J117" s="3329">
        <v>4438</v>
      </c>
      <c r="K117" s="3329">
        <v>145</v>
      </c>
      <c r="L117" s="3329">
        <v>1342</v>
      </c>
      <c r="M117" s="3329">
        <v>9851</v>
      </c>
      <c r="N117" s="3329">
        <v>4630</v>
      </c>
      <c r="O117" s="3329">
        <v>3873</v>
      </c>
      <c r="P117" s="3329">
        <v>7167</v>
      </c>
      <c r="Q117" s="3330">
        <v>42</v>
      </c>
      <c r="R117" s="373"/>
      <c r="S117" s="539"/>
      <c r="T117" s="3379"/>
      <c r="U117" s="337"/>
    </row>
    <row r="118" spans="1:21">
      <c r="A118" s="219">
        <v>2003.01</v>
      </c>
      <c r="B118" s="3348">
        <v>310353</v>
      </c>
      <c r="C118" s="2579"/>
      <c r="D118" s="3333">
        <v>310353</v>
      </c>
      <c r="E118" s="3335">
        <v>39949</v>
      </c>
      <c r="F118" s="2579"/>
      <c r="G118" s="3347"/>
      <c r="H118" s="3328">
        <v>8348</v>
      </c>
      <c r="I118" s="3329">
        <v>31</v>
      </c>
      <c r="J118" s="3329">
        <v>4462</v>
      </c>
      <c r="K118" s="3329">
        <v>145</v>
      </c>
      <c r="L118" s="3329">
        <v>1359</v>
      </c>
      <c r="M118" s="3329">
        <v>9877</v>
      </c>
      <c r="N118" s="3329">
        <v>4611</v>
      </c>
      <c r="O118" s="3329">
        <v>3883</v>
      </c>
      <c r="P118" s="3329">
        <v>7191</v>
      </c>
      <c r="Q118" s="3330">
        <v>42</v>
      </c>
      <c r="R118" s="373"/>
      <c r="S118" s="539"/>
      <c r="T118" s="3379"/>
      <c r="U118" s="337"/>
    </row>
    <row r="119" spans="1:21">
      <c r="A119" s="219">
        <v>2003.02</v>
      </c>
      <c r="B119" s="3348">
        <v>313125</v>
      </c>
      <c r="C119" s="2579"/>
      <c r="D119" s="3333">
        <v>313125</v>
      </c>
      <c r="E119" s="3335">
        <v>40183</v>
      </c>
      <c r="F119" s="2579"/>
      <c r="G119" s="3347"/>
      <c r="H119" s="3328">
        <v>8392</v>
      </c>
      <c r="I119" s="3329">
        <v>32</v>
      </c>
      <c r="J119" s="3329">
        <v>4510</v>
      </c>
      <c r="K119" s="3329">
        <v>145</v>
      </c>
      <c r="L119" s="3329">
        <v>1364</v>
      </c>
      <c r="M119" s="3329">
        <v>9922</v>
      </c>
      <c r="N119" s="3329">
        <v>4638</v>
      </c>
      <c r="O119" s="3329">
        <v>3915</v>
      </c>
      <c r="P119" s="3329">
        <v>7223</v>
      </c>
      <c r="Q119" s="3330">
        <v>42</v>
      </c>
      <c r="R119" s="373"/>
      <c r="S119" s="539"/>
      <c r="T119" s="3379"/>
      <c r="U119" s="337"/>
    </row>
    <row r="120" spans="1:21">
      <c r="A120" s="219">
        <v>2003.03</v>
      </c>
      <c r="B120" s="3348">
        <v>315311</v>
      </c>
      <c r="C120" s="2579"/>
      <c r="D120" s="3333">
        <v>315311</v>
      </c>
      <c r="E120" s="3335">
        <v>40541</v>
      </c>
      <c r="F120" s="2579"/>
      <c r="G120" s="3347"/>
      <c r="H120" s="3328">
        <v>8460</v>
      </c>
      <c r="I120" s="3329">
        <v>32</v>
      </c>
      <c r="J120" s="3329">
        <v>4567</v>
      </c>
      <c r="K120" s="3329">
        <v>145</v>
      </c>
      <c r="L120" s="3329">
        <v>1385</v>
      </c>
      <c r="M120" s="3329">
        <v>10023</v>
      </c>
      <c r="N120" s="3329">
        <v>4706</v>
      </c>
      <c r="O120" s="3329">
        <v>3925</v>
      </c>
      <c r="P120" s="3329">
        <v>7256</v>
      </c>
      <c r="Q120" s="3330">
        <v>42</v>
      </c>
      <c r="R120" s="373"/>
      <c r="S120" s="539"/>
      <c r="T120" s="3379"/>
      <c r="U120" s="337"/>
    </row>
    <row r="121" spans="1:21">
      <c r="A121" s="219">
        <v>2003.04</v>
      </c>
      <c r="B121" s="3348">
        <v>317404</v>
      </c>
      <c r="C121" s="2579"/>
      <c r="D121" s="3333">
        <v>317404</v>
      </c>
      <c r="E121" s="3335">
        <v>41022</v>
      </c>
      <c r="F121" s="2579"/>
      <c r="G121" s="3347"/>
      <c r="H121" s="3328">
        <v>8566</v>
      </c>
      <c r="I121" s="3329">
        <v>32</v>
      </c>
      <c r="J121" s="3329">
        <v>4654</v>
      </c>
      <c r="K121" s="3329">
        <v>145</v>
      </c>
      <c r="L121" s="3329">
        <v>1404</v>
      </c>
      <c r="M121" s="3329">
        <v>10138</v>
      </c>
      <c r="N121" s="3329">
        <v>4802</v>
      </c>
      <c r="O121" s="3329">
        <v>3950</v>
      </c>
      <c r="P121" s="3329">
        <v>7290</v>
      </c>
      <c r="Q121" s="3330">
        <v>41</v>
      </c>
      <c r="R121" s="373"/>
      <c r="S121" s="539"/>
      <c r="T121" s="3379"/>
      <c r="U121" s="337"/>
    </row>
    <row r="122" spans="1:21">
      <c r="A122" s="219">
        <v>2003.05</v>
      </c>
      <c r="B122" s="3348">
        <v>321443</v>
      </c>
      <c r="C122" s="2579"/>
      <c r="D122" s="3333">
        <v>321443</v>
      </c>
      <c r="E122" s="3335">
        <v>41353</v>
      </c>
      <c r="F122" s="2579"/>
      <c r="G122" s="3347"/>
      <c r="H122" s="3328">
        <v>8611</v>
      </c>
      <c r="I122" s="3329">
        <v>32</v>
      </c>
      <c r="J122" s="3329">
        <v>4738</v>
      </c>
      <c r="K122" s="3329">
        <v>145</v>
      </c>
      <c r="L122" s="3329">
        <v>1408</v>
      </c>
      <c r="M122" s="3329">
        <v>10219</v>
      </c>
      <c r="N122" s="3329">
        <v>4850</v>
      </c>
      <c r="O122" s="3329">
        <v>3972</v>
      </c>
      <c r="P122" s="3329">
        <v>7337</v>
      </c>
      <c r="Q122" s="3330">
        <v>41</v>
      </c>
      <c r="R122" s="373"/>
      <c r="S122" s="539"/>
      <c r="T122" s="3379"/>
      <c r="U122" s="337"/>
    </row>
    <row r="123" spans="1:21">
      <c r="A123" s="219">
        <v>2003.06</v>
      </c>
      <c r="B123" s="3348">
        <v>325309</v>
      </c>
      <c r="C123" s="2579"/>
      <c r="D123" s="3333">
        <v>325309</v>
      </c>
      <c r="E123" s="3335">
        <v>41717</v>
      </c>
      <c r="F123" s="2579"/>
      <c r="G123" s="3347"/>
      <c r="H123" s="3328">
        <v>8667</v>
      </c>
      <c r="I123" s="3329">
        <v>32</v>
      </c>
      <c r="J123" s="3329">
        <v>4807</v>
      </c>
      <c r="K123" s="3329">
        <v>146</v>
      </c>
      <c r="L123" s="3329">
        <v>1419</v>
      </c>
      <c r="M123" s="3329">
        <v>10316</v>
      </c>
      <c r="N123" s="3329">
        <v>4900</v>
      </c>
      <c r="O123" s="3329">
        <v>3998</v>
      </c>
      <c r="P123" s="3329">
        <v>7391</v>
      </c>
      <c r="Q123" s="3330">
        <v>41</v>
      </c>
      <c r="R123" s="373"/>
      <c r="S123" s="539"/>
      <c r="T123" s="3379"/>
      <c r="U123" s="337"/>
    </row>
    <row r="124" spans="1:21">
      <c r="A124" s="219">
        <v>2003.07</v>
      </c>
      <c r="B124" s="3348">
        <v>326545</v>
      </c>
      <c r="C124" s="2579"/>
      <c r="D124" s="3333">
        <v>326545</v>
      </c>
      <c r="E124" s="3335">
        <v>42146</v>
      </c>
      <c r="F124" s="2579"/>
      <c r="G124" s="3347"/>
      <c r="H124" s="3328">
        <v>8728</v>
      </c>
      <c r="I124" s="3329">
        <v>33</v>
      </c>
      <c r="J124" s="3329">
        <v>4886</v>
      </c>
      <c r="K124" s="3329">
        <v>146</v>
      </c>
      <c r="L124" s="3329">
        <v>1446</v>
      </c>
      <c r="M124" s="3329">
        <v>10480</v>
      </c>
      <c r="N124" s="3329">
        <v>4941</v>
      </c>
      <c r="O124" s="3329">
        <v>4027</v>
      </c>
      <c r="P124" s="3329">
        <v>7419</v>
      </c>
      <c r="Q124" s="3330">
        <v>40</v>
      </c>
      <c r="R124" s="373"/>
      <c r="S124" s="539"/>
      <c r="T124" s="3379"/>
      <c r="U124" s="337"/>
    </row>
    <row r="125" spans="1:21">
      <c r="A125" s="219">
        <v>2003.08</v>
      </c>
      <c r="B125" s="3348">
        <v>332432</v>
      </c>
      <c r="C125" s="2579"/>
      <c r="D125" s="3333">
        <v>332432</v>
      </c>
      <c r="E125" s="3335">
        <v>42653</v>
      </c>
      <c r="F125" s="2579"/>
      <c r="G125" s="3347"/>
      <c r="H125" s="3328">
        <v>8794</v>
      </c>
      <c r="I125" s="3329">
        <v>35</v>
      </c>
      <c r="J125" s="3329">
        <v>4976</v>
      </c>
      <c r="K125" s="3329">
        <v>147</v>
      </c>
      <c r="L125" s="3329">
        <v>1474</v>
      </c>
      <c r="M125" s="3329">
        <v>10649</v>
      </c>
      <c r="N125" s="3329">
        <v>5002</v>
      </c>
      <c r="O125" s="3329">
        <v>4065</v>
      </c>
      <c r="P125" s="3329">
        <v>7471</v>
      </c>
      <c r="Q125" s="3330">
        <v>40</v>
      </c>
      <c r="R125" s="373"/>
      <c r="S125" s="539"/>
      <c r="T125" s="3379"/>
      <c r="U125" s="337"/>
    </row>
    <row r="126" spans="1:21">
      <c r="A126" s="219">
        <v>2003.09</v>
      </c>
      <c r="B126" s="3348">
        <v>336907</v>
      </c>
      <c r="C126" s="2579"/>
      <c r="D126" s="3333">
        <v>336907</v>
      </c>
      <c r="E126" s="3335">
        <v>43399</v>
      </c>
      <c r="F126" s="2579"/>
      <c r="G126" s="3347"/>
      <c r="H126" s="3328">
        <v>8868</v>
      </c>
      <c r="I126" s="3329">
        <v>36</v>
      </c>
      <c r="J126" s="3329">
        <v>5086</v>
      </c>
      <c r="K126" s="3329">
        <v>147</v>
      </c>
      <c r="L126" s="3329">
        <v>1501</v>
      </c>
      <c r="M126" s="3329">
        <v>10948</v>
      </c>
      <c r="N126" s="3329">
        <v>5097</v>
      </c>
      <c r="O126" s="3329">
        <v>4109</v>
      </c>
      <c r="P126" s="3329">
        <v>7566</v>
      </c>
      <c r="Q126" s="3330">
        <v>41</v>
      </c>
      <c r="R126" s="373"/>
      <c r="S126" s="539"/>
      <c r="T126" s="3379"/>
      <c r="U126" s="337"/>
    </row>
    <row r="127" spans="1:21">
      <c r="A127" s="219">
        <v>2003.1</v>
      </c>
      <c r="B127" s="3348">
        <v>342777</v>
      </c>
      <c r="C127" s="2579"/>
      <c r="D127" s="3333">
        <v>342777</v>
      </c>
      <c r="E127" s="3335">
        <v>44035</v>
      </c>
      <c r="F127" s="2579"/>
      <c r="G127" s="3347"/>
      <c r="H127" s="3328">
        <v>8966</v>
      </c>
      <c r="I127" s="3329">
        <v>37</v>
      </c>
      <c r="J127" s="3329">
        <v>5177</v>
      </c>
      <c r="K127" s="3329">
        <v>147</v>
      </c>
      <c r="L127" s="3329">
        <v>1528</v>
      </c>
      <c r="M127" s="3329">
        <v>11151</v>
      </c>
      <c r="N127" s="3329">
        <v>5181</v>
      </c>
      <c r="O127" s="3329">
        <v>4137</v>
      </c>
      <c r="P127" s="3329">
        <v>7671</v>
      </c>
      <c r="Q127" s="3330">
        <v>40</v>
      </c>
      <c r="R127" s="373"/>
      <c r="S127" s="539"/>
      <c r="T127" s="3379"/>
      <c r="U127" s="337"/>
    </row>
    <row r="128" spans="1:21">
      <c r="A128" s="219">
        <v>2003.11</v>
      </c>
      <c r="B128" s="3348">
        <v>348141</v>
      </c>
      <c r="C128" s="2579"/>
      <c r="D128" s="3333">
        <v>348141</v>
      </c>
      <c r="E128" s="3335">
        <v>44540</v>
      </c>
      <c r="F128" s="2579"/>
      <c r="G128" s="3347"/>
      <c r="H128" s="3328">
        <v>9037</v>
      </c>
      <c r="I128" s="3329">
        <v>36</v>
      </c>
      <c r="J128" s="3329">
        <v>5255</v>
      </c>
      <c r="K128" s="3329">
        <v>147</v>
      </c>
      <c r="L128" s="3329">
        <v>1546</v>
      </c>
      <c r="M128" s="3329">
        <v>11323</v>
      </c>
      <c r="N128" s="3329">
        <v>5272</v>
      </c>
      <c r="O128" s="3329">
        <v>4171</v>
      </c>
      <c r="P128" s="3329">
        <v>7713</v>
      </c>
      <c r="Q128" s="3330">
        <v>40</v>
      </c>
      <c r="R128" s="373"/>
      <c r="S128" s="539"/>
      <c r="T128" s="3379"/>
      <c r="U128" s="337"/>
    </row>
    <row r="129" spans="1:21">
      <c r="A129" s="219">
        <v>2003.12</v>
      </c>
      <c r="B129" s="3348">
        <v>350383</v>
      </c>
      <c r="C129" s="2579"/>
      <c r="D129" s="3333">
        <v>350383</v>
      </c>
      <c r="E129" s="3335">
        <v>45006</v>
      </c>
      <c r="F129" s="2579"/>
      <c r="G129" s="3347"/>
      <c r="H129" s="3328">
        <v>9102</v>
      </c>
      <c r="I129" s="3329">
        <v>36</v>
      </c>
      <c r="J129" s="3329">
        <v>5312</v>
      </c>
      <c r="K129" s="3329">
        <v>147</v>
      </c>
      <c r="L129" s="3329">
        <v>1570</v>
      </c>
      <c r="M129" s="3329">
        <v>11468</v>
      </c>
      <c r="N129" s="3329">
        <v>5353</v>
      </c>
      <c r="O129" s="3329">
        <v>4201</v>
      </c>
      <c r="P129" s="3329">
        <v>7777</v>
      </c>
      <c r="Q129" s="3330">
        <v>40</v>
      </c>
      <c r="R129" s="373"/>
      <c r="S129" s="539"/>
      <c r="T129" s="3379"/>
      <c r="U129" s="337"/>
    </row>
    <row r="130" spans="1:21">
      <c r="A130" s="219">
        <v>2004.01</v>
      </c>
      <c r="B130" s="3348">
        <v>357370</v>
      </c>
      <c r="C130" s="2579"/>
      <c r="D130" s="3333">
        <v>357370</v>
      </c>
      <c r="E130" s="3335">
        <v>47587</v>
      </c>
      <c r="F130" s="2579"/>
      <c r="G130" s="3347"/>
      <c r="H130" s="3328">
        <v>9509</v>
      </c>
      <c r="I130" s="3329">
        <v>37</v>
      </c>
      <c r="J130" s="3329">
        <v>5682</v>
      </c>
      <c r="K130" s="3329">
        <v>148</v>
      </c>
      <c r="L130" s="3329">
        <v>1687</v>
      </c>
      <c r="M130" s="3329">
        <v>12182</v>
      </c>
      <c r="N130" s="3329">
        <v>5832</v>
      </c>
      <c r="O130" s="3329">
        <v>4373</v>
      </c>
      <c r="P130" s="3329">
        <v>8097</v>
      </c>
      <c r="Q130" s="3330">
        <v>40</v>
      </c>
      <c r="R130" s="373"/>
      <c r="S130" s="539"/>
      <c r="T130" s="3379"/>
      <c r="U130" s="337"/>
    </row>
    <row r="131" spans="1:21">
      <c r="A131" s="219">
        <v>2004.02</v>
      </c>
      <c r="B131" s="3348">
        <v>360157</v>
      </c>
      <c r="C131" s="2579"/>
      <c r="D131" s="3333">
        <v>360157</v>
      </c>
      <c r="E131" s="3335">
        <v>47587</v>
      </c>
      <c r="F131" s="2579"/>
      <c r="G131" s="3347"/>
      <c r="H131" s="3328">
        <v>9509</v>
      </c>
      <c r="I131" s="3329">
        <v>37</v>
      </c>
      <c r="J131" s="3329">
        <v>5682</v>
      </c>
      <c r="K131" s="3329">
        <v>148</v>
      </c>
      <c r="L131" s="3329">
        <v>1687</v>
      </c>
      <c r="M131" s="3329">
        <v>12182</v>
      </c>
      <c r="N131" s="3329">
        <v>5832</v>
      </c>
      <c r="O131" s="3329">
        <v>4373</v>
      </c>
      <c r="P131" s="3329">
        <v>8097</v>
      </c>
      <c r="Q131" s="3330">
        <v>40</v>
      </c>
      <c r="R131" s="373"/>
      <c r="S131" s="539"/>
      <c r="T131" s="3379"/>
      <c r="U131" s="337"/>
    </row>
    <row r="132" spans="1:21">
      <c r="A132" s="219">
        <v>2004.03</v>
      </c>
      <c r="B132" s="3348">
        <v>361732</v>
      </c>
      <c r="C132" s="2579"/>
      <c r="D132" s="3333">
        <v>361732</v>
      </c>
      <c r="E132" s="3335">
        <v>47587</v>
      </c>
      <c r="F132" s="2579"/>
      <c r="G132" s="3347"/>
      <c r="H132" s="3328">
        <v>9509</v>
      </c>
      <c r="I132" s="3329">
        <v>37</v>
      </c>
      <c r="J132" s="3329">
        <v>5682</v>
      </c>
      <c r="K132" s="3329">
        <v>148</v>
      </c>
      <c r="L132" s="3329">
        <v>1687</v>
      </c>
      <c r="M132" s="3329">
        <v>12182</v>
      </c>
      <c r="N132" s="3329">
        <v>5832</v>
      </c>
      <c r="O132" s="3329">
        <v>4373</v>
      </c>
      <c r="P132" s="3329">
        <v>8097</v>
      </c>
      <c r="Q132" s="3330">
        <v>40</v>
      </c>
      <c r="R132" s="373"/>
      <c r="S132" s="539"/>
      <c r="T132" s="3379"/>
      <c r="U132" s="337"/>
    </row>
    <row r="133" spans="1:21">
      <c r="A133" s="219">
        <v>2004.04</v>
      </c>
      <c r="B133" s="3348">
        <v>363825</v>
      </c>
      <c r="C133" s="2579"/>
      <c r="D133" s="3333">
        <v>363825</v>
      </c>
      <c r="E133" s="3335">
        <v>47587</v>
      </c>
      <c r="F133" s="2579"/>
      <c r="G133" s="3347"/>
      <c r="H133" s="3328">
        <v>9509</v>
      </c>
      <c r="I133" s="3329">
        <v>37</v>
      </c>
      <c r="J133" s="3329">
        <v>5682</v>
      </c>
      <c r="K133" s="3329">
        <v>148</v>
      </c>
      <c r="L133" s="3329">
        <v>1687</v>
      </c>
      <c r="M133" s="3329">
        <v>12182</v>
      </c>
      <c r="N133" s="3329">
        <v>5832</v>
      </c>
      <c r="O133" s="3329">
        <v>4373</v>
      </c>
      <c r="P133" s="3329">
        <v>8097</v>
      </c>
      <c r="Q133" s="3330">
        <v>40</v>
      </c>
      <c r="R133" s="373"/>
      <c r="S133" s="539"/>
      <c r="T133" s="3379"/>
      <c r="U133" s="337"/>
    </row>
    <row r="134" spans="1:21">
      <c r="A134" s="219">
        <v>2004.05</v>
      </c>
      <c r="B134" s="3348">
        <v>366790</v>
      </c>
      <c r="C134" s="2579"/>
      <c r="D134" s="3333">
        <v>366790</v>
      </c>
      <c r="E134" s="3335">
        <v>47587</v>
      </c>
      <c r="F134" s="2579"/>
      <c r="G134" s="3347"/>
      <c r="H134" s="3328">
        <v>9509</v>
      </c>
      <c r="I134" s="3329">
        <v>37</v>
      </c>
      <c r="J134" s="3329">
        <v>5682</v>
      </c>
      <c r="K134" s="3329">
        <v>148</v>
      </c>
      <c r="L134" s="3329">
        <v>1687</v>
      </c>
      <c r="M134" s="3329">
        <v>12182</v>
      </c>
      <c r="N134" s="3329">
        <v>5832</v>
      </c>
      <c r="O134" s="3329">
        <v>4373</v>
      </c>
      <c r="P134" s="3329">
        <v>8097</v>
      </c>
      <c r="Q134" s="3330">
        <v>40</v>
      </c>
      <c r="R134" s="373"/>
      <c r="S134" s="539"/>
      <c r="T134" s="3379"/>
      <c r="U134" s="337"/>
    </row>
    <row r="135" spans="1:21">
      <c r="A135" s="219">
        <v>2004.06</v>
      </c>
      <c r="B135" s="3348">
        <v>370235</v>
      </c>
      <c r="C135" s="2579"/>
      <c r="D135" s="3333">
        <v>370235</v>
      </c>
      <c r="E135" s="3335">
        <v>47587</v>
      </c>
      <c r="F135" s="2579"/>
      <c r="G135" s="3347"/>
      <c r="H135" s="3328">
        <v>9509</v>
      </c>
      <c r="I135" s="3329">
        <v>37</v>
      </c>
      <c r="J135" s="3329">
        <v>5682</v>
      </c>
      <c r="K135" s="3329">
        <v>148</v>
      </c>
      <c r="L135" s="3329">
        <v>1687</v>
      </c>
      <c r="M135" s="3329">
        <v>12182</v>
      </c>
      <c r="N135" s="3329">
        <v>5832</v>
      </c>
      <c r="O135" s="3329">
        <v>4373</v>
      </c>
      <c r="P135" s="3329">
        <v>8097</v>
      </c>
      <c r="Q135" s="3330">
        <v>40</v>
      </c>
      <c r="R135" s="373"/>
      <c r="S135" s="539"/>
      <c r="T135" s="3379"/>
      <c r="U135" s="337"/>
    </row>
    <row r="136" spans="1:21">
      <c r="A136" s="219">
        <v>2004.07</v>
      </c>
      <c r="B136" s="3348">
        <v>371795</v>
      </c>
      <c r="C136" s="2579"/>
      <c r="D136" s="3333">
        <v>371795</v>
      </c>
      <c r="E136" s="3335">
        <v>47587</v>
      </c>
      <c r="F136" s="2579"/>
      <c r="G136" s="3347"/>
      <c r="H136" s="3328">
        <v>9509</v>
      </c>
      <c r="I136" s="3329">
        <v>37</v>
      </c>
      <c r="J136" s="3329">
        <v>5682</v>
      </c>
      <c r="K136" s="3329">
        <v>148</v>
      </c>
      <c r="L136" s="3329">
        <v>1687</v>
      </c>
      <c r="M136" s="3329">
        <v>12182</v>
      </c>
      <c r="N136" s="3329">
        <v>5832</v>
      </c>
      <c r="O136" s="3329">
        <v>4373</v>
      </c>
      <c r="P136" s="3329">
        <v>8097</v>
      </c>
      <c r="Q136" s="3330">
        <v>40</v>
      </c>
      <c r="R136" s="373"/>
      <c r="S136" s="539"/>
      <c r="T136" s="3379"/>
      <c r="U136" s="337"/>
    </row>
    <row r="137" spans="1:21">
      <c r="A137" s="219">
        <v>2004.08</v>
      </c>
      <c r="B137" s="3348">
        <v>375730</v>
      </c>
      <c r="C137" s="2579"/>
      <c r="D137" s="3333">
        <v>375730</v>
      </c>
      <c r="E137" s="3335">
        <v>47587</v>
      </c>
      <c r="F137" s="2579"/>
      <c r="G137" s="3347"/>
      <c r="H137" s="3328">
        <v>9509</v>
      </c>
      <c r="I137" s="3329">
        <v>37</v>
      </c>
      <c r="J137" s="3329">
        <v>5682</v>
      </c>
      <c r="K137" s="3329">
        <v>148</v>
      </c>
      <c r="L137" s="3329">
        <v>1687</v>
      </c>
      <c r="M137" s="3329">
        <v>12182</v>
      </c>
      <c r="N137" s="3329">
        <v>5832</v>
      </c>
      <c r="O137" s="3329">
        <v>4373</v>
      </c>
      <c r="P137" s="3329">
        <v>8097</v>
      </c>
      <c r="Q137" s="3330">
        <v>40</v>
      </c>
      <c r="R137" s="373"/>
      <c r="S137" s="539"/>
      <c r="T137" s="3379"/>
      <c r="U137" s="337"/>
    </row>
    <row r="138" spans="1:21">
      <c r="A138" s="219">
        <v>2004.09</v>
      </c>
      <c r="B138" s="3348">
        <v>380246</v>
      </c>
      <c r="C138" s="2579"/>
      <c r="D138" s="3333">
        <v>380246</v>
      </c>
      <c r="E138" s="3335">
        <v>47587</v>
      </c>
      <c r="F138" s="2579"/>
      <c r="G138" s="3347"/>
      <c r="H138" s="3328">
        <v>9509</v>
      </c>
      <c r="I138" s="3329">
        <v>37</v>
      </c>
      <c r="J138" s="3329">
        <v>5682</v>
      </c>
      <c r="K138" s="3329">
        <v>148</v>
      </c>
      <c r="L138" s="3329">
        <v>1687</v>
      </c>
      <c r="M138" s="3329">
        <v>12182</v>
      </c>
      <c r="N138" s="3329">
        <v>5832</v>
      </c>
      <c r="O138" s="3329">
        <v>4373</v>
      </c>
      <c r="P138" s="3329">
        <v>8097</v>
      </c>
      <c r="Q138" s="3330">
        <v>40</v>
      </c>
      <c r="R138" s="373"/>
      <c r="S138" s="539"/>
      <c r="T138" s="3379"/>
      <c r="U138" s="337"/>
    </row>
    <row r="139" spans="1:21">
      <c r="A139" s="219">
        <v>2004.1</v>
      </c>
      <c r="B139" s="3348">
        <v>383940</v>
      </c>
      <c r="C139" s="2579"/>
      <c r="D139" s="3333">
        <v>383940</v>
      </c>
      <c r="E139" s="3335">
        <v>47587</v>
      </c>
      <c r="F139" s="2579"/>
      <c r="G139" s="3347"/>
      <c r="H139" s="3328">
        <v>9509</v>
      </c>
      <c r="I139" s="3329">
        <v>37</v>
      </c>
      <c r="J139" s="3329">
        <v>5682</v>
      </c>
      <c r="K139" s="3329">
        <v>148</v>
      </c>
      <c r="L139" s="3329">
        <v>1687</v>
      </c>
      <c r="M139" s="3329">
        <v>12182</v>
      </c>
      <c r="N139" s="3329">
        <v>5832</v>
      </c>
      <c r="O139" s="3329">
        <v>4373</v>
      </c>
      <c r="P139" s="3329">
        <v>8097</v>
      </c>
      <c r="Q139" s="3330">
        <v>40</v>
      </c>
      <c r="R139" s="373"/>
      <c r="S139" s="539"/>
      <c r="T139" s="3379"/>
      <c r="U139" s="337"/>
    </row>
    <row r="140" spans="1:21">
      <c r="A140" s="219">
        <v>2004.11</v>
      </c>
      <c r="B140" s="3348">
        <v>386414</v>
      </c>
      <c r="C140" s="2579"/>
      <c r="D140" s="3333">
        <v>386414</v>
      </c>
      <c r="E140" s="3335">
        <v>47587</v>
      </c>
      <c r="F140" s="2579"/>
      <c r="G140" s="3347"/>
      <c r="H140" s="3328">
        <v>9509</v>
      </c>
      <c r="I140" s="3329">
        <v>37</v>
      </c>
      <c r="J140" s="3329">
        <v>5682</v>
      </c>
      <c r="K140" s="3329">
        <v>148</v>
      </c>
      <c r="L140" s="3329">
        <v>1687</v>
      </c>
      <c r="M140" s="3329">
        <v>12182</v>
      </c>
      <c r="N140" s="3329">
        <v>5832</v>
      </c>
      <c r="O140" s="3329">
        <v>4373</v>
      </c>
      <c r="P140" s="3329">
        <v>8097</v>
      </c>
      <c r="Q140" s="3330">
        <v>40</v>
      </c>
      <c r="R140" s="373"/>
      <c r="S140" s="539"/>
      <c r="T140" s="3379"/>
      <c r="U140" s="337"/>
    </row>
    <row r="141" spans="1:21">
      <c r="A141" s="219">
        <v>2004.12</v>
      </c>
      <c r="B141" s="3348">
        <v>389834</v>
      </c>
      <c r="C141" s="2579"/>
      <c r="D141" s="3333">
        <v>389834</v>
      </c>
      <c r="E141" s="3335">
        <v>47587</v>
      </c>
      <c r="F141" s="2579"/>
      <c r="G141" s="3347"/>
      <c r="H141" s="3328">
        <v>9509</v>
      </c>
      <c r="I141" s="3329">
        <v>37</v>
      </c>
      <c r="J141" s="3329">
        <v>5682</v>
      </c>
      <c r="K141" s="3329">
        <v>148</v>
      </c>
      <c r="L141" s="3329">
        <v>1687</v>
      </c>
      <c r="M141" s="3329">
        <v>12182</v>
      </c>
      <c r="N141" s="3329">
        <v>5832</v>
      </c>
      <c r="O141" s="3329">
        <v>4373</v>
      </c>
      <c r="P141" s="3329">
        <v>8097</v>
      </c>
      <c r="Q141" s="3330">
        <v>40</v>
      </c>
      <c r="R141" s="373"/>
      <c r="S141" s="539"/>
      <c r="T141" s="3379"/>
      <c r="U141" s="337"/>
    </row>
    <row r="142" spans="1:21">
      <c r="A142" s="219">
        <v>2005.01</v>
      </c>
      <c r="B142" s="3348">
        <v>393916</v>
      </c>
      <c r="C142" s="2579"/>
      <c r="D142" s="3333">
        <v>393916</v>
      </c>
      <c r="E142" s="3335">
        <v>52838</v>
      </c>
      <c r="F142" s="2579"/>
      <c r="G142" s="3347"/>
      <c r="H142" s="3328">
        <v>10322</v>
      </c>
      <c r="I142" s="3329">
        <v>39</v>
      </c>
      <c r="J142" s="3329">
        <v>6337</v>
      </c>
      <c r="K142" s="3329">
        <v>148</v>
      </c>
      <c r="L142" s="3329">
        <v>1959</v>
      </c>
      <c r="M142" s="3329">
        <v>13738</v>
      </c>
      <c r="N142" s="3329">
        <v>6758</v>
      </c>
      <c r="O142" s="3329">
        <v>4727</v>
      </c>
      <c r="P142" s="3329">
        <v>8767</v>
      </c>
      <c r="Q142" s="3330">
        <v>43</v>
      </c>
      <c r="R142" s="373"/>
      <c r="S142" s="539"/>
      <c r="T142" s="3379"/>
      <c r="U142" s="337"/>
    </row>
    <row r="143" spans="1:21">
      <c r="A143" s="219">
        <v>2005.02</v>
      </c>
      <c r="B143" s="3348">
        <v>396571</v>
      </c>
      <c r="C143" s="2579"/>
      <c r="D143" s="3333">
        <v>396571</v>
      </c>
      <c r="E143" s="3335">
        <v>52838</v>
      </c>
      <c r="F143" s="2579"/>
      <c r="G143" s="3347"/>
      <c r="H143" s="3328">
        <v>10322</v>
      </c>
      <c r="I143" s="3329">
        <v>39</v>
      </c>
      <c r="J143" s="3329">
        <v>6337</v>
      </c>
      <c r="K143" s="3329">
        <v>148</v>
      </c>
      <c r="L143" s="3329">
        <v>1959</v>
      </c>
      <c r="M143" s="3329">
        <v>13738</v>
      </c>
      <c r="N143" s="3329">
        <v>6758</v>
      </c>
      <c r="O143" s="3329">
        <v>4727</v>
      </c>
      <c r="P143" s="3329">
        <v>8767</v>
      </c>
      <c r="Q143" s="3330">
        <v>43</v>
      </c>
      <c r="R143" s="373"/>
      <c r="S143" s="539"/>
      <c r="T143" s="3379"/>
      <c r="U143" s="337"/>
    </row>
    <row r="144" spans="1:21">
      <c r="A144" s="219">
        <v>2005.03</v>
      </c>
      <c r="B144" s="3348">
        <v>398939</v>
      </c>
      <c r="C144" s="2579"/>
      <c r="D144" s="3333">
        <v>398939</v>
      </c>
      <c r="E144" s="3335">
        <v>52838</v>
      </c>
      <c r="F144" s="2579"/>
      <c r="G144" s="3347"/>
      <c r="H144" s="3328">
        <v>10322</v>
      </c>
      <c r="I144" s="3329">
        <v>39</v>
      </c>
      <c r="J144" s="3329">
        <v>6337</v>
      </c>
      <c r="K144" s="3329">
        <v>148</v>
      </c>
      <c r="L144" s="3329">
        <v>1959</v>
      </c>
      <c r="M144" s="3329">
        <v>13738</v>
      </c>
      <c r="N144" s="3329">
        <v>6758</v>
      </c>
      <c r="O144" s="3329">
        <v>4727</v>
      </c>
      <c r="P144" s="3329">
        <v>8767</v>
      </c>
      <c r="Q144" s="3330">
        <v>43</v>
      </c>
      <c r="R144" s="373"/>
      <c r="S144" s="539"/>
      <c r="T144" s="3379"/>
      <c r="U144" s="337"/>
    </row>
    <row r="145" spans="1:21">
      <c r="A145" s="219">
        <v>2005.04</v>
      </c>
      <c r="B145" s="3348">
        <v>401500</v>
      </c>
      <c r="C145" s="2579"/>
      <c r="D145" s="3333">
        <v>401500</v>
      </c>
      <c r="E145" s="3335">
        <v>52838</v>
      </c>
      <c r="F145" s="2579"/>
      <c r="G145" s="3347"/>
      <c r="H145" s="3328">
        <v>10322</v>
      </c>
      <c r="I145" s="3329">
        <v>39</v>
      </c>
      <c r="J145" s="3329">
        <v>6337</v>
      </c>
      <c r="K145" s="3329">
        <v>148</v>
      </c>
      <c r="L145" s="3329">
        <v>1959</v>
      </c>
      <c r="M145" s="3329">
        <v>13738</v>
      </c>
      <c r="N145" s="3329">
        <v>6758</v>
      </c>
      <c r="O145" s="3329">
        <v>4727</v>
      </c>
      <c r="P145" s="3329">
        <v>8767</v>
      </c>
      <c r="Q145" s="3330">
        <v>43</v>
      </c>
      <c r="R145" s="373"/>
      <c r="S145" s="539"/>
      <c r="T145" s="3379"/>
      <c r="U145" s="337"/>
    </row>
    <row r="146" spans="1:21">
      <c r="A146" s="219">
        <v>2005.05</v>
      </c>
      <c r="B146" s="3348">
        <v>403548</v>
      </c>
      <c r="C146" s="2579"/>
      <c r="D146" s="3333">
        <v>403548</v>
      </c>
      <c r="E146" s="3335">
        <v>52838</v>
      </c>
      <c r="F146" s="2579"/>
      <c r="G146" s="3347"/>
      <c r="H146" s="3328">
        <v>10322</v>
      </c>
      <c r="I146" s="3329">
        <v>39</v>
      </c>
      <c r="J146" s="3329">
        <v>6337</v>
      </c>
      <c r="K146" s="3329">
        <v>148</v>
      </c>
      <c r="L146" s="3329">
        <v>1959</v>
      </c>
      <c r="M146" s="3329">
        <v>13738</v>
      </c>
      <c r="N146" s="3329">
        <v>6758</v>
      </c>
      <c r="O146" s="3329">
        <v>4727</v>
      </c>
      <c r="P146" s="3329">
        <v>8767</v>
      </c>
      <c r="Q146" s="3330">
        <v>43</v>
      </c>
      <c r="R146" s="373"/>
      <c r="S146" s="539"/>
      <c r="T146" s="3379"/>
      <c r="U146" s="337"/>
    </row>
    <row r="147" spans="1:21">
      <c r="A147" s="219">
        <v>2005.06</v>
      </c>
      <c r="B147" s="3348">
        <v>407639</v>
      </c>
      <c r="C147" s="2579"/>
      <c r="D147" s="3333">
        <v>407639</v>
      </c>
      <c r="E147" s="3335">
        <v>52838</v>
      </c>
      <c r="F147" s="2579"/>
      <c r="G147" s="3347"/>
      <c r="H147" s="3328">
        <v>10322</v>
      </c>
      <c r="I147" s="3329">
        <v>39</v>
      </c>
      <c r="J147" s="3329">
        <v>6337</v>
      </c>
      <c r="K147" s="3329">
        <v>148</v>
      </c>
      <c r="L147" s="3329">
        <v>1959</v>
      </c>
      <c r="M147" s="3329">
        <v>13738</v>
      </c>
      <c r="N147" s="3329">
        <v>6758</v>
      </c>
      <c r="O147" s="3329">
        <v>4727</v>
      </c>
      <c r="P147" s="3329">
        <v>8767</v>
      </c>
      <c r="Q147" s="3330">
        <v>43</v>
      </c>
      <c r="R147" s="373"/>
      <c r="S147" s="539"/>
      <c r="T147" s="3379"/>
      <c r="U147" s="337"/>
    </row>
    <row r="148" spans="1:21">
      <c r="A148" s="219">
        <v>2005.07</v>
      </c>
      <c r="B148" s="3348">
        <v>411350</v>
      </c>
      <c r="C148" s="2579"/>
      <c r="D148" s="3333">
        <v>411350</v>
      </c>
      <c r="E148" s="3335">
        <v>52838</v>
      </c>
      <c r="F148" s="2579"/>
      <c r="G148" s="3347"/>
      <c r="H148" s="3328">
        <v>10322</v>
      </c>
      <c r="I148" s="3329">
        <v>39</v>
      </c>
      <c r="J148" s="3329">
        <v>6337</v>
      </c>
      <c r="K148" s="3329">
        <v>148</v>
      </c>
      <c r="L148" s="3329">
        <v>1959</v>
      </c>
      <c r="M148" s="3329">
        <v>13738</v>
      </c>
      <c r="N148" s="3329">
        <v>6758</v>
      </c>
      <c r="O148" s="3329">
        <v>4727</v>
      </c>
      <c r="P148" s="3329">
        <v>8767</v>
      </c>
      <c r="Q148" s="3330">
        <v>43</v>
      </c>
      <c r="R148" s="373"/>
      <c r="S148" s="539"/>
      <c r="T148" s="3379"/>
      <c r="U148" s="337"/>
    </row>
    <row r="149" spans="1:21">
      <c r="A149" s="219">
        <v>2005.08</v>
      </c>
      <c r="B149" s="3348">
        <v>414926</v>
      </c>
      <c r="C149" s="2579"/>
      <c r="D149" s="3333">
        <v>414926</v>
      </c>
      <c r="E149" s="3335">
        <v>52838</v>
      </c>
      <c r="F149" s="2579"/>
      <c r="G149" s="3347"/>
      <c r="H149" s="3328">
        <v>10322</v>
      </c>
      <c r="I149" s="3329">
        <v>39</v>
      </c>
      <c r="J149" s="3329">
        <v>6337</v>
      </c>
      <c r="K149" s="3329">
        <v>148</v>
      </c>
      <c r="L149" s="3329">
        <v>1959</v>
      </c>
      <c r="M149" s="3329">
        <v>13738</v>
      </c>
      <c r="N149" s="3329">
        <v>6758</v>
      </c>
      <c r="O149" s="3329">
        <v>4727</v>
      </c>
      <c r="P149" s="3329">
        <v>8767</v>
      </c>
      <c r="Q149" s="3330">
        <v>43</v>
      </c>
      <c r="R149" s="373"/>
      <c r="S149" s="539"/>
      <c r="T149" s="3379"/>
      <c r="U149" s="337"/>
    </row>
    <row r="150" spans="1:21">
      <c r="A150" s="219">
        <v>2005.09</v>
      </c>
      <c r="B150" s="3348">
        <v>419833</v>
      </c>
      <c r="C150" s="2579"/>
      <c r="D150" s="3333">
        <v>419833</v>
      </c>
      <c r="E150" s="3335">
        <v>52838</v>
      </c>
      <c r="F150" s="2579"/>
      <c r="G150" s="3347"/>
      <c r="H150" s="3328">
        <v>10322</v>
      </c>
      <c r="I150" s="3329">
        <v>39</v>
      </c>
      <c r="J150" s="3329">
        <v>6337</v>
      </c>
      <c r="K150" s="3329">
        <v>148</v>
      </c>
      <c r="L150" s="3329">
        <v>1959</v>
      </c>
      <c r="M150" s="3329">
        <v>13738</v>
      </c>
      <c r="N150" s="3329">
        <v>6758</v>
      </c>
      <c r="O150" s="3329">
        <v>4727</v>
      </c>
      <c r="P150" s="3329">
        <v>8767</v>
      </c>
      <c r="Q150" s="3330">
        <v>43</v>
      </c>
      <c r="R150" s="373"/>
      <c r="S150" s="539"/>
      <c r="T150" s="3379"/>
      <c r="U150" s="337"/>
    </row>
    <row r="151" spans="1:21">
      <c r="A151" s="219">
        <v>2005.1</v>
      </c>
      <c r="B151" s="3348">
        <v>423690</v>
      </c>
      <c r="C151" s="2579"/>
      <c r="D151" s="3333">
        <v>423690</v>
      </c>
      <c r="E151" s="3335">
        <v>52838</v>
      </c>
      <c r="F151" s="2579"/>
      <c r="G151" s="3347"/>
      <c r="H151" s="3328">
        <v>10322</v>
      </c>
      <c r="I151" s="3329">
        <v>39</v>
      </c>
      <c r="J151" s="3329">
        <v>6337</v>
      </c>
      <c r="K151" s="3329">
        <v>148</v>
      </c>
      <c r="L151" s="3329">
        <v>1959</v>
      </c>
      <c r="M151" s="3329">
        <v>13738</v>
      </c>
      <c r="N151" s="3329">
        <v>6758</v>
      </c>
      <c r="O151" s="3329">
        <v>4727</v>
      </c>
      <c r="P151" s="3329">
        <v>8767</v>
      </c>
      <c r="Q151" s="3330">
        <v>43</v>
      </c>
      <c r="R151" s="373"/>
      <c r="S151" s="539"/>
      <c r="T151" s="3379"/>
      <c r="U151" s="337"/>
    </row>
    <row r="152" spans="1:21">
      <c r="A152" s="219">
        <v>2005.11</v>
      </c>
      <c r="B152" s="3348">
        <v>427401</v>
      </c>
      <c r="C152" s="2579"/>
      <c r="D152" s="3333">
        <v>427401</v>
      </c>
      <c r="E152" s="3335">
        <v>52838</v>
      </c>
      <c r="F152" s="2579"/>
      <c r="G152" s="3347"/>
      <c r="H152" s="3328">
        <v>10322</v>
      </c>
      <c r="I152" s="3329">
        <v>39</v>
      </c>
      <c r="J152" s="3329">
        <v>6337</v>
      </c>
      <c r="K152" s="3329">
        <v>148</v>
      </c>
      <c r="L152" s="3329">
        <v>1959</v>
      </c>
      <c r="M152" s="3329">
        <v>13738</v>
      </c>
      <c r="N152" s="3329">
        <v>6758</v>
      </c>
      <c r="O152" s="3329">
        <v>4727</v>
      </c>
      <c r="P152" s="3329">
        <v>8767</v>
      </c>
      <c r="Q152" s="3330">
        <v>43</v>
      </c>
      <c r="R152" s="373"/>
      <c r="S152" s="539"/>
      <c r="T152" s="3379"/>
      <c r="U152" s="337"/>
    </row>
    <row r="153" spans="1:21">
      <c r="A153" s="219">
        <v>2005.12</v>
      </c>
      <c r="B153" s="3348">
        <v>431282</v>
      </c>
      <c r="C153" s="2579"/>
      <c r="D153" s="3333">
        <v>431282</v>
      </c>
      <c r="E153" s="3335">
        <v>52838</v>
      </c>
      <c r="F153" s="2579"/>
      <c r="G153" s="3347"/>
      <c r="H153" s="3328">
        <v>10322</v>
      </c>
      <c r="I153" s="3329">
        <v>39</v>
      </c>
      <c r="J153" s="3329">
        <v>6337</v>
      </c>
      <c r="K153" s="3329">
        <v>148</v>
      </c>
      <c r="L153" s="3329">
        <v>1959</v>
      </c>
      <c r="M153" s="3329">
        <v>13738</v>
      </c>
      <c r="N153" s="3329">
        <v>6758</v>
      </c>
      <c r="O153" s="3329">
        <v>4727</v>
      </c>
      <c r="P153" s="3329">
        <v>8767</v>
      </c>
      <c r="Q153" s="3330">
        <v>43</v>
      </c>
      <c r="R153" s="373"/>
      <c r="S153" s="539"/>
      <c r="T153" s="3379"/>
      <c r="U153" s="337"/>
    </row>
    <row r="154" spans="1:21">
      <c r="A154" s="219">
        <v>2006.01</v>
      </c>
      <c r="B154" s="3348">
        <v>435742</v>
      </c>
      <c r="C154" s="2579"/>
      <c r="D154" s="3333">
        <v>435742</v>
      </c>
      <c r="E154" s="3335">
        <v>58780</v>
      </c>
      <c r="F154" s="2579"/>
      <c r="G154" s="3347"/>
      <c r="H154" s="3328">
        <v>11191</v>
      </c>
      <c r="I154" s="3329">
        <v>40</v>
      </c>
      <c r="J154" s="3329">
        <v>6999</v>
      </c>
      <c r="K154" s="3329">
        <v>151</v>
      </c>
      <c r="L154" s="3329">
        <v>2278</v>
      </c>
      <c r="M154" s="3329">
        <v>15528</v>
      </c>
      <c r="N154" s="3329">
        <v>7812</v>
      </c>
      <c r="O154" s="3329">
        <v>5144</v>
      </c>
      <c r="P154" s="3329">
        <v>9591</v>
      </c>
      <c r="Q154" s="3330">
        <v>46</v>
      </c>
      <c r="R154" s="503">
        <v>45579</v>
      </c>
      <c r="S154" s="503">
        <v>5317</v>
      </c>
      <c r="T154" s="3380">
        <v>18177</v>
      </c>
      <c r="U154" s="337"/>
    </row>
    <row r="155" spans="1:21">
      <c r="A155" s="219">
        <v>2006.02</v>
      </c>
      <c r="B155" s="3348">
        <v>438454</v>
      </c>
      <c r="C155" s="2579"/>
      <c r="D155" s="3333">
        <v>438454</v>
      </c>
      <c r="E155" s="3335">
        <v>58780</v>
      </c>
      <c r="F155" s="2579"/>
      <c r="G155" s="3347"/>
      <c r="H155" s="3328">
        <v>11191</v>
      </c>
      <c r="I155" s="3329">
        <v>40</v>
      </c>
      <c r="J155" s="3329">
        <v>6999</v>
      </c>
      <c r="K155" s="3329">
        <v>151</v>
      </c>
      <c r="L155" s="3329">
        <v>2278</v>
      </c>
      <c r="M155" s="3329">
        <v>15528</v>
      </c>
      <c r="N155" s="3329">
        <v>7812</v>
      </c>
      <c r="O155" s="3329">
        <v>5144</v>
      </c>
      <c r="P155" s="3329">
        <v>9591</v>
      </c>
      <c r="Q155" s="3330">
        <v>46</v>
      </c>
      <c r="R155" s="382">
        <v>45619</v>
      </c>
      <c r="S155" s="382">
        <v>5353</v>
      </c>
      <c r="T155" s="3381">
        <v>18210</v>
      </c>
      <c r="U155" s="337"/>
    </row>
    <row r="156" spans="1:21">
      <c r="A156" s="219">
        <v>2006.03</v>
      </c>
      <c r="B156" s="3348">
        <v>439741</v>
      </c>
      <c r="C156" s="2579"/>
      <c r="D156" s="3333">
        <v>439741</v>
      </c>
      <c r="E156" s="3335">
        <v>58780</v>
      </c>
      <c r="F156" s="2579"/>
      <c r="G156" s="3347"/>
      <c r="H156" s="3328">
        <v>11191</v>
      </c>
      <c r="I156" s="3329">
        <v>40</v>
      </c>
      <c r="J156" s="3329">
        <v>6999</v>
      </c>
      <c r="K156" s="3329">
        <v>151</v>
      </c>
      <c r="L156" s="3329">
        <v>2278</v>
      </c>
      <c r="M156" s="3329">
        <v>15528</v>
      </c>
      <c r="N156" s="3329">
        <v>7812</v>
      </c>
      <c r="O156" s="3329">
        <v>5144</v>
      </c>
      <c r="P156" s="3329">
        <v>9591</v>
      </c>
      <c r="Q156" s="3330">
        <v>46</v>
      </c>
      <c r="R156" s="382">
        <v>46233</v>
      </c>
      <c r="S156" s="382">
        <v>5400</v>
      </c>
      <c r="T156" s="3381">
        <v>18255</v>
      </c>
      <c r="U156" s="337"/>
    </row>
    <row r="157" spans="1:21">
      <c r="A157" s="219">
        <v>2006.04</v>
      </c>
      <c r="B157" s="3348">
        <v>441392</v>
      </c>
      <c r="C157" s="2579"/>
      <c r="D157" s="3333">
        <v>441392</v>
      </c>
      <c r="E157" s="3335">
        <v>58780</v>
      </c>
      <c r="F157" s="2579"/>
      <c r="G157" s="3347"/>
      <c r="H157" s="3328">
        <v>11191</v>
      </c>
      <c r="I157" s="3329">
        <v>40</v>
      </c>
      <c r="J157" s="3329">
        <v>6999</v>
      </c>
      <c r="K157" s="3329">
        <v>151</v>
      </c>
      <c r="L157" s="3329">
        <v>2278</v>
      </c>
      <c r="M157" s="3329">
        <v>15528</v>
      </c>
      <c r="N157" s="3329">
        <v>7812</v>
      </c>
      <c r="O157" s="3329">
        <v>5144</v>
      </c>
      <c r="P157" s="3329">
        <v>9591</v>
      </c>
      <c r="Q157" s="3330">
        <v>46</v>
      </c>
      <c r="R157" s="382">
        <v>46661</v>
      </c>
      <c r="S157" s="382">
        <v>5439</v>
      </c>
      <c r="T157" s="3381">
        <v>18368</v>
      </c>
      <c r="U157" s="337"/>
    </row>
    <row r="158" spans="1:21">
      <c r="A158" s="219">
        <v>2006.05</v>
      </c>
      <c r="B158" s="3348">
        <v>444161</v>
      </c>
      <c r="C158" s="2579"/>
      <c r="D158" s="3333">
        <v>444161</v>
      </c>
      <c r="E158" s="3335">
        <v>58780</v>
      </c>
      <c r="F158" s="2579"/>
      <c r="G158" s="3347"/>
      <c r="H158" s="3328">
        <v>11191</v>
      </c>
      <c r="I158" s="3329">
        <v>40</v>
      </c>
      <c r="J158" s="3329">
        <v>6999</v>
      </c>
      <c r="K158" s="3329">
        <v>151</v>
      </c>
      <c r="L158" s="3329">
        <v>2278</v>
      </c>
      <c r="M158" s="3329">
        <v>15528</v>
      </c>
      <c r="N158" s="3329">
        <v>7812</v>
      </c>
      <c r="O158" s="3329">
        <v>5144</v>
      </c>
      <c r="P158" s="3329">
        <v>9591</v>
      </c>
      <c r="Q158" s="3330">
        <v>46</v>
      </c>
      <c r="R158" s="382">
        <v>46836</v>
      </c>
      <c r="S158" s="382">
        <v>5489</v>
      </c>
      <c r="T158" s="3381">
        <v>18481</v>
      </c>
      <c r="U158" s="337"/>
    </row>
    <row r="159" spans="1:21">
      <c r="A159" s="219">
        <v>2006.06</v>
      </c>
      <c r="B159" s="3348">
        <v>447095</v>
      </c>
      <c r="C159" s="2579"/>
      <c r="D159" s="3333">
        <v>447095</v>
      </c>
      <c r="E159" s="3335">
        <v>58780</v>
      </c>
      <c r="F159" s="2579"/>
      <c r="G159" s="3347"/>
      <c r="H159" s="3328">
        <v>11191</v>
      </c>
      <c r="I159" s="3329">
        <v>40</v>
      </c>
      <c r="J159" s="3329">
        <v>6999</v>
      </c>
      <c r="K159" s="3329">
        <v>151</v>
      </c>
      <c r="L159" s="3329">
        <v>2278</v>
      </c>
      <c r="M159" s="3329">
        <v>15528</v>
      </c>
      <c r="N159" s="3329">
        <v>7812</v>
      </c>
      <c r="O159" s="3329">
        <v>5144</v>
      </c>
      <c r="P159" s="3329">
        <v>9591</v>
      </c>
      <c r="Q159" s="3330">
        <v>46</v>
      </c>
      <c r="R159" s="382">
        <v>46745</v>
      </c>
      <c r="S159" s="382">
        <v>5505</v>
      </c>
      <c r="T159" s="3381">
        <v>18614</v>
      </c>
      <c r="U159" s="337"/>
    </row>
    <row r="160" spans="1:21">
      <c r="A160" s="219">
        <v>2006.07</v>
      </c>
      <c r="B160" s="3348">
        <v>449902</v>
      </c>
      <c r="C160" s="2579"/>
      <c r="D160" s="3333">
        <v>449902</v>
      </c>
      <c r="E160" s="3335">
        <v>58780</v>
      </c>
      <c r="F160" s="2579"/>
      <c r="G160" s="3347"/>
      <c r="H160" s="3328">
        <v>11191</v>
      </c>
      <c r="I160" s="3329">
        <v>40</v>
      </c>
      <c r="J160" s="3329">
        <v>6999</v>
      </c>
      <c r="K160" s="3329">
        <v>151</v>
      </c>
      <c r="L160" s="3329">
        <v>2278</v>
      </c>
      <c r="M160" s="3329">
        <v>15528</v>
      </c>
      <c r="N160" s="3329">
        <v>7812</v>
      </c>
      <c r="O160" s="3329">
        <v>5144</v>
      </c>
      <c r="P160" s="3329">
        <v>9591</v>
      </c>
      <c r="Q160" s="3330">
        <v>46</v>
      </c>
      <c r="R160" s="382">
        <v>46923</v>
      </c>
      <c r="S160" s="382">
        <v>5546</v>
      </c>
      <c r="T160" s="3381">
        <v>18710</v>
      </c>
      <c r="U160" s="337"/>
    </row>
    <row r="161" spans="1:21">
      <c r="A161" s="219">
        <v>2006.08</v>
      </c>
      <c r="B161" s="3348">
        <v>453368</v>
      </c>
      <c r="C161" s="2579"/>
      <c r="D161" s="3333">
        <v>453368</v>
      </c>
      <c r="E161" s="3335">
        <v>58780</v>
      </c>
      <c r="F161" s="2579"/>
      <c r="G161" s="3347"/>
      <c r="H161" s="3328">
        <v>11191</v>
      </c>
      <c r="I161" s="3329">
        <v>40</v>
      </c>
      <c r="J161" s="3329">
        <v>6999</v>
      </c>
      <c r="K161" s="3329">
        <v>151</v>
      </c>
      <c r="L161" s="3329">
        <v>2278</v>
      </c>
      <c r="M161" s="3329">
        <v>15528</v>
      </c>
      <c r="N161" s="3329">
        <v>7812</v>
      </c>
      <c r="O161" s="3329">
        <v>5144</v>
      </c>
      <c r="P161" s="3329">
        <v>9591</v>
      </c>
      <c r="Q161" s="3330">
        <v>46</v>
      </c>
      <c r="R161" s="382">
        <v>47210</v>
      </c>
      <c r="S161" s="382">
        <v>5584</v>
      </c>
      <c r="T161" s="3381">
        <v>18837</v>
      </c>
      <c r="U161" s="337"/>
    </row>
    <row r="162" spans="1:21">
      <c r="A162" s="219">
        <v>2006.09</v>
      </c>
      <c r="B162" s="3348">
        <v>456913</v>
      </c>
      <c r="C162" s="2579"/>
      <c r="D162" s="3333">
        <v>456913</v>
      </c>
      <c r="E162" s="3335">
        <v>58780</v>
      </c>
      <c r="F162" s="2579"/>
      <c r="G162" s="3347"/>
      <c r="H162" s="3328">
        <v>11191</v>
      </c>
      <c r="I162" s="3329">
        <v>40</v>
      </c>
      <c r="J162" s="3329">
        <v>6999</v>
      </c>
      <c r="K162" s="3329">
        <v>151</v>
      </c>
      <c r="L162" s="3329">
        <v>2278</v>
      </c>
      <c r="M162" s="3329">
        <v>15528</v>
      </c>
      <c r="N162" s="3329">
        <v>7812</v>
      </c>
      <c r="O162" s="3329">
        <v>5144</v>
      </c>
      <c r="P162" s="3329">
        <v>9591</v>
      </c>
      <c r="Q162" s="3330">
        <v>46</v>
      </c>
      <c r="R162" s="382">
        <v>47585</v>
      </c>
      <c r="S162" s="382">
        <v>5625</v>
      </c>
      <c r="T162" s="3381">
        <v>19008</v>
      </c>
      <c r="U162" s="337"/>
    </row>
    <row r="163" spans="1:21">
      <c r="A163" s="219">
        <v>2006.1</v>
      </c>
      <c r="B163" s="3348">
        <v>460154</v>
      </c>
      <c r="C163" s="2579"/>
      <c r="D163" s="3333">
        <v>460154</v>
      </c>
      <c r="E163" s="3335">
        <v>58780</v>
      </c>
      <c r="F163" s="2579"/>
      <c r="G163" s="3347"/>
      <c r="H163" s="3328">
        <v>11191</v>
      </c>
      <c r="I163" s="3329">
        <v>40</v>
      </c>
      <c r="J163" s="3329">
        <v>6999</v>
      </c>
      <c r="K163" s="3329">
        <v>151</v>
      </c>
      <c r="L163" s="3329">
        <v>2278</v>
      </c>
      <c r="M163" s="3329">
        <v>15528</v>
      </c>
      <c r="N163" s="3329">
        <v>7812</v>
      </c>
      <c r="O163" s="3329">
        <v>5144</v>
      </c>
      <c r="P163" s="3329">
        <v>9591</v>
      </c>
      <c r="Q163" s="3330">
        <v>46</v>
      </c>
      <c r="R163" s="382">
        <v>47989</v>
      </c>
      <c r="S163" s="382">
        <v>5669</v>
      </c>
      <c r="T163" s="3381">
        <v>19134</v>
      </c>
      <c r="U163" s="337"/>
    </row>
    <row r="164" spans="1:21">
      <c r="A164" s="219">
        <v>2006.11</v>
      </c>
      <c r="B164" s="3348">
        <v>463458</v>
      </c>
      <c r="C164" s="2579"/>
      <c r="D164" s="3333">
        <v>463458</v>
      </c>
      <c r="E164" s="3335">
        <v>58780</v>
      </c>
      <c r="F164" s="2579"/>
      <c r="G164" s="3347"/>
      <c r="H164" s="3328">
        <v>11191</v>
      </c>
      <c r="I164" s="3329">
        <v>40</v>
      </c>
      <c r="J164" s="3329">
        <v>6999</v>
      </c>
      <c r="K164" s="3329">
        <v>151</v>
      </c>
      <c r="L164" s="3329">
        <v>2278</v>
      </c>
      <c r="M164" s="3329">
        <v>15528</v>
      </c>
      <c r="N164" s="3329">
        <v>7812</v>
      </c>
      <c r="O164" s="3329">
        <v>5144</v>
      </c>
      <c r="P164" s="3329">
        <v>9591</v>
      </c>
      <c r="Q164" s="3330">
        <v>46</v>
      </c>
      <c r="R164" s="382">
        <v>48466</v>
      </c>
      <c r="S164" s="382">
        <v>5693</v>
      </c>
      <c r="T164" s="3381">
        <v>19249</v>
      </c>
      <c r="U164" s="337"/>
    </row>
    <row r="165" spans="1:21">
      <c r="A165" s="219">
        <v>2006.12</v>
      </c>
      <c r="B165" s="3348">
        <v>474318</v>
      </c>
      <c r="C165" s="2579"/>
      <c r="D165" s="3333">
        <v>474318</v>
      </c>
      <c r="E165" s="3335">
        <v>58780</v>
      </c>
      <c r="F165" s="2579"/>
      <c r="G165" s="3347"/>
      <c r="H165" s="3328">
        <v>11191</v>
      </c>
      <c r="I165" s="3329">
        <v>40</v>
      </c>
      <c r="J165" s="3329">
        <v>6999</v>
      </c>
      <c r="K165" s="3329">
        <v>151</v>
      </c>
      <c r="L165" s="3329">
        <v>2278</v>
      </c>
      <c r="M165" s="3329">
        <v>15528</v>
      </c>
      <c r="N165" s="3329">
        <v>7812</v>
      </c>
      <c r="O165" s="3329">
        <v>5144</v>
      </c>
      <c r="P165" s="3329">
        <v>9591</v>
      </c>
      <c r="Q165" s="3330">
        <v>46</v>
      </c>
      <c r="R165" s="382">
        <v>48509</v>
      </c>
      <c r="S165" s="382">
        <v>5692</v>
      </c>
      <c r="T165" s="3381">
        <v>19255</v>
      </c>
      <c r="U165" s="337"/>
    </row>
    <row r="166" spans="1:21">
      <c r="A166" s="219">
        <v>2007.01</v>
      </c>
      <c r="B166" s="3348">
        <v>468457</v>
      </c>
      <c r="C166" s="2579"/>
      <c r="D166" s="3333">
        <v>468457</v>
      </c>
      <c r="E166" s="3335">
        <v>61127</v>
      </c>
      <c r="F166" s="2579"/>
      <c r="G166" s="3347"/>
      <c r="H166" s="3328">
        <v>11520</v>
      </c>
      <c r="I166" s="3329">
        <v>38</v>
      </c>
      <c r="J166" s="3329">
        <v>7202</v>
      </c>
      <c r="K166" s="3329">
        <v>151</v>
      </c>
      <c r="L166" s="3329">
        <v>2380</v>
      </c>
      <c r="M166" s="3329">
        <v>16232</v>
      </c>
      <c r="N166" s="3329">
        <v>8234</v>
      </c>
      <c r="O166" s="3329">
        <v>5358</v>
      </c>
      <c r="P166" s="3329">
        <v>9964</v>
      </c>
      <c r="Q166" s="3330">
        <v>48</v>
      </c>
      <c r="R166" s="382">
        <v>48344</v>
      </c>
      <c r="S166" s="382">
        <v>5693</v>
      </c>
      <c r="T166" s="3381">
        <v>19324</v>
      </c>
      <c r="U166" s="337"/>
    </row>
    <row r="167" spans="1:21">
      <c r="A167" s="219">
        <v>2007.02</v>
      </c>
      <c r="B167" s="3348">
        <v>471075</v>
      </c>
      <c r="C167" s="2579"/>
      <c r="D167" s="3333">
        <v>471075</v>
      </c>
      <c r="E167" s="3335">
        <v>61463</v>
      </c>
      <c r="F167" s="2579"/>
      <c r="G167" s="3347"/>
      <c r="H167" s="3328">
        <v>11561</v>
      </c>
      <c r="I167" s="3329">
        <v>38</v>
      </c>
      <c r="J167" s="3329">
        <v>7241</v>
      </c>
      <c r="K167" s="3329">
        <v>152</v>
      </c>
      <c r="L167" s="3329">
        <v>2404</v>
      </c>
      <c r="M167" s="3329">
        <v>16353</v>
      </c>
      <c r="N167" s="3329">
        <v>8291</v>
      </c>
      <c r="O167" s="3329">
        <v>5395</v>
      </c>
      <c r="P167" s="3329">
        <v>9981</v>
      </c>
      <c r="Q167" s="3330">
        <v>47</v>
      </c>
      <c r="R167" s="382">
        <v>48462</v>
      </c>
      <c r="S167" s="382">
        <v>5702</v>
      </c>
      <c r="T167" s="3381">
        <v>19412</v>
      </c>
      <c r="U167" s="337"/>
    </row>
    <row r="168" spans="1:21">
      <c r="A168" s="219">
        <v>2007.03</v>
      </c>
      <c r="B168" s="3348">
        <v>472082</v>
      </c>
      <c r="C168" s="2579"/>
      <c r="D168" s="3333">
        <v>472082</v>
      </c>
      <c r="E168" s="3335">
        <v>61979</v>
      </c>
      <c r="F168" s="2579"/>
      <c r="G168" s="3347"/>
      <c r="H168" s="3328">
        <v>11655</v>
      </c>
      <c r="I168" s="3329">
        <v>38</v>
      </c>
      <c r="J168" s="3329">
        <v>7291</v>
      </c>
      <c r="K168" s="3329">
        <v>152</v>
      </c>
      <c r="L168" s="3329">
        <v>2437</v>
      </c>
      <c r="M168" s="3329">
        <v>16486</v>
      </c>
      <c r="N168" s="3329">
        <v>8410</v>
      </c>
      <c r="O168" s="3329">
        <v>5419</v>
      </c>
      <c r="P168" s="3329">
        <v>10044</v>
      </c>
      <c r="Q168" s="3330">
        <v>47</v>
      </c>
      <c r="R168" s="382">
        <v>49025</v>
      </c>
      <c r="S168" s="382">
        <v>5719</v>
      </c>
      <c r="T168" s="3381">
        <v>19473</v>
      </c>
      <c r="U168" s="337"/>
    </row>
    <row r="169" spans="1:21">
      <c r="A169" s="219">
        <v>2007.04</v>
      </c>
      <c r="B169" s="3348">
        <v>472646</v>
      </c>
      <c r="C169" s="2579"/>
      <c r="D169" s="3333">
        <v>472646</v>
      </c>
      <c r="E169" s="3335">
        <v>62402</v>
      </c>
      <c r="F169" s="2579"/>
      <c r="G169" s="3347"/>
      <c r="H169" s="3328">
        <v>11711</v>
      </c>
      <c r="I169" s="3329">
        <v>38</v>
      </c>
      <c r="J169" s="3329">
        <v>7330</v>
      </c>
      <c r="K169" s="3329">
        <v>152</v>
      </c>
      <c r="L169" s="3329">
        <v>2476</v>
      </c>
      <c r="M169" s="3329">
        <v>16618</v>
      </c>
      <c r="N169" s="3329">
        <v>8467</v>
      </c>
      <c r="O169" s="3329">
        <v>5458</v>
      </c>
      <c r="P169" s="3329">
        <v>10105</v>
      </c>
      <c r="Q169" s="3330">
        <v>47</v>
      </c>
      <c r="R169" s="382">
        <v>49196</v>
      </c>
      <c r="S169" s="382">
        <v>5713</v>
      </c>
      <c r="T169" s="3381">
        <v>19515</v>
      </c>
      <c r="U169" s="337"/>
    </row>
    <row r="170" spans="1:21">
      <c r="A170" s="219">
        <v>2007.05</v>
      </c>
      <c r="B170" s="3348">
        <v>474761</v>
      </c>
      <c r="C170" s="2579"/>
      <c r="D170" s="3333">
        <v>474761</v>
      </c>
      <c r="E170" s="3335">
        <v>62935</v>
      </c>
      <c r="F170" s="2579"/>
      <c r="G170" s="3347"/>
      <c r="H170" s="3328">
        <v>11763</v>
      </c>
      <c r="I170" s="3329">
        <v>38</v>
      </c>
      <c r="J170" s="3329">
        <v>7383</v>
      </c>
      <c r="K170" s="3329">
        <v>152</v>
      </c>
      <c r="L170" s="3329">
        <v>2507</v>
      </c>
      <c r="M170" s="3329">
        <v>16768</v>
      </c>
      <c r="N170" s="3329">
        <v>8565</v>
      </c>
      <c r="O170" s="3329">
        <v>5513</v>
      </c>
      <c r="P170" s="3329">
        <v>10199</v>
      </c>
      <c r="Q170" s="3330">
        <v>47</v>
      </c>
      <c r="R170" s="382">
        <v>49315</v>
      </c>
      <c r="S170" s="382">
        <v>5734</v>
      </c>
      <c r="T170" s="3381">
        <v>19616</v>
      </c>
      <c r="U170" s="337"/>
    </row>
    <row r="171" spans="1:21">
      <c r="A171" s="219">
        <v>2007.06</v>
      </c>
      <c r="B171" s="3348">
        <v>475999</v>
      </c>
      <c r="C171" s="2579"/>
      <c r="D171" s="3333">
        <v>475999</v>
      </c>
      <c r="E171" s="3335">
        <v>63145</v>
      </c>
      <c r="F171" s="2579"/>
      <c r="G171" s="3347"/>
      <c r="H171" s="3328">
        <v>11770</v>
      </c>
      <c r="I171" s="3329">
        <v>37</v>
      </c>
      <c r="J171" s="3329">
        <v>7377</v>
      </c>
      <c r="K171" s="3329">
        <v>153</v>
      </c>
      <c r="L171" s="3329">
        <v>2509</v>
      </c>
      <c r="M171" s="3329">
        <v>16828</v>
      </c>
      <c r="N171" s="3329">
        <v>8670</v>
      </c>
      <c r="O171" s="3329">
        <v>5537</v>
      </c>
      <c r="P171" s="3329">
        <v>10218</v>
      </c>
      <c r="Q171" s="3330">
        <v>46</v>
      </c>
      <c r="R171" s="382">
        <v>49318</v>
      </c>
      <c r="S171" s="382">
        <v>5754</v>
      </c>
      <c r="T171" s="3381">
        <v>19765</v>
      </c>
      <c r="U171" s="337"/>
    </row>
    <row r="172" spans="1:21">
      <c r="A172" s="219">
        <v>2007.07</v>
      </c>
      <c r="B172" s="3348">
        <v>479354</v>
      </c>
      <c r="C172" s="2579"/>
      <c r="D172" s="3333">
        <v>479354</v>
      </c>
      <c r="E172" s="3335">
        <v>63664</v>
      </c>
      <c r="F172" s="2579"/>
      <c r="G172" s="3347"/>
      <c r="H172" s="3328">
        <v>11811</v>
      </c>
      <c r="I172" s="3329">
        <v>37</v>
      </c>
      <c r="J172" s="3329">
        <v>7432</v>
      </c>
      <c r="K172" s="3329">
        <v>152</v>
      </c>
      <c r="L172" s="3329">
        <v>2547</v>
      </c>
      <c r="M172" s="3329">
        <v>16985</v>
      </c>
      <c r="N172" s="3329">
        <v>8791</v>
      </c>
      <c r="O172" s="3329">
        <v>5575</v>
      </c>
      <c r="P172" s="3329">
        <v>10285</v>
      </c>
      <c r="Q172" s="3330">
        <v>49</v>
      </c>
      <c r="R172" s="382">
        <v>49398</v>
      </c>
      <c r="S172" s="382">
        <v>5764</v>
      </c>
      <c r="T172" s="3381">
        <v>19908</v>
      </c>
      <c r="U172" s="337"/>
    </row>
    <row r="173" spans="1:21">
      <c r="A173" s="219">
        <v>2007.08</v>
      </c>
      <c r="B173" s="3348">
        <v>482387</v>
      </c>
      <c r="C173" s="2579"/>
      <c r="D173" s="3333">
        <v>482387</v>
      </c>
      <c r="E173" s="3335">
        <v>64099</v>
      </c>
      <c r="F173" s="2579"/>
      <c r="G173" s="3347"/>
      <c r="H173" s="3328">
        <v>11869</v>
      </c>
      <c r="I173" s="3329">
        <v>38</v>
      </c>
      <c r="J173" s="3329">
        <v>7472</v>
      </c>
      <c r="K173" s="3329">
        <v>152</v>
      </c>
      <c r="L173" s="3329">
        <v>2560</v>
      </c>
      <c r="M173" s="3329">
        <v>17083</v>
      </c>
      <c r="N173" s="3329">
        <v>8934</v>
      </c>
      <c r="O173" s="3329">
        <v>5612</v>
      </c>
      <c r="P173" s="3329">
        <v>10331</v>
      </c>
      <c r="Q173" s="3330">
        <v>48</v>
      </c>
      <c r="R173" s="382">
        <v>50214</v>
      </c>
      <c r="S173" s="382">
        <v>5872</v>
      </c>
      <c r="T173" s="3381">
        <v>20214</v>
      </c>
      <c r="U173" s="337"/>
    </row>
    <row r="174" spans="1:21">
      <c r="A174" s="219">
        <v>2007.09</v>
      </c>
      <c r="B174" s="3348">
        <v>485886</v>
      </c>
      <c r="C174" s="2579"/>
      <c r="D174" s="3333">
        <v>485886</v>
      </c>
      <c r="E174" s="3335">
        <v>64629</v>
      </c>
      <c r="F174" s="2579"/>
      <c r="G174" s="3347"/>
      <c r="H174" s="3328">
        <v>11928</v>
      </c>
      <c r="I174" s="3329">
        <v>38</v>
      </c>
      <c r="J174" s="3329">
        <v>7536</v>
      </c>
      <c r="K174" s="3329">
        <v>152</v>
      </c>
      <c r="L174" s="3329">
        <v>2586</v>
      </c>
      <c r="M174" s="3329">
        <v>17231</v>
      </c>
      <c r="N174" s="3329">
        <v>9089</v>
      </c>
      <c r="O174" s="3329">
        <v>5639</v>
      </c>
      <c r="P174" s="3329">
        <v>10383</v>
      </c>
      <c r="Q174" s="3330">
        <v>47</v>
      </c>
      <c r="R174" s="382">
        <v>50451</v>
      </c>
      <c r="S174" s="382">
        <v>5910</v>
      </c>
      <c r="T174" s="3381">
        <v>20415</v>
      </c>
      <c r="U174" s="337"/>
    </row>
    <row r="175" spans="1:21">
      <c r="A175" s="219">
        <v>2007.1</v>
      </c>
      <c r="B175" s="3348">
        <v>488913</v>
      </c>
      <c r="C175" s="2579"/>
      <c r="D175" s="3333">
        <v>488913</v>
      </c>
      <c r="E175" s="3335">
        <v>65052</v>
      </c>
      <c r="F175" s="2579"/>
      <c r="G175" s="3347"/>
      <c r="H175" s="3328">
        <v>11988</v>
      </c>
      <c r="I175" s="3329">
        <v>38</v>
      </c>
      <c r="J175" s="3329">
        <v>7573</v>
      </c>
      <c r="K175" s="3329">
        <v>152</v>
      </c>
      <c r="L175" s="3329">
        <v>2605</v>
      </c>
      <c r="M175" s="3329">
        <v>17352</v>
      </c>
      <c r="N175" s="3329">
        <v>9217</v>
      </c>
      <c r="O175" s="3329">
        <v>5661</v>
      </c>
      <c r="P175" s="3329">
        <v>10419</v>
      </c>
      <c r="Q175" s="3330">
        <v>47</v>
      </c>
      <c r="R175" s="382">
        <v>50855</v>
      </c>
      <c r="S175" s="382">
        <v>5931</v>
      </c>
      <c r="T175" s="3381">
        <v>20561</v>
      </c>
      <c r="U175" s="337"/>
    </row>
    <row r="176" spans="1:21">
      <c r="A176" s="219">
        <v>2007.11</v>
      </c>
      <c r="B176" s="3348">
        <v>492402</v>
      </c>
      <c r="C176" s="2579"/>
      <c r="D176" s="3333">
        <v>492402</v>
      </c>
      <c r="E176" s="3335">
        <v>65474</v>
      </c>
      <c r="F176" s="2579"/>
      <c r="G176" s="3347"/>
      <c r="H176" s="3328">
        <v>12038</v>
      </c>
      <c r="I176" s="3329">
        <v>37</v>
      </c>
      <c r="J176" s="3329">
        <v>7622</v>
      </c>
      <c r="K176" s="3329">
        <v>152</v>
      </c>
      <c r="L176" s="3329">
        <v>2624</v>
      </c>
      <c r="M176" s="3329">
        <v>17473</v>
      </c>
      <c r="N176" s="3329">
        <v>9306</v>
      </c>
      <c r="O176" s="3329">
        <v>5708</v>
      </c>
      <c r="P176" s="3329">
        <v>10466</v>
      </c>
      <c r="Q176" s="3330">
        <v>48</v>
      </c>
      <c r="R176" s="382">
        <v>51262</v>
      </c>
      <c r="S176" s="382">
        <v>5955</v>
      </c>
      <c r="T176" s="3381">
        <v>20667</v>
      </c>
      <c r="U176" s="337"/>
    </row>
    <row r="177" spans="1:21">
      <c r="A177" s="219">
        <v>2007.12</v>
      </c>
      <c r="B177" s="3348">
        <v>495626</v>
      </c>
      <c r="C177" s="2579"/>
      <c r="D177" s="3333">
        <v>495626</v>
      </c>
      <c r="E177" s="3335">
        <v>65775</v>
      </c>
      <c r="F177" s="2579"/>
      <c r="G177" s="3347"/>
      <c r="H177" s="3328">
        <v>12094</v>
      </c>
      <c r="I177" s="3329">
        <v>37</v>
      </c>
      <c r="J177" s="3329">
        <v>7655</v>
      </c>
      <c r="K177" s="3329">
        <v>152</v>
      </c>
      <c r="L177" s="3329">
        <v>2640</v>
      </c>
      <c r="M177" s="3329">
        <v>17563</v>
      </c>
      <c r="N177" s="3329">
        <v>9365</v>
      </c>
      <c r="O177" s="3329">
        <v>5738</v>
      </c>
      <c r="P177" s="3329">
        <v>10483</v>
      </c>
      <c r="Q177" s="3330">
        <v>48</v>
      </c>
      <c r="R177" s="382">
        <v>51420</v>
      </c>
      <c r="S177" s="382">
        <v>5986</v>
      </c>
      <c r="T177" s="3381">
        <v>20659</v>
      </c>
      <c r="U177" s="337"/>
    </row>
    <row r="178" spans="1:21">
      <c r="A178" s="219">
        <f t="shared" ref="A178:A209" si="1">A166+1</f>
        <v>2008.01</v>
      </c>
      <c r="B178" s="3348">
        <v>496343</v>
      </c>
      <c r="C178" s="2579"/>
      <c r="D178" s="3333">
        <v>496343</v>
      </c>
      <c r="E178" s="3335">
        <v>65953</v>
      </c>
      <c r="F178" s="2579"/>
      <c r="G178" s="3347"/>
      <c r="H178" s="3328">
        <v>12129</v>
      </c>
      <c r="I178" s="3329">
        <v>37</v>
      </c>
      <c r="J178" s="3329">
        <v>7645</v>
      </c>
      <c r="K178" s="3329">
        <v>152</v>
      </c>
      <c r="L178" s="3329">
        <v>2642</v>
      </c>
      <c r="M178" s="3329">
        <v>17627</v>
      </c>
      <c r="N178" s="3329">
        <v>9416</v>
      </c>
      <c r="O178" s="3329">
        <v>5755</v>
      </c>
      <c r="P178" s="3329">
        <v>10501</v>
      </c>
      <c r="Q178" s="3330">
        <v>49</v>
      </c>
      <c r="R178" s="382">
        <v>50925</v>
      </c>
      <c r="S178" s="382">
        <v>5973</v>
      </c>
      <c r="T178" s="3381">
        <v>20562</v>
      </c>
      <c r="U178" s="337"/>
    </row>
    <row r="179" spans="1:21">
      <c r="A179" s="219">
        <f t="shared" si="1"/>
        <v>2008.02</v>
      </c>
      <c r="B179" s="3348">
        <v>495101</v>
      </c>
      <c r="C179" s="2579"/>
      <c r="D179" s="3333">
        <v>495101</v>
      </c>
      <c r="E179" s="3335">
        <v>65994</v>
      </c>
      <c r="F179" s="2579"/>
      <c r="G179" s="3347"/>
      <c r="H179" s="3328">
        <v>12137</v>
      </c>
      <c r="I179" s="3329">
        <v>37</v>
      </c>
      <c r="J179" s="3329">
        <v>7638</v>
      </c>
      <c r="K179" s="3329">
        <v>152</v>
      </c>
      <c r="L179" s="3329">
        <v>2639</v>
      </c>
      <c r="M179" s="3329">
        <v>17662</v>
      </c>
      <c r="N179" s="3329">
        <v>9427</v>
      </c>
      <c r="O179" s="3329">
        <v>5774</v>
      </c>
      <c r="P179" s="3329">
        <v>10478</v>
      </c>
      <c r="Q179" s="3330">
        <v>50</v>
      </c>
      <c r="R179" s="382">
        <v>49964</v>
      </c>
      <c r="S179" s="382">
        <v>5925</v>
      </c>
      <c r="T179" s="3381">
        <v>20283</v>
      </c>
      <c r="U179" s="337"/>
    </row>
    <row r="180" spans="1:21">
      <c r="A180" s="219">
        <f t="shared" si="1"/>
        <v>2008.03</v>
      </c>
      <c r="B180" s="3348">
        <v>498060</v>
      </c>
      <c r="C180" s="2579"/>
      <c r="D180" s="3333">
        <v>498060</v>
      </c>
      <c r="E180" s="3335">
        <v>66300</v>
      </c>
      <c r="F180" s="2579"/>
      <c r="G180" s="3347"/>
      <c r="H180" s="3328">
        <v>12202</v>
      </c>
      <c r="I180" s="3329">
        <v>37</v>
      </c>
      <c r="J180" s="3329">
        <v>7666</v>
      </c>
      <c r="K180" s="3329">
        <v>152</v>
      </c>
      <c r="L180" s="3329">
        <v>2649</v>
      </c>
      <c r="M180" s="3329">
        <v>17767</v>
      </c>
      <c r="N180" s="3329">
        <v>9473</v>
      </c>
      <c r="O180" s="3329">
        <v>5798</v>
      </c>
      <c r="P180" s="3329">
        <v>10506</v>
      </c>
      <c r="Q180" s="3330">
        <v>50</v>
      </c>
      <c r="R180" s="382">
        <v>51792</v>
      </c>
      <c r="S180" s="382">
        <v>6060</v>
      </c>
      <c r="T180" s="3381">
        <v>20761</v>
      </c>
      <c r="U180" s="337"/>
    </row>
    <row r="181" spans="1:21">
      <c r="A181" s="219">
        <f t="shared" si="1"/>
        <v>2008.04</v>
      </c>
      <c r="B181" s="3348">
        <v>498702</v>
      </c>
      <c r="C181" s="2579"/>
      <c r="D181" s="3333">
        <v>498702</v>
      </c>
      <c r="E181" s="3335">
        <v>66697</v>
      </c>
      <c r="F181" s="2579"/>
      <c r="G181" s="3347"/>
      <c r="H181" s="3328">
        <v>12257</v>
      </c>
      <c r="I181" s="3329">
        <v>37</v>
      </c>
      <c r="J181" s="3329">
        <v>7702</v>
      </c>
      <c r="K181" s="3329">
        <v>152</v>
      </c>
      <c r="L181" s="3329">
        <v>2672</v>
      </c>
      <c r="M181" s="3329">
        <v>17885</v>
      </c>
      <c r="N181" s="3329">
        <v>9556</v>
      </c>
      <c r="O181" s="3329">
        <v>5824</v>
      </c>
      <c r="P181" s="3329">
        <v>10562</v>
      </c>
      <c r="Q181" s="3330">
        <v>50</v>
      </c>
      <c r="R181" s="382">
        <v>52139</v>
      </c>
      <c r="S181" s="382">
        <v>6139</v>
      </c>
      <c r="T181" s="3381">
        <v>20858</v>
      </c>
      <c r="U181" s="337"/>
    </row>
    <row r="182" spans="1:21">
      <c r="A182" s="219">
        <f t="shared" si="1"/>
        <v>2008.05</v>
      </c>
      <c r="B182" s="3348">
        <v>499871</v>
      </c>
      <c r="C182" s="2579"/>
      <c r="D182" s="3333">
        <v>499871</v>
      </c>
      <c r="E182" s="3335">
        <v>66942</v>
      </c>
      <c r="F182" s="2579"/>
      <c r="G182" s="3347"/>
      <c r="H182" s="3328">
        <v>12280</v>
      </c>
      <c r="I182" s="3329">
        <v>37</v>
      </c>
      <c r="J182" s="3329">
        <v>7703</v>
      </c>
      <c r="K182" s="3329">
        <v>153</v>
      </c>
      <c r="L182" s="3329">
        <v>2696</v>
      </c>
      <c r="M182" s="3329">
        <v>17998</v>
      </c>
      <c r="N182" s="3329">
        <v>9585</v>
      </c>
      <c r="O182" s="3329">
        <v>5842</v>
      </c>
      <c r="P182" s="3329">
        <v>10597</v>
      </c>
      <c r="Q182" s="3330">
        <v>51</v>
      </c>
      <c r="R182" s="382">
        <v>52197</v>
      </c>
      <c r="S182" s="382">
        <v>6167</v>
      </c>
      <c r="T182" s="3381">
        <v>20950</v>
      </c>
      <c r="U182" s="337"/>
    </row>
    <row r="183" spans="1:21">
      <c r="A183" s="219">
        <f t="shared" si="1"/>
        <v>2008.06</v>
      </c>
      <c r="B183" s="3348">
        <v>502863</v>
      </c>
      <c r="C183" s="2579"/>
      <c r="D183" s="3333">
        <v>502863</v>
      </c>
      <c r="E183" s="3335">
        <v>67220</v>
      </c>
      <c r="F183" s="2579"/>
      <c r="G183" s="3347"/>
      <c r="H183" s="3328">
        <v>12305</v>
      </c>
      <c r="I183" s="3329">
        <v>37</v>
      </c>
      <c r="J183" s="3329">
        <v>7718</v>
      </c>
      <c r="K183" s="3329">
        <v>152</v>
      </c>
      <c r="L183" s="3329">
        <v>2732</v>
      </c>
      <c r="M183" s="3329">
        <v>18113</v>
      </c>
      <c r="N183" s="3329">
        <v>9607</v>
      </c>
      <c r="O183" s="3329">
        <v>5867</v>
      </c>
      <c r="P183" s="3329">
        <v>10638</v>
      </c>
      <c r="Q183" s="3330">
        <v>51</v>
      </c>
      <c r="R183" s="382">
        <v>52117</v>
      </c>
      <c r="S183" s="382">
        <v>6183</v>
      </c>
      <c r="T183" s="3381">
        <v>21028</v>
      </c>
      <c r="U183" s="337"/>
    </row>
    <row r="184" spans="1:21">
      <c r="A184" s="219">
        <f t="shared" si="1"/>
        <v>2008.07</v>
      </c>
      <c r="B184" s="3348">
        <v>504213</v>
      </c>
      <c r="C184" s="2579"/>
      <c r="D184" s="3333">
        <v>504213</v>
      </c>
      <c r="E184" s="3335">
        <v>67689</v>
      </c>
      <c r="F184" s="2579"/>
      <c r="G184" s="3347"/>
      <c r="H184" s="3328">
        <v>12378</v>
      </c>
      <c r="I184" s="3329">
        <v>37</v>
      </c>
      <c r="J184" s="3329">
        <v>7763</v>
      </c>
      <c r="K184" s="3329">
        <v>153</v>
      </c>
      <c r="L184" s="3329">
        <v>2760</v>
      </c>
      <c r="M184" s="3329">
        <v>18266</v>
      </c>
      <c r="N184" s="3329">
        <v>9679</v>
      </c>
      <c r="O184" s="3329">
        <v>5918</v>
      </c>
      <c r="P184" s="3329">
        <v>10684</v>
      </c>
      <c r="Q184" s="3330">
        <v>51</v>
      </c>
      <c r="R184" s="382">
        <v>52188</v>
      </c>
      <c r="S184" s="382">
        <v>6222</v>
      </c>
      <c r="T184" s="3381">
        <v>21037</v>
      </c>
      <c r="U184" s="337"/>
    </row>
    <row r="185" spans="1:21">
      <c r="A185" s="219">
        <f t="shared" si="1"/>
        <v>2008.08</v>
      </c>
      <c r="B185" s="3348">
        <v>505448</v>
      </c>
      <c r="C185" s="2579"/>
      <c r="D185" s="3333">
        <v>505448</v>
      </c>
      <c r="E185" s="3335">
        <v>67697</v>
      </c>
      <c r="F185" s="2579"/>
      <c r="G185" s="3347"/>
      <c r="H185" s="3328">
        <v>12382</v>
      </c>
      <c r="I185" s="3329">
        <v>37</v>
      </c>
      <c r="J185" s="3329">
        <v>7731</v>
      </c>
      <c r="K185" s="3329">
        <v>153</v>
      </c>
      <c r="L185" s="3329">
        <v>2754</v>
      </c>
      <c r="M185" s="3329">
        <v>18279</v>
      </c>
      <c r="N185" s="3329">
        <v>9704</v>
      </c>
      <c r="O185" s="3329">
        <v>5924</v>
      </c>
      <c r="P185" s="3329">
        <v>10682</v>
      </c>
      <c r="Q185" s="3330">
        <v>51</v>
      </c>
      <c r="R185" s="382">
        <v>52398</v>
      </c>
      <c r="S185" s="382">
        <v>6272</v>
      </c>
      <c r="T185" s="3381">
        <v>21150</v>
      </c>
      <c r="U185" s="337"/>
    </row>
    <row r="186" spans="1:21">
      <c r="A186" s="219">
        <f t="shared" si="1"/>
        <v>2008.09</v>
      </c>
      <c r="B186" s="3348">
        <v>507936</v>
      </c>
      <c r="C186" s="2579"/>
      <c r="D186" s="3333">
        <v>507936</v>
      </c>
      <c r="E186" s="3335">
        <v>68166</v>
      </c>
      <c r="F186" s="2579"/>
      <c r="G186" s="3347"/>
      <c r="H186" s="3328">
        <v>12435</v>
      </c>
      <c r="I186" s="3329">
        <v>38</v>
      </c>
      <c r="J186" s="3329">
        <v>7782</v>
      </c>
      <c r="K186" s="3329">
        <v>155</v>
      </c>
      <c r="L186" s="3329">
        <v>2782</v>
      </c>
      <c r="M186" s="3329">
        <v>18448</v>
      </c>
      <c r="N186" s="3329">
        <v>9768</v>
      </c>
      <c r="O186" s="3329">
        <v>5987</v>
      </c>
      <c r="P186" s="3329">
        <v>10721</v>
      </c>
      <c r="Q186" s="3330">
        <v>50</v>
      </c>
      <c r="R186" s="382">
        <v>52670</v>
      </c>
      <c r="S186" s="382">
        <v>6321</v>
      </c>
      <c r="T186" s="3381">
        <v>21252</v>
      </c>
      <c r="U186" s="337"/>
    </row>
    <row r="187" spans="1:21">
      <c r="A187" s="219">
        <f t="shared" si="1"/>
        <v>2008.1</v>
      </c>
      <c r="B187" s="3348">
        <v>510868</v>
      </c>
      <c r="C187" s="2579"/>
      <c r="D187" s="3333">
        <v>510868</v>
      </c>
      <c r="E187" s="3335">
        <v>68698</v>
      </c>
      <c r="F187" s="2579"/>
      <c r="G187" s="3347"/>
      <c r="H187" s="3328">
        <v>12476</v>
      </c>
      <c r="I187" s="3329">
        <v>38</v>
      </c>
      <c r="J187" s="3329">
        <v>7823</v>
      </c>
      <c r="K187" s="3329">
        <v>155</v>
      </c>
      <c r="L187" s="3329">
        <v>2821</v>
      </c>
      <c r="M187" s="3329">
        <v>18655</v>
      </c>
      <c r="N187" s="3329">
        <v>9873</v>
      </c>
      <c r="O187" s="3329">
        <v>6046</v>
      </c>
      <c r="P187" s="3329">
        <v>10763</v>
      </c>
      <c r="Q187" s="3330">
        <v>48</v>
      </c>
      <c r="R187" s="382">
        <v>52904</v>
      </c>
      <c r="S187" s="382">
        <v>6358</v>
      </c>
      <c r="T187" s="3381">
        <v>21339</v>
      </c>
      <c r="U187" s="337"/>
    </row>
    <row r="188" spans="1:21">
      <c r="A188" s="219">
        <f t="shared" si="1"/>
        <v>2008.11</v>
      </c>
      <c r="B188" s="3348">
        <v>513887</v>
      </c>
      <c r="C188" s="2579"/>
      <c r="D188" s="3333">
        <v>513887</v>
      </c>
      <c r="E188" s="3335">
        <v>69178</v>
      </c>
      <c r="F188" s="2579"/>
      <c r="G188" s="3347"/>
      <c r="H188" s="3328">
        <v>12548</v>
      </c>
      <c r="I188" s="3329">
        <v>38</v>
      </c>
      <c r="J188" s="3329">
        <v>7852</v>
      </c>
      <c r="K188" s="3329">
        <v>155</v>
      </c>
      <c r="L188" s="3329">
        <v>2850</v>
      </c>
      <c r="M188" s="3329">
        <v>18838</v>
      </c>
      <c r="N188" s="3329">
        <v>9954</v>
      </c>
      <c r="O188" s="3329">
        <v>6070</v>
      </c>
      <c r="P188" s="3329">
        <v>10826</v>
      </c>
      <c r="Q188" s="3330">
        <v>47</v>
      </c>
      <c r="R188" s="382">
        <v>53207</v>
      </c>
      <c r="S188" s="382">
        <v>6365</v>
      </c>
      <c r="T188" s="3381">
        <v>21375</v>
      </c>
      <c r="U188" s="337"/>
    </row>
    <row r="189" spans="1:21">
      <c r="A189" s="219">
        <f t="shared" si="1"/>
        <v>2008.12</v>
      </c>
      <c r="B189" s="3348">
        <v>514455</v>
      </c>
      <c r="C189" s="2579"/>
      <c r="D189" s="3333">
        <v>514455</v>
      </c>
      <c r="E189" s="3335">
        <v>69340</v>
      </c>
      <c r="F189" s="2579"/>
      <c r="G189" s="3347"/>
      <c r="H189" s="3328">
        <v>12583</v>
      </c>
      <c r="I189" s="3329">
        <v>37</v>
      </c>
      <c r="J189" s="3329">
        <v>7839</v>
      </c>
      <c r="K189" s="3329">
        <v>155</v>
      </c>
      <c r="L189" s="3329">
        <v>2857</v>
      </c>
      <c r="M189" s="3329">
        <v>18892</v>
      </c>
      <c r="N189" s="3329">
        <v>10014</v>
      </c>
      <c r="O189" s="3329">
        <v>6082</v>
      </c>
      <c r="P189" s="3329">
        <v>10833</v>
      </c>
      <c r="Q189" s="3330">
        <v>48</v>
      </c>
      <c r="R189" s="382">
        <v>53161</v>
      </c>
      <c r="S189" s="382">
        <v>6374</v>
      </c>
      <c r="T189" s="3381">
        <v>21383</v>
      </c>
      <c r="U189" s="337"/>
    </row>
    <row r="190" spans="1:21">
      <c r="A190" s="219">
        <f t="shared" si="1"/>
        <v>2009.01</v>
      </c>
      <c r="B190" s="3348">
        <v>514133</v>
      </c>
      <c r="C190" s="2579"/>
      <c r="D190" s="3333">
        <v>514133</v>
      </c>
      <c r="E190" s="3335">
        <v>69572</v>
      </c>
      <c r="F190" s="2579"/>
      <c r="G190" s="3347"/>
      <c r="H190" s="3328">
        <v>12605</v>
      </c>
      <c r="I190" s="3329">
        <v>36</v>
      </c>
      <c r="J190" s="3329">
        <v>7845</v>
      </c>
      <c r="K190" s="3329">
        <v>154</v>
      </c>
      <c r="L190" s="3329">
        <v>2886</v>
      </c>
      <c r="M190" s="3329">
        <v>19001</v>
      </c>
      <c r="N190" s="3329">
        <v>10032</v>
      </c>
      <c r="O190" s="3329">
        <v>6100</v>
      </c>
      <c r="P190" s="3329">
        <v>10865</v>
      </c>
      <c r="Q190" s="3330">
        <v>48</v>
      </c>
      <c r="R190" s="382">
        <v>52676</v>
      </c>
      <c r="S190" s="382">
        <v>6322</v>
      </c>
      <c r="T190" s="3381">
        <v>21311</v>
      </c>
      <c r="U190" s="337"/>
    </row>
    <row r="191" spans="1:21">
      <c r="A191" s="219">
        <f t="shared" si="1"/>
        <v>2009.02</v>
      </c>
      <c r="B191" s="3348">
        <v>513306</v>
      </c>
      <c r="C191" s="2579"/>
      <c r="D191" s="3333">
        <v>513306</v>
      </c>
      <c r="E191" s="3335">
        <v>69787</v>
      </c>
      <c r="F191" s="2579"/>
      <c r="G191" s="3347"/>
      <c r="H191" s="3328">
        <v>12633</v>
      </c>
      <c r="I191" s="3329">
        <v>36</v>
      </c>
      <c r="J191" s="3329">
        <v>7867</v>
      </c>
      <c r="K191" s="3329">
        <v>154</v>
      </c>
      <c r="L191" s="3329">
        <v>2905</v>
      </c>
      <c r="M191" s="3329">
        <v>19079</v>
      </c>
      <c r="N191" s="3329">
        <v>10063</v>
      </c>
      <c r="O191" s="3329">
        <v>6107</v>
      </c>
      <c r="P191" s="3329">
        <v>10896</v>
      </c>
      <c r="Q191" s="3330">
        <v>47</v>
      </c>
      <c r="R191" s="382">
        <v>52657</v>
      </c>
      <c r="S191" s="382">
        <v>6376</v>
      </c>
      <c r="T191" s="3381">
        <v>21318</v>
      </c>
      <c r="U191" s="337"/>
    </row>
    <row r="192" spans="1:21">
      <c r="A192" s="219">
        <f t="shared" si="1"/>
        <v>2009.03</v>
      </c>
      <c r="B192" s="3348">
        <v>511066</v>
      </c>
      <c r="C192" s="2579"/>
      <c r="D192" s="3333">
        <v>511066</v>
      </c>
      <c r="E192" s="3335">
        <v>69634</v>
      </c>
      <c r="F192" s="2579"/>
      <c r="G192" s="3347"/>
      <c r="H192" s="3328">
        <v>12602</v>
      </c>
      <c r="I192" s="3329">
        <v>36</v>
      </c>
      <c r="J192" s="3329">
        <v>7842</v>
      </c>
      <c r="K192" s="3329">
        <v>154</v>
      </c>
      <c r="L192" s="3329">
        <v>2889</v>
      </c>
      <c r="M192" s="3329">
        <v>19025</v>
      </c>
      <c r="N192" s="3329">
        <v>10080</v>
      </c>
      <c r="O192" s="3329">
        <v>6099</v>
      </c>
      <c r="P192" s="3329">
        <v>10860</v>
      </c>
      <c r="Q192" s="3330">
        <v>47</v>
      </c>
      <c r="R192" s="382">
        <v>53085</v>
      </c>
      <c r="S192" s="382">
        <v>6374</v>
      </c>
      <c r="T192" s="3381">
        <v>21337</v>
      </c>
      <c r="U192" s="337"/>
    </row>
    <row r="193" spans="1:21">
      <c r="A193" s="219">
        <f t="shared" si="1"/>
        <v>2009.04</v>
      </c>
      <c r="B193" s="3348">
        <v>509938</v>
      </c>
      <c r="C193" s="2579"/>
      <c r="D193" s="3333">
        <v>509938</v>
      </c>
      <c r="E193" s="3335">
        <v>69939</v>
      </c>
      <c r="F193" s="2579"/>
      <c r="G193" s="3347"/>
      <c r="H193" s="3328">
        <v>12640</v>
      </c>
      <c r="I193" s="3329">
        <v>36</v>
      </c>
      <c r="J193" s="3329">
        <v>7874</v>
      </c>
      <c r="K193" s="3329">
        <v>154</v>
      </c>
      <c r="L193" s="3329">
        <v>2898</v>
      </c>
      <c r="M193" s="3329">
        <v>19099</v>
      </c>
      <c r="N193" s="3329">
        <v>10151</v>
      </c>
      <c r="O193" s="3329">
        <v>6131</v>
      </c>
      <c r="P193" s="3329">
        <v>10909</v>
      </c>
      <c r="Q193" s="3330">
        <v>47</v>
      </c>
      <c r="R193" s="382">
        <v>53109</v>
      </c>
      <c r="S193" s="382">
        <v>6390</v>
      </c>
      <c r="T193" s="3381">
        <v>21321</v>
      </c>
      <c r="U193" s="337"/>
    </row>
    <row r="194" spans="1:21">
      <c r="A194" s="219">
        <f t="shared" si="1"/>
        <v>2009.05</v>
      </c>
      <c r="B194" s="3348">
        <v>509702</v>
      </c>
      <c r="C194" s="2579"/>
      <c r="D194" s="3333">
        <v>509702</v>
      </c>
      <c r="E194" s="3335">
        <v>70318</v>
      </c>
      <c r="F194" s="2579"/>
      <c r="G194" s="3347"/>
      <c r="H194" s="3328">
        <v>12660</v>
      </c>
      <c r="I194" s="3329">
        <v>36</v>
      </c>
      <c r="J194" s="3329">
        <v>7895</v>
      </c>
      <c r="K194" s="3329">
        <v>154</v>
      </c>
      <c r="L194" s="3329">
        <v>2933</v>
      </c>
      <c r="M194" s="3329">
        <v>19262</v>
      </c>
      <c r="N194" s="3329">
        <v>10232</v>
      </c>
      <c r="O194" s="3329">
        <v>6154</v>
      </c>
      <c r="P194" s="3329">
        <v>10945</v>
      </c>
      <c r="Q194" s="3330">
        <v>47</v>
      </c>
      <c r="R194" s="382">
        <v>52969</v>
      </c>
      <c r="S194" s="382">
        <v>6425</v>
      </c>
      <c r="T194" s="3381">
        <v>21280</v>
      </c>
      <c r="U194" s="337"/>
    </row>
    <row r="195" spans="1:21">
      <c r="A195" s="219">
        <f t="shared" si="1"/>
        <v>2009.06</v>
      </c>
      <c r="B195" s="3348">
        <v>508803</v>
      </c>
      <c r="C195" s="2579"/>
      <c r="D195" s="3333">
        <v>508803</v>
      </c>
      <c r="E195" s="3335">
        <v>70490</v>
      </c>
      <c r="F195" s="2579"/>
      <c r="G195" s="3347"/>
      <c r="H195" s="3328">
        <v>12649</v>
      </c>
      <c r="I195" s="3329">
        <v>35</v>
      </c>
      <c r="J195" s="3329">
        <v>7903</v>
      </c>
      <c r="K195" s="3329">
        <v>154</v>
      </c>
      <c r="L195" s="3329">
        <v>2948</v>
      </c>
      <c r="M195" s="3329">
        <v>19333</v>
      </c>
      <c r="N195" s="3329">
        <v>10286</v>
      </c>
      <c r="O195" s="3329">
        <v>6176</v>
      </c>
      <c r="P195" s="3329">
        <v>10959</v>
      </c>
      <c r="Q195" s="3330">
        <v>47</v>
      </c>
      <c r="R195" s="382">
        <v>52714</v>
      </c>
      <c r="S195" s="382">
        <v>6474</v>
      </c>
      <c r="T195" s="3381">
        <v>21293</v>
      </c>
      <c r="U195" s="337"/>
    </row>
    <row r="196" spans="1:21">
      <c r="A196" s="219">
        <f t="shared" si="1"/>
        <v>2009.07</v>
      </c>
      <c r="B196" s="3348">
        <v>508310</v>
      </c>
      <c r="C196" s="2579"/>
      <c r="D196" s="3333">
        <v>508310</v>
      </c>
      <c r="E196" s="3335">
        <v>70740</v>
      </c>
      <c r="F196" s="2579"/>
      <c r="G196" s="3347"/>
      <c r="H196" s="3328">
        <v>12669</v>
      </c>
      <c r="I196" s="3329">
        <v>36</v>
      </c>
      <c r="J196" s="3329">
        <v>7908</v>
      </c>
      <c r="K196" s="3329">
        <v>152</v>
      </c>
      <c r="L196" s="3329">
        <v>2968</v>
      </c>
      <c r="M196" s="3329">
        <v>19429</v>
      </c>
      <c r="N196" s="3329">
        <v>10326</v>
      </c>
      <c r="O196" s="3329">
        <v>6211</v>
      </c>
      <c r="P196" s="3329">
        <v>10995</v>
      </c>
      <c r="Q196" s="3330">
        <v>46</v>
      </c>
      <c r="R196" s="382">
        <v>52525</v>
      </c>
      <c r="S196" s="382">
        <v>6477</v>
      </c>
      <c r="T196" s="3381">
        <v>21262</v>
      </c>
      <c r="U196" s="337"/>
    </row>
    <row r="197" spans="1:21">
      <c r="A197" s="219">
        <f t="shared" si="1"/>
        <v>2009.08</v>
      </c>
      <c r="B197" s="3348">
        <v>507688</v>
      </c>
      <c r="C197" s="2579"/>
      <c r="D197" s="3333">
        <v>507688</v>
      </c>
      <c r="E197" s="3335">
        <v>70892</v>
      </c>
      <c r="F197" s="2579"/>
      <c r="G197" s="3347"/>
      <c r="H197" s="3328">
        <v>12664</v>
      </c>
      <c r="I197" s="3329">
        <v>38</v>
      </c>
      <c r="J197" s="3329">
        <v>7909</v>
      </c>
      <c r="K197" s="3329">
        <v>152</v>
      </c>
      <c r="L197" s="3329">
        <v>2981</v>
      </c>
      <c r="M197" s="3329">
        <v>19488</v>
      </c>
      <c r="N197" s="3329">
        <v>10344</v>
      </c>
      <c r="O197" s="3329">
        <v>6240</v>
      </c>
      <c r="P197" s="3329">
        <v>11031</v>
      </c>
      <c r="Q197" s="3330">
        <v>45</v>
      </c>
      <c r="R197" s="382">
        <v>52499</v>
      </c>
      <c r="S197" s="382">
        <v>6491</v>
      </c>
      <c r="T197" s="3381">
        <v>21353</v>
      </c>
      <c r="U197" s="337"/>
    </row>
    <row r="198" spans="1:21">
      <c r="A198" s="219">
        <f t="shared" si="1"/>
        <v>2009.09</v>
      </c>
      <c r="B198" s="3348">
        <v>506756</v>
      </c>
      <c r="C198" s="2579"/>
      <c r="D198" s="3333">
        <v>506756</v>
      </c>
      <c r="E198" s="3335">
        <v>70873</v>
      </c>
      <c r="F198" s="2579"/>
      <c r="G198" s="3347"/>
      <c r="H198" s="3328">
        <v>12652</v>
      </c>
      <c r="I198" s="3329">
        <v>38</v>
      </c>
      <c r="J198" s="3329">
        <v>7873</v>
      </c>
      <c r="K198" s="3329">
        <v>152</v>
      </c>
      <c r="L198" s="3329">
        <v>2967</v>
      </c>
      <c r="M198" s="3329">
        <v>19746</v>
      </c>
      <c r="N198" s="3329">
        <v>10298</v>
      </c>
      <c r="O198" s="3329">
        <v>6311</v>
      </c>
      <c r="P198" s="3329">
        <v>10791</v>
      </c>
      <c r="Q198" s="3330">
        <v>45</v>
      </c>
      <c r="R198" s="382">
        <v>52524</v>
      </c>
      <c r="S198" s="382">
        <v>6535</v>
      </c>
      <c r="T198" s="3381">
        <v>21372</v>
      </c>
      <c r="U198" s="337"/>
    </row>
    <row r="199" spans="1:21">
      <c r="A199" s="219">
        <f t="shared" si="1"/>
        <v>2009.1</v>
      </c>
      <c r="B199" s="3348">
        <v>507925</v>
      </c>
      <c r="C199" s="2579"/>
      <c r="D199" s="3333">
        <v>507925</v>
      </c>
      <c r="E199" s="3335">
        <v>71070</v>
      </c>
      <c r="F199" s="2579"/>
      <c r="G199" s="3347"/>
      <c r="H199" s="3328">
        <v>12680</v>
      </c>
      <c r="I199" s="3329">
        <v>38</v>
      </c>
      <c r="J199" s="3329">
        <v>7894</v>
      </c>
      <c r="K199" s="3329">
        <v>152</v>
      </c>
      <c r="L199" s="3329">
        <v>2993</v>
      </c>
      <c r="M199" s="3329">
        <v>19835</v>
      </c>
      <c r="N199" s="3329">
        <v>10306</v>
      </c>
      <c r="O199" s="3329">
        <v>6323</v>
      </c>
      <c r="P199" s="3329">
        <v>10806</v>
      </c>
      <c r="Q199" s="3330">
        <v>43</v>
      </c>
      <c r="R199" s="382">
        <v>52725</v>
      </c>
      <c r="S199" s="382">
        <v>6575</v>
      </c>
      <c r="T199" s="3381">
        <v>21465</v>
      </c>
      <c r="U199" s="337"/>
    </row>
    <row r="200" spans="1:21">
      <c r="A200" s="219">
        <f t="shared" si="1"/>
        <v>2009.11</v>
      </c>
      <c r="B200" s="3348">
        <v>509624</v>
      </c>
      <c r="C200" s="2579"/>
      <c r="D200" s="3333">
        <v>509624</v>
      </c>
      <c r="E200" s="3335">
        <v>71378</v>
      </c>
      <c r="F200" s="2579"/>
      <c r="G200" s="3347"/>
      <c r="H200" s="3328">
        <v>12719</v>
      </c>
      <c r="I200" s="3329">
        <v>38</v>
      </c>
      <c r="J200" s="3329">
        <v>7927</v>
      </c>
      <c r="K200" s="3329">
        <v>152</v>
      </c>
      <c r="L200" s="3329">
        <v>3017</v>
      </c>
      <c r="M200" s="3329">
        <v>19954</v>
      </c>
      <c r="N200" s="3329">
        <v>10345</v>
      </c>
      <c r="O200" s="3329">
        <v>6346</v>
      </c>
      <c r="P200" s="3329">
        <v>10836</v>
      </c>
      <c r="Q200" s="3330">
        <v>44</v>
      </c>
      <c r="R200" s="382">
        <v>52851</v>
      </c>
      <c r="S200" s="382">
        <v>6582</v>
      </c>
      <c r="T200" s="3381">
        <v>21527</v>
      </c>
      <c r="U200" s="337"/>
    </row>
    <row r="201" spans="1:21">
      <c r="A201" s="219">
        <f t="shared" si="1"/>
        <v>2009.12</v>
      </c>
      <c r="B201" s="3348">
        <v>509686</v>
      </c>
      <c r="C201" s="2579"/>
      <c r="D201" s="3333">
        <v>509686</v>
      </c>
      <c r="E201" s="3335">
        <v>71654</v>
      </c>
      <c r="F201" s="2579"/>
      <c r="G201" s="3347"/>
      <c r="H201" s="3328">
        <v>12741</v>
      </c>
      <c r="I201" s="3329">
        <v>38</v>
      </c>
      <c r="J201" s="3329">
        <v>7938</v>
      </c>
      <c r="K201" s="3329">
        <v>152</v>
      </c>
      <c r="L201" s="3329">
        <v>3049</v>
      </c>
      <c r="M201" s="3329">
        <v>20101</v>
      </c>
      <c r="N201" s="3329">
        <v>10359</v>
      </c>
      <c r="O201" s="3329">
        <v>6366</v>
      </c>
      <c r="P201" s="3329">
        <v>10866</v>
      </c>
      <c r="Q201" s="3330">
        <v>44</v>
      </c>
      <c r="R201" s="382">
        <v>52803</v>
      </c>
      <c r="S201" s="382">
        <v>6561</v>
      </c>
      <c r="T201" s="3381">
        <v>21543</v>
      </c>
      <c r="U201" s="337"/>
    </row>
    <row r="202" spans="1:21">
      <c r="A202" s="219">
        <f t="shared" si="1"/>
        <v>2010.01</v>
      </c>
      <c r="B202" s="3348">
        <v>509904</v>
      </c>
      <c r="C202" s="2579"/>
      <c r="D202" s="3333">
        <v>509904</v>
      </c>
      <c r="E202" s="3335">
        <v>71725</v>
      </c>
      <c r="F202" s="2579"/>
      <c r="G202" s="3347"/>
      <c r="H202" s="3328">
        <v>12703</v>
      </c>
      <c r="I202" s="3329">
        <v>38</v>
      </c>
      <c r="J202" s="3329">
        <v>7924</v>
      </c>
      <c r="K202" s="3329">
        <v>154</v>
      </c>
      <c r="L202" s="3329">
        <v>3046</v>
      </c>
      <c r="M202" s="3329">
        <v>19882</v>
      </c>
      <c r="N202" s="3329">
        <v>10328</v>
      </c>
      <c r="O202" s="3329">
        <v>6349</v>
      </c>
      <c r="P202" s="3329">
        <v>11136</v>
      </c>
      <c r="Q202" s="3330">
        <v>165</v>
      </c>
      <c r="R202" s="382">
        <v>52499</v>
      </c>
      <c r="S202" s="382">
        <v>6547</v>
      </c>
      <c r="T202" s="3381">
        <v>21448</v>
      </c>
      <c r="U202" s="337"/>
    </row>
    <row r="203" spans="1:21">
      <c r="A203" s="219">
        <f t="shared" si="1"/>
        <v>2010.02</v>
      </c>
      <c r="B203" s="3348">
        <v>508671</v>
      </c>
      <c r="C203" s="2579"/>
      <c r="D203" s="3333">
        <v>508671</v>
      </c>
      <c r="E203" s="3335">
        <v>71685</v>
      </c>
      <c r="F203" s="2579"/>
      <c r="G203" s="3347"/>
      <c r="H203" s="3328">
        <v>12705</v>
      </c>
      <c r="I203" s="3329">
        <v>38</v>
      </c>
      <c r="J203" s="3329">
        <v>7886</v>
      </c>
      <c r="K203" s="3329">
        <v>154</v>
      </c>
      <c r="L203" s="3329">
        <v>3046</v>
      </c>
      <c r="M203" s="3329">
        <v>19876</v>
      </c>
      <c r="N203" s="3329">
        <v>10241</v>
      </c>
      <c r="O203" s="3329">
        <v>6461</v>
      </c>
      <c r="P203" s="3329">
        <v>11120</v>
      </c>
      <c r="Q203" s="3330">
        <v>158</v>
      </c>
      <c r="R203" s="382">
        <v>52513</v>
      </c>
      <c r="S203" s="382">
        <v>6577</v>
      </c>
      <c r="T203" s="3381">
        <v>21482</v>
      </c>
      <c r="U203" s="337"/>
    </row>
    <row r="204" spans="1:21">
      <c r="A204" s="219">
        <f t="shared" si="1"/>
        <v>2010.03</v>
      </c>
      <c r="B204" s="3348">
        <v>508834</v>
      </c>
      <c r="C204" s="2579"/>
      <c r="D204" s="3333">
        <v>508834</v>
      </c>
      <c r="E204" s="3335">
        <v>72115</v>
      </c>
      <c r="F204" s="2579"/>
      <c r="G204" s="3347"/>
      <c r="H204" s="3328">
        <v>12763</v>
      </c>
      <c r="I204" s="3329">
        <v>37</v>
      </c>
      <c r="J204" s="3329">
        <v>7898</v>
      </c>
      <c r="K204" s="3329">
        <v>156</v>
      </c>
      <c r="L204" s="3329">
        <v>3077</v>
      </c>
      <c r="M204" s="3329">
        <v>20018</v>
      </c>
      <c r="N204" s="3329">
        <v>10328</v>
      </c>
      <c r="O204" s="3329">
        <v>6496</v>
      </c>
      <c r="P204" s="3329">
        <v>11188</v>
      </c>
      <c r="Q204" s="3330">
        <v>154</v>
      </c>
      <c r="R204" s="382">
        <v>53221</v>
      </c>
      <c r="S204" s="382">
        <v>6597</v>
      </c>
      <c r="T204" s="3381">
        <v>21536</v>
      </c>
      <c r="U204" s="337"/>
    </row>
    <row r="205" spans="1:21">
      <c r="A205" s="219">
        <f t="shared" si="1"/>
        <v>2010.04</v>
      </c>
      <c r="B205" s="3348">
        <v>509830</v>
      </c>
      <c r="C205" s="2579"/>
      <c r="D205" s="3333">
        <v>509830</v>
      </c>
      <c r="E205" s="3335">
        <v>75942</v>
      </c>
      <c r="F205" s="2579"/>
      <c r="G205" s="3347"/>
      <c r="H205" s="3328">
        <v>13190</v>
      </c>
      <c r="I205" s="3329">
        <v>38</v>
      </c>
      <c r="J205" s="3329">
        <v>8246</v>
      </c>
      <c r="K205" s="3329">
        <v>158</v>
      </c>
      <c r="L205" s="3329">
        <v>3469</v>
      </c>
      <c r="M205" s="3329">
        <v>21084</v>
      </c>
      <c r="N205" s="3329">
        <v>11122</v>
      </c>
      <c r="O205" s="3329">
        <v>6778</v>
      </c>
      <c r="P205" s="3329">
        <v>11688</v>
      </c>
      <c r="Q205" s="3330">
        <v>169</v>
      </c>
      <c r="R205" s="382">
        <v>53406</v>
      </c>
      <c r="S205" s="382">
        <v>6598</v>
      </c>
      <c r="T205" s="3381">
        <v>21527</v>
      </c>
      <c r="U205" s="337"/>
    </row>
    <row r="206" spans="1:21">
      <c r="A206" s="219">
        <f t="shared" si="1"/>
        <v>2010.05</v>
      </c>
      <c r="B206" s="3348">
        <v>509985</v>
      </c>
      <c r="C206" s="2579"/>
      <c r="D206" s="3333">
        <v>509985</v>
      </c>
      <c r="E206" s="3335">
        <v>76056</v>
      </c>
      <c r="F206" s="2579"/>
      <c r="G206" s="3347"/>
      <c r="H206" s="3328">
        <v>13201</v>
      </c>
      <c r="I206" s="3329">
        <v>38</v>
      </c>
      <c r="J206" s="3329">
        <v>8240</v>
      </c>
      <c r="K206" s="3329">
        <v>157</v>
      </c>
      <c r="L206" s="3329">
        <v>3487</v>
      </c>
      <c r="M206" s="3329">
        <v>21098</v>
      </c>
      <c r="N206" s="3329">
        <v>11144</v>
      </c>
      <c r="O206" s="3329">
        <v>6797</v>
      </c>
      <c r="P206" s="3329">
        <v>11726</v>
      </c>
      <c r="Q206" s="3330">
        <v>168</v>
      </c>
      <c r="R206" s="382">
        <v>53353</v>
      </c>
      <c r="S206" s="382">
        <v>6624</v>
      </c>
      <c r="T206" s="3381">
        <v>21530</v>
      </c>
      <c r="U206" s="337"/>
    </row>
    <row r="207" spans="1:21">
      <c r="A207" s="219">
        <f t="shared" si="1"/>
        <v>2010.06</v>
      </c>
      <c r="B207" s="3348">
        <v>511357</v>
      </c>
      <c r="C207" s="2579"/>
      <c r="D207" s="3333">
        <v>511357</v>
      </c>
      <c r="E207" s="3335">
        <v>76510</v>
      </c>
      <c r="F207" s="2579"/>
      <c r="G207" s="3347"/>
      <c r="H207" s="3328">
        <v>13249</v>
      </c>
      <c r="I207" s="3329">
        <v>37</v>
      </c>
      <c r="J207" s="3329">
        <v>8286</v>
      </c>
      <c r="K207" s="3329">
        <v>157</v>
      </c>
      <c r="L207" s="3329">
        <v>3520</v>
      </c>
      <c r="M207" s="3329">
        <v>21251</v>
      </c>
      <c r="N207" s="3329">
        <v>11213</v>
      </c>
      <c r="O207" s="3329">
        <v>6844</v>
      </c>
      <c r="P207" s="3329">
        <v>11785</v>
      </c>
      <c r="Q207" s="3330">
        <v>168</v>
      </c>
      <c r="R207" s="382">
        <v>53254</v>
      </c>
      <c r="S207" s="382">
        <v>6635</v>
      </c>
      <c r="T207" s="3381">
        <v>21561</v>
      </c>
      <c r="U207" s="337"/>
    </row>
    <row r="208" spans="1:21">
      <c r="A208" s="219">
        <f t="shared" si="1"/>
        <v>2010.07</v>
      </c>
      <c r="B208" s="3348">
        <v>512491</v>
      </c>
      <c r="C208" s="2579"/>
      <c r="D208" s="3333">
        <v>512491</v>
      </c>
      <c r="E208" s="3335">
        <v>76823</v>
      </c>
      <c r="F208" s="2579"/>
      <c r="G208" s="3347"/>
      <c r="H208" s="3328">
        <v>13300</v>
      </c>
      <c r="I208" s="3329">
        <v>37</v>
      </c>
      <c r="J208" s="3329">
        <v>8301</v>
      </c>
      <c r="K208" s="3329">
        <v>156</v>
      </c>
      <c r="L208" s="3329">
        <v>3535</v>
      </c>
      <c r="M208" s="3329">
        <v>21371</v>
      </c>
      <c r="N208" s="3329">
        <v>11276</v>
      </c>
      <c r="O208" s="3329">
        <v>6862</v>
      </c>
      <c r="P208" s="3329">
        <v>11817</v>
      </c>
      <c r="Q208" s="3330">
        <v>168</v>
      </c>
      <c r="R208" s="382">
        <v>53156</v>
      </c>
      <c r="S208" s="382">
        <v>6679</v>
      </c>
      <c r="T208" s="3381">
        <v>21545</v>
      </c>
      <c r="U208" s="337"/>
    </row>
    <row r="209" spans="1:21">
      <c r="A209" s="219">
        <f t="shared" si="1"/>
        <v>2010.08</v>
      </c>
      <c r="B209" s="3348">
        <v>513677</v>
      </c>
      <c r="C209" s="2579"/>
      <c r="D209" s="3333">
        <v>513677</v>
      </c>
      <c r="E209" s="3335">
        <v>77064</v>
      </c>
      <c r="F209" s="2579"/>
      <c r="G209" s="3347"/>
      <c r="H209" s="3328">
        <v>13339</v>
      </c>
      <c r="I209" s="3329">
        <v>37</v>
      </c>
      <c r="J209" s="3329">
        <v>8322</v>
      </c>
      <c r="K209" s="3329">
        <v>154</v>
      </c>
      <c r="L209" s="3329">
        <v>3540</v>
      </c>
      <c r="M209" s="3329">
        <v>21460</v>
      </c>
      <c r="N209" s="3329">
        <v>11330</v>
      </c>
      <c r="O209" s="3329">
        <v>6879</v>
      </c>
      <c r="P209" s="3329">
        <v>11857</v>
      </c>
      <c r="Q209" s="3330">
        <v>146</v>
      </c>
      <c r="R209" s="382">
        <v>53244</v>
      </c>
      <c r="S209" s="382">
        <v>6755</v>
      </c>
      <c r="T209" s="3381">
        <v>21605</v>
      </c>
      <c r="U209" s="337"/>
    </row>
    <row r="210" spans="1:21">
      <c r="A210" s="219">
        <f t="shared" ref="A210:A241" si="2">A198+1</f>
        <v>2010.09</v>
      </c>
      <c r="B210" s="3348">
        <v>515706</v>
      </c>
      <c r="C210" s="2579"/>
      <c r="D210" s="3333">
        <v>515706</v>
      </c>
      <c r="E210" s="3335">
        <v>77550</v>
      </c>
      <c r="F210" s="2579"/>
      <c r="G210" s="3347"/>
      <c r="H210" s="3328">
        <v>13390</v>
      </c>
      <c r="I210" s="3329">
        <v>38</v>
      </c>
      <c r="J210" s="3329">
        <v>8355</v>
      </c>
      <c r="K210" s="3329">
        <v>154</v>
      </c>
      <c r="L210" s="3329">
        <v>3573</v>
      </c>
      <c r="M210" s="3329">
        <v>21624</v>
      </c>
      <c r="N210" s="3329">
        <v>11409</v>
      </c>
      <c r="O210" s="3329">
        <v>6934</v>
      </c>
      <c r="P210" s="3329">
        <v>11928</v>
      </c>
      <c r="Q210" s="3330">
        <v>145</v>
      </c>
      <c r="R210" s="382">
        <v>53332</v>
      </c>
      <c r="S210" s="382">
        <v>6825</v>
      </c>
      <c r="T210" s="3381">
        <v>21617</v>
      </c>
      <c r="U210" s="337"/>
    </row>
    <row r="211" spans="1:21">
      <c r="A211" s="219">
        <f t="shared" si="2"/>
        <v>2010.1</v>
      </c>
      <c r="B211" s="3348">
        <v>517222</v>
      </c>
      <c r="C211" s="2579"/>
      <c r="D211" s="3333">
        <v>517222</v>
      </c>
      <c r="E211" s="3335">
        <v>77881</v>
      </c>
      <c r="F211" s="2579"/>
      <c r="G211" s="3347"/>
      <c r="H211" s="3328">
        <v>13440</v>
      </c>
      <c r="I211" s="3329">
        <v>36</v>
      </c>
      <c r="J211" s="3329">
        <v>8354</v>
      </c>
      <c r="K211" s="3329">
        <v>155</v>
      </c>
      <c r="L211" s="3329">
        <v>3607</v>
      </c>
      <c r="M211" s="3329">
        <v>21758</v>
      </c>
      <c r="N211" s="3329">
        <v>11449</v>
      </c>
      <c r="O211" s="3329">
        <v>6971</v>
      </c>
      <c r="P211" s="3329">
        <v>11966</v>
      </c>
      <c r="Q211" s="3330">
        <v>145</v>
      </c>
      <c r="R211" s="382">
        <v>53594</v>
      </c>
      <c r="S211" s="382">
        <v>6834</v>
      </c>
      <c r="T211" s="3381">
        <v>21686</v>
      </c>
      <c r="U211" s="337"/>
    </row>
    <row r="212" spans="1:21">
      <c r="A212" s="219">
        <f t="shared" si="2"/>
        <v>2010.11</v>
      </c>
      <c r="B212" s="3348">
        <v>518856</v>
      </c>
      <c r="C212" s="2579"/>
      <c r="D212" s="3333">
        <v>518856</v>
      </c>
      <c r="E212" s="3335">
        <v>78324</v>
      </c>
      <c r="F212" s="2579"/>
      <c r="G212" s="3347"/>
      <c r="H212" s="3328">
        <v>13481</v>
      </c>
      <c r="I212" s="3329">
        <v>36</v>
      </c>
      <c r="J212" s="3329">
        <v>8408</v>
      </c>
      <c r="K212" s="3329">
        <v>155</v>
      </c>
      <c r="L212" s="3329">
        <v>3632</v>
      </c>
      <c r="M212" s="3329">
        <v>21904</v>
      </c>
      <c r="N212" s="3329">
        <v>11521</v>
      </c>
      <c r="O212" s="3329">
        <v>7023</v>
      </c>
      <c r="P212" s="3329">
        <v>12019</v>
      </c>
      <c r="Q212" s="3330">
        <v>145</v>
      </c>
      <c r="R212" s="382">
        <v>53882</v>
      </c>
      <c r="S212" s="382">
        <v>6839</v>
      </c>
      <c r="T212" s="3381">
        <v>21746</v>
      </c>
      <c r="U212" s="337"/>
    </row>
    <row r="213" spans="1:21">
      <c r="A213" s="219">
        <f t="shared" si="2"/>
        <v>2010.12</v>
      </c>
      <c r="B213" s="3348">
        <v>520385</v>
      </c>
      <c r="C213" s="2579"/>
      <c r="D213" s="3333">
        <v>520385</v>
      </c>
      <c r="E213" s="3335">
        <v>78693</v>
      </c>
      <c r="F213" s="2579"/>
      <c r="G213" s="3347"/>
      <c r="H213" s="3328">
        <v>13519</v>
      </c>
      <c r="I213" s="3329">
        <v>36</v>
      </c>
      <c r="J213" s="3329">
        <v>8429</v>
      </c>
      <c r="K213" s="3329">
        <v>156</v>
      </c>
      <c r="L213" s="3329">
        <v>3664</v>
      </c>
      <c r="M213" s="3329">
        <v>22047</v>
      </c>
      <c r="N213" s="3329">
        <v>11580</v>
      </c>
      <c r="O213" s="3329">
        <v>7053</v>
      </c>
      <c r="P213" s="3329">
        <v>12064</v>
      </c>
      <c r="Q213" s="3330">
        <v>145</v>
      </c>
      <c r="R213" s="382">
        <v>53920</v>
      </c>
      <c r="S213" s="382">
        <v>6850</v>
      </c>
      <c r="T213" s="3381">
        <v>21731</v>
      </c>
      <c r="U213" s="337"/>
    </row>
    <row r="214" spans="1:21">
      <c r="A214" s="219">
        <f t="shared" si="2"/>
        <v>2011.01</v>
      </c>
      <c r="B214" s="3348">
        <v>520567</v>
      </c>
      <c r="C214" s="2579"/>
      <c r="D214" s="3333">
        <v>520567</v>
      </c>
      <c r="E214" s="3335">
        <v>78834</v>
      </c>
      <c r="F214" s="2579"/>
      <c r="G214" s="3347"/>
      <c r="H214" s="3328">
        <v>13548</v>
      </c>
      <c r="I214" s="3329">
        <v>36</v>
      </c>
      <c r="J214" s="3329">
        <v>8430</v>
      </c>
      <c r="K214" s="3329">
        <v>157</v>
      </c>
      <c r="L214" s="3329">
        <v>3687</v>
      </c>
      <c r="M214" s="3329">
        <v>22091</v>
      </c>
      <c r="N214" s="3329">
        <v>11619</v>
      </c>
      <c r="O214" s="3329">
        <v>7062</v>
      </c>
      <c r="P214" s="3329">
        <v>12071</v>
      </c>
      <c r="Q214" s="3330">
        <v>133</v>
      </c>
      <c r="R214" s="382">
        <v>53593</v>
      </c>
      <c r="S214" s="382">
        <v>6818</v>
      </c>
      <c r="T214" s="3381">
        <v>21639</v>
      </c>
      <c r="U214" s="337"/>
    </row>
    <row r="215" spans="1:21">
      <c r="A215" s="219">
        <f t="shared" si="2"/>
        <v>2011.02</v>
      </c>
      <c r="B215" s="3348">
        <v>520973</v>
      </c>
      <c r="C215" s="2579"/>
      <c r="D215" s="3333">
        <v>520973</v>
      </c>
      <c r="E215" s="3335">
        <v>78977</v>
      </c>
      <c r="F215" s="2579"/>
      <c r="G215" s="3347"/>
      <c r="H215" s="3328">
        <v>13574</v>
      </c>
      <c r="I215" s="3329">
        <v>36</v>
      </c>
      <c r="J215" s="3329">
        <v>8429</v>
      </c>
      <c r="K215" s="3329">
        <v>157</v>
      </c>
      <c r="L215" s="3329">
        <v>3701</v>
      </c>
      <c r="M215" s="3329">
        <v>22144</v>
      </c>
      <c r="N215" s="3329">
        <v>11660</v>
      </c>
      <c r="O215" s="3329">
        <v>7070</v>
      </c>
      <c r="P215" s="3329">
        <v>12073</v>
      </c>
      <c r="Q215" s="3330">
        <v>133</v>
      </c>
      <c r="R215" s="382">
        <v>53554</v>
      </c>
      <c r="S215" s="382">
        <v>6821</v>
      </c>
      <c r="T215" s="3381">
        <v>21677</v>
      </c>
      <c r="U215" s="337"/>
    </row>
    <row r="216" spans="1:21">
      <c r="A216" s="219">
        <f t="shared" si="2"/>
        <v>2011.03</v>
      </c>
      <c r="B216" s="3348">
        <v>521080</v>
      </c>
      <c r="C216" s="2579"/>
      <c r="D216" s="3333">
        <v>521080</v>
      </c>
      <c r="E216" s="3335">
        <v>79449</v>
      </c>
      <c r="F216" s="2579"/>
      <c r="G216" s="3347"/>
      <c r="H216" s="3328">
        <v>13714</v>
      </c>
      <c r="I216" s="3329">
        <v>37</v>
      </c>
      <c r="J216" s="3329">
        <v>8453</v>
      </c>
      <c r="K216" s="3329">
        <v>157</v>
      </c>
      <c r="L216" s="3329">
        <v>3736</v>
      </c>
      <c r="M216" s="3329">
        <v>22262</v>
      </c>
      <c r="N216" s="3329">
        <v>11722</v>
      </c>
      <c r="O216" s="3329">
        <v>7113</v>
      </c>
      <c r="P216" s="3329">
        <v>12124</v>
      </c>
      <c r="Q216" s="3330">
        <v>131</v>
      </c>
      <c r="R216" s="382">
        <v>54230</v>
      </c>
      <c r="S216" s="382">
        <v>6841</v>
      </c>
      <c r="T216" s="3381">
        <v>21661</v>
      </c>
      <c r="U216" s="337"/>
    </row>
    <row r="217" spans="1:21">
      <c r="A217" s="219">
        <f t="shared" si="2"/>
        <v>2011.04</v>
      </c>
      <c r="B217" s="3348">
        <v>520904</v>
      </c>
      <c r="C217" s="2579"/>
      <c r="D217" s="3333">
        <v>520904</v>
      </c>
      <c r="E217" s="3335">
        <v>79945</v>
      </c>
      <c r="F217" s="2579"/>
      <c r="G217" s="3347"/>
      <c r="H217" s="3328">
        <v>13863</v>
      </c>
      <c r="I217" s="3329">
        <v>37</v>
      </c>
      <c r="J217" s="3329">
        <v>8500</v>
      </c>
      <c r="K217" s="3329">
        <v>156</v>
      </c>
      <c r="L217" s="3329">
        <v>3758</v>
      </c>
      <c r="M217" s="3329">
        <v>22405</v>
      </c>
      <c r="N217" s="3329">
        <v>11777</v>
      </c>
      <c r="O217" s="3329">
        <v>7144</v>
      </c>
      <c r="P217" s="3329">
        <v>12174</v>
      </c>
      <c r="Q217" s="3330">
        <v>131</v>
      </c>
      <c r="R217" s="382">
        <v>54651</v>
      </c>
      <c r="S217" s="382">
        <v>6877</v>
      </c>
      <c r="T217" s="3381">
        <v>21717</v>
      </c>
      <c r="U217" s="337"/>
    </row>
    <row r="218" spans="1:21">
      <c r="A218" s="219">
        <f t="shared" si="2"/>
        <v>2011.05</v>
      </c>
      <c r="B218" s="3348">
        <v>522491</v>
      </c>
      <c r="C218" s="2579"/>
      <c r="D218" s="3333">
        <v>522491</v>
      </c>
      <c r="E218" s="3335">
        <v>80290</v>
      </c>
      <c r="F218" s="2579"/>
      <c r="G218" s="3347"/>
      <c r="H218" s="3328">
        <v>13953</v>
      </c>
      <c r="I218" s="3329">
        <v>39</v>
      </c>
      <c r="J218" s="3329">
        <v>8522</v>
      </c>
      <c r="K218" s="3329">
        <v>156</v>
      </c>
      <c r="L218" s="3329">
        <v>3776</v>
      </c>
      <c r="M218" s="3329">
        <v>22502</v>
      </c>
      <c r="N218" s="3329">
        <v>11821</v>
      </c>
      <c r="O218" s="3329">
        <v>7172</v>
      </c>
      <c r="P218" s="3329">
        <v>12219</v>
      </c>
      <c r="Q218" s="3330">
        <v>130</v>
      </c>
      <c r="R218" s="382">
        <v>54703</v>
      </c>
      <c r="S218" s="382">
        <v>6887</v>
      </c>
      <c r="T218" s="3381">
        <v>21788</v>
      </c>
      <c r="U218" s="337"/>
    </row>
    <row r="219" spans="1:21">
      <c r="A219" s="219">
        <f t="shared" si="2"/>
        <v>2011.06</v>
      </c>
      <c r="B219" s="3348">
        <v>524472</v>
      </c>
      <c r="C219" s="2579"/>
      <c r="D219" s="3333">
        <v>524472</v>
      </c>
      <c r="E219" s="3335">
        <v>80665</v>
      </c>
      <c r="F219" s="2579"/>
      <c r="G219" s="3347"/>
      <c r="H219" s="3328">
        <v>13997</v>
      </c>
      <c r="I219" s="3329">
        <v>39</v>
      </c>
      <c r="J219" s="3329">
        <v>8549</v>
      </c>
      <c r="K219" s="3329">
        <v>156</v>
      </c>
      <c r="L219" s="3329">
        <v>3795</v>
      </c>
      <c r="M219" s="3329">
        <v>22637</v>
      </c>
      <c r="N219" s="3329">
        <v>11898</v>
      </c>
      <c r="O219" s="3329">
        <v>7213</v>
      </c>
      <c r="P219" s="3329">
        <v>12252</v>
      </c>
      <c r="Q219" s="3330">
        <v>129</v>
      </c>
      <c r="R219" s="382">
        <v>54569</v>
      </c>
      <c r="S219" s="382">
        <v>6885</v>
      </c>
      <c r="T219" s="3381">
        <v>21852</v>
      </c>
      <c r="U219" s="337"/>
    </row>
    <row r="220" spans="1:21">
      <c r="A220" s="219">
        <f t="shared" si="2"/>
        <v>2011.07</v>
      </c>
      <c r="B220" s="3348">
        <v>525244</v>
      </c>
      <c r="C220" s="2579"/>
      <c r="D220" s="3333">
        <v>525244</v>
      </c>
      <c r="E220" s="3335">
        <v>81004</v>
      </c>
      <c r="F220" s="2579"/>
      <c r="G220" s="3347"/>
      <c r="H220" s="3328">
        <v>14050</v>
      </c>
      <c r="I220" s="3329">
        <v>39</v>
      </c>
      <c r="J220" s="3329">
        <v>8581</v>
      </c>
      <c r="K220" s="3329">
        <v>159</v>
      </c>
      <c r="L220" s="3329">
        <v>3828</v>
      </c>
      <c r="M220" s="3329">
        <v>22739</v>
      </c>
      <c r="N220" s="3329">
        <v>11948</v>
      </c>
      <c r="O220" s="3329">
        <v>7249</v>
      </c>
      <c r="P220" s="3329">
        <v>12283</v>
      </c>
      <c r="Q220" s="3330">
        <v>128</v>
      </c>
      <c r="R220" s="382">
        <v>54487</v>
      </c>
      <c r="S220" s="382">
        <v>6889</v>
      </c>
      <c r="T220" s="3381">
        <v>21899</v>
      </c>
      <c r="U220" s="337"/>
    </row>
    <row r="221" spans="1:21">
      <c r="A221" s="219">
        <f t="shared" si="2"/>
        <v>2011.08</v>
      </c>
      <c r="B221" s="3348">
        <v>526740</v>
      </c>
      <c r="C221" s="2579"/>
      <c r="D221" s="3333">
        <v>526740</v>
      </c>
      <c r="E221" s="3335">
        <v>81509</v>
      </c>
      <c r="F221" s="2579"/>
      <c r="G221" s="3347"/>
      <c r="H221" s="3328">
        <v>14101</v>
      </c>
      <c r="I221" s="3329">
        <v>39</v>
      </c>
      <c r="J221" s="3329">
        <v>8606</v>
      </c>
      <c r="K221" s="3329">
        <v>159</v>
      </c>
      <c r="L221" s="3329">
        <v>3865</v>
      </c>
      <c r="M221" s="3329">
        <v>22925</v>
      </c>
      <c r="N221" s="3329">
        <v>12034</v>
      </c>
      <c r="O221" s="3329">
        <v>7295</v>
      </c>
      <c r="P221" s="3329">
        <v>12359</v>
      </c>
      <c r="Q221" s="3330">
        <v>126</v>
      </c>
      <c r="R221" s="382">
        <v>54607</v>
      </c>
      <c r="S221" s="382">
        <v>6937</v>
      </c>
      <c r="T221" s="3381">
        <v>21979</v>
      </c>
      <c r="U221" s="337"/>
    </row>
    <row r="222" spans="1:21">
      <c r="A222" s="219">
        <f t="shared" si="2"/>
        <v>2011.09</v>
      </c>
      <c r="B222" s="3348">
        <v>528382</v>
      </c>
      <c r="C222" s="2579"/>
      <c r="D222" s="3333">
        <v>528382</v>
      </c>
      <c r="E222" s="3335">
        <v>81943</v>
      </c>
      <c r="F222" s="2579"/>
      <c r="G222" s="3347"/>
      <c r="H222" s="3328">
        <v>14156</v>
      </c>
      <c r="I222" s="3329">
        <v>40</v>
      </c>
      <c r="J222" s="3329">
        <v>8633</v>
      </c>
      <c r="K222" s="3329">
        <v>160</v>
      </c>
      <c r="L222" s="3329">
        <v>3902</v>
      </c>
      <c r="M222" s="3329">
        <v>23102</v>
      </c>
      <c r="N222" s="3329">
        <v>12088</v>
      </c>
      <c r="O222" s="3329">
        <v>7350</v>
      </c>
      <c r="P222" s="3329">
        <v>12388</v>
      </c>
      <c r="Q222" s="3330">
        <v>124</v>
      </c>
      <c r="R222" s="382">
        <v>54663</v>
      </c>
      <c r="S222" s="382">
        <v>6937</v>
      </c>
      <c r="T222" s="3381">
        <v>22021</v>
      </c>
      <c r="U222" s="337"/>
    </row>
    <row r="223" spans="1:21">
      <c r="A223" s="219">
        <f t="shared" si="2"/>
        <v>2011.1</v>
      </c>
      <c r="B223" s="3348">
        <v>531340</v>
      </c>
      <c r="C223" s="2579"/>
      <c r="D223" s="3333">
        <v>531340</v>
      </c>
      <c r="E223" s="3335">
        <v>82408</v>
      </c>
      <c r="F223" s="2579"/>
      <c r="G223" s="3347"/>
      <c r="H223" s="3328">
        <v>14222</v>
      </c>
      <c r="I223" s="3329">
        <v>40</v>
      </c>
      <c r="J223" s="3329">
        <v>8683</v>
      </c>
      <c r="K223" s="3329">
        <v>159</v>
      </c>
      <c r="L223" s="3329">
        <v>3926</v>
      </c>
      <c r="M223" s="3329">
        <v>23243</v>
      </c>
      <c r="N223" s="3329">
        <v>12172</v>
      </c>
      <c r="O223" s="3329">
        <v>7394</v>
      </c>
      <c r="P223" s="3329">
        <v>12446</v>
      </c>
      <c r="Q223" s="3330">
        <v>123</v>
      </c>
      <c r="R223" s="382">
        <v>54832</v>
      </c>
      <c r="S223" s="382">
        <v>6951</v>
      </c>
      <c r="T223" s="3381">
        <v>22058</v>
      </c>
      <c r="U223" s="337"/>
    </row>
    <row r="224" spans="1:21">
      <c r="A224" s="219">
        <f t="shared" si="2"/>
        <v>2011.11</v>
      </c>
      <c r="B224" s="3348">
        <v>534805</v>
      </c>
      <c r="C224" s="2579"/>
      <c r="D224" s="3333">
        <v>534805</v>
      </c>
      <c r="E224" s="3335">
        <v>82958</v>
      </c>
      <c r="F224" s="2579"/>
      <c r="G224" s="3347"/>
      <c r="H224" s="3328">
        <v>14310</v>
      </c>
      <c r="I224" s="3329">
        <v>41</v>
      </c>
      <c r="J224" s="3329">
        <v>8719</v>
      </c>
      <c r="K224" s="3329">
        <v>158</v>
      </c>
      <c r="L224" s="3329">
        <v>3963</v>
      </c>
      <c r="M224" s="3329">
        <v>23413</v>
      </c>
      <c r="N224" s="3329">
        <v>12265</v>
      </c>
      <c r="O224" s="3329">
        <v>7442</v>
      </c>
      <c r="P224" s="3329">
        <v>12525</v>
      </c>
      <c r="Q224" s="3330">
        <v>122</v>
      </c>
      <c r="R224" s="382">
        <v>55265</v>
      </c>
      <c r="S224" s="382">
        <v>6993</v>
      </c>
      <c r="T224" s="3381">
        <v>22183</v>
      </c>
      <c r="U224" s="337"/>
    </row>
    <row r="225" spans="1:21">
      <c r="A225" s="219">
        <f t="shared" si="2"/>
        <v>2011.12</v>
      </c>
      <c r="B225" s="3348">
        <v>537879</v>
      </c>
      <c r="C225" s="2579"/>
      <c r="D225" s="3333">
        <v>537879</v>
      </c>
      <c r="E225" s="3335">
        <v>83419</v>
      </c>
      <c r="F225" s="2579"/>
      <c r="G225" s="3347"/>
      <c r="H225" s="3328">
        <v>14347</v>
      </c>
      <c r="I225" s="3329">
        <v>40</v>
      </c>
      <c r="J225" s="3329">
        <v>8751</v>
      </c>
      <c r="K225" s="3329">
        <v>158</v>
      </c>
      <c r="L225" s="3329">
        <v>3993</v>
      </c>
      <c r="M225" s="3329">
        <v>23583</v>
      </c>
      <c r="N225" s="3329">
        <v>12351</v>
      </c>
      <c r="O225" s="3329">
        <v>7483</v>
      </c>
      <c r="P225" s="3329">
        <v>12591</v>
      </c>
      <c r="Q225" s="3330">
        <v>122</v>
      </c>
      <c r="R225" s="382">
        <v>55243</v>
      </c>
      <c r="S225" s="382">
        <v>6980</v>
      </c>
      <c r="T225" s="3381">
        <v>22204</v>
      </c>
      <c r="U225" s="337"/>
    </row>
    <row r="226" spans="1:21">
      <c r="A226" s="219">
        <f t="shared" si="2"/>
        <v>2012.01</v>
      </c>
      <c r="B226" s="3348">
        <v>539487</v>
      </c>
      <c r="C226" s="2579"/>
      <c r="D226" s="3333">
        <v>539487</v>
      </c>
      <c r="E226" s="3335">
        <v>83785</v>
      </c>
      <c r="F226" s="2579"/>
      <c r="G226" s="3347"/>
      <c r="H226" s="3328">
        <v>14386</v>
      </c>
      <c r="I226" s="3329">
        <v>41</v>
      </c>
      <c r="J226" s="3329">
        <v>8804</v>
      </c>
      <c r="K226" s="3329">
        <v>158</v>
      </c>
      <c r="L226" s="3329">
        <v>4025</v>
      </c>
      <c r="M226" s="3329">
        <v>23720</v>
      </c>
      <c r="N226" s="3329">
        <v>12426</v>
      </c>
      <c r="O226" s="3329">
        <v>7522</v>
      </c>
      <c r="P226" s="3329">
        <v>12648</v>
      </c>
      <c r="Q226" s="3330">
        <v>55</v>
      </c>
      <c r="R226" s="382">
        <v>54816</v>
      </c>
      <c r="S226" s="382">
        <v>6956</v>
      </c>
      <c r="T226" s="3381">
        <v>22029</v>
      </c>
      <c r="U226" s="337"/>
    </row>
    <row r="227" spans="1:21">
      <c r="A227" s="219">
        <f t="shared" si="2"/>
        <v>2012.02</v>
      </c>
      <c r="B227" s="3348">
        <v>540282</v>
      </c>
      <c r="C227" s="2579"/>
      <c r="D227" s="3333">
        <v>540282</v>
      </c>
      <c r="E227" s="3335">
        <v>84003</v>
      </c>
      <c r="F227" s="2579"/>
      <c r="G227" s="3347"/>
      <c r="H227" s="3328">
        <v>14429</v>
      </c>
      <c r="I227" s="3329">
        <v>41</v>
      </c>
      <c r="J227" s="3329">
        <v>8806</v>
      </c>
      <c r="K227" s="3329">
        <v>158</v>
      </c>
      <c r="L227" s="3329">
        <v>4026</v>
      </c>
      <c r="M227" s="3329">
        <v>23807</v>
      </c>
      <c r="N227" s="3329">
        <v>12461</v>
      </c>
      <c r="O227" s="3329">
        <v>7546</v>
      </c>
      <c r="P227" s="3329">
        <v>12674</v>
      </c>
      <c r="Q227" s="3330">
        <v>55</v>
      </c>
      <c r="R227" s="382">
        <v>53246</v>
      </c>
      <c r="S227" s="382">
        <v>6703</v>
      </c>
      <c r="T227" s="3381">
        <v>21399</v>
      </c>
      <c r="U227" s="337"/>
    </row>
    <row r="228" spans="1:21">
      <c r="A228" s="219">
        <f t="shared" si="2"/>
        <v>2012.03</v>
      </c>
      <c r="B228" s="3348">
        <v>539421</v>
      </c>
      <c r="C228" s="2579"/>
      <c r="D228" s="3333">
        <v>539421</v>
      </c>
      <c r="E228" s="3335">
        <v>84255</v>
      </c>
      <c r="F228" s="2579"/>
      <c r="G228" s="3347"/>
      <c r="H228" s="3328">
        <v>14459</v>
      </c>
      <c r="I228" s="3329">
        <v>41</v>
      </c>
      <c r="J228" s="3329">
        <v>8822</v>
      </c>
      <c r="K228" s="3329">
        <v>159</v>
      </c>
      <c r="L228" s="3329">
        <v>4040</v>
      </c>
      <c r="M228" s="3329">
        <v>23908</v>
      </c>
      <c r="N228" s="3329">
        <v>12498</v>
      </c>
      <c r="O228" s="3329">
        <v>7576</v>
      </c>
      <c r="P228" s="3329">
        <v>12702</v>
      </c>
      <c r="Q228" s="3330">
        <v>50</v>
      </c>
      <c r="R228" s="382">
        <v>55274</v>
      </c>
      <c r="S228" s="382">
        <v>6999</v>
      </c>
      <c r="T228" s="3381">
        <v>22068</v>
      </c>
      <c r="U228" s="337"/>
    </row>
    <row r="229" spans="1:21">
      <c r="A229" s="219">
        <f t="shared" si="2"/>
        <v>2012.04</v>
      </c>
      <c r="B229" s="3348">
        <v>537110</v>
      </c>
      <c r="C229" s="2579"/>
      <c r="D229" s="3333">
        <v>537110</v>
      </c>
      <c r="E229" s="3335">
        <v>84496</v>
      </c>
      <c r="F229" s="2579"/>
      <c r="G229" s="3347"/>
      <c r="H229" s="3328">
        <v>14503</v>
      </c>
      <c r="I229" s="3329">
        <v>41</v>
      </c>
      <c r="J229" s="3329">
        <v>8839</v>
      </c>
      <c r="K229" s="3329">
        <v>159</v>
      </c>
      <c r="L229" s="3329">
        <v>4065</v>
      </c>
      <c r="M229" s="3329">
        <v>23999</v>
      </c>
      <c r="N229" s="3329">
        <v>12517</v>
      </c>
      <c r="O229" s="3329">
        <v>7609</v>
      </c>
      <c r="P229" s="3329">
        <v>12714</v>
      </c>
      <c r="Q229" s="3330">
        <v>50</v>
      </c>
      <c r="R229" s="382">
        <v>55466</v>
      </c>
      <c r="S229" s="382">
        <v>7026</v>
      </c>
      <c r="T229" s="3381">
        <v>22043</v>
      </c>
      <c r="U229" s="337"/>
    </row>
    <row r="230" spans="1:21">
      <c r="A230" s="219">
        <f t="shared" si="2"/>
        <v>2012.05</v>
      </c>
      <c r="B230" s="3348">
        <v>536598</v>
      </c>
      <c r="C230" s="2579"/>
      <c r="D230" s="3333">
        <v>536598</v>
      </c>
      <c r="E230" s="3335">
        <v>84902</v>
      </c>
      <c r="F230" s="2579"/>
      <c r="G230" s="3347"/>
      <c r="H230" s="3328">
        <v>14552</v>
      </c>
      <c r="I230" s="3329">
        <v>41</v>
      </c>
      <c r="J230" s="3329">
        <v>8854</v>
      </c>
      <c r="K230" s="3329">
        <v>159</v>
      </c>
      <c r="L230" s="3329">
        <v>4089</v>
      </c>
      <c r="M230" s="3329">
        <v>24133</v>
      </c>
      <c r="N230" s="3329">
        <v>12609</v>
      </c>
      <c r="O230" s="3329">
        <v>7648</v>
      </c>
      <c r="P230" s="3329">
        <v>12767</v>
      </c>
      <c r="Q230" s="3330">
        <v>50</v>
      </c>
      <c r="R230" s="382">
        <v>55445</v>
      </c>
      <c r="S230" s="382">
        <v>7046</v>
      </c>
      <c r="T230" s="3381">
        <v>22053</v>
      </c>
      <c r="U230" s="337"/>
    </row>
    <row r="231" spans="1:21">
      <c r="A231" s="219">
        <f t="shared" si="2"/>
        <v>2012.06</v>
      </c>
      <c r="B231" s="3348">
        <v>535018</v>
      </c>
      <c r="C231" s="2579"/>
      <c r="D231" s="3333">
        <v>535018</v>
      </c>
      <c r="E231" s="3335">
        <v>85136</v>
      </c>
      <c r="F231" s="2579"/>
      <c r="G231" s="3347"/>
      <c r="H231" s="3328">
        <v>14583</v>
      </c>
      <c r="I231" s="3329">
        <v>41</v>
      </c>
      <c r="J231" s="3329">
        <v>8862</v>
      </c>
      <c r="K231" s="3329">
        <v>158</v>
      </c>
      <c r="L231" s="3329">
        <v>4099</v>
      </c>
      <c r="M231" s="3329">
        <v>24232</v>
      </c>
      <c r="N231" s="3329">
        <v>12641</v>
      </c>
      <c r="O231" s="3329">
        <v>7666</v>
      </c>
      <c r="P231" s="3329">
        <v>12805</v>
      </c>
      <c r="Q231" s="3330">
        <v>49</v>
      </c>
      <c r="R231" s="382">
        <v>55278</v>
      </c>
      <c r="S231" s="382">
        <v>7019</v>
      </c>
      <c r="T231" s="3381">
        <v>22093</v>
      </c>
      <c r="U231" s="337"/>
    </row>
    <row r="232" spans="1:21">
      <c r="A232" s="219">
        <f t="shared" si="2"/>
        <v>2012.07</v>
      </c>
      <c r="B232" s="3348">
        <v>535910</v>
      </c>
      <c r="C232" s="2579"/>
      <c r="D232" s="3333">
        <v>535910</v>
      </c>
      <c r="E232" s="3335">
        <v>85333</v>
      </c>
      <c r="F232" s="2579"/>
      <c r="G232" s="3347"/>
      <c r="H232" s="3328">
        <v>14601</v>
      </c>
      <c r="I232" s="3329">
        <v>41</v>
      </c>
      <c r="J232" s="3329">
        <v>8868</v>
      </c>
      <c r="K232" s="3329">
        <v>161</v>
      </c>
      <c r="L232" s="3329">
        <v>4112</v>
      </c>
      <c r="M232" s="3329">
        <v>24339</v>
      </c>
      <c r="N232" s="3329">
        <v>12652</v>
      </c>
      <c r="O232" s="3329">
        <v>7691</v>
      </c>
      <c r="P232" s="3329">
        <v>12820</v>
      </c>
      <c r="Q232" s="3330">
        <v>48</v>
      </c>
      <c r="R232" s="382">
        <v>55100</v>
      </c>
      <c r="S232" s="382">
        <v>7030</v>
      </c>
      <c r="T232" s="3381">
        <v>22085</v>
      </c>
      <c r="U232" s="337"/>
    </row>
    <row r="233" spans="1:21">
      <c r="A233" s="219">
        <f t="shared" si="2"/>
        <v>2012.08</v>
      </c>
      <c r="B233" s="3348">
        <v>534078</v>
      </c>
      <c r="C233" s="2579"/>
      <c r="D233" s="3333">
        <v>534078</v>
      </c>
      <c r="E233" s="3335">
        <v>85478</v>
      </c>
      <c r="F233" s="2579"/>
      <c r="G233" s="3347"/>
      <c r="H233" s="3328">
        <v>14609</v>
      </c>
      <c r="I233" s="3329">
        <v>41</v>
      </c>
      <c r="J233" s="3329">
        <v>8866</v>
      </c>
      <c r="K233" s="3329">
        <v>161</v>
      </c>
      <c r="L233" s="3329">
        <v>4111</v>
      </c>
      <c r="M233" s="3329">
        <v>24393</v>
      </c>
      <c r="N233" s="3329">
        <v>12682</v>
      </c>
      <c r="O233" s="3329">
        <v>7729</v>
      </c>
      <c r="P233" s="3329">
        <v>12838</v>
      </c>
      <c r="Q233" s="3330">
        <v>48</v>
      </c>
      <c r="R233" s="382">
        <v>54985</v>
      </c>
      <c r="S233" s="382">
        <v>7059</v>
      </c>
      <c r="T233" s="3381">
        <v>22072</v>
      </c>
      <c r="U233" s="337"/>
    </row>
    <row r="234" spans="1:21">
      <c r="A234" s="219">
        <f t="shared" si="2"/>
        <v>2012.09</v>
      </c>
      <c r="B234" s="3348">
        <v>533826</v>
      </c>
      <c r="C234" s="2579"/>
      <c r="D234" s="3333">
        <v>533826</v>
      </c>
      <c r="E234" s="3335">
        <v>85858</v>
      </c>
      <c r="F234" s="2579"/>
      <c r="G234" s="3347"/>
      <c r="H234" s="3328">
        <v>14645</v>
      </c>
      <c r="I234" s="3329">
        <v>41</v>
      </c>
      <c r="J234" s="3329">
        <v>8886</v>
      </c>
      <c r="K234" s="3329">
        <v>162</v>
      </c>
      <c r="L234" s="3329">
        <v>4122</v>
      </c>
      <c r="M234" s="3329">
        <v>24541</v>
      </c>
      <c r="N234" s="3329">
        <v>12749</v>
      </c>
      <c r="O234" s="3329">
        <v>7770</v>
      </c>
      <c r="P234" s="3329">
        <v>12896</v>
      </c>
      <c r="Q234" s="3330">
        <v>46</v>
      </c>
      <c r="R234" s="382">
        <v>54912</v>
      </c>
      <c r="S234" s="382">
        <v>7091</v>
      </c>
      <c r="T234" s="3381">
        <v>22058</v>
      </c>
      <c r="U234" s="337"/>
    </row>
    <row r="235" spans="1:21">
      <c r="A235" s="219">
        <f t="shared" si="2"/>
        <v>2012.1</v>
      </c>
      <c r="B235" s="3348">
        <v>534770</v>
      </c>
      <c r="C235" s="2579"/>
      <c r="D235" s="3333">
        <v>534770</v>
      </c>
      <c r="E235" s="3335">
        <v>86283</v>
      </c>
      <c r="F235" s="2579"/>
      <c r="G235" s="3347"/>
      <c r="H235" s="3328">
        <v>14687</v>
      </c>
      <c r="I235" s="3329">
        <v>42</v>
      </c>
      <c r="J235" s="3329">
        <v>8918</v>
      </c>
      <c r="K235" s="3329">
        <v>164</v>
      </c>
      <c r="L235" s="3329">
        <v>4153</v>
      </c>
      <c r="M235" s="3329">
        <v>24704</v>
      </c>
      <c r="N235" s="3329">
        <v>12810</v>
      </c>
      <c r="O235" s="3329">
        <v>7808</v>
      </c>
      <c r="P235" s="3329">
        <v>12951</v>
      </c>
      <c r="Q235" s="3330">
        <v>46</v>
      </c>
      <c r="R235" s="382">
        <v>55129</v>
      </c>
      <c r="S235" s="382">
        <v>7105</v>
      </c>
      <c r="T235" s="3381">
        <v>22107</v>
      </c>
      <c r="U235" s="337"/>
    </row>
    <row r="236" spans="1:21">
      <c r="A236" s="219">
        <f t="shared" si="2"/>
        <v>2012.11</v>
      </c>
      <c r="B236" s="3348">
        <v>536460</v>
      </c>
      <c r="C236" s="2579"/>
      <c r="D236" s="3333">
        <v>536460</v>
      </c>
      <c r="E236" s="3335">
        <v>86665</v>
      </c>
      <c r="F236" s="2579"/>
      <c r="G236" s="3347"/>
      <c r="H236" s="3328">
        <v>14744</v>
      </c>
      <c r="I236" s="3329">
        <v>42</v>
      </c>
      <c r="J236" s="3329">
        <v>8931</v>
      </c>
      <c r="K236" s="3329">
        <v>166</v>
      </c>
      <c r="L236" s="3329">
        <v>4168</v>
      </c>
      <c r="M236" s="3329">
        <v>24894</v>
      </c>
      <c r="N236" s="3329">
        <v>12844</v>
      </c>
      <c r="O236" s="3329">
        <v>7851</v>
      </c>
      <c r="P236" s="3329">
        <v>12997</v>
      </c>
      <c r="Q236" s="3330">
        <v>28</v>
      </c>
      <c r="R236" s="382">
        <v>55291</v>
      </c>
      <c r="S236" s="382">
        <v>7102</v>
      </c>
      <c r="T236" s="3381">
        <v>22144</v>
      </c>
      <c r="U236" s="337"/>
    </row>
    <row r="237" spans="1:21">
      <c r="A237" s="219">
        <f t="shared" si="2"/>
        <v>2012.12</v>
      </c>
      <c r="B237" s="3348">
        <v>537415</v>
      </c>
      <c r="C237" s="2579"/>
      <c r="D237" s="3333">
        <v>537415</v>
      </c>
      <c r="E237" s="3335">
        <v>86908</v>
      </c>
      <c r="F237" s="2579"/>
      <c r="G237" s="3347"/>
      <c r="H237" s="3328">
        <v>14786</v>
      </c>
      <c r="I237" s="3329">
        <v>42</v>
      </c>
      <c r="J237" s="3329">
        <v>8949</v>
      </c>
      <c r="K237" s="3329">
        <v>167</v>
      </c>
      <c r="L237" s="3329">
        <v>4180</v>
      </c>
      <c r="M237" s="3329">
        <v>24969</v>
      </c>
      <c r="N237" s="3329">
        <v>12869</v>
      </c>
      <c r="O237" s="3329">
        <v>7867</v>
      </c>
      <c r="P237" s="3329">
        <v>13051</v>
      </c>
      <c r="Q237" s="3330">
        <v>28</v>
      </c>
      <c r="R237" s="382">
        <v>55234</v>
      </c>
      <c r="S237" s="382">
        <v>7101</v>
      </c>
      <c r="T237" s="3381">
        <v>22128</v>
      </c>
      <c r="U237" s="337"/>
    </row>
    <row r="238" spans="1:21">
      <c r="A238" s="219">
        <f t="shared" si="2"/>
        <v>2013.01</v>
      </c>
      <c r="B238" s="3348">
        <v>537315</v>
      </c>
      <c r="C238" s="2579"/>
      <c r="D238" s="3333">
        <v>537315</v>
      </c>
      <c r="E238" s="3335">
        <v>86947</v>
      </c>
      <c r="F238" s="2579"/>
      <c r="G238" s="3347"/>
      <c r="H238" s="3328">
        <v>14787</v>
      </c>
      <c r="I238" s="3329">
        <v>42</v>
      </c>
      <c r="J238" s="3329">
        <v>8942</v>
      </c>
      <c r="K238" s="3329">
        <v>167</v>
      </c>
      <c r="L238" s="3329">
        <v>4184</v>
      </c>
      <c r="M238" s="3329">
        <v>25000</v>
      </c>
      <c r="N238" s="3329">
        <v>12889</v>
      </c>
      <c r="O238" s="3329">
        <v>7870</v>
      </c>
      <c r="P238" s="3329">
        <v>13039</v>
      </c>
      <c r="Q238" s="3330">
        <v>27</v>
      </c>
      <c r="R238" s="382">
        <v>54910</v>
      </c>
      <c r="S238" s="382">
        <v>7075</v>
      </c>
      <c r="T238" s="3381">
        <v>22059</v>
      </c>
      <c r="U238" s="337"/>
    </row>
    <row r="239" spans="1:21">
      <c r="A239" s="219">
        <f t="shared" si="2"/>
        <v>2013.02</v>
      </c>
      <c r="B239" s="3348">
        <v>537841</v>
      </c>
      <c r="C239" s="2579"/>
      <c r="D239" s="3333">
        <v>537841</v>
      </c>
      <c r="E239" s="3335">
        <v>87063</v>
      </c>
      <c r="F239" s="2579"/>
      <c r="G239" s="3347"/>
      <c r="H239" s="3328">
        <v>14794</v>
      </c>
      <c r="I239" s="3329">
        <v>42</v>
      </c>
      <c r="J239" s="3329">
        <v>8954</v>
      </c>
      <c r="K239" s="3329">
        <v>168</v>
      </c>
      <c r="L239" s="3329">
        <v>4181</v>
      </c>
      <c r="M239" s="3329">
        <v>25051</v>
      </c>
      <c r="N239" s="3329">
        <v>12925</v>
      </c>
      <c r="O239" s="3329">
        <v>7888</v>
      </c>
      <c r="P239" s="3329">
        <v>13033</v>
      </c>
      <c r="Q239" s="3330">
        <v>27</v>
      </c>
      <c r="R239" s="382">
        <v>54451</v>
      </c>
      <c r="S239" s="382">
        <v>7000</v>
      </c>
      <c r="T239" s="3381">
        <v>21918</v>
      </c>
      <c r="U239" s="337"/>
    </row>
    <row r="240" spans="1:21">
      <c r="A240" s="219">
        <f t="shared" si="2"/>
        <v>2013.03</v>
      </c>
      <c r="B240" s="3348">
        <v>537103</v>
      </c>
      <c r="C240" s="2579"/>
      <c r="D240" s="3333">
        <v>537103</v>
      </c>
      <c r="E240" s="3335">
        <v>87549</v>
      </c>
      <c r="F240" s="2579"/>
      <c r="G240" s="3347"/>
      <c r="H240" s="3328">
        <v>14850</v>
      </c>
      <c r="I240" s="3329">
        <v>42</v>
      </c>
      <c r="J240" s="3329">
        <v>8997</v>
      </c>
      <c r="K240" s="3329">
        <v>168</v>
      </c>
      <c r="L240" s="3329">
        <v>4223</v>
      </c>
      <c r="M240" s="3329">
        <v>25218</v>
      </c>
      <c r="N240" s="3329">
        <v>13012</v>
      </c>
      <c r="O240" s="3329">
        <v>7937</v>
      </c>
      <c r="P240" s="3329">
        <v>13076</v>
      </c>
      <c r="Q240" s="3330">
        <v>26</v>
      </c>
      <c r="R240" s="382">
        <v>54904</v>
      </c>
      <c r="S240" s="382">
        <v>7041</v>
      </c>
      <c r="T240" s="3381">
        <v>21960</v>
      </c>
      <c r="U240" s="337"/>
    </row>
    <row r="241" spans="1:21">
      <c r="A241" s="219">
        <f t="shared" si="2"/>
        <v>2013.04</v>
      </c>
      <c r="B241" s="3348">
        <v>536070</v>
      </c>
      <c r="C241" s="2579"/>
      <c r="D241" s="3333">
        <v>536070</v>
      </c>
      <c r="E241" s="3335">
        <v>87919</v>
      </c>
      <c r="F241" s="2579"/>
      <c r="G241" s="3347"/>
      <c r="H241" s="3328">
        <v>14900</v>
      </c>
      <c r="I241" s="3329">
        <v>43</v>
      </c>
      <c r="J241" s="3329">
        <v>9026</v>
      </c>
      <c r="K241" s="3329">
        <v>167</v>
      </c>
      <c r="L241" s="3329">
        <v>4272</v>
      </c>
      <c r="M241" s="3329">
        <v>25367</v>
      </c>
      <c r="N241" s="3329">
        <v>13043</v>
      </c>
      <c r="O241" s="3329">
        <v>7960</v>
      </c>
      <c r="P241" s="3329">
        <v>13115</v>
      </c>
      <c r="Q241" s="3330">
        <v>26</v>
      </c>
      <c r="R241" s="382">
        <v>55233</v>
      </c>
      <c r="S241" s="382">
        <v>7034</v>
      </c>
      <c r="T241" s="3381">
        <v>22016</v>
      </c>
      <c r="U241" s="337"/>
    </row>
    <row r="242" spans="1:21">
      <c r="A242" s="219">
        <f t="shared" ref="A242:A305" si="3">A230+1</f>
        <v>2013.05</v>
      </c>
      <c r="B242" s="3348">
        <v>535731</v>
      </c>
      <c r="C242" s="2579"/>
      <c r="D242" s="3333">
        <v>535731</v>
      </c>
      <c r="E242" s="3335">
        <v>88276</v>
      </c>
      <c r="F242" s="2579"/>
      <c r="G242" s="3347"/>
      <c r="H242" s="3328">
        <v>14917</v>
      </c>
      <c r="I242" s="3329">
        <v>43</v>
      </c>
      <c r="J242" s="3329">
        <v>9038</v>
      </c>
      <c r="K242" s="3329">
        <v>167</v>
      </c>
      <c r="L242" s="3329">
        <v>4294</v>
      </c>
      <c r="M242" s="3329">
        <v>25519</v>
      </c>
      <c r="N242" s="3329">
        <v>13099</v>
      </c>
      <c r="O242" s="3329">
        <v>8003</v>
      </c>
      <c r="P242" s="3329">
        <v>13170</v>
      </c>
      <c r="Q242" s="3330">
        <v>26</v>
      </c>
      <c r="R242" s="382">
        <v>55118</v>
      </c>
      <c r="S242" s="382">
        <v>7061</v>
      </c>
      <c r="T242" s="3381">
        <v>22032</v>
      </c>
      <c r="U242" s="337"/>
    </row>
    <row r="243" spans="1:21">
      <c r="A243" s="219">
        <f t="shared" si="3"/>
        <v>2013.06</v>
      </c>
      <c r="B243" s="3348">
        <v>532304</v>
      </c>
      <c r="C243" s="2579"/>
      <c r="D243" s="3333">
        <v>532304</v>
      </c>
      <c r="E243" s="3335">
        <v>88171</v>
      </c>
      <c r="F243" s="2579"/>
      <c r="G243" s="3347"/>
      <c r="H243" s="3328">
        <v>14923</v>
      </c>
      <c r="I243" s="3329">
        <v>43</v>
      </c>
      <c r="J243" s="3329">
        <v>8990</v>
      </c>
      <c r="K243" s="3329">
        <v>164</v>
      </c>
      <c r="L243" s="3329">
        <v>4273</v>
      </c>
      <c r="M243" s="3329">
        <v>25495</v>
      </c>
      <c r="N243" s="3329">
        <v>13111</v>
      </c>
      <c r="O243" s="3329">
        <v>7992</v>
      </c>
      <c r="P243" s="3329">
        <v>13154</v>
      </c>
      <c r="Q243" s="3330">
        <v>26</v>
      </c>
      <c r="R243" s="382">
        <v>54853</v>
      </c>
      <c r="S243" s="382">
        <v>7061</v>
      </c>
      <c r="T243" s="3381">
        <v>22026</v>
      </c>
      <c r="U243" s="337"/>
    </row>
    <row r="244" spans="1:21">
      <c r="A244" s="219">
        <f t="shared" si="3"/>
        <v>2013.07</v>
      </c>
      <c r="B244" s="3348">
        <v>532306</v>
      </c>
      <c r="C244" s="2579"/>
      <c r="D244" s="3333">
        <v>532306</v>
      </c>
      <c r="E244" s="3335">
        <v>88530</v>
      </c>
      <c r="F244" s="2579"/>
      <c r="G244" s="3347"/>
      <c r="H244" s="3328">
        <v>14956</v>
      </c>
      <c r="I244" s="3329">
        <v>43</v>
      </c>
      <c r="J244" s="3329">
        <v>9013</v>
      </c>
      <c r="K244" s="3329">
        <v>164</v>
      </c>
      <c r="L244" s="3329">
        <v>4301</v>
      </c>
      <c r="M244" s="3329">
        <v>25629</v>
      </c>
      <c r="N244" s="3329">
        <v>13190</v>
      </c>
      <c r="O244" s="3329">
        <v>8019</v>
      </c>
      <c r="P244" s="3329">
        <v>13189</v>
      </c>
      <c r="Q244" s="3330">
        <v>26</v>
      </c>
      <c r="R244" s="382">
        <v>54689</v>
      </c>
      <c r="S244" s="382">
        <v>7045</v>
      </c>
      <c r="T244" s="3381">
        <v>22045</v>
      </c>
      <c r="U244" s="337"/>
    </row>
    <row r="245" spans="1:21">
      <c r="A245" s="219">
        <f t="shared" si="3"/>
        <v>2013.08</v>
      </c>
      <c r="B245" s="3348">
        <v>533083</v>
      </c>
      <c r="C245" s="2579"/>
      <c r="D245" s="3333">
        <v>533083</v>
      </c>
      <c r="E245" s="3335">
        <v>88910</v>
      </c>
      <c r="F245" s="2579"/>
      <c r="G245" s="3347"/>
      <c r="H245" s="3328">
        <v>14982</v>
      </c>
      <c r="I245" s="3329">
        <v>43</v>
      </c>
      <c r="J245" s="3329">
        <v>9046</v>
      </c>
      <c r="K245" s="3329">
        <v>165</v>
      </c>
      <c r="L245" s="3329">
        <v>4324</v>
      </c>
      <c r="M245" s="3329">
        <v>25768</v>
      </c>
      <c r="N245" s="3329">
        <v>13264</v>
      </c>
      <c r="O245" s="3329">
        <v>8055</v>
      </c>
      <c r="P245" s="3329">
        <v>13237</v>
      </c>
      <c r="Q245" s="3330">
        <v>26</v>
      </c>
      <c r="R245" s="382">
        <v>54618</v>
      </c>
      <c r="S245" s="382">
        <v>7086</v>
      </c>
      <c r="T245" s="3381">
        <v>22059</v>
      </c>
      <c r="U245" s="337"/>
    </row>
    <row r="246" spans="1:21">
      <c r="A246" s="219">
        <f t="shared" si="3"/>
        <v>2013.09</v>
      </c>
      <c r="B246" s="3348">
        <v>532173</v>
      </c>
      <c r="C246" s="2579"/>
      <c r="D246" s="3333">
        <v>532173</v>
      </c>
      <c r="E246" s="3335">
        <v>88855</v>
      </c>
      <c r="F246" s="2579"/>
      <c r="G246" s="3347"/>
      <c r="H246" s="3328">
        <v>14967</v>
      </c>
      <c r="I246" s="3329">
        <v>43</v>
      </c>
      <c r="J246" s="3329">
        <v>9020</v>
      </c>
      <c r="K246" s="3329">
        <v>165</v>
      </c>
      <c r="L246" s="3329">
        <v>4318</v>
      </c>
      <c r="M246" s="3329">
        <v>25758</v>
      </c>
      <c r="N246" s="3329">
        <v>13248</v>
      </c>
      <c r="O246" s="3329">
        <v>8072</v>
      </c>
      <c r="P246" s="3329">
        <v>13238</v>
      </c>
      <c r="Q246" s="3330">
        <v>26</v>
      </c>
      <c r="R246" s="382">
        <v>54616</v>
      </c>
      <c r="S246" s="382">
        <v>7069</v>
      </c>
      <c r="T246" s="3381">
        <v>22125</v>
      </c>
      <c r="U246" s="337"/>
    </row>
    <row r="247" spans="1:21">
      <c r="A247" s="219">
        <f t="shared" si="3"/>
        <v>2013.1</v>
      </c>
      <c r="B247" s="3348">
        <v>532843</v>
      </c>
      <c r="C247" s="2579"/>
      <c r="D247" s="3333">
        <v>532843</v>
      </c>
      <c r="E247" s="3335">
        <v>89229</v>
      </c>
      <c r="F247" s="2579"/>
      <c r="G247" s="3347"/>
      <c r="H247" s="3328">
        <v>15013</v>
      </c>
      <c r="I247" s="3329">
        <v>42</v>
      </c>
      <c r="J247" s="3329">
        <v>9054</v>
      </c>
      <c r="K247" s="3329">
        <v>165</v>
      </c>
      <c r="L247" s="3329">
        <v>4333</v>
      </c>
      <c r="M247" s="3329">
        <v>25864</v>
      </c>
      <c r="N247" s="3329">
        <v>13332</v>
      </c>
      <c r="O247" s="3329">
        <v>8106</v>
      </c>
      <c r="P247" s="3329">
        <v>13294</v>
      </c>
      <c r="Q247" s="3330">
        <v>26</v>
      </c>
      <c r="R247" s="382">
        <v>54731</v>
      </c>
      <c r="S247" s="382">
        <v>7095</v>
      </c>
      <c r="T247" s="3381">
        <v>22203</v>
      </c>
      <c r="U247" s="337"/>
    </row>
    <row r="248" spans="1:21">
      <c r="A248" s="219">
        <f t="shared" si="3"/>
        <v>2013.11</v>
      </c>
      <c r="B248" s="3348">
        <v>533732</v>
      </c>
      <c r="C248" s="2579"/>
      <c r="D248" s="3333">
        <v>533732</v>
      </c>
      <c r="E248" s="3335">
        <v>89598</v>
      </c>
      <c r="F248" s="2579"/>
      <c r="G248" s="3347"/>
      <c r="H248" s="3328">
        <v>15042</v>
      </c>
      <c r="I248" s="3329">
        <v>42</v>
      </c>
      <c r="J248" s="3329">
        <v>9075</v>
      </c>
      <c r="K248" s="3329">
        <v>164</v>
      </c>
      <c r="L248" s="3329">
        <v>4370</v>
      </c>
      <c r="M248" s="3329">
        <v>25995</v>
      </c>
      <c r="N248" s="3329">
        <v>13402</v>
      </c>
      <c r="O248" s="3329">
        <v>8131</v>
      </c>
      <c r="P248" s="3329">
        <v>13351</v>
      </c>
      <c r="Q248" s="3330">
        <v>26</v>
      </c>
      <c r="R248" s="382">
        <v>54959</v>
      </c>
      <c r="S248" s="382">
        <v>7116</v>
      </c>
      <c r="T248" s="3381">
        <v>22269</v>
      </c>
      <c r="U248" s="337"/>
    </row>
    <row r="249" spans="1:21">
      <c r="A249" s="219">
        <f t="shared" si="3"/>
        <v>2013.12</v>
      </c>
      <c r="B249" s="3348">
        <v>533861</v>
      </c>
      <c r="C249" s="2579"/>
      <c r="D249" s="3333">
        <v>533861</v>
      </c>
      <c r="E249" s="3335">
        <v>89760</v>
      </c>
      <c r="F249" s="2579"/>
      <c r="G249" s="3347"/>
      <c r="H249" s="3328">
        <v>15042</v>
      </c>
      <c r="I249" s="3329">
        <v>42</v>
      </c>
      <c r="J249" s="3329">
        <v>9088</v>
      </c>
      <c r="K249" s="3329">
        <v>165</v>
      </c>
      <c r="L249" s="3329">
        <v>4367</v>
      </c>
      <c r="M249" s="3329">
        <v>26063</v>
      </c>
      <c r="N249" s="3329">
        <v>13443</v>
      </c>
      <c r="O249" s="3329">
        <v>8147</v>
      </c>
      <c r="P249" s="3329">
        <v>13377</v>
      </c>
      <c r="Q249" s="3330">
        <v>26</v>
      </c>
      <c r="R249" s="382">
        <v>54943</v>
      </c>
      <c r="S249" s="382">
        <v>7124</v>
      </c>
      <c r="T249" s="3381">
        <v>22277</v>
      </c>
      <c r="U249" s="337"/>
    </row>
    <row r="250" spans="1:21">
      <c r="A250" s="219">
        <f t="shared" si="3"/>
        <v>2014.01</v>
      </c>
      <c r="B250" s="3348">
        <v>535385</v>
      </c>
      <c r="C250" s="2579"/>
      <c r="D250" s="3333">
        <v>535385</v>
      </c>
      <c r="E250" s="3335">
        <v>90098</v>
      </c>
      <c r="F250" s="2579"/>
      <c r="G250" s="3347"/>
      <c r="H250" s="3328">
        <v>15082</v>
      </c>
      <c r="I250" s="3329">
        <v>42</v>
      </c>
      <c r="J250" s="3329">
        <v>9111</v>
      </c>
      <c r="K250" s="3329">
        <v>164</v>
      </c>
      <c r="L250" s="3329">
        <v>4387</v>
      </c>
      <c r="M250" s="3329">
        <v>26173</v>
      </c>
      <c r="N250" s="3329">
        <v>13512</v>
      </c>
      <c r="O250" s="3329">
        <v>8180</v>
      </c>
      <c r="P250" s="3329">
        <v>13421</v>
      </c>
      <c r="Q250" s="3330">
        <v>26</v>
      </c>
      <c r="R250" s="382">
        <v>54562</v>
      </c>
      <c r="S250" s="382">
        <v>7065</v>
      </c>
      <c r="T250" s="3381">
        <v>22209</v>
      </c>
      <c r="U250" s="337"/>
    </row>
    <row r="251" spans="1:21">
      <c r="A251" s="219">
        <f t="shared" si="3"/>
        <v>2014.02</v>
      </c>
      <c r="B251" s="3348">
        <v>535715</v>
      </c>
      <c r="C251" s="2579"/>
      <c r="D251" s="3333">
        <v>535715</v>
      </c>
      <c r="E251" s="3335">
        <v>90234</v>
      </c>
      <c r="F251" s="2579"/>
      <c r="G251" s="3347"/>
      <c r="H251" s="3328">
        <v>15084</v>
      </c>
      <c r="I251" s="3329">
        <v>42</v>
      </c>
      <c r="J251" s="3329">
        <v>9112</v>
      </c>
      <c r="K251" s="3329">
        <v>165</v>
      </c>
      <c r="L251" s="3329">
        <v>4388</v>
      </c>
      <c r="M251" s="3329">
        <v>26225</v>
      </c>
      <c r="N251" s="3329">
        <v>13555</v>
      </c>
      <c r="O251" s="3329">
        <v>8201</v>
      </c>
      <c r="P251" s="3329">
        <v>13436</v>
      </c>
      <c r="Q251" s="3330">
        <v>26</v>
      </c>
      <c r="R251" s="382">
        <v>54369</v>
      </c>
      <c r="S251" s="382">
        <v>7066</v>
      </c>
      <c r="T251" s="3381">
        <v>22180</v>
      </c>
      <c r="U251" s="337"/>
    </row>
    <row r="252" spans="1:21">
      <c r="A252" s="219">
        <f t="shared" si="3"/>
        <v>2014.03</v>
      </c>
      <c r="B252" s="3348">
        <v>533480</v>
      </c>
      <c r="C252" s="2579"/>
      <c r="D252" s="3333">
        <v>533480</v>
      </c>
      <c r="E252" s="3335">
        <v>90473</v>
      </c>
      <c r="F252" s="2579"/>
      <c r="G252" s="3347"/>
      <c r="H252" s="3328">
        <v>15142</v>
      </c>
      <c r="I252" s="3329">
        <v>42</v>
      </c>
      <c r="J252" s="3329">
        <v>9117</v>
      </c>
      <c r="K252" s="3329">
        <v>166</v>
      </c>
      <c r="L252" s="3329">
        <v>4402</v>
      </c>
      <c r="M252" s="3329">
        <v>26294</v>
      </c>
      <c r="N252" s="3329">
        <v>13609</v>
      </c>
      <c r="O252" s="3329">
        <v>8217</v>
      </c>
      <c r="P252" s="3329">
        <v>13458</v>
      </c>
      <c r="Q252" s="3330">
        <v>26</v>
      </c>
      <c r="R252" s="382">
        <v>54799</v>
      </c>
      <c r="S252" s="382">
        <v>7060</v>
      </c>
      <c r="T252" s="3381">
        <v>22232</v>
      </c>
      <c r="U252" s="337"/>
    </row>
    <row r="253" spans="1:21">
      <c r="A253" s="219">
        <f t="shared" si="3"/>
        <v>2014.04</v>
      </c>
      <c r="B253" s="3348">
        <v>529754</v>
      </c>
      <c r="C253" s="2579"/>
      <c r="D253" s="3333">
        <v>529754</v>
      </c>
      <c r="E253" s="3335">
        <v>90691</v>
      </c>
      <c r="F253" s="2579"/>
      <c r="G253" s="3347"/>
      <c r="H253" s="3328">
        <v>15175</v>
      </c>
      <c r="I253" s="3329">
        <v>42</v>
      </c>
      <c r="J253" s="3329">
        <v>9115</v>
      </c>
      <c r="K253" s="3329">
        <v>166</v>
      </c>
      <c r="L253" s="3329">
        <v>4415</v>
      </c>
      <c r="M253" s="3329">
        <v>26365</v>
      </c>
      <c r="N253" s="3329">
        <v>13648</v>
      </c>
      <c r="O253" s="3329">
        <v>8248</v>
      </c>
      <c r="P253" s="3329">
        <v>13491</v>
      </c>
      <c r="Q253" s="3330">
        <v>26</v>
      </c>
      <c r="R253" s="382">
        <v>55199</v>
      </c>
      <c r="S253" s="382">
        <v>7070</v>
      </c>
      <c r="T253" s="3381">
        <v>22229</v>
      </c>
      <c r="U253" s="337"/>
    </row>
    <row r="254" spans="1:21">
      <c r="A254" s="219">
        <f t="shared" si="3"/>
        <v>2014.05</v>
      </c>
      <c r="B254" s="3348">
        <v>529206</v>
      </c>
      <c r="C254" s="2579"/>
      <c r="D254" s="3333">
        <v>529206</v>
      </c>
      <c r="E254" s="3335">
        <v>90850</v>
      </c>
      <c r="F254" s="2579"/>
      <c r="G254" s="3347"/>
      <c r="H254" s="3328">
        <v>15212</v>
      </c>
      <c r="I254" s="3329">
        <v>42</v>
      </c>
      <c r="J254" s="3329">
        <v>9122</v>
      </c>
      <c r="K254" s="3329">
        <v>165</v>
      </c>
      <c r="L254" s="3329">
        <v>4403</v>
      </c>
      <c r="M254" s="3329">
        <v>26402</v>
      </c>
      <c r="N254" s="3329">
        <v>13696</v>
      </c>
      <c r="O254" s="3329">
        <v>8271</v>
      </c>
      <c r="P254" s="3329">
        <v>13512</v>
      </c>
      <c r="Q254" s="3330">
        <v>25</v>
      </c>
      <c r="R254" s="382">
        <v>53432</v>
      </c>
      <c r="S254" s="382">
        <v>6811</v>
      </c>
      <c r="T254" s="3381">
        <v>21797</v>
      </c>
      <c r="U254" s="337"/>
    </row>
    <row r="255" spans="1:21">
      <c r="A255" s="219">
        <f t="shared" si="3"/>
        <v>2014.06</v>
      </c>
      <c r="B255" s="3348">
        <v>528015</v>
      </c>
      <c r="C255" s="2579"/>
      <c r="D255" s="3333">
        <v>528015</v>
      </c>
      <c r="E255" s="3335">
        <v>90928</v>
      </c>
      <c r="F255" s="2579"/>
      <c r="G255" s="3347"/>
      <c r="H255" s="3328">
        <v>15205</v>
      </c>
      <c r="I255" s="3329">
        <v>42</v>
      </c>
      <c r="J255" s="3329">
        <v>9135</v>
      </c>
      <c r="K255" s="3329">
        <v>166</v>
      </c>
      <c r="L255" s="3329">
        <v>4411</v>
      </c>
      <c r="M255" s="3329">
        <v>26460</v>
      </c>
      <c r="N255" s="3329">
        <v>13681</v>
      </c>
      <c r="O255" s="3329">
        <v>8274</v>
      </c>
      <c r="P255" s="3329">
        <v>13529</v>
      </c>
      <c r="Q255" s="3330">
        <v>25</v>
      </c>
      <c r="R255" s="382">
        <v>53232</v>
      </c>
      <c r="S255" s="382">
        <v>6724</v>
      </c>
      <c r="T255" s="3381">
        <v>21729</v>
      </c>
      <c r="U255" s="337"/>
    </row>
    <row r="256" spans="1:21">
      <c r="A256" s="219">
        <f t="shared" si="3"/>
        <v>2014.07</v>
      </c>
      <c r="B256" s="3348">
        <v>528395</v>
      </c>
      <c r="C256" s="2579"/>
      <c r="D256" s="3333">
        <v>528395</v>
      </c>
      <c r="E256" s="3335">
        <v>91247</v>
      </c>
      <c r="F256" s="2579"/>
      <c r="G256" s="3347"/>
      <c r="H256" s="3328">
        <v>15236</v>
      </c>
      <c r="I256" s="3329">
        <v>42</v>
      </c>
      <c r="J256" s="3329">
        <v>9168</v>
      </c>
      <c r="K256" s="3329">
        <v>168</v>
      </c>
      <c r="L256" s="3329">
        <v>4432</v>
      </c>
      <c r="M256" s="3329">
        <v>26569</v>
      </c>
      <c r="N256" s="3329">
        <v>13748</v>
      </c>
      <c r="O256" s="3329">
        <v>8299</v>
      </c>
      <c r="P256" s="3329">
        <v>13560</v>
      </c>
      <c r="Q256" s="3330">
        <v>25</v>
      </c>
      <c r="R256" s="382">
        <v>53138</v>
      </c>
      <c r="S256" s="382">
        <v>6837</v>
      </c>
      <c r="T256" s="3381">
        <v>21618</v>
      </c>
      <c r="U256" s="337"/>
    </row>
    <row r="257" spans="1:21">
      <c r="A257" s="219">
        <f t="shared" si="3"/>
        <v>2014.08</v>
      </c>
      <c r="B257" s="3348">
        <v>528952</v>
      </c>
      <c r="C257" s="2579"/>
      <c r="D257" s="3333">
        <v>528952</v>
      </c>
      <c r="E257" s="3335">
        <v>91538</v>
      </c>
      <c r="F257" s="2579"/>
      <c r="G257" s="3347"/>
      <c r="H257" s="3328">
        <v>15264</v>
      </c>
      <c r="I257" s="3329">
        <v>43</v>
      </c>
      <c r="J257" s="3329">
        <v>9191</v>
      </c>
      <c r="K257" s="3329">
        <v>169</v>
      </c>
      <c r="L257" s="3329">
        <v>4448</v>
      </c>
      <c r="M257" s="3329">
        <v>26676</v>
      </c>
      <c r="N257" s="3329">
        <v>13782</v>
      </c>
      <c r="O257" s="3329">
        <v>8337</v>
      </c>
      <c r="P257" s="3329">
        <v>13602</v>
      </c>
      <c r="Q257" s="3330">
        <v>26</v>
      </c>
      <c r="R257" s="382">
        <v>55824</v>
      </c>
      <c r="S257" s="382">
        <v>7207</v>
      </c>
      <c r="T257" s="3381">
        <v>22584</v>
      </c>
      <c r="U257" s="337"/>
    </row>
    <row r="258" spans="1:21">
      <c r="A258" s="219">
        <f t="shared" si="3"/>
        <v>2014.09</v>
      </c>
      <c r="B258" s="3348">
        <v>529353</v>
      </c>
      <c r="C258" s="2579"/>
      <c r="D258" s="3333">
        <v>529353</v>
      </c>
      <c r="E258" s="3335">
        <v>91835</v>
      </c>
      <c r="F258" s="2579"/>
      <c r="G258" s="3347"/>
      <c r="H258" s="3328">
        <v>15292</v>
      </c>
      <c r="I258" s="3329">
        <v>43</v>
      </c>
      <c r="J258" s="3329">
        <v>9204</v>
      </c>
      <c r="K258" s="3329">
        <v>167</v>
      </c>
      <c r="L258" s="3329">
        <v>4480</v>
      </c>
      <c r="M258" s="3329">
        <v>26785</v>
      </c>
      <c r="N258" s="3329">
        <v>13836</v>
      </c>
      <c r="O258" s="3329">
        <v>8388</v>
      </c>
      <c r="P258" s="3329">
        <v>13614</v>
      </c>
      <c r="Q258" s="3330">
        <v>26</v>
      </c>
      <c r="R258" s="382">
        <v>53583</v>
      </c>
      <c r="S258" s="382">
        <v>6964</v>
      </c>
      <c r="T258" s="3381">
        <v>21810</v>
      </c>
      <c r="U258" s="337"/>
    </row>
    <row r="259" spans="1:21">
      <c r="A259" s="219">
        <f t="shared" si="3"/>
        <v>2014.1</v>
      </c>
      <c r="B259" s="3348">
        <v>529478</v>
      </c>
      <c r="C259" s="2579"/>
      <c r="D259" s="3333">
        <v>529478</v>
      </c>
      <c r="E259" s="3335">
        <v>92113</v>
      </c>
      <c r="F259" s="2579"/>
      <c r="G259" s="3347"/>
      <c r="H259" s="3328">
        <v>15331</v>
      </c>
      <c r="I259" s="3329">
        <v>43</v>
      </c>
      <c r="J259" s="3329">
        <v>9225</v>
      </c>
      <c r="K259" s="3329">
        <v>166</v>
      </c>
      <c r="L259" s="3329">
        <v>4492</v>
      </c>
      <c r="M259" s="3329">
        <v>26877</v>
      </c>
      <c r="N259" s="3329">
        <v>13872</v>
      </c>
      <c r="O259" s="3329">
        <v>8413</v>
      </c>
      <c r="P259" s="3329">
        <v>13669</v>
      </c>
      <c r="Q259" s="3330">
        <v>25</v>
      </c>
      <c r="R259" s="382">
        <v>54244</v>
      </c>
      <c r="S259" s="382">
        <v>7043</v>
      </c>
      <c r="T259" s="3381">
        <v>22087</v>
      </c>
      <c r="U259" s="337"/>
    </row>
    <row r="260" spans="1:21">
      <c r="A260" s="219">
        <f t="shared" si="3"/>
        <v>2014.11</v>
      </c>
      <c r="B260" s="3348">
        <v>793489</v>
      </c>
      <c r="C260" s="3326">
        <v>264619</v>
      </c>
      <c r="D260" s="3333">
        <v>528870</v>
      </c>
      <c r="E260" s="3335">
        <v>80187</v>
      </c>
      <c r="F260" s="2579"/>
      <c r="G260" s="3347"/>
      <c r="H260" s="3328">
        <v>7846</v>
      </c>
      <c r="I260" s="3329">
        <v>33</v>
      </c>
      <c r="J260" s="3329">
        <v>6257</v>
      </c>
      <c r="K260" s="3329">
        <v>156</v>
      </c>
      <c r="L260" s="3329">
        <v>2041</v>
      </c>
      <c r="M260" s="3329">
        <v>15550</v>
      </c>
      <c r="N260" s="3329">
        <v>7822</v>
      </c>
      <c r="O260" s="3329">
        <v>5555</v>
      </c>
      <c r="P260" s="3329">
        <v>34925</v>
      </c>
      <c r="Q260" s="3330">
        <v>2</v>
      </c>
      <c r="R260" s="382">
        <v>55810</v>
      </c>
      <c r="S260" s="382">
        <v>7244</v>
      </c>
      <c r="T260" s="3381">
        <v>22607</v>
      </c>
      <c r="U260" s="337"/>
    </row>
    <row r="261" spans="1:21">
      <c r="A261" s="219">
        <f t="shared" si="3"/>
        <v>2014.12</v>
      </c>
      <c r="B261" s="3348">
        <v>860129</v>
      </c>
      <c r="C261" s="3329">
        <v>331051</v>
      </c>
      <c r="D261" s="3333">
        <v>529078</v>
      </c>
      <c r="E261" s="3335">
        <v>85607</v>
      </c>
      <c r="F261" s="2579"/>
      <c r="G261" s="3347"/>
      <c r="H261" s="3328">
        <v>7993</v>
      </c>
      <c r="I261" s="3329">
        <v>33</v>
      </c>
      <c r="J261" s="3329">
        <v>6250</v>
      </c>
      <c r="K261" s="3329">
        <v>156</v>
      </c>
      <c r="L261" s="3329">
        <v>2048</v>
      </c>
      <c r="M261" s="3329">
        <v>15544</v>
      </c>
      <c r="N261" s="3329">
        <v>7801</v>
      </c>
      <c r="O261" s="3329">
        <v>5552</v>
      </c>
      <c r="P261" s="3329">
        <v>40228</v>
      </c>
      <c r="Q261" s="3330">
        <v>2</v>
      </c>
      <c r="R261" s="382">
        <v>53626</v>
      </c>
      <c r="S261" s="382">
        <v>6944</v>
      </c>
      <c r="T261" s="3381">
        <v>22073</v>
      </c>
      <c r="U261" s="337"/>
    </row>
    <row r="262" spans="1:21">
      <c r="A262" s="219">
        <f t="shared" si="3"/>
        <v>2015.01</v>
      </c>
      <c r="B262" s="3348">
        <v>892819</v>
      </c>
      <c r="C262" s="3329">
        <v>361785</v>
      </c>
      <c r="D262" s="3333">
        <v>531034</v>
      </c>
      <c r="E262" s="3335">
        <v>93142</v>
      </c>
      <c r="F262" s="2579"/>
      <c r="G262" s="3347"/>
      <c r="H262" s="3328">
        <v>9153</v>
      </c>
      <c r="I262" s="3329">
        <v>34</v>
      </c>
      <c r="J262" s="3329">
        <v>6577</v>
      </c>
      <c r="K262" s="3329">
        <v>158</v>
      </c>
      <c r="L262" s="3329">
        <v>2099</v>
      </c>
      <c r="M262" s="3329">
        <v>17006</v>
      </c>
      <c r="N262" s="3329">
        <v>8215</v>
      </c>
      <c r="O262" s="3329">
        <v>6534</v>
      </c>
      <c r="P262" s="3329">
        <v>43363</v>
      </c>
      <c r="Q262" s="3330">
        <v>3</v>
      </c>
      <c r="R262" s="382">
        <v>54488</v>
      </c>
      <c r="S262" s="382">
        <v>7082</v>
      </c>
      <c r="T262" s="3381">
        <v>22221</v>
      </c>
      <c r="U262" s="337"/>
    </row>
    <row r="263" spans="1:21">
      <c r="A263" s="219">
        <f t="shared" si="3"/>
        <v>2015.02</v>
      </c>
      <c r="B263" s="3348">
        <v>900850</v>
      </c>
      <c r="C263" s="3329">
        <v>369390</v>
      </c>
      <c r="D263" s="3333">
        <v>531460</v>
      </c>
      <c r="E263" s="3335">
        <v>93320</v>
      </c>
      <c r="F263" s="2579"/>
      <c r="G263" s="3347"/>
      <c r="H263" s="3328">
        <v>8914</v>
      </c>
      <c r="I263" s="3329">
        <v>35</v>
      </c>
      <c r="J263" s="3329">
        <v>6552</v>
      </c>
      <c r="K263" s="3329">
        <v>158</v>
      </c>
      <c r="L263" s="3329">
        <v>2066</v>
      </c>
      <c r="M263" s="3329">
        <v>16979</v>
      </c>
      <c r="N263" s="3329">
        <v>8161</v>
      </c>
      <c r="O263" s="3329">
        <v>6488</v>
      </c>
      <c r="P263" s="3329">
        <v>43965</v>
      </c>
      <c r="Q263" s="3330">
        <v>2</v>
      </c>
      <c r="R263" s="382">
        <v>54172</v>
      </c>
      <c r="S263" s="382">
        <v>7041</v>
      </c>
      <c r="T263" s="3381">
        <v>22019</v>
      </c>
      <c r="U263" s="337"/>
    </row>
    <row r="264" spans="1:21">
      <c r="A264" s="219">
        <f t="shared" si="3"/>
        <v>2015.03</v>
      </c>
      <c r="B264" s="3348">
        <v>906537</v>
      </c>
      <c r="C264" s="3329">
        <v>375489</v>
      </c>
      <c r="D264" s="3333">
        <v>531048</v>
      </c>
      <c r="E264" s="3335">
        <v>93684</v>
      </c>
      <c r="F264" s="2579"/>
      <c r="G264" s="3347"/>
      <c r="H264" s="3328">
        <v>8813</v>
      </c>
      <c r="I264" s="3329">
        <v>36</v>
      </c>
      <c r="J264" s="3329">
        <v>6537</v>
      </c>
      <c r="K264" s="3329">
        <v>161</v>
      </c>
      <c r="L264" s="3329">
        <v>2045</v>
      </c>
      <c r="M264" s="3329">
        <v>16952</v>
      </c>
      <c r="N264" s="3329">
        <v>8141</v>
      </c>
      <c r="O264" s="3329">
        <v>6477</v>
      </c>
      <c r="P264" s="3329">
        <v>44520</v>
      </c>
      <c r="Q264" s="3330">
        <v>2</v>
      </c>
      <c r="R264" s="382">
        <v>52299</v>
      </c>
      <c r="S264" s="382">
        <v>6706</v>
      </c>
      <c r="T264" s="3381">
        <v>21346</v>
      </c>
      <c r="U264" s="337"/>
    </row>
    <row r="265" spans="1:21">
      <c r="A265" s="219">
        <f t="shared" si="3"/>
        <v>2015.04</v>
      </c>
      <c r="B265" s="3348">
        <v>910642</v>
      </c>
      <c r="C265" s="3329">
        <v>382272</v>
      </c>
      <c r="D265" s="3333">
        <v>528370</v>
      </c>
      <c r="E265" s="3335">
        <v>94477</v>
      </c>
      <c r="F265" s="2579"/>
      <c r="G265" s="3347"/>
      <c r="H265" s="3328">
        <v>9103</v>
      </c>
      <c r="I265" s="3329">
        <v>35</v>
      </c>
      <c r="J265" s="3329">
        <v>6543</v>
      </c>
      <c r="K265" s="3329">
        <v>159</v>
      </c>
      <c r="L265" s="3329">
        <v>2053</v>
      </c>
      <c r="M265" s="3329">
        <v>16945</v>
      </c>
      <c r="N265" s="3329">
        <v>8157</v>
      </c>
      <c r="O265" s="3329">
        <v>6471</v>
      </c>
      <c r="P265" s="3329">
        <v>45008</v>
      </c>
      <c r="Q265" s="3330">
        <v>3</v>
      </c>
      <c r="R265" s="382">
        <v>52424</v>
      </c>
      <c r="S265" s="382">
        <v>6748</v>
      </c>
      <c r="T265" s="3381">
        <v>21448</v>
      </c>
      <c r="U265" s="337"/>
    </row>
    <row r="266" spans="1:21">
      <c r="A266" s="219">
        <f t="shared" si="3"/>
        <v>2015.05</v>
      </c>
      <c r="B266" s="3348">
        <v>916299</v>
      </c>
      <c r="C266" s="3329">
        <v>387787</v>
      </c>
      <c r="D266" s="3333">
        <v>528512</v>
      </c>
      <c r="E266" s="3335">
        <v>95098</v>
      </c>
      <c r="F266" s="2579"/>
      <c r="G266" s="3347"/>
      <c r="H266" s="3328">
        <v>9219</v>
      </c>
      <c r="I266" s="3329">
        <v>34</v>
      </c>
      <c r="J266" s="3329">
        <v>6532</v>
      </c>
      <c r="K266" s="3329">
        <v>159</v>
      </c>
      <c r="L266" s="3329">
        <v>2064</v>
      </c>
      <c r="M266" s="3329">
        <v>16974</v>
      </c>
      <c r="N266" s="3329">
        <v>8188</v>
      </c>
      <c r="O266" s="3329">
        <v>6479</v>
      </c>
      <c r="P266" s="3329">
        <v>45447</v>
      </c>
      <c r="Q266" s="3330">
        <v>2</v>
      </c>
      <c r="R266" s="382">
        <v>55448</v>
      </c>
      <c r="S266" s="382">
        <v>7138</v>
      </c>
      <c r="T266" s="3381">
        <v>22318</v>
      </c>
      <c r="U266" s="337"/>
    </row>
    <row r="267" spans="1:21">
      <c r="A267" s="219">
        <f t="shared" si="3"/>
        <v>2015.06</v>
      </c>
      <c r="B267" s="3348">
        <v>922307</v>
      </c>
      <c r="C267" s="3329">
        <v>393907</v>
      </c>
      <c r="D267" s="3333">
        <v>528400</v>
      </c>
      <c r="E267" s="3335">
        <v>95427</v>
      </c>
      <c r="F267" s="2579"/>
      <c r="G267" s="3347"/>
      <c r="H267" s="3328">
        <v>9067</v>
      </c>
      <c r="I267" s="3329">
        <v>35</v>
      </c>
      <c r="J267" s="3329">
        <v>6528</v>
      </c>
      <c r="K267" s="3329">
        <v>158</v>
      </c>
      <c r="L267" s="3329">
        <v>2068</v>
      </c>
      <c r="M267" s="3329">
        <v>16970</v>
      </c>
      <c r="N267" s="3329">
        <v>8202</v>
      </c>
      <c r="O267" s="3329">
        <v>6487</v>
      </c>
      <c r="P267" s="3329">
        <v>45910</v>
      </c>
      <c r="Q267" s="3330">
        <v>2</v>
      </c>
      <c r="R267" s="382">
        <v>53499</v>
      </c>
      <c r="S267" s="382">
        <v>6885</v>
      </c>
      <c r="T267" s="3381">
        <v>21760</v>
      </c>
      <c r="U267" s="337"/>
    </row>
    <row r="268" spans="1:21">
      <c r="A268" s="219">
        <f t="shared" si="3"/>
        <v>2015.07</v>
      </c>
      <c r="B268" s="3348">
        <v>929301</v>
      </c>
      <c r="C268" s="3329">
        <v>400066</v>
      </c>
      <c r="D268" s="3333">
        <v>529235</v>
      </c>
      <c r="E268" s="3335">
        <v>95956</v>
      </c>
      <c r="F268" s="2579"/>
      <c r="G268" s="3347"/>
      <c r="H268" s="3328">
        <v>8933</v>
      </c>
      <c r="I268" s="3329">
        <v>35</v>
      </c>
      <c r="J268" s="3329">
        <v>6529</v>
      </c>
      <c r="K268" s="3329">
        <v>159</v>
      </c>
      <c r="L268" s="3329">
        <v>2077</v>
      </c>
      <c r="M268" s="3329">
        <v>17025</v>
      </c>
      <c r="N268" s="3329">
        <v>8197</v>
      </c>
      <c r="O268" s="3329">
        <v>6494</v>
      </c>
      <c r="P268" s="3329">
        <v>46505</v>
      </c>
      <c r="Q268" s="3330">
        <v>2</v>
      </c>
      <c r="R268" s="382">
        <v>52612</v>
      </c>
      <c r="S268" s="382">
        <v>6770</v>
      </c>
      <c r="T268" s="3381">
        <v>21503</v>
      </c>
      <c r="U268" s="337"/>
    </row>
    <row r="269" spans="1:21">
      <c r="A269" s="219">
        <f t="shared" si="3"/>
        <v>2015.08</v>
      </c>
      <c r="B269" s="3348">
        <v>933826</v>
      </c>
      <c r="C269" s="3329">
        <v>403559</v>
      </c>
      <c r="D269" s="3333">
        <v>530267</v>
      </c>
      <c r="E269" s="3335">
        <v>96066</v>
      </c>
      <c r="F269" s="2579"/>
      <c r="G269" s="3347"/>
      <c r="H269" s="3328">
        <v>8779</v>
      </c>
      <c r="I269" s="3329">
        <v>34</v>
      </c>
      <c r="J269" s="3329">
        <v>6547</v>
      </c>
      <c r="K269" s="3329">
        <v>158</v>
      </c>
      <c r="L269" s="3329">
        <v>2077</v>
      </c>
      <c r="M269" s="3329">
        <v>16998</v>
      </c>
      <c r="N269" s="3329">
        <v>8153</v>
      </c>
      <c r="O269" s="3329">
        <v>6478</v>
      </c>
      <c r="P269" s="3329">
        <v>46841</v>
      </c>
      <c r="Q269" s="3330">
        <v>1</v>
      </c>
      <c r="R269" s="382">
        <v>51806</v>
      </c>
      <c r="S269" s="382">
        <v>6594</v>
      </c>
      <c r="T269" s="3381">
        <v>21173</v>
      </c>
      <c r="U269" s="337"/>
    </row>
    <row r="270" spans="1:21">
      <c r="A270" s="219">
        <f t="shared" si="3"/>
        <v>2015.09</v>
      </c>
      <c r="B270" s="3348">
        <v>936398</v>
      </c>
      <c r="C270" s="3329">
        <v>405669</v>
      </c>
      <c r="D270" s="3333">
        <v>530729</v>
      </c>
      <c r="E270" s="3335">
        <v>96084</v>
      </c>
      <c r="F270" s="2579"/>
      <c r="G270" s="3347"/>
      <c r="H270" s="3328">
        <v>8656</v>
      </c>
      <c r="I270" s="3329">
        <v>35</v>
      </c>
      <c r="J270" s="3329">
        <v>6534</v>
      </c>
      <c r="K270" s="3329">
        <v>159</v>
      </c>
      <c r="L270" s="3329">
        <v>2080</v>
      </c>
      <c r="M270" s="3329">
        <v>16997</v>
      </c>
      <c r="N270" s="3329">
        <v>8137</v>
      </c>
      <c r="O270" s="3329">
        <v>6492</v>
      </c>
      <c r="P270" s="3329">
        <v>46993</v>
      </c>
      <c r="Q270" s="3330">
        <v>1</v>
      </c>
      <c r="R270" s="382">
        <v>52261</v>
      </c>
      <c r="S270" s="382">
        <v>6739</v>
      </c>
      <c r="T270" s="3381">
        <v>21349</v>
      </c>
      <c r="U270" s="337"/>
    </row>
    <row r="271" spans="1:21">
      <c r="A271" s="219">
        <f t="shared" si="3"/>
        <v>2015.1</v>
      </c>
      <c r="B271" s="3348">
        <v>940966</v>
      </c>
      <c r="C271" s="3329">
        <v>408735</v>
      </c>
      <c r="D271" s="3333">
        <v>532231</v>
      </c>
      <c r="E271" s="3335">
        <v>96489</v>
      </c>
      <c r="F271" s="2579"/>
      <c r="G271" s="3347"/>
      <c r="H271" s="3328">
        <v>8653</v>
      </c>
      <c r="I271" s="3329">
        <v>37</v>
      </c>
      <c r="J271" s="3329">
        <v>6546</v>
      </c>
      <c r="K271" s="3329">
        <v>158</v>
      </c>
      <c r="L271" s="3329">
        <v>2080</v>
      </c>
      <c r="M271" s="3329">
        <v>17043</v>
      </c>
      <c r="N271" s="3329">
        <v>8176</v>
      </c>
      <c r="O271" s="3329">
        <v>6509</v>
      </c>
      <c r="P271" s="3329">
        <v>47286</v>
      </c>
      <c r="Q271" s="3330">
        <v>1</v>
      </c>
      <c r="R271" s="382">
        <v>53481</v>
      </c>
      <c r="S271" s="382">
        <v>6913</v>
      </c>
      <c r="T271" s="3381">
        <v>21890</v>
      </c>
      <c r="U271" s="337"/>
    </row>
    <row r="272" spans="1:21">
      <c r="A272" s="219">
        <f t="shared" si="3"/>
        <v>2015.11</v>
      </c>
      <c r="B272" s="3348">
        <v>967758</v>
      </c>
      <c r="C272" s="3329">
        <v>433774</v>
      </c>
      <c r="D272" s="3333">
        <v>533984</v>
      </c>
      <c r="E272" s="3335">
        <v>98272</v>
      </c>
      <c r="F272" s="2579"/>
      <c r="G272" s="3347"/>
      <c r="H272" s="3328">
        <v>8656</v>
      </c>
      <c r="I272" s="3329">
        <v>37</v>
      </c>
      <c r="J272" s="3329">
        <v>6561</v>
      </c>
      <c r="K272" s="3329">
        <v>158</v>
      </c>
      <c r="L272" s="3329">
        <v>2085</v>
      </c>
      <c r="M272" s="3329">
        <v>17112</v>
      </c>
      <c r="N272" s="3329">
        <v>8130</v>
      </c>
      <c r="O272" s="3329">
        <v>6518</v>
      </c>
      <c r="P272" s="3329">
        <v>49014</v>
      </c>
      <c r="Q272" s="3330">
        <v>1</v>
      </c>
      <c r="R272" s="382">
        <v>51842</v>
      </c>
      <c r="S272" s="382">
        <v>6675</v>
      </c>
      <c r="T272" s="3381">
        <v>21309</v>
      </c>
      <c r="U272" s="337"/>
    </row>
    <row r="273" spans="1:21">
      <c r="A273" s="219">
        <f t="shared" si="3"/>
        <v>2015.12</v>
      </c>
      <c r="B273" s="3348">
        <v>978563</v>
      </c>
      <c r="C273" s="3329">
        <v>445456</v>
      </c>
      <c r="D273" s="3333">
        <v>533107</v>
      </c>
      <c r="E273" s="3335">
        <v>99177</v>
      </c>
      <c r="F273" s="2579"/>
      <c r="G273" s="3347"/>
      <c r="H273" s="3328">
        <v>8750</v>
      </c>
      <c r="I273" s="3329">
        <v>37</v>
      </c>
      <c r="J273" s="3329">
        <v>6572</v>
      </c>
      <c r="K273" s="3329">
        <v>157</v>
      </c>
      <c r="L273" s="3329">
        <v>2078</v>
      </c>
      <c r="M273" s="3329">
        <v>17220</v>
      </c>
      <c r="N273" s="3329">
        <v>8132</v>
      </c>
      <c r="O273" s="3329">
        <v>6551</v>
      </c>
      <c r="P273" s="3329">
        <v>49679</v>
      </c>
      <c r="Q273" s="3330">
        <v>1</v>
      </c>
      <c r="R273" s="382">
        <v>53997</v>
      </c>
      <c r="S273" s="382">
        <v>7031</v>
      </c>
      <c r="T273" s="3381">
        <v>22113</v>
      </c>
      <c r="U273" s="337"/>
    </row>
    <row r="274" spans="1:21">
      <c r="A274" s="219">
        <f t="shared" si="3"/>
        <v>2016.01</v>
      </c>
      <c r="B274" s="3348">
        <v>976008</v>
      </c>
      <c r="C274" s="3329">
        <v>442372</v>
      </c>
      <c r="D274" s="3333">
        <v>533636</v>
      </c>
      <c r="E274" s="3335">
        <v>99081</v>
      </c>
      <c r="F274" s="2579"/>
      <c r="G274" s="3347"/>
      <c r="H274" s="3328">
        <v>8744</v>
      </c>
      <c r="I274" s="3329">
        <v>37</v>
      </c>
      <c r="J274" s="3329">
        <v>6571</v>
      </c>
      <c r="K274" s="3329">
        <v>157</v>
      </c>
      <c r="L274" s="3329">
        <v>2064</v>
      </c>
      <c r="M274" s="3329">
        <v>17210</v>
      </c>
      <c r="N274" s="3329">
        <v>8105</v>
      </c>
      <c r="O274" s="3329">
        <v>6545</v>
      </c>
      <c r="P274" s="3329">
        <v>49646</v>
      </c>
      <c r="Q274" s="3330">
        <v>2</v>
      </c>
      <c r="R274" s="382">
        <v>55493</v>
      </c>
      <c r="S274" s="382">
        <v>7216</v>
      </c>
      <c r="T274" s="3381">
        <v>22554</v>
      </c>
      <c r="U274" s="337"/>
    </row>
    <row r="275" spans="1:21">
      <c r="A275" s="219">
        <f t="shared" si="3"/>
        <v>2016.02</v>
      </c>
      <c r="B275" s="3348">
        <v>976075</v>
      </c>
      <c r="C275" s="3329">
        <v>442163</v>
      </c>
      <c r="D275" s="3333">
        <v>533912</v>
      </c>
      <c r="E275" s="3335">
        <v>92588</v>
      </c>
      <c r="F275" s="2579"/>
      <c r="G275" s="3347"/>
      <c r="H275" s="3328">
        <v>7397</v>
      </c>
      <c r="I275" s="3329">
        <v>32</v>
      </c>
      <c r="J275" s="3329">
        <v>6087</v>
      </c>
      <c r="K275" s="3329">
        <v>151</v>
      </c>
      <c r="L275" s="3329">
        <v>1915</v>
      </c>
      <c r="M275" s="3329">
        <v>15424</v>
      </c>
      <c r="N275" s="3329">
        <v>7531</v>
      </c>
      <c r="O275" s="3329">
        <v>5418</v>
      </c>
      <c r="P275" s="3329">
        <v>48632</v>
      </c>
      <c r="Q275" s="3330">
        <v>1</v>
      </c>
      <c r="R275" s="382">
        <v>52552</v>
      </c>
      <c r="S275" s="382">
        <v>6689</v>
      </c>
      <c r="T275" s="3381">
        <v>21553</v>
      </c>
      <c r="U275" s="337"/>
    </row>
    <row r="276" spans="1:21">
      <c r="A276" s="219">
        <f t="shared" si="3"/>
        <v>2016.03</v>
      </c>
      <c r="B276" s="3348">
        <v>975651</v>
      </c>
      <c r="C276" s="3329">
        <v>442628</v>
      </c>
      <c r="D276" s="3333">
        <v>533023</v>
      </c>
      <c r="E276" s="3335">
        <v>92431</v>
      </c>
      <c r="F276" s="2579"/>
      <c r="G276" s="3347"/>
      <c r="H276" s="3328">
        <v>7278</v>
      </c>
      <c r="I276" s="3329">
        <v>32</v>
      </c>
      <c r="J276" s="3329">
        <v>6112</v>
      </c>
      <c r="K276" s="3329">
        <v>151</v>
      </c>
      <c r="L276" s="3329">
        <v>1917</v>
      </c>
      <c r="M276" s="3329">
        <v>15433</v>
      </c>
      <c r="N276" s="3329">
        <v>7506</v>
      </c>
      <c r="O276" s="3329">
        <v>5404</v>
      </c>
      <c r="P276" s="3329">
        <v>48597</v>
      </c>
      <c r="Q276" s="3330">
        <v>1</v>
      </c>
      <c r="R276" s="382">
        <v>52746</v>
      </c>
      <c r="S276" s="382">
        <v>6782</v>
      </c>
      <c r="T276" s="3381">
        <v>21519</v>
      </c>
      <c r="U276" s="337"/>
    </row>
    <row r="277" spans="1:21">
      <c r="A277" s="219">
        <f t="shared" si="3"/>
        <v>2016.04</v>
      </c>
      <c r="B277" s="3348">
        <v>977592</v>
      </c>
      <c r="C277" s="3329">
        <v>446649</v>
      </c>
      <c r="D277" s="3333">
        <v>530943</v>
      </c>
      <c r="E277" s="3335">
        <v>92975</v>
      </c>
      <c r="F277" s="2579"/>
      <c r="G277" s="3347"/>
      <c r="H277" s="3328">
        <v>7511</v>
      </c>
      <c r="I277" s="3329">
        <v>32</v>
      </c>
      <c r="J277" s="3329">
        <v>6104</v>
      </c>
      <c r="K277" s="3329">
        <v>153</v>
      </c>
      <c r="L277" s="3329">
        <v>1912</v>
      </c>
      <c r="M277" s="3329">
        <v>15441</v>
      </c>
      <c r="N277" s="3329">
        <v>7560</v>
      </c>
      <c r="O277" s="3329">
        <v>5431</v>
      </c>
      <c r="P277" s="3329">
        <v>48829</v>
      </c>
      <c r="Q277" s="3330">
        <v>2</v>
      </c>
      <c r="R277" s="382">
        <v>54635</v>
      </c>
      <c r="S277" s="382">
        <v>7088</v>
      </c>
      <c r="T277" s="3381">
        <v>22223</v>
      </c>
      <c r="U277" s="337"/>
    </row>
    <row r="278" spans="1:21">
      <c r="A278" s="219">
        <f t="shared" si="3"/>
        <v>2016.05</v>
      </c>
      <c r="B278" s="3348">
        <v>979811</v>
      </c>
      <c r="C278" s="3329">
        <v>450831</v>
      </c>
      <c r="D278" s="3333">
        <v>528980</v>
      </c>
      <c r="E278" s="3335">
        <v>93112</v>
      </c>
      <c r="F278" s="2579"/>
      <c r="G278" s="3347"/>
      <c r="H278" s="3328">
        <v>7575</v>
      </c>
      <c r="I278" s="3329">
        <v>31</v>
      </c>
      <c r="J278" s="3329">
        <v>6079</v>
      </c>
      <c r="K278" s="3329">
        <v>151</v>
      </c>
      <c r="L278" s="3329">
        <v>1899</v>
      </c>
      <c r="M278" s="3329">
        <v>15362</v>
      </c>
      <c r="N278" s="3329">
        <v>7554</v>
      </c>
      <c r="O278" s="3329">
        <v>5416</v>
      </c>
      <c r="P278" s="3329">
        <v>49043</v>
      </c>
      <c r="Q278" s="3330">
        <v>2</v>
      </c>
      <c r="R278" s="382">
        <v>52538</v>
      </c>
      <c r="S278" s="382">
        <v>6734</v>
      </c>
      <c r="T278" s="3381">
        <v>21467</v>
      </c>
      <c r="U278" s="337"/>
    </row>
    <row r="279" spans="1:21">
      <c r="A279" s="219">
        <f t="shared" si="3"/>
        <v>2016.06</v>
      </c>
      <c r="B279" s="3348">
        <v>983456</v>
      </c>
      <c r="C279" s="3329">
        <v>454592</v>
      </c>
      <c r="D279" s="3333">
        <v>528864</v>
      </c>
      <c r="E279" s="3335">
        <v>98526</v>
      </c>
      <c r="F279" s="3326">
        <v>45712</v>
      </c>
      <c r="G279" s="3332">
        <v>52814</v>
      </c>
      <c r="H279" s="3328">
        <v>7517</v>
      </c>
      <c r="I279" s="3329">
        <v>31</v>
      </c>
      <c r="J279" s="3329">
        <v>6073</v>
      </c>
      <c r="K279" s="3329">
        <v>150</v>
      </c>
      <c r="L279" s="3329">
        <v>1897</v>
      </c>
      <c r="M279" s="3329">
        <v>15314</v>
      </c>
      <c r="N279" s="3329">
        <v>7541</v>
      </c>
      <c r="O279" s="3329">
        <v>5400</v>
      </c>
      <c r="P279" s="3329">
        <v>8889</v>
      </c>
      <c r="Q279" s="3330">
        <v>2</v>
      </c>
      <c r="R279" s="382">
        <v>53044</v>
      </c>
      <c r="S279" s="382">
        <v>6850</v>
      </c>
      <c r="T279" s="3381">
        <v>21651</v>
      </c>
      <c r="U279" s="337"/>
    </row>
    <row r="280" spans="1:21">
      <c r="A280" s="219">
        <f t="shared" si="3"/>
        <v>2016.07</v>
      </c>
      <c r="B280" s="3348">
        <v>980956</v>
      </c>
      <c r="C280" s="3329">
        <v>453154</v>
      </c>
      <c r="D280" s="3333">
        <v>527802</v>
      </c>
      <c r="E280" s="3335">
        <v>98180</v>
      </c>
      <c r="F280" s="3329">
        <v>45590</v>
      </c>
      <c r="G280" s="3333">
        <v>52590</v>
      </c>
      <c r="H280" s="3328">
        <v>7388</v>
      </c>
      <c r="I280" s="3329">
        <v>31</v>
      </c>
      <c r="J280" s="3329">
        <v>6046</v>
      </c>
      <c r="K280" s="3329">
        <v>152</v>
      </c>
      <c r="L280" s="3329">
        <v>1903</v>
      </c>
      <c r="M280" s="3329">
        <v>15322</v>
      </c>
      <c r="N280" s="3329">
        <v>7493</v>
      </c>
      <c r="O280" s="3329">
        <v>5402</v>
      </c>
      <c r="P280" s="3329">
        <v>8851</v>
      </c>
      <c r="Q280" s="3330">
        <v>2</v>
      </c>
      <c r="R280" s="382">
        <v>55166</v>
      </c>
      <c r="S280" s="382">
        <v>7183</v>
      </c>
      <c r="T280" s="3381">
        <v>22382</v>
      </c>
      <c r="U280" s="337"/>
    </row>
    <row r="281" spans="1:21">
      <c r="A281" s="219">
        <f t="shared" si="3"/>
        <v>2016.08</v>
      </c>
      <c r="B281" s="3348">
        <v>984914</v>
      </c>
      <c r="C281" s="3329">
        <v>456463</v>
      </c>
      <c r="D281" s="3333">
        <v>528451</v>
      </c>
      <c r="E281" s="3335">
        <v>98392</v>
      </c>
      <c r="F281" s="3329">
        <v>45928</v>
      </c>
      <c r="G281" s="3333">
        <v>52464</v>
      </c>
      <c r="H281" s="3328">
        <v>7262</v>
      </c>
      <c r="I281" s="3329">
        <v>32</v>
      </c>
      <c r="J281" s="3329">
        <v>6047</v>
      </c>
      <c r="K281" s="3329">
        <v>153</v>
      </c>
      <c r="L281" s="3329">
        <v>1896</v>
      </c>
      <c r="M281" s="3329">
        <v>15370</v>
      </c>
      <c r="N281" s="3329">
        <v>7448</v>
      </c>
      <c r="O281" s="3329">
        <v>5399</v>
      </c>
      <c r="P281" s="3329">
        <v>8855</v>
      </c>
      <c r="Q281" s="3330">
        <v>2</v>
      </c>
      <c r="R281" s="382">
        <v>52215</v>
      </c>
      <c r="S281" s="382">
        <v>6793</v>
      </c>
      <c r="T281" s="3381">
        <v>21311</v>
      </c>
      <c r="U281" s="337"/>
    </row>
    <row r="282" spans="1:21">
      <c r="A282" s="219">
        <f t="shared" si="3"/>
        <v>2016.09</v>
      </c>
      <c r="B282" s="3348">
        <v>990073</v>
      </c>
      <c r="C282" s="3329">
        <v>459734</v>
      </c>
      <c r="D282" s="3333">
        <v>530339</v>
      </c>
      <c r="E282" s="3335">
        <v>98896</v>
      </c>
      <c r="F282" s="3329">
        <v>46259</v>
      </c>
      <c r="G282" s="3333">
        <v>52637</v>
      </c>
      <c r="H282" s="3328">
        <v>7227</v>
      </c>
      <c r="I282" s="3329">
        <v>31</v>
      </c>
      <c r="J282" s="3329">
        <v>6053</v>
      </c>
      <c r="K282" s="3329">
        <v>156</v>
      </c>
      <c r="L282" s="3329">
        <v>1936</v>
      </c>
      <c r="M282" s="3329">
        <v>15454</v>
      </c>
      <c r="N282" s="3329">
        <v>7478</v>
      </c>
      <c r="O282" s="3329">
        <v>5398</v>
      </c>
      <c r="P282" s="3329">
        <v>8903</v>
      </c>
      <c r="Q282" s="3330">
        <v>1</v>
      </c>
      <c r="R282" s="382">
        <v>52491</v>
      </c>
      <c r="S282" s="382">
        <v>6924</v>
      </c>
      <c r="T282" s="3381">
        <v>21511</v>
      </c>
      <c r="U282" s="337"/>
    </row>
    <row r="283" spans="1:21">
      <c r="A283" s="219">
        <f t="shared" si="3"/>
        <v>2016.1</v>
      </c>
      <c r="B283" s="3348">
        <v>993698</v>
      </c>
      <c r="C283" s="3329">
        <v>462948</v>
      </c>
      <c r="D283" s="3333">
        <v>530750</v>
      </c>
      <c r="E283" s="3335">
        <v>99169</v>
      </c>
      <c r="F283" s="3329">
        <v>46549</v>
      </c>
      <c r="G283" s="3333">
        <v>52620</v>
      </c>
      <c r="H283" s="3328">
        <v>7197</v>
      </c>
      <c r="I283" s="3329">
        <v>31</v>
      </c>
      <c r="J283" s="3329">
        <v>6053</v>
      </c>
      <c r="K283" s="3329">
        <v>155</v>
      </c>
      <c r="L283" s="3329">
        <v>1925</v>
      </c>
      <c r="M283" s="3329">
        <v>15477</v>
      </c>
      <c r="N283" s="3329">
        <v>7464</v>
      </c>
      <c r="O283" s="3329">
        <v>5418</v>
      </c>
      <c r="P283" s="3329">
        <v>8899</v>
      </c>
      <c r="Q283" s="3330">
        <v>1</v>
      </c>
      <c r="R283" s="382">
        <v>52369</v>
      </c>
      <c r="S283" s="382">
        <v>6853</v>
      </c>
      <c r="T283" s="3381">
        <v>21413</v>
      </c>
      <c r="U283" s="337"/>
    </row>
    <row r="284" spans="1:21">
      <c r="A284" s="219">
        <f t="shared" si="3"/>
        <v>2016.11</v>
      </c>
      <c r="B284" s="3348">
        <v>996562</v>
      </c>
      <c r="C284" s="3329">
        <v>465306</v>
      </c>
      <c r="D284" s="3333">
        <v>531256</v>
      </c>
      <c r="E284" s="3335">
        <v>99327</v>
      </c>
      <c r="F284" s="3329">
        <v>46718</v>
      </c>
      <c r="G284" s="3333">
        <v>52609</v>
      </c>
      <c r="H284" s="3328">
        <v>7205</v>
      </c>
      <c r="I284" s="3329">
        <v>31</v>
      </c>
      <c r="J284" s="3329">
        <v>6042</v>
      </c>
      <c r="K284" s="3329">
        <v>155</v>
      </c>
      <c r="L284" s="3329">
        <v>1928</v>
      </c>
      <c r="M284" s="3329">
        <v>15503</v>
      </c>
      <c r="N284" s="3329">
        <v>7445</v>
      </c>
      <c r="O284" s="3329">
        <v>5402</v>
      </c>
      <c r="P284" s="3329">
        <v>8897</v>
      </c>
      <c r="Q284" s="3330">
        <v>1</v>
      </c>
      <c r="R284" s="382">
        <v>52087</v>
      </c>
      <c r="S284" s="382">
        <v>6699</v>
      </c>
      <c r="T284" s="3381">
        <v>21354</v>
      </c>
      <c r="U284" s="337"/>
    </row>
    <row r="285" spans="1:21">
      <c r="A285" s="219">
        <f t="shared" si="3"/>
        <v>2016.12</v>
      </c>
      <c r="B285" s="3348">
        <v>998266</v>
      </c>
      <c r="C285" s="3329">
        <v>467552</v>
      </c>
      <c r="D285" s="3333">
        <v>530714</v>
      </c>
      <c r="E285" s="3335">
        <v>99577</v>
      </c>
      <c r="F285" s="3329">
        <v>46909</v>
      </c>
      <c r="G285" s="3333">
        <v>52668</v>
      </c>
      <c r="H285" s="3328">
        <v>7284</v>
      </c>
      <c r="I285" s="3329">
        <v>32</v>
      </c>
      <c r="J285" s="3329">
        <v>6035</v>
      </c>
      <c r="K285" s="3329">
        <v>156</v>
      </c>
      <c r="L285" s="3329">
        <v>1950</v>
      </c>
      <c r="M285" s="3329">
        <v>15509</v>
      </c>
      <c r="N285" s="3329">
        <v>7409</v>
      </c>
      <c r="O285" s="3329">
        <v>5410</v>
      </c>
      <c r="P285" s="3329">
        <v>8882</v>
      </c>
      <c r="Q285" s="3330">
        <v>1</v>
      </c>
      <c r="R285" s="382">
        <v>54399</v>
      </c>
      <c r="S285" s="382">
        <v>7051</v>
      </c>
      <c r="T285" s="3381">
        <v>22038</v>
      </c>
      <c r="U285" s="337"/>
    </row>
    <row r="286" spans="1:21">
      <c r="A286" s="219">
        <f t="shared" si="3"/>
        <v>2017.01</v>
      </c>
      <c r="B286" s="3348">
        <v>977714</v>
      </c>
      <c r="C286" s="3329">
        <v>446492</v>
      </c>
      <c r="D286" s="3333">
        <v>531222</v>
      </c>
      <c r="E286" s="3335">
        <v>99462</v>
      </c>
      <c r="F286" s="3329">
        <v>46859</v>
      </c>
      <c r="G286" s="3333">
        <v>52603</v>
      </c>
      <c r="H286" s="3328">
        <v>7299</v>
      </c>
      <c r="I286" s="3329">
        <v>32</v>
      </c>
      <c r="J286" s="3329">
        <v>6018</v>
      </c>
      <c r="K286" s="3329">
        <v>157</v>
      </c>
      <c r="L286" s="3329">
        <v>1920</v>
      </c>
      <c r="M286" s="3329">
        <v>15504</v>
      </c>
      <c r="N286" s="3329">
        <v>7387</v>
      </c>
      <c r="O286" s="3329">
        <v>5397</v>
      </c>
      <c r="P286" s="3329">
        <v>8887</v>
      </c>
      <c r="Q286" s="3330">
        <v>2</v>
      </c>
      <c r="R286" s="382">
        <v>52777</v>
      </c>
      <c r="S286" s="382">
        <v>6880</v>
      </c>
      <c r="T286" s="3381">
        <v>21456</v>
      </c>
      <c r="U286" s="337"/>
    </row>
    <row r="287" spans="1:21">
      <c r="A287" s="219">
        <f t="shared" si="3"/>
        <v>2017.02</v>
      </c>
      <c r="B287" s="3348">
        <v>979516</v>
      </c>
      <c r="C287" s="3329">
        <v>447009</v>
      </c>
      <c r="D287" s="3333">
        <v>532507</v>
      </c>
      <c r="E287" s="3335">
        <v>99040</v>
      </c>
      <c r="F287" s="3329">
        <v>46872</v>
      </c>
      <c r="G287" s="3333">
        <v>52168</v>
      </c>
      <c r="H287" s="3328">
        <v>7101</v>
      </c>
      <c r="I287" s="3329">
        <v>31</v>
      </c>
      <c r="J287" s="3329">
        <v>5994</v>
      </c>
      <c r="K287" s="3329">
        <v>155</v>
      </c>
      <c r="L287" s="3329">
        <v>1902</v>
      </c>
      <c r="M287" s="3329">
        <v>15422</v>
      </c>
      <c r="N287" s="3329">
        <v>7386</v>
      </c>
      <c r="O287" s="3329">
        <v>5390</v>
      </c>
      <c r="P287" s="3329">
        <v>8786</v>
      </c>
      <c r="Q287" s="3330">
        <v>1</v>
      </c>
      <c r="R287" s="382">
        <v>53808</v>
      </c>
      <c r="S287" s="382">
        <v>6921</v>
      </c>
      <c r="T287" s="3381">
        <v>21890</v>
      </c>
      <c r="U287" s="337"/>
    </row>
    <row r="288" spans="1:21">
      <c r="A288" s="219">
        <f t="shared" si="3"/>
        <v>2017.03</v>
      </c>
      <c r="B288" s="3348">
        <v>979236</v>
      </c>
      <c r="C288" s="3329">
        <v>448734</v>
      </c>
      <c r="D288" s="3333">
        <v>530502</v>
      </c>
      <c r="E288" s="3335">
        <v>99080</v>
      </c>
      <c r="F288" s="3329">
        <v>47060</v>
      </c>
      <c r="G288" s="3333">
        <v>52020</v>
      </c>
      <c r="H288" s="3328">
        <v>6988</v>
      </c>
      <c r="I288" s="3329">
        <v>31</v>
      </c>
      <c r="J288" s="3329">
        <v>6157</v>
      </c>
      <c r="K288" s="3329">
        <v>154</v>
      </c>
      <c r="L288" s="3329">
        <v>1922</v>
      </c>
      <c r="M288" s="3329">
        <v>15182</v>
      </c>
      <c r="N288" s="3329">
        <v>7582</v>
      </c>
      <c r="O288" s="3329">
        <v>5369</v>
      </c>
      <c r="P288" s="3329">
        <v>8634</v>
      </c>
      <c r="Q288" s="3330">
        <v>1</v>
      </c>
      <c r="R288" s="382">
        <v>52730</v>
      </c>
      <c r="S288" s="382">
        <v>6793</v>
      </c>
      <c r="T288" s="3381">
        <v>21440</v>
      </c>
      <c r="U288" s="337"/>
    </row>
    <row r="289" spans="1:21">
      <c r="A289" s="219">
        <f t="shared" si="3"/>
        <v>2017.04</v>
      </c>
      <c r="B289" s="3348">
        <v>980840</v>
      </c>
      <c r="C289" s="3329">
        <v>453076</v>
      </c>
      <c r="D289" s="3333">
        <v>527764</v>
      </c>
      <c r="E289" s="3335">
        <v>99737</v>
      </c>
      <c r="F289" s="3329">
        <v>47468</v>
      </c>
      <c r="G289" s="3333">
        <v>52269</v>
      </c>
      <c r="H289" s="3328">
        <v>7175</v>
      </c>
      <c r="I289" s="3329">
        <v>31</v>
      </c>
      <c r="J289" s="3329">
        <v>6141</v>
      </c>
      <c r="K289" s="3329">
        <v>152</v>
      </c>
      <c r="L289" s="3329">
        <v>1938</v>
      </c>
      <c r="M289" s="3329">
        <v>15180</v>
      </c>
      <c r="N289" s="3329">
        <v>7641</v>
      </c>
      <c r="O289" s="3329">
        <v>5359</v>
      </c>
      <c r="P289" s="3329">
        <v>8651</v>
      </c>
      <c r="Q289" s="3330">
        <v>1</v>
      </c>
      <c r="R289" s="382">
        <v>54922</v>
      </c>
      <c r="S289" s="382">
        <v>7103</v>
      </c>
      <c r="T289" s="3381">
        <v>22148</v>
      </c>
      <c r="U289" s="337"/>
    </row>
    <row r="290" spans="1:21">
      <c r="A290" s="219">
        <f t="shared" si="3"/>
        <v>2017.05</v>
      </c>
      <c r="B290" s="3348">
        <v>981916</v>
      </c>
      <c r="C290" s="3329">
        <v>455048</v>
      </c>
      <c r="D290" s="3333">
        <v>526868</v>
      </c>
      <c r="E290" s="3335">
        <v>98633</v>
      </c>
      <c r="F290" s="3329">
        <v>46571</v>
      </c>
      <c r="G290" s="3333">
        <v>52062</v>
      </c>
      <c r="H290" s="3328">
        <v>7216</v>
      </c>
      <c r="I290" s="3329">
        <v>31</v>
      </c>
      <c r="J290" s="3329">
        <v>6076</v>
      </c>
      <c r="K290" s="3329">
        <v>154</v>
      </c>
      <c r="L290" s="3329">
        <v>1941</v>
      </c>
      <c r="M290" s="3329">
        <v>15062</v>
      </c>
      <c r="N290" s="3329">
        <v>7626</v>
      </c>
      <c r="O290" s="3329">
        <v>5323</v>
      </c>
      <c r="P290" s="3329">
        <v>8631</v>
      </c>
      <c r="Q290" s="3330">
        <v>2</v>
      </c>
      <c r="R290" s="382">
        <v>52163</v>
      </c>
      <c r="S290" s="382">
        <v>6734</v>
      </c>
      <c r="T290" s="3381">
        <v>21242</v>
      </c>
      <c r="U290" s="337"/>
    </row>
    <row r="291" spans="1:21">
      <c r="A291" s="219">
        <f t="shared" si="3"/>
        <v>2017.06</v>
      </c>
      <c r="B291" s="3348">
        <v>986869</v>
      </c>
      <c r="C291" s="3329">
        <v>458408</v>
      </c>
      <c r="D291" s="3333">
        <v>528461</v>
      </c>
      <c r="E291" s="3335">
        <v>99322</v>
      </c>
      <c r="F291" s="3329">
        <v>46882</v>
      </c>
      <c r="G291" s="3333">
        <v>52440</v>
      </c>
      <c r="H291" s="3328">
        <v>7228</v>
      </c>
      <c r="I291" s="3329">
        <v>33</v>
      </c>
      <c r="J291" s="3329">
        <v>6102</v>
      </c>
      <c r="K291" s="3329">
        <v>154</v>
      </c>
      <c r="L291" s="3329">
        <v>1970</v>
      </c>
      <c r="M291" s="3329">
        <v>15195</v>
      </c>
      <c r="N291" s="3329">
        <v>7710</v>
      </c>
      <c r="O291" s="3329">
        <v>5373</v>
      </c>
      <c r="P291" s="3329">
        <v>8673</v>
      </c>
      <c r="Q291" s="3330">
        <v>2</v>
      </c>
      <c r="R291" s="382">
        <v>52698</v>
      </c>
      <c r="S291" s="382">
        <v>6862</v>
      </c>
      <c r="T291" s="3381">
        <v>21413</v>
      </c>
      <c r="U291" s="337"/>
    </row>
    <row r="292" spans="1:21">
      <c r="A292" s="219">
        <f t="shared" si="3"/>
        <v>2017.07</v>
      </c>
      <c r="B292" s="3348">
        <v>988905</v>
      </c>
      <c r="C292" s="3329">
        <v>461316</v>
      </c>
      <c r="D292" s="3333">
        <v>527589</v>
      </c>
      <c r="E292" s="3335">
        <v>99452</v>
      </c>
      <c r="F292" s="3329">
        <v>47152</v>
      </c>
      <c r="G292" s="3333">
        <v>52300</v>
      </c>
      <c r="H292" s="3328">
        <v>7122</v>
      </c>
      <c r="I292" s="3329">
        <v>33</v>
      </c>
      <c r="J292" s="3329">
        <v>6085</v>
      </c>
      <c r="K292" s="3329">
        <v>155</v>
      </c>
      <c r="L292" s="3329">
        <v>1972</v>
      </c>
      <c r="M292" s="3329">
        <v>15150</v>
      </c>
      <c r="N292" s="3329">
        <v>7691</v>
      </c>
      <c r="O292" s="3329">
        <v>5393</v>
      </c>
      <c r="P292" s="3329">
        <v>8697</v>
      </c>
      <c r="Q292" s="3330">
        <v>2</v>
      </c>
      <c r="R292" s="382">
        <v>52274</v>
      </c>
      <c r="S292" s="382">
        <v>6801</v>
      </c>
      <c r="T292" s="3381">
        <v>21247</v>
      </c>
      <c r="U292" s="337"/>
    </row>
    <row r="293" spans="1:21">
      <c r="A293" s="219">
        <f t="shared" si="3"/>
        <v>2017.08</v>
      </c>
      <c r="B293" s="3348">
        <v>993434</v>
      </c>
      <c r="C293" s="3329">
        <v>464733</v>
      </c>
      <c r="D293" s="3333">
        <v>528701</v>
      </c>
      <c r="E293" s="3335">
        <v>98906</v>
      </c>
      <c r="F293" s="3329">
        <v>47487</v>
      </c>
      <c r="G293" s="3333">
        <v>51419</v>
      </c>
      <c r="H293" s="3328">
        <v>7040</v>
      </c>
      <c r="I293" s="3329">
        <v>33</v>
      </c>
      <c r="J293" s="3329">
        <v>6102</v>
      </c>
      <c r="K293" s="3329">
        <v>155</v>
      </c>
      <c r="L293" s="3329">
        <v>1990</v>
      </c>
      <c r="M293" s="3329">
        <v>15212</v>
      </c>
      <c r="N293" s="3329">
        <v>7990</v>
      </c>
      <c r="O293" s="3329">
        <v>5212</v>
      </c>
      <c r="P293" s="3329">
        <v>7682</v>
      </c>
      <c r="Q293" s="3330">
        <v>3</v>
      </c>
      <c r="R293" s="382">
        <v>52207</v>
      </c>
      <c r="S293" s="382">
        <v>6690</v>
      </c>
      <c r="T293" s="3381">
        <v>21243</v>
      </c>
      <c r="U293" s="337"/>
    </row>
    <row r="294" spans="1:21">
      <c r="A294" s="219">
        <f t="shared" si="3"/>
        <v>2017.09</v>
      </c>
      <c r="B294" s="3348">
        <v>997848</v>
      </c>
      <c r="C294" s="3329">
        <v>468669</v>
      </c>
      <c r="D294" s="3333">
        <v>529179</v>
      </c>
      <c r="E294" s="3335">
        <v>100201</v>
      </c>
      <c r="F294" s="3329">
        <v>47803</v>
      </c>
      <c r="G294" s="3333">
        <v>52398</v>
      </c>
      <c r="H294" s="3328">
        <v>6973</v>
      </c>
      <c r="I294" s="3329">
        <v>31</v>
      </c>
      <c r="J294" s="3329">
        <v>6150</v>
      </c>
      <c r="K294" s="3329">
        <v>154</v>
      </c>
      <c r="L294" s="3329">
        <v>2001</v>
      </c>
      <c r="M294" s="3329">
        <v>15279</v>
      </c>
      <c r="N294" s="3329">
        <v>7680</v>
      </c>
      <c r="O294" s="3329">
        <v>5379</v>
      </c>
      <c r="P294" s="3329">
        <v>8750</v>
      </c>
      <c r="Q294" s="3330">
        <v>1</v>
      </c>
      <c r="R294" s="382">
        <v>53851</v>
      </c>
      <c r="S294" s="382">
        <v>6940</v>
      </c>
      <c r="T294" s="3381">
        <v>21931</v>
      </c>
      <c r="U294" s="337"/>
    </row>
    <row r="295" spans="1:21">
      <c r="A295" s="219">
        <f t="shared" si="3"/>
        <v>2017.1</v>
      </c>
      <c r="B295" s="3348">
        <v>1003172</v>
      </c>
      <c r="C295" s="3329">
        <v>472275</v>
      </c>
      <c r="D295" s="3333">
        <v>530897</v>
      </c>
      <c r="E295" s="3335">
        <v>100611</v>
      </c>
      <c r="F295" s="3329">
        <v>48110</v>
      </c>
      <c r="G295" s="3333">
        <v>52501</v>
      </c>
      <c r="H295" s="3328">
        <v>6952</v>
      </c>
      <c r="I295" s="3329">
        <v>31</v>
      </c>
      <c r="J295" s="3329">
        <v>6121</v>
      </c>
      <c r="K295" s="3329">
        <v>153</v>
      </c>
      <c r="L295" s="3329">
        <v>2012</v>
      </c>
      <c r="M295" s="3329">
        <v>15354</v>
      </c>
      <c r="N295" s="3329">
        <v>7699</v>
      </c>
      <c r="O295" s="3329">
        <v>5408</v>
      </c>
      <c r="P295" s="3329">
        <v>8770</v>
      </c>
      <c r="Q295" s="3330">
        <v>1</v>
      </c>
      <c r="R295" s="382">
        <v>52122</v>
      </c>
      <c r="S295" s="382">
        <v>6816</v>
      </c>
      <c r="T295" s="3381">
        <v>21244</v>
      </c>
      <c r="U295" s="337"/>
    </row>
    <row r="296" spans="1:21">
      <c r="A296" s="219">
        <f t="shared" si="3"/>
        <v>2017.11</v>
      </c>
      <c r="B296" s="3348">
        <v>1006656</v>
      </c>
      <c r="C296" s="3329">
        <v>474764</v>
      </c>
      <c r="D296" s="3333">
        <v>531892</v>
      </c>
      <c r="E296" s="3335">
        <v>100902</v>
      </c>
      <c r="F296" s="3329">
        <v>48326</v>
      </c>
      <c r="G296" s="3333">
        <v>52576</v>
      </c>
      <c r="H296" s="3328">
        <v>6968</v>
      </c>
      <c r="I296" s="3329">
        <v>31</v>
      </c>
      <c r="J296" s="3329">
        <v>6120</v>
      </c>
      <c r="K296" s="3329">
        <v>154</v>
      </c>
      <c r="L296" s="3329">
        <v>2010</v>
      </c>
      <c r="M296" s="3329">
        <v>15420</v>
      </c>
      <c r="N296" s="3329">
        <v>7673</v>
      </c>
      <c r="O296" s="3329">
        <v>5414</v>
      </c>
      <c r="P296" s="3329">
        <v>8785</v>
      </c>
      <c r="Q296" s="3330">
        <v>1</v>
      </c>
      <c r="R296" s="382">
        <v>52274</v>
      </c>
      <c r="S296" s="382">
        <v>6830</v>
      </c>
      <c r="T296" s="3381">
        <v>21260</v>
      </c>
      <c r="U296" s="337"/>
    </row>
    <row r="297" spans="1:21">
      <c r="A297" s="219">
        <f t="shared" si="3"/>
        <v>2017.12</v>
      </c>
      <c r="B297" s="3348">
        <v>1008264</v>
      </c>
      <c r="C297" s="3329">
        <v>476081</v>
      </c>
      <c r="D297" s="3333">
        <v>532183</v>
      </c>
      <c r="E297" s="3335">
        <v>100985</v>
      </c>
      <c r="F297" s="3329">
        <v>48332</v>
      </c>
      <c r="G297" s="3333">
        <v>52653</v>
      </c>
      <c r="H297" s="3328">
        <v>7066</v>
      </c>
      <c r="I297" s="3329">
        <v>32</v>
      </c>
      <c r="J297" s="3329">
        <v>6117</v>
      </c>
      <c r="K297" s="3329">
        <v>153</v>
      </c>
      <c r="L297" s="3329">
        <v>2006</v>
      </c>
      <c r="M297" s="3329">
        <v>15443</v>
      </c>
      <c r="N297" s="3329">
        <v>7677</v>
      </c>
      <c r="O297" s="3329">
        <v>5424</v>
      </c>
      <c r="P297" s="3329">
        <v>8734</v>
      </c>
      <c r="Q297" s="3330">
        <v>1</v>
      </c>
      <c r="R297" s="382">
        <v>54910</v>
      </c>
      <c r="S297" s="382">
        <v>7138</v>
      </c>
      <c r="T297" s="3381">
        <v>22187</v>
      </c>
      <c r="U297" s="337"/>
    </row>
    <row r="298" spans="1:21">
      <c r="A298" s="219">
        <f t="shared" si="3"/>
        <v>2018.01</v>
      </c>
      <c r="B298" s="3348">
        <v>1003604</v>
      </c>
      <c r="C298" s="3329">
        <v>473085</v>
      </c>
      <c r="D298" s="3333">
        <v>530519</v>
      </c>
      <c r="E298" s="3335">
        <v>100726</v>
      </c>
      <c r="F298" s="3329">
        <v>48275</v>
      </c>
      <c r="G298" s="3333">
        <v>52451</v>
      </c>
      <c r="H298" s="3328">
        <v>7022</v>
      </c>
      <c r="I298" s="3329">
        <v>32</v>
      </c>
      <c r="J298" s="3329">
        <v>6091</v>
      </c>
      <c r="K298" s="3329">
        <v>154</v>
      </c>
      <c r="L298" s="3329">
        <v>1987</v>
      </c>
      <c r="M298" s="3329">
        <v>15406</v>
      </c>
      <c r="N298" s="3329">
        <v>7642</v>
      </c>
      <c r="O298" s="3329">
        <v>5406</v>
      </c>
      <c r="P298" s="3329">
        <v>8709</v>
      </c>
      <c r="Q298" s="3330">
        <v>2</v>
      </c>
      <c r="R298" s="382">
        <v>52021</v>
      </c>
      <c r="S298" s="382">
        <v>6767</v>
      </c>
      <c r="T298" s="3381">
        <v>21120</v>
      </c>
      <c r="U298" s="337"/>
    </row>
    <row r="299" spans="1:21">
      <c r="A299" s="219">
        <f t="shared" si="3"/>
        <v>2018.02</v>
      </c>
      <c r="B299" s="3348">
        <v>1004169</v>
      </c>
      <c r="C299" s="3329">
        <v>473348</v>
      </c>
      <c r="D299" s="3333">
        <v>530821</v>
      </c>
      <c r="E299" s="3335">
        <v>100370</v>
      </c>
      <c r="F299" s="3329">
        <v>48285</v>
      </c>
      <c r="G299" s="3333">
        <v>52085</v>
      </c>
      <c r="H299" s="3328">
        <v>6864</v>
      </c>
      <c r="I299" s="3329">
        <v>33</v>
      </c>
      <c r="J299" s="3329">
        <v>6077</v>
      </c>
      <c r="K299" s="3329">
        <v>155</v>
      </c>
      <c r="L299" s="3329">
        <v>1978</v>
      </c>
      <c r="M299" s="3329">
        <v>15344</v>
      </c>
      <c r="N299" s="3329">
        <v>7583</v>
      </c>
      <c r="O299" s="3329">
        <v>5368</v>
      </c>
      <c r="P299" s="3329">
        <v>8682</v>
      </c>
      <c r="Q299" s="3330">
        <v>1</v>
      </c>
      <c r="R299" s="382">
        <v>53434</v>
      </c>
      <c r="S299" s="382">
        <v>7031</v>
      </c>
      <c r="T299" s="3381">
        <v>21623</v>
      </c>
      <c r="U299" s="337"/>
    </row>
    <row r="300" spans="1:21">
      <c r="A300" s="219">
        <f t="shared" si="3"/>
        <v>2018.03</v>
      </c>
      <c r="B300" s="3348">
        <v>1005401</v>
      </c>
      <c r="C300" s="3329">
        <v>475374</v>
      </c>
      <c r="D300" s="3333">
        <v>530027</v>
      </c>
      <c r="E300" s="3335">
        <v>100413</v>
      </c>
      <c r="F300" s="3329">
        <v>48414</v>
      </c>
      <c r="G300" s="3333">
        <v>51999</v>
      </c>
      <c r="H300" s="3328">
        <v>6805</v>
      </c>
      <c r="I300" s="3329">
        <v>31</v>
      </c>
      <c r="J300" s="3329">
        <v>6052</v>
      </c>
      <c r="K300" s="3329">
        <v>155</v>
      </c>
      <c r="L300" s="3329">
        <v>2000</v>
      </c>
      <c r="M300" s="3329">
        <v>15370</v>
      </c>
      <c r="N300" s="3329">
        <v>7567</v>
      </c>
      <c r="O300" s="3329">
        <v>5365</v>
      </c>
      <c r="P300" s="3329">
        <v>8653</v>
      </c>
      <c r="Q300" s="3330">
        <v>1</v>
      </c>
      <c r="R300" s="382">
        <v>54123</v>
      </c>
      <c r="S300" s="382">
        <v>7050</v>
      </c>
      <c r="T300" s="3381">
        <v>21845</v>
      </c>
      <c r="U300" s="337"/>
    </row>
    <row r="301" spans="1:21">
      <c r="A301" s="219">
        <f t="shared" si="3"/>
        <v>2018.04</v>
      </c>
      <c r="B301" s="3348">
        <v>1004881</v>
      </c>
      <c r="C301" s="3329">
        <v>477297</v>
      </c>
      <c r="D301" s="3333">
        <v>527584</v>
      </c>
      <c r="E301" s="3335">
        <v>100820</v>
      </c>
      <c r="F301" s="3329">
        <v>48608</v>
      </c>
      <c r="G301" s="3333">
        <v>52212</v>
      </c>
      <c r="H301" s="3328">
        <v>7013</v>
      </c>
      <c r="I301" s="3329">
        <v>31</v>
      </c>
      <c r="J301" s="3329">
        <v>6040</v>
      </c>
      <c r="K301" s="3329">
        <v>155</v>
      </c>
      <c r="L301" s="3329">
        <v>2012</v>
      </c>
      <c r="M301" s="3329">
        <v>15356</v>
      </c>
      <c r="N301" s="3329">
        <v>7599</v>
      </c>
      <c r="O301" s="3329">
        <v>5371</v>
      </c>
      <c r="P301" s="3329">
        <v>8633</v>
      </c>
      <c r="Q301" s="3330">
        <v>2</v>
      </c>
      <c r="R301" s="382">
        <v>52293</v>
      </c>
      <c r="S301" s="382">
        <v>6799</v>
      </c>
      <c r="T301" s="3381">
        <v>21164</v>
      </c>
      <c r="U301" s="337"/>
    </row>
    <row r="302" spans="1:21">
      <c r="A302" s="219">
        <f t="shared" si="3"/>
        <v>2018.05</v>
      </c>
      <c r="B302" s="3348">
        <v>1006576</v>
      </c>
      <c r="C302" s="3329">
        <v>480847</v>
      </c>
      <c r="D302" s="3333">
        <v>525729</v>
      </c>
      <c r="E302" s="3335">
        <v>101261</v>
      </c>
      <c r="F302" s="3329">
        <v>48970</v>
      </c>
      <c r="G302" s="3333">
        <v>52291</v>
      </c>
      <c r="H302" s="3328">
        <v>7091</v>
      </c>
      <c r="I302" s="3329">
        <v>32</v>
      </c>
      <c r="J302" s="3329">
        <v>6020</v>
      </c>
      <c r="K302" s="3329">
        <v>154</v>
      </c>
      <c r="L302" s="3329">
        <v>2003</v>
      </c>
      <c r="M302" s="3329">
        <v>15339</v>
      </c>
      <c r="N302" s="3329">
        <v>7623</v>
      </c>
      <c r="O302" s="3329">
        <v>5364</v>
      </c>
      <c r="P302" s="3329">
        <v>8663</v>
      </c>
      <c r="Q302" s="3330">
        <v>2</v>
      </c>
      <c r="R302" s="382">
        <v>51580</v>
      </c>
      <c r="S302" s="382">
        <v>6726</v>
      </c>
      <c r="T302" s="3381">
        <v>20907</v>
      </c>
      <c r="U302" s="337"/>
    </row>
    <row r="303" spans="1:21">
      <c r="A303" s="219">
        <f t="shared" si="3"/>
        <v>2018.06</v>
      </c>
      <c r="B303" s="3348">
        <v>1008513</v>
      </c>
      <c r="C303" s="3329">
        <v>484749</v>
      </c>
      <c r="D303" s="3333">
        <v>523764</v>
      </c>
      <c r="E303" s="3335">
        <v>101372</v>
      </c>
      <c r="F303" s="3329">
        <v>49248</v>
      </c>
      <c r="G303" s="3333">
        <v>52124</v>
      </c>
      <c r="H303" s="3328">
        <v>7022</v>
      </c>
      <c r="I303" s="3329">
        <v>30</v>
      </c>
      <c r="J303" s="3329">
        <v>5998</v>
      </c>
      <c r="K303" s="3329">
        <v>156</v>
      </c>
      <c r="L303" s="3329">
        <v>1985</v>
      </c>
      <c r="M303" s="3329">
        <v>15291</v>
      </c>
      <c r="N303" s="3329">
        <v>7634</v>
      </c>
      <c r="O303" s="3329">
        <v>5345</v>
      </c>
      <c r="P303" s="3329">
        <v>8661</v>
      </c>
      <c r="Q303" s="3330">
        <v>2</v>
      </c>
      <c r="R303" s="382">
        <v>53647</v>
      </c>
      <c r="S303" s="382">
        <v>7014</v>
      </c>
      <c r="T303" s="3381">
        <v>21671</v>
      </c>
      <c r="U303" s="337"/>
    </row>
    <row r="304" spans="1:21">
      <c r="A304" s="219">
        <f t="shared" si="3"/>
        <v>2018.07</v>
      </c>
      <c r="B304" s="3348">
        <v>1011484</v>
      </c>
      <c r="C304" s="3329">
        <v>488390</v>
      </c>
      <c r="D304" s="3333">
        <v>523094</v>
      </c>
      <c r="E304" s="3335">
        <v>101590</v>
      </c>
      <c r="F304" s="3329">
        <v>49588</v>
      </c>
      <c r="G304" s="3333">
        <v>52002</v>
      </c>
      <c r="H304" s="3328">
        <v>6943</v>
      </c>
      <c r="I304" s="3329">
        <v>30</v>
      </c>
      <c r="J304" s="3329">
        <v>5978</v>
      </c>
      <c r="K304" s="3329">
        <v>157</v>
      </c>
      <c r="L304" s="3329">
        <v>1971</v>
      </c>
      <c r="M304" s="3329">
        <v>15257</v>
      </c>
      <c r="N304" s="3329">
        <v>7627</v>
      </c>
      <c r="O304" s="3329">
        <v>5363</v>
      </c>
      <c r="P304" s="3329">
        <v>8674</v>
      </c>
      <c r="Q304" s="3330">
        <v>2</v>
      </c>
      <c r="R304" s="382">
        <v>51320</v>
      </c>
      <c r="S304" s="382">
        <v>6702</v>
      </c>
      <c r="T304" s="3381">
        <v>20868</v>
      </c>
      <c r="U304" s="337"/>
    </row>
    <row r="305" spans="1:21">
      <c r="A305" s="219">
        <f t="shared" si="3"/>
        <v>2018.08</v>
      </c>
      <c r="B305" s="3348">
        <v>1016748</v>
      </c>
      <c r="C305" s="3329">
        <v>493464</v>
      </c>
      <c r="D305" s="3333">
        <v>523284</v>
      </c>
      <c r="E305" s="3335">
        <v>101779</v>
      </c>
      <c r="F305" s="3329">
        <v>49942</v>
      </c>
      <c r="G305" s="3333">
        <v>51837</v>
      </c>
      <c r="H305" s="3328">
        <v>6857</v>
      </c>
      <c r="I305" s="3329">
        <v>29</v>
      </c>
      <c r="J305" s="3329">
        <v>5975</v>
      </c>
      <c r="K305" s="3329">
        <v>155</v>
      </c>
      <c r="L305" s="3329">
        <v>1974</v>
      </c>
      <c r="M305" s="3329">
        <v>15244</v>
      </c>
      <c r="N305" s="3329">
        <v>7557</v>
      </c>
      <c r="O305" s="3329">
        <v>5360</v>
      </c>
      <c r="P305" s="3329">
        <v>8684</v>
      </c>
      <c r="Q305" s="3330">
        <v>2</v>
      </c>
      <c r="R305" s="382">
        <v>50993</v>
      </c>
      <c r="S305" s="382">
        <v>6648</v>
      </c>
      <c r="T305" s="3381">
        <v>20736</v>
      </c>
      <c r="U305" s="337"/>
    </row>
    <row r="306" spans="1:21">
      <c r="A306" s="219">
        <f t="shared" ref="A306:A369" si="4">A294+1</f>
        <v>2018.09</v>
      </c>
      <c r="B306" s="3348">
        <v>1022058</v>
      </c>
      <c r="C306" s="3329">
        <v>498899</v>
      </c>
      <c r="D306" s="3333">
        <v>523159</v>
      </c>
      <c r="E306" s="3335">
        <v>102271</v>
      </c>
      <c r="F306" s="3329">
        <v>50442</v>
      </c>
      <c r="G306" s="3333">
        <v>51829</v>
      </c>
      <c r="H306" s="3328">
        <v>6826</v>
      </c>
      <c r="I306" s="3329">
        <v>31</v>
      </c>
      <c r="J306" s="3329">
        <v>5981</v>
      </c>
      <c r="K306" s="3329">
        <v>154</v>
      </c>
      <c r="L306" s="3329">
        <v>1974</v>
      </c>
      <c r="M306" s="3329">
        <v>15259</v>
      </c>
      <c r="N306" s="3329">
        <v>7518</v>
      </c>
      <c r="O306" s="3329">
        <v>5364</v>
      </c>
      <c r="P306" s="3329">
        <v>8721</v>
      </c>
      <c r="Q306" s="3330">
        <v>1</v>
      </c>
      <c r="R306" s="382">
        <v>54000</v>
      </c>
      <c r="S306" s="382">
        <v>7060</v>
      </c>
      <c r="T306" s="3381">
        <v>21855</v>
      </c>
      <c r="U306" s="337"/>
    </row>
    <row r="307" spans="1:21">
      <c r="A307" s="219">
        <f t="shared" si="4"/>
        <v>2018.1</v>
      </c>
      <c r="B307" s="3348">
        <v>1024661</v>
      </c>
      <c r="C307" s="3329">
        <v>502713</v>
      </c>
      <c r="D307" s="3333">
        <v>521948</v>
      </c>
      <c r="E307" s="3335">
        <v>102446</v>
      </c>
      <c r="F307" s="3329">
        <v>50818</v>
      </c>
      <c r="G307" s="3333">
        <v>51628</v>
      </c>
      <c r="H307" s="3328">
        <v>6804</v>
      </c>
      <c r="I307" s="3329">
        <v>32</v>
      </c>
      <c r="J307" s="3329">
        <v>5961</v>
      </c>
      <c r="K307" s="3329">
        <v>153</v>
      </c>
      <c r="L307" s="3329">
        <v>1958</v>
      </c>
      <c r="M307" s="3329">
        <v>15234</v>
      </c>
      <c r="N307" s="3329">
        <v>7430</v>
      </c>
      <c r="O307" s="3329">
        <v>5361</v>
      </c>
      <c r="P307" s="3329">
        <v>8694</v>
      </c>
      <c r="Q307" s="3330">
        <v>1</v>
      </c>
      <c r="R307" s="382">
        <v>51465</v>
      </c>
      <c r="S307" s="382">
        <v>6791</v>
      </c>
      <c r="T307" s="3381">
        <v>20908</v>
      </c>
      <c r="U307" s="337"/>
    </row>
    <row r="308" spans="1:21">
      <c r="A308" s="219">
        <f t="shared" si="4"/>
        <v>2018.11</v>
      </c>
      <c r="B308" s="3348">
        <v>1027664</v>
      </c>
      <c r="C308" s="3329">
        <v>505765</v>
      </c>
      <c r="D308" s="3333">
        <v>521899</v>
      </c>
      <c r="E308" s="3335">
        <v>102773</v>
      </c>
      <c r="F308" s="3329">
        <v>51049</v>
      </c>
      <c r="G308" s="3333">
        <v>51724</v>
      </c>
      <c r="H308" s="3328">
        <v>6864</v>
      </c>
      <c r="I308" s="3329">
        <v>32</v>
      </c>
      <c r="J308" s="3329">
        <v>5942</v>
      </c>
      <c r="K308" s="3329">
        <v>153</v>
      </c>
      <c r="L308" s="3329">
        <v>1970</v>
      </c>
      <c r="M308" s="3329">
        <v>15267</v>
      </c>
      <c r="N308" s="3329">
        <v>7390</v>
      </c>
      <c r="O308" s="3329">
        <v>5397</v>
      </c>
      <c r="P308" s="3329">
        <v>8708</v>
      </c>
      <c r="Q308" s="3330">
        <v>1</v>
      </c>
      <c r="R308" s="382">
        <v>51582</v>
      </c>
      <c r="S308" s="382">
        <v>6806</v>
      </c>
      <c r="T308" s="3381">
        <v>21021</v>
      </c>
      <c r="U308" s="337"/>
    </row>
    <row r="309" spans="1:21">
      <c r="A309" s="219">
        <f t="shared" si="4"/>
        <v>2018.12</v>
      </c>
      <c r="B309" s="3348">
        <v>1028593</v>
      </c>
      <c r="C309" s="3329">
        <v>507845</v>
      </c>
      <c r="D309" s="3333">
        <v>520748</v>
      </c>
      <c r="E309" s="3335">
        <v>102875</v>
      </c>
      <c r="F309" s="3329">
        <v>51166</v>
      </c>
      <c r="G309" s="3333">
        <v>51709</v>
      </c>
      <c r="H309" s="3328">
        <v>6975</v>
      </c>
      <c r="I309" s="3329">
        <v>33</v>
      </c>
      <c r="J309" s="3329">
        <v>6000</v>
      </c>
      <c r="K309" s="3329">
        <v>153</v>
      </c>
      <c r="L309" s="3329">
        <v>1985</v>
      </c>
      <c r="M309" s="3329">
        <v>15196</v>
      </c>
      <c r="N309" s="3329">
        <v>7345</v>
      </c>
      <c r="O309" s="3329">
        <v>5283</v>
      </c>
      <c r="P309" s="3329">
        <v>8738</v>
      </c>
      <c r="Q309" s="3330">
        <v>1</v>
      </c>
      <c r="R309" s="382">
        <v>52741</v>
      </c>
      <c r="S309" s="382">
        <v>6818</v>
      </c>
      <c r="T309" s="3381">
        <v>21430</v>
      </c>
      <c r="U309" s="337"/>
    </row>
    <row r="310" spans="1:21">
      <c r="A310" s="219">
        <f t="shared" si="4"/>
        <v>2019.01</v>
      </c>
      <c r="B310" s="3348">
        <v>1025152</v>
      </c>
      <c r="C310" s="3329">
        <v>504947</v>
      </c>
      <c r="D310" s="3333">
        <v>520205</v>
      </c>
      <c r="E310" s="3335">
        <v>102605</v>
      </c>
      <c r="F310" s="3329">
        <v>51106</v>
      </c>
      <c r="G310" s="3333">
        <v>51499</v>
      </c>
      <c r="H310" s="3328">
        <v>6971</v>
      </c>
      <c r="I310" s="3329">
        <v>34</v>
      </c>
      <c r="J310" s="3329">
        <v>5885</v>
      </c>
      <c r="K310" s="3329">
        <v>154</v>
      </c>
      <c r="L310" s="3329">
        <v>1965</v>
      </c>
      <c r="M310" s="3329">
        <v>15168</v>
      </c>
      <c r="N310" s="3329">
        <v>7322</v>
      </c>
      <c r="O310" s="3329">
        <v>5384</v>
      </c>
      <c r="P310" s="3329">
        <v>8614</v>
      </c>
      <c r="Q310" s="3330">
        <v>2</v>
      </c>
      <c r="R310" s="382">
        <v>51715</v>
      </c>
      <c r="S310" s="382">
        <v>6790</v>
      </c>
      <c r="T310" s="3381">
        <v>20958</v>
      </c>
      <c r="U310" s="337"/>
    </row>
    <row r="311" spans="1:21">
      <c r="A311" s="219">
        <f t="shared" si="4"/>
        <v>2019.02</v>
      </c>
      <c r="B311" s="3348">
        <v>1027186</v>
      </c>
      <c r="C311" s="3329">
        <v>506253</v>
      </c>
      <c r="D311" s="3333">
        <v>520933</v>
      </c>
      <c r="E311" s="3335">
        <v>102133</v>
      </c>
      <c r="F311" s="3329">
        <v>51031</v>
      </c>
      <c r="G311" s="3333">
        <v>51102</v>
      </c>
      <c r="H311" s="3328">
        <v>6832</v>
      </c>
      <c r="I311" s="3329">
        <v>42</v>
      </c>
      <c r="J311" s="3329">
        <v>5941</v>
      </c>
      <c r="K311" s="3329">
        <v>155</v>
      </c>
      <c r="L311" s="3329">
        <v>1960</v>
      </c>
      <c r="M311" s="3329">
        <v>15027</v>
      </c>
      <c r="N311" s="3329">
        <v>7246</v>
      </c>
      <c r="O311" s="3329">
        <v>5250</v>
      </c>
      <c r="P311" s="3329">
        <v>8647</v>
      </c>
      <c r="Q311" s="3330">
        <v>2</v>
      </c>
      <c r="R311" s="382">
        <v>51371</v>
      </c>
      <c r="S311" s="382">
        <v>6690</v>
      </c>
      <c r="T311" s="3381">
        <v>20948</v>
      </c>
      <c r="U311" s="337"/>
    </row>
    <row r="312" spans="1:21">
      <c r="A312" s="219">
        <f t="shared" si="4"/>
        <v>2019.03</v>
      </c>
      <c r="B312" s="3348">
        <v>1027555</v>
      </c>
      <c r="C312" s="3329">
        <v>508169</v>
      </c>
      <c r="D312" s="3333">
        <v>519386</v>
      </c>
      <c r="E312" s="3335">
        <v>102036</v>
      </c>
      <c r="F312" s="3329">
        <v>51171</v>
      </c>
      <c r="G312" s="3333">
        <v>50865</v>
      </c>
      <c r="H312" s="3328">
        <v>6763</v>
      </c>
      <c r="I312" s="3329">
        <v>120</v>
      </c>
      <c r="J312" s="3329">
        <v>5948</v>
      </c>
      <c r="K312" s="3329">
        <v>156</v>
      </c>
      <c r="L312" s="3329">
        <v>1951</v>
      </c>
      <c r="M312" s="3329">
        <v>14950</v>
      </c>
      <c r="N312" s="3329">
        <v>7177</v>
      </c>
      <c r="O312" s="3329">
        <v>5217</v>
      </c>
      <c r="P312" s="3329">
        <v>8582</v>
      </c>
      <c r="Q312" s="3330">
        <v>1</v>
      </c>
      <c r="R312" s="382">
        <v>53343</v>
      </c>
      <c r="S312" s="382">
        <v>6936</v>
      </c>
      <c r="T312" s="3381">
        <v>21496</v>
      </c>
      <c r="U312" s="337"/>
    </row>
    <row r="313" spans="1:21">
      <c r="A313" s="219">
        <f t="shared" si="4"/>
        <v>2019.04</v>
      </c>
      <c r="B313" s="3348">
        <v>1027334</v>
      </c>
      <c r="C313" s="3329">
        <v>512488</v>
      </c>
      <c r="D313" s="3333">
        <v>514846</v>
      </c>
      <c r="E313" s="3335">
        <v>102426</v>
      </c>
      <c r="F313" s="3329">
        <v>51467</v>
      </c>
      <c r="G313" s="3333">
        <v>50959</v>
      </c>
      <c r="H313" s="3328">
        <v>6961</v>
      </c>
      <c r="I313" s="3329">
        <v>136</v>
      </c>
      <c r="J313" s="3329">
        <v>5917</v>
      </c>
      <c r="K313" s="3329">
        <v>156</v>
      </c>
      <c r="L313" s="3329">
        <v>1951</v>
      </c>
      <c r="M313" s="3329">
        <v>14859</v>
      </c>
      <c r="N313" s="3329">
        <v>7179</v>
      </c>
      <c r="O313" s="3329">
        <v>5180</v>
      </c>
      <c r="P313" s="3329">
        <v>8619</v>
      </c>
      <c r="Q313" s="3330">
        <v>1</v>
      </c>
      <c r="R313" s="382">
        <v>50422</v>
      </c>
      <c r="S313" s="382">
        <v>6504</v>
      </c>
      <c r="T313" s="3381">
        <v>20521</v>
      </c>
      <c r="U313" s="337"/>
    </row>
    <row r="314" spans="1:21">
      <c r="A314" s="219">
        <f t="shared" si="4"/>
        <v>2019.05</v>
      </c>
      <c r="B314" s="3348">
        <v>1030144</v>
      </c>
      <c r="C314" s="3329">
        <v>516485</v>
      </c>
      <c r="D314" s="3333">
        <v>513659</v>
      </c>
      <c r="E314" s="3335">
        <v>102782</v>
      </c>
      <c r="F314" s="3329">
        <v>51843</v>
      </c>
      <c r="G314" s="3333">
        <v>50939</v>
      </c>
      <c r="H314" s="3328">
        <v>7024</v>
      </c>
      <c r="I314" s="3329">
        <v>138</v>
      </c>
      <c r="J314" s="3329">
        <v>5931</v>
      </c>
      <c r="K314" s="3329">
        <v>157</v>
      </c>
      <c r="L314" s="3329">
        <v>1934</v>
      </c>
      <c r="M314" s="3329">
        <v>14785</v>
      </c>
      <c r="N314" s="3329">
        <v>7175</v>
      </c>
      <c r="O314" s="3329">
        <v>5184</v>
      </c>
      <c r="P314" s="3329">
        <v>8610</v>
      </c>
      <c r="Q314" s="3330">
        <v>1</v>
      </c>
      <c r="R314" s="382">
        <v>50814</v>
      </c>
      <c r="S314" s="382">
        <v>6590</v>
      </c>
      <c r="T314" s="3381">
        <v>20506</v>
      </c>
      <c r="U314" s="337"/>
    </row>
    <row r="315" spans="1:21">
      <c r="A315" s="219">
        <f t="shared" si="4"/>
        <v>2019.06</v>
      </c>
      <c r="B315" s="3348">
        <v>1032347</v>
      </c>
      <c r="C315" s="3329">
        <v>520007</v>
      </c>
      <c r="D315" s="3333">
        <v>512340</v>
      </c>
      <c r="E315" s="3335">
        <v>102913</v>
      </c>
      <c r="F315" s="3329">
        <v>52082</v>
      </c>
      <c r="G315" s="3333">
        <v>50831</v>
      </c>
      <c r="H315" s="3328">
        <v>6979</v>
      </c>
      <c r="I315" s="3329">
        <v>136</v>
      </c>
      <c r="J315" s="3329">
        <v>5910</v>
      </c>
      <c r="K315" s="3329">
        <v>157</v>
      </c>
      <c r="L315" s="3329">
        <v>1948</v>
      </c>
      <c r="M315" s="3329">
        <v>14748</v>
      </c>
      <c r="N315" s="3329">
        <v>7171</v>
      </c>
      <c r="O315" s="3329">
        <v>5197</v>
      </c>
      <c r="P315" s="3329">
        <v>8584</v>
      </c>
      <c r="Q315" s="3330">
        <v>1</v>
      </c>
      <c r="R315" s="382">
        <v>52747</v>
      </c>
      <c r="S315" s="382">
        <v>6802</v>
      </c>
      <c r="T315" s="3381">
        <v>21124</v>
      </c>
      <c r="U315" s="337"/>
    </row>
    <row r="316" spans="1:21">
      <c r="A316" s="219">
        <f t="shared" si="4"/>
        <v>2019.07</v>
      </c>
      <c r="B316" s="3348">
        <v>1033042</v>
      </c>
      <c r="C316" s="3329">
        <v>522670</v>
      </c>
      <c r="D316" s="3333">
        <v>510372</v>
      </c>
      <c r="E316" s="3335">
        <v>102958</v>
      </c>
      <c r="F316" s="3329">
        <v>52348</v>
      </c>
      <c r="G316" s="3333">
        <v>50610</v>
      </c>
      <c r="H316" s="3328">
        <v>6891</v>
      </c>
      <c r="I316" s="3329">
        <v>134</v>
      </c>
      <c r="J316" s="3329">
        <v>5901</v>
      </c>
      <c r="K316" s="3329">
        <v>157</v>
      </c>
      <c r="L316" s="3329">
        <v>1946</v>
      </c>
      <c r="M316" s="3329">
        <v>14780</v>
      </c>
      <c r="N316" s="3329">
        <v>7135</v>
      </c>
      <c r="O316" s="3329">
        <v>5217</v>
      </c>
      <c r="P316" s="3329">
        <v>8448</v>
      </c>
      <c r="Q316" s="3330">
        <v>1</v>
      </c>
      <c r="R316" s="382">
        <v>49997</v>
      </c>
      <c r="S316" s="382">
        <v>6429</v>
      </c>
      <c r="T316" s="3381">
        <v>20055</v>
      </c>
      <c r="U316" s="337"/>
    </row>
    <row r="317" spans="1:21">
      <c r="A317" s="219">
        <f t="shared" si="4"/>
        <v>2019.08</v>
      </c>
      <c r="B317" s="3348">
        <v>1036577</v>
      </c>
      <c r="C317" s="3329">
        <v>526135</v>
      </c>
      <c r="D317" s="3333">
        <v>510442</v>
      </c>
      <c r="E317" s="3335">
        <v>103148</v>
      </c>
      <c r="F317" s="3329">
        <v>52631</v>
      </c>
      <c r="G317" s="3333">
        <v>50517</v>
      </c>
      <c r="H317" s="3328">
        <v>6822</v>
      </c>
      <c r="I317" s="3329">
        <v>129</v>
      </c>
      <c r="J317" s="3329">
        <v>5897</v>
      </c>
      <c r="K317" s="3329">
        <v>157</v>
      </c>
      <c r="L317" s="3329">
        <v>1958</v>
      </c>
      <c r="M317" s="3329">
        <v>14788</v>
      </c>
      <c r="N317" s="3329">
        <v>7111</v>
      </c>
      <c r="O317" s="3329">
        <v>5217</v>
      </c>
      <c r="P317" s="3329">
        <v>8437</v>
      </c>
      <c r="Q317" s="3330">
        <v>1</v>
      </c>
      <c r="R317" s="382">
        <v>51761</v>
      </c>
      <c r="S317" s="382">
        <v>6611</v>
      </c>
      <c r="T317" s="3381">
        <v>20532</v>
      </c>
      <c r="U317" s="337"/>
    </row>
    <row r="318" spans="1:21">
      <c r="A318" s="219">
        <f t="shared" si="4"/>
        <v>2019.09</v>
      </c>
      <c r="B318" s="3348">
        <v>1040713</v>
      </c>
      <c r="C318" s="3329">
        <v>529469</v>
      </c>
      <c r="D318" s="3333">
        <v>511244</v>
      </c>
      <c r="E318" s="3335">
        <v>103538</v>
      </c>
      <c r="F318" s="3329">
        <v>53004</v>
      </c>
      <c r="G318" s="3333">
        <v>50534</v>
      </c>
      <c r="H318" s="3328">
        <v>6788</v>
      </c>
      <c r="I318" s="3329">
        <v>128</v>
      </c>
      <c r="J318" s="3329">
        <v>5895</v>
      </c>
      <c r="K318" s="3329">
        <v>157</v>
      </c>
      <c r="L318" s="3329">
        <v>1960</v>
      </c>
      <c r="M318" s="3329">
        <v>14801</v>
      </c>
      <c r="N318" s="3329">
        <v>7133</v>
      </c>
      <c r="O318" s="3329">
        <v>5231</v>
      </c>
      <c r="P318" s="3329">
        <v>8440</v>
      </c>
      <c r="Q318" s="3330">
        <v>1</v>
      </c>
      <c r="R318" s="382">
        <v>50517</v>
      </c>
      <c r="S318" s="382">
        <v>6568</v>
      </c>
      <c r="T318" s="3381">
        <v>20398</v>
      </c>
      <c r="U318" s="337"/>
    </row>
    <row r="319" spans="1:21">
      <c r="A319" s="219">
        <f t="shared" si="4"/>
        <v>2019.1</v>
      </c>
      <c r="B319" s="3348">
        <v>1043119</v>
      </c>
      <c r="C319" s="3329">
        <v>532061</v>
      </c>
      <c r="D319" s="3333">
        <v>511058</v>
      </c>
      <c r="E319" s="3335">
        <v>103733</v>
      </c>
      <c r="F319" s="3329">
        <v>53252</v>
      </c>
      <c r="G319" s="3333">
        <v>50481</v>
      </c>
      <c r="H319" s="3328">
        <v>6795</v>
      </c>
      <c r="I319" s="3329">
        <v>129</v>
      </c>
      <c r="J319" s="3329">
        <v>5888</v>
      </c>
      <c r="K319" s="3329">
        <v>159</v>
      </c>
      <c r="L319" s="3329">
        <v>1950</v>
      </c>
      <c r="M319" s="3329">
        <v>14782</v>
      </c>
      <c r="N319" s="3329">
        <v>7111</v>
      </c>
      <c r="O319" s="3329">
        <v>5229</v>
      </c>
      <c r="P319" s="3329">
        <v>8437</v>
      </c>
      <c r="Q319" s="3330">
        <v>1</v>
      </c>
      <c r="R319" s="382">
        <v>49746</v>
      </c>
      <c r="S319" s="382">
        <v>6409</v>
      </c>
      <c r="T319" s="3381">
        <v>20210</v>
      </c>
      <c r="U319" s="337"/>
    </row>
    <row r="320" spans="1:21">
      <c r="A320" s="219">
        <f t="shared" si="4"/>
        <v>2019.11</v>
      </c>
      <c r="B320" s="3348">
        <v>1043763</v>
      </c>
      <c r="C320" s="3329">
        <v>533685</v>
      </c>
      <c r="D320" s="3333">
        <v>510078</v>
      </c>
      <c r="E320" s="3335">
        <v>103814</v>
      </c>
      <c r="F320" s="3329">
        <v>53342</v>
      </c>
      <c r="G320" s="3333">
        <v>50472</v>
      </c>
      <c r="H320" s="3328">
        <v>6811</v>
      </c>
      <c r="I320" s="3329">
        <v>129</v>
      </c>
      <c r="J320" s="3329">
        <v>5882</v>
      </c>
      <c r="K320" s="3329">
        <v>159</v>
      </c>
      <c r="L320" s="3329">
        <v>1933</v>
      </c>
      <c r="M320" s="3329">
        <v>14756</v>
      </c>
      <c r="N320" s="3329">
        <v>7099</v>
      </c>
      <c r="O320" s="3329">
        <v>5239</v>
      </c>
      <c r="P320" s="3329">
        <v>8463</v>
      </c>
      <c r="Q320" s="3330">
        <v>1</v>
      </c>
      <c r="R320" s="382">
        <v>51517</v>
      </c>
      <c r="S320" s="382">
        <v>6655</v>
      </c>
      <c r="T320" s="3381">
        <v>20831</v>
      </c>
      <c r="U320" s="337"/>
    </row>
    <row r="321" spans="1:21">
      <c r="A321" s="219">
        <f t="shared" si="4"/>
        <v>2019.12</v>
      </c>
      <c r="B321" s="3348">
        <v>1044518</v>
      </c>
      <c r="C321" s="3329">
        <v>536312</v>
      </c>
      <c r="D321" s="3333">
        <v>508206</v>
      </c>
      <c r="E321" s="3335">
        <v>103875</v>
      </c>
      <c r="F321" s="3329">
        <v>53486</v>
      </c>
      <c r="G321" s="3333">
        <v>50389</v>
      </c>
      <c r="H321" s="3328">
        <v>6908</v>
      </c>
      <c r="I321" s="3329">
        <v>126</v>
      </c>
      <c r="J321" s="3329">
        <v>5864</v>
      </c>
      <c r="K321" s="3329">
        <v>160</v>
      </c>
      <c r="L321" s="3329">
        <v>1907</v>
      </c>
      <c r="M321" s="3329">
        <v>14725</v>
      </c>
      <c r="N321" s="3329">
        <v>7059</v>
      </c>
      <c r="O321" s="3329">
        <v>5224</v>
      </c>
      <c r="P321" s="3329">
        <v>8415</v>
      </c>
      <c r="Q321" s="3330">
        <v>1</v>
      </c>
      <c r="R321" s="382">
        <v>51485</v>
      </c>
      <c r="S321" s="382">
        <v>6519</v>
      </c>
      <c r="T321" s="3381">
        <v>20666</v>
      </c>
      <c r="U321" s="337"/>
    </row>
    <row r="322" spans="1:21">
      <c r="A322" s="219">
        <f t="shared" si="4"/>
        <v>2020.01</v>
      </c>
      <c r="B322" s="3348">
        <v>1042253</v>
      </c>
      <c r="C322" s="3329">
        <v>533589</v>
      </c>
      <c r="D322" s="3333">
        <v>508664</v>
      </c>
      <c r="E322" s="3335">
        <v>103708</v>
      </c>
      <c r="F322" s="3329">
        <v>53502</v>
      </c>
      <c r="G322" s="3333">
        <v>50206</v>
      </c>
      <c r="H322" s="3334">
        <v>6882</v>
      </c>
      <c r="I322" s="3329">
        <v>125</v>
      </c>
      <c r="J322" s="3329">
        <v>5739</v>
      </c>
      <c r="K322" s="3329">
        <v>81</v>
      </c>
      <c r="L322" s="3329">
        <v>1881</v>
      </c>
      <c r="M322" s="3335">
        <v>15687</v>
      </c>
      <c r="N322" s="3329">
        <v>7526</v>
      </c>
      <c r="O322" s="3329">
        <v>2335</v>
      </c>
      <c r="P322" s="3329">
        <v>9949</v>
      </c>
      <c r="Q322" s="3330">
        <v>1</v>
      </c>
      <c r="R322" s="382">
        <v>50821</v>
      </c>
      <c r="S322" s="382">
        <v>6358</v>
      </c>
      <c r="T322" s="3381">
        <v>19951</v>
      </c>
      <c r="U322" s="337"/>
    </row>
    <row r="323" spans="1:21">
      <c r="A323" s="219">
        <f t="shared" si="4"/>
        <v>2020.02</v>
      </c>
      <c r="B323" s="3348">
        <v>1042022</v>
      </c>
      <c r="C323" s="3329">
        <v>533835</v>
      </c>
      <c r="D323" s="3333">
        <v>508187</v>
      </c>
      <c r="E323" s="3335">
        <v>103206</v>
      </c>
      <c r="F323" s="3329">
        <v>53449</v>
      </c>
      <c r="G323" s="3333">
        <v>49757</v>
      </c>
      <c r="H323" s="3328">
        <v>6737</v>
      </c>
      <c r="I323" s="3329">
        <v>126</v>
      </c>
      <c r="J323" s="3329">
        <v>5722</v>
      </c>
      <c r="K323" s="3329">
        <v>82</v>
      </c>
      <c r="L323" s="3329">
        <v>1839</v>
      </c>
      <c r="M323" s="3335">
        <v>15602</v>
      </c>
      <c r="N323" s="3329">
        <v>7427</v>
      </c>
      <c r="O323" s="3329">
        <v>2308</v>
      </c>
      <c r="P323" s="3329">
        <v>9914</v>
      </c>
      <c r="Q323" s="3336"/>
      <c r="R323" s="382">
        <v>49197</v>
      </c>
      <c r="S323" s="3344" t="s">
        <v>230</v>
      </c>
      <c r="T323" s="3382" t="s">
        <v>230</v>
      </c>
      <c r="U323" s="337"/>
    </row>
    <row r="324" spans="1:21">
      <c r="A324" s="219">
        <f t="shared" si="4"/>
        <v>2020.03</v>
      </c>
      <c r="B324" s="3348">
        <v>1043025</v>
      </c>
      <c r="C324" s="3329">
        <v>535813</v>
      </c>
      <c r="D324" s="3333">
        <v>507212</v>
      </c>
      <c r="E324" s="3335">
        <v>103356</v>
      </c>
      <c r="F324" s="3329">
        <v>53643</v>
      </c>
      <c r="G324" s="3333">
        <v>49713</v>
      </c>
      <c r="H324" s="3334">
        <v>6728</v>
      </c>
      <c r="I324" s="3329">
        <v>126</v>
      </c>
      <c r="J324" s="3329">
        <v>5708</v>
      </c>
      <c r="K324" s="3329">
        <v>83</v>
      </c>
      <c r="L324" s="3329">
        <v>1832</v>
      </c>
      <c r="M324" s="3335">
        <v>15616</v>
      </c>
      <c r="N324" s="3329">
        <v>7408</v>
      </c>
      <c r="O324" s="3329">
        <v>2294</v>
      </c>
      <c r="P324" s="3329">
        <v>9918</v>
      </c>
      <c r="Q324" s="3336"/>
      <c r="R324" s="382">
        <v>51211</v>
      </c>
      <c r="S324" s="3345"/>
      <c r="T324" s="3346"/>
      <c r="U324" s="337"/>
    </row>
    <row r="325" spans="1:21">
      <c r="A325" s="219">
        <f t="shared" si="4"/>
        <v>2020.04</v>
      </c>
      <c r="B325" s="3348">
        <v>1041947</v>
      </c>
      <c r="C325" s="3329">
        <v>537788</v>
      </c>
      <c r="D325" s="3333">
        <v>504159</v>
      </c>
      <c r="E325" s="3335">
        <v>103867</v>
      </c>
      <c r="F325" s="3329">
        <v>53912</v>
      </c>
      <c r="G325" s="3333">
        <v>49955</v>
      </c>
      <c r="H325" s="3328">
        <v>6966</v>
      </c>
      <c r="I325" s="3329">
        <v>124</v>
      </c>
      <c r="J325" s="3329">
        <v>5702</v>
      </c>
      <c r="K325" s="3329">
        <v>83</v>
      </c>
      <c r="L325" s="3329">
        <v>1805</v>
      </c>
      <c r="M325" s="3335">
        <v>15611</v>
      </c>
      <c r="N325" s="3329">
        <v>7432</v>
      </c>
      <c r="O325" s="3329">
        <v>2292</v>
      </c>
      <c r="P325" s="3329">
        <v>9940</v>
      </c>
      <c r="Q325" s="3336"/>
      <c r="R325" s="382">
        <v>50893</v>
      </c>
      <c r="S325" s="3345"/>
      <c r="T325" s="3346"/>
      <c r="U325" s="337"/>
    </row>
    <row r="326" spans="1:21">
      <c r="A326" s="219">
        <f t="shared" si="4"/>
        <v>2020.05</v>
      </c>
      <c r="B326" s="3348">
        <v>1034469</v>
      </c>
      <c r="C326" s="3329">
        <v>534152</v>
      </c>
      <c r="D326" s="3333">
        <v>500317</v>
      </c>
      <c r="E326" s="3335">
        <v>103389</v>
      </c>
      <c r="F326" s="3329">
        <v>53637</v>
      </c>
      <c r="G326" s="3333">
        <v>49752</v>
      </c>
      <c r="H326" s="3334">
        <v>7043</v>
      </c>
      <c r="I326" s="3329">
        <v>124</v>
      </c>
      <c r="J326" s="3329">
        <v>5693</v>
      </c>
      <c r="K326" s="3329">
        <v>83</v>
      </c>
      <c r="L326" s="3329">
        <v>1722</v>
      </c>
      <c r="M326" s="3335">
        <v>15546</v>
      </c>
      <c r="N326" s="3329">
        <v>7359</v>
      </c>
      <c r="O326" s="3329">
        <v>2280</v>
      </c>
      <c r="P326" s="3329">
        <v>9902</v>
      </c>
      <c r="Q326" s="3336"/>
      <c r="R326" s="382">
        <v>51021</v>
      </c>
      <c r="S326" s="3345"/>
      <c r="T326" s="3346"/>
      <c r="U326" s="337"/>
    </row>
    <row r="327" spans="1:21">
      <c r="A327" s="219">
        <f t="shared" si="4"/>
        <v>2020.06</v>
      </c>
      <c r="B327" s="3348">
        <v>1033784</v>
      </c>
      <c r="C327" s="3329">
        <v>534852</v>
      </c>
      <c r="D327" s="3333">
        <v>498932</v>
      </c>
      <c r="E327" s="3335">
        <v>103288</v>
      </c>
      <c r="F327" s="3329">
        <v>53642</v>
      </c>
      <c r="G327" s="3333">
        <v>49646</v>
      </c>
      <c r="H327" s="3328">
        <v>6996</v>
      </c>
      <c r="I327" s="3329">
        <v>123</v>
      </c>
      <c r="J327" s="3329">
        <v>5694</v>
      </c>
      <c r="K327" s="3329">
        <v>83</v>
      </c>
      <c r="L327" s="3329">
        <v>1738</v>
      </c>
      <c r="M327" s="3335">
        <v>15517</v>
      </c>
      <c r="N327" s="3329">
        <v>7329</v>
      </c>
      <c r="O327" s="3329">
        <v>2281</v>
      </c>
      <c r="P327" s="3329">
        <v>9885</v>
      </c>
      <c r="Q327" s="3336"/>
      <c r="R327" s="382">
        <v>49392</v>
      </c>
      <c r="S327" s="3345"/>
      <c r="T327" s="3346"/>
      <c r="U327" s="337"/>
    </row>
    <row r="328" spans="1:21">
      <c r="A328" s="219">
        <f t="shared" si="4"/>
        <v>2020.07</v>
      </c>
      <c r="B328" s="3348">
        <v>1032840</v>
      </c>
      <c r="C328" s="3329">
        <v>535217</v>
      </c>
      <c r="D328" s="3333">
        <v>497623</v>
      </c>
      <c r="E328" s="3335">
        <v>103409</v>
      </c>
      <c r="F328" s="3329">
        <v>53933</v>
      </c>
      <c r="G328" s="3333">
        <v>49476</v>
      </c>
      <c r="H328" s="3334">
        <v>6926</v>
      </c>
      <c r="I328" s="3329">
        <v>123</v>
      </c>
      <c r="J328" s="3329">
        <v>5696</v>
      </c>
      <c r="K328" s="3329">
        <v>84</v>
      </c>
      <c r="L328" s="3329">
        <v>1763</v>
      </c>
      <c r="M328" s="3335">
        <v>15474</v>
      </c>
      <c r="N328" s="3329">
        <v>7280</v>
      </c>
      <c r="O328" s="3329">
        <v>2275</v>
      </c>
      <c r="P328" s="3329">
        <v>9855</v>
      </c>
      <c r="Q328" s="3336"/>
      <c r="R328" s="382">
        <v>48904</v>
      </c>
      <c r="S328" s="3345"/>
      <c r="T328" s="3346"/>
      <c r="U328" s="337"/>
    </row>
    <row r="329" spans="1:21">
      <c r="A329" s="219">
        <f t="shared" si="4"/>
        <v>2020.08</v>
      </c>
      <c r="B329" s="3348">
        <v>1028936</v>
      </c>
      <c r="C329" s="3329">
        <v>534141</v>
      </c>
      <c r="D329" s="3333">
        <v>494795</v>
      </c>
      <c r="E329" s="3335">
        <v>103237</v>
      </c>
      <c r="F329" s="3329">
        <v>53933</v>
      </c>
      <c r="G329" s="3333">
        <v>49304</v>
      </c>
      <c r="H329" s="3328">
        <v>6901</v>
      </c>
      <c r="I329" s="3329">
        <v>121</v>
      </c>
      <c r="J329" s="3329">
        <v>5681</v>
      </c>
      <c r="K329" s="3329">
        <v>83</v>
      </c>
      <c r="L329" s="3329">
        <v>1765</v>
      </c>
      <c r="M329" s="3335">
        <v>15407</v>
      </c>
      <c r="N329" s="3329">
        <v>7241</v>
      </c>
      <c r="O329" s="3329">
        <v>2279</v>
      </c>
      <c r="P329" s="3329">
        <v>9826</v>
      </c>
      <c r="Q329" s="3336"/>
      <c r="R329" s="382">
        <v>48660</v>
      </c>
      <c r="S329" s="3345"/>
      <c r="T329" s="3346"/>
      <c r="U329" s="337"/>
    </row>
    <row r="330" spans="1:21">
      <c r="A330" s="219">
        <f t="shared" si="4"/>
        <v>2020.09</v>
      </c>
      <c r="B330" s="3348">
        <v>1027105</v>
      </c>
      <c r="C330" s="3329">
        <v>532861</v>
      </c>
      <c r="D330" s="3333">
        <v>494244</v>
      </c>
      <c r="E330" s="3335">
        <v>103303</v>
      </c>
      <c r="F330" s="3329">
        <v>53971</v>
      </c>
      <c r="G330" s="3333">
        <v>49332</v>
      </c>
      <c r="H330" s="3334">
        <v>6864</v>
      </c>
      <c r="I330" s="3329">
        <v>121</v>
      </c>
      <c r="J330" s="3329">
        <v>5709</v>
      </c>
      <c r="K330" s="3329">
        <v>84</v>
      </c>
      <c r="L330" s="3329">
        <v>1771</v>
      </c>
      <c r="M330" s="3335">
        <v>15427</v>
      </c>
      <c r="N330" s="3329">
        <v>7248</v>
      </c>
      <c r="O330" s="3329">
        <v>2279</v>
      </c>
      <c r="P330" s="3329">
        <v>9829</v>
      </c>
      <c r="Q330" s="3336"/>
      <c r="R330" s="382">
        <v>48986</v>
      </c>
      <c r="S330" s="3345"/>
      <c r="T330" s="3346"/>
      <c r="U330" s="337"/>
    </row>
    <row r="331" spans="1:21">
      <c r="A331" s="219">
        <f t="shared" si="4"/>
        <v>2020.1</v>
      </c>
      <c r="B331" s="3348">
        <v>1025948</v>
      </c>
      <c r="C331" s="3329">
        <v>531514</v>
      </c>
      <c r="D331" s="3333">
        <v>494434</v>
      </c>
      <c r="E331" s="3335">
        <v>98335</v>
      </c>
      <c r="F331" s="3329">
        <v>48983</v>
      </c>
      <c r="G331" s="3333">
        <v>49332</v>
      </c>
      <c r="H331" s="3328">
        <v>6864</v>
      </c>
      <c r="I331" s="3329">
        <v>121</v>
      </c>
      <c r="J331" s="3329">
        <v>5723</v>
      </c>
      <c r="K331" s="3329">
        <v>83</v>
      </c>
      <c r="L331" s="3329">
        <v>1776</v>
      </c>
      <c r="M331" s="3335">
        <f>13910+1500</f>
        <v>15410</v>
      </c>
      <c r="N331" s="3329">
        <f>6566+669</f>
        <v>7235</v>
      </c>
      <c r="O331" s="3329">
        <f>898+1370</f>
        <v>2268</v>
      </c>
      <c r="P331" s="3329">
        <f>189+2525+967+309+956+1706+696+2285+219</f>
        <v>9852</v>
      </c>
      <c r="Q331" s="3336"/>
      <c r="R331" s="382">
        <v>49584</v>
      </c>
      <c r="S331" s="3345"/>
      <c r="T331" s="3346"/>
      <c r="U331" s="337"/>
    </row>
    <row r="332" spans="1:21">
      <c r="A332" s="219">
        <f t="shared" si="4"/>
        <v>2020.11</v>
      </c>
      <c r="B332" s="3348">
        <v>1022720</v>
      </c>
      <c r="C332" s="3329">
        <v>529403</v>
      </c>
      <c r="D332" s="3333">
        <v>493317</v>
      </c>
      <c r="E332" s="3335">
        <v>98102</v>
      </c>
      <c r="F332" s="3329">
        <v>48895</v>
      </c>
      <c r="G332" s="3333">
        <v>49207</v>
      </c>
      <c r="H332" s="3334">
        <v>6912</v>
      </c>
      <c r="I332" s="3329">
        <v>121</v>
      </c>
      <c r="J332" s="3329">
        <v>5699</v>
      </c>
      <c r="K332" s="3329">
        <v>83</v>
      </c>
      <c r="L332" s="3329">
        <v>1777</v>
      </c>
      <c r="M332" s="3335">
        <v>15379</v>
      </c>
      <c r="N332" s="3329">
        <v>7163</v>
      </c>
      <c r="O332" s="3329">
        <v>2262</v>
      </c>
      <c r="P332" s="3329">
        <v>9811</v>
      </c>
      <c r="Q332" s="3336"/>
      <c r="R332" s="382">
        <v>48142</v>
      </c>
      <c r="S332" s="3345"/>
      <c r="T332" s="3346"/>
      <c r="U332" s="337"/>
    </row>
    <row r="333" spans="1:21">
      <c r="A333" s="219">
        <f t="shared" si="4"/>
        <v>2020.12</v>
      </c>
      <c r="B333" s="3348">
        <v>1017073</v>
      </c>
      <c r="C333" s="3329">
        <v>525437</v>
      </c>
      <c r="D333" s="3333">
        <v>491636</v>
      </c>
      <c r="E333" s="3335">
        <v>102807</v>
      </c>
      <c r="F333" s="3329">
        <v>53656</v>
      </c>
      <c r="G333" s="3333">
        <v>49151</v>
      </c>
      <c r="H333" s="3328">
        <v>7001</v>
      </c>
      <c r="I333" s="3329">
        <v>120</v>
      </c>
      <c r="J333" s="3329">
        <v>5685</v>
      </c>
      <c r="K333" s="3329">
        <v>83</v>
      </c>
      <c r="L333" s="3329">
        <v>1784</v>
      </c>
      <c r="M333" s="3335">
        <v>15326</v>
      </c>
      <c r="N333" s="3329">
        <v>7101</v>
      </c>
      <c r="O333" s="3329">
        <v>2256</v>
      </c>
      <c r="P333" s="3329">
        <v>9795</v>
      </c>
      <c r="Q333" s="3336"/>
      <c r="R333" s="382">
        <v>49027</v>
      </c>
      <c r="S333" s="3345"/>
      <c r="T333" s="3346"/>
      <c r="U333" s="337"/>
    </row>
    <row r="334" spans="1:21">
      <c r="A334" s="219">
        <f t="shared" si="4"/>
        <v>2021.01</v>
      </c>
      <c r="B334" s="3348">
        <v>1011315</v>
      </c>
      <c r="C334" s="3329">
        <v>519501</v>
      </c>
      <c r="D334" s="3333">
        <v>491814</v>
      </c>
      <c r="E334" s="3335">
        <v>102503</v>
      </c>
      <c r="F334" s="3329">
        <v>53486</v>
      </c>
      <c r="G334" s="3333">
        <v>49017</v>
      </c>
      <c r="H334" s="3334">
        <v>6992</v>
      </c>
      <c r="I334" s="3329">
        <v>119</v>
      </c>
      <c r="J334" s="3329">
        <v>5674</v>
      </c>
      <c r="K334" s="3329">
        <v>82</v>
      </c>
      <c r="L334" s="3329">
        <v>1781</v>
      </c>
      <c r="M334" s="3335">
        <v>15301</v>
      </c>
      <c r="N334" s="3329">
        <v>7055</v>
      </c>
      <c r="O334" s="3329">
        <v>2247</v>
      </c>
      <c r="P334" s="3329">
        <v>9766</v>
      </c>
      <c r="Q334" s="3336"/>
      <c r="R334" s="382">
        <v>49819</v>
      </c>
      <c r="S334" s="3345"/>
      <c r="T334" s="3346"/>
    </row>
    <row r="335" spans="1:21">
      <c r="A335" s="219">
        <f t="shared" si="4"/>
        <v>2021.02</v>
      </c>
      <c r="B335" s="3348">
        <v>1008810</v>
      </c>
      <c r="C335" s="3329">
        <v>518229</v>
      </c>
      <c r="D335" s="3333">
        <v>490581</v>
      </c>
      <c r="E335" s="3335">
        <v>102107</v>
      </c>
      <c r="F335" s="3329">
        <v>53420</v>
      </c>
      <c r="G335" s="3333">
        <v>48687</v>
      </c>
      <c r="H335" s="3328">
        <v>6845</v>
      </c>
      <c r="I335" s="3329">
        <v>119</v>
      </c>
      <c r="J335" s="3329">
        <v>5666</v>
      </c>
      <c r="K335" s="3329">
        <v>82</v>
      </c>
      <c r="L335" s="3329">
        <v>1762</v>
      </c>
      <c r="M335" s="3335">
        <v>15204</v>
      </c>
      <c r="N335" s="3329">
        <v>7033</v>
      </c>
      <c r="O335" s="3329">
        <v>2247</v>
      </c>
      <c r="P335" s="3329">
        <v>9729</v>
      </c>
      <c r="Q335" s="3336"/>
      <c r="R335" s="382">
        <v>49398</v>
      </c>
      <c r="S335" s="3345"/>
      <c r="T335" s="3346"/>
    </row>
    <row r="336" spans="1:21">
      <c r="A336" s="219">
        <f t="shared" si="4"/>
        <v>2021.03</v>
      </c>
      <c r="B336" s="3348">
        <v>1009484</v>
      </c>
      <c r="C336" s="3329">
        <v>518783</v>
      </c>
      <c r="D336" s="3333">
        <v>490701</v>
      </c>
      <c r="E336" s="3335">
        <v>102167</v>
      </c>
      <c r="F336" s="3329">
        <v>53488</v>
      </c>
      <c r="G336" s="3333">
        <v>48679</v>
      </c>
      <c r="H336" s="3334">
        <v>6809</v>
      </c>
      <c r="I336" s="3329">
        <v>119</v>
      </c>
      <c r="J336" s="3329">
        <v>5688</v>
      </c>
      <c r="K336" s="3329">
        <v>82</v>
      </c>
      <c r="L336" s="3329">
        <v>1769</v>
      </c>
      <c r="M336" s="3335">
        <v>15236</v>
      </c>
      <c r="N336" s="3329">
        <v>7004</v>
      </c>
      <c r="O336" s="3329">
        <v>2243</v>
      </c>
      <c r="P336" s="3329">
        <v>9729</v>
      </c>
      <c r="Q336" s="3336"/>
      <c r="R336" s="382">
        <v>46998</v>
      </c>
      <c r="S336" s="3345"/>
      <c r="T336" s="3346"/>
    </row>
    <row r="337" spans="1:20">
      <c r="A337" s="219">
        <f t="shared" si="4"/>
        <v>2021.04</v>
      </c>
      <c r="B337" s="3348">
        <v>1012156</v>
      </c>
      <c r="C337" s="3329">
        <v>521448</v>
      </c>
      <c r="D337" s="3333">
        <v>490708</v>
      </c>
      <c r="E337" s="3335">
        <v>102810</v>
      </c>
      <c r="F337" s="3329">
        <v>53799</v>
      </c>
      <c r="G337" s="3333">
        <v>49011</v>
      </c>
      <c r="H337" s="3328">
        <v>6968</v>
      </c>
      <c r="I337" s="3329">
        <v>118</v>
      </c>
      <c r="J337" s="3329">
        <v>5708</v>
      </c>
      <c r="K337" s="3329">
        <v>82</v>
      </c>
      <c r="L337" s="3329">
        <v>1782</v>
      </c>
      <c r="M337" s="3335">
        <v>15259</v>
      </c>
      <c r="N337" s="3329">
        <v>7097</v>
      </c>
      <c r="O337" s="3329">
        <v>2241</v>
      </c>
      <c r="P337" s="3329">
        <v>9756</v>
      </c>
      <c r="Q337" s="3336"/>
      <c r="R337" s="382">
        <v>47166</v>
      </c>
      <c r="S337" s="3345"/>
      <c r="T337" s="3346"/>
    </row>
    <row r="338" spans="1:20">
      <c r="A338" s="219">
        <f t="shared" si="4"/>
        <v>2021.05</v>
      </c>
      <c r="B338" s="3348">
        <v>1013277</v>
      </c>
      <c r="C338" s="3329">
        <v>522620</v>
      </c>
      <c r="D338" s="3333">
        <v>490657</v>
      </c>
      <c r="E338" s="3335">
        <v>103166</v>
      </c>
      <c r="F338" s="3329">
        <v>53889</v>
      </c>
      <c r="G338" s="3333">
        <v>49277</v>
      </c>
      <c r="H338" s="3334">
        <v>7115</v>
      </c>
      <c r="I338" s="3329">
        <v>117</v>
      </c>
      <c r="J338" s="3329">
        <v>5734</v>
      </c>
      <c r="K338" s="3329">
        <v>82</v>
      </c>
      <c r="L338" s="3329">
        <v>1793</v>
      </c>
      <c r="M338" s="3335">
        <v>15292</v>
      </c>
      <c r="N338" s="3329">
        <v>7121</v>
      </c>
      <c r="O338" s="3329">
        <v>2243</v>
      </c>
      <c r="P338" s="3329">
        <v>9780</v>
      </c>
      <c r="Q338" s="3336"/>
      <c r="R338" s="382">
        <v>46372</v>
      </c>
      <c r="S338" s="3345"/>
      <c r="T338" s="3346"/>
    </row>
    <row r="339" spans="1:20">
      <c r="A339" s="219">
        <f t="shared" si="4"/>
        <v>2021.06</v>
      </c>
      <c r="B339" s="3348">
        <v>1012662</v>
      </c>
      <c r="C339" s="3329">
        <v>523335</v>
      </c>
      <c r="D339" s="3333">
        <v>489327</v>
      </c>
      <c r="E339" s="3335">
        <v>103284</v>
      </c>
      <c r="F339" s="3329">
        <v>54054</v>
      </c>
      <c r="G339" s="3333">
        <v>49230</v>
      </c>
      <c r="H339" s="3334">
        <v>7105</v>
      </c>
      <c r="I339" s="3329">
        <v>117</v>
      </c>
      <c r="J339" s="3329">
        <v>5745</v>
      </c>
      <c r="K339" s="3329">
        <v>80</v>
      </c>
      <c r="L339" s="3329">
        <v>1792</v>
      </c>
      <c r="M339" s="3335">
        <v>15261</v>
      </c>
      <c r="N339" s="3329">
        <v>7114</v>
      </c>
      <c r="O339" s="3329">
        <v>2233</v>
      </c>
      <c r="P339" s="3329">
        <v>9783</v>
      </c>
      <c r="Q339" s="3336"/>
      <c r="R339" s="382">
        <v>46743</v>
      </c>
      <c r="S339" s="3345"/>
      <c r="T339" s="3346"/>
    </row>
    <row r="340" spans="1:20">
      <c r="A340" s="219">
        <f t="shared" si="4"/>
        <v>2021.07</v>
      </c>
      <c r="B340" s="3348">
        <v>1012159</v>
      </c>
      <c r="C340" s="3329">
        <v>524021</v>
      </c>
      <c r="D340" s="3333">
        <v>488138</v>
      </c>
      <c r="E340" s="3335">
        <v>103159</v>
      </c>
      <c r="F340" s="3329">
        <v>54142</v>
      </c>
      <c r="G340" s="3333">
        <v>49017</v>
      </c>
      <c r="H340" s="3334">
        <v>7030</v>
      </c>
      <c r="I340" s="3329">
        <v>116</v>
      </c>
      <c r="J340" s="3329">
        <v>5739</v>
      </c>
      <c r="K340" s="3329">
        <v>80</v>
      </c>
      <c r="L340" s="3329">
        <v>1805</v>
      </c>
      <c r="M340" s="3335">
        <v>15189</v>
      </c>
      <c r="N340" s="3329">
        <v>7062</v>
      </c>
      <c r="O340" s="3329">
        <v>2207</v>
      </c>
      <c r="P340" s="3329">
        <v>9789</v>
      </c>
      <c r="Q340" s="3336"/>
      <c r="R340" s="382">
        <v>46215</v>
      </c>
      <c r="S340" s="3345"/>
      <c r="T340" s="3346"/>
    </row>
    <row r="341" spans="1:20">
      <c r="A341" s="219">
        <f t="shared" si="4"/>
        <v>2021.08</v>
      </c>
      <c r="B341" s="3348">
        <v>1012172</v>
      </c>
      <c r="C341" s="3329">
        <v>523926</v>
      </c>
      <c r="D341" s="3333">
        <v>488246</v>
      </c>
      <c r="E341" s="3335">
        <v>103331</v>
      </c>
      <c r="F341" s="3329">
        <v>54283</v>
      </c>
      <c r="G341" s="3333">
        <v>49048</v>
      </c>
      <c r="H341" s="3334">
        <v>6978</v>
      </c>
      <c r="I341" s="3329">
        <v>115</v>
      </c>
      <c r="J341" s="3329">
        <v>5760</v>
      </c>
      <c r="K341" s="3329">
        <v>80</v>
      </c>
      <c r="L341" s="3329">
        <v>1803</v>
      </c>
      <c r="M341" s="3335">
        <v>15226</v>
      </c>
      <c r="N341" s="3329">
        <v>7085</v>
      </c>
      <c r="O341" s="3329">
        <v>2213</v>
      </c>
      <c r="P341" s="3329">
        <v>9788</v>
      </c>
      <c r="Q341" s="3336"/>
      <c r="R341" s="382">
        <v>42487</v>
      </c>
      <c r="S341" s="3345"/>
      <c r="T341" s="3346"/>
    </row>
    <row r="342" spans="1:20">
      <c r="A342" s="219">
        <f t="shared" si="4"/>
        <v>2021.09</v>
      </c>
      <c r="B342" s="3348">
        <v>1011122</v>
      </c>
      <c r="C342" s="3329">
        <v>524340</v>
      </c>
      <c r="D342" s="3333">
        <v>486782</v>
      </c>
      <c r="E342" s="3335">
        <v>103103</v>
      </c>
      <c r="F342" s="3329">
        <v>54293</v>
      </c>
      <c r="G342" s="3333">
        <v>48810</v>
      </c>
      <c r="H342" s="3334">
        <v>6902</v>
      </c>
      <c r="I342" s="3329">
        <v>115</v>
      </c>
      <c r="J342" s="3329">
        <v>5735</v>
      </c>
      <c r="K342" s="3329">
        <v>80</v>
      </c>
      <c r="L342" s="3329">
        <v>1814</v>
      </c>
      <c r="M342" s="3335">
        <v>15193</v>
      </c>
      <c r="N342" s="3329">
        <v>7059</v>
      </c>
      <c r="O342" s="3329">
        <v>2203</v>
      </c>
      <c r="P342" s="3329">
        <v>9709</v>
      </c>
      <c r="Q342" s="3336"/>
      <c r="R342" s="382">
        <v>43276</v>
      </c>
      <c r="S342" s="3345"/>
      <c r="T342" s="3346"/>
    </row>
    <row r="343" spans="1:20">
      <c r="A343" s="219">
        <f t="shared" si="4"/>
        <v>2021.1</v>
      </c>
      <c r="B343" s="3348">
        <v>1014945</v>
      </c>
      <c r="C343" s="3329">
        <v>525156</v>
      </c>
      <c r="D343" s="3333">
        <v>489789</v>
      </c>
      <c r="E343" s="3335">
        <v>103719</v>
      </c>
      <c r="F343" s="3329">
        <v>54442</v>
      </c>
      <c r="G343" s="3333">
        <v>49277</v>
      </c>
      <c r="H343" s="3334">
        <v>6951</v>
      </c>
      <c r="I343" s="3329">
        <v>115</v>
      </c>
      <c r="J343" s="3329">
        <v>5783</v>
      </c>
      <c r="K343" s="3329">
        <v>80</v>
      </c>
      <c r="L343" s="3329">
        <v>1835</v>
      </c>
      <c r="M343" s="3335">
        <v>15374</v>
      </c>
      <c r="N343" s="3329">
        <v>7119</v>
      </c>
      <c r="O343" s="3329">
        <v>2215</v>
      </c>
      <c r="P343" s="3329">
        <v>9805</v>
      </c>
      <c r="Q343" s="3336"/>
      <c r="R343" s="382">
        <v>46943</v>
      </c>
      <c r="S343" s="3345"/>
      <c r="T343" s="3346"/>
    </row>
    <row r="344" spans="1:20">
      <c r="A344" s="219">
        <f t="shared" si="4"/>
        <v>2021.11</v>
      </c>
      <c r="B344" s="3383">
        <v>1017612</v>
      </c>
      <c r="C344" s="1639">
        <v>527268</v>
      </c>
      <c r="D344" s="3384">
        <v>490344</v>
      </c>
      <c r="E344" s="3349">
        <f>AVERAGE(E343,E345)</f>
        <v>104131.5</v>
      </c>
      <c r="F344" s="1363">
        <f>AVERAGE(F343,F345)</f>
        <v>54671</v>
      </c>
      <c r="G344" s="3337">
        <f>AVERAGE(G343,G345)</f>
        <v>49460.5</v>
      </c>
      <c r="H344" s="2036">
        <f>AVERAGE(H343,H345)</f>
        <v>7031.5</v>
      </c>
      <c r="I344" s="1363">
        <f>AVERAGE(I343,I345)</f>
        <v>113.5</v>
      </c>
      <c r="J344" s="1363">
        <f t="shared" ref="J344:P344" si="5">AVERAGE(J343,J345)</f>
        <v>5782</v>
      </c>
      <c r="K344" s="1363">
        <f t="shared" si="5"/>
        <v>80</v>
      </c>
      <c r="L344" s="1363">
        <f t="shared" si="5"/>
        <v>1850</v>
      </c>
      <c r="M344" s="1363">
        <f t="shared" si="5"/>
        <v>15430.5</v>
      </c>
      <c r="N344" s="1363">
        <f t="shared" si="5"/>
        <v>7135.5</v>
      </c>
      <c r="O344" s="1363">
        <f t="shared" si="5"/>
        <v>2214.5</v>
      </c>
      <c r="P344" s="1363">
        <f t="shared" si="5"/>
        <v>9823</v>
      </c>
      <c r="Q344" s="3336"/>
      <c r="R344" s="382">
        <v>43912</v>
      </c>
      <c r="S344" s="3345"/>
      <c r="T344" s="3346"/>
    </row>
    <row r="345" spans="1:20">
      <c r="A345" s="219">
        <f t="shared" si="4"/>
        <v>2021.12</v>
      </c>
      <c r="B345" s="3348">
        <v>1021050</v>
      </c>
      <c r="C345" s="3329">
        <v>529881</v>
      </c>
      <c r="D345" s="3333">
        <v>491169</v>
      </c>
      <c r="E345" s="3335">
        <v>104544</v>
      </c>
      <c r="F345" s="3329">
        <v>54900</v>
      </c>
      <c r="G345" s="3333">
        <v>49644</v>
      </c>
      <c r="H345" s="3334">
        <v>7112</v>
      </c>
      <c r="I345" s="3329">
        <v>112</v>
      </c>
      <c r="J345" s="3329">
        <v>5781</v>
      </c>
      <c r="K345" s="3329">
        <v>80</v>
      </c>
      <c r="L345" s="3329">
        <v>1865</v>
      </c>
      <c r="M345" s="3335">
        <v>15487</v>
      </c>
      <c r="N345" s="3329">
        <v>7152</v>
      </c>
      <c r="O345" s="3329">
        <v>2214</v>
      </c>
      <c r="P345" s="3329">
        <v>9841</v>
      </c>
      <c r="Q345" s="3336"/>
      <c r="R345" s="382">
        <v>42247</v>
      </c>
      <c r="S345" s="3345"/>
      <c r="T345" s="3346"/>
    </row>
    <row r="346" spans="1:20">
      <c r="A346" s="219">
        <f t="shared" si="4"/>
        <v>2022.01</v>
      </c>
      <c r="B346" s="3348">
        <v>1019971</v>
      </c>
      <c r="C346" s="3329">
        <v>526310</v>
      </c>
      <c r="D346" s="3333">
        <v>493661</v>
      </c>
      <c r="E346" s="3335">
        <v>104701</v>
      </c>
      <c r="F346" s="3329">
        <v>55047</v>
      </c>
      <c r="G346" s="3333">
        <v>49654</v>
      </c>
      <c r="H346" s="3334">
        <v>7115</v>
      </c>
      <c r="I346" s="3329">
        <v>116</v>
      </c>
      <c r="J346" s="3329">
        <v>5774</v>
      </c>
      <c r="K346" s="3329">
        <v>80</v>
      </c>
      <c r="L346" s="3329">
        <v>1847</v>
      </c>
      <c r="M346" s="3335">
        <v>15508</v>
      </c>
      <c r="N346" s="3329">
        <v>7164</v>
      </c>
      <c r="O346" s="3329">
        <v>2216</v>
      </c>
      <c r="P346" s="3329">
        <v>9834</v>
      </c>
      <c r="Q346" s="3336"/>
      <c r="R346" s="382">
        <v>41108</v>
      </c>
      <c r="S346" s="3345"/>
      <c r="T346" s="3346"/>
    </row>
    <row r="347" spans="1:20">
      <c r="A347" s="219">
        <f t="shared" si="4"/>
        <v>2022.02</v>
      </c>
      <c r="B347" s="3348">
        <v>1018298</v>
      </c>
      <c r="C347" s="3329">
        <v>523207</v>
      </c>
      <c r="D347" s="3333">
        <v>495091</v>
      </c>
      <c r="E347" s="3335">
        <v>104128</v>
      </c>
      <c r="F347" s="3329">
        <v>54756</v>
      </c>
      <c r="G347" s="3333">
        <v>49372</v>
      </c>
      <c r="H347" s="3334">
        <v>6993</v>
      </c>
      <c r="I347" s="3329">
        <v>115</v>
      </c>
      <c r="J347" s="3329">
        <v>5747</v>
      </c>
      <c r="K347" s="3329">
        <v>81</v>
      </c>
      <c r="L347" s="3329">
        <v>1852</v>
      </c>
      <c r="M347" s="3335">
        <v>15514</v>
      </c>
      <c r="N347" s="3329">
        <v>7081</v>
      </c>
      <c r="O347" s="3329">
        <v>2209</v>
      </c>
      <c r="P347" s="3329">
        <v>9780</v>
      </c>
      <c r="Q347" s="3336"/>
      <c r="R347" s="382">
        <v>41971</v>
      </c>
      <c r="S347" s="3345"/>
      <c r="T347" s="3346"/>
    </row>
    <row r="348" spans="1:20">
      <c r="A348" s="219">
        <f t="shared" si="4"/>
        <v>2022.03</v>
      </c>
      <c r="B348" s="3348">
        <v>1017830</v>
      </c>
      <c r="C348" s="3329">
        <v>521999</v>
      </c>
      <c r="D348" s="3333">
        <v>495831</v>
      </c>
      <c r="E348" s="3335">
        <v>104240</v>
      </c>
      <c r="F348" s="3329">
        <v>54751</v>
      </c>
      <c r="G348" s="3333">
        <v>49489</v>
      </c>
      <c r="H348" s="3334">
        <v>6975</v>
      </c>
      <c r="I348" s="3329">
        <v>116</v>
      </c>
      <c r="J348" s="3329">
        <v>5769</v>
      </c>
      <c r="K348" s="3329">
        <v>81</v>
      </c>
      <c r="L348" s="3329">
        <v>1854</v>
      </c>
      <c r="M348" s="3335">
        <v>15580</v>
      </c>
      <c r="N348" s="3329">
        <v>7097</v>
      </c>
      <c r="O348" s="3329">
        <v>2208</v>
      </c>
      <c r="P348" s="3329">
        <v>9809</v>
      </c>
      <c r="Q348" s="3336"/>
      <c r="R348" s="382">
        <v>41062</v>
      </c>
      <c r="S348" s="3345"/>
      <c r="T348" s="3346"/>
    </row>
    <row r="349" spans="1:20">
      <c r="A349" s="219">
        <f t="shared" si="4"/>
        <v>2022.04</v>
      </c>
      <c r="B349" s="3348">
        <v>1018590</v>
      </c>
      <c r="C349" s="3329">
        <v>523132</v>
      </c>
      <c r="D349" s="3333">
        <v>495458</v>
      </c>
      <c r="E349" s="3335">
        <v>104621</v>
      </c>
      <c r="F349" s="3329">
        <v>54827</v>
      </c>
      <c r="G349" s="3333">
        <v>49794</v>
      </c>
      <c r="H349" s="3334">
        <v>7099</v>
      </c>
      <c r="I349" s="3329">
        <v>116</v>
      </c>
      <c r="J349" s="3329">
        <v>5770</v>
      </c>
      <c r="K349" s="3329">
        <v>81</v>
      </c>
      <c r="L349" s="3329">
        <v>1879</v>
      </c>
      <c r="M349" s="3335">
        <v>15676</v>
      </c>
      <c r="N349" s="3329">
        <v>7106</v>
      </c>
      <c r="O349" s="3329">
        <v>2204</v>
      </c>
      <c r="P349" s="3329">
        <v>9863</v>
      </c>
      <c r="Q349" s="3336"/>
      <c r="R349" s="3344" t="s">
        <v>230</v>
      </c>
      <c r="S349" s="3345"/>
      <c r="T349" s="3346"/>
    </row>
    <row r="350" spans="1:20">
      <c r="A350" s="219">
        <f t="shared" si="4"/>
        <v>2022.05</v>
      </c>
      <c r="B350" s="3348">
        <v>1019899</v>
      </c>
      <c r="C350" s="3329">
        <v>523705</v>
      </c>
      <c r="D350" s="3333">
        <v>496194</v>
      </c>
      <c r="E350" s="3335">
        <v>104997</v>
      </c>
      <c r="F350" s="3329">
        <v>54967</v>
      </c>
      <c r="G350" s="3333">
        <v>50030</v>
      </c>
      <c r="H350" s="3334">
        <v>7186</v>
      </c>
      <c r="I350" s="3329">
        <v>118</v>
      </c>
      <c r="J350" s="3329">
        <v>5786</v>
      </c>
      <c r="K350" s="3329">
        <v>81</v>
      </c>
      <c r="L350" s="3329">
        <v>1905</v>
      </c>
      <c r="M350" s="3335">
        <v>15752</v>
      </c>
      <c r="N350" s="3329">
        <v>7140</v>
      </c>
      <c r="O350" s="3329">
        <v>2213</v>
      </c>
      <c r="P350" s="3329">
        <v>9849</v>
      </c>
      <c r="Q350" s="3336"/>
      <c r="R350" s="3345"/>
      <c r="S350" s="3345"/>
      <c r="T350" s="3346"/>
    </row>
    <row r="351" spans="1:20">
      <c r="A351" s="219">
        <f t="shared" si="4"/>
        <v>2022.06</v>
      </c>
      <c r="B351" s="3348">
        <v>1023530</v>
      </c>
      <c r="C351" s="3329">
        <v>526048</v>
      </c>
      <c r="D351" s="3333">
        <v>497482</v>
      </c>
      <c r="E351" s="3335">
        <v>105342</v>
      </c>
      <c r="F351" s="3329">
        <v>55214</v>
      </c>
      <c r="G351" s="3333">
        <v>50128</v>
      </c>
      <c r="H351" s="3334">
        <v>7176</v>
      </c>
      <c r="I351" s="3329">
        <v>112</v>
      </c>
      <c r="J351" s="3329">
        <v>5789</v>
      </c>
      <c r="K351" s="3329">
        <v>81</v>
      </c>
      <c r="L351" s="3329">
        <v>1906</v>
      </c>
      <c r="M351" s="3335">
        <v>15831</v>
      </c>
      <c r="N351" s="3329">
        <v>7146</v>
      </c>
      <c r="O351" s="3329">
        <v>2211</v>
      </c>
      <c r="P351" s="3329">
        <v>9876</v>
      </c>
      <c r="Q351" s="3336"/>
      <c r="R351" s="3345"/>
      <c r="S351" s="3345"/>
      <c r="T351" s="3346"/>
    </row>
    <row r="352" spans="1:20">
      <c r="A352" s="219">
        <f t="shared" si="4"/>
        <v>2022.07</v>
      </c>
      <c r="B352" s="3348">
        <v>1026458</v>
      </c>
      <c r="C352" s="3329">
        <v>527619</v>
      </c>
      <c r="D352" s="3333">
        <v>498839</v>
      </c>
      <c r="E352" s="3335">
        <v>105515</v>
      </c>
      <c r="F352" s="3329">
        <v>55377</v>
      </c>
      <c r="G352" s="3333">
        <v>50138</v>
      </c>
      <c r="H352" s="3334">
        <v>7103</v>
      </c>
      <c r="I352" s="3329">
        <v>115</v>
      </c>
      <c r="J352" s="3329">
        <v>5796</v>
      </c>
      <c r="K352" s="3329">
        <v>80</v>
      </c>
      <c r="L352" s="3329">
        <v>1889</v>
      </c>
      <c r="M352" s="3335">
        <v>15883</v>
      </c>
      <c r="N352" s="3329">
        <v>7158</v>
      </c>
      <c r="O352" s="3329">
        <v>2209</v>
      </c>
      <c r="P352" s="3329">
        <v>9905</v>
      </c>
      <c r="Q352" s="3336"/>
      <c r="R352" s="3345"/>
      <c r="S352" s="3345"/>
      <c r="T352" s="3346"/>
    </row>
    <row r="353" spans="1:20">
      <c r="A353" s="219">
        <f t="shared" si="4"/>
        <v>2022.08</v>
      </c>
      <c r="B353" s="3348">
        <v>1029149</v>
      </c>
      <c r="C353" s="3329">
        <v>528433</v>
      </c>
      <c r="D353" s="3333">
        <v>500716</v>
      </c>
      <c r="E353" s="3335">
        <v>105707</v>
      </c>
      <c r="F353" s="3329">
        <v>55454</v>
      </c>
      <c r="G353" s="3333">
        <v>50253</v>
      </c>
      <c r="H353" s="3334">
        <v>7080</v>
      </c>
      <c r="I353" s="3329">
        <v>114</v>
      </c>
      <c r="J353" s="3329">
        <v>5799</v>
      </c>
      <c r="K353" s="3329">
        <v>80</v>
      </c>
      <c r="L353" s="3329">
        <v>1906</v>
      </c>
      <c r="M353" s="3335">
        <v>15975</v>
      </c>
      <c r="N353" s="3329">
        <v>7182</v>
      </c>
      <c r="O353" s="3329">
        <v>2202</v>
      </c>
      <c r="P353" s="3329">
        <v>9915</v>
      </c>
      <c r="Q353" s="3336"/>
      <c r="R353" s="3345"/>
      <c r="S353" s="3345"/>
      <c r="T353" s="3346"/>
    </row>
    <row r="354" spans="1:20">
      <c r="A354" s="219">
        <f t="shared" si="4"/>
        <v>2022.09</v>
      </c>
      <c r="B354" s="3348">
        <v>1032338</v>
      </c>
      <c r="C354" s="3329">
        <v>529365</v>
      </c>
      <c r="D354" s="3333">
        <v>502973</v>
      </c>
      <c r="E354" s="3335">
        <v>105909</v>
      </c>
      <c r="F354" s="3329">
        <v>55571</v>
      </c>
      <c r="G354" s="3333">
        <v>50338</v>
      </c>
      <c r="H354" s="3334">
        <v>7044</v>
      </c>
      <c r="I354" s="3329">
        <v>115</v>
      </c>
      <c r="J354" s="3329">
        <v>5824</v>
      </c>
      <c r="K354" s="3329">
        <v>81</v>
      </c>
      <c r="L354" s="3329">
        <v>1927</v>
      </c>
      <c r="M354" s="3335">
        <v>16033</v>
      </c>
      <c r="N354" s="3329">
        <v>7174</v>
      </c>
      <c r="O354" s="3329">
        <v>2199</v>
      </c>
      <c r="P354" s="3329">
        <v>9941</v>
      </c>
      <c r="Q354" s="3336"/>
      <c r="R354" s="3345"/>
      <c r="S354" s="3345"/>
      <c r="T354" s="3346"/>
    </row>
    <row r="355" spans="1:20">
      <c r="A355" s="219">
        <f t="shared" si="4"/>
        <v>2022.1</v>
      </c>
      <c r="B355" s="3348">
        <v>1034098</v>
      </c>
      <c r="C355" s="3329">
        <v>529856</v>
      </c>
      <c r="D355" s="3333">
        <v>504242</v>
      </c>
      <c r="E355" s="3335">
        <v>106186</v>
      </c>
      <c r="F355" s="3329">
        <v>55761</v>
      </c>
      <c r="G355" s="3333">
        <v>50425</v>
      </c>
      <c r="H355" s="3334">
        <v>7015</v>
      </c>
      <c r="I355" s="3329">
        <v>115</v>
      </c>
      <c r="J355" s="3329">
        <v>5843</v>
      </c>
      <c r="K355" s="3329">
        <v>82</v>
      </c>
      <c r="L355" s="3329">
        <v>1935</v>
      </c>
      <c r="M355" s="3335">
        <v>16126</v>
      </c>
      <c r="N355" s="3329">
        <v>7178</v>
      </c>
      <c r="O355" s="3329">
        <v>2198</v>
      </c>
      <c r="P355" s="3329">
        <v>9933</v>
      </c>
      <c r="Q355" s="3336"/>
      <c r="R355" s="3345"/>
      <c r="S355" s="3345"/>
      <c r="T355" s="3346"/>
    </row>
    <row r="356" spans="1:20">
      <c r="A356" s="219">
        <f t="shared" si="4"/>
        <v>2022.11</v>
      </c>
      <c r="B356" s="3348">
        <v>1035229</v>
      </c>
      <c r="C356" s="3329">
        <v>528922</v>
      </c>
      <c r="D356" s="3333">
        <v>506307</v>
      </c>
      <c r="E356" s="3335">
        <v>106460</v>
      </c>
      <c r="F356" s="3329">
        <v>55843</v>
      </c>
      <c r="G356" s="3333">
        <v>50617</v>
      </c>
      <c r="H356" s="3334">
        <v>7021</v>
      </c>
      <c r="I356" s="3329">
        <v>114</v>
      </c>
      <c r="J356" s="3329">
        <v>5883</v>
      </c>
      <c r="K356" s="3329">
        <v>81</v>
      </c>
      <c r="L356" s="3329">
        <v>1944</v>
      </c>
      <c r="M356" s="3335">
        <v>16202</v>
      </c>
      <c r="N356" s="3329">
        <v>7232</v>
      </c>
      <c r="O356" s="3329">
        <v>2193</v>
      </c>
      <c r="P356" s="3329">
        <v>9947</v>
      </c>
      <c r="Q356" s="3336"/>
      <c r="R356" s="3345"/>
      <c r="S356" s="3345"/>
      <c r="T356" s="3346"/>
    </row>
    <row r="357" spans="1:20">
      <c r="A357" s="219">
        <f t="shared" si="4"/>
        <v>2022.12</v>
      </c>
      <c r="B357" s="3348">
        <v>1036136</v>
      </c>
      <c r="C357" s="3329">
        <v>528974</v>
      </c>
      <c r="D357" s="3333">
        <v>507162</v>
      </c>
      <c r="E357" s="3335">
        <v>106723</v>
      </c>
      <c r="F357" s="3329">
        <v>55914</v>
      </c>
      <c r="G357" s="3333">
        <v>50809</v>
      </c>
      <c r="H357" s="3334">
        <v>7097</v>
      </c>
      <c r="I357" s="3329">
        <v>109</v>
      </c>
      <c r="J357" s="3329">
        <v>5886</v>
      </c>
      <c r="K357" s="3329">
        <v>80</v>
      </c>
      <c r="L357" s="3329">
        <v>1934</v>
      </c>
      <c r="M357" s="3335">
        <v>16253</v>
      </c>
      <c r="N357" s="3329">
        <v>7231</v>
      </c>
      <c r="O357" s="3329">
        <v>2189</v>
      </c>
      <c r="P357" s="3329">
        <v>10030</v>
      </c>
      <c r="Q357" s="3336"/>
      <c r="R357" s="3345"/>
      <c r="S357" s="3345"/>
      <c r="T357" s="3346"/>
    </row>
    <row r="358" spans="1:20">
      <c r="A358" s="219">
        <f t="shared" si="4"/>
        <v>2023.01</v>
      </c>
      <c r="B358" s="3348">
        <v>1032885</v>
      </c>
      <c r="C358" s="3329">
        <v>522351</v>
      </c>
      <c r="D358" s="3333">
        <v>510534</v>
      </c>
      <c r="E358" s="3335">
        <v>106590</v>
      </c>
      <c r="F358" s="3329">
        <v>55709</v>
      </c>
      <c r="G358" s="3333">
        <v>50881</v>
      </c>
      <c r="H358" s="3334">
        <v>7108</v>
      </c>
      <c r="I358" s="3329">
        <v>109</v>
      </c>
      <c r="J358" s="3329">
        <v>5891</v>
      </c>
      <c r="K358" s="3329">
        <v>80</v>
      </c>
      <c r="L358" s="3329">
        <v>1923</v>
      </c>
      <c r="M358" s="3335">
        <v>16321</v>
      </c>
      <c r="N358" s="3329">
        <v>7265</v>
      </c>
      <c r="O358" s="3329">
        <v>2187</v>
      </c>
      <c r="P358" s="3329">
        <v>9997</v>
      </c>
      <c r="Q358" s="3336"/>
      <c r="R358" s="3345"/>
      <c r="S358" s="3345"/>
      <c r="T358" s="3346"/>
    </row>
    <row r="359" spans="1:20">
      <c r="A359" s="219">
        <f t="shared" si="4"/>
        <v>2023.02</v>
      </c>
      <c r="B359" s="3348">
        <v>1031563</v>
      </c>
      <c r="C359" s="3329">
        <v>519948</v>
      </c>
      <c r="D359" s="3333">
        <v>511615</v>
      </c>
      <c r="E359" s="3335">
        <v>106149</v>
      </c>
      <c r="F359" s="3329">
        <v>55493</v>
      </c>
      <c r="G359" s="3333">
        <v>50656</v>
      </c>
      <c r="H359" s="3334">
        <v>7004</v>
      </c>
      <c r="I359" s="3329">
        <v>112</v>
      </c>
      <c r="J359" s="3329">
        <v>5877</v>
      </c>
      <c r="K359" s="3329">
        <v>80</v>
      </c>
      <c r="L359" s="3329">
        <v>1925</v>
      </c>
      <c r="M359" s="3335">
        <v>16316</v>
      </c>
      <c r="N359" s="3329">
        <v>7229</v>
      </c>
      <c r="O359" s="3329">
        <v>2173</v>
      </c>
      <c r="P359" s="3329">
        <v>9940</v>
      </c>
      <c r="Q359" s="3336"/>
      <c r="R359" s="3345"/>
      <c r="S359" s="3345"/>
      <c r="T359" s="3346"/>
    </row>
    <row r="360" spans="1:20">
      <c r="A360" s="219">
        <f t="shared" si="4"/>
        <v>2023.03</v>
      </c>
      <c r="B360" s="3348">
        <v>1031528</v>
      </c>
      <c r="C360" s="3329">
        <v>519369</v>
      </c>
      <c r="D360" s="3333">
        <v>512159</v>
      </c>
      <c r="E360" s="3335">
        <v>106080</v>
      </c>
      <c r="F360" s="3329">
        <v>55526</v>
      </c>
      <c r="G360" s="3333">
        <v>50554</v>
      </c>
      <c r="H360" s="3334">
        <v>6926</v>
      </c>
      <c r="I360" s="3329">
        <v>110</v>
      </c>
      <c r="J360" s="3329">
        <v>5883</v>
      </c>
      <c r="K360" s="3329">
        <v>81</v>
      </c>
      <c r="L360" s="3329">
        <v>1926</v>
      </c>
      <c r="M360" s="3335">
        <v>16291</v>
      </c>
      <c r="N360" s="3329">
        <v>7213</v>
      </c>
      <c r="O360" s="3329">
        <v>2164</v>
      </c>
      <c r="P360" s="3329">
        <v>9960</v>
      </c>
      <c r="Q360" s="3336"/>
      <c r="R360" s="3345"/>
      <c r="S360" s="3345"/>
      <c r="T360" s="3346"/>
    </row>
    <row r="361" spans="1:20">
      <c r="A361" s="219">
        <f t="shared" si="4"/>
        <v>2023.04</v>
      </c>
      <c r="B361" s="3348">
        <v>1032902</v>
      </c>
      <c r="C361" s="3329">
        <v>522562</v>
      </c>
      <c r="D361" s="3333">
        <v>510340</v>
      </c>
      <c r="E361" s="3335">
        <v>106576</v>
      </c>
      <c r="F361" s="3329">
        <v>55900</v>
      </c>
      <c r="G361" s="3333">
        <v>50676</v>
      </c>
      <c r="H361" s="3334">
        <v>6983</v>
      </c>
      <c r="I361" s="3329">
        <v>109</v>
      </c>
      <c r="J361" s="3329">
        <v>5900</v>
      </c>
      <c r="K361" s="3329">
        <v>81</v>
      </c>
      <c r="L361" s="3329">
        <v>1951</v>
      </c>
      <c r="M361" s="3335">
        <v>16335</v>
      </c>
      <c r="N361" s="3329">
        <v>7187</v>
      </c>
      <c r="O361" s="3329">
        <v>2158</v>
      </c>
      <c r="P361" s="3329">
        <v>9972</v>
      </c>
      <c r="Q361" s="3336"/>
      <c r="R361" s="3345"/>
      <c r="S361" s="3345"/>
      <c r="T361" s="3346"/>
    </row>
    <row r="362" spans="1:20">
      <c r="A362" s="219">
        <f t="shared" si="4"/>
        <v>2023.05</v>
      </c>
      <c r="B362" s="3348">
        <v>1033385</v>
      </c>
      <c r="C362" s="3329">
        <v>523444</v>
      </c>
      <c r="D362" s="3333">
        <v>509941</v>
      </c>
      <c r="E362" s="3335">
        <v>106764</v>
      </c>
      <c r="F362" s="3329">
        <v>56024</v>
      </c>
      <c r="G362" s="3333">
        <v>50740</v>
      </c>
      <c r="H362" s="3334">
        <v>7056</v>
      </c>
      <c r="I362" s="3329">
        <v>108</v>
      </c>
      <c r="J362" s="3329">
        <v>5894</v>
      </c>
      <c r="K362" s="3329">
        <v>80</v>
      </c>
      <c r="L362" s="3329">
        <v>1948</v>
      </c>
      <c r="M362" s="3335">
        <v>16333</v>
      </c>
      <c r="N362" s="3329">
        <v>7175</v>
      </c>
      <c r="O362" s="3329">
        <v>2146</v>
      </c>
      <c r="P362" s="3329">
        <v>10000</v>
      </c>
      <c r="Q362" s="3336"/>
      <c r="R362" s="3345"/>
      <c r="S362" s="3345"/>
      <c r="T362" s="3346"/>
    </row>
    <row r="363" spans="1:20">
      <c r="A363" s="219">
        <f t="shared" si="4"/>
        <v>2023.06</v>
      </c>
      <c r="B363" s="3348">
        <v>1035586</v>
      </c>
      <c r="C363" s="3329">
        <v>525288</v>
      </c>
      <c r="D363" s="3333">
        <v>510298</v>
      </c>
      <c r="E363" s="3335">
        <v>107008</v>
      </c>
      <c r="F363" s="3329">
        <v>56207</v>
      </c>
      <c r="G363" s="3333">
        <v>50801</v>
      </c>
      <c r="H363" s="3334">
        <v>7044</v>
      </c>
      <c r="I363" s="3329">
        <v>104</v>
      </c>
      <c r="J363" s="3329">
        <v>5887</v>
      </c>
      <c r="K363" s="3329">
        <v>80</v>
      </c>
      <c r="L363" s="3329">
        <v>1976</v>
      </c>
      <c r="M363" s="3335">
        <v>16380</v>
      </c>
      <c r="N363" s="3329">
        <v>7155</v>
      </c>
      <c r="O363" s="3329">
        <v>2146</v>
      </c>
      <c r="P363" s="3329">
        <v>10029</v>
      </c>
      <c r="Q363" s="3336"/>
      <c r="R363" s="3345"/>
      <c r="S363" s="3345"/>
      <c r="T363" s="3346"/>
    </row>
    <row r="364" spans="1:20">
      <c r="A364" s="219">
        <f t="shared" si="4"/>
        <v>2023.07</v>
      </c>
      <c r="B364" s="3348">
        <v>1036928</v>
      </c>
      <c r="C364" s="3329">
        <v>525776</v>
      </c>
      <c r="D364" s="3333">
        <v>511152</v>
      </c>
      <c r="E364" s="3335">
        <v>106937</v>
      </c>
      <c r="F364" s="3329">
        <v>56163</v>
      </c>
      <c r="G364" s="3333">
        <v>50774</v>
      </c>
      <c r="H364" s="3334">
        <v>6987</v>
      </c>
      <c r="I364" s="3329">
        <v>105</v>
      </c>
      <c r="J364" s="3329">
        <v>5881</v>
      </c>
      <c r="K364" s="3329">
        <v>79</v>
      </c>
      <c r="L364" s="3329">
        <v>1971</v>
      </c>
      <c r="M364" s="3335">
        <v>16409</v>
      </c>
      <c r="N364" s="3329">
        <v>7146</v>
      </c>
      <c r="O364" s="3329">
        <v>2146</v>
      </c>
      <c r="P364" s="3329">
        <v>10050</v>
      </c>
      <c r="Q364" s="3336"/>
      <c r="R364" s="3345"/>
      <c r="S364" s="3345"/>
      <c r="T364" s="3346"/>
    </row>
    <row r="365" spans="1:20">
      <c r="A365" s="219">
        <f t="shared" si="4"/>
        <v>2023.08</v>
      </c>
      <c r="B365" s="3348">
        <v>1038024</v>
      </c>
      <c r="C365" s="3329">
        <v>526523</v>
      </c>
      <c r="D365" s="3333">
        <v>511501</v>
      </c>
      <c r="E365" s="3335">
        <v>107031</v>
      </c>
      <c r="F365" s="3329">
        <v>56312</v>
      </c>
      <c r="G365" s="3333">
        <v>50719</v>
      </c>
      <c r="H365" s="3334">
        <v>6969</v>
      </c>
      <c r="I365" s="3329">
        <v>105</v>
      </c>
      <c r="J365" s="3329">
        <v>5903</v>
      </c>
      <c r="K365" s="3329">
        <v>79</v>
      </c>
      <c r="L365" s="3329">
        <v>1957</v>
      </c>
      <c r="M365" s="3335">
        <v>16395</v>
      </c>
      <c r="N365" s="3329">
        <v>7133</v>
      </c>
      <c r="O365" s="3329">
        <v>2143</v>
      </c>
      <c r="P365" s="3329">
        <v>10035</v>
      </c>
      <c r="Q365" s="3336"/>
      <c r="R365" s="3345"/>
      <c r="S365" s="3345"/>
      <c r="T365" s="3346"/>
    </row>
    <row r="366" spans="1:20">
      <c r="A366" s="219">
        <f t="shared" si="4"/>
        <v>2023.09</v>
      </c>
      <c r="B366" s="3348">
        <v>1039109</v>
      </c>
      <c r="C366" s="3329">
        <v>527062</v>
      </c>
      <c r="D366" s="3333">
        <v>512047</v>
      </c>
      <c r="E366" s="3335">
        <v>107153</v>
      </c>
      <c r="F366" s="3329">
        <v>56477</v>
      </c>
      <c r="G366" s="3333">
        <v>50676</v>
      </c>
      <c r="H366" s="3334">
        <v>6924</v>
      </c>
      <c r="I366" s="3329">
        <v>102</v>
      </c>
      <c r="J366" s="3329">
        <v>5921</v>
      </c>
      <c r="K366" s="3329">
        <v>79</v>
      </c>
      <c r="L366" s="3329">
        <v>1964</v>
      </c>
      <c r="M366" s="3335">
        <v>16455</v>
      </c>
      <c r="N366" s="3329">
        <v>7103</v>
      </c>
      <c r="O366" s="3329">
        <v>2109</v>
      </c>
      <c r="P366" s="3329">
        <v>10019</v>
      </c>
      <c r="Q366" s="3336"/>
      <c r="R366" s="3345"/>
      <c r="S366" s="3345"/>
      <c r="T366" s="3346"/>
    </row>
    <row r="367" spans="1:20">
      <c r="A367" s="219">
        <f t="shared" si="4"/>
        <v>2023.1</v>
      </c>
      <c r="B367" s="3348">
        <v>1040496</v>
      </c>
      <c r="C367" s="3329">
        <v>527401</v>
      </c>
      <c r="D367" s="3333">
        <v>513095</v>
      </c>
      <c r="E367" s="3335">
        <v>107251</v>
      </c>
      <c r="F367" s="3329">
        <v>56538</v>
      </c>
      <c r="G367" s="3333">
        <v>50713</v>
      </c>
      <c r="H367" s="3334">
        <v>6904</v>
      </c>
      <c r="I367" s="3329">
        <v>104</v>
      </c>
      <c r="J367" s="3329">
        <v>5908</v>
      </c>
      <c r="K367" s="3329">
        <v>78</v>
      </c>
      <c r="L367" s="3329">
        <v>1983</v>
      </c>
      <c r="M367" s="3335">
        <v>16468</v>
      </c>
      <c r="N367" s="3329">
        <v>7063</v>
      </c>
      <c r="O367" s="3329">
        <v>2139</v>
      </c>
      <c r="P367" s="3329">
        <v>10066</v>
      </c>
      <c r="Q367" s="3336"/>
      <c r="R367" s="3345"/>
      <c r="S367" s="3345"/>
      <c r="T367" s="3346"/>
    </row>
    <row r="368" spans="1:20">
      <c r="A368" s="219">
        <f t="shared" si="4"/>
        <v>2023.11</v>
      </c>
      <c r="B368" s="3348">
        <v>1038008</v>
      </c>
      <c r="C368" s="3329">
        <v>525651</v>
      </c>
      <c r="D368" s="3333">
        <v>512357</v>
      </c>
      <c r="E368" s="3335">
        <v>107022</v>
      </c>
      <c r="F368" s="3329">
        <v>56414</v>
      </c>
      <c r="G368" s="3333">
        <v>50608</v>
      </c>
      <c r="H368" s="3334">
        <v>6919</v>
      </c>
      <c r="I368" s="3329">
        <v>103</v>
      </c>
      <c r="J368" s="3329">
        <v>5896</v>
      </c>
      <c r="K368" s="3329">
        <v>78</v>
      </c>
      <c r="L368" s="3329">
        <v>1948</v>
      </c>
      <c r="M368" s="3335">
        <v>16482</v>
      </c>
      <c r="N368" s="3329">
        <v>7003</v>
      </c>
      <c r="O368" s="3329">
        <v>2135</v>
      </c>
      <c r="P368" s="3329">
        <v>10044</v>
      </c>
      <c r="Q368" s="3336"/>
      <c r="R368" s="3345"/>
      <c r="S368" s="3345"/>
      <c r="T368" s="3346"/>
    </row>
    <row r="369" spans="1:20">
      <c r="A369" s="219">
        <f t="shared" si="4"/>
        <v>2023.12</v>
      </c>
      <c r="B369" s="3348">
        <v>1037002</v>
      </c>
      <c r="C369" s="3329">
        <v>523352</v>
      </c>
      <c r="D369" s="3333">
        <v>513650</v>
      </c>
      <c r="E369" s="3335">
        <v>106918</v>
      </c>
      <c r="F369" s="3329">
        <v>56189</v>
      </c>
      <c r="G369" s="3333">
        <v>50729</v>
      </c>
      <c r="H369" s="3334">
        <v>6981</v>
      </c>
      <c r="I369" s="3329">
        <v>104</v>
      </c>
      <c r="J369" s="3329">
        <v>5919</v>
      </c>
      <c r="K369" s="3329">
        <v>78</v>
      </c>
      <c r="L369" s="3329">
        <v>1946</v>
      </c>
      <c r="M369" s="3335">
        <v>16536</v>
      </c>
      <c r="N369" s="3329">
        <v>6978</v>
      </c>
      <c r="O369" s="3329">
        <v>2138</v>
      </c>
      <c r="P369" s="3329">
        <v>10049</v>
      </c>
      <c r="Q369" s="3336"/>
      <c r="R369" s="3345"/>
      <c r="S369" s="3345"/>
      <c r="T369" s="3346"/>
    </row>
    <row r="370" spans="1:20">
      <c r="A370" s="219">
        <f t="shared" ref="A370:A393" si="6">A358+1</f>
        <v>2024.01</v>
      </c>
      <c r="B370" s="3348">
        <v>1031871</v>
      </c>
      <c r="C370" s="3329">
        <v>520241</v>
      </c>
      <c r="D370" s="3333">
        <v>511630</v>
      </c>
      <c r="E370" s="3335">
        <v>106540</v>
      </c>
      <c r="F370" s="3329">
        <v>55954</v>
      </c>
      <c r="G370" s="3333">
        <v>50586</v>
      </c>
      <c r="H370" s="3334">
        <v>6950</v>
      </c>
      <c r="I370" s="3329">
        <v>105</v>
      </c>
      <c r="J370" s="3329">
        <v>5905</v>
      </c>
      <c r="K370" s="3329">
        <v>79</v>
      </c>
      <c r="L370" s="3329">
        <v>1918</v>
      </c>
      <c r="M370" s="3335">
        <v>16549</v>
      </c>
      <c r="N370" s="3329">
        <v>6898</v>
      </c>
      <c r="O370" s="3329">
        <v>2128</v>
      </c>
      <c r="P370" s="3329">
        <v>10054</v>
      </c>
      <c r="Q370" s="3336"/>
      <c r="R370" s="3345"/>
      <c r="S370" s="3345"/>
      <c r="T370" s="3346"/>
    </row>
    <row r="371" spans="1:20">
      <c r="A371" s="219">
        <f t="shared" si="6"/>
        <v>2024.02</v>
      </c>
      <c r="B371" s="3348" t="e">
        <v>#N/A</v>
      </c>
      <c r="C371" s="3329" t="e">
        <v>#N/A</v>
      </c>
      <c r="D371" s="3333" t="e">
        <v>#N/A</v>
      </c>
      <c r="E371" s="3335" t="e">
        <v>#N/A</v>
      </c>
      <c r="F371" s="3329" t="e">
        <v>#N/A</v>
      </c>
      <c r="G371" s="3333" t="e">
        <v>#N/A</v>
      </c>
      <c r="H371" s="3334" t="e">
        <v>#N/A</v>
      </c>
      <c r="I371" s="3329" t="e">
        <v>#N/A</v>
      </c>
      <c r="J371" s="3329" t="e">
        <v>#N/A</v>
      </c>
      <c r="K371" s="3329" t="e">
        <v>#N/A</v>
      </c>
      <c r="L371" s="3329" t="e">
        <v>#N/A</v>
      </c>
      <c r="M371" s="3335" t="e">
        <v>#N/A</v>
      </c>
      <c r="N371" s="3329" t="e">
        <v>#N/A</v>
      </c>
      <c r="O371" s="3329" t="e">
        <v>#N/A</v>
      </c>
      <c r="P371" s="3329" t="e">
        <v>#N/A</v>
      </c>
      <c r="Q371" s="3336"/>
      <c r="R371" s="3345"/>
      <c r="S371" s="3345"/>
      <c r="T371" s="3346"/>
    </row>
    <row r="372" spans="1:20">
      <c r="A372" s="219">
        <f t="shared" si="6"/>
        <v>2024.03</v>
      </c>
      <c r="B372" s="3348" t="e">
        <v>#N/A</v>
      </c>
      <c r="C372" s="3329" t="e">
        <v>#N/A</v>
      </c>
      <c r="D372" s="3333" t="e">
        <v>#N/A</v>
      </c>
      <c r="E372" s="3335" t="e">
        <v>#N/A</v>
      </c>
      <c r="F372" s="3329" t="e">
        <v>#N/A</v>
      </c>
      <c r="G372" s="3333" t="e">
        <v>#N/A</v>
      </c>
      <c r="H372" s="3334" t="e">
        <v>#N/A</v>
      </c>
      <c r="I372" s="3329" t="e">
        <v>#N/A</v>
      </c>
      <c r="J372" s="3329" t="e">
        <v>#N/A</v>
      </c>
      <c r="K372" s="3329" t="e">
        <v>#N/A</v>
      </c>
      <c r="L372" s="3329" t="e">
        <v>#N/A</v>
      </c>
      <c r="M372" s="3335" t="e">
        <v>#N/A</v>
      </c>
      <c r="N372" s="3329" t="e">
        <v>#N/A</v>
      </c>
      <c r="O372" s="3329" t="e">
        <v>#N/A</v>
      </c>
      <c r="P372" s="3329" t="e">
        <v>#N/A</v>
      </c>
      <c r="Q372" s="3336"/>
      <c r="R372" s="3345"/>
      <c r="S372" s="3345"/>
      <c r="T372" s="3346"/>
    </row>
    <row r="373" spans="1:20">
      <c r="A373" s="219">
        <f t="shared" si="6"/>
        <v>2024.04</v>
      </c>
      <c r="B373" s="3348" t="e">
        <v>#N/A</v>
      </c>
      <c r="C373" s="3329" t="e">
        <v>#N/A</v>
      </c>
      <c r="D373" s="3333" t="e">
        <v>#N/A</v>
      </c>
      <c r="E373" s="3335" t="e">
        <v>#N/A</v>
      </c>
      <c r="F373" s="3329" t="e">
        <v>#N/A</v>
      </c>
      <c r="G373" s="3333" t="e">
        <v>#N/A</v>
      </c>
      <c r="H373" s="3334" t="e">
        <v>#N/A</v>
      </c>
      <c r="I373" s="3329" t="e">
        <v>#N/A</v>
      </c>
      <c r="J373" s="3329" t="e">
        <v>#N/A</v>
      </c>
      <c r="K373" s="3329" t="e">
        <v>#N/A</v>
      </c>
      <c r="L373" s="3329" t="e">
        <v>#N/A</v>
      </c>
      <c r="M373" s="3335" t="e">
        <v>#N/A</v>
      </c>
      <c r="N373" s="3329" t="e">
        <v>#N/A</v>
      </c>
      <c r="O373" s="3329" t="e">
        <v>#N/A</v>
      </c>
      <c r="P373" s="3329" t="e">
        <v>#N/A</v>
      </c>
      <c r="Q373" s="3336"/>
      <c r="R373" s="3345"/>
      <c r="S373" s="3345"/>
      <c r="T373" s="3346"/>
    </row>
    <row r="374" spans="1:20">
      <c r="A374" s="219">
        <f t="shared" si="6"/>
        <v>2024.05</v>
      </c>
      <c r="B374" s="3348" t="e">
        <v>#N/A</v>
      </c>
      <c r="C374" s="3329" t="e">
        <v>#N/A</v>
      </c>
      <c r="D374" s="3333" t="e">
        <v>#N/A</v>
      </c>
      <c r="E374" s="3335" t="e">
        <v>#N/A</v>
      </c>
      <c r="F374" s="3329" t="e">
        <v>#N/A</v>
      </c>
      <c r="G374" s="3333" t="e">
        <v>#N/A</v>
      </c>
      <c r="H374" s="3334" t="e">
        <v>#N/A</v>
      </c>
      <c r="I374" s="3329" t="e">
        <v>#N/A</v>
      </c>
      <c r="J374" s="3329" t="e">
        <v>#N/A</v>
      </c>
      <c r="K374" s="3329" t="e">
        <v>#N/A</v>
      </c>
      <c r="L374" s="3329" t="e">
        <v>#N/A</v>
      </c>
      <c r="M374" s="3335" t="e">
        <v>#N/A</v>
      </c>
      <c r="N374" s="3329" t="e">
        <v>#N/A</v>
      </c>
      <c r="O374" s="3329" t="e">
        <v>#N/A</v>
      </c>
      <c r="P374" s="3329" t="e">
        <v>#N/A</v>
      </c>
      <c r="Q374" s="3336"/>
      <c r="R374" s="3345"/>
      <c r="S374" s="3345"/>
      <c r="T374" s="3346"/>
    </row>
    <row r="375" spans="1:20">
      <c r="A375" s="219">
        <f t="shared" si="6"/>
        <v>2024.06</v>
      </c>
      <c r="B375" s="3348" t="e">
        <v>#N/A</v>
      </c>
      <c r="C375" s="3329" t="e">
        <v>#N/A</v>
      </c>
      <c r="D375" s="3333" t="e">
        <v>#N/A</v>
      </c>
      <c r="E375" s="3335" t="e">
        <v>#N/A</v>
      </c>
      <c r="F375" s="3329" t="e">
        <v>#N/A</v>
      </c>
      <c r="G375" s="3333" t="e">
        <v>#N/A</v>
      </c>
      <c r="H375" s="3334" t="e">
        <v>#N/A</v>
      </c>
      <c r="I375" s="3329" t="e">
        <v>#N/A</v>
      </c>
      <c r="J375" s="3329" t="e">
        <v>#N/A</v>
      </c>
      <c r="K375" s="3329" t="e">
        <v>#N/A</v>
      </c>
      <c r="L375" s="3329" t="e">
        <v>#N/A</v>
      </c>
      <c r="M375" s="3335" t="e">
        <v>#N/A</v>
      </c>
      <c r="N375" s="3329" t="e">
        <v>#N/A</v>
      </c>
      <c r="O375" s="3329" t="e">
        <v>#N/A</v>
      </c>
      <c r="P375" s="3329" t="e">
        <v>#N/A</v>
      </c>
      <c r="Q375" s="3336"/>
      <c r="R375" s="3345"/>
      <c r="S375" s="3345"/>
      <c r="T375" s="3346"/>
    </row>
    <row r="376" spans="1:20">
      <c r="A376" s="219">
        <f t="shared" si="6"/>
        <v>2024.07</v>
      </c>
      <c r="B376" s="3348" t="e">
        <v>#N/A</v>
      </c>
      <c r="C376" s="3329" t="e">
        <v>#N/A</v>
      </c>
      <c r="D376" s="3333" t="e">
        <v>#N/A</v>
      </c>
      <c r="E376" s="3335" t="e">
        <v>#N/A</v>
      </c>
      <c r="F376" s="3329" t="e">
        <v>#N/A</v>
      </c>
      <c r="G376" s="3333" t="e">
        <v>#N/A</v>
      </c>
      <c r="H376" s="3334" t="e">
        <v>#N/A</v>
      </c>
      <c r="I376" s="3329" t="e">
        <v>#N/A</v>
      </c>
      <c r="J376" s="3329" t="e">
        <v>#N/A</v>
      </c>
      <c r="K376" s="3329" t="e">
        <v>#N/A</v>
      </c>
      <c r="L376" s="3329" t="e">
        <v>#N/A</v>
      </c>
      <c r="M376" s="3335" t="e">
        <v>#N/A</v>
      </c>
      <c r="N376" s="3329" t="e">
        <v>#N/A</v>
      </c>
      <c r="O376" s="3329" t="e">
        <v>#N/A</v>
      </c>
      <c r="P376" s="3329" t="e">
        <v>#N/A</v>
      </c>
      <c r="Q376" s="3336"/>
      <c r="R376" s="3345"/>
      <c r="S376" s="3345"/>
      <c r="T376" s="3346"/>
    </row>
    <row r="377" spans="1:20">
      <c r="A377" s="219">
        <f t="shared" si="6"/>
        <v>2024.08</v>
      </c>
      <c r="B377" s="3348" t="e">
        <v>#N/A</v>
      </c>
      <c r="C377" s="3329" t="e">
        <v>#N/A</v>
      </c>
      <c r="D377" s="3333" t="e">
        <v>#N/A</v>
      </c>
      <c r="E377" s="3335" t="e">
        <v>#N/A</v>
      </c>
      <c r="F377" s="3329" t="e">
        <v>#N/A</v>
      </c>
      <c r="G377" s="3333" t="e">
        <v>#N/A</v>
      </c>
      <c r="H377" s="3334" t="e">
        <v>#N/A</v>
      </c>
      <c r="I377" s="3329" t="e">
        <v>#N/A</v>
      </c>
      <c r="J377" s="3329" t="e">
        <v>#N/A</v>
      </c>
      <c r="K377" s="3329" t="e">
        <v>#N/A</v>
      </c>
      <c r="L377" s="3329" t="e">
        <v>#N/A</v>
      </c>
      <c r="M377" s="3335" t="e">
        <v>#N/A</v>
      </c>
      <c r="N377" s="3329" t="e">
        <v>#N/A</v>
      </c>
      <c r="O377" s="3329" t="e">
        <v>#N/A</v>
      </c>
      <c r="P377" s="3329" t="e">
        <v>#N/A</v>
      </c>
      <c r="Q377" s="3336"/>
      <c r="R377" s="3345"/>
      <c r="S377" s="3345"/>
      <c r="T377" s="3346"/>
    </row>
    <row r="378" spans="1:20">
      <c r="A378" s="219">
        <f t="shared" si="6"/>
        <v>2024.09</v>
      </c>
      <c r="B378" s="3348" t="e">
        <v>#N/A</v>
      </c>
      <c r="C378" s="3329" t="e">
        <v>#N/A</v>
      </c>
      <c r="D378" s="3333" t="e">
        <v>#N/A</v>
      </c>
      <c r="E378" s="3335" t="e">
        <v>#N/A</v>
      </c>
      <c r="F378" s="3329" t="e">
        <v>#N/A</v>
      </c>
      <c r="G378" s="3333" t="e">
        <v>#N/A</v>
      </c>
      <c r="H378" s="3334" t="e">
        <v>#N/A</v>
      </c>
      <c r="I378" s="3329" t="e">
        <v>#N/A</v>
      </c>
      <c r="J378" s="3329" t="e">
        <v>#N/A</v>
      </c>
      <c r="K378" s="3329" t="e">
        <v>#N/A</v>
      </c>
      <c r="L378" s="3329" t="e">
        <v>#N/A</v>
      </c>
      <c r="M378" s="3335" t="e">
        <v>#N/A</v>
      </c>
      <c r="N378" s="3329" t="e">
        <v>#N/A</v>
      </c>
      <c r="O378" s="3329" t="e">
        <v>#N/A</v>
      </c>
      <c r="P378" s="3329" t="e">
        <v>#N/A</v>
      </c>
      <c r="Q378" s="3336"/>
      <c r="R378" s="3345"/>
      <c r="S378" s="3345"/>
      <c r="T378" s="3346"/>
    </row>
    <row r="379" spans="1:20">
      <c r="A379" s="219">
        <f t="shared" si="6"/>
        <v>2024.1</v>
      </c>
      <c r="B379" s="3348" t="e">
        <v>#N/A</v>
      </c>
      <c r="C379" s="3329" t="e">
        <v>#N/A</v>
      </c>
      <c r="D379" s="3333" t="e">
        <v>#N/A</v>
      </c>
      <c r="E379" s="3335" t="e">
        <v>#N/A</v>
      </c>
      <c r="F379" s="3329" t="e">
        <v>#N/A</v>
      </c>
      <c r="G379" s="3333" t="e">
        <v>#N/A</v>
      </c>
      <c r="H379" s="3334" t="e">
        <v>#N/A</v>
      </c>
      <c r="I379" s="3329" t="e">
        <v>#N/A</v>
      </c>
      <c r="J379" s="3329" t="e">
        <v>#N/A</v>
      </c>
      <c r="K379" s="3329" t="e">
        <v>#N/A</v>
      </c>
      <c r="L379" s="3329" t="e">
        <v>#N/A</v>
      </c>
      <c r="M379" s="3335" t="e">
        <v>#N/A</v>
      </c>
      <c r="N379" s="3329" t="e">
        <v>#N/A</v>
      </c>
      <c r="O379" s="3329" t="e">
        <v>#N/A</v>
      </c>
      <c r="P379" s="3329" t="e">
        <v>#N/A</v>
      </c>
      <c r="Q379" s="3336"/>
      <c r="R379" s="3345"/>
      <c r="S379" s="3345"/>
      <c r="T379" s="3346"/>
    </row>
    <row r="380" spans="1:20">
      <c r="A380" s="219">
        <f t="shared" si="6"/>
        <v>2024.11</v>
      </c>
      <c r="B380" s="3348" t="e">
        <v>#N/A</v>
      </c>
      <c r="C380" s="3329" t="e">
        <v>#N/A</v>
      </c>
      <c r="D380" s="3333" t="e">
        <v>#N/A</v>
      </c>
      <c r="E380" s="3335" t="e">
        <v>#N/A</v>
      </c>
      <c r="F380" s="3329" t="e">
        <v>#N/A</v>
      </c>
      <c r="G380" s="3333" t="e">
        <v>#N/A</v>
      </c>
      <c r="H380" s="3334" t="e">
        <v>#N/A</v>
      </c>
      <c r="I380" s="3329" t="e">
        <v>#N/A</v>
      </c>
      <c r="J380" s="3329" t="e">
        <v>#N/A</v>
      </c>
      <c r="K380" s="3329" t="e">
        <v>#N/A</v>
      </c>
      <c r="L380" s="3329" t="e">
        <v>#N/A</v>
      </c>
      <c r="M380" s="3335" t="e">
        <v>#N/A</v>
      </c>
      <c r="N380" s="3329" t="e">
        <v>#N/A</v>
      </c>
      <c r="O380" s="3329" t="e">
        <v>#N/A</v>
      </c>
      <c r="P380" s="3329" t="e">
        <v>#N/A</v>
      </c>
      <c r="Q380" s="3336"/>
      <c r="R380" s="3345"/>
      <c r="S380" s="3345"/>
      <c r="T380" s="3346"/>
    </row>
    <row r="381" spans="1:20">
      <c r="A381" s="219">
        <f t="shared" si="6"/>
        <v>2024.12</v>
      </c>
      <c r="B381" s="3348" t="e">
        <v>#N/A</v>
      </c>
      <c r="C381" s="3329" t="e">
        <v>#N/A</v>
      </c>
      <c r="D381" s="3333" t="e">
        <v>#N/A</v>
      </c>
      <c r="E381" s="3335" t="e">
        <v>#N/A</v>
      </c>
      <c r="F381" s="3329" t="e">
        <v>#N/A</v>
      </c>
      <c r="G381" s="3333" t="e">
        <v>#N/A</v>
      </c>
      <c r="H381" s="3334" t="e">
        <v>#N/A</v>
      </c>
      <c r="I381" s="3329" t="e">
        <v>#N/A</v>
      </c>
      <c r="J381" s="3329" t="e">
        <v>#N/A</v>
      </c>
      <c r="K381" s="3329" t="e">
        <v>#N/A</v>
      </c>
      <c r="L381" s="3329" t="e">
        <v>#N/A</v>
      </c>
      <c r="M381" s="3335" t="e">
        <v>#N/A</v>
      </c>
      <c r="N381" s="3329" t="e">
        <v>#N/A</v>
      </c>
      <c r="O381" s="3329" t="e">
        <v>#N/A</v>
      </c>
      <c r="P381" s="3329" t="e">
        <v>#N/A</v>
      </c>
      <c r="Q381" s="3336"/>
      <c r="R381" s="3345"/>
      <c r="S381" s="3345"/>
      <c r="T381" s="3346"/>
    </row>
    <row r="382" spans="1:20">
      <c r="A382" s="219">
        <f t="shared" si="6"/>
        <v>2025.01</v>
      </c>
      <c r="B382" s="2591" t="e">
        <v>#N/A</v>
      </c>
      <c r="C382" s="3338" t="e">
        <v>#N/A</v>
      </c>
      <c r="D382" s="3360" t="e">
        <v>#N/A</v>
      </c>
      <c r="E382" s="3259" t="e">
        <v>#N/A</v>
      </c>
      <c r="F382" s="3338" t="e">
        <v>#N/A</v>
      </c>
      <c r="G382" s="3339" t="e">
        <v>#N/A</v>
      </c>
      <c r="H382" s="2538" t="e">
        <v>#N/A</v>
      </c>
      <c r="I382" s="2539" t="e">
        <v>#N/A</v>
      </c>
      <c r="J382" s="2539" t="e">
        <v>#N/A</v>
      </c>
      <c r="K382" s="2539" t="e">
        <v>#N/A</v>
      </c>
      <c r="L382" s="2539" t="e">
        <v>#N/A</v>
      </c>
      <c r="M382" s="2539" t="e">
        <v>#N/A</v>
      </c>
      <c r="N382" s="3340" t="e">
        <v>#N/A</v>
      </c>
      <c r="O382" s="2539" t="e">
        <v>#N/A</v>
      </c>
      <c r="P382" s="2539" t="e">
        <v>#N/A</v>
      </c>
      <c r="Q382" s="3336"/>
      <c r="R382" s="3345"/>
      <c r="S382" s="3345"/>
      <c r="T382" s="3346"/>
    </row>
    <row r="383" spans="1:20">
      <c r="A383" s="219">
        <f t="shared" si="6"/>
        <v>2025.02</v>
      </c>
      <c r="B383" s="2591" t="e">
        <v>#N/A</v>
      </c>
      <c r="C383" s="3338" t="e">
        <v>#N/A</v>
      </c>
      <c r="D383" s="3360" t="e">
        <v>#N/A</v>
      </c>
      <c r="E383" s="3259" t="e">
        <v>#N/A</v>
      </c>
      <c r="F383" s="3338" t="e">
        <v>#N/A</v>
      </c>
      <c r="G383" s="3339" t="e">
        <v>#N/A</v>
      </c>
      <c r="H383" s="2538" t="e">
        <v>#N/A</v>
      </c>
      <c r="I383" s="2539" t="e">
        <v>#N/A</v>
      </c>
      <c r="J383" s="2539" t="e">
        <v>#N/A</v>
      </c>
      <c r="K383" s="2539" t="e">
        <v>#N/A</v>
      </c>
      <c r="L383" s="2539" t="e">
        <v>#N/A</v>
      </c>
      <c r="M383" s="2539" t="e">
        <v>#N/A</v>
      </c>
      <c r="N383" s="3340" t="e">
        <v>#N/A</v>
      </c>
      <c r="O383" s="2539" t="e">
        <v>#N/A</v>
      </c>
      <c r="P383" s="2539" t="e">
        <v>#N/A</v>
      </c>
      <c r="Q383" s="3336"/>
      <c r="R383" s="3345"/>
      <c r="S383" s="3345"/>
      <c r="T383" s="3346"/>
    </row>
    <row r="384" spans="1:20">
      <c r="A384" s="219">
        <f t="shared" si="6"/>
        <v>2025.03</v>
      </c>
      <c r="B384" s="2591" t="e">
        <v>#N/A</v>
      </c>
      <c r="C384" s="3338" t="e">
        <v>#N/A</v>
      </c>
      <c r="D384" s="3360" t="e">
        <v>#N/A</v>
      </c>
      <c r="E384" s="3259" t="e">
        <v>#N/A</v>
      </c>
      <c r="F384" s="3338" t="e">
        <v>#N/A</v>
      </c>
      <c r="G384" s="3339" t="e">
        <v>#N/A</v>
      </c>
      <c r="H384" s="2538" t="e">
        <v>#N/A</v>
      </c>
      <c r="I384" s="2539" t="e">
        <v>#N/A</v>
      </c>
      <c r="J384" s="2539" t="e">
        <v>#N/A</v>
      </c>
      <c r="K384" s="2539" t="e">
        <v>#N/A</v>
      </c>
      <c r="L384" s="2539" t="e">
        <v>#N/A</v>
      </c>
      <c r="M384" s="2539" t="e">
        <v>#N/A</v>
      </c>
      <c r="N384" s="3340" t="e">
        <v>#N/A</v>
      </c>
      <c r="O384" s="2539" t="e">
        <v>#N/A</v>
      </c>
      <c r="P384" s="2539" t="e">
        <v>#N/A</v>
      </c>
      <c r="Q384" s="3336"/>
      <c r="R384" s="3345"/>
      <c r="S384" s="3345"/>
      <c r="T384" s="3346"/>
    </row>
    <row r="385" spans="1:20">
      <c r="A385" s="219">
        <f t="shared" si="6"/>
        <v>2025.04</v>
      </c>
      <c r="B385" s="2591" t="e">
        <v>#N/A</v>
      </c>
      <c r="C385" s="3338" t="e">
        <v>#N/A</v>
      </c>
      <c r="D385" s="3360" t="e">
        <v>#N/A</v>
      </c>
      <c r="E385" s="3259" t="e">
        <v>#N/A</v>
      </c>
      <c r="F385" s="3338" t="e">
        <v>#N/A</v>
      </c>
      <c r="G385" s="3339" t="e">
        <v>#N/A</v>
      </c>
      <c r="H385" s="2538" t="e">
        <v>#N/A</v>
      </c>
      <c r="I385" s="2539" t="e">
        <v>#N/A</v>
      </c>
      <c r="J385" s="2539" t="e">
        <v>#N/A</v>
      </c>
      <c r="K385" s="2539" t="e">
        <v>#N/A</v>
      </c>
      <c r="L385" s="2539" t="e">
        <v>#N/A</v>
      </c>
      <c r="M385" s="2539" t="e">
        <v>#N/A</v>
      </c>
      <c r="N385" s="3340" t="e">
        <v>#N/A</v>
      </c>
      <c r="O385" s="2539" t="e">
        <v>#N/A</v>
      </c>
      <c r="P385" s="2539" t="e">
        <v>#N/A</v>
      </c>
      <c r="Q385" s="3336"/>
      <c r="R385" s="3345"/>
      <c r="S385" s="3345"/>
      <c r="T385" s="3346"/>
    </row>
    <row r="386" spans="1:20">
      <c r="A386" s="219">
        <f t="shared" si="6"/>
        <v>2025.05</v>
      </c>
      <c r="B386" s="2591" t="e">
        <v>#N/A</v>
      </c>
      <c r="C386" s="3338" t="e">
        <v>#N/A</v>
      </c>
      <c r="D386" s="3360" t="e">
        <v>#N/A</v>
      </c>
      <c r="E386" s="3259" t="e">
        <v>#N/A</v>
      </c>
      <c r="F386" s="3338" t="e">
        <v>#N/A</v>
      </c>
      <c r="G386" s="3339" t="e">
        <v>#N/A</v>
      </c>
      <c r="H386" s="2538" t="e">
        <v>#N/A</v>
      </c>
      <c r="I386" s="2539" t="e">
        <v>#N/A</v>
      </c>
      <c r="J386" s="2539" t="e">
        <v>#N/A</v>
      </c>
      <c r="K386" s="2539" t="e">
        <v>#N/A</v>
      </c>
      <c r="L386" s="2539" t="e">
        <v>#N/A</v>
      </c>
      <c r="M386" s="2539" t="e">
        <v>#N/A</v>
      </c>
      <c r="N386" s="3340" t="e">
        <v>#N/A</v>
      </c>
      <c r="O386" s="2539" t="e">
        <v>#N/A</v>
      </c>
      <c r="P386" s="2539" t="e">
        <v>#N/A</v>
      </c>
      <c r="Q386" s="3336"/>
      <c r="R386" s="3345"/>
      <c r="S386" s="3345"/>
      <c r="T386" s="3346"/>
    </row>
    <row r="387" spans="1:20">
      <c r="A387" s="219">
        <f t="shared" si="6"/>
        <v>2025.06</v>
      </c>
      <c r="B387" s="2591" t="e">
        <v>#N/A</v>
      </c>
      <c r="C387" s="3338" t="e">
        <v>#N/A</v>
      </c>
      <c r="D387" s="3360" t="e">
        <v>#N/A</v>
      </c>
      <c r="E387" s="3259" t="e">
        <v>#N/A</v>
      </c>
      <c r="F387" s="3338" t="e">
        <v>#N/A</v>
      </c>
      <c r="G387" s="3339" t="e">
        <v>#N/A</v>
      </c>
      <c r="H387" s="2538" t="e">
        <v>#N/A</v>
      </c>
      <c r="I387" s="2539" t="e">
        <v>#N/A</v>
      </c>
      <c r="J387" s="2539" t="e">
        <v>#N/A</v>
      </c>
      <c r="K387" s="2539" t="e">
        <v>#N/A</v>
      </c>
      <c r="L387" s="2539" t="e">
        <v>#N/A</v>
      </c>
      <c r="M387" s="2539" t="e">
        <v>#N/A</v>
      </c>
      <c r="N387" s="3340" t="e">
        <v>#N/A</v>
      </c>
      <c r="O387" s="2539" t="e">
        <v>#N/A</v>
      </c>
      <c r="P387" s="2539" t="e">
        <v>#N/A</v>
      </c>
      <c r="Q387" s="3336"/>
      <c r="R387" s="3345"/>
      <c r="S387" s="3345"/>
      <c r="T387" s="3346"/>
    </row>
    <row r="388" spans="1:20">
      <c r="A388" s="219">
        <f t="shared" si="6"/>
        <v>2025.07</v>
      </c>
      <c r="B388" s="2591" t="e">
        <v>#N/A</v>
      </c>
      <c r="C388" s="3338" t="e">
        <v>#N/A</v>
      </c>
      <c r="D388" s="3360" t="e">
        <v>#N/A</v>
      </c>
      <c r="E388" s="3259" t="e">
        <v>#N/A</v>
      </c>
      <c r="F388" s="3338" t="e">
        <v>#N/A</v>
      </c>
      <c r="G388" s="3339" t="e">
        <v>#N/A</v>
      </c>
      <c r="H388" s="2538" t="e">
        <v>#N/A</v>
      </c>
      <c r="I388" s="2539" t="e">
        <v>#N/A</v>
      </c>
      <c r="J388" s="2539" t="e">
        <v>#N/A</v>
      </c>
      <c r="K388" s="2539" t="e">
        <v>#N/A</v>
      </c>
      <c r="L388" s="2539" t="e">
        <v>#N/A</v>
      </c>
      <c r="M388" s="2539" t="e">
        <v>#N/A</v>
      </c>
      <c r="N388" s="3340" t="e">
        <v>#N/A</v>
      </c>
      <c r="O388" s="2539" t="e">
        <v>#N/A</v>
      </c>
      <c r="P388" s="2539" t="e">
        <v>#N/A</v>
      </c>
      <c r="Q388" s="3336"/>
      <c r="R388" s="3345"/>
      <c r="S388" s="3345"/>
      <c r="T388" s="3346"/>
    </row>
    <row r="389" spans="1:20">
      <c r="A389" s="219">
        <f t="shared" si="6"/>
        <v>2025.08</v>
      </c>
      <c r="B389" s="2591" t="e">
        <v>#N/A</v>
      </c>
      <c r="C389" s="3338" t="e">
        <v>#N/A</v>
      </c>
      <c r="D389" s="3360" t="e">
        <v>#N/A</v>
      </c>
      <c r="E389" s="3259" t="e">
        <v>#N/A</v>
      </c>
      <c r="F389" s="3338" t="e">
        <v>#N/A</v>
      </c>
      <c r="G389" s="3339" t="e">
        <v>#N/A</v>
      </c>
      <c r="H389" s="2538" t="e">
        <v>#N/A</v>
      </c>
      <c r="I389" s="2539" t="e">
        <v>#N/A</v>
      </c>
      <c r="J389" s="2539" t="e">
        <v>#N/A</v>
      </c>
      <c r="K389" s="2539" t="e">
        <v>#N/A</v>
      </c>
      <c r="L389" s="2539" t="e">
        <v>#N/A</v>
      </c>
      <c r="M389" s="2539" t="e">
        <v>#N/A</v>
      </c>
      <c r="N389" s="3340" t="e">
        <v>#N/A</v>
      </c>
      <c r="O389" s="2539" t="e">
        <v>#N/A</v>
      </c>
      <c r="P389" s="2539" t="e">
        <v>#N/A</v>
      </c>
      <c r="Q389" s="3336"/>
      <c r="R389" s="3345"/>
      <c r="S389" s="3345"/>
      <c r="T389" s="3346"/>
    </row>
    <row r="390" spans="1:20">
      <c r="A390" s="219">
        <f t="shared" si="6"/>
        <v>2025.09</v>
      </c>
      <c r="B390" s="2591" t="e">
        <v>#N/A</v>
      </c>
      <c r="C390" s="3338" t="e">
        <v>#N/A</v>
      </c>
      <c r="D390" s="3360" t="e">
        <v>#N/A</v>
      </c>
      <c r="E390" s="3259" t="e">
        <v>#N/A</v>
      </c>
      <c r="F390" s="3338" t="e">
        <v>#N/A</v>
      </c>
      <c r="G390" s="3339" t="e">
        <v>#N/A</v>
      </c>
      <c r="H390" s="2538" t="e">
        <v>#N/A</v>
      </c>
      <c r="I390" s="2539" t="e">
        <v>#N/A</v>
      </c>
      <c r="J390" s="2539" t="e">
        <v>#N/A</v>
      </c>
      <c r="K390" s="2539" t="e">
        <v>#N/A</v>
      </c>
      <c r="L390" s="2539" t="e">
        <v>#N/A</v>
      </c>
      <c r="M390" s="2539" t="e">
        <v>#N/A</v>
      </c>
      <c r="N390" s="3340" t="e">
        <v>#N/A</v>
      </c>
      <c r="O390" s="2539" t="e">
        <v>#N/A</v>
      </c>
      <c r="P390" s="2539" t="e">
        <v>#N/A</v>
      </c>
      <c r="Q390" s="3336"/>
      <c r="R390" s="3345"/>
      <c r="S390" s="3345"/>
      <c r="T390" s="3346"/>
    </row>
    <row r="391" spans="1:20">
      <c r="A391" s="219">
        <f t="shared" si="6"/>
        <v>2025.1</v>
      </c>
      <c r="B391" s="2591" t="e">
        <v>#N/A</v>
      </c>
      <c r="C391" s="3338" t="e">
        <v>#N/A</v>
      </c>
      <c r="D391" s="3360" t="e">
        <v>#N/A</v>
      </c>
      <c r="E391" s="3259" t="e">
        <v>#N/A</v>
      </c>
      <c r="F391" s="3338" t="e">
        <v>#N/A</v>
      </c>
      <c r="G391" s="3339" t="e">
        <v>#N/A</v>
      </c>
      <c r="H391" s="2538" t="e">
        <v>#N/A</v>
      </c>
      <c r="I391" s="2539" t="e">
        <v>#N/A</v>
      </c>
      <c r="J391" s="2539" t="e">
        <v>#N/A</v>
      </c>
      <c r="K391" s="2539" t="e">
        <v>#N/A</v>
      </c>
      <c r="L391" s="2539" t="e">
        <v>#N/A</v>
      </c>
      <c r="M391" s="2539" t="e">
        <v>#N/A</v>
      </c>
      <c r="N391" s="3340" t="e">
        <v>#N/A</v>
      </c>
      <c r="O391" s="2539" t="e">
        <v>#N/A</v>
      </c>
      <c r="P391" s="2539" t="e">
        <v>#N/A</v>
      </c>
      <c r="Q391" s="3336"/>
      <c r="R391" s="3345"/>
      <c r="S391" s="3345"/>
      <c r="T391" s="3346"/>
    </row>
    <row r="392" spans="1:20">
      <c r="A392" s="219">
        <f t="shared" si="6"/>
        <v>2025.11</v>
      </c>
      <c r="B392" s="2591" t="e">
        <v>#N/A</v>
      </c>
      <c r="C392" s="3338" t="e">
        <v>#N/A</v>
      </c>
      <c r="D392" s="3360" t="e">
        <v>#N/A</v>
      </c>
      <c r="E392" s="3259" t="e">
        <v>#N/A</v>
      </c>
      <c r="F392" s="3338" t="e">
        <v>#N/A</v>
      </c>
      <c r="G392" s="3339" t="e">
        <v>#N/A</v>
      </c>
      <c r="H392" s="2538" t="e">
        <v>#N/A</v>
      </c>
      <c r="I392" s="2539" t="e">
        <v>#N/A</v>
      </c>
      <c r="J392" s="2539" t="e">
        <v>#N/A</v>
      </c>
      <c r="K392" s="2539" t="e">
        <v>#N/A</v>
      </c>
      <c r="L392" s="2539" t="e">
        <v>#N/A</v>
      </c>
      <c r="M392" s="2539" t="e">
        <v>#N/A</v>
      </c>
      <c r="N392" s="3340" t="e">
        <v>#N/A</v>
      </c>
      <c r="O392" s="2539" t="e">
        <v>#N/A</v>
      </c>
      <c r="P392" s="2539" t="e">
        <v>#N/A</v>
      </c>
      <c r="Q392" s="3336"/>
      <c r="R392" s="3345"/>
      <c r="S392" s="3345"/>
      <c r="T392" s="3346"/>
    </row>
    <row r="393" spans="1:20">
      <c r="A393" s="219">
        <f t="shared" si="6"/>
        <v>2025.12</v>
      </c>
      <c r="B393" s="2591" t="e">
        <v>#N/A</v>
      </c>
      <c r="C393" s="3338" t="e">
        <v>#N/A</v>
      </c>
      <c r="D393" s="3360" t="e">
        <v>#N/A</v>
      </c>
      <c r="E393" s="3259" t="e">
        <v>#N/A</v>
      </c>
      <c r="F393" s="3338" t="e">
        <v>#N/A</v>
      </c>
      <c r="G393" s="3339" t="e">
        <v>#N/A</v>
      </c>
      <c r="H393" s="2538" t="e">
        <v>#N/A</v>
      </c>
      <c r="I393" s="2539" t="e">
        <v>#N/A</v>
      </c>
      <c r="J393" s="2539" t="e">
        <v>#N/A</v>
      </c>
      <c r="K393" s="2539" t="e">
        <v>#N/A</v>
      </c>
      <c r="L393" s="2539" t="e">
        <v>#N/A</v>
      </c>
      <c r="M393" s="2539" t="e">
        <v>#N/A</v>
      </c>
      <c r="N393" s="3340" t="e">
        <v>#N/A</v>
      </c>
      <c r="O393" s="2539" t="e">
        <v>#N/A</v>
      </c>
      <c r="P393" s="2539" t="e">
        <v>#N/A</v>
      </c>
      <c r="Q393" s="3336"/>
      <c r="R393" s="3345"/>
      <c r="S393" s="3345"/>
      <c r="T393" s="3346"/>
    </row>
    <row r="394" spans="1:20">
      <c r="A394" s="2765">
        <v>2026.01</v>
      </c>
      <c r="B394" s="2591" t="e">
        <v>#N/A</v>
      </c>
      <c r="C394" s="3338" t="e">
        <v>#N/A</v>
      </c>
      <c r="D394" s="3360" t="e">
        <v>#N/A</v>
      </c>
      <c r="E394" s="3259" t="e">
        <v>#N/A</v>
      </c>
      <c r="F394" s="3338" t="e">
        <v>#N/A</v>
      </c>
      <c r="G394" s="3339" t="e">
        <v>#N/A</v>
      </c>
      <c r="H394" s="2538" t="e">
        <v>#N/A</v>
      </c>
      <c r="I394" s="2539" t="e">
        <v>#N/A</v>
      </c>
      <c r="J394" s="2539" t="e">
        <v>#N/A</v>
      </c>
      <c r="K394" s="2539" t="e">
        <v>#N/A</v>
      </c>
      <c r="L394" s="2539" t="e">
        <v>#N/A</v>
      </c>
      <c r="M394" s="2539" t="e">
        <v>#N/A</v>
      </c>
      <c r="N394" s="3340" t="e">
        <v>#N/A</v>
      </c>
      <c r="O394" s="2539" t="e">
        <v>#N/A</v>
      </c>
      <c r="P394" s="2539" t="e">
        <v>#N/A</v>
      </c>
      <c r="Q394" s="3336"/>
      <c r="R394" s="3345"/>
      <c r="S394" s="3345"/>
      <c r="T394" s="3346"/>
    </row>
    <row r="395" spans="1:20">
      <c r="A395" s="2765">
        <v>2026.02</v>
      </c>
      <c r="B395" s="2591" t="e">
        <v>#N/A</v>
      </c>
      <c r="C395" s="3338" t="e">
        <v>#N/A</v>
      </c>
      <c r="D395" s="3360" t="e">
        <v>#N/A</v>
      </c>
      <c r="E395" s="3259" t="e">
        <v>#N/A</v>
      </c>
      <c r="F395" s="3338" t="e">
        <v>#N/A</v>
      </c>
      <c r="G395" s="3339" t="e">
        <v>#N/A</v>
      </c>
      <c r="H395" s="2538" t="e">
        <v>#N/A</v>
      </c>
      <c r="I395" s="2539" t="e">
        <v>#N/A</v>
      </c>
      <c r="J395" s="2539" t="e">
        <v>#N/A</v>
      </c>
      <c r="K395" s="2539" t="e">
        <v>#N/A</v>
      </c>
      <c r="L395" s="2539" t="e">
        <v>#N/A</v>
      </c>
      <c r="M395" s="2539" t="e">
        <v>#N/A</v>
      </c>
      <c r="N395" s="3340" t="e">
        <v>#N/A</v>
      </c>
      <c r="O395" s="2539" t="e">
        <v>#N/A</v>
      </c>
      <c r="P395" s="2539" t="e">
        <v>#N/A</v>
      </c>
      <c r="Q395" s="3336"/>
      <c r="R395" s="3345"/>
      <c r="S395" s="3345"/>
      <c r="T395" s="3346"/>
    </row>
    <row r="396" spans="1:20">
      <c r="A396" s="2765">
        <v>2026.03</v>
      </c>
      <c r="B396" s="2591" t="e">
        <v>#N/A</v>
      </c>
      <c r="C396" s="3338" t="e">
        <v>#N/A</v>
      </c>
      <c r="D396" s="3360" t="e">
        <v>#N/A</v>
      </c>
      <c r="E396" s="3259" t="e">
        <v>#N/A</v>
      </c>
      <c r="F396" s="3338" t="e">
        <v>#N/A</v>
      </c>
      <c r="G396" s="3339" t="e">
        <v>#N/A</v>
      </c>
      <c r="H396" s="2538" t="e">
        <v>#N/A</v>
      </c>
      <c r="I396" s="2539" t="e">
        <v>#N/A</v>
      </c>
      <c r="J396" s="2539" t="e">
        <v>#N/A</v>
      </c>
      <c r="K396" s="2539" t="e">
        <v>#N/A</v>
      </c>
      <c r="L396" s="2539" t="e">
        <v>#N/A</v>
      </c>
      <c r="M396" s="2539" t="e">
        <v>#N/A</v>
      </c>
      <c r="N396" s="3340" t="e">
        <v>#N/A</v>
      </c>
      <c r="O396" s="2539" t="e">
        <v>#N/A</v>
      </c>
      <c r="P396" s="2539" t="e">
        <v>#N/A</v>
      </c>
      <c r="Q396" s="3336"/>
      <c r="R396" s="3345"/>
      <c r="S396" s="3345"/>
      <c r="T396" s="3346"/>
    </row>
    <row r="397" spans="1:20">
      <c r="A397" s="2765">
        <v>2026.04</v>
      </c>
      <c r="B397" s="2591" t="e">
        <v>#N/A</v>
      </c>
      <c r="C397" s="3338" t="e">
        <v>#N/A</v>
      </c>
      <c r="D397" s="3360" t="e">
        <v>#N/A</v>
      </c>
      <c r="E397" s="3259" t="e">
        <v>#N/A</v>
      </c>
      <c r="F397" s="3338" t="e">
        <v>#N/A</v>
      </c>
      <c r="G397" s="3339" t="e">
        <v>#N/A</v>
      </c>
      <c r="H397" s="2538" t="e">
        <v>#N/A</v>
      </c>
      <c r="I397" s="2539" t="e">
        <v>#N/A</v>
      </c>
      <c r="J397" s="2539" t="e">
        <v>#N/A</v>
      </c>
      <c r="K397" s="2539" t="e">
        <v>#N/A</v>
      </c>
      <c r="L397" s="2539" t="e">
        <v>#N/A</v>
      </c>
      <c r="M397" s="2539" t="e">
        <v>#N/A</v>
      </c>
      <c r="N397" s="3340" t="e">
        <v>#N/A</v>
      </c>
      <c r="O397" s="2539" t="e">
        <v>#N/A</v>
      </c>
      <c r="P397" s="2539" t="e">
        <v>#N/A</v>
      </c>
      <c r="Q397" s="3336"/>
      <c r="R397" s="3345"/>
      <c r="S397" s="3345"/>
      <c r="T397" s="3346"/>
    </row>
    <row r="398" spans="1:20">
      <c r="A398" s="2765">
        <v>2026.05</v>
      </c>
      <c r="B398" s="2591" t="e">
        <v>#N/A</v>
      </c>
      <c r="C398" s="3338" t="e">
        <v>#N/A</v>
      </c>
      <c r="D398" s="3360" t="e">
        <v>#N/A</v>
      </c>
      <c r="E398" s="3259" t="e">
        <v>#N/A</v>
      </c>
      <c r="F398" s="3338" t="e">
        <v>#N/A</v>
      </c>
      <c r="G398" s="3339" t="e">
        <v>#N/A</v>
      </c>
      <c r="H398" s="2538" t="e">
        <v>#N/A</v>
      </c>
      <c r="I398" s="2539" t="e">
        <v>#N/A</v>
      </c>
      <c r="J398" s="2539" t="e">
        <v>#N/A</v>
      </c>
      <c r="K398" s="2539" t="e">
        <v>#N/A</v>
      </c>
      <c r="L398" s="2539" t="e">
        <v>#N/A</v>
      </c>
      <c r="M398" s="2539" t="e">
        <v>#N/A</v>
      </c>
      <c r="N398" s="3340" t="e">
        <v>#N/A</v>
      </c>
      <c r="O398" s="2539" t="e">
        <v>#N/A</v>
      </c>
      <c r="P398" s="2539" t="e">
        <v>#N/A</v>
      </c>
      <c r="Q398" s="3336"/>
      <c r="R398" s="3345"/>
      <c r="S398" s="3345"/>
      <c r="T398" s="3346"/>
    </row>
    <row r="399" spans="1:20">
      <c r="A399" s="2765">
        <v>2026.06</v>
      </c>
      <c r="B399" s="2591" t="e">
        <v>#N/A</v>
      </c>
      <c r="C399" s="3338" t="e">
        <v>#N/A</v>
      </c>
      <c r="D399" s="3360" t="e">
        <v>#N/A</v>
      </c>
      <c r="E399" s="3259" t="e">
        <v>#N/A</v>
      </c>
      <c r="F399" s="3338" t="e">
        <v>#N/A</v>
      </c>
      <c r="G399" s="3339" t="e">
        <v>#N/A</v>
      </c>
      <c r="H399" s="2538" t="e">
        <v>#N/A</v>
      </c>
      <c r="I399" s="2539" t="e">
        <v>#N/A</v>
      </c>
      <c r="J399" s="2539" t="e">
        <v>#N/A</v>
      </c>
      <c r="K399" s="2539" t="e">
        <v>#N/A</v>
      </c>
      <c r="L399" s="2539" t="e">
        <v>#N/A</v>
      </c>
      <c r="M399" s="2539" t="e">
        <v>#N/A</v>
      </c>
      <c r="N399" s="3340" t="e">
        <v>#N/A</v>
      </c>
      <c r="O399" s="2539" t="e">
        <v>#N/A</v>
      </c>
      <c r="P399" s="2539" t="e">
        <v>#N/A</v>
      </c>
      <c r="Q399" s="3336"/>
      <c r="R399" s="3345"/>
      <c r="S399" s="3345"/>
      <c r="T399" s="3346"/>
    </row>
    <row r="400" spans="1:20">
      <c r="A400" s="2765">
        <v>2026.07</v>
      </c>
      <c r="B400" s="2591" t="e">
        <v>#N/A</v>
      </c>
      <c r="C400" s="3338" t="e">
        <v>#N/A</v>
      </c>
      <c r="D400" s="3360" t="e">
        <v>#N/A</v>
      </c>
      <c r="E400" s="3259" t="e">
        <v>#N/A</v>
      </c>
      <c r="F400" s="3338" t="e">
        <v>#N/A</v>
      </c>
      <c r="G400" s="3339" t="e">
        <v>#N/A</v>
      </c>
      <c r="H400" s="2538" t="e">
        <v>#N/A</v>
      </c>
      <c r="I400" s="2539" t="e">
        <v>#N/A</v>
      </c>
      <c r="J400" s="2539" t="e">
        <v>#N/A</v>
      </c>
      <c r="K400" s="2539" t="e">
        <v>#N/A</v>
      </c>
      <c r="L400" s="2539" t="e">
        <v>#N/A</v>
      </c>
      <c r="M400" s="2539" t="e">
        <v>#N/A</v>
      </c>
      <c r="N400" s="3340" t="e">
        <v>#N/A</v>
      </c>
      <c r="O400" s="2539" t="e">
        <v>#N/A</v>
      </c>
      <c r="P400" s="2539" t="e">
        <v>#N/A</v>
      </c>
      <c r="Q400" s="3336"/>
      <c r="R400" s="3345"/>
      <c r="S400" s="3345"/>
      <c r="T400" s="3346"/>
    </row>
    <row r="401" spans="1:20">
      <c r="A401" s="2765">
        <v>2026.08</v>
      </c>
      <c r="B401" s="2591" t="e">
        <v>#N/A</v>
      </c>
      <c r="C401" s="3338" t="e">
        <v>#N/A</v>
      </c>
      <c r="D401" s="3360" t="e">
        <v>#N/A</v>
      </c>
      <c r="E401" s="3259" t="e">
        <v>#N/A</v>
      </c>
      <c r="F401" s="3338" t="e">
        <v>#N/A</v>
      </c>
      <c r="G401" s="3339" t="e">
        <v>#N/A</v>
      </c>
      <c r="H401" s="2538" t="e">
        <v>#N/A</v>
      </c>
      <c r="I401" s="2539" t="e">
        <v>#N/A</v>
      </c>
      <c r="J401" s="2539" t="e">
        <v>#N/A</v>
      </c>
      <c r="K401" s="2539" t="e">
        <v>#N/A</v>
      </c>
      <c r="L401" s="2539" t="e">
        <v>#N/A</v>
      </c>
      <c r="M401" s="2539" t="e">
        <v>#N/A</v>
      </c>
      <c r="N401" s="3340" t="e">
        <v>#N/A</v>
      </c>
      <c r="O401" s="2539" t="e">
        <v>#N/A</v>
      </c>
      <c r="P401" s="2539" t="e">
        <v>#N/A</v>
      </c>
      <c r="Q401" s="3336"/>
      <c r="R401" s="3345"/>
      <c r="S401" s="3345"/>
      <c r="T401" s="3346"/>
    </row>
    <row r="402" spans="1:20">
      <c r="A402" s="2765">
        <v>2026.09</v>
      </c>
      <c r="B402" s="2591" t="e">
        <v>#N/A</v>
      </c>
      <c r="C402" s="3338" t="e">
        <v>#N/A</v>
      </c>
      <c r="D402" s="3360" t="e">
        <v>#N/A</v>
      </c>
      <c r="E402" s="3259" t="e">
        <v>#N/A</v>
      </c>
      <c r="F402" s="3338" t="e">
        <v>#N/A</v>
      </c>
      <c r="G402" s="3339" t="e">
        <v>#N/A</v>
      </c>
      <c r="H402" s="2538" t="e">
        <v>#N/A</v>
      </c>
      <c r="I402" s="2539" t="e">
        <v>#N/A</v>
      </c>
      <c r="J402" s="2539" t="e">
        <v>#N/A</v>
      </c>
      <c r="K402" s="2539" t="e">
        <v>#N/A</v>
      </c>
      <c r="L402" s="2539" t="e">
        <v>#N/A</v>
      </c>
      <c r="M402" s="2539" t="e">
        <v>#N/A</v>
      </c>
      <c r="N402" s="3340" t="e">
        <v>#N/A</v>
      </c>
      <c r="O402" s="2539" t="e">
        <v>#N/A</v>
      </c>
      <c r="P402" s="2539" t="e">
        <v>#N/A</v>
      </c>
      <c r="Q402" s="3336"/>
      <c r="R402" s="3345"/>
      <c r="S402" s="3345"/>
      <c r="T402" s="3346"/>
    </row>
    <row r="403" spans="1:20">
      <c r="A403" s="2765">
        <v>2026.1</v>
      </c>
      <c r="B403" s="2591" t="e">
        <v>#N/A</v>
      </c>
      <c r="C403" s="3338" t="e">
        <v>#N/A</v>
      </c>
      <c r="D403" s="3360" t="e">
        <v>#N/A</v>
      </c>
      <c r="E403" s="3259" t="e">
        <v>#N/A</v>
      </c>
      <c r="F403" s="3338" t="e">
        <v>#N/A</v>
      </c>
      <c r="G403" s="3339" t="e">
        <v>#N/A</v>
      </c>
      <c r="H403" s="2538" t="e">
        <v>#N/A</v>
      </c>
      <c r="I403" s="2539" t="e">
        <v>#N/A</v>
      </c>
      <c r="J403" s="2539" t="e">
        <v>#N/A</v>
      </c>
      <c r="K403" s="2539" t="e">
        <v>#N/A</v>
      </c>
      <c r="L403" s="2539" t="e">
        <v>#N/A</v>
      </c>
      <c r="M403" s="2539" t="e">
        <v>#N/A</v>
      </c>
      <c r="N403" s="3340" t="e">
        <v>#N/A</v>
      </c>
      <c r="O403" s="2539" t="e">
        <v>#N/A</v>
      </c>
      <c r="P403" s="2539" t="e">
        <v>#N/A</v>
      </c>
      <c r="Q403" s="3336"/>
      <c r="R403" s="3345"/>
      <c r="S403" s="3345"/>
      <c r="T403" s="3346"/>
    </row>
    <row r="404" spans="1:20">
      <c r="A404" s="2765">
        <v>2026.11</v>
      </c>
      <c r="B404" s="2591" t="e">
        <v>#N/A</v>
      </c>
      <c r="C404" s="3338" t="e">
        <v>#N/A</v>
      </c>
      <c r="D404" s="3360" t="e">
        <v>#N/A</v>
      </c>
      <c r="E404" s="3259" t="e">
        <v>#N/A</v>
      </c>
      <c r="F404" s="3338" t="e">
        <v>#N/A</v>
      </c>
      <c r="G404" s="3339" t="e">
        <v>#N/A</v>
      </c>
      <c r="H404" s="2538" t="e">
        <v>#N/A</v>
      </c>
      <c r="I404" s="2539" t="e">
        <v>#N/A</v>
      </c>
      <c r="J404" s="2539" t="e">
        <v>#N/A</v>
      </c>
      <c r="K404" s="2539" t="e">
        <v>#N/A</v>
      </c>
      <c r="L404" s="2539" t="e">
        <v>#N/A</v>
      </c>
      <c r="M404" s="2539" t="e">
        <v>#N/A</v>
      </c>
      <c r="N404" s="3340" t="e">
        <v>#N/A</v>
      </c>
      <c r="O404" s="2539" t="e">
        <v>#N/A</v>
      </c>
      <c r="P404" s="2539" t="e">
        <v>#N/A</v>
      </c>
      <c r="Q404" s="3336"/>
      <c r="R404" s="3345"/>
      <c r="S404" s="3345"/>
      <c r="T404" s="3346"/>
    </row>
    <row r="405" spans="1:20">
      <c r="A405" s="2765">
        <v>2026.12</v>
      </c>
      <c r="B405" s="2591" t="e">
        <v>#N/A</v>
      </c>
      <c r="C405" s="3338" t="e">
        <v>#N/A</v>
      </c>
      <c r="D405" s="3360" t="e">
        <v>#N/A</v>
      </c>
      <c r="E405" s="3259" t="e">
        <v>#N/A</v>
      </c>
      <c r="F405" s="3338" t="e">
        <v>#N/A</v>
      </c>
      <c r="G405" s="3339" t="e">
        <v>#N/A</v>
      </c>
      <c r="H405" s="2538" t="e">
        <v>#N/A</v>
      </c>
      <c r="I405" s="2539" t="e">
        <v>#N/A</v>
      </c>
      <c r="J405" s="2539" t="e">
        <v>#N/A</v>
      </c>
      <c r="K405" s="2539" t="e">
        <v>#N/A</v>
      </c>
      <c r="L405" s="2539" t="e">
        <v>#N/A</v>
      </c>
      <c r="M405" s="2539" t="e">
        <v>#N/A</v>
      </c>
      <c r="N405" s="3340" t="e">
        <v>#N/A</v>
      </c>
      <c r="O405" s="2539" t="e">
        <v>#N/A</v>
      </c>
      <c r="P405" s="2539" t="e">
        <v>#N/A</v>
      </c>
      <c r="Q405" s="3336"/>
      <c r="R405" s="3345"/>
      <c r="S405" s="3345"/>
      <c r="T405" s="3346"/>
    </row>
    <row r="406" spans="1:20">
      <c r="A406" s="2765">
        <v>2027.01</v>
      </c>
      <c r="B406" s="2591" t="e">
        <v>#N/A</v>
      </c>
      <c r="C406" s="3338" t="e">
        <v>#N/A</v>
      </c>
      <c r="D406" s="3360" t="e">
        <v>#N/A</v>
      </c>
      <c r="E406" s="3259" t="e">
        <v>#N/A</v>
      </c>
      <c r="F406" s="3338" t="e">
        <v>#N/A</v>
      </c>
      <c r="G406" s="3339" t="e">
        <v>#N/A</v>
      </c>
      <c r="H406" s="2538" t="e">
        <v>#N/A</v>
      </c>
      <c r="I406" s="2539" t="e">
        <v>#N/A</v>
      </c>
      <c r="J406" s="2539" t="e">
        <v>#N/A</v>
      </c>
      <c r="K406" s="2539" t="e">
        <v>#N/A</v>
      </c>
      <c r="L406" s="2539" t="e">
        <v>#N/A</v>
      </c>
      <c r="M406" s="2539" t="e">
        <v>#N/A</v>
      </c>
      <c r="N406" s="3340" t="e">
        <v>#N/A</v>
      </c>
      <c r="O406" s="2539" t="e">
        <v>#N/A</v>
      </c>
      <c r="P406" s="2539" t="e">
        <v>#N/A</v>
      </c>
      <c r="Q406" s="3336"/>
      <c r="R406" s="3345"/>
      <c r="S406" s="3345"/>
      <c r="T406" s="3346"/>
    </row>
    <row r="407" spans="1:20">
      <c r="A407" s="2765">
        <v>2027.02</v>
      </c>
      <c r="B407" s="2591" t="e">
        <v>#N/A</v>
      </c>
      <c r="C407" s="3338" t="e">
        <v>#N/A</v>
      </c>
      <c r="D407" s="3360" t="e">
        <v>#N/A</v>
      </c>
      <c r="E407" s="3259" t="e">
        <v>#N/A</v>
      </c>
      <c r="F407" s="3338" t="e">
        <v>#N/A</v>
      </c>
      <c r="G407" s="3339" t="e">
        <v>#N/A</v>
      </c>
      <c r="H407" s="2538" t="e">
        <v>#N/A</v>
      </c>
      <c r="I407" s="2539" t="e">
        <v>#N/A</v>
      </c>
      <c r="J407" s="2539" t="e">
        <v>#N/A</v>
      </c>
      <c r="K407" s="2539" t="e">
        <v>#N/A</v>
      </c>
      <c r="L407" s="2539" t="e">
        <v>#N/A</v>
      </c>
      <c r="M407" s="2539" t="e">
        <v>#N/A</v>
      </c>
      <c r="N407" s="3340" t="e">
        <v>#N/A</v>
      </c>
      <c r="O407" s="2539" t="e">
        <v>#N/A</v>
      </c>
      <c r="P407" s="2539" t="e">
        <v>#N/A</v>
      </c>
      <c r="Q407" s="3336"/>
      <c r="R407" s="3345"/>
      <c r="S407" s="3345"/>
      <c r="T407" s="3346"/>
    </row>
    <row r="408" spans="1:20">
      <c r="A408" s="2765">
        <v>2027.03</v>
      </c>
      <c r="B408" s="2591" t="e">
        <v>#N/A</v>
      </c>
      <c r="C408" s="3338" t="e">
        <v>#N/A</v>
      </c>
      <c r="D408" s="3360" t="e">
        <v>#N/A</v>
      </c>
      <c r="E408" s="3259" t="e">
        <v>#N/A</v>
      </c>
      <c r="F408" s="3338" t="e">
        <v>#N/A</v>
      </c>
      <c r="G408" s="3339" t="e">
        <v>#N/A</v>
      </c>
      <c r="H408" s="2538" t="e">
        <v>#N/A</v>
      </c>
      <c r="I408" s="2539" t="e">
        <v>#N/A</v>
      </c>
      <c r="J408" s="2539" t="e">
        <v>#N/A</v>
      </c>
      <c r="K408" s="2539" t="e">
        <v>#N/A</v>
      </c>
      <c r="L408" s="2539" t="e">
        <v>#N/A</v>
      </c>
      <c r="M408" s="2539" t="e">
        <v>#N/A</v>
      </c>
      <c r="N408" s="3340" t="e">
        <v>#N/A</v>
      </c>
      <c r="O408" s="2539" t="e">
        <v>#N/A</v>
      </c>
      <c r="P408" s="2539" t="e">
        <v>#N/A</v>
      </c>
      <c r="Q408" s="3336"/>
      <c r="R408" s="3345"/>
      <c r="S408" s="3345"/>
      <c r="T408" s="3346"/>
    </row>
    <row r="409" spans="1:20">
      <c r="A409" s="2765">
        <v>2027.04</v>
      </c>
      <c r="B409" s="2591" t="e">
        <v>#N/A</v>
      </c>
      <c r="C409" s="3338" t="e">
        <v>#N/A</v>
      </c>
      <c r="D409" s="3360" t="e">
        <v>#N/A</v>
      </c>
      <c r="E409" s="3259" t="e">
        <v>#N/A</v>
      </c>
      <c r="F409" s="3338" t="e">
        <v>#N/A</v>
      </c>
      <c r="G409" s="3339" t="e">
        <v>#N/A</v>
      </c>
      <c r="H409" s="2538" t="e">
        <v>#N/A</v>
      </c>
      <c r="I409" s="2539" t="e">
        <v>#N/A</v>
      </c>
      <c r="J409" s="2539" t="e">
        <v>#N/A</v>
      </c>
      <c r="K409" s="2539" t="e">
        <v>#N/A</v>
      </c>
      <c r="L409" s="2539" t="e">
        <v>#N/A</v>
      </c>
      <c r="M409" s="2539" t="e">
        <v>#N/A</v>
      </c>
      <c r="N409" s="3340" t="e">
        <v>#N/A</v>
      </c>
      <c r="O409" s="2539" t="e">
        <v>#N/A</v>
      </c>
      <c r="P409" s="2539" t="e">
        <v>#N/A</v>
      </c>
      <c r="Q409" s="3336"/>
      <c r="R409" s="3345"/>
      <c r="S409" s="3345"/>
      <c r="T409" s="3346"/>
    </row>
    <row r="410" spans="1:20">
      <c r="A410" s="2765">
        <v>2027.05</v>
      </c>
      <c r="B410" s="2591" t="e">
        <v>#N/A</v>
      </c>
      <c r="C410" s="3338" t="e">
        <v>#N/A</v>
      </c>
      <c r="D410" s="3360" t="e">
        <v>#N/A</v>
      </c>
      <c r="E410" s="3259" t="e">
        <v>#N/A</v>
      </c>
      <c r="F410" s="3338" t="e">
        <v>#N/A</v>
      </c>
      <c r="G410" s="3339" t="e">
        <v>#N/A</v>
      </c>
      <c r="H410" s="2538" t="e">
        <v>#N/A</v>
      </c>
      <c r="I410" s="2539" t="e">
        <v>#N/A</v>
      </c>
      <c r="J410" s="2539" t="e">
        <v>#N/A</v>
      </c>
      <c r="K410" s="2539" t="e">
        <v>#N/A</v>
      </c>
      <c r="L410" s="2539" t="e">
        <v>#N/A</v>
      </c>
      <c r="M410" s="2539" t="e">
        <v>#N/A</v>
      </c>
      <c r="N410" s="3340" t="e">
        <v>#N/A</v>
      </c>
      <c r="O410" s="2539" t="e">
        <v>#N/A</v>
      </c>
      <c r="P410" s="2539" t="e">
        <v>#N/A</v>
      </c>
      <c r="Q410" s="3336"/>
      <c r="R410" s="3345"/>
      <c r="S410" s="3345"/>
      <c r="T410" s="3346"/>
    </row>
    <row r="411" spans="1:20">
      <c r="A411" s="2765">
        <v>2027.06</v>
      </c>
      <c r="B411" s="2591" t="e">
        <v>#N/A</v>
      </c>
      <c r="C411" s="3338" t="e">
        <v>#N/A</v>
      </c>
      <c r="D411" s="3360" t="e">
        <v>#N/A</v>
      </c>
      <c r="E411" s="3259" t="e">
        <v>#N/A</v>
      </c>
      <c r="F411" s="3338" t="e">
        <v>#N/A</v>
      </c>
      <c r="G411" s="3339" t="e">
        <v>#N/A</v>
      </c>
      <c r="H411" s="2538" t="e">
        <v>#N/A</v>
      </c>
      <c r="I411" s="2539" t="e">
        <v>#N/A</v>
      </c>
      <c r="J411" s="2539" t="e">
        <v>#N/A</v>
      </c>
      <c r="K411" s="2539" t="e">
        <v>#N/A</v>
      </c>
      <c r="L411" s="2539" t="e">
        <v>#N/A</v>
      </c>
      <c r="M411" s="2539" t="e">
        <v>#N/A</v>
      </c>
      <c r="N411" s="3340" t="e">
        <v>#N/A</v>
      </c>
      <c r="O411" s="2539" t="e">
        <v>#N/A</v>
      </c>
      <c r="P411" s="2539" t="e">
        <v>#N/A</v>
      </c>
      <c r="Q411" s="3336"/>
      <c r="R411" s="3345"/>
      <c r="S411" s="3345"/>
      <c r="T411" s="3346"/>
    </row>
    <row r="412" spans="1:20">
      <c r="A412" s="2765">
        <v>2027.07</v>
      </c>
      <c r="B412" s="2591" t="e">
        <v>#N/A</v>
      </c>
      <c r="C412" s="3338" t="e">
        <v>#N/A</v>
      </c>
      <c r="D412" s="3360" t="e">
        <v>#N/A</v>
      </c>
      <c r="E412" s="3259" t="e">
        <v>#N/A</v>
      </c>
      <c r="F412" s="3338" t="e">
        <v>#N/A</v>
      </c>
      <c r="G412" s="3339" t="e">
        <v>#N/A</v>
      </c>
      <c r="H412" s="2538" t="e">
        <v>#N/A</v>
      </c>
      <c r="I412" s="2539" t="e">
        <v>#N/A</v>
      </c>
      <c r="J412" s="2539" t="e">
        <v>#N/A</v>
      </c>
      <c r="K412" s="2539" t="e">
        <v>#N/A</v>
      </c>
      <c r="L412" s="2539" t="e">
        <v>#N/A</v>
      </c>
      <c r="M412" s="2539" t="e">
        <v>#N/A</v>
      </c>
      <c r="N412" s="3340" t="e">
        <v>#N/A</v>
      </c>
      <c r="O412" s="2539" t="e">
        <v>#N/A</v>
      </c>
      <c r="P412" s="2539" t="e">
        <v>#N/A</v>
      </c>
      <c r="Q412" s="3336"/>
      <c r="R412" s="3345"/>
      <c r="S412" s="3345"/>
      <c r="T412" s="3346"/>
    </row>
    <row r="413" spans="1:20">
      <c r="A413" s="2765">
        <v>2027.08</v>
      </c>
      <c r="B413" s="2591" t="e">
        <v>#N/A</v>
      </c>
      <c r="C413" s="3338" t="e">
        <v>#N/A</v>
      </c>
      <c r="D413" s="3360" t="e">
        <v>#N/A</v>
      </c>
      <c r="E413" s="3259" t="e">
        <v>#N/A</v>
      </c>
      <c r="F413" s="3338" t="e">
        <v>#N/A</v>
      </c>
      <c r="G413" s="3339" t="e">
        <v>#N/A</v>
      </c>
      <c r="H413" s="2538" t="e">
        <v>#N/A</v>
      </c>
      <c r="I413" s="2539" t="e">
        <v>#N/A</v>
      </c>
      <c r="J413" s="2539" t="e">
        <v>#N/A</v>
      </c>
      <c r="K413" s="2539" t="e">
        <v>#N/A</v>
      </c>
      <c r="L413" s="2539" t="e">
        <v>#N/A</v>
      </c>
      <c r="M413" s="2539" t="e">
        <v>#N/A</v>
      </c>
      <c r="N413" s="3340" t="e">
        <v>#N/A</v>
      </c>
      <c r="O413" s="2539" t="e">
        <v>#N/A</v>
      </c>
      <c r="P413" s="2539" t="e">
        <v>#N/A</v>
      </c>
      <c r="Q413" s="3336"/>
      <c r="R413" s="3345"/>
      <c r="S413" s="3345"/>
      <c r="T413" s="3346"/>
    </row>
    <row r="414" spans="1:20">
      <c r="A414" s="2765">
        <v>2027.09</v>
      </c>
      <c r="B414" s="2591" t="e">
        <v>#N/A</v>
      </c>
      <c r="C414" s="3338" t="e">
        <v>#N/A</v>
      </c>
      <c r="D414" s="3360" t="e">
        <v>#N/A</v>
      </c>
      <c r="E414" s="3259" t="e">
        <v>#N/A</v>
      </c>
      <c r="F414" s="3338" t="e">
        <v>#N/A</v>
      </c>
      <c r="G414" s="3339" t="e">
        <v>#N/A</v>
      </c>
      <c r="H414" s="2538" t="e">
        <v>#N/A</v>
      </c>
      <c r="I414" s="2539" t="e">
        <v>#N/A</v>
      </c>
      <c r="J414" s="2539" t="e">
        <v>#N/A</v>
      </c>
      <c r="K414" s="2539" t="e">
        <v>#N/A</v>
      </c>
      <c r="L414" s="2539" t="e">
        <v>#N/A</v>
      </c>
      <c r="M414" s="2539" t="e">
        <v>#N/A</v>
      </c>
      <c r="N414" s="3340" t="e">
        <v>#N/A</v>
      </c>
      <c r="O414" s="2539" t="e">
        <v>#N/A</v>
      </c>
      <c r="P414" s="2539" t="e">
        <v>#N/A</v>
      </c>
      <c r="Q414" s="3336"/>
      <c r="R414" s="3345"/>
      <c r="S414" s="3345"/>
      <c r="T414" s="3346"/>
    </row>
    <row r="415" spans="1:20">
      <c r="A415" s="2765">
        <v>2027.1</v>
      </c>
      <c r="B415" s="2591" t="e">
        <v>#N/A</v>
      </c>
      <c r="C415" s="3338" t="e">
        <v>#N/A</v>
      </c>
      <c r="D415" s="3360" t="e">
        <v>#N/A</v>
      </c>
      <c r="E415" s="3259" t="e">
        <v>#N/A</v>
      </c>
      <c r="F415" s="3338" t="e">
        <v>#N/A</v>
      </c>
      <c r="G415" s="3339" t="e">
        <v>#N/A</v>
      </c>
      <c r="H415" s="2538" t="e">
        <v>#N/A</v>
      </c>
      <c r="I415" s="2539" t="e">
        <v>#N/A</v>
      </c>
      <c r="J415" s="2539" t="e">
        <v>#N/A</v>
      </c>
      <c r="K415" s="2539" t="e">
        <v>#N/A</v>
      </c>
      <c r="L415" s="2539" t="e">
        <v>#N/A</v>
      </c>
      <c r="M415" s="2539" t="e">
        <v>#N/A</v>
      </c>
      <c r="N415" s="3340" t="e">
        <v>#N/A</v>
      </c>
      <c r="O415" s="2539" t="e">
        <v>#N/A</v>
      </c>
      <c r="P415" s="2539" t="e">
        <v>#N/A</v>
      </c>
      <c r="Q415" s="3336"/>
      <c r="R415" s="3345"/>
      <c r="S415" s="3345"/>
      <c r="T415" s="3346"/>
    </row>
    <row r="416" spans="1:20">
      <c r="A416" s="2765">
        <v>2027.11</v>
      </c>
      <c r="B416" s="2591" t="e">
        <v>#N/A</v>
      </c>
      <c r="C416" s="3338" t="e">
        <v>#N/A</v>
      </c>
      <c r="D416" s="3360" t="e">
        <v>#N/A</v>
      </c>
      <c r="E416" s="3259" t="e">
        <v>#N/A</v>
      </c>
      <c r="F416" s="3338" t="e">
        <v>#N/A</v>
      </c>
      <c r="G416" s="3339" t="e">
        <v>#N/A</v>
      </c>
      <c r="H416" s="2538" t="e">
        <v>#N/A</v>
      </c>
      <c r="I416" s="2539" t="e">
        <v>#N/A</v>
      </c>
      <c r="J416" s="2539" t="e">
        <v>#N/A</v>
      </c>
      <c r="K416" s="2539" t="e">
        <v>#N/A</v>
      </c>
      <c r="L416" s="2539" t="e">
        <v>#N/A</v>
      </c>
      <c r="M416" s="2539" t="e">
        <v>#N/A</v>
      </c>
      <c r="N416" s="3340" t="e">
        <v>#N/A</v>
      </c>
      <c r="O416" s="2539" t="e">
        <v>#N/A</v>
      </c>
      <c r="P416" s="2539" t="e">
        <v>#N/A</v>
      </c>
      <c r="Q416" s="3336"/>
      <c r="R416" s="3345"/>
      <c r="S416" s="3345"/>
      <c r="T416" s="3346"/>
    </row>
    <row r="417" spans="1:20">
      <c r="A417" s="2765">
        <v>2027.12</v>
      </c>
      <c r="B417" s="2591" t="e">
        <v>#N/A</v>
      </c>
      <c r="C417" s="3338" t="e">
        <v>#N/A</v>
      </c>
      <c r="D417" s="3360" t="e">
        <v>#N/A</v>
      </c>
      <c r="E417" s="3259" t="e">
        <v>#N/A</v>
      </c>
      <c r="F417" s="3338" t="e">
        <v>#N/A</v>
      </c>
      <c r="G417" s="3339" t="e">
        <v>#N/A</v>
      </c>
      <c r="H417" s="2538" t="e">
        <v>#N/A</v>
      </c>
      <c r="I417" s="2539" t="e">
        <v>#N/A</v>
      </c>
      <c r="J417" s="2539" t="e">
        <v>#N/A</v>
      </c>
      <c r="K417" s="2539" t="e">
        <v>#N/A</v>
      </c>
      <c r="L417" s="2539" t="e">
        <v>#N/A</v>
      </c>
      <c r="M417" s="2539" t="e">
        <v>#N/A</v>
      </c>
      <c r="N417" s="3340" t="e">
        <v>#N/A</v>
      </c>
      <c r="O417" s="2539" t="e">
        <v>#N/A</v>
      </c>
      <c r="P417" s="2539" t="e">
        <v>#N/A</v>
      </c>
      <c r="Q417" s="3336"/>
      <c r="R417" s="3345"/>
      <c r="S417" s="3345"/>
      <c r="T417" s="3346"/>
    </row>
    <row r="418" spans="1:20">
      <c r="A418" s="2765">
        <v>2028.01</v>
      </c>
      <c r="B418" s="2591" t="e">
        <v>#N/A</v>
      </c>
      <c r="C418" s="3338" t="e">
        <v>#N/A</v>
      </c>
      <c r="D418" s="3360" t="e">
        <v>#N/A</v>
      </c>
      <c r="E418" s="3259" t="e">
        <v>#N/A</v>
      </c>
      <c r="F418" s="3338" t="e">
        <v>#N/A</v>
      </c>
      <c r="G418" s="3339" t="e">
        <v>#N/A</v>
      </c>
      <c r="H418" s="2538" t="e">
        <v>#N/A</v>
      </c>
      <c r="I418" s="2539" t="e">
        <v>#N/A</v>
      </c>
      <c r="J418" s="2539" t="e">
        <v>#N/A</v>
      </c>
      <c r="K418" s="2539" t="e">
        <v>#N/A</v>
      </c>
      <c r="L418" s="2539" t="e">
        <v>#N/A</v>
      </c>
      <c r="M418" s="2539" t="e">
        <v>#N/A</v>
      </c>
      <c r="N418" s="3340" t="e">
        <v>#N/A</v>
      </c>
      <c r="O418" s="2539" t="e">
        <v>#N/A</v>
      </c>
      <c r="P418" s="2539" t="e">
        <v>#N/A</v>
      </c>
      <c r="Q418" s="3336"/>
      <c r="R418" s="3345"/>
      <c r="S418" s="3345"/>
      <c r="T418" s="3346"/>
    </row>
    <row r="419" spans="1:20">
      <c r="A419" s="2765">
        <v>2028.02</v>
      </c>
      <c r="B419" s="2591" t="e">
        <v>#N/A</v>
      </c>
      <c r="C419" s="3338" t="e">
        <v>#N/A</v>
      </c>
      <c r="D419" s="3360" t="e">
        <v>#N/A</v>
      </c>
      <c r="E419" s="3259" t="e">
        <v>#N/A</v>
      </c>
      <c r="F419" s="3338" t="e">
        <v>#N/A</v>
      </c>
      <c r="G419" s="3339" t="e">
        <v>#N/A</v>
      </c>
      <c r="H419" s="2538" t="e">
        <v>#N/A</v>
      </c>
      <c r="I419" s="2539" t="e">
        <v>#N/A</v>
      </c>
      <c r="J419" s="2539" t="e">
        <v>#N/A</v>
      </c>
      <c r="K419" s="2539" t="e">
        <v>#N/A</v>
      </c>
      <c r="L419" s="2539" t="e">
        <v>#N/A</v>
      </c>
      <c r="M419" s="2539" t="e">
        <v>#N/A</v>
      </c>
      <c r="N419" s="3340" t="e">
        <v>#N/A</v>
      </c>
      <c r="O419" s="2539" t="e">
        <v>#N/A</v>
      </c>
      <c r="P419" s="2539" t="e">
        <v>#N/A</v>
      </c>
      <c r="Q419" s="3336"/>
      <c r="R419" s="3345"/>
      <c r="S419" s="3345"/>
      <c r="T419" s="3346"/>
    </row>
    <row r="420" spans="1:20">
      <c r="A420" s="2765">
        <v>2028.03</v>
      </c>
      <c r="B420" s="2591" t="e">
        <v>#N/A</v>
      </c>
      <c r="C420" s="3338" t="e">
        <v>#N/A</v>
      </c>
      <c r="D420" s="3360" t="e">
        <v>#N/A</v>
      </c>
      <c r="E420" s="3259" t="e">
        <v>#N/A</v>
      </c>
      <c r="F420" s="3338" t="e">
        <v>#N/A</v>
      </c>
      <c r="G420" s="3339" t="e">
        <v>#N/A</v>
      </c>
      <c r="H420" s="2538" t="e">
        <v>#N/A</v>
      </c>
      <c r="I420" s="2539" t="e">
        <v>#N/A</v>
      </c>
      <c r="J420" s="2539" t="e">
        <v>#N/A</v>
      </c>
      <c r="K420" s="2539" t="e">
        <v>#N/A</v>
      </c>
      <c r="L420" s="2539" t="e">
        <v>#N/A</v>
      </c>
      <c r="M420" s="2539" t="e">
        <v>#N/A</v>
      </c>
      <c r="N420" s="3340" t="e">
        <v>#N/A</v>
      </c>
      <c r="O420" s="2539" t="e">
        <v>#N/A</v>
      </c>
      <c r="P420" s="2539" t="e">
        <v>#N/A</v>
      </c>
      <c r="Q420" s="3336"/>
      <c r="R420" s="3345"/>
      <c r="S420" s="3345"/>
      <c r="T420" s="3346"/>
    </row>
    <row r="421" spans="1:20">
      <c r="A421" s="2765">
        <v>2028.04</v>
      </c>
      <c r="B421" s="2591" t="e">
        <v>#N/A</v>
      </c>
      <c r="C421" s="3338" t="e">
        <v>#N/A</v>
      </c>
      <c r="D421" s="3360" t="e">
        <v>#N/A</v>
      </c>
      <c r="E421" s="3259" t="e">
        <v>#N/A</v>
      </c>
      <c r="F421" s="3338" t="e">
        <v>#N/A</v>
      </c>
      <c r="G421" s="3339" t="e">
        <v>#N/A</v>
      </c>
      <c r="H421" s="2538" t="e">
        <v>#N/A</v>
      </c>
      <c r="I421" s="2539" t="e">
        <v>#N/A</v>
      </c>
      <c r="J421" s="2539" t="e">
        <v>#N/A</v>
      </c>
      <c r="K421" s="2539" t="e">
        <v>#N/A</v>
      </c>
      <c r="L421" s="2539" t="e">
        <v>#N/A</v>
      </c>
      <c r="M421" s="2539" t="e">
        <v>#N/A</v>
      </c>
      <c r="N421" s="3340" t="e">
        <v>#N/A</v>
      </c>
      <c r="O421" s="2539" t="e">
        <v>#N/A</v>
      </c>
      <c r="P421" s="2539" t="e">
        <v>#N/A</v>
      </c>
      <c r="Q421" s="3336"/>
      <c r="R421" s="3345"/>
      <c r="S421" s="3345"/>
      <c r="T421" s="3346"/>
    </row>
    <row r="422" spans="1:20">
      <c r="A422" s="2765">
        <v>2028.05</v>
      </c>
      <c r="B422" s="2591" t="e">
        <v>#N/A</v>
      </c>
      <c r="C422" s="3338" t="e">
        <v>#N/A</v>
      </c>
      <c r="D422" s="3360" t="e">
        <v>#N/A</v>
      </c>
      <c r="E422" s="3259" t="e">
        <v>#N/A</v>
      </c>
      <c r="F422" s="3338" t="e">
        <v>#N/A</v>
      </c>
      <c r="G422" s="3339" t="e">
        <v>#N/A</v>
      </c>
      <c r="H422" s="2538" t="e">
        <v>#N/A</v>
      </c>
      <c r="I422" s="2539" t="e">
        <v>#N/A</v>
      </c>
      <c r="J422" s="2539" t="e">
        <v>#N/A</v>
      </c>
      <c r="K422" s="2539" t="e">
        <v>#N/A</v>
      </c>
      <c r="L422" s="2539" t="e">
        <v>#N/A</v>
      </c>
      <c r="M422" s="2539" t="e">
        <v>#N/A</v>
      </c>
      <c r="N422" s="3340" t="e">
        <v>#N/A</v>
      </c>
      <c r="O422" s="2539" t="e">
        <v>#N/A</v>
      </c>
      <c r="P422" s="2539" t="e">
        <v>#N/A</v>
      </c>
      <c r="Q422" s="3336"/>
      <c r="R422" s="3345"/>
      <c r="S422" s="3345"/>
      <c r="T422" s="3346"/>
    </row>
    <row r="423" spans="1:20">
      <c r="A423" s="2765">
        <v>2028.06</v>
      </c>
      <c r="B423" s="2591" t="e">
        <v>#N/A</v>
      </c>
      <c r="C423" s="3338" t="e">
        <v>#N/A</v>
      </c>
      <c r="D423" s="3360" t="e">
        <v>#N/A</v>
      </c>
      <c r="E423" s="3259" t="e">
        <v>#N/A</v>
      </c>
      <c r="F423" s="3338" t="e">
        <v>#N/A</v>
      </c>
      <c r="G423" s="3339" t="e">
        <v>#N/A</v>
      </c>
      <c r="H423" s="2538" t="e">
        <v>#N/A</v>
      </c>
      <c r="I423" s="2539" t="e">
        <v>#N/A</v>
      </c>
      <c r="J423" s="2539" t="e">
        <v>#N/A</v>
      </c>
      <c r="K423" s="2539" t="e">
        <v>#N/A</v>
      </c>
      <c r="L423" s="2539" t="e">
        <v>#N/A</v>
      </c>
      <c r="M423" s="2539" t="e">
        <v>#N/A</v>
      </c>
      <c r="N423" s="3340" t="e">
        <v>#N/A</v>
      </c>
      <c r="O423" s="2539" t="e">
        <v>#N/A</v>
      </c>
      <c r="P423" s="2539" t="e">
        <v>#N/A</v>
      </c>
      <c r="Q423" s="3336"/>
      <c r="R423" s="3345"/>
      <c r="S423" s="3345"/>
      <c r="T423" s="3346"/>
    </row>
    <row r="424" spans="1:20">
      <c r="A424" s="2765">
        <v>2028.07</v>
      </c>
      <c r="B424" s="2591" t="e">
        <v>#N/A</v>
      </c>
      <c r="C424" s="3338" t="e">
        <v>#N/A</v>
      </c>
      <c r="D424" s="3360" t="e">
        <v>#N/A</v>
      </c>
      <c r="E424" s="3259" t="e">
        <v>#N/A</v>
      </c>
      <c r="F424" s="3338" t="e">
        <v>#N/A</v>
      </c>
      <c r="G424" s="3339" t="e">
        <v>#N/A</v>
      </c>
      <c r="H424" s="2538" t="e">
        <v>#N/A</v>
      </c>
      <c r="I424" s="2539" t="e">
        <v>#N/A</v>
      </c>
      <c r="J424" s="2539" t="e">
        <v>#N/A</v>
      </c>
      <c r="K424" s="2539" t="e">
        <v>#N/A</v>
      </c>
      <c r="L424" s="2539" t="e">
        <v>#N/A</v>
      </c>
      <c r="M424" s="2539" t="e">
        <v>#N/A</v>
      </c>
      <c r="N424" s="3340" t="e">
        <v>#N/A</v>
      </c>
      <c r="O424" s="2539" t="e">
        <v>#N/A</v>
      </c>
      <c r="P424" s="2539" t="e">
        <v>#N/A</v>
      </c>
      <c r="Q424" s="3336"/>
      <c r="R424" s="3345"/>
      <c r="S424" s="3345"/>
      <c r="T424" s="3346"/>
    </row>
    <row r="425" spans="1:20">
      <c r="A425" s="2765">
        <v>2028.08</v>
      </c>
      <c r="B425" s="2591" t="e">
        <v>#N/A</v>
      </c>
      <c r="C425" s="3338" t="e">
        <v>#N/A</v>
      </c>
      <c r="D425" s="3360" t="e">
        <v>#N/A</v>
      </c>
      <c r="E425" s="3259" t="e">
        <v>#N/A</v>
      </c>
      <c r="F425" s="3338" t="e">
        <v>#N/A</v>
      </c>
      <c r="G425" s="3339" t="e">
        <v>#N/A</v>
      </c>
      <c r="H425" s="2538" t="e">
        <v>#N/A</v>
      </c>
      <c r="I425" s="2539" t="e">
        <v>#N/A</v>
      </c>
      <c r="J425" s="2539" t="e">
        <v>#N/A</v>
      </c>
      <c r="K425" s="2539" t="e">
        <v>#N/A</v>
      </c>
      <c r="L425" s="2539" t="e">
        <v>#N/A</v>
      </c>
      <c r="M425" s="2539" t="e">
        <v>#N/A</v>
      </c>
      <c r="N425" s="3340" t="e">
        <v>#N/A</v>
      </c>
      <c r="O425" s="2539" t="e">
        <v>#N/A</v>
      </c>
      <c r="P425" s="2539" t="e">
        <v>#N/A</v>
      </c>
      <c r="Q425" s="3336"/>
      <c r="R425" s="3345"/>
      <c r="S425" s="3345"/>
      <c r="T425" s="3346"/>
    </row>
    <row r="426" spans="1:20">
      <c r="A426" s="2765">
        <v>2028.09</v>
      </c>
      <c r="B426" s="2591" t="e">
        <v>#N/A</v>
      </c>
      <c r="C426" s="3338" t="e">
        <v>#N/A</v>
      </c>
      <c r="D426" s="3360" t="e">
        <v>#N/A</v>
      </c>
      <c r="E426" s="3259" t="e">
        <v>#N/A</v>
      </c>
      <c r="F426" s="3338" t="e">
        <v>#N/A</v>
      </c>
      <c r="G426" s="3339" t="e">
        <v>#N/A</v>
      </c>
      <c r="H426" s="2538" t="e">
        <v>#N/A</v>
      </c>
      <c r="I426" s="2539" t="e">
        <v>#N/A</v>
      </c>
      <c r="J426" s="2539" t="e">
        <v>#N/A</v>
      </c>
      <c r="K426" s="2539" t="e">
        <v>#N/A</v>
      </c>
      <c r="L426" s="2539" t="e">
        <v>#N/A</v>
      </c>
      <c r="M426" s="2539" t="e">
        <v>#N/A</v>
      </c>
      <c r="N426" s="3340" t="e">
        <v>#N/A</v>
      </c>
      <c r="O426" s="2539" t="e">
        <v>#N/A</v>
      </c>
      <c r="P426" s="2539" t="e">
        <v>#N/A</v>
      </c>
      <c r="Q426" s="3336"/>
      <c r="R426" s="3345"/>
      <c r="S426" s="3345"/>
      <c r="T426" s="3346"/>
    </row>
    <row r="427" spans="1:20">
      <c r="A427" s="2765">
        <v>2028.1</v>
      </c>
      <c r="B427" s="2591" t="e">
        <v>#N/A</v>
      </c>
      <c r="C427" s="3338" t="e">
        <v>#N/A</v>
      </c>
      <c r="D427" s="3360" t="e">
        <v>#N/A</v>
      </c>
      <c r="E427" s="3259" t="e">
        <v>#N/A</v>
      </c>
      <c r="F427" s="3338" t="e">
        <v>#N/A</v>
      </c>
      <c r="G427" s="3339" t="e">
        <v>#N/A</v>
      </c>
      <c r="H427" s="2538" t="e">
        <v>#N/A</v>
      </c>
      <c r="I427" s="2539" t="e">
        <v>#N/A</v>
      </c>
      <c r="J427" s="2539" t="e">
        <v>#N/A</v>
      </c>
      <c r="K427" s="2539" t="e">
        <v>#N/A</v>
      </c>
      <c r="L427" s="2539" t="e">
        <v>#N/A</v>
      </c>
      <c r="M427" s="2539" t="e">
        <v>#N/A</v>
      </c>
      <c r="N427" s="3340" t="e">
        <v>#N/A</v>
      </c>
      <c r="O427" s="2539" t="e">
        <v>#N/A</v>
      </c>
      <c r="P427" s="2539" t="e">
        <v>#N/A</v>
      </c>
      <c r="Q427" s="3336"/>
      <c r="R427" s="3345"/>
      <c r="S427" s="3345"/>
      <c r="T427" s="3346"/>
    </row>
    <row r="428" spans="1:20">
      <c r="A428" s="2765">
        <v>2028.11</v>
      </c>
      <c r="B428" s="2591" t="e">
        <v>#N/A</v>
      </c>
      <c r="C428" s="3338" t="e">
        <v>#N/A</v>
      </c>
      <c r="D428" s="3360" t="e">
        <v>#N/A</v>
      </c>
      <c r="E428" s="3259" t="e">
        <v>#N/A</v>
      </c>
      <c r="F428" s="3338" t="e">
        <v>#N/A</v>
      </c>
      <c r="G428" s="3339" t="e">
        <v>#N/A</v>
      </c>
      <c r="H428" s="2538" t="e">
        <v>#N/A</v>
      </c>
      <c r="I428" s="2539" t="e">
        <v>#N/A</v>
      </c>
      <c r="J428" s="2539" t="e">
        <v>#N/A</v>
      </c>
      <c r="K428" s="2539" t="e">
        <v>#N/A</v>
      </c>
      <c r="L428" s="2539" t="e">
        <v>#N/A</v>
      </c>
      <c r="M428" s="2539" t="e">
        <v>#N/A</v>
      </c>
      <c r="N428" s="3340" t="e">
        <v>#N/A</v>
      </c>
      <c r="O428" s="2539" t="e">
        <v>#N/A</v>
      </c>
      <c r="P428" s="2539" t="e">
        <v>#N/A</v>
      </c>
      <c r="Q428" s="3336"/>
      <c r="R428" s="3345"/>
      <c r="S428" s="3345"/>
      <c r="T428" s="3346"/>
    </row>
    <row r="429" spans="1:20">
      <c r="A429" s="2765">
        <v>2028.12</v>
      </c>
      <c r="B429" s="2591" t="e">
        <v>#N/A</v>
      </c>
      <c r="C429" s="3338" t="e">
        <v>#N/A</v>
      </c>
      <c r="D429" s="3360" t="e">
        <v>#N/A</v>
      </c>
      <c r="E429" s="3259" t="e">
        <v>#N/A</v>
      </c>
      <c r="F429" s="3338" t="e">
        <v>#N/A</v>
      </c>
      <c r="G429" s="3339" t="e">
        <v>#N/A</v>
      </c>
      <c r="H429" s="2538" t="e">
        <v>#N/A</v>
      </c>
      <c r="I429" s="2539" t="e">
        <v>#N/A</v>
      </c>
      <c r="J429" s="2539" t="e">
        <v>#N/A</v>
      </c>
      <c r="K429" s="2539" t="e">
        <v>#N/A</v>
      </c>
      <c r="L429" s="2539" t="e">
        <v>#N/A</v>
      </c>
      <c r="M429" s="2539" t="e">
        <v>#N/A</v>
      </c>
      <c r="N429" s="3340" t="e">
        <v>#N/A</v>
      </c>
      <c r="O429" s="2539" t="e">
        <v>#N/A</v>
      </c>
      <c r="P429" s="2539" t="e">
        <v>#N/A</v>
      </c>
      <c r="Q429" s="3336"/>
      <c r="R429" s="3345"/>
      <c r="S429" s="3345"/>
      <c r="T429" s="3346"/>
    </row>
    <row r="430" spans="1:20">
      <c r="A430" s="2765">
        <v>2029.01</v>
      </c>
      <c r="B430" s="2591" t="e">
        <v>#N/A</v>
      </c>
      <c r="C430" s="3338" t="e">
        <v>#N/A</v>
      </c>
      <c r="D430" s="3360" t="e">
        <v>#N/A</v>
      </c>
      <c r="E430" s="3259" t="e">
        <v>#N/A</v>
      </c>
      <c r="F430" s="3338" t="e">
        <v>#N/A</v>
      </c>
      <c r="G430" s="3339" t="e">
        <v>#N/A</v>
      </c>
      <c r="H430" s="2538" t="e">
        <v>#N/A</v>
      </c>
      <c r="I430" s="2539" t="e">
        <v>#N/A</v>
      </c>
      <c r="J430" s="2539" t="e">
        <v>#N/A</v>
      </c>
      <c r="K430" s="2539" t="e">
        <v>#N/A</v>
      </c>
      <c r="L430" s="2539" t="e">
        <v>#N/A</v>
      </c>
      <c r="M430" s="2539" t="e">
        <v>#N/A</v>
      </c>
      <c r="N430" s="3340" t="e">
        <v>#N/A</v>
      </c>
      <c r="O430" s="2539" t="e">
        <v>#N/A</v>
      </c>
      <c r="P430" s="2539" t="e">
        <v>#N/A</v>
      </c>
      <c r="Q430" s="3336"/>
      <c r="R430" s="3345"/>
      <c r="S430" s="3345"/>
      <c r="T430" s="3346"/>
    </row>
    <row r="431" spans="1:20">
      <c r="A431" s="2765">
        <v>2029.02</v>
      </c>
      <c r="B431" s="2591" t="e">
        <v>#N/A</v>
      </c>
      <c r="C431" s="3338" t="e">
        <v>#N/A</v>
      </c>
      <c r="D431" s="3360" t="e">
        <v>#N/A</v>
      </c>
      <c r="E431" s="3259" t="e">
        <v>#N/A</v>
      </c>
      <c r="F431" s="3338" t="e">
        <v>#N/A</v>
      </c>
      <c r="G431" s="3339" t="e">
        <v>#N/A</v>
      </c>
      <c r="H431" s="2538" t="e">
        <v>#N/A</v>
      </c>
      <c r="I431" s="2539" t="e">
        <v>#N/A</v>
      </c>
      <c r="J431" s="2539" t="e">
        <v>#N/A</v>
      </c>
      <c r="K431" s="2539" t="e">
        <v>#N/A</v>
      </c>
      <c r="L431" s="2539" t="e">
        <v>#N/A</v>
      </c>
      <c r="M431" s="2539" t="e">
        <v>#N/A</v>
      </c>
      <c r="N431" s="3340" t="e">
        <v>#N/A</v>
      </c>
      <c r="O431" s="2539" t="e">
        <v>#N/A</v>
      </c>
      <c r="P431" s="2539" t="e">
        <v>#N/A</v>
      </c>
      <c r="Q431" s="3336"/>
      <c r="R431" s="3345"/>
      <c r="S431" s="3345"/>
      <c r="T431" s="3346"/>
    </row>
    <row r="432" spans="1:20">
      <c r="A432" s="2765">
        <v>2029.03</v>
      </c>
      <c r="B432" s="2591" t="e">
        <v>#N/A</v>
      </c>
      <c r="C432" s="3338" t="e">
        <v>#N/A</v>
      </c>
      <c r="D432" s="3360" t="e">
        <v>#N/A</v>
      </c>
      <c r="E432" s="3259" t="e">
        <v>#N/A</v>
      </c>
      <c r="F432" s="3338" t="e">
        <v>#N/A</v>
      </c>
      <c r="G432" s="3339" t="e">
        <v>#N/A</v>
      </c>
      <c r="H432" s="2538" t="e">
        <v>#N/A</v>
      </c>
      <c r="I432" s="2539" t="e">
        <v>#N/A</v>
      </c>
      <c r="J432" s="2539" t="e">
        <v>#N/A</v>
      </c>
      <c r="K432" s="2539" t="e">
        <v>#N/A</v>
      </c>
      <c r="L432" s="2539" t="e">
        <v>#N/A</v>
      </c>
      <c r="M432" s="2539" t="e">
        <v>#N/A</v>
      </c>
      <c r="N432" s="3340" t="e">
        <v>#N/A</v>
      </c>
      <c r="O432" s="2539" t="e">
        <v>#N/A</v>
      </c>
      <c r="P432" s="2539" t="e">
        <v>#N/A</v>
      </c>
      <c r="Q432" s="3336"/>
      <c r="R432" s="3345"/>
      <c r="S432" s="3345"/>
      <c r="T432" s="3346"/>
    </row>
    <row r="433" spans="1:20">
      <c r="A433" s="2765">
        <v>2029.04</v>
      </c>
      <c r="B433" s="2591" t="e">
        <v>#N/A</v>
      </c>
      <c r="C433" s="3338" t="e">
        <v>#N/A</v>
      </c>
      <c r="D433" s="3360" t="e">
        <v>#N/A</v>
      </c>
      <c r="E433" s="3259" t="e">
        <v>#N/A</v>
      </c>
      <c r="F433" s="3338" t="e">
        <v>#N/A</v>
      </c>
      <c r="G433" s="3339" t="e">
        <v>#N/A</v>
      </c>
      <c r="H433" s="2538" t="e">
        <v>#N/A</v>
      </c>
      <c r="I433" s="2539" t="e">
        <v>#N/A</v>
      </c>
      <c r="J433" s="2539" t="e">
        <v>#N/A</v>
      </c>
      <c r="K433" s="2539" t="e">
        <v>#N/A</v>
      </c>
      <c r="L433" s="2539" t="e">
        <v>#N/A</v>
      </c>
      <c r="M433" s="2539" t="e">
        <v>#N/A</v>
      </c>
      <c r="N433" s="3340" t="e">
        <v>#N/A</v>
      </c>
      <c r="O433" s="2539" t="e">
        <v>#N/A</v>
      </c>
      <c r="P433" s="2539" t="e">
        <v>#N/A</v>
      </c>
      <c r="Q433" s="3336"/>
      <c r="R433" s="3345"/>
      <c r="S433" s="3345"/>
      <c r="T433" s="3346"/>
    </row>
    <row r="434" spans="1:20">
      <c r="A434" s="2765">
        <v>2029.05</v>
      </c>
      <c r="B434" s="2591" t="e">
        <v>#N/A</v>
      </c>
      <c r="C434" s="3338" t="e">
        <v>#N/A</v>
      </c>
      <c r="D434" s="3360" t="e">
        <v>#N/A</v>
      </c>
      <c r="E434" s="3259" t="e">
        <v>#N/A</v>
      </c>
      <c r="F434" s="3338" t="e">
        <v>#N/A</v>
      </c>
      <c r="G434" s="3339" t="e">
        <v>#N/A</v>
      </c>
      <c r="H434" s="2538" t="e">
        <v>#N/A</v>
      </c>
      <c r="I434" s="2539" t="e">
        <v>#N/A</v>
      </c>
      <c r="J434" s="2539" t="e">
        <v>#N/A</v>
      </c>
      <c r="K434" s="2539" t="e">
        <v>#N/A</v>
      </c>
      <c r="L434" s="2539" t="e">
        <v>#N/A</v>
      </c>
      <c r="M434" s="2539" t="e">
        <v>#N/A</v>
      </c>
      <c r="N434" s="3340" t="e">
        <v>#N/A</v>
      </c>
      <c r="O434" s="2539" t="e">
        <v>#N/A</v>
      </c>
      <c r="P434" s="2539" t="e">
        <v>#N/A</v>
      </c>
      <c r="Q434" s="3336"/>
      <c r="R434" s="3345"/>
      <c r="S434" s="3345"/>
      <c r="T434" s="3346"/>
    </row>
    <row r="435" spans="1:20">
      <c r="A435" s="2765">
        <v>2029.06</v>
      </c>
      <c r="B435" s="2591" t="e">
        <v>#N/A</v>
      </c>
      <c r="C435" s="3338" t="e">
        <v>#N/A</v>
      </c>
      <c r="D435" s="3360" t="e">
        <v>#N/A</v>
      </c>
      <c r="E435" s="3259" t="e">
        <v>#N/A</v>
      </c>
      <c r="F435" s="3338" t="e">
        <v>#N/A</v>
      </c>
      <c r="G435" s="3339" t="e">
        <v>#N/A</v>
      </c>
      <c r="H435" s="2538" t="e">
        <v>#N/A</v>
      </c>
      <c r="I435" s="2539" t="e">
        <v>#N/A</v>
      </c>
      <c r="J435" s="2539" t="e">
        <v>#N/A</v>
      </c>
      <c r="K435" s="2539" t="e">
        <v>#N/A</v>
      </c>
      <c r="L435" s="2539" t="e">
        <v>#N/A</v>
      </c>
      <c r="M435" s="2539" t="e">
        <v>#N/A</v>
      </c>
      <c r="N435" s="3340" t="e">
        <v>#N/A</v>
      </c>
      <c r="O435" s="2539" t="e">
        <v>#N/A</v>
      </c>
      <c r="P435" s="2539" t="e">
        <v>#N/A</v>
      </c>
      <c r="Q435" s="3336"/>
      <c r="R435" s="3345"/>
      <c r="S435" s="3345"/>
      <c r="T435" s="3346"/>
    </row>
    <row r="436" spans="1:20">
      <c r="A436" s="2765">
        <v>2029.07</v>
      </c>
      <c r="B436" s="2591" t="e">
        <v>#N/A</v>
      </c>
      <c r="C436" s="3338" t="e">
        <v>#N/A</v>
      </c>
      <c r="D436" s="3360" t="e">
        <v>#N/A</v>
      </c>
      <c r="E436" s="3259" t="e">
        <v>#N/A</v>
      </c>
      <c r="F436" s="3338" t="e">
        <v>#N/A</v>
      </c>
      <c r="G436" s="3339" t="e">
        <v>#N/A</v>
      </c>
      <c r="H436" s="2538" t="e">
        <v>#N/A</v>
      </c>
      <c r="I436" s="2539" t="e">
        <v>#N/A</v>
      </c>
      <c r="J436" s="2539" t="e">
        <v>#N/A</v>
      </c>
      <c r="K436" s="2539" t="e">
        <v>#N/A</v>
      </c>
      <c r="L436" s="2539" t="e">
        <v>#N/A</v>
      </c>
      <c r="M436" s="2539" t="e">
        <v>#N/A</v>
      </c>
      <c r="N436" s="3340" t="e">
        <v>#N/A</v>
      </c>
      <c r="O436" s="2539" t="e">
        <v>#N/A</v>
      </c>
      <c r="P436" s="2539" t="e">
        <v>#N/A</v>
      </c>
      <c r="Q436" s="3336"/>
      <c r="R436" s="3345"/>
      <c r="S436" s="3345"/>
      <c r="T436" s="3346"/>
    </row>
    <row r="437" spans="1:20">
      <c r="A437" s="2765">
        <v>2029.08</v>
      </c>
      <c r="B437" s="2591" t="e">
        <v>#N/A</v>
      </c>
      <c r="C437" s="3338" t="e">
        <v>#N/A</v>
      </c>
      <c r="D437" s="3360" t="e">
        <v>#N/A</v>
      </c>
      <c r="E437" s="3259" t="e">
        <v>#N/A</v>
      </c>
      <c r="F437" s="3338" t="e">
        <v>#N/A</v>
      </c>
      <c r="G437" s="3339" t="e">
        <v>#N/A</v>
      </c>
      <c r="H437" s="2538" t="e">
        <v>#N/A</v>
      </c>
      <c r="I437" s="2539" t="e">
        <v>#N/A</v>
      </c>
      <c r="J437" s="2539" t="e">
        <v>#N/A</v>
      </c>
      <c r="K437" s="2539" t="e">
        <v>#N/A</v>
      </c>
      <c r="L437" s="2539" t="e">
        <v>#N/A</v>
      </c>
      <c r="M437" s="2539" t="e">
        <v>#N/A</v>
      </c>
      <c r="N437" s="3340" t="e">
        <v>#N/A</v>
      </c>
      <c r="O437" s="2539" t="e">
        <v>#N/A</v>
      </c>
      <c r="P437" s="2539" t="e">
        <v>#N/A</v>
      </c>
      <c r="Q437" s="3336"/>
      <c r="R437" s="3345"/>
      <c r="S437" s="3345"/>
      <c r="T437" s="3346"/>
    </row>
    <row r="438" spans="1:20">
      <c r="A438" s="2765">
        <v>2029.09</v>
      </c>
      <c r="B438" s="2591" t="e">
        <v>#N/A</v>
      </c>
      <c r="C438" s="3338" t="e">
        <v>#N/A</v>
      </c>
      <c r="D438" s="3360" t="e">
        <v>#N/A</v>
      </c>
      <c r="E438" s="3259" t="e">
        <v>#N/A</v>
      </c>
      <c r="F438" s="3338" t="e">
        <v>#N/A</v>
      </c>
      <c r="G438" s="3339" t="e">
        <v>#N/A</v>
      </c>
      <c r="H438" s="2538" t="e">
        <v>#N/A</v>
      </c>
      <c r="I438" s="2539" t="e">
        <v>#N/A</v>
      </c>
      <c r="J438" s="2539" t="e">
        <v>#N/A</v>
      </c>
      <c r="K438" s="2539" t="e">
        <v>#N/A</v>
      </c>
      <c r="L438" s="2539" t="e">
        <v>#N/A</v>
      </c>
      <c r="M438" s="2539" t="e">
        <v>#N/A</v>
      </c>
      <c r="N438" s="3340" t="e">
        <v>#N/A</v>
      </c>
      <c r="O438" s="2539" t="e">
        <v>#N/A</v>
      </c>
      <c r="P438" s="2539" t="e">
        <v>#N/A</v>
      </c>
      <c r="Q438" s="3336"/>
      <c r="R438" s="3345"/>
      <c r="S438" s="3345"/>
      <c r="T438" s="3346"/>
    </row>
    <row r="439" spans="1:20">
      <c r="A439" s="2765">
        <v>2029.1</v>
      </c>
      <c r="B439" s="2591" t="e">
        <v>#N/A</v>
      </c>
      <c r="C439" s="3338" t="e">
        <v>#N/A</v>
      </c>
      <c r="D439" s="3360" t="e">
        <v>#N/A</v>
      </c>
      <c r="E439" s="3259" t="e">
        <v>#N/A</v>
      </c>
      <c r="F439" s="3338" t="e">
        <v>#N/A</v>
      </c>
      <c r="G439" s="3339" t="e">
        <v>#N/A</v>
      </c>
      <c r="H439" s="2538" t="e">
        <v>#N/A</v>
      </c>
      <c r="I439" s="2539" t="e">
        <v>#N/A</v>
      </c>
      <c r="J439" s="2539" t="e">
        <v>#N/A</v>
      </c>
      <c r="K439" s="2539" t="e">
        <v>#N/A</v>
      </c>
      <c r="L439" s="2539" t="e">
        <v>#N/A</v>
      </c>
      <c r="M439" s="2539" t="e">
        <v>#N/A</v>
      </c>
      <c r="N439" s="3340" t="e">
        <v>#N/A</v>
      </c>
      <c r="O439" s="2539" t="e">
        <v>#N/A</v>
      </c>
      <c r="P439" s="2539" t="e">
        <v>#N/A</v>
      </c>
      <c r="Q439" s="3336"/>
      <c r="R439" s="3345"/>
      <c r="S439" s="3345"/>
      <c r="T439" s="3346"/>
    </row>
    <row r="440" spans="1:20">
      <c r="A440" s="2765">
        <v>2029.11</v>
      </c>
      <c r="B440" s="2591" t="e">
        <v>#N/A</v>
      </c>
      <c r="C440" s="3338" t="e">
        <v>#N/A</v>
      </c>
      <c r="D440" s="3360" t="e">
        <v>#N/A</v>
      </c>
      <c r="E440" s="3259" t="e">
        <v>#N/A</v>
      </c>
      <c r="F440" s="3338" t="e">
        <v>#N/A</v>
      </c>
      <c r="G440" s="3339" t="e">
        <v>#N/A</v>
      </c>
      <c r="H440" s="2538" t="e">
        <v>#N/A</v>
      </c>
      <c r="I440" s="2539" t="e">
        <v>#N/A</v>
      </c>
      <c r="J440" s="2539" t="e">
        <v>#N/A</v>
      </c>
      <c r="K440" s="2539" t="e">
        <v>#N/A</v>
      </c>
      <c r="L440" s="2539" t="e">
        <v>#N/A</v>
      </c>
      <c r="M440" s="2539" t="e">
        <v>#N/A</v>
      </c>
      <c r="N440" s="3340" t="e">
        <v>#N/A</v>
      </c>
      <c r="O440" s="2539" t="e">
        <v>#N/A</v>
      </c>
      <c r="P440" s="2539" t="e">
        <v>#N/A</v>
      </c>
      <c r="Q440" s="3336"/>
      <c r="R440" s="3345"/>
      <c r="S440" s="3345"/>
      <c r="T440" s="3346"/>
    </row>
    <row r="441" spans="1:20">
      <c r="A441" s="2765">
        <v>2029.12</v>
      </c>
      <c r="B441" s="2591" t="e">
        <v>#N/A</v>
      </c>
      <c r="C441" s="3338" t="e">
        <v>#N/A</v>
      </c>
      <c r="D441" s="3360" t="e">
        <v>#N/A</v>
      </c>
      <c r="E441" s="3259" t="e">
        <v>#N/A</v>
      </c>
      <c r="F441" s="3338" t="e">
        <v>#N/A</v>
      </c>
      <c r="G441" s="3339" t="e">
        <v>#N/A</v>
      </c>
      <c r="H441" s="2538" t="e">
        <v>#N/A</v>
      </c>
      <c r="I441" s="2539" t="e">
        <v>#N/A</v>
      </c>
      <c r="J441" s="2539" t="e">
        <v>#N/A</v>
      </c>
      <c r="K441" s="2539" t="e">
        <v>#N/A</v>
      </c>
      <c r="L441" s="2539" t="e">
        <v>#N/A</v>
      </c>
      <c r="M441" s="2539" t="e">
        <v>#N/A</v>
      </c>
      <c r="N441" s="3340" t="e">
        <v>#N/A</v>
      </c>
      <c r="O441" s="2539" t="e">
        <v>#N/A</v>
      </c>
      <c r="P441" s="2539" t="e">
        <v>#N/A</v>
      </c>
      <c r="Q441" s="3336"/>
      <c r="R441" s="3345"/>
      <c r="S441" s="3345"/>
      <c r="T441" s="3346"/>
    </row>
    <row r="442" spans="1:20">
      <c r="A442" s="2765">
        <v>2030.01</v>
      </c>
      <c r="B442" s="2591" t="e">
        <v>#N/A</v>
      </c>
      <c r="C442" s="3338" t="e">
        <v>#N/A</v>
      </c>
      <c r="D442" s="3360" t="e">
        <v>#N/A</v>
      </c>
      <c r="E442" s="3259" t="e">
        <v>#N/A</v>
      </c>
      <c r="F442" s="3338" t="e">
        <v>#N/A</v>
      </c>
      <c r="G442" s="3339" t="e">
        <v>#N/A</v>
      </c>
      <c r="H442" s="2538" t="e">
        <v>#N/A</v>
      </c>
      <c r="I442" s="2539" t="e">
        <v>#N/A</v>
      </c>
      <c r="J442" s="2539" t="e">
        <v>#N/A</v>
      </c>
      <c r="K442" s="2539" t="e">
        <v>#N/A</v>
      </c>
      <c r="L442" s="2539" t="e">
        <v>#N/A</v>
      </c>
      <c r="M442" s="2539" t="e">
        <v>#N/A</v>
      </c>
      <c r="N442" s="3340" t="e">
        <v>#N/A</v>
      </c>
      <c r="O442" s="2539" t="e">
        <v>#N/A</v>
      </c>
      <c r="P442" s="2539" t="e">
        <v>#N/A</v>
      </c>
      <c r="Q442" s="3336"/>
      <c r="R442" s="3345"/>
      <c r="S442" s="3345"/>
      <c r="T442" s="3346"/>
    </row>
    <row r="443" spans="1:20">
      <c r="A443" s="2765">
        <v>2030.02</v>
      </c>
      <c r="B443" s="2591" t="e">
        <v>#N/A</v>
      </c>
      <c r="C443" s="3338" t="e">
        <v>#N/A</v>
      </c>
      <c r="D443" s="3360" t="e">
        <v>#N/A</v>
      </c>
      <c r="E443" s="3259" t="e">
        <v>#N/A</v>
      </c>
      <c r="F443" s="3338" t="e">
        <v>#N/A</v>
      </c>
      <c r="G443" s="3339" t="e">
        <v>#N/A</v>
      </c>
      <c r="H443" s="2538" t="e">
        <v>#N/A</v>
      </c>
      <c r="I443" s="2539" t="e">
        <v>#N/A</v>
      </c>
      <c r="J443" s="2539" t="e">
        <v>#N/A</v>
      </c>
      <c r="K443" s="2539" t="e">
        <v>#N/A</v>
      </c>
      <c r="L443" s="2539" t="e">
        <v>#N/A</v>
      </c>
      <c r="M443" s="2539" t="e">
        <v>#N/A</v>
      </c>
      <c r="N443" s="3340" t="e">
        <v>#N/A</v>
      </c>
      <c r="O443" s="2539" t="e">
        <v>#N/A</v>
      </c>
      <c r="P443" s="2539" t="e">
        <v>#N/A</v>
      </c>
      <c r="Q443" s="3336"/>
      <c r="R443" s="3345"/>
      <c r="S443" s="3345"/>
      <c r="T443" s="3346"/>
    </row>
    <row r="444" spans="1:20">
      <c r="A444" s="2765">
        <v>2030.03</v>
      </c>
      <c r="B444" s="2591" t="e">
        <v>#N/A</v>
      </c>
      <c r="C444" s="3338" t="e">
        <v>#N/A</v>
      </c>
      <c r="D444" s="3360" t="e">
        <v>#N/A</v>
      </c>
      <c r="E444" s="3259" t="e">
        <v>#N/A</v>
      </c>
      <c r="F444" s="3338" t="e">
        <v>#N/A</v>
      </c>
      <c r="G444" s="3339" t="e">
        <v>#N/A</v>
      </c>
      <c r="H444" s="2538" t="e">
        <v>#N/A</v>
      </c>
      <c r="I444" s="2539" t="e">
        <v>#N/A</v>
      </c>
      <c r="J444" s="2539" t="e">
        <v>#N/A</v>
      </c>
      <c r="K444" s="2539" t="e">
        <v>#N/A</v>
      </c>
      <c r="L444" s="2539" t="e">
        <v>#N/A</v>
      </c>
      <c r="M444" s="2539" t="e">
        <v>#N/A</v>
      </c>
      <c r="N444" s="3340" t="e">
        <v>#N/A</v>
      </c>
      <c r="O444" s="2539" t="e">
        <v>#N/A</v>
      </c>
      <c r="P444" s="2539" t="e">
        <v>#N/A</v>
      </c>
      <c r="Q444" s="3336"/>
      <c r="R444" s="3345"/>
      <c r="S444" s="3345"/>
      <c r="T444" s="3346"/>
    </row>
    <row r="445" spans="1:20">
      <c r="A445" s="2765">
        <v>2030.04</v>
      </c>
      <c r="B445" s="2591" t="e">
        <v>#N/A</v>
      </c>
      <c r="C445" s="3338" t="e">
        <v>#N/A</v>
      </c>
      <c r="D445" s="3360" t="e">
        <v>#N/A</v>
      </c>
      <c r="E445" s="3259" t="e">
        <v>#N/A</v>
      </c>
      <c r="F445" s="3338" t="e">
        <v>#N/A</v>
      </c>
      <c r="G445" s="3339" t="e">
        <v>#N/A</v>
      </c>
      <c r="H445" s="2538" t="e">
        <v>#N/A</v>
      </c>
      <c r="I445" s="2539" t="e">
        <v>#N/A</v>
      </c>
      <c r="J445" s="2539" t="e">
        <v>#N/A</v>
      </c>
      <c r="K445" s="2539" t="e">
        <v>#N/A</v>
      </c>
      <c r="L445" s="2539" t="e">
        <v>#N/A</v>
      </c>
      <c r="M445" s="2539" t="e">
        <v>#N/A</v>
      </c>
      <c r="N445" s="3340" t="e">
        <v>#N/A</v>
      </c>
      <c r="O445" s="2539" t="e">
        <v>#N/A</v>
      </c>
      <c r="P445" s="2539" t="e">
        <v>#N/A</v>
      </c>
      <c r="Q445" s="3336"/>
      <c r="R445" s="3345"/>
      <c r="S445" s="3345"/>
      <c r="T445" s="3346"/>
    </row>
    <row r="446" spans="1:20">
      <c r="A446" s="2765">
        <v>2030.05</v>
      </c>
      <c r="B446" s="2591" t="e">
        <v>#N/A</v>
      </c>
      <c r="C446" s="3338" t="e">
        <v>#N/A</v>
      </c>
      <c r="D446" s="3360" t="e">
        <v>#N/A</v>
      </c>
      <c r="E446" s="3259" t="e">
        <v>#N/A</v>
      </c>
      <c r="F446" s="3338" t="e">
        <v>#N/A</v>
      </c>
      <c r="G446" s="3339" t="e">
        <v>#N/A</v>
      </c>
      <c r="H446" s="2538" t="e">
        <v>#N/A</v>
      </c>
      <c r="I446" s="2539" t="e">
        <v>#N/A</v>
      </c>
      <c r="J446" s="2539" t="e">
        <v>#N/A</v>
      </c>
      <c r="K446" s="2539" t="e">
        <v>#N/A</v>
      </c>
      <c r="L446" s="2539" t="e">
        <v>#N/A</v>
      </c>
      <c r="M446" s="2539" t="e">
        <v>#N/A</v>
      </c>
      <c r="N446" s="3340" t="e">
        <v>#N/A</v>
      </c>
      <c r="O446" s="2539" t="e">
        <v>#N/A</v>
      </c>
      <c r="P446" s="2539" t="e">
        <v>#N/A</v>
      </c>
      <c r="Q446" s="3336"/>
      <c r="R446" s="3345"/>
      <c r="S446" s="3345"/>
      <c r="T446" s="3346"/>
    </row>
    <row r="447" spans="1:20">
      <c r="A447" s="2765">
        <v>2030.06</v>
      </c>
      <c r="B447" s="2591" t="e">
        <v>#N/A</v>
      </c>
      <c r="C447" s="3338" t="e">
        <v>#N/A</v>
      </c>
      <c r="D447" s="3360" t="e">
        <v>#N/A</v>
      </c>
      <c r="E447" s="3259" t="e">
        <v>#N/A</v>
      </c>
      <c r="F447" s="3338" t="e">
        <v>#N/A</v>
      </c>
      <c r="G447" s="3339" t="e">
        <v>#N/A</v>
      </c>
      <c r="H447" s="2538" t="e">
        <v>#N/A</v>
      </c>
      <c r="I447" s="2539" t="e">
        <v>#N/A</v>
      </c>
      <c r="J447" s="2539" t="e">
        <v>#N/A</v>
      </c>
      <c r="K447" s="2539" t="e">
        <v>#N/A</v>
      </c>
      <c r="L447" s="2539" t="e">
        <v>#N/A</v>
      </c>
      <c r="M447" s="2539" t="e">
        <v>#N/A</v>
      </c>
      <c r="N447" s="3340" t="e">
        <v>#N/A</v>
      </c>
      <c r="O447" s="2539" t="e">
        <v>#N/A</v>
      </c>
      <c r="P447" s="2539" t="e">
        <v>#N/A</v>
      </c>
      <c r="Q447" s="3336"/>
      <c r="R447" s="3345"/>
      <c r="S447" s="3345"/>
      <c r="T447" s="3346"/>
    </row>
    <row r="448" spans="1:20">
      <c r="A448" s="2765">
        <v>2030.07</v>
      </c>
      <c r="B448" s="2591" t="e">
        <v>#N/A</v>
      </c>
      <c r="C448" s="3338" t="e">
        <v>#N/A</v>
      </c>
      <c r="D448" s="3360" t="e">
        <v>#N/A</v>
      </c>
      <c r="E448" s="3259" t="e">
        <v>#N/A</v>
      </c>
      <c r="F448" s="3338" t="e">
        <v>#N/A</v>
      </c>
      <c r="G448" s="3339" t="e">
        <v>#N/A</v>
      </c>
      <c r="H448" s="2538" t="e">
        <v>#N/A</v>
      </c>
      <c r="I448" s="2539" t="e">
        <v>#N/A</v>
      </c>
      <c r="J448" s="2539" t="e">
        <v>#N/A</v>
      </c>
      <c r="K448" s="2539" t="e">
        <v>#N/A</v>
      </c>
      <c r="L448" s="2539" t="e">
        <v>#N/A</v>
      </c>
      <c r="M448" s="2539" t="e">
        <v>#N/A</v>
      </c>
      <c r="N448" s="3340" t="e">
        <v>#N/A</v>
      </c>
      <c r="O448" s="2539" t="e">
        <v>#N/A</v>
      </c>
      <c r="P448" s="2539" t="e">
        <v>#N/A</v>
      </c>
      <c r="Q448" s="3336"/>
      <c r="R448" s="3345"/>
      <c r="S448" s="3345"/>
      <c r="T448" s="3346"/>
    </row>
    <row r="449" spans="1:20">
      <c r="A449" s="2765">
        <v>2030.08</v>
      </c>
      <c r="B449" s="2591" t="e">
        <v>#N/A</v>
      </c>
      <c r="C449" s="3338" t="e">
        <v>#N/A</v>
      </c>
      <c r="D449" s="3360" t="e">
        <v>#N/A</v>
      </c>
      <c r="E449" s="3259" t="e">
        <v>#N/A</v>
      </c>
      <c r="F449" s="3338" t="e">
        <v>#N/A</v>
      </c>
      <c r="G449" s="3339" t="e">
        <v>#N/A</v>
      </c>
      <c r="H449" s="2538" t="e">
        <v>#N/A</v>
      </c>
      <c r="I449" s="2539" t="e">
        <v>#N/A</v>
      </c>
      <c r="J449" s="2539" t="e">
        <v>#N/A</v>
      </c>
      <c r="K449" s="2539" t="e">
        <v>#N/A</v>
      </c>
      <c r="L449" s="2539" t="e">
        <v>#N/A</v>
      </c>
      <c r="M449" s="2539" t="e">
        <v>#N/A</v>
      </c>
      <c r="N449" s="3340" t="e">
        <v>#N/A</v>
      </c>
      <c r="O449" s="2539" t="e">
        <v>#N/A</v>
      </c>
      <c r="P449" s="2539" t="e">
        <v>#N/A</v>
      </c>
      <c r="Q449" s="3336"/>
      <c r="R449" s="3345"/>
      <c r="S449" s="3345"/>
      <c r="T449" s="3346"/>
    </row>
    <row r="450" spans="1:20">
      <c r="A450" s="2765">
        <v>2030.09</v>
      </c>
      <c r="B450" s="2591" t="e">
        <v>#N/A</v>
      </c>
      <c r="C450" s="3338" t="e">
        <v>#N/A</v>
      </c>
      <c r="D450" s="3360" t="e">
        <v>#N/A</v>
      </c>
      <c r="E450" s="3259" t="e">
        <v>#N/A</v>
      </c>
      <c r="F450" s="3338" t="e">
        <v>#N/A</v>
      </c>
      <c r="G450" s="3339" t="e">
        <v>#N/A</v>
      </c>
      <c r="H450" s="2538" t="e">
        <v>#N/A</v>
      </c>
      <c r="I450" s="2539" t="e">
        <v>#N/A</v>
      </c>
      <c r="J450" s="2539" t="e">
        <v>#N/A</v>
      </c>
      <c r="K450" s="2539" t="e">
        <v>#N/A</v>
      </c>
      <c r="L450" s="2539" t="e">
        <v>#N/A</v>
      </c>
      <c r="M450" s="2539" t="e">
        <v>#N/A</v>
      </c>
      <c r="N450" s="3340" t="e">
        <v>#N/A</v>
      </c>
      <c r="O450" s="2539" t="e">
        <v>#N/A</v>
      </c>
      <c r="P450" s="2539" t="e">
        <v>#N/A</v>
      </c>
      <c r="Q450" s="3336"/>
      <c r="R450" s="3345"/>
      <c r="S450" s="3345"/>
      <c r="T450" s="3346"/>
    </row>
    <row r="451" spans="1:20">
      <c r="A451" s="2765">
        <v>2030.1</v>
      </c>
      <c r="B451" s="2591" t="e">
        <v>#N/A</v>
      </c>
      <c r="C451" s="3338" t="e">
        <v>#N/A</v>
      </c>
      <c r="D451" s="3360" t="e">
        <v>#N/A</v>
      </c>
      <c r="E451" s="3259" t="e">
        <v>#N/A</v>
      </c>
      <c r="F451" s="3338" t="e">
        <v>#N/A</v>
      </c>
      <c r="G451" s="3339" t="e">
        <v>#N/A</v>
      </c>
      <c r="H451" s="2538" t="e">
        <v>#N/A</v>
      </c>
      <c r="I451" s="2539" t="e">
        <v>#N/A</v>
      </c>
      <c r="J451" s="2539" t="e">
        <v>#N/A</v>
      </c>
      <c r="K451" s="2539" t="e">
        <v>#N/A</v>
      </c>
      <c r="L451" s="2539" t="e">
        <v>#N/A</v>
      </c>
      <c r="M451" s="2539" t="e">
        <v>#N/A</v>
      </c>
      <c r="N451" s="3340" t="e">
        <v>#N/A</v>
      </c>
      <c r="O451" s="2539" t="e">
        <v>#N/A</v>
      </c>
      <c r="P451" s="2539" t="e">
        <v>#N/A</v>
      </c>
      <c r="Q451" s="3336"/>
      <c r="R451" s="3345"/>
      <c r="S451" s="3345"/>
      <c r="T451" s="3346"/>
    </row>
    <row r="452" spans="1:20">
      <c r="A452" s="2765">
        <v>2030.11</v>
      </c>
      <c r="B452" s="2591" t="e">
        <v>#N/A</v>
      </c>
      <c r="C452" s="3338" t="e">
        <v>#N/A</v>
      </c>
      <c r="D452" s="3360" t="e">
        <v>#N/A</v>
      </c>
      <c r="E452" s="3259" t="e">
        <v>#N/A</v>
      </c>
      <c r="F452" s="3338" t="e">
        <v>#N/A</v>
      </c>
      <c r="G452" s="3339" t="e">
        <v>#N/A</v>
      </c>
      <c r="H452" s="2538" t="e">
        <v>#N/A</v>
      </c>
      <c r="I452" s="2539" t="e">
        <v>#N/A</v>
      </c>
      <c r="J452" s="2539" t="e">
        <v>#N/A</v>
      </c>
      <c r="K452" s="2539" t="e">
        <v>#N/A</v>
      </c>
      <c r="L452" s="2539" t="e">
        <v>#N/A</v>
      </c>
      <c r="M452" s="2539" t="e">
        <v>#N/A</v>
      </c>
      <c r="N452" s="3340" t="e">
        <v>#N/A</v>
      </c>
      <c r="O452" s="2539" t="e">
        <v>#N/A</v>
      </c>
      <c r="P452" s="2539" t="e">
        <v>#N/A</v>
      </c>
      <c r="Q452" s="3336"/>
      <c r="R452" s="3345"/>
      <c r="S452" s="3345"/>
      <c r="T452" s="3346"/>
    </row>
    <row r="453" spans="1:20">
      <c r="A453" s="2765">
        <v>2030.12</v>
      </c>
      <c r="B453" s="2591" t="e">
        <v>#N/A</v>
      </c>
      <c r="C453" s="3338" t="e">
        <v>#N/A</v>
      </c>
      <c r="D453" s="3360" t="e">
        <v>#N/A</v>
      </c>
      <c r="E453" s="3259" t="e">
        <v>#N/A</v>
      </c>
      <c r="F453" s="3338" t="e">
        <v>#N/A</v>
      </c>
      <c r="G453" s="3339" t="e">
        <v>#N/A</v>
      </c>
      <c r="H453" s="2538" t="e">
        <v>#N/A</v>
      </c>
      <c r="I453" s="2539" t="e">
        <v>#N/A</v>
      </c>
      <c r="J453" s="2539" t="e">
        <v>#N/A</v>
      </c>
      <c r="K453" s="2539" t="e">
        <v>#N/A</v>
      </c>
      <c r="L453" s="2539" t="e">
        <v>#N/A</v>
      </c>
      <c r="M453" s="2539" t="e">
        <v>#N/A</v>
      </c>
      <c r="N453" s="3340" t="e">
        <v>#N/A</v>
      </c>
      <c r="O453" s="2539" t="e">
        <v>#N/A</v>
      </c>
      <c r="P453" s="2539" t="e">
        <v>#N/A</v>
      </c>
      <c r="Q453" s="3336"/>
      <c r="R453" s="3345"/>
      <c r="S453" s="3345"/>
      <c r="T453" s="3346"/>
    </row>
  </sheetData>
  <phoneticPr fontId="64" type="noConversion"/>
  <hyperlinks>
    <hyperlink ref="A1:A3" location="Indice!A1" display="ÍNDICE" xr:uid="{00000000-0004-0000-3E00-000000000000}"/>
    <hyperlink ref="A5" location="INDICE!A13" display="VOLVER AL INDICE" xr:uid="{00000000-0004-0000-3E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6"/>
  <dimension ref="A1:A429"/>
  <sheetViews>
    <sheetView zoomScale="130" zoomScaleNormal="130" workbookViewId="0">
      <pane xSplit="1" ySplit="9" topLeftCell="G10" activePane="bottomRight" state="frozen"/>
      <selection sqref="A1:A5"/>
      <selection pane="topRight" sqref="A1:A5"/>
      <selection pane="bottomLeft" sqref="A1:A5"/>
      <selection pane="bottomRight" activeCell="K17" sqref="K17"/>
    </sheetView>
  </sheetViews>
  <sheetFormatPr baseColWidth="10" defaultColWidth="11.42578125" defaultRowHeight="12.75"/>
  <cols>
    <col min="1" max="1" width="10.5703125" style="2752" customWidth="1"/>
    <col min="2" max="16384" width="11.42578125" style="2754"/>
  </cols>
  <sheetData>
    <row r="1" spans="1:1" s="2767" customFormat="1" ht="12.75" customHeight="1">
      <c r="A1" s="2761"/>
    </row>
    <row r="2" spans="1:1" s="2767" customFormat="1">
      <c r="A2" s="2761" t="s">
        <v>212</v>
      </c>
    </row>
    <row r="3" spans="1:1" s="2767" customFormat="1">
      <c r="A3" s="2761" t="s">
        <v>211</v>
      </c>
    </row>
    <row r="4" spans="1:1" s="2767" customFormat="1" ht="3.75" customHeight="1">
      <c r="A4" s="2768"/>
    </row>
    <row r="5" spans="1:1" s="2767" customFormat="1" ht="22.5">
      <c r="A5" s="2758" t="s">
        <v>213</v>
      </c>
    </row>
    <row r="6" spans="1:1" s="2767" customFormat="1" ht="12" customHeight="1">
      <c r="A6" s="2762" t="s">
        <v>412</v>
      </c>
    </row>
    <row r="7" spans="1:1" s="2767" customFormat="1" ht="22.5">
      <c r="A7" s="2761" t="s">
        <v>210</v>
      </c>
    </row>
    <row r="8" spans="1:1" s="2767" customFormat="1" ht="12.75" customHeight="1">
      <c r="A8" s="2761"/>
    </row>
    <row r="9" spans="1:1" s="2770" customFormat="1" ht="16.5" customHeight="1" thickBot="1">
      <c r="A9" s="2769" t="s">
        <v>217</v>
      </c>
    </row>
    <row r="10" spans="1:1" s="2770" customFormat="1">
      <c r="A10" s="2765">
        <v>1996.01</v>
      </c>
    </row>
    <row r="11" spans="1:1" s="2770" customFormat="1">
      <c r="A11" s="2765">
        <v>1996.02</v>
      </c>
    </row>
    <row r="12" spans="1:1" s="2770" customFormat="1">
      <c r="A12" s="2765">
        <v>1996.03</v>
      </c>
    </row>
    <row r="13" spans="1:1" s="2770" customFormat="1">
      <c r="A13" s="2765">
        <v>1996.04</v>
      </c>
    </row>
    <row r="14" spans="1:1" s="2770" customFormat="1">
      <c r="A14" s="2765">
        <v>1996.05</v>
      </c>
    </row>
    <row r="15" spans="1:1" s="2770" customFormat="1">
      <c r="A15" s="2765">
        <v>1996.06</v>
      </c>
    </row>
    <row r="16" spans="1:1" s="2770" customFormat="1">
      <c r="A16" s="2765">
        <v>1996.07</v>
      </c>
    </row>
    <row r="17" spans="1:1" s="2770" customFormat="1">
      <c r="A17" s="2765">
        <v>1996.08</v>
      </c>
    </row>
    <row r="18" spans="1:1" s="2770" customFormat="1">
      <c r="A18" s="2765">
        <v>1996.09</v>
      </c>
    </row>
    <row r="19" spans="1:1" s="2770" customFormat="1">
      <c r="A19" s="2765">
        <v>1996.1</v>
      </c>
    </row>
    <row r="20" spans="1:1" s="2770" customFormat="1">
      <c r="A20" s="2765">
        <v>1996.11</v>
      </c>
    </row>
    <row r="21" spans="1:1" s="2770" customFormat="1">
      <c r="A21" s="2765">
        <v>1996.12</v>
      </c>
    </row>
    <row r="22" spans="1:1" s="2770" customFormat="1">
      <c r="A22" s="2765">
        <v>1997.01</v>
      </c>
    </row>
    <row r="23" spans="1:1" s="2770" customFormat="1">
      <c r="A23" s="2765">
        <v>1997.02</v>
      </c>
    </row>
    <row r="24" spans="1:1" s="2770" customFormat="1">
      <c r="A24" s="2765">
        <v>1997.03</v>
      </c>
    </row>
    <row r="25" spans="1:1" s="2770" customFormat="1">
      <c r="A25" s="2765">
        <v>1997.04</v>
      </c>
    </row>
    <row r="26" spans="1:1" s="2770" customFormat="1">
      <c r="A26" s="2765">
        <v>1997.05</v>
      </c>
    </row>
    <row r="27" spans="1:1" s="2770" customFormat="1">
      <c r="A27" s="2765">
        <v>1997.06</v>
      </c>
    </row>
    <row r="28" spans="1:1" s="2770" customFormat="1">
      <c r="A28" s="2765">
        <v>1997.07</v>
      </c>
    </row>
    <row r="29" spans="1:1" s="2770" customFormat="1">
      <c r="A29" s="2765">
        <v>1997.08</v>
      </c>
    </row>
    <row r="30" spans="1:1" s="2770" customFormat="1">
      <c r="A30" s="2765">
        <v>1997.09</v>
      </c>
    </row>
    <row r="31" spans="1:1" s="2770" customFormat="1">
      <c r="A31" s="2765">
        <v>1997.1</v>
      </c>
    </row>
    <row r="32" spans="1:1" s="2770" customFormat="1">
      <c r="A32" s="2765">
        <v>1997.11</v>
      </c>
    </row>
    <row r="33" spans="1:1" s="2770" customFormat="1">
      <c r="A33" s="2765">
        <v>1997.12</v>
      </c>
    </row>
    <row r="34" spans="1:1" s="2770" customFormat="1">
      <c r="A34" s="2765">
        <v>1998.01</v>
      </c>
    </row>
    <row r="35" spans="1:1" s="2770" customFormat="1">
      <c r="A35" s="2765">
        <v>1998.02</v>
      </c>
    </row>
    <row r="36" spans="1:1" s="2770" customFormat="1">
      <c r="A36" s="2765">
        <v>1998.03</v>
      </c>
    </row>
    <row r="37" spans="1:1" s="2770" customFormat="1">
      <c r="A37" s="2765">
        <v>1998.04</v>
      </c>
    </row>
    <row r="38" spans="1:1" s="2770" customFormat="1">
      <c r="A38" s="2765">
        <v>1998.05</v>
      </c>
    </row>
    <row r="39" spans="1:1" s="2770" customFormat="1">
      <c r="A39" s="2765">
        <v>1998.06</v>
      </c>
    </row>
    <row r="40" spans="1:1" s="2770" customFormat="1">
      <c r="A40" s="2765">
        <v>1998.07</v>
      </c>
    </row>
    <row r="41" spans="1:1" s="2770" customFormat="1">
      <c r="A41" s="2765">
        <v>1998.08</v>
      </c>
    </row>
    <row r="42" spans="1:1" s="2770" customFormat="1">
      <c r="A42" s="2765">
        <v>1998.09</v>
      </c>
    </row>
    <row r="43" spans="1:1" s="2770" customFormat="1">
      <c r="A43" s="2765">
        <v>1998.1</v>
      </c>
    </row>
    <row r="44" spans="1:1" s="2770" customFormat="1">
      <c r="A44" s="2765">
        <v>1998.11</v>
      </c>
    </row>
    <row r="45" spans="1:1" s="2770" customFormat="1">
      <c r="A45" s="2765">
        <v>1998.12</v>
      </c>
    </row>
    <row r="46" spans="1:1">
      <c r="A46" s="134">
        <v>1999.01</v>
      </c>
    </row>
    <row r="47" spans="1:1">
      <c r="A47" s="134">
        <v>1999.02</v>
      </c>
    </row>
    <row r="48" spans="1:1">
      <c r="A48" s="134">
        <v>1999.03</v>
      </c>
    </row>
    <row r="49" spans="1:1">
      <c r="A49" s="134">
        <v>1999.04</v>
      </c>
    </row>
    <row r="50" spans="1:1">
      <c r="A50" s="134">
        <v>1999.05</v>
      </c>
    </row>
    <row r="51" spans="1:1">
      <c r="A51" s="134">
        <v>1999.06</v>
      </c>
    </row>
    <row r="52" spans="1:1">
      <c r="A52" s="134">
        <v>1999.07</v>
      </c>
    </row>
    <row r="53" spans="1:1">
      <c r="A53" s="134">
        <v>1999.08</v>
      </c>
    </row>
    <row r="54" spans="1:1">
      <c r="A54" s="134">
        <v>1999.09</v>
      </c>
    </row>
    <row r="55" spans="1:1">
      <c r="A55" s="134">
        <v>1999.1</v>
      </c>
    </row>
    <row r="56" spans="1:1">
      <c r="A56" s="134">
        <v>1999.11</v>
      </c>
    </row>
    <row r="57" spans="1:1">
      <c r="A57" s="134">
        <v>1999.12</v>
      </c>
    </row>
    <row r="58" spans="1:1">
      <c r="A58" s="134">
        <v>2000.01</v>
      </c>
    </row>
    <row r="59" spans="1:1">
      <c r="A59" s="134">
        <v>2000.02</v>
      </c>
    </row>
    <row r="60" spans="1:1">
      <c r="A60" s="134">
        <v>2000.03</v>
      </c>
    </row>
    <row r="61" spans="1:1">
      <c r="A61" s="134">
        <v>2000.04</v>
      </c>
    </row>
    <row r="62" spans="1:1">
      <c r="A62" s="134">
        <v>2000.05</v>
      </c>
    </row>
    <row r="63" spans="1:1">
      <c r="A63" s="134">
        <v>2000.06</v>
      </c>
    </row>
    <row r="64" spans="1:1">
      <c r="A64" s="134">
        <v>2000.07</v>
      </c>
    </row>
    <row r="65" spans="1:1">
      <c r="A65" s="134">
        <v>2000.08</v>
      </c>
    </row>
    <row r="66" spans="1:1">
      <c r="A66" s="134">
        <v>2000.09</v>
      </c>
    </row>
    <row r="67" spans="1:1">
      <c r="A67" s="134">
        <v>2000.1</v>
      </c>
    </row>
    <row r="68" spans="1:1">
      <c r="A68" s="134">
        <v>2000.11</v>
      </c>
    </row>
    <row r="69" spans="1:1">
      <c r="A69" s="134">
        <v>2000.12</v>
      </c>
    </row>
    <row r="70" spans="1:1">
      <c r="A70" s="134">
        <v>2001.01</v>
      </c>
    </row>
    <row r="71" spans="1:1">
      <c r="A71" s="134">
        <v>2001.02</v>
      </c>
    </row>
    <row r="72" spans="1:1">
      <c r="A72" s="134">
        <v>2001.03</v>
      </c>
    </row>
    <row r="73" spans="1:1">
      <c r="A73" s="134">
        <v>2001.04</v>
      </c>
    </row>
    <row r="74" spans="1:1">
      <c r="A74" s="134">
        <v>2001.05</v>
      </c>
    </row>
    <row r="75" spans="1:1">
      <c r="A75" s="134">
        <v>2001.06</v>
      </c>
    </row>
    <row r="76" spans="1:1">
      <c r="A76" s="134">
        <v>2001.07</v>
      </c>
    </row>
    <row r="77" spans="1:1">
      <c r="A77" s="134">
        <v>2001.08</v>
      </c>
    </row>
    <row r="78" spans="1:1">
      <c r="A78" s="134">
        <v>2001.09</v>
      </c>
    </row>
    <row r="79" spans="1:1">
      <c r="A79" s="134">
        <v>2001.1</v>
      </c>
    </row>
    <row r="80" spans="1:1">
      <c r="A80" s="134">
        <v>2001.11</v>
      </c>
    </row>
    <row r="81" spans="1:1">
      <c r="A81" s="134">
        <v>2001.12</v>
      </c>
    </row>
    <row r="82" spans="1:1">
      <c r="A82" s="134">
        <v>2002.01</v>
      </c>
    </row>
    <row r="83" spans="1:1">
      <c r="A83" s="134">
        <v>2002.02</v>
      </c>
    </row>
    <row r="84" spans="1:1">
      <c r="A84" s="134">
        <v>2002.03</v>
      </c>
    </row>
    <row r="85" spans="1:1">
      <c r="A85" s="134">
        <v>2002.04</v>
      </c>
    </row>
    <row r="86" spans="1:1">
      <c r="A86" s="134">
        <v>2002.05</v>
      </c>
    </row>
    <row r="87" spans="1:1">
      <c r="A87" s="134">
        <v>2002.06</v>
      </c>
    </row>
    <row r="88" spans="1:1">
      <c r="A88" s="134">
        <v>2002.07</v>
      </c>
    </row>
    <row r="89" spans="1:1">
      <c r="A89" s="134">
        <v>2002.08</v>
      </c>
    </row>
    <row r="90" spans="1:1">
      <c r="A90" s="134">
        <v>2002.09</v>
      </c>
    </row>
    <row r="91" spans="1:1">
      <c r="A91" s="134">
        <v>2002.1</v>
      </c>
    </row>
    <row r="92" spans="1:1">
      <c r="A92" s="134">
        <v>2002.11</v>
      </c>
    </row>
    <row r="93" spans="1:1">
      <c r="A93" s="134">
        <v>2002.12</v>
      </c>
    </row>
    <row r="94" spans="1:1">
      <c r="A94" s="134">
        <v>2003.01</v>
      </c>
    </row>
    <row r="95" spans="1:1">
      <c r="A95" s="134">
        <v>2003.02</v>
      </c>
    </row>
    <row r="96" spans="1:1">
      <c r="A96" s="134">
        <v>2003.03</v>
      </c>
    </row>
    <row r="97" spans="1:1">
      <c r="A97" s="134">
        <v>2003.04</v>
      </c>
    </row>
    <row r="98" spans="1:1">
      <c r="A98" s="134">
        <v>2003.05</v>
      </c>
    </row>
    <row r="99" spans="1:1">
      <c r="A99" s="134">
        <v>2003.06</v>
      </c>
    </row>
    <row r="100" spans="1:1">
      <c r="A100" s="134">
        <v>2003.07</v>
      </c>
    </row>
    <row r="101" spans="1:1">
      <c r="A101" s="134">
        <v>2003.08</v>
      </c>
    </row>
    <row r="102" spans="1:1">
      <c r="A102" s="134">
        <v>2003.09</v>
      </c>
    </row>
    <row r="103" spans="1:1">
      <c r="A103" s="134">
        <v>2003.1</v>
      </c>
    </row>
    <row r="104" spans="1:1">
      <c r="A104" s="134">
        <v>2003.11</v>
      </c>
    </row>
    <row r="105" spans="1:1">
      <c r="A105" s="134">
        <v>2003.12</v>
      </c>
    </row>
    <row r="106" spans="1:1">
      <c r="A106" s="134">
        <v>2004.01</v>
      </c>
    </row>
    <row r="107" spans="1:1">
      <c r="A107" s="134">
        <v>2004.02</v>
      </c>
    </row>
    <row r="108" spans="1:1">
      <c r="A108" s="134">
        <v>2004.03</v>
      </c>
    </row>
    <row r="109" spans="1:1">
      <c r="A109" s="134">
        <v>2004.04</v>
      </c>
    </row>
    <row r="110" spans="1:1">
      <c r="A110" s="134">
        <v>2004.05</v>
      </c>
    </row>
    <row r="111" spans="1:1">
      <c r="A111" s="134">
        <v>2004.06</v>
      </c>
    </row>
    <row r="112" spans="1:1">
      <c r="A112" s="134">
        <v>2004.07</v>
      </c>
    </row>
    <row r="113" spans="1:1">
      <c r="A113" s="134">
        <v>2004.08</v>
      </c>
    </row>
    <row r="114" spans="1:1">
      <c r="A114" s="134">
        <v>2004.09</v>
      </c>
    </row>
    <row r="115" spans="1:1">
      <c r="A115" s="134">
        <v>2004.1</v>
      </c>
    </row>
    <row r="116" spans="1:1">
      <c r="A116" s="134">
        <v>2004.11</v>
      </c>
    </row>
    <row r="117" spans="1:1">
      <c r="A117" s="134">
        <v>2004.12</v>
      </c>
    </row>
    <row r="118" spans="1:1">
      <c r="A118" s="134">
        <v>2005.01</v>
      </c>
    </row>
    <row r="119" spans="1:1">
      <c r="A119" s="134">
        <v>2005.02</v>
      </c>
    </row>
    <row r="120" spans="1:1">
      <c r="A120" s="134">
        <v>2005.03</v>
      </c>
    </row>
    <row r="121" spans="1:1">
      <c r="A121" s="134">
        <v>2005.04</v>
      </c>
    </row>
    <row r="122" spans="1:1">
      <c r="A122" s="134">
        <v>2005.05</v>
      </c>
    </row>
    <row r="123" spans="1:1">
      <c r="A123" s="134">
        <v>2005.06</v>
      </c>
    </row>
    <row r="124" spans="1:1">
      <c r="A124" s="134">
        <v>2005.07</v>
      </c>
    </row>
    <row r="125" spans="1:1">
      <c r="A125" s="134">
        <v>2005.08</v>
      </c>
    </row>
    <row r="126" spans="1:1">
      <c r="A126" s="134">
        <v>2005.09</v>
      </c>
    </row>
    <row r="127" spans="1:1">
      <c r="A127" s="134">
        <v>2005.1</v>
      </c>
    </row>
    <row r="128" spans="1:1">
      <c r="A128" s="134">
        <v>2005.11</v>
      </c>
    </row>
    <row r="129" spans="1:1">
      <c r="A129" s="134">
        <v>2005.12</v>
      </c>
    </row>
    <row r="130" spans="1:1">
      <c r="A130" s="134">
        <v>2006.01</v>
      </c>
    </row>
    <row r="131" spans="1:1">
      <c r="A131" s="134">
        <v>2006.02</v>
      </c>
    </row>
    <row r="132" spans="1:1">
      <c r="A132" s="134">
        <v>2006.03</v>
      </c>
    </row>
    <row r="133" spans="1:1">
      <c r="A133" s="134">
        <v>2006.04</v>
      </c>
    </row>
    <row r="134" spans="1:1">
      <c r="A134" s="134">
        <v>2006.05</v>
      </c>
    </row>
    <row r="135" spans="1:1">
      <c r="A135" s="134">
        <v>2006.06</v>
      </c>
    </row>
    <row r="136" spans="1:1">
      <c r="A136" s="134">
        <v>2006.07</v>
      </c>
    </row>
    <row r="137" spans="1:1">
      <c r="A137" s="134">
        <v>2006.08</v>
      </c>
    </row>
    <row r="138" spans="1:1">
      <c r="A138" s="134">
        <v>2006.09</v>
      </c>
    </row>
    <row r="139" spans="1:1">
      <c r="A139" s="134">
        <v>2006.1</v>
      </c>
    </row>
    <row r="140" spans="1:1">
      <c r="A140" s="134">
        <v>2006.11</v>
      </c>
    </row>
    <row r="141" spans="1:1">
      <c r="A141" s="134">
        <v>2006.12</v>
      </c>
    </row>
    <row r="142" spans="1:1">
      <c r="A142" s="134">
        <v>2007.01</v>
      </c>
    </row>
    <row r="143" spans="1:1">
      <c r="A143" s="134">
        <v>2007.02</v>
      </c>
    </row>
    <row r="144" spans="1:1">
      <c r="A144" s="134">
        <v>2007.03</v>
      </c>
    </row>
    <row r="145" spans="1:1">
      <c r="A145" s="134">
        <v>2007.04</v>
      </c>
    </row>
    <row r="146" spans="1:1">
      <c r="A146" s="134">
        <v>2007.05</v>
      </c>
    </row>
    <row r="147" spans="1:1">
      <c r="A147" s="134">
        <v>2007.06</v>
      </c>
    </row>
    <row r="148" spans="1:1">
      <c r="A148" s="134">
        <v>2007.07</v>
      </c>
    </row>
    <row r="149" spans="1:1">
      <c r="A149" s="134">
        <v>2007.08</v>
      </c>
    </row>
    <row r="150" spans="1:1">
      <c r="A150" s="134">
        <v>2007.09</v>
      </c>
    </row>
    <row r="151" spans="1:1">
      <c r="A151" s="134">
        <v>2007.1</v>
      </c>
    </row>
    <row r="152" spans="1:1">
      <c r="A152" s="134">
        <v>2007.11</v>
      </c>
    </row>
    <row r="153" spans="1:1">
      <c r="A153" s="134">
        <v>2007.12</v>
      </c>
    </row>
    <row r="154" spans="1:1">
      <c r="A154" s="134">
        <f t="shared" ref="A154:A217" si="0">A142+1</f>
        <v>2008.01</v>
      </c>
    </row>
    <row r="155" spans="1:1">
      <c r="A155" s="134">
        <f t="shared" si="0"/>
        <v>2008.02</v>
      </c>
    </row>
    <row r="156" spans="1:1">
      <c r="A156" s="134">
        <f t="shared" si="0"/>
        <v>2008.03</v>
      </c>
    </row>
    <row r="157" spans="1:1">
      <c r="A157" s="134">
        <f t="shared" si="0"/>
        <v>2008.04</v>
      </c>
    </row>
    <row r="158" spans="1:1">
      <c r="A158" s="134">
        <f t="shared" si="0"/>
        <v>2008.05</v>
      </c>
    </row>
    <row r="159" spans="1:1">
      <c r="A159" s="134">
        <f t="shared" si="0"/>
        <v>2008.06</v>
      </c>
    </row>
    <row r="160" spans="1:1">
      <c r="A160" s="134">
        <f t="shared" si="0"/>
        <v>2008.07</v>
      </c>
    </row>
    <row r="161" spans="1:1">
      <c r="A161" s="134">
        <f t="shared" si="0"/>
        <v>2008.08</v>
      </c>
    </row>
    <row r="162" spans="1:1">
      <c r="A162" s="134">
        <f t="shared" si="0"/>
        <v>2008.09</v>
      </c>
    </row>
    <row r="163" spans="1:1">
      <c r="A163" s="134">
        <f t="shared" si="0"/>
        <v>2008.1</v>
      </c>
    </row>
    <row r="164" spans="1:1">
      <c r="A164" s="134">
        <f t="shared" si="0"/>
        <v>2008.11</v>
      </c>
    </row>
    <row r="165" spans="1:1">
      <c r="A165" s="134">
        <f t="shared" si="0"/>
        <v>2008.12</v>
      </c>
    </row>
    <row r="166" spans="1:1">
      <c r="A166" s="134">
        <f t="shared" si="0"/>
        <v>2009.01</v>
      </c>
    </row>
    <row r="167" spans="1:1">
      <c r="A167" s="134">
        <f t="shared" si="0"/>
        <v>2009.02</v>
      </c>
    </row>
    <row r="168" spans="1:1">
      <c r="A168" s="134">
        <f t="shared" si="0"/>
        <v>2009.03</v>
      </c>
    </row>
    <row r="169" spans="1:1">
      <c r="A169" s="134">
        <f t="shared" si="0"/>
        <v>2009.04</v>
      </c>
    </row>
    <row r="170" spans="1:1">
      <c r="A170" s="134">
        <f t="shared" si="0"/>
        <v>2009.05</v>
      </c>
    </row>
    <row r="171" spans="1:1">
      <c r="A171" s="134">
        <f t="shared" si="0"/>
        <v>2009.06</v>
      </c>
    </row>
    <row r="172" spans="1:1">
      <c r="A172" s="134">
        <f t="shared" si="0"/>
        <v>2009.07</v>
      </c>
    </row>
    <row r="173" spans="1:1">
      <c r="A173" s="134">
        <f t="shared" si="0"/>
        <v>2009.08</v>
      </c>
    </row>
    <row r="174" spans="1:1">
      <c r="A174" s="134">
        <f t="shared" si="0"/>
        <v>2009.09</v>
      </c>
    </row>
    <row r="175" spans="1:1">
      <c r="A175" s="134">
        <f t="shared" si="0"/>
        <v>2009.1</v>
      </c>
    </row>
    <row r="176" spans="1:1">
      <c r="A176" s="134">
        <f t="shared" si="0"/>
        <v>2009.11</v>
      </c>
    </row>
    <row r="177" spans="1:1">
      <c r="A177" s="134">
        <f t="shared" si="0"/>
        <v>2009.12</v>
      </c>
    </row>
    <row r="178" spans="1:1">
      <c r="A178" s="134">
        <f t="shared" si="0"/>
        <v>2010.01</v>
      </c>
    </row>
    <row r="179" spans="1:1">
      <c r="A179" s="134">
        <f t="shared" si="0"/>
        <v>2010.02</v>
      </c>
    </row>
    <row r="180" spans="1:1">
      <c r="A180" s="134">
        <f t="shared" si="0"/>
        <v>2010.03</v>
      </c>
    </row>
    <row r="181" spans="1:1">
      <c r="A181" s="134">
        <f t="shared" si="0"/>
        <v>2010.04</v>
      </c>
    </row>
    <row r="182" spans="1:1">
      <c r="A182" s="134">
        <f t="shared" si="0"/>
        <v>2010.05</v>
      </c>
    </row>
    <row r="183" spans="1:1">
      <c r="A183" s="134">
        <f t="shared" si="0"/>
        <v>2010.06</v>
      </c>
    </row>
    <row r="184" spans="1:1">
      <c r="A184" s="134">
        <f t="shared" si="0"/>
        <v>2010.07</v>
      </c>
    </row>
    <row r="185" spans="1:1">
      <c r="A185" s="134">
        <f t="shared" si="0"/>
        <v>2010.08</v>
      </c>
    </row>
    <row r="186" spans="1:1">
      <c r="A186" s="134">
        <f t="shared" si="0"/>
        <v>2010.09</v>
      </c>
    </row>
    <row r="187" spans="1:1">
      <c r="A187" s="134">
        <f t="shared" si="0"/>
        <v>2010.1</v>
      </c>
    </row>
    <row r="188" spans="1:1">
      <c r="A188" s="134">
        <f t="shared" si="0"/>
        <v>2010.11</v>
      </c>
    </row>
    <row r="189" spans="1:1">
      <c r="A189" s="134">
        <f t="shared" si="0"/>
        <v>2010.12</v>
      </c>
    </row>
    <row r="190" spans="1:1">
      <c r="A190" s="134">
        <f t="shared" si="0"/>
        <v>2011.01</v>
      </c>
    </row>
    <row r="191" spans="1:1">
      <c r="A191" s="134">
        <f t="shared" si="0"/>
        <v>2011.02</v>
      </c>
    </row>
    <row r="192" spans="1:1">
      <c r="A192" s="134">
        <f t="shared" si="0"/>
        <v>2011.03</v>
      </c>
    </row>
    <row r="193" spans="1:1">
      <c r="A193" s="134">
        <f t="shared" si="0"/>
        <v>2011.04</v>
      </c>
    </row>
    <row r="194" spans="1:1">
      <c r="A194" s="134">
        <f t="shared" si="0"/>
        <v>2011.05</v>
      </c>
    </row>
    <row r="195" spans="1:1">
      <c r="A195" s="134">
        <f t="shared" si="0"/>
        <v>2011.06</v>
      </c>
    </row>
    <row r="196" spans="1:1">
      <c r="A196" s="134">
        <f t="shared" si="0"/>
        <v>2011.07</v>
      </c>
    </row>
    <row r="197" spans="1:1">
      <c r="A197" s="134">
        <f t="shared" si="0"/>
        <v>2011.08</v>
      </c>
    </row>
    <row r="198" spans="1:1">
      <c r="A198" s="134">
        <f t="shared" si="0"/>
        <v>2011.09</v>
      </c>
    </row>
    <row r="199" spans="1:1">
      <c r="A199" s="134">
        <f t="shared" si="0"/>
        <v>2011.1</v>
      </c>
    </row>
    <row r="200" spans="1:1">
      <c r="A200" s="134">
        <f t="shared" si="0"/>
        <v>2011.11</v>
      </c>
    </row>
    <row r="201" spans="1:1">
      <c r="A201" s="134">
        <f t="shared" si="0"/>
        <v>2011.12</v>
      </c>
    </row>
    <row r="202" spans="1:1">
      <c r="A202" s="134">
        <f t="shared" si="0"/>
        <v>2012.01</v>
      </c>
    </row>
    <row r="203" spans="1:1">
      <c r="A203" s="134">
        <f t="shared" si="0"/>
        <v>2012.02</v>
      </c>
    </row>
    <row r="204" spans="1:1">
      <c r="A204" s="134">
        <f t="shared" si="0"/>
        <v>2012.03</v>
      </c>
    </row>
    <row r="205" spans="1:1">
      <c r="A205" s="134">
        <f t="shared" si="0"/>
        <v>2012.04</v>
      </c>
    </row>
    <row r="206" spans="1:1">
      <c r="A206" s="134">
        <f t="shared" si="0"/>
        <v>2012.05</v>
      </c>
    </row>
    <row r="207" spans="1:1">
      <c r="A207" s="134">
        <f t="shared" si="0"/>
        <v>2012.06</v>
      </c>
    </row>
    <row r="208" spans="1:1">
      <c r="A208" s="134">
        <f t="shared" si="0"/>
        <v>2012.07</v>
      </c>
    </row>
    <row r="209" spans="1:1">
      <c r="A209" s="134">
        <f t="shared" si="0"/>
        <v>2012.08</v>
      </c>
    </row>
    <row r="210" spans="1:1">
      <c r="A210" s="134">
        <f t="shared" si="0"/>
        <v>2012.09</v>
      </c>
    </row>
    <row r="211" spans="1:1">
      <c r="A211" s="134">
        <f t="shared" si="0"/>
        <v>2012.1</v>
      </c>
    </row>
    <row r="212" spans="1:1">
      <c r="A212" s="134">
        <f t="shared" si="0"/>
        <v>2012.11</v>
      </c>
    </row>
    <row r="213" spans="1:1">
      <c r="A213" s="134">
        <f t="shared" si="0"/>
        <v>2012.12</v>
      </c>
    </row>
    <row r="214" spans="1:1">
      <c r="A214" s="134">
        <f t="shared" si="0"/>
        <v>2013.01</v>
      </c>
    </row>
    <row r="215" spans="1:1">
      <c r="A215" s="134">
        <f t="shared" si="0"/>
        <v>2013.02</v>
      </c>
    </row>
    <row r="216" spans="1:1">
      <c r="A216" s="134">
        <f t="shared" si="0"/>
        <v>2013.03</v>
      </c>
    </row>
    <row r="217" spans="1:1">
      <c r="A217" s="134">
        <f t="shared" si="0"/>
        <v>2013.04</v>
      </c>
    </row>
    <row r="218" spans="1:1">
      <c r="A218" s="134">
        <f t="shared" ref="A218:A281" si="1">A206+1</f>
        <v>2013.05</v>
      </c>
    </row>
    <row r="219" spans="1:1">
      <c r="A219" s="134">
        <f t="shared" si="1"/>
        <v>2013.06</v>
      </c>
    </row>
    <row r="220" spans="1:1">
      <c r="A220" s="134">
        <f t="shared" si="1"/>
        <v>2013.07</v>
      </c>
    </row>
    <row r="221" spans="1:1">
      <c r="A221" s="134">
        <f t="shared" si="1"/>
        <v>2013.08</v>
      </c>
    </row>
    <row r="222" spans="1:1">
      <c r="A222" s="134">
        <f t="shared" si="1"/>
        <v>2013.09</v>
      </c>
    </row>
    <row r="223" spans="1:1">
      <c r="A223" s="134">
        <f t="shared" si="1"/>
        <v>2013.1</v>
      </c>
    </row>
    <row r="224" spans="1:1">
      <c r="A224" s="134">
        <f t="shared" si="1"/>
        <v>2013.11</v>
      </c>
    </row>
    <row r="225" spans="1:1">
      <c r="A225" s="134">
        <f t="shared" si="1"/>
        <v>2013.12</v>
      </c>
    </row>
    <row r="226" spans="1:1">
      <c r="A226" s="134">
        <f t="shared" si="1"/>
        <v>2014.01</v>
      </c>
    </row>
    <row r="227" spans="1:1">
      <c r="A227" s="134">
        <f t="shared" si="1"/>
        <v>2014.02</v>
      </c>
    </row>
    <row r="228" spans="1:1">
      <c r="A228" s="134">
        <f t="shared" si="1"/>
        <v>2014.03</v>
      </c>
    </row>
    <row r="229" spans="1:1">
      <c r="A229" s="134">
        <f t="shared" si="1"/>
        <v>2014.04</v>
      </c>
    </row>
    <row r="230" spans="1:1">
      <c r="A230" s="134">
        <f t="shared" si="1"/>
        <v>2014.05</v>
      </c>
    </row>
    <row r="231" spans="1:1">
      <c r="A231" s="134">
        <f t="shared" si="1"/>
        <v>2014.06</v>
      </c>
    </row>
    <row r="232" spans="1:1">
      <c r="A232" s="134">
        <f t="shared" si="1"/>
        <v>2014.07</v>
      </c>
    </row>
    <row r="233" spans="1:1">
      <c r="A233" s="134">
        <f t="shared" si="1"/>
        <v>2014.08</v>
      </c>
    </row>
    <row r="234" spans="1:1">
      <c r="A234" s="134">
        <f t="shared" si="1"/>
        <v>2014.09</v>
      </c>
    </row>
    <row r="235" spans="1:1">
      <c r="A235" s="134">
        <f t="shared" si="1"/>
        <v>2014.1</v>
      </c>
    </row>
    <row r="236" spans="1:1">
      <c r="A236" s="134">
        <f t="shared" si="1"/>
        <v>2014.11</v>
      </c>
    </row>
    <row r="237" spans="1:1">
      <c r="A237" s="134">
        <f t="shared" si="1"/>
        <v>2014.12</v>
      </c>
    </row>
    <row r="238" spans="1:1">
      <c r="A238" s="134">
        <f t="shared" si="1"/>
        <v>2015.01</v>
      </c>
    </row>
    <row r="239" spans="1:1">
      <c r="A239" s="134">
        <f t="shared" si="1"/>
        <v>2015.02</v>
      </c>
    </row>
    <row r="240" spans="1:1">
      <c r="A240" s="134">
        <f t="shared" si="1"/>
        <v>2015.03</v>
      </c>
    </row>
    <row r="241" spans="1:1">
      <c r="A241" s="134">
        <f t="shared" si="1"/>
        <v>2015.04</v>
      </c>
    </row>
    <row r="242" spans="1:1">
      <c r="A242" s="134">
        <f t="shared" si="1"/>
        <v>2015.05</v>
      </c>
    </row>
    <row r="243" spans="1:1">
      <c r="A243" s="134">
        <f t="shared" si="1"/>
        <v>2015.06</v>
      </c>
    </row>
    <row r="244" spans="1:1">
      <c r="A244" s="134">
        <f t="shared" si="1"/>
        <v>2015.07</v>
      </c>
    </row>
    <row r="245" spans="1:1">
      <c r="A245" s="134">
        <f t="shared" si="1"/>
        <v>2015.08</v>
      </c>
    </row>
    <row r="246" spans="1:1">
      <c r="A246" s="134">
        <f t="shared" si="1"/>
        <v>2015.09</v>
      </c>
    </row>
    <row r="247" spans="1:1">
      <c r="A247" s="134">
        <f t="shared" si="1"/>
        <v>2015.1</v>
      </c>
    </row>
    <row r="248" spans="1:1">
      <c r="A248" s="134">
        <f t="shared" si="1"/>
        <v>2015.11</v>
      </c>
    </row>
    <row r="249" spans="1:1">
      <c r="A249" s="134">
        <f t="shared" si="1"/>
        <v>2015.12</v>
      </c>
    </row>
    <row r="250" spans="1:1">
      <c r="A250" s="134">
        <f t="shared" si="1"/>
        <v>2016.01</v>
      </c>
    </row>
    <row r="251" spans="1:1">
      <c r="A251" s="134">
        <f t="shared" si="1"/>
        <v>2016.02</v>
      </c>
    </row>
    <row r="252" spans="1:1">
      <c r="A252" s="134">
        <f t="shared" si="1"/>
        <v>2016.03</v>
      </c>
    </row>
    <row r="253" spans="1:1">
      <c r="A253" s="134">
        <f t="shared" si="1"/>
        <v>2016.04</v>
      </c>
    </row>
    <row r="254" spans="1:1">
      <c r="A254" s="134">
        <f t="shared" si="1"/>
        <v>2016.05</v>
      </c>
    </row>
    <row r="255" spans="1:1">
      <c r="A255" s="134">
        <f t="shared" si="1"/>
        <v>2016.06</v>
      </c>
    </row>
    <row r="256" spans="1:1">
      <c r="A256" s="134">
        <f t="shared" si="1"/>
        <v>2016.07</v>
      </c>
    </row>
    <row r="257" spans="1:1">
      <c r="A257" s="134">
        <f t="shared" si="1"/>
        <v>2016.08</v>
      </c>
    </row>
    <row r="258" spans="1:1">
      <c r="A258" s="134">
        <f t="shared" si="1"/>
        <v>2016.09</v>
      </c>
    </row>
    <row r="259" spans="1:1">
      <c r="A259" s="134">
        <f t="shared" si="1"/>
        <v>2016.1</v>
      </c>
    </row>
    <row r="260" spans="1:1">
      <c r="A260" s="134">
        <f t="shared" si="1"/>
        <v>2016.11</v>
      </c>
    </row>
    <row r="261" spans="1:1">
      <c r="A261" s="134">
        <f t="shared" si="1"/>
        <v>2016.12</v>
      </c>
    </row>
    <row r="262" spans="1:1">
      <c r="A262" s="134">
        <f t="shared" si="1"/>
        <v>2017.01</v>
      </c>
    </row>
    <row r="263" spans="1:1">
      <c r="A263" s="134">
        <f t="shared" si="1"/>
        <v>2017.02</v>
      </c>
    </row>
    <row r="264" spans="1:1">
      <c r="A264" s="134">
        <f t="shared" si="1"/>
        <v>2017.03</v>
      </c>
    </row>
    <row r="265" spans="1:1">
      <c r="A265" s="134">
        <f t="shared" si="1"/>
        <v>2017.04</v>
      </c>
    </row>
    <row r="266" spans="1:1">
      <c r="A266" s="134">
        <f t="shared" si="1"/>
        <v>2017.05</v>
      </c>
    </row>
    <row r="267" spans="1:1">
      <c r="A267" s="134">
        <f t="shared" si="1"/>
        <v>2017.06</v>
      </c>
    </row>
    <row r="268" spans="1:1">
      <c r="A268" s="134">
        <f t="shared" si="1"/>
        <v>2017.07</v>
      </c>
    </row>
    <row r="269" spans="1:1">
      <c r="A269" s="134">
        <f t="shared" si="1"/>
        <v>2017.08</v>
      </c>
    </row>
    <row r="270" spans="1:1">
      <c r="A270" s="134">
        <f t="shared" si="1"/>
        <v>2017.09</v>
      </c>
    </row>
    <row r="271" spans="1:1">
      <c r="A271" s="134">
        <f t="shared" si="1"/>
        <v>2017.1</v>
      </c>
    </row>
    <row r="272" spans="1:1">
      <c r="A272" s="134">
        <f t="shared" si="1"/>
        <v>2017.11</v>
      </c>
    </row>
    <row r="273" spans="1:1">
      <c r="A273" s="134">
        <f t="shared" si="1"/>
        <v>2017.12</v>
      </c>
    </row>
    <row r="274" spans="1:1">
      <c r="A274" s="134">
        <f t="shared" si="1"/>
        <v>2018.01</v>
      </c>
    </row>
    <row r="275" spans="1:1">
      <c r="A275" s="134">
        <f t="shared" si="1"/>
        <v>2018.02</v>
      </c>
    </row>
    <row r="276" spans="1:1">
      <c r="A276" s="134">
        <f t="shared" si="1"/>
        <v>2018.03</v>
      </c>
    </row>
    <row r="277" spans="1:1">
      <c r="A277" s="134">
        <f t="shared" si="1"/>
        <v>2018.04</v>
      </c>
    </row>
    <row r="278" spans="1:1">
      <c r="A278" s="134">
        <f t="shared" si="1"/>
        <v>2018.05</v>
      </c>
    </row>
    <row r="279" spans="1:1">
      <c r="A279" s="134">
        <f t="shared" si="1"/>
        <v>2018.06</v>
      </c>
    </row>
    <row r="280" spans="1:1">
      <c r="A280" s="134">
        <f t="shared" si="1"/>
        <v>2018.07</v>
      </c>
    </row>
    <row r="281" spans="1:1">
      <c r="A281" s="134">
        <f t="shared" si="1"/>
        <v>2018.08</v>
      </c>
    </row>
    <row r="282" spans="1:1">
      <c r="A282" s="134">
        <f t="shared" ref="A282:A345" si="2">A270+1</f>
        <v>2018.09</v>
      </c>
    </row>
    <row r="283" spans="1:1">
      <c r="A283" s="134">
        <f t="shared" si="2"/>
        <v>2018.1</v>
      </c>
    </row>
    <row r="284" spans="1:1">
      <c r="A284" s="134">
        <f t="shared" si="2"/>
        <v>2018.11</v>
      </c>
    </row>
    <row r="285" spans="1:1">
      <c r="A285" s="134">
        <f t="shared" si="2"/>
        <v>2018.12</v>
      </c>
    </row>
    <row r="286" spans="1:1">
      <c r="A286" s="134">
        <f t="shared" si="2"/>
        <v>2019.01</v>
      </c>
    </row>
    <row r="287" spans="1:1">
      <c r="A287" s="134">
        <f t="shared" si="2"/>
        <v>2019.02</v>
      </c>
    </row>
    <row r="288" spans="1:1">
      <c r="A288" s="134">
        <f t="shared" si="2"/>
        <v>2019.03</v>
      </c>
    </row>
    <row r="289" spans="1:1">
      <c r="A289" s="134">
        <f t="shared" si="2"/>
        <v>2019.04</v>
      </c>
    </row>
    <row r="290" spans="1:1">
      <c r="A290" s="134">
        <f t="shared" si="2"/>
        <v>2019.05</v>
      </c>
    </row>
    <row r="291" spans="1:1">
      <c r="A291" s="134">
        <f t="shared" si="2"/>
        <v>2019.06</v>
      </c>
    </row>
    <row r="292" spans="1:1">
      <c r="A292" s="134">
        <f t="shared" si="2"/>
        <v>2019.07</v>
      </c>
    </row>
    <row r="293" spans="1:1">
      <c r="A293" s="134">
        <f t="shared" si="2"/>
        <v>2019.08</v>
      </c>
    </row>
    <row r="294" spans="1:1">
      <c r="A294" s="134">
        <f t="shared" si="2"/>
        <v>2019.09</v>
      </c>
    </row>
    <row r="295" spans="1:1">
      <c r="A295" s="134">
        <f t="shared" si="2"/>
        <v>2019.1</v>
      </c>
    </row>
    <row r="296" spans="1:1">
      <c r="A296" s="134">
        <f t="shared" si="2"/>
        <v>2019.11</v>
      </c>
    </row>
    <row r="297" spans="1:1">
      <c r="A297" s="134">
        <f t="shared" si="2"/>
        <v>2019.12</v>
      </c>
    </row>
    <row r="298" spans="1:1">
      <c r="A298" s="134">
        <f t="shared" si="2"/>
        <v>2020.01</v>
      </c>
    </row>
    <row r="299" spans="1:1">
      <c r="A299" s="134">
        <f t="shared" si="2"/>
        <v>2020.02</v>
      </c>
    </row>
    <row r="300" spans="1:1">
      <c r="A300" s="134">
        <f t="shared" si="2"/>
        <v>2020.03</v>
      </c>
    </row>
    <row r="301" spans="1:1">
      <c r="A301" s="134">
        <f t="shared" si="2"/>
        <v>2020.04</v>
      </c>
    </row>
    <row r="302" spans="1:1">
      <c r="A302" s="134">
        <f t="shared" si="2"/>
        <v>2020.05</v>
      </c>
    </row>
    <row r="303" spans="1:1">
      <c r="A303" s="134">
        <f t="shared" si="2"/>
        <v>2020.06</v>
      </c>
    </row>
    <row r="304" spans="1:1">
      <c r="A304" s="134">
        <f t="shared" si="2"/>
        <v>2020.07</v>
      </c>
    </row>
    <row r="305" spans="1:1">
      <c r="A305" s="134">
        <f t="shared" si="2"/>
        <v>2020.08</v>
      </c>
    </row>
    <row r="306" spans="1:1">
      <c r="A306" s="134">
        <f t="shared" si="2"/>
        <v>2020.09</v>
      </c>
    </row>
    <row r="307" spans="1:1">
      <c r="A307" s="134">
        <f t="shared" si="2"/>
        <v>2020.1</v>
      </c>
    </row>
    <row r="308" spans="1:1">
      <c r="A308" s="134">
        <f t="shared" si="2"/>
        <v>2020.11</v>
      </c>
    </row>
    <row r="309" spans="1:1">
      <c r="A309" s="134">
        <f t="shared" si="2"/>
        <v>2020.12</v>
      </c>
    </row>
    <row r="310" spans="1:1">
      <c r="A310" s="134">
        <f t="shared" si="2"/>
        <v>2021.01</v>
      </c>
    </row>
    <row r="311" spans="1:1">
      <c r="A311" s="134">
        <f t="shared" si="2"/>
        <v>2021.02</v>
      </c>
    </row>
    <row r="312" spans="1:1">
      <c r="A312" s="134">
        <f t="shared" si="2"/>
        <v>2021.03</v>
      </c>
    </row>
    <row r="313" spans="1:1">
      <c r="A313" s="134">
        <f t="shared" si="2"/>
        <v>2021.04</v>
      </c>
    </row>
    <row r="314" spans="1:1">
      <c r="A314" s="134">
        <f t="shared" si="2"/>
        <v>2021.05</v>
      </c>
    </row>
    <row r="315" spans="1:1">
      <c r="A315" s="134">
        <f t="shared" si="2"/>
        <v>2021.06</v>
      </c>
    </row>
    <row r="316" spans="1:1">
      <c r="A316" s="134">
        <f t="shared" si="2"/>
        <v>2021.07</v>
      </c>
    </row>
    <row r="317" spans="1:1">
      <c r="A317" s="134">
        <f t="shared" si="2"/>
        <v>2021.08</v>
      </c>
    </row>
    <row r="318" spans="1:1">
      <c r="A318" s="134">
        <f t="shared" si="2"/>
        <v>2021.09</v>
      </c>
    </row>
    <row r="319" spans="1:1">
      <c r="A319" s="134">
        <f t="shared" si="2"/>
        <v>2021.1</v>
      </c>
    </row>
    <row r="320" spans="1:1">
      <c r="A320" s="134">
        <f t="shared" si="2"/>
        <v>2021.11</v>
      </c>
    </row>
    <row r="321" spans="1:1">
      <c r="A321" s="134">
        <f t="shared" si="2"/>
        <v>2021.12</v>
      </c>
    </row>
    <row r="322" spans="1:1">
      <c r="A322" s="134">
        <f t="shared" si="2"/>
        <v>2022.01</v>
      </c>
    </row>
    <row r="323" spans="1:1">
      <c r="A323" s="134">
        <f t="shared" si="2"/>
        <v>2022.02</v>
      </c>
    </row>
    <row r="324" spans="1:1">
      <c r="A324" s="134">
        <f t="shared" si="2"/>
        <v>2022.03</v>
      </c>
    </row>
    <row r="325" spans="1:1">
      <c r="A325" s="134">
        <f t="shared" si="2"/>
        <v>2022.04</v>
      </c>
    </row>
    <row r="326" spans="1:1">
      <c r="A326" s="134">
        <f t="shared" si="2"/>
        <v>2022.05</v>
      </c>
    </row>
    <row r="327" spans="1:1">
      <c r="A327" s="134">
        <f t="shared" si="2"/>
        <v>2022.06</v>
      </c>
    </row>
    <row r="328" spans="1:1">
      <c r="A328" s="134">
        <f t="shared" si="2"/>
        <v>2022.07</v>
      </c>
    </row>
    <row r="329" spans="1:1">
      <c r="A329" s="134">
        <f t="shared" si="2"/>
        <v>2022.08</v>
      </c>
    </row>
    <row r="330" spans="1:1">
      <c r="A330" s="134">
        <f t="shared" si="2"/>
        <v>2022.09</v>
      </c>
    </row>
    <row r="331" spans="1:1">
      <c r="A331" s="134">
        <f t="shared" si="2"/>
        <v>2022.1</v>
      </c>
    </row>
    <row r="332" spans="1:1">
      <c r="A332" s="134">
        <f t="shared" si="2"/>
        <v>2022.11</v>
      </c>
    </row>
    <row r="333" spans="1:1">
      <c r="A333" s="134">
        <f t="shared" si="2"/>
        <v>2022.12</v>
      </c>
    </row>
    <row r="334" spans="1:1">
      <c r="A334" s="134">
        <f t="shared" si="2"/>
        <v>2023.01</v>
      </c>
    </row>
    <row r="335" spans="1:1">
      <c r="A335" s="134">
        <f t="shared" si="2"/>
        <v>2023.02</v>
      </c>
    </row>
    <row r="336" spans="1:1">
      <c r="A336" s="134">
        <f t="shared" si="2"/>
        <v>2023.03</v>
      </c>
    </row>
    <row r="337" spans="1:1">
      <c r="A337" s="134">
        <f t="shared" si="2"/>
        <v>2023.04</v>
      </c>
    </row>
    <row r="338" spans="1:1">
      <c r="A338" s="134">
        <f t="shared" si="2"/>
        <v>2023.05</v>
      </c>
    </row>
    <row r="339" spans="1:1">
      <c r="A339" s="134">
        <f t="shared" si="2"/>
        <v>2023.06</v>
      </c>
    </row>
    <row r="340" spans="1:1">
      <c r="A340" s="134">
        <f t="shared" si="2"/>
        <v>2023.07</v>
      </c>
    </row>
    <row r="341" spans="1:1">
      <c r="A341" s="134">
        <f t="shared" si="2"/>
        <v>2023.08</v>
      </c>
    </row>
    <row r="342" spans="1:1">
      <c r="A342" s="134">
        <f t="shared" si="2"/>
        <v>2023.09</v>
      </c>
    </row>
    <row r="343" spans="1:1">
      <c r="A343" s="134">
        <f t="shared" si="2"/>
        <v>2023.1</v>
      </c>
    </row>
    <row r="344" spans="1:1">
      <c r="A344" s="134">
        <f t="shared" si="2"/>
        <v>2023.11</v>
      </c>
    </row>
    <row r="345" spans="1:1">
      <c r="A345" s="134">
        <f t="shared" si="2"/>
        <v>2023.12</v>
      </c>
    </row>
    <row r="346" spans="1:1">
      <c r="A346" s="134">
        <f t="shared" ref="A346:A369" si="3">A334+1</f>
        <v>2024.01</v>
      </c>
    </row>
    <row r="347" spans="1:1">
      <c r="A347" s="134">
        <f t="shared" si="3"/>
        <v>2024.02</v>
      </c>
    </row>
    <row r="348" spans="1:1">
      <c r="A348" s="134">
        <f t="shared" si="3"/>
        <v>2024.03</v>
      </c>
    </row>
    <row r="349" spans="1:1">
      <c r="A349" s="134">
        <f t="shared" si="3"/>
        <v>2024.04</v>
      </c>
    </row>
    <row r="350" spans="1:1">
      <c r="A350" s="134">
        <f t="shared" si="3"/>
        <v>2024.05</v>
      </c>
    </row>
    <row r="351" spans="1:1">
      <c r="A351" s="134">
        <f t="shared" si="3"/>
        <v>2024.06</v>
      </c>
    </row>
    <row r="352" spans="1:1">
      <c r="A352" s="134">
        <f t="shared" si="3"/>
        <v>2024.07</v>
      </c>
    </row>
    <row r="353" spans="1:1">
      <c r="A353" s="134">
        <f t="shared" si="3"/>
        <v>2024.08</v>
      </c>
    </row>
    <row r="354" spans="1:1">
      <c r="A354" s="134">
        <f t="shared" si="3"/>
        <v>2024.09</v>
      </c>
    </row>
    <row r="355" spans="1:1">
      <c r="A355" s="134">
        <f t="shared" si="3"/>
        <v>2024.1</v>
      </c>
    </row>
    <row r="356" spans="1:1">
      <c r="A356" s="134">
        <f t="shared" si="3"/>
        <v>2024.11</v>
      </c>
    </row>
    <row r="357" spans="1:1">
      <c r="A357" s="134">
        <f t="shared" si="3"/>
        <v>2024.12</v>
      </c>
    </row>
    <row r="358" spans="1:1">
      <c r="A358" s="134">
        <f t="shared" si="3"/>
        <v>2025.01</v>
      </c>
    </row>
    <row r="359" spans="1:1">
      <c r="A359" s="134">
        <f t="shared" si="3"/>
        <v>2025.02</v>
      </c>
    </row>
    <row r="360" spans="1:1">
      <c r="A360" s="134">
        <f t="shared" si="3"/>
        <v>2025.03</v>
      </c>
    </row>
    <row r="361" spans="1:1">
      <c r="A361" s="134">
        <f t="shared" si="3"/>
        <v>2025.04</v>
      </c>
    </row>
    <row r="362" spans="1:1">
      <c r="A362" s="134">
        <f t="shared" si="3"/>
        <v>2025.05</v>
      </c>
    </row>
    <row r="363" spans="1:1">
      <c r="A363" s="134">
        <f t="shared" si="3"/>
        <v>2025.06</v>
      </c>
    </row>
    <row r="364" spans="1:1">
      <c r="A364" s="134">
        <f t="shared" si="3"/>
        <v>2025.07</v>
      </c>
    </row>
    <row r="365" spans="1:1">
      <c r="A365" s="134">
        <f t="shared" si="3"/>
        <v>2025.08</v>
      </c>
    </row>
    <row r="366" spans="1:1">
      <c r="A366" s="134">
        <f t="shared" si="3"/>
        <v>2025.09</v>
      </c>
    </row>
    <row r="367" spans="1:1">
      <c r="A367" s="134">
        <f t="shared" si="3"/>
        <v>2025.1</v>
      </c>
    </row>
    <row r="368" spans="1:1">
      <c r="A368" s="134">
        <f t="shared" si="3"/>
        <v>2025.11</v>
      </c>
    </row>
    <row r="369" spans="1:1">
      <c r="A369" s="134">
        <f t="shared" si="3"/>
        <v>2025.12</v>
      </c>
    </row>
    <row r="370" spans="1:1">
      <c r="A370" s="2765">
        <v>2026.01</v>
      </c>
    </row>
    <row r="371" spans="1:1">
      <c r="A371" s="2765">
        <v>2026.02</v>
      </c>
    </row>
    <row r="372" spans="1:1">
      <c r="A372" s="2765">
        <v>2026.03</v>
      </c>
    </row>
    <row r="373" spans="1:1">
      <c r="A373" s="2765">
        <v>2026.04</v>
      </c>
    </row>
    <row r="374" spans="1:1">
      <c r="A374" s="2765">
        <v>2026.05</v>
      </c>
    </row>
    <row r="375" spans="1:1">
      <c r="A375" s="2765">
        <v>2026.06</v>
      </c>
    </row>
    <row r="376" spans="1:1">
      <c r="A376" s="2765">
        <v>2026.07</v>
      </c>
    </row>
    <row r="377" spans="1:1">
      <c r="A377" s="2765">
        <v>2026.08</v>
      </c>
    </row>
    <row r="378" spans="1:1">
      <c r="A378" s="2765">
        <v>2026.09</v>
      </c>
    </row>
    <row r="379" spans="1:1">
      <c r="A379" s="2765">
        <v>2026.1</v>
      </c>
    </row>
    <row r="380" spans="1:1">
      <c r="A380" s="2765">
        <v>2026.11</v>
      </c>
    </row>
    <row r="381" spans="1:1">
      <c r="A381" s="2765">
        <v>2026.12</v>
      </c>
    </row>
    <row r="382" spans="1:1">
      <c r="A382" s="2765">
        <v>2027.01</v>
      </c>
    </row>
    <row r="383" spans="1:1">
      <c r="A383" s="2765">
        <v>2027.02</v>
      </c>
    </row>
    <row r="384" spans="1:1">
      <c r="A384" s="2765">
        <v>2027.03</v>
      </c>
    </row>
    <row r="385" spans="1:1">
      <c r="A385" s="2765">
        <v>2027.04</v>
      </c>
    </row>
    <row r="386" spans="1:1">
      <c r="A386" s="2765">
        <v>2027.05</v>
      </c>
    </row>
    <row r="387" spans="1:1">
      <c r="A387" s="2765">
        <v>2027.06</v>
      </c>
    </row>
    <row r="388" spans="1:1">
      <c r="A388" s="2765">
        <v>2027.07</v>
      </c>
    </row>
    <row r="389" spans="1:1">
      <c r="A389" s="2765">
        <v>2027.08</v>
      </c>
    </row>
    <row r="390" spans="1:1">
      <c r="A390" s="2765">
        <v>2027.09</v>
      </c>
    </row>
    <row r="391" spans="1:1">
      <c r="A391" s="2765">
        <v>2027.1</v>
      </c>
    </row>
    <row r="392" spans="1:1">
      <c r="A392" s="2765">
        <v>2027.11</v>
      </c>
    </row>
    <row r="393" spans="1:1">
      <c r="A393" s="2765">
        <v>2027.12</v>
      </c>
    </row>
    <row r="394" spans="1:1">
      <c r="A394" s="2765">
        <v>2028.01</v>
      </c>
    </row>
    <row r="395" spans="1:1">
      <c r="A395" s="2765">
        <v>2028.02</v>
      </c>
    </row>
    <row r="396" spans="1:1">
      <c r="A396" s="2765">
        <v>2028.03</v>
      </c>
    </row>
    <row r="397" spans="1:1">
      <c r="A397" s="2765">
        <v>2028.04</v>
      </c>
    </row>
    <row r="398" spans="1:1">
      <c r="A398" s="2765">
        <v>2028.05</v>
      </c>
    </row>
    <row r="399" spans="1:1">
      <c r="A399" s="2765">
        <v>2028.06</v>
      </c>
    </row>
    <row r="400" spans="1:1">
      <c r="A400" s="2765">
        <v>2028.07</v>
      </c>
    </row>
    <row r="401" spans="1:1">
      <c r="A401" s="2765">
        <v>2028.08</v>
      </c>
    </row>
    <row r="402" spans="1:1">
      <c r="A402" s="2765">
        <v>2028.09</v>
      </c>
    </row>
    <row r="403" spans="1:1">
      <c r="A403" s="2765">
        <v>2028.1</v>
      </c>
    </row>
    <row r="404" spans="1:1">
      <c r="A404" s="2765">
        <v>2028.11</v>
      </c>
    </row>
    <row r="405" spans="1:1">
      <c r="A405" s="2765">
        <v>2028.12</v>
      </c>
    </row>
    <row r="406" spans="1:1">
      <c r="A406" s="2765">
        <v>2029.01</v>
      </c>
    </row>
    <row r="407" spans="1:1">
      <c r="A407" s="2765">
        <v>2029.02</v>
      </c>
    </row>
    <row r="408" spans="1:1">
      <c r="A408" s="2765">
        <v>2029.03</v>
      </c>
    </row>
    <row r="409" spans="1:1">
      <c r="A409" s="2765">
        <v>2029.04</v>
      </c>
    </row>
    <row r="410" spans="1:1">
      <c r="A410" s="2765">
        <v>2029.05</v>
      </c>
    </row>
    <row r="411" spans="1:1">
      <c r="A411" s="2765">
        <v>2029.06</v>
      </c>
    </row>
    <row r="412" spans="1:1">
      <c r="A412" s="2765">
        <v>2029.07</v>
      </c>
    </row>
    <row r="413" spans="1:1">
      <c r="A413" s="2765">
        <v>2029.08</v>
      </c>
    </row>
    <row r="414" spans="1:1">
      <c r="A414" s="2765">
        <v>2029.09</v>
      </c>
    </row>
    <row r="415" spans="1:1">
      <c r="A415" s="2765">
        <v>2029.1</v>
      </c>
    </row>
    <row r="416" spans="1:1">
      <c r="A416" s="2765">
        <v>2029.11</v>
      </c>
    </row>
    <row r="417" spans="1:1">
      <c r="A417" s="2765">
        <v>2029.12</v>
      </c>
    </row>
    <row r="418" spans="1:1">
      <c r="A418" s="2765">
        <v>2030.01</v>
      </c>
    </row>
    <row r="419" spans="1:1">
      <c r="A419" s="2765">
        <v>2030.02</v>
      </c>
    </row>
    <row r="420" spans="1:1">
      <c r="A420" s="2765">
        <v>2030.03</v>
      </c>
    </row>
    <row r="421" spans="1:1">
      <c r="A421" s="2765">
        <v>2030.04</v>
      </c>
    </row>
    <row r="422" spans="1:1">
      <c r="A422" s="2765">
        <v>2030.05</v>
      </c>
    </row>
    <row r="423" spans="1:1">
      <c r="A423" s="2765">
        <v>2030.06</v>
      </c>
    </row>
    <row r="424" spans="1:1">
      <c r="A424" s="2765">
        <v>2030.07</v>
      </c>
    </row>
    <row r="425" spans="1:1">
      <c r="A425" s="2765">
        <v>2030.08</v>
      </c>
    </row>
    <row r="426" spans="1:1">
      <c r="A426" s="2765">
        <v>2030.09</v>
      </c>
    </row>
    <row r="427" spans="1:1">
      <c r="A427" s="2765">
        <v>2030.1</v>
      </c>
    </row>
    <row r="428" spans="1:1">
      <c r="A428" s="2765">
        <v>2030.11</v>
      </c>
    </row>
    <row r="429" spans="1:1">
      <c r="A429" s="2765">
        <v>2030.12</v>
      </c>
    </row>
  </sheetData>
  <phoneticPr fontId="58" type="noConversion"/>
  <hyperlinks>
    <hyperlink ref="A5" location="INDICE!A13" display="VOLVER AL INDICE" xr:uid="{00000000-0004-0000-3C00-000000000000}"/>
  </hyperlinks>
  <pageMargins left="0.75" right="0.75" top="1" bottom="1" header="0"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56"/>
  <sheetViews>
    <sheetView zoomScale="115" zoomScaleNormal="115" workbookViewId="0">
      <pane xSplit="1" ySplit="9" topLeftCell="B128" activePane="bottomRight" state="frozen"/>
      <selection activeCell="A5" sqref="A5"/>
      <selection pane="topRight" activeCell="A5" sqref="A5"/>
      <selection pane="bottomLeft" activeCell="A5" sqref="A5"/>
      <selection pane="bottomRight" activeCell="B145" sqref="B145"/>
    </sheetView>
  </sheetViews>
  <sheetFormatPr baseColWidth="10" defaultColWidth="11.42578125" defaultRowHeight="12.75"/>
  <cols>
    <col min="1" max="1" width="10.5703125" style="19" customWidth="1"/>
    <col min="2" max="2" width="13.28515625" style="19" bestFit="1" customWidth="1"/>
    <col min="3" max="3" width="13.42578125" style="19" bestFit="1" customWidth="1"/>
    <col min="4" max="4" width="18" style="19" customWidth="1"/>
    <col min="5" max="5" width="11.28515625" style="19" customWidth="1"/>
    <col min="6" max="6" width="13.5703125" style="19" customWidth="1"/>
    <col min="7" max="7" width="14.5703125" style="19" customWidth="1"/>
    <col min="8" max="21" width="13.5703125" style="19" customWidth="1"/>
    <col min="22" max="16384" width="11.42578125" style="2"/>
  </cols>
  <sheetData>
    <row r="1" spans="1:23" s="30" customFormat="1" ht="3" customHeight="1">
      <c r="A1" s="37"/>
      <c r="B1" s="98"/>
      <c r="C1" s="99"/>
      <c r="D1" s="99"/>
      <c r="E1" s="100"/>
      <c r="F1" s="100"/>
      <c r="G1" s="100"/>
      <c r="H1" s="100"/>
      <c r="I1" s="100"/>
      <c r="J1" s="100"/>
      <c r="K1" s="101"/>
      <c r="L1" s="102"/>
      <c r="M1" s="102"/>
      <c r="N1" s="102"/>
      <c r="O1" s="102"/>
      <c r="P1" s="102"/>
      <c r="Q1" s="102"/>
      <c r="R1" s="102"/>
      <c r="S1" s="102"/>
      <c r="T1" s="102"/>
      <c r="U1" s="103"/>
      <c r="V1" s="31"/>
      <c r="W1" s="32"/>
    </row>
    <row r="2" spans="1:23" s="11" customFormat="1">
      <c r="A2" s="39" t="s">
        <v>212</v>
      </c>
      <c r="B2" s="872" t="s">
        <v>1246</v>
      </c>
      <c r="C2" s="873"/>
      <c r="D2" s="873"/>
      <c r="E2" s="873"/>
      <c r="F2" s="873"/>
      <c r="G2" s="873"/>
      <c r="H2" s="873"/>
      <c r="I2" s="873"/>
      <c r="J2" s="873"/>
      <c r="K2" s="874"/>
      <c r="L2" s="874"/>
      <c r="M2" s="874"/>
      <c r="N2" s="874"/>
      <c r="O2" s="874"/>
      <c r="P2" s="874"/>
      <c r="Q2" s="874"/>
      <c r="R2" s="874"/>
      <c r="S2" s="874"/>
      <c r="T2" s="874"/>
      <c r="U2" s="875"/>
      <c r="V2" s="28"/>
    </row>
    <row r="3" spans="1:23" s="11" customFormat="1">
      <c r="A3" s="42" t="s">
        <v>211</v>
      </c>
      <c r="B3" s="872" t="s">
        <v>289</v>
      </c>
      <c r="C3" s="55"/>
      <c r="D3" s="55"/>
      <c r="E3" s="56"/>
      <c r="F3" s="56"/>
      <c r="G3" s="56"/>
      <c r="H3" s="56"/>
      <c r="I3" s="56"/>
      <c r="J3" s="56"/>
      <c r="K3" s="57"/>
      <c r="L3" s="57"/>
      <c r="M3" s="57"/>
      <c r="N3" s="57"/>
      <c r="O3" s="57"/>
      <c r="P3" s="57"/>
      <c r="Q3" s="57"/>
      <c r="R3" s="57"/>
      <c r="S3" s="57"/>
      <c r="T3" s="57"/>
      <c r="U3" s="58"/>
      <c r="V3" s="28"/>
    </row>
    <row r="4" spans="1:23" s="11" customFormat="1">
      <c r="A4" s="38"/>
      <c r="B4" s="62"/>
      <c r="C4" s="63"/>
      <c r="D4" s="63"/>
      <c r="E4" s="200"/>
      <c r="F4" s="533" t="s">
        <v>93</v>
      </c>
      <c r="G4" s="534"/>
      <c r="H4" s="534"/>
      <c r="I4" s="534"/>
      <c r="J4" s="534"/>
      <c r="K4" s="535"/>
      <c r="L4" s="533" t="s">
        <v>115</v>
      </c>
      <c r="M4" s="535"/>
      <c r="N4" s="535"/>
      <c r="O4" s="535"/>
      <c r="P4" s="535"/>
      <c r="Q4" s="535"/>
      <c r="R4" s="535"/>
      <c r="S4" s="535"/>
      <c r="T4" s="535"/>
      <c r="U4" s="536"/>
      <c r="V4" s="28"/>
    </row>
    <row r="5" spans="1:23" s="30" customFormat="1" ht="45">
      <c r="A5" s="45" t="s">
        <v>213</v>
      </c>
      <c r="B5" s="1355" t="s">
        <v>214</v>
      </c>
      <c r="C5" s="1525" t="s">
        <v>214</v>
      </c>
      <c r="D5" s="67" t="s">
        <v>1324</v>
      </c>
      <c r="E5" s="1358" t="s">
        <v>1318</v>
      </c>
      <c r="F5" s="1366" t="s">
        <v>1072</v>
      </c>
      <c r="G5" s="1373" t="s">
        <v>94</v>
      </c>
      <c r="H5" s="1373" t="s">
        <v>1300</v>
      </c>
      <c r="I5" s="1378" t="s">
        <v>95</v>
      </c>
      <c r="J5" s="1373" t="s">
        <v>96</v>
      </c>
      <c r="K5" s="1378" t="s">
        <v>97</v>
      </c>
      <c r="L5" s="1382" t="s">
        <v>98</v>
      </c>
      <c r="M5" s="1385" t="s">
        <v>99</v>
      </c>
      <c r="N5" s="1366" t="s">
        <v>100</v>
      </c>
      <c r="O5" s="1385" t="s">
        <v>101</v>
      </c>
      <c r="P5" s="1366" t="s">
        <v>102</v>
      </c>
      <c r="Q5" s="1385" t="s">
        <v>103</v>
      </c>
      <c r="R5" s="1366" t="s">
        <v>104</v>
      </c>
      <c r="S5" s="1385" t="s">
        <v>105</v>
      </c>
      <c r="T5" s="1385" t="s">
        <v>106</v>
      </c>
      <c r="U5" s="1389" t="s">
        <v>107</v>
      </c>
      <c r="V5" s="29"/>
    </row>
    <row r="6" spans="1:23" s="30" customFormat="1" ht="11.25" customHeight="1">
      <c r="A6" s="36"/>
      <c r="B6" s="1356"/>
      <c r="C6" s="1526"/>
      <c r="D6" s="65" t="s">
        <v>74</v>
      </c>
      <c r="E6" s="1532"/>
      <c r="F6" s="1367" t="s">
        <v>84</v>
      </c>
      <c r="G6" s="1374" t="s">
        <v>85</v>
      </c>
      <c r="H6" s="1374" t="s">
        <v>86</v>
      </c>
      <c r="I6" s="1367" t="s">
        <v>87</v>
      </c>
      <c r="J6" s="1374" t="s">
        <v>88</v>
      </c>
      <c r="K6" s="1381" t="s">
        <v>89</v>
      </c>
      <c r="L6" s="1383" t="s">
        <v>90</v>
      </c>
      <c r="M6" s="1386" t="s">
        <v>91</v>
      </c>
      <c r="N6" s="1388" t="s">
        <v>92</v>
      </c>
      <c r="O6" s="1386" t="s">
        <v>108</v>
      </c>
      <c r="P6" s="1388" t="s">
        <v>109</v>
      </c>
      <c r="Q6" s="1386" t="s">
        <v>110</v>
      </c>
      <c r="R6" s="1388" t="s">
        <v>111</v>
      </c>
      <c r="S6" s="1386" t="s">
        <v>112</v>
      </c>
      <c r="T6" s="1386" t="s">
        <v>113</v>
      </c>
      <c r="U6" s="1390" t="s">
        <v>114</v>
      </c>
      <c r="V6" s="29"/>
    </row>
    <row r="7" spans="1:23" s="30" customFormat="1" ht="33.75">
      <c r="A7" s="47" t="s">
        <v>210</v>
      </c>
      <c r="B7" s="1357" t="s">
        <v>215</v>
      </c>
      <c r="C7" s="1527" t="s">
        <v>1073</v>
      </c>
      <c r="D7" s="64" t="s">
        <v>719</v>
      </c>
      <c r="E7" s="1359" t="s">
        <v>62</v>
      </c>
      <c r="F7" s="435" t="s">
        <v>1319</v>
      </c>
      <c r="G7" s="1362" t="s">
        <v>1319</v>
      </c>
      <c r="H7" s="1362" t="s">
        <v>1319</v>
      </c>
      <c r="I7" s="1379" t="s">
        <v>1319</v>
      </c>
      <c r="J7" s="1362" t="s">
        <v>1319</v>
      </c>
      <c r="K7" s="1371" t="s">
        <v>1319</v>
      </c>
      <c r="L7" s="435" t="s">
        <v>1319</v>
      </c>
      <c r="M7" s="1362" t="s">
        <v>1319</v>
      </c>
      <c r="N7" s="1379" t="s">
        <v>1319</v>
      </c>
      <c r="O7" s="1362" t="s">
        <v>1319</v>
      </c>
      <c r="P7" s="1379" t="s">
        <v>1319</v>
      </c>
      <c r="Q7" s="1362" t="s">
        <v>1319</v>
      </c>
      <c r="R7" s="1379" t="s">
        <v>1319</v>
      </c>
      <c r="S7" s="1362" t="s">
        <v>1319</v>
      </c>
      <c r="T7" s="1362" t="s">
        <v>1319</v>
      </c>
      <c r="U7" s="1371" t="s">
        <v>1319</v>
      </c>
      <c r="V7" s="29"/>
    </row>
    <row r="8" spans="1:23" s="30" customFormat="1" ht="11.25">
      <c r="A8" s="390" t="s">
        <v>412</v>
      </c>
      <c r="B8" s="2512" t="s">
        <v>883</v>
      </c>
      <c r="C8" s="2515" t="s">
        <v>884</v>
      </c>
      <c r="D8" s="392" t="s">
        <v>885</v>
      </c>
      <c r="E8" s="392" t="s">
        <v>886</v>
      </c>
      <c r="F8" s="2514" t="s">
        <v>887</v>
      </c>
      <c r="G8" s="1336" t="s">
        <v>888</v>
      </c>
      <c r="H8" s="1336" t="s">
        <v>889</v>
      </c>
      <c r="I8" s="1336" t="s">
        <v>890</v>
      </c>
      <c r="J8" s="1336" t="s">
        <v>891</v>
      </c>
      <c r="K8" s="2515" t="s">
        <v>892</v>
      </c>
      <c r="L8" s="2514" t="s">
        <v>893</v>
      </c>
      <c r="M8" s="1336" t="s">
        <v>894</v>
      </c>
      <c r="N8" s="1336" t="s">
        <v>895</v>
      </c>
      <c r="O8" s="1336" t="s">
        <v>896</v>
      </c>
      <c r="P8" s="1336" t="s">
        <v>897</v>
      </c>
      <c r="Q8" s="1336" t="s">
        <v>898</v>
      </c>
      <c r="R8" s="1336" t="s">
        <v>899</v>
      </c>
      <c r="S8" s="1336" t="s">
        <v>900</v>
      </c>
      <c r="T8" s="1336" t="s">
        <v>958</v>
      </c>
      <c r="U8" s="2513" t="s">
        <v>959</v>
      </c>
      <c r="V8" s="31"/>
      <c r="W8" s="32"/>
    </row>
    <row r="9" spans="1:23" s="12" customFormat="1" ht="12.6" customHeight="1" thickBot="1">
      <c r="A9" s="52"/>
      <c r="B9" s="531"/>
      <c r="C9" s="1528"/>
      <c r="D9" s="66"/>
      <c r="E9" s="1533"/>
      <c r="F9" s="462"/>
      <c r="G9" s="1375"/>
      <c r="H9" s="1375"/>
      <c r="I9" s="462"/>
      <c r="J9" s="1375"/>
      <c r="K9" s="1524"/>
      <c r="L9" s="463"/>
      <c r="M9" s="1387"/>
      <c r="N9" s="463"/>
      <c r="O9" s="1387"/>
      <c r="P9" s="463"/>
      <c r="Q9" s="1387"/>
      <c r="R9" s="463"/>
      <c r="S9" s="1387"/>
      <c r="T9" s="1387"/>
      <c r="U9" s="532"/>
      <c r="V9" s="33"/>
      <c r="W9" s="11"/>
    </row>
    <row r="10" spans="1:23">
      <c r="A10" s="60">
        <v>1884</v>
      </c>
      <c r="B10" s="68"/>
      <c r="C10" s="1529">
        <v>795303.8331003394</v>
      </c>
      <c r="D10" s="1534"/>
      <c r="E10" s="69"/>
      <c r="F10" s="1368"/>
      <c r="G10" s="1376"/>
      <c r="H10" s="1376"/>
      <c r="I10" s="1368"/>
      <c r="J10" s="1376"/>
      <c r="K10" s="1368"/>
      <c r="L10" s="59"/>
      <c r="M10" s="1376"/>
      <c r="N10" s="1368"/>
      <c r="O10" s="1376"/>
      <c r="P10" s="1368"/>
      <c r="Q10" s="1376"/>
      <c r="R10" s="1368"/>
      <c r="S10" s="1376"/>
      <c r="T10" s="1376"/>
      <c r="U10" s="1391"/>
      <c r="V10" s="3"/>
    </row>
    <row r="11" spans="1:23">
      <c r="A11" s="60">
        <v>1885</v>
      </c>
      <c r="B11" s="68"/>
      <c r="C11" s="1529">
        <v>883134.66804111027</v>
      </c>
      <c r="D11" s="1535"/>
      <c r="E11" s="70"/>
      <c r="F11" s="1369"/>
      <c r="G11" s="1377"/>
      <c r="H11" s="1377"/>
      <c r="I11" s="1369"/>
      <c r="J11" s="1377"/>
      <c r="K11" s="1369"/>
      <c r="L11" s="1384"/>
      <c r="M11" s="1377"/>
      <c r="N11" s="1369"/>
      <c r="O11" s="1377"/>
      <c r="P11" s="1369"/>
      <c r="Q11" s="1377"/>
      <c r="R11" s="1369"/>
      <c r="S11" s="1377"/>
      <c r="T11" s="1377"/>
      <c r="U11" s="1392"/>
      <c r="V11" s="3"/>
    </row>
    <row r="12" spans="1:23">
      <c r="A12" s="60">
        <v>1886</v>
      </c>
      <c r="B12" s="68"/>
      <c r="C12" s="1529">
        <v>886625.31890293269</v>
      </c>
      <c r="D12" s="1535"/>
      <c r="E12" s="70"/>
      <c r="F12" s="1369"/>
      <c r="G12" s="1377"/>
      <c r="H12" s="1377"/>
      <c r="I12" s="1369"/>
      <c r="J12" s="1377"/>
      <c r="K12" s="1369"/>
      <c r="L12" s="1384"/>
      <c r="M12" s="1377"/>
      <c r="N12" s="1369"/>
      <c r="O12" s="1377"/>
      <c r="P12" s="1369"/>
      <c r="Q12" s="1377"/>
      <c r="R12" s="1369"/>
      <c r="S12" s="1377"/>
      <c r="T12" s="1377"/>
      <c r="U12" s="1392"/>
      <c r="V12" s="3"/>
    </row>
    <row r="13" spans="1:23">
      <c r="A13" s="60">
        <v>1887</v>
      </c>
      <c r="B13" s="68"/>
      <c r="C13" s="1529">
        <v>946839.04626937187</v>
      </c>
      <c r="D13" s="1535"/>
      <c r="E13" s="70"/>
      <c r="F13" s="1369"/>
      <c r="G13" s="1377"/>
      <c r="H13" s="1377"/>
      <c r="I13" s="1369"/>
      <c r="J13" s="1377"/>
      <c r="K13" s="1369"/>
      <c r="L13" s="1384"/>
      <c r="M13" s="1377"/>
      <c r="N13" s="1369"/>
      <c r="O13" s="1377"/>
      <c r="P13" s="1369"/>
      <c r="Q13" s="1377"/>
      <c r="R13" s="1369"/>
      <c r="S13" s="1377"/>
      <c r="T13" s="1377"/>
      <c r="U13" s="1392"/>
      <c r="V13" s="3"/>
    </row>
    <row r="14" spans="1:23">
      <c r="A14" s="60">
        <v>1888</v>
      </c>
      <c r="B14" s="68"/>
      <c r="C14" s="1529">
        <v>1098682.3587586537</v>
      </c>
      <c r="D14" s="1535"/>
      <c r="E14" s="70"/>
      <c r="F14" s="1369"/>
      <c r="G14" s="1377"/>
      <c r="H14" s="1377"/>
      <c r="I14" s="1369"/>
      <c r="J14" s="1377"/>
      <c r="K14" s="1369"/>
      <c r="L14" s="1384"/>
      <c r="M14" s="1377"/>
      <c r="N14" s="1369"/>
      <c r="O14" s="1377"/>
      <c r="P14" s="1369"/>
      <c r="Q14" s="1377"/>
      <c r="R14" s="1369"/>
      <c r="S14" s="1377"/>
      <c r="T14" s="1377"/>
      <c r="U14" s="1392"/>
      <c r="V14" s="3"/>
    </row>
    <row r="15" spans="1:23">
      <c r="A15" s="60">
        <v>1889</v>
      </c>
      <c r="B15" s="68"/>
      <c r="C15" s="1529">
        <v>1205147.210044242</v>
      </c>
      <c r="D15" s="1535"/>
      <c r="E15" s="70"/>
      <c r="F15" s="1369"/>
      <c r="G15" s="1377"/>
      <c r="H15" s="1377"/>
      <c r="I15" s="1369"/>
      <c r="J15" s="1377"/>
      <c r="K15" s="1369"/>
      <c r="L15" s="1384"/>
      <c r="M15" s="1377"/>
      <c r="N15" s="1369"/>
      <c r="O15" s="1377"/>
      <c r="P15" s="1369"/>
      <c r="Q15" s="1377"/>
      <c r="R15" s="1369"/>
      <c r="S15" s="1377"/>
      <c r="T15" s="1377"/>
      <c r="U15" s="1392"/>
      <c r="V15" s="3"/>
    </row>
    <row r="16" spans="1:23">
      <c r="A16" s="60">
        <v>1890</v>
      </c>
      <c r="B16" s="68"/>
      <c r="C16" s="1529">
        <v>1105663.6604822988</v>
      </c>
      <c r="D16" s="1535"/>
      <c r="E16" s="70"/>
      <c r="F16" s="1369"/>
      <c r="G16" s="1377"/>
      <c r="H16" s="1377"/>
      <c r="I16" s="1369"/>
      <c r="J16" s="1377"/>
      <c r="K16" s="1369"/>
      <c r="L16" s="1384"/>
      <c r="M16" s="1377"/>
      <c r="N16" s="1369"/>
      <c r="O16" s="1377"/>
      <c r="P16" s="1369"/>
      <c r="Q16" s="1377"/>
      <c r="R16" s="1369"/>
      <c r="S16" s="1377"/>
      <c r="T16" s="1377"/>
      <c r="U16" s="1392"/>
      <c r="V16" s="3"/>
    </row>
    <row r="17" spans="1:22">
      <c r="A17" s="60">
        <v>1891</v>
      </c>
      <c r="B17" s="68"/>
      <c r="C17" s="1529">
        <v>1046322.5958313151</v>
      </c>
      <c r="D17" s="1535"/>
      <c r="E17" s="70"/>
      <c r="F17" s="1369"/>
      <c r="G17" s="1377"/>
      <c r="H17" s="1377"/>
      <c r="I17" s="1369"/>
      <c r="J17" s="1377"/>
      <c r="K17" s="1369"/>
      <c r="L17" s="1384"/>
      <c r="M17" s="1377"/>
      <c r="N17" s="1369"/>
      <c r="O17" s="1377"/>
      <c r="P17" s="1369"/>
      <c r="Q17" s="1377"/>
      <c r="R17" s="1369"/>
      <c r="S17" s="1377"/>
      <c r="T17" s="1377"/>
      <c r="U17" s="1392"/>
      <c r="V17" s="3"/>
    </row>
    <row r="18" spans="1:22">
      <c r="A18" s="60">
        <v>1892</v>
      </c>
      <c r="B18" s="68"/>
      <c r="C18" s="1529">
        <v>1249653.0085324799</v>
      </c>
      <c r="D18" s="1535"/>
      <c r="E18" s="70"/>
      <c r="F18" s="1369"/>
      <c r="G18" s="1377"/>
      <c r="H18" s="1377"/>
      <c r="I18" s="1369"/>
      <c r="J18" s="1377"/>
      <c r="K18" s="1369"/>
      <c r="L18" s="1384"/>
      <c r="M18" s="1377"/>
      <c r="N18" s="1369"/>
      <c r="O18" s="1377"/>
      <c r="P18" s="1369"/>
      <c r="Q18" s="1377"/>
      <c r="R18" s="1369"/>
      <c r="S18" s="1377"/>
      <c r="T18" s="1377"/>
      <c r="U18" s="1392"/>
      <c r="V18" s="3"/>
    </row>
    <row r="19" spans="1:22">
      <c r="A19" s="60">
        <v>1893</v>
      </c>
      <c r="B19" s="68"/>
      <c r="C19" s="1529">
        <v>1323829.3393462095</v>
      </c>
      <c r="D19" s="1535"/>
      <c r="E19" s="70"/>
      <c r="F19" s="1369"/>
      <c r="G19" s="1377"/>
      <c r="H19" s="1377"/>
      <c r="I19" s="1369"/>
      <c r="J19" s="1377"/>
      <c r="K19" s="1369"/>
      <c r="L19" s="1384"/>
      <c r="M19" s="1377"/>
      <c r="N19" s="1369"/>
      <c r="O19" s="1377"/>
      <c r="P19" s="1369"/>
      <c r="Q19" s="1377"/>
      <c r="R19" s="1369"/>
      <c r="S19" s="1377"/>
      <c r="T19" s="1377"/>
      <c r="U19" s="1392"/>
      <c r="V19" s="3"/>
    </row>
    <row r="20" spans="1:22">
      <c r="A20" s="60">
        <v>1894</v>
      </c>
      <c r="B20" s="68"/>
      <c r="C20" s="1529">
        <v>1526287.0893319184</v>
      </c>
      <c r="D20" s="1535"/>
      <c r="E20" s="70"/>
      <c r="F20" s="1369"/>
      <c r="G20" s="1377"/>
      <c r="H20" s="1377"/>
      <c r="I20" s="1369"/>
      <c r="J20" s="1377"/>
      <c r="K20" s="1369"/>
      <c r="L20" s="1384"/>
      <c r="M20" s="1377"/>
      <c r="N20" s="1369"/>
      <c r="O20" s="1377"/>
      <c r="P20" s="1369"/>
      <c r="Q20" s="1377"/>
      <c r="R20" s="1369"/>
      <c r="S20" s="1377"/>
      <c r="T20" s="1377"/>
      <c r="U20" s="1392"/>
      <c r="V20" s="3"/>
    </row>
    <row r="21" spans="1:22">
      <c r="A21" s="60">
        <v>1895</v>
      </c>
      <c r="B21" s="68"/>
      <c r="C21" s="1529">
        <v>1692093.0052684904</v>
      </c>
      <c r="D21" s="1535"/>
      <c r="E21" s="70"/>
      <c r="F21" s="1369"/>
      <c r="G21" s="1377"/>
      <c r="H21" s="1377"/>
      <c r="I21" s="1369"/>
      <c r="J21" s="1377"/>
      <c r="K21" s="1369"/>
      <c r="L21" s="1384"/>
      <c r="M21" s="1377"/>
      <c r="N21" s="1369"/>
      <c r="O21" s="1377"/>
      <c r="P21" s="1369"/>
      <c r="Q21" s="1377"/>
      <c r="R21" s="1369"/>
      <c r="S21" s="1377"/>
      <c r="T21" s="1377"/>
      <c r="U21" s="1392"/>
      <c r="V21" s="3"/>
    </row>
    <row r="22" spans="1:22">
      <c r="A22" s="60">
        <v>1896</v>
      </c>
      <c r="B22" s="68"/>
      <c r="C22" s="1529">
        <v>1871861.524652353</v>
      </c>
      <c r="D22" s="1535"/>
      <c r="E22" s="70"/>
      <c r="F22" s="1369"/>
      <c r="G22" s="1377"/>
      <c r="H22" s="1377"/>
      <c r="I22" s="1369"/>
      <c r="J22" s="1377"/>
      <c r="K22" s="1369"/>
      <c r="L22" s="1384"/>
      <c r="M22" s="1377"/>
      <c r="N22" s="1369"/>
      <c r="O22" s="1377"/>
      <c r="P22" s="1369"/>
      <c r="Q22" s="1377"/>
      <c r="R22" s="1369"/>
      <c r="S22" s="1377"/>
      <c r="T22" s="1377"/>
      <c r="U22" s="1392"/>
      <c r="V22" s="3"/>
    </row>
    <row r="23" spans="1:22">
      <c r="A23" s="60">
        <v>1897</v>
      </c>
      <c r="B23" s="68"/>
      <c r="C23" s="1529">
        <v>1518433.1248928173</v>
      </c>
      <c r="D23" s="1535"/>
      <c r="E23" s="70"/>
      <c r="F23" s="1369"/>
      <c r="G23" s="1377"/>
      <c r="H23" s="1377"/>
      <c r="I23" s="1369"/>
      <c r="J23" s="1377"/>
      <c r="K23" s="1369"/>
      <c r="L23" s="1384"/>
      <c r="M23" s="1377"/>
      <c r="N23" s="1369"/>
      <c r="O23" s="1377"/>
      <c r="P23" s="1369"/>
      <c r="Q23" s="1377"/>
      <c r="R23" s="1369"/>
      <c r="S23" s="1377"/>
      <c r="T23" s="1377"/>
      <c r="U23" s="1392"/>
      <c r="V23" s="3"/>
    </row>
    <row r="24" spans="1:22">
      <c r="A24" s="60">
        <v>1898</v>
      </c>
      <c r="B24" s="68"/>
      <c r="C24" s="1529">
        <v>1646714.5440647963</v>
      </c>
      <c r="D24" s="1535"/>
      <c r="E24" s="70"/>
      <c r="F24" s="1369"/>
      <c r="G24" s="1377"/>
      <c r="H24" s="1377"/>
      <c r="I24" s="1369"/>
      <c r="J24" s="1377"/>
      <c r="K24" s="1369"/>
      <c r="L24" s="1384"/>
      <c r="M24" s="1377"/>
      <c r="N24" s="1369"/>
      <c r="O24" s="1377"/>
      <c r="P24" s="1369"/>
      <c r="Q24" s="1377"/>
      <c r="R24" s="1369"/>
      <c r="S24" s="1377"/>
      <c r="T24" s="1377"/>
      <c r="U24" s="1392"/>
      <c r="V24" s="3"/>
    </row>
    <row r="25" spans="1:22">
      <c r="A25" s="60">
        <v>1899</v>
      </c>
      <c r="B25" s="68"/>
      <c r="C25" s="1529">
        <v>1937311.2283115245</v>
      </c>
      <c r="D25" s="1535"/>
      <c r="E25" s="70"/>
      <c r="F25" s="1369"/>
      <c r="G25" s="1377"/>
      <c r="H25" s="1377"/>
      <c r="I25" s="1369"/>
      <c r="J25" s="1377"/>
      <c r="K25" s="1369"/>
      <c r="L25" s="1384"/>
      <c r="M25" s="1377"/>
      <c r="N25" s="1369"/>
      <c r="O25" s="1377"/>
      <c r="P25" s="1369"/>
      <c r="Q25" s="1377"/>
      <c r="R25" s="1369"/>
      <c r="S25" s="1377"/>
      <c r="T25" s="1377"/>
      <c r="U25" s="1392"/>
      <c r="V25" s="3"/>
    </row>
    <row r="26" spans="1:22">
      <c r="A26" s="60">
        <v>1900</v>
      </c>
      <c r="B26" s="68"/>
      <c r="C26" s="1529">
        <v>1709546.2595776026</v>
      </c>
      <c r="D26" s="1535"/>
      <c r="E26" s="70"/>
      <c r="F26" s="1369"/>
      <c r="G26" s="1377"/>
      <c r="H26" s="1377"/>
      <c r="I26" s="1369"/>
      <c r="J26" s="1377"/>
      <c r="K26" s="1369"/>
      <c r="L26" s="1384"/>
      <c r="M26" s="1377"/>
      <c r="N26" s="1369"/>
      <c r="O26" s="1377"/>
      <c r="P26" s="1369"/>
      <c r="Q26" s="1377"/>
      <c r="R26" s="1369"/>
      <c r="S26" s="1377"/>
      <c r="T26" s="1377"/>
      <c r="U26" s="1392"/>
      <c r="V26" s="3"/>
    </row>
    <row r="27" spans="1:22">
      <c r="A27" s="60">
        <v>1901</v>
      </c>
      <c r="B27" s="68"/>
      <c r="C27" s="1529">
        <v>1854109.4817402924</v>
      </c>
      <c r="D27" s="1535"/>
      <c r="E27" s="70"/>
      <c r="F27" s="1369"/>
      <c r="G27" s="1377"/>
      <c r="H27" s="1377"/>
      <c r="I27" s="1369"/>
      <c r="J27" s="1377"/>
      <c r="K27" s="1369"/>
      <c r="L27" s="1384"/>
      <c r="M27" s="1377"/>
      <c r="N27" s="1369"/>
      <c r="O27" s="1377"/>
      <c r="P27" s="1369"/>
      <c r="Q27" s="1377"/>
      <c r="R27" s="1369"/>
      <c r="S27" s="1377"/>
      <c r="T27" s="1377"/>
      <c r="U27" s="1392"/>
      <c r="V27" s="3"/>
    </row>
    <row r="28" spans="1:22">
      <c r="A28" s="60">
        <v>1902</v>
      </c>
      <c r="B28" s="68"/>
      <c r="C28" s="1529">
        <v>1816744.332724591</v>
      </c>
      <c r="D28" s="1535"/>
      <c r="E28" s="70"/>
      <c r="F28" s="1369"/>
      <c r="G28" s="1377"/>
      <c r="H28" s="1377"/>
      <c r="I28" s="1369"/>
      <c r="J28" s="1377"/>
      <c r="K28" s="1369"/>
      <c r="L28" s="1384"/>
      <c r="M28" s="1377"/>
      <c r="N28" s="1369"/>
      <c r="O28" s="1377"/>
      <c r="P28" s="1369"/>
      <c r="Q28" s="1377"/>
      <c r="R28" s="1369"/>
      <c r="S28" s="1377"/>
      <c r="T28" s="1377"/>
      <c r="U28" s="1392"/>
      <c r="V28" s="3"/>
    </row>
    <row r="29" spans="1:22">
      <c r="A29" s="60">
        <v>1903</v>
      </c>
      <c r="B29" s="68"/>
      <c r="C29" s="1529">
        <v>2076667.9178677965</v>
      </c>
      <c r="D29" s="1535"/>
      <c r="E29" s="70"/>
      <c r="F29" s="1369"/>
      <c r="G29" s="1377"/>
      <c r="H29" s="1377"/>
      <c r="I29" s="1369"/>
      <c r="J29" s="1377"/>
      <c r="K29" s="1369"/>
      <c r="L29" s="1384"/>
      <c r="M29" s="1377"/>
      <c r="N29" s="1369"/>
      <c r="O29" s="1377"/>
      <c r="P29" s="1369"/>
      <c r="Q29" s="1377"/>
      <c r="R29" s="1369"/>
      <c r="S29" s="1377"/>
      <c r="T29" s="1377"/>
      <c r="U29" s="1392"/>
      <c r="V29" s="3"/>
    </row>
    <row r="30" spans="1:22">
      <c r="A30" s="60">
        <v>1904</v>
      </c>
      <c r="B30" s="68"/>
      <c r="C30" s="1529">
        <v>2298138.0486841626</v>
      </c>
      <c r="D30" s="1535"/>
      <c r="E30" s="70"/>
      <c r="F30" s="1369"/>
      <c r="G30" s="1377"/>
      <c r="H30" s="1377"/>
      <c r="I30" s="1369"/>
      <c r="J30" s="1377"/>
      <c r="K30" s="1369"/>
      <c r="L30" s="1384"/>
      <c r="M30" s="1377"/>
      <c r="N30" s="1369"/>
      <c r="O30" s="1377"/>
      <c r="P30" s="1369"/>
      <c r="Q30" s="1377"/>
      <c r="R30" s="1369"/>
      <c r="S30" s="1377"/>
      <c r="T30" s="1377"/>
      <c r="U30" s="1392"/>
      <c r="V30" s="3"/>
    </row>
    <row r="31" spans="1:22">
      <c r="A31" s="60">
        <v>1905</v>
      </c>
      <c r="B31" s="68"/>
      <c r="C31" s="1529">
        <v>2603226.3042395506</v>
      </c>
      <c r="D31" s="1535"/>
      <c r="E31" s="70"/>
      <c r="F31" s="1369"/>
      <c r="G31" s="1377"/>
      <c r="H31" s="1377"/>
      <c r="I31" s="1369"/>
      <c r="J31" s="1377"/>
      <c r="K31" s="1369"/>
      <c r="L31" s="1384"/>
      <c r="M31" s="1377"/>
      <c r="N31" s="1369"/>
      <c r="O31" s="1377"/>
      <c r="P31" s="1369"/>
      <c r="Q31" s="1377"/>
      <c r="R31" s="1369"/>
      <c r="S31" s="1377"/>
      <c r="T31" s="1377"/>
      <c r="U31" s="1392"/>
      <c r="V31" s="3"/>
    </row>
    <row r="32" spans="1:22">
      <c r="A32" s="60">
        <v>1906</v>
      </c>
      <c r="B32" s="68"/>
      <c r="C32" s="1529">
        <v>2734185.7100130292</v>
      </c>
      <c r="D32" s="1535"/>
      <c r="E32" s="70"/>
      <c r="F32" s="1369"/>
      <c r="G32" s="1377"/>
      <c r="H32" s="1377"/>
      <c r="I32" s="1369"/>
      <c r="J32" s="1377"/>
      <c r="K32" s="1369"/>
      <c r="L32" s="1384"/>
      <c r="M32" s="1377"/>
      <c r="N32" s="1369"/>
      <c r="O32" s="1377"/>
      <c r="P32" s="1369"/>
      <c r="Q32" s="1377"/>
      <c r="R32" s="1369"/>
      <c r="S32" s="1377"/>
      <c r="T32" s="1377"/>
      <c r="U32" s="1392"/>
      <c r="V32" s="3"/>
    </row>
    <row r="33" spans="1:22">
      <c r="A33" s="60">
        <v>1907</v>
      </c>
      <c r="B33" s="68"/>
      <c r="C33" s="1529">
        <v>2791865.891503287</v>
      </c>
      <c r="D33" s="1535"/>
      <c r="E33" s="70"/>
      <c r="F33" s="1369"/>
      <c r="G33" s="1377"/>
      <c r="H33" s="1377"/>
      <c r="I33" s="1369"/>
      <c r="J33" s="1377"/>
      <c r="K33" s="1369"/>
      <c r="L33" s="1384"/>
      <c r="M33" s="1377"/>
      <c r="N33" s="1369"/>
      <c r="O33" s="1377"/>
      <c r="P33" s="1369"/>
      <c r="Q33" s="1377"/>
      <c r="R33" s="1369"/>
      <c r="S33" s="1377"/>
      <c r="T33" s="1377"/>
      <c r="U33" s="1392"/>
      <c r="V33" s="3"/>
    </row>
    <row r="34" spans="1:22">
      <c r="A34" s="60">
        <v>1908</v>
      </c>
      <c r="B34" s="68"/>
      <c r="C34" s="1529">
        <v>3065393.2930357051</v>
      </c>
      <c r="D34" s="1535"/>
      <c r="E34" s="70"/>
      <c r="F34" s="1369"/>
      <c r="G34" s="1377"/>
      <c r="H34" s="1377"/>
      <c r="I34" s="1369"/>
      <c r="J34" s="1377"/>
      <c r="K34" s="1369"/>
      <c r="L34" s="1384"/>
      <c r="M34" s="1377"/>
      <c r="N34" s="1369"/>
      <c r="O34" s="1377"/>
      <c r="P34" s="1369"/>
      <c r="Q34" s="1377"/>
      <c r="R34" s="1369"/>
      <c r="S34" s="1377"/>
      <c r="T34" s="1377"/>
      <c r="U34" s="1392"/>
      <c r="V34" s="3"/>
    </row>
    <row r="35" spans="1:22">
      <c r="A35" s="60">
        <v>1909</v>
      </c>
      <c r="B35" s="68"/>
      <c r="C35" s="1529">
        <v>3216667.7312837397</v>
      </c>
      <c r="D35" s="1535"/>
      <c r="E35" s="70"/>
      <c r="F35" s="1369"/>
      <c r="G35" s="1377"/>
      <c r="H35" s="1377"/>
      <c r="I35" s="1369"/>
      <c r="J35" s="1377"/>
      <c r="K35" s="1369"/>
      <c r="L35" s="1384"/>
      <c r="M35" s="1377"/>
      <c r="N35" s="1369"/>
      <c r="O35" s="1377"/>
      <c r="P35" s="1369"/>
      <c r="Q35" s="1377"/>
      <c r="R35" s="1369"/>
      <c r="S35" s="1377"/>
      <c r="T35" s="1377"/>
      <c r="U35" s="1392"/>
      <c r="V35" s="3"/>
    </row>
    <row r="36" spans="1:22">
      <c r="A36" s="60">
        <v>1910</v>
      </c>
      <c r="B36" s="68"/>
      <c r="C36" s="1529">
        <v>3450653.3731781812</v>
      </c>
      <c r="D36" s="1535"/>
      <c r="E36" s="70"/>
      <c r="F36" s="1369"/>
      <c r="G36" s="1377"/>
      <c r="H36" s="1377"/>
      <c r="I36" s="1369"/>
      <c r="J36" s="1377"/>
      <c r="K36" s="1369"/>
      <c r="L36" s="1384"/>
      <c r="M36" s="1377"/>
      <c r="N36" s="1369"/>
      <c r="O36" s="1377"/>
      <c r="P36" s="1369"/>
      <c r="Q36" s="1377"/>
      <c r="R36" s="1369"/>
      <c r="S36" s="1377"/>
      <c r="T36" s="1377"/>
      <c r="U36" s="1392"/>
      <c r="V36" s="3"/>
    </row>
    <row r="37" spans="1:22">
      <c r="A37" s="60">
        <v>1911</v>
      </c>
      <c r="B37" s="68"/>
      <c r="C37" s="1529">
        <v>3512686.7759129866</v>
      </c>
      <c r="D37" s="1535"/>
      <c r="E37" s="70"/>
      <c r="F37" s="1369"/>
      <c r="G37" s="1377"/>
      <c r="H37" s="1377"/>
      <c r="I37" s="1369"/>
      <c r="J37" s="1377"/>
      <c r="K37" s="1369"/>
      <c r="L37" s="1384"/>
      <c r="M37" s="1377"/>
      <c r="N37" s="1369"/>
      <c r="O37" s="1377"/>
      <c r="P37" s="1369"/>
      <c r="Q37" s="1377"/>
      <c r="R37" s="1369"/>
      <c r="S37" s="1377"/>
      <c r="T37" s="1377"/>
      <c r="U37" s="1392"/>
      <c r="V37" s="3"/>
    </row>
    <row r="38" spans="1:22">
      <c r="A38" s="60">
        <v>1912</v>
      </c>
      <c r="B38" s="68"/>
      <c r="C38" s="1529">
        <v>3799636.6096160924</v>
      </c>
      <c r="D38" s="1535"/>
      <c r="E38" s="70"/>
      <c r="F38" s="1369"/>
      <c r="G38" s="1377"/>
      <c r="H38" s="1377"/>
      <c r="I38" s="1369"/>
      <c r="J38" s="1377"/>
      <c r="K38" s="1369"/>
      <c r="L38" s="1384"/>
      <c r="M38" s="1377"/>
      <c r="N38" s="1369"/>
      <c r="O38" s="1377"/>
      <c r="P38" s="1369"/>
      <c r="Q38" s="1377"/>
      <c r="R38" s="1369"/>
      <c r="S38" s="1377"/>
      <c r="T38" s="1377"/>
      <c r="U38" s="1392"/>
      <c r="V38" s="3"/>
    </row>
    <row r="39" spans="1:22">
      <c r="A39" s="60">
        <v>1913</v>
      </c>
      <c r="B39" s="68"/>
      <c r="C39" s="1529">
        <v>3839178.3692540675</v>
      </c>
      <c r="D39" s="1535"/>
      <c r="E39" s="70"/>
      <c r="F39" s="1369"/>
      <c r="G39" s="1377"/>
      <c r="H39" s="1377"/>
      <c r="I39" s="1369"/>
      <c r="J39" s="1377"/>
      <c r="K39" s="1369"/>
      <c r="L39" s="1384"/>
      <c r="M39" s="1377"/>
      <c r="N39" s="1369"/>
      <c r="O39" s="1377"/>
      <c r="P39" s="1369"/>
      <c r="Q39" s="1377"/>
      <c r="R39" s="1369"/>
      <c r="S39" s="1377"/>
      <c r="T39" s="1377"/>
      <c r="U39" s="1392"/>
      <c r="V39" s="3"/>
    </row>
    <row r="40" spans="1:22">
      <c r="A40" s="60">
        <v>1914</v>
      </c>
      <c r="B40" s="68"/>
      <c r="C40" s="1529">
        <v>3441584.162252041</v>
      </c>
      <c r="D40" s="1535"/>
      <c r="E40" s="70"/>
      <c r="F40" s="1369"/>
      <c r="G40" s="1377"/>
      <c r="H40" s="1377"/>
      <c r="I40" s="1369"/>
      <c r="J40" s="1377"/>
      <c r="K40" s="1369"/>
      <c r="L40" s="1384"/>
      <c r="M40" s="1377"/>
      <c r="N40" s="1369"/>
      <c r="O40" s="1377"/>
      <c r="P40" s="1369"/>
      <c r="Q40" s="1377"/>
      <c r="R40" s="1369"/>
      <c r="S40" s="1377"/>
      <c r="T40" s="1377"/>
      <c r="U40" s="1392"/>
      <c r="V40" s="3"/>
    </row>
    <row r="41" spans="1:22">
      <c r="A41" s="60">
        <v>1915</v>
      </c>
      <c r="B41" s="68"/>
      <c r="C41" s="1529">
        <v>3459722.5841043233</v>
      </c>
      <c r="D41" s="1535"/>
      <c r="E41" s="70"/>
      <c r="F41" s="1369"/>
      <c r="G41" s="1377"/>
      <c r="H41" s="1377"/>
      <c r="I41" s="1369"/>
      <c r="J41" s="1377"/>
      <c r="K41" s="1369"/>
      <c r="L41" s="1384"/>
      <c r="M41" s="1377"/>
      <c r="N41" s="1369"/>
      <c r="O41" s="1377"/>
      <c r="P41" s="1369"/>
      <c r="Q41" s="1377"/>
      <c r="R41" s="1369"/>
      <c r="S41" s="1377"/>
      <c r="T41" s="1377"/>
      <c r="U41" s="1392"/>
      <c r="V41" s="3"/>
    </row>
    <row r="42" spans="1:22">
      <c r="A42" s="60">
        <v>1916</v>
      </c>
      <c r="B42" s="68"/>
      <c r="C42" s="1529">
        <v>3360142.6481352942</v>
      </c>
      <c r="D42" s="1535"/>
      <c r="E42" s="70"/>
      <c r="F42" s="1369"/>
      <c r="G42" s="1377"/>
      <c r="H42" s="1377"/>
      <c r="I42" s="1369"/>
      <c r="J42" s="1377"/>
      <c r="K42" s="1369"/>
      <c r="L42" s="1384"/>
      <c r="M42" s="1377"/>
      <c r="N42" s="1369"/>
      <c r="O42" s="1377"/>
      <c r="P42" s="1369"/>
      <c r="Q42" s="1377"/>
      <c r="R42" s="1369"/>
      <c r="S42" s="1377"/>
      <c r="T42" s="1377"/>
      <c r="U42" s="1392"/>
      <c r="V42" s="3"/>
    </row>
    <row r="43" spans="1:22">
      <c r="A43" s="60">
        <v>1917</v>
      </c>
      <c r="B43" s="68"/>
      <c r="C43" s="1529">
        <v>3087884.9361325367</v>
      </c>
      <c r="D43" s="1535"/>
      <c r="E43" s="70"/>
      <c r="F43" s="1369"/>
      <c r="G43" s="1377"/>
      <c r="H43" s="1377"/>
      <c r="I43" s="1369"/>
      <c r="J43" s="1377"/>
      <c r="K43" s="1369"/>
      <c r="L43" s="1384"/>
      <c r="M43" s="1377"/>
      <c r="N43" s="1369"/>
      <c r="O43" s="1377"/>
      <c r="P43" s="1369"/>
      <c r="Q43" s="1377"/>
      <c r="R43" s="1369"/>
      <c r="S43" s="1377"/>
      <c r="T43" s="1377"/>
      <c r="U43" s="1392"/>
      <c r="V43" s="3"/>
    </row>
    <row r="44" spans="1:22">
      <c r="A44" s="60">
        <v>1918</v>
      </c>
      <c r="B44" s="68"/>
      <c r="C44" s="1529">
        <v>3653985.0821422678</v>
      </c>
      <c r="D44" s="1535"/>
      <c r="E44" s="70"/>
      <c r="F44" s="1369"/>
      <c r="G44" s="1377"/>
      <c r="H44" s="1377"/>
      <c r="I44" s="1369"/>
      <c r="J44" s="1377"/>
      <c r="K44" s="1369"/>
      <c r="L44" s="1384"/>
      <c r="M44" s="1377"/>
      <c r="N44" s="1369"/>
      <c r="O44" s="1377"/>
      <c r="P44" s="1369"/>
      <c r="Q44" s="1377"/>
      <c r="R44" s="1369"/>
      <c r="S44" s="1377"/>
      <c r="T44" s="1377"/>
      <c r="U44" s="1392"/>
      <c r="V44" s="3"/>
    </row>
    <row r="45" spans="1:22">
      <c r="A45" s="60">
        <v>1919</v>
      </c>
      <c r="B45" s="68"/>
      <c r="C45" s="1529">
        <v>3788390.7880676794</v>
      </c>
      <c r="D45" s="1535"/>
      <c r="E45" s="70"/>
      <c r="F45" s="1369"/>
      <c r="G45" s="1377"/>
      <c r="H45" s="1377"/>
      <c r="I45" s="1369"/>
      <c r="J45" s="1377"/>
      <c r="K45" s="1369"/>
      <c r="L45" s="1384"/>
      <c r="M45" s="1377"/>
      <c r="N45" s="1369"/>
      <c r="O45" s="1377"/>
      <c r="P45" s="1369"/>
      <c r="Q45" s="1377"/>
      <c r="R45" s="1369"/>
      <c r="S45" s="1377"/>
      <c r="T45" s="1377"/>
      <c r="U45" s="1392"/>
      <c r="V45" s="3"/>
    </row>
    <row r="46" spans="1:22">
      <c r="A46" s="60">
        <v>1920</v>
      </c>
      <c r="B46" s="68"/>
      <c r="C46" s="1529">
        <v>4064094.8002223717</v>
      </c>
      <c r="D46" s="1535"/>
      <c r="E46" s="70"/>
      <c r="F46" s="1369"/>
      <c r="G46" s="1377"/>
      <c r="H46" s="1377"/>
      <c r="I46" s="1369"/>
      <c r="J46" s="1377"/>
      <c r="K46" s="1369"/>
      <c r="L46" s="1384"/>
      <c r="M46" s="1377"/>
      <c r="N46" s="1369"/>
      <c r="O46" s="1377"/>
      <c r="P46" s="1369"/>
      <c r="Q46" s="1377"/>
      <c r="R46" s="1369"/>
      <c r="S46" s="1377"/>
      <c r="T46" s="1377"/>
      <c r="U46" s="1369"/>
      <c r="V46" s="3"/>
    </row>
    <row r="47" spans="1:22">
      <c r="A47" s="60">
        <v>1921</v>
      </c>
      <c r="B47" s="68"/>
      <c r="C47" s="1529">
        <v>4168027.9574359492</v>
      </c>
      <c r="D47" s="1535"/>
      <c r="E47" s="70"/>
      <c r="F47" s="1369"/>
      <c r="G47" s="1377"/>
      <c r="H47" s="1377"/>
      <c r="I47" s="1369"/>
      <c r="J47" s="1377"/>
      <c r="K47" s="1369"/>
      <c r="L47" s="1384"/>
      <c r="M47" s="1377"/>
      <c r="N47" s="1369"/>
      <c r="O47" s="1377"/>
      <c r="P47" s="1369"/>
      <c r="Q47" s="1377"/>
      <c r="R47" s="1369"/>
      <c r="S47" s="1377"/>
      <c r="T47" s="1377"/>
      <c r="U47" s="1369"/>
      <c r="V47" s="3"/>
    </row>
    <row r="48" spans="1:22">
      <c r="A48" s="60">
        <v>1922</v>
      </c>
      <c r="B48" s="68"/>
      <c r="C48" s="1529">
        <v>4501412.1510808989</v>
      </c>
      <c r="D48" s="1535"/>
      <c r="E48" s="70"/>
      <c r="F48" s="1369"/>
      <c r="G48" s="1377"/>
      <c r="H48" s="1377"/>
      <c r="I48" s="1369"/>
      <c r="J48" s="1377"/>
      <c r="K48" s="1369"/>
      <c r="L48" s="1384"/>
      <c r="M48" s="1377"/>
      <c r="N48" s="1369"/>
      <c r="O48" s="1377"/>
      <c r="P48" s="1369"/>
      <c r="Q48" s="1377"/>
      <c r="R48" s="1369"/>
      <c r="S48" s="1377"/>
      <c r="T48" s="1377"/>
      <c r="U48" s="1369"/>
      <c r="V48" s="3"/>
    </row>
    <row r="49" spans="1:22">
      <c r="A49" s="60">
        <v>1923</v>
      </c>
      <c r="B49" s="68"/>
      <c r="C49" s="1529">
        <v>4997316.6045222981</v>
      </c>
      <c r="D49" s="1535"/>
      <c r="E49" s="70"/>
      <c r="F49" s="1369"/>
      <c r="G49" s="1377"/>
      <c r="H49" s="1377"/>
      <c r="I49" s="1369"/>
      <c r="J49" s="1377"/>
      <c r="K49" s="1369"/>
      <c r="L49" s="1384"/>
      <c r="M49" s="1377"/>
      <c r="N49" s="1369"/>
      <c r="O49" s="1377"/>
      <c r="P49" s="1369"/>
      <c r="Q49" s="1377"/>
      <c r="R49" s="1369"/>
      <c r="S49" s="1377"/>
      <c r="T49" s="1377"/>
      <c r="U49" s="1369"/>
      <c r="V49" s="3"/>
    </row>
    <row r="50" spans="1:22">
      <c r="A50" s="60">
        <v>1924</v>
      </c>
      <c r="B50" s="68"/>
      <c r="C50" s="1529">
        <v>5387111.2901278455</v>
      </c>
      <c r="D50" s="1535"/>
      <c r="E50" s="70"/>
      <c r="F50" s="1369"/>
      <c r="G50" s="1377"/>
      <c r="H50" s="1377"/>
      <c r="I50" s="1369"/>
      <c r="J50" s="1377"/>
      <c r="K50" s="1369"/>
      <c r="L50" s="1384"/>
      <c r="M50" s="1377"/>
      <c r="N50" s="1369"/>
      <c r="O50" s="1377"/>
      <c r="P50" s="1369"/>
      <c r="Q50" s="1377"/>
      <c r="R50" s="1369"/>
      <c r="S50" s="1377"/>
      <c r="T50" s="1377"/>
      <c r="U50" s="1369"/>
      <c r="V50" s="3"/>
    </row>
    <row r="51" spans="1:22">
      <c r="A51" s="60">
        <v>1925</v>
      </c>
      <c r="B51" s="68"/>
      <c r="C51" s="1529">
        <v>5364619.6470310148</v>
      </c>
      <c r="D51" s="1535"/>
      <c r="E51" s="70"/>
      <c r="F51" s="1369"/>
      <c r="G51" s="1377"/>
      <c r="H51" s="1377"/>
      <c r="I51" s="1369"/>
      <c r="J51" s="1377"/>
      <c r="K51" s="1369"/>
      <c r="L51" s="1384"/>
      <c r="M51" s="1377"/>
      <c r="N51" s="1369"/>
      <c r="O51" s="1377"/>
      <c r="P51" s="1369"/>
      <c r="Q51" s="1377"/>
      <c r="R51" s="1369"/>
      <c r="S51" s="1377"/>
      <c r="T51" s="1377"/>
      <c r="U51" s="1369"/>
      <c r="V51" s="3"/>
    </row>
    <row r="52" spans="1:22">
      <c r="A52" s="60">
        <v>1926</v>
      </c>
      <c r="B52" s="68"/>
      <c r="C52" s="1529">
        <v>5623273.5426445613</v>
      </c>
      <c r="D52" s="1535"/>
      <c r="E52" s="70"/>
      <c r="F52" s="1369"/>
      <c r="G52" s="1377"/>
      <c r="H52" s="1377"/>
      <c r="I52" s="1369"/>
      <c r="J52" s="1377"/>
      <c r="K52" s="1369"/>
      <c r="L52" s="1384"/>
      <c r="M52" s="1377"/>
      <c r="N52" s="1369"/>
      <c r="O52" s="1377"/>
      <c r="P52" s="1369"/>
      <c r="Q52" s="1377"/>
      <c r="R52" s="1369"/>
      <c r="S52" s="1377"/>
      <c r="T52" s="1377"/>
      <c r="U52" s="1369"/>
      <c r="V52" s="3"/>
    </row>
    <row r="53" spans="1:22">
      <c r="A53" s="60">
        <v>1927</v>
      </c>
      <c r="B53" s="68"/>
      <c r="C53" s="1529">
        <v>6022137.4391762484</v>
      </c>
      <c r="D53" s="1535"/>
      <c r="E53" s="70"/>
      <c r="F53" s="1369"/>
      <c r="G53" s="1377"/>
      <c r="H53" s="1377"/>
      <c r="I53" s="1369"/>
      <c r="J53" s="1377"/>
      <c r="K53" s="1369"/>
      <c r="L53" s="1384"/>
      <c r="M53" s="1377"/>
      <c r="N53" s="1369"/>
      <c r="O53" s="1377"/>
      <c r="P53" s="1369"/>
      <c r="Q53" s="1377"/>
      <c r="R53" s="1369"/>
      <c r="S53" s="1377"/>
      <c r="T53" s="1377"/>
      <c r="U53" s="1369"/>
      <c r="V53" s="3"/>
    </row>
    <row r="54" spans="1:22">
      <c r="A54" s="60">
        <v>1928</v>
      </c>
      <c r="B54" s="68"/>
      <c r="C54" s="1529">
        <v>6395063.3924591728</v>
      </c>
      <c r="D54" s="1535"/>
      <c r="E54" s="70"/>
      <c r="F54" s="1369"/>
      <c r="G54" s="1377"/>
      <c r="H54" s="1377"/>
      <c r="I54" s="1369"/>
      <c r="J54" s="1377"/>
      <c r="K54" s="1369"/>
      <c r="L54" s="1384"/>
      <c r="M54" s="1377"/>
      <c r="N54" s="1369"/>
      <c r="O54" s="1377"/>
      <c r="P54" s="1369"/>
      <c r="Q54" s="1377"/>
      <c r="R54" s="1369"/>
      <c r="S54" s="1377"/>
      <c r="T54" s="1377"/>
      <c r="U54" s="1369"/>
      <c r="V54" s="3"/>
    </row>
    <row r="55" spans="1:22">
      <c r="A55" s="60">
        <v>1929</v>
      </c>
      <c r="B55" s="68"/>
      <c r="C55" s="1529">
        <v>6689812.7475587605</v>
      </c>
      <c r="D55" s="1535"/>
      <c r="E55" s="70"/>
      <c r="F55" s="1369"/>
      <c r="G55" s="1377"/>
      <c r="H55" s="1377"/>
      <c r="I55" s="1369"/>
      <c r="J55" s="1377"/>
      <c r="K55" s="1369"/>
      <c r="L55" s="1384"/>
      <c r="M55" s="1377"/>
      <c r="N55" s="1369"/>
      <c r="O55" s="1377"/>
      <c r="P55" s="1369"/>
      <c r="Q55" s="1377"/>
      <c r="R55" s="1369"/>
      <c r="S55" s="1377"/>
      <c r="T55" s="1377"/>
      <c r="U55" s="1369"/>
      <c r="V55" s="3"/>
    </row>
    <row r="56" spans="1:22">
      <c r="A56" s="60">
        <v>1930</v>
      </c>
      <c r="B56" s="68"/>
      <c r="C56" s="1529">
        <v>6413020.4300929308</v>
      </c>
      <c r="D56" s="1535"/>
      <c r="E56" s="70"/>
      <c r="F56" s="1369"/>
      <c r="G56" s="1377"/>
      <c r="H56" s="1377"/>
      <c r="I56" s="1369"/>
      <c r="J56" s="1377"/>
      <c r="K56" s="1369"/>
      <c r="L56" s="1384"/>
      <c r="M56" s="1377"/>
      <c r="N56" s="1369"/>
      <c r="O56" s="1377"/>
      <c r="P56" s="1369"/>
      <c r="Q56" s="1377"/>
      <c r="R56" s="1369"/>
      <c r="S56" s="1377"/>
      <c r="T56" s="1377"/>
      <c r="U56" s="1369"/>
      <c r="V56" s="3"/>
    </row>
    <row r="57" spans="1:22">
      <c r="A57" s="60">
        <v>1931</v>
      </c>
      <c r="B57" s="68"/>
      <c r="C57" s="1529">
        <v>5967903.5578379212</v>
      </c>
      <c r="D57" s="1535"/>
      <c r="E57" s="70"/>
      <c r="F57" s="1369"/>
      <c r="G57" s="1377"/>
      <c r="H57" s="1377"/>
      <c r="I57" s="1369"/>
      <c r="J57" s="1377"/>
      <c r="K57" s="1369"/>
      <c r="L57" s="1384"/>
      <c r="M57" s="1377"/>
      <c r="N57" s="1369"/>
      <c r="O57" s="1377"/>
      <c r="P57" s="1369"/>
      <c r="Q57" s="1377"/>
      <c r="R57" s="1369"/>
      <c r="S57" s="1377"/>
      <c r="T57" s="1377"/>
      <c r="U57" s="1369"/>
      <c r="V57" s="3"/>
    </row>
    <row r="58" spans="1:22">
      <c r="A58" s="60">
        <v>1932</v>
      </c>
      <c r="B58" s="68"/>
      <c r="C58" s="1529">
        <v>5770194.7596480455</v>
      </c>
      <c r="D58" s="1535"/>
      <c r="E58" s="70"/>
      <c r="F58" s="1369"/>
      <c r="G58" s="1377"/>
      <c r="H58" s="1377"/>
      <c r="I58" s="1369"/>
      <c r="J58" s="1377"/>
      <c r="K58" s="1369"/>
      <c r="L58" s="1384"/>
      <c r="M58" s="1377"/>
      <c r="N58" s="1369"/>
      <c r="O58" s="1377"/>
      <c r="P58" s="1369"/>
      <c r="Q58" s="1377"/>
      <c r="R58" s="1369"/>
      <c r="S58" s="1377"/>
      <c r="T58" s="1377"/>
      <c r="U58" s="1369"/>
      <c r="V58" s="3"/>
    </row>
    <row r="59" spans="1:22">
      <c r="A59" s="60">
        <v>1933</v>
      </c>
      <c r="B59" s="68"/>
      <c r="C59" s="1529">
        <v>6041364.1663396647</v>
      </c>
      <c r="D59" s="1535"/>
      <c r="E59" s="70"/>
      <c r="F59" s="1369"/>
      <c r="G59" s="1377"/>
      <c r="H59" s="1377"/>
      <c r="I59" s="1369"/>
      <c r="J59" s="1377"/>
      <c r="K59" s="1369"/>
      <c r="L59" s="1384"/>
      <c r="M59" s="1377"/>
      <c r="N59" s="1369"/>
      <c r="O59" s="1377"/>
      <c r="P59" s="1369"/>
      <c r="Q59" s="1377"/>
      <c r="R59" s="1369"/>
      <c r="S59" s="1377"/>
      <c r="T59" s="1377"/>
      <c r="U59" s="1369"/>
      <c r="V59" s="3"/>
    </row>
    <row r="60" spans="1:22">
      <c r="A60" s="60">
        <v>1934</v>
      </c>
      <c r="B60" s="68"/>
      <c r="C60" s="1529">
        <v>6518223.2768361662</v>
      </c>
      <c r="D60" s="1535"/>
      <c r="E60" s="70"/>
      <c r="F60" s="1369"/>
      <c r="G60" s="1377"/>
      <c r="H60" s="1377"/>
      <c r="I60" s="1369"/>
      <c r="J60" s="1377"/>
      <c r="K60" s="1369"/>
      <c r="L60" s="1384"/>
      <c r="M60" s="1377"/>
      <c r="N60" s="1369"/>
      <c r="O60" s="1377"/>
      <c r="P60" s="1369"/>
      <c r="Q60" s="1377"/>
      <c r="R60" s="1369"/>
      <c r="S60" s="1377"/>
      <c r="T60" s="1377"/>
      <c r="U60" s="1369"/>
      <c r="V60" s="3"/>
    </row>
    <row r="61" spans="1:22">
      <c r="A61" s="60">
        <v>1935</v>
      </c>
      <c r="B61" s="68"/>
      <c r="C61" s="1529">
        <v>6801726.8103873376</v>
      </c>
      <c r="D61" s="1535"/>
      <c r="E61" s="70"/>
      <c r="F61" s="1369"/>
      <c r="G61" s="1377"/>
      <c r="H61" s="1377"/>
      <c r="I61" s="1369"/>
      <c r="J61" s="1377"/>
      <c r="K61" s="1369"/>
      <c r="L61" s="1384"/>
      <c r="M61" s="1377"/>
      <c r="N61" s="1369"/>
      <c r="O61" s="1377"/>
      <c r="P61" s="1369"/>
      <c r="Q61" s="1377"/>
      <c r="R61" s="1369"/>
      <c r="S61" s="1377"/>
      <c r="T61" s="1377"/>
      <c r="U61" s="1369"/>
      <c r="V61" s="3"/>
    </row>
    <row r="62" spans="1:22">
      <c r="A62" s="60">
        <v>1936</v>
      </c>
      <c r="B62" s="68"/>
      <c r="C62" s="1529">
        <v>6858318.6865664581</v>
      </c>
      <c r="D62" s="1535"/>
      <c r="E62" s="70"/>
      <c r="F62" s="1369"/>
      <c r="G62" s="1377"/>
      <c r="H62" s="1377"/>
      <c r="I62" s="1369"/>
      <c r="J62" s="1377"/>
      <c r="K62" s="1369"/>
      <c r="L62" s="1384"/>
      <c r="M62" s="1377"/>
      <c r="N62" s="1369"/>
      <c r="O62" s="1377"/>
      <c r="P62" s="1369"/>
      <c r="Q62" s="1377"/>
      <c r="R62" s="1369"/>
      <c r="S62" s="1377"/>
      <c r="T62" s="1377"/>
      <c r="U62" s="1369"/>
      <c r="V62" s="3"/>
    </row>
    <row r="63" spans="1:22">
      <c r="A63" s="60">
        <v>1937</v>
      </c>
      <c r="B63" s="68"/>
      <c r="C63" s="1529">
        <v>7355311.4453189932</v>
      </c>
      <c r="D63" s="1535"/>
      <c r="E63" s="70"/>
      <c r="F63" s="1369"/>
      <c r="G63" s="1377"/>
      <c r="H63" s="1377"/>
      <c r="I63" s="1369"/>
      <c r="J63" s="1377"/>
      <c r="K63" s="1369"/>
      <c r="L63" s="1384"/>
      <c r="M63" s="1377"/>
      <c r="N63" s="1369"/>
      <c r="O63" s="1377"/>
      <c r="P63" s="1369"/>
      <c r="Q63" s="1377"/>
      <c r="R63" s="1369"/>
      <c r="S63" s="1377"/>
      <c r="T63" s="1377"/>
      <c r="U63" s="1369"/>
      <c r="V63" s="3"/>
    </row>
    <row r="64" spans="1:22">
      <c r="A64" s="60">
        <v>1938</v>
      </c>
      <c r="B64" s="68"/>
      <c r="C64" s="1529">
        <v>7377984.4726343444</v>
      </c>
      <c r="D64" s="1535"/>
      <c r="E64" s="70"/>
      <c r="F64" s="1369"/>
      <c r="G64" s="1377"/>
      <c r="H64" s="1377"/>
      <c r="I64" s="1369"/>
      <c r="J64" s="1377"/>
      <c r="K64" s="1369"/>
      <c r="L64" s="1384"/>
      <c r="M64" s="1377"/>
      <c r="N64" s="1369"/>
      <c r="O64" s="1377"/>
      <c r="P64" s="1369"/>
      <c r="Q64" s="1377"/>
      <c r="R64" s="1369"/>
      <c r="S64" s="1377"/>
      <c r="T64" s="1377"/>
      <c r="U64" s="1369"/>
      <c r="V64" s="3"/>
    </row>
    <row r="65" spans="1:22">
      <c r="A65" s="60">
        <v>1939</v>
      </c>
      <c r="B65" s="68"/>
      <c r="C65" s="1529">
        <v>7660399.700874378</v>
      </c>
      <c r="D65" s="1535"/>
      <c r="E65" s="70"/>
      <c r="F65" s="1369"/>
      <c r="G65" s="1377"/>
      <c r="H65" s="1377"/>
      <c r="I65" s="1369"/>
      <c r="J65" s="1377"/>
      <c r="K65" s="1369"/>
      <c r="L65" s="1384"/>
      <c r="M65" s="1377"/>
      <c r="N65" s="1369"/>
      <c r="O65" s="1377"/>
      <c r="P65" s="1369"/>
      <c r="Q65" s="1377"/>
      <c r="R65" s="1369"/>
      <c r="S65" s="1377"/>
      <c r="T65" s="1377"/>
      <c r="U65" s="1369"/>
      <c r="V65" s="3"/>
    </row>
    <row r="66" spans="1:22" ht="11.25" customHeight="1">
      <c r="A66" s="60">
        <v>1940</v>
      </c>
      <c r="B66" s="68"/>
      <c r="C66" s="1529">
        <v>7784647.890562511</v>
      </c>
      <c r="D66" s="1535"/>
      <c r="E66" s="70"/>
      <c r="F66" s="1369"/>
      <c r="G66" s="1377"/>
      <c r="H66" s="1377"/>
      <c r="I66" s="1369"/>
      <c r="J66" s="1377"/>
      <c r="K66" s="1369"/>
      <c r="L66" s="1384"/>
      <c r="M66" s="1377"/>
      <c r="N66" s="1369"/>
      <c r="O66" s="1377"/>
      <c r="P66" s="1369"/>
      <c r="Q66" s="1377"/>
      <c r="R66" s="1369"/>
      <c r="S66" s="1377"/>
      <c r="T66" s="1377"/>
      <c r="U66" s="1369"/>
      <c r="V66" s="3"/>
    </row>
    <row r="67" spans="1:22">
      <c r="A67" s="60">
        <v>1941</v>
      </c>
      <c r="B67" s="68"/>
      <c r="C67" s="1529">
        <v>8191492.6927092019</v>
      </c>
      <c r="D67" s="1535"/>
      <c r="E67" s="70"/>
      <c r="F67" s="1369"/>
      <c r="G67" s="1377"/>
      <c r="H67" s="1377"/>
      <c r="I67" s="1369"/>
      <c r="J67" s="1377"/>
      <c r="K67" s="1369"/>
      <c r="L67" s="1384"/>
      <c r="M67" s="1377"/>
      <c r="N67" s="1369"/>
      <c r="O67" s="1377"/>
      <c r="P67" s="1369"/>
      <c r="Q67" s="1377"/>
      <c r="R67" s="1369"/>
      <c r="S67" s="1377"/>
      <c r="T67" s="1377"/>
      <c r="U67" s="1369"/>
      <c r="V67" s="3"/>
    </row>
    <row r="68" spans="1:22">
      <c r="A68" s="60">
        <v>1942</v>
      </c>
      <c r="B68" s="68"/>
      <c r="C68" s="1529">
        <v>8281822.0335335694</v>
      </c>
      <c r="D68" s="1535"/>
      <c r="E68" s="70"/>
      <c r="F68" s="1369"/>
      <c r="G68" s="1377"/>
      <c r="H68" s="1377"/>
      <c r="I68" s="1369"/>
      <c r="J68" s="1377"/>
      <c r="K68" s="1369"/>
      <c r="L68" s="1384"/>
      <c r="M68" s="1377"/>
      <c r="N68" s="1369"/>
      <c r="O68" s="1377"/>
      <c r="P68" s="1369"/>
      <c r="Q68" s="1377"/>
      <c r="R68" s="1369"/>
      <c r="S68" s="1377"/>
      <c r="T68" s="1377"/>
      <c r="U68" s="1369"/>
      <c r="V68" s="3"/>
    </row>
    <row r="69" spans="1:22">
      <c r="A69" s="60">
        <v>1943</v>
      </c>
      <c r="B69" s="68"/>
      <c r="C69" s="1529">
        <v>8225411.5415729703</v>
      </c>
      <c r="D69" s="1535"/>
      <c r="E69" s="70"/>
      <c r="F69" s="1369"/>
      <c r="G69" s="1377"/>
      <c r="H69" s="1377"/>
      <c r="I69" s="1369"/>
      <c r="J69" s="1377"/>
      <c r="K69" s="1369"/>
      <c r="L69" s="1384"/>
      <c r="M69" s="1377"/>
      <c r="N69" s="1369"/>
      <c r="O69" s="1377"/>
      <c r="P69" s="1369"/>
      <c r="Q69" s="1377"/>
      <c r="R69" s="1369"/>
      <c r="S69" s="1377"/>
      <c r="T69" s="1377"/>
      <c r="U69" s="1369"/>
      <c r="V69" s="3"/>
    </row>
    <row r="70" spans="1:22">
      <c r="A70" s="60">
        <v>1944</v>
      </c>
      <c r="B70" s="68"/>
      <c r="C70" s="1529">
        <v>9151922.1297875475</v>
      </c>
      <c r="D70" s="1535"/>
      <c r="E70" s="70"/>
      <c r="F70" s="1369"/>
      <c r="G70" s="1377"/>
      <c r="H70" s="1377"/>
      <c r="I70" s="1369"/>
      <c r="J70" s="1377"/>
      <c r="K70" s="1369"/>
      <c r="L70" s="1384"/>
      <c r="M70" s="1377"/>
      <c r="N70" s="1369"/>
      <c r="O70" s="1377"/>
      <c r="P70" s="1369"/>
      <c r="Q70" s="1377"/>
      <c r="R70" s="1369"/>
      <c r="S70" s="1377"/>
      <c r="T70" s="1377"/>
      <c r="U70" s="1369"/>
      <c r="V70" s="3"/>
    </row>
    <row r="71" spans="1:22">
      <c r="A71" s="60">
        <v>1945</v>
      </c>
      <c r="B71" s="68"/>
      <c r="C71" s="1529">
        <v>8858079.6957805753</v>
      </c>
      <c r="D71" s="1535"/>
      <c r="E71" s="70"/>
      <c r="F71" s="1369"/>
      <c r="G71" s="1377"/>
      <c r="H71" s="1377"/>
      <c r="I71" s="1369"/>
      <c r="J71" s="1377"/>
      <c r="K71" s="1369"/>
      <c r="L71" s="1384"/>
      <c r="M71" s="1377"/>
      <c r="N71" s="1369"/>
      <c r="O71" s="1377"/>
      <c r="P71" s="1369"/>
      <c r="Q71" s="1377"/>
      <c r="R71" s="1369"/>
      <c r="S71" s="1377"/>
      <c r="T71" s="1377"/>
      <c r="U71" s="1369"/>
      <c r="V71" s="3"/>
    </row>
    <row r="72" spans="1:22">
      <c r="A72" s="60">
        <v>1946</v>
      </c>
      <c r="B72" s="68"/>
      <c r="C72" s="1529">
        <v>9649096.2727586068</v>
      </c>
      <c r="D72" s="1535"/>
      <c r="E72" s="70"/>
      <c r="F72" s="1369"/>
      <c r="G72" s="1377"/>
      <c r="H72" s="1377"/>
      <c r="I72" s="1369"/>
      <c r="J72" s="1377"/>
      <c r="K72" s="1369"/>
      <c r="L72" s="1384"/>
      <c r="M72" s="1377"/>
      <c r="N72" s="1369"/>
      <c r="O72" s="1377"/>
      <c r="P72" s="1369"/>
      <c r="Q72" s="1377"/>
      <c r="R72" s="1369"/>
      <c r="S72" s="1377"/>
      <c r="T72" s="1377"/>
      <c r="U72" s="1369"/>
      <c r="V72" s="3"/>
    </row>
    <row r="73" spans="1:22">
      <c r="A73" s="60">
        <v>1947</v>
      </c>
      <c r="B73" s="68"/>
      <c r="C73" s="1529">
        <v>10722346.693758149</v>
      </c>
      <c r="D73" s="1535"/>
      <c r="E73" s="70"/>
      <c r="F73" s="1369"/>
      <c r="G73" s="1377"/>
      <c r="H73" s="1377"/>
      <c r="I73" s="1369"/>
      <c r="J73" s="1377"/>
      <c r="K73" s="1369"/>
      <c r="L73" s="1384"/>
      <c r="M73" s="1377"/>
      <c r="N73" s="1369"/>
      <c r="O73" s="1377"/>
      <c r="P73" s="1369"/>
      <c r="Q73" s="1377"/>
      <c r="R73" s="1369"/>
      <c r="S73" s="1377"/>
      <c r="T73" s="1377"/>
      <c r="U73" s="1369"/>
      <c r="V73" s="3"/>
    </row>
    <row r="74" spans="1:22">
      <c r="A74" s="60">
        <v>1948</v>
      </c>
      <c r="B74" s="68"/>
      <c r="C74" s="1529">
        <v>11309850.177553574</v>
      </c>
      <c r="D74" s="1535"/>
      <c r="E74" s="70"/>
      <c r="F74" s="1369"/>
      <c r="G74" s="1377"/>
      <c r="H74" s="1377"/>
      <c r="I74" s="1369"/>
      <c r="J74" s="1377"/>
      <c r="K74" s="1369"/>
      <c r="L74" s="1384"/>
      <c r="M74" s="1377"/>
      <c r="N74" s="1369"/>
      <c r="O74" s="1377"/>
      <c r="P74" s="1369"/>
      <c r="Q74" s="1377"/>
      <c r="R74" s="1369"/>
      <c r="S74" s="1377"/>
      <c r="T74" s="1377"/>
      <c r="U74" s="1369"/>
      <c r="V74" s="3"/>
    </row>
    <row r="75" spans="1:22">
      <c r="A75" s="60">
        <v>1949</v>
      </c>
      <c r="B75" s="68"/>
      <c r="C75" s="1529">
        <v>11163110.34476861</v>
      </c>
      <c r="D75" s="1535"/>
      <c r="E75" s="70"/>
      <c r="F75" s="1369"/>
      <c r="G75" s="1377"/>
      <c r="H75" s="1377"/>
      <c r="I75" s="1369"/>
      <c r="J75" s="1377"/>
      <c r="K75" s="1369"/>
      <c r="L75" s="1384"/>
      <c r="M75" s="1377"/>
      <c r="N75" s="1369"/>
      <c r="O75" s="1377"/>
      <c r="P75" s="1369"/>
      <c r="Q75" s="1377"/>
      <c r="R75" s="1369"/>
      <c r="S75" s="1377"/>
      <c r="T75" s="1377"/>
      <c r="U75" s="1369"/>
      <c r="V75" s="3"/>
    </row>
    <row r="76" spans="1:22">
      <c r="A76" s="60">
        <v>1950</v>
      </c>
      <c r="B76" s="68"/>
      <c r="C76" s="1529">
        <v>11298604.356005162</v>
      </c>
      <c r="D76" s="1535"/>
      <c r="E76" s="70"/>
      <c r="F76" s="1369"/>
      <c r="G76" s="1377"/>
      <c r="H76" s="1377"/>
      <c r="I76" s="1369"/>
      <c r="J76" s="1377"/>
      <c r="K76" s="1369"/>
      <c r="L76" s="1384"/>
      <c r="M76" s="1377"/>
      <c r="N76" s="1369"/>
      <c r="O76" s="1377"/>
      <c r="P76" s="1369"/>
      <c r="Q76" s="1377"/>
      <c r="R76" s="1369"/>
      <c r="S76" s="1377"/>
      <c r="T76" s="1377"/>
      <c r="U76" s="1369"/>
      <c r="V76" s="3"/>
    </row>
    <row r="77" spans="1:22">
      <c r="A77" s="60">
        <v>1951</v>
      </c>
      <c r="B77" s="68"/>
      <c r="C77" s="1529">
        <v>11737832.457815574</v>
      </c>
      <c r="D77" s="1535"/>
      <c r="E77" s="70"/>
      <c r="F77" s="1369"/>
      <c r="G77" s="1377"/>
      <c r="H77" s="1377"/>
      <c r="I77" s="1369"/>
      <c r="J77" s="1377"/>
      <c r="K77" s="1369"/>
      <c r="L77" s="1384"/>
      <c r="M77" s="1377"/>
      <c r="N77" s="1369"/>
      <c r="O77" s="1377"/>
      <c r="P77" s="1369"/>
      <c r="Q77" s="1377"/>
      <c r="R77" s="1369"/>
      <c r="S77" s="1377"/>
      <c r="T77" s="1377"/>
      <c r="U77" s="1369"/>
      <c r="V77" s="3"/>
    </row>
    <row r="78" spans="1:22">
      <c r="A78" s="60">
        <v>1952</v>
      </c>
      <c r="B78" s="68"/>
      <c r="C78" s="1529">
        <v>11147058.692812406</v>
      </c>
      <c r="D78" s="1535"/>
      <c r="E78" s="70"/>
      <c r="F78" s="1369"/>
      <c r="G78" s="1377"/>
      <c r="H78" s="1377"/>
      <c r="I78" s="1369"/>
      <c r="J78" s="1377"/>
      <c r="K78" s="1369"/>
      <c r="L78" s="1384"/>
      <c r="M78" s="1377"/>
      <c r="N78" s="1369"/>
      <c r="O78" s="1377"/>
      <c r="P78" s="1369"/>
      <c r="Q78" s="1377"/>
      <c r="R78" s="1369"/>
      <c r="S78" s="1377"/>
      <c r="T78" s="1377"/>
      <c r="U78" s="1369"/>
      <c r="V78" s="3"/>
    </row>
    <row r="79" spans="1:22">
      <c r="A79" s="60">
        <v>1953</v>
      </c>
      <c r="B79" s="68"/>
      <c r="C79" s="1529">
        <v>11080173.040612908</v>
      </c>
      <c r="D79" s="1535"/>
      <c r="E79" s="70"/>
      <c r="F79" s="1369"/>
      <c r="G79" s="1377"/>
      <c r="H79" s="1377"/>
      <c r="I79" s="1369"/>
      <c r="J79" s="1377"/>
      <c r="K79" s="1369"/>
      <c r="L79" s="1384"/>
      <c r="M79" s="1377"/>
      <c r="N79" s="1369"/>
      <c r="O79" s="1377"/>
      <c r="P79" s="1369"/>
      <c r="Q79" s="1377"/>
      <c r="R79" s="1369"/>
      <c r="S79" s="1377"/>
      <c r="T79" s="1377"/>
      <c r="U79" s="1369"/>
      <c r="V79" s="3"/>
    </row>
    <row r="80" spans="1:22">
      <c r="A80" s="60">
        <v>1954</v>
      </c>
      <c r="B80" s="68"/>
      <c r="C80" s="1529">
        <v>11220614.421793595</v>
      </c>
      <c r="D80" s="1535"/>
      <c r="E80" s="70"/>
      <c r="F80" s="1369"/>
      <c r="G80" s="1377"/>
      <c r="H80" s="1377"/>
      <c r="I80" s="1369"/>
      <c r="J80" s="1377"/>
      <c r="K80" s="1369"/>
      <c r="L80" s="1384"/>
      <c r="M80" s="1377"/>
      <c r="N80" s="1369"/>
      <c r="O80" s="1377"/>
      <c r="P80" s="1369"/>
      <c r="Q80" s="1377"/>
      <c r="R80" s="1369"/>
      <c r="S80" s="1377"/>
      <c r="T80" s="1377"/>
      <c r="U80" s="1369"/>
      <c r="V80" s="3"/>
    </row>
    <row r="81" spans="1:22">
      <c r="A81" s="60">
        <v>1955</v>
      </c>
      <c r="B81" s="68"/>
      <c r="C81" s="1529">
        <v>12013199.070853213</v>
      </c>
      <c r="D81" s="1535"/>
      <c r="E81" s="70"/>
      <c r="F81" s="1369"/>
      <c r="G81" s="1377"/>
      <c r="H81" s="1377"/>
      <c r="I81" s="1369"/>
      <c r="J81" s="1377"/>
      <c r="K81" s="1369"/>
      <c r="L81" s="1384"/>
      <c r="M81" s="1377"/>
      <c r="N81" s="1369"/>
      <c r="O81" s="1377"/>
      <c r="P81" s="1369"/>
      <c r="Q81" s="1377"/>
      <c r="R81" s="1369"/>
      <c r="S81" s="1377"/>
      <c r="T81" s="1377"/>
      <c r="U81" s="1369"/>
      <c r="V81" s="3"/>
    </row>
    <row r="82" spans="1:22">
      <c r="A82" s="60">
        <v>1956</v>
      </c>
      <c r="B82" s="68"/>
      <c r="C82" s="1529">
        <v>12346933.37984903</v>
      </c>
      <c r="D82" s="1535"/>
      <c r="E82" s="70"/>
      <c r="F82" s="1369"/>
      <c r="G82" s="1377"/>
      <c r="H82" s="1377"/>
      <c r="I82" s="1369"/>
      <c r="J82" s="1377"/>
      <c r="K82" s="1369"/>
      <c r="L82" s="1384"/>
      <c r="M82" s="1377"/>
      <c r="N82" s="1369"/>
      <c r="O82" s="1377"/>
      <c r="P82" s="1369"/>
      <c r="Q82" s="1377"/>
      <c r="R82" s="1369"/>
      <c r="S82" s="1377"/>
      <c r="T82" s="1377"/>
      <c r="U82" s="1369"/>
      <c r="V82" s="3"/>
    </row>
    <row r="83" spans="1:22">
      <c r="A83" s="60">
        <v>1957</v>
      </c>
      <c r="B83" s="68"/>
      <c r="C83" s="1529">
        <v>12986522.135813447</v>
      </c>
      <c r="D83" s="1535"/>
      <c r="E83" s="70"/>
      <c r="F83" s="1369"/>
      <c r="G83" s="1377"/>
      <c r="H83" s="1377"/>
      <c r="I83" s="1369"/>
      <c r="J83" s="1377"/>
      <c r="K83" s="1369"/>
      <c r="L83" s="1384"/>
      <c r="M83" s="1377"/>
      <c r="N83" s="1369"/>
      <c r="O83" s="1377"/>
      <c r="P83" s="1369"/>
      <c r="Q83" s="1377"/>
      <c r="R83" s="1369"/>
      <c r="S83" s="1377"/>
      <c r="T83" s="1377"/>
      <c r="U83" s="1369"/>
      <c r="V83" s="3"/>
    </row>
    <row r="84" spans="1:22">
      <c r="A84" s="60">
        <v>1958</v>
      </c>
      <c r="B84" s="68"/>
      <c r="C84" s="1529">
        <v>13389866.480215633</v>
      </c>
      <c r="D84" s="1535"/>
      <c r="E84" s="70"/>
      <c r="F84" s="1369"/>
      <c r="G84" s="1377"/>
      <c r="H84" s="1377"/>
      <c r="I84" s="1369"/>
      <c r="J84" s="1377"/>
      <c r="K84" s="1369"/>
      <c r="L84" s="1384"/>
      <c r="M84" s="1377"/>
      <c r="N84" s="1369"/>
      <c r="O84" s="1377"/>
      <c r="P84" s="1369"/>
      <c r="Q84" s="1377"/>
      <c r="R84" s="1369"/>
      <c r="S84" s="1377"/>
      <c r="T84" s="1377"/>
      <c r="U84" s="1369"/>
      <c r="V84" s="3"/>
    </row>
    <row r="85" spans="1:22">
      <c r="A85" s="60">
        <v>1959</v>
      </c>
      <c r="B85" s="68"/>
      <c r="C85" s="1529">
        <v>11498005.74443974</v>
      </c>
      <c r="D85" s="1535"/>
      <c r="E85" s="70"/>
      <c r="F85" s="1369"/>
      <c r="G85" s="1377"/>
      <c r="H85" s="1377"/>
      <c r="I85" s="1369"/>
      <c r="J85" s="1377"/>
      <c r="K85" s="1369"/>
      <c r="L85" s="1384"/>
      <c r="M85" s="1377"/>
      <c r="N85" s="1369"/>
      <c r="O85" s="1377"/>
      <c r="P85" s="1369"/>
      <c r="Q85" s="1377"/>
      <c r="R85" s="1369"/>
      <c r="S85" s="1377"/>
      <c r="T85" s="1377"/>
      <c r="U85" s="1369"/>
      <c r="V85" s="3"/>
    </row>
    <row r="86" spans="1:22">
      <c r="A86" s="60">
        <v>1960</v>
      </c>
      <c r="B86" s="68"/>
      <c r="C86" s="1529">
        <v>12185629.117125452</v>
      </c>
      <c r="D86" s="1535"/>
      <c r="E86" s="70"/>
      <c r="F86" s="1369"/>
      <c r="G86" s="1377"/>
      <c r="H86" s="1377"/>
      <c r="I86" s="1369"/>
      <c r="J86" s="1377"/>
      <c r="K86" s="1369"/>
      <c r="L86" s="1384"/>
      <c r="M86" s="1377"/>
      <c r="N86" s="1369"/>
      <c r="O86" s="1377"/>
      <c r="P86" s="1369"/>
      <c r="Q86" s="1377"/>
      <c r="R86" s="1369"/>
      <c r="S86" s="1377"/>
      <c r="T86" s="1377"/>
      <c r="U86" s="1369"/>
      <c r="V86" s="3"/>
    </row>
    <row r="87" spans="1:22">
      <c r="A87" s="60">
        <v>1961</v>
      </c>
      <c r="B87" s="68"/>
      <c r="C87" s="1529">
        <v>13205854.155041382</v>
      </c>
      <c r="D87" s="1535"/>
      <c r="E87" s="70"/>
      <c r="F87" s="1369"/>
      <c r="G87" s="1377"/>
      <c r="H87" s="1377"/>
      <c r="I87" s="1369"/>
      <c r="J87" s="1377"/>
      <c r="K87" s="1369"/>
      <c r="L87" s="1384"/>
      <c r="M87" s="1377"/>
      <c r="N87" s="1369"/>
      <c r="O87" s="1377"/>
      <c r="P87" s="1369"/>
      <c r="Q87" s="1377"/>
      <c r="R87" s="1369"/>
      <c r="S87" s="1377"/>
      <c r="T87" s="1377"/>
      <c r="U87" s="1369"/>
      <c r="V87" s="3"/>
    </row>
    <row r="88" spans="1:22">
      <c r="A88" s="60">
        <v>1962</v>
      </c>
      <c r="B88" s="68"/>
      <c r="C88" s="1529">
        <v>14115819.001579192</v>
      </c>
      <c r="D88" s="1535"/>
      <c r="E88" s="70"/>
      <c r="F88" s="1369"/>
      <c r="G88" s="1377"/>
      <c r="H88" s="1377"/>
      <c r="I88" s="1369"/>
      <c r="J88" s="1377"/>
      <c r="K88" s="1369"/>
      <c r="L88" s="1384"/>
      <c r="M88" s="1377"/>
      <c r="N88" s="1369"/>
      <c r="O88" s="1377"/>
      <c r="P88" s="1369"/>
      <c r="Q88" s="1377"/>
      <c r="R88" s="1369"/>
      <c r="S88" s="1377"/>
      <c r="T88" s="1377"/>
      <c r="U88" s="1369"/>
      <c r="V88" s="3"/>
    </row>
    <row r="89" spans="1:22">
      <c r="A89" s="60">
        <v>1963</v>
      </c>
      <c r="B89" s="68"/>
      <c r="C89" s="1529">
        <v>14213223.689377606</v>
      </c>
      <c r="D89" s="1535"/>
      <c r="E89" s="70"/>
      <c r="F89" s="1369"/>
      <c r="G89" s="1377"/>
      <c r="H89" s="1377"/>
      <c r="I89" s="1369"/>
      <c r="J89" s="1377"/>
      <c r="K89" s="1369"/>
      <c r="L89" s="1384"/>
      <c r="M89" s="1377"/>
      <c r="N89" s="1369"/>
      <c r="O89" s="1377"/>
      <c r="P89" s="1369"/>
      <c r="Q89" s="1377"/>
      <c r="R89" s="1369"/>
      <c r="S89" s="1377"/>
      <c r="T89" s="1377"/>
      <c r="U89" s="1369"/>
      <c r="V89" s="3"/>
    </row>
    <row r="90" spans="1:22">
      <c r="A90" s="60">
        <v>1964</v>
      </c>
      <c r="B90" s="68"/>
      <c r="C90" s="1529">
        <v>14418286.190005844</v>
      </c>
      <c r="D90" s="1535"/>
      <c r="E90" s="70"/>
      <c r="F90" s="1369"/>
      <c r="G90" s="1377"/>
      <c r="H90" s="1377"/>
      <c r="I90" s="1369"/>
      <c r="J90" s="1377"/>
      <c r="K90" s="1369"/>
      <c r="L90" s="1384"/>
      <c r="M90" s="1377"/>
      <c r="N90" s="1369"/>
      <c r="O90" s="1377"/>
      <c r="P90" s="1369"/>
      <c r="Q90" s="1377"/>
      <c r="R90" s="1369"/>
      <c r="S90" s="1377"/>
      <c r="T90" s="1377"/>
      <c r="U90" s="1369"/>
      <c r="V90" s="3"/>
    </row>
    <row r="91" spans="1:22">
      <c r="A91" s="60">
        <v>1965</v>
      </c>
      <c r="B91" s="68"/>
      <c r="C91" s="1529">
        <v>16347753.435500382</v>
      </c>
      <c r="D91" s="1535"/>
      <c r="E91" s="70"/>
      <c r="F91" s="1369"/>
      <c r="G91" s="1377"/>
      <c r="H91" s="1377"/>
      <c r="I91" s="1369"/>
      <c r="J91" s="1377"/>
      <c r="K91" s="1369"/>
      <c r="L91" s="1384"/>
      <c r="M91" s="1377"/>
      <c r="N91" s="1369"/>
      <c r="O91" s="1377"/>
      <c r="P91" s="1369"/>
      <c r="Q91" s="1377"/>
      <c r="R91" s="1369"/>
      <c r="S91" s="1377"/>
      <c r="T91" s="1377"/>
      <c r="U91" s="1369"/>
      <c r="V91" s="3"/>
    </row>
    <row r="92" spans="1:22">
      <c r="A92" s="60">
        <v>1966</v>
      </c>
      <c r="B92" s="68"/>
      <c r="C92" s="1529">
        <v>16074336.767996063</v>
      </c>
      <c r="D92" s="1535"/>
      <c r="E92" s="70"/>
      <c r="F92" s="1369"/>
      <c r="G92" s="1377"/>
      <c r="H92" s="1377"/>
      <c r="I92" s="1369"/>
      <c r="J92" s="1377"/>
      <c r="K92" s="1369"/>
      <c r="L92" s="1384"/>
      <c r="M92" s="1377"/>
      <c r="N92" s="1369"/>
      <c r="O92" s="1377"/>
      <c r="P92" s="1369"/>
      <c r="Q92" s="1377"/>
      <c r="R92" s="1369"/>
      <c r="S92" s="1377"/>
      <c r="T92" s="1377"/>
      <c r="U92" s="1369"/>
      <c r="V92" s="3"/>
    </row>
    <row r="93" spans="1:22">
      <c r="A93" s="60">
        <v>1967</v>
      </c>
      <c r="B93" s="68"/>
      <c r="C93" s="1529">
        <v>16917314.530995313</v>
      </c>
      <c r="D93" s="1535"/>
      <c r="E93" s="70"/>
      <c r="F93" s="1369"/>
      <c r="G93" s="1377"/>
      <c r="H93" s="1377"/>
      <c r="I93" s="1369"/>
      <c r="J93" s="1377"/>
      <c r="K93" s="1369"/>
      <c r="L93" s="1384"/>
      <c r="M93" s="1377"/>
      <c r="N93" s="1369"/>
      <c r="O93" s="1377"/>
      <c r="P93" s="1369"/>
      <c r="Q93" s="1377"/>
      <c r="R93" s="1369"/>
      <c r="S93" s="1377"/>
      <c r="T93" s="1377"/>
      <c r="U93" s="1369"/>
      <c r="V93" s="3"/>
    </row>
    <row r="94" spans="1:22">
      <c r="A94" s="60">
        <v>1968</v>
      </c>
      <c r="B94" s="68"/>
      <c r="C94" s="1529">
        <v>17116908.698273465</v>
      </c>
      <c r="D94" s="1535"/>
      <c r="E94" s="70"/>
      <c r="F94" s="1369"/>
      <c r="G94" s="1377"/>
      <c r="H94" s="1377"/>
      <c r="I94" s="1369"/>
      <c r="J94" s="1377"/>
      <c r="K94" s="1369"/>
      <c r="L94" s="1384"/>
      <c r="M94" s="1377"/>
      <c r="N94" s="1369"/>
      <c r="O94" s="1377"/>
      <c r="P94" s="1369"/>
      <c r="Q94" s="1377"/>
      <c r="R94" s="1369"/>
      <c r="S94" s="1377"/>
      <c r="T94" s="1377"/>
      <c r="U94" s="1369"/>
      <c r="V94" s="3"/>
    </row>
    <row r="95" spans="1:22">
      <c r="A95" s="60">
        <v>1969</v>
      </c>
      <c r="B95" s="68"/>
      <c r="C95" s="1529">
        <v>19268356.100698065</v>
      </c>
      <c r="D95" s="1535"/>
      <c r="E95" s="70"/>
      <c r="F95" s="1369"/>
      <c r="G95" s="1377"/>
      <c r="H95" s="1377"/>
      <c r="I95" s="1369"/>
      <c r="J95" s="1377"/>
      <c r="K95" s="1369"/>
      <c r="L95" s="1384"/>
      <c r="M95" s="1377"/>
      <c r="N95" s="1369"/>
      <c r="O95" s="1377"/>
      <c r="P95" s="1369"/>
      <c r="Q95" s="1377"/>
      <c r="R95" s="1369"/>
      <c r="S95" s="1377"/>
      <c r="T95" s="1377"/>
      <c r="U95" s="1369"/>
      <c r="V95" s="3"/>
    </row>
    <row r="96" spans="1:22">
      <c r="A96" s="60">
        <v>1970</v>
      </c>
      <c r="B96" s="68"/>
      <c r="C96" s="1529">
        <v>17813437.658740714</v>
      </c>
      <c r="D96" s="1535"/>
      <c r="E96" s="70"/>
      <c r="F96" s="1369"/>
      <c r="G96" s="1377"/>
      <c r="H96" s="1377"/>
      <c r="I96" s="1369"/>
      <c r="J96" s="1377"/>
      <c r="K96" s="1369"/>
      <c r="L96" s="1384"/>
      <c r="M96" s="1377"/>
      <c r="N96" s="1369"/>
      <c r="O96" s="1377"/>
      <c r="P96" s="1369"/>
      <c r="Q96" s="1377"/>
      <c r="R96" s="1369"/>
      <c r="S96" s="1377"/>
      <c r="T96" s="1377"/>
      <c r="U96" s="1369"/>
      <c r="V96" s="3"/>
    </row>
    <row r="97" spans="1:22">
      <c r="A97" s="60">
        <v>1971</v>
      </c>
      <c r="B97" s="68"/>
      <c r="C97" s="1529">
        <v>17894245.926970605</v>
      </c>
      <c r="D97" s="1535"/>
      <c r="E97" s="70"/>
      <c r="F97" s="1369"/>
      <c r="G97" s="1377"/>
      <c r="H97" s="1377"/>
      <c r="I97" s="1369"/>
      <c r="J97" s="1377"/>
      <c r="K97" s="1369"/>
      <c r="L97" s="1384"/>
      <c r="M97" s="1377"/>
      <c r="N97" s="1369"/>
      <c r="O97" s="1377"/>
      <c r="P97" s="1369"/>
      <c r="Q97" s="1377"/>
      <c r="R97" s="1369"/>
      <c r="S97" s="1377"/>
      <c r="T97" s="1377"/>
      <c r="U97" s="1369"/>
      <c r="V97" s="3"/>
    </row>
    <row r="98" spans="1:22">
      <c r="A98" s="60">
        <v>1972</v>
      </c>
      <c r="B98" s="68"/>
      <c r="C98" s="1529">
        <v>18959891.277215049</v>
      </c>
      <c r="D98" s="1535"/>
      <c r="E98" s="70"/>
      <c r="F98" s="1369"/>
      <c r="G98" s="1377"/>
      <c r="H98" s="1377"/>
      <c r="I98" s="1369"/>
      <c r="J98" s="1377"/>
      <c r="K98" s="1369"/>
      <c r="L98" s="1384"/>
      <c r="M98" s="1377"/>
      <c r="N98" s="1369"/>
      <c r="O98" s="1377"/>
      <c r="P98" s="1369"/>
      <c r="Q98" s="1377"/>
      <c r="R98" s="1369"/>
      <c r="S98" s="1377"/>
      <c r="T98" s="1377"/>
      <c r="U98" s="1369"/>
      <c r="V98" s="3"/>
    </row>
    <row r="99" spans="1:22">
      <c r="A99" s="60">
        <v>1973</v>
      </c>
      <c r="B99" s="68"/>
      <c r="C99" s="1529">
        <v>19768207.883424252</v>
      </c>
      <c r="D99" s="1535"/>
      <c r="E99" s="70"/>
      <c r="F99" s="1369"/>
      <c r="G99" s="1377"/>
      <c r="H99" s="1377"/>
      <c r="I99" s="1369"/>
      <c r="J99" s="1377"/>
      <c r="K99" s="1369"/>
      <c r="L99" s="1384"/>
      <c r="M99" s="1377"/>
      <c r="N99" s="1369"/>
      <c r="O99" s="1377"/>
      <c r="P99" s="1369"/>
      <c r="Q99" s="1377"/>
      <c r="R99" s="1369"/>
      <c r="S99" s="1377"/>
      <c r="T99" s="1377"/>
      <c r="U99" s="1369"/>
      <c r="V99" s="3"/>
    </row>
    <row r="100" spans="1:22">
      <c r="A100" s="60">
        <v>1974</v>
      </c>
      <c r="B100" s="68"/>
      <c r="C100" s="1529">
        <v>20418944.384901576</v>
      </c>
      <c r="D100" s="1535"/>
      <c r="E100" s="70"/>
      <c r="F100" s="1369"/>
      <c r="G100" s="1377"/>
      <c r="H100" s="1377"/>
      <c r="I100" s="1369"/>
      <c r="J100" s="1377"/>
      <c r="K100" s="1369"/>
      <c r="L100" s="1384"/>
      <c r="M100" s="1377"/>
      <c r="N100" s="1369"/>
      <c r="O100" s="1377"/>
      <c r="P100" s="1369"/>
      <c r="Q100" s="1377"/>
      <c r="R100" s="1369"/>
      <c r="S100" s="1377"/>
      <c r="T100" s="1377"/>
      <c r="U100" s="1369"/>
      <c r="V100" s="3"/>
    </row>
    <row r="101" spans="1:22">
      <c r="A101" s="60">
        <v>1975</v>
      </c>
      <c r="B101" s="68"/>
      <c r="C101" s="1529">
        <v>20111234.900834486</v>
      </c>
      <c r="D101" s="1535"/>
      <c r="E101" s="70"/>
      <c r="F101" s="1369"/>
      <c r="G101" s="1377"/>
      <c r="H101" s="1377"/>
      <c r="I101" s="1369"/>
      <c r="J101" s="1377"/>
      <c r="K101" s="1369"/>
      <c r="L101" s="1384"/>
      <c r="M101" s="1377"/>
      <c r="N101" s="1369"/>
      <c r="O101" s="1377"/>
      <c r="P101" s="1369"/>
      <c r="Q101" s="1377"/>
      <c r="R101" s="1369"/>
      <c r="S101" s="1377"/>
      <c r="T101" s="1377"/>
      <c r="U101" s="1369"/>
      <c r="V101" s="3"/>
    </row>
    <row r="102" spans="1:22">
      <c r="A102" s="60">
        <v>1976</v>
      </c>
      <c r="B102" s="68"/>
      <c r="C102" s="1529">
        <v>20715781.384246551</v>
      </c>
      <c r="D102" s="1535"/>
      <c r="E102" s="70"/>
      <c r="F102" s="1369"/>
      <c r="G102" s="1377"/>
      <c r="H102" s="1377"/>
      <c r="I102" s="1369"/>
      <c r="J102" s="1377"/>
      <c r="K102" s="1369"/>
      <c r="L102" s="1384"/>
      <c r="M102" s="1377"/>
      <c r="N102" s="1369"/>
      <c r="O102" s="1377"/>
      <c r="P102" s="1369"/>
      <c r="Q102" s="1377"/>
      <c r="R102" s="1369"/>
      <c r="S102" s="1377"/>
      <c r="T102" s="1377"/>
      <c r="U102" s="1369"/>
      <c r="V102" s="3"/>
    </row>
    <row r="103" spans="1:22">
      <c r="A103" s="60">
        <v>1977</v>
      </c>
      <c r="B103" s="68"/>
      <c r="C103" s="1529">
        <v>21540694.145322256</v>
      </c>
      <c r="D103" s="1535"/>
      <c r="E103" s="70"/>
      <c r="F103" s="1369"/>
      <c r="G103" s="1377"/>
      <c r="H103" s="1377"/>
      <c r="I103" s="1369"/>
      <c r="J103" s="1377"/>
      <c r="K103" s="1369"/>
      <c r="L103" s="1384"/>
      <c r="M103" s="1377"/>
      <c r="N103" s="1369"/>
      <c r="O103" s="1377"/>
      <c r="P103" s="1369"/>
      <c r="Q103" s="1377"/>
      <c r="R103" s="1369"/>
      <c r="S103" s="1377"/>
      <c r="T103" s="1377"/>
      <c r="U103" s="1369"/>
      <c r="V103" s="3"/>
    </row>
    <row r="104" spans="1:22">
      <c r="A104" s="60">
        <v>1978</v>
      </c>
      <c r="B104" s="68"/>
      <c r="C104" s="1529">
        <v>22685159.410559472</v>
      </c>
      <c r="D104" s="1535"/>
      <c r="E104" s="70"/>
      <c r="F104" s="1369"/>
      <c r="G104" s="1377"/>
      <c r="H104" s="1377"/>
      <c r="I104" s="1369"/>
      <c r="J104" s="1377"/>
      <c r="K104" s="1369"/>
      <c r="L104" s="1384"/>
      <c r="M104" s="1377"/>
      <c r="N104" s="1369"/>
      <c r="O104" s="1377"/>
      <c r="P104" s="1369"/>
      <c r="Q104" s="1377"/>
      <c r="R104" s="1369"/>
      <c r="S104" s="1377"/>
      <c r="T104" s="1377"/>
      <c r="U104" s="1369"/>
      <c r="V104" s="3"/>
    </row>
    <row r="105" spans="1:22">
      <c r="A105" s="60">
        <v>1979</v>
      </c>
      <c r="B105" s="68"/>
      <c r="C105" s="1529">
        <v>24673181.670229703</v>
      </c>
      <c r="D105" s="1535"/>
      <c r="E105" s="70"/>
      <c r="F105" s="1369"/>
      <c r="G105" s="1377"/>
      <c r="H105" s="1377"/>
      <c r="I105" s="1369"/>
      <c r="J105" s="1377"/>
      <c r="K105" s="1369"/>
      <c r="L105" s="1384"/>
      <c r="M105" s="1377"/>
      <c r="N105" s="1369"/>
      <c r="O105" s="1377"/>
      <c r="P105" s="1369"/>
      <c r="Q105" s="1377"/>
      <c r="R105" s="1369"/>
      <c r="S105" s="1377"/>
      <c r="T105" s="1377"/>
      <c r="U105" s="1369"/>
      <c r="V105" s="3"/>
    </row>
    <row r="106" spans="1:22">
      <c r="A106" s="60">
        <v>1980</v>
      </c>
      <c r="B106" s="68"/>
      <c r="C106" s="1529">
        <v>24235716.583989207</v>
      </c>
      <c r="D106" s="1535"/>
      <c r="E106" s="70"/>
      <c r="F106" s="1369"/>
      <c r="G106" s="1377"/>
      <c r="H106" s="1377"/>
      <c r="I106" s="1369"/>
      <c r="J106" s="1377"/>
      <c r="K106" s="1369"/>
      <c r="L106" s="1384"/>
      <c r="M106" s="1377"/>
      <c r="N106" s="1369"/>
      <c r="O106" s="1377"/>
      <c r="P106" s="1369"/>
      <c r="Q106" s="1377"/>
      <c r="R106" s="1369"/>
      <c r="S106" s="1377"/>
      <c r="T106" s="1377"/>
      <c r="U106" s="1369"/>
      <c r="V106" s="3"/>
    </row>
    <row r="107" spans="1:22">
      <c r="A107" s="60">
        <v>1981</v>
      </c>
      <c r="B107" s="68"/>
      <c r="C107" s="1529">
        <v>24032026.094863649</v>
      </c>
      <c r="D107" s="1535"/>
      <c r="E107" s="70"/>
      <c r="F107" s="1369"/>
      <c r="G107" s="1377"/>
      <c r="H107" s="1377"/>
      <c r="I107" s="1369"/>
      <c r="J107" s="1377"/>
      <c r="K107" s="1369"/>
      <c r="L107" s="1384"/>
      <c r="M107" s="1377"/>
      <c r="N107" s="1369"/>
      <c r="O107" s="1377"/>
      <c r="P107" s="1369"/>
      <c r="Q107" s="1377"/>
      <c r="R107" s="1369"/>
      <c r="S107" s="1377"/>
      <c r="T107" s="1377"/>
      <c r="U107" s="1369"/>
      <c r="V107" s="3"/>
    </row>
    <row r="108" spans="1:22">
      <c r="A108" s="60">
        <v>1982</v>
      </c>
      <c r="B108" s="68"/>
      <c r="C108" s="1529">
        <v>24308884.996852454</v>
      </c>
      <c r="D108" s="1535"/>
      <c r="E108" s="70"/>
      <c r="F108" s="1369"/>
      <c r="G108" s="1377"/>
      <c r="H108" s="1377"/>
      <c r="I108" s="1369"/>
      <c r="J108" s="1377"/>
      <c r="K108" s="1369"/>
      <c r="L108" s="1384"/>
      <c r="M108" s="1377"/>
      <c r="N108" s="1369"/>
      <c r="O108" s="1377"/>
      <c r="P108" s="1369"/>
      <c r="Q108" s="1377"/>
      <c r="R108" s="1369"/>
      <c r="S108" s="1377"/>
      <c r="T108" s="1377"/>
      <c r="U108" s="1369"/>
      <c r="V108" s="3"/>
    </row>
    <row r="109" spans="1:22">
      <c r="A109" s="60">
        <v>1983</v>
      </c>
      <c r="B109" s="68"/>
      <c r="C109" s="1529">
        <v>24596452.139115751</v>
      </c>
      <c r="D109" s="1535"/>
      <c r="E109" s="70"/>
      <c r="F109" s="1369"/>
      <c r="G109" s="1377"/>
      <c r="H109" s="1377"/>
      <c r="I109" s="1369"/>
      <c r="J109" s="1377"/>
      <c r="K109" s="1369"/>
      <c r="L109" s="1384"/>
      <c r="M109" s="1377"/>
      <c r="N109" s="1369"/>
      <c r="O109" s="1377"/>
      <c r="P109" s="1369"/>
      <c r="Q109" s="1377"/>
      <c r="R109" s="1369"/>
      <c r="S109" s="1377"/>
      <c r="T109" s="1377"/>
      <c r="U109" s="1369"/>
      <c r="V109" s="3"/>
    </row>
    <row r="110" spans="1:22">
      <c r="A110" s="60">
        <v>1984</v>
      </c>
      <c r="B110" s="68"/>
      <c r="C110" s="1529">
        <v>26835051.700603068</v>
      </c>
      <c r="D110" s="1535"/>
      <c r="E110" s="70"/>
      <c r="F110" s="1369"/>
      <c r="G110" s="1377"/>
      <c r="H110" s="1377"/>
      <c r="I110" s="1369"/>
      <c r="J110" s="1377"/>
      <c r="K110" s="1369"/>
      <c r="L110" s="1384"/>
      <c r="M110" s="1377"/>
      <c r="N110" s="1369"/>
      <c r="O110" s="1377"/>
      <c r="P110" s="1369"/>
      <c r="Q110" s="1377"/>
      <c r="R110" s="1369"/>
      <c r="S110" s="1377"/>
      <c r="T110" s="1377"/>
      <c r="U110" s="1369"/>
      <c r="V110" s="3"/>
    </row>
    <row r="111" spans="1:22">
      <c r="A111" s="60">
        <v>1985</v>
      </c>
      <c r="B111" s="68"/>
      <c r="C111" s="1529">
        <v>26511133.364040632</v>
      </c>
      <c r="D111" s="1535"/>
      <c r="E111" s="70"/>
      <c r="F111" s="1369"/>
      <c r="G111" s="1377"/>
      <c r="H111" s="1377"/>
      <c r="I111" s="1369"/>
      <c r="J111" s="1377"/>
      <c r="K111" s="1369"/>
      <c r="L111" s="1384"/>
      <c r="M111" s="1377"/>
      <c r="N111" s="1369"/>
      <c r="O111" s="1377"/>
      <c r="P111" s="1369"/>
      <c r="Q111" s="1377"/>
      <c r="R111" s="1369"/>
      <c r="S111" s="1377"/>
      <c r="T111" s="1377"/>
      <c r="U111" s="1369"/>
      <c r="V111" s="3"/>
    </row>
    <row r="112" spans="1:22">
      <c r="A112" s="60">
        <v>1986</v>
      </c>
      <c r="B112" s="68"/>
      <c r="C112" s="1529">
        <v>28578882.402647298</v>
      </c>
      <c r="D112" s="1535"/>
      <c r="E112" s="70"/>
      <c r="F112" s="1369"/>
      <c r="G112" s="1377"/>
      <c r="H112" s="1377"/>
      <c r="I112" s="1369"/>
      <c r="J112" s="1377"/>
      <c r="K112" s="1369"/>
      <c r="L112" s="1384"/>
      <c r="M112" s="1377"/>
      <c r="N112" s="1369"/>
      <c r="O112" s="1377"/>
      <c r="P112" s="1369"/>
      <c r="Q112" s="1377"/>
      <c r="R112" s="1369"/>
      <c r="S112" s="1377"/>
      <c r="T112" s="1377"/>
      <c r="U112" s="1369"/>
      <c r="V112" s="3"/>
    </row>
    <row r="113" spans="1:23">
      <c r="A113" s="60">
        <v>1987</v>
      </c>
      <c r="B113" s="68"/>
      <c r="C113" s="1529">
        <v>28702957.024564233</v>
      </c>
      <c r="D113" s="1535"/>
      <c r="E113" s="70"/>
      <c r="F113" s="1369"/>
      <c r="G113" s="1377"/>
      <c r="H113" s="1377"/>
      <c r="I113" s="1369"/>
      <c r="J113" s="1377"/>
      <c r="K113" s="1369"/>
      <c r="L113" s="1384"/>
      <c r="M113" s="1377"/>
      <c r="N113" s="1369"/>
      <c r="O113" s="1377"/>
      <c r="P113" s="1369"/>
      <c r="Q113" s="1377"/>
      <c r="R113" s="1369"/>
      <c r="S113" s="1377"/>
      <c r="T113" s="1377"/>
      <c r="U113" s="1369"/>
      <c r="V113" s="3"/>
    </row>
    <row r="114" spans="1:23">
      <c r="A114" s="60">
        <v>1988</v>
      </c>
      <c r="B114" s="68"/>
      <c r="C114" s="1529">
        <v>28816626.430209931</v>
      </c>
      <c r="D114" s="1535"/>
      <c r="E114" s="70"/>
      <c r="F114" s="1369"/>
      <c r="G114" s="1377"/>
      <c r="H114" s="1377"/>
      <c r="I114" s="1369"/>
      <c r="J114" s="1377"/>
      <c r="K114" s="1369"/>
      <c r="L114" s="1384"/>
      <c r="M114" s="1377"/>
      <c r="N114" s="1369"/>
      <c r="O114" s="1377"/>
      <c r="P114" s="1369"/>
      <c r="Q114" s="1377"/>
      <c r="R114" s="1369"/>
      <c r="S114" s="1377"/>
      <c r="T114" s="1377"/>
      <c r="U114" s="1369"/>
      <c r="V114" s="3"/>
    </row>
    <row r="115" spans="1:23">
      <c r="A115" s="60">
        <v>1989</v>
      </c>
      <c r="B115" s="68"/>
      <c r="C115" s="1529">
        <v>28148536.999917515</v>
      </c>
      <c r="D115" s="1535"/>
      <c r="E115" s="70"/>
      <c r="F115" s="1369"/>
      <c r="G115" s="1377"/>
      <c r="H115" s="1377"/>
      <c r="I115" s="1369"/>
      <c r="J115" s="1377"/>
      <c r="K115" s="1369"/>
      <c r="L115" s="1384"/>
      <c r="M115" s="1377"/>
      <c r="N115" s="1369"/>
      <c r="O115" s="1377"/>
      <c r="P115" s="1369"/>
      <c r="Q115" s="1377"/>
      <c r="R115" s="1369"/>
      <c r="S115" s="1377"/>
      <c r="T115" s="1377"/>
      <c r="U115" s="1369"/>
      <c r="V115" s="3"/>
    </row>
    <row r="116" spans="1:23">
      <c r="A116" s="60">
        <v>1990</v>
      </c>
      <c r="B116" s="68"/>
      <c r="C116" s="1529">
        <v>27941696.833157249</v>
      </c>
      <c r="D116" s="1535"/>
      <c r="E116" s="70"/>
      <c r="F116" s="1369"/>
      <c r="G116" s="1377"/>
      <c r="H116" s="1377"/>
      <c r="I116" s="1369"/>
      <c r="J116" s="1377"/>
      <c r="K116" s="1369"/>
      <c r="L116" s="1384"/>
      <c r="M116" s="1377"/>
      <c r="N116" s="1369"/>
      <c r="O116" s="1377"/>
      <c r="P116" s="1369"/>
      <c r="Q116" s="1377"/>
      <c r="R116" s="1369"/>
      <c r="S116" s="1377"/>
      <c r="T116" s="1377"/>
      <c r="U116" s="1369"/>
      <c r="V116" s="3"/>
    </row>
    <row r="117" spans="1:23">
      <c r="A117" s="60">
        <v>1991</v>
      </c>
      <c r="B117" s="68"/>
      <c r="C117" s="1529">
        <v>30170258.333341792</v>
      </c>
      <c r="D117" s="1535"/>
      <c r="E117" s="70"/>
      <c r="F117" s="1369"/>
      <c r="G117" s="1377"/>
      <c r="H117" s="1377"/>
      <c r="I117" s="1369"/>
      <c r="J117" s="1377"/>
      <c r="K117" s="1369"/>
      <c r="L117" s="1384"/>
      <c r="M117" s="1377"/>
      <c r="N117" s="1369"/>
      <c r="O117" s="1377"/>
      <c r="P117" s="1369"/>
      <c r="Q117" s="1377"/>
      <c r="R117" s="1369"/>
      <c r="S117" s="1377"/>
      <c r="T117" s="1377"/>
      <c r="U117" s="1369"/>
      <c r="V117" s="3"/>
    </row>
    <row r="118" spans="1:23">
      <c r="A118" s="60">
        <v>1992</v>
      </c>
      <c r="B118" s="68"/>
      <c r="C118" s="1529">
        <v>31339371.256892763</v>
      </c>
      <c r="D118" s="1535"/>
      <c r="E118" s="70"/>
      <c r="F118" s="1369"/>
      <c r="G118" s="1377"/>
      <c r="H118" s="1377"/>
      <c r="I118" s="1369"/>
      <c r="J118" s="1377"/>
      <c r="K118" s="1369"/>
      <c r="L118" s="1384"/>
      <c r="M118" s="1377"/>
      <c r="N118" s="1369"/>
      <c r="O118" s="1377"/>
      <c r="P118" s="1369"/>
      <c r="Q118" s="1377"/>
      <c r="R118" s="1369"/>
      <c r="S118" s="1377"/>
      <c r="T118" s="1377"/>
      <c r="U118" s="1369"/>
      <c r="V118" s="3"/>
    </row>
    <row r="119" spans="1:23">
      <c r="A119" s="442">
        <v>1993</v>
      </c>
      <c r="B119" s="54">
        <v>19565223.962210834</v>
      </c>
      <c r="C119" s="1530">
        <v>32384619.935903922</v>
      </c>
      <c r="D119" s="1536">
        <f t="shared" ref="D119:D145" si="0">B119/C119*100</f>
        <v>60.415172390272268</v>
      </c>
      <c r="E119" s="70"/>
      <c r="F119" s="1370">
        <v>4664617.2096848115</v>
      </c>
      <c r="G119" s="1364">
        <v>814.39435337138968</v>
      </c>
      <c r="H119" s="1364">
        <v>20438.7768036706</v>
      </c>
      <c r="I119" s="1380">
        <v>8829004.9438968953</v>
      </c>
      <c r="J119" s="1364">
        <v>388325.05969573645</v>
      </c>
      <c r="K119" s="1372">
        <v>917751.01773336495</v>
      </c>
      <c r="L119" s="1370">
        <v>6587605.8078159047</v>
      </c>
      <c r="M119" s="1364">
        <v>334568.19031246146</v>
      </c>
      <c r="N119" s="1380">
        <v>1679630.1446429868</v>
      </c>
      <c r="O119" s="1364">
        <v>897179.7038479608</v>
      </c>
      <c r="P119" s="1380">
        <v>3251269.2741213175</v>
      </c>
      <c r="Q119" s="1364">
        <v>1183813.0488445822</v>
      </c>
      <c r="R119" s="1380">
        <v>1098927.5683707786</v>
      </c>
      <c r="S119" s="1364">
        <v>751977.52321858285</v>
      </c>
      <c r="T119" s="1364">
        <v>750238.72465737211</v>
      </c>
      <c r="U119" s="865">
        <v>248099.0399114294</v>
      </c>
      <c r="V119" s="3"/>
    </row>
    <row r="120" spans="1:23">
      <c r="A120" s="442">
        <v>1994</v>
      </c>
      <c r="B120" s="613">
        <v>21051541.701134108</v>
      </c>
      <c r="C120" s="1529">
        <v>34161779.247750722</v>
      </c>
      <c r="D120" s="1537">
        <f t="shared" si="0"/>
        <v>61.623083354243569</v>
      </c>
      <c r="E120" s="1360">
        <f>D120/D119-1</f>
        <v>1.9993503555173042E-2</v>
      </c>
      <c r="F120" s="571">
        <v>5098876.6602498936</v>
      </c>
      <c r="G120" s="1363">
        <v>1131.5701064621805</v>
      </c>
      <c r="H120" s="1363">
        <v>23783.121204627449</v>
      </c>
      <c r="I120" s="348">
        <v>9379637.2292109821</v>
      </c>
      <c r="J120" s="1363">
        <v>401333.25986398599</v>
      </c>
      <c r="K120" s="965">
        <v>1394076.5980880414</v>
      </c>
      <c r="L120" s="571">
        <v>7021491.2258329419</v>
      </c>
      <c r="M120" s="1363">
        <v>333844.04290497949</v>
      </c>
      <c r="N120" s="348">
        <v>1721285.0147478774</v>
      </c>
      <c r="O120" s="1363">
        <v>1089045.8911435653</v>
      </c>
      <c r="P120" s="348">
        <v>3305248.5073644998</v>
      </c>
      <c r="Q120" s="1363">
        <v>1197939.6405191</v>
      </c>
      <c r="R120" s="348">
        <v>1147466.3145994984</v>
      </c>
      <c r="S120" s="1363">
        <v>746649.25485629216</v>
      </c>
      <c r="T120" s="1363">
        <v>843406.9685314747</v>
      </c>
      <c r="U120" s="348">
        <v>269794.02752108464</v>
      </c>
      <c r="V120" s="3"/>
    </row>
    <row r="121" spans="1:23">
      <c r="A121" s="442">
        <v>1995</v>
      </c>
      <c r="B121" s="613">
        <v>21095344.783216074</v>
      </c>
      <c r="C121" s="1529">
        <v>33821720.63477461</v>
      </c>
      <c r="D121" s="1537">
        <f t="shared" si="0"/>
        <v>62.372180915971462</v>
      </c>
      <c r="E121" s="1361">
        <f>D121/D120-1</f>
        <v>1.2156119443450519E-2</v>
      </c>
      <c r="F121" s="571">
        <v>5694165.6244261563</v>
      </c>
      <c r="G121" s="1363">
        <v>1106.1369520566559</v>
      </c>
      <c r="H121" s="1363">
        <v>36804.323880106873</v>
      </c>
      <c r="I121" s="348">
        <v>8923602.5816508196</v>
      </c>
      <c r="J121" s="1363">
        <v>414007.72193466721</v>
      </c>
      <c r="K121" s="965">
        <v>1656979.6612698692</v>
      </c>
      <c r="L121" s="571">
        <v>6416297.6728436407</v>
      </c>
      <c r="M121" s="1363">
        <v>322055.78495212283</v>
      </c>
      <c r="N121" s="348">
        <v>1759044.7968820063</v>
      </c>
      <c r="O121" s="1363">
        <v>1027861.4787054674</v>
      </c>
      <c r="P121" s="348">
        <v>3327344.713665403</v>
      </c>
      <c r="Q121" s="1363">
        <v>1177669.9670048342</v>
      </c>
      <c r="R121" s="348">
        <v>1161174.569319908</v>
      </c>
      <c r="S121" s="1363">
        <v>763456.33302178723</v>
      </c>
      <c r="T121" s="1363">
        <v>673681.58754679642</v>
      </c>
      <c r="U121" s="348">
        <v>240956.77856830761</v>
      </c>
      <c r="V121" s="3"/>
    </row>
    <row r="122" spans="1:23">
      <c r="A122" s="442">
        <v>1996</v>
      </c>
      <c r="B122" s="613">
        <v>21129572.10264352</v>
      </c>
      <c r="C122" s="1529">
        <v>34729635.683139786</v>
      </c>
      <c r="D122" s="1537">
        <f t="shared" si="0"/>
        <v>60.840177810737309</v>
      </c>
      <c r="E122" s="1361">
        <f t="shared" ref="E122:E146" si="1">D122/D121-1</f>
        <v>-2.4562282138219427E-2</v>
      </c>
      <c r="F122" s="571">
        <v>5549871.8311756691</v>
      </c>
      <c r="G122" s="1363">
        <v>1080.7037976511313</v>
      </c>
      <c r="H122" s="1363">
        <v>40368.585458688773</v>
      </c>
      <c r="I122" s="348">
        <v>9531441.2954204921</v>
      </c>
      <c r="J122" s="1363">
        <v>429358.42525884853</v>
      </c>
      <c r="K122" s="965">
        <v>1191539.232714595</v>
      </c>
      <c r="L122" s="571">
        <v>6876489.1994342478</v>
      </c>
      <c r="M122" s="1363">
        <v>335456.55286686454</v>
      </c>
      <c r="N122" s="348">
        <v>1882280.0321667937</v>
      </c>
      <c r="O122" s="1363">
        <v>1029597.205527868</v>
      </c>
      <c r="P122" s="348">
        <v>3439115.329164288</v>
      </c>
      <c r="Q122" s="1363">
        <v>1156679.4333822546</v>
      </c>
      <c r="R122" s="348">
        <v>1238995.2390036178</v>
      </c>
      <c r="S122" s="1363">
        <v>792981.0976702905</v>
      </c>
      <c r="T122" s="1363">
        <v>661387.75287468219</v>
      </c>
      <c r="U122" s="348">
        <v>213350.58404906155</v>
      </c>
      <c r="V122" s="3"/>
    </row>
    <row r="123" spans="1:23">
      <c r="A123" s="442">
        <v>1997</v>
      </c>
      <c r="B123" s="613">
        <v>21726398.942785829</v>
      </c>
      <c r="C123" s="1529">
        <v>36023267.783829384</v>
      </c>
      <c r="D123" s="1537">
        <f t="shared" si="0"/>
        <v>60.312126798609512</v>
      </c>
      <c r="E123" s="1361">
        <f t="shared" si="1"/>
        <v>-8.6793140837041483E-3</v>
      </c>
      <c r="F123" s="571">
        <v>5299011.5659775725</v>
      </c>
      <c r="G123" s="1363">
        <v>1868.7827721916283</v>
      </c>
      <c r="H123" s="1363">
        <v>32976.179959612025</v>
      </c>
      <c r="I123" s="348">
        <v>10276273.204860793</v>
      </c>
      <c r="J123" s="1363">
        <v>422391.98343504872</v>
      </c>
      <c r="K123" s="965">
        <v>1421629.4438759605</v>
      </c>
      <c r="L123" s="571">
        <v>7744279.0350477519</v>
      </c>
      <c r="M123" s="1363">
        <v>335785.0850161264</v>
      </c>
      <c r="N123" s="348">
        <v>1796397.3213506092</v>
      </c>
      <c r="O123" s="1363">
        <v>1139324.2334922855</v>
      </c>
      <c r="P123" s="348">
        <v>3500792.5855784398</v>
      </c>
      <c r="Q123" s="1363">
        <v>1157870.5876630312</v>
      </c>
      <c r="R123" s="348">
        <v>1272079.1169861814</v>
      </c>
      <c r="S123" s="1363">
        <v>811968.31188699463</v>
      </c>
      <c r="T123" s="1363">
        <v>695986.01551942469</v>
      </c>
      <c r="U123" s="348">
        <v>195571.36871163972</v>
      </c>
      <c r="V123" s="3"/>
    </row>
    <row r="124" spans="1:23">
      <c r="A124" s="442">
        <v>1998</v>
      </c>
      <c r="B124" s="613">
        <v>21589619.227800839</v>
      </c>
      <c r="C124" s="1529">
        <v>37432123.870271124</v>
      </c>
      <c r="D124" s="1537">
        <f t="shared" si="0"/>
        <v>57.676714531679238</v>
      </c>
      <c r="E124" s="1361">
        <f t="shared" si="1"/>
        <v>-4.3696225068140526E-2</v>
      </c>
      <c r="F124" s="571">
        <v>6283566.9206347968</v>
      </c>
      <c r="G124" s="1363">
        <v>1749.4435045447058</v>
      </c>
      <c r="H124" s="1363">
        <v>36059.633933732148</v>
      </c>
      <c r="I124" s="348">
        <v>10064154.856280647</v>
      </c>
      <c r="J124" s="1363">
        <v>429940.67163134023</v>
      </c>
      <c r="K124" s="965">
        <v>1508466.9398961198</v>
      </c>
      <c r="L124" s="571">
        <v>7908955.3731547128</v>
      </c>
      <c r="M124" s="1363">
        <v>332899.68197172554</v>
      </c>
      <c r="N124" s="348">
        <v>1954546.8377525376</v>
      </c>
      <c r="O124" s="1363">
        <v>1304995.7704636769</v>
      </c>
      <c r="P124" s="348">
        <v>3578773.7733309171</v>
      </c>
      <c r="Q124" s="1363">
        <v>1218254.386767708</v>
      </c>
      <c r="R124" s="348">
        <v>1303882.3124996326</v>
      </c>
      <c r="S124" s="1363">
        <v>821105.13850031397</v>
      </c>
      <c r="T124" s="1363">
        <v>735079.51858663652</v>
      </c>
      <c r="U124" s="348">
        <v>187597.67626961909</v>
      </c>
      <c r="V124" s="3"/>
    </row>
    <row r="125" spans="1:23">
      <c r="A125" s="442">
        <v>1999</v>
      </c>
      <c r="B125" s="613">
        <v>19957350.605301268</v>
      </c>
      <c r="C125" s="1529">
        <v>36650854.035721481</v>
      </c>
      <c r="D125" s="1537">
        <f t="shared" si="0"/>
        <v>54.45262090168481</v>
      </c>
      <c r="E125" s="1361">
        <f t="shared" si="1"/>
        <v>-5.5899398157008062E-2</v>
      </c>
      <c r="F125" s="571">
        <v>6502932.4534798637</v>
      </c>
      <c r="G125" s="1363">
        <v>1630.1042368977837</v>
      </c>
      <c r="H125" s="1363">
        <v>30681.586647572014</v>
      </c>
      <c r="I125" s="348">
        <v>9138621.6405287962</v>
      </c>
      <c r="J125" s="1363">
        <v>450049.96757932653</v>
      </c>
      <c r="K125" s="965">
        <v>1441061.4538990112</v>
      </c>
      <c r="L125" s="571">
        <v>7406151.9410694139</v>
      </c>
      <c r="M125" s="1363">
        <v>306415.02090783871</v>
      </c>
      <c r="N125" s="348">
        <v>1852869.7066456848</v>
      </c>
      <c r="O125" s="1363">
        <v>1263413.2153404069</v>
      </c>
      <c r="P125" s="348">
        <v>3596853.7476682127</v>
      </c>
      <c r="Q125" s="1363">
        <v>1229649.120740283</v>
      </c>
      <c r="R125" s="348">
        <v>1338528.1867326379</v>
      </c>
      <c r="S125" s="1363">
        <v>852854.37425196078</v>
      </c>
      <c r="T125" s="1363">
        <v>731877.94217942143</v>
      </c>
      <c r="U125" s="348">
        <v>183089.17408494474</v>
      </c>
      <c r="V125" s="3"/>
    </row>
    <row r="126" spans="1:23">
      <c r="A126" s="442">
        <v>2000</v>
      </c>
      <c r="B126" s="613">
        <v>19719469.977901313</v>
      </c>
      <c r="C126" s="1529">
        <v>36450619.75837671</v>
      </c>
      <c r="D126" s="1537">
        <f>B126/C126*100</f>
        <v>54.099134962909886</v>
      </c>
      <c r="E126" s="1361">
        <f t="shared" si="1"/>
        <v>-6.4916239644947638E-3</v>
      </c>
      <c r="F126" s="571">
        <v>6234529.8661976028</v>
      </c>
      <c r="G126" s="1363">
        <v>1397.3409952526074</v>
      </c>
      <c r="H126" s="1363">
        <v>29820.074978946559</v>
      </c>
      <c r="I126" s="348">
        <v>9098789.2617536429</v>
      </c>
      <c r="J126" s="1363">
        <v>460670.31289762323</v>
      </c>
      <c r="K126" s="965">
        <v>1387089.3623970724</v>
      </c>
      <c r="L126" s="571">
        <v>7140587.9505736642</v>
      </c>
      <c r="M126" s="1363">
        <v>306292.30892517068</v>
      </c>
      <c r="N126" s="348">
        <v>1750885.5150714226</v>
      </c>
      <c r="O126" s="1363">
        <v>1387568.1047164854</v>
      </c>
      <c r="P126" s="348">
        <v>3626109.1251986576</v>
      </c>
      <c r="Q126" s="1363">
        <v>1271185.3303416134</v>
      </c>
      <c r="R126" s="348">
        <v>1330660.184065352</v>
      </c>
      <c r="S126" s="1363">
        <v>865972.04440291109</v>
      </c>
      <c r="T126" s="1363">
        <v>712220.69892110047</v>
      </c>
      <c r="U126" s="348">
        <v>209595.73392500199</v>
      </c>
      <c r="V126" s="3"/>
      <c r="W126" s="19"/>
    </row>
    <row r="127" spans="1:23">
      <c r="A127" s="442">
        <v>2001</v>
      </c>
      <c r="B127" s="613">
        <v>18600809.992182873</v>
      </c>
      <c r="C127" s="1529">
        <v>35275782.328256018</v>
      </c>
      <c r="D127" s="1537">
        <f>B127/C127*100</f>
        <v>52.72968808769285</v>
      </c>
      <c r="E127" s="1361">
        <f t="shared" si="1"/>
        <v>-2.5313655683328773E-2</v>
      </c>
      <c r="F127" s="571">
        <v>6651537.6389126312</v>
      </c>
      <c r="G127" s="1363">
        <v>609.50043988848495</v>
      </c>
      <c r="H127" s="1363">
        <v>24473.477059656263</v>
      </c>
      <c r="I127" s="348">
        <v>8005771.9969486063</v>
      </c>
      <c r="J127" s="1363">
        <v>452187.20209003909</v>
      </c>
      <c r="K127" s="965">
        <v>1245377.5091884914</v>
      </c>
      <c r="L127" s="571">
        <v>6488272.7105144486</v>
      </c>
      <c r="M127" s="1363">
        <v>291325.37055872369</v>
      </c>
      <c r="N127" s="348">
        <v>1676474.5096360273</v>
      </c>
      <c r="O127" s="1363">
        <v>1311871.6573470703</v>
      </c>
      <c r="P127" s="348">
        <v>3560649.3912432315</v>
      </c>
      <c r="Q127" s="1363">
        <v>1261300.3699268231</v>
      </c>
      <c r="R127" s="348">
        <v>1334466.6704521005</v>
      </c>
      <c r="S127" s="1363">
        <v>868766.42745110951</v>
      </c>
      <c r="T127" s="1363">
        <v>754784.8187508455</v>
      </c>
      <c r="U127" s="348">
        <v>259360.90824780503</v>
      </c>
      <c r="V127" s="3"/>
    </row>
    <row r="128" spans="1:23">
      <c r="A128" s="442">
        <v>2002</v>
      </c>
      <c r="B128" s="613">
        <v>26335844.607656002</v>
      </c>
      <c r="C128" s="1529">
        <v>33843998.459279612</v>
      </c>
      <c r="D128" s="1537">
        <f t="shared" si="0"/>
        <v>77.815405408857757</v>
      </c>
      <c r="E128" s="1361">
        <f t="shared" si="1"/>
        <v>0.4757418113197589</v>
      </c>
      <c r="F128" s="571">
        <v>6521673.3464605128</v>
      </c>
      <c r="G128" s="1363">
        <v>753.64191442872311</v>
      </c>
      <c r="H128" s="1363">
        <v>16258.409109852095</v>
      </c>
      <c r="I128" s="348">
        <v>8468545.5153689086</v>
      </c>
      <c r="J128" s="1363">
        <v>430988.80114824331</v>
      </c>
      <c r="K128" s="965">
        <v>939307.04731517262</v>
      </c>
      <c r="L128" s="571">
        <v>5241637.3524586083</v>
      </c>
      <c r="M128" s="1363">
        <v>218322.83089045767</v>
      </c>
      <c r="N128" s="348">
        <v>1698852.0987002782</v>
      </c>
      <c r="O128" s="1363">
        <v>857044.31159910129</v>
      </c>
      <c r="P128" s="348">
        <v>3579861.4850462587</v>
      </c>
      <c r="Q128" s="1363">
        <v>1198832.2160807794</v>
      </c>
      <c r="R128" s="348">
        <v>1339850.6144720048</v>
      </c>
      <c r="S128" s="1363">
        <v>927862.72132190317</v>
      </c>
      <c r="T128" s="1363">
        <v>763904.88691262912</v>
      </c>
      <c r="U128" s="348">
        <v>205513.67543298873</v>
      </c>
      <c r="V128" s="3"/>
    </row>
    <row r="129" spans="1:22">
      <c r="A129" s="60">
        <v>2003</v>
      </c>
      <c r="B129" s="613">
        <v>30986437.626441784</v>
      </c>
      <c r="C129" s="1529">
        <v>35762160.590878695</v>
      </c>
      <c r="D129" s="1537">
        <f t="shared" si="0"/>
        <v>86.64587685550805</v>
      </c>
      <c r="E129" s="1361">
        <f t="shared" si="1"/>
        <v>0.11347973322574401</v>
      </c>
      <c r="F129" s="571">
        <v>7269344.1257425351</v>
      </c>
      <c r="G129" s="1363">
        <v>2564.0490921632686</v>
      </c>
      <c r="H129" s="1363">
        <v>22237.511579682228</v>
      </c>
      <c r="I129" s="348">
        <v>8897613.7467023712</v>
      </c>
      <c r="J129" s="1363">
        <v>469766.13702764886</v>
      </c>
      <c r="K129" s="965">
        <v>961315.49652097002</v>
      </c>
      <c r="L129" s="571">
        <v>6041141.2473626761</v>
      </c>
      <c r="M129" s="1363">
        <v>216917.79350415722</v>
      </c>
      <c r="N129" s="348">
        <v>1892323.9308705414</v>
      </c>
      <c r="O129" s="1363">
        <v>801506.63584964338</v>
      </c>
      <c r="P129" s="348">
        <v>3662185.1895299219</v>
      </c>
      <c r="Q129" s="1363">
        <v>1213241.1563342072</v>
      </c>
      <c r="R129" s="348">
        <v>1339891.4505982529</v>
      </c>
      <c r="S129" s="1363">
        <v>957536.20395663916</v>
      </c>
      <c r="T129" s="1363">
        <v>781269.27522625367</v>
      </c>
      <c r="U129" s="348">
        <v>219690.91668711626</v>
      </c>
      <c r="V129" s="3"/>
    </row>
    <row r="130" spans="1:22">
      <c r="A130" s="60">
        <v>2004</v>
      </c>
      <c r="B130" s="50">
        <v>38884392.790334694</v>
      </c>
      <c r="C130" s="1531">
        <v>38884392.790334694</v>
      </c>
      <c r="D130" s="1537">
        <f t="shared" si="0"/>
        <v>100</v>
      </c>
      <c r="E130" s="1361">
        <f t="shared" si="1"/>
        <v>0.15412300768519538</v>
      </c>
      <c r="F130" s="573">
        <v>7788773.2153548067</v>
      </c>
      <c r="G130" s="1365">
        <v>4924.4503692200014</v>
      </c>
      <c r="H130" s="1365">
        <v>27796.900894125978</v>
      </c>
      <c r="I130" s="73">
        <v>10883241.903442858</v>
      </c>
      <c r="J130" s="1365">
        <v>509295.97289472842</v>
      </c>
      <c r="K130" s="430">
        <v>1241641.0894105553</v>
      </c>
      <c r="L130" s="573">
        <v>6874344.4998405622</v>
      </c>
      <c r="M130" s="1365">
        <v>260113.25255696406</v>
      </c>
      <c r="N130" s="73">
        <v>2122715.5941208922</v>
      </c>
      <c r="O130" s="1365">
        <v>854051.40177769074</v>
      </c>
      <c r="P130" s="73">
        <v>3727912.2890069741</v>
      </c>
      <c r="Q130" s="1365">
        <v>1247023.8197103401</v>
      </c>
      <c r="R130" s="73">
        <v>1311655.6469767103</v>
      </c>
      <c r="S130" s="1365">
        <v>991143.40869778499</v>
      </c>
      <c r="T130" s="1365">
        <v>811919.06280625635</v>
      </c>
      <c r="U130" s="73">
        <v>227840.28247422684</v>
      </c>
      <c r="V130" s="3"/>
    </row>
    <row r="131" spans="1:22">
      <c r="A131" s="60">
        <v>2005</v>
      </c>
      <c r="B131" s="50">
        <v>44954142.609536737</v>
      </c>
      <c r="C131" s="1531">
        <v>42145235.419430532</v>
      </c>
      <c r="D131" s="1537">
        <f t="shared" si="0"/>
        <v>106.66482738120189</v>
      </c>
      <c r="E131" s="1361">
        <f t="shared" si="1"/>
        <v>6.6648273812018877E-2</v>
      </c>
      <c r="F131" s="573">
        <v>8523010.90435558</v>
      </c>
      <c r="G131" s="1365">
        <v>6529.2730504083684</v>
      </c>
      <c r="H131" s="1365">
        <v>39076.397892412941</v>
      </c>
      <c r="I131" s="73">
        <v>11908944.346632317</v>
      </c>
      <c r="J131" s="1365">
        <v>555534.65414995782</v>
      </c>
      <c r="K131" s="430">
        <v>1640596.2866560908</v>
      </c>
      <c r="L131" s="573">
        <v>7104332.8272033501</v>
      </c>
      <c r="M131" s="1365">
        <v>303278.39448862494</v>
      </c>
      <c r="N131" s="73">
        <v>2443191.4618412908</v>
      </c>
      <c r="O131" s="1365">
        <v>994041.07241156301</v>
      </c>
      <c r="P131" s="73">
        <v>3879110.3734798441</v>
      </c>
      <c r="Q131" s="1365">
        <v>1265381.6975214435</v>
      </c>
      <c r="R131" s="73">
        <v>1354648.153075336</v>
      </c>
      <c r="S131" s="1365">
        <v>986692.26088833145</v>
      </c>
      <c r="T131" s="1365">
        <v>899757.66117491003</v>
      </c>
      <c r="U131" s="73">
        <v>241109.65460907281</v>
      </c>
      <c r="V131" s="3"/>
    </row>
    <row r="132" spans="1:22">
      <c r="A132" s="60">
        <v>2006</v>
      </c>
      <c r="B132" s="50">
        <v>56804006.517918542</v>
      </c>
      <c r="C132" s="1531">
        <v>46729796.047918811</v>
      </c>
      <c r="D132" s="1537">
        <f t="shared" si="0"/>
        <v>121.5584302137103</v>
      </c>
      <c r="E132" s="1361">
        <f t="shared" si="1"/>
        <v>0.1396299342357834</v>
      </c>
      <c r="F132" s="573">
        <v>8142933.9647541363</v>
      </c>
      <c r="G132" s="1365">
        <v>4909.5459714636845</v>
      </c>
      <c r="H132" s="1365">
        <v>43262.429669734505</v>
      </c>
      <c r="I132" s="73">
        <v>13749392.410297776</v>
      </c>
      <c r="J132" s="1365">
        <v>581434.89020618098</v>
      </c>
      <c r="K132" s="430">
        <v>2038868.5437812768</v>
      </c>
      <c r="L132" s="573">
        <v>9026418.8451055177</v>
      </c>
      <c r="M132" s="1365">
        <v>341739.8930577219</v>
      </c>
      <c r="N132" s="73">
        <v>2702953.4451974044</v>
      </c>
      <c r="O132" s="1365">
        <v>1174293.172761638</v>
      </c>
      <c r="P132" s="73">
        <v>4035150.4578911578</v>
      </c>
      <c r="Q132" s="1365">
        <v>1266210.0034152174</v>
      </c>
      <c r="R132" s="73">
        <v>1386665.3527909229</v>
      </c>
      <c r="S132" s="1365">
        <v>1001145.4793036839</v>
      </c>
      <c r="T132" s="1365">
        <v>975003.06475111947</v>
      </c>
      <c r="U132" s="73">
        <v>259414.54896386297</v>
      </c>
      <c r="V132" s="3"/>
    </row>
    <row r="133" spans="1:22">
      <c r="A133" s="60">
        <v>2007</v>
      </c>
      <c r="B133" s="50">
        <v>75693098.475006908</v>
      </c>
      <c r="C133" s="1531">
        <v>51018267.266606241</v>
      </c>
      <c r="D133" s="1537">
        <f t="shared" si="0"/>
        <v>148.36469862737079</v>
      </c>
      <c r="E133" s="1361">
        <f t="shared" si="1"/>
        <v>0.22052167312898607</v>
      </c>
      <c r="F133" s="573">
        <v>8389531.9891550913</v>
      </c>
      <c r="G133" s="1365">
        <v>2715.6317346218652</v>
      </c>
      <c r="H133" s="1365">
        <v>43932.961232502581</v>
      </c>
      <c r="I133" s="73">
        <v>15058826.827592341</v>
      </c>
      <c r="J133" s="1365">
        <v>607412.53290039918</v>
      </c>
      <c r="K133" s="430">
        <v>2232719.5221607988</v>
      </c>
      <c r="L133" s="573">
        <v>10512944.465132557</v>
      </c>
      <c r="M133" s="1365">
        <v>362099.49210495985</v>
      </c>
      <c r="N133" s="73">
        <v>2997527.9372542575</v>
      </c>
      <c r="O133" s="1365">
        <v>1387987.4866214148</v>
      </c>
      <c r="P133" s="642">
        <v>4261070.111811189</v>
      </c>
      <c r="Q133" s="1365">
        <v>1331849.7756221737</v>
      </c>
      <c r="R133" s="73">
        <v>1427139.6805215792</v>
      </c>
      <c r="S133" s="1365">
        <v>1091893.0788988541</v>
      </c>
      <c r="T133" s="1365">
        <v>1048405.6495810794</v>
      </c>
      <c r="U133" s="73">
        <v>262210.12428241869</v>
      </c>
      <c r="V133" s="3"/>
    </row>
    <row r="134" spans="1:22">
      <c r="A134" s="60">
        <v>2008</v>
      </c>
      <c r="B134" s="50">
        <v>94803648.498234928</v>
      </c>
      <c r="C134" s="1531">
        <v>52586056.786815584</v>
      </c>
      <c r="D134" s="1537">
        <f t="shared" si="0"/>
        <v>180.28286258954515</v>
      </c>
      <c r="E134" s="1361">
        <f t="shared" si="1"/>
        <v>0.21513314324413013</v>
      </c>
      <c r="F134" s="73">
        <v>8812210.6921992209</v>
      </c>
      <c r="G134" s="1365">
        <v>2266.1365291649213</v>
      </c>
      <c r="H134" s="1365">
        <v>48867.108813156396</v>
      </c>
      <c r="I134" s="73">
        <v>14454438.55489363</v>
      </c>
      <c r="J134" s="1365">
        <v>660986.42750938958</v>
      </c>
      <c r="K134" s="73">
        <v>2329581.8917243308</v>
      </c>
      <c r="L134" s="573">
        <v>11229484.095117852</v>
      </c>
      <c r="M134" s="1365">
        <v>392298.36588257778</v>
      </c>
      <c r="N134" s="73">
        <v>3323284.5258486182</v>
      </c>
      <c r="O134" s="1365">
        <v>1437708.3705783046</v>
      </c>
      <c r="P134" s="73">
        <v>4366304.5710393945</v>
      </c>
      <c r="Q134" s="1365">
        <v>1388444.4795410384</v>
      </c>
      <c r="R134" s="73">
        <v>1475573.2809178974</v>
      </c>
      <c r="S134" s="1365">
        <v>1174298.973798905</v>
      </c>
      <c r="T134" s="1365">
        <v>1190363.8384048261</v>
      </c>
      <c r="U134" s="73">
        <v>299945.47401728242</v>
      </c>
      <c r="V134" s="3"/>
    </row>
    <row r="135" spans="1:22">
      <c r="A135" s="60">
        <v>2009</v>
      </c>
      <c r="B135" s="50">
        <v>101791846.31809217</v>
      </c>
      <c r="C135" s="1531">
        <v>48111870.038943455</v>
      </c>
      <c r="D135" s="1537">
        <f t="shared" si="0"/>
        <v>211.57324842226717</v>
      </c>
      <c r="E135" s="1361">
        <f t="shared" si="1"/>
        <v>0.17356273016344148</v>
      </c>
      <c r="F135" s="73">
        <v>6851507.2902829219</v>
      </c>
      <c r="G135" s="1365">
        <v>2242.9102717756805</v>
      </c>
      <c r="H135" s="1365">
        <v>36268.268622443829</v>
      </c>
      <c r="I135" s="73">
        <v>12864207.688718356</v>
      </c>
      <c r="J135" s="1365">
        <v>694391.09315432177</v>
      </c>
      <c r="K135" s="73">
        <v>2118354.8934691814</v>
      </c>
      <c r="L135" s="573">
        <v>10399571.258396104</v>
      </c>
      <c r="M135" s="1365">
        <v>400789.43245970696</v>
      </c>
      <c r="N135" s="73">
        <v>3374520.1364267361</v>
      </c>
      <c r="O135" s="1365">
        <v>1498396.2133304167</v>
      </c>
      <c r="P135" s="73">
        <v>4194589.6976103252</v>
      </c>
      <c r="Q135" s="1365">
        <v>1396438.7363874516</v>
      </c>
      <c r="R135" s="73">
        <v>1499413.563022502</v>
      </c>
      <c r="S135" s="1365">
        <v>1176959.4901432542</v>
      </c>
      <c r="T135" s="1365">
        <v>1307437.353860199</v>
      </c>
      <c r="U135" s="73">
        <v>296782.01278776227</v>
      </c>
      <c r="V135" s="3"/>
    </row>
    <row r="136" spans="1:22">
      <c r="A136" s="60">
        <v>2010</v>
      </c>
      <c r="B136" s="50">
        <v>135895083.38605425</v>
      </c>
      <c r="C136" s="1531">
        <v>52067744.130941629</v>
      </c>
      <c r="D136" s="1537">
        <f t="shared" si="0"/>
        <v>260.99667971844707</v>
      </c>
      <c r="E136" s="1361">
        <f t="shared" si="1"/>
        <v>0.23359962407694601</v>
      </c>
      <c r="F136" s="73">
        <v>8030667.254528149</v>
      </c>
      <c r="G136" s="1365">
        <v>1685.8547692556299</v>
      </c>
      <c r="H136" s="1365">
        <v>39175.953295597858</v>
      </c>
      <c r="I136" s="73">
        <v>13636853.910415845</v>
      </c>
      <c r="J136" s="1365">
        <v>810400.30101938383</v>
      </c>
      <c r="K136" s="73">
        <v>2151212.3050187919</v>
      </c>
      <c r="L136" s="573">
        <v>11458154.783407617</v>
      </c>
      <c r="M136" s="1365">
        <v>426115.34371813084</v>
      </c>
      <c r="N136" s="73">
        <v>3812704.6257407395</v>
      </c>
      <c r="O136" s="1365">
        <v>1486264.6551905205</v>
      </c>
      <c r="P136" s="73">
        <v>4211064.0939514246</v>
      </c>
      <c r="Q136" s="1365">
        <v>1434729.5260026339</v>
      </c>
      <c r="R136" s="73">
        <v>1522593.2697785236</v>
      </c>
      <c r="S136" s="1365">
        <v>1219951.6509800125</v>
      </c>
      <c r="T136" s="1365">
        <v>1515374.9532670898</v>
      </c>
      <c r="U136" s="73">
        <v>310795.64985791297</v>
      </c>
      <c r="V136" s="3"/>
    </row>
    <row r="137" spans="1:22">
      <c r="A137" s="60">
        <v>2011</v>
      </c>
      <c r="B137" s="50">
        <v>173633547.21300086</v>
      </c>
      <c r="C137" s="1531">
        <v>55261284.93577645</v>
      </c>
      <c r="D137" s="1537">
        <f t="shared" si="0"/>
        <v>314.20468672560594</v>
      </c>
      <c r="E137" s="1361">
        <f t="shared" si="1"/>
        <v>0.20386468925412227</v>
      </c>
      <c r="F137" s="73">
        <v>8024894.3478409927</v>
      </c>
      <c r="G137" s="1365">
        <v>2157.5826494405387</v>
      </c>
      <c r="H137" s="1365">
        <v>46207.182115168682</v>
      </c>
      <c r="I137" s="73">
        <v>14881169.68871443</v>
      </c>
      <c r="J137" s="1365">
        <v>857860.94498206757</v>
      </c>
      <c r="K137" s="430">
        <v>2225037.9310431774</v>
      </c>
      <c r="L137" s="573">
        <v>12117912.766691748</v>
      </c>
      <c r="M137" s="1365">
        <v>457429.80160518887</v>
      </c>
      <c r="N137" s="73">
        <v>4305451.0950889904</v>
      </c>
      <c r="O137" s="1365">
        <v>1706818.8730132964</v>
      </c>
      <c r="P137" s="73">
        <v>4456571.8942693118</v>
      </c>
      <c r="Q137" s="1365">
        <v>1441781.9218914798</v>
      </c>
      <c r="R137" s="73">
        <v>1524443.7613472964</v>
      </c>
      <c r="S137" s="1365">
        <v>1353685.4415290698</v>
      </c>
      <c r="T137" s="1365">
        <v>1586230.26325573</v>
      </c>
      <c r="U137" s="73">
        <v>273631.43973906431</v>
      </c>
      <c r="V137" s="3"/>
    </row>
    <row r="138" spans="1:22">
      <c r="A138" s="60">
        <v>2012</v>
      </c>
      <c r="B138" s="50">
        <v>210053250.66138747</v>
      </c>
      <c r="C138" s="1531">
        <v>55142119.084444061</v>
      </c>
      <c r="D138" s="1537">
        <f>B138/C138*100</f>
        <v>380.93068265968185</v>
      </c>
      <c r="E138" s="1361">
        <f>D138/D137-1</f>
        <v>0.21236473787021359</v>
      </c>
      <c r="F138" s="73">
        <v>7346820.2300222823</v>
      </c>
      <c r="G138" s="1365">
        <v>1906.6645147560971</v>
      </c>
      <c r="H138" s="1365">
        <v>40941.176338851226</v>
      </c>
      <c r="I138" s="73">
        <v>14943880.047481433</v>
      </c>
      <c r="J138" s="1365">
        <v>946853.06499378907</v>
      </c>
      <c r="K138" s="73">
        <v>2089633.542063128</v>
      </c>
      <c r="L138" s="573">
        <v>12165436.343206035</v>
      </c>
      <c r="M138" s="1365">
        <v>476175.27619331481</v>
      </c>
      <c r="N138" s="73">
        <v>4451734.852910284</v>
      </c>
      <c r="O138" s="1365">
        <v>1771053.8783366506</v>
      </c>
      <c r="P138" s="73">
        <v>4545562.3250907864</v>
      </c>
      <c r="Q138" s="1365">
        <v>1510410.2704055831</v>
      </c>
      <c r="R138" s="73">
        <v>1498078.5994972831</v>
      </c>
      <c r="S138" s="1365">
        <v>1493420.1501760017</v>
      </c>
      <c r="T138" s="1365">
        <v>1588662.9360545112</v>
      </c>
      <c r="U138" s="73">
        <v>271549.72715937853</v>
      </c>
      <c r="V138" s="3"/>
    </row>
    <row r="139" spans="1:22">
      <c r="A139" s="60">
        <v>2013</v>
      </c>
      <c r="B139" s="50">
        <v>267392778.1516971</v>
      </c>
      <c r="C139" s="1531">
        <v>57696227.066312358</v>
      </c>
      <c r="D139" s="1537">
        <f t="shared" si="0"/>
        <v>463.4493306544515</v>
      </c>
      <c r="E139" s="1361">
        <f>D139/D138-1</f>
        <v>0.21662378944804161</v>
      </c>
      <c r="F139" s="73">
        <v>8596894.2604040597</v>
      </c>
      <c r="G139" s="1365">
        <v>795.64566608126643</v>
      </c>
      <c r="H139" s="1365">
        <v>49400.537580485376</v>
      </c>
      <c r="I139" s="73">
        <v>15115024.925526114</v>
      </c>
      <c r="J139" s="1365">
        <v>1006662.8942039598</v>
      </c>
      <c r="K139" s="73">
        <v>2238754.2116802279</v>
      </c>
      <c r="L139" s="573">
        <v>12322950.22916621</v>
      </c>
      <c r="M139" s="1365">
        <v>493134.01797551371</v>
      </c>
      <c r="N139" s="73">
        <v>4849407.321799784</v>
      </c>
      <c r="O139" s="1365">
        <v>1868626.6221458141</v>
      </c>
      <c r="P139" s="73">
        <v>4616713.1728470623</v>
      </c>
      <c r="Q139" s="1365">
        <v>1567071.1521602895</v>
      </c>
      <c r="R139" s="73">
        <v>1565409.7704843923</v>
      </c>
      <c r="S139" s="1365">
        <v>1557828.9593603883</v>
      </c>
      <c r="T139" s="1365">
        <v>1569606.0244044771</v>
      </c>
      <c r="U139" s="73">
        <v>277947.32090750022</v>
      </c>
      <c r="V139" s="3"/>
    </row>
    <row r="140" spans="1:22">
      <c r="A140" s="60">
        <v>2014</v>
      </c>
      <c r="B140" s="50">
        <v>363748574.59160018</v>
      </c>
      <c r="C140" s="1531">
        <v>58216982.016017191</v>
      </c>
      <c r="D140" s="1537">
        <f t="shared" si="0"/>
        <v>624.81523774544394</v>
      </c>
      <c r="E140" s="1361">
        <f t="shared" si="1"/>
        <v>0.34818457254673896</v>
      </c>
      <c r="F140" s="73">
        <v>8197662.3695731116</v>
      </c>
      <c r="G140" s="1365">
        <v>1001.7260131344672</v>
      </c>
      <c r="H140" s="1365">
        <v>42398.623590509393</v>
      </c>
      <c r="I140" s="73">
        <v>15423590.670972794</v>
      </c>
      <c r="J140" s="1365">
        <v>975360.95495793736</v>
      </c>
      <c r="K140" s="73">
        <v>2168685.2684125351</v>
      </c>
      <c r="L140" s="573">
        <v>12622724.34531405</v>
      </c>
      <c r="M140" s="1365">
        <v>507909.12802103872</v>
      </c>
      <c r="N140" s="73">
        <v>4969596.3421551706</v>
      </c>
      <c r="O140" s="1365">
        <v>2023421.7766764783</v>
      </c>
      <c r="P140" s="73">
        <v>4656632.4449485261</v>
      </c>
      <c r="Q140" s="1365">
        <v>1617455.3538663452</v>
      </c>
      <c r="R140" s="73">
        <v>1580513.1764774739</v>
      </c>
      <c r="S140" s="1365">
        <v>1563368.3244915074</v>
      </c>
      <c r="T140" s="1365">
        <v>1554607.6755601927</v>
      </c>
      <c r="U140" s="73">
        <v>312053.83498638583</v>
      </c>
      <c r="V140" s="3"/>
    </row>
    <row r="141" spans="1:22">
      <c r="A141" s="60">
        <v>2015</v>
      </c>
      <c r="B141" s="50">
        <v>465158601.93764043</v>
      </c>
      <c r="C141" s="1531">
        <v>61157166.384767503</v>
      </c>
      <c r="D141" s="1537">
        <f t="shared" si="0"/>
        <v>760.59541250017446</v>
      </c>
      <c r="E141" s="1361">
        <f t="shared" si="1"/>
        <v>0.21731252144981905</v>
      </c>
      <c r="F141" s="73">
        <v>8802891.7817526627</v>
      </c>
      <c r="G141" s="1365">
        <v>1680.8870898469172</v>
      </c>
      <c r="H141" s="1365">
        <v>42238.646576555533</v>
      </c>
      <c r="I141" s="73">
        <v>16507208.853616763</v>
      </c>
      <c r="J141" s="1365">
        <v>1087260.0081769575</v>
      </c>
      <c r="K141" s="73">
        <v>2320670.8227357604</v>
      </c>
      <c r="L141" s="573">
        <v>13146243.476425298</v>
      </c>
      <c r="M141" s="1365">
        <v>512363.45643639937</v>
      </c>
      <c r="N141" s="73">
        <v>5298901.3157222075</v>
      </c>
      <c r="O141" s="1365">
        <v>2040746.9692523223</v>
      </c>
      <c r="P141" s="73">
        <v>4674717.1888742158</v>
      </c>
      <c r="Q141" s="1365">
        <v>1686320.1003041302</v>
      </c>
      <c r="R141" s="73">
        <v>1627805.7543679378</v>
      </c>
      <c r="S141" s="1365">
        <v>1554534.3094354142</v>
      </c>
      <c r="T141" s="1365">
        <v>1578565.1638469952</v>
      </c>
      <c r="U141" s="73">
        <v>275017.65015403635</v>
      </c>
      <c r="V141" s="3"/>
    </row>
    <row r="142" spans="1:22">
      <c r="A142" s="60">
        <v>2016</v>
      </c>
      <c r="B142" s="50">
        <v>647513223.02838278</v>
      </c>
      <c r="C142" s="1531">
        <v>60129777.724881351</v>
      </c>
      <c r="D142" s="1537">
        <f>B142/C142*100</f>
        <v>1076.8594987844858</v>
      </c>
      <c r="E142" s="1361">
        <f>D142/D141-1</f>
        <v>0.41581119355520535</v>
      </c>
      <c r="F142" s="73">
        <v>7208860.5886396468</v>
      </c>
      <c r="G142" s="1365">
        <v>2216.1199110081097</v>
      </c>
      <c r="H142" s="1365">
        <v>43620.728629396137</v>
      </c>
      <c r="I142" s="73">
        <v>17068379.652316257</v>
      </c>
      <c r="J142" s="1365">
        <v>1096860.3281886801</v>
      </c>
      <c r="K142" s="73">
        <v>2304043.8776485855</v>
      </c>
      <c r="L142" s="573">
        <v>12875877.724716272</v>
      </c>
      <c r="M142" s="1365">
        <v>516042.09835156228</v>
      </c>
      <c r="N142" s="73">
        <v>5432575.568182461</v>
      </c>
      <c r="O142" s="1365">
        <v>2102157.1317731543</v>
      </c>
      <c r="P142" s="73">
        <v>4614662.5230788048</v>
      </c>
      <c r="Q142" s="1365">
        <v>1728168.7006069294</v>
      </c>
      <c r="R142" s="73">
        <v>1645372.7409232345</v>
      </c>
      <c r="S142" s="1365">
        <v>1638739.1153877841</v>
      </c>
      <c r="T142" s="1365">
        <v>1574005.182919617</v>
      </c>
      <c r="U142" s="73">
        <v>278195.64360795473</v>
      </c>
      <c r="V142" s="3"/>
    </row>
    <row r="143" spans="1:22">
      <c r="A143" s="60">
        <v>2017</v>
      </c>
      <c r="B143" s="50">
        <v>851276014.77538252</v>
      </c>
      <c r="C143" s="1531">
        <v>63186392.743957579</v>
      </c>
      <c r="D143" s="1537">
        <f t="shared" si="0"/>
        <v>1347.245787910228</v>
      </c>
      <c r="E143" s="1361">
        <f t="shared" si="1"/>
        <v>0.25108780619100535</v>
      </c>
      <c r="F143" s="73">
        <v>7875824.2669373807</v>
      </c>
      <c r="G143" s="1365">
        <v>2544.3016732608576</v>
      </c>
      <c r="H143" s="1365">
        <v>43805.473675590867</v>
      </c>
      <c r="I143" s="73">
        <v>18185996.801468622</v>
      </c>
      <c r="J143" s="1365">
        <v>1072261.0583073203</v>
      </c>
      <c r="K143" s="73">
        <v>2644779.3806085601</v>
      </c>
      <c r="L143" s="573">
        <v>13763568.32272003</v>
      </c>
      <c r="M143" s="1365">
        <v>551546.68597503391</v>
      </c>
      <c r="N143" s="73">
        <v>5310144.3430225914</v>
      </c>
      <c r="O143" s="1365">
        <v>2105671.6126304888</v>
      </c>
      <c r="P143" s="73">
        <v>4681809.3465619581</v>
      </c>
      <c r="Q143" s="1365">
        <v>1742699.0674568582</v>
      </c>
      <c r="R143" s="73">
        <v>1667695.942916923</v>
      </c>
      <c r="S143" s="1365">
        <v>1671083.1433140785</v>
      </c>
      <c r="T143" s="1365">
        <v>1577502.6516932249</v>
      </c>
      <c r="U143" s="73">
        <v>289460.34499566274</v>
      </c>
      <c r="V143" s="3"/>
    </row>
    <row r="144" spans="1:22">
      <c r="A144" s="60">
        <v>2018</v>
      </c>
      <c r="B144" s="50">
        <v>1197056834.8151777</v>
      </c>
      <c r="C144" s="1531">
        <v>60435586.653545596</v>
      </c>
      <c r="D144" s="1537">
        <f t="shared" si="0"/>
        <v>1980.715173127139</v>
      </c>
      <c r="E144" s="1361">
        <f t="shared" si="1"/>
        <v>0.47019585505590111</v>
      </c>
      <c r="F144" s="73">
        <v>6863869.3133620499</v>
      </c>
      <c r="G144" s="1365">
        <v>2554.7326246833904</v>
      </c>
      <c r="H144" s="1365">
        <v>40023.030686909056</v>
      </c>
      <c r="I144" s="73">
        <v>16396850.756911866</v>
      </c>
      <c r="J144" s="1365">
        <v>1103731.957545829</v>
      </c>
      <c r="K144" s="73">
        <v>2704848.7182536861</v>
      </c>
      <c r="L144" s="573">
        <v>13834578.061978059</v>
      </c>
      <c r="M144" s="1365">
        <v>589995.01348268439</v>
      </c>
      <c r="N144" s="73">
        <v>4959187.14198667</v>
      </c>
      <c r="O144" s="1365">
        <v>2259999.0747993016</v>
      </c>
      <c r="P144" s="73">
        <v>4683114.130263973</v>
      </c>
      <c r="Q144" s="1365">
        <v>1750753.7328612884</v>
      </c>
      <c r="R144" s="73">
        <v>1680119.8428144534</v>
      </c>
      <c r="S144" s="1365">
        <v>1685474.3496292569</v>
      </c>
      <c r="T144" s="1365">
        <v>1610864.6564635073</v>
      </c>
      <c r="U144" s="73">
        <v>269622.13988139783</v>
      </c>
      <c r="V144" s="3"/>
    </row>
    <row r="145" spans="1:22">
      <c r="A145" s="296">
        <v>2019</v>
      </c>
      <c r="B145" s="2905">
        <v>1817753529.2007</v>
      </c>
      <c r="C145" s="3124">
        <v>59864737.777311079</v>
      </c>
      <c r="D145" s="1537">
        <f t="shared" si="0"/>
        <v>3036.4344632436264</v>
      </c>
      <c r="E145" s="1361">
        <f t="shared" si="1"/>
        <v>0.53299904218420524</v>
      </c>
      <c r="F145" s="3124">
        <v>8264645.1577834766</v>
      </c>
      <c r="G145" s="3124">
        <v>3236.1934709473362</v>
      </c>
      <c r="H145" s="3124">
        <v>51726.694454627148</v>
      </c>
      <c r="I145" s="3124">
        <v>15966342.151961846</v>
      </c>
      <c r="J145" s="3124">
        <v>984363.57395101164</v>
      </c>
      <c r="K145" s="3125">
        <v>2547817.0480178599</v>
      </c>
      <c r="L145" s="2905">
        <v>13095006.889264025</v>
      </c>
      <c r="M145" s="3124">
        <v>582990.22427749925</v>
      </c>
      <c r="N145" s="3124">
        <v>4907551.6144717913</v>
      </c>
      <c r="O145" s="3124">
        <v>1979616.1800899759</v>
      </c>
      <c r="P145" s="3124">
        <v>4476543.7576318653</v>
      </c>
      <c r="Q145" s="3124">
        <v>1764848.3144511783</v>
      </c>
      <c r="R145" s="3124">
        <v>1697994.5420941459</v>
      </c>
      <c r="S145" s="3124">
        <v>1705349.7750216995</v>
      </c>
      <c r="T145" s="3124">
        <v>1575527.4795649708</v>
      </c>
      <c r="U145" s="3124">
        <v>261178.18080414709</v>
      </c>
      <c r="V145" s="3"/>
    </row>
    <row r="146" spans="1:22">
      <c r="A146" s="296">
        <v>2020</v>
      </c>
      <c r="B146" s="2905">
        <v>2426106252.1539135</v>
      </c>
      <c r="C146" s="3124">
        <v>56039018.423113883</v>
      </c>
      <c r="D146" s="1537">
        <f>B146/C146*100</f>
        <v>4329.3161094221459</v>
      </c>
      <c r="E146" s="1361">
        <f t="shared" si="1"/>
        <v>0.4257894124931707</v>
      </c>
      <c r="F146" s="3124">
        <v>8284616.5310350917</v>
      </c>
      <c r="G146" s="3124">
        <v>2427.0537369352073</v>
      </c>
      <c r="H146" s="3124">
        <v>44069.059109900823</v>
      </c>
      <c r="I146" s="3124">
        <v>14579423.760196451</v>
      </c>
      <c r="J146" s="3124">
        <v>1005604.8596067224</v>
      </c>
      <c r="K146" s="3125">
        <v>1883421.2260036143</v>
      </c>
      <c r="L146" s="2905">
        <v>12827053.132180262</v>
      </c>
      <c r="M146" s="3124">
        <v>427169.82282056904</v>
      </c>
      <c r="N146" s="3124">
        <v>4197215.8976487853</v>
      </c>
      <c r="O146" s="3124">
        <v>2560844.3486873023</v>
      </c>
      <c r="P146" s="3124">
        <v>4407180.4475834901</v>
      </c>
      <c r="Q146" s="3124">
        <v>1486788.1370277507</v>
      </c>
      <c r="R146" s="3124">
        <v>1648934.5516730174</v>
      </c>
      <c r="S146" s="3124">
        <v>1276862.1049069697</v>
      </c>
      <c r="T146" s="3124">
        <v>1179557.9460433424</v>
      </c>
      <c r="U146" s="3124">
        <v>227849.5448536856</v>
      </c>
      <c r="V146" s="3"/>
    </row>
    <row r="147" spans="1:22">
      <c r="A147" s="296">
        <v>2021</v>
      </c>
      <c r="B147" s="2905">
        <v>4201997445.0867505</v>
      </c>
      <c r="C147" s="3124">
        <v>61687936.738972008</v>
      </c>
      <c r="D147" s="1537">
        <f t="shared" ref="D147:D151" si="2">B147/C147*100</f>
        <v>6811.7004186202494</v>
      </c>
      <c r="E147" s="1361">
        <f>D147/D146-1</f>
        <v>0.57338947918253047</v>
      </c>
      <c r="F147" s="3124">
        <v>8567483.4638167713</v>
      </c>
      <c r="G147" s="3124">
        <v>1751.3087648537139</v>
      </c>
      <c r="H147" s="3124">
        <v>51746.107644052972</v>
      </c>
      <c r="I147" s="3124">
        <v>16311756.146380015</v>
      </c>
      <c r="J147" s="3124">
        <v>1050306.8466337072</v>
      </c>
      <c r="K147" s="3125">
        <v>2109474.5727365185</v>
      </c>
      <c r="L147" s="2905">
        <v>14287407.931549922</v>
      </c>
      <c r="M147" s="3124">
        <v>445651.7546671161</v>
      </c>
      <c r="N147" s="3124">
        <v>4268061.5765013834</v>
      </c>
      <c r="O147" s="3124">
        <v>2879868.0816849293</v>
      </c>
      <c r="P147" s="3124">
        <v>4631763.6469871644</v>
      </c>
      <c r="Q147" s="3124">
        <v>1795817.7270604139</v>
      </c>
      <c r="R147" s="3124">
        <v>1728882.4172750833</v>
      </c>
      <c r="S147" s="3124">
        <v>1914156.2038192952</v>
      </c>
      <c r="T147" s="3124">
        <v>1385720.5029801384</v>
      </c>
      <c r="U147" s="3124">
        <v>258088.45047063372</v>
      </c>
      <c r="V147" s="3"/>
    </row>
    <row r="148" spans="1:22">
      <c r="A148" s="296">
        <v>2022</v>
      </c>
      <c r="B148" s="2905">
        <v>7197442758.0691862</v>
      </c>
      <c r="C148" s="3124">
        <v>61480389.368571341</v>
      </c>
      <c r="D148" s="1537">
        <f>B148/C148*100</f>
        <v>11706.891956914809</v>
      </c>
      <c r="E148" s="1361">
        <f t="shared" ref="E148:E151" si="3">D148/D147-1</f>
        <v>0.71864457293412642</v>
      </c>
      <c r="F148" s="3124">
        <v>7343173.6270567169</v>
      </c>
      <c r="G148" s="3124">
        <v>1013.4347255716502</v>
      </c>
      <c r="H148" s="3124">
        <v>49600.927373452672</v>
      </c>
      <c r="I148" s="3124">
        <v>16595718.791135767</v>
      </c>
      <c r="J148" s="3124">
        <v>1053951.131796113</v>
      </c>
      <c r="K148" s="3125">
        <v>2267683.2888207575</v>
      </c>
      <c r="L148" s="2905">
        <v>14970566.701814415</v>
      </c>
      <c r="M148" s="3124">
        <v>537830.68834209722</v>
      </c>
      <c r="N148" s="3124">
        <v>4189532.2425733753</v>
      </c>
      <c r="O148" s="3124">
        <v>2549201.2612730945</v>
      </c>
      <c r="P148" s="3124">
        <v>4732177.2513649929</v>
      </c>
      <c r="Q148" s="3124">
        <v>1792800.5837395925</v>
      </c>
      <c r="R148" s="3124">
        <v>1725114.8455366835</v>
      </c>
      <c r="S148" s="3124">
        <v>1950432.6721891167</v>
      </c>
      <c r="T148" s="3124">
        <v>1434971.2027540742</v>
      </c>
      <c r="U148" s="3124">
        <v>286620.71807551855</v>
      </c>
      <c r="V148" s="3"/>
    </row>
    <row r="149" spans="1:22">
      <c r="A149" s="60">
        <v>2023</v>
      </c>
      <c r="B149" s="50" t="e">
        <v>#N/A</v>
      </c>
      <c r="C149" s="1531" t="e">
        <v>#N/A</v>
      </c>
      <c r="D149" s="1537" t="e">
        <f t="shared" si="2"/>
        <v>#N/A</v>
      </c>
      <c r="E149" s="1361" t="e">
        <f t="shared" si="3"/>
        <v>#N/A</v>
      </c>
      <c r="F149" s="73" t="e">
        <v>#N/A</v>
      </c>
      <c r="G149" s="1365" t="e">
        <v>#N/A</v>
      </c>
      <c r="H149" s="1365" t="e">
        <v>#N/A</v>
      </c>
      <c r="I149" s="73" t="e">
        <v>#N/A</v>
      </c>
      <c r="J149" s="1365" t="e">
        <v>#N/A</v>
      </c>
      <c r="K149" s="73" t="e">
        <v>#N/A</v>
      </c>
      <c r="L149" s="573" t="e">
        <v>#N/A</v>
      </c>
      <c r="M149" s="1365" t="e">
        <v>#N/A</v>
      </c>
      <c r="N149" s="73" t="e">
        <v>#N/A</v>
      </c>
      <c r="O149" s="1365" t="e">
        <v>#N/A</v>
      </c>
      <c r="P149" s="73" t="e">
        <v>#N/A</v>
      </c>
      <c r="Q149" s="1365" t="e">
        <v>#N/A</v>
      </c>
      <c r="R149" s="73" t="e">
        <v>#N/A</v>
      </c>
      <c r="S149" s="1365" t="e">
        <v>#N/A</v>
      </c>
      <c r="T149" s="1365" t="e">
        <v>#N/A</v>
      </c>
      <c r="U149" s="73" t="e">
        <v>#N/A</v>
      </c>
      <c r="V149" s="3"/>
    </row>
    <row r="150" spans="1:22">
      <c r="A150" s="60">
        <v>2024</v>
      </c>
      <c r="B150" s="50" t="e">
        <v>#N/A</v>
      </c>
      <c r="C150" s="1531" t="e">
        <v>#N/A</v>
      </c>
      <c r="D150" s="1537" t="e">
        <f t="shared" si="2"/>
        <v>#N/A</v>
      </c>
      <c r="E150" s="1361" t="e">
        <f t="shared" si="3"/>
        <v>#N/A</v>
      </c>
      <c r="F150" s="73" t="e">
        <v>#N/A</v>
      </c>
      <c r="G150" s="1365" t="e">
        <v>#N/A</v>
      </c>
      <c r="H150" s="1365" t="e">
        <v>#N/A</v>
      </c>
      <c r="I150" s="73" t="e">
        <v>#N/A</v>
      </c>
      <c r="J150" s="1365" t="e">
        <v>#N/A</v>
      </c>
      <c r="K150" s="73" t="e">
        <v>#N/A</v>
      </c>
      <c r="L150" s="573" t="e">
        <v>#N/A</v>
      </c>
      <c r="M150" s="1365" t="e">
        <v>#N/A</v>
      </c>
      <c r="N150" s="73" t="e">
        <v>#N/A</v>
      </c>
      <c r="O150" s="1365" t="e">
        <v>#N/A</v>
      </c>
      <c r="P150" s="73" t="e">
        <v>#N/A</v>
      </c>
      <c r="Q150" s="1365" t="e">
        <v>#N/A</v>
      </c>
      <c r="R150" s="73" t="e">
        <v>#N/A</v>
      </c>
      <c r="S150" s="1365" t="e">
        <v>#N/A</v>
      </c>
      <c r="T150" s="1365" t="e">
        <v>#N/A</v>
      </c>
      <c r="U150" s="73" t="e">
        <v>#N/A</v>
      </c>
      <c r="V150" s="3"/>
    </row>
    <row r="151" spans="1:22">
      <c r="A151" s="60">
        <v>2025</v>
      </c>
      <c r="B151" s="50" t="e">
        <v>#N/A</v>
      </c>
      <c r="C151" s="1531" t="e">
        <v>#N/A</v>
      </c>
      <c r="D151" s="1537" t="e">
        <f t="shared" si="2"/>
        <v>#N/A</v>
      </c>
      <c r="E151" s="1361" t="e">
        <f t="shared" si="3"/>
        <v>#N/A</v>
      </c>
      <c r="F151" s="73" t="e">
        <v>#N/A</v>
      </c>
      <c r="G151" s="1365" t="e">
        <v>#N/A</v>
      </c>
      <c r="H151" s="1365" t="e">
        <v>#N/A</v>
      </c>
      <c r="I151" s="73" t="e">
        <v>#N/A</v>
      </c>
      <c r="J151" s="1365" t="e">
        <v>#N/A</v>
      </c>
      <c r="K151" s="73" t="e">
        <v>#N/A</v>
      </c>
      <c r="L151" s="573" t="e">
        <v>#N/A</v>
      </c>
      <c r="M151" s="1365" t="e">
        <v>#N/A</v>
      </c>
      <c r="N151" s="73" t="e">
        <v>#N/A</v>
      </c>
      <c r="O151" s="1365" t="e">
        <v>#N/A</v>
      </c>
      <c r="P151" s="73" t="e">
        <v>#N/A</v>
      </c>
      <c r="Q151" s="1365" t="e">
        <v>#N/A</v>
      </c>
      <c r="R151" s="73" t="e">
        <v>#N/A</v>
      </c>
      <c r="S151" s="1365" t="e">
        <v>#N/A</v>
      </c>
      <c r="T151" s="1365" t="e">
        <v>#N/A</v>
      </c>
      <c r="U151" s="73" t="e">
        <v>#N/A</v>
      </c>
      <c r="V151" s="3"/>
    </row>
    <row r="152" spans="1:22">
      <c r="A152" s="60">
        <v>2026</v>
      </c>
      <c r="B152" s="50" t="e">
        <v>#N/A</v>
      </c>
      <c r="C152" s="1531" t="e">
        <v>#N/A</v>
      </c>
      <c r="D152" s="1537" t="e">
        <f t="shared" ref="D152:D156" si="4">B152/C152*100</f>
        <v>#N/A</v>
      </c>
      <c r="E152" s="1361" t="e">
        <f t="shared" ref="E152:E156" si="5">D152/D151-1</f>
        <v>#N/A</v>
      </c>
      <c r="F152" s="73" t="e">
        <v>#N/A</v>
      </c>
      <c r="G152" s="1365" t="e">
        <v>#N/A</v>
      </c>
      <c r="H152" s="1365" t="e">
        <v>#N/A</v>
      </c>
      <c r="I152" s="73" t="e">
        <v>#N/A</v>
      </c>
      <c r="J152" s="1365" t="e">
        <v>#N/A</v>
      </c>
      <c r="K152" s="73" t="e">
        <v>#N/A</v>
      </c>
      <c r="L152" s="573" t="e">
        <v>#N/A</v>
      </c>
      <c r="M152" s="1365" t="e">
        <v>#N/A</v>
      </c>
      <c r="N152" s="73" t="e">
        <v>#N/A</v>
      </c>
      <c r="O152" s="1365" t="e">
        <v>#N/A</v>
      </c>
      <c r="P152" s="73" t="e">
        <v>#N/A</v>
      </c>
      <c r="Q152" s="1365" t="e">
        <v>#N/A</v>
      </c>
      <c r="R152" s="73" t="e">
        <v>#N/A</v>
      </c>
      <c r="S152" s="1365" t="e">
        <v>#N/A</v>
      </c>
      <c r="T152" s="1365" t="e">
        <v>#N/A</v>
      </c>
      <c r="U152" s="2785" t="e">
        <v>#N/A</v>
      </c>
    </row>
    <row r="153" spans="1:22">
      <c r="A153" s="60">
        <v>2027</v>
      </c>
      <c r="B153" s="50" t="e">
        <v>#N/A</v>
      </c>
      <c r="C153" s="1531" t="e">
        <v>#N/A</v>
      </c>
      <c r="D153" s="1537" t="e">
        <f t="shared" si="4"/>
        <v>#N/A</v>
      </c>
      <c r="E153" s="1361" t="e">
        <f t="shared" si="5"/>
        <v>#N/A</v>
      </c>
      <c r="F153" s="73" t="e">
        <v>#N/A</v>
      </c>
      <c r="G153" s="1365" t="e">
        <v>#N/A</v>
      </c>
      <c r="H153" s="1365" t="e">
        <v>#N/A</v>
      </c>
      <c r="I153" s="73" t="e">
        <v>#N/A</v>
      </c>
      <c r="J153" s="1365" t="e">
        <v>#N/A</v>
      </c>
      <c r="K153" s="73" t="e">
        <v>#N/A</v>
      </c>
      <c r="L153" s="573" t="e">
        <v>#N/A</v>
      </c>
      <c r="M153" s="1365" t="e">
        <v>#N/A</v>
      </c>
      <c r="N153" s="73" t="e">
        <v>#N/A</v>
      </c>
      <c r="O153" s="1365" t="e">
        <v>#N/A</v>
      </c>
      <c r="P153" s="73" t="e">
        <v>#N/A</v>
      </c>
      <c r="Q153" s="1365" t="e">
        <v>#N/A</v>
      </c>
      <c r="R153" s="73" t="e">
        <v>#N/A</v>
      </c>
      <c r="S153" s="1365" t="e">
        <v>#N/A</v>
      </c>
      <c r="T153" s="1365" t="e">
        <v>#N/A</v>
      </c>
      <c r="U153" s="2785" t="e">
        <v>#N/A</v>
      </c>
    </row>
    <row r="154" spans="1:22">
      <c r="A154" s="60">
        <v>2028</v>
      </c>
      <c r="B154" s="50" t="e">
        <v>#N/A</v>
      </c>
      <c r="C154" s="1531" t="e">
        <v>#N/A</v>
      </c>
      <c r="D154" s="1537" t="e">
        <f t="shared" si="4"/>
        <v>#N/A</v>
      </c>
      <c r="E154" s="1361" t="e">
        <f t="shared" si="5"/>
        <v>#N/A</v>
      </c>
      <c r="F154" s="73" t="e">
        <v>#N/A</v>
      </c>
      <c r="G154" s="1365" t="e">
        <v>#N/A</v>
      </c>
      <c r="H154" s="1365" t="e">
        <v>#N/A</v>
      </c>
      <c r="I154" s="73" t="e">
        <v>#N/A</v>
      </c>
      <c r="J154" s="1365" t="e">
        <v>#N/A</v>
      </c>
      <c r="K154" s="73" t="e">
        <v>#N/A</v>
      </c>
      <c r="L154" s="573" t="e">
        <v>#N/A</v>
      </c>
      <c r="M154" s="1365" t="e">
        <v>#N/A</v>
      </c>
      <c r="N154" s="73" t="e">
        <v>#N/A</v>
      </c>
      <c r="O154" s="1365" t="e">
        <v>#N/A</v>
      </c>
      <c r="P154" s="73" t="e">
        <v>#N/A</v>
      </c>
      <c r="Q154" s="1365" t="e">
        <v>#N/A</v>
      </c>
      <c r="R154" s="73" t="e">
        <v>#N/A</v>
      </c>
      <c r="S154" s="1365" t="e">
        <v>#N/A</v>
      </c>
      <c r="T154" s="1365" t="e">
        <v>#N/A</v>
      </c>
      <c r="U154" s="2785" t="e">
        <v>#N/A</v>
      </c>
    </row>
    <row r="155" spans="1:22">
      <c r="A155" s="60">
        <v>2029</v>
      </c>
      <c r="B155" s="50" t="e">
        <v>#N/A</v>
      </c>
      <c r="C155" s="1531" t="e">
        <v>#N/A</v>
      </c>
      <c r="D155" s="1537" t="e">
        <f t="shared" si="4"/>
        <v>#N/A</v>
      </c>
      <c r="E155" s="1361" t="e">
        <f t="shared" si="5"/>
        <v>#N/A</v>
      </c>
      <c r="F155" s="73" t="e">
        <v>#N/A</v>
      </c>
      <c r="G155" s="1365" t="e">
        <v>#N/A</v>
      </c>
      <c r="H155" s="1365" t="e">
        <v>#N/A</v>
      </c>
      <c r="I155" s="73" t="e">
        <v>#N/A</v>
      </c>
      <c r="J155" s="1365" t="e">
        <v>#N/A</v>
      </c>
      <c r="K155" s="73" t="e">
        <v>#N/A</v>
      </c>
      <c r="L155" s="573" t="e">
        <v>#N/A</v>
      </c>
      <c r="M155" s="1365" t="e">
        <v>#N/A</v>
      </c>
      <c r="N155" s="73" t="e">
        <v>#N/A</v>
      </c>
      <c r="O155" s="1365" t="e">
        <v>#N/A</v>
      </c>
      <c r="P155" s="73" t="e">
        <v>#N/A</v>
      </c>
      <c r="Q155" s="1365" t="e">
        <v>#N/A</v>
      </c>
      <c r="R155" s="73" t="e">
        <v>#N/A</v>
      </c>
      <c r="S155" s="1365" t="e">
        <v>#N/A</v>
      </c>
      <c r="T155" s="1365" t="e">
        <v>#N/A</v>
      </c>
      <c r="U155" s="2785" t="e">
        <v>#N/A</v>
      </c>
    </row>
    <row r="156" spans="1:22">
      <c r="A156" s="60">
        <v>2030</v>
      </c>
      <c r="B156" s="50" t="e">
        <v>#N/A</v>
      </c>
      <c r="C156" s="1531" t="e">
        <v>#N/A</v>
      </c>
      <c r="D156" s="1537" t="e">
        <f t="shared" si="4"/>
        <v>#N/A</v>
      </c>
      <c r="E156" s="1361" t="e">
        <f t="shared" si="5"/>
        <v>#N/A</v>
      </c>
      <c r="F156" s="73" t="e">
        <v>#N/A</v>
      </c>
      <c r="G156" s="1365" t="e">
        <v>#N/A</v>
      </c>
      <c r="H156" s="1365" t="e">
        <v>#N/A</v>
      </c>
      <c r="I156" s="73" t="e">
        <v>#N/A</v>
      </c>
      <c r="J156" s="1365" t="e">
        <v>#N/A</v>
      </c>
      <c r="K156" s="73" t="e">
        <v>#N/A</v>
      </c>
      <c r="L156" s="573" t="e">
        <v>#N/A</v>
      </c>
      <c r="M156" s="1365" t="e">
        <v>#N/A</v>
      </c>
      <c r="N156" s="73" t="e">
        <v>#N/A</v>
      </c>
      <c r="O156" s="1365" t="e">
        <v>#N/A</v>
      </c>
      <c r="P156" s="73" t="e">
        <v>#N/A</v>
      </c>
      <c r="Q156" s="1365" t="e">
        <v>#N/A</v>
      </c>
      <c r="R156" s="73" t="e">
        <v>#N/A</v>
      </c>
      <c r="S156" s="1365" t="e">
        <v>#N/A</v>
      </c>
      <c r="T156" s="1365" t="e">
        <v>#N/A</v>
      </c>
      <c r="U156" s="2785" t="e">
        <v>#N/A</v>
      </c>
    </row>
  </sheetData>
  <hyperlinks>
    <hyperlink ref="A5" location="INDICE!A13" display="VOLVER AL INDICE" xr:uid="{00000000-0004-0000-0600-000000000000}"/>
  </hyperlinks>
  <pageMargins left="0.75" right="0.75" top="1" bottom="1" header="0" footer="0"/>
  <pageSetup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253"/>
  <sheetViews>
    <sheetView zoomScale="110" zoomScaleNormal="110" workbookViewId="0">
      <pane xSplit="1" ySplit="9" topLeftCell="B211" activePane="bottomRight" state="frozen"/>
      <selection activeCell="A5" sqref="A5"/>
      <selection pane="topRight" activeCell="A5" sqref="A5"/>
      <selection pane="bottomLeft" activeCell="A5" sqref="A5"/>
      <selection pane="bottomRight" activeCell="A5" sqref="A5"/>
    </sheetView>
  </sheetViews>
  <sheetFormatPr baseColWidth="10" defaultColWidth="11.42578125" defaultRowHeight="12.75"/>
  <cols>
    <col min="1" max="1" width="10.5703125" style="581" customWidth="1"/>
    <col min="2" max="2" width="16.7109375" style="581" customWidth="1"/>
    <col min="3" max="10" width="16.42578125" style="581" customWidth="1"/>
    <col min="11" max="11" width="16.7109375" style="581" customWidth="1"/>
    <col min="12" max="19" width="16.42578125" style="581" customWidth="1"/>
    <col min="20" max="20" width="16.7109375" style="581" customWidth="1"/>
    <col min="21" max="26" width="16.42578125" style="581" customWidth="1"/>
    <col min="27" max="16384" width="11.42578125" style="580"/>
  </cols>
  <sheetData>
    <row r="1" spans="1:26" s="588" customFormat="1" ht="3" customHeight="1">
      <c r="A1" s="37"/>
      <c r="B1" s="100"/>
      <c r="C1" s="100"/>
      <c r="D1" s="100"/>
      <c r="E1" s="100"/>
      <c r="F1" s="100"/>
      <c r="G1" s="100"/>
      <c r="H1" s="101"/>
      <c r="I1" s="100"/>
      <c r="J1" s="867"/>
      <c r="K1" s="100"/>
      <c r="L1" s="100"/>
      <c r="M1" s="100"/>
      <c r="N1" s="100"/>
      <c r="O1" s="100"/>
      <c r="P1" s="100"/>
      <c r="Q1" s="101"/>
      <c r="R1" s="100"/>
      <c r="S1" s="867"/>
      <c r="T1" s="100"/>
      <c r="U1" s="100"/>
      <c r="V1" s="100"/>
      <c r="W1" s="100"/>
      <c r="X1" s="100"/>
      <c r="Y1" s="100"/>
      <c r="Z1" s="103"/>
    </row>
    <row r="2" spans="1:26" s="550" customFormat="1">
      <c r="A2" s="39" t="s">
        <v>212</v>
      </c>
      <c r="B2" s="603" t="s">
        <v>1325</v>
      </c>
      <c r="C2" s="603"/>
      <c r="D2" s="603"/>
      <c r="E2" s="603"/>
      <c r="F2" s="603"/>
      <c r="G2" s="603"/>
      <c r="H2" s="604"/>
      <c r="I2" s="603"/>
      <c r="J2" s="868"/>
      <c r="K2" s="603" t="s">
        <v>882</v>
      </c>
      <c r="L2" s="603"/>
      <c r="M2" s="603"/>
      <c r="N2" s="603"/>
      <c r="O2" s="603"/>
      <c r="P2" s="603"/>
      <c r="Q2" s="604"/>
      <c r="R2" s="603"/>
      <c r="S2" s="868"/>
      <c r="T2" s="603" t="s">
        <v>957</v>
      </c>
      <c r="U2" s="603"/>
      <c r="V2" s="603"/>
      <c r="W2" s="603"/>
      <c r="X2" s="603"/>
      <c r="Y2" s="603"/>
      <c r="Z2" s="687"/>
    </row>
    <row r="3" spans="1:26" s="550" customFormat="1">
      <c r="A3" s="42" t="s">
        <v>330</v>
      </c>
      <c r="B3" s="601" t="s">
        <v>1326</v>
      </c>
      <c r="C3" s="601"/>
      <c r="D3" s="601"/>
      <c r="E3" s="601"/>
      <c r="F3" s="601"/>
      <c r="G3" s="601"/>
      <c r="H3" s="602"/>
      <c r="I3" s="601"/>
      <c r="J3" s="869"/>
      <c r="K3" s="601" t="s">
        <v>1326</v>
      </c>
      <c r="L3" s="601"/>
      <c r="M3" s="601"/>
      <c r="N3" s="601"/>
      <c r="O3" s="601"/>
      <c r="P3" s="601"/>
      <c r="Q3" s="602"/>
      <c r="R3" s="601"/>
      <c r="S3" s="869"/>
      <c r="T3" s="601" t="s">
        <v>1326</v>
      </c>
      <c r="U3" s="601"/>
      <c r="V3" s="601"/>
      <c r="W3" s="601"/>
      <c r="X3" s="601"/>
      <c r="Y3" s="601"/>
      <c r="Z3" s="688"/>
    </row>
    <row r="4" spans="1:26" s="550" customFormat="1" ht="30.6" customHeight="1">
      <c r="A4" s="38"/>
      <c r="B4" s="600" t="s">
        <v>881</v>
      </c>
      <c r="C4" s="596"/>
      <c r="D4" s="596" t="s">
        <v>880</v>
      </c>
      <c r="E4" s="598"/>
      <c r="F4" s="598"/>
      <c r="G4" s="598"/>
      <c r="H4" s="597"/>
      <c r="I4" s="596" t="s">
        <v>73</v>
      </c>
      <c r="J4" s="599"/>
      <c r="K4" s="598" t="s">
        <v>881</v>
      </c>
      <c r="L4" s="599"/>
      <c r="M4" s="596" t="s">
        <v>880</v>
      </c>
      <c r="N4" s="598"/>
      <c r="O4" s="598"/>
      <c r="P4" s="598"/>
      <c r="Q4" s="597"/>
      <c r="R4" s="596" t="s">
        <v>73</v>
      </c>
      <c r="S4" s="599"/>
      <c r="T4" s="598" t="s">
        <v>881</v>
      </c>
      <c r="U4" s="596"/>
      <c r="V4" s="596" t="s">
        <v>880</v>
      </c>
      <c r="W4" s="598"/>
      <c r="X4" s="598"/>
      <c r="Y4" s="598"/>
      <c r="Z4" s="689"/>
    </row>
    <row r="5" spans="1:26" s="588" customFormat="1" ht="45">
      <c r="A5" s="45" t="s">
        <v>213</v>
      </c>
      <c r="B5" s="1401" t="s">
        <v>879</v>
      </c>
      <c r="C5" s="595" t="s">
        <v>878</v>
      </c>
      <c r="D5" s="552" t="s">
        <v>877</v>
      </c>
      <c r="E5" s="1431" t="s">
        <v>876</v>
      </c>
      <c r="F5" s="594" t="s">
        <v>875</v>
      </c>
      <c r="G5" s="1412" t="s">
        <v>874</v>
      </c>
      <c r="H5" s="594" t="s">
        <v>873</v>
      </c>
      <c r="I5" s="1401" t="s">
        <v>872</v>
      </c>
      <c r="J5" s="1436" t="s">
        <v>871</v>
      </c>
      <c r="K5" s="1393" t="s">
        <v>879</v>
      </c>
      <c r="L5" s="595" t="s">
        <v>878</v>
      </c>
      <c r="M5" s="552" t="s">
        <v>877</v>
      </c>
      <c r="N5" s="1431" t="s">
        <v>876</v>
      </c>
      <c r="O5" s="594" t="s">
        <v>875</v>
      </c>
      <c r="P5" s="1412" t="s">
        <v>874</v>
      </c>
      <c r="Q5" s="594" t="s">
        <v>873</v>
      </c>
      <c r="R5" s="1401" t="s">
        <v>872</v>
      </c>
      <c r="S5" s="1436" t="s">
        <v>871</v>
      </c>
      <c r="T5" s="1393" t="s">
        <v>879</v>
      </c>
      <c r="U5" s="595" t="s">
        <v>878</v>
      </c>
      <c r="V5" s="1401" t="s">
        <v>877</v>
      </c>
      <c r="W5" s="748" t="s">
        <v>876</v>
      </c>
      <c r="X5" s="1412" t="s">
        <v>874</v>
      </c>
      <c r="Y5" s="1412" t="s">
        <v>875</v>
      </c>
      <c r="Z5" s="690" t="s">
        <v>873</v>
      </c>
    </row>
    <row r="6" spans="1:26" s="588" customFormat="1" ht="3.6" customHeight="1">
      <c r="A6" s="36"/>
      <c r="B6" s="1394"/>
      <c r="E6" s="1432"/>
      <c r="F6" s="591"/>
      <c r="G6" s="1413"/>
      <c r="H6" s="590"/>
      <c r="I6" s="1441"/>
      <c r="J6" s="1437"/>
      <c r="K6" s="1394"/>
      <c r="L6" s="593"/>
      <c r="N6" s="1432"/>
      <c r="O6" s="591"/>
      <c r="P6" s="1413"/>
      <c r="Q6" s="590"/>
      <c r="R6" s="1441"/>
      <c r="S6" s="1437"/>
      <c r="T6" s="1394"/>
      <c r="V6" s="1402"/>
      <c r="W6" s="592"/>
      <c r="X6" s="1413"/>
      <c r="Y6" s="1413"/>
      <c r="Z6" s="691"/>
    </row>
    <row r="7" spans="1:26" s="588" customFormat="1" ht="22.5">
      <c r="A7" s="47" t="s">
        <v>210</v>
      </c>
      <c r="B7" s="1414" t="s">
        <v>939</v>
      </c>
      <c r="C7" s="589" t="s">
        <v>939</v>
      </c>
      <c r="D7" s="1408" t="s">
        <v>939</v>
      </c>
      <c r="E7" s="1414" t="s">
        <v>939</v>
      </c>
      <c r="F7" s="1408" t="s">
        <v>939</v>
      </c>
      <c r="G7" s="1414" t="s">
        <v>939</v>
      </c>
      <c r="H7" s="589" t="s">
        <v>939</v>
      </c>
      <c r="I7" s="1395" t="s">
        <v>939</v>
      </c>
      <c r="J7" s="589" t="s">
        <v>939</v>
      </c>
      <c r="K7" s="1395" t="s">
        <v>227</v>
      </c>
      <c r="L7" s="589" t="s">
        <v>227</v>
      </c>
      <c r="M7" s="1408" t="s">
        <v>227</v>
      </c>
      <c r="N7" s="1414" t="s">
        <v>227</v>
      </c>
      <c r="O7" s="1408" t="s">
        <v>227</v>
      </c>
      <c r="P7" s="1414" t="s">
        <v>227</v>
      </c>
      <c r="Q7" s="1408" t="s">
        <v>227</v>
      </c>
      <c r="R7" s="1445" t="s">
        <v>227</v>
      </c>
      <c r="S7" s="1444" t="s">
        <v>227</v>
      </c>
      <c r="T7" s="1395" t="s">
        <v>939</v>
      </c>
      <c r="U7" s="589" t="s">
        <v>939</v>
      </c>
      <c r="V7" s="1395" t="s">
        <v>939</v>
      </c>
      <c r="W7" s="1408" t="s">
        <v>939</v>
      </c>
      <c r="X7" s="1414" t="s">
        <v>939</v>
      </c>
      <c r="Y7" s="1414" t="s">
        <v>939</v>
      </c>
      <c r="Z7" s="686" t="s">
        <v>939</v>
      </c>
    </row>
    <row r="8" spans="1:26" s="588" customFormat="1" ht="11.25">
      <c r="A8" s="390" t="s">
        <v>412</v>
      </c>
      <c r="B8" s="1415" t="s">
        <v>1309</v>
      </c>
      <c r="C8" s="681" t="s">
        <v>1310</v>
      </c>
      <c r="D8" s="1427" t="s">
        <v>1389</v>
      </c>
      <c r="E8" s="1415" t="s">
        <v>1390</v>
      </c>
      <c r="F8" s="870" t="s">
        <v>1391</v>
      </c>
      <c r="G8" s="1415" t="s">
        <v>1392</v>
      </c>
      <c r="H8" s="681" t="s">
        <v>1393</v>
      </c>
      <c r="I8" s="1403" t="s">
        <v>1394</v>
      </c>
      <c r="J8" s="681" t="s">
        <v>1395</v>
      </c>
      <c r="K8" s="1396" t="s">
        <v>1396</v>
      </c>
      <c r="L8" s="681" t="s">
        <v>1397</v>
      </c>
      <c r="M8" s="1427" t="s">
        <v>1398</v>
      </c>
      <c r="N8" s="1415" t="s">
        <v>1399</v>
      </c>
      <c r="O8" s="870" t="s">
        <v>1400</v>
      </c>
      <c r="P8" s="1415" t="s">
        <v>1401</v>
      </c>
      <c r="Q8" s="870" t="s">
        <v>1402</v>
      </c>
      <c r="R8" s="1403" t="s">
        <v>1403</v>
      </c>
      <c r="S8" s="681" t="s">
        <v>1404</v>
      </c>
      <c r="T8" s="1396" t="s">
        <v>1405</v>
      </c>
      <c r="U8" s="681" t="s">
        <v>1406</v>
      </c>
      <c r="V8" s="1403" t="s">
        <v>1407</v>
      </c>
      <c r="W8" s="870" t="s">
        <v>1408</v>
      </c>
      <c r="X8" s="1415" t="s">
        <v>1409</v>
      </c>
      <c r="Y8" s="1415" t="s">
        <v>1410</v>
      </c>
      <c r="Z8" s="1420" t="s">
        <v>1411</v>
      </c>
    </row>
    <row r="9" spans="1:26" s="548" customFormat="1" ht="13.5" thickBot="1">
      <c r="A9" s="52"/>
      <c r="B9" s="1425"/>
      <c r="C9" s="587"/>
      <c r="D9" s="549"/>
      <c r="E9" s="1416"/>
      <c r="F9" s="586"/>
      <c r="G9" s="1416"/>
      <c r="H9" s="585"/>
      <c r="I9" s="1404"/>
      <c r="J9" s="1438"/>
      <c r="K9" s="1397"/>
      <c r="L9" s="587"/>
      <c r="M9" s="549"/>
      <c r="N9" s="1416"/>
      <c r="O9" s="586"/>
      <c r="P9" s="1416"/>
      <c r="Q9" s="585"/>
      <c r="R9" s="1404"/>
      <c r="S9" s="1438"/>
      <c r="T9" s="1397"/>
      <c r="U9" s="587"/>
      <c r="V9" s="1404"/>
      <c r="W9" s="586"/>
      <c r="X9" s="1416"/>
      <c r="Y9" s="1416"/>
      <c r="Z9" s="692"/>
    </row>
    <row r="10" spans="1:26">
      <c r="A10" s="584">
        <v>1970.1</v>
      </c>
      <c r="B10" s="1426">
        <v>274720.73681015288</v>
      </c>
      <c r="C10" s="682"/>
      <c r="D10" s="1428"/>
      <c r="E10" s="1417"/>
      <c r="F10" s="1409"/>
      <c r="G10" s="1417"/>
      <c r="H10" s="1434"/>
      <c r="I10" s="1405"/>
      <c r="J10" s="682"/>
      <c r="K10" s="1398"/>
      <c r="L10" s="682"/>
      <c r="M10" s="1428"/>
      <c r="N10" s="1417"/>
      <c r="O10" s="1409"/>
      <c r="P10" s="1417"/>
      <c r="Q10" s="1434"/>
      <c r="R10" s="1405"/>
      <c r="S10" s="682"/>
      <c r="T10" s="1398"/>
      <c r="U10" s="682"/>
      <c r="V10" s="1405"/>
      <c r="W10" s="1409"/>
      <c r="X10" s="1417"/>
      <c r="Y10" s="1417"/>
      <c r="Z10" s="1421"/>
    </row>
    <row r="11" spans="1:26">
      <c r="A11" s="584">
        <v>1970.2</v>
      </c>
      <c r="B11" s="1426">
        <v>293673.71599195147</v>
      </c>
      <c r="C11" s="682"/>
      <c r="D11" s="1428"/>
      <c r="E11" s="1417"/>
      <c r="F11" s="1409"/>
      <c r="G11" s="1417"/>
      <c r="H11" s="1434"/>
      <c r="I11" s="1405"/>
      <c r="J11" s="682"/>
      <c r="K11" s="1398"/>
      <c r="L11" s="682"/>
      <c r="M11" s="1428"/>
      <c r="N11" s="1417"/>
      <c r="O11" s="1409"/>
      <c r="P11" s="1417"/>
      <c r="Q11" s="1434"/>
      <c r="R11" s="1405"/>
      <c r="S11" s="682"/>
      <c r="T11" s="1398"/>
      <c r="U11" s="682"/>
      <c r="V11" s="1405"/>
      <c r="W11" s="1409"/>
      <c r="X11" s="1417"/>
      <c r="Y11" s="1417"/>
      <c r="Z11" s="1421"/>
    </row>
    <row r="12" spans="1:26">
      <c r="A12" s="584">
        <v>1970.3</v>
      </c>
      <c r="B12" s="1426">
        <v>286997.61516600079</v>
      </c>
      <c r="C12" s="682"/>
      <c r="D12" s="1428"/>
      <c r="E12" s="1417"/>
      <c r="F12" s="1409"/>
      <c r="G12" s="1417"/>
      <c r="H12" s="1434"/>
      <c r="I12" s="1405"/>
      <c r="J12" s="682"/>
      <c r="K12" s="1398"/>
      <c r="L12" s="682"/>
      <c r="M12" s="1428"/>
      <c r="N12" s="1417"/>
      <c r="O12" s="1409"/>
      <c r="P12" s="1417"/>
      <c r="Q12" s="1434"/>
      <c r="R12" s="1405"/>
      <c r="S12" s="682"/>
      <c r="T12" s="1398"/>
      <c r="U12" s="682"/>
      <c r="V12" s="1405"/>
      <c r="W12" s="1409"/>
      <c r="X12" s="1417"/>
      <c r="Y12" s="1417"/>
      <c r="Z12" s="1421"/>
    </row>
    <row r="13" spans="1:26">
      <c r="A13" s="584">
        <v>1970.4</v>
      </c>
      <c r="B13" s="1426">
        <v>284846.96857389406</v>
      </c>
      <c r="C13" s="682"/>
      <c r="D13" s="1428"/>
      <c r="E13" s="1417"/>
      <c r="F13" s="1409"/>
      <c r="G13" s="1417"/>
      <c r="H13" s="1434"/>
      <c r="I13" s="1405"/>
      <c r="J13" s="682"/>
      <c r="K13" s="1398"/>
      <c r="L13" s="682"/>
      <c r="M13" s="1428"/>
      <c r="N13" s="1417"/>
      <c r="O13" s="1409"/>
      <c r="P13" s="1417"/>
      <c r="Q13" s="1434"/>
      <c r="R13" s="1405"/>
      <c r="S13" s="682"/>
      <c r="T13" s="1398"/>
      <c r="U13" s="682"/>
      <c r="V13" s="1405"/>
      <c r="W13" s="1409"/>
      <c r="X13" s="1417"/>
      <c r="Y13" s="1417"/>
      <c r="Z13" s="1421"/>
    </row>
    <row r="14" spans="1:26">
      <c r="A14" s="584">
        <v>1971.1</v>
      </c>
      <c r="B14" s="1426">
        <v>279343.65236992302</v>
      </c>
      <c r="C14" s="682"/>
      <c r="D14" s="1428"/>
      <c r="E14" s="1417"/>
      <c r="F14" s="1409"/>
      <c r="G14" s="1417"/>
      <c r="H14" s="1434"/>
      <c r="I14" s="1405"/>
      <c r="J14" s="682"/>
      <c r="K14" s="1398"/>
      <c r="L14" s="682"/>
      <c r="M14" s="1428"/>
      <c r="N14" s="1417"/>
      <c r="O14" s="1409"/>
      <c r="P14" s="1417"/>
      <c r="Q14" s="1434"/>
      <c r="R14" s="1405"/>
      <c r="S14" s="682"/>
      <c r="T14" s="1398"/>
      <c r="U14" s="682"/>
      <c r="V14" s="1405"/>
      <c r="W14" s="1409"/>
      <c r="X14" s="1417"/>
      <c r="Y14" s="1417"/>
      <c r="Z14" s="1421"/>
    </row>
    <row r="15" spans="1:26">
      <c r="A15" s="584">
        <v>1971.2</v>
      </c>
      <c r="B15" s="1426">
        <v>307042.16119817371</v>
      </c>
      <c r="C15" s="682"/>
      <c r="D15" s="1428"/>
      <c r="E15" s="1417"/>
      <c r="F15" s="1409"/>
      <c r="G15" s="1417"/>
      <c r="H15" s="1434"/>
      <c r="I15" s="1405"/>
      <c r="J15" s="682"/>
      <c r="K15" s="1398"/>
      <c r="L15" s="682"/>
      <c r="M15" s="1428"/>
      <c r="N15" s="1417"/>
      <c r="O15" s="1409"/>
      <c r="P15" s="1417"/>
      <c r="Q15" s="1434"/>
      <c r="R15" s="1405"/>
      <c r="S15" s="682"/>
      <c r="T15" s="1398"/>
      <c r="U15" s="682"/>
      <c r="V15" s="1405"/>
      <c r="W15" s="1409"/>
      <c r="X15" s="1417"/>
      <c r="Y15" s="1417"/>
      <c r="Z15" s="1421"/>
    </row>
    <row r="16" spans="1:26">
      <c r="A16" s="584">
        <v>1971.3</v>
      </c>
      <c r="B16" s="1426">
        <v>299264.74738925602</v>
      </c>
      <c r="C16" s="682"/>
      <c r="D16" s="1428"/>
      <c r="E16" s="1417"/>
      <c r="F16" s="1409"/>
      <c r="G16" s="1417"/>
      <c r="H16" s="1434"/>
      <c r="I16" s="1405"/>
      <c r="J16" s="682"/>
      <c r="K16" s="1398"/>
      <c r="L16" s="682"/>
      <c r="M16" s="1428"/>
      <c r="N16" s="1417"/>
      <c r="O16" s="1409"/>
      <c r="P16" s="1417"/>
      <c r="Q16" s="1434"/>
      <c r="R16" s="1405"/>
      <c r="S16" s="682"/>
      <c r="T16" s="1398"/>
      <c r="U16" s="682"/>
      <c r="V16" s="1405"/>
      <c r="W16" s="1409"/>
      <c r="X16" s="1417"/>
      <c r="Y16" s="1417"/>
      <c r="Z16" s="1421"/>
    </row>
    <row r="17" spans="1:26">
      <c r="A17" s="584">
        <v>1971.4</v>
      </c>
      <c r="B17" s="1426">
        <v>297477.95641394076</v>
      </c>
      <c r="C17" s="682"/>
      <c r="D17" s="1428"/>
      <c r="E17" s="1417"/>
      <c r="F17" s="1409"/>
      <c r="G17" s="1417"/>
      <c r="H17" s="1434"/>
      <c r="I17" s="1405"/>
      <c r="J17" s="682"/>
      <c r="K17" s="1398"/>
      <c r="L17" s="682"/>
      <c r="M17" s="1428"/>
      <c r="N17" s="1417"/>
      <c r="O17" s="1409"/>
      <c r="P17" s="1417"/>
      <c r="Q17" s="1434"/>
      <c r="R17" s="1405"/>
      <c r="S17" s="682"/>
      <c r="T17" s="1398"/>
      <c r="U17" s="682"/>
      <c r="V17" s="1405"/>
      <c r="W17" s="1409"/>
      <c r="X17" s="1417"/>
      <c r="Y17" s="1417"/>
      <c r="Z17" s="1421"/>
    </row>
    <row r="18" spans="1:26">
      <c r="A18" s="584">
        <v>1972.1</v>
      </c>
      <c r="B18" s="1426">
        <v>286838.42833365448</v>
      </c>
      <c r="C18" s="682"/>
      <c r="D18" s="1428"/>
      <c r="E18" s="1417"/>
      <c r="F18" s="1409"/>
      <c r="G18" s="1417"/>
      <c r="H18" s="1434"/>
      <c r="I18" s="1405"/>
      <c r="J18" s="682"/>
      <c r="K18" s="1398"/>
      <c r="L18" s="682"/>
      <c r="M18" s="1428"/>
      <c r="N18" s="1417"/>
      <c r="O18" s="1409"/>
      <c r="P18" s="1417"/>
      <c r="Q18" s="1434"/>
      <c r="R18" s="1405"/>
      <c r="S18" s="682"/>
      <c r="T18" s="1398"/>
      <c r="U18" s="682"/>
      <c r="V18" s="1405"/>
      <c r="W18" s="1409"/>
      <c r="X18" s="1417"/>
      <c r="Y18" s="1417"/>
      <c r="Z18" s="1421"/>
    </row>
    <row r="19" spans="1:26">
      <c r="A19" s="584">
        <v>1972.2</v>
      </c>
      <c r="B19" s="1426">
        <v>303299.64628260431</v>
      </c>
      <c r="C19" s="682"/>
      <c r="D19" s="1428"/>
      <c r="E19" s="1417"/>
      <c r="F19" s="1409"/>
      <c r="G19" s="1417"/>
      <c r="H19" s="1434"/>
      <c r="I19" s="1405"/>
      <c r="J19" s="682"/>
      <c r="K19" s="1398"/>
      <c r="L19" s="682"/>
      <c r="M19" s="1428"/>
      <c r="N19" s="1417"/>
      <c r="O19" s="1409"/>
      <c r="P19" s="1417"/>
      <c r="Q19" s="1434"/>
      <c r="R19" s="1405"/>
      <c r="S19" s="682"/>
      <c r="T19" s="1398"/>
      <c r="U19" s="682"/>
      <c r="V19" s="1405"/>
      <c r="W19" s="1409"/>
      <c r="X19" s="1417"/>
      <c r="Y19" s="1417"/>
      <c r="Z19" s="1421"/>
    </row>
    <row r="20" spans="1:26">
      <c r="A20" s="584">
        <v>1972.3</v>
      </c>
      <c r="B20" s="1426">
        <v>306691.30042483914</v>
      </c>
      <c r="C20" s="682"/>
      <c r="D20" s="1428"/>
      <c r="E20" s="1417"/>
      <c r="F20" s="1409"/>
      <c r="G20" s="1417"/>
      <c r="H20" s="1434"/>
      <c r="I20" s="1405"/>
      <c r="J20" s="682"/>
      <c r="K20" s="1398"/>
      <c r="L20" s="682"/>
      <c r="M20" s="1428"/>
      <c r="N20" s="1417"/>
      <c r="O20" s="1409"/>
      <c r="P20" s="1417"/>
      <c r="Q20" s="1434"/>
      <c r="R20" s="1405"/>
      <c r="S20" s="682"/>
      <c r="T20" s="1398"/>
      <c r="U20" s="682"/>
      <c r="V20" s="1405"/>
      <c r="W20" s="1409"/>
      <c r="X20" s="1417"/>
      <c r="Y20" s="1417"/>
      <c r="Z20" s="1421"/>
    </row>
    <row r="21" spans="1:26">
      <c r="A21" s="584">
        <v>1972.4</v>
      </c>
      <c r="B21" s="1426">
        <v>310878.88872880529</v>
      </c>
      <c r="C21" s="682"/>
      <c r="D21" s="1428"/>
      <c r="E21" s="1417"/>
      <c r="F21" s="1409"/>
      <c r="G21" s="1417"/>
      <c r="H21" s="1434"/>
      <c r="I21" s="1405"/>
      <c r="J21" s="682"/>
      <c r="K21" s="1398"/>
      <c r="L21" s="682"/>
      <c r="M21" s="1428"/>
      <c r="N21" s="1417"/>
      <c r="O21" s="1409"/>
      <c r="P21" s="1417"/>
      <c r="Q21" s="1434"/>
      <c r="R21" s="1405"/>
      <c r="S21" s="682"/>
      <c r="T21" s="1398"/>
      <c r="U21" s="682"/>
      <c r="V21" s="1405"/>
      <c r="W21" s="1409"/>
      <c r="X21" s="1417"/>
      <c r="Y21" s="1417"/>
      <c r="Z21" s="1421"/>
    </row>
    <row r="22" spans="1:26">
      <c r="A22" s="584">
        <v>1973.1</v>
      </c>
      <c r="B22" s="1426">
        <v>297656.63551147241</v>
      </c>
      <c r="C22" s="682"/>
      <c r="D22" s="1428"/>
      <c r="E22" s="1417"/>
      <c r="F22" s="1409"/>
      <c r="G22" s="1417"/>
      <c r="H22" s="1434"/>
      <c r="I22" s="1405"/>
      <c r="J22" s="682"/>
      <c r="K22" s="1398"/>
      <c r="L22" s="682"/>
      <c r="M22" s="1428"/>
      <c r="N22" s="1417"/>
      <c r="O22" s="1409"/>
      <c r="P22" s="1417"/>
      <c r="Q22" s="1434"/>
      <c r="R22" s="1405"/>
      <c r="S22" s="682"/>
      <c r="T22" s="1398"/>
      <c r="U22" s="682"/>
      <c r="V22" s="1405"/>
      <c r="W22" s="1409"/>
      <c r="X22" s="1417"/>
      <c r="Y22" s="1417"/>
      <c r="Z22" s="1421"/>
    </row>
    <row r="23" spans="1:26">
      <c r="A23" s="584">
        <v>1973.2</v>
      </c>
      <c r="B23" s="1426">
        <v>316177.53614833107</v>
      </c>
      <c r="C23" s="682"/>
      <c r="D23" s="1428"/>
      <c r="E23" s="1417"/>
      <c r="F23" s="1409"/>
      <c r="G23" s="1417"/>
      <c r="H23" s="1434"/>
      <c r="I23" s="1405"/>
      <c r="J23" s="682"/>
      <c r="K23" s="1398"/>
      <c r="L23" s="682"/>
      <c r="M23" s="1428"/>
      <c r="N23" s="1417"/>
      <c r="O23" s="1409"/>
      <c r="P23" s="1417"/>
      <c r="Q23" s="1434"/>
      <c r="R23" s="1405"/>
      <c r="S23" s="682"/>
      <c r="T23" s="1398"/>
      <c r="U23" s="682"/>
      <c r="V23" s="1405"/>
      <c r="W23" s="1409"/>
      <c r="X23" s="1417"/>
      <c r="Y23" s="1417"/>
      <c r="Z23" s="1421"/>
    </row>
    <row r="24" spans="1:26">
      <c r="A24" s="584">
        <v>1973.3</v>
      </c>
      <c r="B24" s="1426">
        <v>311431.16957572091</v>
      </c>
      <c r="C24" s="682"/>
      <c r="D24" s="1428"/>
      <c r="E24" s="1417"/>
      <c r="F24" s="1409"/>
      <c r="G24" s="1417"/>
      <c r="H24" s="1434"/>
      <c r="I24" s="1405"/>
      <c r="J24" s="682"/>
      <c r="K24" s="1398"/>
      <c r="L24" s="682"/>
      <c r="M24" s="1428"/>
      <c r="N24" s="1417"/>
      <c r="O24" s="1409"/>
      <c r="P24" s="1417"/>
      <c r="Q24" s="1434"/>
      <c r="R24" s="1405"/>
      <c r="S24" s="682"/>
      <c r="T24" s="1398"/>
      <c r="U24" s="682"/>
      <c r="V24" s="1405"/>
      <c r="W24" s="1409"/>
      <c r="X24" s="1417"/>
      <c r="Y24" s="1417"/>
      <c r="Z24" s="1421"/>
    </row>
    <row r="25" spans="1:26">
      <c r="A25" s="584">
        <v>1973.4</v>
      </c>
      <c r="B25" s="1426">
        <v>327668.2264750402</v>
      </c>
      <c r="C25" s="682"/>
      <c r="D25" s="1428"/>
      <c r="E25" s="1417"/>
      <c r="F25" s="1409"/>
      <c r="G25" s="1417"/>
      <c r="H25" s="1434"/>
      <c r="I25" s="1405"/>
      <c r="J25" s="682"/>
      <c r="K25" s="1398"/>
      <c r="L25" s="682"/>
      <c r="M25" s="1428"/>
      <c r="N25" s="1417"/>
      <c r="O25" s="1409"/>
      <c r="P25" s="1417"/>
      <c r="Q25" s="1434"/>
      <c r="R25" s="1405"/>
      <c r="S25" s="682"/>
      <c r="T25" s="1398"/>
      <c r="U25" s="682"/>
      <c r="V25" s="1405"/>
      <c r="W25" s="1409"/>
      <c r="X25" s="1417"/>
      <c r="Y25" s="1417"/>
      <c r="Z25" s="1421"/>
    </row>
    <row r="26" spans="1:26">
      <c r="A26" s="584">
        <v>1974.1</v>
      </c>
      <c r="B26" s="1426">
        <v>317571.23310907691</v>
      </c>
      <c r="C26" s="682"/>
      <c r="D26" s="1428"/>
      <c r="E26" s="1417"/>
      <c r="F26" s="1409"/>
      <c r="G26" s="1417"/>
      <c r="H26" s="1434"/>
      <c r="I26" s="1405"/>
      <c r="J26" s="682"/>
      <c r="K26" s="1398"/>
      <c r="L26" s="682"/>
      <c r="M26" s="1428"/>
      <c r="N26" s="1417"/>
      <c r="O26" s="1409"/>
      <c r="P26" s="1417"/>
      <c r="Q26" s="1434"/>
      <c r="R26" s="1405"/>
      <c r="S26" s="682"/>
      <c r="T26" s="1398"/>
      <c r="U26" s="682"/>
      <c r="V26" s="1405"/>
      <c r="W26" s="1409"/>
      <c r="X26" s="1417"/>
      <c r="Y26" s="1417"/>
      <c r="Z26" s="1421"/>
    </row>
    <row r="27" spans="1:26">
      <c r="A27" s="584">
        <v>1974.2</v>
      </c>
      <c r="B27" s="1426">
        <v>336774.36302741955</v>
      </c>
      <c r="C27" s="682"/>
      <c r="D27" s="1428"/>
      <c r="E27" s="1417"/>
      <c r="F27" s="1409"/>
      <c r="G27" s="1417"/>
      <c r="H27" s="1434"/>
      <c r="I27" s="1405"/>
      <c r="J27" s="682"/>
      <c r="K27" s="1398"/>
      <c r="L27" s="682"/>
      <c r="M27" s="1428"/>
      <c r="N27" s="1417"/>
      <c r="O27" s="1409"/>
      <c r="P27" s="1417"/>
      <c r="Q27" s="1434"/>
      <c r="R27" s="1405"/>
      <c r="S27" s="682"/>
      <c r="T27" s="1398"/>
      <c r="U27" s="682"/>
      <c r="V27" s="1405"/>
      <c r="W27" s="1409"/>
      <c r="X27" s="1417"/>
      <c r="Y27" s="1417"/>
      <c r="Z27" s="1421"/>
    </row>
    <row r="28" spans="1:26">
      <c r="A28" s="584">
        <v>1974.3</v>
      </c>
      <c r="B28" s="1426">
        <v>328317.96864788199</v>
      </c>
      <c r="C28" s="682"/>
      <c r="D28" s="1428"/>
      <c r="E28" s="1417"/>
      <c r="F28" s="1409"/>
      <c r="G28" s="1417"/>
      <c r="H28" s="1434"/>
      <c r="I28" s="1405"/>
      <c r="J28" s="682"/>
      <c r="K28" s="1398"/>
      <c r="L28" s="682"/>
      <c r="M28" s="1428"/>
      <c r="N28" s="1417"/>
      <c r="O28" s="1409"/>
      <c r="P28" s="1417"/>
      <c r="Q28" s="1434"/>
      <c r="R28" s="1405"/>
      <c r="S28" s="682"/>
      <c r="T28" s="1398"/>
      <c r="U28" s="682"/>
      <c r="V28" s="1405"/>
      <c r="W28" s="1409"/>
      <c r="X28" s="1417"/>
      <c r="Y28" s="1417"/>
      <c r="Z28" s="1421"/>
    </row>
    <row r="29" spans="1:26">
      <c r="A29" s="584">
        <v>1974.4</v>
      </c>
      <c r="B29" s="1426">
        <v>338005.62444495491</v>
      </c>
      <c r="C29" s="682"/>
      <c r="D29" s="1428"/>
      <c r="E29" s="1417"/>
      <c r="F29" s="1409"/>
      <c r="G29" s="1417"/>
      <c r="H29" s="1434"/>
      <c r="I29" s="1405"/>
      <c r="J29" s="682"/>
      <c r="K29" s="1398"/>
      <c r="L29" s="682"/>
      <c r="M29" s="1428"/>
      <c r="N29" s="1417"/>
      <c r="O29" s="1409"/>
      <c r="P29" s="1417"/>
      <c r="Q29" s="1434"/>
      <c r="R29" s="1405"/>
      <c r="S29" s="682"/>
      <c r="T29" s="1398"/>
      <c r="U29" s="682"/>
      <c r="V29" s="1405"/>
      <c r="W29" s="1409"/>
      <c r="X29" s="1417"/>
      <c r="Y29" s="1417"/>
      <c r="Z29" s="1421"/>
    </row>
    <row r="30" spans="1:26">
      <c r="A30" s="584">
        <v>1975.1</v>
      </c>
      <c r="B30" s="1426">
        <v>322824.39857650368</v>
      </c>
      <c r="C30" s="682"/>
      <c r="D30" s="1428"/>
      <c r="E30" s="1417"/>
      <c r="F30" s="1409"/>
      <c r="G30" s="1417"/>
      <c r="H30" s="1434"/>
      <c r="I30" s="1405"/>
      <c r="J30" s="682"/>
      <c r="K30" s="1398"/>
      <c r="L30" s="682"/>
      <c r="M30" s="1428"/>
      <c r="N30" s="1417"/>
      <c r="O30" s="1409"/>
      <c r="P30" s="1417"/>
      <c r="Q30" s="1434"/>
      <c r="R30" s="1405"/>
      <c r="S30" s="682"/>
      <c r="T30" s="1398"/>
      <c r="U30" s="682"/>
      <c r="V30" s="1405"/>
      <c r="W30" s="1409"/>
      <c r="X30" s="1417"/>
      <c r="Y30" s="1417"/>
      <c r="Z30" s="1421"/>
    </row>
    <row r="31" spans="1:26">
      <c r="A31" s="584">
        <v>1975.2</v>
      </c>
      <c r="B31" s="1426">
        <v>337794.45823878126</v>
      </c>
      <c r="C31" s="682"/>
      <c r="D31" s="1428"/>
      <c r="E31" s="1417"/>
      <c r="F31" s="1409"/>
      <c r="G31" s="1417"/>
      <c r="H31" s="1434"/>
      <c r="I31" s="1405"/>
      <c r="J31" s="682"/>
      <c r="K31" s="1398"/>
      <c r="L31" s="682"/>
      <c r="M31" s="1428"/>
      <c r="N31" s="1417"/>
      <c r="O31" s="1409"/>
      <c r="P31" s="1417"/>
      <c r="Q31" s="1434"/>
      <c r="R31" s="1405"/>
      <c r="S31" s="682"/>
      <c r="T31" s="1398"/>
      <c r="U31" s="682"/>
      <c r="V31" s="1405"/>
      <c r="W31" s="1409"/>
      <c r="X31" s="1417"/>
      <c r="Y31" s="1417"/>
      <c r="Z31" s="1421"/>
    </row>
    <row r="32" spans="1:26">
      <c r="A32" s="584">
        <v>1975.3</v>
      </c>
      <c r="B32" s="1426">
        <v>322171.40769279754</v>
      </c>
      <c r="C32" s="682"/>
      <c r="D32" s="1428"/>
      <c r="E32" s="1417"/>
      <c r="F32" s="1409"/>
      <c r="G32" s="1417"/>
      <c r="H32" s="1434"/>
      <c r="I32" s="1405"/>
      <c r="J32" s="682"/>
      <c r="K32" s="1398"/>
      <c r="L32" s="682"/>
      <c r="M32" s="1428"/>
      <c r="N32" s="1417"/>
      <c r="O32" s="1409"/>
      <c r="P32" s="1417"/>
      <c r="Q32" s="1434"/>
      <c r="R32" s="1405"/>
      <c r="S32" s="682"/>
      <c r="T32" s="1398"/>
      <c r="U32" s="682"/>
      <c r="V32" s="1405"/>
      <c r="W32" s="1409"/>
      <c r="X32" s="1417"/>
      <c r="Y32" s="1417"/>
      <c r="Z32" s="1421"/>
    </row>
    <row r="33" spans="1:26">
      <c r="A33" s="584">
        <v>1975.4</v>
      </c>
      <c r="B33" s="1426">
        <v>330046.28282764158</v>
      </c>
      <c r="C33" s="682"/>
      <c r="D33" s="1428"/>
      <c r="E33" s="1417"/>
      <c r="F33" s="1409"/>
      <c r="G33" s="1417"/>
      <c r="H33" s="1434"/>
      <c r="I33" s="1405"/>
      <c r="J33" s="682"/>
      <c r="K33" s="1398"/>
      <c r="L33" s="682"/>
      <c r="M33" s="1428"/>
      <c r="N33" s="1417"/>
      <c r="O33" s="1409"/>
      <c r="P33" s="1417"/>
      <c r="Q33" s="1434"/>
      <c r="R33" s="1405"/>
      <c r="S33" s="682"/>
      <c r="T33" s="1398"/>
      <c r="U33" s="682"/>
      <c r="V33" s="1405"/>
      <c r="W33" s="1409"/>
      <c r="X33" s="1417"/>
      <c r="Y33" s="1417"/>
      <c r="Z33" s="1421"/>
    </row>
    <row r="34" spans="1:26">
      <c r="A34" s="584">
        <v>1976.1</v>
      </c>
      <c r="B34" s="1426">
        <v>319289.80115624366</v>
      </c>
      <c r="C34" s="682"/>
      <c r="D34" s="1428"/>
      <c r="E34" s="1417"/>
      <c r="F34" s="1409"/>
      <c r="G34" s="1417"/>
      <c r="H34" s="1434"/>
      <c r="I34" s="1405"/>
      <c r="J34" s="682"/>
      <c r="K34" s="1398"/>
      <c r="L34" s="682"/>
      <c r="M34" s="1428"/>
      <c r="N34" s="1417"/>
      <c r="O34" s="1409"/>
      <c r="P34" s="1417"/>
      <c r="Q34" s="1434"/>
      <c r="R34" s="1405"/>
      <c r="S34" s="682"/>
      <c r="T34" s="1398"/>
      <c r="U34" s="682"/>
      <c r="V34" s="1405"/>
      <c r="W34" s="1409"/>
      <c r="X34" s="1417"/>
      <c r="Y34" s="1417"/>
      <c r="Z34" s="1421"/>
    </row>
    <row r="35" spans="1:26">
      <c r="A35" s="584">
        <v>1976.2</v>
      </c>
      <c r="B35" s="1426">
        <v>328954.71597726707</v>
      </c>
      <c r="C35" s="682"/>
      <c r="D35" s="1428"/>
      <c r="E35" s="1417"/>
      <c r="F35" s="1409"/>
      <c r="G35" s="1417"/>
      <c r="H35" s="1434"/>
      <c r="I35" s="1405"/>
      <c r="J35" s="682"/>
      <c r="K35" s="1398"/>
      <c r="L35" s="682"/>
      <c r="M35" s="1428"/>
      <c r="N35" s="1417"/>
      <c r="O35" s="1409"/>
      <c r="P35" s="1417"/>
      <c r="Q35" s="1434"/>
      <c r="R35" s="1405"/>
      <c r="S35" s="682"/>
      <c r="T35" s="1398"/>
      <c r="U35" s="682"/>
      <c r="V35" s="1405"/>
      <c r="W35" s="1409"/>
      <c r="X35" s="1417"/>
      <c r="Y35" s="1417"/>
      <c r="Z35" s="1421"/>
    </row>
    <row r="36" spans="1:26">
      <c r="A36" s="584">
        <v>1976.3</v>
      </c>
      <c r="B36" s="1426">
        <v>329916.33439307311</v>
      </c>
      <c r="C36" s="682"/>
      <c r="D36" s="1428"/>
      <c r="E36" s="1417"/>
      <c r="F36" s="1409"/>
      <c r="G36" s="1417"/>
      <c r="H36" s="1434"/>
      <c r="I36" s="1405"/>
      <c r="J36" s="682"/>
      <c r="K36" s="1398"/>
      <c r="L36" s="682"/>
      <c r="M36" s="1428"/>
      <c r="N36" s="1417"/>
      <c r="O36" s="1409"/>
      <c r="P36" s="1417"/>
      <c r="Q36" s="1434"/>
      <c r="R36" s="1405"/>
      <c r="S36" s="682"/>
      <c r="T36" s="1398"/>
      <c r="U36" s="682"/>
      <c r="V36" s="1405"/>
      <c r="W36" s="1409"/>
      <c r="X36" s="1417"/>
      <c r="Y36" s="1417"/>
      <c r="Z36" s="1421"/>
    </row>
    <row r="37" spans="1:26">
      <c r="A37" s="584">
        <v>1976.4</v>
      </c>
      <c r="B37" s="1426">
        <v>334516.50897679379</v>
      </c>
      <c r="C37" s="682"/>
      <c r="D37" s="1428"/>
      <c r="E37" s="1417"/>
      <c r="F37" s="1409"/>
      <c r="G37" s="1417"/>
      <c r="H37" s="1434"/>
      <c r="I37" s="1405"/>
      <c r="J37" s="682"/>
      <c r="K37" s="1398"/>
      <c r="L37" s="682"/>
      <c r="M37" s="1428"/>
      <c r="N37" s="1417"/>
      <c r="O37" s="1409"/>
      <c r="P37" s="1417"/>
      <c r="Q37" s="1434"/>
      <c r="R37" s="1405"/>
      <c r="S37" s="682"/>
      <c r="T37" s="1398"/>
      <c r="U37" s="682"/>
      <c r="V37" s="1405"/>
      <c r="W37" s="1409"/>
      <c r="X37" s="1417"/>
      <c r="Y37" s="1417"/>
      <c r="Z37" s="1421"/>
    </row>
    <row r="38" spans="1:26">
      <c r="A38" s="584">
        <v>1977.1</v>
      </c>
      <c r="B38" s="1426">
        <v>333324.23208962893</v>
      </c>
      <c r="C38" s="682"/>
      <c r="D38" s="1428"/>
      <c r="E38" s="1417"/>
      <c r="F38" s="1409"/>
      <c r="G38" s="1417"/>
      <c r="H38" s="1434"/>
      <c r="I38" s="1405"/>
      <c r="J38" s="682"/>
      <c r="K38" s="1398"/>
      <c r="L38" s="682"/>
      <c r="M38" s="1428"/>
      <c r="N38" s="1417"/>
      <c r="O38" s="1409"/>
      <c r="P38" s="1417"/>
      <c r="Q38" s="1434"/>
      <c r="R38" s="1405"/>
      <c r="S38" s="682"/>
      <c r="T38" s="1398"/>
      <c r="U38" s="682"/>
      <c r="V38" s="1405"/>
      <c r="W38" s="1409"/>
      <c r="X38" s="1417"/>
      <c r="Y38" s="1417"/>
      <c r="Z38" s="1421"/>
    </row>
    <row r="39" spans="1:26">
      <c r="A39" s="584">
        <v>1977.2</v>
      </c>
      <c r="B39" s="1426">
        <v>354687.75473267102</v>
      </c>
      <c r="C39" s="682"/>
      <c r="D39" s="1428"/>
      <c r="E39" s="1417"/>
      <c r="F39" s="1409"/>
      <c r="G39" s="1417"/>
      <c r="H39" s="1434"/>
      <c r="I39" s="1405"/>
      <c r="J39" s="682"/>
      <c r="K39" s="1398"/>
      <c r="L39" s="682"/>
      <c r="M39" s="1428"/>
      <c r="N39" s="1417"/>
      <c r="O39" s="1409"/>
      <c r="P39" s="1417"/>
      <c r="Q39" s="1434"/>
      <c r="R39" s="1405"/>
      <c r="S39" s="682"/>
      <c r="T39" s="1398"/>
      <c r="U39" s="682"/>
      <c r="V39" s="1405"/>
      <c r="W39" s="1409"/>
      <c r="X39" s="1417"/>
      <c r="Y39" s="1417"/>
      <c r="Z39" s="1421"/>
    </row>
    <row r="40" spans="1:26">
      <c r="A40" s="584">
        <v>1977.3</v>
      </c>
      <c r="B40" s="1426">
        <v>361155.93806331232</v>
      </c>
      <c r="C40" s="682"/>
      <c r="D40" s="1428"/>
      <c r="E40" s="1417"/>
      <c r="F40" s="1409"/>
      <c r="G40" s="1417"/>
      <c r="H40" s="1434"/>
      <c r="I40" s="1405"/>
      <c r="J40" s="682"/>
      <c r="K40" s="1398"/>
      <c r="L40" s="682"/>
      <c r="M40" s="1428"/>
      <c r="N40" s="1417"/>
      <c r="O40" s="1409"/>
      <c r="P40" s="1417"/>
      <c r="Q40" s="1434"/>
      <c r="R40" s="1405"/>
      <c r="S40" s="682"/>
      <c r="T40" s="1398"/>
      <c r="U40" s="682"/>
      <c r="V40" s="1405"/>
      <c r="W40" s="1409"/>
      <c r="X40" s="1417"/>
      <c r="Y40" s="1417"/>
      <c r="Z40" s="1421"/>
    </row>
    <row r="41" spans="1:26">
      <c r="A41" s="584">
        <v>1977.4</v>
      </c>
      <c r="B41" s="1426">
        <v>347326.17591437226</v>
      </c>
      <c r="C41" s="682"/>
      <c r="D41" s="1428"/>
      <c r="E41" s="1417"/>
      <c r="F41" s="1409"/>
      <c r="G41" s="1417"/>
      <c r="H41" s="1434"/>
      <c r="I41" s="1405"/>
      <c r="J41" s="682"/>
      <c r="K41" s="1398"/>
      <c r="L41" s="682"/>
      <c r="M41" s="1428"/>
      <c r="N41" s="1417"/>
      <c r="O41" s="1409"/>
      <c r="P41" s="1417"/>
      <c r="Q41" s="1434"/>
      <c r="R41" s="1405"/>
      <c r="S41" s="682"/>
      <c r="T41" s="1398"/>
      <c r="U41" s="682"/>
      <c r="V41" s="1405"/>
      <c r="W41" s="1409"/>
      <c r="X41" s="1417"/>
      <c r="Y41" s="1417"/>
      <c r="Z41" s="1421"/>
    </row>
    <row r="42" spans="1:26">
      <c r="A42" s="584">
        <v>1978.1</v>
      </c>
      <c r="B42" s="1426">
        <v>317805.14029130002</v>
      </c>
      <c r="C42" s="682"/>
      <c r="D42" s="1428"/>
      <c r="E42" s="1417"/>
      <c r="F42" s="1409"/>
      <c r="G42" s="1417"/>
      <c r="H42" s="1434"/>
      <c r="I42" s="1405"/>
      <c r="J42" s="682"/>
      <c r="K42" s="1398"/>
      <c r="L42" s="682"/>
      <c r="M42" s="1428"/>
      <c r="N42" s="1417"/>
      <c r="O42" s="1409"/>
      <c r="P42" s="1417"/>
      <c r="Q42" s="1434"/>
      <c r="R42" s="1405"/>
      <c r="S42" s="682"/>
      <c r="T42" s="1398"/>
      <c r="U42" s="682"/>
      <c r="V42" s="1405"/>
      <c r="W42" s="1409"/>
      <c r="X42" s="1417"/>
      <c r="Y42" s="1417"/>
      <c r="Z42" s="1421"/>
    </row>
    <row r="43" spans="1:26">
      <c r="A43" s="584">
        <v>1978.2</v>
      </c>
      <c r="B43" s="1426">
        <v>336329.28963902284</v>
      </c>
      <c r="C43" s="682"/>
      <c r="D43" s="1428"/>
      <c r="E43" s="1417"/>
      <c r="F43" s="1409"/>
      <c r="G43" s="1417"/>
      <c r="H43" s="1434"/>
      <c r="I43" s="1405"/>
      <c r="J43" s="682"/>
      <c r="K43" s="1398"/>
      <c r="L43" s="682"/>
      <c r="M43" s="1428"/>
      <c r="N43" s="1417"/>
      <c r="O43" s="1409"/>
      <c r="P43" s="1417"/>
      <c r="Q43" s="1434"/>
      <c r="R43" s="1405"/>
      <c r="S43" s="682"/>
      <c r="T43" s="1398"/>
      <c r="U43" s="682"/>
      <c r="V43" s="1405"/>
      <c r="W43" s="1409"/>
      <c r="X43" s="1417"/>
      <c r="Y43" s="1417"/>
      <c r="Z43" s="1421"/>
    </row>
    <row r="44" spans="1:26">
      <c r="A44" s="584">
        <v>1978.3</v>
      </c>
      <c r="B44" s="1426">
        <v>345471.16201090853</v>
      </c>
      <c r="C44" s="682"/>
      <c r="D44" s="1428"/>
      <c r="E44" s="1417"/>
      <c r="F44" s="1409"/>
      <c r="G44" s="1417"/>
      <c r="H44" s="1434"/>
      <c r="I44" s="1405"/>
      <c r="J44" s="682"/>
      <c r="K44" s="1398"/>
      <c r="L44" s="682"/>
      <c r="M44" s="1428"/>
      <c r="N44" s="1417"/>
      <c r="O44" s="1409"/>
      <c r="P44" s="1417"/>
      <c r="Q44" s="1434"/>
      <c r="R44" s="1405"/>
      <c r="S44" s="682"/>
      <c r="T44" s="1398"/>
      <c r="U44" s="682"/>
      <c r="V44" s="1405"/>
      <c r="W44" s="1409"/>
      <c r="X44" s="1417"/>
      <c r="Y44" s="1417"/>
      <c r="Z44" s="1421"/>
    </row>
    <row r="45" spans="1:26">
      <c r="A45" s="584">
        <v>1978.4</v>
      </c>
      <c r="B45" s="1426">
        <v>351893.86338945088</v>
      </c>
      <c r="C45" s="682"/>
      <c r="D45" s="1428"/>
      <c r="E45" s="1417"/>
      <c r="F45" s="1409"/>
      <c r="G45" s="1417"/>
      <c r="H45" s="1434"/>
      <c r="I45" s="1405"/>
      <c r="J45" s="682"/>
      <c r="K45" s="1398"/>
      <c r="L45" s="682"/>
      <c r="M45" s="1428"/>
      <c r="N45" s="1417"/>
      <c r="O45" s="1409"/>
      <c r="P45" s="1417"/>
      <c r="Q45" s="1434"/>
      <c r="R45" s="1405"/>
      <c r="S45" s="682"/>
      <c r="T45" s="1398"/>
      <c r="U45" s="682"/>
      <c r="V45" s="1405"/>
      <c r="W45" s="1409"/>
      <c r="X45" s="1417"/>
      <c r="Y45" s="1417"/>
      <c r="Z45" s="1421"/>
    </row>
    <row r="46" spans="1:26">
      <c r="A46" s="584">
        <v>1979.1</v>
      </c>
      <c r="B46" s="1426">
        <v>344733.70464473288</v>
      </c>
      <c r="C46" s="682"/>
      <c r="D46" s="1428"/>
      <c r="E46" s="1417"/>
      <c r="F46" s="1409"/>
      <c r="G46" s="1417"/>
      <c r="H46" s="1434"/>
      <c r="I46" s="1405"/>
      <c r="J46" s="682"/>
      <c r="K46" s="1398"/>
      <c r="L46" s="682"/>
      <c r="M46" s="1428"/>
      <c r="N46" s="1417"/>
      <c r="O46" s="1409"/>
      <c r="P46" s="1417"/>
      <c r="Q46" s="1434"/>
      <c r="R46" s="1405"/>
      <c r="S46" s="682"/>
      <c r="T46" s="1398"/>
      <c r="U46" s="682"/>
      <c r="V46" s="1405"/>
      <c r="W46" s="1409"/>
      <c r="X46" s="1417"/>
      <c r="Y46" s="1417"/>
      <c r="Z46" s="1421"/>
    </row>
    <row r="47" spans="1:26">
      <c r="A47" s="584">
        <v>1979.2</v>
      </c>
      <c r="B47" s="1426">
        <v>365460.47995838983</v>
      </c>
      <c r="C47" s="682"/>
      <c r="D47" s="1428"/>
      <c r="E47" s="1417"/>
      <c r="F47" s="1409"/>
      <c r="G47" s="1417"/>
      <c r="H47" s="1434"/>
      <c r="I47" s="1405"/>
      <c r="J47" s="682"/>
      <c r="K47" s="1398"/>
      <c r="L47" s="682"/>
      <c r="M47" s="1428"/>
      <c r="N47" s="1417"/>
      <c r="O47" s="1409"/>
      <c r="P47" s="1417"/>
      <c r="Q47" s="1434"/>
      <c r="R47" s="1405"/>
      <c r="S47" s="682"/>
      <c r="T47" s="1398"/>
      <c r="U47" s="682"/>
      <c r="V47" s="1405"/>
      <c r="W47" s="1409"/>
      <c r="X47" s="1417"/>
      <c r="Y47" s="1417"/>
      <c r="Z47" s="1421"/>
    </row>
    <row r="48" spans="1:26">
      <c r="A48" s="584">
        <v>1979.3</v>
      </c>
      <c r="B48" s="1426">
        <v>363105.16458183789</v>
      </c>
      <c r="C48" s="682"/>
      <c r="D48" s="1428"/>
      <c r="E48" s="1417"/>
      <c r="F48" s="1409"/>
      <c r="G48" s="1417"/>
      <c r="H48" s="1434"/>
      <c r="I48" s="1405"/>
      <c r="J48" s="682"/>
      <c r="K48" s="1398"/>
      <c r="L48" s="682"/>
      <c r="M48" s="1428"/>
      <c r="N48" s="1417"/>
      <c r="O48" s="1409"/>
      <c r="P48" s="1417"/>
      <c r="Q48" s="1434"/>
      <c r="R48" s="1405"/>
      <c r="S48" s="682"/>
      <c r="T48" s="1398"/>
      <c r="U48" s="682"/>
      <c r="V48" s="1405"/>
      <c r="W48" s="1409"/>
      <c r="X48" s="1417"/>
      <c r="Y48" s="1417"/>
      <c r="Z48" s="1421"/>
    </row>
    <row r="49" spans="1:26">
      <c r="A49" s="584">
        <v>1979.4</v>
      </c>
      <c r="B49" s="1426">
        <v>373039.72240459069</v>
      </c>
      <c r="C49" s="682"/>
      <c r="D49" s="1428"/>
      <c r="E49" s="1417"/>
      <c r="F49" s="1409"/>
      <c r="G49" s="1417"/>
      <c r="H49" s="1434"/>
      <c r="I49" s="1405"/>
      <c r="J49" s="682"/>
      <c r="K49" s="1398"/>
      <c r="L49" s="682"/>
      <c r="M49" s="1428"/>
      <c r="N49" s="1417"/>
      <c r="O49" s="1409"/>
      <c r="P49" s="1417"/>
      <c r="Q49" s="1434"/>
      <c r="R49" s="1405"/>
      <c r="S49" s="682"/>
      <c r="T49" s="1398"/>
      <c r="U49" s="682"/>
      <c r="V49" s="1405"/>
      <c r="W49" s="1409"/>
      <c r="X49" s="1417"/>
      <c r="Y49" s="1417"/>
      <c r="Z49" s="1421"/>
    </row>
    <row r="50" spans="1:26">
      <c r="A50" s="584">
        <v>1980.1</v>
      </c>
      <c r="B50" s="1426">
        <v>350886.76302154566</v>
      </c>
      <c r="C50" s="682"/>
      <c r="D50" s="1428"/>
      <c r="E50" s="1417"/>
      <c r="F50" s="1409"/>
      <c r="G50" s="1417"/>
      <c r="H50" s="1434"/>
      <c r="I50" s="1405"/>
      <c r="J50" s="682"/>
      <c r="K50" s="1398"/>
      <c r="L50" s="682"/>
      <c r="M50" s="1428"/>
      <c r="N50" s="1417"/>
      <c r="O50" s="1409"/>
      <c r="P50" s="1417"/>
      <c r="Q50" s="1434"/>
      <c r="R50" s="1405"/>
      <c r="S50" s="682"/>
      <c r="T50" s="1398"/>
      <c r="U50" s="682"/>
      <c r="V50" s="1405"/>
      <c r="W50" s="1409"/>
      <c r="X50" s="1417"/>
      <c r="Y50" s="1417"/>
      <c r="Z50" s="1421"/>
    </row>
    <row r="51" spans="1:26">
      <c r="A51" s="584">
        <v>1980.2</v>
      </c>
      <c r="B51" s="1426">
        <v>375630.18279372092</v>
      </c>
      <c r="C51" s="682"/>
      <c r="D51" s="1428"/>
      <c r="E51" s="1417"/>
      <c r="F51" s="1409"/>
      <c r="G51" s="1417"/>
      <c r="H51" s="1434"/>
      <c r="I51" s="1405"/>
      <c r="J51" s="682"/>
      <c r="K51" s="1398"/>
      <c r="L51" s="682"/>
      <c r="M51" s="1428"/>
      <c r="N51" s="1417"/>
      <c r="O51" s="1409"/>
      <c r="P51" s="1417"/>
      <c r="Q51" s="1434"/>
      <c r="R51" s="1405"/>
      <c r="S51" s="682"/>
      <c r="T51" s="1398"/>
      <c r="U51" s="682"/>
      <c r="V51" s="1405"/>
      <c r="W51" s="1409"/>
      <c r="X51" s="1417"/>
      <c r="Y51" s="1417"/>
      <c r="Z51" s="1421"/>
    </row>
    <row r="52" spans="1:26">
      <c r="A52" s="584">
        <v>1980.3</v>
      </c>
      <c r="B52" s="1426">
        <v>392787.63941291551</v>
      </c>
      <c r="C52" s="682"/>
      <c r="D52" s="1428"/>
      <c r="E52" s="1417"/>
      <c r="F52" s="1409"/>
      <c r="G52" s="1417"/>
      <c r="H52" s="1434"/>
      <c r="I52" s="1405"/>
      <c r="J52" s="682"/>
      <c r="K52" s="1398"/>
      <c r="L52" s="682"/>
      <c r="M52" s="1428"/>
      <c r="N52" s="1417"/>
      <c r="O52" s="1409"/>
      <c r="P52" s="1417"/>
      <c r="Q52" s="1434"/>
      <c r="R52" s="1405"/>
      <c r="S52" s="682"/>
      <c r="T52" s="1398"/>
      <c r="U52" s="682"/>
      <c r="V52" s="1405"/>
      <c r="W52" s="1409"/>
      <c r="X52" s="1417"/>
      <c r="Y52" s="1417"/>
      <c r="Z52" s="1421"/>
    </row>
    <row r="53" spans="1:26">
      <c r="A53" s="584">
        <v>1980.4</v>
      </c>
      <c r="B53" s="1426">
        <v>387175.79581347544</v>
      </c>
      <c r="C53" s="682"/>
      <c r="D53" s="1428"/>
      <c r="E53" s="1417"/>
      <c r="F53" s="1409"/>
      <c r="G53" s="1417"/>
      <c r="H53" s="1434"/>
      <c r="I53" s="1405"/>
      <c r="J53" s="682"/>
      <c r="K53" s="1398"/>
      <c r="L53" s="682"/>
      <c r="M53" s="1428"/>
      <c r="N53" s="1417"/>
      <c r="O53" s="1409"/>
      <c r="P53" s="1417"/>
      <c r="Q53" s="1434"/>
      <c r="R53" s="1405"/>
      <c r="S53" s="682"/>
      <c r="T53" s="1398"/>
      <c r="U53" s="682"/>
      <c r="V53" s="1405"/>
      <c r="W53" s="1409"/>
      <c r="X53" s="1417"/>
      <c r="Y53" s="1417"/>
      <c r="Z53" s="1421"/>
    </row>
    <row r="54" spans="1:26">
      <c r="A54" s="584">
        <v>1981.1</v>
      </c>
      <c r="B54" s="1426">
        <v>348787.74219593039</v>
      </c>
      <c r="C54" s="682"/>
      <c r="D54" s="1428"/>
      <c r="E54" s="1417"/>
      <c r="F54" s="1409"/>
      <c r="G54" s="1417"/>
      <c r="H54" s="1434"/>
      <c r="I54" s="1405"/>
      <c r="J54" s="682"/>
      <c r="K54" s="1398"/>
      <c r="L54" s="682"/>
      <c r="M54" s="1428"/>
      <c r="N54" s="1417"/>
      <c r="O54" s="1409"/>
      <c r="P54" s="1417"/>
      <c r="Q54" s="1434"/>
      <c r="R54" s="1405"/>
      <c r="S54" s="682"/>
      <c r="T54" s="1398"/>
      <c r="U54" s="682"/>
      <c r="V54" s="1405"/>
      <c r="W54" s="1409"/>
      <c r="X54" s="1417"/>
      <c r="Y54" s="1417"/>
      <c r="Z54" s="1421"/>
    </row>
    <row r="55" spans="1:26">
      <c r="A55" s="584">
        <v>1981.2</v>
      </c>
      <c r="B55" s="1426">
        <v>365764.15607086685</v>
      </c>
      <c r="C55" s="682"/>
      <c r="D55" s="1428"/>
      <c r="E55" s="1417"/>
      <c r="F55" s="1409"/>
      <c r="G55" s="1417"/>
      <c r="H55" s="1434"/>
      <c r="I55" s="1405"/>
      <c r="J55" s="682"/>
      <c r="K55" s="1398"/>
      <c r="L55" s="682"/>
      <c r="M55" s="1428"/>
      <c r="N55" s="1417"/>
      <c r="O55" s="1409"/>
      <c r="P55" s="1417"/>
      <c r="Q55" s="1434"/>
      <c r="R55" s="1405"/>
      <c r="S55" s="682"/>
      <c r="T55" s="1398"/>
      <c r="U55" s="682"/>
      <c r="V55" s="1405"/>
      <c r="W55" s="1409"/>
      <c r="X55" s="1417"/>
      <c r="Y55" s="1417"/>
      <c r="Z55" s="1421"/>
    </row>
    <row r="56" spans="1:26">
      <c r="A56" s="584">
        <v>1981.3</v>
      </c>
      <c r="B56" s="1426">
        <v>356438.37465442083</v>
      </c>
      <c r="C56" s="682"/>
      <c r="D56" s="1428"/>
      <c r="E56" s="1417"/>
      <c r="F56" s="1409"/>
      <c r="G56" s="1417"/>
      <c r="H56" s="1434"/>
      <c r="I56" s="1405"/>
      <c r="J56" s="682"/>
      <c r="K56" s="1398"/>
      <c r="L56" s="682"/>
      <c r="M56" s="1428"/>
      <c r="N56" s="1417"/>
      <c r="O56" s="1409"/>
      <c r="P56" s="1417"/>
      <c r="Q56" s="1434"/>
      <c r="R56" s="1405"/>
      <c r="S56" s="682"/>
      <c r="T56" s="1398"/>
      <c r="U56" s="682"/>
      <c r="V56" s="1405"/>
      <c r="W56" s="1409"/>
      <c r="X56" s="1417"/>
      <c r="Y56" s="1417"/>
      <c r="Z56" s="1421"/>
    </row>
    <row r="57" spans="1:26">
      <c r="A57" s="584">
        <v>1981.4</v>
      </c>
      <c r="B57" s="1426">
        <v>353808.75326930342</v>
      </c>
      <c r="C57" s="682"/>
      <c r="D57" s="1428"/>
      <c r="E57" s="1417"/>
      <c r="F57" s="1409"/>
      <c r="G57" s="1417"/>
      <c r="H57" s="1434"/>
      <c r="I57" s="1405"/>
      <c r="J57" s="682"/>
      <c r="K57" s="1398"/>
      <c r="L57" s="682"/>
      <c r="M57" s="1428"/>
      <c r="N57" s="1417"/>
      <c r="O57" s="1409"/>
      <c r="P57" s="1417"/>
      <c r="Q57" s="1434"/>
      <c r="R57" s="1405"/>
      <c r="S57" s="682"/>
      <c r="T57" s="1398"/>
      <c r="U57" s="682"/>
      <c r="V57" s="1405"/>
      <c r="W57" s="1409"/>
      <c r="X57" s="1417"/>
      <c r="Y57" s="1417"/>
      <c r="Z57" s="1421"/>
    </row>
    <row r="58" spans="1:26">
      <c r="A58" s="584">
        <v>1982.1</v>
      </c>
      <c r="B58" s="1426">
        <v>326438.28846153966</v>
      </c>
      <c r="C58" s="682"/>
      <c r="D58" s="1428"/>
      <c r="E58" s="1417"/>
      <c r="F58" s="1409"/>
      <c r="G58" s="1417"/>
      <c r="H58" s="1434"/>
      <c r="I58" s="1405"/>
      <c r="J58" s="682"/>
      <c r="K58" s="1398"/>
      <c r="L58" s="682"/>
      <c r="M58" s="1428"/>
      <c r="N58" s="1417"/>
      <c r="O58" s="1409"/>
      <c r="P58" s="1417"/>
      <c r="Q58" s="1434"/>
      <c r="R58" s="1405"/>
      <c r="S58" s="682"/>
      <c r="T58" s="1398"/>
      <c r="U58" s="682"/>
      <c r="V58" s="1405"/>
      <c r="W58" s="1409"/>
      <c r="X58" s="1417"/>
      <c r="Y58" s="1417"/>
      <c r="Z58" s="1421"/>
    </row>
    <row r="59" spans="1:26">
      <c r="A59" s="584">
        <v>1982.2</v>
      </c>
      <c r="B59" s="1426">
        <v>336012.47652814566</v>
      </c>
      <c r="C59" s="682"/>
      <c r="D59" s="1428"/>
      <c r="E59" s="1417"/>
      <c r="F59" s="1409"/>
      <c r="G59" s="1417"/>
      <c r="H59" s="1434"/>
      <c r="I59" s="1405"/>
      <c r="J59" s="682"/>
      <c r="K59" s="1398"/>
      <c r="L59" s="682"/>
      <c r="M59" s="1428"/>
      <c r="N59" s="1417"/>
      <c r="O59" s="1409"/>
      <c r="P59" s="1417"/>
      <c r="Q59" s="1434"/>
      <c r="R59" s="1405"/>
      <c r="S59" s="682"/>
      <c r="T59" s="1398"/>
      <c r="U59" s="682"/>
      <c r="V59" s="1405"/>
      <c r="W59" s="1409"/>
      <c r="X59" s="1417"/>
      <c r="Y59" s="1417"/>
      <c r="Z59" s="1421"/>
    </row>
    <row r="60" spans="1:26">
      <c r="A60" s="584">
        <v>1982.3</v>
      </c>
      <c r="B60" s="1426">
        <v>355257.56729242095</v>
      </c>
      <c r="C60" s="682"/>
      <c r="D60" s="1428"/>
      <c r="E60" s="1417"/>
      <c r="F60" s="1409"/>
      <c r="G60" s="1417"/>
      <c r="H60" s="1434"/>
      <c r="I60" s="1405"/>
      <c r="J60" s="682"/>
      <c r="K60" s="1398"/>
      <c r="L60" s="682"/>
      <c r="M60" s="1428"/>
      <c r="N60" s="1417"/>
      <c r="O60" s="1409"/>
      <c r="P60" s="1417"/>
      <c r="Q60" s="1434"/>
      <c r="R60" s="1405"/>
      <c r="S60" s="682"/>
      <c r="T60" s="1398"/>
      <c r="U60" s="682"/>
      <c r="V60" s="1405"/>
      <c r="W60" s="1409"/>
      <c r="X60" s="1417"/>
      <c r="Y60" s="1417"/>
      <c r="Z60" s="1421"/>
    </row>
    <row r="61" spans="1:26">
      <c r="A61" s="584">
        <v>1982.4</v>
      </c>
      <c r="B61" s="1426">
        <v>362089.39451203792</v>
      </c>
      <c r="C61" s="682"/>
      <c r="D61" s="1428"/>
      <c r="E61" s="1417"/>
      <c r="F61" s="1409"/>
      <c r="G61" s="1417"/>
      <c r="H61" s="1434"/>
      <c r="I61" s="1405"/>
      <c r="J61" s="682"/>
      <c r="K61" s="1398"/>
      <c r="L61" s="682"/>
      <c r="M61" s="1428"/>
      <c r="N61" s="1417"/>
      <c r="O61" s="1409"/>
      <c r="P61" s="1417"/>
      <c r="Q61" s="1434"/>
      <c r="R61" s="1405"/>
      <c r="S61" s="682"/>
      <c r="T61" s="1398"/>
      <c r="U61" s="682"/>
      <c r="V61" s="1405"/>
      <c r="W61" s="1409"/>
      <c r="X61" s="1417"/>
      <c r="Y61" s="1417"/>
      <c r="Z61" s="1421"/>
    </row>
    <row r="62" spans="1:26">
      <c r="A62" s="584">
        <v>1983.1</v>
      </c>
      <c r="B62" s="1426">
        <v>335280.80175013922</v>
      </c>
      <c r="C62" s="682"/>
      <c r="D62" s="1428"/>
      <c r="E62" s="1417"/>
      <c r="F62" s="1409"/>
      <c r="G62" s="1417"/>
      <c r="H62" s="1434"/>
      <c r="I62" s="1405"/>
      <c r="J62" s="682"/>
      <c r="K62" s="1398"/>
      <c r="L62" s="682"/>
      <c r="M62" s="1428"/>
      <c r="N62" s="1417"/>
      <c r="O62" s="1409"/>
      <c r="P62" s="1417"/>
      <c r="Q62" s="1434"/>
      <c r="R62" s="1405"/>
      <c r="S62" s="682"/>
      <c r="T62" s="1398"/>
      <c r="U62" s="682"/>
      <c r="V62" s="1405"/>
      <c r="W62" s="1409"/>
      <c r="X62" s="1417"/>
      <c r="Y62" s="1417"/>
      <c r="Z62" s="1421"/>
    </row>
    <row r="63" spans="1:26">
      <c r="A63" s="584">
        <v>1983.2</v>
      </c>
      <c r="B63" s="1426">
        <v>361986.01093758742</v>
      </c>
      <c r="C63" s="682"/>
      <c r="D63" s="1428"/>
      <c r="E63" s="1417"/>
      <c r="F63" s="1409"/>
      <c r="G63" s="1417"/>
      <c r="H63" s="1434"/>
      <c r="I63" s="1405"/>
      <c r="J63" s="682"/>
      <c r="K63" s="1398"/>
      <c r="L63" s="682"/>
      <c r="M63" s="1428"/>
      <c r="N63" s="1417"/>
      <c r="O63" s="1409"/>
      <c r="P63" s="1417"/>
      <c r="Q63" s="1434"/>
      <c r="R63" s="1405"/>
      <c r="S63" s="682"/>
      <c r="T63" s="1398"/>
      <c r="U63" s="682"/>
      <c r="V63" s="1405"/>
      <c r="W63" s="1409"/>
      <c r="X63" s="1417"/>
      <c r="Y63" s="1417"/>
      <c r="Z63" s="1421"/>
    </row>
    <row r="64" spans="1:26">
      <c r="A64" s="584">
        <v>1983.3</v>
      </c>
      <c r="B64" s="1426">
        <v>371728.86638567253</v>
      </c>
      <c r="C64" s="682"/>
      <c r="D64" s="1428"/>
      <c r="E64" s="1417"/>
      <c r="F64" s="1409"/>
      <c r="G64" s="1417"/>
      <c r="H64" s="1434"/>
      <c r="I64" s="1405"/>
      <c r="J64" s="682"/>
      <c r="K64" s="1398"/>
      <c r="L64" s="682"/>
      <c r="M64" s="1428"/>
      <c r="N64" s="1417"/>
      <c r="O64" s="1409"/>
      <c r="P64" s="1417"/>
      <c r="Q64" s="1434"/>
      <c r="R64" s="1405"/>
      <c r="S64" s="682"/>
      <c r="T64" s="1398"/>
      <c r="U64" s="682"/>
      <c r="V64" s="1405"/>
      <c r="W64" s="1409"/>
      <c r="X64" s="1417"/>
      <c r="Y64" s="1417"/>
      <c r="Z64" s="1421"/>
    </row>
    <row r="65" spans="1:26">
      <c r="A65" s="584">
        <v>1983.4</v>
      </c>
      <c r="B65" s="1426">
        <v>367537.47434081975</v>
      </c>
      <c r="C65" s="682"/>
      <c r="D65" s="1428"/>
      <c r="E65" s="1417"/>
      <c r="F65" s="1409"/>
      <c r="G65" s="1417"/>
      <c r="H65" s="1434"/>
      <c r="I65" s="1405"/>
      <c r="J65" s="682"/>
      <c r="K65" s="1398"/>
      <c r="L65" s="682"/>
      <c r="M65" s="1428"/>
      <c r="N65" s="1417"/>
      <c r="O65" s="1409"/>
      <c r="P65" s="1417"/>
      <c r="Q65" s="1434"/>
      <c r="R65" s="1405"/>
      <c r="S65" s="682"/>
      <c r="T65" s="1398"/>
      <c r="U65" s="682"/>
      <c r="V65" s="1405"/>
      <c r="W65" s="1409"/>
      <c r="X65" s="1417"/>
      <c r="Y65" s="1417"/>
      <c r="Z65" s="1421"/>
    </row>
    <row r="66" spans="1:26">
      <c r="A66" s="584">
        <v>1984.1</v>
      </c>
      <c r="B66" s="1426">
        <v>335440.41496044846</v>
      </c>
      <c r="C66" s="682"/>
      <c r="D66" s="1428"/>
      <c r="E66" s="1417"/>
      <c r="F66" s="1409"/>
      <c r="G66" s="1417"/>
      <c r="H66" s="1434"/>
      <c r="I66" s="1405"/>
      <c r="J66" s="682"/>
      <c r="K66" s="1398"/>
      <c r="L66" s="682"/>
      <c r="M66" s="1428"/>
      <c r="N66" s="1417"/>
      <c r="O66" s="1409"/>
      <c r="P66" s="1417"/>
      <c r="Q66" s="1434"/>
      <c r="R66" s="1405"/>
      <c r="S66" s="682"/>
      <c r="T66" s="1398"/>
      <c r="U66" s="682"/>
      <c r="V66" s="1405"/>
      <c r="W66" s="1409"/>
      <c r="X66" s="1417"/>
      <c r="Y66" s="1417"/>
      <c r="Z66" s="1421"/>
    </row>
    <row r="67" spans="1:26">
      <c r="A67" s="584">
        <v>1984.2</v>
      </c>
      <c r="B67" s="1426">
        <v>372878.92563458625</v>
      </c>
      <c r="C67" s="682"/>
      <c r="D67" s="1428"/>
      <c r="E67" s="1417"/>
      <c r="F67" s="1409"/>
      <c r="G67" s="1417"/>
      <c r="H67" s="1434"/>
      <c r="I67" s="1405"/>
      <c r="J67" s="682"/>
      <c r="K67" s="1398"/>
      <c r="L67" s="682"/>
      <c r="M67" s="1428"/>
      <c r="N67" s="1417"/>
      <c r="O67" s="1409"/>
      <c r="P67" s="1417"/>
      <c r="Q67" s="1434"/>
      <c r="R67" s="1405"/>
      <c r="S67" s="682"/>
      <c r="T67" s="1398"/>
      <c r="U67" s="682"/>
      <c r="V67" s="1405"/>
      <c r="W67" s="1409"/>
      <c r="X67" s="1417"/>
      <c r="Y67" s="1417"/>
      <c r="Z67" s="1421"/>
    </row>
    <row r="68" spans="1:26">
      <c r="A68" s="584">
        <v>1984.3</v>
      </c>
      <c r="B68" s="1426">
        <v>377126.46713109146</v>
      </c>
      <c r="C68" s="682"/>
      <c r="D68" s="1428"/>
      <c r="E68" s="1417"/>
      <c r="F68" s="1409"/>
      <c r="G68" s="1417"/>
      <c r="H68" s="1434"/>
      <c r="I68" s="1405"/>
      <c r="J68" s="682"/>
      <c r="K68" s="1398"/>
      <c r="L68" s="682"/>
      <c r="M68" s="1428"/>
      <c r="N68" s="1417"/>
      <c r="O68" s="1409"/>
      <c r="P68" s="1417"/>
      <c r="Q68" s="1434"/>
      <c r="R68" s="1405"/>
      <c r="S68" s="682"/>
      <c r="T68" s="1398"/>
      <c r="U68" s="682"/>
      <c r="V68" s="1405"/>
      <c r="W68" s="1409"/>
      <c r="X68" s="1417"/>
      <c r="Y68" s="1417"/>
      <c r="Z68" s="1421"/>
    </row>
    <row r="69" spans="1:26">
      <c r="A69" s="584">
        <v>1984.4</v>
      </c>
      <c r="B69" s="1426">
        <v>379809.19536989758</v>
      </c>
      <c r="C69" s="682"/>
      <c r="D69" s="1428"/>
      <c r="E69" s="1417"/>
      <c r="F69" s="1409"/>
      <c r="G69" s="1417"/>
      <c r="H69" s="1434"/>
      <c r="I69" s="1405"/>
      <c r="J69" s="682"/>
      <c r="K69" s="1398"/>
      <c r="L69" s="682"/>
      <c r="M69" s="1428"/>
      <c r="N69" s="1417"/>
      <c r="O69" s="1409"/>
      <c r="P69" s="1417"/>
      <c r="Q69" s="1434"/>
      <c r="R69" s="1405"/>
      <c r="S69" s="682"/>
      <c r="T69" s="1398"/>
      <c r="U69" s="682"/>
      <c r="V69" s="1405"/>
      <c r="W69" s="1409"/>
      <c r="X69" s="1417"/>
      <c r="Y69" s="1417"/>
      <c r="Z69" s="1421"/>
    </row>
    <row r="70" spans="1:26">
      <c r="A70" s="584">
        <v>1985.1</v>
      </c>
      <c r="B70" s="1426">
        <v>327369.62085227115</v>
      </c>
      <c r="C70" s="682"/>
      <c r="D70" s="1428"/>
      <c r="E70" s="1417"/>
      <c r="F70" s="1409"/>
      <c r="G70" s="1417"/>
      <c r="H70" s="1434"/>
      <c r="I70" s="1405"/>
      <c r="J70" s="682"/>
      <c r="K70" s="1398"/>
      <c r="L70" s="682"/>
      <c r="M70" s="1428"/>
      <c r="N70" s="1417"/>
      <c r="O70" s="1409"/>
      <c r="P70" s="1417"/>
      <c r="Q70" s="1434"/>
      <c r="R70" s="1405"/>
      <c r="S70" s="682"/>
      <c r="T70" s="1398"/>
      <c r="U70" s="682"/>
      <c r="V70" s="1405"/>
      <c r="W70" s="1409"/>
      <c r="X70" s="1417"/>
      <c r="Y70" s="1417"/>
      <c r="Z70" s="1421"/>
    </row>
    <row r="71" spans="1:26">
      <c r="A71" s="584">
        <v>1985.2</v>
      </c>
      <c r="B71" s="1426">
        <v>342983.1182077697</v>
      </c>
      <c r="C71" s="682"/>
      <c r="D71" s="1428"/>
      <c r="E71" s="1417"/>
      <c r="F71" s="1409"/>
      <c r="G71" s="1417"/>
      <c r="H71" s="1434"/>
      <c r="I71" s="1405"/>
      <c r="J71" s="682"/>
      <c r="K71" s="1398"/>
      <c r="L71" s="682"/>
      <c r="M71" s="1428"/>
      <c r="N71" s="1417"/>
      <c r="O71" s="1409"/>
      <c r="P71" s="1417"/>
      <c r="Q71" s="1434"/>
      <c r="R71" s="1405"/>
      <c r="S71" s="682"/>
      <c r="T71" s="1398"/>
      <c r="U71" s="682"/>
      <c r="V71" s="1405"/>
      <c r="W71" s="1409"/>
      <c r="X71" s="1417"/>
      <c r="Y71" s="1417"/>
      <c r="Z71" s="1421"/>
    </row>
    <row r="72" spans="1:26">
      <c r="A72" s="584">
        <v>1985.3</v>
      </c>
      <c r="B72" s="1426">
        <v>338381.4690876932</v>
      </c>
      <c r="C72" s="682"/>
      <c r="D72" s="1428"/>
      <c r="E72" s="1417"/>
      <c r="F72" s="1409"/>
      <c r="G72" s="1417"/>
      <c r="H72" s="1434"/>
      <c r="I72" s="1405"/>
      <c r="J72" s="682"/>
      <c r="K72" s="1398"/>
      <c r="L72" s="682"/>
      <c r="M72" s="1428"/>
      <c r="N72" s="1417"/>
      <c r="O72" s="1409"/>
      <c r="P72" s="1417"/>
      <c r="Q72" s="1434"/>
      <c r="R72" s="1405"/>
      <c r="S72" s="682"/>
      <c r="T72" s="1398"/>
      <c r="U72" s="682"/>
      <c r="V72" s="1405"/>
      <c r="W72" s="1409"/>
      <c r="X72" s="1417"/>
      <c r="Y72" s="1417"/>
      <c r="Z72" s="1421"/>
    </row>
    <row r="73" spans="1:26">
      <c r="A73" s="584">
        <v>1985.4</v>
      </c>
      <c r="B73" s="1426">
        <v>354683.61575532699</v>
      </c>
      <c r="C73" s="682"/>
      <c r="D73" s="1428"/>
      <c r="E73" s="1417"/>
      <c r="F73" s="1409"/>
      <c r="G73" s="1417"/>
      <c r="H73" s="1434"/>
      <c r="I73" s="1405"/>
      <c r="J73" s="682"/>
      <c r="K73" s="1398"/>
      <c r="L73" s="682"/>
      <c r="M73" s="1428"/>
      <c r="N73" s="1417"/>
      <c r="O73" s="1409"/>
      <c r="P73" s="1417"/>
      <c r="Q73" s="1434"/>
      <c r="R73" s="1405"/>
      <c r="S73" s="682"/>
      <c r="T73" s="1398"/>
      <c r="U73" s="682"/>
      <c r="V73" s="1405"/>
      <c r="W73" s="1409"/>
      <c r="X73" s="1417"/>
      <c r="Y73" s="1417"/>
      <c r="Z73" s="1421"/>
    </row>
    <row r="74" spans="1:26">
      <c r="A74" s="584">
        <v>1986.1</v>
      </c>
      <c r="B74" s="1426">
        <v>330021.40238875081</v>
      </c>
      <c r="C74" s="682"/>
      <c r="D74" s="1428"/>
      <c r="E74" s="1417"/>
      <c r="F74" s="1409"/>
      <c r="G74" s="1417"/>
      <c r="H74" s="1434"/>
      <c r="I74" s="1405"/>
      <c r="J74" s="682"/>
      <c r="K74" s="1398"/>
      <c r="L74" s="682"/>
      <c r="M74" s="1428"/>
      <c r="N74" s="1417"/>
      <c r="O74" s="1409"/>
      <c r="P74" s="1417"/>
      <c r="Q74" s="1434"/>
      <c r="R74" s="1405"/>
      <c r="S74" s="682"/>
      <c r="T74" s="1398"/>
      <c r="U74" s="682"/>
      <c r="V74" s="1405"/>
      <c r="W74" s="1409"/>
      <c r="X74" s="1417"/>
      <c r="Y74" s="1417"/>
      <c r="Z74" s="1421"/>
    </row>
    <row r="75" spans="1:26">
      <c r="A75" s="584">
        <v>1986.2</v>
      </c>
      <c r="B75" s="1426">
        <v>367750.9108401041</v>
      </c>
      <c r="C75" s="682"/>
      <c r="D75" s="1428"/>
      <c r="E75" s="1417"/>
      <c r="F75" s="1409"/>
      <c r="G75" s="1417"/>
      <c r="H75" s="1434"/>
      <c r="I75" s="1405"/>
      <c r="J75" s="682"/>
      <c r="K75" s="1398"/>
      <c r="L75" s="682"/>
      <c r="M75" s="1428"/>
      <c r="N75" s="1417"/>
      <c r="O75" s="1409"/>
      <c r="P75" s="1417"/>
      <c r="Q75" s="1434"/>
      <c r="R75" s="1405"/>
      <c r="S75" s="682"/>
      <c r="T75" s="1398"/>
      <c r="U75" s="682"/>
      <c r="V75" s="1405"/>
      <c r="W75" s="1409"/>
      <c r="X75" s="1417"/>
      <c r="Y75" s="1417"/>
      <c r="Z75" s="1421"/>
    </row>
    <row r="76" spans="1:26">
      <c r="A76" s="584">
        <v>1986.3</v>
      </c>
      <c r="B76" s="1426">
        <v>385564.6915689361</v>
      </c>
      <c r="C76" s="682"/>
      <c r="D76" s="1428"/>
      <c r="E76" s="1417"/>
      <c r="F76" s="1409"/>
      <c r="G76" s="1417"/>
      <c r="H76" s="1434"/>
      <c r="I76" s="1405"/>
      <c r="J76" s="682"/>
      <c r="K76" s="1398"/>
      <c r="L76" s="682"/>
      <c r="M76" s="1428"/>
      <c r="N76" s="1417"/>
      <c r="O76" s="1409"/>
      <c r="P76" s="1417"/>
      <c r="Q76" s="1434"/>
      <c r="R76" s="1405"/>
      <c r="S76" s="682"/>
      <c r="T76" s="1398"/>
      <c r="U76" s="682"/>
      <c r="V76" s="1405"/>
      <c r="W76" s="1409"/>
      <c r="X76" s="1417"/>
      <c r="Y76" s="1417"/>
      <c r="Z76" s="1421"/>
    </row>
    <row r="77" spans="1:26">
      <c r="A77" s="584">
        <v>1986.4</v>
      </c>
      <c r="B77" s="1426">
        <v>377396.58560876525</v>
      </c>
      <c r="C77" s="682"/>
      <c r="D77" s="1428"/>
      <c r="E77" s="1417"/>
      <c r="F77" s="1409"/>
      <c r="G77" s="1417"/>
      <c r="H77" s="1434"/>
      <c r="I77" s="1405"/>
      <c r="J77" s="682"/>
      <c r="K77" s="1398"/>
      <c r="L77" s="682"/>
      <c r="M77" s="1428"/>
      <c r="N77" s="1417"/>
      <c r="O77" s="1409"/>
      <c r="P77" s="1417"/>
      <c r="Q77" s="1434"/>
      <c r="R77" s="1405"/>
      <c r="S77" s="682"/>
      <c r="T77" s="1398"/>
      <c r="U77" s="682"/>
      <c r="V77" s="1405"/>
      <c r="W77" s="1409"/>
      <c r="X77" s="1417"/>
      <c r="Y77" s="1417"/>
      <c r="Z77" s="1421"/>
    </row>
    <row r="78" spans="1:26">
      <c r="A78" s="584">
        <v>1987.1</v>
      </c>
      <c r="B78" s="1426">
        <v>342518.80591686163</v>
      </c>
      <c r="C78" s="682"/>
      <c r="D78" s="1428"/>
      <c r="E78" s="1417"/>
      <c r="F78" s="1409"/>
      <c r="G78" s="1417"/>
      <c r="H78" s="1434"/>
      <c r="I78" s="1405"/>
      <c r="J78" s="682"/>
      <c r="K78" s="1398"/>
      <c r="L78" s="682"/>
      <c r="M78" s="1428"/>
      <c r="N78" s="1417"/>
      <c r="O78" s="1409"/>
      <c r="P78" s="1417"/>
      <c r="Q78" s="1434"/>
      <c r="R78" s="1405"/>
      <c r="S78" s="682"/>
      <c r="T78" s="1398"/>
      <c r="U78" s="682"/>
      <c r="V78" s="1405"/>
      <c r="W78" s="1409"/>
      <c r="X78" s="1417"/>
      <c r="Y78" s="1417"/>
      <c r="Z78" s="1421"/>
    </row>
    <row r="79" spans="1:26">
      <c r="A79" s="584">
        <v>1987.2</v>
      </c>
      <c r="B79" s="1426">
        <v>384165.47030020447</v>
      </c>
      <c r="C79" s="682"/>
      <c r="D79" s="1428"/>
      <c r="E79" s="1417"/>
      <c r="F79" s="1409"/>
      <c r="G79" s="1417"/>
      <c r="H79" s="1434"/>
      <c r="I79" s="1405"/>
      <c r="J79" s="682"/>
      <c r="K79" s="1398"/>
      <c r="L79" s="682"/>
      <c r="M79" s="1428"/>
      <c r="N79" s="1417"/>
      <c r="O79" s="1409"/>
      <c r="P79" s="1417"/>
      <c r="Q79" s="1434"/>
      <c r="R79" s="1405"/>
      <c r="S79" s="682"/>
      <c r="T79" s="1398"/>
      <c r="U79" s="682"/>
      <c r="V79" s="1405"/>
      <c r="W79" s="1409"/>
      <c r="X79" s="1417"/>
      <c r="Y79" s="1417"/>
      <c r="Z79" s="1421"/>
    </row>
    <row r="80" spans="1:26">
      <c r="A80" s="584">
        <v>1987.3</v>
      </c>
      <c r="B80" s="1426">
        <v>394585.94464685617</v>
      </c>
      <c r="C80" s="682"/>
      <c r="D80" s="1428"/>
      <c r="E80" s="1417"/>
      <c r="F80" s="1409"/>
      <c r="G80" s="1417"/>
      <c r="H80" s="1434"/>
      <c r="I80" s="1405"/>
      <c r="J80" s="682"/>
      <c r="K80" s="1398"/>
      <c r="L80" s="682"/>
      <c r="M80" s="1428"/>
      <c r="N80" s="1417"/>
      <c r="O80" s="1409"/>
      <c r="P80" s="1417"/>
      <c r="Q80" s="1434"/>
      <c r="R80" s="1405"/>
      <c r="S80" s="682"/>
      <c r="T80" s="1398"/>
      <c r="U80" s="682"/>
      <c r="V80" s="1405"/>
      <c r="W80" s="1409"/>
      <c r="X80" s="1417"/>
      <c r="Y80" s="1417"/>
      <c r="Z80" s="1421"/>
    </row>
    <row r="81" spans="1:26">
      <c r="A81" s="584">
        <v>1987.4</v>
      </c>
      <c r="B81" s="1426">
        <v>377308.71785485651</v>
      </c>
      <c r="C81" s="682"/>
      <c r="D81" s="1428"/>
      <c r="E81" s="1417"/>
      <c r="F81" s="1409"/>
      <c r="G81" s="1417"/>
      <c r="H81" s="1434"/>
      <c r="I81" s="1405"/>
      <c r="J81" s="682"/>
      <c r="K81" s="1398"/>
      <c r="L81" s="682"/>
      <c r="M81" s="1428"/>
      <c r="N81" s="1417"/>
      <c r="O81" s="1409"/>
      <c r="P81" s="1417"/>
      <c r="Q81" s="1434"/>
      <c r="R81" s="1405"/>
      <c r="S81" s="682"/>
      <c r="T81" s="1398"/>
      <c r="U81" s="682"/>
      <c r="V81" s="1405"/>
      <c r="W81" s="1409"/>
      <c r="X81" s="1417"/>
      <c r="Y81" s="1417"/>
      <c r="Z81" s="1421"/>
    </row>
    <row r="82" spans="1:26">
      <c r="A82" s="584">
        <v>1988.1</v>
      </c>
      <c r="B82" s="1426">
        <v>358624.23371496168</v>
      </c>
      <c r="C82" s="682"/>
      <c r="D82" s="1428"/>
      <c r="E82" s="1417"/>
      <c r="F82" s="1409"/>
      <c r="G82" s="1417"/>
      <c r="H82" s="1434"/>
      <c r="I82" s="1405"/>
      <c r="J82" s="682"/>
      <c r="K82" s="1398"/>
      <c r="L82" s="682"/>
      <c r="M82" s="1428"/>
      <c r="N82" s="1417"/>
      <c r="O82" s="1409"/>
      <c r="P82" s="1417"/>
      <c r="Q82" s="1434"/>
      <c r="R82" s="1405"/>
      <c r="S82" s="682"/>
      <c r="T82" s="1398"/>
      <c r="U82" s="682"/>
      <c r="V82" s="1405"/>
      <c r="W82" s="1409"/>
      <c r="X82" s="1417"/>
      <c r="Y82" s="1417"/>
      <c r="Z82" s="1421"/>
    </row>
    <row r="83" spans="1:26">
      <c r="A83" s="584">
        <v>1988.2</v>
      </c>
      <c r="B83" s="1426">
        <v>379121.88661564147</v>
      </c>
      <c r="C83" s="682"/>
      <c r="D83" s="1428"/>
      <c r="E83" s="1417"/>
      <c r="F83" s="1409"/>
      <c r="G83" s="1417"/>
      <c r="H83" s="1434"/>
      <c r="I83" s="1405"/>
      <c r="J83" s="682"/>
      <c r="K83" s="1398"/>
      <c r="L83" s="682"/>
      <c r="M83" s="1428"/>
      <c r="N83" s="1417"/>
      <c r="O83" s="1409"/>
      <c r="P83" s="1417"/>
      <c r="Q83" s="1434"/>
      <c r="R83" s="1405"/>
      <c r="S83" s="682"/>
      <c r="T83" s="1398"/>
      <c r="U83" s="682"/>
      <c r="V83" s="1405"/>
      <c r="W83" s="1409"/>
      <c r="X83" s="1417"/>
      <c r="Y83" s="1417"/>
      <c r="Z83" s="1421"/>
    </row>
    <row r="84" spans="1:26">
      <c r="A84" s="584">
        <v>1988.3</v>
      </c>
      <c r="B84" s="1426">
        <v>367102.67929559061</v>
      </c>
      <c r="C84" s="682"/>
      <c r="D84" s="1428"/>
      <c r="E84" s="1417"/>
      <c r="F84" s="1409"/>
      <c r="G84" s="1417"/>
      <c r="H84" s="1434"/>
      <c r="I84" s="1405"/>
      <c r="J84" s="682"/>
      <c r="K84" s="1398"/>
      <c r="L84" s="682"/>
      <c r="M84" s="1428"/>
      <c r="N84" s="1417"/>
      <c r="O84" s="1409"/>
      <c r="P84" s="1417"/>
      <c r="Q84" s="1434"/>
      <c r="R84" s="1405"/>
      <c r="S84" s="682"/>
      <c r="T84" s="1398"/>
      <c r="U84" s="682"/>
      <c r="V84" s="1405"/>
      <c r="W84" s="1409"/>
      <c r="X84" s="1417"/>
      <c r="Y84" s="1417"/>
      <c r="Z84" s="1421"/>
    </row>
    <row r="85" spans="1:26">
      <c r="A85" s="584">
        <v>1988.4</v>
      </c>
      <c r="B85" s="1426">
        <v>365343.87220646505</v>
      </c>
      <c r="C85" s="682"/>
      <c r="D85" s="1428"/>
      <c r="E85" s="1417"/>
      <c r="F85" s="1409"/>
      <c r="G85" s="1417"/>
      <c r="H85" s="1434"/>
      <c r="I85" s="1405"/>
      <c r="J85" s="682"/>
      <c r="K85" s="1398"/>
      <c r="L85" s="682"/>
      <c r="M85" s="1428"/>
      <c r="N85" s="1417"/>
      <c r="O85" s="1409"/>
      <c r="P85" s="1417"/>
      <c r="Q85" s="1434"/>
      <c r="R85" s="1405"/>
      <c r="S85" s="682"/>
      <c r="T85" s="1398"/>
      <c r="U85" s="682"/>
      <c r="V85" s="1405"/>
      <c r="W85" s="1409"/>
      <c r="X85" s="1417"/>
      <c r="Y85" s="1417"/>
      <c r="Z85" s="1421"/>
    </row>
    <row r="86" spans="1:26">
      <c r="A86" s="584">
        <v>1989.1</v>
      </c>
      <c r="B86" s="1426">
        <v>344056.12903072697</v>
      </c>
      <c r="C86" s="682"/>
      <c r="D86" s="1428"/>
      <c r="E86" s="1417"/>
      <c r="F86" s="1409"/>
      <c r="G86" s="1417"/>
      <c r="H86" s="1434"/>
      <c r="I86" s="1405"/>
      <c r="J86" s="682"/>
      <c r="K86" s="1398"/>
      <c r="L86" s="682"/>
      <c r="M86" s="1428"/>
      <c r="N86" s="1417"/>
      <c r="O86" s="1409"/>
      <c r="P86" s="1417"/>
      <c r="Q86" s="1434"/>
      <c r="R86" s="1405"/>
      <c r="S86" s="682"/>
      <c r="T86" s="1398"/>
      <c r="U86" s="682"/>
      <c r="V86" s="1405"/>
      <c r="W86" s="1409"/>
      <c r="X86" s="1417"/>
      <c r="Y86" s="1417"/>
      <c r="Z86" s="1421"/>
    </row>
    <row r="87" spans="1:26">
      <c r="A87" s="584">
        <v>1989.2</v>
      </c>
      <c r="B87" s="1426">
        <v>344664.83356431744</v>
      </c>
      <c r="C87" s="682"/>
      <c r="D87" s="1428"/>
      <c r="E87" s="1417"/>
      <c r="F87" s="1409"/>
      <c r="G87" s="1417"/>
      <c r="H87" s="1434"/>
      <c r="I87" s="1405"/>
      <c r="J87" s="682"/>
      <c r="K87" s="1398"/>
      <c r="L87" s="682"/>
      <c r="M87" s="1428"/>
      <c r="N87" s="1417"/>
      <c r="O87" s="1409"/>
      <c r="P87" s="1417"/>
      <c r="Q87" s="1434"/>
      <c r="R87" s="1405"/>
      <c r="S87" s="682"/>
      <c r="T87" s="1398"/>
      <c r="U87" s="682"/>
      <c r="V87" s="1405"/>
      <c r="W87" s="1409"/>
      <c r="X87" s="1417"/>
      <c r="Y87" s="1417"/>
      <c r="Z87" s="1421"/>
    </row>
    <row r="88" spans="1:26">
      <c r="A88" s="584">
        <v>1989.3</v>
      </c>
      <c r="B88" s="1426">
        <v>330724.44338600658</v>
      </c>
      <c r="C88" s="682"/>
      <c r="D88" s="1428"/>
      <c r="E88" s="1417"/>
      <c r="F88" s="1409"/>
      <c r="G88" s="1417"/>
      <c r="H88" s="1434"/>
      <c r="I88" s="1405"/>
      <c r="J88" s="682"/>
      <c r="K88" s="1398"/>
      <c r="L88" s="682"/>
      <c r="M88" s="1428"/>
      <c r="N88" s="1417"/>
      <c r="O88" s="1409"/>
      <c r="P88" s="1417"/>
      <c r="Q88" s="1434"/>
      <c r="R88" s="1405"/>
      <c r="S88" s="682"/>
      <c r="T88" s="1398"/>
      <c r="U88" s="682"/>
      <c r="V88" s="1405"/>
      <c r="W88" s="1409"/>
      <c r="X88" s="1417"/>
      <c r="Y88" s="1417"/>
      <c r="Z88" s="1421"/>
    </row>
    <row r="89" spans="1:26">
      <c r="A89" s="584">
        <v>1989.4</v>
      </c>
      <c r="B89" s="1426">
        <v>348765.95251692773</v>
      </c>
      <c r="C89" s="682"/>
      <c r="D89" s="1428"/>
      <c r="E89" s="1417"/>
      <c r="F89" s="1409"/>
      <c r="G89" s="1417"/>
      <c r="H89" s="1434"/>
      <c r="I89" s="1405"/>
      <c r="J89" s="682"/>
      <c r="K89" s="1398"/>
      <c r="L89" s="682"/>
      <c r="M89" s="1428"/>
      <c r="N89" s="1417"/>
      <c r="O89" s="1409"/>
      <c r="P89" s="1417"/>
      <c r="Q89" s="1434"/>
      <c r="R89" s="1405"/>
      <c r="S89" s="682"/>
      <c r="T89" s="1398"/>
      <c r="U89" s="682"/>
      <c r="V89" s="1405"/>
      <c r="W89" s="1409"/>
      <c r="X89" s="1417"/>
      <c r="Y89" s="1417"/>
      <c r="Z89" s="1421"/>
    </row>
    <row r="90" spans="1:26">
      <c r="A90" s="584">
        <v>1990.1</v>
      </c>
      <c r="B90" s="1426">
        <v>300955.69410753687</v>
      </c>
      <c r="C90" s="682"/>
      <c r="D90" s="1428"/>
      <c r="E90" s="1417"/>
      <c r="F90" s="1409"/>
      <c r="G90" s="1417"/>
      <c r="H90" s="1434"/>
      <c r="I90" s="1405"/>
      <c r="J90" s="682"/>
      <c r="K90" s="1398"/>
      <c r="L90" s="682"/>
      <c r="M90" s="1428"/>
      <c r="N90" s="1417"/>
      <c r="O90" s="1409"/>
      <c r="P90" s="1417"/>
      <c r="Q90" s="1434"/>
      <c r="R90" s="1405"/>
      <c r="S90" s="682"/>
      <c r="T90" s="1398"/>
      <c r="U90" s="682"/>
      <c r="V90" s="1405"/>
      <c r="W90" s="1409"/>
      <c r="X90" s="1417"/>
      <c r="Y90" s="1417"/>
      <c r="Z90" s="1421"/>
    </row>
    <row r="91" spans="1:26">
      <c r="A91" s="584">
        <v>1990.2</v>
      </c>
      <c r="B91" s="1426">
        <v>333959.88978152163</v>
      </c>
      <c r="C91" s="682"/>
      <c r="D91" s="1428"/>
      <c r="E91" s="1417"/>
      <c r="F91" s="1409"/>
      <c r="G91" s="1417"/>
      <c r="H91" s="1434"/>
      <c r="I91" s="1405"/>
      <c r="J91" s="682"/>
      <c r="K91" s="1398"/>
      <c r="L91" s="682"/>
      <c r="M91" s="1428"/>
      <c r="N91" s="1417"/>
      <c r="O91" s="1409"/>
      <c r="P91" s="1417"/>
      <c r="Q91" s="1434"/>
      <c r="R91" s="1405"/>
      <c r="S91" s="682"/>
      <c r="T91" s="1398"/>
      <c r="U91" s="682"/>
      <c r="V91" s="1405"/>
      <c r="W91" s="1409"/>
      <c r="X91" s="1417"/>
      <c r="Y91" s="1417"/>
      <c r="Z91" s="1421"/>
    </row>
    <row r="92" spans="1:26">
      <c r="A92" s="584">
        <v>1990.3</v>
      </c>
      <c r="B92" s="1426">
        <v>348762.37998561945</v>
      </c>
      <c r="C92" s="682"/>
      <c r="D92" s="1428"/>
      <c r="E92" s="1417"/>
      <c r="F92" s="1409"/>
      <c r="G92" s="1417"/>
      <c r="H92" s="1434"/>
      <c r="I92" s="1405"/>
      <c r="J92" s="682"/>
      <c r="K92" s="1398"/>
      <c r="L92" s="682"/>
      <c r="M92" s="1428"/>
      <c r="N92" s="1417"/>
      <c r="O92" s="1409"/>
      <c r="P92" s="1417"/>
      <c r="Q92" s="1434"/>
      <c r="R92" s="1405"/>
      <c r="S92" s="682"/>
      <c r="T92" s="1398"/>
      <c r="U92" s="682"/>
      <c r="V92" s="1405"/>
      <c r="W92" s="1409"/>
      <c r="X92" s="1417"/>
      <c r="Y92" s="1417"/>
      <c r="Z92" s="1421"/>
    </row>
    <row r="93" spans="1:26">
      <c r="A93" s="584">
        <v>1990.4</v>
      </c>
      <c r="B93" s="1426">
        <v>359489.60513888567</v>
      </c>
      <c r="C93" s="682"/>
      <c r="D93" s="1428"/>
      <c r="E93" s="1417"/>
      <c r="F93" s="1409"/>
      <c r="G93" s="1417"/>
      <c r="H93" s="1434"/>
      <c r="I93" s="1405"/>
      <c r="J93" s="682"/>
      <c r="K93" s="1398"/>
      <c r="L93" s="682"/>
      <c r="M93" s="1428"/>
      <c r="N93" s="1417"/>
      <c r="O93" s="1409"/>
      <c r="P93" s="1417"/>
      <c r="Q93" s="1434"/>
      <c r="R93" s="1405"/>
      <c r="S93" s="682"/>
      <c r="T93" s="1398"/>
      <c r="U93" s="682"/>
      <c r="V93" s="1405"/>
      <c r="W93" s="1409"/>
      <c r="X93" s="1417"/>
      <c r="Y93" s="1417"/>
      <c r="Z93" s="1421"/>
    </row>
    <row r="94" spans="1:26">
      <c r="A94" s="584">
        <v>1991.1</v>
      </c>
      <c r="B94" s="1426">
        <v>325091.5258041519</v>
      </c>
      <c r="C94" s="682"/>
      <c r="D94" s="1428"/>
      <c r="E94" s="1417"/>
      <c r="F94" s="1409"/>
      <c r="G94" s="1417"/>
      <c r="H94" s="1434"/>
      <c r="I94" s="1405"/>
      <c r="J94" s="682"/>
      <c r="K94" s="1398"/>
      <c r="L94" s="682"/>
      <c r="M94" s="1428"/>
      <c r="N94" s="1417"/>
      <c r="O94" s="1409"/>
      <c r="P94" s="1417"/>
      <c r="Q94" s="1434"/>
      <c r="R94" s="1405"/>
      <c r="S94" s="682"/>
      <c r="T94" s="1398"/>
      <c r="U94" s="682"/>
      <c r="V94" s="1405"/>
      <c r="W94" s="1409"/>
      <c r="X94" s="1417"/>
      <c r="Y94" s="1417"/>
      <c r="Z94" s="1421"/>
    </row>
    <row r="95" spans="1:26">
      <c r="A95" s="584">
        <v>1991.2</v>
      </c>
      <c r="B95" s="1426">
        <v>376116.49857912929</v>
      </c>
      <c r="C95" s="682"/>
      <c r="D95" s="1428"/>
      <c r="E95" s="1417"/>
      <c r="F95" s="1409"/>
      <c r="G95" s="1417"/>
      <c r="H95" s="1434"/>
      <c r="I95" s="1405"/>
      <c r="J95" s="682"/>
      <c r="K95" s="1398"/>
      <c r="L95" s="682"/>
      <c r="M95" s="1428"/>
      <c r="N95" s="1417"/>
      <c r="O95" s="1409"/>
      <c r="P95" s="1417"/>
      <c r="Q95" s="1434"/>
      <c r="R95" s="1405"/>
      <c r="S95" s="682"/>
      <c r="T95" s="1398"/>
      <c r="U95" s="682"/>
      <c r="V95" s="1405"/>
      <c r="W95" s="1409"/>
      <c r="X95" s="1417"/>
      <c r="Y95" s="1417"/>
      <c r="Z95" s="1421"/>
    </row>
    <row r="96" spans="1:26">
      <c r="A96" s="584">
        <v>1991.3</v>
      </c>
      <c r="B96" s="1426">
        <v>384748.07817223424</v>
      </c>
      <c r="C96" s="682"/>
      <c r="D96" s="1428"/>
      <c r="E96" s="1417"/>
      <c r="F96" s="1409"/>
      <c r="G96" s="1417"/>
      <c r="H96" s="1434"/>
      <c r="I96" s="1405"/>
      <c r="J96" s="682"/>
      <c r="K96" s="1398"/>
      <c r="L96" s="682"/>
      <c r="M96" s="1428"/>
      <c r="N96" s="1417"/>
      <c r="O96" s="1409"/>
      <c r="P96" s="1417"/>
      <c r="Q96" s="1434"/>
      <c r="R96" s="1405"/>
      <c r="S96" s="682"/>
      <c r="T96" s="1398"/>
      <c r="U96" s="682"/>
      <c r="V96" s="1405"/>
      <c r="W96" s="1409"/>
      <c r="X96" s="1417"/>
      <c r="Y96" s="1417"/>
      <c r="Z96" s="1421"/>
    </row>
    <row r="97" spans="1:26">
      <c r="A97" s="584">
        <v>1991.4</v>
      </c>
      <c r="B97" s="1426">
        <v>399299.25475537003</v>
      </c>
      <c r="C97" s="682"/>
      <c r="D97" s="1428"/>
      <c r="E97" s="1417"/>
      <c r="F97" s="1409"/>
      <c r="G97" s="1417"/>
      <c r="H97" s="1434"/>
      <c r="I97" s="1405"/>
      <c r="J97" s="682"/>
      <c r="K97" s="1398"/>
      <c r="L97" s="682"/>
      <c r="M97" s="1428"/>
      <c r="N97" s="1417"/>
      <c r="O97" s="1409"/>
      <c r="P97" s="1417"/>
      <c r="Q97" s="1434"/>
      <c r="R97" s="1405"/>
      <c r="S97" s="682"/>
      <c r="T97" s="1398"/>
      <c r="U97" s="682"/>
      <c r="V97" s="1405"/>
      <c r="W97" s="1409"/>
      <c r="X97" s="1417"/>
      <c r="Y97" s="1417"/>
      <c r="Z97" s="1421"/>
    </row>
    <row r="98" spans="1:26">
      <c r="A98" s="584">
        <v>1992.1</v>
      </c>
      <c r="B98" s="1426">
        <v>372951.25477425492</v>
      </c>
      <c r="C98" s="682"/>
      <c r="D98" s="1428"/>
      <c r="E98" s="1417"/>
      <c r="F98" s="1409"/>
      <c r="G98" s="1417"/>
      <c r="H98" s="1434"/>
      <c r="I98" s="1405"/>
      <c r="J98" s="682"/>
      <c r="K98" s="1398"/>
      <c r="L98" s="682"/>
      <c r="M98" s="1428"/>
      <c r="N98" s="1417"/>
      <c r="O98" s="1409"/>
      <c r="P98" s="1417"/>
      <c r="Q98" s="1434"/>
      <c r="R98" s="1405"/>
      <c r="S98" s="682"/>
      <c r="T98" s="1398"/>
      <c r="U98" s="682"/>
      <c r="V98" s="1405"/>
      <c r="W98" s="1409"/>
      <c r="X98" s="1417"/>
      <c r="Y98" s="1417"/>
      <c r="Z98" s="1421"/>
    </row>
    <row r="99" spans="1:26">
      <c r="A99" s="584">
        <v>1992.2</v>
      </c>
      <c r="B99" s="1426">
        <v>421992.06239868782</v>
      </c>
      <c r="C99" s="682"/>
      <c r="D99" s="1428"/>
      <c r="E99" s="1417"/>
      <c r="F99" s="1409"/>
      <c r="G99" s="1417"/>
      <c r="H99" s="1434"/>
      <c r="I99" s="1405"/>
      <c r="J99" s="682"/>
      <c r="K99" s="1398"/>
      <c r="L99" s="682"/>
      <c r="M99" s="1428"/>
      <c r="N99" s="1417"/>
      <c r="O99" s="1409"/>
      <c r="P99" s="1417"/>
      <c r="Q99" s="1434"/>
      <c r="R99" s="1405"/>
      <c r="S99" s="682"/>
      <c r="T99" s="1398"/>
      <c r="U99" s="682"/>
      <c r="V99" s="1405"/>
      <c r="W99" s="1409"/>
      <c r="X99" s="1417"/>
      <c r="Y99" s="1417"/>
      <c r="Z99" s="1421"/>
    </row>
    <row r="100" spans="1:26">
      <c r="A100" s="584">
        <v>1992.3</v>
      </c>
      <c r="B100" s="1426">
        <v>418269.85525713966</v>
      </c>
      <c r="C100" s="682"/>
      <c r="D100" s="1428"/>
      <c r="E100" s="1417"/>
      <c r="F100" s="1409"/>
      <c r="G100" s="1417"/>
      <c r="H100" s="1434"/>
      <c r="I100" s="1405"/>
      <c r="J100" s="682"/>
      <c r="K100" s="1398"/>
      <c r="L100" s="682"/>
      <c r="M100" s="1428"/>
      <c r="N100" s="1417"/>
      <c r="O100" s="1409"/>
      <c r="P100" s="1417"/>
      <c r="Q100" s="1434"/>
      <c r="R100" s="1405"/>
      <c r="S100" s="682"/>
      <c r="T100" s="1398"/>
      <c r="U100" s="682"/>
      <c r="V100" s="1405"/>
      <c r="W100" s="1409"/>
      <c r="X100" s="1417"/>
      <c r="Y100" s="1417"/>
      <c r="Z100" s="1421"/>
    </row>
    <row r="101" spans="1:26">
      <c r="A101" s="584">
        <v>1992.4</v>
      </c>
      <c r="B101" s="1426">
        <v>414719.06672971492</v>
      </c>
      <c r="C101" s="682"/>
      <c r="D101" s="1428"/>
      <c r="E101" s="1417"/>
      <c r="F101" s="1409"/>
      <c r="G101" s="1417"/>
      <c r="H101" s="1434"/>
      <c r="I101" s="1405"/>
      <c r="J101" s="682"/>
      <c r="K101" s="1398"/>
      <c r="L101" s="682"/>
      <c r="M101" s="1428"/>
      <c r="N101" s="1417"/>
      <c r="O101" s="1409"/>
      <c r="P101" s="1417"/>
      <c r="Q101" s="1434"/>
      <c r="R101" s="1405"/>
      <c r="S101" s="682"/>
      <c r="T101" s="1398"/>
      <c r="U101" s="682"/>
      <c r="V101" s="1405"/>
      <c r="W101" s="1409"/>
      <c r="X101" s="1417"/>
      <c r="Y101" s="1417"/>
      <c r="Z101" s="1421"/>
    </row>
    <row r="102" spans="1:26">
      <c r="A102" s="583">
        <v>1993.1</v>
      </c>
      <c r="B102" s="1426">
        <v>390107.47024926153</v>
      </c>
      <c r="C102" s="683">
        <v>55832.986917454589</v>
      </c>
      <c r="D102" s="1429">
        <v>270208.30014748866</v>
      </c>
      <c r="E102" s="1426">
        <v>47866.76015310565</v>
      </c>
      <c r="F102" s="1433">
        <v>45376.267265587521</v>
      </c>
      <c r="G102" s="1426">
        <v>64126.648108945024</v>
      </c>
      <c r="H102" s="1434"/>
      <c r="I102" s="1405"/>
      <c r="J102" s="682"/>
      <c r="K102" s="1443">
        <v>236609.89659906528</v>
      </c>
      <c r="L102" s="683">
        <v>19460.429514277577</v>
      </c>
      <c r="M102" s="1429">
        <v>171018.04561648818</v>
      </c>
      <c r="N102" s="1426">
        <v>31688.107696256113</v>
      </c>
      <c r="O102" s="1433">
        <v>15272.182609513335</v>
      </c>
      <c r="P102" s="1426">
        <v>34173.658627614641</v>
      </c>
      <c r="Q102" s="1434"/>
      <c r="R102" s="1405"/>
      <c r="S102" s="682"/>
      <c r="T102" s="1398"/>
      <c r="U102" s="682"/>
      <c r="V102" s="1405"/>
      <c r="W102" s="1409"/>
      <c r="X102" s="1417"/>
      <c r="Y102" s="1417"/>
      <c r="Z102" s="1421"/>
    </row>
    <row r="103" spans="1:26">
      <c r="A103" s="583">
        <v>1993.2</v>
      </c>
      <c r="B103" s="1426">
        <v>436086.19621065236</v>
      </c>
      <c r="C103" s="683">
        <v>55468.991283353767</v>
      </c>
      <c r="D103" s="1429">
        <v>294853.92975992104</v>
      </c>
      <c r="E103" s="1426">
        <v>55102.333427714941</v>
      </c>
      <c r="F103" s="1433">
        <v>51528.27092037582</v>
      </c>
      <c r="G103" s="1426">
        <v>75519.289487257687</v>
      </c>
      <c r="H103" s="1434"/>
      <c r="I103" s="1405"/>
      <c r="J103" s="682"/>
      <c r="K103" s="1443">
        <v>268467.38703982212</v>
      </c>
      <c r="L103" s="683">
        <v>19492.696397686523</v>
      </c>
      <c r="M103" s="1429">
        <v>190098.95225519859</v>
      </c>
      <c r="N103" s="1426">
        <v>36636.351511888708</v>
      </c>
      <c r="O103" s="1433">
        <v>17315.707101871089</v>
      </c>
      <c r="P103" s="1426">
        <v>40193.260770184825</v>
      </c>
      <c r="Q103" s="1434"/>
      <c r="R103" s="1405"/>
      <c r="S103" s="682"/>
      <c r="T103" s="1398"/>
      <c r="U103" s="682"/>
      <c r="V103" s="1405"/>
      <c r="W103" s="1409"/>
      <c r="X103" s="1417"/>
      <c r="Y103" s="1417"/>
      <c r="Z103" s="1421"/>
    </row>
    <row r="104" spans="1:26">
      <c r="A104" s="583">
        <v>1993.3</v>
      </c>
      <c r="B104" s="1426">
        <v>437481.08426688949</v>
      </c>
      <c r="C104" s="683">
        <v>64247.391818794335</v>
      </c>
      <c r="D104" s="1429">
        <v>295993.52881339204</v>
      </c>
      <c r="E104" s="1426">
        <v>56148.836354192477</v>
      </c>
      <c r="F104" s="1433">
        <v>48416.991698536905</v>
      </c>
      <c r="G104" s="1426">
        <v>82847.10023219962</v>
      </c>
      <c r="H104" s="1434"/>
      <c r="I104" s="1405"/>
      <c r="J104" s="682"/>
      <c r="K104" s="1443">
        <v>270958.87725032767</v>
      </c>
      <c r="L104" s="683">
        <v>22451.530730523766</v>
      </c>
      <c r="M104" s="1429">
        <v>193422.60368435961</v>
      </c>
      <c r="N104" s="1426">
        <v>37450.937323929837</v>
      </c>
      <c r="O104" s="1433">
        <v>16857.649401868042</v>
      </c>
      <c r="P104" s="1426">
        <v>43509.451497414011</v>
      </c>
      <c r="Q104" s="1434"/>
      <c r="R104" s="1405"/>
      <c r="S104" s="682"/>
      <c r="T104" s="1398"/>
      <c r="U104" s="682"/>
      <c r="V104" s="1405"/>
      <c r="W104" s="1409"/>
      <c r="X104" s="1417"/>
      <c r="Y104" s="1417"/>
      <c r="Z104" s="1421"/>
    </row>
    <row r="105" spans="1:26">
      <c r="A105" s="583">
        <v>1993.4</v>
      </c>
      <c r="B105" s="1426">
        <v>441964.88649329194</v>
      </c>
      <c r="C105" s="683">
        <v>69336.177448976348</v>
      </c>
      <c r="D105" s="1429">
        <v>301663.71782899945</v>
      </c>
      <c r="E105" s="1426">
        <v>55491.361414631545</v>
      </c>
      <c r="F105" s="1433">
        <v>47327.484791094888</v>
      </c>
      <c r="G105" s="1426">
        <v>87235.996252292418</v>
      </c>
      <c r="H105" s="1434"/>
      <c r="I105" s="1405"/>
      <c r="J105" s="682"/>
      <c r="K105" s="1443">
        <v>276688.97524076665</v>
      </c>
      <c r="L105" s="683">
        <v>24229.319379067281</v>
      </c>
      <c r="M105" s="1429">
        <v>198808.96343963666</v>
      </c>
      <c r="N105" s="1426">
        <v>38853.768316654809</v>
      </c>
      <c r="O105" s="1433">
        <v>16270.901215472568</v>
      </c>
      <c r="P105" s="1426">
        <v>45715.314621819634</v>
      </c>
      <c r="Q105" s="1434"/>
      <c r="R105" s="1405"/>
      <c r="S105" s="682"/>
      <c r="T105" s="1398"/>
      <c r="U105" s="682"/>
      <c r="V105" s="1405"/>
      <c r="W105" s="1409"/>
      <c r="X105" s="1417"/>
      <c r="Y105" s="1417"/>
      <c r="Z105" s="1421"/>
    </row>
    <row r="106" spans="1:26">
      <c r="A106" s="583">
        <v>1994.1</v>
      </c>
      <c r="B106" s="1426">
        <v>419991.98122653348</v>
      </c>
      <c r="C106" s="683">
        <v>75388.899746458206</v>
      </c>
      <c r="D106" s="1429">
        <v>292970.62680405739</v>
      </c>
      <c r="E106" s="1426">
        <v>49213.348985703291</v>
      </c>
      <c r="F106" s="1433">
        <v>47985.077559271893</v>
      </c>
      <c r="G106" s="1426">
        <v>78309.657536667874</v>
      </c>
      <c r="H106" s="1434"/>
      <c r="I106" s="1405"/>
      <c r="J106" s="682"/>
      <c r="K106" s="1443">
        <v>261599.04050959874</v>
      </c>
      <c r="L106" s="683">
        <v>26511.715433210946</v>
      </c>
      <c r="M106" s="1429">
        <v>193375.70876758883</v>
      </c>
      <c r="N106" s="1426">
        <v>34420.52780443809</v>
      </c>
      <c r="O106" s="1433">
        <v>16275.324950942309</v>
      </c>
      <c r="P106" s="1426">
        <v>40985.533075631938</v>
      </c>
      <c r="Q106" s="1434"/>
      <c r="R106" s="1405"/>
      <c r="S106" s="682"/>
      <c r="T106" s="1398"/>
      <c r="U106" s="682"/>
      <c r="V106" s="1405"/>
      <c r="W106" s="1409"/>
      <c r="X106" s="1417"/>
      <c r="Y106" s="1417"/>
      <c r="Z106" s="1421"/>
    </row>
    <row r="107" spans="1:26">
      <c r="A107" s="583">
        <v>1994.2</v>
      </c>
      <c r="B107" s="1426">
        <v>464221.51104523765</v>
      </c>
      <c r="C107" s="683">
        <v>71189.010321592854</v>
      </c>
      <c r="D107" s="1429">
        <v>314760.50407756947</v>
      </c>
      <c r="E107" s="1426">
        <v>54781.258573636369</v>
      </c>
      <c r="F107" s="1433">
        <v>58228.020422460286</v>
      </c>
      <c r="G107" s="1426">
        <v>88526.912390949248</v>
      </c>
      <c r="H107" s="1434"/>
      <c r="I107" s="1405"/>
      <c r="J107" s="682"/>
      <c r="K107" s="1443">
        <v>293426.38917031145</v>
      </c>
      <c r="L107" s="683">
        <v>25105.034819633456</v>
      </c>
      <c r="M107" s="1429">
        <v>210443.38716694963</v>
      </c>
      <c r="N107" s="1426">
        <v>38798.010569294078</v>
      </c>
      <c r="O107" s="1433">
        <v>20334.303323313467</v>
      </c>
      <c r="P107" s="1426">
        <v>46677.285631167819</v>
      </c>
      <c r="Q107" s="1434"/>
      <c r="R107" s="1405"/>
      <c r="S107" s="682"/>
      <c r="T107" s="1398"/>
      <c r="U107" s="682"/>
      <c r="V107" s="1405"/>
      <c r="W107" s="1409"/>
      <c r="X107" s="1417"/>
      <c r="Y107" s="1417"/>
      <c r="Z107" s="1421"/>
    </row>
    <row r="108" spans="1:26">
      <c r="A108" s="583">
        <v>1994.3</v>
      </c>
      <c r="B108" s="1426">
        <v>456993.21911245893</v>
      </c>
      <c r="C108" s="683">
        <v>74676.975636511124</v>
      </c>
      <c r="D108" s="1429">
        <v>309921.61494903214</v>
      </c>
      <c r="E108" s="1426">
        <v>55893.280086158818</v>
      </c>
      <c r="F108" s="1433">
        <v>57720.91430945984</v>
      </c>
      <c r="G108" s="1426">
        <v>91370.080683309585</v>
      </c>
      <c r="H108" s="1434"/>
      <c r="I108" s="1405"/>
      <c r="J108" s="682"/>
      <c r="K108" s="1443">
        <v>290294.11686002975</v>
      </c>
      <c r="L108" s="683">
        <v>26862.374816763589</v>
      </c>
      <c r="M108" s="1429">
        <v>209652.63901395313</v>
      </c>
      <c r="N108" s="1426">
        <v>39232.223551493953</v>
      </c>
      <c r="O108" s="1433">
        <v>20548.653414710854</v>
      </c>
      <c r="P108" s="1426">
        <v>48539.378745619957</v>
      </c>
      <c r="Q108" s="1434"/>
      <c r="R108" s="1405"/>
      <c r="S108" s="682"/>
      <c r="T108" s="1398"/>
      <c r="U108" s="682"/>
      <c r="V108" s="1405"/>
      <c r="W108" s="1409"/>
      <c r="X108" s="1417"/>
      <c r="Y108" s="1417"/>
      <c r="Z108" s="1421"/>
    </row>
    <row r="109" spans="1:26">
      <c r="A109" s="583">
        <v>1994.4</v>
      </c>
      <c r="B109" s="1426">
        <v>463977.47823181393</v>
      </c>
      <c r="C109" s="683">
        <v>75377.507996321307</v>
      </c>
      <c r="D109" s="1429">
        <v>315625.35658030509</v>
      </c>
      <c r="E109" s="1426">
        <v>55675.726596648623</v>
      </c>
      <c r="F109" s="1433">
        <v>58181.76556495238</v>
      </c>
      <c r="G109" s="1426">
        <v>93869.365368495579</v>
      </c>
      <c r="H109" s="1434"/>
      <c r="I109" s="1405"/>
      <c r="J109" s="682"/>
      <c r="K109" s="1443">
        <v>300590.85055135743</v>
      </c>
      <c r="L109" s="683">
        <v>27651.55280857276</v>
      </c>
      <c r="M109" s="1429">
        <v>215045.32013953975</v>
      </c>
      <c r="N109" s="1426">
        <v>41211.410614248649</v>
      </c>
      <c r="O109" s="1433">
        <v>20800.404178716042</v>
      </c>
      <c r="P109" s="1426">
        <v>50117.244021731822</v>
      </c>
      <c r="Q109" s="1434"/>
      <c r="R109" s="1405"/>
      <c r="S109" s="682"/>
      <c r="T109" s="1398"/>
      <c r="U109" s="682"/>
      <c r="V109" s="1405"/>
      <c r="W109" s="1409"/>
      <c r="X109" s="1417"/>
      <c r="Y109" s="1417"/>
      <c r="Z109" s="1421"/>
    </row>
    <row r="110" spans="1:26">
      <c r="A110" s="583">
        <v>1995.1</v>
      </c>
      <c r="B110" s="1426">
        <v>429047.86682390893</v>
      </c>
      <c r="C110" s="683">
        <v>74600.3343459803</v>
      </c>
      <c r="D110" s="1429">
        <v>291827.02147873404</v>
      </c>
      <c r="E110" s="1426">
        <v>47724.58330108357</v>
      </c>
      <c r="F110" s="1433">
        <v>62896.205761022815</v>
      </c>
      <c r="G110" s="1426">
        <v>79252.509975427645</v>
      </c>
      <c r="H110" s="1434"/>
      <c r="I110" s="1405"/>
      <c r="J110" s="682"/>
      <c r="K110" s="1443">
        <v>278650.19284988969</v>
      </c>
      <c r="L110" s="683">
        <v>28000.295617002448</v>
      </c>
      <c r="M110" s="1429">
        <v>201947.07258156975</v>
      </c>
      <c r="N110" s="1426">
        <v>34000.466780908268</v>
      </c>
      <c r="O110" s="1433">
        <v>22947.954821433574</v>
      </c>
      <c r="P110" s="1426">
        <v>42945.95805431121</v>
      </c>
      <c r="Q110" s="1434"/>
      <c r="R110" s="1405"/>
      <c r="S110" s="682"/>
      <c r="T110" s="1398"/>
      <c r="U110" s="682"/>
      <c r="V110" s="1405"/>
      <c r="W110" s="1409"/>
      <c r="X110" s="1417"/>
      <c r="Y110" s="1417"/>
      <c r="Z110" s="1421"/>
    </row>
    <row r="111" spans="1:26">
      <c r="A111" s="583">
        <v>1995.2</v>
      </c>
      <c r="B111" s="1426">
        <v>447303.84163999039</v>
      </c>
      <c r="C111" s="683">
        <v>61633.929385907999</v>
      </c>
      <c r="D111" s="1429">
        <v>295815.75312737096</v>
      </c>
      <c r="E111" s="1426">
        <v>55305.186231967513</v>
      </c>
      <c r="F111" s="1433">
        <v>78020.706480183639</v>
      </c>
      <c r="G111" s="1426">
        <v>74563.724115413701</v>
      </c>
      <c r="H111" s="1434"/>
      <c r="I111" s="1405"/>
      <c r="J111" s="682"/>
      <c r="K111" s="1443">
        <v>291110.11398831772</v>
      </c>
      <c r="L111" s="683">
        <v>23393.879229117571</v>
      </c>
      <c r="M111" s="1429">
        <v>203810.66271154949</v>
      </c>
      <c r="N111" s="1426">
        <v>39450.712820240442</v>
      </c>
      <c r="O111" s="1433">
        <v>29005.307433327245</v>
      </c>
      <c r="P111" s="1426">
        <v>41257.673325661221</v>
      </c>
      <c r="Q111" s="1434"/>
      <c r="R111" s="1405"/>
      <c r="S111" s="682"/>
      <c r="T111" s="1398"/>
      <c r="U111" s="682"/>
      <c r="V111" s="1405"/>
      <c r="W111" s="1409"/>
      <c r="X111" s="1417"/>
      <c r="Y111" s="1417"/>
      <c r="Z111" s="1421"/>
    </row>
    <row r="112" spans="1:26">
      <c r="A112" s="583">
        <v>1995.3</v>
      </c>
      <c r="B112" s="1426">
        <v>436704.32555131195</v>
      </c>
      <c r="C112" s="683">
        <v>63661.582831722168</v>
      </c>
      <c r="D112" s="1429">
        <v>291747.55910216004</v>
      </c>
      <c r="E112" s="1426">
        <v>55111.662159500738</v>
      </c>
      <c r="F112" s="1433">
        <v>67003.507650471714</v>
      </c>
      <c r="G112" s="1426">
        <v>75628.780161919087</v>
      </c>
      <c r="H112" s="1434"/>
      <c r="I112" s="1405"/>
      <c r="J112" s="682"/>
      <c r="K112" s="1443">
        <v>285841.50448189431</v>
      </c>
      <c r="L112" s="683">
        <v>24206.032796944433</v>
      </c>
      <c r="M112" s="1429">
        <v>201035.75564440497</v>
      </c>
      <c r="N112" s="1426">
        <v>38971.762331361744</v>
      </c>
      <c r="O112" s="1433">
        <v>24961.546710971994</v>
      </c>
      <c r="P112" s="1426">
        <v>41863.565326193413</v>
      </c>
      <c r="Q112" s="1434"/>
      <c r="R112" s="1405"/>
      <c r="S112" s="682"/>
      <c r="T112" s="1398"/>
      <c r="U112" s="682"/>
      <c r="V112" s="1405"/>
      <c r="W112" s="1409"/>
      <c r="X112" s="1417"/>
      <c r="Y112" s="1417"/>
      <c r="Z112" s="1421"/>
    </row>
    <row r="113" spans="1:26">
      <c r="A113" s="583">
        <v>1995.4</v>
      </c>
      <c r="B113" s="1426">
        <v>440766.88153812947</v>
      </c>
      <c r="C113" s="683">
        <v>67646.908962298345</v>
      </c>
      <c r="D113" s="1429">
        <v>299898.79276378435</v>
      </c>
      <c r="E113" s="1426">
        <v>59061.638779177687</v>
      </c>
      <c r="F113" s="1433">
        <v>64233.924112025088</v>
      </c>
      <c r="G113" s="1426">
        <v>76565.183154212005</v>
      </c>
      <c r="H113" s="1434"/>
      <c r="I113" s="1405"/>
      <c r="J113" s="682"/>
      <c r="K113" s="1443">
        <v>292943.35074082977</v>
      </c>
      <c r="L113" s="683">
        <v>25624.570518280634</v>
      </c>
      <c r="M113" s="1429">
        <v>207462.80814887592</v>
      </c>
      <c r="N113" s="1426">
        <v>43490.942415866382</v>
      </c>
      <c r="O113" s="1433">
        <v>23538.298298292641</v>
      </c>
      <c r="P113" s="1426">
        <v>41937.078560334696</v>
      </c>
      <c r="Q113" s="1434"/>
      <c r="R113" s="1405"/>
      <c r="S113" s="682"/>
      <c r="T113" s="1398"/>
      <c r="U113" s="682"/>
      <c r="V113" s="1405"/>
      <c r="W113" s="1409"/>
      <c r="X113" s="1417"/>
      <c r="Y113" s="1417"/>
      <c r="Z113" s="1421"/>
    </row>
    <row r="114" spans="1:26">
      <c r="A114" s="583">
        <v>1996.1</v>
      </c>
      <c r="B114" s="1426">
        <v>426519.99169578718</v>
      </c>
      <c r="C114" s="683">
        <v>71105.297082774996</v>
      </c>
      <c r="D114" s="1429">
        <v>291809.42474215064</v>
      </c>
      <c r="E114" s="1426">
        <v>49237.228285507088</v>
      </c>
      <c r="F114" s="1433">
        <v>64815.254908710507</v>
      </c>
      <c r="G114" s="1426">
        <v>71231.299862598345</v>
      </c>
      <c r="H114" s="1434"/>
      <c r="I114" s="1405"/>
      <c r="J114" s="682"/>
      <c r="K114" s="1443">
        <v>279533.79837812344</v>
      </c>
      <c r="L114" s="683">
        <v>27444.733748650357</v>
      </c>
      <c r="M114" s="1429">
        <v>202116.03048846414</v>
      </c>
      <c r="N114" s="1426">
        <v>34158.969997291264</v>
      </c>
      <c r="O114" s="1433">
        <v>24245.287636333342</v>
      </c>
      <c r="P114" s="1426">
        <v>39018.782517711319</v>
      </c>
      <c r="Q114" s="1434"/>
      <c r="R114" s="1405"/>
      <c r="S114" s="682"/>
      <c r="T114" s="1398"/>
      <c r="U114" s="682"/>
      <c r="V114" s="1405"/>
      <c r="W114" s="1409"/>
      <c r="X114" s="1417"/>
      <c r="Y114" s="1417"/>
      <c r="Z114" s="1421"/>
    </row>
    <row r="115" spans="1:26">
      <c r="A115" s="583">
        <v>1996.2</v>
      </c>
      <c r="B115" s="1426">
        <v>470126.2723908574</v>
      </c>
      <c r="C115" s="683">
        <v>73369.972138618396</v>
      </c>
      <c r="D115" s="1429">
        <v>311842.70393542416</v>
      </c>
      <c r="E115" s="1426">
        <v>56293.298452499235</v>
      </c>
      <c r="F115" s="1433">
        <v>76299.399854769334</v>
      </c>
      <c r="G115" s="1426">
        <v>81764.080528298204</v>
      </c>
      <c r="H115" s="1434"/>
      <c r="I115" s="1405"/>
      <c r="J115" s="682"/>
      <c r="K115" s="1443">
        <v>311768.26179025893</v>
      </c>
      <c r="L115" s="683">
        <v>27323.0526100118</v>
      </c>
      <c r="M115" s="1429">
        <v>214938.40905014699</v>
      </c>
      <c r="N115" s="1426">
        <v>38897.300148481365</v>
      </c>
      <c r="O115" s="1433">
        <v>30540.263209772926</v>
      </c>
      <c r="P115" s="1426">
        <v>44134.589136551229</v>
      </c>
      <c r="Q115" s="1434"/>
      <c r="R115" s="1405"/>
      <c r="S115" s="682"/>
      <c r="T115" s="1398"/>
      <c r="U115" s="682"/>
      <c r="V115" s="1405"/>
      <c r="W115" s="1409"/>
      <c r="X115" s="1417"/>
      <c r="Y115" s="1417"/>
      <c r="Z115" s="1421"/>
    </row>
    <row r="116" spans="1:26">
      <c r="A116" s="583">
        <v>1996.3</v>
      </c>
      <c r="B116" s="1426">
        <v>472677.53575848107</v>
      </c>
      <c r="C116" s="683">
        <v>85039.91297706819</v>
      </c>
      <c r="D116" s="1429">
        <v>315634.52745229215</v>
      </c>
      <c r="E116" s="1426">
        <v>56831.178738232258</v>
      </c>
      <c r="F116" s="1433">
        <v>76655.837294804864</v>
      </c>
      <c r="G116" s="1426">
        <v>88579.39794964889</v>
      </c>
      <c r="H116" s="1434"/>
      <c r="I116" s="1405"/>
      <c r="J116" s="682"/>
      <c r="K116" s="1443">
        <v>305464.51876760542</v>
      </c>
      <c r="L116" s="683">
        <v>31292.656784575069</v>
      </c>
      <c r="M116" s="1429">
        <v>216380.17403711926</v>
      </c>
      <c r="N116" s="1426">
        <v>38536.659343792155</v>
      </c>
      <c r="O116" s="1433">
        <v>30279.262817058283</v>
      </c>
      <c r="P116" s="1426">
        <v>46970.546055222789</v>
      </c>
      <c r="Q116" s="1434"/>
      <c r="R116" s="1405"/>
      <c r="S116" s="682"/>
      <c r="T116" s="1398"/>
      <c r="U116" s="682"/>
      <c r="V116" s="1405"/>
      <c r="W116" s="1409"/>
      <c r="X116" s="1417"/>
      <c r="Y116" s="1417"/>
      <c r="Z116" s="1421"/>
    </row>
    <row r="117" spans="1:26">
      <c r="A117" s="583">
        <v>1996.4</v>
      </c>
      <c r="B117" s="1426">
        <v>481427.46838756884</v>
      </c>
      <c r="C117" s="683">
        <v>84925.380737034895</v>
      </c>
      <c r="D117" s="1429">
        <v>325270.95759698452</v>
      </c>
      <c r="E117" s="1426">
        <v>59554.010490118388</v>
      </c>
      <c r="F117" s="1433">
        <v>75194.935551500661</v>
      </c>
      <c r="G117" s="1426">
        <v>91619.245691571836</v>
      </c>
      <c r="H117" s="1434"/>
      <c r="I117" s="1405"/>
      <c r="J117" s="682"/>
      <c r="K117" s="1443">
        <v>314619.71020362142</v>
      </c>
      <c r="L117" s="683">
        <v>31143.762611736194</v>
      </c>
      <c r="M117" s="1429">
        <v>224908.82996715273</v>
      </c>
      <c r="N117" s="1426">
        <v>42408.347789397943</v>
      </c>
      <c r="O117" s="1433">
        <v>29073.191664899248</v>
      </c>
      <c r="P117" s="1426">
        <v>48499.366888957862</v>
      </c>
      <c r="Q117" s="1434"/>
      <c r="R117" s="1405"/>
      <c r="S117" s="682"/>
      <c r="T117" s="1398"/>
      <c r="U117" s="682"/>
      <c r="V117" s="1405"/>
      <c r="W117" s="1409"/>
      <c r="X117" s="1417"/>
      <c r="Y117" s="1417"/>
      <c r="Z117" s="1421"/>
    </row>
    <row r="118" spans="1:26">
      <c r="A118" s="583">
        <v>1997.1</v>
      </c>
      <c r="B118" s="1426">
        <v>462258.01508710353</v>
      </c>
      <c r="C118" s="683">
        <v>90828.41996445143</v>
      </c>
      <c r="D118" s="1429">
        <v>315213.71065280418</v>
      </c>
      <c r="E118" s="1426">
        <v>50228.563760037141</v>
      </c>
      <c r="F118" s="1433">
        <v>74107.704650907384</v>
      </c>
      <c r="G118" s="1426">
        <v>83344.997690317032</v>
      </c>
      <c r="H118" s="1434"/>
      <c r="I118" s="1405"/>
      <c r="J118" s="682"/>
      <c r="K118" s="1443">
        <v>301856.9630571992</v>
      </c>
      <c r="L118" s="683">
        <v>34056.334786432897</v>
      </c>
      <c r="M118" s="1429">
        <v>219212.01233819034</v>
      </c>
      <c r="N118" s="1426">
        <v>34696.823296722207</v>
      </c>
      <c r="O118" s="1433">
        <v>28443.814754886283</v>
      </c>
      <c r="P118" s="1426">
        <v>44318.202713894083</v>
      </c>
      <c r="Q118" s="1434"/>
      <c r="R118" s="1405"/>
      <c r="S118" s="682"/>
      <c r="T118" s="1398"/>
      <c r="U118" s="682"/>
      <c r="V118" s="1405"/>
      <c r="W118" s="1409"/>
      <c r="X118" s="1417"/>
      <c r="Y118" s="1417"/>
      <c r="Z118" s="1421"/>
    </row>
    <row r="119" spans="1:26">
      <c r="A119" s="583">
        <v>1997.2</v>
      </c>
      <c r="B119" s="1426">
        <v>508020.7404838574</v>
      </c>
      <c r="C119" s="683">
        <v>94982.916375115426</v>
      </c>
      <c r="D119" s="1429">
        <v>339758.55701056059</v>
      </c>
      <c r="E119" s="1426">
        <v>58704.318645052852</v>
      </c>
      <c r="F119" s="1433">
        <v>86601.650696390367</v>
      </c>
      <c r="G119" s="1426">
        <v>97586.570113298993</v>
      </c>
      <c r="H119" s="1434"/>
      <c r="I119" s="1405"/>
      <c r="J119" s="682"/>
      <c r="K119" s="1443">
        <v>333696.31198497408</v>
      </c>
      <c r="L119" s="683">
        <v>34700.89493934896</v>
      </c>
      <c r="M119" s="1429">
        <v>233969.52572250343</v>
      </c>
      <c r="N119" s="1426">
        <v>40240.926598516584</v>
      </c>
      <c r="O119" s="1433">
        <v>33053.749272125024</v>
      </c>
      <c r="P119" s="1426">
        <v>51436.674519669454</v>
      </c>
      <c r="Q119" s="1434"/>
      <c r="R119" s="1405"/>
      <c r="S119" s="682"/>
      <c r="T119" s="1398"/>
      <c r="U119" s="682"/>
      <c r="V119" s="1405"/>
      <c r="W119" s="1409"/>
      <c r="X119" s="1417"/>
      <c r="Y119" s="1417"/>
      <c r="Z119" s="1421"/>
    </row>
    <row r="120" spans="1:26">
      <c r="A120" s="583">
        <v>1997.3</v>
      </c>
      <c r="B120" s="1426">
        <v>512208.06382532924</v>
      </c>
      <c r="C120" s="683">
        <v>107251.21325224807</v>
      </c>
      <c r="D120" s="1429">
        <v>347208.37716543576</v>
      </c>
      <c r="E120" s="1426">
        <v>57270.148309990094</v>
      </c>
      <c r="F120" s="1433">
        <v>85738.366922869332</v>
      </c>
      <c r="G120" s="1426">
        <v>103923.45307353805</v>
      </c>
      <c r="H120" s="1434"/>
      <c r="I120" s="1405"/>
      <c r="J120" s="682"/>
      <c r="K120" s="1443">
        <v>331907.44330409006</v>
      </c>
      <c r="L120" s="683">
        <v>38364.158100342953</v>
      </c>
      <c r="M120" s="1429">
        <v>238794.98048596006</v>
      </c>
      <c r="N120" s="1426">
        <v>39935.484188195616</v>
      </c>
      <c r="O120" s="1433">
        <v>32325.441550697877</v>
      </c>
      <c r="P120" s="1426">
        <v>54056.508192080364</v>
      </c>
      <c r="Q120" s="1434"/>
      <c r="R120" s="1405"/>
      <c r="S120" s="682"/>
      <c r="T120" s="1398"/>
      <c r="U120" s="682"/>
      <c r="V120" s="1405"/>
      <c r="W120" s="1409"/>
      <c r="X120" s="1417"/>
      <c r="Y120" s="1417"/>
      <c r="Z120" s="1421"/>
    </row>
    <row r="121" spans="1:26">
      <c r="A121" s="583">
        <v>1997.4</v>
      </c>
      <c r="B121" s="1426">
        <v>518379.74956964067</v>
      </c>
      <c r="C121" s="683">
        <v>105873.07854478131</v>
      </c>
      <c r="D121" s="1429">
        <v>354095.48759613704</v>
      </c>
      <c r="E121" s="1426">
        <v>62857.448440746251</v>
      </c>
      <c r="F121" s="1433">
        <v>82193.394371000657</v>
      </c>
      <c r="G121" s="1426">
        <v>107190.60944556628</v>
      </c>
      <c r="H121" s="1434"/>
      <c r="I121" s="1405"/>
      <c r="J121" s="682"/>
      <c r="K121" s="1443">
        <v>336105.49278298591</v>
      </c>
      <c r="L121" s="683">
        <v>38327.226125356814</v>
      </c>
      <c r="M121" s="1429">
        <v>242501.77071341072</v>
      </c>
      <c r="N121" s="1426">
        <v>45018.678906296256</v>
      </c>
      <c r="O121" s="1433">
        <v>30557.958151651877</v>
      </c>
      <c r="P121" s="1426">
        <v>56095.219905218109</v>
      </c>
      <c r="Q121" s="1434"/>
      <c r="R121" s="1405"/>
      <c r="S121" s="682"/>
      <c r="T121" s="1398"/>
      <c r="U121" s="682"/>
      <c r="V121" s="1405"/>
      <c r="W121" s="1409"/>
      <c r="X121" s="1417"/>
      <c r="Y121" s="1417"/>
      <c r="Z121" s="1421"/>
    </row>
    <row r="122" spans="1:26">
      <c r="A122" s="583">
        <v>1998.1</v>
      </c>
      <c r="B122" s="1426">
        <v>489869.52345667523</v>
      </c>
      <c r="C122" s="683">
        <v>106187.75089833625</v>
      </c>
      <c r="D122" s="1429">
        <v>332452.2688988889</v>
      </c>
      <c r="E122" s="1426">
        <v>50986.367502871261</v>
      </c>
      <c r="F122" s="1433">
        <v>82095.093660981016</v>
      </c>
      <c r="G122" s="1426">
        <v>98062.39885772283</v>
      </c>
      <c r="H122" s="1434"/>
      <c r="I122" s="1405"/>
      <c r="J122" s="682"/>
      <c r="K122" s="1443">
        <v>314658.29404032527</v>
      </c>
      <c r="L122" s="683">
        <v>38471.455206618484</v>
      </c>
      <c r="M122" s="1429">
        <v>226607.68344791111</v>
      </c>
      <c r="N122" s="1426">
        <v>36242.546219742071</v>
      </c>
      <c r="O122" s="1433">
        <v>29132.308857085765</v>
      </c>
      <c r="P122" s="1426">
        <v>51312.334378418054</v>
      </c>
      <c r="Q122" s="1434"/>
      <c r="R122" s="1405"/>
      <c r="S122" s="682"/>
      <c r="T122" s="1398"/>
      <c r="U122" s="682"/>
      <c r="V122" s="1405"/>
      <c r="W122" s="1409"/>
      <c r="X122" s="1417"/>
      <c r="Y122" s="1417"/>
      <c r="Z122" s="1421"/>
    </row>
    <row r="123" spans="1:26">
      <c r="A123" s="583">
        <v>1998.2</v>
      </c>
      <c r="B123" s="1426">
        <v>543066.38424307934</v>
      </c>
      <c r="C123" s="683">
        <v>108742.07224513729</v>
      </c>
      <c r="D123" s="1429">
        <v>359941.34777200123</v>
      </c>
      <c r="E123" s="1426">
        <v>60472.788978559525</v>
      </c>
      <c r="F123" s="1433">
        <v>100633.70761674643</v>
      </c>
      <c r="G123" s="1426">
        <v>107721.78264873201</v>
      </c>
      <c r="H123" s="1434"/>
      <c r="I123" s="1405"/>
      <c r="J123" s="682"/>
      <c r="K123" s="1443">
        <v>347335.35001794738</v>
      </c>
      <c r="L123" s="683">
        <v>37849.442996325546</v>
      </c>
      <c r="M123" s="1429">
        <v>243186.325187262</v>
      </c>
      <c r="N123" s="1426">
        <v>43113.305778154558</v>
      </c>
      <c r="O123" s="1433">
        <v>35286.52921103363</v>
      </c>
      <c r="P123" s="1426">
        <v>55728.731693982445</v>
      </c>
      <c r="Q123" s="1434"/>
      <c r="R123" s="1405"/>
      <c r="S123" s="682"/>
      <c r="T123" s="1398"/>
      <c r="U123" s="682"/>
      <c r="V123" s="1405"/>
      <c r="W123" s="1409"/>
      <c r="X123" s="1417"/>
      <c r="Y123" s="1417"/>
      <c r="Z123" s="1421"/>
    </row>
    <row r="124" spans="1:26">
      <c r="A124" s="583">
        <v>1998.3</v>
      </c>
      <c r="B124" s="1426">
        <v>528837.04411536339</v>
      </c>
      <c r="C124" s="683">
        <v>115004.7978712443</v>
      </c>
      <c r="D124" s="1429">
        <v>356828.53529840411</v>
      </c>
      <c r="E124" s="1426">
        <v>62098.409080150763</v>
      </c>
      <c r="F124" s="1433">
        <v>96150.630505361522</v>
      </c>
      <c r="G124" s="1426">
        <v>108072.2530497836</v>
      </c>
      <c r="H124" s="1434"/>
      <c r="I124" s="1405"/>
      <c r="J124" s="682"/>
      <c r="K124" s="1443">
        <v>339930.4384770586</v>
      </c>
      <c r="L124" s="683">
        <v>39315.836782091159</v>
      </c>
      <c r="M124" s="1429">
        <v>242520.71006943594</v>
      </c>
      <c r="N124" s="1426">
        <v>44107.269365091575</v>
      </c>
      <c r="O124" s="1433">
        <v>32661.645446398088</v>
      </c>
      <c r="P124" s="1426">
        <v>55883.612684212079</v>
      </c>
      <c r="Q124" s="1434"/>
      <c r="R124" s="1405"/>
      <c r="S124" s="682"/>
      <c r="T124" s="1398"/>
      <c r="U124" s="682"/>
      <c r="V124" s="1405"/>
      <c r="W124" s="1409"/>
      <c r="X124" s="1417"/>
      <c r="Y124" s="1417"/>
      <c r="Z124" s="1421"/>
    </row>
    <row r="125" spans="1:26">
      <c r="A125" s="583">
        <v>1998.4</v>
      </c>
      <c r="B125" s="1426">
        <v>516130.55898870452</v>
      </c>
      <c r="C125" s="683">
        <v>102567.16623698898</v>
      </c>
      <c r="D125" s="1429">
        <v>354185.63053601526</v>
      </c>
      <c r="E125" s="1426">
        <v>63192.198918187794</v>
      </c>
      <c r="F125" s="1433">
        <v>84674.522833674622</v>
      </c>
      <c r="G125" s="1426">
        <v>103844.53514831454</v>
      </c>
      <c r="H125" s="1434"/>
      <c r="I125" s="1405"/>
      <c r="J125" s="682"/>
      <c r="K125" s="1443">
        <v>328747.47721836157</v>
      </c>
      <c r="L125" s="683">
        <v>34685.344634091634</v>
      </c>
      <c r="M125" s="1429">
        <v>237837.049824538</v>
      </c>
      <c r="N125" s="1426">
        <v>45609.209910310106</v>
      </c>
      <c r="O125" s="1433">
        <v>28140.185638554143</v>
      </c>
      <c r="P125" s="1426">
        <v>53392.362061730957</v>
      </c>
      <c r="Q125" s="1434"/>
      <c r="R125" s="1405"/>
      <c r="S125" s="682"/>
      <c r="T125" s="1398"/>
      <c r="U125" s="682"/>
      <c r="V125" s="1405"/>
      <c r="W125" s="1409"/>
      <c r="X125" s="1417"/>
      <c r="Y125" s="1417"/>
      <c r="Z125" s="1421"/>
    </row>
    <row r="126" spans="1:26">
      <c r="A126" s="583">
        <v>1999.1</v>
      </c>
      <c r="B126" s="1426">
        <v>477829.81501512165</v>
      </c>
      <c r="C126" s="683">
        <v>93998.185656896225</v>
      </c>
      <c r="D126" s="1429">
        <v>329373.44098329241</v>
      </c>
      <c r="E126" s="1426">
        <v>52603.776668241313</v>
      </c>
      <c r="F126" s="1433">
        <v>82497.46401655236</v>
      </c>
      <c r="G126" s="1426">
        <v>83126.807400649719</v>
      </c>
      <c r="H126" s="1434"/>
      <c r="I126" s="1405"/>
      <c r="J126" s="682"/>
      <c r="K126" s="1443">
        <v>301284.91281428275</v>
      </c>
      <c r="L126" s="683">
        <v>32039.848952189473</v>
      </c>
      <c r="M126" s="1429">
        <v>222054.85999290639</v>
      </c>
      <c r="N126" s="1426">
        <v>38457.80522004285</v>
      </c>
      <c r="O126" s="1433">
        <v>25837.832405439618</v>
      </c>
      <c r="P126" s="1426">
        <v>42962.272371667845</v>
      </c>
      <c r="Q126" s="1434"/>
      <c r="R126" s="1405"/>
      <c r="S126" s="682"/>
      <c r="T126" s="1398"/>
      <c r="U126" s="682"/>
      <c r="V126" s="1405"/>
      <c r="W126" s="1409"/>
      <c r="X126" s="1417"/>
      <c r="Y126" s="1417"/>
      <c r="Z126" s="1421"/>
    </row>
    <row r="127" spans="1:26">
      <c r="A127" s="583">
        <v>1999.2</v>
      </c>
      <c r="B127" s="1426">
        <v>516391.04691406211</v>
      </c>
      <c r="C127" s="683">
        <v>89177.29089609762</v>
      </c>
      <c r="D127" s="1429">
        <v>347133.56726731278</v>
      </c>
      <c r="E127" s="1426">
        <v>61449.573976456479</v>
      </c>
      <c r="F127" s="1433">
        <v>97411.702458952161</v>
      </c>
      <c r="G127" s="1426">
        <v>91580.660949687284</v>
      </c>
      <c r="H127" s="1434"/>
      <c r="I127" s="1405"/>
      <c r="J127" s="682"/>
      <c r="K127" s="1443">
        <v>321408.08262064442</v>
      </c>
      <c r="L127" s="683">
        <v>29332.540806889443</v>
      </c>
      <c r="M127" s="1429">
        <v>230387.69182220512</v>
      </c>
      <c r="N127" s="1426">
        <v>43897.993282287396</v>
      </c>
      <c r="O127" s="1433">
        <v>29829.248272454752</v>
      </c>
      <c r="P127" s="1426">
        <v>46591.177550945147</v>
      </c>
      <c r="Q127" s="1434"/>
      <c r="R127" s="1405"/>
      <c r="S127" s="682"/>
      <c r="T127" s="1398"/>
      <c r="U127" s="682"/>
      <c r="V127" s="1405"/>
      <c r="W127" s="1409"/>
      <c r="X127" s="1417"/>
      <c r="Y127" s="1417"/>
      <c r="Z127" s="1421"/>
    </row>
    <row r="128" spans="1:26">
      <c r="A128" s="583">
        <v>1999.3</v>
      </c>
      <c r="B128" s="1426">
        <v>502076.17554000195</v>
      </c>
      <c r="C128" s="683">
        <v>101442.22294817585</v>
      </c>
      <c r="D128" s="1429">
        <v>345347.55133070721</v>
      </c>
      <c r="E128" s="1426">
        <v>63248.673839505675</v>
      </c>
      <c r="F128" s="1433">
        <v>91080.90531608196</v>
      </c>
      <c r="G128" s="1426">
        <v>94077.163518938818</v>
      </c>
      <c r="H128" s="1434"/>
      <c r="I128" s="1405"/>
      <c r="J128" s="682"/>
      <c r="K128" s="1443">
        <v>317243.07941856951</v>
      </c>
      <c r="L128" s="683">
        <v>33158.304657822475</v>
      </c>
      <c r="M128" s="1429">
        <v>229853.73321110153</v>
      </c>
      <c r="N128" s="1426">
        <v>45446.558263717583</v>
      </c>
      <c r="O128" s="1433">
        <v>28146.218005103787</v>
      </c>
      <c r="P128" s="1426">
        <v>47492.889545358237</v>
      </c>
      <c r="Q128" s="1434"/>
      <c r="R128" s="1405"/>
      <c r="S128" s="682"/>
      <c r="T128" s="1398"/>
      <c r="U128" s="682"/>
      <c r="V128" s="1405"/>
      <c r="W128" s="1409"/>
      <c r="X128" s="1417"/>
      <c r="Y128" s="1417"/>
      <c r="Z128" s="1421"/>
    </row>
    <row r="129" spans="1:26">
      <c r="A129" s="583">
        <v>1999.4</v>
      </c>
      <c r="B129" s="1426">
        <v>511259.94238205242</v>
      </c>
      <c r="C129" s="683">
        <v>99155.109559799239</v>
      </c>
      <c r="D129" s="1429">
        <v>353510.77966766234</v>
      </c>
      <c r="E129" s="1426">
        <v>65654.936783258119</v>
      </c>
      <c r="F129" s="1433">
        <v>87982.092053777116</v>
      </c>
      <c r="G129" s="1426">
        <v>96244.852872105737</v>
      </c>
      <c r="H129" s="1434"/>
      <c r="I129" s="1405"/>
      <c r="J129" s="682"/>
      <c r="K129" s="1443">
        <v>322074.6161268882</v>
      </c>
      <c r="L129" s="683">
        <v>32836.802096627311</v>
      </c>
      <c r="M129" s="1429">
        <v>233039.10907588067</v>
      </c>
      <c r="N129" s="1426">
        <v>48310.935497921979</v>
      </c>
      <c r="O129" s="1433">
        <v>28237.105661118436</v>
      </c>
      <c r="P129" s="1426">
        <v>48340.267100950085</v>
      </c>
      <c r="Q129" s="1434"/>
      <c r="R129" s="1405"/>
      <c r="S129" s="682"/>
      <c r="T129" s="1398"/>
      <c r="U129" s="682"/>
      <c r="V129" s="1405"/>
      <c r="W129" s="1409"/>
      <c r="X129" s="1417"/>
      <c r="Y129" s="1417"/>
      <c r="Z129" s="1421"/>
    </row>
    <row r="130" spans="1:26">
      <c r="A130" s="583">
        <v>2000.1</v>
      </c>
      <c r="B130" s="1426">
        <v>476984.73376513412</v>
      </c>
      <c r="C130" s="683">
        <v>95027.400576406755</v>
      </c>
      <c r="D130" s="1429">
        <v>330886.68037473218</v>
      </c>
      <c r="E130" s="1426">
        <v>53145.290112711824</v>
      </c>
      <c r="F130" s="1433">
        <v>85401.251066875615</v>
      </c>
      <c r="G130" s="1426">
        <v>78924.75953823376</v>
      </c>
      <c r="H130" s="1434"/>
      <c r="I130" s="1405"/>
      <c r="J130" s="682"/>
      <c r="K130" s="1443">
        <v>300948.74719266227</v>
      </c>
      <c r="L130" s="683">
        <v>32742.924266095946</v>
      </c>
      <c r="M130" s="1429">
        <v>221604.57703739221</v>
      </c>
      <c r="N130" s="1426">
        <v>38985.824663143889</v>
      </c>
      <c r="O130" s="1433">
        <v>28667.063001785769</v>
      </c>
      <c r="P130" s="1426">
        <v>39815.702637402297</v>
      </c>
      <c r="Q130" s="1434"/>
      <c r="R130" s="1405"/>
      <c r="S130" s="682"/>
      <c r="T130" s="1398"/>
      <c r="U130" s="682"/>
      <c r="V130" s="1405"/>
      <c r="W130" s="1409"/>
      <c r="X130" s="1417"/>
      <c r="Y130" s="1417"/>
      <c r="Z130" s="1421"/>
    </row>
    <row r="131" spans="1:26">
      <c r="A131" s="583">
        <v>2000.2</v>
      </c>
      <c r="B131" s="1426">
        <v>514340.80485263764</v>
      </c>
      <c r="C131" s="683">
        <v>92473.804320139083</v>
      </c>
      <c r="D131" s="1429">
        <v>346912.17128932074</v>
      </c>
      <c r="E131" s="1426">
        <v>61604.379255324086</v>
      </c>
      <c r="F131" s="1433">
        <v>100293.52808480221</v>
      </c>
      <c r="G131" s="1426">
        <v>84584.615673549895</v>
      </c>
      <c r="H131" s="1434"/>
      <c r="I131" s="1405"/>
      <c r="J131" s="682"/>
      <c r="K131" s="1443">
        <v>324708.79439257958</v>
      </c>
      <c r="L131" s="683">
        <v>31078.365920459459</v>
      </c>
      <c r="M131" s="1429">
        <v>228469.9212379455</v>
      </c>
      <c r="N131" s="1426">
        <v>44708.954930954649</v>
      </c>
      <c r="O131" s="1433">
        <v>33831.169715147807</v>
      </c>
      <c r="P131" s="1426">
        <v>41632.365435444386</v>
      </c>
      <c r="Q131" s="1434"/>
      <c r="R131" s="1405"/>
      <c r="S131" s="682"/>
      <c r="T131" s="1398"/>
      <c r="U131" s="682"/>
      <c r="V131" s="1405"/>
      <c r="W131" s="1409"/>
      <c r="X131" s="1417"/>
      <c r="Y131" s="1417"/>
      <c r="Z131" s="1421"/>
    </row>
    <row r="132" spans="1:26">
      <c r="A132" s="583">
        <v>2000.3</v>
      </c>
      <c r="B132" s="1426">
        <v>499002.6227618194</v>
      </c>
      <c r="C132" s="683">
        <v>99168.373151804975</v>
      </c>
      <c r="D132" s="1429">
        <v>344485.9950184832</v>
      </c>
      <c r="E132" s="1426">
        <v>64269.902397678103</v>
      </c>
      <c r="F132" s="1433">
        <v>92420.423191712034</v>
      </c>
      <c r="G132" s="1426">
        <v>87612.032614117634</v>
      </c>
      <c r="H132" s="1434"/>
      <c r="I132" s="1405"/>
      <c r="J132" s="682"/>
      <c r="K132" s="1443">
        <v>319923.37801808486</v>
      </c>
      <c r="L132" s="683">
        <v>32694.303873374567</v>
      </c>
      <c r="M132" s="1429">
        <v>228759.35652739095</v>
      </c>
      <c r="N132" s="1426">
        <v>46102.607520695143</v>
      </c>
      <c r="O132" s="1433">
        <v>31638.849375161521</v>
      </c>
      <c r="P132" s="1426">
        <v>42451.140342947896</v>
      </c>
      <c r="Q132" s="1434"/>
      <c r="R132" s="1405"/>
      <c r="S132" s="682"/>
      <c r="T132" s="1398"/>
      <c r="U132" s="682"/>
      <c r="V132" s="1405"/>
      <c r="W132" s="1409"/>
      <c r="X132" s="1417"/>
      <c r="Y132" s="1417"/>
      <c r="Z132" s="1421"/>
    </row>
    <row r="133" spans="1:26">
      <c r="A133" s="583">
        <v>2000.4</v>
      </c>
      <c r="B133" s="1426">
        <v>501389.215538927</v>
      </c>
      <c r="C133" s="683">
        <v>96498.525508226187</v>
      </c>
      <c r="D133" s="1429">
        <v>344007.85829224263</v>
      </c>
      <c r="E133" s="1426">
        <v>65339.387537554583</v>
      </c>
      <c r="F133" s="1433">
        <v>90557.79429529293</v>
      </c>
      <c r="G133" s="1426">
        <v>89070.521310655953</v>
      </c>
      <c r="H133" s="1434"/>
      <c r="I133" s="1405"/>
      <c r="J133" s="682"/>
      <c r="K133" s="1443">
        <v>319459.75468103803</v>
      </c>
      <c r="L133" s="683">
        <v>32047.122374337498</v>
      </c>
      <c r="M133" s="1429">
        <v>228100.34760295495</v>
      </c>
      <c r="N133" s="1426">
        <v>47523.208809026604</v>
      </c>
      <c r="O133" s="1433">
        <v>31431.415080999977</v>
      </c>
      <c r="P133" s="1426">
        <v>43143.310136985187</v>
      </c>
      <c r="Q133" s="1434"/>
      <c r="R133" s="1405"/>
      <c r="S133" s="682"/>
      <c r="T133" s="1398"/>
      <c r="U133" s="682"/>
      <c r="V133" s="1405"/>
      <c r="W133" s="1409"/>
      <c r="X133" s="1417"/>
      <c r="Y133" s="1417"/>
      <c r="Z133" s="1421"/>
    </row>
    <row r="134" spans="1:26">
      <c r="A134" s="583">
        <v>2001.1</v>
      </c>
      <c r="B134" s="1426">
        <v>467327.98020122526</v>
      </c>
      <c r="C134" s="683">
        <v>95760.038297133608</v>
      </c>
      <c r="D134" s="1429">
        <v>324821.90882167732</v>
      </c>
      <c r="E134" s="1426">
        <v>53406.638281550171</v>
      </c>
      <c r="F134" s="1433">
        <v>85998.518531777561</v>
      </c>
      <c r="G134" s="1426">
        <v>71437.716802517461</v>
      </c>
      <c r="H134" s="1434"/>
      <c r="I134" s="1405"/>
      <c r="J134" s="682"/>
      <c r="K134" s="1443">
        <v>293032.65526660072</v>
      </c>
      <c r="L134" s="683">
        <v>32432.670866213062</v>
      </c>
      <c r="M134" s="1429">
        <v>217205.06397109193</v>
      </c>
      <c r="N134" s="1426">
        <v>39229.527470439847</v>
      </c>
      <c r="O134" s="1433">
        <v>29535.184775063633</v>
      </c>
      <c r="P134" s="1426">
        <v>35224.719127261051</v>
      </c>
      <c r="Q134" s="1434"/>
      <c r="R134" s="1405"/>
      <c r="S134" s="682"/>
      <c r="T134" s="1398"/>
      <c r="U134" s="682"/>
      <c r="V134" s="1405"/>
      <c r="W134" s="1409"/>
      <c r="X134" s="1417"/>
      <c r="Y134" s="1417"/>
      <c r="Z134" s="1421"/>
    </row>
    <row r="135" spans="1:26">
      <c r="A135" s="583">
        <v>2001.2</v>
      </c>
      <c r="B135" s="1426">
        <v>513476.44066776638</v>
      </c>
      <c r="C135" s="683">
        <v>88617.934333661091</v>
      </c>
      <c r="D135" s="1429">
        <v>339735.27351119113</v>
      </c>
      <c r="E135" s="1426">
        <v>61863.441194788822</v>
      </c>
      <c r="F135" s="1433">
        <v>104894.97068656218</v>
      </c>
      <c r="G135" s="1426">
        <v>79368.34102127784</v>
      </c>
      <c r="H135" s="1434"/>
      <c r="I135" s="1405"/>
      <c r="J135" s="682"/>
      <c r="K135" s="1443">
        <v>320513.64040712977</v>
      </c>
      <c r="L135" s="683">
        <v>29263.061802370466</v>
      </c>
      <c r="M135" s="1429">
        <v>223721.96303890817</v>
      </c>
      <c r="N135" s="1426">
        <v>45412.96790283305</v>
      </c>
      <c r="O135" s="1433">
        <v>34433.505470026532</v>
      </c>
      <c r="P135" s="1426">
        <v>37761.943689051419</v>
      </c>
      <c r="Q135" s="1434"/>
      <c r="R135" s="1405"/>
      <c r="S135" s="682"/>
      <c r="T135" s="1398"/>
      <c r="U135" s="682"/>
      <c r="V135" s="1405"/>
      <c r="W135" s="1409"/>
      <c r="X135" s="1417"/>
      <c r="Y135" s="1417"/>
      <c r="Z135" s="1421"/>
    </row>
    <row r="136" spans="1:26">
      <c r="A136" s="583">
        <v>2001.3</v>
      </c>
      <c r="B136" s="1426">
        <v>474407.55452212208</v>
      </c>
      <c r="C136" s="683">
        <v>81410.553248736906</v>
      </c>
      <c r="D136" s="1429">
        <v>321608.84873993252</v>
      </c>
      <c r="E136" s="1426">
        <v>62914.359975502048</v>
      </c>
      <c r="F136" s="1433">
        <v>97661.085422442484</v>
      </c>
      <c r="G136" s="1426">
        <v>72537.134129722574</v>
      </c>
      <c r="H136" s="1434"/>
      <c r="I136" s="1405"/>
      <c r="J136" s="682"/>
      <c r="K136" s="1443">
        <v>301975.77693355677</v>
      </c>
      <c r="L136" s="683">
        <v>25711.4615579702</v>
      </c>
      <c r="M136" s="1429">
        <v>212302.36339876449</v>
      </c>
      <c r="N136" s="1426">
        <v>44042.948631393323</v>
      </c>
      <c r="O136" s="1433">
        <v>32362.232091958314</v>
      </c>
      <c r="P136" s="1426">
        <v>34392.354873793949</v>
      </c>
      <c r="Q136" s="1434"/>
      <c r="R136" s="1405"/>
      <c r="S136" s="682"/>
      <c r="T136" s="1398"/>
      <c r="U136" s="682"/>
      <c r="V136" s="1405"/>
      <c r="W136" s="1409"/>
      <c r="X136" s="1417"/>
      <c r="Y136" s="1417"/>
      <c r="Z136" s="1421"/>
    </row>
    <row r="137" spans="1:26">
      <c r="A137" s="583">
        <v>2001.4</v>
      </c>
      <c r="B137" s="1426">
        <v>448693.77514926653</v>
      </c>
      <c r="C137" s="683">
        <v>63940.723480362074</v>
      </c>
      <c r="D137" s="1429">
        <v>301683.02957772167</v>
      </c>
      <c r="E137" s="1426">
        <v>61117.748772341329</v>
      </c>
      <c r="F137" s="1433">
        <v>90223.714538895962</v>
      </c>
      <c r="G137" s="1426">
        <v>63571.108414489987</v>
      </c>
      <c r="H137" s="1434"/>
      <c r="I137" s="1405"/>
      <c r="J137" s="682"/>
      <c r="K137" s="1443">
        <v>280494.09009854216</v>
      </c>
      <c r="L137" s="683">
        <v>19905.002800562201</v>
      </c>
      <c r="M137" s="1429">
        <v>199025.18838737693</v>
      </c>
      <c r="N137" s="1426">
        <v>43485.344711597863</v>
      </c>
      <c r="O137" s="1433">
        <v>28790.085689514421</v>
      </c>
      <c r="P137" s="1426">
        <v>30911.03836524803</v>
      </c>
      <c r="Q137" s="1434"/>
      <c r="R137" s="1405"/>
      <c r="S137" s="682"/>
      <c r="T137" s="1398"/>
      <c r="U137" s="682"/>
      <c r="V137" s="1405"/>
      <c r="W137" s="1409"/>
      <c r="X137" s="1417"/>
      <c r="Y137" s="1417"/>
      <c r="Z137" s="1421"/>
    </row>
    <row r="138" spans="1:26">
      <c r="A138" s="583">
        <v>2002.1</v>
      </c>
      <c r="B138" s="1426">
        <v>390971.78161748796</v>
      </c>
      <c r="C138" s="683">
        <v>40790.453254311644</v>
      </c>
      <c r="D138" s="1429">
        <v>263741.96356834128</v>
      </c>
      <c r="E138" s="1426">
        <v>49388.848535118639</v>
      </c>
      <c r="F138" s="1433">
        <v>90842.596949323575</v>
      </c>
      <c r="G138" s="1426">
        <v>39032.439125758618</v>
      </c>
      <c r="H138" s="1434"/>
      <c r="I138" s="1405"/>
      <c r="J138" s="682"/>
      <c r="K138" s="1443">
        <v>263795.25608557678</v>
      </c>
      <c r="L138" s="683">
        <v>26607.697507921774</v>
      </c>
      <c r="M138" s="1429">
        <v>188121.78648774297</v>
      </c>
      <c r="N138" s="1426">
        <v>36131.642785762793</v>
      </c>
      <c r="O138" s="1433">
        <v>50055.24332563093</v>
      </c>
      <c r="P138" s="1426">
        <v>22806.63070879368</v>
      </c>
      <c r="Q138" s="1434"/>
      <c r="R138" s="1405"/>
      <c r="S138" s="682"/>
      <c r="T138" s="1398"/>
      <c r="U138" s="682"/>
      <c r="V138" s="1405"/>
      <c r="W138" s="1409"/>
      <c r="X138" s="1417"/>
      <c r="Y138" s="1417"/>
      <c r="Z138" s="1421"/>
    </row>
    <row r="139" spans="1:26">
      <c r="A139" s="583">
        <v>2002.2</v>
      </c>
      <c r="B139" s="1426">
        <v>444096.35812527052</v>
      </c>
      <c r="C139" s="683">
        <v>38988.820128507781</v>
      </c>
      <c r="D139" s="1429">
        <v>281444.93805727817</v>
      </c>
      <c r="E139" s="1426">
        <v>59260.362065791574</v>
      </c>
      <c r="F139" s="1433">
        <v>103262.98736311993</v>
      </c>
      <c r="G139" s="1426">
        <v>45204.04789420365</v>
      </c>
      <c r="H139" s="1434"/>
      <c r="I139" s="1405"/>
      <c r="J139" s="682"/>
      <c r="K139" s="1443">
        <v>377246.2363398766</v>
      </c>
      <c r="L139" s="683">
        <v>40333.555401725462</v>
      </c>
      <c r="M139" s="1429">
        <v>232798.68376540919</v>
      </c>
      <c r="N139" s="1426">
        <v>44191.633813912638</v>
      </c>
      <c r="O139" s="1433">
        <v>96635.416148953009</v>
      </c>
      <c r="P139" s="1426">
        <v>33383.301229522403</v>
      </c>
      <c r="Q139" s="1434"/>
      <c r="R139" s="1405"/>
      <c r="S139" s="682"/>
      <c r="T139" s="1398"/>
      <c r="U139" s="682"/>
      <c r="V139" s="1405"/>
      <c r="W139" s="1409"/>
      <c r="X139" s="1417"/>
      <c r="Y139" s="1417"/>
      <c r="Z139" s="1421"/>
    </row>
    <row r="140" spans="1:26">
      <c r="A140" s="583">
        <v>2002.3</v>
      </c>
      <c r="B140" s="1426">
        <v>428054.00766313821</v>
      </c>
      <c r="C140" s="683">
        <v>41086.539467135975</v>
      </c>
      <c r="D140" s="1429">
        <v>277215.16163047351</v>
      </c>
      <c r="E140" s="1426">
        <v>58637.794025136696</v>
      </c>
      <c r="F140" s="1433">
        <v>100976.76776463469</v>
      </c>
      <c r="G140" s="1426">
        <v>45895.743138856124</v>
      </c>
      <c r="H140" s="1434"/>
      <c r="I140" s="1405"/>
      <c r="J140" s="682"/>
      <c r="K140" s="1443">
        <v>371680.07404421788</v>
      </c>
      <c r="L140" s="683">
        <v>46652.085963959529</v>
      </c>
      <c r="M140" s="1429">
        <v>232778.57177694075</v>
      </c>
      <c r="N140" s="1426">
        <v>45547.088835025686</v>
      </c>
      <c r="O140" s="1433">
        <v>107077.49153025853</v>
      </c>
      <c r="P140" s="1426">
        <v>36593.615539623919</v>
      </c>
      <c r="Q140" s="1434"/>
      <c r="R140" s="1405"/>
      <c r="S140" s="682"/>
      <c r="T140" s="1398"/>
      <c r="U140" s="682"/>
      <c r="V140" s="1405"/>
      <c r="W140" s="1409"/>
      <c r="X140" s="1417"/>
      <c r="Y140" s="1417"/>
      <c r="Z140" s="1421"/>
    </row>
    <row r="141" spans="1:26">
      <c r="A141" s="583">
        <v>2002.4</v>
      </c>
      <c r="B141" s="1426">
        <v>433362.88015682786</v>
      </c>
      <c r="C141" s="683">
        <v>43802.444860630007</v>
      </c>
      <c r="D141" s="1429">
        <v>280586.64285386197</v>
      </c>
      <c r="E141" s="1426">
        <v>59863.085222103633</v>
      </c>
      <c r="F141" s="1433">
        <v>95411.379903247493</v>
      </c>
      <c r="G141" s="1426">
        <v>52208.756907014424</v>
      </c>
      <c r="H141" s="1434"/>
      <c r="I141" s="1405"/>
      <c r="J141" s="682"/>
      <c r="K141" s="1443">
        <v>378627.45979797421</v>
      </c>
      <c r="L141" s="683">
        <v>48877.588187821108</v>
      </c>
      <c r="M141" s="1429">
        <v>236839.97418097852</v>
      </c>
      <c r="N141" s="1426">
        <v>47239.581914780545</v>
      </c>
      <c r="O141" s="1433">
        <v>103019.47294989554</v>
      </c>
      <c r="P141" s="1426">
        <v>42921.253462813045</v>
      </c>
      <c r="Q141" s="1434"/>
      <c r="R141" s="1405"/>
      <c r="S141" s="682"/>
      <c r="T141" s="1398"/>
      <c r="U141" s="682"/>
      <c r="V141" s="1405"/>
      <c r="W141" s="1409"/>
      <c r="X141" s="1417"/>
      <c r="Y141" s="1417"/>
      <c r="Z141" s="1421"/>
    </row>
    <row r="142" spans="1:26">
      <c r="A142" s="583">
        <v>2003.1</v>
      </c>
      <c r="B142" s="1426">
        <v>412150.09254573</v>
      </c>
      <c r="C142" s="683">
        <v>46900.951806164645</v>
      </c>
      <c r="D142" s="1429">
        <v>272055.09667803335</v>
      </c>
      <c r="E142" s="1426">
        <v>49283.293538047452</v>
      </c>
      <c r="F142" s="1433">
        <v>95433.992184847346</v>
      </c>
      <c r="G142" s="1426">
        <v>47520.388659071548</v>
      </c>
      <c r="H142" s="1434"/>
      <c r="I142" s="1405"/>
      <c r="J142" s="682"/>
      <c r="K142" s="1443">
        <v>364286.1557127501</v>
      </c>
      <c r="L142" s="683">
        <v>46836.897189950614</v>
      </c>
      <c r="M142" s="1429">
        <v>235348.73365322826</v>
      </c>
      <c r="N142" s="1426">
        <v>41227.448298621181</v>
      </c>
      <c r="O142" s="1433">
        <v>93328.599823345881</v>
      </c>
      <c r="P142" s="1426">
        <v>40174.743849634404</v>
      </c>
      <c r="Q142" s="1434"/>
      <c r="R142" s="1405"/>
      <c r="S142" s="682"/>
      <c r="T142" s="1398"/>
      <c r="U142" s="682"/>
      <c r="V142" s="1405"/>
      <c r="W142" s="1409"/>
      <c r="X142" s="1417"/>
      <c r="Y142" s="1417"/>
      <c r="Z142" s="1421"/>
    </row>
    <row r="143" spans="1:26">
      <c r="A143" s="583">
        <v>2003.2</v>
      </c>
      <c r="B143" s="1426">
        <v>478511.05001799093</v>
      </c>
      <c r="C143" s="683">
        <v>53111.425812615686</v>
      </c>
      <c r="D143" s="1429">
        <v>301143.44725036446</v>
      </c>
      <c r="E143" s="1426">
        <v>61445.419000378148</v>
      </c>
      <c r="F143" s="1433">
        <v>111372.52606068354</v>
      </c>
      <c r="G143" s="1426">
        <v>60173.289054514564</v>
      </c>
      <c r="H143" s="1434"/>
      <c r="I143" s="1405"/>
      <c r="J143" s="682"/>
      <c r="K143" s="1443">
        <v>444136.98029849515</v>
      </c>
      <c r="L143" s="683">
        <v>49322.695014334698</v>
      </c>
      <c r="M143" s="1429">
        <v>285395.22559033643</v>
      </c>
      <c r="N143" s="1426">
        <v>49713.601906918964</v>
      </c>
      <c r="O143" s="1433">
        <v>104034.29570196834</v>
      </c>
      <c r="P143" s="1426">
        <v>48678.627762416676</v>
      </c>
      <c r="Q143" s="1434"/>
      <c r="R143" s="1405"/>
      <c r="S143" s="682"/>
      <c r="T143" s="1398"/>
      <c r="U143" s="682"/>
      <c r="V143" s="1405"/>
      <c r="W143" s="1409"/>
      <c r="X143" s="1417"/>
      <c r="Y143" s="1417"/>
      <c r="Z143" s="1421"/>
    </row>
    <row r="144" spans="1:26">
      <c r="A144" s="583">
        <v>2003.3</v>
      </c>
      <c r="B144" s="1426">
        <v>471537.26727521425</v>
      </c>
      <c r="C144" s="683">
        <v>60058.089602319793</v>
      </c>
      <c r="D144" s="1429">
        <v>305914.77213519852</v>
      </c>
      <c r="E144" s="1426">
        <v>59723.434255220731</v>
      </c>
      <c r="F144" s="1433">
        <v>106405.24952223647</v>
      </c>
      <c r="G144" s="1426">
        <v>66500.953158983655</v>
      </c>
      <c r="H144" s="1434"/>
      <c r="I144" s="1405"/>
      <c r="J144" s="682"/>
      <c r="K144" s="1443">
        <v>420510.59358218138</v>
      </c>
      <c r="L144" s="683">
        <v>55980.438534274355</v>
      </c>
      <c r="M144" s="1429">
        <v>279787.29130874237</v>
      </c>
      <c r="N144" s="1426">
        <v>49282.39265061036</v>
      </c>
      <c r="O144" s="1433">
        <v>96225.543092959619</v>
      </c>
      <c r="P144" s="1426">
        <v>53191.164360399438</v>
      </c>
      <c r="Q144" s="1434"/>
      <c r="R144" s="1405"/>
      <c r="S144" s="682"/>
      <c r="T144" s="1398"/>
      <c r="U144" s="682"/>
      <c r="V144" s="1405"/>
      <c r="W144" s="1409"/>
      <c r="X144" s="1417"/>
      <c r="Y144" s="1417"/>
      <c r="Z144" s="1421"/>
    </row>
    <row r="145" spans="1:26" ht="11.25" customHeight="1">
      <c r="A145" s="583">
        <v>2003.4</v>
      </c>
      <c r="B145" s="1426">
        <v>484205.69149454072</v>
      </c>
      <c r="C145" s="683">
        <v>66456.033909013131</v>
      </c>
      <c r="D145" s="1429">
        <v>313978.20090282941</v>
      </c>
      <c r="E145" s="1426">
        <v>60016.202181554821</v>
      </c>
      <c r="F145" s="1433">
        <v>100693.50166659399</v>
      </c>
      <c r="G145" s="1426">
        <v>77738.948038147719</v>
      </c>
      <c r="H145" s="682"/>
      <c r="I145" s="1405"/>
      <c r="J145" s="682"/>
      <c r="K145" s="1443">
        <v>444304.74769692507</v>
      </c>
      <c r="L145" s="683">
        <v>62884.113701668139</v>
      </c>
      <c r="M145" s="1429">
        <v>292915.10052331147</v>
      </c>
      <c r="N145" s="1426">
        <v>54394.840007001687</v>
      </c>
      <c r="O145" s="1433">
        <v>98422.399693610496</v>
      </c>
      <c r="P145" s="1426">
        <v>64501.558311019588</v>
      </c>
      <c r="Q145" s="1434"/>
      <c r="R145" s="1405"/>
      <c r="S145" s="682"/>
      <c r="T145" s="1398"/>
      <c r="U145" s="682"/>
      <c r="V145" s="1405"/>
      <c r="W145" s="1409"/>
      <c r="X145" s="1417"/>
      <c r="Y145" s="1417"/>
      <c r="Z145" s="1422"/>
    </row>
    <row r="146" spans="1:26">
      <c r="A146" s="583">
        <v>2004.1</v>
      </c>
      <c r="B146" s="1418">
        <v>460369.44223294873</v>
      </c>
      <c r="C146" s="684">
        <v>73073.434811126848</v>
      </c>
      <c r="D146" s="1430">
        <v>305237.17340565822</v>
      </c>
      <c r="E146" s="1418">
        <v>49687.342190580537</v>
      </c>
      <c r="F146" s="1410">
        <v>102774.20298138498</v>
      </c>
      <c r="G146" s="1418">
        <v>71794.433853449518</v>
      </c>
      <c r="H146" s="1435">
        <v>3949.8212589709524</v>
      </c>
      <c r="I146" s="1405"/>
      <c r="J146" s="1439">
        <f t="shared" ref="J146:J200" si="0">I146+H146</f>
        <v>3949.8212589709524</v>
      </c>
      <c r="K146" s="1399">
        <v>439195.86500017258</v>
      </c>
      <c r="L146" s="684">
        <v>69300.98673287862</v>
      </c>
      <c r="M146" s="1430">
        <v>291921.51061212993</v>
      </c>
      <c r="N146" s="1418">
        <v>47170.595604831338</v>
      </c>
      <c r="O146" s="1410">
        <v>100001.75529035171</v>
      </c>
      <c r="P146" s="1418">
        <v>65561.353206954533</v>
      </c>
      <c r="Q146" s="1410">
        <v>3841.4185253754799</v>
      </c>
      <c r="R146" s="1405"/>
      <c r="S146" s="1439">
        <f>R146+Q146</f>
        <v>3841.4185253754799</v>
      </c>
      <c r="T146" s="1399">
        <v>475882.05988569785</v>
      </c>
      <c r="U146" s="684">
        <v>76725.673609732097</v>
      </c>
      <c r="V146" s="1406">
        <v>302733.758870769</v>
      </c>
      <c r="W146" s="1410">
        <v>52718.601442543601</v>
      </c>
      <c r="X146" s="1418">
        <v>75422.428871703596</v>
      </c>
      <c r="Y146" s="1418">
        <v>110907.841101388</v>
      </c>
      <c r="Z146" s="1423">
        <f>SUM(T146:U146)-SUM(V146:Y146)</f>
        <v>10825.103209025809</v>
      </c>
    </row>
    <row r="147" spans="1:26">
      <c r="A147" s="583">
        <v>2004.2</v>
      </c>
      <c r="B147" s="1419">
        <v>514395.68177236168</v>
      </c>
      <c r="C147" s="685">
        <v>80006.307217458598</v>
      </c>
      <c r="D147" s="582">
        <v>338800.00167642522</v>
      </c>
      <c r="E147" s="1419">
        <v>52072.277957257422</v>
      </c>
      <c r="F147" s="1411">
        <v>119462.27741173614</v>
      </c>
      <c r="G147" s="1419">
        <v>81995.480315906025</v>
      </c>
      <c r="H147" s="1411">
        <v>2071.9331349479112</v>
      </c>
      <c r="I147" s="1405"/>
      <c r="J147" s="1440">
        <f t="shared" si="0"/>
        <v>2071.9331349479112</v>
      </c>
      <c r="K147" s="1400">
        <v>509498.6632468832</v>
      </c>
      <c r="L147" s="685">
        <v>78118.806134275597</v>
      </c>
      <c r="M147" s="582">
        <v>334394.65892603161</v>
      </c>
      <c r="N147" s="1419">
        <v>50275.44449939442</v>
      </c>
      <c r="O147" s="1411">
        <v>120749.89710227489</v>
      </c>
      <c r="P147" s="1419">
        <v>80070.028064612954</v>
      </c>
      <c r="Q147" s="1411">
        <v>2127.3566905942962</v>
      </c>
      <c r="R147" s="1405"/>
      <c r="S147" s="1440">
        <f t="shared" ref="S147:S201" si="1">R147+Q147</f>
        <v>2127.3566905942962</v>
      </c>
      <c r="T147" s="1400">
        <v>470158.85644990089</v>
      </c>
      <c r="U147" s="685">
        <v>80629.073639781505</v>
      </c>
      <c r="V147" s="1407">
        <v>304406.07917446102</v>
      </c>
      <c r="W147" s="1411">
        <v>52795.845965883898</v>
      </c>
      <c r="X147" s="1419">
        <v>76440.980343571195</v>
      </c>
      <c r="Y147" s="1419">
        <v>114545.411406687</v>
      </c>
      <c r="Z147" s="1424">
        <f>SUM(T147:U147)-SUM(V147:Y147)</f>
        <v>2599.6131990792928</v>
      </c>
    </row>
    <row r="148" spans="1:26">
      <c r="A148" s="583">
        <v>2004.3</v>
      </c>
      <c r="B148" s="1419">
        <v>481151.97994350811</v>
      </c>
      <c r="C148" s="685">
        <v>85416.072521139111</v>
      </c>
      <c r="D148" s="582">
        <v>310440.57413146732</v>
      </c>
      <c r="E148" s="1419">
        <v>53720.816256870574</v>
      </c>
      <c r="F148" s="1411">
        <v>119619.17122810414</v>
      </c>
      <c r="G148" s="1419">
        <v>79254.313812163426</v>
      </c>
      <c r="H148" s="1411">
        <v>3533.1507230072061</v>
      </c>
      <c r="I148" s="1405"/>
      <c r="J148" s="1440">
        <f t="shared" si="0"/>
        <v>3533.1507230072061</v>
      </c>
      <c r="K148" s="1400">
        <v>488462.38259118347</v>
      </c>
      <c r="L148" s="685">
        <v>87675.425341549242</v>
      </c>
      <c r="M148" s="582">
        <v>314867.08027685073</v>
      </c>
      <c r="N148" s="1419">
        <v>54912.188305730371</v>
      </c>
      <c r="O148" s="1411">
        <v>120599.67062461989</v>
      </c>
      <c r="P148" s="1419">
        <v>82294.818300392202</v>
      </c>
      <c r="Q148" s="1411">
        <v>3464.2001501778004</v>
      </c>
      <c r="R148" s="1405"/>
      <c r="S148" s="1440">
        <f t="shared" si="1"/>
        <v>3464.2001501778004</v>
      </c>
      <c r="T148" s="1400">
        <v>493904.34491956473</v>
      </c>
      <c r="U148" s="685">
        <v>82343.688015607797</v>
      </c>
      <c r="V148" s="1407">
        <v>316930.52382570098</v>
      </c>
      <c r="W148" s="1411">
        <v>54481.8856208699</v>
      </c>
      <c r="X148" s="1419">
        <v>77414.532248851596</v>
      </c>
      <c r="Y148" s="1419">
        <v>117308.32601357299</v>
      </c>
      <c r="Z148" s="1424">
        <f t="shared" ref="Z148:Z193" si="2">SUM(T148:U148)-SUM(V148:Y148)</f>
        <v>10112.765226177056</v>
      </c>
    </row>
    <row r="149" spans="1:26">
      <c r="A149" s="583">
        <v>2004.4</v>
      </c>
      <c r="B149" s="1419">
        <v>484543.6768765623</v>
      </c>
      <c r="C149" s="685">
        <v>88375.321572668574</v>
      </c>
      <c r="D149" s="582">
        <v>293849.79395204922</v>
      </c>
      <c r="E149" s="1419">
        <v>60194.718175438473</v>
      </c>
      <c r="F149" s="1411">
        <v>120898.05016710557</v>
      </c>
      <c r="G149" s="1419">
        <v>75368.480470838374</v>
      </c>
      <c r="H149" s="1411">
        <v>22607.903844412853</v>
      </c>
      <c r="I149" s="1405"/>
      <c r="J149" s="1440">
        <f t="shared" si="0"/>
        <v>22607.903844412853</v>
      </c>
      <c r="K149" s="1400">
        <v>503303.86806077929</v>
      </c>
      <c r="L149" s="685">
        <v>91775.9179136897</v>
      </c>
      <c r="M149" s="582">
        <v>307144.29254431714</v>
      </c>
      <c r="N149" s="1419">
        <v>63316.925050190854</v>
      </c>
      <c r="O149" s="1411">
        <v>121402.37877108427</v>
      </c>
      <c r="P149" s="1419">
        <v>80486.508880397654</v>
      </c>
      <c r="Q149" s="1411">
        <v>22729.833595099299</v>
      </c>
      <c r="R149" s="1405"/>
      <c r="S149" s="1440">
        <f t="shared" si="1"/>
        <v>22729.833595099299</v>
      </c>
      <c r="T149" s="1400">
        <v>500515.51962736971</v>
      </c>
      <c r="U149" s="685">
        <v>87172.701042419401</v>
      </c>
      <c r="V149" s="1407">
        <v>324257.18006574898</v>
      </c>
      <c r="W149" s="1411">
        <v>55678.821493264397</v>
      </c>
      <c r="X149" s="1419">
        <v>79134.766871709697</v>
      </c>
      <c r="Y149" s="1419">
        <v>119992.123434375</v>
      </c>
      <c r="Z149" s="1424">
        <f t="shared" si="2"/>
        <v>8625.3288046909729</v>
      </c>
    </row>
    <row r="150" spans="1:26">
      <c r="A150" s="583">
        <v>2005.1</v>
      </c>
      <c r="B150" s="1419">
        <v>493602.53057785495</v>
      </c>
      <c r="C150" s="685">
        <v>84904.777449941423</v>
      </c>
      <c r="D150" s="582">
        <v>319799.76251832145</v>
      </c>
      <c r="E150" s="1419">
        <v>54179.355471642251</v>
      </c>
      <c r="F150" s="1411">
        <v>119186.92694656595</v>
      </c>
      <c r="G150" s="1419">
        <v>80672.434723857747</v>
      </c>
      <c r="H150" s="1411">
        <v>4668.8283674091235</v>
      </c>
      <c r="I150" s="1405"/>
      <c r="J150" s="1440">
        <f t="shared" si="0"/>
        <v>4668.8283674091235</v>
      </c>
      <c r="K150" s="1400">
        <v>510703.42701511632</v>
      </c>
      <c r="L150" s="685">
        <v>88106.33085835255</v>
      </c>
      <c r="M150" s="582">
        <v>329383.73535335076</v>
      </c>
      <c r="N150" s="1419">
        <v>60446.017998914125</v>
      </c>
      <c r="O150" s="1411">
        <v>116402.46462199275</v>
      </c>
      <c r="P150" s="1419">
        <v>88292.808996233114</v>
      </c>
      <c r="Q150" s="1411">
        <v>4284.730899772886</v>
      </c>
      <c r="R150" s="1405"/>
      <c r="S150" s="1440">
        <f t="shared" si="1"/>
        <v>4284.730899772886</v>
      </c>
      <c r="T150" s="1400">
        <v>514879.01440135133</v>
      </c>
      <c r="U150" s="685">
        <v>89020.982350886203</v>
      </c>
      <c r="V150" s="1407">
        <v>319256.882411825</v>
      </c>
      <c r="W150" s="1411">
        <v>57614.0648043619</v>
      </c>
      <c r="X150" s="1419">
        <v>84456.912591651097</v>
      </c>
      <c r="Y150" s="1419">
        <v>128987.961830798</v>
      </c>
      <c r="Z150" s="1424">
        <f t="shared" si="2"/>
        <v>13584.17511360161</v>
      </c>
    </row>
    <row r="151" spans="1:26">
      <c r="A151" s="583">
        <v>2005.2</v>
      </c>
      <c r="B151" s="1419">
        <v>581668.24987960246</v>
      </c>
      <c r="C151" s="685">
        <v>97288.203296056818</v>
      </c>
      <c r="D151" s="582">
        <v>385778.07211062423</v>
      </c>
      <c r="E151" s="1419">
        <v>58212.171986110239</v>
      </c>
      <c r="F151" s="1411">
        <v>138217.54798367393</v>
      </c>
      <c r="G151" s="1419">
        <v>94508.358707974621</v>
      </c>
      <c r="H151" s="1411">
        <v>2240.3023872762333</v>
      </c>
      <c r="I151" s="1405"/>
      <c r="J151" s="1440">
        <f t="shared" si="0"/>
        <v>2240.3023872762333</v>
      </c>
      <c r="K151" s="1400">
        <v>605771.77584651019</v>
      </c>
      <c r="L151" s="685">
        <v>103231.14457395862</v>
      </c>
      <c r="M151" s="582">
        <v>400294.00505751109</v>
      </c>
      <c r="N151" s="1419">
        <v>66443.386709894927</v>
      </c>
      <c r="O151" s="1411">
        <v>138861.52384866087</v>
      </c>
      <c r="P151" s="1419">
        <v>104017.9437655482</v>
      </c>
      <c r="Q151" s="1411">
        <v>-613.93896321337479</v>
      </c>
      <c r="R151" s="1405"/>
      <c r="S151" s="1440">
        <f t="shared" si="1"/>
        <v>-613.93896321337479</v>
      </c>
      <c r="T151" s="1400">
        <v>527114.49957898934</v>
      </c>
      <c r="U151" s="685">
        <v>98373.371062648497</v>
      </c>
      <c r="V151" s="1407">
        <v>346339.38796151697</v>
      </c>
      <c r="W151" s="1411">
        <v>58916.469779701198</v>
      </c>
      <c r="X151" s="1419">
        <v>89174.195292810298</v>
      </c>
      <c r="Y151" s="1419">
        <v>132423.530672558</v>
      </c>
      <c r="Z151" s="1424">
        <f t="shared" si="2"/>
        <v>-1365.7130649486789</v>
      </c>
    </row>
    <row r="152" spans="1:26">
      <c r="A152" s="583">
        <v>2005.3</v>
      </c>
      <c r="B152" s="1419">
        <v>514697.78950542817</v>
      </c>
      <c r="C152" s="685">
        <v>96844.893037090456</v>
      </c>
      <c r="D152" s="582">
        <v>323831.36566135968</v>
      </c>
      <c r="E152" s="1419">
        <v>58977.839293055164</v>
      </c>
      <c r="F152" s="1411">
        <v>135432.69307676284</v>
      </c>
      <c r="G152" s="1419">
        <v>89948.604167109792</v>
      </c>
      <c r="H152" s="1411">
        <v>3352.1803442310757</v>
      </c>
      <c r="I152" s="1405"/>
      <c r="J152" s="1440">
        <f t="shared" si="0"/>
        <v>3352.1803442310757</v>
      </c>
      <c r="K152" s="1400">
        <v>590219.55914262927</v>
      </c>
      <c r="L152" s="685">
        <v>102375.72168727528</v>
      </c>
      <c r="M152" s="582">
        <v>370307.88751717459</v>
      </c>
      <c r="N152" s="1419">
        <v>71261.081776276333</v>
      </c>
      <c r="O152" s="1411">
        <v>142090.95886911501</v>
      </c>
      <c r="P152" s="1419">
        <v>103532.80505222286</v>
      </c>
      <c r="Q152" s="1411">
        <v>5402.5476190675927</v>
      </c>
      <c r="R152" s="1405"/>
      <c r="S152" s="1440">
        <f t="shared" si="1"/>
        <v>5402.5476190675927</v>
      </c>
      <c r="T152" s="1400">
        <v>530118.98169971642</v>
      </c>
      <c r="U152" s="685">
        <v>93046.378412783699</v>
      </c>
      <c r="V152" s="1407">
        <v>331363.13214989699</v>
      </c>
      <c r="W152" s="1411">
        <v>59782.0398228165</v>
      </c>
      <c r="X152" s="1419">
        <v>87863.858455064794</v>
      </c>
      <c r="Y152" s="1419">
        <v>132582.32190280801</v>
      </c>
      <c r="Z152" s="1424">
        <f t="shared" si="2"/>
        <v>11574.007781913853</v>
      </c>
    </row>
    <row r="153" spans="1:26">
      <c r="A153" s="583">
        <v>2005.4</v>
      </c>
      <c r="B153" s="1419">
        <v>522255.20005077147</v>
      </c>
      <c r="C153" s="685">
        <v>99636.557923835848</v>
      </c>
      <c r="D153" s="582">
        <v>311201.93506826391</v>
      </c>
      <c r="E153" s="1419">
        <v>65561.512622711351</v>
      </c>
      <c r="F153" s="1411">
        <v>129550.81848020395</v>
      </c>
      <c r="G153" s="1419">
        <v>92100.022937559741</v>
      </c>
      <c r="H153" s="1411">
        <v>23477.468865868381</v>
      </c>
      <c r="I153" s="1405"/>
      <c r="J153" s="1440">
        <f t="shared" si="0"/>
        <v>23477.468865868381</v>
      </c>
      <c r="K153" s="1400">
        <v>623457.92974484281</v>
      </c>
      <c r="L153" s="685">
        <v>109528.9126465569</v>
      </c>
      <c r="M153" s="582">
        <v>368695.44949314673</v>
      </c>
      <c r="N153" s="1419">
        <v>84773.419972487434</v>
      </c>
      <c r="O153" s="1411">
        <v>144309.47515352926</v>
      </c>
      <c r="P153" s="1419">
        <v>108464.65877516926</v>
      </c>
      <c r="Q153" s="1411">
        <v>26743.838994612328</v>
      </c>
      <c r="R153" s="1405"/>
      <c r="S153" s="1440">
        <f t="shared" si="1"/>
        <v>26743.838994612328</v>
      </c>
      <c r="T153" s="1400">
        <v>540111.27433359972</v>
      </c>
      <c r="U153" s="685">
        <v>98233.699880606102</v>
      </c>
      <c r="V153" s="1407">
        <v>343651.73283533001</v>
      </c>
      <c r="W153" s="1411">
        <v>60618.304966639502</v>
      </c>
      <c r="X153" s="1419">
        <v>95734.454196975596</v>
      </c>
      <c r="Y153" s="1419">
        <v>128394.172081044</v>
      </c>
      <c r="Z153" s="1424">
        <f t="shared" si="2"/>
        <v>9946.3101342167938</v>
      </c>
    </row>
    <row r="154" spans="1:26">
      <c r="A154" s="583">
        <v>2006.1</v>
      </c>
      <c r="B154" s="1419">
        <v>532348.2120169173</v>
      </c>
      <c r="C154" s="685">
        <v>96613.891639486697</v>
      </c>
      <c r="D154" s="582">
        <v>354888.1198370661</v>
      </c>
      <c r="E154" s="1419">
        <v>56878.879612771321</v>
      </c>
      <c r="F154" s="1411">
        <v>125801.74305657322</v>
      </c>
      <c r="G154" s="1419">
        <v>93836.573169233787</v>
      </c>
      <c r="H154" s="1411">
        <v>-2443.2120192403586</v>
      </c>
      <c r="I154" s="1405"/>
      <c r="J154" s="1440">
        <f t="shared" si="0"/>
        <v>-2443.2120192403586</v>
      </c>
      <c r="K154" s="1400">
        <v>643562.37958706089</v>
      </c>
      <c r="L154" s="685">
        <v>111472.72410810947</v>
      </c>
      <c r="M154" s="582">
        <v>420680.07284991292</v>
      </c>
      <c r="N154" s="1419">
        <v>77417.348977918664</v>
      </c>
      <c r="O154" s="1411">
        <v>143494.78432027518</v>
      </c>
      <c r="P154" s="1419">
        <v>116110.67319549512</v>
      </c>
      <c r="Q154" s="1411">
        <v>-2667.7756484591591</v>
      </c>
      <c r="R154" s="1405"/>
      <c r="S154" s="1440">
        <f t="shared" si="1"/>
        <v>-2667.7756484591591</v>
      </c>
      <c r="T154" s="1400">
        <v>554272.21780913032</v>
      </c>
      <c r="U154" s="685">
        <v>101242.48522208699</v>
      </c>
      <c r="V154" s="1407">
        <v>353350.60928822</v>
      </c>
      <c r="W154" s="1411">
        <v>60538.6997317801</v>
      </c>
      <c r="X154" s="1419">
        <v>98147.961890183695</v>
      </c>
      <c r="Y154" s="1419">
        <v>136759.07481848399</v>
      </c>
      <c r="Z154" s="1424">
        <f t="shared" si="2"/>
        <v>6718.357302549528</v>
      </c>
    </row>
    <row r="155" spans="1:26">
      <c r="A155" s="583">
        <v>2006.2</v>
      </c>
      <c r="B155" s="1419">
        <v>614076.39260854386</v>
      </c>
      <c r="C155" s="685">
        <v>101743.8617298436</v>
      </c>
      <c r="D155" s="582">
        <v>412814.66669057618</v>
      </c>
      <c r="E155" s="1419">
        <v>60002.962566283692</v>
      </c>
      <c r="F155" s="1411">
        <v>141431.39484319702</v>
      </c>
      <c r="G155" s="1419">
        <v>105355.8130616704</v>
      </c>
      <c r="H155" s="1411">
        <v>-3784.5828233397406</v>
      </c>
      <c r="I155" s="1405"/>
      <c r="J155" s="1440">
        <f t="shared" si="0"/>
        <v>-3784.5828233397406</v>
      </c>
      <c r="K155" s="1400">
        <v>727989.18726691091</v>
      </c>
      <c r="L155" s="685">
        <v>119596.41054544807</v>
      </c>
      <c r="M155" s="582">
        <v>472564.97061645391</v>
      </c>
      <c r="N155" s="1419">
        <v>85196.547558208549</v>
      </c>
      <c r="O155" s="1411">
        <v>165070.51189350447</v>
      </c>
      <c r="P155" s="1419">
        <v>130833.71283691305</v>
      </c>
      <c r="Q155" s="1411">
        <v>-6080.1450941790172</v>
      </c>
      <c r="R155" s="1405"/>
      <c r="S155" s="1440">
        <f t="shared" si="1"/>
        <v>-6080.1450941790172</v>
      </c>
      <c r="T155" s="1400">
        <v>561295.07850760699</v>
      </c>
      <c r="U155" s="685">
        <v>103482.714406682</v>
      </c>
      <c r="V155" s="1407">
        <v>371962.64228442899</v>
      </c>
      <c r="W155" s="1411">
        <v>60749.018769169903</v>
      </c>
      <c r="X155" s="1419">
        <v>100514.55218597699</v>
      </c>
      <c r="Y155" s="1419">
        <v>135072.85950486199</v>
      </c>
      <c r="Z155" s="1424">
        <f t="shared" si="2"/>
        <v>-3521.2798301489092</v>
      </c>
    </row>
    <row r="156" spans="1:26">
      <c r="A156" s="583">
        <v>2006.3</v>
      </c>
      <c r="B156" s="1419">
        <v>562978.96562687657</v>
      </c>
      <c r="C156" s="685">
        <v>109844.576627056</v>
      </c>
      <c r="D156" s="582">
        <v>372993.09379983688</v>
      </c>
      <c r="E156" s="1419">
        <v>60840.091459644784</v>
      </c>
      <c r="F156" s="1411">
        <v>139275.06000824485</v>
      </c>
      <c r="G156" s="1419">
        <v>106228.60234204463</v>
      </c>
      <c r="H156" s="1411">
        <v>-6513.3053558385091</v>
      </c>
      <c r="I156" s="1405"/>
      <c r="J156" s="1440">
        <f t="shared" si="0"/>
        <v>-6513.3053558385091</v>
      </c>
      <c r="K156" s="1400">
        <v>729299.49800619599</v>
      </c>
      <c r="L156" s="685">
        <v>132390.49380631474</v>
      </c>
      <c r="M156" s="582">
        <v>469727.00246409507</v>
      </c>
      <c r="N156" s="1419">
        <v>88513.650744116705</v>
      </c>
      <c r="O156" s="1411">
        <v>169541.6449088919</v>
      </c>
      <c r="P156" s="1419">
        <v>139597.73830184387</v>
      </c>
      <c r="Q156" s="1411">
        <v>-5690.0446063492363</v>
      </c>
      <c r="R156" s="1405"/>
      <c r="S156" s="1440">
        <f t="shared" si="1"/>
        <v>-5690.0446063492363</v>
      </c>
      <c r="T156" s="1400">
        <v>577114.32139828941</v>
      </c>
      <c r="U156" s="685">
        <v>104959.483633831</v>
      </c>
      <c r="V156" s="1407">
        <v>381141.77929608797</v>
      </c>
      <c r="W156" s="1411">
        <v>61604.818134953697</v>
      </c>
      <c r="X156" s="1419">
        <v>103591.13520295</v>
      </c>
      <c r="Y156" s="1419">
        <v>136282.901225615</v>
      </c>
      <c r="Z156" s="1424">
        <f t="shared" si="2"/>
        <v>-546.82882748625707</v>
      </c>
    </row>
    <row r="157" spans="1:26">
      <c r="A157" s="583">
        <v>2006.4</v>
      </c>
      <c r="B157" s="1419">
        <v>572794.04663058836</v>
      </c>
      <c r="C157" s="685">
        <v>112095.47619426234</v>
      </c>
      <c r="D157" s="582">
        <v>346795.75351214455</v>
      </c>
      <c r="E157" s="1419">
        <v>68028.752176288792</v>
      </c>
      <c r="F157" s="1411">
        <v>144930.84608108603</v>
      </c>
      <c r="G157" s="1419">
        <v>103509.58849471423</v>
      </c>
      <c r="H157" s="1411">
        <v>21624.582560617051</v>
      </c>
      <c r="I157" s="1405"/>
      <c r="J157" s="1440">
        <f t="shared" si="0"/>
        <v>21624.582560617051</v>
      </c>
      <c r="K157" s="1400">
        <v>762766.02207522606</v>
      </c>
      <c r="L157" s="685">
        <v>135004.04864091883</v>
      </c>
      <c r="M157" s="582">
        <v>448843.86982539098</v>
      </c>
      <c r="N157" s="1419">
        <v>104803.31529002971</v>
      </c>
      <c r="O157" s="1411">
        <v>181289.42002470954</v>
      </c>
      <c r="P157" s="1419">
        <v>138392.87072482545</v>
      </c>
      <c r="Q157" s="1411">
        <v>24440.594854846193</v>
      </c>
      <c r="R157" s="1405"/>
      <c r="S157" s="1440">
        <f t="shared" si="1"/>
        <v>24440.594854846193</v>
      </c>
      <c r="T157" s="1400">
        <v>589515.99916790042</v>
      </c>
      <c r="U157" s="685">
        <v>110613.12292804899</v>
      </c>
      <c r="V157" s="1407">
        <v>381036.60297088698</v>
      </c>
      <c r="W157" s="1411">
        <v>62858.149179084998</v>
      </c>
      <c r="X157" s="1419">
        <v>106676.927788552</v>
      </c>
      <c r="Y157" s="1419">
        <v>143324.20844014001</v>
      </c>
      <c r="Z157" s="1424">
        <f t="shared" si="2"/>
        <v>6233.2337172854459</v>
      </c>
    </row>
    <row r="158" spans="1:26">
      <c r="A158" s="583">
        <v>2007.1</v>
      </c>
      <c r="B158" s="1419">
        <v>576846.88569942722</v>
      </c>
      <c r="C158" s="685">
        <v>112275.54046719316</v>
      </c>
      <c r="D158" s="582">
        <v>394546.92237347405</v>
      </c>
      <c r="E158" s="1419">
        <v>61224.204722923663</v>
      </c>
      <c r="F158" s="1411">
        <v>129994.29307272191</v>
      </c>
      <c r="G158" s="1419">
        <v>111459.50015804857</v>
      </c>
      <c r="H158" s="1411">
        <v>-8102.4941605478389</v>
      </c>
      <c r="I158" s="1405"/>
      <c r="J158" s="1440">
        <f t="shared" si="0"/>
        <v>-8102.4941605478389</v>
      </c>
      <c r="K158" s="1400">
        <v>774387.78784127673</v>
      </c>
      <c r="L158" s="685">
        <v>139154.18921558568</v>
      </c>
      <c r="M158" s="582">
        <v>506621.02800736926</v>
      </c>
      <c r="N158" s="1419">
        <v>97650.676705075806</v>
      </c>
      <c r="O158" s="1411">
        <v>168496.91895986651</v>
      </c>
      <c r="P158" s="1419">
        <v>148228.49189903785</v>
      </c>
      <c r="Q158" s="1411">
        <v>-7455.1385156767692</v>
      </c>
      <c r="R158" s="1405"/>
      <c r="S158" s="1440">
        <f t="shared" si="1"/>
        <v>-7455.1385156767692</v>
      </c>
      <c r="T158" s="1400">
        <v>603369.17999264761</v>
      </c>
      <c r="U158" s="685">
        <v>117928.79055492399</v>
      </c>
      <c r="V158" s="1407">
        <v>392375.02009914198</v>
      </c>
      <c r="W158" s="1411">
        <v>65397.605857680901</v>
      </c>
      <c r="X158" s="1419">
        <v>116818.571062045</v>
      </c>
      <c r="Y158" s="1419">
        <v>142842.255405098</v>
      </c>
      <c r="Z158" s="1424">
        <f t="shared" si="2"/>
        <v>3864.5181236057542</v>
      </c>
    </row>
    <row r="159" spans="1:26">
      <c r="A159" s="583">
        <v>2007.2</v>
      </c>
      <c r="B159" s="1419">
        <v>674620.56300648488</v>
      </c>
      <c r="C159" s="685">
        <v>117677.32624788815</v>
      </c>
      <c r="D159" s="582">
        <v>444046.11165498366</v>
      </c>
      <c r="E159" s="1419">
        <v>65259.863868160544</v>
      </c>
      <c r="F159" s="1411">
        <v>151852.51450331474</v>
      </c>
      <c r="G159" s="1419">
        <v>125373.05789199457</v>
      </c>
      <c r="H159" s="1411">
        <v>5766.3413359196438</v>
      </c>
      <c r="I159" s="1405"/>
      <c r="J159" s="1440">
        <f t="shared" si="0"/>
        <v>5766.3413359196438</v>
      </c>
      <c r="K159" s="1400">
        <v>904350.3880930806</v>
      </c>
      <c r="L159" s="685">
        <v>149392.83597633499</v>
      </c>
      <c r="M159" s="582">
        <v>576216.8994114009</v>
      </c>
      <c r="N159" s="1419">
        <v>111138.64568574482</v>
      </c>
      <c r="O159" s="1411">
        <v>193068.36037436526</v>
      </c>
      <c r="P159" s="1419">
        <v>170803.77769164724</v>
      </c>
      <c r="Q159" s="1411">
        <v>2515.5409091800311</v>
      </c>
      <c r="R159" s="1405"/>
      <c r="S159" s="1440">
        <f t="shared" si="1"/>
        <v>2515.5409091800311</v>
      </c>
      <c r="T159" s="1400">
        <v>616071.40624597284</v>
      </c>
      <c r="U159" s="685">
        <v>120824.01074678</v>
      </c>
      <c r="V159" s="1407">
        <v>402379.92156228999</v>
      </c>
      <c r="W159" s="1411">
        <v>65968.875346249304</v>
      </c>
      <c r="X159" s="1419">
        <v>121411.304689545</v>
      </c>
      <c r="Y159" s="1419">
        <v>144118.001409427</v>
      </c>
      <c r="Z159" s="1424">
        <f t="shared" si="2"/>
        <v>3017.3139852414606</v>
      </c>
    </row>
    <row r="160" spans="1:26">
      <c r="A160" s="583">
        <v>2007.3</v>
      </c>
      <c r="B160" s="1419">
        <v>610425.69401485357</v>
      </c>
      <c r="C160" s="685">
        <v>136188.56334207152</v>
      </c>
      <c r="D160" s="582">
        <v>403183.03818433546</v>
      </c>
      <c r="E160" s="1419">
        <v>65411.563296301509</v>
      </c>
      <c r="F160" s="1411">
        <v>153959.99205222024</v>
      </c>
      <c r="G160" s="1419">
        <v>128893.70334910932</v>
      </c>
      <c r="H160" s="1411">
        <v>-4834.0395250414695</v>
      </c>
      <c r="I160" s="1405"/>
      <c r="J160" s="1440">
        <f t="shared" si="0"/>
        <v>-4834.0395250414695</v>
      </c>
      <c r="K160" s="1400">
        <v>914103.9674019193</v>
      </c>
      <c r="L160" s="685">
        <v>183313.01687331864</v>
      </c>
      <c r="M160" s="582">
        <v>589438.23177490232</v>
      </c>
      <c r="N160" s="1419">
        <v>118300.43627035344</v>
      </c>
      <c r="O160" s="1411">
        <v>207489.64344238988</v>
      </c>
      <c r="P160" s="1419">
        <v>189101.60950229838</v>
      </c>
      <c r="Q160" s="1411">
        <v>-6912.9367156181479</v>
      </c>
      <c r="R160" s="1405"/>
      <c r="S160" s="1440">
        <f t="shared" si="1"/>
        <v>-6912.9367156181479</v>
      </c>
      <c r="T160" s="1400">
        <v>624493.39030747453</v>
      </c>
      <c r="U160" s="685">
        <v>129423.80153063301</v>
      </c>
      <c r="V160" s="1407">
        <v>412144.81970243598</v>
      </c>
      <c r="W160" s="1411">
        <v>66119.189597282006</v>
      </c>
      <c r="X160" s="1419">
        <v>125271.90770348599</v>
      </c>
      <c r="Y160" s="1419">
        <v>150536.08135194099</v>
      </c>
      <c r="Z160" s="1424">
        <f t="shared" si="2"/>
        <v>-154.80651703744661</v>
      </c>
    </row>
    <row r="161" spans="1:26">
      <c r="A161" s="583">
        <v>2007.4</v>
      </c>
      <c r="B161" s="1419">
        <v>625876.86786359688</v>
      </c>
      <c r="C161" s="685">
        <v>136704.0597547481</v>
      </c>
      <c r="D161" s="582">
        <v>384630.07880417624</v>
      </c>
      <c r="E161" s="1419">
        <v>73096.788473659748</v>
      </c>
      <c r="F161" s="1411">
        <v>160654.2198809369</v>
      </c>
      <c r="G161" s="1419">
        <v>126843.69936850498</v>
      </c>
      <c r="H161" s="1411">
        <v>17356.141091067057</v>
      </c>
      <c r="I161" s="1405"/>
      <c r="J161" s="1440">
        <f t="shared" si="0"/>
        <v>17356.141091067057</v>
      </c>
      <c r="K161" s="1400">
        <v>995078.55295133556</v>
      </c>
      <c r="L161" s="685">
        <v>184098.6999451606</v>
      </c>
      <c r="M161" s="582">
        <v>571294.88802087051</v>
      </c>
      <c r="N161" s="1419">
        <v>138956.88158723252</v>
      </c>
      <c r="O161" s="1411">
        <v>244066.58584354116</v>
      </c>
      <c r="P161" s="1419">
        <v>192087.56402626808</v>
      </c>
      <c r="Q161" s="1411">
        <v>32771.333419359624</v>
      </c>
      <c r="R161" s="1405"/>
      <c r="S161" s="1440">
        <f t="shared" si="1"/>
        <v>32771.333419359624</v>
      </c>
      <c r="T161" s="1400">
        <v>643836.03403826721</v>
      </c>
      <c r="U161" s="685">
        <v>134668.886979565</v>
      </c>
      <c r="V161" s="1407">
        <v>419506.38965310197</v>
      </c>
      <c r="W161" s="1411">
        <v>67506.749559833101</v>
      </c>
      <c r="X161" s="1419">
        <v>129068.177312582</v>
      </c>
      <c r="Y161" s="1419">
        <v>158964.681342728</v>
      </c>
      <c r="Z161" s="1424">
        <f t="shared" si="2"/>
        <v>3458.9231495872373</v>
      </c>
    </row>
    <row r="162" spans="1:26">
      <c r="A162" s="583">
        <v>2008.1</v>
      </c>
      <c r="B162" s="1419">
        <v>616720.35706447833</v>
      </c>
      <c r="C162" s="685">
        <v>138615.19699718201</v>
      </c>
      <c r="D162" s="582">
        <v>434706.92070959473</v>
      </c>
      <c r="E162" s="1419">
        <v>63538.090213852025</v>
      </c>
      <c r="F162" s="1411">
        <v>138205.65471421785</v>
      </c>
      <c r="G162" s="1419">
        <v>130866.27503076549</v>
      </c>
      <c r="H162" s="1411">
        <v>-11981.386606769784</v>
      </c>
      <c r="I162" s="1405"/>
      <c r="J162" s="1440">
        <f t="shared" si="0"/>
        <v>-11981.386606769784</v>
      </c>
      <c r="K162" s="1400">
        <v>1032356.8732593583</v>
      </c>
      <c r="L162" s="685">
        <v>191232.01150689326</v>
      </c>
      <c r="M162" s="582">
        <v>674136.75723869773</v>
      </c>
      <c r="N162" s="1419">
        <v>130083.88092501654</v>
      </c>
      <c r="O162" s="1411">
        <v>233518.69462890347</v>
      </c>
      <c r="P162" s="1419">
        <v>202936.38542612523</v>
      </c>
      <c r="Q162" s="1411">
        <v>-17086.833455485175</v>
      </c>
      <c r="R162" s="1405"/>
      <c r="S162" s="1440">
        <f t="shared" si="1"/>
        <v>-17086.833455485175</v>
      </c>
      <c r="T162" s="1400">
        <v>650285.03229525173</v>
      </c>
      <c r="U162" s="685">
        <v>145716.351979083</v>
      </c>
      <c r="V162" s="1407">
        <v>436994.29502931802</v>
      </c>
      <c r="W162" s="1411">
        <v>68322.000529360696</v>
      </c>
      <c r="X162" s="1419">
        <v>137758.34602276699</v>
      </c>
      <c r="Y162" s="1419">
        <v>153500.99775764701</v>
      </c>
      <c r="Z162" s="1424">
        <f t="shared" si="2"/>
        <v>-574.25506475789007</v>
      </c>
    </row>
    <row r="163" spans="1:26">
      <c r="A163" s="583">
        <v>2008.2</v>
      </c>
      <c r="B163" s="1419">
        <v>711405.50045523292</v>
      </c>
      <c r="C163" s="685">
        <v>147043.53953203355</v>
      </c>
      <c r="D163" s="582">
        <v>485578.45935453649</v>
      </c>
      <c r="E163" s="1419">
        <v>69148.379392770483</v>
      </c>
      <c r="F163" s="1411">
        <v>147769.55715328988</v>
      </c>
      <c r="G163" s="1419">
        <v>146972.60805294834</v>
      </c>
      <c r="H163" s="1411">
        <v>8980.036033721306</v>
      </c>
      <c r="I163" s="1405"/>
      <c r="J163" s="1440">
        <f t="shared" si="0"/>
        <v>8980.036033721306</v>
      </c>
      <c r="K163" s="1400">
        <v>1213883.4109890296</v>
      </c>
      <c r="L163" s="685">
        <v>220625.26158163598</v>
      </c>
      <c r="M163" s="582">
        <v>786479.25785748009</v>
      </c>
      <c r="N163" s="1419">
        <v>150962.64473625927</v>
      </c>
      <c r="O163" s="1411">
        <v>249293.10641471308</v>
      </c>
      <c r="P163" s="1419">
        <v>234221.80476596183</v>
      </c>
      <c r="Q163" s="1411">
        <v>13551.858797320265</v>
      </c>
      <c r="R163" s="1405"/>
      <c r="S163" s="1440">
        <f t="shared" si="1"/>
        <v>13551.858797320265</v>
      </c>
      <c r="T163" s="1400">
        <v>653009.98029860144</v>
      </c>
      <c r="U163" s="685">
        <v>151080.57907902199</v>
      </c>
      <c r="V163" s="1407">
        <v>442498.31172227301</v>
      </c>
      <c r="W163" s="1411">
        <v>69550.418928004699</v>
      </c>
      <c r="X163" s="1419">
        <v>143941.307966155</v>
      </c>
      <c r="Y163" s="1419">
        <v>138306.73334336601</v>
      </c>
      <c r="Z163" s="1424">
        <f t="shared" si="2"/>
        <v>9793.7874178248458</v>
      </c>
    </row>
    <row r="164" spans="1:26">
      <c r="A164" s="583">
        <v>2008.3</v>
      </c>
      <c r="B164" s="1419">
        <v>647087.95974249416</v>
      </c>
      <c r="C164" s="685">
        <v>153056.79563738545</v>
      </c>
      <c r="D164" s="582">
        <v>425312.74440875015</v>
      </c>
      <c r="E164" s="1419">
        <v>69622.829397327776</v>
      </c>
      <c r="F164" s="1411">
        <v>169221.27116816866</v>
      </c>
      <c r="G164" s="1419">
        <v>138451.48746983963</v>
      </c>
      <c r="H164" s="1411">
        <v>-2463.5770642065149</v>
      </c>
      <c r="I164" s="1405"/>
      <c r="J164" s="1440">
        <f t="shared" si="0"/>
        <v>-2463.5770642065149</v>
      </c>
      <c r="K164" s="1400">
        <v>1183692.2697064732</v>
      </c>
      <c r="L164" s="685">
        <v>231651.13955040163</v>
      </c>
      <c r="M164" s="582">
        <v>735708.42017224384</v>
      </c>
      <c r="N164" s="1419">
        <v>159058.12034225065</v>
      </c>
      <c r="O164" s="1411">
        <v>290934.39040944231</v>
      </c>
      <c r="P164" s="1419">
        <v>230523.27564884457</v>
      </c>
      <c r="Q164" s="1411">
        <v>-880.79731233810821</v>
      </c>
      <c r="R164" s="1405"/>
      <c r="S164" s="1440">
        <f t="shared" si="1"/>
        <v>-880.79731233810821</v>
      </c>
      <c r="T164" s="1400">
        <v>657855.43468323583</v>
      </c>
      <c r="U164" s="685">
        <v>144214.00429638001</v>
      </c>
      <c r="V164" s="1407">
        <v>435095.16375764197</v>
      </c>
      <c r="W164" s="1411">
        <v>70201.986984389994</v>
      </c>
      <c r="X164" s="1419">
        <v>133902.142731478</v>
      </c>
      <c r="Y164" s="1419">
        <v>164733.36883061001</v>
      </c>
      <c r="Z164" s="1424">
        <f t="shared" si="2"/>
        <v>-1863.2233245040989</v>
      </c>
    </row>
    <row r="165" spans="1:26">
      <c r="A165" s="583">
        <v>2008.4</v>
      </c>
      <c r="B165" s="1419">
        <v>613490.82170264097</v>
      </c>
      <c r="C165" s="685">
        <v>132326.80332668536</v>
      </c>
      <c r="D165" s="582">
        <v>398635.44285744097</v>
      </c>
      <c r="E165" s="1419">
        <v>75972.699166944643</v>
      </c>
      <c r="F165" s="1411">
        <v>145677.599528055</v>
      </c>
      <c r="G165" s="1419">
        <v>119110.68925230175</v>
      </c>
      <c r="H165" s="1411">
        <v>6421.1942245838236</v>
      </c>
      <c r="I165" s="1405"/>
      <c r="J165" s="1440">
        <f t="shared" si="0"/>
        <v>6421.1942245838236</v>
      </c>
      <c r="K165" s="1400">
        <v>1168651.8083796799</v>
      </c>
      <c r="L165" s="685">
        <v>199953.49210063458</v>
      </c>
      <c r="M165" s="582">
        <v>704213.49724900292</v>
      </c>
      <c r="N165" s="1419">
        <v>186843.96270206655</v>
      </c>
      <c r="O165" s="1411">
        <v>240742.92356209503</v>
      </c>
      <c r="P165" s="1419">
        <v>206516.8242355749</v>
      </c>
      <c r="Q165" s="1411">
        <v>30288.092730575718</v>
      </c>
      <c r="R165" s="1405"/>
      <c r="S165" s="1440">
        <f t="shared" si="1"/>
        <v>30288.092730575718</v>
      </c>
      <c r="T165" s="1400">
        <v>627554.19168775901</v>
      </c>
      <c r="U165" s="685">
        <v>130031.40013880099</v>
      </c>
      <c r="V165" s="1407">
        <v>429645.796821089</v>
      </c>
      <c r="W165" s="1411">
        <v>70207.5917291394</v>
      </c>
      <c r="X165" s="1419">
        <v>119799.263085456</v>
      </c>
      <c r="Y165" s="1419">
        <v>144332.982632108</v>
      </c>
      <c r="Z165" s="1424">
        <f t="shared" si="2"/>
        <v>-6400.0424412324792</v>
      </c>
    </row>
    <row r="166" spans="1:26">
      <c r="A166" s="583">
        <v>2009.1</v>
      </c>
      <c r="B166" s="1419">
        <v>578553.04424240452</v>
      </c>
      <c r="C166" s="685">
        <v>108884.58517996111</v>
      </c>
      <c r="D166" s="582">
        <v>410435.15837710962</v>
      </c>
      <c r="E166" s="1419">
        <v>65839.054780303151</v>
      </c>
      <c r="F166" s="1411">
        <v>127658.2065877633</v>
      </c>
      <c r="G166" s="1419">
        <v>95500.572106358406</v>
      </c>
      <c r="H166" s="1411">
        <v>-11995.36242916899</v>
      </c>
      <c r="I166" s="1405"/>
      <c r="J166" s="1440">
        <f t="shared" si="0"/>
        <v>-11995.36242916899</v>
      </c>
      <c r="K166" s="1400">
        <v>1112307.4883262962</v>
      </c>
      <c r="L166" s="685">
        <v>158748.34424168098</v>
      </c>
      <c r="M166" s="582">
        <v>745582.80543412548</v>
      </c>
      <c r="N166" s="1419">
        <v>168925.3136671262</v>
      </c>
      <c r="O166" s="1411">
        <v>204977.71606670532</v>
      </c>
      <c r="P166" s="1419">
        <v>171002.40533113322</v>
      </c>
      <c r="Q166" s="1411">
        <v>-19432.40793445547</v>
      </c>
      <c r="R166" s="1405"/>
      <c r="S166" s="1440">
        <f t="shared" si="1"/>
        <v>-19432.40793445547</v>
      </c>
      <c r="T166" s="1400">
        <v>605116.16397302528</v>
      </c>
      <c r="U166" s="685">
        <v>114859.62044443301</v>
      </c>
      <c r="V166" s="1407">
        <v>409556.24949410098</v>
      </c>
      <c r="W166" s="1411">
        <v>70797.042628686802</v>
      </c>
      <c r="X166" s="1419">
        <v>103892.937905167</v>
      </c>
      <c r="Y166" s="1419">
        <v>143069.61233095499</v>
      </c>
      <c r="Z166" s="1424">
        <f t="shared" si="2"/>
        <v>-7340.0579414514359</v>
      </c>
    </row>
    <row r="167" spans="1:26">
      <c r="A167" s="583">
        <v>2009.2</v>
      </c>
      <c r="B167" s="1419">
        <v>631197.75186006888</v>
      </c>
      <c r="C167" s="685">
        <v>104729.45493210446</v>
      </c>
      <c r="D167" s="582">
        <v>423959.33862360148</v>
      </c>
      <c r="E167" s="1419">
        <v>71368.489362473789</v>
      </c>
      <c r="F167" s="1411">
        <v>147851.62921163163</v>
      </c>
      <c r="G167" s="1419">
        <v>99870.790794023254</v>
      </c>
      <c r="H167" s="1411">
        <v>-7123.0411995568838</v>
      </c>
      <c r="I167" s="1405"/>
      <c r="J167" s="1440">
        <f t="shared" si="0"/>
        <v>-7123.0411995568838</v>
      </c>
      <c r="K167" s="1400">
        <v>1251464.7279338671</v>
      </c>
      <c r="L167" s="685">
        <v>164767.15534830542</v>
      </c>
      <c r="M167" s="582">
        <v>783242.36326699355</v>
      </c>
      <c r="N167" s="1419">
        <v>191861.73537639627</v>
      </c>
      <c r="O167" s="1411">
        <v>262406.91405338224</v>
      </c>
      <c r="P167" s="1419">
        <v>183569.65373476941</v>
      </c>
      <c r="Q167" s="1411">
        <v>-4848.7831458579285</v>
      </c>
      <c r="R167" s="1405"/>
      <c r="S167" s="1440">
        <f t="shared" si="1"/>
        <v>-4848.7831458579285</v>
      </c>
      <c r="T167" s="1400">
        <v>590188.63125615404</v>
      </c>
      <c r="U167" s="685">
        <v>108077.032587833</v>
      </c>
      <c r="V167" s="1407">
        <v>392881.66228177398</v>
      </c>
      <c r="W167" s="1411">
        <v>71917.524065038306</v>
      </c>
      <c r="X167" s="1419">
        <v>97993.679091046506</v>
      </c>
      <c r="Y167" s="1419">
        <v>136638.56721805301</v>
      </c>
      <c r="Z167" s="1424">
        <f t="shared" si="2"/>
        <v>-1165.7688119247323</v>
      </c>
    </row>
    <row r="168" spans="1:26">
      <c r="A168" s="583">
        <v>2009.3</v>
      </c>
      <c r="B168" s="1419">
        <v>610519.85461172729</v>
      </c>
      <c r="C168" s="685">
        <v>123133.64403046449</v>
      </c>
      <c r="D168" s="582">
        <v>419318.04320998426</v>
      </c>
      <c r="E168" s="1419">
        <v>74331.011721108443</v>
      </c>
      <c r="F168" s="1411">
        <v>131625.13245280623</v>
      </c>
      <c r="G168" s="1419">
        <v>108714.07912083372</v>
      </c>
      <c r="H168" s="1411">
        <v>-334.76786254085039</v>
      </c>
      <c r="I168" s="1405"/>
      <c r="J168" s="1440">
        <f t="shared" si="0"/>
        <v>-334.76786254085039</v>
      </c>
      <c r="K168" s="1400">
        <v>1269734.7452670829</v>
      </c>
      <c r="L168" s="685">
        <v>195582.56049985427</v>
      </c>
      <c r="M168" s="582">
        <v>811737.13865262375</v>
      </c>
      <c r="N168" s="1419">
        <v>199109.69134876208</v>
      </c>
      <c r="O168" s="1411">
        <v>245558.22645878489</v>
      </c>
      <c r="P168" s="1419">
        <v>207506.67088168586</v>
      </c>
      <c r="Q168" s="1411">
        <v>1405.5784274129992</v>
      </c>
      <c r="R168" s="1405"/>
      <c r="S168" s="1440">
        <f t="shared" si="1"/>
        <v>1405.5784274129992</v>
      </c>
      <c r="T168" s="1400">
        <v>614023.24340951152</v>
      </c>
      <c r="U168" s="685">
        <v>115943.329927236</v>
      </c>
      <c r="V168" s="1407">
        <v>426314.24924897501</v>
      </c>
      <c r="W168" s="1411">
        <v>74840.602603965497</v>
      </c>
      <c r="X168" s="1419">
        <v>103144.295792327</v>
      </c>
      <c r="Y168" s="1419">
        <v>127344.051587059</v>
      </c>
      <c r="Z168" s="1424">
        <f t="shared" si="2"/>
        <v>-1676.6258955791127</v>
      </c>
    </row>
    <row r="169" spans="1:26">
      <c r="A169" s="583">
        <v>2009.4</v>
      </c>
      <c r="B169" s="1419">
        <v>615220.85493729718</v>
      </c>
      <c r="C169" s="685">
        <v>129128.9859125566</v>
      </c>
      <c r="D169" s="582">
        <v>396373.36918996047</v>
      </c>
      <c r="E169" s="1419">
        <v>82422.557447338622</v>
      </c>
      <c r="F169" s="1411">
        <v>137574.77413312762</v>
      </c>
      <c r="G169" s="1419">
        <v>110460.32612797979</v>
      </c>
      <c r="H169" s="1411">
        <v>17518.813951447286</v>
      </c>
      <c r="I169" s="1405"/>
      <c r="J169" s="1440">
        <f t="shared" si="0"/>
        <v>17518.813951447286</v>
      </c>
      <c r="K169" s="1400">
        <v>1358210.1141728326</v>
      </c>
      <c r="L169" s="685">
        <v>204508.32772605706</v>
      </c>
      <c r="M169" s="582">
        <v>803128.64455206529</v>
      </c>
      <c r="N169" s="1419">
        <v>233980.78923290371</v>
      </c>
      <c r="O169" s="1411">
        <v>263486.17464649491</v>
      </c>
      <c r="P169" s="1419">
        <v>215718.27718446965</v>
      </c>
      <c r="Q169" s="1411">
        <v>46404.556284087237</v>
      </c>
      <c r="R169" s="1405"/>
      <c r="S169" s="1440">
        <f t="shared" si="1"/>
        <v>46404.556284087237</v>
      </c>
      <c r="T169" s="1400">
        <v>626163.46701280656</v>
      </c>
      <c r="U169" s="685">
        <v>126996.687095584</v>
      </c>
      <c r="V169" s="1407">
        <v>421333.74837580498</v>
      </c>
      <c r="W169" s="1411">
        <v>76405.944013533401</v>
      </c>
      <c r="X169" s="1419">
        <v>109514.855360656</v>
      </c>
      <c r="Y169" s="1419">
        <v>137657.51124926101</v>
      </c>
      <c r="Z169" s="1424">
        <f t="shared" si="2"/>
        <v>8248.0951091351453</v>
      </c>
    </row>
    <row r="170" spans="1:26">
      <c r="A170" s="583">
        <v>2010.1</v>
      </c>
      <c r="B170" s="1419">
        <v>611607.33658973</v>
      </c>
      <c r="C170" s="685">
        <v>131091.92974987472</v>
      </c>
      <c r="D170" s="582">
        <v>439461.24571681349</v>
      </c>
      <c r="E170" s="1419">
        <v>70569.006768553503</v>
      </c>
      <c r="F170" s="1411">
        <v>124821.26202219723</v>
      </c>
      <c r="G170" s="1419">
        <v>108785.85710582584</v>
      </c>
      <c r="H170" s="1411">
        <v>-938.10527378525603</v>
      </c>
      <c r="I170" s="1405"/>
      <c r="J170" s="1440">
        <f t="shared" si="0"/>
        <v>-938.10527378525603</v>
      </c>
      <c r="K170" s="1400">
        <v>1418857.9499665094</v>
      </c>
      <c r="L170" s="685">
        <v>212716.89559377675</v>
      </c>
      <c r="M170" s="582">
        <v>955921.05986242183</v>
      </c>
      <c r="N170" s="1419">
        <v>208372.30437051196</v>
      </c>
      <c r="O170" s="1411">
        <v>245386.53782325963</v>
      </c>
      <c r="P170" s="1419">
        <v>223217.86723771857</v>
      </c>
      <c r="Q170" s="1411">
        <v>-1322.9237345173322</v>
      </c>
      <c r="R170" s="1405"/>
      <c r="S170" s="1440">
        <f t="shared" si="1"/>
        <v>-1322.9237345173322</v>
      </c>
      <c r="T170" s="1400">
        <v>645774.22529407195</v>
      </c>
      <c r="U170" s="685">
        <v>139202.73922018701</v>
      </c>
      <c r="V170" s="1407">
        <v>440438.74206403701</v>
      </c>
      <c r="W170" s="1411">
        <v>75903.766092028804</v>
      </c>
      <c r="X170" s="1419">
        <v>118361.22196620599</v>
      </c>
      <c r="Y170" s="1419">
        <v>141807.83980192299</v>
      </c>
      <c r="Z170" s="1424">
        <f t="shared" si="2"/>
        <v>8465.3945900641847</v>
      </c>
    </row>
    <row r="171" spans="1:26">
      <c r="A171" s="583">
        <v>2010.2</v>
      </c>
      <c r="B171" s="1419">
        <v>733730.77396890335</v>
      </c>
      <c r="C171" s="685">
        <v>151260.05259704147</v>
      </c>
      <c r="D171" s="582">
        <v>487297.59864804189</v>
      </c>
      <c r="E171" s="1419">
        <v>77185.401450977428</v>
      </c>
      <c r="F171" s="1411">
        <v>175584.32821404992</v>
      </c>
      <c r="G171" s="1419">
        <v>130038.89517350178</v>
      </c>
      <c r="H171" s="1411">
        <v>14884.603079373786</v>
      </c>
      <c r="I171" s="1405"/>
      <c r="J171" s="1440">
        <f t="shared" si="0"/>
        <v>14884.603079373786</v>
      </c>
      <c r="K171" s="1400">
        <v>1686066.954457782</v>
      </c>
      <c r="L171" s="685">
        <v>258778.5400871957</v>
      </c>
      <c r="M171" s="582">
        <v>1074344.6816862894</v>
      </c>
      <c r="N171" s="1419">
        <v>241510.39445012668</v>
      </c>
      <c r="O171" s="1411">
        <v>340952.30858969351</v>
      </c>
      <c r="P171" s="1419">
        <v>269536.45616702735</v>
      </c>
      <c r="Q171" s="1411">
        <v>18501.653652567191</v>
      </c>
      <c r="R171" s="1405"/>
      <c r="S171" s="1440">
        <f t="shared" si="1"/>
        <v>18501.653652567191</v>
      </c>
      <c r="T171" s="1400">
        <v>673593.24138385581</v>
      </c>
      <c r="U171" s="685">
        <v>156226.130762713</v>
      </c>
      <c r="V171" s="1407">
        <v>457529.066337144</v>
      </c>
      <c r="W171" s="1411">
        <v>77648.585362529993</v>
      </c>
      <c r="X171" s="1419">
        <v>129050.415151262</v>
      </c>
      <c r="Y171" s="1419">
        <v>162568.348271492</v>
      </c>
      <c r="Z171" s="1424">
        <f t="shared" si="2"/>
        <v>3022.9570241408655</v>
      </c>
    </row>
    <row r="172" spans="1:26">
      <c r="A172" s="583">
        <v>2010.3</v>
      </c>
      <c r="B172" s="1419">
        <v>668566.50948898587</v>
      </c>
      <c r="C172" s="685">
        <v>171903.47870439343</v>
      </c>
      <c r="D172" s="582">
        <v>456779.06665618502</v>
      </c>
      <c r="E172" s="1419">
        <v>76311.355006754937</v>
      </c>
      <c r="F172" s="1411">
        <v>168049.61790716989</v>
      </c>
      <c r="G172" s="1419">
        <v>139803.95750292117</v>
      </c>
      <c r="H172" s="1411">
        <v>-474.00887965144494</v>
      </c>
      <c r="I172" s="1405"/>
      <c r="J172" s="1440">
        <f t="shared" si="0"/>
        <v>-474.00887965144494</v>
      </c>
      <c r="K172" s="1400">
        <v>1712834.5489382918</v>
      </c>
      <c r="L172" s="685">
        <v>293358.20093729679</v>
      </c>
      <c r="M172" s="582">
        <v>1099323.1538208912</v>
      </c>
      <c r="N172" s="1419">
        <v>254371.10902464492</v>
      </c>
      <c r="O172" s="1411">
        <v>339698.42236225295</v>
      </c>
      <c r="P172" s="1419">
        <v>299912.10425162723</v>
      </c>
      <c r="Q172" s="1411">
        <v>12887.960414083667</v>
      </c>
      <c r="R172" s="1405"/>
      <c r="S172" s="1440">
        <f t="shared" si="1"/>
        <v>12887.960414083667</v>
      </c>
      <c r="T172" s="1400">
        <v>677350.65948310553</v>
      </c>
      <c r="U172" s="685">
        <v>161835.23658162099</v>
      </c>
      <c r="V172" s="1407">
        <v>462215.70310943702</v>
      </c>
      <c r="W172" s="1411">
        <v>76600.279774043403</v>
      </c>
      <c r="X172" s="1419">
        <v>133696.59724916299</v>
      </c>
      <c r="Y172" s="1419">
        <v>162414.55779737199</v>
      </c>
      <c r="Z172" s="1424">
        <f t="shared" si="2"/>
        <v>4258.7581347111845</v>
      </c>
    </row>
    <row r="173" spans="1:26">
      <c r="A173" s="583">
        <v>2010.4</v>
      </c>
      <c r="B173" s="1419">
        <v>668190.09771957388</v>
      </c>
      <c r="C173" s="685">
        <v>175630.37609457492</v>
      </c>
      <c r="D173" s="582">
        <v>451162.75340541295</v>
      </c>
      <c r="E173" s="1419">
        <v>85922.6262566636</v>
      </c>
      <c r="F173" s="1411">
        <v>151952.376643681</v>
      </c>
      <c r="G173" s="1419">
        <v>144754.32406470989</v>
      </c>
      <c r="H173" s="1411">
        <v>10028.3934436812</v>
      </c>
      <c r="I173" s="1405"/>
      <c r="J173" s="1440">
        <f t="shared" si="0"/>
        <v>10028.3934436812</v>
      </c>
      <c r="K173" s="1400">
        <v>1829124.2504157436</v>
      </c>
      <c r="L173" s="685">
        <v>301119.72260462772</v>
      </c>
      <c r="M173" s="582">
        <v>1139978.0110894737</v>
      </c>
      <c r="N173" s="1419">
        <v>303660.88538640103</v>
      </c>
      <c r="O173" s="1411">
        <v>332471.95352493075</v>
      </c>
      <c r="P173" s="1419">
        <v>313472.47449298872</v>
      </c>
      <c r="Q173" s="1411">
        <v>40660.648526434918</v>
      </c>
      <c r="R173" s="1405"/>
      <c r="S173" s="1440">
        <f t="shared" si="1"/>
        <v>40660.648526434918</v>
      </c>
      <c r="T173" s="1400">
        <v>685376.59160615993</v>
      </c>
      <c r="U173" s="685">
        <v>172621.73058136299</v>
      </c>
      <c r="V173" s="1407">
        <v>474517.15291583497</v>
      </c>
      <c r="W173" s="1411">
        <v>79835.758254347194</v>
      </c>
      <c r="X173" s="1419">
        <v>142274.799480327</v>
      </c>
      <c r="Y173" s="1419">
        <v>153616.838916312</v>
      </c>
      <c r="Z173" s="1424">
        <f t="shared" si="2"/>
        <v>7753.7726207016967</v>
      </c>
    </row>
    <row r="174" spans="1:26">
      <c r="A174" s="583">
        <v>2011.1</v>
      </c>
      <c r="B174" s="1419">
        <v>662325.58597269515</v>
      </c>
      <c r="C174" s="685">
        <v>171680.48522975415</v>
      </c>
      <c r="D174" s="582">
        <v>484513.98662213131</v>
      </c>
      <c r="E174" s="1419">
        <v>74065.615503609952</v>
      </c>
      <c r="F174" s="1411">
        <v>138279.54794538196</v>
      </c>
      <c r="G174" s="1419">
        <v>139564.46171539812</v>
      </c>
      <c r="H174" s="1411">
        <v>-2417.5405840719359</v>
      </c>
      <c r="I174" s="1405"/>
      <c r="J174" s="1440">
        <f t="shared" si="0"/>
        <v>-2417.5405840719359</v>
      </c>
      <c r="K174" s="1400">
        <v>1888827.151845796</v>
      </c>
      <c r="L174" s="685">
        <v>304500.65015937109</v>
      </c>
      <c r="M174" s="582">
        <v>1263267.5585228135</v>
      </c>
      <c r="N174" s="1419">
        <v>285502.12051228678</v>
      </c>
      <c r="O174" s="1411">
        <v>323761.23853633623</v>
      </c>
      <c r="P174" s="1419">
        <v>324979.65319875721</v>
      </c>
      <c r="Q174" s="1411">
        <v>-4182.7687629648572</v>
      </c>
      <c r="R174" s="1405"/>
      <c r="S174" s="1440">
        <f t="shared" si="1"/>
        <v>-4182.7687629648572</v>
      </c>
      <c r="T174" s="1400">
        <v>701747.64606374106</v>
      </c>
      <c r="U174" s="685">
        <v>182326.01824157799</v>
      </c>
      <c r="V174" s="1407">
        <v>488161.65175754298</v>
      </c>
      <c r="W174" s="1411">
        <v>79474.537145771203</v>
      </c>
      <c r="X174" s="1419">
        <v>149929.32513431399</v>
      </c>
      <c r="Y174" s="1419">
        <v>157773.81310971899</v>
      </c>
      <c r="Z174" s="1424">
        <f t="shared" si="2"/>
        <v>8734.3371579719242</v>
      </c>
    </row>
    <row r="175" spans="1:26">
      <c r="A175" s="583">
        <v>2011.2</v>
      </c>
      <c r="B175" s="1419">
        <v>766332.95457161264</v>
      </c>
      <c r="C175" s="685">
        <v>185834.80063049099</v>
      </c>
      <c r="D175" s="582">
        <v>521971.6246991987</v>
      </c>
      <c r="E175" s="1419">
        <v>80830.222163875034</v>
      </c>
      <c r="F175" s="1411">
        <v>170971.27052045267</v>
      </c>
      <c r="G175" s="1419">
        <v>153571.01955510411</v>
      </c>
      <c r="H175" s="1411">
        <v>24823.618263473018</v>
      </c>
      <c r="I175" s="1405"/>
      <c r="J175" s="1440">
        <f t="shared" si="0"/>
        <v>24823.618263473018</v>
      </c>
      <c r="K175" s="1400">
        <v>2237123.8354149116</v>
      </c>
      <c r="L175" s="685">
        <v>359615.71855652856</v>
      </c>
      <c r="M175" s="582">
        <v>1407332.3298145048</v>
      </c>
      <c r="N175" s="1419">
        <v>332038.10940498242</v>
      </c>
      <c r="O175" s="1411">
        <v>425057.05169150798</v>
      </c>
      <c r="P175" s="1419">
        <v>369566.52018696762</v>
      </c>
      <c r="Q175" s="1411">
        <v>62745.542871625199</v>
      </c>
      <c r="R175" s="1405"/>
      <c r="S175" s="1440">
        <f t="shared" si="1"/>
        <v>62745.542871625199</v>
      </c>
      <c r="T175" s="1400">
        <v>710112.90493174107</v>
      </c>
      <c r="U175" s="685">
        <v>191436.14948397499</v>
      </c>
      <c r="V175" s="1407">
        <v>495688.77429063799</v>
      </c>
      <c r="W175" s="1411">
        <v>81200.371603021995</v>
      </c>
      <c r="X175" s="1419">
        <v>153233.64249537</v>
      </c>
      <c r="Y175" s="1419">
        <v>157858.09333218899</v>
      </c>
      <c r="Z175" s="1424">
        <f t="shared" si="2"/>
        <v>13568.172694497043</v>
      </c>
    </row>
    <row r="176" spans="1:26">
      <c r="A176" s="583">
        <v>2011.3</v>
      </c>
      <c r="B176" s="1419">
        <v>711417.39193010493</v>
      </c>
      <c r="C176" s="685">
        <v>212358.17191427571</v>
      </c>
      <c r="D176" s="582">
        <v>509458.25385768822</v>
      </c>
      <c r="E176" s="1419">
        <v>81814.123471173982</v>
      </c>
      <c r="F176" s="1411">
        <v>172841.45085261774</v>
      </c>
      <c r="G176" s="1419">
        <v>164571.6467049708</v>
      </c>
      <c r="H176" s="1411">
        <v>-4909.9110420701254</v>
      </c>
      <c r="I176" s="1405"/>
      <c r="J176" s="1440">
        <f t="shared" si="0"/>
        <v>-4909.9110420701254</v>
      </c>
      <c r="K176" s="1400">
        <v>2250487.2637921702</v>
      </c>
      <c r="L176" s="685">
        <v>414749.294155323</v>
      </c>
      <c r="M176" s="582">
        <v>1462525.7007529491</v>
      </c>
      <c r="N176" s="1419">
        <v>351599.40280647663</v>
      </c>
      <c r="O176" s="1411">
        <v>443868.20521517313</v>
      </c>
      <c r="P176" s="1419">
        <v>407570.7566978567</v>
      </c>
      <c r="Q176" s="1411">
        <v>-327.50752470330497</v>
      </c>
      <c r="R176" s="1405"/>
      <c r="S176" s="1440">
        <f t="shared" si="1"/>
        <v>-327.50752470330497</v>
      </c>
      <c r="T176" s="1400">
        <v>716098.68073965248</v>
      </c>
      <c r="U176" s="685">
        <v>199476.87102175</v>
      </c>
      <c r="V176" s="1407">
        <v>510823.11617941799</v>
      </c>
      <c r="W176" s="1411">
        <v>81926.8092880935</v>
      </c>
      <c r="X176" s="1419">
        <v>157924.19337945501</v>
      </c>
      <c r="Y176" s="1419">
        <v>164848.98586535201</v>
      </c>
      <c r="Z176" s="1424">
        <f t="shared" si="2"/>
        <v>52.447049084003083</v>
      </c>
    </row>
    <row r="177" spans="1:26">
      <c r="A177" s="583">
        <v>2011.4</v>
      </c>
      <c r="B177" s="1419">
        <v>703050.45640799252</v>
      </c>
      <c r="C177" s="685">
        <v>198767.51540656987</v>
      </c>
      <c r="D177" s="582">
        <v>490644.74845936126</v>
      </c>
      <c r="E177" s="1419">
        <v>87429.117904933853</v>
      </c>
      <c r="F177" s="1411">
        <v>164054.87715450366</v>
      </c>
      <c r="G177" s="1419">
        <v>156629.21241772975</v>
      </c>
      <c r="H177" s="1411">
        <v>3060.0158780339243</v>
      </c>
      <c r="I177" s="1405"/>
      <c r="J177" s="1440">
        <f t="shared" si="0"/>
        <v>3060.0158780339243</v>
      </c>
      <c r="K177" s="1400">
        <v>2339658.1634702329</v>
      </c>
      <c r="L177" s="685">
        <v>381685.89401679987</v>
      </c>
      <c r="M177" s="582">
        <v>1464379.5314480003</v>
      </c>
      <c r="N177" s="1419">
        <v>398324.9435091351</v>
      </c>
      <c r="O177" s="1411">
        <v>415364.36134051369</v>
      </c>
      <c r="P177" s="1419">
        <v>401260.19434016163</v>
      </c>
      <c r="Q177" s="1411">
        <v>42015.026852376723</v>
      </c>
      <c r="R177" s="1405"/>
      <c r="S177" s="1440">
        <f>R177+Q177</f>
        <v>42015.026852376723</v>
      </c>
      <c r="T177" s="1400">
        <v>715167.15714727191</v>
      </c>
      <c r="U177" s="685">
        <v>195401.934433788</v>
      </c>
      <c r="V177" s="1407">
        <v>511915.07141078002</v>
      </c>
      <c r="W177" s="1411">
        <v>81537.361006706298</v>
      </c>
      <c r="X177" s="1419">
        <v>153249.17938406399</v>
      </c>
      <c r="Y177" s="1419">
        <v>165666.254165697</v>
      </c>
      <c r="Z177" s="1424">
        <f t="shared" si="2"/>
        <v>-1798.7743861874333</v>
      </c>
    </row>
    <row r="178" spans="1:26">
      <c r="A178" s="583">
        <v>2012.1</v>
      </c>
      <c r="B178" s="1419">
        <v>672685.99363050424</v>
      </c>
      <c r="C178" s="685">
        <v>175963.63222419753</v>
      </c>
      <c r="D178" s="582">
        <v>494561.05868275702</v>
      </c>
      <c r="E178" s="1419">
        <v>77065.360118655954</v>
      </c>
      <c r="F178" s="1411">
        <v>145984.10280638939</v>
      </c>
      <c r="G178" s="1419">
        <v>134285.04105704132</v>
      </c>
      <c r="H178" s="1411">
        <v>-3245.9368101418791</v>
      </c>
      <c r="I178" s="1405"/>
      <c r="J178" s="1440">
        <f t="shared" si="0"/>
        <v>-3245.9368101418791</v>
      </c>
      <c r="K178" s="1400">
        <v>2345559.6033526314</v>
      </c>
      <c r="L178" s="685">
        <v>338377.45792099979</v>
      </c>
      <c r="M178" s="582">
        <v>1557362.136735966</v>
      </c>
      <c r="N178" s="1419">
        <v>377040.1878550367</v>
      </c>
      <c r="O178" s="1411">
        <v>374190.69936839136</v>
      </c>
      <c r="P178" s="1419">
        <v>372008.73386272101</v>
      </c>
      <c r="Q178" s="1411">
        <v>3335.3034498651691</v>
      </c>
      <c r="R178" s="1405"/>
      <c r="S178" s="1440">
        <f>R178+Q178</f>
        <v>3335.3034498651691</v>
      </c>
      <c r="T178" s="1400">
        <v>708195.29842775618</v>
      </c>
      <c r="U178" s="685">
        <v>186079.76798424101</v>
      </c>
      <c r="V178" s="1407">
        <v>499916.62392730202</v>
      </c>
      <c r="W178" s="1411">
        <v>82424.855864512501</v>
      </c>
      <c r="X178" s="1419">
        <v>145179.20409403599</v>
      </c>
      <c r="Y178" s="1419">
        <v>165845.08441076599</v>
      </c>
      <c r="Z178" s="1424">
        <f t="shared" si="2"/>
        <v>909.29811538069043</v>
      </c>
    </row>
    <row r="179" spans="1:26">
      <c r="A179" s="583">
        <v>2012.2</v>
      </c>
      <c r="B179" s="1419">
        <v>730838.27259277587</v>
      </c>
      <c r="C179" s="685">
        <v>168790.03309891451</v>
      </c>
      <c r="D179" s="582">
        <v>516528.23176810256</v>
      </c>
      <c r="E179" s="1419">
        <v>82453.840979409593</v>
      </c>
      <c r="F179" s="1411">
        <v>155692.76464038188</v>
      </c>
      <c r="G179" s="1419">
        <v>134408.94797285143</v>
      </c>
      <c r="H179" s="1411">
        <v>10544.520330945004</v>
      </c>
      <c r="I179" s="1405"/>
      <c r="J179" s="1440">
        <f t="shared" si="0"/>
        <v>10544.520330945004</v>
      </c>
      <c r="K179" s="1400">
        <v>2651098.0463880287</v>
      </c>
      <c r="L179" s="685">
        <v>363318.07595621212</v>
      </c>
      <c r="M179" s="582">
        <v>1738478.5253077226</v>
      </c>
      <c r="N179" s="1419">
        <v>432601.4085457506</v>
      </c>
      <c r="O179" s="1411">
        <v>425243.60403295024</v>
      </c>
      <c r="P179" s="1419">
        <v>397240.40857323143</v>
      </c>
      <c r="Q179" s="1411">
        <v>20852.175882111129</v>
      </c>
      <c r="R179" s="1405"/>
      <c r="S179" s="1440">
        <f t="shared" si="1"/>
        <v>20852.175882111129</v>
      </c>
      <c r="T179" s="1400">
        <v>683808.63342286902</v>
      </c>
      <c r="U179" s="685">
        <v>172803.64787993199</v>
      </c>
      <c r="V179" s="1407">
        <v>492809.69051726698</v>
      </c>
      <c r="W179" s="1411">
        <v>82792.202278846205</v>
      </c>
      <c r="X179" s="1419">
        <v>133661.721343905</v>
      </c>
      <c r="Y179" s="1419">
        <v>142743.70988379701</v>
      </c>
      <c r="Z179" s="1424">
        <f t="shared" si="2"/>
        <v>4604.9572789858794</v>
      </c>
    </row>
    <row r="180" spans="1:26">
      <c r="A180" s="583">
        <v>2012.3</v>
      </c>
      <c r="B180" s="1419">
        <v>703461.65253019624</v>
      </c>
      <c r="C180" s="685">
        <v>194333.56638199877</v>
      </c>
      <c r="D180" s="582">
        <v>517627.4794360068</v>
      </c>
      <c r="E180" s="1419">
        <v>84029.384241194377</v>
      </c>
      <c r="F180" s="1411">
        <v>164111.32295096805</v>
      </c>
      <c r="G180" s="1419">
        <v>150230.81659457326</v>
      </c>
      <c r="H180" s="1411">
        <v>-18203.784310547417</v>
      </c>
      <c r="I180" s="1405"/>
      <c r="J180" s="1440">
        <f t="shared" si="0"/>
        <v>-18203.784310547417</v>
      </c>
      <c r="K180" s="1400">
        <v>2704827.5498552597</v>
      </c>
      <c r="L180" s="685">
        <v>401200.0015063301</v>
      </c>
      <c r="M180" s="582">
        <v>1767630.6246263226</v>
      </c>
      <c r="N180" s="1419">
        <v>443703.38036305353</v>
      </c>
      <c r="O180" s="1411">
        <v>465874.48689347599</v>
      </c>
      <c r="P180" s="1419">
        <v>440523.43293567788</v>
      </c>
      <c r="Q180" s="1411">
        <v>-11704.373459306378</v>
      </c>
      <c r="R180" s="1405"/>
      <c r="S180" s="1440">
        <f t="shared" si="1"/>
        <v>-11704.373459306378</v>
      </c>
      <c r="T180" s="1400">
        <v>705268.2344978269</v>
      </c>
      <c r="U180" s="685">
        <v>182219.86791047599</v>
      </c>
      <c r="V180" s="1407">
        <v>516087.80348685401</v>
      </c>
      <c r="W180" s="1411">
        <v>84053.2550507142</v>
      </c>
      <c r="X180" s="1419">
        <v>143519.398690061</v>
      </c>
      <c r="Y180" s="1419">
        <v>155094.84522911601</v>
      </c>
      <c r="Z180" s="1424">
        <f t="shared" si="2"/>
        <v>-11267.200048442231</v>
      </c>
    </row>
    <row r="181" spans="1:26">
      <c r="A181" s="583">
        <v>2012.4</v>
      </c>
      <c r="B181" s="1419">
        <v>706958.03908231878</v>
      </c>
      <c r="C181" s="685">
        <v>193210.37317505115</v>
      </c>
      <c r="D181" s="582">
        <v>500150.63183982833</v>
      </c>
      <c r="E181" s="1419">
        <v>90344.79818176839</v>
      </c>
      <c r="F181" s="1411">
        <v>153813.21961273107</v>
      </c>
      <c r="G181" s="1419">
        <v>151946.00276177566</v>
      </c>
      <c r="H181" s="1411">
        <v>3913.759861266301</v>
      </c>
      <c r="I181" s="1405"/>
      <c r="J181" s="1440">
        <f t="shared" si="0"/>
        <v>3913.759861266301</v>
      </c>
      <c r="K181" s="1400">
        <v>2850170.1932662781</v>
      </c>
      <c r="L181" s="685">
        <v>404797.04543316684</v>
      </c>
      <c r="M181" s="582">
        <v>1784911.7253729894</v>
      </c>
      <c r="N181" s="1419">
        <v>503024.25965783949</v>
      </c>
      <c r="O181" s="1411">
        <v>448054.1834255227</v>
      </c>
      <c r="P181" s="1419">
        <v>463458.86081413575</v>
      </c>
      <c r="Q181" s="1411">
        <v>55518.209429495771</v>
      </c>
      <c r="R181" s="1405"/>
      <c r="S181" s="1440">
        <f t="shared" si="1"/>
        <v>55518.209429495771</v>
      </c>
      <c r="T181" s="1400">
        <v>716671.79148734501</v>
      </c>
      <c r="U181" s="685">
        <v>191194.32110551401</v>
      </c>
      <c r="V181" s="1407">
        <v>520053.28379527299</v>
      </c>
      <c r="W181" s="1411">
        <v>84623.070326955494</v>
      </c>
      <c r="X181" s="1419">
        <v>148510.48425823901</v>
      </c>
      <c r="Y181" s="1419">
        <v>155917.77048679101</v>
      </c>
      <c r="Z181" s="1424">
        <f t="shared" si="2"/>
        <v>-1238.4962743995711</v>
      </c>
    </row>
    <row r="182" spans="1:26">
      <c r="A182" s="583">
        <v>2013.1</v>
      </c>
      <c r="B182" s="1419">
        <v>677085.52917315089</v>
      </c>
      <c r="C182" s="685">
        <v>176602.613153124</v>
      </c>
      <c r="D182" s="582">
        <v>506950.44640662812</v>
      </c>
      <c r="E182" s="1419">
        <v>80963.014722433203</v>
      </c>
      <c r="F182" s="1411">
        <v>131767.05473088424</v>
      </c>
      <c r="G182" s="1419">
        <v>133273.11292584689</v>
      </c>
      <c r="H182" s="1411">
        <v>734.51354048245798</v>
      </c>
      <c r="I182" s="1405"/>
      <c r="J182" s="1440">
        <f t="shared" si="0"/>
        <v>734.51354048245798</v>
      </c>
      <c r="K182" s="1400">
        <v>2888980.8590711113</v>
      </c>
      <c r="L182" s="685">
        <v>410776.80313615891</v>
      </c>
      <c r="M182" s="582">
        <v>1948085.8427457437</v>
      </c>
      <c r="N182" s="1419">
        <v>473246.44010204246</v>
      </c>
      <c r="O182" s="1411">
        <v>396674.58321494772</v>
      </c>
      <c r="P182" s="1419">
        <v>458406.79108875629</v>
      </c>
      <c r="Q182" s="1411">
        <v>23344.005055387148</v>
      </c>
      <c r="R182" s="1405"/>
      <c r="S182" s="1440">
        <f t="shared" si="1"/>
        <v>23344.005055387148</v>
      </c>
      <c r="T182" s="1400">
        <v>716024.25647646817</v>
      </c>
      <c r="U182" s="685">
        <v>185731.21840749201</v>
      </c>
      <c r="V182" s="1407">
        <v>515749.41182256601</v>
      </c>
      <c r="W182" s="1411">
        <v>86555.202132504302</v>
      </c>
      <c r="X182" s="1419">
        <v>144172.65561970801</v>
      </c>
      <c r="Y182" s="1419">
        <v>149838.92946636499</v>
      </c>
      <c r="Z182" s="1424">
        <f t="shared" si="2"/>
        <v>5439.2758428169182</v>
      </c>
    </row>
    <row r="183" spans="1:26">
      <c r="A183" s="583">
        <v>2013.2</v>
      </c>
      <c r="B183" s="1419">
        <v>776486.60279942001</v>
      </c>
      <c r="C183" s="685">
        <v>190652.1070945469</v>
      </c>
      <c r="D183" s="582">
        <v>543923.35275378311</v>
      </c>
      <c r="E183" s="1419">
        <v>87051.596867879984</v>
      </c>
      <c r="F183" s="1411">
        <v>168720.23462672776</v>
      </c>
      <c r="G183" s="1419">
        <v>150469.4153047585</v>
      </c>
      <c r="H183" s="1411">
        <v>16974.11034081757</v>
      </c>
      <c r="I183" s="1405"/>
      <c r="J183" s="1440">
        <f t="shared" si="0"/>
        <v>16974.11034081757</v>
      </c>
      <c r="K183" s="1400">
        <v>3387810.9120546845</v>
      </c>
      <c r="L183" s="685">
        <v>491926.34557714511</v>
      </c>
      <c r="M183" s="582">
        <v>2193026.2637259718</v>
      </c>
      <c r="N183" s="1419">
        <v>541488.83273616922</v>
      </c>
      <c r="O183" s="1411">
        <v>546612.48274617363</v>
      </c>
      <c r="P183" s="1419">
        <v>538931.07996200793</v>
      </c>
      <c r="Q183" s="1411">
        <v>59678.598459310037</v>
      </c>
      <c r="R183" s="1405"/>
      <c r="S183" s="1440">
        <f t="shared" si="1"/>
        <v>59678.598459310037</v>
      </c>
      <c r="T183" s="1400">
        <v>721075.40365776338</v>
      </c>
      <c r="U183" s="685">
        <v>193963.18803957201</v>
      </c>
      <c r="V183" s="1407">
        <v>514857.60702456202</v>
      </c>
      <c r="W183" s="1411">
        <v>87248.643057470297</v>
      </c>
      <c r="X183" s="1419">
        <v>148968.37339855899</v>
      </c>
      <c r="Y183" s="1419">
        <v>155327.359355989</v>
      </c>
      <c r="Z183" s="1424">
        <f t="shared" si="2"/>
        <v>8636.6088607551064</v>
      </c>
    </row>
    <row r="184" spans="1:26">
      <c r="A184" s="583">
        <v>2013.3</v>
      </c>
      <c r="B184" s="1419">
        <v>721458.94421618234</v>
      </c>
      <c r="C184" s="685">
        <v>202951.05150852748</v>
      </c>
      <c r="D184" s="582">
        <v>538421.07825339749</v>
      </c>
      <c r="E184" s="1419">
        <v>87994.272131112622</v>
      </c>
      <c r="F184" s="1411">
        <v>159733.63225018961</v>
      </c>
      <c r="G184" s="1419">
        <v>152737.11410480319</v>
      </c>
      <c r="H184" s="1411">
        <v>-14476.101014792954</v>
      </c>
      <c r="I184" s="1405"/>
      <c r="J184" s="1440">
        <f t="shared" si="0"/>
        <v>-14476.101014792954</v>
      </c>
      <c r="K184" s="1400">
        <v>3436546.5463782018</v>
      </c>
      <c r="L184" s="685">
        <v>530140.26104277535</v>
      </c>
      <c r="M184" s="582">
        <v>2293051.8870732225</v>
      </c>
      <c r="N184" s="1419">
        <v>566904.73448582017</v>
      </c>
      <c r="O184" s="1411">
        <v>532721.84218584467</v>
      </c>
      <c r="P184" s="1419">
        <v>575232.30982110486</v>
      </c>
      <c r="Q184" s="1411">
        <v>-1223.9661423519012</v>
      </c>
      <c r="R184" s="1405"/>
      <c r="S184" s="1440">
        <f t="shared" si="1"/>
        <v>-1223.9661423519012</v>
      </c>
      <c r="T184" s="1400">
        <v>725346.63968924212</v>
      </c>
      <c r="U184" s="685">
        <v>190673.20645695401</v>
      </c>
      <c r="V184" s="1407">
        <v>536281.025458463</v>
      </c>
      <c r="W184" s="1411">
        <v>87945.027405925997</v>
      </c>
      <c r="X184" s="1419">
        <v>146107.189621809</v>
      </c>
      <c r="Y184" s="1419">
        <v>151898.84539632499</v>
      </c>
      <c r="Z184" s="1424">
        <f t="shared" si="2"/>
        <v>-6212.2417363268323</v>
      </c>
    </row>
    <row r="185" spans="1:26">
      <c r="A185" s="583">
        <v>2013.4</v>
      </c>
      <c r="B185" s="1419">
        <v>706597.3450225069</v>
      </c>
      <c r="C185" s="685">
        <v>190526.07736575845</v>
      </c>
      <c r="D185" s="582">
        <v>513403.25174006564</v>
      </c>
      <c r="E185" s="1419">
        <v>95656.26703212563</v>
      </c>
      <c r="F185" s="1411">
        <v>137569.02973944266</v>
      </c>
      <c r="G185" s="1419">
        <v>147746.62960253569</v>
      </c>
      <c r="H185" s="1411">
        <v>2748.2442740955962</v>
      </c>
      <c r="I185" s="1405"/>
      <c r="J185" s="1440">
        <f t="shared" si="0"/>
        <v>2748.2442740955962</v>
      </c>
      <c r="K185" s="1400">
        <v>3679895.6354048252</v>
      </c>
      <c r="L185" s="685">
        <v>538206.09985605662</v>
      </c>
      <c r="M185" s="582">
        <v>2403705.0375004061</v>
      </c>
      <c r="N185" s="1419">
        <v>669258.73931420024</v>
      </c>
      <c r="O185" s="1411">
        <v>481703.32091281569</v>
      </c>
      <c r="P185" s="1419">
        <v>609122.16192655428</v>
      </c>
      <c r="Q185" s="1411">
        <v>54312.475609435955</v>
      </c>
      <c r="R185" s="1405"/>
      <c r="S185" s="1440">
        <f t="shared" si="1"/>
        <v>54312.475609435955</v>
      </c>
      <c r="T185" s="1400">
        <v>719182.12138778623</v>
      </c>
      <c r="U185" s="685">
        <v>190364.23621793801</v>
      </c>
      <c r="V185" s="1407">
        <v>535810.08484828298</v>
      </c>
      <c r="W185" s="1411">
        <v>89916.278157650697</v>
      </c>
      <c r="X185" s="1419">
        <v>144978.05329786899</v>
      </c>
      <c r="Y185" s="1419">
        <v>140724.81712856601</v>
      </c>
      <c r="Z185" s="1424">
        <f t="shared" si="2"/>
        <v>-1882.8758266444784</v>
      </c>
    </row>
    <row r="186" spans="1:26">
      <c r="A186" s="583">
        <v>2014.1</v>
      </c>
      <c r="B186" s="1419">
        <v>671066.04663506267</v>
      </c>
      <c r="C186" s="685">
        <v>174142.87917514221</v>
      </c>
      <c r="D186" s="582">
        <v>517840.53374426329</v>
      </c>
      <c r="E186" s="1419">
        <v>85482.493731996292</v>
      </c>
      <c r="F186" s="1411">
        <v>119113.81889969678</v>
      </c>
      <c r="G186" s="1419">
        <v>131370.53630992191</v>
      </c>
      <c r="H186" s="1411">
        <v>-8598.4568756735207</v>
      </c>
      <c r="I186" s="1405"/>
      <c r="J186" s="1440">
        <f t="shared" si="0"/>
        <v>-8598.4568756735207</v>
      </c>
      <c r="K186" s="1400">
        <v>3917648.8611710793</v>
      </c>
      <c r="L186" s="685">
        <v>621369.20768701448</v>
      </c>
      <c r="M186" s="582">
        <v>2760478.8519005002</v>
      </c>
      <c r="N186" s="1419">
        <v>643214.15918288252</v>
      </c>
      <c r="O186" s="1411">
        <v>522171.20154701103</v>
      </c>
      <c r="P186" s="1419">
        <v>643352.14852564409</v>
      </c>
      <c r="Q186" s="1411">
        <v>-30198.292296296608</v>
      </c>
      <c r="R186" s="1405"/>
      <c r="S186" s="1440">
        <f t="shared" si="1"/>
        <v>-30198.292296296608</v>
      </c>
      <c r="T186" s="1400">
        <v>708209.19571325183</v>
      </c>
      <c r="U186" s="685">
        <v>181777.131905802</v>
      </c>
      <c r="V186" s="1407">
        <v>521855.22071234998</v>
      </c>
      <c r="W186" s="1411">
        <v>90916.9461342625</v>
      </c>
      <c r="X186" s="1419">
        <v>141884.878350343</v>
      </c>
      <c r="Y186" s="1419">
        <v>134703.606985074</v>
      </c>
      <c r="Z186" s="1424">
        <f t="shared" si="2"/>
        <v>625.67543702444527</v>
      </c>
    </row>
    <row r="187" spans="1:26">
      <c r="A187" s="583">
        <v>2014.2</v>
      </c>
      <c r="B187" s="1419">
        <v>760576.86834800406</v>
      </c>
      <c r="C187" s="685">
        <v>169554.60524510767</v>
      </c>
      <c r="D187" s="582">
        <v>527379.22694273782</v>
      </c>
      <c r="E187" s="1419">
        <v>88842.119718548856</v>
      </c>
      <c r="F187" s="1411">
        <v>152688.83294255967</v>
      </c>
      <c r="G187" s="1419">
        <v>141073.18942977019</v>
      </c>
      <c r="H187" s="1411">
        <v>20148.104559495117</v>
      </c>
      <c r="I187" s="1405"/>
      <c r="J187" s="1440">
        <f t="shared" si="0"/>
        <v>20148.104559495117</v>
      </c>
      <c r="K187" s="1400">
        <v>4702629.524920309</v>
      </c>
      <c r="L187" s="685">
        <v>653674.36083772837</v>
      </c>
      <c r="M187" s="582">
        <v>2955020.0745849963</v>
      </c>
      <c r="N187" s="1419">
        <v>742438.68442829244</v>
      </c>
      <c r="O187" s="1411">
        <v>761448.50269287324</v>
      </c>
      <c r="P187" s="1419">
        <v>737042.88938118203</v>
      </c>
      <c r="Q187" s="1411">
        <v>160353.73467226245</v>
      </c>
      <c r="R187" s="1405"/>
      <c r="S187" s="1440">
        <f t="shared" si="1"/>
        <v>160353.73467226245</v>
      </c>
      <c r="T187" s="1400">
        <v>703241.82452163461</v>
      </c>
      <c r="U187" s="685">
        <v>170765.53352430399</v>
      </c>
      <c r="V187" s="1407">
        <v>498025.27664606</v>
      </c>
      <c r="W187" s="1411">
        <v>89226.618963989298</v>
      </c>
      <c r="X187" s="1419">
        <v>138725.72603171799</v>
      </c>
      <c r="Y187" s="1419">
        <v>140904.463091151</v>
      </c>
      <c r="Z187" s="1424">
        <f t="shared" si="2"/>
        <v>7125.2733130204724</v>
      </c>
    </row>
    <row r="188" spans="1:26">
      <c r="A188" s="583">
        <v>2014.3</v>
      </c>
      <c r="B188" s="1419">
        <v>690879.79825168336</v>
      </c>
      <c r="C188" s="685">
        <v>173099.24330165773</v>
      </c>
      <c r="D188" s="582">
        <v>490626.98948685534</v>
      </c>
      <c r="E188" s="1419">
        <v>90661.590635051805</v>
      </c>
      <c r="F188" s="1411">
        <v>147198.69636944201</v>
      </c>
      <c r="G188" s="1419">
        <v>140281.45358859547</v>
      </c>
      <c r="H188" s="1411">
        <v>-4789.688526603717</v>
      </c>
      <c r="I188" s="1405"/>
      <c r="J188" s="1440">
        <f t="shared" si="0"/>
        <v>-4789.688526603717</v>
      </c>
      <c r="K188" s="1400">
        <v>4685503.1186782746</v>
      </c>
      <c r="L188" s="685">
        <v>668326.5051092552</v>
      </c>
      <c r="M188" s="582">
        <v>3052487.108041096</v>
      </c>
      <c r="N188" s="1419">
        <v>784978.39225702884</v>
      </c>
      <c r="O188" s="1411">
        <v>715356.23131785891</v>
      </c>
      <c r="P188" s="1419">
        <v>775663.74970767426</v>
      </c>
      <c r="Q188" s="1411">
        <v>25344.14246540744</v>
      </c>
      <c r="R188" s="1405"/>
      <c r="S188" s="1440">
        <f t="shared" si="1"/>
        <v>25344.14246540744</v>
      </c>
      <c r="T188" s="1400">
        <v>697086.7717348265</v>
      </c>
      <c r="U188" s="685">
        <v>162945.73073998201</v>
      </c>
      <c r="V188" s="1407">
        <v>490956.58623473998</v>
      </c>
      <c r="W188" s="1411">
        <v>90508.656854652596</v>
      </c>
      <c r="X188" s="1419">
        <v>133887.97965012299</v>
      </c>
      <c r="Y188" s="1419">
        <v>140194.217222351</v>
      </c>
      <c r="Z188" s="1424">
        <f t="shared" si="2"/>
        <v>4485.0625129418913</v>
      </c>
    </row>
    <row r="189" spans="1:26">
      <c r="A189" s="583">
        <v>2014.4</v>
      </c>
      <c r="B189" s="1419">
        <v>686701.4706187105</v>
      </c>
      <c r="C189" s="685">
        <v>156603.14371840068</v>
      </c>
      <c r="D189" s="582">
        <v>475210.99549400172</v>
      </c>
      <c r="E189" s="1419">
        <v>97035.592333750537</v>
      </c>
      <c r="F189" s="1411">
        <v>137067.84127832402</v>
      </c>
      <c r="G189" s="1419">
        <v>132033.40948911634</v>
      </c>
      <c r="H189" s="1411">
        <v>1956.7757419185482</v>
      </c>
      <c r="I189" s="1405"/>
      <c r="J189" s="1440">
        <f t="shared" si="0"/>
        <v>1956.7757419185482</v>
      </c>
      <c r="K189" s="1400">
        <v>5010564.1968707321</v>
      </c>
      <c r="L189" s="685">
        <v>621159.19492544711</v>
      </c>
      <c r="M189" s="582">
        <v>3207804.8783261618</v>
      </c>
      <c r="N189" s="1419">
        <v>933966.60007013928</v>
      </c>
      <c r="O189" s="1411">
        <v>639581.32266915531</v>
      </c>
      <c r="P189" s="1419">
        <v>770884.8439430414</v>
      </c>
      <c r="Q189" s="1411">
        <v>79485.746790709512</v>
      </c>
      <c r="R189" s="1405"/>
      <c r="S189" s="1440">
        <f t="shared" si="1"/>
        <v>79485.746790709512</v>
      </c>
      <c r="T189" s="1400">
        <v>700686.39188374742</v>
      </c>
      <c r="U189" s="685">
        <v>157911.475270222</v>
      </c>
      <c r="V189" s="1407">
        <v>500220.66207470902</v>
      </c>
      <c r="W189" s="1411">
        <v>91369.574466443097</v>
      </c>
      <c r="X189" s="1419">
        <v>130260.004785219</v>
      </c>
      <c r="Y189" s="1419">
        <v>140266.902191448</v>
      </c>
      <c r="Z189" s="1424">
        <f t="shared" si="2"/>
        <v>-3519.2763638497563</v>
      </c>
    </row>
    <row r="190" spans="1:26">
      <c r="A190" s="583">
        <v>2015.1</v>
      </c>
      <c r="B190" s="1419">
        <v>672749.81139169924</v>
      </c>
      <c r="C190" s="685">
        <v>160419.64644001034</v>
      </c>
      <c r="D190" s="582">
        <v>507483.723069378</v>
      </c>
      <c r="E190" s="1419">
        <v>88812.955507743565</v>
      </c>
      <c r="F190" s="1411">
        <v>116284.29138088347</v>
      </c>
      <c r="G190" s="1419">
        <v>128790.25331296679</v>
      </c>
      <c r="H190" s="1411">
        <v>-8201.7654392623899</v>
      </c>
      <c r="I190" s="1405"/>
      <c r="J190" s="1440">
        <f t="shared" si="0"/>
        <v>-8201.7654392623899</v>
      </c>
      <c r="K190" s="1400">
        <v>5092693.740328637</v>
      </c>
      <c r="L190" s="685">
        <v>615863.52573532786</v>
      </c>
      <c r="M190" s="582">
        <v>3519817.7680830266</v>
      </c>
      <c r="N190" s="1419">
        <v>876631.58132537198</v>
      </c>
      <c r="O190" s="1411">
        <v>533242.34383019235</v>
      </c>
      <c r="P190" s="1419">
        <v>794916.23595667316</v>
      </c>
      <c r="Q190" s="1411">
        <v>-16050.663131299585</v>
      </c>
      <c r="R190" s="1405"/>
      <c r="S190" s="1440">
        <f t="shared" si="1"/>
        <v>-16050.663131299585</v>
      </c>
      <c r="T190" s="1400">
        <v>710707.44956818246</v>
      </c>
      <c r="U190" s="685">
        <v>166727.39851379101</v>
      </c>
      <c r="V190" s="1407">
        <v>508572.53842129302</v>
      </c>
      <c r="W190" s="1411">
        <v>94409.079934489404</v>
      </c>
      <c r="X190" s="1419">
        <v>138544.21545685199</v>
      </c>
      <c r="Y190" s="1419">
        <v>129825.251356625</v>
      </c>
      <c r="Z190" s="1424">
        <f t="shared" si="2"/>
        <v>6083.762912714039</v>
      </c>
    </row>
    <row r="191" spans="1:26">
      <c r="A191" s="583">
        <v>2015.2</v>
      </c>
      <c r="B191" s="1419">
        <v>791235.96554167022</v>
      </c>
      <c r="C191" s="685">
        <v>174021.01747036108</v>
      </c>
      <c r="D191" s="582">
        <v>569042.18587121414</v>
      </c>
      <c r="E191" s="1419">
        <v>97227.659456090376</v>
      </c>
      <c r="F191" s="1411">
        <v>149591.7080612978</v>
      </c>
      <c r="G191" s="1419">
        <v>143522.13876214108</v>
      </c>
      <c r="H191" s="1411">
        <v>5873.2908612879519</v>
      </c>
      <c r="I191" s="1405"/>
      <c r="J191" s="1440">
        <f t="shared" si="0"/>
        <v>5873.2908612879519</v>
      </c>
      <c r="K191" s="1400">
        <v>5951478.8553666007</v>
      </c>
      <c r="L191" s="685">
        <v>679940.25822308427</v>
      </c>
      <c r="M191" s="582">
        <v>3979552.2652580403</v>
      </c>
      <c r="N191" s="1419">
        <v>1042972.2908742311</v>
      </c>
      <c r="O191" s="1411">
        <v>688808.32989059901</v>
      </c>
      <c r="P191" s="1419">
        <v>903500.34455343289</v>
      </c>
      <c r="Q191" s="1411">
        <v>16585.883013382256</v>
      </c>
      <c r="R191" s="1405"/>
      <c r="S191" s="1440">
        <f t="shared" si="1"/>
        <v>16585.883013382256</v>
      </c>
      <c r="T191" s="1400">
        <v>729122.56245506939</v>
      </c>
      <c r="U191" s="685">
        <v>174206.190528134</v>
      </c>
      <c r="V191" s="1407">
        <v>532324.74866244895</v>
      </c>
      <c r="W191" s="1411">
        <v>97663.595547098303</v>
      </c>
      <c r="X191" s="1419">
        <v>141103.00612814201</v>
      </c>
      <c r="Y191" s="1419">
        <v>139879.07876151201</v>
      </c>
      <c r="Z191" s="1424">
        <f t="shared" si="2"/>
        <v>-7641.6761159978341</v>
      </c>
    </row>
    <row r="192" spans="1:26">
      <c r="A192" s="583">
        <v>2015.3</v>
      </c>
      <c r="B192" s="1419">
        <v>718281.26544978167</v>
      </c>
      <c r="C192" s="685">
        <v>192990.26576942843</v>
      </c>
      <c r="D192" s="582">
        <v>518592.72788760602</v>
      </c>
      <c r="E192" s="1419">
        <v>98086.766525729254</v>
      </c>
      <c r="F192" s="1411">
        <v>147404.70503841515</v>
      </c>
      <c r="G192" s="1419">
        <v>149008.18693087087</v>
      </c>
      <c r="H192" s="1411">
        <v>-1820.8551634112596</v>
      </c>
      <c r="I192" s="1405"/>
      <c r="J192" s="1440">
        <f t="shared" si="0"/>
        <v>-1820.8551634112596</v>
      </c>
      <c r="K192" s="1400">
        <v>6221730.7557715978</v>
      </c>
      <c r="L192" s="685">
        <v>752371.47916456545</v>
      </c>
      <c r="M192" s="582">
        <v>4034499.9814302903</v>
      </c>
      <c r="N192" s="1419">
        <v>1102097.6312524863</v>
      </c>
      <c r="O192" s="1411">
        <v>696958.17735094612</v>
      </c>
      <c r="P192" s="1419">
        <v>1005506.2867745814</v>
      </c>
      <c r="Q192" s="1411">
        <v>135040.15812785778</v>
      </c>
      <c r="R192" s="1405"/>
      <c r="S192" s="1440">
        <f t="shared" si="1"/>
        <v>135040.15812785778</v>
      </c>
      <c r="T192" s="1400">
        <v>727301.314648667</v>
      </c>
      <c r="U192" s="685">
        <v>182995.33057955501</v>
      </c>
      <c r="V192" s="1407">
        <v>522743.11665120599</v>
      </c>
      <c r="W192" s="1411">
        <v>97938.921980020299</v>
      </c>
      <c r="X192" s="1419">
        <v>142941.71237279201</v>
      </c>
      <c r="Y192" s="1419">
        <v>141016.531076766</v>
      </c>
      <c r="Z192" s="1424">
        <f t="shared" si="2"/>
        <v>5656.3631474376889</v>
      </c>
    </row>
    <row r="193" spans="1:26">
      <c r="A193" s="583">
        <v>2015.4</v>
      </c>
      <c r="B193" s="1419">
        <v>703681.54416900803</v>
      </c>
      <c r="C193" s="685">
        <v>177694.9568914407</v>
      </c>
      <c r="D193" s="582">
        <v>489467.32535882184</v>
      </c>
      <c r="E193" s="1419">
        <v>103040.47142187048</v>
      </c>
      <c r="F193" s="1411">
        <v>127344.36995735197</v>
      </c>
      <c r="G193" s="1419">
        <v>142300.30190956546</v>
      </c>
      <c r="H193" s="1411">
        <v>19224.032412838937</v>
      </c>
      <c r="I193" s="1405"/>
      <c r="J193" s="1440">
        <f t="shared" si="0"/>
        <v>19224.032412838937</v>
      </c>
      <c r="K193" s="1400">
        <v>6552140.2313025314</v>
      </c>
      <c r="L193" s="685">
        <v>757726.9957136208</v>
      </c>
      <c r="M193" s="582">
        <v>4163611.0475586802</v>
      </c>
      <c r="N193" s="1419">
        <v>1288978.4753488768</v>
      </c>
      <c r="O193" s="1411">
        <v>630868.02011691337</v>
      </c>
      <c r="P193" s="1419">
        <v>1003294.8987689825</v>
      </c>
      <c r="Q193" s="1411">
        <v>223114.78522269998</v>
      </c>
      <c r="R193" s="1405"/>
      <c r="S193" s="1440">
        <f t="shared" si="1"/>
        <v>223114.78522269998</v>
      </c>
      <c r="T193" s="1400">
        <v>718817.25988024112</v>
      </c>
      <c r="U193" s="685">
        <v>181196.96694976001</v>
      </c>
      <c r="V193" s="1407">
        <v>520945.55845207197</v>
      </c>
      <c r="W193" s="1411">
        <v>97156.255449825301</v>
      </c>
      <c r="X193" s="1419">
        <v>141031.94695775799</v>
      </c>
      <c r="Y193" s="1419">
        <v>129904.213243045</v>
      </c>
      <c r="Z193" s="1424">
        <f t="shared" si="2"/>
        <v>10976.25272730086</v>
      </c>
    </row>
    <row r="194" spans="1:26">
      <c r="A194" s="583">
        <v>2016.1</v>
      </c>
      <c r="B194" s="1419">
        <v>677652.08911570266</v>
      </c>
      <c r="C194" s="685">
        <v>179480.42369351548</v>
      </c>
      <c r="D194" s="582">
        <v>520749.18897769589</v>
      </c>
      <c r="E194" s="1419">
        <v>90566.292339652398</v>
      </c>
      <c r="F194" s="1411">
        <v>133430.07456094024</v>
      </c>
      <c r="G194" s="1419">
        <v>124425.51841156666</v>
      </c>
      <c r="H194" s="1411">
        <v>-12038.561480637094</v>
      </c>
      <c r="I194" s="1442">
        <v>0</v>
      </c>
      <c r="J194" s="1440">
        <f>I194+H194</f>
        <v>-12038.561480637094</v>
      </c>
      <c r="K194" s="1400">
        <v>7006645.0451060422</v>
      </c>
      <c r="L194" s="685">
        <v>1051454.1009948829</v>
      </c>
      <c r="M194" s="582">
        <v>4828308.2079671985</v>
      </c>
      <c r="N194" s="1419">
        <v>1193932.8375958716</v>
      </c>
      <c r="O194" s="1411">
        <v>895990.04997150274</v>
      </c>
      <c r="P194" s="1419">
        <v>1070847.9838516088</v>
      </c>
      <c r="Q194" s="1411">
        <v>69020.066714741828</v>
      </c>
      <c r="R194" s="1446">
        <v>0</v>
      </c>
      <c r="S194" s="1440">
        <f t="shared" si="1"/>
        <v>69020.066714741828</v>
      </c>
      <c r="T194" s="1400">
        <v>713696.71681694768</v>
      </c>
      <c r="U194" s="685">
        <v>185497.710668035</v>
      </c>
      <c r="V194" s="1407">
        <v>521391.13856666</v>
      </c>
      <c r="W194" s="1411">
        <v>96566.431241895305</v>
      </c>
      <c r="X194" s="1419">
        <v>133588.765943954</v>
      </c>
      <c r="Y194" s="1419">
        <v>145977.75829066799</v>
      </c>
      <c r="Z194" s="1424">
        <f t="shared" ref="Z194:Z201" si="3">SUM(T194:U194)-SUM(V194:Y194)</f>
        <v>1670.3334418053273</v>
      </c>
    </row>
    <row r="195" spans="1:26">
      <c r="A195" s="583">
        <v>2016.2</v>
      </c>
      <c r="B195" s="1419">
        <v>760703.28015165636</v>
      </c>
      <c r="C195" s="685">
        <v>187899.66185803572</v>
      </c>
      <c r="D195" s="582">
        <v>558368.43539579015</v>
      </c>
      <c r="E195" s="1419">
        <v>94085.733019345251</v>
      </c>
      <c r="F195" s="1411">
        <v>148260.21087746299</v>
      </c>
      <c r="G195" s="1419">
        <v>134589.43795451921</v>
      </c>
      <c r="H195" s="1411">
        <v>13299.124762574564</v>
      </c>
      <c r="I195" s="1407">
        <v>0</v>
      </c>
      <c r="J195" s="1440">
        <f t="shared" si="0"/>
        <v>13299.124762574564</v>
      </c>
      <c r="K195" s="1400">
        <v>8414556.4821792115</v>
      </c>
      <c r="L195" s="685">
        <v>1042576.3852645806</v>
      </c>
      <c r="M195" s="582">
        <v>5531903.2385373674</v>
      </c>
      <c r="N195" s="1419">
        <v>1376059.3251136823</v>
      </c>
      <c r="O195" s="1411">
        <v>1020670.9153240668</v>
      </c>
      <c r="P195" s="1419">
        <v>1149601.9975566901</v>
      </c>
      <c r="Q195" s="1411">
        <v>378897.39091198472</v>
      </c>
      <c r="R195" s="1407">
        <v>0</v>
      </c>
      <c r="S195" s="1440">
        <f>R195+Q195</f>
        <v>378897.39091198472</v>
      </c>
      <c r="T195" s="1400">
        <v>701185.01693943958</v>
      </c>
      <c r="U195" s="685">
        <v>186692.04804303101</v>
      </c>
      <c r="V195" s="1407">
        <v>515109.92429664801</v>
      </c>
      <c r="W195" s="1411">
        <v>94061.800149432296</v>
      </c>
      <c r="X195" s="1419">
        <v>132231.99397060601</v>
      </c>
      <c r="Y195" s="1419">
        <v>140750.58909693899</v>
      </c>
      <c r="Z195" s="1424">
        <f t="shared" si="3"/>
        <v>5722.757468845346</v>
      </c>
    </row>
    <row r="196" spans="1:26">
      <c r="A196" s="583">
        <v>2016.3</v>
      </c>
      <c r="B196" s="1419">
        <v>694382.47577623045</v>
      </c>
      <c r="C196" s="685">
        <v>193030.1033736731</v>
      </c>
      <c r="D196" s="582">
        <v>506410.5707127761</v>
      </c>
      <c r="E196" s="1419">
        <v>96873.95781475112</v>
      </c>
      <c r="F196" s="1411">
        <v>146914.03159839427</v>
      </c>
      <c r="G196" s="1419">
        <v>137185.49507782274</v>
      </c>
      <c r="H196" s="1411">
        <v>28.523946159232409</v>
      </c>
      <c r="I196" s="1407">
        <v>0</v>
      </c>
      <c r="J196" s="1440">
        <f t="shared" si="0"/>
        <v>28.523946159232409</v>
      </c>
      <c r="K196" s="1400">
        <v>8527628.8252780307</v>
      </c>
      <c r="L196" s="685">
        <v>1151236.5066138706</v>
      </c>
      <c r="M196" s="582">
        <v>5624181.5188562153</v>
      </c>
      <c r="N196" s="1419">
        <v>1501568.8227779809</v>
      </c>
      <c r="O196" s="1411">
        <v>1111904.1466351708</v>
      </c>
      <c r="P196" s="1419">
        <v>1222179.6558822615</v>
      </c>
      <c r="Q196" s="1411">
        <v>219031.1877402715</v>
      </c>
      <c r="R196" s="1407">
        <v>0</v>
      </c>
      <c r="S196" s="1440">
        <f>R196+Q196</f>
        <v>219031.1877402715</v>
      </c>
      <c r="T196" s="1400">
        <v>703201.70723065326</v>
      </c>
      <c r="U196" s="685">
        <v>183520.12994104001</v>
      </c>
      <c r="V196" s="1407">
        <v>513495.39492664498</v>
      </c>
      <c r="W196" s="1411">
        <v>96768.768537388707</v>
      </c>
      <c r="X196" s="1419">
        <v>131257.46495408699</v>
      </c>
      <c r="Y196" s="1419">
        <v>139831.54947196599</v>
      </c>
      <c r="Z196" s="1424">
        <f t="shared" si="3"/>
        <v>5368.6592816065531</v>
      </c>
    </row>
    <row r="197" spans="1:26">
      <c r="A197" s="583">
        <v>2016.4</v>
      </c>
      <c r="B197" s="1419">
        <v>693173.54934705782</v>
      </c>
      <c r="C197" s="685">
        <v>185783.37864128867</v>
      </c>
      <c r="D197" s="582">
        <v>482792.3600649343</v>
      </c>
      <c r="E197" s="1419">
        <v>103611.65551354598</v>
      </c>
      <c r="F197" s="1411">
        <v>140767.70716094368</v>
      </c>
      <c r="G197" s="1419">
        <v>134851.77049515006</v>
      </c>
      <c r="H197" s="1411">
        <v>16933.434753772326</v>
      </c>
      <c r="I197" s="1407">
        <v>0</v>
      </c>
      <c r="J197" s="1440">
        <f t="shared" si="0"/>
        <v>16933.434753772326</v>
      </c>
      <c r="K197" s="1400">
        <v>8963807.8735824302</v>
      </c>
      <c r="L197" s="685">
        <v>1219922.4007465751</v>
      </c>
      <c r="M197" s="582">
        <v>5646415.4078546483</v>
      </c>
      <c r="N197" s="1419">
        <v>1739026.4631563313</v>
      </c>
      <c r="O197" s="1411">
        <v>1094432.4011464845</v>
      </c>
      <c r="P197" s="1419">
        <v>1254781.4821189188</v>
      </c>
      <c r="Q197" s="1411">
        <v>449074.52005262079</v>
      </c>
      <c r="R197" s="1407">
        <v>0</v>
      </c>
      <c r="S197" s="1440">
        <f t="shared" si="1"/>
        <v>449074.52005262079</v>
      </c>
      <c r="T197" s="1400">
        <v>707827.95340360689</v>
      </c>
      <c r="U197" s="685">
        <v>190483.67891440701</v>
      </c>
      <c r="V197" s="1407">
        <v>518324.09736124199</v>
      </c>
      <c r="W197" s="1411">
        <v>97740.638758578498</v>
      </c>
      <c r="X197" s="1419">
        <v>133973.99707041201</v>
      </c>
      <c r="Y197" s="1419">
        <v>142812.12733816801</v>
      </c>
      <c r="Z197" s="1424">
        <f t="shared" si="3"/>
        <v>5460.7717896134127</v>
      </c>
    </row>
    <row r="198" spans="1:26">
      <c r="A198" s="583">
        <v>2017.1</v>
      </c>
      <c r="B198" s="1419">
        <v>681444.76611022244</v>
      </c>
      <c r="C198" s="685">
        <v>194211.6667513001</v>
      </c>
      <c r="D198" s="582">
        <v>536011.26796886313</v>
      </c>
      <c r="E198" s="1419">
        <v>92114.467517266225</v>
      </c>
      <c r="F198" s="1411">
        <v>134667.57440605693</v>
      </c>
      <c r="G198" s="1419">
        <v>131486.24599536855</v>
      </c>
      <c r="H198" s="1411">
        <v>-18623.123026032266</v>
      </c>
      <c r="I198" s="1407">
        <v>0</v>
      </c>
      <c r="J198" s="1440">
        <f t="shared" si="0"/>
        <v>-18623.123026032266</v>
      </c>
      <c r="K198" s="1400">
        <v>9240877.7309983596</v>
      </c>
      <c r="L198" s="685">
        <v>1286988.342589411</v>
      </c>
      <c r="M198" s="582">
        <v>6452494.8674846385</v>
      </c>
      <c r="N198" s="1419">
        <v>1603692.4033928665</v>
      </c>
      <c r="O198" s="1411">
        <v>1036964.9424448053</v>
      </c>
      <c r="P198" s="1419">
        <v>1376574.1514435573</v>
      </c>
      <c r="Q198" s="1411">
        <v>58139.708821904147</v>
      </c>
      <c r="R198" s="1407">
        <v>0</v>
      </c>
      <c r="S198" s="1440">
        <f t="shared" si="1"/>
        <v>58139.708821904147</v>
      </c>
      <c r="T198" s="1400">
        <v>714912.16474778962</v>
      </c>
      <c r="U198" s="685">
        <v>199868.289260422</v>
      </c>
      <c r="V198" s="1407">
        <v>531204.74662731902</v>
      </c>
      <c r="W198" s="1411">
        <v>98068.282814464401</v>
      </c>
      <c r="X198" s="1419">
        <v>139918.18599534599</v>
      </c>
      <c r="Y198" s="1419">
        <v>145156.95250633999</v>
      </c>
      <c r="Z198" s="1424">
        <f t="shared" si="3"/>
        <v>432.28606474224944</v>
      </c>
    </row>
    <row r="199" spans="1:26">
      <c r="A199" s="583">
        <v>2017.2</v>
      </c>
      <c r="B199" s="1419">
        <v>778401.67644931667</v>
      </c>
      <c r="C199" s="685">
        <v>211208.75068866156</v>
      </c>
      <c r="D199" s="582">
        <v>579761.66347400076</v>
      </c>
      <c r="E199" s="1419">
        <v>98369.906124256348</v>
      </c>
      <c r="F199" s="1411">
        <v>150287.56199874161</v>
      </c>
      <c r="G199" s="1419">
        <v>147917.72513381098</v>
      </c>
      <c r="H199" s="1411">
        <v>13273.57040716861</v>
      </c>
      <c r="I199" s="1407">
        <v>0</v>
      </c>
      <c r="J199" s="1440">
        <f t="shared" si="0"/>
        <v>13273.57040716861</v>
      </c>
      <c r="K199" s="1400">
        <v>10558208.304643149</v>
      </c>
      <c r="L199" s="685">
        <v>1391389.2309320145</v>
      </c>
      <c r="M199" s="582">
        <v>7222060.2532969499</v>
      </c>
      <c r="N199" s="1419">
        <v>1830346.0750884414</v>
      </c>
      <c r="O199" s="1411">
        <v>1180972.2683563081</v>
      </c>
      <c r="P199" s="1419">
        <v>1515425.7851115854</v>
      </c>
      <c r="Q199" s="1411">
        <v>200793.15372187659</v>
      </c>
      <c r="R199" s="1407">
        <v>0</v>
      </c>
      <c r="S199" s="1440">
        <f t="shared" si="1"/>
        <v>200793.15372187659</v>
      </c>
      <c r="T199" s="1400">
        <v>721334.53085394576</v>
      </c>
      <c r="U199" s="685">
        <v>209465.699928577</v>
      </c>
      <c r="V199" s="1407">
        <v>533750.20632252004</v>
      </c>
      <c r="W199" s="1411">
        <v>98301.980893503205</v>
      </c>
      <c r="X199" s="1419">
        <v>146036.93804912799</v>
      </c>
      <c r="Y199" s="1419">
        <v>145370.22186428899</v>
      </c>
      <c r="Z199" s="1424">
        <f t="shared" si="3"/>
        <v>7340.8836530825356</v>
      </c>
    </row>
    <row r="200" spans="1:26">
      <c r="A200" s="583">
        <v>2017.3</v>
      </c>
      <c r="B200" s="1419">
        <v>721120.42685279413</v>
      </c>
      <c r="C200" s="685">
        <v>229079.80670323674</v>
      </c>
      <c r="D200" s="582">
        <v>530448.74350044678</v>
      </c>
      <c r="E200" s="1419">
        <v>99417.584720550163</v>
      </c>
      <c r="F200" s="1411">
        <v>153867.07257565853</v>
      </c>
      <c r="G200" s="1419">
        <v>160592.39690911057</v>
      </c>
      <c r="H200" s="1411">
        <v>5874.4358502647374</v>
      </c>
      <c r="I200" s="1407">
        <v>0</v>
      </c>
      <c r="J200" s="1440">
        <f t="shared" si="0"/>
        <v>5874.4358502647374</v>
      </c>
      <c r="K200" s="1400">
        <v>11116422.3178693</v>
      </c>
      <c r="L200" s="685">
        <v>1637892.4601677018</v>
      </c>
      <c r="M200" s="582">
        <v>7389754.5892044138</v>
      </c>
      <c r="N200" s="1419">
        <v>1901772.384216524</v>
      </c>
      <c r="O200" s="1411">
        <v>1317088.8434907189</v>
      </c>
      <c r="P200" s="1419">
        <v>1746003.5877648164</v>
      </c>
      <c r="Q200" s="1411">
        <v>399695.37336052803</v>
      </c>
      <c r="R200" s="1407">
        <v>0</v>
      </c>
      <c r="S200" s="1440">
        <f t="shared" si="1"/>
        <v>399695.37336052803</v>
      </c>
      <c r="T200" s="1400">
        <v>731135.43682030134</v>
      </c>
      <c r="U200" s="685">
        <v>218645.75638491</v>
      </c>
      <c r="V200" s="1407">
        <v>540258.597107879</v>
      </c>
      <c r="W200" s="1411">
        <v>99400.480604783093</v>
      </c>
      <c r="X200" s="1419">
        <v>154679.79322456499</v>
      </c>
      <c r="Y200" s="1419">
        <v>146427.79923348999</v>
      </c>
      <c r="Z200" s="1424">
        <f t="shared" si="3"/>
        <v>9014.5230344942538</v>
      </c>
    </row>
    <row r="201" spans="1:26">
      <c r="A201" s="583">
        <v>2017.4</v>
      </c>
      <c r="B201" s="1419">
        <v>724592.92163896293</v>
      </c>
      <c r="C201" s="685">
        <v>227978.62402592791</v>
      </c>
      <c r="D201" s="582">
        <v>508108.82394146093</v>
      </c>
      <c r="E201" s="1419">
        <v>105392.23970881503</v>
      </c>
      <c r="F201" s="1411">
        <v>145441.11931488177</v>
      </c>
      <c r="G201" s="1419">
        <v>162113.68977869209</v>
      </c>
      <c r="H201" s="1411">
        <v>31515.672921041147</v>
      </c>
      <c r="I201" s="1407">
        <v>0</v>
      </c>
      <c r="J201" s="1440">
        <f>I201+H201</f>
        <v>31515.672921041147</v>
      </c>
      <c r="K201" s="1400">
        <v>11725405.625723016</v>
      </c>
      <c r="L201" s="685">
        <v>1640374.7434781096</v>
      </c>
      <c r="M201" s="582">
        <v>7394054.3400921319</v>
      </c>
      <c r="N201" s="1419">
        <v>2210306.45177919</v>
      </c>
      <c r="O201" s="1411">
        <v>1292046.2353310343</v>
      </c>
      <c r="P201" s="1419">
        <v>1827296.604023722</v>
      </c>
      <c r="Q201" s="1411">
        <v>642076.73797504837</v>
      </c>
      <c r="R201" s="1407">
        <v>0</v>
      </c>
      <c r="S201" s="1440">
        <f t="shared" si="1"/>
        <v>642076.73797504837</v>
      </c>
      <c r="T201" s="1400">
        <v>738177.65862925851</v>
      </c>
      <c r="U201" s="685">
        <v>234499.10259521799</v>
      </c>
      <c r="V201" s="1407">
        <v>549116.948827054</v>
      </c>
      <c r="W201" s="1411">
        <v>99523.453758136893</v>
      </c>
      <c r="X201" s="1419">
        <v>161475.14054794499</v>
      </c>
      <c r="Y201" s="1419">
        <v>147308.354691221</v>
      </c>
      <c r="Z201" s="1424">
        <f t="shared" si="3"/>
        <v>15252.86340011959</v>
      </c>
    </row>
    <row r="202" spans="1:26">
      <c r="A202" s="583">
        <v>2018.1</v>
      </c>
      <c r="B202" s="1419">
        <v>707324.2680572141</v>
      </c>
      <c r="C202" s="685">
        <v>225441.66873268329</v>
      </c>
      <c r="D202" s="582">
        <v>552912.87859209056</v>
      </c>
      <c r="E202" s="1419">
        <v>92056.193864697299</v>
      </c>
      <c r="F202" s="1411">
        <v>144939.93221966934</v>
      </c>
      <c r="G202" s="1419">
        <v>152300.60421099819</v>
      </c>
      <c r="H202" s="1411">
        <v>-9443.6720975579628</v>
      </c>
      <c r="I202" s="1407">
        <v>0</v>
      </c>
      <c r="J202" s="1440">
        <v>-8446.9539947476351</v>
      </c>
      <c r="K202" s="1400">
        <v>12457790.347179031</v>
      </c>
      <c r="L202" s="685">
        <v>1919892.5593279414</v>
      </c>
      <c r="M202" s="582">
        <v>8985619.3144723307</v>
      </c>
      <c r="N202" s="1419">
        <v>1930980.5490368265</v>
      </c>
      <c r="O202" s="1411">
        <v>1478729.346105644</v>
      </c>
      <c r="P202" s="1419">
        <v>2044366.8432120709</v>
      </c>
      <c r="Q202" s="1411">
        <v>-62013.146319899155</v>
      </c>
      <c r="R202" s="1407">
        <v>0</v>
      </c>
      <c r="S202" s="1440">
        <v>209541.22544686127</v>
      </c>
      <c r="T202" s="1400">
        <v>734144.14623833145</v>
      </c>
      <c r="U202" s="685">
        <v>231335.84948610101</v>
      </c>
      <c r="V202" s="1407">
        <v>546690.67238347</v>
      </c>
      <c r="W202" s="1411">
        <v>97847.967848365501</v>
      </c>
      <c r="X202" s="1419">
        <v>160258.89703922399</v>
      </c>
      <c r="Y202" s="1419">
        <v>154750.119584281</v>
      </c>
      <c r="Z202" s="1424">
        <f>SUM(T202:U202)-SUM(V202:Y202)</f>
        <v>5932.3388690918218</v>
      </c>
    </row>
    <row r="203" spans="1:26">
      <c r="A203" s="583">
        <v>2018.2</v>
      </c>
      <c r="B203" s="1419">
        <v>747428.29995457456</v>
      </c>
      <c r="C203" s="685">
        <v>220135.48182057161</v>
      </c>
      <c r="D203" s="582">
        <v>588455.75652951398</v>
      </c>
      <c r="E203" s="1419">
        <v>97624.1805461115</v>
      </c>
      <c r="F203" s="1411">
        <v>137726.12065017069</v>
      </c>
      <c r="G203" s="1419">
        <v>151659.16792457036</v>
      </c>
      <c r="H203" s="1411">
        <v>-7901.4438752204433</v>
      </c>
      <c r="I203" s="1407">
        <v>0</v>
      </c>
      <c r="J203" s="1440">
        <v>5176.1505407693294</v>
      </c>
      <c r="K203" s="1400">
        <v>14431394.012697566</v>
      </c>
      <c r="L203" s="685">
        <v>2215778.5591385653</v>
      </c>
      <c r="M203" s="582">
        <v>10330546.935142642</v>
      </c>
      <c r="N203" s="1419">
        <v>2229720.3422271442</v>
      </c>
      <c r="O203" s="1411">
        <v>1751921.0788386983</v>
      </c>
      <c r="P203" s="1419">
        <v>2168235.6608427409</v>
      </c>
      <c r="Q203" s="1411">
        <v>166748.55478490356</v>
      </c>
      <c r="R203" s="1407">
        <v>0</v>
      </c>
      <c r="S203" s="1440">
        <v>443122.26877132605</v>
      </c>
      <c r="T203" s="1400">
        <v>702989.82943661115</v>
      </c>
      <c r="U203" s="685">
        <v>218614.98384463499</v>
      </c>
      <c r="V203" s="1407">
        <v>541159.75394841598</v>
      </c>
      <c r="W203" s="1411">
        <v>97228.200724093593</v>
      </c>
      <c r="X203" s="1419">
        <v>149901.57300490799</v>
      </c>
      <c r="Y203" s="1419">
        <v>133819.20273662501</v>
      </c>
      <c r="Z203" s="1424">
        <f>SUM(T203:U203)-SUM(V203:Y203)</f>
        <v>-503.91713279637042</v>
      </c>
    </row>
    <row r="204" spans="1:26">
      <c r="A204" s="583">
        <v>2018.3</v>
      </c>
      <c r="B204" s="1419">
        <v>696101.58352180757</v>
      </c>
      <c r="C204" s="685">
        <v>206728.92891598196</v>
      </c>
      <c r="D204" s="582">
        <v>513316.29297847388</v>
      </c>
      <c r="E204" s="1419">
        <v>96923.533014979621</v>
      </c>
      <c r="F204" s="1411">
        <v>144474.37418546676</v>
      </c>
      <c r="G204" s="1419">
        <v>142066.41524748251</v>
      </c>
      <c r="H204" s="685">
        <v>6049.8970113867208</v>
      </c>
      <c r="I204" s="1407">
        <v>0</v>
      </c>
      <c r="J204" s="1440">
        <v>10662.196157122547</v>
      </c>
      <c r="K204" s="1400">
        <v>15276275.653390341</v>
      </c>
      <c r="L204" s="685">
        <v>2796099.7108324175</v>
      </c>
      <c r="M204" s="582">
        <v>10818287.266995337</v>
      </c>
      <c r="N204" s="1419">
        <v>2269535.2994457465</v>
      </c>
      <c r="O204" s="1411">
        <v>2390075.0811334709</v>
      </c>
      <c r="P204" s="1419">
        <v>2381084.7827953203</v>
      </c>
      <c r="Q204" s="1411">
        <v>213392.93385288605</v>
      </c>
      <c r="R204" s="1407">
        <v>0</v>
      </c>
      <c r="S204" s="1440">
        <v>815846.23404923058</v>
      </c>
      <c r="T204" s="1400">
        <v>701672.89191766945</v>
      </c>
      <c r="U204" s="685">
        <v>197782.574771207</v>
      </c>
      <c r="V204" s="1407">
        <v>527975.01114864601</v>
      </c>
      <c r="W204" s="1411">
        <v>97097.556864035505</v>
      </c>
      <c r="X204" s="1419">
        <v>136294.39190208999</v>
      </c>
      <c r="Y204" s="1419">
        <v>136354.26225480699</v>
      </c>
      <c r="Z204" s="1424">
        <f>SUM(T204:U204)-SUM(V204:Y204)</f>
        <v>1734.2445192979649</v>
      </c>
    </row>
    <row r="205" spans="1:26">
      <c r="A205" s="583">
        <v>2018.4</v>
      </c>
      <c r="B205" s="1419">
        <v>678655.62038445356</v>
      </c>
      <c r="C205" s="685">
        <v>171694.68040516032</v>
      </c>
      <c r="D205" s="582">
        <v>451265.20905076183</v>
      </c>
      <c r="E205" s="1419">
        <v>101213.65943477832</v>
      </c>
      <c r="F205" s="1411">
        <v>160897.22038331695</v>
      </c>
      <c r="G205" s="1419">
        <v>121488.74616913995</v>
      </c>
      <c r="H205" s="685">
        <v>15485.465751616752</v>
      </c>
      <c r="I205" s="1407">
        <v>0</v>
      </c>
      <c r="J205" s="1440">
        <v>-5363.566786610656</v>
      </c>
      <c r="K205" s="1400">
        <v>16813782.695796333</v>
      </c>
      <c r="L205" s="685">
        <v>2697091.9875661591</v>
      </c>
      <c r="M205" s="582">
        <v>10838533.902790979</v>
      </c>
      <c r="N205" s="1419">
        <v>2891490.421296306</v>
      </c>
      <c r="O205" s="1411">
        <v>2893922.4216014976</v>
      </c>
      <c r="P205" s="1419">
        <v>2401266.2133552069</v>
      </c>
      <c r="Q205" s="1411">
        <v>485661.72431850847</v>
      </c>
      <c r="R205" s="1407">
        <v>0</v>
      </c>
      <c r="S205" s="1440">
        <v>662008.11815602111</v>
      </c>
      <c r="T205" s="1400">
        <v>690702.90432543668</v>
      </c>
      <c r="U205" s="685">
        <v>176267.351772455</v>
      </c>
      <c r="V205" s="1407">
        <v>490124.69967030903</v>
      </c>
      <c r="W205" s="1411">
        <v>95643.841424071798</v>
      </c>
      <c r="X205" s="1419">
        <v>121060.071605969</v>
      </c>
      <c r="Y205" s="1419">
        <v>163114.062862911</v>
      </c>
      <c r="Z205" s="1424">
        <f t="shared" ref="Z205:Z233" si="4">SUM(T205:U205)-SUM(V205:Y205)</f>
        <v>-2972.4194653690793</v>
      </c>
    </row>
    <row r="206" spans="1:26">
      <c r="A206" s="583">
        <v>2019.1</v>
      </c>
      <c r="B206" s="1419">
        <v>665848.71529970889</v>
      </c>
      <c r="C206" s="685">
        <v>168867.28177685314</v>
      </c>
      <c r="D206" s="582">
        <v>504391.51102833217</v>
      </c>
      <c r="E206" s="1419">
        <v>87955.885315884618</v>
      </c>
      <c r="F206" s="1411">
        <v>145979.48694396392</v>
      </c>
      <c r="G206" s="1419">
        <v>114187.82600362251</v>
      </c>
      <c r="H206" s="685">
        <v>-17798.712215241139</v>
      </c>
      <c r="I206" s="1407">
        <v>0</v>
      </c>
      <c r="J206" s="1440">
        <v>8181.9758150117632</v>
      </c>
      <c r="K206" s="1400">
        <v>17484108.856974758</v>
      </c>
      <c r="L206" s="685">
        <v>2691262.9814260891</v>
      </c>
      <c r="M206" s="582">
        <v>12506829.117932249</v>
      </c>
      <c r="N206" s="1419">
        <v>2915482.6602430898</v>
      </c>
      <c r="O206" s="1411">
        <v>2815654.9440515246</v>
      </c>
      <c r="P206" s="1419">
        <v>2496183.2312483937</v>
      </c>
      <c r="Q206" s="1411">
        <v>-558778.11507440591</v>
      </c>
      <c r="R206" s="1407">
        <v>0</v>
      </c>
      <c r="S206" s="1440">
        <v>306765.00359550095</v>
      </c>
      <c r="T206" s="1400">
        <v>692918.92556444171</v>
      </c>
      <c r="U206" s="685">
        <v>173280.60737017301</v>
      </c>
      <c r="V206" s="1407">
        <v>500595.41472969297</v>
      </c>
      <c r="W206" s="1411">
        <v>93479.439386608094</v>
      </c>
      <c r="X206" s="1419">
        <v>121577.89309890701</v>
      </c>
      <c r="Y206" s="1419">
        <v>155996.39326275201</v>
      </c>
      <c r="Z206" s="1424">
        <f t="shared" si="4"/>
        <v>-5449.6075433453079</v>
      </c>
    </row>
    <row r="207" spans="1:26">
      <c r="A207" s="583">
        <v>2019.2</v>
      </c>
      <c r="B207" s="1419">
        <v>751784.46077713254</v>
      </c>
      <c r="C207" s="685">
        <v>171113.94006205906</v>
      </c>
      <c r="D207" s="582">
        <v>550677.2854003571</v>
      </c>
      <c r="E207" s="1419">
        <v>93381.864308900738</v>
      </c>
      <c r="F207" s="1411">
        <v>159369.07377883981</v>
      </c>
      <c r="G207" s="1419">
        <v>123592.22780170344</v>
      </c>
      <c r="H207" s="685">
        <v>-4122.0504506094958</v>
      </c>
      <c r="I207" s="1407">
        <v>0</v>
      </c>
      <c r="J207" s="1440">
        <v>13735.97874543997</v>
      </c>
      <c r="K207" s="1400">
        <v>21233558.154751204</v>
      </c>
      <c r="L207" s="685">
        <v>2995331.6135632321</v>
      </c>
      <c r="M207" s="1411">
        <v>14726541.986568943</v>
      </c>
      <c r="N207" s="1419">
        <v>3465044.4136007172</v>
      </c>
      <c r="O207" s="1411">
        <v>3503605.4715096559</v>
      </c>
      <c r="P207" s="1419">
        <v>2955278.3386972123</v>
      </c>
      <c r="Q207" s="1411">
        <v>-421580.44206209073</v>
      </c>
      <c r="R207" s="1407">
        <v>0</v>
      </c>
      <c r="S207" s="1440">
        <v>292055.68804257584</v>
      </c>
      <c r="T207" s="1400">
        <v>696317.21672593243</v>
      </c>
      <c r="U207" s="685">
        <v>170336.68580420301</v>
      </c>
      <c r="V207" s="1407">
        <v>501581.38701619999</v>
      </c>
      <c r="W207" s="1411">
        <v>92490.952628864601</v>
      </c>
      <c r="X207" s="1419">
        <v>122166.258866797</v>
      </c>
      <c r="Y207" s="1419">
        <v>155341.20087103199</v>
      </c>
      <c r="Z207" s="1424">
        <f t="shared" si="4"/>
        <v>-4925.8968527580146</v>
      </c>
    </row>
    <row r="208" spans="1:26">
      <c r="A208" s="583">
        <v>2019.3</v>
      </c>
      <c r="B208" s="1419">
        <v>683900.89855257841</v>
      </c>
      <c r="C208" s="685">
        <v>176396.74291737535</v>
      </c>
      <c r="D208" s="582">
        <v>480415.60689608956</v>
      </c>
      <c r="E208" s="1419">
        <v>88666.349847089979</v>
      </c>
      <c r="F208" s="1411">
        <v>166474.0916804299</v>
      </c>
      <c r="G208" s="1419">
        <v>127742.49807995031</v>
      </c>
      <c r="H208" s="1411">
        <v>-2865.4114631469688</v>
      </c>
      <c r="I208" s="1407">
        <v>0</v>
      </c>
      <c r="J208" s="1440">
        <v>-22458.563770109984</v>
      </c>
      <c r="K208" s="1400">
        <v>22303884.008779511</v>
      </c>
      <c r="L208" s="685">
        <v>3496149.7229280677</v>
      </c>
      <c r="M208" s="582">
        <v>14448983.823249834</v>
      </c>
      <c r="N208" s="1419">
        <v>3514717.5114464457</v>
      </c>
      <c r="O208" s="1411">
        <v>4137684.1662638434</v>
      </c>
      <c r="P208" s="1419">
        <v>3413087.2481312547</v>
      </c>
      <c r="Q208" s="1411">
        <v>288661.30781486165</v>
      </c>
      <c r="R208" s="1407">
        <v>0</v>
      </c>
      <c r="S208" s="1440">
        <v>-324058.03050186537</v>
      </c>
      <c r="T208" s="1400">
        <v>696903.18167987233</v>
      </c>
      <c r="U208" s="685">
        <v>168743.589781263</v>
      </c>
      <c r="V208" s="1407">
        <v>497796.72175583302</v>
      </c>
      <c r="W208" s="1411">
        <v>88977.903328055196</v>
      </c>
      <c r="X208" s="1419">
        <v>122473.73032497799</v>
      </c>
      <c r="Y208" s="1419">
        <v>157283.07988599601</v>
      </c>
      <c r="Z208" s="1424">
        <f t="shared" si="4"/>
        <v>-884.66383372677956</v>
      </c>
    </row>
    <row r="209" spans="1:26">
      <c r="A209" s="583">
        <v>2019.4</v>
      </c>
      <c r="B209" s="1419">
        <v>671361.13972242002</v>
      </c>
      <c r="C209" s="685">
        <v>153557.48180457175</v>
      </c>
      <c r="D209" s="582">
        <v>441436.04980722244</v>
      </c>
      <c r="E209" s="1419">
        <v>92992.64557113075</v>
      </c>
      <c r="F209" s="1411">
        <v>173554.69540591474</v>
      </c>
      <c r="G209" s="1419">
        <v>111464.9398238233</v>
      </c>
      <c r="H209" s="1411">
        <v>6361.6247274381794</v>
      </c>
      <c r="I209" s="1407">
        <v>0</v>
      </c>
      <c r="J209" s="1440">
        <v>-12006.71105809073</v>
      </c>
      <c r="K209" s="1400">
        <v>25212225.57629694</v>
      </c>
      <c r="L209" s="685">
        <v>3498567.7871837672</v>
      </c>
      <c r="M209" s="582">
        <v>15341960.115295788</v>
      </c>
      <c r="N209" s="1419">
        <v>4284383.629432993</v>
      </c>
      <c r="O209" s="1411">
        <v>5000354.9936095746</v>
      </c>
      <c r="P209" s="1419">
        <v>3379824.9111472671</v>
      </c>
      <c r="Q209" s="1411">
        <v>728359.33605592558</v>
      </c>
      <c r="R209" s="1407">
        <v>0</v>
      </c>
      <c r="S209" s="1440">
        <v>-115854.27931970978</v>
      </c>
      <c r="T209" s="1400">
        <v>686755.89038159302</v>
      </c>
      <c r="U209" s="685">
        <v>157574.56360522</v>
      </c>
      <c r="V209" s="1407">
        <v>476946.92963027599</v>
      </c>
      <c r="W209" s="1411">
        <v>88048.449699478195</v>
      </c>
      <c r="X209" s="1419">
        <v>110769.60941841701</v>
      </c>
      <c r="Y209" s="1419">
        <v>176756.673789369</v>
      </c>
      <c r="Z209" s="1424">
        <f t="shared" si="4"/>
        <v>-8191.2085507269949</v>
      </c>
    </row>
    <row r="210" spans="1:26">
      <c r="A210" s="583">
        <v>2020.1</v>
      </c>
      <c r="B210" s="1419">
        <v>632389.35353461001</v>
      </c>
      <c r="C210" s="685">
        <v>147946.8652804679</v>
      </c>
      <c r="D210" s="582">
        <v>470887.43428154616</v>
      </c>
      <c r="E210" s="1419">
        <v>87736.345381020859</v>
      </c>
      <c r="F210" s="1411">
        <v>139323.35480735445</v>
      </c>
      <c r="G210" s="1419">
        <v>93438.798849567916</v>
      </c>
      <c r="H210" s="1411">
        <v>-11049.714504411444</v>
      </c>
      <c r="I210" s="1407">
        <v>0</v>
      </c>
      <c r="J210" s="1440">
        <v>8846.15181049495</v>
      </c>
      <c r="K210" s="1400">
        <v>24999988.082612831</v>
      </c>
      <c r="L210" s="685">
        <v>3461376.5819446747</v>
      </c>
      <c r="M210" s="582">
        <v>17610147.710211862</v>
      </c>
      <c r="N210" s="1419">
        <v>4127506.9648787244</v>
      </c>
      <c r="O210" s="1411">
        <v>4184145.2669444666</v>
      </c>
      <c r="P210" s="1419">
        <v>3293519.1029432211</v>
      </c>
      <c r="Q210" s="1411">
        <v>-753954.38042077376</v>
      </c>
      <c r="R210" s="1407">
        <v>0</v>
      </c>
      <c r="S210" s="1440">
        <v>888903.33914046478</v>
      </c>
      <c r="T210" s="1400">
        <v>655686.92556815746</v>
      </c>
      <c r="U210" s="685">
        <v>151525.404038807</v>
      </c>
      <c r="V210" s="1407">
        <v>461938.76426652499</v>
      </c>
      <c r="W210" s="1411">
        <v>92747.544653511693</v>
      </c>
      <c r="X210" s="1419">
        <v>100777.393747878</v>
      </c>
      <c r="Y210" s="1419">
        <v>149534.713929919</v>
      </c>
      <c r="Z210" s="1424">
        <f t="shared" si="4"/>
        <v>2213.9130091308616</v>
      </c>
    </row>
    <row r="211" spans="1:26">
      <c r="A211" s="583">
        <v>2020.2</v>
      </c>
      <c r="B211" s="1419">
        <v>609379.98946480127</v>
      </c>
      <c r="C211" s="685">
        <v>118831.91607431167</v>
      </c>
      <c r="D211" s="582">
        <v>434291.22191559087</v>
      </c>
      <c r="E211" s="1419">
        <v>87928.544809612955</v>
      </c>
      <c r="F211" s="1411">
        <v>136593.32836722894</v>
      </c>
      <c r="G211" s="1419">
        <v>76231.157865457251</v>
      </c>
      <c r="H211" s="1411">
        <v>-6832.3474187771135</v>
      </c>
      <c r="I211" s="1407">
        <v>0</v>
      </c>
      <c r="J211" s="1440">
        <v>21636.33839910767</v>
      </c>
      <c r="K211" s="1400">
        <v>24025361.939099036</v>
      </c>
      <c r="L211" s="685">
        <v>2995487.7931514946</v>
      </c>
      <c r="M211" s="582">
        <v>16394879.795357706</v>
      </c>
      <c r="N211" s="1419">
        <v>4383620.5021417476</v>
      </c>
      <c r="O211" s="1411">
        <v>4354106.2596864058</v>
      </c>
      <c r="P211" s="1419">
        <v>2507043.1480245627</v>
      </c>
      <c r="Q211" s="1411">
        <v>-618799.97295988665</v>
      </c>
      <c r="R211" s="1407">
        <v>0</v>
      </c>
      <c r="S211" s="1440">
        <v>1290488.5210332717</v>
      </c>
      <c r="T211" s="1400">
        <v>563459.44329206424</v>
      </c>
      <c r="U211" s="685">
        <v>117648.61911651499</v>
      </c>
      <c r="V211" s="1407">
        <v>395149.12641238503</v>
      </c>
      <c r="W211" s="1411">
        <v>87013.900609346994</v>
      </c>
      <c r="X211" s="1419">
        <v>74349.4385539051</v>
      </c>
      <c r="Y211" s="1419">
        <v>132129.13238059499</v>
      </c>
      <c r="Z211" s="1424">
        <f t="shared" si="4"/>
        <v>-7533.5355476527475</v>
      </c>
    </row>
    <row r="212" spans="1:26">
      <c r="A212" s="583">
        <v>2020.3</v>
      </c>
      <c r="B212" s="1419">
        <v>614192.47840422287</v>
      </c>
      <c r="C212" s="685">
        <v>136935.27553956184</v>
      </c>
      <c r="D212" s="582">
        <v>408971.26297570387</v>
      </c>
      <c r="E212" s="1419">
        <v>86984.633669152085</v>
      </c>
      <c r="F212" s="1411">
        <v>136347.82248110077</v>
      </c>
      <c r="G212" s="1419">
        <v>116052.69910475849</v>
      </c>
      <c r="H212" s="1411">
        <v>2771.3357130695558</v>
      </c>
      <c r="I212" s="1407">
        <v>0</v>
      </c>
      <c r="J212" s="1440">
        <v>-5050.6099204668253</v>
      </c>
      <c r="K212" s="1400">
        <v>27536379.505392455</v>
      </c>
      <c r="L212" s="685">
        <v>3800934.8859910201</v>
      </c>
      <c r="M212" s="582">
        <v>17443145.176056884</v>
      </c>
      <c r="N212" s="1419">
        <v>4424148.4978680871</v>
      </c>
      <c r="O212" s="1411">
        <v>4797446.0638376707</v>
      </c>
      <c r="P212" s="1419">
        <v>4292822.4104276039</v>
      </c>
      <c r="Q212" s="1411">
        <v>379752.24319323711</v>
      </c>
      <c r="R212" s="1407">
        <v>0</v>
      </c>
      <c r="S212" s="1440">
        <v>138733.81267367935</v>
      </c>
      <c r="T212" s="1400">
        <v>624954.50252214924</v>
      </c>
      <c r="U212" s="685">
        <v>130400.315373312</v>
      </c>
      <c r="V212" s="1407">
        <v>425872.21550120303</v>
      </c>
      <c r="W212" s="1411">
        <v>87502.431979229601</v>
      </c>
      <c r="X212" s="1419">
        <v>111377.697394296</v>
      </c>
      <c r="Y212" s="1419">
        <v>128233.331219614</v>
      </c>
      <c r="Z212" s="1424">
        <f t="shared" si="4"/>
        <v>2369.1418011185015</v>
      </c>
    </row>
    <row r="213" spans="1:26">
      <c r="A213" s="583">
        <v>2020.4</v>
      </c>
      <c r="B213" s="1419">
        <v>642403.32319795026</v>
      </c>
      <c r="C213" s="685">
        <v>150921.00259403721</v>
      </c>
      <c r="D213" s="582">
        <v>422152.31693503499</v>
      </c>
      <c r="E213" s="1419">
        <v>93008.979212823979</v>
      </c>
      <c r="F213" s="1411">
        <v>120573.80620850835</v>
      </c>
      <c r="G213" s="1419">
        <v>128941.85089797007</v>
      </c>
      <c r="H213" s="1411">
        <v>28647.372537650161</v>
      </c>
      <c r="I213" s="1407">
        <v>0</v>
      </c>
      <c r="J213" s="1440">
        <v>13420.857547065849</v>
      </c>
      <c r="K213" s="1400">
        <v>32277527.046046086</v>
      </c>
      <c r="L213" s="685">
        <v>4542472.3540088767</v>
      </c>
      <c r="M213" s="582">
        <v>20064341.742085136</v>
      </c>
      <c r="N213" s="1419">
        <v>5429179.8329873197</v>
      </c>
      <c r="O213" s="1411">
        <v>4737512.0339845428</v>
      </c>
      <c r="P213" s="1419">
        <v>5451588.0055542327</v>
      </c>
      <c r="Q213" s="1411">
        <v>1137377.7854437362</v>
      </c>
      <c r="R213" s="1407">
        <v>0</v>
      </c>
      <c r="S213" s="1440">
        <v>953375.5344811707</v>
      </c>
      <c r="T213" s="1400">
        <v>654264.27321921464</v>
      </c>
      <c r="U213" s="685">
        <v>155060.720959745</v>
      </c>
      <c r="V213" s="1407">
        <v>453342.12992776203</v>
      </c>
      <c r="W213" s="1411">
        <v>88394.625830521705</v>
      </c>
      <c r="X213" s="1419">
        <v>128159.977021674</v>
      </c>
      <c r="Y213" s="1419">
        <v>122941.134334063</v>
      </c>
      <c r="Z213" s="1424">
        <f t="shared" si="4"/>
        <v>16487.127064938773</v>
      </c>
    </row>
    <row r="214" spans="1:26">
      <c r="A214" s="583">
        <v>2021.1</v>
      </c>
      <c r="B214" s="1419">
        <v>654121.63288877427</v>
      </c>
      <c r="C214" s="685">
        <v>150171.78273477461</v>
      </c>
      <c r="D214" s="582">
        <v>473449.40894649777</v>
      </c>
      <c r="E214" s="1419">
        <v>87311.057344988323</v>
      </c>
      <c r="F214" s="1411">
        <v>125611.69962458867</v>
      </c>
      <c r="G214" s="1419">
        <v>129895.29941259569</v>
      </c>
      <c r="H214" s="1411">
        <v>-15976.887687612407</v>
      </c>
      <c r="I214" s="1407">
        <v>4002.8379824909466</v>
      </c>
      <c r="J214" s="1440">
        <v>25361.608341311265</v>
      </c>
      <c r="K214" s="1400">
        <v>36912275.673692241</v>
      </c>
      <c r="L214" s="685">
        <v>5248565.6141233575</v>
      </c>
      <c r="M214" s="582">
        <v>24680809.309528649</v>
      </c>
      <c r="N214" s="1419">
        <v>5458901.893170923</v>
      </c>
      <c r="O214" s="1411">
        <v>6164096.0513800429</v>
      </c>
      <c r="P214" s="1419">
        <v>6696341.7705572378</v>
      </c>
      <c r="Q214" s="1411">
        <v>-1183253.304296281</v>
      </c>
      <c r="R214" s="1407">
        <v>343945.56747502898</v>
      </c>
      <c r="S214" s="1440">
        <v>1505612.0971917801</v>
      </c>
      <c r="T214" s="1400">
        <v>677388.78872593155</v>
      </c>
      <c r="U214" s="685">
        <v>154164.96242145399</v>
      </c>
      <c r="V214" s="1407">
        <v>463729.36373525602</v>
      </c>
      <c r="W214" s="1411">
        <v>92176.953460069693</v>
      </c>
      <c r="X214" s="1419">
        <v>137312.30639745601</v>
      </c>
      <c r="Y214" s="1419">
        <v>136029.522070976</v>
      </c>
      <c r="Z214" s="1424">
        <f t="shared" si="4"/>
        <v>2305.6054836278781</v>
      </c>
    </row>
    <row r="215" spans="1:26">
      <c r="A215" s="583">
        <v>2021.2</v>
      </c>
      <c r="B215" s="1419">
        <v>723768.20746946207</v>
      </c>
      <c r="C215" s="685">
        <v>162999.58497137119</v>
      </c>
      <c r="D215" s="582">
        <v>521345.91024562798</v>
      </c>
      <c r="E215" s="1419">
        <v>93102.885259697417</v>
      </c>
      <c r="F215" s="1411">
        <v>146567.94228449656</v>
      </c>
      <c r="G215" s="1419">
        <v>135907.88604595943</v>
      </c>
      <c r="H215" s="1411">
        <v>-3018.6393699556552</v>
      </c>
      <c r="I215" s="1407">
        <v>-7138.1920249925643</v>
      </c>
      <c r="J215" s="1440">
        <f t="shared" ref="J215:J218" si="5">I215+H215</f>
        <v>-10156.83139494822</v>
      </c>
      <c r="K215" s="1400">
        <v>46577302.355724081</v>
      </c>
      <c r="L215" s="685">
        <v>6645763.9668070721</v>
      </c>
      <c r="M215" s="582">
        <v>29573677.556808323</v>
      </c>
      <c r="N215" s="1419">
        <v>6796472.5407569278</v>
      </c>
      <c r="O215" s="1411">
        <v>8336744.9840096552</v>
      </c>
      <c r="P215" s="1419">
        <v>7738690.3851584736</v>
      </c>
      <c r="Q215" s="1411">
        <v>-35431.342942822441</v>
      </c>
      <c r="R215" s="1407">
        <v>812912.19874060061</v>
      </c>
      <c r="S215" s="1440">
        <f t="shared" ref="S215:S218" si="6">R215+Q215</f>
        <v>777480.85579777812</v>
      </c>
      <c r="T215" s="1400">
        <v>679706.2548127817</v>
      </c>
      <c r="U215" s="685">
        <v>160676.673352721</v>
      </c>
      <c r="V215" s="1407">
        <v>472715.547982438</v>
      </c>
      <c r="W215" s="1411">
        <v>91934.266898020796</v>
      </c>
      <c r="X215" s="1419">
        <v>133611.86413834299</v>
      </c>
      <c r="Y215" s="1419">
        <v>142154.50310649999</v>
      </c>
      <c r="Z215" s="1424">
        <f t="shared" si="4"/>
        <v>-33.25395979906898</v>
      </c>
    </row>
    <row r="216" spans="1:26">
      <c r="A216" s="583">
        <v>2021.3</v>
      </c>
      <c r="B216" s="1419">
        <v>687658.66203793022</v>
      </c>
      <c r="C216" s="685">
        <v>174455.5226393246</v>
      </c>
      <c r="D216" s="582">
        <v>456793.03441279638</v>
      </c>
      <c r="E216" s="1419">
        <v>94734.614176100673</v>
      </c>
      <c r="F216" s="1411">
        <v>161424.58035145947</v>
      </c>
      <c r="G216" s="1419">
        <v>140945.38639642112</v>
      </c>
      <c r="H216" s="1411">
        <v>11233.696278262949</v>
      </c>
      <c r="I216" s="1407">
        <v>-3017.126937785752</v>
      </c>
      <c r="J216" s="1440">
        <f t="shared" si="5"/>
        <v>8216.5693404771973</v>
      </c>
      <c r="K216" s="1400">
        <v>47520844.667221196</v>
      </c>
      <c r="L216" s="685">
        <v>7637998.3722499907</v>
      </c>
      <c r="M216" s="582">
        <v>29024613.670889799</v>
      </c>
      <c r="N216" s="1419">
        <v>7390519.0890216846</v>
      </c>
      <c r="O216" s="1411">
        <v>9827107.9913159441</v>
      </c>
      <c r="P216" s="1419">
        <v>8636549.0558219198</v>
      </c>
      <c r="Q216" s="1411">
        <v>974839.81716720713</v>
      </c>
      <c r="R216" s="1407">
        <v>-694786.58474536892</v>
      </c>
      <c r="S216" s="1440">
        <f t="shared" si="6"/>
        <v>280053.23242183821</v>
      </c>
      <c r="T216" s="1400">
        <v>695840.97283992532</v>
      </c>
      <c r="U216" s="685">
        <v>166394.910284524</v>
      </c>
      <c r="V216" s="1407">
        <v>478410.77784314501</v>
      </c>
      <c r="W216" s="1411">
        <v>95550.949377590005</v>
      </c>
      <c r="X216" s="1419">
        <v>136052.32764297799</v>
      </c>
      <c r="Y216" s="1419">
        <v>152182.707409197</v>
      </c>
      <c r="Z216" s="1424">
        <f t="shared" si="4"/>
        <v>39.120851539308205</v>
      </c>
    </row>
    <row r="217" spans="1:26">
      <c r="A217" s="583">
        <v>2021.4</v>
      </c>
      <c r="B217" s="1419">
        <v>700591.66664943192</v>
      </c>
      <c r="C217" s="685">
        <v>180361.58956188904</v>
      </c>
      <c r="D217" s="582">
        <v>464472.40299947938</v>
      </c>
      <c r="E217" s="1419">
        <v>102967.99825138021</v>
      </c>
      <c r="F217" s="1411">
        <v>144509.96806211871</v>
      </c>
      <c r="G217" s="1419">
        <v>148087.29058793065</v>
      </c>
      <c r="H217" s="1411">
        <v>18635.741547697191</v>
      </c>
      <c r="I217" s="1407">
        <v>2279.854762714659</v>
      </c>
      <c r="J217" s="1440">
        <f t="shared" si="5"/>
        <v>20915.596310411849</v>
      </c>
      <c r="K217" s="1400">
        <v>54374486.717677318</v>
      </c>
      <c r="L217" s="685">
        <v>8152009.4232877819</v>
      </c>
      <c r="M217" s="582">
        <v>33495008.115126044</v>
      </c>
      <c r="N217" s="1419">
        <v>9530893.7533692848</v>
      </c>
      <c r="O217" s="1411">
        <v>9035009.2312193029</v>
      </c>
      <c r="P217" s="1419">
        <v>9604155.800046321</v>
      </c>
      <c r="Q217" s="1411">
        <v>1043691.2566617596</v>
      </c>
      <c r="R217" s="1407">
        <v>-182262.01545762634</v>
      </c>
      <c r="S217" s="1440">
        <f t="shared" si="6"/>
        <v>861429.24120413326</v>
      </c>
      <c r="T217" s="1400">
        <v>713204.15266696003</v>
      </c>
      <c r="U217" s="685">
        <v>186751.93384866</v>
      </c>
      <c r="V217" s="1407">
        <v>501205.06704356201</v>
      </c>
      <c r="W217" s="1411">
        <v>98454.385296485998</v>
      </c>
      <c r="X217" s="1419">
        <v>147859.36426413001</v>
      </c>
      <c r="Y217" s="1419">
        <v>147747.45773599099</v>
      </c>
      <c r="Z217" s="1424">
        <f t="shared" si="4"/>
        <v>4689.812175450963</v>
      </c>
    </row>
    <row r="218" spans="1:26">
      <c r="A218" s="583">
        <v>2022.1</v>
      </c>
      <c r="B218" s="1419">
        <v>691851.09736770077</v>
      </c>
      <c r="C218" s="685">
        <v>188581.54039170334</v>
      </c>
      <c r="D218" s="582">
        <v>519052.81980521913</v>
      </c>
      <c r="E218" s="1419">
        <v>91690.288857773892</v>
      </c>
      <c r="F218" s="1411">
        <v>137259.06193758221</v>
      </c>
      <c r="G218" s="1419">
        <v>144254.44604074126</v>
      </c>
      <c r="H218" s="1411">
        <v>-17890.517051763669</v>
      </c>
      <c r="I218" s="1407">
        <v>6066.5381698512992</v>
      </c>
      <c r="J218" s="1440">
        <f t="shared" si="5"/>
        <v>-11823.97888191237</v>
      </c>
      <c r="K218" s="1400">
        <v>59932240.67794653</v>
      </c>
      <c r="L218" s="685">
        <v>9313727.5150052551</v>
      </c>
      <c r="M218" s="582">
        <v>41415870.740362771</v>
      </c>
      <c r="N218" s="1419">
        <v>8997833.8469612692</v>
      </c>
      <c r="O218" s="1411">
        <v>9595574.8110213</v>
      </c>
      <c r="P218" s="1419">
        <v>10657197.789419128</v>
      </c>
      <c r="Q218" s="1411">
        <v>-2059129.0170482171</v>
      </c>
      <c r="R218" s="1407">
        <v>638620.02223553462</v>
      </c>
      <c r="S218" s="1440">
        <f t="shared" si="6"/>
        <v>-1420508.9948126825</v>
      </c>
      <c r="T218" s="1400">
        <v>718178.17103941413</v>
      </c>
      <c r="U218" s="685">
        <v>194473.363736545</v>
      </c>
      <c r="V218" s="1407">
        <v>511759.250818851</v>
      </c>
      <c r="W218" s="1411">
        <v>96821.315294052605</v>
      </c>
      <c r="X218" s="1419">
        <v>152649.43867004701</v>
      </c>
      <c r="Y218" s="1419">
        <v>149384.14649479999</v>
      </c>
      <c r="Z218" s="1424">
        <f t="shared" si="4"/>
        <v>2037.3834982084809</v>
      </c>
    </row>
    <row r="219" spans="1:26">
      <c r="A219" s="583">
        <v>2022.2</v>
      </c>
      <c r="B219" s="1419">
        <v>773159.64465774072</v>
      </c>
      <c r="C219" s="685">
        <v>206048.2585009342</v>
      </c>
      <c r="D219" s="582">
        <v>580395.67949063471</v>
      </c>
      <c r="E219" s="1419">
        <v>97916.93368673115</v>
      </c>
      <c r="F219" s="1411">
        <v>159579.31202401704</v>
      </c>
      <c r="G219" s="1419">
        <v>162032.41619572119</v>
      </c>
      <c r="H219" s="1411">
        <v>-14176.243195944671</v>
      </c>
      <c r="I219" s="1407">
        <v>-6540.1950424844108</v>
      </c>
      <c r="J219" s="1440">
        <f t="shared" ref="J219:J233" si="7">I219+H219</f>
        <v>-20716.43823842908</v>
      </c>
      <c r="K219" s="1400">
        <v>78290763.572094247</v>
      </c>
      <c r="L219" s="685">
        <v>12857646.296900814</v>
      </c>
      <c r="M219" s="582">
        <v>52200504.136098802</v>
      </c>
      <c r="N219" s="1419">
        <v>11538481.916765915</v>
      </c>
      <c r="O219" s="1411">
        <v>13446834.235740975</v>
      </c>
      <c r="P219" s="1419">
        <v>13652993.236372128</v>
      </c>
      <c r="Q219" s="1411">
        <v>-1557387.0109544655</v>
      </c>
      <c r="R219" s="1407">
        <v>1866983.3549717255</v>
      </c>
      <c r="S219" s="1440">
        <f t="shared" ref="S219:S233" si="8">R219+Q219</f>
        <v>309596.34401726001</v>
      </c>
      <c r="T219" s="1400">
        <v>732484.40970071184</v>
      </c>
      <c r="U219" s="685">
        <v>202059.6713126</v>
      </c>
      <c r="V219" s="1407">
        <v>525986.24367927597</v>
      </c>
      <c r="W219" s="1411">
        <v>96468.211366369796</v>
      </c>
      <c r="X219" s="1419">
        <v>158380.13442231101</v>
      </c>
      <c r="Y219" s="1419">
        <v>154225.32466593999</v>
      </c>
      <c r="Z219" s="1424">
        <f t="shared" si="4"/>
        <v>-515.83312058495358</v>
      </c>
    </row>
    <row r="220" spans="1:26">
      <c r="A220" s="583">
        <v>2022.3</v>
      </c>
      <c r="B220" s="1419">
        <v>727030.13025386608</v>
      </c>
      <c r="C220" s="685">
        <v>211286.28549628909</v>
      </c>
      <c r="D220" s="582">
        <v>509887.62651688058</v>
      </c>
      <c r="E220" s="1419">
        <v>95073.428749470986</v>
      </c>
      <c r="F220" s="1411">
        <v>157947.77102088736</v>
      </c>
      <c r="G220" s="1419">
        <v>161813.18984389279</v>
      </c>
      <c r="H220" s="1411">
        <v>14656.319269924008</v>
      </c>
      <c r="I220" s="1407">
        <v>-1061.9196509007459</v>
      </c>
      <c r="J220" s="1440">
        <f t="shared" si="7"/>
        <v>13594.399619023263</v>
      </c>
      <c r="K220" s="1400">
        <v>87584263.17999199</v>
      </c>
      <c r="L220" s="685">
        <v>14907018.048635419</v>
      </c>
      <c r="M220" s="582">
        <v>55462342.973619036</v>
      </c>
      <c r="N220" s="1419">
        <v>12865247.384623302</v>
      </c>
      <c r="O220" s="1411">
        <v>14344550.653396625</v>
      </c>
      <c r="P220" s="1419">
        <v>16407659.207594618</v>
      </c>
      <c r="Q220" s="1411">
        <v>2460613.9835899873</v>
      </c>
      <c r="R220" s="1407">
        <v>950867.02580386354</v>
      </c>
      <c r="S220" s="1440">
        <f t="shared" si="8"/>
        <v>3411481.0093938508</v>
      </c>
      <c r="T220" s="1400">
        <v>732244.15733270464</v>
      </c>
      <c r="U220" s="685">
        <v>201953.43633745101</v>
      </c>
      <c r="V220" s="1407">
        <v>532510.09178443695</v>
      </c>
      <c r="W220" s="1411">
        <v>95771.368605867698</v>
      </c>
      <c r="X220" s="1419">
        <v>156071.944167724</v>
      </c>
      <c r="Y220" s="1419">
        <v>148346.368095304</v>
      </c>
      <c r="Z220" s="1424">
        <f t="shared" si="4"/>
        <v>1497.8210168229416</v>
      </c>
    </row>
    <row r="221" spans="1:26">
      <c r="A221" s="583">
        <v>2022.4</v>
      </c>
      <c r="B221" s="1419">
        <v>711199.43729905528</v>
      </c>
      <c r="C221" s="685">
        <v>181475.71973951618</v>
      </c>
      <c r="D221" s="582">
        <v>491958.58478297893</v>
      </c>
      <c r="E221" s="1419">
        <v>100606.51293957468</v>
      </c>
      <c r="F221" s="1411">
        <v>156688.13630558821</v>
      </c>
      <c r="G221" s="1419">
        <v>148090.16920641228</v>
      </c>
      <c r="H221" s="1411">
        <v>9961.5334173369392</v>
      </c>
      <c r="I221" s="1407">
        <v>-14629.779613319595</v>
      </c>
      <c r="J221" s="1440">
        <f t="shared" si="7"/>
        <v>-4668.246195982656</v>
      </c>
      <c r="K221" s="1400">
        <v>103938467.40486513</v>
      </c>
      <c r="L221" s="685">
        <v>13540718.600471213</v>
      </c>
      <c r="M221" s="582">
        <v>66971950.510400161</v>
      </c>
      <c r="N221" s="1419">
        <v>17369140.484979983</v>
      </c>
      <c r="O221" s="1411">
        <v>16360149.726461308</v>
      </c>
      <c r="P221" s="1419">
        <v>18254896.422410611</v>
      </c>
      <c r="Q221" s="1411">
        <v>300989.56464788259</v>
      </c>
      <c r="R221" s="1407">
        <v>-1777940.7035636443</v>
      </c>
      <c r="S221" s="1440">
        <f t="shared" si="8"/>
        <v>-1476951.1389157618</v>
      </c>
      <c r="T221" s="1400">
        <v>720333.57150553167</v>
      </c>
      <c r="U221" s="685">
        <v>188905.33274184601</v>
      </c>
      <c r="V221" s="1407">
        <v>531039.12431314995</v>
      </c>
      <c r="W221" s="1411">
        <v>96226.268967260999</v>
      </c>
      <c r="X221" s="1419">
        <v>149088.70402668399</v>
      </c>
      <c r="Y221" s="1419">
        <v>159518.44203203</v>
      </c>
      <c r="Z221" s="1424">
        <f t="shared" si="4"/>
        <v>-26633.635091747157</v>
      </c>
    </row>
    <row r="222" spans="1:26">
      <c r="A222" s="583">
        <v>2023.1</v>
      </c>
      <c r="B222" s="1419">
        <v>701719.99131130031</v>
      </c>
      <c r="C222" s="685">
        <v>198160.0851712474</v>
      </c>
      <c r="D222" s="582">
        <v>544534.78803225257</v>
      </c>
      <c r="E222" s="1419">
        <v>94253.303806110081</v>
      </c>
      <c r="F222" s="1411">
        <v>131571.75882784856</v>
      </c>
      <c r="G222" s="1419">
        <v>143815.73642632971</v>
      </c>
      <c r="H222" s="1411">
        <v>-25919.230313944867</v>
      </c>
      <c r="I222" s="1407">
        <v>11623.719703951618</v>
      </c>
      <c r="J222" s="1440">
        <f t="shared" si="7"/>
        <v>-14295.510609993249</v>
      </c>
      <c r="K222" s="1400">
        <v>118253778.94045109</v>
      </c>
      <c r="L222" s="685">
        <v>17617279.190897651</v>
      </c>
      <c r="M222" s="582">
        <v>86543016.773914889</v>
      </c>
      <c r="N222" s="1419">
        <v>18608836.744618028</v>
      </c>
      <c r="O222" s="1411">
        <v>15526770.364658831</v>
      </c>
      <c r="P222" s="1419">
        <v>22630318.339453738</v>
      </c>
      <c r="Q222" s="1411">
        <v>-5271379.7232625932</v>
      </c>
      <c r="R222" s="1407">
        <v>-2166504.3680341491</v>
      </c>
      <c r="S222" s="1440">
        <f t="shared" si="8"/>
        <v>-7437884.0912967417</v>
      </c>
      <c r="T222" s="1400">
        <v>723734.460177548</v>
      </c>
      <c r="U222" s="685">
        <v>204892.86619393801</v>
      </c>
      <c r="V222" s="1407">
        <v>534637.29086027795</v>
      </c>
      <c r="W222" s="1411">
        <v>99214.713577633898</v>
      </c>
      <c r="X222" s="1419">
        <v>152973.626287269</v>
      </c>
      <c r="Y222" s="1419">
        <v>143351.76489728101</v>
      </c>
      <c r="Z222" s="1424">
        <f t="shared" si="4"/>
        <v>-1550.0692509757355</v>
      </c>
    </row>
    <row r="223" spans="1:26">
      <c r="A223" s="583">
        <v>2023.2</v>
      </c>
      <c r="B223" s="1419">
        <v>734206.63326528214</v>
      </c>
      <c r="C223" s="685">
        <v>212341.67251113514</v>
      </c>
      <c r="D223" s="582">
        <v>584389.2267861478</v>
      </c>
      <c r="E223" s="1419">
        <v>101105.26784799382</v>
      </c>
      <c r="F223" s="1411">
        <v>141709.59369145558</v>
      </c>
      <c r="G223" s="1419">
        <v>159383.72762211901</v>
      </c>
      <c r="H223" s="1411">
        <v>-26144.316894665</v>
      </c>
      <c r="I223" s="1407">
        <v>-13895.193276633974</v>
      </c>
      <c r="J223" s="1440">
        <f t="shared" si="7"/>
        <v>-40039.510171298971</v>
      </c>
      <c r="K223" s="1400">
        <v>158320167.43769538</v>
      </c>
      <c r="L223" s="685">
        <v>23515196.344360564</v>
      </c>
      <c r="M223" s="582">
        <v>113937119.40334383</v>
      </c>
      <c r="N223" s="1419">
        <v>25901225.301369593</v>
      </c>
      <c r="O223" s="1411">
        <v>19825935.097916</v>
      </c>
      <c r="P223" s="1419">
        <v>29936892.915528044</v>
      </c>
      <c r="Q223" s="1411">
        <v>-4609238.2873045867</v>
      </c>
      <c r="R223" s="1407">
        <v>-3156570.6487969458</v>
      </c>
      <c r="S223" s="1440">
        <f>R223+Q223</f>
        <v>-7765808.9361015325</v>
      </c>
      <c r="T223" s="1400">
        <v>705552.91271171195</v>
      </c>
      <c r="U223" s="685">
        <v>207214.02205896701</v>
      </c>
      <c r="V223" s="1407">
        <v>531493.346419384</v>
      </c>
      <c r="W223" s="1411">
        <v>99562.971854566102</v>
      </c>
      <c r="X223" s="1419">
        <v>154769.530669737</v>
      </c>
      <c r="Y223" s="1419">
        <v>136991.86541154399</v>
      </c>
      <c r="Z223" s="1424">
        <f t="shared" si="4"/>
        <v>-10050.779584552161</v>
      </c>
    </row>
    <row r="224" spans="1:26">
      <c r="A224" s="583">
        <v>2023.3</v>
      </c>
      <c r="B224" s="1419">
        <v>721387.9478184809</v>
      </c>
      <c r="C224" s="685">
        <v>215726.56230629282</v>
      </c>
      <c r="D224" s="582">
        <v>511155.51617709739</v>
      </c>
      <c r="E224" s="1419">
        <v>97045.598759830638</v>
      </c>
      <c r="F224" s="1411">
        <v>150533.510218718</v>
      </c>
      <c r="G224" s="1419">
        <v>163420.85506751642</v>
      </c>
      <c r="H224" s="1411">
        <v>22809.973115502304</v>
      </c>
      <c r="I224" s="1407">
        <v>-7850.9432138910051</v>
      </c>
      <c r="J224" s="1440">
        <f t="shared" si="7"/>
        <v>14959.029901611299</v>
      </c>
      <c r="K224" s="1400">
        <v>201992006.3600049</v>
      </c>
      <c r="L224" s="685">
        <v>30901833.361264531</v>
      </c>
      <c r="M224" s="582">
        <v>129081702.32797776</v>
      </c>
      <c r="N224" s="1419">
        <v>31427002.100635957</v>
      </c>
      <c r="O224" s="1411">
        <v>27080307.660948467</v>
      </c>
      <c r="P224" s="1419">
        <v>39934919.885921381</v>
      </c>
      <c r="Q224" s="1411">
        <v>6611284.0252646832</v>
      </c>
      <c r="R224" s="1407">
        <v>-1241376.279478848</v>
      </c>
      <c r="S224" s="1440">
        <f t="shared" si="8"/>
        <v>5369907.7457858352</v>
      </c>
      <c r="T224" s="1400">
        <v>721272.65481039556</v>
      </c>
      <c r="U224" s="685">
        <v>206374.167193434</v>
      </c>
      <c r="V224" s="1407">
        <v>533439.04666388</v>
      </c>
      <c r="W224" s="1411">
        <v>97780.992566686502</v>
      </c>
      <c r="X224" s="1419">
        <v>156894.734033096</v>
      </c>
      <c r="Y224" s="1419">
        <v>141117.75866516901</v>
      </c>
      <c r="Z224" s="1424">
        <f t="shared" si="4"/>
        <v>-1585.7099250019528</v>
      </c>
    </row>
    <row r="225" spans="1:26">
      <c r="A225" s="583">
        <v>2023.4</v>
      </c>
      <c r="B225" s="1419">
        <v>700910.95179303014</v>
      </c>
      <c r="C225" s="685">
        <v>178176.75308221302</v>
      </c>
      <c r="D225" s="582">
        <v>484813.14750629402</v>
      </c>
      <c r="E225" s="1419">
        <v>97369.970268151286</v>
      </c>
      <c r="F225" s="1411">
        <v>146773.15358707323</v>
      </c>
      <c r="G225" s="1419">
        <v>137982.49719659585</v>
      </c>
      <c r="H225" s="1411">
        <v>26073.813394894656</v>
      </c>
      <c r="I225" s="1407">
        <v>-13924.877077765996</v>
      </c>
      <c r="J225" s="1440">
        <f t="shared" si="7"/>
        <v>12148.93631712866</v>
      </c>
      <c r="K225" s="1400">
        <v>280555475.44289851</v>
      </c>
      <c r="L225" s="685">
        <v>34640409.354010962</v>
      </c>
      <c r="M225" s="582">
        <v>180199841.91507974</v>
      </c>
      <c r="N225" s="1419">
        <v>43992996.179919861</v>
      </c>
      <c r="O225" s="1411">
        <v>35641107.492021248</v>
      </c>
      <c r="P225" s="1419">
        <v>52298445.16705855</v>
      </c>
      <c r="Q225" s="1411">
        <v>6284200.775345156</v>
      </c>
      <c r="R225" s="1407">
        <v>-3220706.7325151563</v>
      </c>
      <c r="S225" s="1440">
        <f t="shared" si="8"/>
        <v>3063494.0428299997</v>
      </c>
      <c r="T225" s="1400">
        <v>707665.49642582412</v>
      </c>
      <c r="U225" s="685">
        <v>185924.017212345</v>
      </c>
      <c r="V225" s="1407">
        <v>525322.99475406599</v>
      </c>
      <c r="W225" s="1411">
        <v>93215.462801668706</v>
      </c>
      <c r="X225" s="1419">
        <v>139964.925329702</v>
      </c>
      <c r="Y225" s="1419">
        <v>149126.62716793001</v>
      </c>
      <c r="Z225" s="1424">
        <f t="shared" si="4"/>
        <v>-14040.4964151975</v>
      </c>
    </row>
    <row r="226" spans="1:26">
      <c r="A226" s="583">
        <v>2024.1</v>
      </c>
      <c r="B226" s="1419" t="e">
        <v>#N/A</v>
      </c>
      <c r="C226" s="685" t="e">
        <v>#N/A</v>
      </c>
      <c r="D226" s="582" t="e">
        <v>#N/A</v>
      </c>
      <c r="E226" s="1419" t="e">
        <v>#N/A</v>
      </c>
      <c r="F226" s="1411" t="e">
        <v>#N/A</v>
      </c>
      <c r="G226" s="1419" t="e">
        <v>#N/A</v>
      </c>
      <c r="H226" s="1411" t="e">
        <v>#N/A</v>
      </c>
      <c r="I226" s="1407" t="e">
        <v>#N/A</v>
      </c>
      <c r="J226" s="1440" t="e">
        <f t="shared" si="7"/>
        <v>#N/A</v>
      </c>
      <c r="K226" s="1400" t="e">
        <v>#N/A</v>
      </c>
      <c r="L226" s="685" t="e">
        <v>#N/A</v>
      </c>
      <c r="M226" s="582" t="e">
        <v>#N/A</v>
      </c>
      <c r="N226" s="1419" t="e">
        <v>#N/A</v>
      </c>
      <c r="O226" s="1411" t="e">
        <v>#N/A</v>
      </c>
      <c r="P226" s="1419" t="e">
        <v>#N/A</v>
      </c>
      <c r="Q226" s="1411" t="e">
        <v>#N/A</v>
      </c>
      <c r="R226" s="1407" t="e">
        <v>#N/A</v>
      </c>
      <c r="S226" s="1440" t="e">
        <f t="shared" si="8"/>
        <v>#N/A</v>
      </c>
      <c r="T226" s="1400" t="e">
        <v>#N/A</v>
      </c>
      <c r="U226" s="685" t="e">
        <v>#N/A</v>
      </c>
      <c r="V226" s="1407" t="e">
        <v>#N/A</v>
      </c>
      <c r="W226" s="1411" t="e">
        <v>#N/A</v>
      </c>
      <c r="X226" s="1419" t="e">
        <v>#N/A</v>
      </c>
      <c r="Y226" s="1419" t="e">
        <v>#N/A</v>
      </c>
      <c r="Z226" s="1424" t="e">
        <f t="shared" si="4"/>
        <v>#N/A</v>
      </c>
    </row>
    <row r="227" spans="1:26">
      <c r="A227" s="583">
        <v>2024.2</v>
      </c>
      <c r="B227" s="1419" t="e">
        <v>#N/A</v>
      </c>
      <c r="C227" s="685" t="e">
        <v>#N/A</v>
      </c>
      <c r="D227" s="582" t="e">
        <v>#N/A</v>
      </c>
      <c r="E227" s="1419" t="e">
        <v>#N/A</v>
      </c>
      <c r="F227" s="1411" t="e">
        <v>#N/A</v>
      </c>
      <c r="G227" s="1419" t="e">
        <v>#N/A</v>
      </c>
      <c r="H227" s="1411" t="e">
        <v>#N/A</v>
      </c>
      <c r="I227" s="1407" t="e">
        <v>#N/A</v>
      </c>
      <c r="J227" s="1440" t="e">
        <f t="shared" si="7"/>
        <v>#N/A</v>
      </c>
      <c r="K227" s="1400" t="e">
        <v>#N/A</v>
      </c>
      <c r="L227" s="685" t="e">
        <v>#N/A</v>
      </c>
      <c r="M227" s="582" t="e">
        <v>#N/A</v>
      </c>
      <c r="N227" s="1419" t="e">
        <v>#N/A</v>
      </c>
      <c r="O227" s="1411" t="e">
        <v>#N/A</v>
      </c>
      <c r="P227" s="1419" t="e">
        <v>#N/A</v>
      </c>
      <c r="Q227" s="1411" t="e">
        <v>#N/A</v>
      </c>
      <c r="R227" s="1407" t="e">
        <v>#N/A</v>
      </c>
      <c r="S227" s="1440" t="e">
        <f t="shared" si="8"/>
        <v>#N/A</v>
      </c>
      <c r="T227" s="1400" t="e">
        <v>#N/A</v>
      </c>
      <c r="U227" s="685" t="e">
        <v>#N/A</v>
      </c>
      <c r="V227" s="1407" t="e">
        <v>#N/A</v>
      </c>
      <c r="W227" s="1411" t="e">
        <v>#N/A</v>
      </c>
      <c r="X227" s="1419" t="e">
        <v>#N/A</v>
      </c>
      <c r="Y227" s="1419" t="e">
        <v>#N/A</v>
      </c>
      <c r="Z227" s="1424" t="e">
        <f t="shared" si="4"/>
        <v>#N/A</v>
      </c>
    </row>
    <row r="228" spans="1:26">
      <c r="A228" s="583">
        <v>2024.3</v>
      </c>
      <c r="B228" s="1419" t="e">
        <v>#N/A</v>
      </c>
      <c r="C228" s="685" t="e">
        <v>#N/A</v>
      </c>
      <c r="D228" s="582" t="e">
        <v>#N/A</v>
      </c>
      <c r="E228" s="1419" t="e">
        <v>#N/A</v>
      </c>
      <c r="F228" s="1411" t="e">
        <v>#N/A</v>
      </c>
      <c r="G228" s="1419" t="e">
        <v>#N/A</v>
      </c>
      <c r="H228" s="1411" t="e">
        <v>#N/A</v>
      </c>
      <c r="I228" s="1407" t="e">
        <v>#N/A</v>
      </c>
      <c r="J228" s="1440" t="e">
        <f t="shared" si="7"/>
        <v>#N/A</v>
      </c>
      <c r="K228" s="1400" t="e">
        <v>#N/A</v>
      </c>
      <c r="L228" s="685" t="e">
        <v>#N/A</v>
      </c>
      <c r="M228" s="582" t="e">
        <v>#N/A</v>
      </c>
      <c r="N228" s="1419" t="e">
        <v>#N/A</v>
      </c>
      <c r="O228" s="1411" t="e">
        <v>#N/A</v>
      </c>
      <c r="P228" s="1419" t="e">
        <v>#N/A</v>
      </c>
      <c r="Q228" s="1411" t="e">
        <v>#N/A</v>
      </c>
      <c r="R228" s="1407" t="e">
        <v>#N/A</v>
      </c>
      <c r="S228" s="1440" t="e">
        <f t="shared" si="8"/>
        <v>#N/A</v>
      </c>
      <c r="T228" s="1400" t="e">
        <v>#N/A</v>
      </c>
      <c r="U228" s="685" t="e">
        <v>#N/A</v>
      </c>
      <c r="V228" s="1407" t="e">
        <v>#N/A</v>
      </c>
      <c r="W228" s="1411" t="e">
        <v>#N/A</v>
      </c>
      <c r="X228" s="1419" t="e">
        <v>#N/A</v>
      </c>
      <c r="Y228" s="1419" t="e">
        <v>#N/A</v>
      </c>
      <c r="Z228" s="1424" t="e">
        <f t="shared" si="4"/>
        <v>#N/A</v>
      </c>
    </row>
    <row r="229" spans="1:26">
      <c r="A229" s="583">
        <v>2024.4</v>
      </c>
      <c r="B229" s="1419" t="e">
        <v>#N/A</v>
      </c>
      <c r="C229" s="685" t="e">
        <v>#N/A</v>
      </c>
      <c r="D229" s="582" t="e">
        <v>#N/A</v>
      </c>
      <c r="E229" s="1419" t="e">
        <v>#N/A</v>
      </c>
      <c r="F229" s="1411" t="e">
        <v>#N/A</v>
      </c>
      <c r="G229" s="1419" t="e">
        <v>#N/A</v>
      </c>
      <c r="H229" s="1411" t="e">
        <v>#N/A</v>
      </c>
      <c r="I229" s="1407" t="e">
        <v>#N/A</v>
      </c>
      <c r="J229" s="1440" t="e">
        <f t="shared" si="7"/>
        <v>#N/A</v>
      </c>
      <c r="K229" s="1400" t="e">
        <v>#N/A</v>
      </c>
      <c r="L229" s="685" t="e">
        <v>#N/A</v>
      </c>
      <c r="M229" s="582" t="e">
        <v>#N/A</v>
      </c>
      <c r="N229" s="1419" t="e">
        <v>#N/A</v>
      </c>
      <c r="O229" s="1411" t="e">
        <v>#N/A</v>
      </c>
      <c r="P229" s="1419" t="e">
        <v>#N/A</v>
      </c>
      <c r="Q229" s="1411" t="e">
        <v>#N/A</v>
      </c>
      <c r="R229" s="1407" t="e">
        <v>#N/A</v>
      </c>
      <c r="S229" s="1440" t="e">
        <f t="shared" si="8"/>
        <v>#N/A</v>
      </c>
      <c r="T229" s="1400" t="e">
        <v>#N/A</v>
      </c>
      <c r="U229" s="685" t="e">
        <v>#N/A</v>
      </c>
      <c r="V229" s="1407" t="e">
        <v>#N/A</v>
      </c>
      <c r="W229" s="1411" t="e">
        <v>#N/A</v>
      </c>
      <c r="X229" s="1419" t="e">
        <v>#N/A</v>
      </c>
      <c r="Y229" s="1419" t="e">
        <v>#N/A</v>
      </c>
      <c r="Z229" s="1424" t="e">
        <f t="shared" si="4"/>
        <v>#N/A</v>
      </c>
    </row>
    <row r="230" spans="1:26">
      <c r="A230" s="583">
        <v>2025.1</v>
      </c>
      <c r="B230" s="1419" t="e">
        <v>#N/A</v>
      </c>
      <c r="C230" s="685" t="e">
        <v>#N/A</v>
      </c>
      <c r="D230" s="582" t="e">
        <v>#N/A</v>
      </c>
      <c r="E230" s="1419" t="e">
        <v>#N/A</v>
      </c>
      <c r="F230" s="1411" t="e">
        <v>#N/A</v>
      </c>
      <c r="G230" s="1419" t="e">
        <v>#N/A</v>
      </c>
      <c r="H230" s="1411" t="e">
        <v>#N/A</v>
      </c>
      <c r="I230" s="1407" t="e">
        <v>#N/A</v>
      </c>
      <c r="J230" s="1440" t="e">
        <f t="shared" si="7"/>
        <v>#N/A</v>
      </c>
      <c r="K230" s="1400" t="e">
        <v>#N/A</v>
      </c>
      <c r="L230" s="685" t="e">
        <v>#N/A</v>
      </c>
      <c r="M230" s="582" t="e">
        <v>#N/A</v>
      </c>
      <c r="N230" s="1419" t="e">
        <v>#N/A</v>
      </c>
      <c r="O230" s="1411" t="e">
        <v>#N/A</v>
      </c>
      <c r="P230" s="1419" t="e">
        <v>#N/A</v>
      </c>
      <c r="Q230" s="1411" t="e">
        <v>#N/A</v>
      </c>
      <c r="R230" s="1407" t="e">
        <v>#N/A</v>
      </c>
      <c r="S230" s="1440" t="e">
        <f t="shared" si="8"/>
        <v>#N/A</v>
      </c>
      <c r="T230" s="1400" t="e">
        <v>#N/A</v>
      </c>
      <c r="U230" s="685" t="e">
        <v>#N/A</v>
      </c>
      <c r="V230" s="1407" t="e">
        <v>#N/A</v>
      </c>
      <c r="W230" s="1411" t="e">
        <v>#N/A</v>
      </c>
      <c r="X230" s="1419" t="e">
        <v>#N/A</v>
      </c>
      <c r="Y230" s="1419" t="e">
        <v>#N/A</v>
      </c>
      <c r="Z230" s="1424" t="e">
        <f t="shared" si="4"/>
        <v>#N/A</v>
      </c>
    </row>
    <row r="231" spans="1:26">
      <c r="A231" s="583">
        <v>2025.2</v>
      </c>
      <c r="B231" s="1419" t="e">
        <v>#N/A</v>
      </c>
      <c r="C231" s="685" t="e">
        <v>#N/A</v>
      </c>
      <c r="D231" s="582" t="e">
        <v>#N/A</v>
      </c>
      <c r="E231" s="1419" t="e">
        <v>#N/A</v>
      </c>
      <c r="F231" s="1411" t="e">
        <v>#N/A</v>
      </c>
      <c r="G231" s="1419" t="e">
        <v>#N/A</v>
      </c>
      <c r="H231" s="1411" t="e">
        <v>#N/A</v>
      </c>
      <c r="I231" s="1407" t="e">
        <v>#N/A</v>
      </c>
      <c r="J231" s="1440" t="e">
        <f t="shared" si="7"/>
        <v>#N/A</v>
      </c>
      <c r="K231" s="1400" t="e">
        <v>#N/A</v>
      </c>
      <c r="L231" s="685" t="e">
        <v>#N/A</v>
      </c>
      <c r="M231" s="582" t="e">
        <v>#N/A</v>
      </c>
      <c r="N231" s="1419" t="e">
        <v>#N/A</v>
      </c>
      <c r="O231" s="1411" t="e">
        <v>#N/A</v>
      </c>
      <c r="P231" s="1419" t="e">
        <v>#N/A</v>
      </c>
      <c r="Q231" s="1411" t="e">
        <v>#N/A</v>
      </c>
      <c r="R231" s="1407" t="e">
        <v>#N/A</v>
      </c>
      <c r="S231" s="1440" t="e">
        <f t="shared" si="8"/>
        <v>#N/A</v>
      </c>
      <c r="T231" s="1400" t="e">
        <v>#N/A</v>
      </c>
      <c r="U231" s="685" t="e">
        <v>#N/A</v>
      </c>
      <c r="V231" s="1407" t="e">
        <v>#N/A</v>
      </c>
      <c r="W231" s="1411" t="e">
        <v>#N/A</v>
      </c>
      <c r="X231" s="1419" t="e">
        <v>#N/A</v>
      </c>
      <c r="Y231" s="1419" t="e">
        <v>#N/A</v>
      </c>
      <c r="Z231" s="1424" t="e">
        <f t="shared" si="4"/>
        <v>#N/A</v>
      </c>
    </row>
    <row r="232" spans="1:26">
      <c r="A232" s="583">
        <v>2025.3</v>
      </c>
      <c r="B232" s="1419" t="e">
        <v>#N/A</v>
      </c>
      <c r="C232" s="685" t="e">
        <v>#N/A</v>
      </c>
      <c r="D232" s="582" t="e">
        <v>#N/A</v>
      </c>
      <c r="E232" s="1419" t="e">
        <v>#N/A</v>
      </c>
      <c r="F232" s="1411" t="e">
        <v>#N/A</v>
      </c>
      <c r="G232" s="1419" t="e">
        <v>#N/A</v>
      </c>
      <c r="H232" s="1411" t="e">
        <v>#N/A</v>
      </c>
      <c r="I232" s="1407" t="e">
        <v>#N/A</v>
      </c>
      <c r="J232" s="1440" t="e">
        <f t="shared" si="7"/>
        <v>#N/A</v>
      </c>
      <c r="K232" s="1400" t="e">
        <v>#N/A</v>
      </c>
      <c r="L232" s="685" t="e">
        <v>#N/A</v>
      </c>
      <c r="M232" s="582" t="e">
        <v>#N/A</v>
      </c>
      <c r="N232" s="1419" t="e">
        <v>#N/A</v>
      </c>
      <c r="O232" s="1411" t="e">
        <v>#N/A</v>
      </c>
      <c r="P232" s="1419" t="e">
        <v>#N/A</v>
      </c>
      <c r="Q232" s="1411" t="e">
        <v>#N/A</v>
      </c>
      <c r="R232" s="1407" t="e">
        <v>#N/A</v>
      </c>
      <c r="S232" s="1440" t="e">
        <f t="shared" si="8"/>
        <v>#N/A</v>
      </c>
      <c r="T232" s="1400" t="e">
        <v>#N/A</v>
      </c>
      <c r="U232" s="685" t="e">
        <v>#N/A</v>
      </c>
      <c r="V232" s="1407" t="e">
        <v>#N/A</v>
      </c>
      <c r="W232" s="1411" t="e">
        <v>#N/A</v>
      </c>
      <c r="X232" s="1419" t="e">
        <v>#N/A</v>
      </c>
      <c r="Y232" s="1419" t="e">
        <v>#N/A</v>
      </c>
      <c r="Z232" s="1424" t="e">
        <f t="shared" si="4"/>
        <v>#N/A</v>
      </c>
    </row>
    <row r="233" spans="1:26">
      <c r="A233" s="583">
        <f>A229+1</f>
        <v>2025.4</v>
      </c>
      <c r="B233" s="1419" t="e">
        <v>#N/A</v>
      </c>
      <c r="C233" s="685" t="e">
        <v>#N/A</v>
      </c>
      <c r="D233" s="582" t="e">
        <v>#N/A</v>
      </c>
      <c r="E233" s="1419" t="e">
        <v>#N/A</v>
      </c>
      <c r="F233" s="1411" t="e">
        <v>#N/A</v>
      </c>
      <c r="G233" s="1419" t="e">
        <v>#N/A</v>
      </c>
      <c r="H233" s="1411" t="e">
        <v>#N/A</v>
      </c>
      <c r="I233" s="1407" t="e">
        <v>#N/A</v>
      </c>
      <c r="J233" s="1440" t="e">
        <f t="shared" si="7"/>
        <v>#N/A</v>
      </c>
      <c r="K233" s="1400" t="e">
        <v>#N/A</v>
      </c>
      <c r="L233" s="685" t="e">
        <v>#N/A</v>
      </c>
      <c r="M233" s="582" t="e">
        <v>#N/A</v>
      </c>
      <c r="N233" s="1419" t="e">
        <v>#N/A</v>
      </c>
      <c r="O233" s="1411" t="e">
        <v>#N/A</v>
      </c>
      <c r="P233" s="1419" t="e">
        <v>#N/A</v>
      </c>
      <c r="Q233" s="1411" t="e">
        <v>#N/A</v>
      </c>
      <c r="R233" s="1407" t="e">
        <v>#N/A</v>
      </c>
      <c r="S233" s="1440" t="e">
        <f t="shared" si="8"/>
        <v>#N/A</v>
      </c>
      <c r="T233" s="1400" t="e">
        <v>#N/A</v>
      </c>
      <c r="U233" s="685" t="e">
        <v>#N/A</v>
      </c>
      <c r="V233" s="1407" t="e">
        <v>#N/A</v>
      </c>
      <c r="W233" s="1411" t="e">
        <v>#N/A</v>
      </c>
      <c r="X233" s="1419" t="e">
        <v>#N/A</v>
      </c>
      <c r="Y233" s="1419" t="e">
        <v>#N/A</v>
      </c>
      <c r="Z233" s="1424" t="e">
        <f t="shared" si="4"/>
        <v>#N/A</v>
      </c>
    </row>
    <row r="234" spans="1:26">
      <c r="A234" s="583">
        <f t="shared" ref="A234:A252" si="9">A230+1</f>
        <v>2026.1</v>
      </c>
      <c r="B234" s="1419" t="e">
        <v>#N/A</v>
      </c>
      <c r="C234" s="685" t="e">
        <v>#N/A</v>
      </c>
      <c r="D234" s="582" t="e">
        <v>#N/A</v>
      </c>
      <c r="E234" s="1419" t="e">
        <v>#N/A</v>
      </c>
      <c r="F234" s="1411" t="e">
        <v>#N/A</v>
      </c>
      <c r="G234" s="1419" t="e">
        <v>#N/A</v>
      </c>
      <c r="H234" s="1411" t="e">
        <v>#N/A</v>
      </c>
      <c r="I234" s="1407" t="e">
        <v>#N/A</v>
      </c>
      <c r="J234" s="1440" t="e">
        <f t="shared" ref="J234:J238" si="10">I234+H234</f>
        <v>#N/A</v>
      </c>
      <c r="K234" s="1400" t="e">
        <v>#N/A</v>
      </c>
      <c r="L234" s="685" t="e">
        <v>#N/A</v>
      </c>
      <c r="M234" s="582" t="e">
        <v>#N/A</v>
      </c>
      <c r="N234" s="1419" t="e">
        <v>#N/A</v>
      </c>
      <c r="O234" s="1411" t="e">
        <v>#N/A</v>
      </c>
      <c r="P234" s="1419" t="e">
        <v>#N/A</v>
      </c>
      <c r="Q234" s="1411" t="e">
        <v>#N/A</v>
      </c>
      <c r="R234" s="1407" t="e">
        <v>#N/A</v>
      </c>
      <c r="S234" s="1440" t="e">
        <f t="shared" ref="S234:S238" si="11">R234+Q234</f>
        <v>#N/A</v>
      </c>
      <c r="T234" s="1400" t="e">
        <v>#N/A</v>
      </c>
      <c r="U234" s="685" t="e">
        <v>#N/A</v>
      </c>
      <c r="V234" s="1407" t="e">
        <v>#N/A</v>
      </c>
      <c r="W234" s="1411" t="e">
        <v>#N/A</v>
      </c>
      <c r="X234" s="1419" t="e">
        <v>#N/A</v>
      </c>
      <c r="Y234" s="1419" t="e">
        <v>#N/A</v>
      </c>
      <c r="Z234" s="1424" t="e">
        <f t="shared" ref="Z234:Z238" si="12">SUM(T234:U234)-SUM(V234:Y234)</f>
        <v>#N/A</v>
      </c>
    </row>
    <row r="235" spans="1:26">
      <c r="A235" s="583">
        <f t="shared" si="9"/>
        <v>2026.2</v>
      </c>
      <c r="B235" s="1419" t="e">
        <v>#N/A</v>
      </c>
      <c r="C235" s="685" t="e">
        <v>#N/A</v>
      </c>
      <c r="D235" s="582" t="e">
        <v>#N/A</v>
      </c>
      <c r="E235" s="1419" t="e">
        <v>#N/A</v>
      </c>
      <c r="F235" s="1411" t="e">
        <v>#N/A</v>
      </c>
      <c r="G235" s="1419" t="e">
        <v>#N/A</v>
      </c>
      <c r="H235" s="1411" t="e">
        <v>#N/A</v>
      </c>
      <c r="I235" s="1407" t="e">
        <v>#N/A</v>
      </c>
      <c r="J235" s="1440" t="e">
        <f t="shared" si="10"/>
        <v>#N/A</v>
      </c>
      <c r="K235" s="1400" t="e">
        <v>#N/A</v>
      </c>
      <c r="L235" s="685" t="e">
        <v>#N/A</v>
      </c>
      <c r="M235" s="582" t="e">
        <v>#N/A</v>
      </c>
      <c r="N235" s="1419" t="e">
        <v>#N/A</v>
      </c>
      <c r="O235" s="1411" t="e">
        <v>#N/A</v>
      </c>
      <c r="P235" s="1419" t="e">
        <v>#N/A</v>
      </c>
      <c r="Q235" s="1411" t="e">
        <v>#N/A</v>
      </c>
      <c r="R235" s="1407" t="e">
        <v>#N/A</v>
      </c>
      <c r="S235" s="1440" t="e">
        <f t="shared" si="11"/>
        <v>#N/A</v>
      </c>
      <c r="T235" s="1400" t="e">
        <v>#N/A</v>
      </c>
      <c r="U235" s="685" t="e">
        <v>#N/A</v>
      </c>
      <c r="V235" s="1407" t="e">
        <v>#N/A</v>
      </c>
      <c r="W235" s="1411" t="e">
        <v>#N/A</v>
      </c>
      <c r="X235" s="1419" t="e">
        <v>#N/A</v>
      </c>
      <c r="Y235" s="1419" t="e">
        <v>#N/A</v>
      </c>
      <c r="Z235" s="1424" t="e">
        <f t="shared" si="12"/>
        <v>#N/A</v>
      </c>
    </row>
    <row r="236" spans="1:26">
      <c r="A236" s="583">
        <f t="shared" si="9"/>
        <v>2026.3</v>
      </c>
      <c r="B236" s="1419" t="e">
        <v>#N/A</v>
      </c>
      <c r="C236" s="685" t="e">
        <v>#N/A</v>
      </c>
      <c r="D236" s="582" t="e">
        <v>#N/A</v>
      </c>
      <c r="E236" s="1419" t="e">
        <v>#N/A</v>
      </c>
      <c r="F236" s="1411" t="e">
        <v>#N/A</v>
      </c>
      <c r="G236" s="1419" t="e">
        <v>#N/A</v>
      </c>
      <c r="H236" s="1411" t="e">
        <v>#N/A</v>
      </c>
      <c r="I236" s="1407" t="e">
        <v>#N/A</v>
      </c>
      <c r="J236" s="1440" t="e">
        <f t="shared" si="10"/>
        <v>#N/A</v>
      </c>
      <c r="K236" s="1400" t="e">
        <v>#N/A</v>
      </c>
      <c r="L236" s="685" t="e">
        <v>#N/A</v>
      </c>
      <c r="M236" s="582" t="e">
        <v>#N/A</v>
      </c>
      <c r="N236" s="1419" t="e">
        <v>#N/A</v>
      </c>
      <c r="O236" s="1411" t="e">
        <v>#N/A</v>
      </c>
      <c r="P236" s="1419" t="e">
        <v>#N/A</v>
      </c>
      <c r="Q236" s="1411" t="e">
        <v>#N/A</v>
      </c>
      <c r="R236" s="1407" t="e">
        <v>#N/A</v>
      </c>
      <c r="S236" s="1440" t="e">
        <f t="shared" si="11"/>
        <v>#N/A</v>
      </c>
      <c r="T236" s="1400" t="e">
        <v>#N/A</v>
      </c>
      <c r="U236" s="685" t="e">
        <v>#N/A</v>
      </c>
      <c r="V236" s="1407" t="e">
        <v>#N/A</v>
      </c>
      <c r="W236" s="1411" t="e">
        <v>#N/A</v>
      </c>
      <c r="X236" s="1419" t="e">
        <v>#N/A</v>
      </c>
      <c r="Y236" s="1419" t="e">
        <v>#N/A</v>
      </c>
      <c r="Z236" s="1424" t="e">
        <f t="shared" si="12"/>
        <v>#N/A</v>
      </c>
    </row>
    <row r="237" spans="1:26">
      <c r="A237" s="583">
        <f t="shared" si="9"/>
        <v>2026.4</v>
      </c>
      <c r="B237" s="1419" t="e">
        <v>#N/A</v>
      </c>
      <c r="C237" s="685" t="e">
        <v>#N/A</v>
      </c>
      <c r="D237" s="582" t="e">
        <v>#N/A</v>
      </c>
      <c r="E237" s="1419" t="e">
        <v>#N/A</v>
      </c>
      <c r="F237" s="1411" t="e">
        <v>#N/A</v>
      </c>
      <c r="G237" s="1419" t="e">
        <v>#N/A</v>
      </c>
      <c r="H237" s="1411" t="e">
        <v>#N/A</v>
      </c>
      <c r="I237" s="1407" t="e">
        <v>#N/A</v>
      </c>
      <c r="J237" s="1440" t="e">
        <f t="shared" si="10"/>
        <v>#N/A</v>
      </c>
      <c r="K237" s="1400" t="e">
        <v>#N/A</v>
      </c>
      <c r="L237" s="685" t="e">
        <v>#N/A</v>
      </c>
      <c r="M237" s="582" t="e">
        <v>#N/A</v>
      </c>
      <c r="N237" s="1419" t="e">
        <v>#N/A</v>
      </c>
      <c r="O237" s="1411" t="e">
        <v>#N/A</v>
      </c>
      <c r="P237" s="1419" t="e">
        <v>#N/A</v>
      </c>
      <c r="Q237" s="1411" t="e">
        <v>#N/A</v>
      </c>
      <c r="R237" s="1407" t="e">
        <v>#N/A</v>
      </c>
      <c r="S237" s="1440" t="e">
        <f t="shared" si="11"/>
        <v>#N/A</v>
      </c>
      <c r="T237" s="1400" t="e">
        <v>#N/A</v>
      </c>
      <c r="U237" s="685" t="e">
        <v>#N/A</v>
      </c>
      <c r="V237" s="1407" t="e">
        <v>#N/A</v>
      </c>
      <c r="W237" s="1411" t="e">
        <v>#N/A</v>
      </c>
      <c r="X237" s="1419" t="e">
        <v>#N/A</v>
      </c>
      <c r="Y237" s="1419" t="e">
        <v>#N/A</v>
      </c>
      <c r="Z237" s="1424" t="e">
        <f t="shared" si="12"/>
        <v>#N/A</v>
      </c>
    </row>
    <row r="238" spans="1:26">
      <c r="A238" s="583">
        <f>A234+1</f>
        <v>2027.1</v>
      </c>
      <c r="B238" s="1419" t="e">
        <v>#N/A</v>
      </c>
      <c r="C238" s="685" t="e">
        <v>#N/A</v>
      </c>
      <c r="D238" s="582" t="e">
        <v>#N/A</v>
      </c>
      <c r="E238" s="1419" t="e">
        <v>#N/A</v>
      </c>
      <c r="F238" s="1411" t="e">
        <v>#N/A</v>
      </c>
      <c r="G238" s="1419" t="e">
        <v>#N/A</v>
      </c>
      <c r="H238" s="1411" t="e">
        <v>#N/A</v>
      </c>
      <c r="I238" s="1407" t="e">
        <v>#N/A</v>
      </c>
      <c r="J238" s="1440" t="e">
        <f t="shared" si="10"/>
        <v>#N/A</v>
      </c>
      <c r="K238" s="1400" t="e">
        <v>#N/A</v>
      </c>
      <c r="L238" s="685" t="e">
        <v>#N/A</v>
      </c>
      <c r="M238" s="582" t="e">
        <v>#N/A</v>
      </c>
      <c r="N238" s="1419" t="e">
        <v>#N/A</v>
      </c>
      <c r="O238" s="1411" t="e">
        <v>#N/A</v>
      </c>
      <c r="P238" s="1419" t="e">
        <v>#N/A</v>
      </c>
      <c r="Q238" s="1411" t="e">
        <v>#N/A</v>
      </c>
      <c r="R238" s="1407" t="e">
        <v>#N/A</v>
      </c>
      <c r="S238" s="1440" t="e">
        <f t="shared" si="11"/>
        <v>#N/A</v>
      </c>
      <c r="T238" s="1400" t="e">
        <v>#N/A</v>
      </c>
      <c r="U238" s="685" t="e">
        <v>#N/A</v>
      </c>
      <c r="V238" s="1407" t="e">
        <v>#N/A</v>
      </c>
      <c r="W238" s="1411" t="e">
        <v>#N/A</v>
      </c>
      <c r="X238" s="1419" t="e">
        <v>#N/A</v>
      </c>
      <c r="Y238" s="1419" t="e">
        <v>#N/A</v>
      </c>
      <c r="Z238" s="1424" t="e">
        <f t="shared" si="12"/>
        <v>#N/A</v>
      </c>
    </row>
    <row r="239" spans="1:26">
      <c r="A239" s="583">
        <f t="shared" si="9"/>
        <v>2027.2</v>
      </c>
      <c r="B239" s="1419" t="e">
        <v>#N/A</v>
      </c>
      <c r="C239" s="685" t="e">
        <v>#N/A</v>
      </c>
      <c r="D239" s="582" t="e">
        <v>#N/A</v>
      </c>
      <c r="E239" s="1419" t="e">
        <v>#N/A</v>
      </c>
      <c r="F239" s="1411" t="e">
        <v>#N/A</v>
      </c>
      <c r="G239" s="1419" t="e">
        <v>#N/A</v>
      </c>
      <c r="H239" s="1411" t="e">
        <v>#N/A</v>
      </c>
      <c r="I239" s="1407" t="e">
        <v>#N/A</v>
      </c>
      <c r="J239" s="1440" t="e">
        <f t="shared" ref="J239:J253" si="13">I239+H239</f>
        <v>#N/A</v>
      </c>
      <c r="K239" s="1400" t="e">
        <v>#N/A</v>
      </c>
      <c r="L239" s="685" t="e">
        <v>#N/A</v>
      </c>
      <c r="M239" s="582" t="e">
        <v>#N/A</v>
      </c>
      <c r="N239" s="1419" t="e">
        <v>#N/A</v>
      </c>
      <c r="O239" s="1411" t="e">
        <v>#N/A</v>
      </c>
      <c r="P239" s="1419" t="e">
        <v>#N/A</v>
      </c>
      <c r="Q239" s="1411" t="e">
        <v>#N/A</v>
      </c>
      <c r="R239" s="1407" t="e">
        <v>#N/A</v>
      </c>
      <c r="S239" s="1440" t="e">
        <f t="shared" ref="S239:S253" si="14">R239+Q239</f>
        <v>#N/A</v>
      </c>
      <c r="T239" s="1400" t="e">
        <v>#N/A</v>
      </c>
      <c r="U239" s="685" t="e">
        <v>#N/A</v>
      </c>
      <c r="V239" s="1407" t="e">
        <v>#N/A</v>
      </c>
      <c r="W239" s="1411" t="e">
        <v>#N/A</v>
      </c>
      <c r="X239" s="1419" t="e">
        <v>#N/A</v>
      </c>
      <c r="Y239" s="1419" t="e">
        <v>#N/A</v>
      </c>
      <c r="Z239" s="1424" t="e">
        <f t="shared" ref="Z239:Z253" si="15">SUM(T239:U239)-SUM(V239:Y239)</f>
        <v>#N/A</v>
      </c>
    </row>
    <row r="240" spans="1:26">
      <c r="A240" s="583">
        <f t="shared" si="9"/>
        <v>2027.3</v>
      </c>
      <c r="B240" s="1419" t="e">
        <v>#N/A</v>
      </c>
      <c r="C240" s="685" t="e">
        <v>#N/A</v>
      </c>
      <c r="D240" s="582" t="e">
        <v>#N/A</v>
      </c>
      <c r="E240" s="1419" t="e">
        <v>#N/A</v>
      </c>
      <c r="F240" s="1411" t="e">
        <v>#N/A</v>
      </c>
      <c r="G240" s="1419" t="e">
        <v>#N/A</v>
      </c>
      <c r="H240" s="1411" t="e">
        <v>#N/A</v>
      </c>
      <c r="I240" s="1407" t="e">
        <v>#N/A</v>
      </c>
      <c r="J240" s="1440" t="e">
        <f t="shared" si="13"/>
        <v>#N/A</v>
      </c>
      <c r="K240" s="1400" t="e">
        <v>#N/A</v>
      </c>
      <c r="L240" s="685" t="e">
        <v>#N/A</v>
      </c>
      <c r="M240" s="582" t="e">
        <v>#N/A</v>
      </c>
      <c r="N240" s="1419" t="e">
        <v>#N/A</v>
      </c>
      <c r="O240" s="1411" t="e">
        <v>#N/A</v>
      </c>
      <c r="P240" s="1419" t="e">
        <v>#N/A</v>
      </c>
      <c r="Q240" s="1411" t="e">
        <v>#N/A</v>
      </c>
      <c r="R240" s="1407" t="e">
        <v>#N/A</v>
      </c>
      <c r="S240" s="1440" t="e">
        <f t="shared" si="14"/>
        <v>#N/A</v>
      </c>
      <c r="T240" s="1400" t="e">
        <v>#N/A</v>
      </c>
      <c r="U240" s="685" t="e">
        <v>#N/A</v>
      </c>
      <c r="V240" s="1407" t="e">
        <v>#N/A</v>
      </c>
      <c r="W240" s="1411" t="e">
        <v>#N/A</v>
      </c>
      <c r="X240" s="1419" t="e">
        <v>#N/A</v>
      </c>
      <c r="Y240" s="1419" t="e">
        <v>#N/A</v>
      </c>
      <c r="Z240" s="1424" t="e">
        <f t="shared" si="15"/>
        <v>#N/A</v>
      </c>
    </row>
    <row r="241" spans="1:26">
      <c r="A241" s="583">
        <f t="shared" si="9"/>
        <v>2027.4</v>
      </c>
      <c r="B241" s="1419" t="e">
        <v>#N/A</v>
      </c>
      <c r="C241" s="685" t="e">
        <v>#N/A</v>
      </c>
      <c r="D241" s="582" t="e">
        <v>#N/A</v>
      </c>
      <c r="E241" s="1419" t="e">
        <v>#N/A</v>
      </c>
      <c r="F241" s="1411" t="e">
        <v>#N/A</v>
      </c>
      <c r="G241" s="1419" t="e">
        <v>#N/A</v>
      </c>
      <c r="H241" s="1411" t="e">
        <v>#N/A</v>
      </c>
      <c r="I241" s="1407" t="e">
        <v>#N/A</v>
      </c>
      <c r="J241" s="1440" t="e">
        <f t="shared" si="13"/>
        <v>#N/A</v>
      </c>
      <c r="K241" s="1400" t="e">
        <v>#N/A</v>
      </c>
      <c r="L241" s="685" t="e">
        <v>#N/A</v>
      </c>
      <c r="M241" s="582" t="e">
        <v>#N/A</v>
      </c>
      <c r="N241" s="1419" t="e">
        <v>#N/A</v>
      </c>
      <c r="O241" s="1411" t="e">
        <v>#N/A</v>
      </c>
      <c r="P241" s="1419" t="e">
        <v>#N/A</v>
      </c>
      <c r="Q241" s="1411" t="e">
        <v>#N/A</v>
      </c>
      <c r="R241" s="1407" t="e">
        <v>#N/A</v>
      </c>
      <c r="S241" s="1440" t="e">
        <f t="shared" si="14"/>
        <v>#N/A</v>
      </c>
      <c r="T241" s="1400" t="e">
        <v>#N/A</v>
      </c>
      <c r="U241" s="685" t="e">
        <v>#N/A</v>
      </c>
      <c r="V241" s="1407" t="e">
        <v>#N/A</v>
      </c>
      <c r="W241" s="1411" t="e">
        <v>#N/A</v>
      </c>
      <c r="X241" s="1419" t="e">
        <v>#N/A</v>
      </c>
      <c r="Y241" s="1419" t="e">
        <v>#N/A</v>
      </c>
      <c r="Z241" s="1424" t="e">
        <f t="shared" si="15"/>
        <v>#N/A</v>
      </c>
    </row>
    <row r="242" spans="1:26">
      <c r="A242" s="583">
        <f t="shared" si="9"/>
        <v>2028.1</v>
      </c>
      <c r="B242" s="1419" t="e">
        <v>#N/A</v>
      </c>
      <c r="C242" s="685" t="e">
        <v>#N/A</v>
      </c>
      <c r="D242" s="582" t="e">
        <v>#N/A</v>
      </c>
      <c r="E242" s="1419" t="e">
        <v>#N/A</v>
      </c>
      <c r="F242" s="1411" t="e">
        <v>#N/A</v>
      </c>
      <c r="G242" s="1419" t="e">
        <v>#N/A</v>
      </c>
      <c r="H242" s="1411" t="e">
        <v>#N/A</v>
      </c>
      <c r="I242" s="1407" t="e">
        <v>#N/A</v>
      </c>
      <c r="J242" s="1440" t="e">
        <f t="shared" si="13"/>
        <v>#N/A</v>
      </c>
      <c r="K242" s="1400" t="e">
        <v>#N/A</v>
      </c>
      <c r="L242" s="685" t="e">
        <v>#N/A</v>
      </c>
      <c r="M242" s="582" t="e">
        <v>#N/A</v>
      </c>
      <c r="N242" s="1419" t="e">
        <v>#N/A</v>
      </c>
      <c r="O242" s="1411" t="e">
        <v>#N/A</v>
      </c>
      <c r="P242" s="1419" t="e">
        <v>#N/A</v>
      </c>
      <c r="Q242" s="1411" t="e">
        <v>#N/A</v>
      </c>
      <c r="R242" s="1407" t="e">
        <v>#N/A</v>
      </c>
      <c r="S242" s="1440" t="e">
        <f t="shared" si="14"/>
        <v>#N/A</v>
      </c>
      <c r="T242" s="1400" t="e">
        <v>#N/A</v>
      </c>
      <c r="U242" s="685" t="e">
        <v>#N/A</v>
      </c>
      <c r="V242" s="1407" t="e">
        <v>#N/A</v>
      </c>
      <c r="W242" s="1411" t="e">
        <v>#N/A</v>
      </c>
      <c r="X242" s="1419" t="e">
        <v>#N/A</v>
      </c>
      <c r="Y242" s="1419" t="e">
        <v>#N/A</v>
      </c>
      <c r="Z242" s="1424" t="e">
        <f t="shared" si="15"/>
        <v>#N/A</v>
      </c>
    </row>
    <row r="243" spans="1:26">
      <c r="A243" s="583">
        <f>A239+1</f>
        <v>2028.2</v>
      </c>
      <c r="B243" s="1419" t="e">
        <v>#N/A</v>
      </c>
      <c r="C243" s="685" t="e">
        <v>#N/A</v>
      </c>
      <c r="D243" s="582" t="e">
        <v>#N/A</v>
      </c>
      <c r="E243" s="1419" t="e">
        <v>#N/A</v>
      </c>
      <c r="F243" s="1411" t="e">
        <v>#N/A</v>
      </c>
      <c r="G243" s="1419" t="e">
        <v>#N/A</v>
      </c>
      <c r="H243" s="1411" t="e">
        <v>#N/A</v>
      </c>
      <c r="I243" s="1407" t="e">
        <v>#N/A</v>
      </c>
      <c r="J243" s="1440" t="e">
        <f t="shared" si="13"/>
        <v>#N/A</v>
      </c>
      <c r="K243" s="1400" t="e">
        <v>#N/A</v>
      </c>
      <c r="L243" s="685" t="e">
        <v>#N/A</v>
      </c>
      <c r="M243" s="582" t="e">
        <v>#N/A</v>
      </c>
      <c r="N243" s="1419" t="e">
        <v>#N/A</v>
      </c>
      <c r="O243" s="1411" t="e">
        <v>#N/A</v>
      </c>
      <c r="P243" s="1419" t="e">
        <v>#N/A</v>
      </c>
      <c r="Q243" s="1411" t="e">
        <v>#N/A</v>
      </c>
      <c r="R243" s="1407" t="e">
        <v>#N/A</v>
      </c>
      <c r="S243" s="1440" t="e">
        <f t="shared" si="14"/>
        <v>#N/A</v>
      </c>
      <c r="T243" s="1400" t="e">
        <v>#N/A</v>
      </c>
      <c r="U243" s="685" t="e">
        <v>#N/A</v>
      </c>
      <c r="V243" s="1407" t="e">
        <v>#N/A</v>
      </c>
      <c r="W243" s="1411" t="e">
        <v>#N/A</v>
      </c>
      <c r="X243" s="1419" t="e">
        <v>#N/A</v>
      </c>
      <c r="Y243" s="1419" t="e">
        <v>#N/A</v>
      </c>
      <c r="Z243" s="1424" t="e">
        <f t="shared" si="15"/>
        <v>#N/A</v>
      </c>
    </row>
    <row r="244" spans="1:26">
      <c r="A244" s="583">
        <f t="shared" si="9"/>
        <v>2028.3</v>
      </c>
      <c r="B244" s="1419" t="e">
        <v>#N/A</v>
      </c>
      <c r="C244" s="685" t="e">
        <v>#N/A</v>
      </c>
      <c r="D244" s="582" t="e">
        <v>#N/A</v>
      </c>
      <c r="E244" s="1419" t="e">
        <v>#N/A</v>
      </c>
      <c r="F244" s="1411" t="e">
        <v>#N/A</v>
      </c>
      <c r="G244" s="1419" t="e">
        <v>#N/A</v>
      </c>
      <c r="H244" s="1411" t="e">
        <v>#N/A</v>
      </c>
      <c r="I244" s="1407" t="e">
        <v>#N/A</v>
      </c>
      <c r="J244" s="1440" t="e">
        <f t="shared" si="13"/>
        <v>#N/A</v>
      </c>
      <c r="K244" s="1400" t="e">
        <v>#N/A</v>
      </c>
      <c r="L244" s="685" t="e">
        <v>#N/A</v>
      </c>
      <c r="M244" s="582" t="e">
        <v>#N/A</v>
      </c>
      <c r="N244" s="1419" t="e">
        <v>#N/A</v>
      </c>
      <c r="O244" s="1411" t="e">
        <v>#N/A</v>
      </c>
      <c r="P244" s="1419" t="e">
        <v>#N/A</v>
      </c>
      <c r="Q244" s="1411" t="e">
        <v>#N/A</v>
      </c>
      <c r="R244" s="1407" t="e">
        <v>#N/A</v>
      </c>
      <c r="S244" s="1440" t="e">
        <f t="shared" si="14"/>
        <v>#N/A</v>
      </c>
      <c r="T244" s="1400" t="e">
        <v>#N/A</v>
      </c>
      <c r="U244" s="685" t="e">
        <v>#N/A</v>
      </c>
      <c r="V244" s="1407" t="e">
        <v>#N/A</v>
      </c>
      <c r="W244" s="1411" t="e">
        <v>#N/A</v>
      </c>
      <c r="X244" s="1419" t="e">
        <v>#N/A</v>
      </c>
      <c r="Y244" s="1419" t="e">
        <v>#N/A</v>
      </c>
      <c r="Z244" s="1424" t="e">
        <f t="shared" si="15"/>
        <v>#N/A</v>
      </c>
    </row>
    <row r="245" spans="1:26">
      <c r="A245" s="583">
        <f t="shared" si="9"/>
        <v>2028.4</v>
      </c>
      <c r="B245" s="1419" t="e">
        <v>#N/A</v>
      </c>
      <c r="C245" s="685" t="e">
        <v>#N/A</v>
      </c>
      <c r="D245" s="582" t="e">
        <v>#N/A</v>
      </c>
      <c r="E245" s="1419" t="e">
        <v>#N/A</v>
      </c>
      <c r="F245" s="1411" t="e">
        <v>#N/A</v>
      </c>
      <c r="G245" s="1419" t="e">
        <v>#N/A</v>
      </c>
      <c r="H245" s="1411" t="e">
        <v>#N/A</v>
      </c>
      <c r="I245" s="1407" t="e">
        <v>#N/A</v>
      </c>
      <c r="J245" s="1440" t="e">
        <f t="shared" si="13"/>
        <v>#N/A</v>
      </c>
      <c r="K245" s="1400" t="e">
        <v>#N/A</v>
      </c>
      <c r="L245" s="685" t="e">
        <v>#N/A</v>
      </c>
      <c r="M245" s="582" t="e">
        <v>#N/A</v>
      </c>
      <c r="N245" s="1419" t="e">
        <v>#N/A</v>
      </c>
      <c r="O245" s="1411" t="e">
        <v>#N/A</v>
      </c>
      <c r="P245" s="1419" t="e">
        <v>#N/A</v>
      </c>
      <c r="Q245" s="1411" t="e">
        <v>#N/A</v>
      </c>
      <c r="R245" s="1407" t="e">
        <v>#N/A</v>
      </c>
      <c r="S245" s="1440" t="e">
        <f t="shared" si="14"/>
        <v>#N/A</v>
      </c>
      <c r="T245" s="1400" t="e">
        <v>#N/A</v>
      </c>
      <c r="U245" s="685" t="e">
        <v>#N/A</v>
      </c>
      <c r="V245" s="1407" t="e">
        <v>#N/A</v>
      </c>
      <c r="W245" s="1411" t="e">
        <v>#N/A</v>
      </c>
      <c r="X245" s="1419" t="e">
        <v>#N/A</v>
      </c>
      <c r="Y245" s="1419" t="e">
        <v>#N/A</v>
      </c>
      <c r="Z245" s="1424" t="e">
        <f t="shared" si="15"/>
        <v>#N/A</v>
      </c>
    </row>
    <row r="246" spans="1:26">
      <c r="A246" s="583">
        <f t="shared" si="9"/>
        <v>2029.1</v>
      </c>
      <c r="B246" s="1419" t="e">
        <v>#N/A</v>
      </c>
      <c r="C246" s="685" t="e">
        <v>#N/A</v>
      </c>
      <c r="D246" s="582" t="e">
        <v>#N/A</v>
      </c>
      <c r="E246" s="1419" t="e">
        <v>#N/A</v>
      </c>
      <c r="F246" s="1411" t="e">
        <v>#N/A</v>
      </c>
      <c r="G246" s="1419" t="e">
        <v>#N/A</v>
      </c>
      <c r="H246" s="1411" t="e">
        <v>#N/A</v>
      </c>
      <c r="I246" s="1407" t="e">
        <v>#N/A</v>
      </c>
      <c r="J246" s="1440" t="e">
        <f t="shared" si="13"/>
        <v>#N/A</v>
      </c>
      <c r="K246" s="1400" t="e">
        <v>#N/A</v>
      </c>
      <c r="L246" s="685" t="e">
        <v>#N/A</v>
      </c>
      <c r="M246" s="582" t="e">
        <v>#N/A</v>
      </c>
      <c r="N246" s="1419" t="e">
        <v>#N/A</v>
      </c>
      <c r="O246" s="1411" t="e">
        <v>#N/A</v>
      </c>
      <c r="P246" s="1419" t="e">
        <v>#N/A</v>
      </c>
      <c r="Q246" s="1411" t="e">
        <v>#N/A</v>
      </c>
      <c r="R246" s="1407" t="e">
        <v>#N/A</v>
      </c>
      <c r="S246" s="1440" t="e">
        <f t="shared" si="14"/>
        <v>#N/A</v>
      </c>
      <c r="T246" s="1400" t="e">
        <v>#N/A</v>
      </c>
      <c r="U246" s="685" t="e">
        <v>#N/A</v>
      </c>
      <c r="V246" s="1407" t="e">
        <v>#N/A</v>
      </c>
      <c r="W246" s="1411" t="e">
        <v>#N/A</v>
      </c>
      <c r="X246" s="1419" t="e">
        <v>#N/A</v>
      </c>
      <c r="Y246" s="1419" t="e">
        <v>#N/A</v>
      </c>
      <c r="Z246" s="1424" t="e">
        <f t="shared" si="15"/>
        <v>#N/A</v>
      </c>
    </row>
    <row r="247" spans="1:26">
      <c r="A247" s="583">
        <f t="shared" si="9"/>
        <v>2029.2</v>
      </c>
      <c r="B247" s="1419" t="e">
        <v>#N/A</v>
      </c>
      <c r="C247" s="685" t="e">
        <v>#N/A</v>
      </c>
      <c r="D247" s="582" t="e">
        <v>#N/A</v>
      </c>
      <c r="E247" s="1419" t="e">
        <v>#N/A</v>
      </c>
      <c r="F247" s="1411" t="e">
        <v>#N/A</v>
      </c>
      <c r="G247" s="1419" t="e">
        <v>#N/A</v>
      </c>
      <c r="H247" s="1411" t="e">
        <v>#N/A</v>
      </c>
      <c r="I247" s="1407" t="e">
        <v>#N/A</v>
      </c>
      <c r="J247" s="1440" t="e">
        <f t="shared" si="13"/>
        <v>#N/A</v>
      </c>
      <c r="K247" s="1400" t="e">
        <v>#N/A</v>
      </c>
      <c r="L247" s="685" t="e">
        <v>#N/A</v>
      </c>
      <c r="M247" s="582" t="e">
        <v>#N/A</v>
      </c>
      <c r="N247" s="1419" t="e">
        <v>#N/A</v>
      </c>
      <c r="O247" s="1411" t="e">
        <v>#N/A</v>
      </c>
      <c r="P247" s="1419" t="e">
        <v>#N/A</v>
      </c>
      <c r="Q247" s="1411" t="e">
        <v>#N/A</v>
      </c>
      <c r="R247" s="1407" t="e">
        <v>#N/A</v>
      </c>
      <c r="S247" s="1440" t="e">
        <f t="shared" si="14"/>
        <v>#N/A</v>
      </c>
      <c r="T247" s="1400" t="e">
        <v>#N/A</v>
      </c>
      <c r="U247" s="685" t="e">
        <v>#N/A</v>
      </c>
      <c r="V247" s="1407" t="e">
        <v>#N/A</v>
      </c>
      <c r="W247" s="1411" t="e">
        <v>#N/A</v>
      </c>
      <c r="X247" s="1419" t="e">
        <v>#N/A</v>
      </c>
      <c r="Y247" s="1419" t="e">
        <v>#N/A</v>
      </c>
      <c r="Z247" s="1424" t="e">
        <f t="shared" si="15"/>
        <v>#N/A</v>
      </c>
    </row>
    <row r="248" spans="1:26">
      <c r="A248" s="583">
        <f>A244+1</f>
        <v>2029.3</v>
      </c>
      <c r="B248" s="1419" t="e">
        <v>#N/A</v>
      </c>
      <c r="C248" s="685" t="e">
        <v>#N/A</v>
      </c>
      <c r="D248" s="582" t="e">
        <v>#N/A</v>
      </c>
      <c r="E248" s="1419" t="e">
        <v>#N/A</v>
      </c>
      <c r="F248" s="1411" t="e">
        <v>#N/A</v>
      </c>
      <c r="G248" s="1419" t="e">
        <v>#N/A</v>
      </c>
      <c r="H248" s="1411" t="e">
        <v>#N/A</v>
      </c>
      <c r="I248" s="1407" t="e">
        <v>#N/A</v>
      </c>
      <c r="J248" s="1440" t="e">
        <f t="shared" si="13"/>
        <v>#N/A</v>
      </c>
      <c r="K248" s="1400" t="e">
        <v>#N/A</v>
      </c>
      <c r="L248" s="685" t="e">
        <v>#N/A</v>
      </c>
      <c r="M248" s="582" t="e">
        <v>#N/A</v>
      </c>
      <c r="N248" s="1419" t="e">
        <v>#N/A</v>
      </c>
      <c r="O248" s="1411" t="e">
        <v>#N/A</v>
      </c>
      <c r="P248" s="1419" t="e">
        <v>#N/A</v>
      </c>
      <c r="Q248" s="1411" t="e">
        <v>#N/A</v>
      </c>
      <c r="R248" s="1407" t="e">
        <v>#N/A</v>
      </c>
      <c r="S248" s="1440" t="e">
        <f t="shared" si="14"/>
        <v>#N/A</v>
      </c>
      <c r="T248" s="1400" t="e">
        <v>#N/A</v>
      </c>
      <c r="U248" s="685" t="e">
        <v>#N/A</v>
      </c>
      <c r="V248" s="1407" t="e">
        <v>#N/A</v>
      </c>
      <c r="W248" s="1411" t="e">
        <v>#N/A</v>
      </c>
      <c r="X248" s="1419" t="e">
        <v>#N/A</v>
      </c>
      <c r="Y248" s="1419" t="e">
        <v>#N/A</v>
      </c>
      <c r="Z248" s="1424" t="e">
        <f t="shared" si="15"/>
        <v>#N/A</v>
      </c>
    </row>
    <row r="249" spans="1:26">
      <c r="A249" s="583">
        <f t="shared" si="9"/>
        <v>2029.4</v>
      </c>
      <c r="B249" s="1419" t="e">
        <v>#N/A</v>
      </c>
      <c r="C249" s="685" t="e">
        <v>#N/A</v>
      </c>
      <c r="D249" s="582" t="e">
        <v>#N/A</v>
      </c>
      <c r="E249" s="1419" t="e">
        <v>#N/A</v>
      </c>
      <c r="F249" s="1411" t="e">
        <v>#N/A</v>
      </c>
      <c r="G249" s="1419" t="e">
        <v>#N/A</v>
      </c>
      <c r="H249" s="1411" t="e">
        <v>#N/A</v>
      </c>
      <c r="I249" s="1407" t="e">
        <v>#N/A</v>
      </c>
      <c r="J249" s="1440" t="e">
        <f t="shared" si="13"/>
        <v>#N/A</v>
      </c>
      <c r="K249" s="1400" t="e">
        <v>#N/A</v>
      </c>
      <c r="L249" s="685" t="e">
        <v>#N/A</v>
      </c>
      <c r="M249" s="582" t="e">
        <v>#N/A</v>
      </c>
      <c r="N249" s="1419" t="e">
        <v>#N/A</v>
      </c>
      <c r="O249" s="1411" t="e">
        <v>#N/A</v>
      </c>
      <c r="P249" s="1419" t="e">
        <v>#N/A</v>
      </c>
      <c r="Q249" s="1411" t="e">
        <v>#N/A</v>
      </c>
      <c r="R249" s="1407" t="e">
        <v>#N/A</v>
      </c>
      <c r="S249" s="1440" t="e">
        <f t="shared" si="14"/>
        <v>#N/A</v>
      </c>
      <c r="T249" s="1400" t="e">
        <v>#N/A</v>
      </c>
      <c r="U249" s="685" t="e">
        <v>#N/A</v>
      </c>
      <c r="V249" s="1407" t="e">
        <v>#N/A</v>
      </c>
      <c r="W249" s="1411" t="e">
        <v>#N/A</v>
      </c>
      <c r="X249" s="1419" t="e">
        <v>#N/A</v>
      </c>
      <c r="Y249" s="1419" t="e">
        <v>#N/A</v>
      </c>
      <c r="Z249" s="1424" t="e">
        <f t="shared" si="15"/>
        <v>#N/A</v>
      </c>
    </row>
    <row r="250" spans="1:26">
      <c r="A250" s="583">
        <f t="shared" si="9"/>
        <v>2030.1</v>
      </c>
      <c r="B250" s="1419" t="e">
        <v>#N/A</v>
      </c>
      <c r="C250" s="685" t="e">
        <v>#N/A</v>
      </c>
      <c r="D250" s="582" t="e">
        <v>#N/A</v>
      </c>
      <c r="E250" s="1419" t="e">
        <v>#N/A</v>
      </c>
      <c r="F250" s="1411" t="e">
        <v>#N/A</v>
      </c>
      <c r="G250" s="1419" t="e">
        <v>#N/A</v>
      </c>
      <c r="H250" s="1411" t="e">
        <v>#N/A</v>
      </c>
      <c r="I250" s="1407" t="e">
        <v>#N/A</v>
      </c>
      <c r="J250" s="1440" t="e">
        <f t="shared" si="13"/>
        <v>#N/A</v>
      </c>
      <c r="K250" s="1400" t="e">
        <v>#N/A</v>
      </c>
      <c r="L250" s="685" t="e">
        <v>#N/A</v>
      </c>
      <c r="M250" s="582" t="e">
        <v>#N/A</v>
      </c>
      <c r="N250" s="1419" t="e">
        <v>#N/A</v>
      </c>
      <c r="O250" s="1411" t="e">
        <v>#N/A</v>
      </c>
      <c r="P250" s="1419" t="e">
        <v>#N/A</v>
      </c>
      <c r="Q250" s="1411" t="e">
        <v>#N/A</v>
      </c>
      <c r="R250" s="1407" t="e">
        <v>#N/A</v>
      </c>
      <c r="S250" s="1440" t="e">
        <f t="shared" si="14"/>
        <v>#N/A</v>
      </c>
      <c r="T250" s="1400" t="e">
        <v>#N/A</v>
      </c>
      <c r="U250" s="685" t="e">
        <v>#N/A</v>
      </c>
      <c r="V250" s="1407" t="e">
        <v>#N/A</v>
      </c>
      <c r="W250" s="1411" t="e">
        <v>#N/A</v>
      </c>
      <c r="X250" s="1419" t="e">
        <v>#N/A</v>
      </c>
      <c r="Y250" s="1419" t="e">
        <v>#N/A</v>
      </c>
      <c r="Z250" s="1424" t="e">
        <f t="shared" si="15"/>
        <v>#N/A</v>
      </c>
    </row>
    <row r="251" spans="1:26">
      <c r="A251" s="583">
        <f t="shared" si="9"/>
        <v>2030.2</v>
      </c>
      <c r="B251" s="1419" t="e">
        <v>#N/A</v>
      </c>
      <c r="C251" s="685" t="e">
        <v>#N/A</v>
      </c>
      <c r="D251" s="582" t="e">
        <v>#N/A</v>
      </c>
      <c r="E251" s="1419" t="e">
        <v>#N/A</v>
      </c>
      <c r="F251" s="1411" t="e">
        <v>#N/A</v>
      </c>
      <c r="G251" s="1419" t="e">
        <v>#N/A</v>
      </c>
      <c r="H251" s="1411" t="e">
        <v>#N/A</v>
      </c>
      <c r="I251" s="1407" t="e">
        <v>#N/A</v>
      </c>
      <c r="J251" s="1440" t="e">
        <f t="shared" si="13"/>
        <v>#N/A</v>
      </c>
      <c r="K251" s="1400" t="e">
        <v>#N/A</v>
      </c>
      <c r="L251" s="685" t="e">
        <v>#N/A</v>
      </c>
      <c r="M251" s="582" t="e">
        <v>#N/A</v>
      </c>
      <c r="N251" s="1419" t="e">
        <v>#N/A</v>
      </c>
      <c r="O251" s="1411" t="e">
        <v>#N/A</v>
      </c>
      <c r="P251" s="1419" t="e">
        <v>#N/A</v>
      </c>
      <c r="Q251" s="1411" t="e">
        <v>#N/A</v>
      </c>
      <c r="R251" s="1407" t="e">
        <v>#N/A</v>
      </c>
      <c r="S251" s="1440" t="e">
        <f t="shared" si="14"/>
        <v>#N/A</v>
      </c>
      <c r="T251" s="1400" t="e">
        <v>#N/A</v>
      </c>
      <c r="U251" s="685" t="e">
        <v>#N/A</v>
      </c>
      <c r="V251" s="1407" t="e">
        <v>#N/A</v>
      </c>
      <c r="W251" s="1411" t="e">
        <v>#N/A</v>
      </c>
      <c r="X251" s="1419" t="e">
        <v>#N/A</v>
      </c>
      <c r="Y251" s="1419" t="e">
        <v>#N/A</v>
      </c>
      <c r="Z251" s="1424" t="e">
        <f t="shared" si="15"/>
        <v>#N/A</v>
      </c>
    </row>
    <row r="252" spans="1:26">
      <c r="A252" s="583">
        <f t="shared" si="9"/>
        <v>2030.3</v>
      </c>
      <c r="B252" s="1419" t="e">
        <v>#N/A</v>
      </c>
      <c r="C252" s="685" t="e">
        <v>#N/A</v>
      </c>
      <c r="D252" s="582" t="e">
        <v>#N/A</v>
      </c>
      <c r="E252" s="1419" t="e">
        <v>#N/A</v>
      </c>
      <c r="F252" s="1411" t="e">
        <v>#N/A</v>
      </c>
      <c r="G252" s="1419" t="e">
        <v>#N/A</v>
      </c>
      <c r="H252" s="1411" t="e">
        <v>#N/A</v>
      </c>
      <c r="I252" s="1407" t="e">
        <v>#N/A</v>
      </c>
      <c r="J252" s="1440" t="e">
        <f t="shared" si="13"/>
        <v>#N/A</v>
      </c>
      <c r="K252" s="1400" t="e">
        <v>#N/A</v>
      </c>
      <c r="L252" s="685" t="e">
        <v>#N/A</v>
      </c>
      <c r="M252" s="582" t="e">
        <v>#N/A</v>
      </c>
      <c r="N252" s="1419" t="e">
        <v>#N/A</v>
      </c>
      <c r="O252" s="1411" t="e">
        <v>#N/A</v>
      </c>
      <c r="P252" s="1419" t="e">
        <v>#N/A</v>
      </c>
      <c r="Q252" s="1411" t="e">
        <v>#N/A</v>
      </c>
      <c r="R252" s="1407" t="e">
        <v>#N/A</v>
      </c>
      <c r="S252" s="1440" t="e">
        <f t="shared" si="14"/>
        <v>#N/A</v>
      </c>
      <c r="T252" s="1400" t="e">
        <v>#N/A</v>
      </c>
      <c r="U252" s="685" t="e">
        <v>#N/A</v>
      </c>
      <c r="V252" s="1407" t="e">
        <v>#N/A</v>
      </c>
      <c r="W252" s="1411" t="e">
        <v>#N/A</v>
      </c>
      <c r="X252" s="1419" t="e">
        <v>#N/A</v>
      </c>
      <c r="Y252" s="1419" t="e">
        <v>#N/A</v>
      </c>
      <c r="Z252" s="1424" t="e">
        <f t="shared" si="15"/>
        <v>#N/A</v>
      </c>
    </row>
    <row r="253" spans="1:26">
      <c r="A253" s="583">
        <f>A249+1</f>
        <v>2030.4</v>
      </c>
      <c r="B253" s="1419" t="e">
        <v>#N/A</v>
      </c>
      <c r="C253" s="685" t="e">
        <v>#N/A</v>
      </c>
      <c r="D253" s="582" t="e">
        <v>#N/A</v>
      </c>
      <c r="E253" s="1419" t="e">
        <v>#N/A</v>
      </c>
      <c r="F253" s="1411" t="e">
        <v>#N/A</v>
      </c>
      <c r="G253" s="1419" t="e">
        <v>#N/A</v>
      </c>
      <c r="H253" s="1411" t="e">
        <v>#N/A</v>
      </c>
      <c r="I253" s="1407" t="e">
        <v>#N/A</v>
      </c>
      <c r="J253" s="1440" t="e">
        <f t="shared" si="13"/>
        <v>#N/A</v>
      </c>
      <c r="K253" s="1400" t="e">
        <v>#N/A</v>
      </c>
      <c r="L253" s="685" t="e">
        <v>#N/A</v>
      </c>
      <c r="M253" s="582" t="e">
        <v>#N/A</v>
      </c>
      <c r="N253" s="1419" t="e">
        <v>#N/A</v>
      </c>
      <c r="O253" s="1411" t="e">
        <v>#N/A</v>
      </c>
      <c r="P253" s="1419" t="e">
        <v>#N/A</v>
      </c>
      <c r="Q253" s="1411" t="e">
        <v>#N/A</v>
      </c>
      <c r="R253" s="1407" t="e">
        <v>#N/A</v>
      </c>
      <c r="S253" s="1440" t="e">
        <f t="shared" si="14"/>
        <v>#N/A</v>
      </c>
      <c r="T253" s="1400" t="e">
        <v>#N/A</v>
      </c>
      <c r="U253" s="685" t="e">
        <v>#N/A</v>
      </c>
      <c r="V253" s="1407" t="e">
        <v>#N/A</v>
      </c>
      <c r="W253" s="1411" t="e">
        <v>#N/A</v>
      </c>
      <c r="X253" s="1419" t="e">
        <v>#N/A</v>
      </c>
      <c r="Y253" s="1419" t="e">
        <v>#N/A</v>
      </c>
      <c r="Z253" s="1424" t="e">
        <f t="shared" si="15"/>
        <v>#N/A</v>
      </c>
    </row>
  </sheetData>
  <hyperlinks>
    <hyperlink ref="A5" location="INDICE!A13" display="VOLVER AL INDICE" xr:uid="{00000000-0004-0000-0700-000000000000}"/>
  </hyperlinks>
  <pageMargins left="0.75" right="0.75" top="1" bottom="1" header="0" footer="0"/>
  <pageSetup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483"/>
  <sheetViews>
    <sheetView zoomScaleNormal="100" workbookViewId="0">
      <pane xSplit="1" ySplit="9" topLeftCell="B390" activePane="bottomRight" state="frozen"/>
      <selection pane="topRight" activeCell="B1" sqref="B1"/>
      <selection pane="bottomLeft" activeCell="A10" sqref="A10"/>
      <selection pane="bottomRight" activeCell="A5" sqref="A5"/>
    </sheetView>
  </sheetViews>
  <sheetFormatPr baseColWidth="10" defaultColWidth="11.42578125" defaultRowHeight="15"/>
  <cols>
    <col min="1" max="1" width="11.42578125" style="2336"/>
    <col min="2" max="2" width="18.85546875" style="2336" bestFit="1" customWidth="1"/>
    <col min="3" max="3" width="19.85546875" style="2336" customWidth="1"/>
    <col min="4" max="16384" width="11.42578125" style="2336"/>
  </cols>
  <sheetData>
    <row r="1" spans="1:3" ht="3.75" customHeight="1">
      <c r="A1" s="37"/>
      <c r="B1" s="2311"/>
      <c r="C1" s="2312"/>
    </row>
    <row r="2" spans="1:3" ht="45" customHeight="1">
      <c r="A2" s="121" t="s">
        <v>212</v>
      </c>
      <c r="B2" s="2313" t="s">
        <v>1305</v>
      </c>
      <c r="C2" s="2314"/>
    </row>
    <row r="3" spans="1:3" ht="38.25" customHeight="1">
      <c r="A3" s="121" t="s">
        <v>211</v>
      </c>
      <c r="B3" s="2313" t="s">
        <v>1306</v>
      </c>
      <c r="C3" s="2314"/>
    </row>
    <row r="4" spans="1:3" ht="3.75" customHeight="1">
      <c r="A4" s="37"/>
      <c r="B4" s="2315"/>
      <c r="C4" s="2316"/>
    </row>
    <row r="5" spans="1:3" ht="34.5" customHeight="1">
      <c r="A5" s="45" t="s">
        <v>213</v>
      </c>
      <c r="B5" s="2313" t="s">
        <v>1307</v>
      </c>
      <c r="C5" s="2314" t="s">
        <v>1308</v>
      </c>
    </row>
    <row r="6" spans="1:3" ht="3" customHeight="1">
      <c r="A6" s="37"/>
      <c r="B6" s="2311"/>
      <c r="C6" s="2312"/>
    </row>
    <row r="7" spans="1:3" ht="22.5">
      <c r="A7" s="47" t="s">
        <v>210</v>
      </c>
      <c r="B7" s="2317" t="s">
        <v>1311</v>
      </c>
      <c r="C7" s="2318" t="s">
        <v>1311</v>
      </c>
    </row>
    <row r="8" spans="1:3">
      <c r="A8" s="390" t="s">
        <v>412</v>
      </c>
      <c r="B8" s="2319" t="s">
        <v>1412</v>
      </c>
      <c r="C8" s="2320" t="s">
        <v>1413</v>
      </c>
    </row>
    <row r="9" spans="1:3" ht="3" customHeight="1" thickBot="1">
      <c r="A9" s="152"/>
      <c r="B9" s="2321"/>
      <c r="C9" s="2322"/>
    </row>
    <row r="10" spans="1:3">
      <c r="A10" s="2323">
        <v>1991.07</v>
      </c>
      <c r="B10" s="2337">
        <v>93.360013390175354</v>
      </c>
      <c r="C10" s="2338">
        <v>108.90198254833069</v>
      </c>
    </row>
    <row r="11" spans="1:3">
      <c r="A11" s="2323">
        <v>1991.08</v>
      </c>
      <c r="B11" s="2324">
        <v>95.594733970990319</v>
      </c>
      <c r="C11" s="2325">
        <v>102.79579855639052</v>
      </c>
    </row>
    <row r="12" spans="1:3">
      <c r="A12" s="2323">
        <v>1991</v>
      </c>
      <c r="B12" s="2324">
        <v>96.453766935919361</v>
      </c>
      <c r="C12" s="2325">
        <v>104.50647997626567</v>
      </c>
    </row>
    <row r="13" spans="1:3">
      <c r="A13" s="2323">
        <v>1991.1</v>
      </c>
      <c r="B13" s="2324">
        <v>92.229291590991039</v>
      </c>
      <c r="C13" s="2325">
        <v>104.37690971650395</v>
      </c>
    </row>
    <row r="14" spans="1:3">
      <c r="A14" s="2323">
        <v>1991.11</v>
      </c>
      <c r="B14" s="2324">
        <v>93.505296025826397</v>
      </c>
      <c r="C14" s="2325">
        <v>110.99982794612205</v>
      </c>
    </row>
    <row r="15" spans="1:3">
      <c r="A15" s="2323">
        <v>1991.12</v>
      </c>
      <c r="B15" s="2324">
        <v>92.841236698984261</v>
      </c>
      <c r="C15" s="2325">
        <v>108.54771511136829</v>
      </c>
    </row>
    <row r="16" spans="1:3">
      <c r="A16" s="2323">
        <v>1992.01</v>
      </c>
      <c r="B16" s="2324">
        <v>93.596521138720561</v>
      </c>
      <c r="C16" s="2325">
        <v>109.55556272257462</v>
      </c>
    </row>
    <row r="17" spans="1:3">
      <c r="A17" s="2323">
        <v>1992.02</v>
      </c>
      <c r="B17" s="2324">
        <v>93.374958375955046</v>
      </c>
      <c r="C17" s="2325">
        <v>107.27097438008407</v>
      </c>
    </row>
    <row r="18" spans="1:3">
      <c r="A18" s="2323">
        <v>1992.03</v>
      </c>
      <c r="B18" s="2324">
        <v>107.13650973480745</v>
      </c>
      <c r="C18" s="2325">
        <v>109.96487082334534</v>
      </c>
    </row>
    <row r="19" spans="1:3">
      <c r="A19" s="2323">
        <v>1992.04</v>
      </c>
      <c r="B19" s="2324">
        <v>102.66641424023443</v>
      </c>
      <c r="C19" s="2325">
        <v>109.24087195408188</v>
      </c>
    </row>
    <row r="20" spans="1:3">
      <c r="A20" s="2323">
        <v>1992.05</v>
      </c>
      <c r="B20" s="2324">
        <v>101.57263472042636</v>
      </c>
      <c r="C20" s="2325">
        <v>105.65235217306876</v>
      </c>
    </row>
    <row r="21" spans="1:3">
      <c r="A21" s="2323">
        <v>1992.06</v>
      </c>
      <c r="B21" s="2324">
        <v>96.877861406133363</v>
      </c>
      <c r="C21" s="2325">
        <v>100.38031423813386</v>
      </c>
    </row>
    <row r="22" spans="1:3">
      <c r="A22" s="2323">
        <v>1992.07</v>
      </c>
      <c r="B22" s="2324">
        <v>93.442742672722872</v>
      </c>
      <c r="C22" s="2325">
        <v>97.895919641386001</v>
      </c>
    </row>
    <row r="23" spans="1:3">
      <c r="A23" s="2323">
        <v>1992.08</v>
      </c>
      <c r="B23" s="2324">
        <v>93.013558479419004</v>
      </c>
      <c r="C23" s="2325">
        <v>93.89207814709151</v>
      </c>
    </row>
    <row r="24" spans="1:3">
      <c r="A24" s="2323">
        <v>1992.09</v>
      </c>
      <c r="B24" s="2324">
        <v>97.011791771403423</v>
      </c>
      <c r="C24" s="2325">
        <v>98.125140275357097</v>
      </c>
    </row>
    <row r="25" spans="1:3">
      <c r="A25" s="2323">
        <v>1992.1</v>
      </c>
      <c r="B25" s="2324">
        <v>97.866831769460987</v>
      </c>
      <c r="C25" s="2325">
        <v>99.955776316359916</v>
      </c>
    </row>
    <row r="26" spans="1:3">
      <c r="A26" s="2323">
        <v>1992.11</v>
      </c>
      <c r="B26" s="2324">
        <v>98.076860577989464</v>
      </c>
      <c r="C26" s="2325">
        <v>104.49304623633634</v>
      </c>
    </row>
    <row r="27" spans="1:3">
      <c r="A27" s="2323">
        <v>1992.12</v>
      </c>
      <c r="B27" s="2324">
        <v>95.70962599261928</v>
      </c>
      <c r="C27" s="2325">
        <v>104.14864748047988</v>
      </c>
    </row>
    <row r="28" spans="1:3">
      <c r="A28" s="2323">
        <v>1993.01</v>
      </c>
      <c r="B28" s="2324">
        <v>94.583175871215133</v>
      </c>
      <c r="C28" s="2325">
        <v>108.97970437672669</v>
      </c>
    </row>
    <row r="29" spans="1:3">
      <c r="A29" s="2323">
        <v>1993.02</v>
      </c>
      <c r="B29" s="2324">
        <v>102.50140133037277</v>
      </c>
      <c r="C29" s="2325">
        <v>114.01436364320651</v>
      </c>
    </row>
    <row r="30" spans="1:3">
      <c r="A30" s="2323">
        <v>1993.03</v>
      </c>
      <c r="B30" s="2324">
        <v>98.460818329368422</v>
      </c>
      <c r="C30" s="2325">
        <v>113.34538968396232</v>
      </c>
    </row>
    <row r="31" spans="1:3">
      <c r="A31" s="2323">
        <v>1993.04</v>
      </c>
      <c r="B31" s="2324">
        <v>100.35915567430834</v>
      </c>
      <c r="C31" s="2325">
        <v>110.76185552046961</v>
      </c>
    </row>
    <row r="32" spans="1:3">
      <c r="A32" s="2323">
        <v>1993.05</v>
      </c>
      <c r="B32" s="2324">
        <v>101.73692041040665</v>
      </c>
      <c r="C32" s="2325">
        <v>105.71236107721445</v>
      </c>
    </row>
    <row r="33" spans="1:3">
      <c r="A33" s="2323">
        <v>1993.06</v>
      </c>
      <c r="B33" s="2324">
        <v>101.81469546959832</v>
      </c>
      <c r="C33" s="2325">
        <v>106.85985478319982</v>
      </c>
    </row>
    <row r="34" spans="1:3">
      <c r="A34" s="2323">
        <v>1993.07</v>
      </c>
      <c r="B34" s="2324">
        <v>104.38162039346224</v>
      </c>
      <c r="C34" s="2325">
        <v>108.12012708954801</v>
      </c>
    </row>
    <row r="35" spans="1:3">
      <c r="A35" s="2323">
        <v>1993.08</v>
      </c>
      <c r="B35" s="2324">
        <v>102.43063547899068</v>
      </c>
      <c r="C35" s="2325">
        <v>112.2859781664762</v>
      </c>
    </row>
    <row r="36" spans="1:3">
      <c r="A36" s="2323">
        <v>1993.09</v>
      </c>
      <c r="B36" s="2324">
        <v>99.553788920332565</v>
      </c>
      <c r="C36" s="2325">
        <v>114.87497841943497</v>
      </c>
    </row>
    <row r="37" spans="1:3">
      <c r="A37" s="2323">
        <v>1993.1</v>
      </c>
      <c r="B37" s="2324">
        <v>102.75693213934113</v>
      </c>
      <c r="C37" s="2325">
        <v>113.58053333656727</v>
      </c>
    </row>
    <row r="38" spans="1:3">
      <c r="A38" s="2323">
        <v>1993.11</v>
      </c>
      <c r="B38" s="2324">
        <v>105.63300454179301</v>
      </c>
      <c r="C38" s="2325">
        <v>112.49894300279956</v>
      </c>
    </row>
    <row r="39" spans="1:3">
      <c r="A39" s="2323">
        <v>1993.12</v>
      </c>
      <c r="B39" s="2324">
        <v>108.2280744000627</v>
      </c>
      <c r="C39" s="2325">
        <v>111.5396803600852</v>
      </c>
    </row>
    <row r="40" spans="1:3">
      <c r="A40" s="2323">
        <v>1994.01</v>
      </c>
      <c r="B40" s="2324">
        <v>110.26810904799008</v>
      </c>
      <c r="C40" s="2325">
        <v>108.47323469614119</v>
      </c>
    </row>
    <row r="41" spans="1:3">
      <c r="A41" s="2323">
        <v>1994.02</v>
      </c>
      <c r="B41" s="2324">
        <v>108.00774162468696</v>
      </c>
      <c r="C41" s="2325">
        <v>111.45744277304006</v>
      </c>
    </row>
    <row r="42" spans="1:3">
      <c r="A42" s="2323">
        <v>1994.03</v>
      </c>
      <c r="B42" s="2324">
        <v>109.09693790884701</v>
      </c>
      <c r="C42" s="2325">
        <v>113.04838872217334</v>
      </c>
    </row>
    <row r="43" spans="1:3">
      <c r="A43" s="2323">
        <v>1994.04</v>
      </c>
      <c r="B43" s="2324">
        <v>108.25335460974651</v>
      </c>
      <c r="C43" s="2325">
        <v>112.83058917500075</v>
      </c>
    </row>
    <row r="44" spans="1:3">
      <c r="A44" s="2323">
        <v>1994.05</v>
      </c>
      <c r="B44" s="2324">
        <v>109.65413642172282</v>
      </c>
      <c r="C44" s="2325">
        <v>112.48638386816398</v>
      </c>
    </row>
    <row r="45" spans="1:3">
      <c r="A45" s="2323">
        <v>1994.06</v>
      </c>
      <c r="B45" s="2324">
        <v>111.6121601059548</v>
      </c>
      <c r="C45" s="2325">
        <v>109.99938405823997</v>
      </c>
    </row>
    <row r="46" spans="1:3">
      <c r="A46" s="2323">
        <v>1994.07</v>
      </c>
      <c r="B46" s="2324">
        <v>113.48965519615689</v>
      </c>
      <c r="C46" s="2325">
        <v>111.47258379613079</v>
      </c>
    </row>
    <row r="47" spans="1:3">
      <c r="A47" s="2323">
        <v>1994.08</v>
      </c>
      <c r="B47" s="2324">
        <v>113.1529741883413</v>
      </c>
      <c r="C47" s="2325">
        <v>111.26289850562699</v>
      </c>
    </row>
    <row r="48" spans="1:3">
      <c r="A48" s="2323">
        <v>1994.09</v>
      </c>
      <c r="B48" s="2324">
        <v>113.54209120533179</v>
      </c>
      <c r="C48" s="2325">
        <v>111.35756926815179</v>
      </c>
    </row>
    <row r="49" spans="1:3">
      <c r="A49" s="2323">
        <v>1994.1</v>
      </c>
      <c r="B49" s="2324">
        <v>114.54794804185212</v>
      </c>
      <c r="C49" s="2325">
        <v>112.53638339745045</v>
      </c>
    </row>
    <row r="50" spans="1:3">
      <c r="A50" s="2323">
        <v>1994.11</v>
      </c>
      <c r="B50" s="2324">
        <v>113.85291478655239</v>
      </c>
      <c r="C50" s="2325">
        <v>116.36789785362289</v>
      </c>
    </row>
    <row r="51" spans="1:3">
      <c r="A51" s="2323">
        <v>1994.12</v>
      </c>
      <c r="B51" s="2324">
        <v>112.71759293174968</v>
      </c>
      <c r="C51" s="2325">
        <v>112.07422978485883</v>
      </c>
    </row>
    <row r="52" spans="1:3">
      <c r="A52" s="2323">
        <v>1995.01</v>
      </c>
      <c r="B52" s="2324">
        <v>111.93433609567471</v>
      </c>
      <c r="C52" s="2325">
        <v>112.12069397418676</v>
      </c>
    </row>
    <row r="53" spans="1:3">
      <c r="A53" s="2323">
        <v>1995.02</v>
      </c>
      <c r="B53" s="2324">
        <v>108.29460400916386</v>
      </c>
      <c r="C53" s="2325">
        <v>106.75154530624313</v>
      </c>
    </row>
    <row r="54" spans="1:3">
      <c r="A54" s="2323">
        <v>1995.03</v>
      </c>
      <c r="B54" s="2324">
        <v>104.29667731929409</v>
      </c>
      <c r="C54" s="2325">
        <v>99.062926916189184</v>
      </c>
    </row>
    <row r="55" spans="1:3">
      <c r="A55" s="2323">
        <v>1995.04</v>
      </c>
      <c r="B55" s="2324">
        <v>102.03836963430709</v>
      </c>
      <c r="C55" s="2325">
        <v>95.851221098848853</v>
      </c>
    </row>
    <row r="56" spans="1:3">
      <c r="A56" s="2323">
        <v>1995.05</v>
      </c>
      <c r="B56" s="2324">
        <v>101.2768934748417</v>
      </c>
      <c r="C56" s="2325">
        <v>92.785215307747848</v>
      </c>
    </row>
    <row r="57" spans="1:3">
      <c r="A57" s="2323">
        <v>1995.06</v>
      </c>
      <c r="B57" s="2324">
        <v>96.204675102558653</v>
      </c>
      <c r="C57" s="2325">
        <v>93.368063041443008</v>
      </c>
    </row>
    <row r="58" spans="1:3">
      <c r="A58" s="2323">
        <v>1995.07</v>
      </c>
      <c r="B58" s="2324">
        <v>94.120337012507576</v>
      </c>
      <c r="C58" s="2325">
        <v>87.811501086954166</v>
      </c>
    </row>
    <row r="59" spans="1:3">
      <c r="A59" s="2323">
        <v>1995.08</v>
      </c>
      <c r="B59" s="2324">
        <v>92.646702934152486</v>
      </c>
      <c r="C59" s="2325">
        <v>82.99133790211819</v>
      </c>
    </row>
    <row r="60" spans="1:3">
      <c r="A60" s="2323">
        <v>1995.09</v>
      </c>
      <c r="B60" s="2324">
        <v>90.18909504574593</v>
      </c>
      <c r="C60" s="2325">
        <v>82.431867575456607</v>
      </c>
    </row>
    <row r="61" spans="1:3">
      <c r="A61" s="2323">
        <v>1995.1</v>
      </c>
      <c r="B61" s="2324">
        <v>89.801429107782127</v>
      </c>
      <c r="C61" s="2325">
        <v>81.254379679634752</v>
      </c>
    </row>
    <row r="62" spans="1:3">
      <c r="A62" s="2323">
        <v>1995.11</v>
      </c>
      <c r="B62" s="2324">
        <v>88.789348008622113</v>
      </c>
      <c r="C62" s="2325">
        <v>79.4423466460116</v>
      </c>
    </row>
    <row r="63" spans="1:3">
      <c r="A63" s="2323">
        <v>1995.12</v>
      </c>
      <c r="B63" s="2324">
        <v>88.569436986978261</v>
      </c>
      <c r="C63" s="2325">
        <v>81.221188274769389</v>
      </c>
    </row>
    <row r="64" spans="1:3">
      <c r="A64" s="2323">
        <v>1996.01</v>
      </c>
      <c r="B64" s="2324">
        <v>89.82664552222559</v>
      </c>
      <c r="C64" s="2325">
        <v>84.992895224633841</v>
      </c>
    </row>
    <row r="65" spans="1:3">
      <c r="A65" s="2323">
        <v>1996.02</v>
      </c>
      <c r="B65" s="2324">
        <v>89.611331958718239</v>
      </c>
      <c r="C65" s="2325">
        <v>85.864127495077042</v>
      </c>
    </row>
    <row r="66" spans="1:3">
      <c r="A66" s="2323">
        <v>1996.03</v>
      </c>
      <c r="B66" s="2324">
        <v>91.966068831037475</v>
      </c>
      <c r="C66" s="2325">
        <v>91.125230129805402</v>
      </c>
    </row>
    <row r="67" spans="1:3">
      <c r="A67" s="2323">
        <v>1996.04</v>
      </c>
      <c r="B67" s="2324">
        <v>95.380762341891995</v>
      </c>
      <c r="C67" s="2325">
        <v>94.326998145421143</v>
      </c>
    </row>
    <row r="68" spans="1:3">
      <c r="A68" s="2323">
        <v>1996.05</v>
      </c>
      <c r="B68" s="2324">
        <v>96.251044910701566</v>
      </c>
      <c r="C68" s="2325">
        <v>91.410648334069137</v>
      </c>
    </row>
    <row r="69" spans="1:3">
      <c r="A69" s="2323">
        <v>1996.06</v>
      </c>
      <c r="B69" s="2324">
        <v>95.381324722942509</v>
      </c>
      <c r="C69" s="2325">
        <v>93.311787391039758</v>
      </c>
    </row>
    <row r="70" spans="1:3">
      <c r="A70" s="2323">
        <v>1996.07</v>
      </c>
      <c r="B70" s="2324">
        <v>94.022315234693181</v>
      </c>
      <c r="C70" s="2325">
        <v>95.039527165815443</v>
      </c>
    </row>
    <row r="71" spans="1:3">
      <c r="A71" s="2323">
        <v>1996.08</v>
      </c>
      <c r="B71" s="2324">
        <v>91.876691365464467</v>
      </c>
      <c r="C71" s="2325">
        <v>102.10578823632285</v>
      </c>
    </row>
    <row r="72" spans="1:3">
      <c r="A72" s="2323">
        <v>1996.09</v>
      </c>
      <c r="B72" s="2324">
        <v>94.556668018914863</v>
      </c>
      <c r="C72" s="2325">
        <v>103.0927884869679</v>
      </c>
    </row>
    <row r="73" spans="1:3">
      <c r="A73" s="2323">
        <v>1996.1</v>
      </c>
      <c r="B73" s="2324">
        <v>91.993554201216568</v>
      </c>
      <c r="C73" s="2325">
        <v>104.7223514709008</v>
      </c>
    </row>
    <row r="74" spans="1:3">
      <c r="A74" s="2323">
        <v>1996.11</v>
      </c>
      <c r="B74" s="2324">
        <v>94.528830671360566</v>
      </c>
      <c r="C74" s="2325">
        <v>107.61153370794149</v>
      </c>
    </row>
    <row r="75" spans="1:3">
      <c r="A75" s="2323">
        <v>1996.12</v>
      </c>
      <c r="B75" s="2324">
        <v>97.087251696250533</v>
      </c>
      <c r="C75" s="2325">
        <v>104.57144065783187</v>
      </c>
    </row>
    <row r="76" spans="1:3">
      <c r="A76" s="2323">
        <v>1997.01</v>
      </c>
      <c r="B76" s="2324">
        <v>96.158650801225463</v>
      </c>
      <c r="C76" s="2325">
        <v>101.6581524905228</v>
      </c>
    </row>
    <row r="77" spans="1:3">
      <c r="A77" s="2323">
        <v>1997.02</v>
      </c>
      <c r="B77" s="2324">
        <v>96.988869704593455</v>
      </c>
      <c r="C77" s="2325">
        <v>102.21372888939918</v>
      </c>
    </row>
    <row r="78" spans="1:3">
      <c r="A78" s="2323">
        <v>1997.03</v>
      </c>
      <c r="B78" s="2324">
        <v>96.498628338692768</v>
      </c>
      <c r="C78" s="2325">
        <v>104.37107975798233</v>
      </c>
    </row>
    <row r="79" spans="1:3">
      <c r="A79" s="2323">
        <v>1997.04</v>
      </c>
      <c r="B79" s="2324">
        <v>93.262856698014687</v>
      </c>
      <c r="C79" s="2325">
        <v>102.64860388455966</v>
      </c>
    </row>
    <row r="80" spans="1:3">
      <c r="A80" s="2323">
        <v>1997.05</v>
      </c>
      <c r="B80" s="2324">
        <v>94.914423546782174</v>
      </c>
      <c r="C80" s="2325">
        <v>102.65305310101924</v>
      </c>
    </row>
    <row r="81" spans="1:3">
      <c r="A81" s="2323">
        <v>1997.06</v>
      </c>
      <c r="B81" s="2324">
        <v>95.401046945058113</v>
      </c>
      <c r="C81" s="2325">
        <v>101.32432885028103</v>
      </c>
    </row>
    <row r="82" spans="1:3">
      <c r="A82" s="2323">
        <v>1997.07</v>
      </c>
      <c r="B82" s="2324">
        <v>98.425576207278141</v>
      </c>
      <c r="C82" s="2325">
        <v>100.76831331275712</v>
      </c>
    </row>
    <row r="83" spans="1:3">
      <c r="A83" s="2323">
        <v>1997.08</v>
      </c>
      <c r="B83" s="2324">
        <v>97.286954458344567</v>
      </c>
      <c r="C83" s="2325">
        <v>101.69777272340409</v>
      </c>
    </row>
    <row r="84" spans="1:3">
      <c r="A84" s="2323">
        <v>1997.09</v>
      </c>
      <c r="B84" s="2324">
        <v>96.88873143113166</v>
      </c>
      <c r="C84" s="2325">
        <v>101.34877830255202</v>
      </c>
    </row>
    <row r="85" spans="1:3">
      <c r="A85" s="2323">
        <v>1997.1</v>
      </c>
      <c r="B85" s="2324">
        <v>99.330740470908466</v>
      </c>
      <c r="C85" s="2325">
        <v>104.43817251335901</v>
      </c>
    </row>
    <row r="86" spans="1:3">
      <c r="A86" s="2323">
        <v>1997.11</v>
      </c>
      <c r="B86" s="2324">
        <v>98.120103351992313</v>
      </c>
      <c r="C86" s="2325">
        <v>104.28886935568175</v>
      </c>
    </row>
    <row r="87" spans="1:3">
      <c r="A87" s="2323">
        <v>1997.12</v>
      </c>
      <c r="B87" s="2324">
        <v>94.130156023366695</v>
      </c>
      <c r="C87" s="2325">
        <v>100.36397380829732</v>
      </c>
    </row>
    <row r="88" spans="1:3">
      <c r="A88" s="2323">
        <v>1998.01</v>
      </c>
      <c r="B88" s="2324">
        <v>80.882913424100991</v>
      </c>
      <c r="C88" s="2325">
        <v>96.077579133362903</v>
      </c>
    </row>
    <row r="89" spans="1:3">
      <c r="A89" s="2323">
        <v>1998.02</v>
      </c>
      <c r="B89" s="2324">
        <v>78.750842181369848</v>
      </c>
      <c r="C89" s="2325">
        <v>94.318981753309401</v>
      </c>
    </row>
    <row r="90" spans="1:3">
      <c r="A90" s="2323">
        <v>1998.03</v>
      </c>
      <c r="B90" s="2324">
        <v>79.488967326844147</v>
      </c>
      <c r="C90" s="2325">
        <v>89.227488639460461</v>
      </c>
    </row>
    <row r="91" spans="1:3">
      <c r="A91" s="2323">
        <v>1998.04</v>
      </c>
      <c r="B91" s="2324">
        <v>79.210014616732636</v>
      </c>
      <c r="C91" s="2325">
        <v>88.655478207397209</v>
      </c>
    </row>
    <row r="92" spans="1:3">
      <c r="A92" s="2323">
        <v>1998.05</v>
      </c>
      <c r="B92" s="2324">
        <v>85.878090750144807</v>
      </c>
      <c r="C92" s="2325">
        <v>91.436325024485683</v>
      </c>
    </row>
    <row r="93" spans="1:3">
      <c r="A93" s="2323">
        <v>1998.06</v>
      </c>
      <c r="B93" s="2324">
        <v>87.129369981538545</v>
      </c>
      <c r="C93" s="2325">
        <v>96.27640990648645</v>
      </c>
    </row>
    <row r="94" spans="1:3">
      <c r="A94" s="2323">
        <v>1998.07</v>
      </c>
      <c r="B94" s="2324">
        <v>87.177512701863108</v>
      </c>
      <c r="C94" s="2325">
        <v>97.88489501039642</v>
      </c>
    </row>
    <row r="95" spans="1:3">
      <c r="A95" s="2323">
        <v>1998.08</v>
      </c>
      <c r="B95" s="2324">
        <v>88.622152661033311</v>
      </c>
      <c r="C95" s="2325">
        <v>97.613308240954183</v>
      </c>
    </row>
    <row r="96" spans="1:3">
      <c r="A96" s="2323">
        <v>1998.09</v>
      </c>
      <c r="B96" s="2324">
        <v>89.628785628260829</v>
      </c>
      <c r="C96" s="2325">
        <v>98.238851988694336</v>
      </c>
    </row>
    <row r="97" spans="1:3">
      <c r="A97" s="2323">
        <v>1998.1</v>
      </c>
      <c r="B97" s="2324">
        <v>87.997863230950912</v>
      </c>
      <c r="C97" s="2325">
        <v>92.340874003928718</v>
      </c>
    </row>
    <row r="98" spans="1:3">
      <c r="A98" s="2323">
        <v>1998.11</v>
      </c>
      <c r="B98" s="2324">
        <v>88.304744571410836</v>
      </c>
      <c r="C98" s="2325">
        <v>85.440586571285607</v>
      </c>
    </row>
    <row r="99" spans="1:3">
      <c r="A99" s="2323">
        <v>1998.12</v>
      </c>
      <c r="B99" s="2324">
        <v>89.154638489579668</v>
      </c>
      <c r="C99" s="2325">
        <v>92.062118875756482</v>
      </c>
    </row>
    <row r="100" spans="1:3">
      <c r="A100" s="2323">
        <v>1999.01</v>
      </c>
      <c r="B100" s="2324">
        <v>93.875121702008542</v>
      </c>
      <c r="C100" s="2325">
        <v>102.83774435141405</v>
      </c>
    </row>
    <row r="101" spans="1:3">
      <c r="A101" s="2323">
        <v>1999.02</v>
      </c>
      <c r="B101" s="2324">
        <v>97.691597504643283</v>
      </c>
      <c r="C101" s="2325">
        <v>108.56982899663741</v>
      </c>
    </row>
    <row r="102" spans="1:3">
      <c r="A102" s="2323">
        <v>1999.03</v>
      </c>
      <c r="B102" s="2324">
        <v>96.779495214224397</v>
      </c>
      <c r="C102" s="2325">
        <v>110.14078252741169</v>
      </c>
    </row>
    <row r="103" spans="1:3">
      <c r="A103" s="2323">
        <v>1999.04</v>
      </c>
      <c r="B103" s="2324">
        <v>98.476498601963485</v>
      </c>
      <c r="C103" s="2325">
        <v>111.12495675960857</v>
      </c>
    </row>
    <row r="104" spans="1:3">
      <c r="A104" s="2323">
        <v>1999.05</v>
      </c>
      <c r="B104" s="2324">
        <v>103.25182368670366</v>
      </c>
      <c r="C104" s="2325">
        <v>110.6529106049328</v>
      </c>
    </row>
    <row r="105" spans="1:3">
      <c r="A105" s="2323">
        <v>1999.06</v>
      </c>
      <c r="B105" s="2324">
        <v>105.8281800125023</v>
      </c>
      <c r="C105" s="2325">
        <v>111.83571180423581</v>
      </c>
    </row>
    <row r="106" spans="1:3">
      <c r="A106" s="2323">
        <v>1999.07</v>
      </c>
      <c r="B106" s="2324">
        <v>108.00840570381193</v>
      </c>
      <c r="C106" s="2325">
        <v>112.16130618838923</v>
      </c>
    </row>
    <row r="107" spans="1:3">
      <c r="A107" s="2323">
        <v>1999.08</v>
      </c>
      <c r="B107" s="2324">
        <v>111.40871479822162</v>
      </c>
      <c r="C107" s="2325">
        <v>113.99482423860195</v>
      </c>
    </row>
    <row r="108" spans="1:3">
      <c r="A108" s="2323">
        <v>1999.09</v>
      </c>
      <c r="B108" s="2324">
        <v>109.1433044903518</v>
      </c>
      <c r="C108" s="2325">
        <v>112.58915194285312</v>
      </c>
    </row>
    <row r="109" spans="1:3">
      <c r="A109" s="2323">
        <v>1999.1</v>
      </c>
      <c r="B109" s="2324">
        <v>114.80804163146597</v>
      </c>
      <c r="C109" s="2325">
        <v>116.30856974053</v>
      </c>
    </row>
    <row r="110" spans="1:3">
      <c r="A110" s="2323">
        <v>1999.11</v>
      </c>
      <c r="B110" s="2324">
        <v>118.45637287335892</v>
      </c>
      <c r="C110" s="2325">
        <v>117.62039651139125</v>
      </c>
    </row>
    <row r="111" spans="1:3">
      <c r="A111" s="2323">
        <v>1999.12</v>
      </c>
      <c r="B111" s="2324">
        <v>118.55112592418195</v>
      </c>
      <c r="C111" s="2325">
        <v>114.43626931665065</v>
      </c>
    </row>
    <row r="112" spans="1:3">
      <c r="A112" s="2323">
        <v>2000.01</v>
      </c>
      <c r="B112" s="2324">
        <v>116.66367232942792</v>
      </c>
      <c r="C112" s="2325">
        <v>109.11741643268498</v>
      </c>
    </row>
    <row r="113" spans="1:3">
      <c r="A113" s="2323">
        <v>2000.02</v>
      </c>
      <c r="B113" s="2324">
        <v>115.39079772033352</v>
      </c>
      <c r="C113" s="2325">
        <v>107.97020134650785</v>
      </c>
    </row>
    <row r="114" spans="1:3">
      <c r="A114" s="2323">
        <v>2000.03</v>
      </c>
      <c r="B114" s="2324">
        <v>114.76552087526957</v>
      </c>
      <c r="C114" s="2325">
        <v>107.26575608310688</v>
      </c>
    </row>
    <row r="115" spans="1:3">
      <c r="A115" s="2323">
        <v>2000.04</v>
      </c>
      <c r="B115" s="2324">
        <v>116.30935153335213</v>
      </c>
      <c r="C115" s="2325">
        <v>109.46604729872035</v>
      </c>
    </row>
    <row r="116" spans="1:3">
      <c r="A116" s="2323">
        <v>2000.05</v>
      </c>
      <c r="B116" s="2324">
        <v>113.22664965768018</v>
      </c>
      <c r="C116" s="2325">
        <v>107.81633302595606</v>
      </c>
    </row>
    <row r="117" spans="1:3">
      <c r="A117" s="2323">
        <v>2000.06</v>
      </c>
      <c r="B117" s="2324">
        <v>109.24492162573455</v>
      </c>
      <c r="C117" s="2325">
        <v>98.935554096949545</v>
      </c>
    </row>
    <row r="118" spans="1:3">
      <c r="A118" s="2323">
        <v>2000.07</v>
      </c>
      <c r="B118" s="2324">
        <v>104.81736261877889</v>
      </c>
      <c r="C118" s="2325">
        <v>93.950715606060825</v>
      </c>
    </row>
    <row r="119" spans="1:3">
      <c r="A119" s="2323">
        <v>2000.08</v>
      </c>
      <c r="B119" s="2324">
        <v>104.96384613464588</v>
      </c>
      <c r="C119" s="2325">
        <v>94.833153237104582</v>
      </c>
    </row>
    <row r="120" spans="1:3">
      <c r="A120" s="2323">
        <v>2000.09</v>
      </c>
      <c r="B120" s="2324">
        <v>104.95185475733692</v>
      </c>
      <c r="C120" s="2325">
        <v>94.335523294466071</v>
      </c>
    </row>
    <row r="121" spans="1:3">
      <c r="A121" s="2323">
        <v>2000.1</v>
      </c>
      <c r="B121" s="2324">
        <v>102.1140893157297</v>
      </c>
      <c r="C121" s="2325">
        <v>92.273102915331037</v>
      </c>
    </row>
    <row r="122" spans="1:3">
      <c r="A122" s="2323">
        <v>2000.11</v>
      </c>
      <c r="B122" s="2324">
        <v>100.46236495498445</v>
      </c>
      <c r="C122" s="2325">
        <v>93.983461882430902</v>
      </c>
    </row>
    <row r="123" spans="1:3">
      <c r="A123" s="2323">
        <v>2000.12</v>
      </c>
      <c r="B123" s="2324">
        <v>94.592965751876974</v>
      </c>
      <c r="C123" s="2325">
        <v>92.825945556058599</v>
      </c>
    </row>
    <row r="124" spans="1:3">
      <c r="A124" s="2323">
        <v>2001.01</v>
      </c>
      <c r="B124" s="2324">
        <v>94.31315609061447</v>
      </c>
      <c r="C124" s="2325">
        <v>97.023735892425293</v>
      </c>
    </row>
    <row r="125" spans="1:3">
      <c r="A125" s="2323">
        <v>2001.02</v>
      </c>
      <c r="B125" s="2324">
        <v>95.227680338497237</v>
      </c>
      <c r="C125" s="2325">
        <v>93.16732055463207</v>
      </c>
    </row>
    <row r="126" spans="1:3">
      <c r="A126" s="2323">
        <v>2001.03</v>
      </c>
      <c r="B126" s="2324">
        <v>93.635819169962531</v>
      </c>
      <c r="C126" s="2325">
        <v>95.574634670600091</v>
      </c>
    </row>
    <row r="127" spans="1:3">
      <c r="A127" s="2323">
        <v>2001.04</v>
      </c>
      <c r="B127" s="2324">
        <v>92.846071109125489</v>
      </c>
      <c r="C127" s="2325">
        <v>91.017733807706634</v>
      </c>
    </row>
    <row r="128" spans="1:3">
      <c r="A128" s="2323">
        <v>2001.05</v>
      </c>
      <c r="B128" s="2324">
        <v>91.101282339102866</v>
      </c>
      <c r="C128" s="2325">
        <v>90.056682599117096</v>
      </c>
    </row>
    <row r="129" spans="1:3">
      <c r="A129" s="2323">
        <v>2001.06</v>
      </c>
      <c r="B129" s="2324">
        <v>92.206739890802879</v>
      </c>
      <c r="C129" s="2325">
        <v>93.055896122910099</v>
      </c>
    </row>
    <row r="130" spans="1:3">
      <c r="A130" s="2323">
        <v>2001.07</v>
      </c>
      <c r="B130" s="2324">
        <v>95.313116210110934</v>
      </c>
      <c r="C130" s="2325">
        <v>95.776391791295026</v>
      </c>
    </row>
    <row r="131" spans="1:3">
      <c r="A131" s="2323">
        <v>2001.08</v>
      </c>
      <c r="B131" s="2324">
        <v>93.098188967132558</v>
      </c>
      <c r="C131" s="2325">
        <v>92.148643556309452</v>
      </c>
    </row>
    <row r="132" spans="1:3">
      <c r="A132" s="2323">
        <v>2001.09</v>
      </c>
      <c r="B132" s="2324">
        <v>92.690882200432171</v>
      </c>
      <c r="C132" s="2325">
        <v>93.518910788236724</v>
      </c>
    </row>
    <row r="133" spans="1:3">
      <c r="A133" s="2323">
        <v>2001.1</v>
      </c>
      <c r="B133" s="2324">
        <v>84.458546779687964</v>
      </c>
      <c r="C133" s="2325">
        <v>91.624151454391978</v>
      </c>
    </row>
    <row r="134" spans="1:3">
      <c r="A134" s="2323">
        <v>2001.11</v>
      </c>
      <c r="B134" s="2324">
        <v>84.493021148725589</v>
      </c>
      <c r="C134" s="2325">
        <v>86.194228519981507</v>
      </c>
    </row>
    <row r="135" spans="1:3">
      <c r="A135" s="2323">
        <v>2001.12</v>
      </c>
      <c r="B135" s="2324">
        <v>89.089837739300037</v>
      </c>
      <c r="C135" s="2325">
        <v>91.609217894669584</v>
      </c>
    </row>
    <row r="136" spans="1:3">
      <c r="A136" s="2323">
        <v>2002.01</v>
      </c>
      <c r="B136" s="2324">
        <v>95.258050992634182</v>
      </c>
      <c r="C136" s="2325">
        <v>97.224449672795075</v>
      </c>
    </row>
    <row r="137" spans="1:3">
      <c r="A137" s="2323">
        <v>2002.02</v>
      </c>
      <c r="B137" s="2324">
        <v>98.290319943049511</v>
      </c>
      <c r="C137" s="2325">
        <v>99.552224260477374</v>
      </c>
    </row>
    <row r="138" spans="1:3">
      <c r="A138" s="2323">
        <v>2002.03</v>
      </c>
      <c r="B138" s="2324">
        <v>103.35171434273553</v>
      </c>
      <c r="C138" s="2325">
        <v>103.51942046250372</v>
      </c>
    </row>
    <row r="139" spans="1:3">
      <c r="A139" s="2323">
        <v>2002.04</v>
      </c>
      <c r="B139" s="2324">
        <v>110.84862375405589</v>
      </c>
      <c r="C139" s="2325">
        <v>106.66380099426726</v>
      </c>
    </row>
    <row r="140" spans="1:3">
      <c r="A140" s="2323">
        <v>2002.05</v>
      </c>
      <c r="B140" s="2324">
        <v>112.0798891137447</v>
      </c>
      <c r="C140" s="2325">
        <v>108.78663744748523</v>
      </c>
    </row>
    <row r="141" spans="1:3">
      <c r="A141" s="2323">
        <v>2002.06</v>
      </c>
      <c r="B141" s="2324">
        <v>111.77164541985869</v>
      </c>
      <c r="C141" s="2325">
        <v>108.48678071547153</v>
      </c>
    </row>
    <row r="142" spans="1:3">
      <c r="A142" s="2323">
        <v>2002.07</v>
      </c>
      <c r="B142" s="2324">
        <v>111.26070812206672</v>
      </c>
      <c r="C142" s="2325">
        <v>107.83278638653164</v>
      </c>
    </row>
    <row r="143" spans="1:3">
      <c r="A143" s="2323">
        <v>2002.08</v>
      </c>
      <c r="B143" s="2324">
        <v>106.71044328099227</v>
      </c>
      <c r="C143" s="2325">
        <v>104.96800642469519</v>
      </c>
    </row>
    <row r="144" spans="1:3">
      <c r="A144" s="2323">
        <v>2002.09</v>
      </c>
      <c r="B144" s="2324">
        <v>106.25163378837566</v>
      </c>
      <c r="C144" s="2325">
        <v>101.09723278247684</v>
      </c>
    </row>
    <row r="145" spans="1:3">
      <c r="A145" s="2323">
        <v>2002.1</v>
      </c>
      <c r="B145" s="2324">
        <v>110.10169176530799</v>
      </c>
      <c r="C145" s="2325">
        <v>106.31738454217918</v>
      </c>
    </row>
    <row r="146" spans="1:3">
      <c r="A146" s="2323">
        <v>2002.11</v>
      </c>
      <c r="B146" s="2324">
        <v>111.02199168689043</v>
      </c>
      <c r="C146" s="2325">
        <v>110.53179891329393</v>
      </c>
    </row>
    <row r="147" spans="1:3">
      <c r="A147" s="2323">
        <v>2002.12</v>
      </c>
      <c r="B147" s="2324">
        <v>109.46112577869557</v>
      </c>
      <c r="C147" s="2325">
        <v>109.46106735428695</v>
      </c>
    </row>
    <row r="148" spans="1:3">
      <c r="A148" s="2323">
        <v>2003.01</v>
      </c>
      <c r="B148" s="2324">
        <v>106.75132723304273</v>
      </c>
      <c r="C148" s="2325">
        <v>100.64732108863359</v>
      </c>
    </row>
    <row r="149" spans="1:3">
      <c r="A149" s="2323">
        <v>2003.02</v>
      </c>
      <c r="B149" s="2324">
        <v>104.50306058413551</v>
      </c>
      <c r="C149" s="2325">
        <v>101.54522886305944</v>
      </c>
    </row>
    <row r="150" spans="1:3">
      <c r="A150" s="2323">
        <v>2003.03</v>
      </c>
      <c r="B150" s="2324">
        <v>102.10137362027076</v>
      </c>
      <c r="C150" s="2325">
        <v>99.423459960932888</v>
      </c>
    </row>
    <row r="151" spans="1:3">
      <c r="A151" s="2323">
        <v>2003.04</v>
      </c>
      <c r="B151" s="2324">
        <v>93.947028126037196</v>
      </c>
      <c r="C151" s="2325">
        <v>91.896763624275764</v>
      </c>
    </row>
    <row r="152" spans="1:3">
      <c r="A152" s="2323">
        <v>2003.05</v>
      </c>
      <c r="B152" s="2324">
        <v>93.57408477418781</v>
      </c>
      <c r="C152" s="2325">
        <v>89.013194972483717</v>
      </c>
    </row>
    <row r="153" spans="1:3">
      <c r="A153" s="2323">
        <v>2003.06</v>
      </c>
      <c r="B153" s="2324">
        <v>93.998955782711761</v>
      </c>
      <c r="C153" s="2325">
        <v>89.41696035274569</v>
      </c>
    </row>
    <row r="154" spans="1:3">
      <c r="A154" s="2323">
        <v>2003.07</v>
      </c>
      <c r="B154" s="2324">
        <v>96.250342568768488</v>
      </c>
      <c r="C154" s="2325">
        <v>95.324152899884069</v>
      </c>
    </row>
    <row r="155" spans="1:3">
      <c r="A155" s="2323">
        <v>2003.08</v>
      </c>
      <c r="B155" s="2324">
        <v>99.096622656758015</v>
      </c>
      <c r="C155" s="2325">
        <v>99.544601506628013</v>
      </c>
    </row>
    <row r="156" spans="1:3">
      <c r="A156" s="2323">
        <v>2003.09</v>
      </c>
      <c r="B156" s="2324">
        <v>103.07159396136439</v>
      </c>
      <c r="C156" s="2325">
        <v>106.85629832601323</v>
      </c>
    </row>
    <row r="157" spans="1:3">
      <c r="A157" s="2323">
        <v>2003.1</v>
      </c>
      <c r="B157" s="2324">
        <v>104.27955222991946</v>
      </c>
      <c r="C157" s="2325">
        <v>105.06209470253113</v>
      </c>
    </row>
    <row r="158" spans="1:3">
      <c r="A158" s="2323">
        <v>2003.11</v>
      </c>
      <c r="B158" s="2324">
        <v>107.60675773936308</v>
      </c>
      <c r="C158" s="2325">
        <v>108.85311180713599</v>
      </c>
    </row>
    <row r="159" spans="1:3">
      <c r="A159" s="2323">
        <v>2003.12</v>
      </c>
      <c r="B159" s="2324">
        <v>109.10793065924963</v>
      </c>
      <c r="C159" s="2325">
        <v>105.8205582908397</v>
      </c>
    </row>
    <row r="160" spans="1:3">
      <c r="A160" s="2323">
        <v>2004.01</v>
      </c>
      <c r="B160" s="2324">
        <v>111.25689815633892</v>
      </c>
      <c r="C160" s="2325">
        <v>107.98568472633279</v>
      </c>
    </row>
    <row r="161" spans="1:3">
      <c r="A161" s="2323">
        <v>2004.02</v>
      </c>
      <c r="B161" s="2324">
        <v>111.4810000186597</v>
      </c>
      <c r="C161" s="2325">
        <v>107.55779863747745</v>
      </c>
    </row>
    <row r="162" spans="1:3">
      <c r="A162" s="2323">
        <v>2004.03</v>
      </c>
      <c r="B162" s="2324">
        <v>109.83555074999349</v>
      </c>
      <c r="C162" s="2325">
        <v>108.49713180057466</v>
      </c>
    </row>
    <row r="163" spans="1:3">
      <c r="A163" s="2323">
        <v>2004.04</v>
      </c>
      <c r="B163" s="2324">
        <v>111.41571620998914</v>
      </c>
      <c r="C163" s="2325">
        <v>111.11889009113793</v>
      </c>
    </row>
    <row r="164" spans="1:3">
      <c r="A164" s="2323">
        <v>2004.05</v>
      </c>
      <c r="B164" s="2324">
        <v>115.13608794166097</v>
      </c>
      <c r="C164" s="2325">
        <v>116.61323500771147</v>
      </c>
    </row>
    <row r="165" spans="1:3">
      <c r="A165" s="2323">
        <v>2004.06</v>
      </c>
      <c r="B165" s="2324">
        <v>113.49141169559277</v>
      </c>
      <c r="C165" s="2325">
        <v>114.4789923197895</v>
      </c>
    </row>
    <row r="166" spans="1:3">
      <c r="A166" s="2323">
        <v>2004.07</v>
      </c>
      <c r="B166" s="2324">
        <v>113.12355259156364</v>
      </c>
      <c r="C166" s="2325">
        <v>110.98653725413557</v>
      </c>
    </row>
    <row r="167" spans="1:3">
      <c r="A167" s="2323">
        <v>2004.08</v>
      </c>
      <c r="B167" s="2324">
        <v>111.84345035260142</v>
      </c>
      <c r="C167" s="2325">
        <v>110.70120486549716</v>
      </c>
    </row>
    <row r="168" spans="1:3">
      <c r="A168" s="2323">
        <v>2004.09</v>
      </c>
      <c r="B168" s="2324">
        <v>109.02675216374635</v>
      </c>
      <c r="C168" s="2325">
        <v>106.86273762217306</v>
      </c>
    </row>
    <row r="169" spans="1:3">
      <c r="A169" s="2323">
        <v>2004.1</v>
      </c>
      <c r="B169" s="2324">
        <v>108.92678372080606</v>
      </c>
      <c r="C169" s="2325">
        <v>103.74963805657858</v>
      </c>
    </row>
    <row r="170" spans="1:3">
      <c r="A170" s="2323">
        <v>2004.11</v>
      </c>
      <c r="B170" s="2324">
        <v>105.53518804655853</v>
      </c>
      <c r="C170" s="2325">
        <v>100.44232012205291</v>
      </c>
    </row>
    <row r="171" spans="1:3">
      <c r="A171" s="2323">
        <v>2004.12</v>
      </c>
      <c r="B171" s="2324">
        <v>101.87253495267458</v>
      </c>
      <c r="C171" s="2325">
        <v>99.200957336111131</v>
      </c>
    </row>
    <row r="172" spans="1:3">
      <c r="A172" s="2323">
        <v>2005.01</v>
      </c>
      <c r="B172" s="2324">
        <v>100.48664903955596</v>
      </c>
      <c r="C172" s="2325">
        <v>97.867347839195816</v>
      </c>
    </row>
    <row r="173" spans="1:3">
      <c r="A173" s="2323">
        <v>2005.02</v>
      </c>
      <c r="B173" s="2324">
        <v>104.00798707068205</v>
      </c>
      <c r="C173" s="2325">
        <v>99.66276002308966</v>
      </c>
    </row>
    <row r="174" spans="1:3">
      <c r="A174" s="2323">
        <v>2005.03</v>
      </c>
      <c r="B174" s="2324">
        <v>104.81189111521775</v>
      </c>
      <c r="C174" s="2325">
        <v>96.968671014381442</v>
      </c>
    </row>
    <row r="175" spans="1:3">
      <c r="A175" s="2323">
        <v>2005.04</v>
      </c>
      <c r="B175" s="2324">
        <v>104.60098269516185</v>
      </c>
      <c r="C175" s="2325">
        <v>97.547982126561976</v>
      </c>
    </row>
    <row r="176" spans="1:3">
      <c r="A176" s="2323">
        <v>2005.05</v>
      </c>
      <c r="B176" s="2324">
        <v>98.606588458161823</v>
      </c>
      <c r="C176" s="2325">
        <v>91.572114434659653</v>
      </c>
    </row>
    <row r="177" spans="1:3">
      <c r="A177" s="2323">
        <v>2005.06</v>
      </c>
      <c r="B177" s="2324">
        <v>98.159791325709179</v>
      </c>
      <c r="C177" s="2325">
        <v>92.553443629601048</v>
      </c>
    </row>
    <row r="178" spans="1:3">
      <c r="A178" s="2323">
        <v>2005.07</v>
      </c>
      <c r="B178" s="2324">
        <v>97.891726966404434</v>
      </c>
      <c r="C178" s="2325">
        <v>92.086068926021511</v>
      </c>
    </row>
    <row r="179" spans="1:3">
      <c r="A179" s="2323">
        <v>2005.08</v>
      </c>
      <c r="B179" s="2324">
        <v>98.026634032422493</v>
      </c>
      <c r="C179" s="2325">
        <v>94.941883562871908</v>
      </c>
    </row>
    <row r="180" spans="1:3">
      <c r="A180" s="2323">
        <v>2005.09</v>
      </c>
      <c r="B180" s="2324">
        <v>100.02072692074239</v>
      </c>
      <c r="C180" s="2325">
        <v>95.703398879030743</v>
      </c>
    </row>
    <row r="181" spans="1:3">
      <c r="A181" s="2323">
        <v>2005.1</v>
      </c>
      <c r="B181" s="2324">
        <v>101.01270008054692</v>
      </c>
      <c r="C181" s="2325">
        <v>97.311810293658056</v>
      </c>
    </row>
    <row r="182" spans="1:3">
      <c r="A182" s="2323">
        <v>2005.11</v>
      </c>
      <c r="B182" s="2324">
        <v>101.91476258012869</v>
      </c>
      <c r="C182" s="2325">
        <v>96.053514599425114</v>
      </c>
    </row>
    <row r="183" spans="1:3">
      <c r="A183" s="2323">
        <v>2005.12</v>
      </c>
      <c r="B183" s="2324">
        <v>102.76819226414247</v>
      </c>
      <c r="C183" s="2325">
        <v>95.312862821317452</v>
      </c>
    </row>
    <row r="184" spans="1:3">
      <c r="A184" s="2323">
        <v>2006.01</v>
      </c>
      <c r="B184" s="2324">
        <v>105.00843938142927</v>
      </c>
      <c r="C184" s="2325">
        <v>98.018293880399753</v>
      </c>
    </row>
    <row r="185" spans="1:3">
      <c r="A185" s="2323">
        <v>2006.02</v>
      </c>
      <c r="B185" s="2324">
        <v>104.82486369646189</v>
      </c>
      <c r="C185" s="2325">
        <v>97.399609593173821</v>
      </c>
    </row>
    <row r="186" spans="1:3">
      <c r="A186" s="2323">
        <v>2006.03</v>
      </c>
      <c r="B186" s="2324">
        <v>105.17843887876165</v>
      </c>
      <c r="C186" s="2325">
        <v>99.446650916095876</v>
      </c>
    </row>
    <row r="187" spans="1:3">
      <c r="A187" s="2323">
        <v>2006.04</v>
      </c>
      <c r="B187" s="2324">
        <v>107.13944468354426</v>
      </c>
      <c r="C187" s="2325">
        <v>100.05407078880954</v>
      </c>
    </row>
    <row r="188" spans="1:3">
      <c r="A188" s="2323">
        <v>2006.05</v>
      </c>
      <c r="B188" s="2324">
        <v>109.35853035722924</v>
      </c>
      <c r="C188" s="2325">
        <v>104.76003050683096</v>
      </c>
    </row>
    <row r="189" spans="1:3">
      <c r="A189" s="2323">
        <v>2006.06</v>
      </c>
      <c r="B189" s="2324">
        <v>107.71675284817572</v>
      </c>
      <c r="C189" s="2325">
        <v>103.70220503986134</v>
      </c>
    </row>
    <row r="190" spans="1:3">
      <c r="A190" s="2323">
        <v>2006.07</v>
      </c>
      <c r="B190" s="2324">
        <v>108.58231943966807</v>
      </c>
      <c r="C190" s="2325">
        <v>104.82293612563353</v>
      </c>
    </row>
    <row r="191" spans="1:3">
      <c r="A191" s="2323">
        <v>2006.08</v>
      </c>
      <c r="B191" s="2324">
        <v>106.99064622913426</v>
      </c>
      <c r="C191" s="2325">
        <v>102.89766581485364</v>
      </c>
    </row>
    <row r="192" spans="1:3">
      <c r="A192" s="2323">
        <v>2006.09</v>
      </c>
      <c r="B192" s="2324">
        <v>105.06745923062309</v>
      </c>
      <c r="C192" s="2325">
        <v>101.37155581263394</v>
      </c>
    </row>
    <row r="193" spans="1:3">
      <c r="A193" s="2323">
        <v>2006.1</v>
      </c>
      <c r="B193" s="2324">
        <v>105.57453670681546</v>
      </c>
      <c r="C193" s="2325">
        <v>102.08712477048823</v>
      </c>
    </row>
    <row r="194" spans="1:3">
      <c r="A194" s="2323">
        <v>2006.11</v>
      </c>
      <c r="B194" s="2324">
        <v>107.33247204033748</v>
      </c>
      <c r="C194" s="2325">
        <v>103.99560527855908</v>
      </c>
    </row>
    <row r="195" spans="1:3">
      <c r="A195" s="2323">
        <v>2006.12</v>
      </c>
      <c r="B195" s="2324">
        <v>108.51378850618801</v>
      </c>
      <c r="C195" s="2325">
        <v>106.45911108574592</v>
      </c>
    </row>
    <row r="196" spans="1:3">
      <c r="A196" s="2323">
        <v>2007.01</v>
      </c>
      <c r="B196" s="2324">
        <v>108.6033454527313</v>
      </c>
      <c r="C196" s="2325">
        <v>105.56982348019005</v>
      </c>
    </row>
    <row r="197" spans="1:3">
      <c r="A197" s="2323">
        <v>2007.02</v>
      </c>
      <c r="B197" s="2324">
        <v>107.68436656652199</v>
      </c>
      <c r="C197" s="2325">
        <v>104.83725135392658</v>
      </c>
    </row>
    <row r="198" spans="1:3">
      <c r="A198" s="2323">
        <v>2007.03</v>
      </c>
      <c r="B198" s="2324">
        <v>109.32702015093889</v>
      </c>
      <c r="C198" s="2325">
        <v>105.77133016359036</v>
      </c>
    </row>
    <row r="199" spans="1:3">
      <c r="A199" s="2323">
        <v>2007.04</v>
      </c>
      <c r="B199" s="2324">
        <v>108.59517856231767</v>
      </c>
      <c r="C199" s="2325">
        <v>103.65131687677953</v>
      </c>
    </row>
    <row r="200" spans="1:3">
      <c r="A200" s="2323">
        <v>2007.05</v>
      </c>
      <c r="B200" s="2324">
        <v>104.63884207070092</v>
      </c>
      <c r="C200" s="2325">
        <v>100.46518154512172</v>
      </c>
    </row>
    <row r="201" spans="1:3">
      <c r="A201" s="2323">
        <v>2007.06</v>
      </c>
      <c r="B201" s="2324">
        <v>105.79456749729074</v>
      </c>
      <c r="C201" s="2325">
        <v>97.27725257963327</v>
      </c>
    </row>
    <row r="202" spans="1:3">
      <c r="A202" s="2323">
        <v>2007.07</v>
      </c>
      <c r="B202" s="2324">
        <v>106.46447244098934</v>
      </c>
      <c r="C202" s="2325">
        <v>97.056621144408027</v>
      </c>
    </row>
    <row r="203" spans="1:3">
      <c r="A203" s="2323">
        <v>2007.08</v>
      </c>
      <c r="B203" s="2324">
        <v>106.56066236710103</v>
      </c>
      <c r="C203" s="2325">
        <v>96.52961876455808</v>
      </c>
    </row>
    <row r="204" spans="1:3">
      <c r="A204" s="2323">
        <v>2007.09</v>
      </c>
      <c r="B204" s="2324">
        <v>105.25964255235267</v>
      </c>
      <c r="C204" s="2325">
        <v>99.969295515931748</v>
      </c>
    </row>
    <row r="205" spans="1:3">
      <c r="A205" s="2323">
        <v>2007.1</v>
      </c>
      <c r="B205" s="2324">
        <v>107.09744539202266</v>
      </c>
      <c r="C205" s="2325">
        <v>99.067979713526285</v>
      </c>
    </row>
    <row r="206" spans="1:3">
      <c r="A206" s="2323">
        <v>2007.11</v>
      </c>
      <c r="B206" s="2324">
        <v>105.34862260387503</v>
      </c>
      <c r="C206" s="2325">
        <v>99.337119669610672</v>
      </c>
    </row>
    <row r="207" spans="1:3">
      <c r="A207" s="2323">
        <v>2007.12</v>
      </c>
      <c r="B207" s="2324">
        <v>105.21478525074963</v>
      </c>
      <c r="C207" s="2325">
        <v>99.661261349527024</v>
      </c>
    </row>
    <row r="208" spans="1:3">
      <c r="A208" s="2323">
        <v>2008.01</v>
      </c>
      <c r="B208" s="2324">
        <v>104.33705175076508</v>
      </c>
      <c r="C208" s="2325">
        <v>100.64410643412802</v>
      </c>
    </row>
    <row r="209" spans="1:3">
      <c r="A209" s="2323">
        <v>2008.02</v>
      </c>
      <c r="B209" s="2324">
        <v>100.07035123099432</v>
      </c>
      <c r="C209" s="2325">
        <v>98.115486112246444</v>
      </c>
    </row>
    <row r="210" spans="1:3">
      <c r="A210" s="2323">
        <v>2008.03</v>
      </c>
      <c r="B210" s="2324">
        <v>95.047004569231206</v>
      </c>
      <c r="C210" s="2325">
        <v>92.523125450544171</v>
      </c>
    </row>
    <row r="211" spans="1:3">
      <c r="A211" s="2323">
        <v>2008.04</v>
      </c>
      <c r="B211" s="2324">
        <v>96.727097925662306</v>
      </c>
      <c r="C211" s="2325">
        <v>91.349739393937696</v>
      </c>
    </row>
    <row r="212" spans="1:3">
      <c r="A212" s="2323">
        <v>2008.05</v>
      </c>
      <c r="B212" s="2324">
        <v>94.007229433955061</v>
      </c>
      <c r="C212" s="2325">
        <v>86.308290496604485</v>
      </c>
    </row>
    <row r="213" spans="1:3">
      <c r="A213" s="2323">
        <v>2008.06</v>
      </c>
      <c r="B213" s="2324">
        <v>92.706594250808735</v>
      </c>
      <c r="C213" s="2325">
        <v>88.064178524182836</v>
      </c>
    </row>
    <row r="214" spans="1:3">
      <c r="A214" s="2323">
        <v>2008.07</v>
      </c>
      <c r="B214" s="2324">
        <v>90.77862218164006</v>
      </c>
      <c r="C214" s="2325">
        <v>84.190136256267266</v>
      </c>
    </row>
    <row r="215" spans="1:3">
      <c r="A215" s="2323">
        <v>2008.08</v>
      </c>
      <c r="B215" s="2324">
        <v>86.341195554405616</v>
      </c>
      <c r="C215" s="2325">
        <v>82.785530030456158</v>
      </c>
    </row>
    <row r="216" spans="1:3">
      <c r="A216" s="2323">
        <v>2008.09</v>
      </c>
      <c r="B216" s="2324">
        <v>87.058515171673918</v>
      </c>
      <c r="C216" s="2325">
        <v>82.701705566009807</v>
      </c>
    </row>
    <row r="217" spans="1:3">
      <c r="A217" s="2323">
        <v>2008.1</v>
      </c>
      <c r="B217" s="2324">
        <v>83.973972137865729</v>
      </c>
      <c r="C217" s="2325">
        <v>82.102787475423753</v>
      </c>
    </row>
    <row r="218" spans="1:3">
      <c r="A218" s="2323">
        <v>2008.11</v>
      </c>
      <c r="B218" s="2324">
        <v>69.018048487973005</v>
      </c>
      <c r="C218" s="2325">
        <v>66.330153193337793</v>
      </c>
    </row>
    <row r="219" spans="1:3">
      <c r="A219" s="2323">
        <v>2008.12</v>
      </c>
      <c r="B219" s="2324">
        <v>57.577083796393651</v>
      </c>
      <c r="C219" s="2325">
        <v>52.382459965304548</v>
      </c>
    </row>
    <row r="220" spans="1:3">
      <c r="A220" s="2323">
        <v>2009.01</v>
      </c>
      <c r="B220" s="2324">
        <v>52.81061780468842</v>
      </c>
      <c r="C220" s="2325">
        <v>50.337995838736006</v>
      </c>
    </row>
    <row r="221" spans="1:3">
      <c r="A221" s="2323">
        <v>2009.02</v>
      </c>
      <c r="B221" s="2324">
        <v>57.781268180704501</v>
      </c>
      <c r="C221" s="2325">
        <v>60.407943766802816</v>
      </c>
    </row>
    <row r="222" spans="1:3">
      <c r="A222" s="2323">
        <v>2009.03</v>
      </c>
      <c r="B222" s="2324">
        <v>57.966907800767657</v>
      </c>
      <c r="C222" s="2325">
        <v>67.784160666781901</v>
      </c>
    </row>
    <row r="223" spans="1:3">
      <c r="A223" s="2323">
        <v>2009.04</v>
      </c>
      <c r="B223" s="2324">
        <v>62.2607401427654</v>
      </c>
      <c r="C223" s="2325">
        <v>74.701432334730896</v>
      </c>
    </row>
    <row r="224" spans="1:3">
      <c r="A224" s="2323">
        <v>2009.05</v>
      </c>
      <c r="B224" s="2324">
        <v>71.909015900592919</v>
      </c>
      <c r="C224" s="2325">
        <v>88.96783876443709</v>
      </c>
    </row>
    <row r="225" spans="1:3">
      <c r="A225" s="2323">
        <v>2009.06</v>
      </c>
      <c r="B225" s="2324">
        <v>76.043863261887026</v>
      </c>
      <c r="C225" s="2325">
        <v>101.00261920748497</v>
      </c>
    </row>
    <row r="226" spans="1:3">
      <c r="A226" s="2323">
        <v>2009.07</v>
      </c>
      <c r="B226" s="2324">
        <v>84.619184116580016</v>
      </c>
      <c r="C226" s="2325">
        <v>109.48440231158486</v>
      </c>
    </row>
    <row r="227" spans="1:3">
      <c r="A227" s="2323">
        <v>2009.08</v>
      </c>
      <c r="B227" s="2324">
        <v>92.602949994973827</v>
      </c>
      <c r="C227" s="2325">
        <v>114.1483573101192</v>
      </c>
    </row>
    <row r="228" spans="1:3">
      <c r="A228" s="2323">
        <v>2009.09</v>
      </c>
      <c r="B228" s="2324">
        <v>97.608162967430403</v>
      </c>
      <c r="C228" s="2325">
        <v>117.3051647509445</v>
      </c>
    </row>
    <row r="229" spans="1:3">
      <c r="A229" s="2323">
        <v>2009.1</v>
      </c>
      <c r="B229" s="2324">
        <v>103.26647777225224</v>
      </c>
      <c r="C229" s="2325">
        <v>118.57367131598188</v>
      </c>
    </row>
    <row r="230" spans="1:3">
      <c r="A230" s="2323">
        <v>2009.11</v>
      </c>
      <c r="B230" s="2324">
        <v>113.29250484880498</v>
      </c>
      <c r="C230" s="2325">
        <v>133.34694160351813</v>
      </c>
    </row>
    <row r="231" spans="1:3">
      <c r="A231" s="2323">
        <v>2009.12</v>
      </c>
      <c r="B231" s="2324">
        <v>118.59760951550898</v>
      </c>
      <c r="C231" s="2325">
        <v>139.79318863101599</v>
      </c>
    </row>
    <row r="232" spans="1:3">
      <c r="A232" s="2323">
        <v>2010.01</v>
      </c>
      <c r="B232" s="2324">
        <v>125.89459918725143</v>
      </c>
      <c r="C232" s="2325">
        <v>144.13472738497566</v>
      </c>
    </row>
    <row r="233" spans="1:3">
      <c r="A233" s="2323">
        <v>2010.02</v>
      </c>
      <c r="B233" s="2324">
        <v>130.37938838181483</v>
      </c>
      <c r="C233" s="2325">
        <v>140.4839538558449</v>
      </c>
    </row>
    <row r="234" spans="1:3">
      <c r="A234" s="2323">
        <v>2010.03</v>
      </c>
      <c r="B234" s="2324">
        <v>130.50536057383385</v>
      </c>
      <c r="C234" s="2325">
        <v>135.52335787162508</v>
      </c>
    </row>
    <row r="235" spans="1:3">
      <c r="A235" s="2323">
        <v>2010.04</v>
      </c>
      <c r="B235" s="2324">
        <v>133.10706150614374</v>
      </c>
      <c r="C235" s="2325">
        <v>133.74107373388566</v>
      </c>
    </row>
    <row r="236" spans="1:3">
      <c r="A236" s="2323">
        <v>2010.05</v>
      </c>
      <c r="B236" s="2324">
        <v>132.70139179785389</v>
      </c>
      <c r="C236" s="2325">
        <v>129.51334213408751</v>
      </c>
    </row>
    <row r="237" spans="1:3">
      <c r="A237" s="2323">
        <v>2010.06</v>
      </c>
      <c r="B237" s="2324">
        <v>128.4261903255518</v>
      </c>
      <c r="C237" s="2325">
        <v>120.17064077910567</v>
      </c>
    </row>
    <row r="238" spans="1:3">
      <c r="A238" s="2323">
        <v>2010.07</v>
      </c>
      <c r="B238" s="2324">
        <v>124.69583472565772</v>
      </c>
      <c r="C238" s="2325">
        <v>114.04983725255518</v>
      </c>
    </row>
    <row r="239" spans="1:3">
      <c r="A239" s="2323">
        <v>2010.08</v>
      </c>
      <c r="B239" s="2324">
        <v>121.60743451745101</v>
      </c>
      <c r="C239" s="2325">
        <v>109.03066997899531</v>
      </c>
    </row>
    <row r="240" spans="1:3">
      <c r="A240" s="2323">
        <v>2010.09</v>
      </c>
      <c r="B240" s="2324">
        <v>119.02726903672615</v>
      </c>
      <c r="C240" s="2325">
        <v>104.5964257519534</v>
      </c>
    </row>
    <row r="241" spans="1:3">
      <c r="A241" s="2323">
        <v>2010.1</v>
      </c>
      <c r="B241" s="2324">
        <v>117.13940918441466</v>
      </c>
      <c r="C241" s="2325">
        <v>102.43700102240538</v>
      </c>
    </row>
    <row r="242" spans="1:3">
      <c r="A242" s="2323">
        <v>2010.11</v>
      </c>
      <c r="B242" s="2324">
        <v>116.69172699238277</v>
      </c>
      <c r="C242" s="2325">
        <v>102.47391442696107</v>
      </c>
    </row>
    <row r="243" spans="1:3">
      <c r="A243" s="2323">
        <v>2010.12</v>
      </c>
      <c r="B243" s="2324">
        <v>116.83732887624851</v>
      </c>
      <c r="C243" s="2325">
        <v>102.33805038265767</v>
      </c>
    </row>
    <row r="244" spans="1:3">
      <c r="A244" s="2323">
        <v>2011.01</v>
      </c>
      <c r="B244" s="2324">
        <v>116.39751937731475</v>
      </c>
      <c r="C244" s="2325">
        <v>99.801859622026242</v>
      </c>
    </row>
    <row r="245" spans="1:3">
      <c r="A245" s="2323">
        <v>2011.02</v>
      </c>
      <c r="B245" s="2324">
        <v>113.52640102548796</v>
      </c>
      <c r="C245" s="2325">
        <v>101.19542262570297</v>
      </c>
    </row>
    <row r="246" spans="1:3">
      <c r="A246" s="2323">
        <v>2011.03</v>
      </c>
      <c r="B246" s="2324">
        <v>112.37336599345097</v>
      </c>
      <c r="C246" s="2325">
        <v>101.11894432740718</v>
      </c>
    </row>
    <row r="247" spans="1:3">
      <c r="A247" s="2323">
        <v>2011.04</v>
      </c>
      <c r="B247" s="2324">
        <v>108.75673089306437</v>
      </c>
      <c r="C247" s="2325">
        <v>97.599783602246291</v>
      </c>
    </row>
    <row r="248" spans="1:3">
      <c r="A248" s="2323">
        <v>2011.05</v>
      </c>
      <c r="B248" s="2324">
        <v>105.20797376559244</v>
      </c>
      <c r="C248" s="2325">
        <v>96.247072456148018</v>
      </c>
    </row>
    <row r="249" spans="1:3">
      <c r="A249" s="2323">
        <v>2011.06</v>
      </c>
      <c r="B249" s="2324">
        <v>104.36396941454713</v>
      </c>
      <c r="C249" s="2325">
        <v>95.265476943895095</v>
      </c>
    </row>
    <row r="250" spans="1:3">
      <c r="A250" s="2323">
        <v>2011.07</v>
      </c>
      <c r="B250" s="2324">
        <v>104.51773205645146</v>
      </c>
      <c r="C250" s="2325">
        <v>95.420690044170371</v>
      </c>
    </row>
    <row r="251" spans="1:3">
      <c r="A251" s="2323">
        <v>2011.08</v>
      </c>
      <c r="B251" s="2324">
        <v>103.43109818396987</v>
      </c>
      <c r="C251" s="2325">
        <v>95.274853018237209</v>
      </c>
    </row>
    <row r="252" spans="1:3">
      <c r="A252" s="2323">
        <v>2011.09</v>
      </c>
      <c r="B252" s="2324">
        <v>98.758280840874164</v>
      </c>
      <c r="C252" s="2325">
        <v>93.528710770739494</v>
      </c>
    </row>
    <row r="253" spans="1:3">
      <c r="A253" s="2323">
        <v>2011.1</v>
      </c>
      <c r="B253" s="2324">
        <v>98.256645109622454</v>
      </c>
      <c r="C253" s="2325">
        <v>92.368953230691702</v>
      </c>
    </row>
    <row r="254" spans="1:3">
      <c r="A254" s="2323">
        <v>2011.11</v>
      </c>
      <c r="B254" s="2324">
        <v>96.631071659047791</v>
      </c>
      <c r="C254" s="2325">
        <v>87.037577828374623</v>
      </c>
    </row>
    <row r="255" spans="1:3">
      <c r="A255" s="2323">
        <v>2011.12</v>
      </c>
      <c r="B255" s="2324">
        <v>95.12661677357967</v>
      </c>
      <c r="C255" s="2325">
        <v>86.524175712753703</v>
      </c>
    </row>
    <row r="256" spans="1:3">
      <c r="A256" s="2323">
        <v>2012.01</v>
      </c>
      <c r="B256" s="2324">
        <v>94.001283122938091</v>
      </c>
      <c r="C256" s="2325">
        <v>86.346548319645805</v>
      </c>
    </row>
    <row r="257" spans="1:3">
      <c r="A257" s="2323">
        <v>2012.02</v>
      </c>
      <c r="B257" s="2324">
        <v>95.151375069335444</v>
      </c>
      <c r="C257" s="2325">
        <v>87.764239515990198</v>
      </c>
    </row>
    <row r="258" spans="1:3">
      <c r="A258" s="2323">
        <v>2012.03</v>
      </c>
      <c r="B258" s="2324">
        <v>96.380362346685416</v>
      </c>
      <c r="C258" s="2325">
        <v>89.830525890254108</v>
      </c>
    </row>
    <row r="259" spans="1:3">
      <c r="A259" s="2323">
        <v>2012.04</v>
      </c>
      <c r="B259" s="2324">
        <v>98.064849695760074</v>
      </c>
      <c r="C259" s="2325">
        <v>95.589276541818066</v>
      </c>
    </row>
    <row r="260" spans="1:3">
      <c r="A260" s="2323">
        <v>2012.05</v>
      </c>
      <c r="B260" s="2324">
        <v>96.767051244284062</v>
      </c>
      <c r="C260" s="2325">
        <v>93.067248724009502</v>
      </c>
    </row>
    <row r="261" spans="1:3">
      <c r="A261" s="2323">
        <v>2012.06</v>
      </c>
      <c r="B261" s="2324">
        <v>94.71336177217772</v>
      </c>
      <c r="C261" s="2325">
        <v>90.75953002950456</v>
      </c>
    </row>
    <row r="262" spans="1:3">
      <c r="A262" s="2323">
        <v>2012.07</v>
      </c>
      <c r="B262" s="2324">
        <v>92.384180518353247</v>
      </c>
      <c r="C262" s="2325">
        <v>89.16813039236655</v>
      </c>
    </row>
    <row r="263" spans="1:3">
      <c r="A263" s="2323">
        <v>2012.08</v>
      </c>
      <c r="B263" s="2324">
        <v>90.669790366362193</v>
      </c>
      <c r="C263" s="2325">
        <v>88.737316087951967</v>
      </c>
    </row>
    <row r="264" spans="1:3">
      <c r="A264" s="2323">
        <v>2012.09</v>
      </c>
      <c r="B264" s="2324">
        <v>93.301909268852427</v>
      </c>
      <c r="C264" s="2325">
        <v>93.256329982656382</v>
      </c>
    </row>
    <row r="265" spans="1:3">
      <c r="A265" s="2323">
        <v>2012.1</v>
      </c>
      <c r="B265" s="2324">
        <v>92.941448720100183</v>
      </c>
      <c r="C265" s="2325">
        <v>97.514332828479212</v>
      </c>
    </row>
    <row r="266" spans="1:3">
      <c r="A266" s="2323">
        <v>2012.11</v>
      </c>
      <c r="B266" s="2324">
        <v>92.893267158299778</v>
      </c>
      <c r="C266" s="2325">
        <v>100.80370281116745</v>
      </c>
    </row>
    <row r="267" spans="1:3">
      <c r="A267" s="2323">
        <v>2012.12</v>
      </c>
      <c r="B267" s="2324">
        <v>92.083699074155788</v>
      </c>
      <c r="C267" s="2325">
        <v>104.19903086263874</v>
      </c>
    </row>
    <row r="268" spans="1:3">
      <c r="A268" s="2323">
        <v>2013.01</v>
      </c>
      <c r="B268" s="2324">
        <v>93.844329309159477</v>
      </c>
      <c r="C268" s="2325">
        <v>105.42825874810755</v>
      </c>
    </row>
    <row r="269" spans="1:3">
      <c r="A269" s="2323">
        <v>2013.02</v>
      </c>
      <c r="B269" s="2324">
        <v>94.773736424143834</v>
      </c>
      <c r="C269" s="2325">
        <v>105.69694324270239</v>
      </c>
    </row>
    <row r="270" spans="1:3">
      <c r="A270" s="2323">
        <v>2013.03</v>
      </c>
      <c r="B270" s="2324">
        <v>94.974958809413394</v>
      </c>
      <c r="C270" s="2325">
        <v>103.75705280658126</v>
      </c>
    </row>
    <row r="271" spans="1:3">
      <c r="A271" s="2323">
        <v>2013.04</v>
      </c>
      <c r="B271" s="2324">
        <v>95.220945400926411</v>
      </c>
      <c r="C271" s="2325">
        <v>100.08420458510997</v>
      </c>
    </row>
    <row r="272" spans="1:3">
      <c r="A272" s="2323">
        <v>2013.05</v>
      </c>
      <c r="B272" s="2324">
        <v>93.353044422451703</v>
      </c>
      <c r="C272" s="2325">
        <v>99.337769657820473</v>
      </c>
    </row>
    <row r="273" spans="1:3">
      <c r="A273" s="2323">
        <v>2013.06</v>
      </c>
      <c r="B273" s="2324">
        <v>95.50848810580554</v>
      </c>
      <c r="C273" s="2325">
        <v>103.60993385798126</v>
      </c>
    </row>
    <row r="274" spans="1:3">
      <c r="A274" s="2323">
        <v>2013.07</v>
      </c>
      <c r="B274" s="2324">
        <v>99.417394770627297</v>
      </c>
      <c r="C274" s="2325">
        <v>106.50783601761853</v>
      </c>
    </row>
    <row r="275" spans="1:3">
      <c r="A275" s="2323">
        <v>2013.08</v>
      </c>
      <c r="B275" s="2324">
        <v>100.18419668712664</v>
      </c>
      <c r="C275" s="2325">
        <v>107.40192493950704</v>
      </c>
    </row>
    <row r="276" spans="1:3">
      <c r="A276" s="2323">
        <v>2013.09</v>
      </c>
      <c r="B276" s="2324">
        <v>101.55072450379728</v>
      </c>
      <c r="C276" s="2325">
        <v>108.23595728387032</v>
      </c>
    </row>
    <row r="277" spans="1:3">
      <c r="A277" s="2323">
        <v>2013.1</v>
      </c>
      <c r="B277" s="2324">
        <v>103.01035440493544</v>
      </c>
      <c r="C277" s="2325">
        <v>106.29034655821314</v>
      </c>
    </row>
    <row r="278" spans="1:3">
      <c r="A278" s="2323">
        <v>2013.11</v>
      </c>
      <c r="B278" s="2324">
        <v>103.5311070504037</v>
      </c>
      <c r="C278" s="2325">
        <v>104.59223845630922</v>
      </c>
    </row>
    <row r="279" spans="1:3">
      <c r="A279" s="2323">
        <v>2013.12</v>
      </c>
      <c r="B279" s="2324">
        <v>102.89878112135091</v>
      </c>
      <c r="C279" s="2325">
        <v>101.39035278337846</v>
      </c>
    </row>
    <row r="280" spans="1:3">
      <c r="A280" s="2323">
        <v>2014.01</v>
      </c>
      <c r="B280" s="2324">
        <v>103.23402284963747</v>
      </c>
      <c r="C280" s="2325">
        <v>100.18738632429533</v>
      </c>
    </row>
    <row r="281" spans="1:3">
      <c r="A281" s="2323">
        <v>2014.02</v>
      </c>
      <c r="B281" s="2324">
        <v>101.84309009376625</v>
      </c>
      <c r="C281" s="2325">
        <v>98.767353202036944</v>
      </c>
    </row>
    <row r="282" spans="1:3">
      <c r="A282" s="2323">
        <v>2014.03</v>
      </c>
      <c r="B282" s="2324">
        <v>101.12056719480546</v>
      </c>
      <c r="C282" s="2325">
        <v>99.198274643316196</v>
      </c>
    </row>
    <row r="283" spans="1:3">
      <c r="A283" s="2323">
        <v>2014.04</v>
      </c>
      <c r="B283" s="2324">
        <v>100.74849129730936</v>
      </c>
      <c r="C283" s="2325">
        <v>99.662976755159718</v>
      </c>
    </row>
    <row r="284" spans="1:3">
      <c r="A284" s="2323">
        <v>2014.05</v>
      </c>
      <c r="B284" s="2324">
        <v>101.63270586274039</v>
      </c>
      <c r="C284" s="2325">
        <v>101.32249466699417</v>
      </c>
    </row>
    <row r="285" spans="1:3">
      <c r="A285" s="2323">
        <v>2014.06</v>
      </c>
      <c r="B285" s="2324">
        <v>99.612491190683372</v>
      </c>
      <c r="C285" s="2325">
        <v>99.924744248510265</v>
      </c>
    </row>
    <row r="286" spans="1:3">
      <c r="A286" s="2323">
        <v>2014.07</v>
      </c>
      <c r="B286" s="2324">
        <v>99.491150907533779</v>
      </c>
      <c r="C286" s="2325">
        <v>97.61283786370312</v>
      </c>
    </row>
    <row r="287" spans="1:3">
      <c r="A287" s="2323">
        <v>2014.08</v>
      </c>
      <c r="B287" s="2324">
        <v>99.292460147726629</v>
      </c>
      <c r="C287" s="2325">
        <v>97.762272755069731</v>
      </c>
    </row>
    <row r="288" spans="1:3">
      <c r="A288" s="2323">
        <v>2014.09</v>
      </c>
      <c r="B288" s="2324">
        <v>98.110973055774195</v>
      </c>
      <c r="C288" s="2325">
        <v>94.376823866269078</v>
      </c>
    </row>
    <row r="289" spans="1:3">
      <c r="A289" s="2323">
        <v>2014.1</v>
      </c>
      <c r="B289" s="2324">
        <v>97.20666708893323</v>
      </c>
      <c r="C289" s="2325">
        <v>92.584718393993995</v>
      </c>
    </row>
    <row r="290" spans="1:3">
      <c r="A290" s="2323">
        <v>2014.11</v>
      </c>
      <c r="B290" s="2324">
        <v>96.901634813280424</v>
      </c>
      <c r="C290" s="2325">
        <v>95.236597875016358</v>
      </c>
    </row>
    <row r="291" spans="1:3">
      <c r="A291" s="2323">
        <v>2014.12</v>
      </c>
      <c r="B291" s="2324">
        <v>96.388107110464261</v>
      </c>
      <c r="C291" s="2325">
        <v>94.996294500647096</v>
      </c>
    </row>
    <row r="292" spans="1:3">
      <c r="A292" s="2323">
        <v>2015.01</v>
      </c>
      <c r="B292" s="2324">
        <v>93.64913367650432</v>
      </c>
      <c r="C292" s="2325">
        <v>94.799716378552134</v>
      </c>
    </row>
    <row r="293" spans="1:3">
      <c r="A293" s="2323">
        <v>2015.02</v>
      </c>
      <c r="B293" s="2324">
        <v>93.583517450230374</v>
      </c>
      <c r="C293" s="2325">
        <v>94.532484370523036</v>
      </c>
    </row>
    <row r="294" spans="1:3">
      <c r="A294" s="2323">
        <v>2015.03</v>
      </c>
      <c r="B294" s="2324">
        <v>93.935679268217726</v>
      </c>
      <c r="C294" s="2325">
        <v>94.955947683712708</v>
      </c>
    </row>
    <row r="295" spans="1:3">
      <c r="A295" s="2323">
        <v>2015.04</v>
      </c>
      <c r="B295" s="2324">
        <v>92.877921204572928</v>
      </c>
      <c r="C295" s="2325">
        <v>93.604413273121793</v>
      </c>
    </row>
    <row r="296" spans="1:3">
      <c r="A296" s="2323">
        <v>2015.05</v>
      </c>
      <c r="B296" s="2324">
        <v>93.287853191043681</v>
      </c>
      <c r="C296" s="2325">
        <v>94.593530812557546</v>
      </c>
    </row>
    <row r="297" spans="1:3">
      <c r="A297" s="2323">
        <v>2015.06</v>
      </c>
      <c r="B297" s="2324">
        <v>93.908139825151949</v>
      </c>
      <c r="C297" s="2325">
        <v>93.519092167904773</v>
      </c>
    </row>
    <row r="298" spans="1:3">
      <c r="A298" s="2323">
        <v>2015.07</v>
      </c>
      <c r="B298" s="2324">
        <v>90.784285186115142</v>
      </c>
      <c r="C298" s="2325">
        <v>90.89421044637453</v>
      </c>
    </row>
    <row r="299" spans="1:3">
      <c r="A299" s="2323">
        <v>2015.08</v>
      </c>
      <c r="B299" s="2324">
        <v>92.459161186014413</v>
      </c>
      <c r="C299" s="2325">
        <v>91.077284844000587</v>
      </c>
    </row>
    <row r="300" spans="1:3">
      <c r="A300" s="2323">
        <v>2015.09</v>
      </c>
      <c r="B300" s="2324">
        <v>91.402588815713983</v>
      </c>
      <c r="C300" s="2325">
        <v>88.951081911709636</v>
      </c>
    </row>
    <row r="301" spans="1:3">
      <c r="A301" s="2323">
        <v>2015.1</v>
      </c>
      <c r="B301" s="2324">
        <v>91.127057418945896</v>
      </c>
      <c r="C301" s="2325">
        <v>92.538306053440408</v>
      </c>
    </row>
    <row r="302" spans="1:3">
      <c r="A302" s="2323">
        <v>2015.11</v>
      </c>
      <c r="B302" s="2324">
        <v>92.602408862741868</v>
      </c>
      <c r="C302" s="2325">
        <v>95.51688379785115</v>
      </c>
    </row>
    <row r="303" spans="1:3">
      <c r="A303" s="2323">
        <v>2015.12</v>
      </c>
      <c r="B303" s="2324">
        <v>92.488207664222301</v>
      </c>
      <c r="C303" s="2325">
        <v>97.543354147887314</v>
      </c>
    </row>
    <row r="304" spans="1:3">
      <c r="A304" s="2323">
        <v>2016.01</v>
      </c>
      <c r="B304" s="2324">
        <v>93.018759852291183</v>
      </c>
      <c r="C304" s="2325">
        <v>97.214181347296531</v>
      </c>
    </row>
    <row r="305" spans="1:3">
      <c r="A305" s="2323">
        <v>2016.02</v>
      </c>
      <c r="B305" s="2324">
        <v>91.775550802483309</v>
      </c>
      <c r="C305" s="2325">
        <v>93.573309378659971</v>
      </c>
    </row>
    <row r="306" spans="1:3">
      <c r="A306" s="2323">
        <v>2016.03</v>
      </c>
      <c r="B306" s="2324">
        <v>91.294021856282157</v>
      </c>
      <c r="C306" s="2325">
        <v>90.332382273623196</v>
      </c>
    </row>
    <row r="307" spans="1:3">
      <c r="A307" s="2323">
        <v>2016.04</v>
      </c>
      <c r="B307" s="2324">
        <v>92.826477442502664</v>
      </c>
      <c r="C307" s="2325">
        <v>93.70900388263334</v>
      </c>
    </row>
    <row r="308" spans="1:3">
      <c r="A308" s="2323">
        <v>2016.05</v>
      </c>
      <c r="B308" s="2324">
        <v>94.477744832351291</v>
      </c>
      <c r="C308" s="2325">
        <v>97.904930606550536</v>
      </c>
    </row>
    <row r="309" spans="1:3">
      <c r="A309" s="2323">
        <v>2016.06</v>
      </c>
      <c r="B309" s="2324">
        <v>94.360545051676198</v>
      </c>
      <c r="C309" s="2325">
        <v>100.87690606378607</v>
      </c>
    </row>
    <row r="310" spans="1:3">
      <c r="A310" s="2323">
        <v>2016.07</v>
      </c>
      <c r="B310" s="2324">
        <v>95.48289885931807</v>
      </c>
      <c r="C310" s="2325">
        <v>105.42452863247904</v>
      </c>
    </row>
    <row r="311" spans="1:3">
      <c r="A311" s="2323">
        <v>2016.08</v>
      </c>
      <c r="B311" s="2324">
        <v>96.297796741860338</v>
      </c>
      <c r="C311" s="2325">
        <v>105.02348368802788</v>
      </c>
    </row>
    <row r="312" spans="1:3">
      <c r="A312" s="2323">
        <v>2016.09</v>
      </c>
      <c r="B312" s="2324">
        <v>97.086782327494063</v>
      </c>
      <c r="C312" s="2325">
        <v>107.12858295389073</v>
      </c>
    </row>
    <row r="313" spans="1:3">
      <c r="A313" s="2323">
        <v>2016.1</v>
      </c>
      <c r="B313" s="2324">
        <v>97.948803015266478</v>
      </c>
      <c r="C313" s="2325">
        <v>108.21932242899487</v>
      </c>
    </row>
    <row r="314" spans="1:3">
      <c r="A314" s="2323">
        <v>2016.11</v>
      </c>
      <c r="B314" s="2324">
        <v>96.525934022981133</v>
      </c>
      <c r="C314" s="2325">
        <v>103.72453466105945</v>
      </c>
    </row>
    <row r="315" spans="1:3">
      <c r="A315" s="2323">
        <v>2016.12</v>
      </c>
      <c r="B315" s="2324">
        <v>98.317717683524648</v>
      </c>
      <c r="C315" s="2325">
        <v>102.88993991597148</v>
      </c>
    </row>
    <row r="316" spans="1:3">
      <c r="A316" s="2323">
        <v>2017.01</v>
      </c>
      <c r="B316" s="2324">
        <v>100.0479466533486</v>
      </c>
      <c r="C316" s="2325">
        <v>104.16532580155518</v>
      </c>
    </row>
    <row r="317" spans="1:3">
      <c r="A317" s="2323">
        <v>2017.02</v>
      </c>
      <c r="B317" s="2324">
        <v>101.90530615050437</v>
      </c>
      <c r="C317" s="2325">
        <v>107.92684203685931</v>
      </c>
    </row>
    <row r="318" spans="1:3">
      <c r="A318" s="2323">
        <v>2017.03</v>
      </c>
      <c r="B318" s="2324">
        <v>102.53297632270554</v>
      </c>
      <c r="C318" s="2325">
        <v>112.77405180962376</v>
      </c>
    </row>
    <row r="319" spans="1:3">
      <c r="A319" s="2323">
        <v>2017.04</v>
      </c>
      <c r="B319" s="2324">
        <v>102.81951916098693</v>
      </c>
      <c r="C319" s="2325">
        <v>110.43113987887942</v>
      </c>
    </row>
    <row r="320" spans="1:3">
      <c r="A320" s="2323">
        <v>2017.05</v>
      </c>
      <c r="B320" s="2324">
        <v>101.35696577428995</v>
      </c>
      <c r="C320" s="2325">
        <v>107.59202894937373</v>
      </c>
    </row>
    <row r="321" spans="1:3">
      <c r="A321" s="2323">
        <v>2017.06</v>
      </c>
      <c r="B321" s="2324">
        <v>103.6551467322459</v>
      </c>
      <c r="C321" s="2325">
        <v>106.83884723443967</v>
      </c>
    </row>
    <row r="322" spans="1:3">
      <c r="A322" s="2323">
        <v>2017.07</v>
      </c>
      <c r="B322" s="2324">
        <v>104.05326204774202</v>
      </c>
      <c r="C322" s="2325">
        <v>106.0269209643381</v>
      </c>
    </row>
    <row r="323" spans="1:3">
      <c r="A323" s="2323">
        <v>2017.08</v>
      </c>
      <c r="B323" s="2324">
        <v>102.44990639676124</v>
      </c>
      <c r="C323" s="2325">
        <v>104.54304131339121</v>
      </c>
    </row>
    <row r="324" spans="1:3">
      <c r="A324" s="2323">
        <v>2017.09</v>
      </c>
      <c r="B324" s="2324">
        <v>103.03874010955109</v>
      </c>
      <c r="C324" s="2325">
        <v>105.21156462668485</v>
      </c>
    </row>
    <row r="325" spans="1:3">
      <c r="A325" s="2323">
        <v>2017.1</v>
      </c>
      <c r="B325" s="2324">
        <v>103.05868541562064</v>
      </c>
      <c r="C325" s="2325">
        <v>103.95248836491719</v>
      </c>
    </row>
    <row r="326" spans="1:3">
      <c r="A326" s="2323">
        <v>2017.11</v>
      </c>
      <c r="B326" s="2324">
        <v>103.61615106271218</v>
      </c>
      <c r="C326" s="2325">
        <v>103.16918560434929</v>
      </c>
    </row>
    <row r="327" spans="1:3">
      <c r="A327" s="2323">
        <v>2017.12</v>
      </c>
      <c r="B327" s="2324">
        <v>103.49745755285402</v>
      </c>
      <c r="C327" s="2325">
        <v>100.79566232808256</v>
      </c>
    </row>
    <row r="328" spans="1:3">
      <c r="A328" s="2323">
        <v>2018.01</v>
      </c>
      <c r="B328" s="2324">
        <v>102.4627368595697</v>
      </c>
      <c r="C328" s="2325">
        <v>99.912983022303465</v>
      </c>
    </row>
    <row r="329" spans="1:3">
      <c r="A329" s="2323">
        <v>2018.02</v>
      </c>
      <c r="B329" s="2324">
        <v>102.27403782904859</v>
      </c>
      <c r="C329" s="2325">
        <v>99.098880769778532</v>
      </c>
    </row>
    <row r="330" spans="1:3">
      <c r="A330" s="2323">
        <v>2018.03</v>
      </c>
      <c r="B330" s="2324">
        <v>101.79404293733239</v>
      </c>
      <c r="C330" s="2325">
        <v>98.416189068200623</v>
      </c>
    </row>
    <row r="331" spans="1:3">
      <c r="A331" s="2323">
        <v>2018.04</v>
      </c>
      <c r="B331" s="2324">
        <v>100.23843475816595</v>
      </c>
      <c r="C331" s="2325">
        <v>98.761558880992467</v>
      </c>
    </row>
    <row r="332" spans="1:3">
      <c r="A332" s="2323">
        <v>2018.05</v>
      </c>
      <c r="B332" s="2324">
        <v>100.71265250737046</v>
      </c>
      <c r="C332" s="2325">
        <v>98.178655265725567</v>
      </c>
    </row>
    <row r="333" spans="1:3">
      <c r="A333" s="2323">
        <v>2018.06</v>
      </c>
      <c r="B333" s="2324">
        <v>100.54650498653079</v>
      </c>
      <c r="C333" s="2325">
        <v>95.141242852844513</v>
      </c>
    </row>
    <row r="334" spans="1:3">
      <c r="A334" s="2323">
        <v>2018.07</v>
      </c>
      <c r="B334" s="2324">
        <v>98.747412548957641</v>
      </c>
      <c r="C334" s="2325">
        <v>92.060546825135091</v>
      </c>
    </row>
    <row r="335" spans="1:3">
      <c r="A335" s="2323">
        <v>2018.08</v>
      </c>
      <c r="B335" s="2324">
        <v>97.638654638002379</v>
      </c>
      <c r="C335" s="2325">
        <v>92.374680865017524</v>
      </c>
    </row>
    <row r="336" spans="1:3">
      <c r="A336" s="2323">
        <v>2018.09</v>
      </c>
      <c r="B336" s="2324">
        <v>97.316191937067984</v>
      </c>
      <c r="C336" s="2325">
        <v>90.151506762600874</v>
      </c>
    </row>
    <row r="337" spans="1:3">
      <c r="A337" s="2323">
        <v>2018.1</v>
      </c>
      <c r="B337" s="2324">
        <v>94.872794664940059</v>
      </c>
      <c r="C337" s="2325">
        <v>87.909659736424743</v>
      </c>
    </row>
    <row r="338" spans="1:3">
      <c r="A338" s="2323">
        <v>2018.11</v>
      </c>
      <c r="B338" s="2324">
        <v>93.138582970341915</v>
      </c>
      <c r="C338" s="2325">
        <v>90.193577260103083</v>
      </c>
    </row>
    <row r="339" spans="1:3">
      <c r="A339" s="2323">
        <v>2018.12</v>
      </c>
      <c r="B339" s="2324">
        <v>93.680527280193601</v>
      </c>
      <c r="C339" s="2325">
        <v>95.425729633541167</v>
      </c>
    </row>
    <row r="340" spans="1:3">
      <c r="A340" s="2323">
        <v>2019.01</v>
      </c>
      <c r="B340" s="2324">
        <v>91.891900476401432</v>
      </c>
      <c r="C340" s="2325">
        <v>93.581158579789118</v>
      </c>
    </row>
    <row r="341" spans="1:3">
      <c r="A341" s="2323">
        <v>2019.02</v>
      </c>
      <c r="B341" s="2324">
        <v>89.849857762131876</v>
      </c>
      <c r="C341" s="2325">
        <v>92.625953182133372</v>
      </c>
    </row>
    <row r="342" spans="1:3">
      <c r="A342" s="2323">
        <v>2019.03</v>
      </c>
      <c r="B342" s="2324">
        <v>90.662170415326983</v>
      </c>
      <c r="C342" s="2325">
        <v>92.048328442954741</v>
      </c>
    </row>
    <row r="343" spans="1:3">
      <c r="A343" s="2323">
        <v>2019.04</v>
      </c>
      <c r="B343" s="2324">
        <v>91.248617344708805</v>
      </c>
      <c r="C343" s="2325">
        <v>93.117635303460432</v>
      </c>
    </row>
    <row r="344" spans="1:3">
      <c r="A344" s="2323">
        <v>2019.05</v>
      </c>
      <c r="B344" s="2324">
        <v>90.799697939212678</v>
      </c>
      <c r="C344" s="2325">
        <v>93.813368304355095</v>
      </c>
    </row>
    <row r="345" spans="1:3">
      <c r="A345" s="2323">
        <v>2019.06</v>
      </c>
      <c r="B345" s="2324">
        <v>89.558572161711481</v>
      </c>
      <c r="C345" s="2325">
        <v>94.322437986374922</v>
      </c>
    </row>
    <row r="346" spans="1:3">
      <c r="A346" s="2323">
        <v>2019.07</v>
      </c>
      <c r="B346" s="2324">
        <v>89.250075550819858</v>
      </c>
      <c r="C346" s="2325">
        <v>93.691712850131239</v>
      </c>
    </row>
    <row r="347" spans="1:3">
      <c r="A347" s="2323">
        <v>2019.08</v>
      </c>
      <c r="B347" s="2324">
        <v>88.330249986270687</v>
      </c>
      <c r="C347" s="2325">
        <v>92.965834580618392</v>
      </c>
    </row>
    <row r="348" spans="1:3">
      <c r="A348" s="2323">
        <v>2019.09</v>
      </c>
      <c r="B348" s="2324">
        <v>88.686420955097617</v>
      </c>
      <c r="C348" s="2325">
        <v>96.321961626583558</v>
      </c>
    </row>
    <row r="349" spans="1:3">
      <c r="A349" s="2323">
        <v>2019.1</v>
      </c>
      <c r="B349" s="2324">
        <v>88.356055140619191</v>
      </c>
      <c r="C349" s="2325">
        <v>98.579638499182053</v>
      </c>
    </row>
    <row r="350" spans="1:3">
      <c r="A350" s="2323">
        <v>2019.11</v>
      </c>
      <c r="B350" s="2324">
        <v>88.402825142852379</v>
      </c>
      <c r="C350" s="2325">
        <v>98.929663991175687</v>
      </c>
    </row>
    <row r="351" spans="1:3">
      <c r="A351" s="2323">
        <v>2019.12</v>
      </c>
      <c r="B351" s="2324">
        <v>88.426532412062713</v>
      </c>
      <c r="C351" s="2325">
        <v>99.524264301331186</v>
      </c>
    </row>
    <row r="352" spans="1:3">
      <c r="A352" s="2323">
        <v>2020.01</v>
      </c>
      <c r="B352" s="2324">
        <v>91.353906757107211</v>
      </c>
      <c r="C352" s="2325">
        <v>101.914403088288</v>
      </c>
    </row>
    <row r="353" spans="1:4">
      <c r="A353" s="2323">
        <v>2020.02</v>
      </c>
      <c r="B353" s="2324">
        <v>93.682601491633051</v>
      </c>
      <c r="C353" s="2325">
        <v>102.18950861558751</v>
      </c>
    </row>
    <row r="354" spans="1:4">
      <c r="A354" s="2323">
        <v>2020.03</v>
      </c>
      <c r="B354" s="2324">
        <v>80.289710021022216</v>
      </c>
      <c r="C354" s="2325">
        <v>90.662529200903819</v>
      </c>
    </row>
    <row r="355" spans="1:4">
      <c r="A355" s="2323">
        <v>2020.04</v>
      </c>
      <c r="B355" s="2324">
        <v>72.022213600252854</v>
      </c>
      <c r="C355" s="2325">
        <v>85.452438577217208</v>
      </c>
    </row>
    <row r="356" spans="1:4">
      <c r="A356" s="2323">
        <v>2020.05</v>
      </c>
      <c r="B356" s="2324">
        <v>47.747169867965695</v>
      </c>
      <c r="C356" s="2325">
        <v>51.196850022781071</v>
      </c>
    </row>
    <row r="357" spans="1:4">
      <c r="A357" s="2323">
        <v>2020.06</v>
      </c>
      <c r="B357" s="2324">
        <v>54.033248407210117</v>
      </c>
      <c r="C357" s="2325">
        <v>63.60803451183309</v>
      </c>
    </row>
    <row r="358" spans="1:4">
      <c r="A358" s="2323">
        <v>2020.07</v>
      </c>
      <c r="B358" s="2324">
        <v>69.109998422653817</v>
      </c>
      <c r="C358" s="2325">
        <v>80.954973160576685</v>
      </c>
    </row>
    <row r="359" spans="1:4">
      <c r="A359" s="2323">
        <v>2020.08</v>
      </c>
      <c r="B359" s="2324">
        <v>83.387753827590188</v>
      </c>
      <c r="C359" s="2325">
        <v>108.09697155580514</v>
      </c>
      <c r="D359" s="2363"/>
    </row>
    <row r="360" spans="1:4">
      <c r="A360" s="2323">
        <v>2020.09</v>
      </c>
      <c r="B360" s="2324">
        <v>83.731407983942788</v>
      </c>
      <c r="C360" s="2325">
        <v>111.40332685575092</v>
      </c>
    </row>
    <row r="361" spans="1:4">
      <c r="A361" s="2323">
        <v>2020.1</v>
      </c>
      <c r="B361" s="2324">
        <v>90.464440050945143</v>
      </c>
      <c r="C361" s="2325">
        <v>116.39081845830725</v>
      </c>
    </row>
    <row r="362" spans="1:4">
      <c r="A362" s="2323">
        <v>2020.11</v>
      </c>
      <c r="B362" s="2324">
        <v>98.896910477379805</v>
      </c>
      <c r="C362" s="2325">
        <v>117.21103722956128</v>
      </c>
    </row>
    <row r="363" spans="1:4">
      <c r="A363" s="2323">
        <v>2020.12</v>
      </c>
      <c r="B363" s="2324">
        <v>97.846619439931075</v>
      </c>
      <c r="C363" s="2325">
        <v>107.60357009711892</v>
      </c>
    </row>
    <row r="364" spans="1:4">
      <c r="A364" s="2323">
        <v>2021.01</v>
      </c>
      <c r="B364" s="2324">
        <v>98.061824160840558</v>
      </c>
      <c r="C364" s="2325">
        <v>108.90991004958563</v>
      </c>
    </row>
    <row r="365" spans="1:4">
      <c r="A365" s="2323">
        <v>2021.02</v>
      </c>
      <c r="B365" s="2324">
        <v>98.990504428807341</v>
      </c>
      <c r="C365" s="2325">
        <v>105.81270640966609</v>
      </c>
    </row>
    <row r="366" spans="1:4">
      <c r="A366" s="2323">
        <v>2021.03</v>
      </c>
      <c r="B366" s="2324">
        <v>103.19051775082532</v>
      </c>
      <c r="C366" s="2325">
        <v>120.22132068518762</v>
      </c>
    </row>
    <row r="367" spans="1:4">
      <c r="A367" s="2323">
        <v>2021.04</v>
      </c>
      <c r="B367" s="2324">
        <v>114.89738526093775</v>
      </c>
      <c r="C367" s="2325">
        <v>123.52022602132335</v>
      </c>
    </row>
    <row r="368" spans="1:4">
      <c r="A368" s="2323">
        <v>2021.05</v>
      </c>
      <c r="B368" s="2324">
        <v>137.60929904079978</v>
      </c>
      <c r="C368" s="2325">
        <v>139.56933797537337</v>
      </c>
    </row>
    <row r="369" spans="1:3">
      <c r="A369" s="2323">
        <v>2021.06</v>
      </c>
      <c r="B369" s="2324">
        <v>138.66074231411329</v>
      </c>
      <c r="C369" s="2325">
        <v>133.97280417092259</v>
      </c>
    </row>
    <row r="370" spans="1:3">
      <c r="A370" s="2323">
        <v>2021.07</v>
      </c>
      <c r="B370" s="2324">
        <v>129.0537071560604</v>
      </c>
      <c r="C370" s="2325">
        <v>125.24379414346052</v>
      </c>
    </row>
    <row r="371" spans="1:3">
      <c r="A371" s="2323">
        <v>2021.08</v>
      </c>
      <c r="B371" s="2324">
        <v>119.79773786784759</v>
      </c>
      <c r="C371" s="2325">
        <v>116.94465919417874</v>
      </c>
    </row>
    <row r="372" spans="1:3">
      <c r="A372" s="2323">
        <v>2021.09</v>
      </c>
      <c r="B372" s="2324">
        <v>117.05941349360198</v>
      </c>
      <c r="C372" s="2325">
        <v>109.05920911570423</v>
      </c>
    </row>
    <row r="373" spans="1:3">
      <c r="A373" s="2323">
        <v>2021.1</v>
      </c>
      <c r="B373" s="2324">
        <v>109.64841719405302</v>
      </c>
      <c r="C373" s="2325">
        <v>102.94058388904597</v>
      </c>
    </row>
    <row r="374" spans="1:3">
      <c r="A374" s="2323">
        <v>2021.11</v>
      </c>
      <c r="B374" s="2324">
        <v>109.83005885564491</v>
      </c>
      <c r="C374" s="2325">
        <v>98.888449040167259</v>
      </c>
    </row>
    <row r="375" spans="1:3">
      <c r="A375" s="2323">
        <v>2021.12</v>
      </c>
      <c r="B375" s="2324">
        <v>113.15601771841187</v>
      </c>
      <c r="C375" s="2325">
        <v>98.687118411962416</v>
      </c>
    </row>
    <row r="376" spans="1:3">
      <c r="A376" s="2323">
        <v>2022.01</v>
      </c>
      <c r="B376" s="2324">
        <v>107.825041407006</v>
      </c>
      <c r="C376" s="2325">
        <v>93.266583040579505</v>
      </c>
    </row>
    <row r="377" spans="1:3">
      <c r="A377" s="2323">
        <v>2022.02</v>
      </c>
      <c r="B377" s="2324">
        <v>107.19126705726704</v>
      </c>
      <c r="C377" s="2325">
        <v>95.024239544312948</v>
      </c>
    </row>
    <row r="378" spans="1:3">
      <c r="A378" s="2323">
        <v>2022.03</v>
      </c>
      <c r="B378" s="2324">
        <v>106.52114411039494</v>
      </c>
      <c r="C378" s="2325">
        <v>93.398567941842416</v>
      </c>
    </row>
    <row r="379" spans="1:3">
      <c r="A379" s="2323">
        <v>2022.04</v>
      </c>
      <c r="B379" s="2324">
        <v>99.705027994026196</v>
      </c>
      <c r="C379" s="2325">
        <v>85.812891964170902</v>
      </c>
    </row>
    <row r="380" spans="1:3">
      <c r="A380" s="2323">
        <v>2022.05</v>
      </c>
      <c r="B380" s="2324">
        <v>94.762235268870711</v>
      </c>
      <c r="C380" s="2325">
        <v>84.640130812399988</v>
      </c>
    </row>
    <row r="381" spans="1:3">
      <c r="A381" s="2323">
        <v>2022.06</v>
      </c>
      <c r="B381" s="2324">
        <v>94.320988247552279</v>
      </c>
      <c r="C381" s="2325">
        <v>86.258336522488449</v>
      </c>
    </row>
    <row r="382" spans="1:3">
      <c r="A382" s="2323">
        <v>2022.07</v>
      </c>
      <c r="B382" s="2324">
        <v>89.96607127892679</v>
      </c>
      <c r="C382" s="2325">
        <v>85.259105137376309</v>
      </c>
    </row>
    <row r="383" spans="1:3">
      <c r="A383" s="2323">
        <v>2022.08</v>
      </c>
      <c r="B383" s="2324">
        <v>87.314294445128098</v>
      </c>
      <c r="C383" s="2325">
        <v>82.357000425809758</v>
      </c>
    </row>
    <row r="384" spans="1:3">
      <c r="A384" s="2323">
        <v>2022.09</v>
      </c>
      <c r="B384" s="2324">
        <v>89.544898079416171</v>
      </c>
      <c r="C384" s="2325">
        <v>86.375333922309025</v>
      </c>
    </row>
    <row r="385" spans="1:3">
      <c r="A385" s="2323">
        <v>2022.1</v>
      </c>
      <c r="B385" s="2324">
        <v>87.548083517893346</v>
      </c>
      <c r="C385" s="2325">
        <v>86.050105581111325</v>
      </c>
    </row>
    <row r="386" spans="1:3">
      <c r="A386" s="2323">
        <v>2022.11</v>
      </c>
      <c r="B386" s="2324">
        <v>84.336953299268586</v>
      </c>
      <c r="C386" s="2325">
        <v>84.154983169980397</v>
      </c>
    </row>
    <row r="387" spans="1:3">
      <c r="A387" s="2323">
        <v>2022.12</v>
      </c>
      <c r="B387" s="2324">
        <v>78.958937641724333</v>
      </c>
      <c r="C387" s="2325">
        <v>83.387213809669518</v>
      </c>
    </row>
    <row r="388" spans="1:3">
      <c r="A388" s="2323">
        <v>2023.01</v>
      </c>
      <c r="B388" s="2324">
        <v>78.123627684811566</v>
      </c>
      <c r="C388" s="2325">
        <v>83.24419922158684</v>
      </c>
    </row>
    <row r="389" spans="1:3">
      <c r="A389" s="2323">
        <v>2023.02</v>
      </c>
      <c r="B389" s="2324">
        <v>83.238846401040803</v>
      </c>
      <c r="C389" s="2325">
        <v>90.610319006118203</v>
      </c>
    </row>
    <row r="390" spans="1:3">
      <c r="A390" s="2323">
        <v>2023.03</v>
      </c>
      <c r="B390" s="2324">
        <v>84.418207808062036</v>
      </c>
      <c r="C390" s="2325">
        <v>95.860382346328322</v>
      </c>
    </row>
    <row r="391" spans="1:3">
      <c r="A391" s="2323">
        <v>2023.04</v>
      </c>
      <c r="B391" s="2324">
        <v>84.749061112770406</v>
      </c>
      <c r="C391" s="2325">
        <v>94.821253044996141</v>
      </c>
    </row>
    <row r="392" spans="1:3">
      <c r="A392" s="2323">
        <v>2023.05</v>
      </c>
      <c r="B392" s="2324">
        <v>85.554136209846178</v>
      </c>
      <c r="C392" s="2325">
        <v>96.271494347642559</v>
      </c>
    </row>
    <row r="393" spans="1:3">
      <c r="A393" s="2323">
        <v>2023.06</v>
      </c>
      <c r="B393" s="2324">
        <v>83.195093285109095</v>
      </c>
      <c r="C393" s="2325">
        <v>91.644533637622459</v>
      </c>
    </row>
    <row r="394" spans="1:3">
      <c r="A394" s="2323">
        <v>2023.07</v>
      </c>
      <c r="B394" s="2324">
        <v>86.670968376705176</v>
      </c>
      <c r="C394" s="2325">
        <v>95.113844201485207</v>
      </c>
    </row>
    <row r="395" spans="1:3">
      <c r="A395" s="2323">
        <v>2023.08</v>
      </c>
      <c r="B395" s="2324">
        <v>88.725765623413338</v>
      </c>
      <c r="C395" s="2325">
        <v>97.333737257617187</v>
      </c>
    </row>
    <row r="396" spans="1:3">
      <c r="A396" s="2323">
        <v>2023.09</v>
      </c>
      <c r="B396" s="2324">
        <v>88.61888220501595</v>
      </c>
      <c r="C396" s="2325">
        <v>99.677093212027884</v>
      </c>
    </row>
    <row r="397" spans="1:3">
      <c r="A397" s="2323">
        <v>2023.1</v>
      </c>
      <c r="B397" s="2324">
        <v>89.380462596601021</v>
      </c>
      <c r="C397" s="2325">
        <v>101.74195588962273</v>
      </c>
    </row>
    <row r="398" spans="1:3">
      <c r="A398" s="2323">
        <v>2023.11</v>
      </c>
      <c r="B398" s="2324">
        <v>90.359717690573646</v>
      </c>
      <c r="C398" s="2325">
        <v>103.08377346999083</v>
      </c>
    </row>
    <row r="399" spans="1:3">
      <c r="A399" s="2323">
        <v>2023.12</v>
      </c>
      <c r="B399" s="2324">
        <v>91.822115019111735</v>
      </c>
      <c r="C399" s="2325">
        <v>106.79630981980304</v>
      </c>
    </row>
    <row r="400" spans="1:3">
      <c r="A400" s="2323">
        <v>2024.01</v>
      </c>
      <c r="B400" s="2324">
        <v>93.90118832776065</v>
      </c>
      <c r="C400" s="2325">
        <v>112.2227668825069</v>
      </c>
    </row>
    <row r="401" spans="1:3">
      <c r="A401" s="2323">
        <v>2024.02</v>
      </c>
      <c r="B401" s="2324">
        <v>92.407169424431885</v>
      </c>
      <c r="C401" s="2325">
        <v>105.00907079948539</v>
      </c>
    </row>
    <row r="402" spans="1:3">
      <c r="A402" s="2323">
        <v>2024.03</v>
      </c>
      <c r="B402" s="2324">
        <v>93.230583179425508</v>
      </c>
      <c r="C402" s="2325">
        <v>98.917440759216433</v>
      </c>
    </row>
    <row r="403" spans="1:3">
      <c r="A403" s="2323">
        <v>2024.04</v>
      </c>
      <c r="B403" s="2324">
        <v>93.008283490658513</v>
      </c>
      <c r="C403" s="2325">
        <v>101.05005783027052</v>
      </c>
    </row>
    <row r="404" spans="1:3">
      <c r="A404" s="2323">
        <v>2024.05</v>
      </c>
      <c r="B404" s="2326" t="e">
        <v>#N/A</v>
      </c>
      <c r="C404" s="2327" t="e">
        <v>#N/A</v>
      </c>
    </row>
    <row r="405" spans="1:3">
      <c r="A405" s="2323">
        <v>2024.06</v>
      </c>
      <c r="B405" s="2326" t="e">
        <v>#N/A</v>
      </c>
      <c r="C405" s="2327" t="e">
        <v>#N/A</v>
      </c>
    </row>
    <row r="406" spans="1:3">
      <c r="A406" s="2323">
        <v>2024.07</v>
      </c>
      <c r="B406" s="2326" t="e">
        <v>#N/A</v>
      </c>
      <c r="C406" s="2327" t="e">
        <v>#N/A</v>
      </c>
    </row>
    <row r="407" spans="1:3">
      <c r="A407" s="2323">
        <v>2024.08</v>
      </c>
      <c r="B407" s="2326" t="e">
        <v>#N/A</v>
      </c>
      <c r="C407" s="2327" t="e">
        <v>#N/A</v>
      </c>
    </row>
    <row r="408" spans="1:3">
      <c r="A408" s="2323">
        <v>2024.09</v>
      </c>
      <c r="B408" s="2326" t="e">
        <v>#N/A</v>
      </c>
      <c r="C408" s="2327" t="e">
        <v>#N/A</v>
      </c>
    </row>
    <row r="409" spans="1:3">
      <c r="A409" s="2323">
        <v>2024.1</v>
      </c>
      <c r="B409" s="2326" t="e">
        <v>#N/A</v>
      </c>
      <c r="C409" s="2327" t="e">
        <v>#N/A</v>
      </c>
    </row>
    <row r="410" spans="1:3">
      <c r="A410" s="2323">
        <v>2024.11</v>
      </c>
      <c r="B410" s="2326" t="e">
        <v>#N/A</v>
      </c>
      <c r="C410" s="2327" t="e">
        <v>#N/A</v>
      </c>
    </row>
    <row r="411" spans="1:3">
      <c r="A411" s="2323">
        <v>2024.12</v>
      </c>
      <c r="B411" s="2326" t="e">
        <v>#N/A</v>
      </c>
      <c r="C411" s="2327" t="e">
        <v>#N/A</v>
      </c>
    </row>
    <row r="412" spans="1:3">
      <c r="A412" s="2323">
        <v>2025.01</v>
      </c>
      <c r="B412" s="2326" t="e">
        <v>#N/A</v>
      </c>
      <c r="C412" s="2327" t="e">
        <v>#N/A</v>
      </c>
    </row>
    <row r="413" spans="1:3">
      <c r="A413" s="2323">
        <v>2025.02</v>
      </c>
      <c r="B413" s="2326" t="e">
        <v>#N/A</v>
      </c>
      <c r="C413" s="2327" t="e">
        <v>#N/A</v>
      </c>
    </row>
    <row r="414" spans="1:3">
      <c r="A414" s="2323">
        <v>2025.03</v>
      </c>
      <c r="B414" s="2326" t="e">
        <v>#N/A</v>
      </c>
      <c r="C414" s="2327" t="e">
        <v>#N/A</v>
      </c>
    </row>
    <row r="415" spans="1:3">
      <c r="A415" s="2323">
        <v>2025.04</v>
      </c>
      <c r="B415" s="2326" t="e">
        <v>#N/A</v>
      </c>
      <c r="C415" s="2327" t="e">
        <v>#N/A</v>
      </c>
    </row>
    <row r="416" spans="1:3">
      <c r="A416" s="2323">
        <v>2025.05</v>
      </c>
      <c r="B416" s="2326" t="e">
        <v>#N/A</v>
      </c>
      <c r="C416" s="2327" t="e">
        <v>#N/A</v>
      </c>
    </row>
    <row r="417" spans="1:3">
      <c r="A417" s="2323">
        <v>2025.06</v>
      </c>
      <c r="B417" s="2326" t="e">
        <v>#N/A</v>
      </c>
      <c r="C417" s="2327" t="e">
        <v>#N/A</v>
      </c>
    </row>
    <row r="418" spans="1:3">
      <c r="A418" s="2323">
        <v>2025.07</v>
      </c>
      <c r="B418" s="2326" t="e">
        <v>#N/A</v>
      </c>
      <c r="C418" s="2327" t="e">
        <v>#N/A</v>
      </c>
    </row>
    <row r="419" spans="1:3">
      <c r="A419" s="2323">
        <v>2025.08</v>
      </c>
      <c r="B419" s="2326" t="e">
        <v>#N/A</v>
      </c>
      <c r="C419" s="2327" t="e">
        <v>#N/A</v>
      </c>
    </row>
    <row r="420" spans="1:3">
      <c r="A420" s="2323">
        <v>2025.09</v>
      </c>
      <c r="B420" s="2326" t="e">
        <v>#N/A</v>
      </c>
      <c r="C420" s="2327" t="e">
        <v>#N/A</v>
      </c>
    </row>
    <row r="421" spans="1:3">
      <c r="A421" s="2323">
        <v>2025.1</v>
      </c>
      <c r="B421" s="2326" t="e">
        <v>#N/A</v>
      </c>
      <c r="C421" s="2327" t="e">
        <v>#N/A</v>
      </c>
    </row>
    <row r="422" spans="1:3">
      <c r="A422" s="2323">
        <v>2025.11</v>
      </c>
      <c r="B422" s="2326" t="e">
        <v>#N/A</v>
      </c>
      <c r="C422" s="2327" t="e">
        <v>#N/A</v>
      </c>
    </row>
    <row r="423" spans="1:3">
      <c r="A423" s="2323">
        <f>A411+1</f>
        <v>2025.12</v>
      </c>
      <c r="B423" s="2326" t="e">
        <v>#N/A</v>
      </c>
      <c r="C423" s="2327" t="e">
        <v>#N/A</v>
      </c>
    </row>
    <row r="424" spans="1:3">
      <c r="A424" s="2323">
        <f t="shared" ref="A424:A482" si="0">A412+1</f>
        <v>2026.01</v>
      </c>
      <c r="B424" s="2326" t="e">
        <v>#N/A</v>
      </c>
      <c r="C424" s="2327" t="e">
        <v>#N/A</v>
      </c>
    </row>
    <row r="425" spans="1:3">
      <c r="A425" s="2323">
        <f t="shared" si="0"/>
        <v>2026.02</v>
      </c>
      <c r="B425" s="2326" t="e">
        <v>#N/A</v>
      </c>
      <c r="C425" s="2327" t="e">
        <v>#N/A</v>
      </c>
    </row>
    <row r="426" spans="1:3">
      <c r="A426" s="2323">
        <f t="shared" si="0"/>
        <v>2026.03</v>
      </c>
      <c r="B426" s="2326" t="e">
        <v>#N/A</v>
      </c>
      <c r="C426" s="2327" t="e">
        <v>#N/A</v>
      </c>
    </row>
    <row r="427" spans="1:3">
      <c r="A427" s="2323">
        <f t="shared" si="0"/>
        <v>2026.04</v>
      </c>
      <c r="B427" s="2326" t="e">
        <v>#N/A</v>
      </c>
      <c r="C427" s="2327" t="e">
        <v>#N/A</v>
      </c>
    </row>
    <row r="428" spans="1:3">
      <c r="A428" s="2323">
        <f t="shared" si="0"/>
        <v>2026.05</v>
      </c>
      <c r="B428" s="2326" t="e">
        <v>#N/A</v>
      </c>
      <c r="C428" s="2327" t="e">
        <v>#N/A</v>
      </c>
    </row>
    <row r="429" spans="1:3">
      <c r="A429" s="2323">
        <f t="shared" si="0"/>
        <v>2026.06</v>
      </c>
      <c r="B429" s="2326" t="e">
        <v>#N/A</v>
      </c>
      <c r="C429" s="2327" t="e">
        <v>#N/A</v>
      </c>
    </row>
    <row r="430" spans="1:3">
      <c r="A430" s="2323">
        <f t="shared" si="0"/>
        <v>2026.07</v>
      </c>
      <c r="B430" s="2326" t="e">
        <v>#N/A</v>
      </c>
      <c r="C430" s="2327" t="e">
        <v>#N/A</v>
      </c>
    </row>
    <row r="431" spans="1:3">
      <c r="A431" s="2323">
        <f>A419+1</f>
        <v>2026.08</v>
      </c>
      <c r="B431" s="2326" t="e">
        <v>#N/A</v>
      </c>
      <c r="C431" s="2327" t="e">
        <v>#N/A</v>
      </c>
    </row>
    <row r="432" spans="1:3">
      <c r="A432" s="2323">
        <f t="shared" si="0"/>
        <v>2026.09</v>
      </c>
      <c r="B432" s="2326" t="e">
        <v>#N/A</v>
      </c>
      <c r="C432" s="2327" t="e">
        <v>#N/A</v>
      </c>
    </row>
    <row r="433" spans="1:3">
      <c r="A433" s="2323">
        <f t="shared" si="0"/>
        <v>2026.1</v>
      </c>
      <c r="B433" s="2326" t="e">
        <v>#N/A</v>
      </c>
      <c r="C433" s="2327" t="e">
        <v>#N/A</v>
      </c>
    </row>
    <row r="434" spans="1:3">
      <c r="A434" s="2323">
        <f>A422+1</f>
        <v>2026.11</v>
      </c>
      <c r="B434" s="2326" t="e">
        <v>#N/A</v>
      </c>
      <c r="C434" s="2327" t="e">
        <v>#N/A</v>
      </c>
    </row>
    <row r="435" spans="1:3">
      <c r="A435" s="2323">
        <f t="shared" si="0"/>
        <v>2026.12</v>
      </c>
      <c r="B435" s="2326" t="e">
        <v>#N/A</v>
      </c>
      <c r="C435" s="2327" t="e">
        <v>#N/A</v>
      </c>
    </row>
    <row r="436" spans="1:3">
      <c r="A436" s="2323">
        <f t="shared" si="0"/>
        <v>2027.01</v>
      </c>
      <c r="B436" s="2326" t="e">
        <v>#N/A</v>
      </c>
      <c r="C436" s="2327" t="e">
        <v>#N/A</v>
      </c>
    </row>
    <row r="437" spans="1:3">
      <c r="A437" s="2323">
        <f t="shared" si="0"/>
        <v>2027.02</v>
      </c>
      <c r="B437" s="2326" t="e">
        <v>#N/A</v>
      </c>
      <c r="C437" s="2327" t="e">
        <v>#N/A</v>
      </c>
    </row>
    <row r="438" spans="1:3">
      <c r="A438" s="2323">
        <f>A426+1</f>
        <v>2027.03</v>
      </c>
      <c r="B438" s="2326" t="e">
        <v>#N/A</v>
      </c>
      <c r="C438" s="2327" t="e">
        <v>#N/A</v>
      </c>
    </row>
    <row r="439" spans="1:3">
      <c r="A439" s="2323">
        <f t="shared" si="0"/>
        <v>2027.04</v>
      </c>
      <c r="B439" s="2326" t="e">
        <v>#N/A</v>
      </c>
      <c r="C439" s="2327" t="e">
        <v>#N/A</v>
      </c>
    </row>
    <row r="440" spans="1:3">
      <c r="A440" s="2323">
        <f t="shared" si="0"/>
        <v>2027.05</v>
      </c>
      <c r="B440" s="2326" t="e">
        <v>#N/A</v>
      </c>
      <c r="C440" s="2327" t="e">
        <v>#N/A</v>
      </c>
    </row>
    <row r="441" spans="1:3">
      <c r="A441" s="2323">
        <f t="shared" si="0"/>
        <v>2027.06</v>
      </c>
      <c r="B441" s="2326" t="e">
        <v>#N/A</v>
      </c>
      <c r="C441" s="2327" t="e">
        <v>#N/A</v>
      </c>
    </row>
    <row r="442" spans="1:3">
      <c r="A442" s="2323">
        <f>A430+1</f>
        <v>2027.07</v>
      </c>
      <c r="B442" s="2326" t="e">
        <v>#N/A</v>
      </c>
      <c r="C442" s="2327" t="e">
        <v>#N/A</v>
      </c>
    </row>
    <row r="443" spans="1:3">
      <c r="A443" s="2323">
        <f t="shared" si="0"/>
        <v>2027.08</v>
      </c>
      <c r="B443" s="2326" t="e">
        <v>#N/A</v>
      </c>
      <c r="C443" s="2327" t="e">
        <v>#N/A</v>
      </c>
    </row>
    <row r="444" spans="1:3">
      <c r="A444" s="2323">
        <f t="shared" si="0"/>
        <v>2027.09</v>
      </c>
      <c r="B444" s="2326" t="e">
        <v>#N/A</v>
      </c>
      <c r="C444" s="2327" t="e">
        <v>#N/A</v>
      </c>
    </row>
    <row r="445" spans="1:3">
      <c r="A445" s="2323">
        <f t="shared" si="0"/>
        <v>2027.1</v>
      </c>
      <c r="B445" s="2326" t="e">
        <v>#N/A</v>
      </c>
      <c r="C445" s="2327" t="e">
        <v>#N/A</v>
      </c>
    </row>
    <row r="446" spans="1:3">
      <c r="A446" s="2323">
        <f t="shared" si="0"/>
        <v>2027.11</v>
      </c>
      <c r="B446" s="2326" t="e">
        <v>#N/A</v>
      </c>
      <c r="C446" s="2327" t="e">
        <v>#N/A</v>
      </c>
    </row>
    <row r="447" spans="1:3">
      <c r="A447" s="2323">
        <f t="shared" si="0"/>
        <v>2027.12</v>
      </c>
      <c r="B447" s="2326" t="e">
        <v>#N/A</v>
      </c>
      <c r="C447" s="2327" t="e">
        <v>#N/A</v>
      </c>
    </row>
    <row r="448" spans="1:3">
      <c r="A448" s="2323">
        <f>A436+1</f>
        <v>2028.01</v>
      </c>
      <c r="B448" s="2326" t="e">
        <v>#N/A</v>
      </c>
      <c r="C448" s="2327" t="e">
        <v>#N/A</v>
      </c>
    </row>
    <row r="449" spans="1:3">
      <c r="A449" s="2323">
        <f t="shared" si="0"/>
        <v>2028.02</v>
      </c>
      <c r="B449" s="2326" t="e">
        <v>#N/A</v>
      </c>
      <c r="C449" s="2327" t="e">
        <v>#N/A</v>
      </c>
    </row>
    <row r="450" spans="1:3">
      <c r="A450" s="2323">
        <f t="shared" si="0"/>
        <v>2028.03</v>
      </c>
      <c r="B450" s="2326" t="e">
        <v>#N/A</v>
      </c>
      <c r="C450" s="2327" t="e">
        <v>#N/A</v>
      </c>
    </row>
    <row r="451" spans="1:3">
      <c r="A451" s="2323">
        <f t="shared" si="0"/>
        <v>2028.04</v>
      </c>
      <c r="B451" s="2326" t="e">
        <v>#N/A</v>
      </c>
      <c r="C451" s="2327" t="e">
        <v>#N/A</v>
      </c>
    </row>
    <row r="452" spans="1:3">
      <c r="A452" s="2323">
        <f t="shared" si="0"/>
        <v>2028.05</v>
      </c>
      <c r="B452" s="2326" t="e">
        <v>#N/A</v>
      </c>
      <c r="C452" s="2327" t="e">
        <v>#N/A</v>
      </c>
    </row>
    <row r="453" spans="1:3">
      <c r="A453" s="2323">
        <f t="shared" si="0"/>
        <v>2028.06</v>
      </c>
      <c r="B453" s="2326" t="e">
        <v>#N/A</v>
      </c>
      <c r="C453" s="2327" t="e">
        <v>#N/A</v>
      </c>
    </row>
    <row r="454" spans="1:3">
      <c r="A454" s="2323">
        <f>A442+1</f>
        <v>2028.07</v>
      </c>
      <c r="B454" s="2326" t="e">
        <v>#N/A</v>
      </c>
      <c r="C454" s="2327" t="e">
        <v>#N/A</v>
      </c>
    </row>
    <row r="455" spans="1:3">
      <c r="A455" s="2323">
        <f t="shared" si="0"/>
        <v>2028.08</v>
      </c>
      <c r="B455" s="2326" t="e">
        <v>#N/A</v>
      </c>
      <c r="C455" s="2327" t="e">
        <v>#N/A</v>
      </c>
    </row>
    <row r="456" spans="1:3">
      <c r="A456" s="2323">
        <f t="shared" si="0"/>
        <v>2028.09</v>
      </c>
      <c r="B456" s="2326" t="e">
        <v>#N/A</v>
      </c>
      <c r="C456" s="2327" t="e">
        <v>#N/A</v>
      </c>
    </row>
    <row r="457" spans="1:3">
      <c r="A457" s="2323">
        <f t="shared" si="0"/>
        <v>2028.1</v>
      </c>
      <c r="B457" s="2326" t="e">
        <v>#N/A</v>
      </c>
      <c r="C457" s="2327" t="e">
        <v>#N/A</v>
      </c>
    </row>
    <row r="458" spans="1:3">
      <c r="A458" s="2323">
        <f t="shared" si="0"/>
        <v>2028.11</v>
      </c>
      <c r="B458" s="2326" t="e">
        <v>#N/A</v>
      </c>
      <c r="C458" s="2327" t="e">
        <v>#N/A</v>
      </c>
    </row>
    <row r="459" spans="1:3">
      <c r="A459" s="2323">
        <f t="shared" si="0"/>
        <v>2028.12</v>
      </c>
      <c r="B459" s="2326" t="e">
        <v>#N/A</v>
      </c>
      <c r="C459" s="2327" t="e">
        <v>#N/A</v>
      </c>
    </row>
    <row r="460" spans="1:3">
      <c r="A460" s="2323">
        <f>A448+1</f>
        <v>2029.01</v>
      </c>
      <c r="B460" s="2326" t="e">
        <v>#N/A</v>
      </c>
      <c r="C460" s="2327" t="e">
        <v>#N/A</v>
      </c>
    </row>
    <row r="461" spans="1:3">
      <c r="A461" s="2323">
        <f t="shared" si="0"/>
        <v>2029.02</v>
      </c>
      <c r="B461" s="2326" t="e">
        <v>#N/A</v>
      </c>
      <c r="C461" s="2327" t="e">
        <v>#N/A</v>
      </c>
    </row>
    <row r="462" spans="1:3">
      <c r="A462" s="2323">
        <f t="shared" si="0"/>
        <v>2029.03</v>
      </c>
      <c r="B462" s="2326" t="e">
        <v>#N/A</v>
      </c>
      <c r="C462" s="2327" t="e">
        <v>#N/A</v>
      </c>
    </row>
    <row r="463" spans="1:3">
      <c r="A463" s="2323">
        <f t="shared" si="0"/>
        <v>2029.04</v>
      </c>
      <c r="B463" s="2326" t="e">
        <v>#N/A</v>
      </c>
      <c r="C463" s="2327" t="e">
        <v>#N/A</v>
      </c>
    </row>
    <row r="464" spans="1:3">
      <c r="A464" s="2323">
        <f t="shared" si="0"/>
        <v>2029.05</v>
      </c>
      <c r="B464" s="2326" t="e">
        <v>#N/A</v>
      </c>
      <c r="C464" s="2327" t="e">
        <v>#N/A</v>
      </c>
    </row>
    <row r="465" spans="1:3">
      <c r="A465" s="2323">
        <f>A453+1</f>
        <v>2029.06</v>
      </c>
      <c r="B465" s="2326" t="e">
        <v>#N/A</v>
      </c>
      <c r="C465" s="2327" t="e">
        <v>#N/A</v>
      </c>
    </row>
    <row r="466" spans="1:3">
      <c r="A466" s="2323">
        <f t="shared" si="0"/>
        <v>2029.07</v>
      </c>
      <c r="B466" s="2326" t="e">
        <v>#N/A</v>
      </c>
      <c r="C466" s="2327" t="e">
        <v>#N/A</v>
      </c>
    </row>
    <row r="467" spans="1:3">
      <c r="A467" s="2323">
        <f>A455+1</f>
        <v>2029.08</v>
      </c>
      <c r="B467" s="2326" t="e">
        <v>#N/A</v>
      </c>
      <c r="C467" s="2327" t="e">
        <v>#N/A</v>
      </c>
    </row>
    <row r="468" spans="1:3">
      <c r="A468" s="2323">
        <f t="shared" si="0"/>
        <v>2029.09</v>
      </c>
      <c r="B468" s="2326" t="e">
        <v>#N/A</v>
      </c>
      <c r="C468" s="2327" t="e">
        <v>#N/A</v>
      </c>
    </row>
    <row r="469" spans="1:3">
      <c r="A469" s="2323">
        <f t="shared" si="0"/>
        <v>2029.1</v>
      </c>
      <c r="B469" s="2326" t="e">
        <v>#N/A</v>
      </c>
      <c r="C469" s="2327" t="e">
        <v>#N/A</v>
      </c>
    </row>
    <row r="470" spans="1:3">
      <c r="A470" s="2323">
        <f t="shared" si="0"/>
        <v>2029.11</v>
      </c>
      <c r="B470" s="2326" t="e">
        <v>#N/A</v>
      </c>
      <c r="C470" s="2327" t="e">
        <v>#N/A</v>
      </c>
    </row>
    <row r="471" spans="1:3">
      <c r="A471" s="2323">
        <f t="shared" si="0"/>
        <v>2029.12</v>
      </c>
      <c r="B471" s="2326" t="e">
        <v>#N/A</v>
      </c>
      <c r="C471" s="2327" t="e">
        <v>#N/A</v>
      </c>
    </row>
    <row r="472" spans="1:3">
      <c r="A472" s="2323">
        <f t="shared" si="0"/>
        <v>2030.01</v>
      </c>
      <c r="B472" s="2326" t="e">
        <v>#N/A</v>
      </c>
      <c r="C472" s="2327" t="e">
        <v>#N/A</v>
      </c>
    </row>
    <row r="473" spans="1:3">
      <c r="A473" s="2323">
        <f>A461+1</f>
        <v>2030.02</v>
      </c>
      <c r="B473" s="2326" t="e">
        <v>#N/A</v>
      </c>
      <c r="C473" s="2327" t="e">
        <v>#N/A</v>
      </c>
    </row>
    <row r="474" spans="1:3">
      <c r="A474" s="2323">
        <f t="shared" si="0"/>
        <v>2030.03</v>
      </c>
      <c r="B474" s="2326" t="e">
        <v>#N/A</v>
      </c>
      <c r="C474" s="2327" t="e">
        <v>#N/A</v>
      </c>
    </row>
    <row r="475" spans="1:3">
      <c r="A475" s="2323">
        <f t="shared" si="0"/>
        <v>2030.04</v>
      </c>
      <c r="B475" s="2326" t="e">
        <v>#N/A</v>
      </c>
      <c r="C475" s="2327" t="e">
        <v>#N/A</v>
      </c>
    </row>
    <row r="476" spans="1:3">
      <c r="A476" s="2323">
        <f t="shared" si="0"/>
        <v>2030.05</v>
      </c>
      <c r="B476" s="2326" t="e">
        <v>#N/A</v>
      </c>
      <c r="C476" s="2327" t="e">
        <v>#N/A</v>
      </c>
    </row>
    <row r="477" spans="1:3">
      <c r="A477" s="2323">
        <f t="shared" si="0"/>
        <v>2030.06</v>
      </c>
      <c r="B477" s="2326" t="e">
        <v>#N/A</v>
      </c>
      <c r="C477" s="2327" t="e">
        <v>#N/A</v>
      </c>
    </row>
    <row r="478" spans="1:3">
      <c r="A478" s="2323">
        <f t="shared" si="0"/>
        <v>2030.07</v>
      </c>
      <c r="B478" s="2326" t="e">
        <v>#N/A</v>
      </c>
      <c r="C478" s="2327" t="e">
        <v>#N/A</v>
      </c>
    </row>
    <row r="479" spans="1:3">
      <c r="A479" s="2323">
        <f>A467+1</f>
        <v>2030.08</v>
      </c>
      <c r="B479" s="2326" t="e">
        <v>#N/A</v>
      </c>
      <c r="C479" s="2327" t="e">
        <v>#N/A</v>
      </c>
    </row>
    <row r="480" spans="1:3">
      <c r="A480" s="2323">
        <f t="shared" si="0"/>
        <v>2030.09</v>
      </c>
      <c r="B480" s="2326" t="e">
        <v>#N/A</v>
      </c>
      <c r="C480" s="2327" t="e">
        <v>#N/A</v>
      </c>
    </row>
    <row r="481" spans="1:3">
      <c r="A481" s="2323">
        <f t="shared" si="0"/>
        <v>2030.1</v>
      </c>
      <c r="B481" s="2326" t="e">
        <v>#N/A</v>
      </c>
      <c r="C481" s="2327" t="e">
        <v>#N/A</v>
      </c>
    </row>
    <row r="482" spans="1:3">
      <c r="A482" s="2323">
        <f t="shared" si="0"/>
        <v>2030.11</v>
      </c>
      <c r="B482" s="2326" t="e">
        <v>#N/A</v>
      </c>
      <c r="C482" s="2327" t="e">
        <v>#N/A</v>
      </c>
    </row>
    <row r="483" spans="1:3">
      <c r="A483" s="2323">
        <f>A471+1</f>
        <v>2030.12</v>
      </c>
      <c r="B483" s="2326" t="e">
        <v>#N/A</v>
      </c>
      <c r="C483" s="2327" t="e">
        <v>#N/A</v>
      </c>
    </row>
  </sheetData>
  <hyperlinks>
    <hyperlink ref="A5" location="INDICE!A13" display="VOLVER AL INDICE" xr:uid="{00000000-0004-0000-08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63</vt:i4>
      </vt:variant>
      <vt:variant>
        <vt:lpstr>Rangos con nombre</vt:lpstr>
      </vt:variant>
      <vt:variant>
        <vt:i4>7</vt:i4>
      </vt:variant>
    </vt:vector>
  </HeadingPairs>
  <TitlesOfParts>
    <vt:vector size="70" baseType="lpstr">
      <vt:lpstr>INDICE</vt:lpstr>
      <vt:lpstr>1.1</vt:lpstr>
      <vt:lpstr>1.2</vt:lpstr>
      <vt:lpstr>1.2.b</vt:lpstr>
      <vt:lpstr>1.3</vt:lpstr>
      <vt:lpstr>1.4</vt:lpstr>
      <vt:lpstr>1.5</vt:lpstr>
      <vt:lpstr>1.6</vt:lpstr>
      <vt:lpstr>1.7</vt:lpstr>
      <vt:lpstr>2.1</vt:lpstr>
      <vt:lpstr>2.2</vt:lpstr>
      <vt:lpstr>2.2.a</vt:lpstr>
      <vt:lpstr>2.2.b</vt:lpstr>
      <vt:lpstr>2.2.c</vt:lpstr>
      <vt:lpstr>2.2.d</vt:lpstr>
      <vt:lpstr>2.2.e</vt:lpstr>
      <vt:lpstr>2.3</vt:lpstr>
      <vt:lpstr>2.4</vt:lpstr>
      <vt:lpstr>2.5</vt:lpstr>
      <vt:lpstr>2.6</vt:lpstr>
      <vt:lpstr>3.1</vt:lpstr>
      <vt:lpstr>3.2</vt:lpstr>
      <vt:lpstr>3.3</vt:lpstr>
      <vt:lpstr>3.4</vt:lpstr>
      <vt:lpstr>3.5</vt:lpstr>
      <vt:lpstr>3.6</vt:lpstr>
      <vt:lpstr>3.7</vt:lpstr>
      <vt:lpstr>3.8</vt:lpstr>
      <vt:lpstr>3.9</vt:lpstr>
      <vt:lpstr>3.10</vt:lpstr>
      <vt:lpstr>3.11</vt:lpstr>
      <vt:lpstr>4.1</vt:lpstr>
      <vt:lpstr>4.2</vt:lpstr>
      <vt:lpstr>4.3</vt:lpstr>
      <vt:lpstr>4.4</vt:lpstr>
      <vt:lpstr>4.5</vt:lpstr>
      <vt:lpstr>4.6</vt:lpstr>
      <vt:lpstr>4.7</vt:lpstr>
      <vt:lpstr>5.1</vt:lpstr>
      <vt:lpstr>5.2</vt:lpstr>
      <vt:lpstr>5.3</vt:lpstr>
      <vt:lpstr>6.1</vt:lpstr>
      <vt:lpstr>6.2</vt:lpstr>
      <vt:lpstr>6.2.b</vt:lpstr>
      <vt:lpstr>6.3</vt:lpstr>
      <vt:lpstr>6.4</vt:lpstr>
      <vt:lpstr>7.1</vt:lpstr>
      <vt:lpstr>7.2</vt:lpstr>
      <vt:lpstr>7.3</vt:lpstr>
      <vt:lpstr>7.4</vt:lpstr>
      <vt:lpstr>8.1</vt:lpstr>
      <vt:lpstr>8.2</vt:lpstr>
      <vt:lpstr>8.3</vt:lpstr>
      <vt:lpstr>8.4</vt:lpstr>
      <vt:lpstr>8.5</vt:lpstr>
      <vt:lpstr>8.6</vt:lpstr>
      <vt:lpstr>8.7</vt:lpstr>
      <vt:lpstr>8.8</vt:lpstr>
      <vt:lpstr>8.9</vt:lpstr>
      <vt:lpstr>8.10</vt:lpstr>
      <vt:lpstr>9.1</vt:lpstr>
      <vt:lpstr>9.2</vt:lpstr>
      <vt:lpstr>9.3</vt:lpstr>
      <vt:lpstr>'8.8'!Área_de_impresión</vt:lpstr>
      <vt:lpstr>'8.9'!Área_de_impresión</vt:lpstr>
      <vt:lpstr>'7.1'!NA</vt:lpstr>
      <vt:lpstr>'7.2'!NA</vt:lpstr>
      <vt:lpstr>'7.3'!NA</vt:lpstr>
      <vt:lpstr>'7.4'!NA</vt:lpstr>
      <vt:lpstr>'1.3'!OLE_LINK2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DATA_SFE</dc:title>
  <dc:creator>jjorrat</dc:creator>
  <cp:lastModifiedBy>Agustin Rodriguez</cp:lastModifiedBy>
  <cp:lastPrinted>2022-09-01T12:43:42Z</cp:lastPrinted>
  <dcterms:created xsi:type="dcterms:W3CDTF">2005-06-13T15:31:01Z</dcterms:created>
  <dcterms:modified xsi:type="dcterms:W3CDTF">2024-05-15T12:47:33Z</dcterms:modified>
</cp:coreProperties>
</file>